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K:\Мій диск\Гречко\ДЛЯ САЙТУ ЧМР\Звіти про виконання кошторисів витрат\"/>
    </mc:Choice>
  </mc:AlternateContent>
  <xr:revisionPtr revIDLastSave="0" documentId="13_ncr:1_{CBA6772F-4662-4497-B332-C0BB96A232C3}" xr6:coauthVersionLast="47" xr6:coauthVersionMax="47" xr10:uidLastSave="{00000000-0000-0000-0000-000000000000}"/>
  <bookViews>
    <workbookView xWindow="-108" yWindow="-108" windowWidth="23256" windowHeight="13968" tabRatio="904" activeTab="1" xr2:uid="{00000000-000D-0000-FFFF-FFFF00000000}"/>
  </bookViews>
  <sheets>
    <sheet name="зведена таблиця" sheetId="3" r:id="rId1"/>
    <sheet name="Звіт-будинок" sheetId="12" r:id="rId2"/>
    <sheet name="місяць" sheetId="14" r:id="rId3"/>
    <sheet name="побудинковий звіт" sheetId="1" r:id="rId4"/>
    <sheet name="поточний ремонт" sheetId="4" r:id="rId5"/>
    <sheet name="Лист2" sheetId="35" r:id="rId6"/>
    <sheet name="ДЗ нас " sheetId="22" r:id="rId7"/>
    <sheet name="ДЗ нежит" sheetId="23" r:id="rId8"/>
    <sheet name="кошти 01.03.23" sheetId="38" r:id="rId9"/>
    <sheet name="ПР будинок" sheetId="13" r:id="rId10"/>
    <sheet name="накладні витрати" sheetId="5" r:id="rId11"/>
    <sheet name="первичка 1" sheetId="6" r:id="rId12"/>
    <sheet name="первичка 2" sheetId="7" r:id="rId13"/>
    <sheet name="Лист4" sheetId="37" r:id="rId14"/>
    <sheet name="коди" sheetId="11" r:id="rId15"/>
    <sheet name="ціни" sheetId="19" r:id="rId16"/>
    <sheet name="кошти 01.03.20" sheetId="21" r:id="rId17"/>
    <sheet name="Лист3" sheetId="36" r:id="rId18"/>
    <sheet name="нач" sheetId="24" r:id="rId19"/>
    <sheet name="новий кошторис с 01.06" sheetId="26" r:id="rId20"/>
    <sheet name="зарплата в цінах" sheetId="28" r:id="rId21"/>
    <sheet name="зарплата ТО" sheetId="29" r:id="rId22"/>
    <sheet name="ЕЛЕМЕНТИ ВИТРАТ" sheetId="30" r:id="rId23"/>
    <sheet name="ЛІМІТИ" sheetId="31" r:id="rId24"/>
    <sheet name="паркан аморт" sheetId="34" r:id="rId25"/>
    <sheet name="Лист1" sheetId="33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6" hidden="1">'ДЗ нас '!$A$1:$D$359</definedName>
    <definedName name="_xlnm._FilterDatabase" localSheetId="7" hidden="1">'ДЗ нежит'!$A$1:$H$146</definedName>
    <definedName name="_xlnm._FilterDatabase" localSheetId="1" hidden="1">'Звіт-будинок'!$A$10:$AT$10</definedName>
    <definedName name="_xlnm._FilterDatabase" localSheetId="14" hidden="1">коди!$B$7:$C$404</definedName>
    <definedName name="_xlnm._FilterDatabase" localSheetId="16" hidden="1">'кошти 01.03.20'!$A$8:$B$8</definedName>
    <definedName name="_xlnm._FilterDatabase" localSheetId="8" hidden="1">'кошти 01.03.23'!$A$8:$B$368</definedName>
    <definedName name="_xlnm._FilterDatabase" localSheetId="18" hidden="1">нач!$A$7:$M$375</definedName>
    <definedName name="_xlnm._FilterDatabase" localSheetId="19" hidden="1">'новий кошторис с 01.06'!$A$4:$AK$400</definedName>
    <definedName name="_xlnm._FilterDatabase" localSheetId="24" hidden="1">'паркан аморт'!$A$1:$D$416</definedName>
    <definedName name="_xlnm._FilterDatabase" localSheetId="11" hidden="1">'первичка 1'!$A$8:$BZ$382</definedName>
    <definedName name="_xlnm._FilterDatabase" localSheetId="12" hidden="1">'первичка 2'!$A$8:$BQ$372</definedName>
    <definedName name="_xlnm._FilterDatabase" localSheetId="3" hidden="1">'побудинковий звіт'!$A$8:$EH$380</definedName>
    <definedName name="_xlnm._FilterDatabase" localSheetId="4" hidden="1">'поточний ремонт'!$A$10:$BQ$370</definedName>
    <definedName name="_xlnm._FilterDatabase" localSheetId="15" hidden="1">ціни!$A$5:$G$5</definedName>
    <definedName name="_xlnm.Print_Titles" localSheetId="18">нач!$6:$7</definedName>
    <definedName name="_xlnm.Print_Titles" localSheetId="4">'поточний ремонт'!$7:$10</definedName>
    <definedName name="_xlnm.Print_Titles" localSheetId="15">ціни!$5:$5</definedName>
    <definedName name="_xlnm.Print_Area" localSheetId="0">'зведена таблиця'!$A$1:$O$54</definedName>
    <definedName name="_xlnm.Print_Area" localSheetId="1">'Звіт-будинок'!$A$1:$F$76</definedName>
    <definedName name="_xlnm.Print_Area" localSheetId="10">'накладні витрати'!$A$1:$K$41</definedName>
  </definedNames>
  <calcPr calcId="181029"/>
</workbook>
</file>

<file path=xl/calcChain.xml><?xml version="1.0" encoding="utf-8"?>
<calcChain xmlns="http://schemas.openxmlformats.org/spreadsheetml/2006/main">
  <c r="D83" i="12" l="1"/>
  <c r="D79" i="12" s="1"/>
  <c r="DC10" i="1" l="1"/>
  <c r="DD10" i="1"/>
  <c r="DE10" i="1"/>
  <c r="DF10" i="1"/>
  <c r="DC11" i="1"/>
  <c r="DD11" i="1"/>
  <c r="DE11" i="1"/>
  <c r="DF11" i="1"/>
  <c r="DC12" i="1"/>
  <c r="DD12" i="1"/>
  <c r="DE12" i="1"/>
  <c r="DF12" i="1"/>
  <c r="DC13" i="1"/>
  <c r="DD13" i="1"/>
  <c r="DE13" i="1"/>
  <c r="DF13" i="1"/>
  <c r="DC14" i="1"/>
  <c r="DD14" i="1"/>
  <c r="DE14" i="1"/>
  <c r="DF14" i="1"/>
  <c r="DC15" i="1"/>
  <c r="DD15" i="1"/>
  <c r="DE15" i="1"/>
  <c r="DF15" i="1"/>
  <c r="DC16" i="1"/>
  <c r="DD16" i="1"/>
  <c r="DE16" i="1"/>
  <c r="DF16" i="1"/>
  <c r="DC17" i="1"/>
  <c r="DD17" i="1"/>
  <c r="DE17" i="1"/>
  <c r="DF17" i="1"/>
  <c r="DC18" i="1"/>
  <c r="DD18" i="1"/>
  <c r="DE18" i="1"/>
  <c r="DF18" i="1"/>
  <c r="DC19" i="1"/>
  <c r="DD19" i="1"/>
  <c r="DE19" i="1"/>
  <c r="DF19" i="1"/>
  <c r="DC20" i="1"/>
  <c r="DD20" i="1"/>
  <c r="DE20" i="1"/>
  <c r="DF20" i="1"/>
  <c r="DC21" i="1"/>
  <c r="DD21" i="1"/>
  <c r="DE21" i="1"/>
  <c r="DF21" i="1"/>
  <c r="DC22" i="1"/>
  <c r="DD22" i="1"/>
  <c r="DE22" i="1"/>
  <c r="DF22" i="1"/>
  <c r="DC23" i="1"/>
  <c r="DD23" i="1"/>
  <c r="DE23" i="1"/>
  <c r="DF23" i="1"/>
  <c r="DC24" i="1"/>
  <c r="DD24" i="1"/>
  <c r="DE24" i="1"/>
  <c r="DF24" i="1"/>
  <c r="DC25" i="1"/>
  <c r="DD25" i="1"/>
  <c r="DE25" i="1"/>
  <c r="DF25" i="1"/>
  <c r="DC26" i="1"/>
  <c r="DD26" i="1"/>
  <c r="DE26" i="1"/>
  <c r="DF26" i="1"/>
  <c r="DC27" i="1"/>
  <c r="DD27" i="1"/>
  <c r="DE27" i="1"/>
  <c r="DF27" i="1"/>
  <c r="DC28" i="1"/>
  <c r="DD28" i="1"/>
  <c r="DE28" i="1"/>
  <c r="DF28" i="1"/>
  <c r="DC29" i="1"/>
  <c r="DD29" i="1"/>
  <c r="DE29" i="1"/>
  <c r="DF29" i="1"/>
  <c r="DC30" i="1"/>
  <c r="DD30" i="1"/>
  <c r="DE30" i="1"/>
  <c r="DF30" i="1"/>
  <c r="DC31" i="1"/>
  <c r="DD31" i="1"/>
  <c r="DE31" i="1"/>
  <c r="DF31" i="1"/>
  <c r="DC32" i="1"/>
  <c r="DD32" i="1"/>
  <c r="DE32" i="1"/>
  <c r="DF32" i="1"/>
  <c r="DC33" i="1"/>
  <c r="DD33" i="1"/>
  <c r="DE33" i="1"/>
  <c r="DF33" i="1"/>
  <c r="DC34" i="1"/>
  <c r="DD34" i="1"/>
  <c r="DE34" i="1"/>
  <c r="DF34" i="1"/>
  <c r="DC35" i="1"/>
  <c r="DD35" i="1"/>
  <c r="DE35" i="1"/>
  <c r="DF35" i="1"/>
  <c r="DC36" i="1"/>
  <c r="DD36" i="1"/>
  <c r="DE36" i="1"/>
  <c r="DF36" i="1"/>
  <c r="DC37" i="1"/>
  <c r="DD37" i="1"/>
  <c r="DE37" i="1"/>
  <c r="DF37" i="1"/>
  <c r="DC38" i="1"/>
  <c r="DD38" i="1"/>
  <c r="DE38" i="1"/>
  <c r="DF38" i="1"/>
  <c r="DC39" i="1"/>
  <c r="DD39" i="1"/>
  <c r="DE39" i="1"/>
  <c r="DF39" i="1"/>
  <c r="DC40" i="1"/>
  <c r="DD40" i="1"/>
  <c r="DE40" i="1"/>
  <c r="DF40" i="1"/>
  <c r="DC41" i="1"/>
  <c r="DD41" i="1"/>
  <c r="DE41" i="1"/>
  <c r="DF41" i="1"/>
  <c r="DC42" i="1"/>
  <c r="DD42" i="1"/>
  <c r="DE42" i="1"/>
  <c r="DF42" i="1"/>
  <c r="DC43" i="1"/>
  <c r="DD43" i="1"/>
  <c r="DE43" i="1"/>
  <c r="DF43" i="1"/>
  <c r="DC44" i="1"/>
  <c r="DD44" i="1"/>
  <c r="DE44" i="1"/>
  <c r="DF44" i="1"/>
  <c r="DC45" i="1"/>
  <c r="DD45" i="1"/>
  <c r="DE45" i="1"/>
  <c r="DF45" i="1"/>
  <c r="DC46" i="1"/>
  <c r="DD46" i="1"/>
  <c r="DE46" i="1"/>
  <c r="DF46" i="1"/>
  <c r="DC47" i="1"/>
  <c r="DD47" i="1"/>
  <c r="DE47" i="1"/>
  <c r="DF47" i="1"/>
  <c r="DC48" i="1"/>
  <c r="DD48" i="1"/>
  <c r="DE48" i="1"/>
  <c r="DF48" i="1"/>
  <c r="DC49" i="1"/>
  <c r="DD49" i="1"/>
  <c r="DE49" i="1"/>
  <c r="DF49" i="1"/>
  <c r="DC50" i="1"/>
  <c r="DD50" i="1"/>
  <c r="DE50" i="1"/>
  <c r="DF50" i="1"/>
  <c r="DC51" i="1"/>
  <c r="DD51" i="1"/>
  <c r="DE51" i="1"/>
  <c r="DF51" i="1"/>
  <c r="DC52" i="1"/>
  <c r="DD52" i="1"/>
  <c r="DE52" i="1"/>
  <c r="DF52" i="1"/>
  <c r="DC53" i="1"/>
  <c r="DD53" i="1"/>
  <c r="DE53" i="1"/>
  <c r="DF53" i="1"/>
  <c r="DC54" i="1"/>
  <c r="DD54" i="1"/>
  <c r="DE54" i="1"/>
  <c r="DF54" i="1"/>
  <c r="DC55" i="1"/>
  <c r="DD55" i="1"/>
  <c r="DE55" i="1"/>
  <c r="DF55" i="1"/>
  <c r="DC56" i="1"/>
  <c r="DD56" i="1"/>
  <c r="DE56" i="1"/>
  <c r="DF56" i="1"/>
  <c r="DC57" i="1"/>
  <c r="DD57" i="1"/>
  <c r="DE57" i="1"/>
  <c r="DF57" i="1"/>
  <c r="DC58" i="1"/>
  <c r="DD58" i="1"/>
  <c r="DE58" i="1"/>
  <c r="DF58" i="1"/>
  <c r="DC59" i="1"/>
  <c r="DD59" i="1"/>
  <c r="DE59" i="1"/>
  <c r="DF59" i="1"/>
  <c r="DC60" i="1"/>
  <c r="DD60" i="1"/>
  <c r="DE60" i="1"/>
  <c r="DF60" i="1"/>
  <c r="DC61" i="1"/>
  <c r="DD61" i="1"/>
  <c r="DE61" i="1"/>
  <c r="DF61" i="1"/>
  <c r="DC62" i="1"/>
  <c r="DD62" i="1"/>
  <c r="DE62" i="1"/>
  <c r="DF62" i="1"/>
  <c r="DC63" i="1"/>
  <c r="DD63" i="1"/>
  <c r="DE63" i="1"/>
  <c r="DF63" i="1"/>
  <c r="DC64" i="1"/>
  <c r="DD64" i="1"/>
  <c r="DE64" i="1"/>
  <c r="DF64" i="1"/>
  <c r="DC65" i="1"/>
  <c r="DD65" i="1"/>
  <c r="DE65" i="1"/>
  <c r="DF65" i="1"/>
  <c r="DC66" i="1"/>
  <c r="DD66" i="1"/>
  <c r="DE66" i="1"/>
  <c r="DF66" i="1"/>
  <c r="DC67" i="1"/>
  <c r="DD67" i="1"/>
  <c r="DE67" i="1"/>
  <c r="DF67" i="1"/>
  <c r="DC68" i="1"/>
  <c r="DD68" i="1"/>
  <c r="DE68" i="1"/>
  <c r="DF68" i="1"/>
  <c r="DC69" i="1"/>
  <c r="DD69" i="1"/>
  <c r="DE69" i="1"/>
  <c r="DF69" i="1"/>
  <c r="DC70" i="1"/>
  <c r="DD70" i="1"/>
  <c r="DE70" i="1"/>
  <c r="DF70" i="1"/>
  <c r="DC71" i="1"/>
  <c r="DD71" i="1"/>
  <c r="DE71" i="1"/>
  <c r="DF71" i="1"/>
  <c r="DC72" i="1"/>
  <c r="DD72" i="1"/>
  <c r="DE72" i="1"/>
  <c r="DF72" i="1"/>
  <c r="DC73" i="1"/>
  <c r="DD73" i="1"/>
  <c r="DE73" i="1"/>
  <c r="DF73" i="1"/>
  <c r="DC74" i="1"/>
  <c r="DD74" i="1"/>
  <c r="DE74" i="1"/>
  <c r="DF74" i="1"/>
  <c r="DC75" i="1"/>
  <c r="DD75" i="1"/>
  <c r="DE75" i="1"/>
  <c r="DF75" i="1"/>
  <c r="DC76" i="1"/>
  <c r="DD76" i="1"/>
  <c r="DE76" i="1"/>
  <c r="DF76" i="1"/>
  <c r="DC77" i="1"/>
  <c r="DD77" i="1"/>
  <c r="DE77" i="1"/>
  <c r="DF77" i="1"/>
  <c r="DC78" i="1"/>
  <c r="DD78" i="1"/>
  <c r="DE78" i="1"/>
  <c r="DF78" i="1"/>
  <c r="DC79" i="1"/>
  <c r="DD79" i="1"/>
  <c r="DE79" i="1"/>
  <c r="DF79" i="1"/>
  <c r="DC80" i="1"/>
  <c r="DD80" i="1"/>
  <c r="DE80" i="1"/>
  <c r="DF80" i="1"/>
  <c r="DC81" i="1"/>
  <c r="DD81" i="1"/>
  <c r="DE81" i="1"/>
  <c r="DF81" i="1"/>
  <c r="DC82" i="1"/>
  <c r="DD82" i="1"/>
  <c r="DE82" i="1"/>
  <c r="DF82" i="1"/>
  <c r="DC83" i="1"/>
  <c r="DD83" i="1"/>
  <c r="DE83" i="1"/>
  <c r="DF83" i="1"/>
  <c r="DC84" i="1"/>
  <c r="DD84" i="1"/>
  <c r="DE84" i="1"/>
  <c r="DF84" i="1"/>
  <c r="DC85" i="1"/>
  <c r="DD85" i="1"/>
  <c r="DE85" i="1"/>
  <c r="DF85" i="1"/>
  <c r="DC86" i="1"/>
  <c r="DD86" i="1"/>
  <c r="DE86" i="1"/>
  <c r="DF86" i="1"/>
  <c r="DC87" i="1"/>
  <c r="DD87" i="1"/>
  <c r="DE87" i="1"/>
  <c r="DF87" i="1"/>
  <c r="DC88" i="1"/>
  <c r="DD88" i="1"/>
  <c r="DE88" i="1"/>
  <c r="DF88" i="1"/>
  <c r="DC89" i="1"/>
  <c r="DD89" i="1"/>
  <c r="DE89" i="1"/>
  <c r="DF89" i="1"/>
  <c r="DC90" i="1"/>
  <c r="DD90" i="1"/>
  <c r="DE90" i="1"/>
  <c r="DF90" i="1"/>
  <c r="DC91" i="1"/>
  <c r="DD91" i="1"/>
  <c r="DE91" i="1"/>
  <c r="DF91" i="1"/>
  <c r="DC92" i="1"/>
  <c r="DD92" i="1"/>
  <c r="DE92" i="1"/>
  <c r="DF92" i="1"/>
  <c r="DC93" i="1"/>
  <c r="DD93" i="1"/>
  <c r="DE93" i="1"/>
  <c r="DF93" i="1"/>
  <c r="DC94" i="1"/>
  <c r="DD94" i="1"/>
  <c r="DE94" i="1"/>
  <c r="DF94" i="1"/>
  <c r="DC95" i="1"/>
  <c r="DD95" i="1"/>
  <c r="DE95" i="1"/>
  <c r="DF95" i="1"/>
  <c r="DC96" i="1"/>
  <c r="DD96" i="1"/>
  <c r="DE96" i="1"/>
  <c r="DF96" i="1"/>
  <c r="DC97" i="1"/>
  <c r="DD97" i="1"/>
  <c r="DE97" i="1"/>
  <c r="DF97" i="1"/>
  <c r="DC98" i="1"/>
  <c r="DD98" i="1"/>
  <c r="DE98" i="1"/>
  <c r="DF98" i="1"/>
  <c r="DC99" i="1"/>
  <c r="DD99" i="1"/>
  <c r="DE99" i="1"/>
  <c r="DF99" i="1"/>
  <c r="DC100" i="1"/>
  <c r="DD100" i="1"/>
  <c r="DE100" i="1"/>
  <c r="DF100" i="1"/>
  <c r="DC101" i="1"/>
  <c r="DD101" i="1"/>
  <c r="DE101" i="1"/>
  <c r="DF101" i="1"/>
  <c r="DC102" i="1"/>
  <c r="DD102" i="1"/>
  <c r="DE102" i="1"/>
  <c r="DF102" i="1"/>
  <c r="DC103" i="1"/>
  <c r="DD103" i="1"/>
  <c r="DE103" i="1"/>
  <c r="DF103" i="1"/>
  <c r="DC104" i="1"/>
  <c r="DD104" i="1"/>
  <c r="DE104" i="1"/>
  <c r="DF104" i="1"/>
  <c r="DC105" i="1"/>
  <c r="DD105" i="1"/>
  <c r="DE105" i="1"/>
  <c r="DF105" i="1"/>
  <c r="DC106" i="1"/>
  <c r="DD106" i="1"/>
  <c r="DE106" i="1"/>
  <c r="DF106" i="1"/>
  <c r="DC107" i="1"/>
  <c r="DD107" i="1"/>
  <c r="DE107" i="1"/>
  <c r="DF107" i="1"/>
  <c r="DC108" i="1"/>
  <c r="DD108" i="1"/>
  <c r="DE108" i="1"/>
  <c r="DF108" i="1"/>
  <c r="DC109" i="1"/>
  <c r="DD109" i="1"/>
  <c r="DE109" i="1"/>
  <c r="DF109" i="1"/>
  <c r="DC110" i="1"/>
  <c r="DD110" i="1"/>
  <c r="DE110" i="1"/>
  <c r="DF110" i="1"/>
  <c r="DC111" i="1"/>
  <c r="DD111" i="1"/>
  <c r="DE111" i="1"/>
  <c r="DF111" i="1"/>
  <c r="DC112" i="1"/>
  <c r="DD112" i="1"/>
  <c r="DE112" i="1"/>
  <c r="DF112" i="1"/>
  <c r="DC113" i="1"/>
  <c r="DD113" i="1"/>
  <c r="DE113" i="1"/>
  <c r="DF113" i="1"/>
  <c r="DC114" i="1"/>
  <c r="DD114" i="1"/>
  <c r="DE114" i="1"/>
  <c r="DF114" i="1"/>
  <c r="DC115" i="1"/>
  <c r="DD115" i="1"/>
  <c r="DE115" i="1"/>
  <c r="DF115" i="1"/>
  <c r="DC116" i="1"/>
  <c r="DD116" i="1"/>
  <c r="DE116" i="1"/>
  <c r="DF116" i="1"/>
  <c r="DC117" i="1"/>
  <c r="DD117" i="1"/>
  <c r="DE117" i="1"/>
  <c r="DF117" i="1"/>
  <c r="DC118" i="1"/>
  <c r="DD118" i="1"/>
  <c r="DE118" i="1"/>
  <c r="DF118" i="1"/>
  <c r="DC119" i="1"/>
  <c r="DD119" i="1"/>
  <c r="DE119" i="1"/>
  <c r="DF119" i="1"/>
  <c r="DC120" i="1"/>
  <c r="DD120" i="1"/>
  <c r="DE120" i="1"/>
  <c r="DF120" i="1"/>
  <c r="DC121" i="1"/>
  <c r="DD121" i="1"/>
  <c r="DE121" i="1"/>
  <c r="DF121" i="1"/>
  <c r="DC122" i="1"/>
  <c r="DD122" i="1"/>
  <c r="DE122" i="1"/>
  <c r="DF122" i="1"/>
  <c r="DC123" i="1"/>
  <c r="DD123" i="1"/>
  <c r="DE123" i="1"/>
  <c r="DF123" i="1"/>
  <c r="DC124" i="1"/>
  <c r="DD124" i="1"/>
  <c r="DE124" i="1"/>
  <c r="DF124" i="1"/>
  <c r="DC125" i="1"/>
  <c r="DD125" i="1"/>
  <c r="DE125" i="1"/>
  <c r="DF125" i="1"/>
  <c r="DC126" i="1"/>
  <c r="DD126" i="1"/>
  <c r="DE126" i="1"/>
  <c r="DF126" i="1"/>
  <c r="DC127" i="1"/>
  <c r="DD127" i="1"/>
  <c r="DE127" i="1"/>
  <c r="DF127" i="1"/>
  <c r="DC128" i="1"/>
  <c r="DD128" i="1"/>
  <c r="DE128" i="1"/>
  <c r="DF128" i="1"/>
  <c r="DC129" i="1"/>
  <c r="DD129" i="1"/>
  <c r="DE129" i="1"/>
  <c r="DF129" i="1"/>
  <c r="DC130" i="1"/>
  <c r="DD130" i="1"/>
  <c r="DE130" i="1"/>
  <c r="DF130" i="1"/>
  <c r="DC131" i="1"/>
  <c r="DD131" i="1"/>
  <c r="DE131" i="1"/>
  <c r="DF131" i="1"/>
  <c r="DC132" i="1"/>
  <c r="DD132" i="1"/>
  <c r="DE132" i="1"/>
  <c r="DF132" i="1"/>
  <c r="DC133" i="1"/>
  <c r="DD133" i="1"/>
  <c r="DE133" i="1"/>
  <c r="DF133" i="1"/>
  <c r="DC134" i="1"/>
  <c r="DD134" i="1"/>
  <c r="DE134" i="1"/>
  <c r="DF134" i="1"/>
  <c r="DC135" i="1"/>
  <c r="DD135" i="1"/>
  <c r="DE135" i="1"/>
  <c r="DF135" i="1"/>
  <c r="DC136" i="1"/>
  <c r="DD136" i="1"/>
  <c r="DE136" i="1"/>
  <c r="DF136" i="1"/>
  <c r="DC137" i="1"/>
  <c r="DD137" i="1"/>
  <c r="DE137" i="1"/>
  <c r="DF137" i="1"/>
  <c r="DC138" i="1"/>
  <c r="DD138" i="1"/>
  <c r="DE138" i="1"/>
  <c r="DF138" i="1"/>
  <c r="DC139" i="1"/>
  <c r="DD139" i="1"/>
  <c r="DE139" i="1"/>
  <c r="DF139" i="1"/>
  <c r="DC140" i="1"/>
  <c r="DD140" i="1"/>
  <c r="DE140" i="1"/>
  <c r="DF140" i="1"/>
  <c r="DC141" i="1"/>
  <c r="DD141" i="1"/>
  <c r="DE141" i="1"/>
  <c r="DF141" i="1"/>
  <c r="DC142" i="1"/>
  <c r="DD142" i="1"/>
  <c r="DE142" i="1"/>
  <c r="DF142" i="1"/>
  <c r="DC143" i="1"/>
  <c r="DD143" i="1"/>
  <c r="DE143" i="1"/>
  <c r="DF143" i="1"/>
  <c r="DC144" i="1"/>
  <c r="DD144" i="1"/>
  <c r="DE144" i="1"/>
  <c r="DF144" i="1"/>
  <c r="DC145" i="1"/>
  <c r="DD145" i="1"/>
  <c r="DE145" i="1"/>
  <c r="DF145" i="1"/>
  <c r="DC146" i="1"/>
  <c r="DD146" i="1"/>
  <c r="DE146" i="1"/>
  <c r="DF146" i="1"/>
  <c r="DC147" i="1"/>
  <c r="DD147" i="1"/>
  <c r="DE147" i="1"/>
  <c r="DF147" i="1"/>
  <c r="DC148" i="1"/>
  <c r="DD148" i="1"/>
  <c r="DE148" i="1"/>
  <c r="DF148" i="1"/>
  <c r="DC149" i="1"/>
  <c r="DD149" i="1"/>
  <c r="DE149" i="1"/>
  <c r="DF149" i="1"/>
  <c r="DC150" i="1"/>
  <c r="DD150" i="1"/>
  <c r="DE150" i="1"/>
  <c r="DF150" i="1"/>
  <c r="DC151" i="1"/>
  <c r="DD151" i="1"/>
  <c r="DE151" i="1"/>
  <c r="DF151" i="1"/>
  <c r="DC152" i="1"/>
  <c r="DD152" i="1"/>
  <c r="DE152" i="1"/>
  <c r="DF152" i="1"/>
  <c r="DC153" i="1"/>
  <c r="DD153" i="1"/>
  <c r="DE153" i="1"/>
  <c r="DF153" i="1"/>
  <c r="DC154" i="1"/>
  <c r="DD154" i="1"/>
  <c r="DE154" i="1"/>
  <c r="DF154" i="1"/>
  <c r="DC155" i="1"/>
  <c r="DD155" i="1"/>
  <c r="DE155" i="1"/>
  <c r="DF155" i="1"/>
  <c r="DC156" i="1"/>
  <c r="DD156" i="1"/>
  <c r="DE156" i="1"/>
  <c r="DF156" i="1"/>
  <c r="DC157" i="1"/>
  <c r="DD157" i="1"/>
  <c r="DE157" i="1"/>
  <c r="DF157" i="1"/>
  <c r="DC158" i="1"/>
  <c r="DD158" i="1"/>
  <c r="DE158" i="1"/>
  <c r="DF158" i="1"/>
  <c r="DC159" i="1"/>
  <c r="DD159" i="1"/>
  <c r="DE159" i="1"/>
  <c r="DF159" i="1"/>
  <c r="DC160" i="1"/>
  <c r="DD160" i="1"/>
  <c r="DE160" i="1"/>
  <c r="DF160" i="1"/>
  <c r="DC161" i="1"/>
  <c r="DD161" i="1"/>
  <c r="DE161" i="1"/>
  <c r="DF161" i="1"/>
  <c r="DC162" i="1"/>
  <c r="DD162" i="1"/>
  <c r="DE162" i="1"/>
  <c r="DF162" i="1"/>
  <c r="DC163" i="1"/>
  <c r="DD163" i="1"/>
  <c r="DE163" i="1"/>
  <c r="DF163" i="1"/>
  <c r="DC164" i="1"/>
  <c r="DD164" i="1"/>
  <c r="DE164" i="1"/>
  <c r="DF164" i="1"/>
  <c r="DC165" i="1"/>
  <c r="DD165" i="1"/>
  <c r="DE165" i="1"/>
  <c r="DF165" i="1"/>
  <c r="DC166" i="1"/>
  <c r="DD166" i="1"/>
  <c r="DE166" i="1"/>
  <c r="DF166" i="1"/>
  <c r="DC167" i="1"/>
  <c r="DD167" i="1"/>
  <c r="DE167" i="1"/>
  <c r="DF167" i="1"/>
  <c r="DC168" i="1"/>
  <c r="DD168" i="1"/>
  <c r="DE168" i="1"/>
  <c r="DF168" i="1"/>
  <c r="DC169" i="1"/>
  <c r="DD169" i="1"/>
  <c r="DE169" i="1"/>
  <c r="DF169" i="1"/>
  <c r="DC170" i="1"/>
  <c r="DD170" i="1"/>
  <c r="DE170" i="1"/>
  <c r="DF170" i="1"/>
  <c r="DC171" i="1"/>
  <c r="DD171" i="1"/>
  <c r="DE171" i="1"/>
  <c r="DF171" i="1"/>
  <c r="DC172" i="1"/>
  <c r="DD172" i="1"/>
  <c r="DE172" i="1"/>
  <c r="DF172" i="1"/>
  <c r="DC173" i="1"/>
  <c r="DD173" i="1"/>
  <c r="DE173" i="1"/>
  <c r="DF173" i="1"/>
  <c r="DC174" i="1"/>
  <c r="DD174" i="1"/>
  <c r="DE174" i="1"/>
  <c r="DF174" i="1"/>
  <c r="DC175" i="1"/>
  <c r="DD175" i="1"/>
  <c r="DE175" i="1"/>
  <c r="DF175" i="1"/>
  <c r="DC176" i="1"/>
  <c r="DD176" i="1"/>
  <c r="DE176" i="1"/>
  <c r="DF176" i="1"/>
  <c r="DC177" i="1"/>
  <c r="DD177" i="1"/>
  <c r="DE177" i="1"/>
  <c r="DF177" i="1"/>
  <c r="DC178" i="1"/>
  <c r="DD178" i="1"/>
  <c r="DE178" i="1"/>
  <c r="DF178" i="1"/>
  <c r="DC179" i="1"/>
  <c r="DD179" i="1"/>
  <c r="DE179" i="1"/>
  <c r="DF179" i="1"/>
  <c r="DC180" i="1"/>
  <c r="DD180" i="1"/>
  <c r="DE180" i="1"/>
  <c r="DF180" i="1"/>
  <c r="DC181" i="1"/>
  <c r="DD181" i="1"/>
  <c r="DE181" i="1"/>
  <c r="DF181" i="1"/>
  <c r="DC182" i="1"/>
  <c r="DD182" i="1"/>
  <c r="DE182" i="1"/>
  <c r="DF182" i="1"/>
  <c r="DC183" i="1"/>
  <c r="DD183" i="1"/>
  <c r="DE183" i="1"/>
  <c r="DF183" i="1"/>
  <c r="DC184" i="1"/>
  <c r="DD184" i="1"/>
  <c r="DE184" i="1"/>
  <c r="DF184" i="1"/>
  <c r="DC185" i="1"/>
  <c r="DD185" i="1"/>
  <c r="DE185" i="1"/>
  <c r="DF185" i="1"/>
  <c r="DC186" i="1"/>
  <c r="DD186" i="1"/>
  <c r="DE186" i="1"/>
  <c r="DF186" i="1"/>
  <c r="DC187" i="1"/>
  <c r="DD187" i="1"/>
  <c r="DE187" i="1"/>
  <c r="DF187" i="1"/>
  <c r="DC188" i="1"/>
  <c r="DD188" i="1"/>
  <c r="DE188" i="1"/>
  <c r="DF188" i="1"/>
  <c r="DC189" i="1"/>
  <c r="DD189" i="1"/>
  <c r="DE189" i="1"/>
  <c r="DF189" i="1"/>
  <c r="DC190" i="1"/>
  <c r="DD190" i="1"/>
  <c r="DE190" i="1"/>
  <c r="DF190" i="1"/>
  <c r="DC191" i="1"/>
  <c r="DD191" i="1"/>
  <c r="DE191" i="1"/>
  <c r="DF191" i="1"/>
  <c r="DC192" i="1"/>
  <c r="DD192" i="1"/>
  <c r="DE192" i="1"/>
  <c r="DF192" i="1"/>
  <c r="DC193" i="1"/>
  <c r="DD193" i="1"/>
  <c r="DE193" i="1"/>
  <c r="DF193" i="1"/>
  <c r="DC194" i="1"/>
  <c r="DD194" i="1"/>
  <c r="DE194" i="1"/>
  <c r="DF194" i="1"/>
  <c r="DC195" i="1"/>
  <c r="DD195" i="1"/>
  <c r="DE195" i="1"/>
  <c r="DF195" i="1"/>
  <c r="DC196" i="1"/>
  <c r="DD196" i="1"/>
  <c r="DE196" i="1"/>
  <c r="DF196" i="1"/>
  <c r="DC197" i="1"/>
  <c r="DD197" i="1"/>
  <c r="DE197" i="1"/>
  <c r="DF197" i="1"/>
  <c r="DC198" i="1"/>
  <c r="DD198" i="1"/>
  <c r="DE198" i="1"/>
  <c r="DF198" i="1"/>
  <c r="DC199" i="1"/>
  <c r="DD199" i="1"/>
  <c r="DE199" i="1"/>
  <c r="DF199" i="1"/>
  <c r="DC200" i="1"/>
  <c r="DD200" i="1"/>
  <c r="DE200" i="1"/>
  <c r="DF200" i="1"/>
  <c r="DC201" i="1"/>
  <c r="DD201" i="1"/>
  <c r="DE201" i="1"/>
  <c r="DF201" i="1"/>
  <c r="DC202" i="1"/>
  <c r="DD202" i="1"/>
  <c r="DE202" i="1"/>
  <c r="DF202" i="1"/>
  <c r="DC203" i="1"/>
  <c r="DD203" i="1"/>
  <c r="DE203" i="1"/>
  <c r="DF203" i="1"/>
  <c r="DC204" i="1"/>
  <c r="DD204" i="1"/>
  <c r="DE204" i="1"/>
  <c r="DF204" i="1"/>
  <c r="DC205" i="1"/>
  <c r="DD205" i="1"/>
  <c r="DE205" i="1"/>
  <c r="DF205" i="1"/>
  <c r="DC206" i="1"/>
  <c r="DD206" i="1"/>
  <c r="DE206" i="1"/>
  <c r="DF206" i="1"/>
  <c r="DC207" i="1"/>
  <c r="DD207" i="1"/>
  <c r="DE207" i="1"/>
  <c r="DF207" i="1"/>
  <c r="DC208" i="1"/>
  <c r="DD208" i="1"/>
  <c r="DE208" i="1"/>
  <c r="DF208" i="1"/>
  <c r="DC209" i="1"/>
  <c r="DD209" i="1"/>
  <c r="DE209" i="1"/>
  <c r="DF209" i="1"/>
  <c r="DC210" i="1"/>
  <c r="DD210" i="1"/>
  <c r="DE210" i="1"/>
  <c r="DF210" i="1"/>
  <c r="DC211" i="1"/>
  <c r="DD211" i="1"/>
  <c r="DE211" i="1"/>
  <c r="DF211" i="1"/>
  <c r="DC212" i="1"/>
  <c r="DD212" i="1"/>
  <c r="DE212" i="1"/>
  <c r="DF212" i="1"/>
  <c r="DC213" i="1"/>
  <c r="DD213" i="1"/>
  <c r="DE213" i="1"/>
  <c r="DF213" i="1"/>
  <c r="DC214" i="1"/>
  <c r="DD214" i="1"/>
  <c r="DE214" i="1"/>
  <c r="DF214" i="1"/>
  <c r="DC215" i="1"/>
  <c r="DD215" i="1"/>
  <c r="DE215" i="1"/>
  <c r="DF215" i="1"/>
  <c r="DC216" i="1"/>
  <c r="DD216" i="1"/>
  <c r="DE216" i="1"/>
  <c r="DF216" i="1"/>
  <c r="DC217" i="1"/>
  <c r="DD217" i="1"/>
  <c r="DE217" i="1"/>
  <c r="DF217" i="1"/>
  <c r="DC218" i="1"/>
  <c r="DD218" i="1"/>
  <c r="DE218" i="1"/>
  <c r="DF218" i="1"/>
  <c r="DC219" i="1"/>
  <c r="DD219" i="1"/>
  <c r="DE219" i="1"/>
  <c r="DF219" i="1"/>
  <c r="DC220" i="1"/>
  <c r="DD220" i="1"/>
  <c r="DE220" i="1"/>
  <c r="DF220" i="1"/>
  <c r="DC221" i="1"/>
  <c r="DD221" i="1"/>
  <c r="DE221" i="1"/>
  <c r="DF221" i="1"/>
  <c r="DC222" i="1"/>
  <c r="DD222" i="1"/>
  <c r="DE222" i="1"/>
  <c r="DF222" i="1"/>
  <c r="DC223" i="1"/>
  <c r="DD223" i="1"/>
  <c r="DE223" i="1"/>
  <c r="DF223" i="1"/>
  <c r="DC224" i="1"/>
  <c r="DD224" i="1"/>
  <c r="DE224" i="1"/>
  <c r="DF224" i="1"/>
  <c r="DC225" i="1"/>
  <c r="DD225" i="1"/>
  <c r="DE225" i="1"/>
  <c r="DF225" i="1"/>
  <c r="DC226" i="1"/>
  <c r="DD226" i="1"/>
  <c r="DE226" i="1"/>
  <c r="DF226" i="1"/>
  <c r="DC227" i="1"/>
  <c r="DD227" i="1"/>
  <c r="DE227" i="1"/>
  <c r="DF227" i="1"/>
  <c r="DC228" i="1"/>
  <c r="DD228" i="1"/>
  <c r="DE228" i="1"/>
  <c r="DF228" i="1"/>
  <c r="DC229" i="1"/>
  <c r="DD229" i="1"/>
  <c r="DE229" i="1"/>
  <c r="DF229" i="1"/>
  <c r="DC230" i="1"/>
  <c r="DD230" i="1"/>
  <c r="DE230" i="1"/>
  <c r="DF230" i="1"/>
  <c r="DC231" i="1"/>
  <c r="DD231" i="1"/>
  <c r="DE231" i="1"/>
  <c r="DF231" i="1"/>
  <c r="DC232" i="1"/>
  <c r="DD232" i="1"/>
  <c r="DE232" i="1"/>
  <c r="DF232" i="1"/>
  <c r="DC233" i="1"/>
  <c r="DD233" i="1"/>
  <c r="DE233" i="1"/>
  <c r="DF233" i="1"/>
  <c r="DC234" i="1"/>
  <c r="DD234" i="1"/>
  <c r="DE234" i="1"/>
  <c r="DF234" i="1"/>
  <c r="DC235" i="1"/>
  <c r="DD235" i="1"/>
  <c r="DE235" i="1"/>
  <c r="DF235" i="1"/>
  <c r="DC236" i="1"/>
  <c r="DD236" i="1"/>
  <c r="DE236" i="1"/>
  <c r="DF236" i="1"/>
  <c r="DC237" i="1"/>
  <c r="DD237" i="1"/>
  <c r="DE237" i="1"/>
  <c r="DF237" i="1"/>
  <c r="DC238" i="1"/>
  <c r="DD238" i="1"/>
  <c r="DE238" i="1"/>
  <c r="DF238" i="1"/>
  <c r="DC239" i="1"/>
  <c r="DD239" i="1"/>
  <c r="DE239" i="1"/>
  <c r="DF239" i="1"/>
  <c r="DC240" i="1"/>
  <c r="DD240" i="1"/>
  <c r="DE240" i="1"/>
  <c r="DF240" i="1"/>
  <c r="DC241" i="1"/>
  <c r="DD241" i="1"/>
  <c r="DE241" i="1"/>
  <c r="DF241" i="1"/>
  <c r="DC242" i="1"/>
  <c r="DD242" i="1"/>
  <c r="DE242" i="1"/>
  <c r="DF242" i="1"/>
  <c r="DC243" i="1"/>
  <c r="DD243" i="1"/>
  <c r="DE243" i="1"/>
  <c r="DF243" i="1"/>
  <c r="DC244" i="1"/>
  <c r="DD244" i="1"/>
  <c r="DE244" i="1"/>
  <c r="DF244" i="1"/>
  <c r="DC245" i="1"/>
  <c r="DD245" i="1"/>
  <c r="DE245" i="1"/>
  <c r="DF245" i="1"/>
  <c r="DC246" i="1"/>
  <c r="DD246" i="1"/>
  <c r="DE246" i="1"/>
  <c r="DF246" i="1"/>
  <c r="DC247" i="1"/>
  <c r="DD247" i="1"/>
  <c r="DE247" i="1"/>
  <c r="DF247" i="1"/>
  <c r="DC248" i="1"/>
  <c r="DD248" i="1"/>
  <c r="DE248" i="1"/>
  <c r="DF248" i="1"/>
  <c r="DC249" i="1"/>
  <c r="DD249" i="1"/>
  <c r="DE249" i="1"/>
  <c r="DF249" i="1"/>
  <c r="DC250" i="1"/>
  <c r="DD250" i="1"/>
  <c r="DE250" i="1"/>
  <c r="DF250" i="1"/>
  <c r="DC251" i="1"/>
  <c r="DD251" i="1"/>
  <c r="DE251" i="1"/>
  <c r="DF251" i="1"/>
  <c r="DC252" i="1"/>
  <c r="DD252" i="1"/>
  <c r="DE252" i="1"/>
  <c r="DF252" i="1"/>
  <c r="DC253" i="1"/>
  <c r="DD253" i="1"/>
  <c r="DE253" i="1"/>
  <c r="DF253" i="1"/>
  <c r="DC254" i="1"/>
  <c r="DD254" i="1"/>
  <c r="DE254" i="1"/>
  <c r="DF254" i="1"/>
  <c r="DC255" i="1"/>
  <c r="DD255" i="1"/>
  <c r="DE255" i="1"/>
  <c r="DF255" i="1"/>
  <c r="DC256" i="1"/>
  <c r="DD256" i="1"/>
  <c r="DE256" i="1"/>
  <c r="DF256" i="1"/>
  <c r="DC257" i="1"/>
  <c r="DD257" i="1"/>
  <c r="DE257" i="1"/>
  <c r="DF257" i="1"/>
  <c r="DC258" i="1"/>
  <c r="DD258" i="1"/>
  <c r="DE258" i="1"/>
  <c r="DF258" i="1"/>
  <c r="DC259" i="1"/>
  <c r="DD259" i="1"/>
  <c r="DE259" i="1"/>
  <c r="DF259" i="1"/>
  <c r="DC260" i="1"/>
  <c r="DD260" i="1"/>
  <c r="DE260" i="1"/>
  <c r="DF260" i="1"/>
  <c r="DC261" i="1"/>
  <c r="DD261" i="1"/>
  <c r="DE261" i="1"/>
  <c r="DF261" i="1"/>
  <c r="DC262" i="1"/>
  <c r="DD262" i="1"/>
  <c r="DE262" i="1"/>
  <c r="DF262" i="1"/>
  <c r="DC263" i="1"/>
  <c r="DD263" i="1"/>
  <c r="DE263" i="1"/>
  <c r="DF263" i="1"/>
  <c r="DC264" i="1"/>
  <c r="DD264" i="1"/>
  <c r="DE264" i="1"/>
  <c r="DF264" i="1"/>
  <c r="DC265" i="1"/>
  <c r="DD265" i="1"/>
  <c r="DE265" i="1"/>
  <c r="DF265" i="1"/>
  <c r="DC266" i="1"/>
  <c r="DD266" i="1"/>
  <c r="DE266" i="1"/>
  <c r="DF266" i="1"/>
  <c r="DC267" i="1"/>
  <c r="DD267" i="1"/>
  <c r="DE267" i="1"/>
  <c r="DF267" i="1"/>
  <c r="DC268" i="1"/>
  <c r="DD268" i="1"/>
  <c r="DE268" i="1"/>
  <c r="DF268" i="1"/>
  <c r="DC269" i="1"/>
  <c r="DD269" i="1"/>
  <c r="DE269" i="1"/>
  <c r="DF269" i="1"/>
  <c r="DC270" i="1"/>
  <c r="DD270" i="1"/>
  <c r="DE270" i="1"/>
  <c r="DF270" i="1"/>
  <c r="DC271" i="1"/>
  <c r="DD271" i="1"/>
  <c r="DE271" i="1"/>
  <c r="DF271" i="1"/>
  <c r="DC272" i="1"/>
  <c r="DD272" i="1"/>
  <c r="DE272" i="1"/>
  <c r="DF272" i="1"/>
  <c r="DC273" i="1"/>
  <c r="DD273" i="1"/>
  <c r="DE273" i="1"/>
  <c r="DF273" i="1"/>
  <c r="DC274" i="1"/>
  <c r="DD274" i="1"/>
  <c r="DE274" i="1"/>
  <c r="DF274" i="1"/>
  <c r="DC275" i="1"/>
  <c r="DD275" i="1"/>
  <c r="DE275" i="1"/>
  <c r="DF275" i="1"/>
  <c r="DC276" i="1"/>
  <c r="DD276" i="1"/>
  <c r="DE276" i="1"/>
  <c r="DF276" i="1"/>
  <c r="DC277" i="1"/>
  <c r="DD277" i="1"/>
  <c r="DE277" i="1"/>
  <c r="DF277" i="1"/>
  <c r="DC278" i="1"/>
  <c r="DD278" i="1"/>
  <c r="DE278" i="1"/>
  <c r="DF278" i="1"/>
  <c r="DC279" i="1"/>
  <c r="DD279" i="1"/>
  <c r="DE279" i="1"/>
  <c r="DF279" i="1"/>
  <c r="DC280" i="1"/>
  <c r="DD280" i="1"/>
  <c r="DE280" i="1"/>
  <c r="DF280" i="1"/>
  <c r="DC281" i="1"/>
  <c r="DD281" i="1"/>
  <c r="DE281" i="1"/>
  <c r="DF281" i="1"/>
  <c r="DC282" i="1"/>
  <c r="DD282" i="1"/>
  <c r="DE282" i="1"/>
  <c r="DF282" i="1"/>
  <c r="DC283" i="1"/>
  <c r="DD283" i="1"/>
  <c r="DE283" i="1"/>
  <c r="DF283" i="1"/>
  <c r="DC284" i="1"/>
  <c r="DD284" i="1"/>
  <c r="DE284" i="1"/>
  <c r="DF284" i="1"/>
  <c r="DC285" i="1"/>
  <c r="DD285" i="1"/>
  <c r="DE285" i="1"/>
  <c r="DF285" i="1"/>
  <c r="DC286" i="1"/>
  <c r="DD286" i="1"/>
  <c r="DE286" i="1"/>
  <c r="DF286" i="1"/>
  <c r="DC287" i="1"/>
  <c r="DD287" i="1"/>
  <c r="DE287" i="1"/>
  <c r="DF287" i="1"/>
  <c r="DC288" i="1"/>
  <c r="DD288" i="1"/>
  <c r="DE288" i="1"/>
  <c r="DF288" i="1"/>
  <c r="DC289" i="1"/>
  <c r="DD289" i="1"/>
  <c r="DE289" i="1"/>
  <c r="DF289" i="1"/>
  <c r="DC290" i="1"/>
  <c r="DD290" i="1"/>
  <c r="DE290" i="1"/>
  <c r="DF290" i="1"/>
  <c r="DC291" i="1"/>
  <c r="DD291" i="1"/>
  <c r="DE291" i="1"/>
  <c r="DF291" i="1"/>
  <c r="DC292" i="1"/>
  <c r="DD292" i="1"/>
  <c r="DE292" i="1"/>
  <c r="DF292" i="1"/>
  <c r="DC293" i="1"/>
  <c r="DD293" i="1"/>
  <c r="DE293" i="1"/>
  <c r="DF293" i="1"/>
  <c r="DC294" i="1"/>
  <c r="DD294" i="1"/>
  <c r="DE294" i="1"/>
  <c r="DF294" i="1"/>
  <c r="DC295" i="1"/>
  <c r="DD295" i="1"/>
  <c r="DE295" i="1"/>
  <c r="DF295" i="1"/>
  <c r="DC296" i="1"/>
  <c r="DD296" i="1"/>
  <c r="DE296" i="1"/>
  <c r="DF296" i="1"/>
  <c r="DC297" i="1"/>
  <c r="DD297" i="1"/>
  <c r="DE297" i="1"/>
  <c r="DF297" i="1"/>
  <c r="DC298" i="1"/>
  <c r="DD298" i="1"/>
  <c r="DE298" i="1"/>
  <c r="DF298" i="1"/>
  <c r="DC299" i="1"/>
  <c r="DD299" i="1"/>
  <c r="DE299" i="1"/>
  <c r="DF299" i="1"/>
  <c r="DC300" i="1"/>
  <c r="DD300" i="1"/>
  <c r="DE300" i="1"/>
  <c r="DF300" i="1"/>
  <c r="DC301" i="1"/>
  <c r="DD301" i="1"/>
  <c r="DE301" i="1"/>
  <c r="DF301" i="1"/>
  <c r="DC302" i="1"/>
  <c r="DD302" i="1"/>
  <c r="DE302" i="1"/>
  <c r="DF302" i="1"/>
  <c r="DC303" i="1"/>
  <c r="DD303" i="1"/>
  <c r="DE303" i="1"/>
  <c r="DF303" i="1"/>
  <c r="DC304" i="1"/>
  <c r="DD304" i="1"/>
  <c r="DE304" i="1"/>
  <c r="DF304" i="1"/>
  <c r="DC305" i="1"/>
  <c r="DD305" i="1"/>
  <c r="DE305" i="1"/>
  <c r="DF305" i="1"/>
  <c r="DC306" i="1"/>
  <c r="DD306" i="1"/>
  <c r="DE306" i="1"/>
  <c r="DF306" i="1"/>
  <c r="DC307" i="1"/>
  <c r="DD307" i="1"/>
  <c r="DE307" i="1"/>
  <c r="DF307" i="1"/>
  <c r="DC308" i="1"/>
  <c r="DD308" i="1"/>
  <c r="DE308" i="1"/>
  <c r="DF308" i="1"/>
  <c r="DC309" i="1"/>
  <c r="DD309" i="1"/>
  <c r="DE309" i="1"/>
  <c r="DF309" i="1"/>
  <c r="DC310" i="1"/>
  <c r="DD310" i="1"/>
  <c r="DE310" i="1"/>
  <c r="DF310" i="1"/>
  <c r="DC311" i="1"/>
  <c r="DD311" i="1"/>
  <c r="DE311" i="1"/>
  <c r="DF311" i="1"/>
  <c r="DC312" i="1"/>
  <c r="DD312" i="1"/>
  <c r="DE312" i="1"/>
  <c r="DF312" i="1"/>
  <c r="DC313" i="1"/>
  <c r="DD313" i="1"/>
  <c r="DE313" i="1"/>
  <c r="DF313" i="1"/>
  <c r="DC314" i="1"/>
  <c r="DD314" i="1"/>
  <c r="DE314" i="1"/>
  <c r="DF314" i="1"/>
  <c r="DC315" i="1"/>
  <c r="DD315" i="1"/>
  <c r="DE315" i="1"/>
  <c r="DF315" i="1"/>
  <c r="DC316" i="1"/>
  <c r="DD316" i="1"/>
  <c r="DE316" i="1"/>
  <c r="DF316" i="1"/>
  <c r="DC317" i="1"/>
  <c r="DD317" i="1"/>
  <c r="DE317" i="1"/>
  <c r="DF317" i="1"/>
  <c r="DC318" i="1"/>
  <c r="DD318" i="1"/>
  <c r="DE318" i="1"/>
  <c r="DF318" i="1"/>
  <c r="DC319" i="1"/>
  <c r="DD319" i="1"/>
  <c r="DE319" i="1"/>
  <c r="DF319" i="1"/>
  <c r="DC320" i="1"/>
  <c r="DD320" i="1"/>
  <c r="DE320" i="1"/>
  <c r="DF320" i="1"/>
  <c r="DC321" i="1"/>
  <c r="DD321" i="1"/>
  <c r="DE321" i="1"/>
  <c r="DF321" i="1"/>
  <c r="DC322" i="1"/>
  <c r="DD322" i="1"/>
  <c r="DE322" i="1"/>
  <c r="DF322" i="1"/>
  <c r="DC323" i="1"/>
  <c r="DD323" i="1"/>
  <c r="DE323" i="1"/>
  <c r="DF323" i="1"/>
  <c r="DC324" i="1"/>
  <c r="DD324" i="1"/>
  <c r="DE324" i="1"/>
  <c r="DF324" i="1"/>
  <c r="DC325" i="1"/>
  <c r="DD325" i="1"/>
  <c r="DE325" i="1"/>
  <c r="DF325" i="1"/>
  <c r="DC326" i="1"/>
  <c r="DD326" i="1"/>
  <c r="DE326" i="1"/>
  <c r="DF326" i="1"/>
  <c r="DC327" i="1"/>
  <c r="DD327" i="1"/>
  <c r="DE327" i="1"/>
  <c r="DF327" i="1"/>
  <c r="DC328" i="1"/>
  <c r="DD328" i="1"/>
  <c r="DE328" i="1"/>
  <c r="DF328" i="1"/>
  <c r="DC329" i="1"/>
  <c r="DD329" i="1"/>
  <c r="DE329" i="1"/>
  <c r="DF329" i="1"/>
  <c r="DC330" i="1"/>
  <c r="DD330" i="1"/>
  <c r="DE330" i="1"/>
  <c r="DF330" i="1"/>
  <c r="DC331" i="1"/>
  <c r="DD331" i="1"/>
  <c r="DE331" i="1"/>
  <c r="DF331" i="1"/>
  <c r="DC332" i="1"/>
  <c r="DD332" i="1"/>
  <c r="DE332" i="1"/>
  <c r="DF332" i="1"/>
  <c r="DC333" i="1"/>
  <c r="DD333" i="1"/>
  <c r="DE333" i="1"/>
  <c r="DF333" i="1"/>
  <c r="DC334" i="1"/>
  <c r="DD334" i="1"/>
  <c r="DE334" i="1"/>
  <c r="DF334" i="1"/>
  <c r="DC335" i="1"/>
  <c r="DD335" i="1"/>
  <c r="DE335" i="1"/>
  <c r="DF335" i="1"/>
  <c r="DC336" i="1"/>
  <c r="DD336" i="1"/>
  <c r="DE336" i="1"/>
  <c r="DF336" i="1"/>
  <c r="DC337" i="1"/>
  <c r="DD337" i="1"/>
  <c r="DE337" i="1"/>
  <c r="DF337" i="1"/>
  <c r="DC338" i="1"/>
  <c r="DD338" i="1"/>
  <c r="DE338" i="1"/>
  <c r="DF338" i="1"/>
  <c r="DC339" i="1"/>
  <c r="DD339" i="1"/>
  <c r="DE339" i="1"/>
  <c r="DF339" i="1"/>
  <c r="DC340" i="1"/>
  <c r="DD340" i="1"/>
  <c r="DE340" i="1"/>
  <c r="DF340" i="1"/>
  <c r="DC341" i="1"/>
  <c r="DD341" i="1"/>
  <c r="DE341" i="1"/>
  <c r="DF341" i="1"/>
  <c r="DC342" i="1"/>
  <c r="DD342" i="1"/>
  <c r="DE342" i="1"/>
  <c r="DF342" i="1"/>
  <c r="DC343" i="1"/>
  <c r="DD343" i="1"/>
  <c r="DE343" i="1"/>
  <c r="DF343" i="1"/>
  <c r="DC344" i="1"/>
  <c r="DD344" i="1"/>
  <c r="DE344" i="1"/>
  <c r="DF344" i="1"/>
  <c r="DC345" i="1"/>
  <c r="DD345" i="1"/>
  <c r="DE345" i="1"/>
  <c r="DF345" i="1"/>
  <c r="DC346" i="1"/>
  <c r="DD346" i="1"/>
  <c r="DE346" i="1"/>
  <c r="DF346" i="1"/>
  <c r="DC347" i="1"/>
  <c r="DD347" i="1"/>
  <c r="DE347" i="1"/>
  <c r="DF347" i="1"/>
  <c r="DC348" i="1"/>
  <c r="DD348" i="1"/>
  <c r="DE348" i="1"/>
  <c r="DF348" i="1"/>
  <c r="DC349" i="1"/>
  <c r="DD349" i="1"/>
  <c r="DE349" i="1"/>
  <c r="DF349" i="1"/>
  <c r="DC350" i="1"/>
  <c r="DD350" i="1"/>
  <c r="DE350" i="1"/>
  <c r="DF350" i="1"/>
  <c r="DC351" i="1"/>
  <c r="DD351" i="1"/>
  <c r="DE351" i="1"/>
  <c r="DF351" i="1"/>
  <c r="DC352" i="1"/>
  <c r="DD352" i="1"/>
  <c r="DE352" i="1"/>
  <c r="DF352" i="1"/>
  <c r="DC353" i="1"/>
  <c r="DD353" i="1"/>
  <c r="DE353" i="1"/>
  <c r="DF353" i="1"/>
  <c r="DC354" i="1"/>
  <c r="DD354" i="1"/>
  <c r="DE354" i="1"/>
  <c r="DF354" i="1"/>
  <c r="DC355" i="1"/>
  <c r="DD355" i="1"/>
  <c r="DE355" i="1"/>
  <c r="DF355" i="1"/>
  <c r="DC356" i="1"/>
  <c r="DD356" i="1"/>
  <c r="DE356" i="1"/>
  <c r="DF356" i="1"/>
  <c r="DC357" i="1"/>
  <c r="DD357" i="1"/>
  <c r="DE357" i="1"/>
  <c r="DF357" i="1"/>
  <c r="DC358" i="1"/>
  <c r="DD358" i="1"/>
  <c r="DE358" i="1"/>
  <c r="DF358" i="1"/>
  <c r="DC359" i="1"/>
  <c r="DD359" i="1"/>
  <c r="DE359" i="1"/>
  <c r="DF359" i="1"/>
  <c r="DC360" i="1"/>
  <c r="DD360" i="1"/>
  <c r="DE360" i="1"/>
  <c r="DF360" i="1"/>
  <c r="DC361" i="1"/>
  <c r="DD361" i="1"/>
  <c r="DE361" i="1"/>
  <c r="DF361" i="1"/>
  <c r="DC362" i="1"/>
  <c r="DD362" i="1"/>
  <c r="DE362" i="1"/>
  <c r="DF362" i="1"/>
  <c r="DC363" i="1"/>
  <c r="DD363" i="1"/>
  <c r="DE363" i="1"/>
  <c r="DF363" i="1"/>
  <c r="DC364" i="1"/>
  <c r="DD364" i="1"/>
  <c r="DE364" i="1"/>
  <c r="DF364" i="1"/>
  <c r="DC365" i="1"/>
  <c r="DD365" i="1"/>
  <c r="DE365" i="1"/>
  <c r="DF365" i="1"/>
  <c r="DC366" i="1"/>
  <c r="DD366" i="1"/>
  <c r="DE366" i="1"/>
  <c r="DF366" i="1"/>
  <c r="DC367" i="1"/>
  <c r="DD367" i="1"/>
  <c r="DE367" i="1"/>
  <c r="DF367" i="1"/>
  <c r="DD9" i="1"/>
  <c r="DE9" i="1"/>
  <c r="DF9" i="1"/>
  <c r="DC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A205" i="1"/>
  <c r="DA206" i="1"/>
  <c r="DA207" i="1"/>
  <c r="DA208" i="1"/>
  <c r="DA209" i="1"/>
  <c r="DA210" i="1"/>
  <c r="DA211" i="1"/>
  <c r="DA212" i="1"/>
  <c r="DA213" i="1"/>
  <c r="DA214" i="1"/>
  <c r="DA215" i="1"/>
  <c r="DA216" i="1"/>
  <c r="DA217" i="1"/>
  <c r="DA218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0" i="1"/>
  <c r="DA241" i="1"/>
  <c r="DA242" i="1"/>
  <c r="DA243" i="1"/>
  <c r="DA244" i="1"/>
  <c r="DA245" i="1"/>
  <c r="DA246" i="1"/>
  <c r="DA247" i="1"/>
  <c r="DA248" i="1"/>
  <c r="DA249" i="1"/>
  <c r="DA250" i="1"/>
  <c r="DA251" i="1"/>
  <c r="DA252" i="1"/>
  <c r="DA253" i="1"/>
  <c r="DA254" i="1"/>
  <c r="DA255" i="1"/>
  <c r="DA256" i="1"/>
  <c r="DA257" i="1"/>
  <c r="DA258" i="1"/>
  <c r="DA259" i="1"/>
  <c r="DA260" i="1"/>
  <c r="DA261" i="1"/>
  <c r="DA262" i="1"/>
  <c r="DA263" i="1"/>
  <c r="DA264" i="1"/>
  <c r="DA265" i="1"/>
  <c r="DA266" i="1"/>
  <c r="DA267" i="1"/>
  <c r="DA268" i="1"/>
  <c r="DA269" i="1"/>
  <c r="DA270" i="1"/>
  <c r="DA271" i="1"/>
  <c r="DA272" i="1"/>
  <c r="DA273" i="1"/>
  <c r="DA274" i="1"/>
  <c r="DA275" i="1"/>
  <c r="DA276" i="1"/>
  <c r="DA277" i="1"/>
  <c r="DA278" i="1"/>
  <c r="DA279" i="1"/>
  <c r="DA280" i="1"/>
  <c r="DA281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4" i="1"/>
  <c r="DA295" i="1"/>
  <c r="DA296" i="1"/>
  <c r="DA297" i="1"/>
  <c r="DA298" i="1"/>
  <c r="DA299" i="1"/>
  <c r="DA300" i="1"/>
  <c r="DA301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4" i="1"/>
  <c r="DA315" i="1"/>
  <c r="DA316" i="1"/>
  <c r="DA317" i="1"/>
  <c r="DA318" i="1"/>
  <c r="DA319" i="1"/>
  <c r="DA320" i="1"/>
  <c r="DA321" i="1"/>
  <c r="DA322" i="1"/>
  <c r="DA323" i="1"/>
  <c r="DA324" i="1"/>
  <c r="DA325" i="1"/>
  <c r="DA326" i="1"/>
  <c r="DA327" i="1"/>
  <c r="DA328" i="1"/>
  <c r="DA329" i="1"/>
  <c r="DA330" i="1"/>
  <c r="DA331" i="1"/>
  <c r="DA332" i="1"/>
  <c r="DA333" i="1"/>
  <c r="DA334" i="1"/>
  <c r="DA335" i="1"/>
  <c r="DA336" i="1"/>
  <c r="DA337" i="1"/>
  <c r="DA338" i="1"/>
  <c r="DA339" i="1"/>
  <c r="DA340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354" i="1"/>
  <c r="DA355" i="1"/>
  <c r="DA356" i="1"/>
  <c r="DA357" i="1"/>
  <c r="DA358" i="1"/>
  <c r="DA359" i="1"/>
  <c r="DA360" i="1"/>
  <c r="DA361" i="1"/>
  <c r="DA362" i="1"/>
  <c r="DA363" i="1"/>
  <c r="DA364" i="1"/>
  <c r="DA365" i="1"/>
  <c r="DA366" i="1"/>
  <c r="DA367" i="1"/>
  <c r="DA9" i="1"/>
  <c r="DW10" i="1" l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3" i="1"/>
  <c r="DW54" i="1"/>
  <c r="DW55" i="1"/>
  <c r="DW56" i="1"/>
  <c r="DW57" i="1"/>
  <c r="DW58" i="1"/>
  <c r="DW59" i="1"/>
  <c r="DW60" i="1"/>
  <c r="DW61" i="1"/>
  <c r="DW62" i="1"/>
  <c r="DW63" i="1"/>
  <c r="DW64" i="1"/>
  <c r="DW65" i="1"/>
  <c r="DW66" i="1"/>
  <c r="DW67" i="1"/>
  <c r="DW68" i="1"/>
  <c r="DW69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120" i="1"/>
  <c r="DW121" i="1"/>
  <c r="DW122" i="1"/>
  <c r="DW123" i="1"/>
  <c r="DW124" i="1"/>
  <c r="DW125" i="1"/>
  <c r="DW126" i="1"/>
  <c r="DW127" i="1"/>
  <c r="DW128" i="1"/>
  <c r="DW129" i="1"/>
  <c r="DW130" i="1"/>
  <c r="DW131" i="1"/>
  <c r="DW132" i="1"/>
  <c r="DW133" i="1"/>
  <c r="DW134" i="1"/>
  <c r="DW135" i="1"/>
  <c r="DW136" i="1"/>
  <c r="DW137" i="1"/>
  <c r="DW138" i="1"/>
  <c r="DW139" i="1"/>
  <c r="DW140" i="1"/>
  <c r="DW141" i="1"/>
  <c r="DW142" i="1"/>
  <c r="DW143" i="1"/>
  <c r="DW144" i="1"/>
  <c r="DW145" i="1"/>
  <c r="DW146" i="1"/>
  <c r="DW147" i="1"/>
  <c r="DW148" i="1"/>
  <c r="DW149" i="1"/>
  <c r="DW150" i="1"/>
  <c r="DW151" i="1"/>
  <c r="DW152" i="1"/>
  <c r="DW153" i="1"/>
  <c r="DW154" i="1"/>
  <c r="DW155" i="1"/>
  <c r="DW156" i="1"/>
  <c r="DW157" i="1"/>
  <c r="DW158" i="1"/>
  <c r="DW159" i="1"/>
  <c r="DW160" i="1"/>
  <c r="DW161" i="1"/>
  <c r="DW162" i="1"/>
  <c r="DW163" i="1"/>
  <c r="DW164" i="1"/>
  <c r="DW165" i="1"/>
  <c r="DW166" i="1"/>
  <c r="DW167" i="1"/>
  <c r="DW168" i="1"/>
  <c r="DW169" i="1"/>
  <c r="DW170" i="1"/>
  <c r="DW171" i="1"/>
  <c r="DW172" i="1"/>
  <c r="DW173" i="1"/>
  <c r="DW174" i="1"/>
  <c r="DW175" i="1"/>
  <c r="DW176" i="1"/>
  <c r="DW177" i="1"/>
  <c r="DW178" i="1"/>
  <c r="DW179" i="1"/>
  <c r="DW180" i="1"/>
  <c r="DW181" i="1"/>
  <c r="DW182" i="1"/>
  <c r="DW183" i="1"/>
  <c r="DW184" i="1"/>
  <c r="DW185" i="1"/>
  <c r="DW186" i="1"/>
  <c r="DW187" i="1"/>
  <c r="DW188" i="1"/>
  <c r="DW189" i="1"/>
  <c r="DW190" i="1"/>
  <c r="DW191" i="1"/>
  <c r="DW192" i="1"/>
  <c r="DW193" i="1"/>
  <c r="DW194" i="1"/>
  <c r="DW195" i="1"/>
  <c r="DW196" i="1"/>
  <c r="DW197" i="1"/>
  <c r="DW198" i="1"/>
  <c r="DW199" i="1"/>
  <c r="DW200" i="1"/>
  <c r="DW201" i="1"/>
  <c r="DW202" i="1"/>
  <c r="DW203" i="1"/>
  <c r="DW204" i="1"/>
  <c r="DW205" i="1"/>
  <c r="DW206" i="1"/>
  <c r="DW207" i="1"/>
  <c r="DW208" i="1"/>
  <c r="DW209" i="1"/>
  <c r="DW210" i="1"/>
  <c r="DW211" i="1"/>
  <c r="DW212" i="1"/>
  <c r="DW213" i="1"/>
  <c r="DW214" i="1"/>
  <c r="DW215" i="1"/>
  <c r="DW216" i="1"/>
  <c r="DW217" i="1"/>
  <c r="DW218" i="1"/>
  <c r="DW219" i="1"/>
  <c r="DW220" i="1"/>
  <c r="DW221" i="1"/>
  <c r="DW222" i="1"/>
  <c r="DW223" i="1"/>
  <c r="DW224" i="1"/>
  <c r="DW225" i="1"/>
  <c r="DW226" i="1"/>
  <c r="DW227" i="1"/>
  <c r="DW228" i="1"/>
  <c r="DW229" i="1"/>
  <c r="DW230" i="1"/>
  <c r="DW231" i="1"/>
  <c r="DW232" i="1"/>
  <c r="DW233" i="1"/>
  <c r="DW234" i="1"/>
  <c r="DW235" i="1"/>
  <c r="DW236" i="1"/>
  <c r="DW237" i="1"/>
  <c r="DW238" i="1"/>
  <c r="DW239" i="1"/>
  <c r="DW240" i="1"/>
  <c r="DW241" i="1"/>
  <c r="DW242" i="1"/>
  <c r="DW243" i="1"/>
  <c r="DW244" i="1"/>
  <c r="DW245" i="1"/>
  <c r="DW246" i="1"/>
  <c r="DW247" i="1"/>
  <c r="DW248" i="1"/>
  <c r="DW249" i="1"/>
  <c r="DW250" i="1"/>
  <c r="DW251" i="1"/>
  <c r="DW252" i="1"/>
  <c r="DW253" i="1"/>
  <c r="DW254" i="1"/>
  <c r="DW255" i="1"/>
  <c r="DW256" i="1"/>
  <c r="DW257" i="1"/>
  <c r="DW258" i="1"/>
  <c r="DW259" i="1"/>
  <c r="DW260" i="1"/>
  <c r="DW261" i="1"/>
  <c r="DW262" i="1"/>
  <c r="DW263" i="1"/>
  <c r="DW264" i="1"/>
  <c r="DW265" i="1"/>
  <c r="DW266" i="1"/>
  <c r="DW267" i="1"/>
  <c r="DW268" i="1"/>
  <c r="DW269" i="1"/>
  <c r="DW270" i="1"/>
  <c r="DW271" i="1"/>
  <c r="DW272" i="1"/>
  <c r="DW273" i="1"/>
  <c r="DW274" i="1"/>
  <c r="DW275" i="1"/>
  <c r="DW276" i="1"/>
  <c r="DW277" i="1"/>
  <c r="DW278" i="1"/>
  <c r="DW279" i="1"/>
  <c r="DW280" i="1"/>
  <c r="DW281" i="1"/>
  <c r="DW282" i="1"/>
  <c r="DW283" i="1"/>
  <c r="DW284" i="1"/>
  <c r="DW285" i="1"/>
  <c r="DW286" i="1"/>
  <c r="DW287" i="1"/>
  <c r="DW288" i="1"/>
  <c r="DW289" i="1"/>
  <c r="DW290" i="1"/>
  <c r="DW291" i="1"/>
  <c r="DW292" i="1"/>
  <c r="DW293" i="1"/>
  <c r="DW294" i="1"/>
  <c r="DW295" i="1"/>
  <c r="DW296" i="1"/>
  <c r="DW297" i="1"/>
  <c r="DW298" i="1"/>
  <c r="DW299" i="1"/>
  <c r="DW300" i="1"/>
  <c r="DW301" i="1"/>
  <c r="DW302" i="1"/>
  <c r="DW303" i="1"/>
  <c r="DW304" i="1"/>
  <c r="DW305" i="1"/>
  <c r="DW306" i="1"/>
  <c r="DW307" i="1"/>
  <c r="DW308" i="1"/>
  <c r="DW309" i="1"/>
  <c r="DW310" i="1"/>
  <c r="DW311" i="1"/>
  <c r="DW312" i="1"/>
  <c r="DW313" i="1"/>
  <c r="DW314" i="1"/>
  <c r="DW315" i="1"/>
  <c r="DW316" i="1"/>
  <c r="DW317" i="1"/>
  <c r="DW318" i="1"/>
  <c r="DW319" i="1"/>
  <c r="DW320" i="1"/>
  <c r="DW321" i="1"/>
  <c r="DW322" i="1"/>
  <c r="DW323" i="1"/>
  <c r="DW324" i="1"/>
  <c r="DW325" i="1"/>
  <c r="DW326" i="1"/>
  <c r="DW327" i="1"/>
  <c r="DW328" i="1"/>
  <c r="DW329" i="1"/>
  <c r="DW330" i="1"/>
  <c r="DW331" i="1"/>
  <c r="DW332" i="1"/>
  <c r="DW333" i="1"/>
  <c r="DW334" i="1"/>
  <c r="DW335" i="1"/>
  <c r="DW336" i="1"/>
  <c r="DW337" i="1"/>
  <c r="DW338" i="1"/>
  <c r="DW339" i="1"/>
  <c r="DW340" i="1"/>
  <c r="DW341" i="1"/>
  <c r="DW342" i="1"/>
  <c r="DW343" i="1"/>
  <c r="DW344" i="1"/>
  <c r="DW345" i="1"/>
  <c r="DW346" i="1"/>
  <c r="DW347" i="1"/>
  <c r="DW348" i="1"/>
  <c r="DW349" i="1"/>
  <c r="DW350" i="1"/>
  <c r="DW351" i="1"/>
  <c r="DW352" i="1"/>
  <c r="DW353" i="1"/>
  <c r="DW354" i="1"/>
  <c r="DW355" i="1"/>
  <c r="DW356" i="1"/>
  <c r="DW357" i="1"/>
  <c r="DW358" i="1"/>
  <c r="DW359" i="1"/>
  <c r="DW360" i="1"/>
  <c r="DW361" i="1"/>
  <c r="DW362" i="1"/>
  <c r="DW363" i="1"/>
  <c r="DW364" i="1"/>
  <c r="DW365" i="1"/>
  <c r="DW366" i="1"/>
  <c r="DW367" i="1"/>
  <c r="DW9" i="1"/>
  <c r="J3" i="4"/>
  <c r="DK372" i="4" l="1"/>
  <c r="DJ372" i="4"/>
  <c r="DI370" i="4"/>
  <c r="DF370" i="4"/>
  <c r="DC370" i="4"/>
  <c r="CZ370" i="4"/>
  <c r="CW370" i="4"/>
  <c r="CT370" i="4"/>
  <c r="CQ370" i="4"/>
  <c r="CN370" i="4"/>
  <c r="CM370" i="4"/>
  <c r="CL370" i="4"/>
  <c r="CK370" i="4"/>
  <c r="CJ370" i="4"/>
  <c r="CI370" i="4"/>
  <c r="CH370" i="4"/>
  <c r="CG370" i="4"/>
  <c r="CF370" i="4"/>
  <c r="CE370" i="4"/>
  <c r="CD370" i="4"/>
  <c r="CC370" i="4"/>
  <c r="CB370" i="4"/>
  <c r="CA370" i="4"/>
  <c r="BZ370" i="4"/>
  <c r="BY370" i="4"/>
  <c r="BX370" i="4"/>
  <c r="BW370" i="4"/>
  <c r="BV370" i="4"/>
  <c r="BU370" i="4"/>
  <c r="BT370" i="4"/>
  <c r="BS370" i="4"/>
  <c r="DK369" i="4"/>
  <c r="DL369" i="4" s="1"/>
  <c r="DK368" i="4"/>
  <c r="DL368" i="4" s="1"/>
  <c r="DK367" i="4"/>
  <c r="DL367" i="4" s="1"/>
  <c r="DK366" i="4"/>
  <c r="DL366" i="4" s="1"/>
  <c r="DK365" i="4"/>
  <c r="DL365" i="4" s="1"/>
  <c r="DK364" i="4"/>
  <c r="DL364" i="4" s="1"/>
  <c r="DK363" i="4"/>
  <c r="DL363" i="4" s="1"/>
  <c r="DK362" i="4"/>
  <c r="DL362" i="4" s="1"/>
  <c r="DK361" i="4"/>
  <c r="DL361" i="4" s="1"/>
  <c r="DK360" i="4"/>
  <c r="DL360" i="4" s="1"/>
  <c r="DK359" i="4"/>
  <c r="DL359" i="4" s="1"/>
  <c r="DK358" i="4"/>
  <c r="DL358" i="4" s="1"/>
  <c r="DK357" i="4"/>
  <c r="DL357" i="4" s="1"/>
  <c r="DK356" i="4"/>
  <c r="DL356" i="4" s="1"/>
  <c r="DK355" i="4"/>
  <c r="DL355" i="4" s="1"/>
  <c r="DK354" i="4"/>
  <c r="DL354" i="4" s="1"/>
  <c r="DK353" i="4"/>
  <c r="DL353" i="4" s="1"/>
  <c r="DK352" i="4"/>
  <c r="DL352" i="4" s="1"/>
  <c r="DK351" i="4"/>
  <c r="DL351" i="4" s="1"/>
  <c r="DK350" i="4"/>
  <c r="DL350" i="4" s="1"/>
  <c r="DK349" i="4"/>
  <c r="DL349" i="4" s="1"/>
  <c r="DK348" i="4"/>
  <c r="DL348" i="4" s="1"/>
  <c r="DK347" i="4"/>
  <c r="DL347" i="4" s="1"/>
  <c r="DK346" i="4"/>
  <c r="DL346" i="4" s="1"/>
  <c r="DK345" i="4"/>
  <c r="DL345" i="4" s="1"/>
  <c r="DK344" i="4"/>
  <c r="DL344" i="4" s="1"/>
  <c r="DK343" i="4"/>
  <c r="DL343" i="4" s="1"/>
  <c r="DK342" i="4"/>
  <c r="DL342" i="4" s="1"/>
  <c r="DK341" i="4"/>
  <c r="DL341" i="4" s="1"/>
  <c r="DK340" i="4"/>
  <c r="DL340" i="4" s="1"/>
  <c r="DK339" i="4"/>
  <c r="DL339" i="4" s="1"/>
  <c r="DK338" i="4"/>
  <c r="DL338" i="4" s="1"/>
  <c r="DK337" i="4"/>
  <c r="DL337" i="4" s="1"/>
  <c r="DK336" i="4"/>
  <c r="DL336" i="4" s="1"/>
  <c r="DK335" i="4"/>
  <c r="DL335" i="4" s="1"/>
  <c r="DK334" i="4"/>
  <c r="DL334" i="4" s="1"/>
  <c r="DK333" i="4"/>
  <c r="DL333" i="4" s="1"/>
  <c r="DK332" i="4"/>
  <c r="DL332" i="4" s="1"/>
  <c r="DK331" i="4"/>
  <c r="DL331" i="4" s="1"/>
  <c r="DK330" i="4"/>
  <c r="DL330" i="4" s="1"/>
  <c r="DK329" i="4"/>
  <c r="DL329" i="4" s="1"/>
  <c r="DK328" i="4"/>
  <c r="DL328" i="4" s="1"/>
  <c r="DK327" i="4"/>
  <c r="DL327" i="4" s="1"/>
  <c r="DK326" i="4"/>
  <c r="DL326" i="4" s="1"/>
  <c r="DK325" i="4"/>
  <c r="DL325" i="4" s="1"/>
  <c r="DK324" i="4"/>
  <c r="DL324" i="4" s="1"/>
  <c r="DK323" i="4"/>
  <c r="DL323" i="4" s="1"/>
  <c r="DK322" i="4"/>
  <c r="DL322" i="4" s="1"/>
  <c r="DK321" i="4"/>
  <c r="DL321" i="4" s="1"/>
  <c r="DK320" i="4"/>
  <c r="DL320" i="4" s="1"/>
  <c r="DK319" i="4"/>
  <c r="DL319" i="4" s="1"/>
  <c r="DK318" i="4"/>
  <c r="DL318" i="4" s="1"/>
  <c r="DK317" i="4"/>
  <c r="DL317" i="4" s="1"/>
  <c r="DK316" i="4"/>
  <c r="DL316" i="4" s="1"/>
  <c r="DK315" i="4"/>
  <c r="DL315" i="4" s="1"/>
  <c r="DK314" i="4"/>
  <c r="DL314" i="4" s="1"/>
  <c r="DK313" i="4"/>
  <c r="DL313" i="4" s="1"/>
  <c r="DK312" i="4"/>
  <c r="DL312" i="4" s="1"/>
  <c r="DK311" i="4"/>
  <c r="DL311" i="4" s="1"/>
  <c r="DK310" i="4"/>
  <c r="DL310" i="4" s="1"/>
  <c r="DK309" i="4"/>
  <c r="DL309" i="4" s="1"/>
  <c r="DK308" i="4"/>
  <c r="DL308" i="4" s="1"/>
  <c r="DK307" i="4"/>
  <c r="DL307" i="4" s="1"/>
  <c r="DK306" i="4"/>
  <c r="DL306" i="4" s="1"/>
  <c r="DK305" i="4"/>
  <c r="DL305" i="4" s="1"/>
  <c r="DK304" i="4"/>
  <c r="DL304" i="4" s="1"/>
  <c r="DK303" i="4"/>
  <c r="DL303" i="4" s="1"/>
  <c r="DK302" i="4"/>
  <c r="DL302" i="4" s="1"/>
  <c r="DK301" i="4"/>
  <c r="DL301" i="4" s="1"/>
  <c r="DK300" i="4"/>
  <c r="DL300" i="4" s="1"/>
  <c r="DK299" i="4"/>
  <c r="DL299" i="4" s="1"/>
  <c r="DK298" i="4"/>
  <c r="DL298" i="4" s="1"/>
  <c r="DK297" i="4"/>
  <c r="DL297" i="4" s="1"/>
  <c r="DK296" i="4"/>
  <c r="DL296" i="4" s="1"/>
  <c r="DK295" i="4"/>
  <c r="DL295" i="4" s="1"/>
  <c r="DK294" i="4"/>
  <c r="DL294" i="4" s="1"/>
  <c r="DK293" i="4"/>
  <c r="DL293" i="4" s="1"/>
  <c r="DK292" i="4"/>
  <c r="DL292" i="4" s="1"/>
  <c r="DK291" i="4"/>
  <c r="DL291" i="4" s="1"/>
  <c r="DK290" i="4"/>
  <c r="DL290" i="4" s="1"/>
  <c r="DK289" i="4"/>
  <c r="DL289" i="4" s="1"/>
  <c r="DK288" i="4"/>
  <c r="DL288" i="4" s="1"/>
  <c r="DK287" i="4"/>
  <c r="DL287" i="4" s="1"/>
  <c r="DK286" i="4"/>
  <c r="DL286" i="4" s="1"/>
  <c r="DK285" i="4"/>
  <c r="DL285" i="4" s="1"/>
  <c r="DK284" i="4"/>
  <c r="DL284" i="4" s="1"/>
  <c r="DK283" i="4"/>
  <c r="DL283" i="4" s="1"/>
  <c r="DK282" i="4"/>
  <c r="DL282" i="4" s="1"/>
  <c r="DK281" i="4"/>
  <c r="DL281" i="4" s="1"/>
  <c r="DK280" i="4"/>
  <c r="DL280" i="4" s="1"/>
  <c r="DK279" i="4"/>
  <c r="DL279" i="4" s="1"/>
  <c r="DK278" i="4"/>
  <c r="DL278" i="4" s="1"/>
  <c r="DK277" i="4"/>
  <c r="DL277" i="4" s="1"/>
  <c r="DK276" i="4"/>
  <c r="DL276" i="4" s="1"/>
  <c r="DK275" i="4"/>
  <c r="DL275" i="4" s="1"/>
  <c r="DK274" i="4"/>
  <c r="DL274" i="4" s="1"/>
  <c r="DK273" i="4"/>
  <c r="DL273" i="4" s="1"/>
  <c r="DK272" i="4"/>
  <c r="DL272" i="4" s="1"/>
  <c r="DK271" i="4"/>
  <c r="DL271" i="4" s="1"/>
  <c r="DK270" i="4"/>
  <c r="DL270" i="4" s="1"/>
  <c r="DK269" i="4"/>
  <c r="DL269" i="4" s="1"/>
  <c r="DK268" i="4"/>
  <c r="DL268" i="4" s="1"/>
  <c r="DK267" i="4"/>
  <c r="DL267" i="4" s="1"/>
  <c r="DK266" i="4"/>
  <c r="DL266" i="4" s="1"/>
  <c r="DK265" i="4"/>
  <c r="DL265" i="4" s="1"/>
  <c r="DK264" i="4"/>
  <c r="DL264" i="4" s="1"/>
  <c r="DK263" i="4"/>
  <c r="DL263" i="4" s="1"/>
  <c r="DK262" i="4"/>
  <c r="DL262" i="4" s="1"/>
  <c r="DK261" i="4"/>
  <c r="DL261" i="4" s="1"/>
  <c r="DK260" i="4"/>
  <c r="DL260" i="4" s="1"/>
  <c r="DK259" i="4"/>
  <c r="DL259" i="4" s="1"/>
  <c r="DK258" i="4"/>
  <c r="DL258" i="4" s="1"/>
  <c r="DK257" i="4"/>
  <c r="DL257" i="4" s="1"/>
  <c r="DK256" i="4"/>
  <c r="DL256" i="4" s="1"/>
  <c r="DK255" i="4"/>
  <c r="DL255" i="4" s="1"/>
  <c r="DK254" i="4"/>
  <c r="DL254" i="4" s="1"/>
  <c r="DK253" i="4"/>
  <c r="DL253" i="4" s="1"/>
  <c r="DK252" i="4"/>
  <c r="DL252" i="4" s="1"/>
  <c r="DK251" i="4"/>
  <c r="DL251" i="4" s="1"/>
  <c r="DK250" i="4"/>
  <c r="DL250" i="4" s="1"/>
  <c r="DK249" i="4"/>
  <c r="DL249" i="4" s="1"/>
  <c r="DK248" i="4"/>
  <c r="DL248" i="4" s="1"/>
  <c r="DK247" i="4"/>
  <c r="DL247" i="4" s="1"/>
  <c r="DK246" i="4"/>
  <c r="DL246" i="4" s="1"/>
  <c r="DK245" i="4"/>
  <c r="DL245" i="4" s="1"/>
  <c r="DK244" i="4"/>
  <c r="DL244" i="4" s="1"/>
  <c r="DK243" i="4"/>
  <c r="DL243" i="4" s="1"/>
  <c r="DK242" i="4"/>
  <c r="DL242" i="4" s="1"/>
  <c r="DK241" i="4"/>
  <c r="DL241" i="4" s="1"/>
  <c r="DK240" i="4"/>
  <c r="DL240" i="4" s="1"/>
  <c r="DK239" i="4"/>
  <c r="DL239" i="4" s="1"/>
  <c r="DK238" i="4"/>
  <c r="DL238" i="4" s="1"/>
  <c r="DK237" i="4"/>
  <c r="DL237" i="4" s="1"/>
  <c r="DK236" i="4"/>
  <c r="DL236" i="4" s="1"/>
  <c r="DK235" i="4"/>
  <c r="DL235" i="4" s="1"/>
  <c r="DK234" i="4"/>
  <c r="DL234" i="4" s="1"/>
  <c r="DK233" i="4"/>
  <c r="DL233" i="4" s="1"/>
  <c r="DK232" i="4"/>
  <c r="DL232" i="4" s="1"/>
  <c r="DK231" i="4"/>
  <c r="DL231" i="4" s="1"/>
  <c r="DK230" i="4"/>
  <c r="DL230" i="4" s="1"/>
  <c r="DK229" i="4"/>
  <c r="DL229" i="4" s="1"/>
  <c r="DK228" i="4"/>
  <c r="DL228" i="4" s="1"/>
  <c r="DK227" i="4"/>
  <c r="DL227" i="4" s="1"/>
  <c r="DK226" i="4"/>
  <c r="DL226" i="4" s="1"/>
  <c r="DK225" i="4"/>
  <c r="DL225" i="4" s="1"/>
  <c r="DK224" i="4"/>
  <c r="DL224" i="4" s="1"/>
  <c r="DK223" i="4"/>
  <c r="DL223" i="4" s="1"/>
  <c r="DK222" i="4"/>
  <c r="DL222" i="4" s="1"/>
  <c r="DK221" i="4"/>
  <c r="DL221" i="4" s="1"/>
  <c r="DK220" i="4"/>
  <c r="DL220" i="4" s="1"/>
  <c r="DK219" i="4"/>
  <c r="DL219" i="4" s="1"/>
  <c r="DK218" i="4"/>
  <c r="DL218" i="4" s="1"/>
  <c r="DK217" i="4"/>
  <c r="DL217" i="4" s="1"/>
  <c r="DK216" i="4"/>
  <c r="DL216" i="4" s="1"/>
  <c r="DK215" i="4"/>
  <c r="DL215" i="4" s="1"/>
  <c r="DK214" i="4"/>
  <c r="DL214" i="4" s="1"/>
  <c r="DK213" i="4"/>
  <c r="DL213" i="4" s="1"/>
  <c r="DK212" i="4"/>
  <c r="DL212" i="4" s="1"/>
  <c r="DK211" i="4"/>
  <c r="DL211" i="4" s="1"/>
  <c r="DK210" i="4"/>
  <c r="DL210" i="4" s="1"/>
  <c r="DK209" i="4"/>
  <c r="DL209" i="4" s="1"/>
  <c r="DK208" i="4"/>
  <c r="DL208" i="4" s="1"/>
  <c r="DK207" i="4"/>
  <c r="DL207" i="4" s="1"/>
  <c r="DK206" i="4"/>
  <c r="DL206" i="4" s="1"/>
  <c r="DK205" i="4"/>
  <c r="DL205" i="4" s="1"/>
  <c r="DK204" i="4"/>
  <c r="DL204" i="4" s="1"/>
  <c r="DK203" i="4"/>
  <c r="DL203" i="4" s="1"/>
  <c r="DK202" i="4"/>
  <c r="DL202" i="4" s="1"/>
  <c r="DK201" i="4"/>
  <c r="DL201" i="4" s="1"/>
  <c r="DK200" i="4"/>
  <c r="DL200" i="4" s="1"/>
  <c r="DK199" i="4"/>
  <c r="DL199" i="4" s="1"/>
  <c r="DK198" i="4"/>
  <c r="DL198" i="4" s="1"/>
  <c r="DK197" i="4"/>
  <c r="DL197" i="4" s="1"/>
  <c r="DK196" i="4"/>
  <c r="DL196" i="4" s="1"/>
  <c r="DK195" i="4"/>
  <c r="DL195" i="4" s="1"/>
  <c r="DK194" i="4"/>
  <c r="DL194" i="4" s="1"/>
  <c r="DK193" i="4"/>
  <c r="DL193" i="4" s="1"/>
  <c r="DK192" i="4"/>
  <c r="DL192" i="4" s="1"/>
  <c r="DK191" i="4"/>
  <c r="DL191" i="4" s="1"/>
  <c r="DK190" i="4"/>
  <c r="DL190" i="4" s="1"/>
  <c r="DK189" i="4"/>
  <c r="DL189" i="4" s="1"/>
  <c r="DK188" i="4"/>
  <c r="DL188" i="4" s="1"/>
  <c r="DK187" i="4"/>
  <c r="DL187" i="4" s="1"/>
  <c r="DK186" i="4"/>
  <c r="DL186" i="4" s="1"/>
  <c r="DK185" i="4"/>
  <c r="DL185" i="4" s="1"/>
  <c r="DK184" i="4"/>
  <c r="DL184" i="4" s="1"/>
  <c r="DK183" i="4"/>
  <c r="DL183" i="4" s="1"/>
  <c r="DK182" i="4"/>
  <c r="DL182" i="4" s="1"/>
  <c r="DK181" i="4"/>
  <c r="DL181" i="4" s="1"/>
  <c r="DK180" i="4"/>
  <c r="DL180" i="4" s="1"/>
  <c r="DK179" i="4"/>
  <c r="DL179" i="4" s="1"/>
  <c r="DK178" i="4"/>
  <c r="DL178" i="4" s="1"/>
  <c r="DK177" i="4"/>
  <c r="DL177" i="4" s="1"/>
  <c r="DK176" i="4"/>
  <c r="DL176" i="4" s="1"/>
  <c r="DK175" i="4"/>
  <c r="DL175" i="4" s="1"/>
  <c r="DK174" i="4"/>
  <c r="DL174" i="4" s="1"/>
  <c r="DK173" i="4"/>
  <c r="DL173" i="4" s="1"/>
  <c r="DK172" i="4"/>
  <c r="DL172" i="4" s="1"/>
  <c r="DK171" i="4"/>
  <c r="DL171" i="4" s="1"/>
  <c r="DK170" i="4"/>
  <c r="DL170" i="4" s="1"/>
  <c r="DK169" i="4"/>
  <c r="DL169" i="4" s="1"/>
  <c r="DK168" i="4"/>
  <c r="DL168" i="4" s="1"/>
  <c r="DK167" i="4"/>
  <c r="DL167" i="4" s="1"/>
  <c r="DK166" i="4"/>
  <c r="DL166" i="4" s="1"/>
  <c r="DK165" i="4"/>
  <c r="DL165" i="4" s="1"/>
  <c r="DK164" i="4"/>
  <c r="DL164" i="4" s="1"/>
  <c r="DK163" i="4"/>
  <c r="DL163" i="4" s="1"/>
  <c r="DK162" i="4"/>
  <c r="DL162" i="4" s="1"/>
  <c r="DK161" i="4"/>
  <c r="DL161" i="4" s="1"/>
  <c r="DK160" i="4"/>
  <c r="DL160" i="4" s="1"/>
  <c r="DK159" i="4"/>
  <c r="DL159" i="4" s="1"/>
  <c r="DK158" i="4"/>
  <c r="DL158" i="4" s="1"/>
  <c r="DK157" i="4"/>
  <c r="DL157" i="4" s="1"/>
  <c r="DK156" i="4"/>
  <c r="DL156" i="4" s="1"/>
  <c r="DK155" i="4"/>
  <c r="DL155" i="4" s="1"/>
  <c r="DK154" i="4"/>
  <c r="DL154" i="4" s="1"/>
  <c r="DK153" i="4"/>
  <c r="DL153" i="4" s="1"/>
  <c r="DK152" i="4"/>
  <c r="DL152" i="4" s="1"/>
  <c r="DK151" i="4"/>
  <c r="DL151" i="4" s="1"/>
  <c r="DK150" i="4"/>
  <c r="DL150" i="4" s="1"/>
  <c r="DK149" i="4"/>
  <c r="DL149" i="4" s="1"/>
  <c r="DK148" i="4"/>
  <c r="DL148" i="4" s="1"/>
  <c r="DK147" i="4"/>
  <c r="DL147" i="4" s="1"/>
  <c r="DK146" i="4"/>
  <c r="DL146" i="4" s="1"/>
  <c r="DK145" i="4"/>
  <c r="DL145" i="4" s="1"/>
  <c r="DK144" i="4"/>
  <c r="DL144" i="4" s="1"/>
  <c r="DK143" i="4"/>
  <c r="DL143" i="4" s="1"/>
  <c r="DK142" i="4"/>
  <c r="DL142" i="4" s="1"/>
  <c r="DK141" i="4"/>
  <c r="DL141" i="4" s="1"/>
  <c r="DK140" i="4"/>
  <c r="DL140" i="4" s="1"/>
  <c r="DK139" i="4"/>
  <c r="DL139" i="4" s="1"/>
  <c r="DK138" i="4"/>
  <c r="DL138" i="4" s="1"/>
  <c r="DK137" i="4"/>
  <c r="DL137" i="4" s="1"/>
  <c r="DK136" i="4"/>
  <c r="DL136" i="4" s="1"/>
  <c r="DK135" i="4"/>
  <c r="DL135" i="4" s="1"/>
  <c r="DK134" i="4"/>
  <c r="DL134" i="4" s="1"/>
  <c r="DK133" i="4"/>
  <c r="DL133" i="4" s="1"/>
  <c r="DK132" i="4"/>
  <c r="DL132" i="4" s="1"/>
  <c r="DK131" i="4"/>
  <c r="DL131" i="4" s="1"/>
  <c r="DK130" i="4"/>
  <c r="DL130" i="4" s="1"/>
  <c r="DK129" i="4"/>
  <c r="DL129" i="4" s="1"/>
  <c r="DK128" i="4"/>
  <c r="DL128" i="4" s="1"/>
  <c r="DK127" i="4"/>
  <c r="DL127" i="4" s="1"/>
  <c r="DK126" i="4"/>
  <c r="DL126" i="4" s="1"/>
  <c r="DK125" i="4"/>
  <c r="DL125" i="4" s="1"/>
  <c r="DK124" i="4"/>
  <c r="DL124" i="4" s="1"/>
  <c r="DK123" i="4"/>
  <c r="DL123" i="4" s="1"/>
  <c r="DK122" i="4"/>
  <c r="DL122" i="4" s="1"/>
  <c r="DK121" i="4"/>
  <c r="DL121" i="4" s="1"/>
  <c r="DK120" i="4"/>
  <c r="DL120" i="4" s="1"/>
  <c r="DK119" i="4"/>
  <c r="DL119" i="4" s="1"/>
  <c r="DK118" i="4"/>
  <c r="DL118" i="4" s="1"/>
  <c r="DK117" i="4"/>
  <c r="DL117" i="4" s="1"/>
  <c r="DK116" i="4"/>
  <c r="DL116" i="4" s="1"/>
  <c r="DK115" i="4"/>
  <c r="DL115" i="4" s="1"/>
  <c r="DK114" i="4"/>
  <c r="DL114" i="4" s="1"/>
  <c r="DK113" i="4"/>
  <c r="DL113" i="4" s="1"/>
  <c r="DK112" i="4"/>
  <c r="DL112" i="4" s="1"/>
  <c r="DK111" i="4"/>
  <c r="DL111" i="4" s="1"/>
  <c r="DK110" i="4"/>
  <c r="DL110" i="4" s="1"/>
  <c r="DK109" i="4"/>
  <c r="DL109" i="4" s="1"/>
  <c r="DK108" i="4"/>
  <c r="DL108" i="4" s="1"/>
  <c r="DK107" i="4"/>
  <c r="DL107" i="4" s="1"/>
  <c r="DK106" i="4"/>
  <c r="DL106" i="4" s="1"/>
  <c r="DK105" i="4"/>
  <c r="DL105" i="4" s="1"/>
  <c r="DK104" i="4"/>
  <c r="DL104" i="4" s="1"/>
  <c r="DK103" i="4"/>
  <c r="DL103" i="4" s="1"/>
  <c r="DK102" i="4"/>
  <c r="DL102" i="4" s="1"/>
  <c r="DK101" i="4"/>
  <c r="DL101" i="4" s="1"/>
  <c r="DK100" i="4"/>
  <c r="DL100" i="4" s="1"/>
  <c r="DK99" i="4"/>
  <c r="DL99" i="4" s="1"/>
  <c r="DK98" i="4"/>
  <c r="DL98" i="4" s="1"/>
  <c r="DK97" i="4"/>
  <c r="DL97" i="4" s="1"/>
  <c r="DK96" i="4"/>
  <c r="DL96" i="4" s="1"/>
  <c r="DK95" i="4"/>
  <c r="DL95" i="4" s="1"/>
  <c r="DK94" i="4"/>
  <c r="DL94" i="4" s="1"/>
  <c r="DK93" i="4"/>
  <c r="DL93" i="4" s="1"/>
  <c r="DK92" i="4"/>
  <c r="DL92" i="4" s="1"/>
  <c r="DK91" i="4"/>
  <c r="DL91" i="4" s="1"/>
  <c r="DK90" i="4"/>
  <c r="DL90" i="4" s="1"/>
  <c r="DK89" i="4"/>
  <c r="DL89" i="4" s="1"/>
  <c r="DK88" i="4"/>
  <c r="DL88" i="4" s="1"/>
  <c r="DK87" i="4"/>
  <c r="DL87" i="4" s="1"/>
  <c r="DK86" i="4"/>
  <c r="DL86" i="4" s="1"/>
  <c r="DK85" i="4"/>
  <c r="DL85" i="4" s="1"/>
  <c r="DK84" i="4"/>
  <c r="DL84" i="4" s="1"/>
  <c r="DK83" i="4"/>
  <c r="DL83" i="4" s="1"/>
  <c r="DK82" i="4"/>
  <c r="DL82" i="4" s="1"/>
  <c r="DK81" i="4"/>
  <c r="DL81" i="4" s="1"/>
  <c r="DK80" i="4"/>
  <c r="DL80" i="4" s="1"/>
  <c r="DK79" i="4"/>
  <c r="DL79" i="4" s="1"/>
  <c r="DK78" i="4"/>
  <c r="DL78" i="4" s="1"/>
  <c r="DK77" i="4"/>
  <c r="DL77" i="4" s="1"/>
  <c r="DK76" i="4"/>
  <c r="DL76" i="4" s="1"/>
  <c r="DK75" i="4"/>
  <c r="DL75" i="4" s="1"/>
  <c r="DK74" i="4"/>
  <c r="DL74" i="4" s="1"/>
  <c r="DK73" i="4"/>
  <c r="DL73" i="4" s="1"/>
  <c r="DK72" i="4"/>
  <c r="DL72" i="4" s="1"/>
  <c r="DK71" i="4"/>
  <c r="DL71" i="4" s="1"/>
  <c r="DK70" i="4"/>
  <c r="DL70" i="4" s="1"/>
  <c r="DK69" i="4"/>
  <c r="DL69" i="4" s="1"/>
  <c r="DK68" i="4"/>
  <c r="DL68" i="4" s="1"/>
  <c r="DK67" i="4"/>
  <c r="DL67" i="4" s="1"/>
  <c r="DK66" i="4"/>
  <c r="DL66" i="4" s="1"/>
  <c r="DK65" i="4"/>
  <c r="DL65" i="4" s="1"/>
  <c r="DK64" i="4"/>
  <c r="DL64" i="4" s="1"/>
  <c r="DK63" i="4"/>
  <c r="DL63" i="4" s="1"/>
  <c r="DK62" i="4"/>
  <c r="DL62" i="4" s="1"/>
  <c r="DK61" i="4"/>
  <c r="DL61" i="4" s="1"/>
  <c r="DK60" i="4"/>
  <c r="DL60" i="4" s="1"/>
  <c r="DK59" i="4"/>
  <c r="DL59" i="4" s="1"/>
  <c r="DK58" i="4"/>
  <c r="DL58" i="4" s="1"/>
  <c r="DK57" i="4"/>
  <c r="DL57" i="4" s="1"/>
  <c r="DK56" i="4"/>
  <c r="DL56" i="4" s="1"/>
  <c r="DK55" i="4"/>
  <c r="DL55" i="4" s="1"/>
  <c r="DK54" i="4"/>
  <c r="DL54" i="4" s="1"/>
  <c r="DK53" i="4"/>
  <c r="DL53" i="4" s="1"/>
  <c r="DK52" i="4"/>
  <c r="DL52" i="4" s="1"/>
  <c r="DK51" i="4"/>
  <c r="DL51" i="4" s="1"/>
  <c r="DK50" i="4"/>
  <c r="DL50" i="4" s="1"/>
  <c r="DK49" i="4"/>
  <c r="DL49" i="4" s="1"/>
  <c r="DK48" i="4"/>
  <c r="DL48" i="4" s="1"/>
  <c r="DK47" i="4"/>
  <c r="DL47" i="4" s="1"/>
  <c r="DK46" i="4"/>
  <c r="DL46" i="4" s="1"/>
  <c r="DK45" i="4"/>
  <c r="DL45" i="4" s="1"/>
  <c r="DK44" i="4"/>
  <c r="DL44" i="4" s="1"/>
  <c r="DK43" i="4"/>
  <c r="DL43" i="4" s="1"/>
  <c r="DK42" i="4"/>
  <c r="DL42" i="4" s="1"/>
  <c r="DK41" i="4"/>
  <c r="DL41" i="4" s="1"/>
  <c r="DK40" i="4"/>
  <c r="DL40" i="4" s="1"/>
  <c r="DK39" i="4"/>
  <c r="DL39" i="4" s="1"/>
  <c r="DK38" i="4"/>
  <c r="DL38" i="4" s="1"/>
  <c r="DK37" i="4"/>
  <c r="DL37" i="4" s="1"/>
  <c r="DK36" i="4"/>
  <c r="DL36" i="4" s="1"/>
  <c r="DK35" i="4"/>
  <c r="DL35" i="4" s="1"/>
  <c r="DK34" i="4"/>
  <c r="DL34" i="4" s="1"/>
  <c r="DK33" i="4"/>
  <c r="DL33" i="4" s="1"/>
  <c r="DK32" i="4"/>
  <c r="DL32" i="4" s="1"/>
  <c r="DK31" i="4"/>
  <c r="DL31" i="4" s="1"/>
  <c r="DK30" i="4"/>
  <c r="DL30" i="4" s="1"/>
  <c r="DK29" i="4"/>
  <c r="DL29" i="4" s="1"/>
  <c r="DK28" i="4"/>
  <c r="DL28" i="4" s="1"/>
  <c r="DK27" i="4"/>
  <c r="DL27" i="4" s="1"/>
  <c r="DK26" i="4"/>
  <c r="DL26" i="4" s="1"/>
  <c r="DK25" i="4"/>
  <c r="DL25" i="4" s="1"/>
  <c r="DK24" i="4"/>
  <c r="DL24" i="4" s="1"/>
  <c r="DK23" i="4"/>
  <c r="DL23" i="4" s="1"/>
  <c r="DK22" i="4"/>
  <c r="DL22" i="4" s="1"/>
  <c r="DK21" i="4"/>
  <c r="DL21" i="4" s="1"/>
  <c r="DK20" i="4"/>
  <c r="DL20" i="4" s="1"/>
  <c r="DK19" i="4"/>
  <c r="DL19" i="4" s="1"/>
  <c r="DK18" i="4"/>
  <c r="DL18" i="4" s="1"/>
  <c r="DK17" i="4"/>
  <c r="DL17" i="4" s="1"/>
  <c r="DK16" i="4"/>
  <c r="DL16" i="4" s="1"/>
  <c r="DK15" i="4"/>
  <c r="DL15" i="4" s="1"/>
  <c r="DK14" i="4"/>
  <c r="DL14" i="4" s="1"/>
  <c r="DK13" i="4"/>
  <c r="DL13" i="4" s="1"/>
  <c r="DK12" i="4"/>
  <c r="DL12" i="4" s="1"/>
  <c r="DK11" i="4"/>
  <c r="DL11" i="4" s="1"/>
  <c r="BT3" i="4"/>
  <c r="DK370" i="4" l="1"/>
  <c r="DL370" i="4" s="1"/>
  <c r="AT2" i="7"/>
  <c r="B5" i="6"/>
  <c r="DX371" i="1" l="1"/>
  <c r="DX372" i="1"/>
  <c r="C40" i="12" s="1"/>
  <c r="DX373" i="1"/>
  <c r="DX368" i="1"/>
  <c r="C40" i="3" s="1"/>
  <c r="DX374" i="1" l="1"/>
  <c r="BQ370" i="4"/>
  <c r="BP370" i="4"/>
  <c r="BM370" i="4"/>
  <c r="BK370" i="4"/>
  <c r="BI370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6" i="4"/>
  <c r="BJ127" i="4"/>
  <c r="BJ128" i="4"/>
  <c r="BJ129" i="4"/>
  <c r="BJ130" i="4"/>
  <c r="BJ131" i="4"/>
  <c r="BJ132" i="4"/>
  <c r="BJ133" i="4"/>
  <c r="BJ134" i="4"/>
  <c r="BJ135" i="4"/>
  <c r="BJ136" i="4"/>
  <c r="BJ137" i="4"/>
  <c r="BJ138" i="4"/>
  <c r="BJ139" i="4"/>
  <c r="BJ140" i="4"/>
  <c r="BJ141" i="4"/>
  <c r="BJ142" i="4"/>
  <c r="BJ143" i="4"/>
  <c r="BJ144" i="4"/>
  <c r="BJ145" i="4"/>
  <c r="BJ146" i="4"/>
  <c r="BJ147" i="4"/>
  <c r="BJ148" i="4"/>
  <c r="BJ149" i="4"/>
  <c r="BJ150" i="4"/>
  <c r="BJ151" i="4"/>
  <c r="BJ152" i="4"/>
  <c r="BJ153" i="4"/>
  <c r="BJ154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J167" i="4"/>
  <c r="BJ168" i="4"/>
  <c r="BJ169" i="4"/>
  <c r="BJ170" i="4"/>
  <c r="BJ171" i="4"/>
  <c r="BJ172" i="4"/>
  <c r="BJ173" i="4"/>
  <c r="BJ174" i="4"/>
  <c r="BJ175" i="4"/>
  <c r="BJ176" i="4"/>
  <c r="BJ177" i="4"/>
  <c r="BJ178" i="4"/>
  <c r="BJ179" i="4"/>
  <c r="BJ180" i="4"/>
  <c r="BJ181" i="4"/>
  <c r="BJ182" i="4"/>
  <c r="BJ183" i="4"/>
  <c r="BJ184" i="4"/>
  <c r="BJ185" i="4"/>
  <c r="BJ186" i="4"/>
  <c r="BJ187" i="4"/>
  <c r="BJ188" i="4"/>
  <c r="BJ189" i="4"/>
  <c r="BJ190" i="4"/>
  <c r="BJ191" i="4"/>
  <c r="BJ192" i="4"/>
  <c r="BJ193" i="4"/>
  <c r="BJ194" i="4"/>
  <c r="BJ195" i="4"/>
  <c r="BJ196" i="4"/>
  <c r="BJ197" i="4"/>
  <c r="BJ198" i="4"/>
  <c r="BJ199" i="4"/>
  <c r="BJ200" i="4"/>
  <c r="BJ201" i="4"/>
  <c r="BJ202" i="4"/>
  <c r="BJ203" i="4"/>
  <c r="BJ204" i="4"/>
  <c r="BJ205" i="4"/>
  <c r="BJ206" i="4"/>
  <c r="BJ207" i="4"/>
  <c r="BJ208" i="4"/>
  <c r="BJ209" i="4"/>
  <c r="BJ210" i="4"/>
  <c r="BJ211" i="4"/>
  <c r="BJ212" i="4"/>
  <c r="BJ213" i="4"/>
  <c r="BJ214" i="4"/>
  <c r="BJ215" i="4"/>
  <c r="BJ216" i="4"/>
  <c r="BJ217" i="4"/>
  <c r="BJ218" i="4"/>
  <c r="BJ219" i="4"/>
  <c r="BJ220" i="4"/>
  <c r="BJ221" i="4"/>
  <c r="BJ222" i="4"/>
  <c r="BJ223" i="4"/>
  <c r="BJ224" i="4"/>
  <c r="BJ225" i="4"/>
  <c r="BJ226" i="4"/>
  <c r="BJ227" i="4"/>
  <c r="BJ228" i="4"/>
  <c r="BJ229" i="4"/>
  <c r="BJ230" i="4"/>
  <c r="BJ231" i="4"/>
  <c r="BJ232" i="4"/>
  <c r="BJ233" i="4"/>
  <c r="BJ234" i="4"/>
  <c r="BJ235" i="4"/>
  <c r="BJ236" i="4"/>
  <c r="BJ237" i="4"/>
  <c r="BJ238" i="4"/>
  <c r="BJ239" i="4"/>
  <c r="BJ240" i="4"/>
  <c r="BJ241" i="4"/>
  <c r="BJ242" i="4"/>
  <c r="BJ243" i="4"/>
  <c r="BJ244" i="4"/>
  <c r="BJ245" i="4"/>
  <c r="BJ246" i="4"/>
  <c r="BJ247" i="4"/>
  <c r="BJ248" i="4"/>
  <c r="BJ249" i="4"/>
  <c r="BJ250" i="4"/>
  <c r="BJ251" i="4"/>
  <c r="BJ252" i="4"/>
  <c r="BJ253" i="4"/>
  <c r="BJ254" i="4"/>
  <c r="BJ255" i="4"/>
  <c r="BJ256" i="4"/>
  <c r="BJ257" i="4"/>
  <c r="BJ258" i="4"/>
  <c r="BJ259" i="4"/>
  <c r="BJ260" i="4"/>
  <c r="BJ261" i="4"/>
  <c r="BJ262" i="4"/>
  <c r="BJ263" i="4"/>
  <c r="BJ264" i="4"/>
  <c r="BJ265" i="4"/>
  <c r="BJ266" i="4"/>
  <c r="BJ267" i="4"/>
  <c r="BJ268" i="4"/>
  <c r="BJ269" i="4"/>
  <c r="BJ270" i="4"/>
  <c r="BJ271" i="4"/>
  <c r="BJ272" i="4"/>
  <c r="BJ273" i="4"/>
  <c r="BJ274" i="4"/>
  <c r="BJ275" i="4"/>
  <c r="BJ276" i="4"/>
  <c r="BJ277" i="4"/>
  <c r="BJ278" i="4"/>
  <c r="BJ279" i="4"/>
  <c r="BJ280" i="4"/>
  <c r="BJ281" i="4"/>
  <c r="BJ282" i="4"/>
  <c r="BJ283" i="4"/>
  <c r="BJ284" i="4"/>
  <c r="BJ285" i="4"/>
  <c r="BJ286" i="4"/>
  <c r="BJ287" i="4"/>
  <c r="BJ288" i="4"/>
  <c r="BJ289" i="4"/>
  <c r="BJ290" i="4"/>
  <c r="BJ291" i="4"/>
  <c r="BJ292" i="4"/>
  <c r="BJ293" i="4"/>
  <c r="BJ294" i="4"/>
  <c r="BJ295" i="4"/>
  <c r="BJ296" i="4"/>
  <c r="BJ297" i="4"/>
  <c r="BJ298" i="4"/>
  <c r="BJ299" i="4"/>
  <c r="BJ300" i="4"/>
  <c r="BJ301" i="4"/>
  <c r="BJ302" i="4"/>
  <c r="BJ303" i="4"/>
  <c r="BJ304" i="4"/>
  <c r="BJ305" i="4"/>
  <c r="BJ306" i="4"/>
  <c r="BJ307" i="4"/>
  <c r="BJ308" i="4"/>
  <c r="BJ309" i="4"/>
  <c r="BJ310" i="4"/>
  <c r="BJ311" i="4"/>
  <c r="BJ312" i="4"/>
  <c r="BJ313" i="4"/>
  <c r="BJ314" i="4"/>
  <c r="BJ315" i="4"/>
  <c r="BJ316" i="4"/>
  <c r="BJ317" i="4"/>
  <c r="BJ318" i="4"/>
  <c r="BJ319" i="4"/>
  <c r="BJ320" i="4"/>
  <c r="BJ321" i="4"/>
  <c r="BJ322" i="4"/>
  <c r="BJ323" i="4"/>
  <c r="BJ324" i="4"/>
  <c r="BJ325" i="4"/>
  <c r="BJ326" i="4"/>
  <c r="BJ327" i="4"/>
  <c r="BJ328" i="4"/>
  <c r="BJ329" i="4"/>
  <c r="BJ330" i="4"/>
  <c r="BJ331" i="4"/>
  <c r="BJ332" i="4"/>
  <c r="BJ333" i="4"/>
  <c r="BJ334" i="4"/>
  <c r="BJ335" i="4"/>
  <c r="BJ336" i="4"/>
  <c r="BJ337" i="4"/>
  <c r="BJ338" i="4"/>
  <c r="BJ339" i="4"/>
  <c r="BJ340" i="4"/>
  <c r="BJ341" i="4"/>
  <c r="BJ342" i="4"/>
  <c r="BJ343" i="4"/>
  <c r="BJ344" i="4"/>
  <c r="BJ345" i="4"/>
  <c r="BJ346" i="4"/>
  <c r="BJ347" i="4"/>
  <c r="BJ348" i="4"/>
  <c r="BJ349" i="4"/>
  <c r="BJ350" i="4"/>
  <c r="BJ351" i="4"/>
  <c r="BJ352" i="4"/>
  <c r="BJ353" i="4"/>
  <c r="BJ354" i="4"/>
  <c r="BJ355" i="4"/>
  <c r="BJ356" i="4"/>
  <c r="BJ357" i="4"/>
  <c r="BJ358" i="4"/>
  <c r="BJ359" i="4"/>
  <c r="BJ360" i="4"/>
  <c r="BJ361" i="4"/>
  <c r="BJ362" i="4"/>
  <c r="BJ363" i="4"/>
  <c r="BJ364" i="4"/>
  <c r="BJ365" i="4"/>
  <c r="BJ366" i="4"/>
  <c r="BJ367" i="4"/>
  <c r="BJ368" i="4"/>
  <c r="BJ369" i="4"/>
  <c r="BJ11" i="4"/>
  <c r="T370" i="4"/>
  <c r="Q370" i="4"/>
  <c r="N370" i="4"/>
  <c r="K370" i="4"/>
  <c r="BJ370" i="4" l="1"/>
  <c r="BN370" i="4"/>
  <c r="DS15" i="1" l="1"/>
  <c r="DS18" i="1"/>
  <c r="DS19" i="1"/>
  <c r="DS20" i="1"/>
  <c r="DS21" i="1"/>
  <c r="DS22" i="1"/>
  <c r="DS32" i="1"/>
  <c r="DS33" i="1"/>
  <c r="DS34" i="1"/>
  <c r="DS35" i="1"/>
  <c r="DS36" i="1"/>
  <c r="DS37" i="1"/>
  <c r="DS38" i="1"/>
  <c r="DS39" i="1"/>
  <c r="DS40" i="1"/>
  <c r="DS46" i="1"/>
  <c r="DS53" i="1"/>
  <c r="DS55" i="1"/>
  <c r="DS56" i="1"/>
  <c r="DS61" i="1"/>
  <c r="DS62" i="1"/>
  <c r="DS63" i="1"/>
  <c r="DS64" i="1"/>
  <c r="DS74" i="1"/>
  <c r="DS88" i="1"/>
  <c r="DS90" i="1"/>
  <c r="DS91" i="1"/>
  <c r="DS92" i="1"/>
  <c r="DS93" i="1"/>
  <c r="DS94" i="1"/>
  <c r="DS97" i="1"/>
  <c r="DS99" i="1"/>
  <c r="DS100" i="1"/>
  <c r="DS101" i="1"/>
  <c r="DS102" i="1"/>
  <c r="DS103" i="1"/>
  <c r="DS104" i="1"/>
  <c r="DS106" i="1"/>
  <c r="DS107" i="1"/>
  <c r="DS109" i="1"/>
  <c r="DS111" i="1"/>
  <c r="DS112" i="1"/>
  <c r="DS125" i="1"/>
  <c r="DS134" i="1"/>
  <c r="DS136" i="1"/>
  <c r="DS137" i="1"/>
  <c r="DS139" i="1"/>
  <c r="DS141" i="1"/>
  <c r="DS142" i="1"/>
  <c r="DS143" i="1"/>
  <c r="DS144" i="1"/>
  <c r="DS148" i="1"/>
  <c r="DS151" i="1"/>
  <c r="DS152" i="1"/>
  <c r="DS154" i="1"/>
  <c r="DS170" i="1"/>
  <c r="DS172" i="1"/>
  <c r="DS186" i="1"/>
  <c r="DS189" i="1"/>
  <c r="DS190" i="1"/>
  <c r="DS191" i="1"/>
  <c r="DS193" i="1"/>
  <c r="DS194" i="1"/>
  <c r="DS198" i="1"/>
  <c r="DS199" i="1"/>
  <c r="DS201" i="1"/>
  <c r="DS207" i="1"/>
  <c r="DS213" i="1"/>
  <c r="DS217" i="1"/>
  <c r="DS220" i="1"/>
  <c r="DS221" i="1"/>
  <c r="DS222" i="1"/>
  <c r="DS228" i="1"/>
  <c r="DS233" i="1"/>
  <c r="DS235" i="1"/>
  <c r="DS240" i="1"/>
  <c r="DS241" i="1"/>
  <c r="DS243" i="1"/>
  <c r="DS246" i="1"/>
  <c r="DS247" i="1"/>
  <c r="DS248" i="1"/>
  <c r="DS250" i="1"/>
  <c r="DS253" i="1"/>
  <c r="DS255" i="1"/>
  <c r="DS257" i="1"/>
  <c r="DS259" i="1"/>
  <c r="DS260" i="1"/>
  <c r="DS261" i="1"/>
  <c r="DS263" i="1"/>
  <c r="DS264" i="1"/>
  <c r="DS265" i="1"/>
  <c r="DS266" i="1"/>
  <c r="DS267" i="1"/>
  <c r="DS271" i="1"/>
  <c r="DS274" i="1"/>
  <c r="DS280" i="1"/>
  <c r="DS281" i="1"/>
  <c r="DS282" i="1"/>
  <c r="DS283" i="1"/>
  <c r="DS284" i="1"/>
  <c r="DS286" i="1"/>
  <c r="DS288" i="1"/>
  <c r="DS289" i="1"/>
  <c r="DS290" i="1"/>
  <c r="DS291" i="1"/>
  <c r="DS292" i="1"/>
  <c r="DS293" i="1"/>
  <c r="DS294" i="1"/>
  <c r="DS295" i="1"/>
  <c r="DS296" i="1"/>
  <c r="DS297" i="1"/>
  <c r="DS300" i="1"/>
  <c r="DS301" i="1"/>
  <c r="DS303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5" i="1"/>
  <c r="DS326" i="1"/>
  <c r="DS327" i="1"/>
  <c r="DS328" i="1"/>
  <c r="DS332" i="1"/>
  <c r="DS338" i="1"/>
  <c r="DS339" i="1"/>
  <c r="DS343" i="1"/>
  <c r="DS346" i="1"/>
  <c r="DS348" i="1"/>
  <c r="DS354" i="1"/>
  <c r="DS359" i="1"/>
  <c r="DS360" i="1"/>
  <c r="DS361" i="1"/>
  <c r="DS362" i="1"/>
  <c r="DS363" i="1"/>
  <c r="DS364" i="1"/>
  <c r="DS366" i="1"/>
  <c r="DS367" i="1"/>
  <c r="DD377" i="1"/>
  <c r="C147" i="23" l="1"/>
  <c r="D147" i="23"/>
  <c r="E147" i="23"/>
  <c r="F147" i="23"/>
  <c r="G147" i="23"/>
  <c r="H142" i="23" l="1"/>
  <c r="H143" i="23"/>
  <c r="H144" i="23"/>
  <c r="H145" i="23"/>
  <c r="H146" i="23"/>
  <c r="BD371" i="7" l="1"/>
  <c r="BC371" i="7"/>
  <c r="BB371" i="7"/>
  <c r="BA371" i="7"/>
  <c r="BD385" i="7"/>
  <c r="BC385" i="7"/>
  <c r="BB385" i="7"/>
  <c r="BA385" i="7"/>
  <c r="AR379" i="6"/>
  <c r="AS378" i="6"/>
  <c r="AR378" i="6"/>
  <c r="AS375" i="6"/>
  <c r="AR375" i="6"/>
  <c r="B4" i="6"/>
  <c r="AJ368" i="7" l="1"/>
  <c r="AB368" i="7"/>
  <c r="N368" i="7"/>
  <c r="F368" i="7"/>
  <c r="AZ368" i="6"/>
  <c r="BA368" i="6"/>
  <c r="AY368" i="6"/>
  <c r="BE368" i="6"/>
  <c r="BF368" i="6"/>
  <c r="BH368" i="6"/>
  <c r="BH385" i="6" s="1"/>
  <c r="BD368" i="6"/>
  <c r="BC368" i="6"/>
  <c r="AL258" i="7"/>
  <c r="AL257" i="7"/>
  <c r="AL255" i="7"/>
  <c r="AL83" i="7"/>
  <c r="AL131" i="7"/>
  <c r="AU368" i="6"/>
  <c r="BF370" i="4" l="1"/>
  <c r="AQ368" i="6" l="1"/>
  <c r="AL10" i="6" l="1"/>
  <c r="AI368" i="6" l="1"/>
  <c r="AF368" i="6"/>
  <c r="AC368" i="6" l="1"/>
  <c r="E2" i="7"/>
  <c r="J2" i="6"/>
  <c r="DD384" i="1" l="1"/>
  <c r="H138" i="23"/>
  <c r="H139" i="23"/>
  <c r="H140" i="23"/>
  <c r="H141" i="23"/>
  <c r="C359" i="22" l="1"/>
  <c r="B359" i="22"/>
  <c r="AR378" i="7"/>
  <c r="AQ378" i="7"/>
  <c r="AO378" i="7"/>
  <c r="AJ378" i="7"/>
  <c r="AF378" i="7"/>
  <c r="AC378" i="7"/>
  <c r="AB378" i="7"/>
  <c r="X378" i="7"/>
  <c r="W378" i="7"/>
  <c r="U378" i="7"/>
  <c r="T378" i="7"/>
  <c r="R378" i="7"/>
  <c r="O378" i="7"/>
  <c r="N378" i="7"/>
  <c r="J378" i="7"/>
  <c r="F378" i="7"/>
  <c r="AR377" i="7"/>
  <c r="AQ377" i="7"/>
  <c r="AO377" i="7"/>
  <c r="AJ377" i="7"/>
  <c r="AF377" i="7"/>
  <c r="AC377" i="7"/>
  <c r="AB377" i="7"/>
  <c r="X377" i="7"/>
  <c r="W377" i="7"/>
  <c r="U377" i="7"/>
  <c r="T377" i="7"/>
  <c r="R377" i="7"/>
  <c r="O377" i="7"/>
  <c r="N377" i="7"/>
  <c r="J377" i="7"/>
  <c r="F377" i="7"/>
  <c r="AS376" i="7"/>
  <c r="AR376" i="7"/>
  <c r="AQ376" i="7"/>
  <c r="AO376" i="7"/>
  <c r="AL376" i="7"/>
  <c r="AJ376" i="7"/>
  <c r="AF376" i="7"/>
  <c r="AC376" i="7"/>
  <c r="AB376" i="7"/>
  <c r="X376" i="7"/>
  <c r="W376" i="7"/>
  <c r="U376" i="7"/>
  <c r="T376" i="7"/>
  <c r="R376" i="7"/>
  <c r="O376" i="7"/>
  <c r="N376" i="7"/>
  <c r="J376" i="7"/>
  <c r="F376" i="7"/>
  <c r="X373" i="7"/>
  <c r="AR368" i="7"/>
  <c r="AQ368" i="7"/>
  <c r="AO368" i="7"/>
  <c r="AF368" i="7"/>
  <c r="AC368" i="7"/>
  <c r="X368" i="7"/>
  <c r="W368" i="7"/>
  <c r="U368" i="7"/>
  <c r="T368" i="7"/>
  <c r="R368" i="7"/>
  <c r="O368" i="7"/>
  <c r="J368" i="7"/>
  <c r="Y367" i="7"/>
  <c r="V367" i="7"/>
  <c r="Y366" i="7"/>
  <c r="V366" i="7"/>
  <c r="Y365" i="7"/>
  <c r="V365" i="7"/>
  <c r="Y364" i="7"/>
  <c r="V364" i="7"/>
  <c r="Y363" i="7"/>
  <c r="V363" i="7"/>
  <c r="Y362" i="7"/>
  <c r="V362" i="7"/>
  <c r="Y361" i="7"/>
  <c r="V361" i="7"/>
  <c r="Y360" i="7"/>
  <c r="V360" i="7"/>
  <c r="Y359" i="7"/>
  <c r="V359" i="7"/>
  <c r="Y358" i="7"/>
  <c r="V358" i="7"/>
  <c r="Y357" i="7"/>
  <c r="V357" i="7"/>
  <c r="Y356" i="7"/>
  <c r="V356" i="7"/>
  <c r="Y355" i="7"/>
  <c r="V355" i="7"/>
  <c r="Y354" i="7"/>
  <c r="V354" i="7"/>
  <c r="Y353" i="7"/>
  <c r="V353" i="7"/>
  <c r="Y352" i="7"/>
  <c r="V352" i="7"/>
  <c r="Y351" i="7"/>
  <c r="V351" i="7"/>
  <c r="Y350" i="7"/>
  <c r="V350" i="7"/>
  <c r="Y349" i="7"/>
  <c r="V349" i="7"/>
  <c r="Y348" i="7"/>
  <c r="V348" i="7"/>
  <c r="Y347" i="7"/>
  <c r="V347" i="7"/>
  <c r="Y346" i="7"/>
  <c r="V346" i="7"/>
  <c r="Y345" i="7"/>
  <c r="V345" i="7"/>
  <c r="Y344" i="7"/>
  <c r="V344" i="7"/>
  <c r="Y343" i="7"/>
  <c r="V343" i="7"/>
  <c r="Y342" i="7"/>
  <c r="V342" i="7"/>
  <c r="Y341" i="7"/>
  <c r="V341" i="7"/>
  <c r="Y340" i="7"/>
  <c r="V340" i="7"/>
  <c r="Y339" i="7"/>
  <c r="V339" i="7"/>
  <c r="Y338" i="7"/>
  <c r="V338" i="7"/>
  <c r="Y337" i="7"/>
  <c r="V337" i="7"/>
  <c r="Y336" i="7"/>
  <c r="V336" i="7"/>
  <c r="Y335" i="7"/>
  <c r="V335" i="7"/>
  <c r="Y334" i="7"/>
  <c r="V334" i="7"/>
  <c r="Y333" i="7"/>
  <c r="V333" i="7"/>
  <c r="Y332" i="7"/>
  <c r="V332" i="7"/>
  <c r="Y331" i="7"/>
  <c r="V331" i="7"/>
  <c r="Y330" i="7"/>
  <c r="V330" i="7"/>
  <c r="Y329" i="7"/>
  <c r="V329" i="7"/>
  <c r="Y328" i="7"/>
  <c r="V328" i="7"/>
  <c r="Y327" i="7"/>
  <c r="V327" i="7"/>
  <c r="Y326" i="7"/>
  <c r="V326" i="7"/>
  <c r="Y325" i="7"/>
  <c r="V325" i="7"/>
  <c r="Y324" i="7"/>
  <c r="V324" i="7"/>
  <c r="Y323" i="7"/>
  <c r="V323" i="7"/>
  <c r="Y322" i="7"/>
  <c r="V322" i="7"/>
  <c r="Y321" i="7"/>
  <c r="V321" i="7"/>
  <c r="Y320" i="7"/>
  <c r="V320" i="7"/>
  <c r="Y319" i="7"/>
  <c r="V319" i="7"/>
  <c r="Y318" i="7"/>
  <c r="V318" i="7"/>
  <c r="Y317" i="7"/>
  <c r="V317" i="7"/>
  <c r="Y316" i="7"/>
  <c r="V316" i="7"/>
  <c r="Y315" i="7"/>
  <c r="V315" i="7"/>
  <c r="AS314" i="7"/>
  <c r="Y314" i="7"/>
  <c r="V314" i="7"/>
  <c r="Y313" i="7"/>
  <c r="V313" i="7"/>
  <c r="Y312" i="7"/>
  <c r="V312" i="7"/>
  <c r="Y311" i="7"/>
  <c r="V311" i="7"/>
  <c r="Y310" i="7"/>
  <c r="V310" i="7"/>
  <c r="Y309" i="7"/>
  <c r="V309" i="7"/>
  <c r="Y308" i="7"/>
  <c r="V308" i="7"/>
  <c r="Y307" i="7"/>
  <c r="V307" i="7"/>
  <c r="Y306" i="7"/>
  <c r="V306" i="7"/>
  <c r="Y305" i="7"/>
  <c r="V305" i="7"/>
  <c r="Y304" i="7"/>
  <c r="V304" i="7"/>
  <c r="Y303" i="7"/>
  <c r="V303" i="7"/>
  <c r="Y302" i="7"/>
  <c r="V302" i="7"/>
  <c r="Y301" i="7"/>
  <c r="V301" i="7"/>
  <c r="Y300" i="7"/>
  <c r="V300" i="7"/>
  <c r="Y299" i="7"/>
  <c r="V299" i="7"/>
  <c r="Y298" i="7"/>
  <c r="V298" i="7"/>
  <c r="Y297" i="7"/>
  <c r="V297" i="7"/>
  <c r="Y296" i="7"/>
  <c r="V296" i="7"/>
  <c r="Y295" i="7"/>
  <c r="V295" i="7"/>
  <c r="Y294" i="7"/>
  <c r="V294" i="7"/>
  <c r="Y293" i="7"/>
  <c r="V293" i="7"/>
  <c r="Y292" i="7"/>
  <c r="V292" i="7"/>
  <c r="Y291" i="7"/>
  <c r="V291" i="7"/>
  <c r="Y290" i="7"/>
  <c r="V290" i="7"/>
  <c r="Y289" i="7"/>
  <c r="V289" i="7"/>
  <c r="Y288" i="7"/>
  <c r="V288" i="7"/>
  <c r="Y287" i="7"/>
  <c r="V287" i="7"/>
  <c r="Y286" i="7"/>
  <c r="V286" i="7"/>
  <c r="Y285" i="7"/>
  <c r="V285" i="7"/>
  <c r="Y284" i="7"/>
  <c r="V284" i="7"/>
  <c r="Y283" i="7"/>
  <c r="V283" i="7"/>
  <c r="Y282" i="7"/>
  <c r="V282" i="7"/>
  <c r="Y281" i="7"/>
  <c r="V281" i="7"/>
  <c r="Y280" i="7"/>
  <c r="V280" i="7"/>
  <c r="Y279" i="7"/>
  <c r="V279" i="7"/>
  <c r="Y278" i="7"/>
  <c r="V278" i="7"/>
  <c r="Y277" i="7"/>
  <c r="V277" i="7"/>
  <c r="Y276" i="7"/>
  <c r="V276" i="7"/>
  <c r="Y275" i="7"/>
  <c r="V275" i="7"/>
  <c r="Y274" i="7"/>
  <c r="V274" i="7"/>
  <c r="Y273" i="7"/>
  <c r="V273" i="7"/>
  <c r="Y272" i="7"/>
  <c r="V272" i="7"/>
  <c r="Y271" i="7"/>
  <c r="V271" i="7"/>
  <c r="AS270" i="7"/>
  <c r="Y270" i="7"/>
  <c r="V270" i="7"/>
  <c r="Y269" i="7"/>
  <c r="V269" i="7"/>
  <c r="Y268" i="7"/>
  <c r="V268" i="7"/>
  <c r="Y267" i="7"/>
  <c r="V267" i="7"/>
  <c r="Y266" i="7"/>
  <c r="V266" i="7"/>
  <c r="Y265" i="7"/>
  <c r="V265" i="7"/>
  <c r="Y264" i="7"/>
  <c r="V264" i="7"/>
  <c r="Y263" i="7"/>
  <c r="V263" i="7"/>
  <c r="Y262" i="7"/>
  <c r="V262" i="7"/>
  <c r="Y261" i="7"/>
  <c r="V261" i="7"/>
  <c r="Y260" i="7"/>
  <c r="V260" i="7"/>
  <c r="Y259" i="7"/>
  <c r="V259" i="7"/>
  <c r="Y258" i="7"/>
  <c r="V258" i="7"/>
  <c r="Y257" i="7"/>
  <c r="V257" i="7"/>
  <c r="Y256" i="7"/>
  <c r="V256" i="7"/>
  <c r="Y255" i="7"/>
  <c r="V255" i="7"/>
  <c r="Y254" i="7"/>
  <c r="V254" i="7"/>
  <c r="Y253" i="7"/>
  <c r="V253" i="7"/>
  <c r="Y252" i="7"/>
  <c r="V252" i="7"/>
  <c r="Y251" i="7"/>
  <c r="V251" i="7"/>
  <c r="Y250" i="7"/>
  <c r="V250" i="7"/>
  <c r="Y249" i="7"/>
  <c r="V249" i="7"/>
  <c r="Y248" i="7"/>
  <c r="V248" i="7"/>
  <c r="Y247" i="7"/>
  <c r="V247" i="7"/>
  <c r="Y246" i="7"/>
  <c r="V246" i="7"/>
  <c r="Y245" i="7"/>
  <c r="V245" i="7"/>
  <c r="Y244" i="7"/>
  <c r="V244" i="7"/>
  <c r="Y243" i="7"/>
  <c r="V243" i="7"/>
  <c r="Y242" i="7"/>
  <c r="V242" i="7"/>
  <c r="AS241" i="7"/>
  <c r="Y241" i="7"/>
  <c r="V241" i="7"/>
  <c r="Y240" i="7"/>
  <c r="V240" i="7"/>
  <c r="Y239" i="7"/>
  <c r="V239" i="7"/>
  <c r="Y238" i="7"/>
  <c r="V238" i="7"/>
  <c r="Y237" i="7"/>
  <c r="V237" i="7"/>
  <c r="Y236" i="7"/>
  <c r="V236" i="7"/>
  <c r="AS235" i="7"/>
  <c r="Y235" i="7"/>
  <c r="V235" i="7"/>
  <c r="Y234" i="7"/>
  <c r="V234" i="7"/>
  <c r="Y233" i="7"/>
  <c r="V233" i="7"/>
  <c r="Y232" i="7"/>
  <c r="V232" i="7"/>
  <c r="Y231" i="7"/>
  <c r="V231" i="7"/>
  <c r="Y230" i="7"/>
  <c r="V230" i="7"/>
  <c r="Y229" i="7"/>
  <c r="V229" i="7"/>
  <c r="Y228" i="7"/>
  <c r="V228" i="7"/>
  <c r="Y227" i="7"/>
  <c r="V227" i="7"/>
  <c r="Y226" i="7"/>
  <c r="V226" i="7"/>
  <c r="Y225" i="7"/>
  <c r="V225" i="7"/>
  <c r="Y224" i="7"/>
  <c r="V224" i="7"/>
  <c r="Y223" i="7"/>
  <c r="V223" i="7"/>
  <c r="Y222" i="7"/>
  <c r="V222" i="7"/>
  <c r="Y221" i="7"/>
  <c r="V221" i="7"/>
  <c r="Y220" i="7"/>
  <c r="V220" i="7"/>
  <c r="Y219" i="7"/>
  <c r="V219" i="7"/>
  <c r="Y218" i="7"/>
  <c r="V218" i="7"/>
  <c r="Y217" i="7"/>
  <c r="V217" i="7"/>
  <c r="Y216" i="7"/>
  <c r="V216" i="7"/>
  <c r="Y215" i="7"/>
  <c r="V215" i="7"/>
  <c r="Y214" i="7"/>
  <c r="V214" i="7"/>
  <c r="Y213" i="7"/>
  <c r="V213" i="7"/>
  <c r="Y212" i="7"/>
  <c r="V212" i="7"/>
  <c r="Y211" i="7"/>
  <c r="V211" i="7"/>
  <c r="Y210" i="7"/>
  <c r="V210" i="7"/>
  <c r="Y209" i="7"/>
  <c r="V209" i="7"/>
  <c r="Y208" i="7"/>
  <c r="V208" i="7"/>
  <c r="Y207" i="7"/>
  <c r="V207" i="7"/>
  <c r="Y206" i="7"/>
  <c r="V206" i="7"/>
  <c r="Y205" i="7"/>
  <c r="V205" i="7"/>
  <c r="Y204" i="7"/>
  <c r="V204" i="7"/>
  <c r="Y203" i="7"/>
  <c r="V203" i="7"/>
  <c r="Y202" i="7"/>
  <c r="V202" i="7"/>
  <c r="Y201" i="7"/>
  <c r="V201" i="7"/>
  <c r="Y200" i="7"/>
  <c r="V200" i="7"/>
  <c r="Y199" i="7"/>
  <c r="V199" i="7"/>
  <c r="Y198" i="7"/>
  <c r="V198" i="7"/>
  <c r="Y197" i="7"/>
  <c r="V197" i="7"/>
  <c r="Y196" i="7"/>
  <c r="V196" i="7"/>
  <c r="Y195" i="7"/>
  <c r="V195" i="7"/>
  <c r="Y194" i="7"/>
  <c r="V194" i="7"/>
  <c r="Y193" i="7"/>
  <c r="V193" i="7"/>
  <c r="Y192" i="7"/>
  <c r="V192" i="7"/>
  <c r="Y191" i="7"/>
  <c r="V191" i="7"/>
  <c r="Y190" i="7"/>
  <c r="V190" i="7"/>
  <c r="Y189" i="7"/>
  <c r="V189" i="7"/>
  <c r="Y188" i="7"/>
  <c r="V188" i="7"/>
  <c r="Y187" i="7"/>
  <c r="V187" i="7"/>
  <c r="Y186" i="7"/>
  <c r="V186" i="7"/>
  <c r="Y185" i="7"/>
  <c r="V185" i="7"/>
  <c r="Y184" i="7"/>
  <c r="V184" i="7"/>
  <c r="Y183" i="7"/>
  <c r="V183" i="7"/>
  <c r="Y182" i="7"/>
  <c r="V182" i="7"/>
  <c r="Y181" i="7"/>
  <c r="V181" i="7"/>
  <c r="Y180" i="7"/>
  <c r="V180" i="7"/>
  <c r="Y179" i="7"/>
  <c r="V179" i="7"/>
  <c r="Y178" i="7"/>
  <c r="V178" i="7"/>
  <c r="Y177" i="7"/>
  <c r="V177" i="7"/>
  <c r="Y176" i="7"/>
  <c r="V176" i="7"/>
  <c r="Y175" i="7"/>
  <c r="V175" i="7"/>
  <c r="Y174" i="7"/>
  <c r="V174" i="7"/>
  <c r="Y173" i="7"/>
  <c r="V173" i="7"/>
  <c r="Y172" i="7"/>
  <c r="V172" i="7"/>
  <c r="Y171" i="7"/>
  <c r="V171" i="7"/>
  <c r="Y170" i="7"/>
  <c r="V170" i="7"/>
  <c r="Y169" i="7"/>
  <c r="V169" i="7"/>
  <c r="Y168" i="7"/>
  <c r="V168" i="7"/>
  <c r="Y167" i="7"/>
  <c r="V167" i="7"/>
  <c r="Y166" i="7"/>
  <c r="V166" i="7"/>
  <c r="Y165" i="7"/>
  <c r="V165" i="7"/>
  <c r="Y164" i="7"/>
  <c r="V164" i="7"/>
  <c r="Y163" i="7"/>
  <c r="V163" i="7"/>
  <c r="Y162" i="7"/>
  <c r="V162" i="7"/>
  <c r="Y161" i="7"/>
  <c r="V161" i="7"/>
  <c r="Y160" i="7"/>
  <c r="V160" i="7"/>
  <c r="Y159" i="7"/>
  <c r="V159" i="7"/>
  <c r="Y158" i="7"/>
  <c r="V158" i="7"/>
  <c r="Y157" i="7"/>
  <c r="V157" i="7"/>
  <c r="Y156" i="7"/>
  <c r="V156" i="7"/>
  <c r="Y155" i="7"/>
  <c r="V155" i="7"/>
  <c r="Y154" i="7"/>
  <c r="V154" i="7"/>
  <c r="Y153" i="7"/>
  <c r="V153" i="7"/>
  <c r="Y152" i="7"/>
  <c r="V152" i="7"/>
  <c r="Y151" i="7"/>
  <c r="V151" i="7"/>
  <c r="Y150" i="7"/>
  <c r="V150" i="7"/>
  <c r="Y149" i="7"/>
  <c r="V149" i="7"/>
  <c r="Y148" i="7"/>
  <c r="V148" i="7"/>
  <c r="Y147" i="7"/>
  <c r="V147" i="7"/>
  <c r="Y146" i="7"/>
  <c r="V146" i="7"/>
  <c r="Y145" i="7"/>
  <c r="V145" i="7"/>
  <c r="Y144" i="7"/>
  <c r="V144" i="7"/>
  <c r="Y143" i="7"/>
  <c r="V143" i="7"/>
  <c r="Y142" i="7"/>
  <c r="V142" i="7"/>
  <c r="Y141" i="7"/>
  <c r="V141" i="7"/>
  <c r="Y140" i="7"/>
  <c r="V140" i="7"/>
  <c r="Y139" i="7"/>
  <c r="V139" i="7"/>
  <c r="Y138" i="7"/>
  <c r="V138" i="7"/>
  <c r="Y137" i="7"/>
  <c r="V137" i="7"/>
  <c r="Y136" i="7"/>
  <c r="V136" i="7"/>
  <c r="Y135" i="7"/>
  <c r="V135" i="7"/>
  <c r="Y134" i="7"/>
  <c r="V134" i="7"/>
  <c r="Y133" i="7"/>
  <c r="V133" i="7"/>
  <c r="Y132" i="7"/>
  <c r="V132" i="7"/>
  <c r="Y131" i="7"/>
  <c r="V131" i="7"/>
  <c r="Y130" i="7"/>
  <c r="V130" i="7"/>
  <c r="Y129" i="7"/>
  <c r="V129" i="7"/>
  <c r="Y128" i="7"/>
  <c r="V128" i="7"/>
  <c r="Y127" i="7"/>
  <c r="V127" i="7"/>
  <c r="Y126" i="7"/>
  <c r="V126" i="7"/>
  <c r="Y125" i="7"/>
  <c r="V125" i="7"/>
  <c r="Y124" i="7"/>
  <c r="V124" i="7"/>
  <c r="Y123" i="7"/>
  <c r="V123" i="7"/>
  <c r="Y122" i="7"/>
  <c r="V122" i="7"/>
  <c r="Y121" i="7"/>
  <c r="V121" i="7"/>
  <c r="Y120" i="7"/>
  <c r="V120" i="7"/>
  <c r="Y119" i="7"/>
  <c r="V119" i="7"/>
  <c r="Y118" i="7"/>
  <c r="V118" i="7"/>
  <c r="Y117" i="7"/>
  <c r="V117" i="7"/>
  <c r="Y116" i="7"/>
  <c r="V116" i="7"/>
  <c r="Y115" i="7"/>
  <c r="V115" i="7"/>
  <c r="Y114" i="7"/>
  <c r="V114" i="7"/>
  <c r="Y113" i="7"/>
  <c r="V113" i="7"/>
  <c r="Y112" i="7"/>
  <c r="V112" i="7"/>
  <c r="Y111" i="7"/>
  <c r="V111" i="7"/>
  <c r="Y110" i="7"/>
  <c r="V110" i="7"/>
  <c r="AL377" i="7"/>
  <c r="Y109" i="7"/>
  <c r="V109" i="7"/>
  <c r="Y108" i="7"/>
  <c r="V108" i="7"/>
  <c r="Y107" i="7"/>
  <c r="V107" i="7"/>
  <c r="Y106" i="7"/>
  <c r="V106" i="7"/>
  <c r="Y105" i="7"/>
  <c r="V105" i="7"/>
  <c r="Y104" i="7"/>
  <c r="V104" i="7"/>
  <c r="Y103" i="7"/>
  <c r="V103" i="7"/>
  <c r="Y102" i="7"/>
  <c r="V102" i="7"/>
  <c r="Y101" i="7"/>
  <c r="V101" i="7"/>
  <c r="Y100" i="7"/>
  <c r="V100" i="7"/>
  <c r="Y99" i="7"/>
  <c r="V99" i="7"/>
  <c r="Y98" i="7"/>
  <c r="V98" i="7"/>
  <c r="Y97" i="7"/>
  <c r="V97" i="7"/>
  <c r="Y96" i="7"/>
  <c r="V96" i="7"/>
  <c r="Y95" i="7"/>
  <c r="V95" i="7"/>
  <c r="Y94" i="7"/>
  <c r="V94" i="7"/>
  <c r="Y93" i="7"/>
  <c r="V93" i="7"/>
  <c r="Y92" i="7"/>
  <c r="V92" i="7"/>
  <c r="Y91" i="7"/>
  <c r="V91" i="7"/>
  <c r="Y90" i="7"/>
  <c r="V90" i="7"/>
  <c r="Y89" i="7"/>
  <c r="V89" i="7"/>
  <c r="Y88" i="7"/>
  <c r="V88" i="7"/>
  <c r="Y87" i="7"/>
  <c r="V87" i="7"/>
  <c r="Y86" i="7"/>
  <c r="V86" i="7"/>
  <c r="Y85" i="7"/>
  <c r="V85" i="7"/>
  <c r="Y84" i="7"/>
  <c r="V84" i="7"/>
  <c r="Y83" i="7"/>
  <c r="V83" i="7"/>
  <c r="Y82" i="7"/>
  <c r="V82" i="7"/>
  <c r="Y81" i="7"/>
  <c r="V81" i="7"/>
  <c r="Y80" i="7"/>
  <c r="V80" i="7"/>
  <c r="Y79" i="7"/>
  <c r="V79" i="7"/>
  <c r="Y78" i="7"/>
  <c r="V78" i="7"/>
  <c r="Y77" i="7"/>
  <c r="V77" i="7"/>
  <c r="Y76" i="7"/>
  <c r="V76" i="7"/>
  <c r="Y75" i="7"/>
  <c r="V75" i="7"/>
  <c r="Y74" i="7"/>
  <c r="V74" i="7"/>
  <c r="Y73" i="7"/>
  <c r="V73" i="7"/>
  <c r="Y72" i="7"/>
  <c r="V72" i="7"/>
  <c r="Y71" i="7"/>
  <c r="V71" i="7"/>
  <c r="Y70" i="7"/>
  <c r="V70" i="7"/>
  <c r="Y69" i="7"/>
  <c r="V69" i="7"/>
  <c r="Y68" i="7"/>
  <c r="V68" i="7"/>
  <c r="Y67" i="7"/>
  <c r="V67" i="7"/>
  <c r="Y66" i="7"/>
  <c r="V66" i="7"/>
  <c r="Y65" i="7"/>
  <c r="V65" i="7"/>
  <c r="Y64" i="7"/>
  <c r="V64" i="7"/>
  <c r="Y63" i="7"/>
  <c r="V63" i="7"/>
  <c r="Y62" i="7"/>
  <c r="V62" i="7"/>
  <c r="Y61" i="7"/>
  <c r="V61" i="7"/>
  <c r="Y60" i="7"/>
  <c r="V60" i="7"/>
  <c r="Y59" i="7"/>
  <c r="V59" i="7"/>
  <c r="Y58" i="7"/>
  <c r="V58" i="7"/>
  <c r="Y57" i="7"/>
  <c r="V57" i="7"/>
  <c r="Y56" i="7"/>
  <c r="V56" i="7"/>
  <c r="Y55" i="7"/>
  <c r="V55" i="7"/>
  <c r="Y54" i="7"/>
  <c r="V54" i="7"/>
  <c r="Y53" i="7"/>
  <c r="V53" i="7"/>
  <c r="Y52" i="7"/>
  <c r="V52" i="7"/>
  <c r="Y51" i="7"/>
  <c r="V51" i="7"/>
  <c r="Y50" i="7"/>
  <c r="V50" i="7"/>
  <c r="Y49" i="7"/>
  <c r="V49" i="7"/>
  <c r="Y48" i="7"/>
  <c r="V48" i="7"/>
  <c r="Y47" i="7"/>
  <c r="V47" i="7"/>
  <c r="Y46" i="7"/>
  <c r="V46" i="7"/>
  <c r="Y45" i="7"/>
  <c r="V45" i="7"/>
  <c r="Y44" i="7"/>
  <c r="V44" i="7"/>
  <c r="Y43" i="7"/>
  <c r="V43" i="7"/>
  <c r="Y42" i="7"/>
  <c r="V42" i="7"/>
  <c r="Y41" i="7"/>
  <c r="V41" i="7"/>
  <c r="Y40" i="7"/>
  <c r="V40" i="7"/>
  <c r="Y39" i="7"/>
  <c r="V39" i="7"/>
  <c r="Y38" i="7"/>
  <c r="V38" i="7"/>
  <c r="Y37" i="7"/>
  <c r="V37" i="7"/>
  <c r="Y36" i="7"/>
  <c r="V36" i="7"/>
  <c r="Y35" i="7"/>
  <c r="V35" i="7"/>
  <c r="Y34" i="7"/>
  <c r="V34" i="7"/>
  <c r="Y33" i="7"/>
  <c r="V33" i="7"/>
  <c r="Y32" i="7"/>
  <c r="V32" i="7"/>
  <c r="Y31" i="7"/>
  <c r="V31" i="7"/>
  <c r="Y30" i="7"/>
  <c r="V30" i="7"/>
  <c r="Y29" i="7"/>
  <c r="V29" i="7"/>
  <c r="Y28" i="7"/>
  <c r="V28" i="7"/>
  <c r="Y27" i="7"/>
  <c r="V27" i="7"/>
  <c r="Y26" i="7"/>
  <c r="V26" i="7"/>
  <c r="Y25" i="7"/>
  <c r="V25" i="7"/>
  <c r="Y24" i="7"/>
  <c r="V24" i="7"/>
  <c r="Y23" i="7"/>
  <c r="V23" i="7"/>
  <c r="Y22" i="7"/>
  <c r="V22" i="7"/>
  <c r="Y21" i="7"/>
  <c r="V21" i="7"/>
  <c r="Y20" i="7"/>
  <c r="V20" i="7"/>
  <c r="Y19" i="7"/>
  <c r="V19" i="7"/>
  <c r="Y18" i="7"/>
  <c r="V18" i="7"/>
  <c r="Y17" i="7"/>
  <c r="V17" i="7"/>
  <c r="Y16" i="7"/>
  <c r="V16" i="7"/>
  <c r="Y15" i="7"/>
  <c r="V15" i="7"/>
  <c r="Y14" i="7"/>
  <c r="V14" i="7"/>
  <c r="Y13" i="7"/>
  <c r="V13" i="7"/>
  <c r="Y12" i="7"/>
  <c r="V12" i="7"/>
  <c r="Y11" i="7"/>
  <c r="V11" i="7"/>
  <c r="Y10" i="7"/>
  <c r="V10" i="7"/>
  <c r="Y9" i="7"/>
  <c r="V9" i="7"/>
  <c r="W2" i="7"/>
  <c r="U2" i="7"/>
  <c r="U3" i="7" s="1"/>
  <c r="AS378" i="7" l="1"/>
  <c r="Y376" i="7"/>
  <c r="O379" i="7"/>
  <c r="W379" i="7"/>
  <c r="U379" i="7"/>
  <c r="AC379" i="7"/>
  <c r="R379" i="7"/>
  <c r="W3" i="7"/>
  <c r="AF379" i="7"/>
  <c r="J379" i="7"/>
  <c r="Y377" i="7"/>
  <c r="X379" i="7"/>
  <c r="AR379" i="7"/>
  <c r="AQ379" i="7"/>
  <c r="F379" i="7"/>
  <c r="N379" i="7"/>
  <c r="AL368" i="7"/>
  <c r="AL378" i="7"/>
  <c r="AL379" i="7" s="1"/>
  <c r="Y368" i="7"/>
  <c r="Y378" i="7"/>
  <c r="AS377" i="7"/>
  <c r="AS379" i="7" s="1"/>
  <c r="AS368" i="7"/>
  <c r="V368" i="7"/>
  <c r="V378" i="7"/>
  <c r="V377" i="7"/>
  <c r="V376" i="7"/>
  <c r="T379" i="7"/>
  <c r="AB379" i="7"/>
  <c r="AJ379" i="7"/>
  <c r="AO379" i="7"/>
  <c r="Y379" i="7" l="1"/>
  <c r="V379" i="7"/>
  <c r="AL387" i="6"/>
  <c r="AW378" i="6"/>
  <c r="F375" i="6"/>
  <c r="BO372" i="6"/>
  <c r="BN372" i="6"/>
  <c r="BM372" i="6"/>
  <c r="BL372" i="6"/>
  <c r="BJ372" i="6"/>
  <c r="BH372" i="6"/>
  <c r="BG372" i="6"/>
  <c r="BF372" i="6"/>
  <c r="BE372" i="6"/>
  <c r="BE377" i="6" s="1"/>
  <c r="BD372" i="6"/>
  <c r="BC372" i="6"/>
  <c r="BA372" i="6"/>
  <c r="AZ372" i="6"/>
  <c r="AY372" i="6"/>
  <c r="AW372" i="6"/>
  <c r="AU372" i="6"/>
  <c r="AT372" i="6"/>
  <c r="AT390" i="6" s="1"/>
  <c r="AS372" i="6"/>
  <c r="AR372" i="6"/>
  <c r="AQ372" i="6"/>
  <c r="AM372" i="6"/>
  <c r="AL372" i="6"/>
  <c r="AI372" i="6"/>
  <c r="AF372" i="6"/>
  <c r="AC372" i="6"/>
  <c r="Z372" i="6"/>
  <c r="V372" i="6"/>
  <c r="BO371" i="6"/>
  <c r="BN371" i="6"/>
  <c r="BM371" i="6"/>
  <c r="BL371" i="6"/>
  <c r="BJ371" i="6"/>
  <c r="BH371" i="6"/>
  <c r="BG371" i="6"/>
  <c r="BF371" i="6"/>
  <c r="BE371" i="6"/>
  <c r="BE376" i="6" s="1"/>
  <c r="BD371" i="6"/>
  <c r="BC371" i="6"/>
  <c r="BA371" i="6"/>
  <c r="AZ371" i="6"/>
  <c r="AY371" i="6"/>
  <c r="AW371" i="6"/>
  <c r="AV371" i="6"/>
  <c r="AU371" i="6"/>
  <c r="AT371" i="6"/>
  <c r="AS371" i="6"/>
  <c r="AS390" i="6" s="1"/>
  <c r="AR371" i="6"/>
  <c r="AQ371" i="6"/>
  <c r="AM371" i="6"/>
  <c r="AL371" i="6"/>
  <c r="AI371" i="6"/>
  <c r="AF371" i="6"/>
  <c r="AC371" i="6"/>
  <c r="Z371" i="6"/>
  <c r="V371" i="6"/>
  <c r="BO370" i="6"/>
  <c r="BO373" i="6" s="1"/>
  <c r="BN370" i="6"/>
  <c r="BM370" i="6"/>
  <c r="BL370" i="6"/>
  <c r="BJ370" i="6"/>
  <c r="BH370" i="6"/>
  <c r="BG370" i="6"/>
  <c r="BF370" i="6"/>
  <c r="BE370" i="6"/>
  <c r="BD370" i="6"/>
  <c r="BC370" i="6"/>
  <c r="BA370" i="6"/>
  <c r="AZ370" i="6"/>
  <c r="AY370" i="6"/>
  <c r="AW370" i="6"/>
  <c r="AV370" i="6"/>
  <c r="AU370" i="6"/>
  <c r="AT370" i="6"/>
  <c r="AS370" i="6"/>
  <c r="AR370" i="6"/>
  <c r="AQ370" i="6"/>
  <c r="AM370" i="6"/>
  <c r="AL370" i="6"/>
  <c r="AI370" i="6"/>
  <c r="AF370" i="6"/>
  <c r="AC370" i="6"/>
  <c r="Z370" i="6"/>
  <c r="V370" i="6"/>
  <c r="BV369" i="6"/>
  <c r="BU369" i="6"/>
  <c r="BT369" i="6"/>
  <c r="BW368" i="6"/>
  <c r="BO368" i="6"/>
  <c r="BM368" i="6"/>
  <c r="BL368" i="6"/>
  <c r="BJ368" i="6"/>
  <c r="BH384" i="6"/>
  <c r="BG368" i="6"/>
  <c r="AW368" i="6"/>
  <c r="AT368" i="6"/>
  <c r="AS368" i="6"/>
  <c r="AR368" i="6"/>
  <c r="AM368" i="6"/>
  <c r="AL368" i="6"/>
  <c r="AL375" i="6" s="1"/>
  <c r="Z368" i="6"/>
  <c r="V368" i="6"/>
  <c r="BW367" i="6"/>
  <c r="BI367" i="6"/>
  <c r="AX367" i="6"/>
  <c r="F367" i="6" s="1"/>
  <c r="AP367" i="6"/>
  <c r="AA367" i="6"/>
  <c r="AB367" i="6" s="1"/>
  <c r="S367" i="6"/>
  <c r="N367" i="6"/>
  <c r="G367" i="6"/>
  <c r="C367" i="6"/>
  <c r="BW366" i="6"/>
  <c r="BI366" i="6"/>
  <c r="AX366" i="6"/>
  <c r="AP366" i="6"/>
  <c r="S366" i="6"/>
  <c r="N366" i="6"/>
  <c r="G366" i="6"/>
  <c r="C366" i="6"/>
  <c r="BW365" i="6"/>
  <c r="BI365" i="6"/>
  <c r="AX365" i="6"/>
  <c r="AP365" i="6"/>
  <c r="S365" i="6"/>
  <c r="N365" i="6"/>
  <c r="G365" i="6"/>
  <c r="C365" i="6"/>
  <c r="BW364" i="6"/>
  <c r="BI364" i="6"/>
  <c r="AX364" i="6"/>
  <c r="AP364" i="6"/>
  <c r="S364" i="6"/>
  <c r="N364" i="6"/>
  <c r="G364" i="6"/>
  <c r="C364" i="6"/>
  <c r="BW363" i="6"/>
  <c r="BI363" i="6"/>
  <c r="AX363" i="6"/>
  <c r="AP363" i="6"/>
  <c r="S363" i="6"/>
  <c r="N363" i="6"/>
  <c r="G363" i="6"/>
  <c r="C363" i="6"/>
  <c r="BW362" i="6"/>
  <c r="BI362" i="6"/>
  <c r="AX362" i="6"/>
  <c r="AP362" i="6"/>
  <c r="S362" i="6"/>
  <c r="N362" i="6"/>
  <c r="G362" i="6"/>
  <c r="C362" i="6"/>
  <c r="BW361" i="6"/>
  <c r="BI361" i="6"/>
  <c r="AX361" i="6"/>
  <c r="AP361" i="6"/>
  <c r="S361" i="6"/>
  <c r="N361" i="6"/>
  <c r="G361" i="6"/>
  <c r="C361" i="6"/>
  <c r="BW360" i="6"/>
  <c r="BI360" i="6"/>
  <c r="AX360" i="6"/>
  <c r="AP360" i="6"/>
  <c r="S360" i="6"/>
  <c r="N360" i="6"/>
  <c r="G360" i="6"/>
  <c r="C360" i="6"/>
  <c r="BW359" i="6"/>
  <c r="BI359" i="6"/>
  <c r="AX359" i="6"/>
  <c r="AP359" i="6"/>
  <c r="S359" i="6"/>
  <c r="N359" i="6"/>
  <c r="G359" i="6"/>
  <c r="C359" i="6"/>
  <c r="BW358" i="6"/>
  <c r="BI358" i="6"/>
  <c r="AX358" i="6"/>
  <c r="AP358" i="6"/>
  <c r="S358" i="6"/>
  <c r="N358" i="6"/>
  <c r="G358" i="6"/>
  <c r="C358" i="6"/>
  <c r="BW357" i="6"/>
  <c r="BI357" i="6"/>
  <c r="AX357" i="6"/>
  <c r="AP357" i="6"/>
  <c r="S357" i="6"/>
  <c r="N357" i="6"/>
  <c r="G357" i="6"/>
  <c r="C357" i="6"/>
  <c r="BW356" i="6"/>
  <c r="BI356" i="6"/>
  <c r="AX356" i="6"/>
  <c r="AP356" i="6"/>
  <c r="S356" i="6"/>
  <c r="N356" i="6"/>
  <c r="G356" i="6"/>
  <c r="C356" i="6"/>
  <c r="BW355" i="6"/>
  <c r="BI355" i="6"/>
  <c r="AX355" i="6"/>
  <c r="AP355" i="6"/>
  <c r="S355" i="6"/>
  <c r="N355" i="6"/>
  <c r="G355" i="6"/>
  <c r="C355" i="6"/>
  <c r="BW354" i="6"/>
  <c r="BI354" i="6"/>
  <c r="AX354" i="6"/>
  <c r="AP354" i="6"/>
  <c r="S354" i="6"/>
  <c r="N354" i="6"/>
  <c r="G354" i="6"/>
  <c r="C354" i="6"/>
  <c r="BW353" i="6"/>
  <c r="BI353" i="6"/>
  <c r="AX353" i="6"/>
  <c r="AP353" i="6"/>
  <c r="S353" i="6"/>
  <c r="N353" i="6"/>
  <c r="G353" i="6"/>
  <c r="C353" i="6"/>
  <c r="BW352" i="6"/>
  <c r="BI352" i="6"/>
  <c r="AX352" i="6"/>
  <c r="AP352" i="6"/>
  <c r="S352" i="6"/>
  <c r="N352" i="6"/>
  <c r="G352" i="6"/>
  <c r="C352" i="6"/>
  <c r="BW351" i="6"/>
  <c r="BI351" i="6"/>
  <c r="AX351" i="6"/>
  <c r="AP351" i="6"/>
  <c r="S351" i="6"/>
  <c r="N351" i="6"/>
  <c r="G351" i="6"/>
  <c r="C351" i="6"/>
  <c r="BW350" i="6"/>
  <c r="BI350" i="6"/>
  <c r="AX350" i="6"/>
  <c r="AP350" i="6"/>
  <c r="S350" i="6"/>
  <c r="N350" i="6"/>
  <c r="G350" i="6"/>
  <c r="C350" i="6"/>
  <c r="BW349" i="6"/>
  <c r="BI349" i="6"/>
  <c r="AX349" i="6"/>
  <c r="AP349" i="6"/>
  <c r="S349" i="6"/>
  <c r="N349" i="6"/>
  <c r="G349" i="6"/>
  <c r="C349" i="6"/>
  <c r="BW348" i="6"/>
  <c r="BI348" i="6"/>
  <c r="AX348" i="6"/>
  <c r="AP348" i="6"/>
  <c r="S348" i="6"/>
  <c r="N348" i="6"/>
  <c r="G348" i="6"/>
  <c r="C348" i="6"/>
  <c r="BW347" i="6"/>
  <c r="BI347" i="6"/>
  <c r="AX347" i="6"/>
  <c r="AP347" i="6"/>
  <c r="S347" i="6"/>
  <c r="N347" i="6"/>
  <c r="G347" i="6"/>
  <c r="C347" i="6"/>
  <c r="BW346" i="6"/>
  <c r="BI346" i="6"/>
  <c r="AX346" i="6"/>
  <c r="AP346" i="6"/>
  <c r="S346" i="6"/>
  <c r="N346" i="6"/>
  <c r="G346" i="6"/>
  <c r="C346" i="6"/>
  <c r="BW345" i="6"/>
  <c r="BI345" i="6"/>
  <c r="AX345" i="6"/>
  <c r="AP345" i="6"/>
  <c r="S345" i="6"/>
  <c r="N345" i="6"/>
  <c r="G345" i="6"/>
  <c r="C345" i="6"/>
  <c r="BW344" i="6"/>
  <c r="BI344" i="6"/>
  <c r="AX344" i="6"/>
  <c r="AP344" i="6"/>
  <c r="S344" i="6"/>
  <c r="N344" i="6"/>
  <c r="G344" i="6"/>
  <c r="C344" i="6"/>
  <c r="BW343" i="6"/>
  <c r="BI343" i="6"/>
  <c r="AX343" i="6"/>
  <c r="AP343" i="6"/>
  <c r="S343" i="6"/>
  <c r="N343" i="6"/>
  <c r="G343" i="6"/>
  <c r="C343" i="6"/>
  <c r="BW342" i="6"/>
  <c r="BI342" i="6"/>
  <c r="AX342" i="6"/>
  <c r="AP342" i="6"/>
  <c r="S342" i="6"/>
  <c r="N342" i="6"/>
  <c r="G342" i="6"/>
  <c r="C342" i="6"/>
  <c r="BW341" i="6"/>
  <c r="BI341" i="6"/>
  <c r="AX341" i="6"/>
  <c r="AP341" i="6"/>
  <c r="S341" i="6"/>
  <c r="N341" i="6"/>
  <c r="G341" i="6"/>
  <c r="C341" i="6"/>
  <c r="BW340" i="6"/>
  <c r="BI340" i="6"/>
  <c r="AX340" i="6"/>
  <c r="AP340" i="6"/>
  <c r="S340" i="6"/>
  <c r="N340" i="6"/>
  <c r="G340" i="6"/>
  <c r="C340" i="6"/>
  <c r="BW339" i="6"/>
  <c r="BI339" i="6"/>
  <c r="AX339" i="6"/>
  <c r="AP339" i="6"/>
  <c r="S339" i="6"/>
  <c r="N339" i="6"/>
  <c r="G339" i="6"/>
  <c r="C339" i="6"/>
  <c r="BW338" i="6"/>
  <c r="BI338" i="6"/>
  <c r="AX338" i="6"/>
  <c r="AP338" i="6"/>
  <c r="S338" i="6"/>
  <c r="N338" i="6"/>
  <c r="G338" i="6"/>
  <c r="C338" i="6"/>
  <c r="BW337" i="6"/>
  <c r="BI337" i="6"/>
  <c r="AX337" i="6"/>
  <c r="AP337" i="6"/>
  <c r="S337" i="6"/>
  <c r="N337" i="6"/>
  <c r="G337" i="6"/>
  <c r="C337" i="6"/>
  <c r="BW336" i="6"/>
  <c r="BI336" i="6"/>
  <c r="AX336" i="6"/>
  <c r="AP336" i="6"/>
  <c r="S336" i="6"/>
  <c r="N336" i="6"/>
  <c r="G336" i="6"/>
  <c r="C336" i="6"/>
  <c r="BW335" i="6"/>
  <c r="BI335" i="6"/>
  <c r="AX335" i="6"/>
  <c r="AP335" i="6"/>
  <c r="S335" i="6"/>
  <c r="N335" i="6"/>
  <c r="G335" i="6"/>
  <c r="C335" i="6"/>
  <c r="BW334" i="6"/>
  <c r="BI334" i="6"/>
  <c r="AX334" i="6"/>
  <c r="AP334" i="6"/>
  <c r="S334" i="6"/>
  <c r="N334" i="6"/>
  <c r="G334" i="6"/>
  <c r="C334" i="6"/>
  <c r="BW333" i="6"/>
  <c r="BI333" i="6"/>
  <c r="AX333" i="6"/>
  <c r="AP333" i="6"/>
  <c r="S333" i="6"/>
  <c r="N333" i="6"/>
  <c r="G333" i="6"/>
  <c r="C333" i="6"/>
  <c r="BW332" i="6"/>
  <c r="BI332" i="6"/>
  <c r="AX332" i="6"/>
  <c r="AP332" i="6"/>
  <c r="S332" i="6"/>
  <c r="N332" i="6"/>
  <c r="G332" i="6"/>
  <c r="C332" i="6"/>
  <c r="BW331" i="6"/>
  <c r="BI331" i="6"/>
  <c r="AX331" i="6"/>
  <c r="AP331" i="6"/>
  <c r="S331" i="6"/>
  <c r="N331" i="6"/>
  <c r="G331" i="6"/>
  <c r="C331" i="6"/>
  <c r="BW330" i="6"/>
  <c r="BI330" i="6"/>
  <c r="AX330" i="6"/>
  <c r="AP330" i="6"/>
  <c r="S330" i="6"/>
  <c r="N330" i="6"/>
  <c r="G330" i="6"/>
  <c r="C330" i="6"/>
  <c r="BW329" i="6"/>
  <c r="BI329" i="6"/>
  <c r="AX329" i="6"/>
  <c r="AP329" i="6"/>
  <c r="S329" i="6"/>
  <c r="N329" i="6"/>
  <c r="G329" i="6"/>
  <c r="C329" i="6"/>
  <c r="BW328" i="6"/>
  <c r="BI328" i="6"/>
  <c r="AX328" i="6"/>
  <c r="AP328" i="6"/>
  <c r="S328" i="6"/>
  <c r="N328" i="6"/>
  <c r="G328" i="6"/>
  <c r="C328" i="6"/>
  <c r="BW327" i="6"/>
  <c r="BI327" i="6"/>
  <c r="AX327" i="6"/>
  <c r="AP327" i="6"/>
  <c r="S327" i="6"/>
  <c r="N327" i="6"/>
  <c r="G327" i="6"/>
  <c r="C327" i="6"/>
  <c r="BW326" i="6"/>
  <c r="BI326" i="6"/>
  <c r="AX326" i="6"/>
  <c r="AP326" i="6"/>
  <c r="S326" i="6"/>
  <c r="N326" i="6"/>
  <c r="G326" i="6"/>
  <c r="C326" i="6"/>
  <c r="BW325" i="6"/>
  <c r="BI325" i="6"/>
  <c r="AX325" i="6"/>
  <c r="AP325" i="6"/>
  <c r="S325" i="6"/>
  <c r="N325" i="6"/>
  <c r="G325" i="6"/>
  <c r="C325" i="6"/>
  <c r="BW324" i="6"/>
  <c r="BI324" i="6"/>
  <c r="AX324" i="6"/>
  <c r="AP324" i="6"/>
  <c r="S324" i="6"/>
  <c r="N324" i="6"/>
  <c r="G324" i="6"/>
  <c r="C324" i="6"/>
  <c r="BW323" i="6"/>
  <c r="BI323" i="6"/>
  <c r="AX323" i="6"/>
  <c r="AP323" i="6"/>
  <c r="S323" i="6"/>
  <c r="N323" i="6"/>
  <c r="G323" i="6"/>
  <c r="C323" i="6"/>
  <c r="BW322" i="6"/>
  <c r="BI322" i="6"/>
  <c r="AX322" i="6"/>
  <c r="AP322" i="6"/>
  <c r="S322" i="6"/>
  <c r="N322" i="6"/>
  <c r="G322" i="6"/>
  <c r="C322" i="6"/>
  <c r="BW321" i="6"/>
  <c r="BI321" i="6"/>
  <c r="AX321" i="6"/>
  <c r="AP321" i="6"/>
  <c r="S321" i="6"/>
  <c r="N321" i="6"/>
  <c r="G321" i="6"/>
  <c r="C321" i="6"/>
  <c r="BW320" i="6"/>
  <c r="BI320" i="6"/>
  <c r="AX320" i="6"/>
  <c r="AP320" i="6"/>
  <c r="S320" i="6"/>
  <c r="N320" i="6"/>
  <c r="G320" i="6"/>
  <c r="C320" i="6"/>
  <c r="BW319" i="6"/>
  <c r="BI319" i="6"/>
  <c r="AX319" i="6"/>
  <c r="AP319" i="6"/>
  <c r="S319" i="6"/>
  <c r="N319" i="6"/>
  <c r="G319" i="6"/>
  <c r="C319" i="6"/>
  <c r="BW318" i="6"/>
  <c r="BI318" i="6"/>
  <c r="AX318" i="6"/>
  <c r="AP318" i="6"/>
  <c r="S318" i="6"/>
  <c r="N318" i="6"/>
  <c r="G318" i="6"/>
  <c r="C318" i="6"/>
  <c r="BW317" i="6"/>
  <c r="BI317" i="6"/>
  <c r="AX317" i="6"/>
  <c r="AP317" i="6"/>
  <c r="S317" i="6"/>
  <c r="N317" i="6"/>
  <c r="G317" i="6"/>
  <c r="C317" i="6"/>
  <c r="BW316" i="6"/>
  <c r="BI316" i="6"/>
  <c r="AX316" i="6"/>
  <c r="AP316" i="6"/>
  <c r="S316" i="6"/>
  <c r="N316" i="6"/>
  <c r="G316" i="6"/>
  <c r="C316" i="6"/>
  <c r="BW315" i="6"/>
  <c r="BI315" i="6"/>
  <c r="AX315" i="6"/>
  <c r="AP315" i="6"/>
  <c r="S315" i="6"/>
  <c r="N315" i="6"/>
  <c r="G315" i="6"/>
  <c r="C315" i="6"/>
  <c r="BW314" i="6"/>
  <c r="BI314" i="6"/>
  <c r="AX314" i="6"/>
  <c r="AP314" i="6"/>
  <c r="S314" i="6"/>
  <c r="N314" i="6"/>
  <c r="G314" i="6"/>
  <c r="C314" i="6"/>
  <c r="BW313" i="6"/>
  <c r="BI313" i="6"/>
  <c r="AX313" i="6"/>
  <c r="AP313" i="6"/>
  <c r="S313" i="6"/>
  <c r="N313" i="6"/>
  <c r="G313" i="6"/>
  <c r="C313" i="6"/>
  <c r="BW312" i="6"/>
  <c r="BI312" i="6"/>
  <c r="AX312" i="6"/>
  <c r="AP312" i="6"/>
  <c r="S312" i="6"/>
  <c r="N312" i="6"/>
  <c r="G312" i="6"/>
  <c r="C312" i="6"/>
  <c r="BW311" i="6"/>
  <c r="BI311" i="6"/>
  <c r="AX311" i="6"/>
  <c r="AP311" i="6"/>
  <c r="S311" i="6"/>
  <c r="N311" i="6"/>
  <c r="G311" i="6"/>
  <c r="C311" i="6"/>
  <c r="BW310" i="6"/>
  <c r="BI310" i="6"/>
  <c r="AX310" i="6"/>
  <c r="AP310" i="6"/>
  <c r="S310" i="6"/>
  <c r="N310" i="6"/>
  <c r="G310" i="6"/>
  <c r="C310" i="6"/>
  <c r="BW309" i="6"/>
  <c r="BI309" i="6"/>
  <c r="AX309" i="6"/>
  <c r="AP309" i="6"/>
  <c r="S309" i="6"/>
  <c r="N309" i="6"/>
  <c r="G309" i="6"/>
  <c r="C309" i="6"/>
  <c r="BW308" i="6"/>
  <c r="BI308" i="6"/>
  <c r="AX308" i="6"/>
  <c r="AP308" i="6"/>
  <c r="S308" i="6"/>
  <c r="N308" i="6"/>
  <c r="G308" i="6"/>
  <c r="C308" i="6"/>
  <c r="BW307" i="6"/>
  <c r="BI307" i="6"/>
  <c r="AX307" i="6"/>
  <c r="AP307" i="6"/>
  <c r="S307" i="6"/>
  <c r="N307" i="6"/>
  <c r="G307" i="6"/>
  <c r="C307" i="6"/>
  <c r="BW306" i="6"/>
  <c r="BI306" i="6"/>
  <c r="AX306" i="6"/>
  <c r="AP306" i="6"/>
  <c r="S306" i="6"/>
  <c r="N306" i="6"/>
  <c r="G306" i="6"/>
  <c r="C306" i="6"/>
  <c r="BW305" i="6"/>
  <c r="BI305" i="6"/>
  <c r="AX305" i="6"/>
  <c r="AP305" i="6"/>
  <c r="S305" i="6"/>
  <c r="N305" i="6"/>
  <c r="G305" i="6"/>
  <c r="C305" i="6"/>
  <c r="BW304" i="6"/>
  <c r="BI304" i="6"/>
  <c r="AX304" i="6"/>
  <c r="AP304" i="6"/>
  <c r="S304" i="6"/>
  <c r="N304" i="6"/>
  <c r="G304" i="6"/>
  <c r="C304" i="6"/>
  <c r="BW303" i="6"/>
  <c r="BI303" i="6"/>
  <c r="AX303" i="6"/>
  <c r="AP303" i="6"/>
  <c r="S303" i="6"/>
  <c r="N303" i="6"/>
  <c r="G303" i="6"/>
  <c r="C303" i="6"/>
  <c r="BW302" i="6"/>
  <c r="BI302" i="6"/>
  <c r="AX302" i="6"/>
  <c r="AP302" i="6"/>
  <c r="S302" i="6"/>
  <c r="N302" i="6"/>
  <c r="G302" i="6"/>
  <c r="C302" i="6"/>
  <c r="BW301" i="6"/>
  <c r="BI301" i="6"/>
  <c r="AX301" i="6"/>
  <c r="AP301" i="6"/>
  <c r="S301" i="6"/>
  <c r="N301" i="6"/>
  <c r="G301" i="6"/>
  <c r="C301" i="6"/>
  <c r="BW300" i="6"/>
  <c r="BI300" i="6"/>
  <c r="AX300" i="6"/>
  <c r="AP300" i="6"/>
  <c r="S300" i="6"/>
  <c r="N300" i="6"/>
  <c r="G300" i="6"/>
  <c r="C300" i="6"/>
  <c r="BW299" i="6"/>
  <c r="BI299" i="6"/>
  <c r="AX299" i="6"/>
  <c r="AP299" i="6"/>
  <c r="S299" i="6"/>
  <c r="N299" i="6"/>
  <c r="G299" i="6"/>
  <c r="C299" i="6"/>
  <c r="BW298" i="6"/>
  <c r="BI298" i="6"/>
  <c r="AX298" i="6"/>
  <c r="AP298" i="6"/>
  <c r="S298" i="6"/>
  <c r="N298" i="6"/>
  <c r="G298" i="6"/>
  <c r="C298" i="6"/>
  <c r="BW297" i="6"/>
  <c r="BI297" i="6"/>
  <c r="AX297" i="6"/>
  <c r="AP297" i="6"/>
  <c r="S297" i="6"/>
  <c r="N297" i="6"/>
  <c r="G297" i="6"/>
  <c r="C297" i="6"/>
  <c r="BW296" i="6"/>
  <c r="BI296" i="6"/>
  <c r="AX296" i="6"/>
  <c r="AP296" i="6"/>
  <c r="S296" i="6"/>
  <c r="N296" i="6"/>
  <c r="G296" i="6"/>
  <c r="C296" i="6"/>
  <c r="BW295" i="6"/>
  <c r="BI295" i="6"/>
  <c r="AX295" i="6"/>
  <c r="AP295" i="6"/>
  <c r="S295" i="6"/>
  <c r="N295" i="6"/>
  <c r="G295" i="6"/>
  <c r="C295" i="6"/>
  <c r="BW294" i="6"/>
  <c r="BI294" i="6"/>
  <c r="AX294" i="6"/>
  <c r="AP294" i="6"/>
  <c r="S294" i="6"/>
  <c r="N294" i="6"/>
  <c r="G294" i="6"/>
  <c r="C294" i="6"/>
  <c r="BW293" i="6"/>
  <c r="BI293" i="6"/>
  <c r="AX293" i="6"/>
  <c r="AP293" i="6"/>
  <c r="S293" i="6"/>
  <c r="N293" i="6"/>
  <c r="G293" i="6"/>
  <c r="C293" i="6"/>
  <c r="BW292" i="6"/>
  <c r="BI292" i="6"/>
  <c r="AX292" i="6"/>
  <c r="AP292" i="6"/>
  <c r="S292" i="6"/>
  <c r="N292" i="6"/>
  <c r="G292" i="6"/>
  <c r="C292" i="6"/>
  <c r="BW291" i="6"/>
  <c r="BI291" i="6"/>
  <c r="AX291" i="6"/>
  <c r="AP291" i="6"/>
  <c r="S291" i="6"/>
  <c r="N291" i="6"/>
  <c r="G291" i="6"/>
  <c r="C291" i="6"/>
  <c r="BW290" i="6"/>
  <c r="BI290" i="6"/>
  <c r="AX290" i="6"/>
  <c r="AP290" i="6"/>
  <c r="S290" i="6"/>
  <c r="N290" i="6"/>
  <c r="G290" i="6"/>
  <c r="C290" i="6"/>
  <c r="BW289" i="6"/>
  <c r="BI289" i="6"/>
  <c r="AX289" i="6"/>
  <c r="AP289" i="6"/>
  <c r="S289" i="6"/>
  <c r="N289" i="6"/>
  <c r="G289" i="6"/>
  <c r="C289" i="6"/>
  <c r="BW288" i="6"/>
  <c r="BI288" i="6"/>
  <c r="AX288" i="6"/>
  <c r="AP288" i="6"/>
  <c r="S288" i="6"/>
  <c r="N288" i="6"/>
  <c r="G288" i="6"/>
  <c r="C288" i="6"/>
  <c r="BW287" i="6"/>
  <c r="BI287" i="6"/>
  <c r="AX287" i="6"/>
  <c r="AP287" i="6"/>
  <c r="S287" i="6"/>
  <c r="N287" i="6"/>
  <c r="G287" i="6"/>
  <c r="C287" i="6"/>
  <c r="BW286" i="6"/>
  <c r="BI286" i="6"/>
  <c r="AX286" i="6"/>
  <c r="AP286" i="6"/>
  <c r="S286" i="6"/>
  <c r="N286" i="6"/>
  <c r="G286" i="6"/>
  <c r="C286" i="6"/>
  <c r="BW285" i="6"/>
  <c r="BI285" i="6"/>
  <c r="AX285" i="6"/>
  <c r="AP285" i="6"/>
  <c r="S285" i="6"/>
  <c r="N285" i="6"/>
  <c r="G285" i="6"/>
  <c r="C285" i="6"/>
  <c r="BW284" i="6"/>
  <c r="BI284" i="6"/>
  <c r="AX284" i="6"/>
  <c r="AP284" i="6"/>
  <c r="S284" i="6"/>
  <c r="N284" i="6"/>
  <c r="G284" i="6"/>
  <c r="C284" i="6"/>
  <c r="BW283" i="6"/>
  <c r="BI283" i="6"/>
  <c r="AX283" i="6"/>
  <c r="AP283" i="6"/>
  <c r="S283" i="6"/>
  <c r="N283" i="6"/>
  <c r="G283" i="6"/>
  <c r="C283" i="6"/>
  <c r="BW282" i="6"/>
  <c r="BI282" i="6"/>
  <c r="AX282" i="6"/>
  <c r="AP282" i="6"/>
  <c r="S282" i="6"/>
  <c r="N282" i="6"/>
  <c r="G282" i="6"/>
  <c r="C282" i="6"/>
  <c r="BW281" i="6"/>
  <c r="BI281" i="6"/>
  <c r="AX281" i="6"/>
  <c r="AP281" i="6"/>
  <c r="S281" i="6"/>
  <c r="N281" i="6"/>
  <c r="G281" i="6"/>
  <c r="C281" i="6"/>
  <c r="BW280" i="6"/>
  <c r="BI280" i="6"/>
  <c r="AX280" i="6"/>
  <c r="AP280" i="6"/>
  <c r="S280" i="6"/>
  <c r="N280" i="6"/>
  <c r="G280" i="6"/>
  <c r="C280" i="6"/>
  <c r="BW279" i="6"/>
  <c r="BI279" i="6"/>
  <c r="AX279" i="6"/>
  <c r="AP279" i="6"/>
  <c r="S279" i="6"/>
  <c r="N279" i="6"/>
  <c r="G279" i="6"/>
  <c r="C279" i="6"/>
  <c r="BW278" i="6"/>
  <c r="BI278" i="6"/>
  <c r="AX278" i="6"/>
  <c r="AP278" i="6"/>
  <c r="S278" i="6"/>
  <c r="N278" i="6"/>
  <c r="G278" i="6"/>
  <c r="C278" i="6"/>
  <c r="BW277" i="6"/>
  <c r="BI277" i="6"/>
  <c r="AX277" i="6"/>
  <c r="AP277" i="6"/>
  <c r="S277" i="6"/>
  <c r="N277" i="6"/>
  <c r="G277" i="6"/>
  <c r="C277" i="6"/>
  <c r="BW276" i="6"/>
  <c r="BI276" i="6"/>
  <c r="AX276" i="6"/>
  <c r="AP276" i="6"/>
  <c r="S276" i="6"/>
  <c r="N276" i="6"/>
  <c r="G276" i="6"/>
  <c r="C276" i="6"/>
  <c r="BW275" i="6"/>
  <c r="BI275" i="6"/>
  <c r="AX275" i="6"/>
  <c r="AP275" i="6"/>
  <c r="S275" i="6"/>
  <c r="N275" i="6"/>
  <c r="G275" i="6"/>
  <c r="C275" i="6"/>
  <c r="BW274" i="6"/>
  <c r="BI274" i="6"/>
  <c r="AX274" i="6"/>
  <c r="AP274" i="6"/>
  <c r="S274" i="6"/>
  <c r="N274" i="6"/>
  <c r="G274" i="6"/>
  <c r="C274" i="6"/>
  <c r="BW273" i="6"/>
  <c r="BI273" i="6"/>
  <c r="AX273" i="6"/>
  <c r="AP273" i="6"/>
  <c r="S273" i="6"/>
  <c r="N273" i="6"/>
  <c r="G273" i="6"/>
  <c r="C273" i="6"/>
  <c r="BW272" i="6"/>
  <c r="BI272" i="6"/>
  <c r="AX272" i="6"/>
  <c r="AP272" i="6"/>
  <c r="S272" i="6"/>
  <c r="N272" i="6"/>
  <c r="G272" i="6"/>
  <c r="C272" i="6"/>
  <c r="BW271" i="6"/>
  <c r="BI271" i="6"/>
  <c r="AX271" i="6"/>
  <c r="AP271" i="6"/>
  <c r="S271" i="6"/>
  <c r="N271" i="6"/>
  <c r="G271" i="6"/>
  <c r="C271" i="6"/>
  <c r="BW270" i="6"/>
  <c r="BI270" i="6"/>
  <c r="AX270" i="6"/>
  <c r="AP270" i="6"/>
  <c r="S270" i="6"/>
  <c r="N270" i="6"/>
  <c r="G270" i="6"/>
  <c r="C270" i="6"/>
  <c r="BW269" i="6"/>
  <c r="BI269" i="6"/>
  <c r="AX269" i="6"/>
  <c r="AP269" i="6"/>
  <c r="S269" i="6"/>
  <c r="N269" i="6"/>
  <c r="G269" i="6"/>
  <c r="C269" i="6"/>
  <c r="BW268" i="6"/>
  <c r="BI268" i="6"/>
  <c r="AX268" i="6"/>
  <c r="AP268" i="6"/>
  <c r="S268" i="6"/>
  <c r="N268" i="6"/>
  <c r="G268" i="6"/>
  <c r="C268" i="6"/>
  <c r="BW267" i="6"/>
  <c r="BI267" i="6"/>
  <c r="AX267" i="6"/>
  <c r="AP267" i="6"/>
  <c r="S267" i="6"/>
  <c r="N267" i="6"/>
  <c r="G267" i="6"/>
  <c r="C267" i="6"/>
  <c r="BW266" i="6"/>
  <c r="BI266" i="6"/>
  <c r="AX266" i="6"/>
  <c r="AP266" i="6"/>
  <c r="S266" i="6"/>
  <c r="N266" i="6"/>
  <c r="G266" i="6"/>
  <c r="C266" i="6"/>
  <c r="BW265" i="6"/>
  <c r="BI265" i="6"/>
  <c r="AX265" i="6"/>
  <c r="AP265" i="6"/>
  <c r="S265" i="6"/>
  <c r="N265" i="6"/>
  <c r="G265" i="6"/>
  <c r="C265" i="6"/>
  <c r="BW264" i="6"/>
  <c r="BI264" i="6"/>
  <c r="AX264" i="6"/>
  <c r="AP264" i="6"/>
  <c r="S264" i="6"/>
  <c r="N264" i="6"/>
  <c r="G264" i="6"/>
  <c r="C264" i="6"/>
  <c r="BW263" i="6"/>
  <c r="BI263" i="6"/>
  <c r="AX263" i="6"/>
  <c r="AP263" i="6"/>
  <c r="S263" i="6"/>
  <c r="N263" i="6"/>
  <c r="G263" i="6"/>
  <c r="C263" i="6"/>
  <c r="BW262" i="6"/>
  <c r="BI262" i="6"/>
  <c r="AX262" i="6"/>
  <c r="AP262" i="6"/>
  <c r="S262" i="6"/>
  <c r="N262" i="6"/>
  <c r="G262" i="6"/>
  <c r="C262" i="6"/>
  <c r="BW261" i="6"/>
  <c r="BI261" i="6"/>
  <c r="AX261" i="6"/>
  <c r="AP261" i="6"/>
  <c r="S261" i="6"/>
  <c r="N261" i="6"/>
  <c r="G261" i="6"/>
  <c r="C261" i="6"/>
  <c r="BW260" i="6"/>
  <c r="BI260" i="6"/>
  <c r="AX260" i="6"/>
  <c r="AP260" i="6"/>
  <c r="S260" i="6"/>
  <c r="N260" i="6"/>
  <c r="G260" i="6"/>
  <c r="C260" i="6"/>
  <c r="BW259" i="6"/>
  <c r="BI259" i="6"/>
  <c r="AX259" i="6"/>
  <c r="AP259" i="6"/>
  <c r="S259" i="6"/>
  <c r="N259" i="6"/>
  <c r="G259" i="6"/>
  <c r="C259" i="6"/>
  <c r="BW258" i="6"/>
  <c r="BI258" i="6"/>
  <c r="AX258" i="6"/>
  <c r="AP258" i="6"/>
  <c r="S258" i="6"/>
  <c r="N258" i="6"/>
  <c r="G258" i="6"/>
  <c r="C258" i="6"/>
  <c r="BW257" i="6"/>
  <c r="BI257" i="6"/>
  <c r="AX257" i="6"/>
  <c r="AP257" i="6"/>
  <c r="S257" i="6"/>
  <c r="N257" i="6"/>
  <c r="G257" i="6"/>
  <c r="C257" i="6"/>
  <c r="BW256" i="6"/>
  <c r="BI256" i="6"/>
  <c r="AX256" i="6"/>
  <c r="AP256" i="6"/>
  <c r="S256" i="6"/>
  <c r="N256" i="6"/>
  <c r="G256" i="6"/>
  <c r="C256" i="6"/>
  <c r="BW255" i="6"/>
  <c r="BI255" i="6"/>
  <c r="AX255" i="6"/>
  <c r="AP255" i="6"/>
  <c r="S255" i="6"/>
  <c r="N255" i="6"/>
  <c r="G255" i="6"/>
  <c r="C255" i="6"/>
  <c r="BW254" i="6"/>
  <c r="BI254" i="6"/>
  <c r="AX254" i="6"/>
  <c r="AP254" i="6"/>
  <c r="S254" i="6"/>
  <c r="N254" i="6"/>
  <c r="G254" i="6"/>
  <c r="C254" i="6"/>
  <c r="BW253" i="6"/>
  <c r="BI253" i="6"/>
  <c r="AX253" i="6"/>
  <c r="AP253" i="6"/>
  <c r="S253" i="6"/>
  <c r="N253" i="6"/>
  <c r="G253" i="6"/>
  <c r="C253" i="6"/>
  <c r="BW252" i="6"/>
  <c r="BI252" i="6"/>
  <c r="AX252" i="6"/>
  <c r="AP252" i="6"/>
  <c r="S252" i="6"/>
  <c r="N252" i="6"/>
  <c r="G252" i="6"/>
  <c r="C252" i="6"/>
  <c r="BW251" i="6"/>
  <c r="BI251" i="6"/>
  <c r="AX251" i="6"/>
  <c r="AP251" i="6"/>
  <c r="S251" i="6"/>
  <c r="N251" i="6"/>
  <c r="G251" i="6"/>
  <c r="C251" i="6"/>
  <c r="BW250" i="6"/>
  <c r="BI250" i="6"/>
  <c r="AX250" i="6"/>
  <c r="AP250" i="6"/>
  <c r="S250" i="6"/>
  <c r="N250" i="6"/>
  <c r="G250" i="6"/>
  <c r="C250" i="6"/>
  <c r="BW249" i="6"/>
  <c r="BI249" i="6"/>
  <c r="AX249" i="6"/>
  <c r="AP249" i="6"/>
  <c r="S249" i="6"/>
  <c r="N249" i="6"/>
  <c r="G249" i="6"/>
  <c r="C249" i="6"/>
  <c r="BW248" i="6"/>
  <c r="BI248" i="6"/>
  <c r="AX248" i="6"/>
  <c r="AP248" i="6"/>
  <c r="S248" i="6"/>
  <c r="N248" i="6"/>
  <c r="G248" i="6"/>
  <c r="C248" i="6"/>
  <c r="BW247" i="6"/>
  <c r="BI247" i="6"/>
  <c r="AX247" i="6"/>
  <c r="AP247" i="6"/>
  <c r="S247" i="6"/>
  <c r="N247" i="6"/>
  <c r="G247" i="6"/>
  <c r="C247" i="6"/>
  <c r="BW246" i="6"/>
  <c r="BI246" i="6"/>
  <c r="AX246" i="6"/>
  <c r="AP246" i="6"/>
  <c r="S246" i="6"/>
  <c r="N246" i="6"/>
  <c r="G246" i="6"/>
  <c r="C246" i="6"/>
  <c r="BW245" i="6"/>
  <c r="BI245" i="6"/>
  <c r="AX245" i="6"/>
  <c r="AP245" i="6"/>
  <c r="S245" i="6"/>
  <c r="N245" i="6"/>
  <c r="G245" i="6"/>
  <c r="C245" i="6"/>
  <c r="BW244" i="6"/>
  <c r="BI244" i="6"/>
  <c r="AX244" i="6"/>
  <c r="AP244" i="6"/>
  <c r="S244" i="6"/>
  <c r="N244" i="6"/>
  <c r="G244" i="6"/>
  <c r="C244" i="6"/>
  <c r="BW243" i="6"/>
  <c r="BI243" i="6"/>
  <c r="AX243" i="6"/>
  <c r="AP243" i="6"/>
  <c r="S243" i="6"/>
  <c r="N243" i="6"/>
  <c r="G243" i="6"/>
  <c r="C243" i="6"/>
  <c r="BW242" i="6"/>
  <c r="BI242" i="6"/>
  <c r="AX242" i="6"/>
  <c r="AP242" i="6"/>
  <c r="S242" i="6"/>
  <c r="N242" i="6"/>
  <c r="G242" i="6"/>
  <c r="C242" i="6"/>
  <c r="BW241" i="6"/>
  <c r="BI241" i="6"/>
  <c r="AX241" i="6"/>
  <c r="AP241" i="6"/>
  <c r="S241" i="6"/>
  <c r="N241" i="6"/>
  <c r="G241" i="6"/>
  <c r="C241" i="6"/>
  <c r="BW240" i="6"/>
  <c r="BI240" i="6"/>
  <c r="AX240" i="6"/>
  <c r="AP240" i="6"/>
  <c r="S240" i="6"/>
  <c r="N240" i="6"/>
  <c r="G240" i="6"/>
  <c r="C240" i="6"/>
  <c r="BW239" i="6"/>
  <c r="BI239" i="6"/>
  <c r="AX239" i="6"/>
  <c r="AP239" i="6"/>
  <c r="S239" i="6"/>
  <c r="N239" i="6"/>
  <c r="G239" i="6"/>
  <c r="C239" i="6"/>
  <c r="BW238" i="6"/>
  <c r="BI238" i="6"/>
  <c r="AX238" i="6"/>
  <c r="AP238" i="6"/>
  <c r="S238" i="6"/>
  <c r="N238" i="6"/>
  <c r="G238" i="6"/>
  <c r="C238" i="6"/>
  <c r="BW237" i="6"/>
  <c r="BI237" i="6"/>
  <c r="AX237" i="6"/>
  <c r="AP237" i="6"/>
  <c r="S237" i="6"/>
  <c r="N237" i="6"/>
  <c r="G237" i="6"/>
  <c r="C237" i="6"/>
  <c r="BW236" i="6"/>
  <c r="BI236" i="6"/>
  <c r="AX236" i="6"/>
  <c r="AP236" i="6"/>
  <c r="S236" i="6"/>
  <c r="N236" i="6"/>
  <c r="G236" i="6"/>
  <c r="C236" i="6"/>
  <c r="BW235" i="6"/>
  <c r="BI235" i="6"/>
  <c r="AX235" i="6"/>
  <c r="AP235" i="6"/>
  <c r="S235" i="6"/>
  <c r="N235" i="6"/>
  <c r="G235" i="6"/>
  <c r="C235" i="6"/>
  <c r="BW234" i="6"/>
  <c r="BI234" i="6"/>
  <c r="AX234" i="6"/>
  <c r="AP234" i="6"/>
  <c r="AD234" i="6"/>
  <c r="AE234" i="6" s="1"/>
  <c r="S234" i="6"/>
  <c r="N234" i="6"/>
  <c r="G234" i="6"/>
  <c r="C234" i="6"/>
  <c r="BW233" i="6"/>
  <c r="BI233" i="6"/>
  <c r="AX233" i="6"/>
  <c r="AP233" i="6"/>
  <c r="S233" i="6"/>
  <c r="N233" i="6"/>
  <c r="G233" i="6"/>
  <c r="C233" i="6"/>
  <c r="BW232" i="6"/>
  <c r="BI232" i="6"/>
  <c r="AX232" i="6"/>
  <c r="AP232" i="6"/>
  <c r="S232" i="6"/>
  <c r="N232" i="6"/>
  <c r="G232" i="6"/>
  <c r="C232" i="6"/>
  <c r="BW231" i="6"/>
  <c r="BI231" i="6"/>
  <c r="AX231" i="6"/>
  <c r="AP231" i="6"/>
  <c r="S231" i="6"/>
  <c r="N231" i="6"/>
  <c r="G231" i="6"/>
  <c r="C231" i="6"/>
  <c r="BW230" i="6"/>
  <c r="BI230" i="6"/>
  <c r="AX230" i="6"/>
  <c r="AP230" i="6"/>
  <c r="S230" i="6"/>
  <c r="N230" i="6"/>
  <c r="G230" i="6"/>
  <c r="C230" i="6"/>
  <c r="BW229" i="6"/>
  <c r="BI229" i="6"/>
  <c r="AX229" i="6"/>
  <c r="AP229" i="6"/>
  <c r="S229" i="6"/>
  <c r="N229" i="6"/>
  <c r="G229" i="6"/>
  <c r="C229" i="6"/>
  <c r="BW228" i="6"/>
  <c r="BI228" i="6"/>
  <c r="AX228" i="6"/>
  <c r="AP228" i="6"/>
  <c r="S228" i="6"/>
  <c r="N228" i="6"/>
  <c r="G228" i="6"/>
  <c r="C228" i="6"/>
  <c r="BW227" i="6"/>
  <c r="BI227" i="6"/>
  <c r="AX227" i="6"/>
  <c r="AP227" i="6"/>
  <c r="S227" i="6"/>
  <c r="N227" i="6"/>
  <c r="G227" i="6"/>
  <c r="C227" i="6"/>
  <c r="BW226" i="6"/>
  <c r="BI226" i="6"/>
  <c r="AX226" i="6"/>
  <c r="AP226" i="6"/>
  <c r="S226" i="6"/>
  <c r="N226" i="6"/>
  <c r="G226" i="6"/>
  <c r="C226" i="6"/>
  <c r="BW225" i="6"/>
  <c r="BI225" i="6"/>
  <c r="AX225" i="6"/>
  <c r="AP225" i="6"/>
  <c r="S225" i="6"/>
  <c r="N225" i="6"/>
  <c r="G225" i="6"/>
  <c r="C225" i="6"/>
  <c r="BW224" i="6"/>
  <c r="BI224" i="6"/>
  <c r="AX224" i="6"/>
  <c r="AP224" i="6"/>
  <c r="S224" i="6"/>
  <c r="N224" i="6"/>
  <c r="G224" i="6"/>
  <c r="C224" i="6"/>
  <c r="BW223" i="6"/>
  <c r="BI223" i="6"/>
  <c r="AX223" i="6"/>
  <c r="AP223" i="6"/>
  <c r="S223" i="6"/>
  <c r="N223" i="6"/>
  <c r="G223" i="6"/>
  <c r="C223" i="6"/>
  <c r="BW222" i="6"/>
  <c r="BI222" i="6"/>
  <c r="AX222" i="6"/>
  <c r="AP222" i="6"/>
  <c r="S222" i="6"/>
  <c r="N222" i="6"/>
  <c r="G222" i="6"/>
  <c r="C222" i="6"/>
  <c r="BW221" i="6"/>
  <c r="BI221" i="6"/>
  <c r="AX221" i="6"/>
  <c r="AP221" i="6"/>
  <c r="AG221" i="6"/>
  <c r="AH221" i="6" s="1"/>
  <c r="S221" i="6"/>
  <c r="N221" i="6"/>
  <c r="G221" i="6"/>
  <c r="C221" i="6"/>
  <c r="BW220" i="6"/>
  <c r="BI220" i="6"/>
  <c r="AX220" i="6"/>
  <c r="F220" i="6" s="1"/>
  <c r="AP220" i="6"/>
  <c r="S220" i="6"/>
  <c r="N220" i="6"/>
  <c r="G220" i="6"/>
  <c r="C220" i="6"/>
  <c r="BW219" i="6"/>
  <c r="BI219" i="6"/>
  <c r="AX219" i="6"/>
  <c r="F219" i="6" s="1"/>
  <c r="AP219" i="6"/>
  <c r="S219" i="6"/>
  <c r="N219" i="6"/>
  <c r="G219" i="6"/>
  <c r="C219" i="6"/>
  <c r="BW218" i="6"/>
  <c r="BI218" i="6"/>
  <c r="AX218" i="6"/>
  <c r="F218" i="6" s="1"/>
  <c r="AP218" i="6"/>
  <c r="S218" i="6"/>
  <c r="N218" i="6"/>
  <c r="G218" i="6"/>
  <c r="C218" i="6"/>
  <c r="BW217" i="6"/>
  <c r="BI217" i="6"/>
  <c r="AX217" i="6"/>
  <c r="AP217" i="6"/>
  <c r="S217" i="6"/>
  <c r="N217" i="6"/>
  <c r="G217" i="6"/>
  <c r="C217" i="6"/>
  <c r="BW216" i="6"/>
  <c r="BI216" i="6"/>
  <c r="AX216" i="6"/>
  <c r="AP216" i="6"/>
  <c r="S216" i="6"/>
  <c r="N216" i="6"/>
  <c r="G216" i="6"/>
  <c r="C216" i="6"/>
  <c r="BW215" i="6"/>
  <c r="BI215" i="6"/>
  <c r="AX215" i="6"/>
  <c r="AP215" i="6"/>
  <c r="S215" i="6"/>
  <c r="N215" i="6"/>
  <c r="G215" i="6"/>
  <c r="C215" i="6"/>
  <c r="BW214" i="6"/>
  <c r="BI214" i="6"/>
  <c r="AX214" i="6"/>
  <c r="AP214" i="6"/>
  <c r="S214" i="6"/>
  <c r="N214" i="6"/>
  <c r="G214" i="6"/>
  <c r="C214" i="6"/>
  <c r="BW213" i="6"/>
  <c r="BI213" i="6"/>
  <c r="AX213" i="6"/>
  <c r="AP213" i="6"/>
  <c r="S213" i="6"/>
  <c r="N213" i="6"/>
  <c r="G213" i="6"/>
  <c r="C213" i="6"/>
  <c r="BW212" i="6"/>
  <c r="BI212" i="6"/>
  <c r="AX212" i="6"/>
  <c r="AP212" i="6"/>
  <c r="S212" i="6"/>
  <c r="N212" i="6"/>
  <c r="G212" i="6"/>
  <c r="C212" i="6"/>
  <c r="BW211" i="6"/>
  <c r="BI211" i="6"/>
  <c r="AX211" i="6"/>
  <c r="AP211" i="6"/>
  <c r="S211" i="6"/>
  <c r="N211" i="6"/>
  <c r="G211" i="6"/>
  <c r="C211" i="6"/>
  <c r="BW210" i="6"/>
  <c r="BI210" i="6"/>
  <c r="AX210" i="6"/>
  <c r="AP210" i="6"/>
  <c r="S210" i="6"/>
  <c r="N210" i="6"/>
  <c r="G210" i="6"/>
  <c r="C210" i="6"/>
  <c r="BW209" i="6"/>
  <c r="BI209" i="6"/>
  <c r="AX209" i="6"/>
  <c r="AP209" i="6"/>
  <c r="S209" i="6"/>
  <c r="N209" i="6"/>
  <c r="G209" i="6"/>
  <c r="C209" i="6"/>
  <c r="BW208" i="6"/>
  <c r="BI208" i="6"/>
  <c r="AX208" i="6"/>
  <c r="AP208" i="6"/>
  <c r="S208" i="6"/>
  <c r="N208" i="6"/>
  <c r="G208" i="6"/>
  <c r="C208" i="6"/>
  <c r="BW207" i="6"/>
  <c r="BI207" i="6"/>
  <c r="AX207" i="6"/>
  <c r="AP207" i="6"/>
  <c r="S207" i="6"/>
  <c r="N207" i="6"/>
  <c r="G207" i="6"/>
  <c r="C207" i="6"/>
  <c r="BW206" i="6"/>
  <c r="BI206" i="6"/>
  <c r="AX206" i="6"/>
  <c r="AP206" i="6"/>
  <c r="S206" i="6"/>
  <c r="N206" i="6"/>
  <c r="G206" i="6"/>
  <c r="C206" i="6"/>
  <c r="BW205" i="6"/>
  <c r="BI205" i="6"/>
  <c r="AX205" i="6"/>
  <c r="AP205" i="6"/>
  <c r="S205" i="6"/>
  <c r="N205" i="6"/>
  <c r="G205" i="6"/>
  <c r="C205" i="6"/>
  <c r="BW204" i="6"/>
  <c r="BI204" i="6"/>
  <c r="AX204" i="6"/>
  <c r="AP204" i="6"/>
  <c r="S204" i="6"/>
  <c r="N204" i="6"/>
  <c r="G204" i="6"/>
  <c r="C204" i="6"/>
  <c r="BW203" i="6"/>
  <c r="BI203" i="6"/>
  <c r="AX203" i="6"/>
  <c r="AP203" i="6"/>
  <c r="S203" i="6"/>
  <c r="N203" i="6"/>
  <c r="G203" i="6"/>
  <c r="C203" i="6"/>
  <c r="BW202" i="6"/>
  <c r="BI202" i="6"/>
  <c r="AX202" i="6"/>
  <c r="AP202" i="6"/>
  <c r="S202" i="6"/>
  <c r="N202" i="6"/>
  <c r="G202" i="6"/>
  <c r="C202" i="6"/>
  <c r="BW201" i="6"/>
  <c r="BI201" i="6"/>
  <c r="AX201" i="6"/>
  <c r="AP201" i="6"/>
  <c r="S201" i="6"/>
  <c r="N201" i="6"/>
  <c r="G201" i="6"/>
  <c r="C201" i="6"/>
  <c r="BW200" i="6"/>
  <c r="BI200" i="6"/>
  <c r="AX200" i="6"/>
  <c r="AP200" i="6"/>
  <c r="S200" i="6"/>
  <c r="N200" i="6"/>
  <c r="G200" i="6"/>
  <c r="C200" i="6"/>
  <c r="BW199" i="6"/>
  <c r="BI199" i="6"/>
  <c r="AX199" i="6"/>
  <c r="AP199" i="6"/>
  <c r="S199" i="6"/>
  <c r="N199" i="6"/>
  <c r="G199" i="6"/>
  <c r="C199" i="6"/>
  <c r="BW198" i="6"/>
  <c r="BI198" i="6"/>
  <c r="AX198" i="6"/>
  <c r="AP198" i="6"/>
  <c r="S198" i="6"/>
  <c r="N198" i="6"/>
  <c r="G198" i="6"/>
  <c r="C198" i="6"/>
  <c r="BW197" i="6"/>
  <c r="BI197" i="6"/>
  <c r="AX197" i="6"/>
  <c r="AP197" i="6"/>
  <c r="S197" i="6"/>
  <c r="T197" i="6" s="1"/>
  <c r="N197" i="6"/>
  <c r="G197" i="6"/>
  <c r="C197" i="6"/>
  <c r="BW196" i="6"/>
  <c r="BI196" i="6"/>
  <c r="AX196" i="6"/>
  <c r="AP196" i="6"/>
  <c r="S196" i="6"/>
  <c r="N196" i="6"/>
  <c r="G196" i="6"/>
  <c r="C196" i="6"/>
  <c r="BW195" i="6"/>
  <c r="BI195" i="6"/>
  <c r="AX195" i="6"/>
  <c r="AP195" i="6"/>
  <c r="S195" i="6"/>
  <c r="N195" i="6"/>
  <c r="G195" i="6"/>
  <c r="C195" i="6"/>
  <c r="BW194" i="6"/>
  <c r="BI194" i="6"/>
  <c r="AX194" i="6"/>
  <c r="F194" i="6" s="1"/>
  <c r="AP194" i="6"/>
  <c r="S194" i="6"/>
  <c r="N194" i="6"/>
  <c r="G194" i="6"/>
  <c r="C194" i="6"/>
  <c r="BW193" i="6"/>
  <c r="BI193" i="6"/>
  <c r="AX193" i="6"/>
  <c r="F193" i="6" s="1"/>
  <c r="AP193" i="6"/>
  <c r="S193" i="6"/>
  <c r="N193" i="6"/>
  <c r="G193" i="6"/>
  <c r="C193" i="6"/>
  <c r="BW192" i="6"/>
  <c r="BI192" i="6"/>
  <c r="AX192" i="6"/>
  <c r="F192" i="6" s="1"/>
  <c r="AP192" i="6"/>
  <c r="S192" i="6"/>
  <c r="N192" i="6"/>
  <c r="G192" i="6"/>
  <c r="C192" i="6"/>
  <c r="BW191" i="6"/>
  <c r="BI191" i="6"/>
  <c r="AX191" i="6"/>
  <c r="F191" i="6" s="1"/>
  <c r="AP191" i="6"/>
  <c r="AD191" i="6"/>
  <c r="AE191" i="6" s="1"/>
  <c r="S191" i="6"/>
  <c r="N191" i="6"/>
  <c r="G191" i="6"/>
  <c r="C191" i="6"/>
  <c r="BW190" i="6"/>
  <c r="BI190" i="6"/>
  <c r="AX190" i="6"/>
  <c r="AP190" i="6"/>
  <c r="AA190" i="6"/>
  <c r="AB190" i="6" s="1"/>
  <c r="S190" i="6"/>
  <c r="N190" i="6"/>
  <c r="G190" i="6"/>
  <c r="C190" i="6"/>
  <c r="BW189" i="6"/>
  <c r="BI189" i="6"/>
  <c r="AX189" i="6"/>
  <c r="AP189" i="6"/>
  <c r="S189" i="6"/>
  <c r="N189" i="6"/>
  <c r="G189" i="6"/>
  <c r="C189" i="6"/>
  <c r="BW188" i="6"/>
  <c r="BI188" i="6"/>
  <c r="AX188" i="6"/>
  <c r="AP188" i="6"/>
  <c r="AD188" i="6"/>
  <c r="AE188" i="6" s="1"/>
  <c r="S188" i="6"/>
  <c r="N188" i="6"/>
  <c r="G188" i="6"/>
  <c r="C188" i="6"/>
  <c r="BW187" i="6"/>
  <c r="BI187" i="6"/>
  <c r="AX187" i="6"/>
  <c r="F187" i="6" s="1"/>
  <c r="AP187" i="6"/>
  <c r="S187" i="6"/>
  <c r="N187" i="6"/>
  <c r="G187" i="6"/>
  <c r="C187" i="6"/>
  <c r="BW186" i="6"/>
  <c r="BI186" i="6"/>
  <c r="AX186" i="6"/>
  <c r="F186" i="6" s="1"/>
  <c r="AP186" i="6"/>
  <c r="S186" i="6"/>
  <c r="N186" i="6"/>
  <c r="G186" i="6"/>
  <c r="C186" i="6"/>
  <c r="BW185" i="6"/>
  <c r="BI185" i="6"/>
  <c r="AX185" i="6"/>
  <c r="AP185" i="6"/>
  <c r="S185" i="6"/>
  <c r="N185" i="6"/>
  <c r="G185" i="6"/>
  <c r="C185" i="6"/>
  <c r="BW184" i="6"/>
  <c r="BI184" i="6"/>
  <c r="AX184" i="6"/>
  <c r="AP184" i="6"/>
  <c r="S184" i="6"/>
  <c r="N184" i="6"/>
  <c r="G184" i="6"/>
  <c r="C184" i="6"/>
  <c r="BW183" i="6"/>
  <c r="BI183" i="6"/>
  <c r="AX183" i="6"/>
  <c r="AP183" i="6"/>
  <c r="W183" i="6"/>
  <c r="X183" i="6" s="1"/>
  <c r="S183" i="6"/>
  <c r="N183" i="6"/>
  <c r="G183" i="6"/>
  <c r="C183" i="6"/>
  <c r="BW182" i="6"/>
  <c r="BI182" i="6"/>
  <c r="AX182" i="6"/>
  <c r="AP182" i="6"/>
  <c r="AG182" i="6"/>
  <c r="AH182" i="6" s="1"/>
  <c r="S182" i="6"/>
  <c r="N182" i="6"/>
  <c r="G182" i="6"/>
  <c r="C182" i="6"/>
  <c r="BW181" i="6"/>
  <c r="BI181" i="6"/>
  <c r="AX181" i="6"/>
  <c r="AP181" i="6"/>
  <c r="S181" i="6"/>
  <c r="N181" i="6"/>
  <c r="G181" i="6"/>
  <c r="C181" i="6"/>
  <c r="BW180" i="6"/>
  <c r="BI180" i="6"/>
  <c r="AX180" i="6"/>
  <c r="F180" i="6" s="1"/>
  <c r="AP180" i="6"/>
  <c r="W180" i="6"/>
  <c r="X180" i="6" s="1"/>
  <c r="S180" i="6"/>
  <c r="N180" i="6"/>
  <c r="G180" i="6"/>
  <c r="C180" i="6"/>
  <c r="BW179" i="6"/>
  <c r="BI179" i="6"/>
  <c r="AX179" i="6"/>
  <c r="AP179" i="6"/>
  <c r="S179" i="6"/>
  <c r="N179" i="6"/>
  <c r="G179" i="6"/>
  <c r="C179" i="6"/>
  <c r="BW178" i="6"/>
  <c r="BI178" i="6"/>
  <c r="AX178" i="6"/>
  <c r="AP178" i="6"/>
  <c r="S178" i="6"/>
  <c r="N178" i="6"/>
  <c r="G178" i="6"/>
  <c r="C178" i="6"/>
  <c r="BW177" i="6"/>
  <c r="BI177" i="6"/>
  <c r="AX177" i="6"/>
  <c r="AP177" i="6"/>
  <c r="S177" i="6"/>
  <c r="N177" i="6"/>
  <c r="G177" i="6"/>
  <c r="C177" i="6"/>
  <c r="BW176" i="6"/>
  <c r="BI176" i="6"/>
  <c r="AX176" i="6"/>
  <c r="AP176" i="6"/>
  <c r="S176" i="6"/>
  <c r="N176" i="6"/>
  <c r="G176" i="6"/>
  <c r="C176" i="6"/>
  <c r="BW175" i="6"/>
  <c r="BI175" i="6"/>
  <c r="AX175" i="6"/>
  <c r="AP175" i="6"/>
  <c r="S175" i="6"/>
  <c r="N175" i="6"/>
  <c r="G175" i="6"/>
  <c r="C175" i="6"/>
  <c r="BW174" i="6"/>
  <c r="BI174" i="6"/>
  <c r="AX174" i="6"/>
  <c r="AP174" i="6"/>
  <c r="S174" i="6"/>
  <c r="N174" i="6"/>
  <c r="G174" i="6"/>
  <c r="C174" i="6"/>
  <c r="BW173" i="6"/>
  <c r="BI173" i="6"/>
  <c r="AX173" i="6"/>
  <c r="AP173" i="6"/>
  <c r="S173" i="6"/>
  <c r="N173" i="6"/>
  <c r="G173" i="6"/>
  <c r="C173" i="6"/>
  <c r="BW172" i="6"/>
  <c r="BI172" i="6"/>
  <c r="AX172" i="6"/>
  <c r="AP172" i="6"/>
  <c r="S172" i="6"/>
  <c r="N172" i="6"/>
  <c r="G172" i="6"/>
  <c r="C172" i="6"/>
  <c r="BW171" i="6"/>
  <c r="BI171" i="6"/>
  <c r="AX171" i="6"/>
  <c r="AP171" i="6"/>
  <c r="S171" i="6"/>
  <c r="N171" i="6"/>
  <c r="G171" i="6"/>
  <c r="C171" i="6"/>
  <c r="BW170" i="6"/>
  <c r="BI170" i="6"/>
  <c r="AX170" i="6"/>
  <c r="AP170" i="6"/>
  <c r="S170" i="6"/>
  <c r="N170" i="6"/>
  <c r="G170" i="6"/>
  <c r="C170" i="6"/>
  <c r="BW169" i="6"/>
  <c r="BI169" i="6"/>
  <c r="AX169" i="6"/>
  <c r="AP169" i="6"/>
  <c r="S169" i="6"/>
  <c r="N169" i="6"/>
  <c r="G169" i="6"/>
  <c r="C169" i="6"/>
  <c r="BW168" i="6"/>
  <c r="BI168" i="6"/>
  <c r="AX168" i="6"/>
  <c r="AP168" i="6"/>
  <c r="W168" i="6"/>
  <c r="X168" i="6" s="1"/>
  <c r="S168" i="6"/>
  <c r="N168" i="6"/>
  <c r="G168" i="6"/>
  <c r="C168" i="6"/>
  <c r="BW167" i="6"/>
  <c r="BI167" i="6"/>
  <c r="AX167" i="6"/>
  <c r="AP167" i="6"/>
  <c r="S167" i="6"/>
  <c r="N167" i="6"/>
  <c r="G167" i="6"/>
  <c r="C167" i="6"/>
  <c r="BW166" i="6"/>
  <c r="BI166" i="6"/>
  <c r="AX166" i="6"/>
  <c r="AP166" i="6"/>
  <c r="S166" i="6"/>
  <c r="N166" i="6"/>
  <c r="G166" i="6"/>
  <c r="C166" i="6"/>
  <c r="BW165" i="6"/>
  <c r="BI165" i="6"/>
  <c r="AX165" i="6"/>
  <c r="AP165" i="6"/>
  <c r="S165" i="6"/>
  <c r="N165" i="6"/>
  <c r="G165" i="6"/>
  <c r="C165" i="6"/>
  <c r="BW164" i="6"/>
  <c r="BI164" i="6"/>
  <c r="AX164" i="6"/>
  <c r="AP164" i="6"/>
  <c r="AD164" i="6"/>
  <c r="AE164" i="6" s="1"/>
  <c r="S164" i="6"/>
  <c r="N164" i="6"/>
  <c r="G164" i="6"/>
  <c r="C164" i="6"/>
  <c r="BW163" i="6"/>
  <c r="BI163" i="6"/>
  <c r="AX163" i="6"/>
  <c r="AP163" i="6"/>
  <c r="S163" i="6"/>
  <c r="N163" i="6"/>
  <c r="G163" i="6"/>
  <c r="C163" i="6"/>
  <c r="BW162" i="6"/>
  <c r="BI162" i="6"/>
  <c r="AX162" i="6"/>
  <c r="AP162" i="6"/>
  <c r="S162" i="6"/>
  <c r="N162" i="6"/>
  <c r="G162" i="6"/>
  <c r="C162" i="6"/>
  <c r="BW161" i="6"/>
  <c r="BI161" i="6"/>
  <c r="AX161" i="6"/>
  <c r="AP161" i="6"/>
  <c r="S161" i="6"/>
  <c r="T161" i="6" s="1"/>
  <c r="N161" i="6"/>
  <c r="G161" i="6"/>
  <c r="C161" i="6"/>
  <c r="BW160" i="6"/>
  <c r="BI160" i="6"/>
  <c r="AX160" i="6"/>
  <c r="AP160" i="6"/>
  <c r="S160" i="6"/>
  <c r="N160" i="6"/>
  <c r="G160" i="6"/>
  <c r="C160" i="6"/>
  <c r="BW159" i="6"/>
  <c r="BI159" i="6"/>
  <c r="AX159" i="6"/>
  <c r="AP159" i="6"/>
  <c r="S159" i="6"/>
  <c r="N159" i="6"/>
  <c r="G159" i="6"/>
  <c r="C159" i="6"/>
  <c r="BW158" i="6"/>
  <c r="BI158" i="6"/>
  <c r="AX158" i="6"/>
  <c r="AP158" i="6"/>
  <c r="S158" i="6"/>
  <c r="N158" i="6"/>
  <c r="G158" i="6"/>
  <c r="C158" i="6"/>
  <c r="BW157" i="6"/>
  <c r="BI157" i="6"/>
  <c r="AX157" i="6"/>
  <c r="AP157" i="6"/>
  <c r="S157" i="6"/>
  <c r="N157" i="6"/>
  <c r="G157" i="6"/>
  <c r="C157" i="6"/>
  <c r="BW156" i="6"/>
  <c r="BI156" i="6"/>
  <c r="AX156" i="6"/>
  <c r="F156" i="6" s="1"/>
  <c r="AP156" i="6"/>
  <c r="S156" i="6"/>
  <c r="N156" i="6"/>
  <c r="G156" i="6"/>
  <c r="C156" i="6"/>
  <c r="BW155" i="6"/>
  <c r="BI155" i="6"/>
  <c r="AX155" i="6"/>
  <c r="AP155" i="6"/>
  <c r="S155" i="6"/>
  <c r="N155" i="6"/>
  <c r="G155" i="6"/>
  <c r="C155" i="6"/>
  <c r="BW154" i="6"/>
  <c r="BI154" i="6"/>
  <c r="AX154" i="6"/>
  <c r="AP154" i="6"/>
  <c r="S154" i="6"/>
  <c r="N154" i="6"/>
  <c r="G154" i="6"/>
  <c r="C154" i="6"/>
  <c r="BW153" i="6"/>
  <c r="BI153" i="6"/>
  <c r="AX153" i="6"/>
  <c r="AP153" i="6"/>
  <c r="S153" i="6"/>
  <c r="N153" i="6"/>
  <c r="G153" i="6"/>
  <c r="C153" i="6"/>
  <c r="BW152" i="6"/>
  <c r="BI152" i="6"/>
  <c r="AX152" i="6"/>
  <c r="AP152" i="6"/>
  <c r="W152" i="6"/>
  <c r="X152" i="6" s="1"/>
  <c r="S152" i="6"/>
  <c r="N152" i="6"/>
  <c r="G152" i="6"/>
  <c r="C152" i="6"/>
  <c r="BW151" i="6"/>
  <c r="BI151" i="6"/>
  <c r="AX151" i="6"/>
  <c r="F151" i="6" s="1"/>
  <c r="AP151" i="6"/>
  <c r="S151" i="6"/>
  <c r="N151" i="6"/>
  <c r="G151" i="6"/>
  <c r="C151" i="6"/>
  <c r="BW150" i="6"/>
  <c r="BI150" i="6"/>
  <c r="AX150" i="6"/>
  <c r="F150" i="6" s="1"/>
  <c r="AP150" i="6"/>
  <c r="S150" i="6"/>
  <c r="N150" i="6"/>
  <c r="G150" i="6"/>
  <c r="C150" i="6"/>
  <c r="BW149" i="6"/>
  <c r="BI149" i="6"/>
  <c r="AX149" i="6"/>
  <c r="F149" i="6" s="1"/>
  <c r="AP149" i="6"/>
  <c r="S149" i="6"/>
  <c r="N149" i="6"/>
  <c r="G149" i="6"/>
  <c r="C149" i="6"/>
  <c r="BW148" i="6"/>
  <c r="BI148" i="6"/>
  <c r="AX148" i="6"/>
  <c r="F148" i="6" s="1"/>
  <c r="AP148" i="6"/>
  <c r="AD148" i="6"/>
  <c r="AE148" i="6" s="1"/>
  <c r="S148" i="6"/>
  <c r="N148" i="6"/>
  <c r="G148" i="6"/>
  <c r="C148" i="6"/>
  <c r="BW147" i="6"/>
  <c r="BI147" i="6"/>
  <c r="AX147" i="6"/>
  <c r="AP147" i="6"/>
  <c r="S147" i="6"/>
  <c r="N147" i="6"/>
  <c r="G147" i="6"/>
  <c r="C147" i="6"/>
  <c r="BW146" i="6"/>
  <c r="BI146" i="6"/>
  <c r="AX146" i="6"/>
  <c r="AP146" i="6"/>
  <c r="S146" i="6"/>
  <c r="N146" i="6"/>
  <c r="G146" i="6"/>
  <c r="C146" i="6"/>
  <c r="BW145" i="6"/>
  <c r="BI145" i="6"/>
  <c r="AX145" i="6"/>
  <c r="AP145" i="6"/>
  <c r="S145" i="6"/>
  <c r="T145" i="6" s="1"/>
  <c r="N145" i="6"/>
  <c r="G145" i="6"/>
  <c r="C145" i="6"/>
  <c r="BW144" i="6"/>
  <c r="BI144" i="6"/>
  <c r="AX144" i="6"/>
  <c r="AP144" i="6"/>
  <c r="S144" i="6"/>
  <c r="N144" i="6"/>
  <c r="G144" i="6"/>
  <c r="C144" i="6"/>
  <c r="BW143" i="6"/>
  <c r="BI143" i="6"/>
  <c r="AX143" i="6"/>
  <c r="AP143" i="6"/>
  <c r="S143" i="6"/>
  <c r="N143" i="6"/>
  <c r="G143" i="6"/>
  <c r="C143" i="6"/>
  <c r="BW142" i="6"/>
  <c r="BI142" i="6"/>
  <c r="AX142" i="6"/>
  <c r="AP142" i="6"/>
  <c r="S142" i="6"/>
  <c r="N142" i="6"/>
  <c r="G142" i="6"/>
  <c r="C142" i="6"/>
  <c r="BW141" i="6"/>
  <c r="BI141" i="6"/>
  <c r="AX141" i="6"/>
  <c r="AP141" i="6"/>
  <c r="S141" i="6"/>
  <c r="N141" i="6"/>
  <c r="G141" i="6"/>
  <c r="C141" i="6"/>
  <c r="BW140" i="6"/>
  <c r="BI140" i="6"/>
  <c r="AX140" i="6"/>
  <c r="AP140" i="6"/>
  <c r="S140" i="6"/>
  <c r="N140" i="6"/>
  <c r="G140" i="6"/>
  <c r="C140" i="6"/>
  <c r="BW139" i="6"/>
  <c r="BI139" i="6"/>
  <c r="AX139" i="6"/>
  <c r="AP139" i="6"/>
  <c r="S139" i="6"/>
  <c r="N139" i="6"/>
  <c r="G139" i="6"/>
  <c r="C139" i="6"/>
  <c r="BW138" i="6"/>
  <c r="BI138" i="6"/>
  <c r="AX138" i="6"/>
  <c r="AP138" i="6"/>
  <c r="S138" i="6"/>
  <c r="N138" i="6"/>
  <c r="G138" i="6"/>
  <c r="C138" i="6"/>
  <c r="BW137" i="6"/>
  <c r="BI137" i="6"/>
  <c r="AX137" i="6"/>
  <c r="AP137" i="6"/>
  <c r="S137" i="6"/>
  <c r="N137" i="6"/>
  <c r="G137" i="6"/>
  <c r="C137" i="6"/>
  <c r="BW136" i="6"/>
  <c r="BI136" i="6"/>
  <c r="AX136" i="6"/>
  <c r="AP136" i="6"/>
  <c r="W136" i="6"/>
  <c r="X136" i="6" s="1"/>
  <c r="S136" i="6"/>
  <c r="N136" i="6"/>
  <c r="G136" i="6"/>
  <c r="C136" i="6"/>
  <c r="BW135" i="6"/>
  <c r="BI135" i="6"/>
  <c r="AX135" i="6"/>
  <c r="AP135" i="6"/>
  <c r="S135" i="6"/>
  <c r="N135" i="6"/>
  <c r="G135" i="6"/>
  <c r="C135" i="6"/>
  <c r="BW134" i="6"/>
  <c r="BI134" i="6"/>
  <c r="AX134" i="6"/>
  <c r="AP134" i="6"/>
  <c r="S134" i="6"/>
  <c r="N134" i="6"/>
  <c r="G134" i="6"/>
  <c r="C134" i="6"/>
  <c r="BW133" i="6"/>
  <c r="BI133" i="6"/>
  <c r="AX133" i="6"/>
  <c r="AP133" i="6"/>
  <c r="S133" i="6"/>
  <c r="N133" i="6"/>
  <c r="G133" i="6"/>
  <c r="C133" i="6"/>
  <c r="BW132" i="6"/>
  <c r="BI132" i="6"/>
  <c r="AX132" i="6"/>
  <c r="AP132" i="6"/>
  <c r="AD132" i="6"/>
  <c r="AE132" i="6" s="1"/>
  <c r="S132" i="6"/>
  <c r="N132" i="6"/>
  <c r="G132" i="6"/>
  <c r="C132" i="6"/>
  <c r="BW131" i="6"/>
  <c r="BI131" i="6"/>
  <c r="AX131" i="6"/>
  <c r="F131" i="6" s="1"/>
  <c r="AP131" i="6"/>
  <c r="S131" i="6"/>
  <c r="N131" i="6"/>
  <c r="G131" i="6"/>
  <c r="C131" i="6"/>
  <c r="BW130" i="6"/>
  <c r="BI130" i="6"/>
  <c r="AX130" i="6"/>
  <c r="F130" i="6" s="1"/>
  <c r="AP130" i="6"/>
  <c r="S130" i="6"/>
  <c r="N130" i="6"/>
  <c r="G130" i="6"/>
  <c r="C130" i="6"/>
  <c r="BW129" i="6"/>
  <c r="BI129" i="6"/>
  <c r="AX129" i="6"/>
  <c r="F129" i="6" s="1"/>
  <c r="AP129" i="6"/>
  <c r="S129" i="6"/>
  <c r="T129" i="6" s="1"/>
  <c r="N129" i="6"/>
  <c r="G129" i="6"/>
  <c r="C129" i="6"/>
  <c r="BW128" i="6"/>
  <c r="BI128" i="6"/>
  <c r="AX128" i="6"/>
  <c r="AP128" i="6"/>
  <c r="S128" i="6"/>
  <c r="N128" i="6"/>
  <c r="G128" i="6"/>
  <c r="C128" i="6"/>
  <c r="BW127" i="6"/>
  <c r="BI127" i="6"/>
  <c r="AX127" i="6"/>
  <c r="AP127" i="6"/>
  <c r="AJ127" i="6"/>
  <c r="AK127" i="6" s="1"/>
  <c r="S127" i="6"/>
  <c r="N127" i="6"/>
  <c r="G127" i="6"/>
  <c r="C127" i="6"/>
  <c r="BW126" i="6"/>
  <c r="BI126" i="6"/>
  <c r="AX126" i="6"/>
  <c r="AP126" i="6"/>
  <c r="S126" i="6"/>
  <c r="N126" i="6"/>
  <c r="G126" i="6"/>
  <c r="C126" i="6"/>
  <c r="BW125" i="6"/>
  <c r="BI125" i="6"/>
  <c r="AX125" i="6"/>
  <c r="AP125" i="6"/>
  <c r="S125" i="6"/>
  <c r="T125" i="6" s="1"/>
  <c r="U125" i="6" s="1"/>
  <c r="N125" i="6"/>
  <c r="G125" i="6"/>
  <c r="C125" i="6"/>
  <c r="BW124" i="6"/>
  <c r="BI124" i="6"/>
  <c r="AX124" i="6"/>
  <c r="AP124" i="6"/>
  <c r="S124" i="6"/>
  <c r="N124" i="6"/>
  <c r="G124" i="6"/>
  <c r="C124" i="6"/>
  <c r="BW123" i="6"/>
  <c r="BI123" i="6"/>
  <c r="AX123" i="6"/>
  <c r="AP123" i="6"/>
  <c r="S123" i="6"/>
  <c r="N123" i="6"/>
  <c r="G123" i="6"/>
  <c r="C123" i="6"/>
  <c r="BW122" i="6"/>
  <c r="BI122" i="6"/>
  <c r="AX122" i="6"/>
  <c r="AP122" i="6"/>
  <c r="W122" i="6"/>
  <c r="X122" i="6" s="1"/>
  <c r="S122" i="6"/>
  <c r="N122" i="6"/>
  <c r="G122" i="6"/>
  <c r="C122" i="6"/>
  <c r="BW121" i="6"/>
  <c r="BI121" i="6"/>
  <c r="AX121" i="6"/>
  <c r="AP121" i="6"/>
  <c r="S121" i="6"/>
  <c r="T121" i="6" s="1"/>
  <c r="U121" i="6" s="1"/>
  <c r="N121" i="6"/>
  <c r="G121" i="6"/>
  <c r="C121" i="6"/>
  <c r="BW120" i="6"/>
  <c r="BI120" i="6"/>
  <c r="AX120" i="6"/>
  <c r="AP120" i="6"/>
  <c r="S120" i="6"/>
  <c r="N120" i="6"/>
  <c r="G120" i="6"/>
  <c r="C120" i="6"/>
  <c r="BW119" i="6"/>
  <c r="BI119" i="6"/>
  <c r="AX119" i="6"/>
  <c r="AP119" i="6"/>
  <c r="S119" i="6"/>
  <c r="N119" i="6"/>
  <c r="G119" i="6"/>
  <c r="C119" i="6"/>
  <c r="BW118" i="6"/>
  <c r="BI118" i="6"/>
  <c r="AX118" i="6"/>
  <c r="AP118" i="6"/>
  <c r="W118" i="6"/>
  <c r="X118" i="6" s="1"/>
  <c r="S118" i="6"/>
  <c r="N118" i="6"/>
  <c r="G118" i="6"/>
  <c r="C118" i="6"/>
  <c r="BW117" i="6"/>
  <c r="BI117" i="6"/>
  <c r="AX117" i="6"/>
  <c r="AP117" i="6"/>
  <c r="S117" i="6"/>
  <c r="T117" i="6" s="1"/>
  <c r="U117" i="6" s="1"/>
  <c r="N117" i="6"/>
  <c r="G117" i="6"/>
  <c r="C117" i="6"/>
  <c r="BW116" i="6"/>
  <c r="BI116" i="6"/>
  <c r="AX116" i="6"/>
  <c r="AP116" i="6"/>
  <c r="S116" i="6"/>
  <c r="N116" i="6"/>
  <c r="G116" i="6"/>
  <c r="C116" i="6"/>
  <c r="BW115" i="6"/>
  <c r="BI115" i="6"/>
  <c r="AX115" i="6"/>
  <c r="AP115" i="6"/>
  <c r="S115" i="6"/>
  <c r="N115" i="6"/>
  <c r="G115" i="6"/>
  <c r="C115" i="6"/>
  <c r="BW114" i="6"/>
  <c r="BI114" i="6"/>
  <c r="AX114" i="6"/>
  <c r="AP114" i="6"/>
  <c r="W114" i="6"/>
  <c r="X114" i="6" s="1"/>
  <c r="S114" i="6"/>
  <c r="N114" i="6"/>
  <c r="G114" i="6"/>
  <c r="C114" i="6"/>
  <c r="BW113" i="6"/>
  <c r="BI113" i="6"/>
  <c r="AX113" i="6"/>
  <c r="AP113" i="6"/>
  <c r="S113" i="6"/>
  <c r="T113" i="6" s="1"/>
  <c r="U113" i="6" s="1"/>
  <c r="N113" i="6"/>
  <c r="G113" i="6"/>
  <c r="C113" i="6"/>
  <c r="BW112" i="6"/>
  <c r="BI112" i="6"/>
  <c r="AX112" i="6"/>
  <c r="AP112" i="6"/>
  <c r="S112" i="6"/>
  <c r="N112" i="6"/>
  <c r="G112" i="6"/>
  <c r="C112" i="6"/>
  <c r="BW111" i="6"/>
  <c r="BI111" i="6"/>
  <c r="AX111" i="6"/>
  <c r="AP111" i="6"/>
  <c r="S111" i="6"/>
  <c r="N111" i="6"/>
  <c r="G111" i="6"/>
  <c r="C111" i="6"/>
  <c r="BW110" i="6"/>
  <c r="BI110" i="6"/>
  <c r="AX110" i="6"/>
  <c r="AP110" i="6"/>
  <c r="W110" i="6"/>
  <c r="X110" i="6" s="1"/>
  <c r="S110" i="6"/>
  <c r="N110" i="6"/>
  <c r="G110" i="6"/>
  <c r="C110" i="6"/>
  <c r="BW109" i="6"/>
  <c r="BI109" i="6"/>
  <c r="AX109" i="6"/>
  <c r="AP109" i="6"/>
  <c r="S109" i="6"/>
  <c r="T109" i="6" s="1"/>
  <c r="U109" i="6" s="1"/>
  <c r="N109" i="6"/>
  <c r="G109" i="6"/>
  <c r="C109" i="6"/>
  <c r="BW108" i="6"/>
  <c r="BI108" i="6"/>
  <c r="AX108" i="6"/>
  <c r="F108" i="6" s="1"/>
  <c r="AP108" i="6"/>
  <c r="S108" i="6"/>
  <c r="N108" i="6"/>
  <c r="G108" i="6"/>
  <c r="C108" i="6"/>
  <c r="BW107" i="6"/>
  <c r="BI107" i="6"/>
  <c r="AX107" i="6"/>
  <c r="F107" i="6" s="1"/>
  <c r="AP107" i="6"/>
  <c r="S107" i="6"/>
  <c r="N107" i="6"/>
  <c r="G107" i="6"/>
  <c r="C107" i="6"/>
  <c r="BW106" i="6"/>
  <c r="BI106" i="6"/>
  <c r="AX106" i="6"/>
  <c r="F106" i="6" s="1"/>
  <c r="AP106" i="6"/>
  <c r="W106" i="6"/>
  <c r="X106" i="6" s="1"/>
  <c r="S106" i="6"/>
  <c r="N106" i="6"/>
  <c r="G106" i="6"/>
  <c r="C106" i="6"/>
  <c r="BW105" i="6"/>
  <c r="BI105" i="6"/>
  <c r="AX105" i="6"/>
  <c r="AP105" i="6"/>
  <c r="S105" i="6"/>
  <c r="T105" i="6" s="1"/>
  <c r="U105" i="6" s="1"/>
  <c r="N105" i="6"/>
  <c r="G105" i="6"/>
  <c r="C105" i="6"/>
  <c r="BW104" i="6"/>
  <c r="BI104" i="6"/>
  <c r="AX104" i="6"/>
  <c r="AP104" i="6"/>
  <c r="S104" i="6"/>
  <c r="N104" i="6"/>
  <c r="G104" i="6"/>
  <c r="C104" i="6"/>
  <c r="BW103" i="6"/>
  <c r="BI103" i="6"/>
  <c r="AX103" i="6"/>
  <c r="AP103" i="6"/>
  <c r="S103" i="6"/>
  <c r="N103" i="6"/>
  <c r="G103" i="6"/>
  <c r="C103" i="6"/>
  <c r="BW102" i="6"/>
  <c r="BI102" i="6"/>
  <c r="AX102" i="6"/>
  <c r="AP102" i="6"/>
  <c r="W102" i="6"/>
  <c r="X102" i="6" s="1"/>
  <c r="S102" i="6"/>
  <c r="N102" i="6"/>
  <c r="G102" i="6"/>
  <c r="C102" i="6"/>
  <c r="BW101" i="6"/>
  <c r="BI101" i="6"/>
  <c r="AX101" i="6"/>
  <c r="AP101" i="6"/>
  <c r="S101" i="6"/>
  <c r="T101" i="6" s="1"/>
  <c r="U101" i="6" s="1"/>
  <c r="N101" i="6"/>
  <c r="G101" i="6"/>
  <c r="C101" i="6"/>
  <c r="BW100" i="6"/>
  <c r="BI100" i="6"/>
  <c r="AX100" i="6"/>
  <c r="AP100" i="6"/>
  <c r="S100" i="6"/>
  <c r="N100" i="6"/>
  <c r="G100" i="6"/>
  <c r="C100" i="6"/>
  <c r="BW99" i="6"/>
  <c r="BI99" i="6"/>
  <c r="AX99" i="6"/>
  <c r="AP99" i="6"/>
  <c r="S99" i="6"/>
  <c r="N99" i="6"/>
  <c r="G99" i="6"/>
  <c r="C99" i="6"/>
  <c r="BW98" i="6"/>
  <c r="BI98" i="6"/>
  <c r="AX98" i="6"/>
  <c r="F98" i="6" s="1"/>
  <c r="AP98" i="6"/>
  <c r="W98" i="6"/>
  <c r="X98" i="6" s="1"/>
  <c r="S98" i="6"/>
  <c r="N98" i="6"/>
  <c r="G98" i="6"/>
  <c r="C98" i="6"/>
  <c r="BW97" i="6"/>
  <c r="BI97" i="6"/>
  <c r="AX97" i="6"/>
  <c r="F97" i="6" s="1"/>
  <c r="AP97" i="6"/>
  <c r="S97" i="6"/>
  <c r="T97" i="6" s="1"/>
  <c r="U97" i="6" s="1"/>
  <c r="N97" i="6"/>
  <c r="G97" i="6"/>
  <c r="C97" i="6"/>
  <c r="BW96" i="6"/>
  <c r="BI96" i="6"/>
  <c r="AX96" i="6"/>
  <c r="F96" i="6" s="1"/>
  <c r="AP96" i="6"/>
  <c r="S96" i="6"/>
  <c r="N96" i="6"/>
  <c r="G96" i="6"/>
  <c r="C96" i="6"/>
  <c r="BW95" i="6"/>
  <c r="BI95" i="6"/>
  <c r="AX95" i="6"/>
  <c r="F95" i="6" s="1"/>
  <c r="AP95" i="6"/>
  <c r="S95" i="6"/>
  <c r="N95" i="6"/>
  <c r="G95" i="6"/>
  <c r="C95" i="6"/>
  <c r="BW94" i="6"/>
  <c r="BI94" i="6"/>
  <c r="AX94" i="6"/>
  <c r="F94" i="6" s="1"/>
  <c r="AP94" i="6"/>
  <c r="W94" i="6"/>
  <c r="X94" i="6" s="1"/>
  <c r="S94" i="6"/>
  <c r="N94" i="6"/>
  <c r="G94" i="6"/>
  <c r="C94" i="6"/>
  <c r="BW93" i="6"/>
  <c r="BI93" i="6"/>
  <c r="AX93" i="6"/>
  <c r="AP93" i="6"/>
  <c r="S93" i="6"/>
  <c r="T93" i="6" s="1"/>
  <c r="U93" i="6" s="1"/>
  <c r="N93" i="6"/>
  <c r="G93" i="6"/>
  <c r="C93" i="6"/>
  <c r="BW92" i="6"/>
  <c r="BI92" i="6"/>
  <c r="AX92" i="6"/>
  <c r="AP92" i="6"/>
  <c r="S92" i="6"/>
  <c r="N92" i="6"/>
  <c r="G92" i="6"/>
  <c r="C92" i="6"/>
  <c r="BW91" i="6"/>
  <c r="BI91" i="6"/>
  <c r="AX91" i="6"/>
  <c r="AP91" i="6"/>
  <c r="S91" i="6"/>
  <c r="N91" i="6"/>
  <c r="G91" i="6"/>
  <c r="C91" i="6"/>
  <c r="BW90" i="6"/>
  <c r="BI90" i="6"/>
  <c r="AX90" i="6"/>
  <c r="AP90" i="6"/>
  <c r="W90" i="6"/>
  <c r="X90" i="6" s="1"/>
  <c r="S90" i="6"/>
  <c r="N90" i="6"/>
  <c r="G90" i="6"/>
  <c r="C90" i="6"/>
  <c r="BW89" i="6"/>
  <c r="BI89" i="6"/>
  <c r="AX89" i="6"/>
  <c r="AP89" i="6"/>
  <c r="S89" i="6"/>
  <c r="T89" i="6" s="1"/>
  <c r="U89" i="6" s="1"/>
  <c r="N89" i="6"/>
  <c r="G89" i="6"/>
  <c r="C89" i="6"/>
  <c r="BW88" i="6"/>
  <c r="BI88" i="6"/>
  <c r="AX88" i="6"/>
  <c r="AP88" i="6"/>
  <c r="S88" i="6"/>
  <c r="N88" i="6"/>
  <c r="G88" i="6"/>
  <c r="C88" i="6"/>
  <c r="BW87" i="6"/>
  <c r="BI87" i="6"/>
  <c r="AX87" i="6"/>
  <c r="AP87" i="6"/>
  <c r="S87" i="6"/>
  <c r="N87" i="6"/>
  <c r="G87" i="6"/>
  <c r="C87" i="6"/>
  <c r="BW86" i="6"/>
  <c r="BI86" i="6"/>
  <c r="AX86" i="6"/>
  <c r="AP86" i="6"/>
  <c r="W86" i="6"/>
  <c r="X86" i="6" s="1"/>
  <c r="S86" i="6"/>
  <c r="N86" i="6"/>
  <c r="G86" i="6"/>
  <c r="C86" i="6"/>
  <c r="BW85" i="6"/>
  <c r="BI85" i="6"/>
  <c r="AX85" i="6"/>
  <c r="AP85" i="6"/>
  <c r="S85" i="6"/>
  <c r="T85" i="6" s="1"/>
  <c r="U85" i="6" s="1"/>
  <c r="N85" i="6"/>
  <c r="G85" i="6"/>
  <c r="C85" i="6"/>
  <c r="BW84" i="6"/>
  <c r="BI84" i="6"/>
  <c r="AX84" i="6"/>
  <c r="AP84" i="6"/>
  <c r="AD84" i="6"/>
  <c r="AE84" i="6" s="1"/>
  <c r="S84" i="6"/>
  <c r="N84" i="6"/>
  <c r="G84" i="6"/>
  <c r="C84" i="6"/>
  <c r="BW83" i="6"/>
  <c r="BI83" i="6"/>
  <c r="AX83" i="6"/>
  <c r="AP83" i="6"/>
  <c r="S83" i="6"/>
  <c r="N83" i="6"/>
  <c r="G83" i="6"/>
  <c r="C83" i="6"/>
  <c r="BW82" i="6"/>
  <c r="BI82" i="6"/>
  <c r="AX82" i="6"/>
  <c r="AP82" i="6"/>
  <c r="AA82" i="6"/>
  <c r="AB82" i="6" s="1"/>
  <c r="S82" i="6"/>
  <c r="N82" i="6"/>
  <c r="G82" i="6"/>
  <c r="C82" i="6"/>
  <c r="BW81" i="6"/>
  <c r="BI81" i="6"/>
  <c r="AX81" i="6"/>
  <c r="AP81" i="6"/>
  <c r="S81" i="6"/>
  <c r="N81" i="6"/>
  <c r="G81" i="6"/>
  <c r="C81" i="6"/>
  <c r="BW80" i="6"/>
  <c r="BI80" i="6"/>
  <c r="AX80" i="6"/>
  <c r="AP80" i="6"/>
  <c r="AJ80" i="6"/>
  <c r="AK80" i="6" s="1"/>
  <c r="W80" i="6"/>
  <c r="X80" i="6" s="1"/>
  <c r="S80" i="6"/>
  <c r="N80" i="6"/>
  <c r="G80" i="6"/>
  <c r="C80" i="6"/>
  <c r="BW79" i="6"/>
  <c r="BI79" i="6"/>
  <c r="AX79" i="6"/>
  <c r="AP79" i="6"/>
  <c r="S79" i="6"/>
  <c r="T79" i="6" s="1"/>
  <c r="N79" i="6"/>
  <c r="G79" i="6"/>
  <c r="C79" i="6"/>
  <c r="BW78" i="6"/>
  <c r="BI78" i="6"/>
  <c r="AX78" i="6"/>
  <c r="AP78" i="6"/>
  <c r="AG78" i="6"/>
  <c r="AH78" i="6" s="1"/>
  <c r="S78" i="6"/>
  <c r="T78" i="6" s="1"/>
  <c r="U78" i="6" s="1"/>
  <c r="N78" i="6"/>
  <c r="G78" i="6"/>
  <c r="C78" i="6"/>
  <c r="BW77" i="6"/>
  <c r="BI77" i="6"/>
  <c r="AX77" i="6"/>
  <c r="AP77" i="6"/>
  <c r="S77" i="6"/>
  <c r="N77" i="6"/>
  <c r="G77" i="6"/>
  <c r="C77" i="6"/>
  <c r="BW76" i="6"/>
  <c r="BI76" i="6"/>
  <c r="AX76" i="6"/>
  <c r="AP76" i="6"/>
  <c r="S76" i="6"/>
  <c r="N76" i="6"/>
  <c r="G76" i="6"/>
  <c r="C76" i="6"/>
  <c r="BW75" i="6"/>
  <c r="BI75" i="6"/>
  <c r="AX75" i="6"/>
  <c r="AP75" i="6"/>
  <c r="AJ75" i="6"/>
  <c r="AK75" i="6" s="1"/>
  <c r="AD75" i="6"/>
  <c r="AE75" i="6" s="1"/>
  <c r="W75" i="6"/>
  <c r="X75" i="6" s="1"/>
  <c r="S75" i="6"/>
  <c r="N75" i="6"/>
  <c r="G75" i="6"/>
  <c r="C75" i="6"/>
  <c r="BW74" i="6"/>
  <c r="BI74" i="6"/>
  <c r="AX74" i="6"/>
  <c r="AP74" i="6"/>
  <c r="S74" i="6"/>
  <c r="T74" i="6" s="1"/>
  <c r="U74" i="6" s="1"/>
  <c r="N74" i="6"/>
  <c r="G74" i="6"/>
  <c r="C74" i="6"/>
  <c r="BW73" i="6"/>
  <c r="BI73" i="6"/>
  <c r="AX73" i="6"/>
  <c r="AP73" i="6"/>
  <c r="AG73" i="6"/>
  <c r="AH73" i="6" s="1"/>
  <c r="AA73" i="6"/>
  <c r="AB73" i="6" s="1"/>
  <c r="S73" i="6"/>
  <c r="T73" i="6" s="1"/>
  <c r="U73" i="6" s="1"/>
  <c r="N73" i="6"/>
  <c r="G73" i="6"/>
  <c r="C73" i="6"/>
  <c r="BW72" i="6"/>
  <c r="BI72" i="6"/>
  <c r="AX72" i="6"/>
  <c r="AP72" i="6"/>
  <c r="S72" i="6"/>
  <c r="N72" i="6"/>
  <c r="G72" i="6"/>
  <c r="C72" i="6"/>
  <c r="BW71" i="6"/>
  <c r="BI71" i="6"/>
  <c r="AX71" i="6"/>
  <c r="AP71" i="6"/>
  <c r="AJ71" i="6"/>
  <c r="AK71" i="6" s="1"/>
  <c r="AD71" i="6"/>
  <c r="AE71" i="6" s="1"/>
  <c r="W71" i="6"/>
  <c r="X71" i="6" s="1"/>
  <c r="S71" i="6"/>
  <c r="N71" i="6"/>
  <c r="G71" i="6"/>
  <c r="C71" i="6"/>
  <c r="BW70" i="6"/>
  <c r="BI70" i="6"/>
  <c r="AX70" i="6"/>
  <c r="AP70" i="6"/>
  <c r="S70" i="6"/>
  <c r="T70" i="6" s="1"/>
  <c r="U70" i="6" s="1"/>
  <c r="N70" i="6"/>
  <c r="G70" i="6"/>
  <c r="C70" i="6"/>
  <c r="BW69" i="6"/>
  <c r="BI69" i="6"/>
  <c r="AX69" i="6"/>
  <c r="AP69" i="6"/>
  <c r="AG69" i="6"/>
  <c r="AH69" i="6" s="1"/>
  <c r="AA69" i="6"/>
  <c r="AB69" i="6" s="1"/>
  <c r="S69" i="6"/>
  <c r="T69" i="6" s="1"/>
  <c r="U69" i="6" s="1"/>
  <c r="N69" i="6"/>
  <c r="G69" i="6"/>
  <c r="C69" i="6"/>
  <c r="BW68" i="6"/>
  <c r="BI68" i="6"/>
  <c r="AX68" i="6"/>
  <c r="AP68" i="6"/>
  <c r="S68" i="6"/>
  <c r="N68" i="6"/>
  <c r="G68" i="6"/>
  <c r="C68" i="6"/>
  <c r="BW67" i="6"/>
  <c r="BI67" i="6"/>
  <c r="AX67" i="6"/>
  <c r="AP67" i="6"/>
  <c r="AJ67" i="6"/>
  <c r="AK67" i="6" s="1"/>
  <c r="AD67" i="6"/>
  <c r="AE67" i="6" s="1"/>
  <c r="W67" i="6"/>
  <c r="X67" i="6" s="1"/>
  <c r="S67" i="6"/>
  <c r="N67" i="6"/>
  <c r="G67" i="6"/>
  <c r="C67" i="6"/>
  <c r="BW66" i="6"/>
  <c r="BI66" i="6"/>
  <c r="AX66" i="6"/>
  <c r="AP66" i="6"/>
  <c r="S66" i="6"/>
  <c r="T66" i="6" s="1"/>
  <c r="U66" i="6" s="1"/>
  <c r="N66" i="6"/>
  <c r="G66" i="6"/>
  <c r="C66" i="6"/>
  <c r="BW65" i="6"/>
  <c r="BI65" i="6"/>
  <c r="AX65" i="6"/>
  <c r="F65" i="6" s="1"/>
  <c r="AP65" i="6"/>
  <c r="AG65" i="6"/>
  <c r="AH65" i="6" s="1"/>
  <c r="AA65" i="6"/>
  <c r="AB65" i="6" s="1"/>
  <c r="S65" i="6"/>
  <c r="T65" i="6" s="1"/>
  <c r="U65" i="6" s="1"/>
  <c r="N65" i="6"/>
  <c r="G65" i="6"/>
  <c r="C65" i="6"/>
  <c r="BW64" i="6"/>
  <c r="BI64" i="6"/>
  <c r="AX64" i="6"/>
  <c r="AP64" i="6"/>
  <c r="S64" i="6"/>
  <c r="N64" i="6"/>
  <c r="G64" i="6"/>
  <c r="C64" i="6"/>
  <c r="BW63" i="6"/>
  <c r="BI63" i="6"/>
  <c r="AX63" i="6"/>
  <c r="AP63" i="6"/>
  <c r="AJ63" i="6"/>
  <c r="AK63" i="6" s="1"/>
  <c r="AD63" i="6"/>
  <c r="AE63" i="6" s="1"/>
  <c r="W63" i="6"/>
  <c r="X63" i="6" s="1"/>
  <c r="S63" i="6"/>
  <c r="N63" i="6"/>
  <c r="G63" i="6"/>
  <c r="C63" i="6"/>
  <c r="BW62" i="6"/>
  <c r="BI62" i="6"/>
  <c r="AX62" i="6"/>
  <c r="AP62" i="6"/>
  <c r="S62" i="6"/>
  <c r="T62" i="6" s="1"/>
  <c r="U62" i="6" s="1"/>
  <c r="N62" i="6"/>
  <c r="G62" i="6"/>
  <c r="C62" i="6"/>
  <c r="BW61" i="6"/>
  <c r="BI61" i="6"/>
  <c r="AX61" i="6"/>
  <c r="AP61" i="6"/>
  <c r="AG61" i="6"/>
  <c r="AH61" i="6" s="1"/>
  <c r="AA61" i="6"/>
  <c r="AB61" i="6" s="1"/>
  <c r="S61" i="6"/>
  <c r="T61" i="6" s="1"/>
  <c r="U61" i="6" s="1"/>
  <c r="N61" i="6"/>
  <c r="G61" i="6"/>
  <c r="C61" i="6"/>
  <c r="BW60" i="6"/>
  <c r="BI60" i="6"/>
  <c r="AX60" i="6"/>
  <c r="F60" i="6" s="1"/>
  <c r="AP60" i="6"/>
  <c r="S60" i="6"/>
  <c r="N60" i="6"/>
  <c r="G60" i="6"/>
  <c r="C60" i="6"/>
  <c r="BW59" i="6"/>
  <c r="BI59" i="6"/>
  <c r="AX59" i="6"/>
  <c r="AP59" i="6"/>
  <c r="AJ59" i="6"/>
  <c r="AK59" i="6" s="1"/>
  <c r="AD59" i="6"/>
  <c r="AE59" i="6" s="1"/>
  <c r="W59" i="6"/>
  <c r="X59" i="6" s="1"/>
  <c r="S59" i="6"/>
  <c r="N59" i="6"/>
  <c r="G59" i="6"/>
  <c r="F59" i="6"/>
  <c r="C59" i="6"/>
  <c r="BW58" i="6"/>
  <c r="BI58" i="6"/>
  <c r="AX58" i="6"/>
  <c r="F58" i="6" s="1"/>
  <c r="AP58" i="6"/>
  <c r="S58" i="6"/>
  <c r="T58" i="6" s="1"/>
  <c r="U58" i="6" s="1"/>
  <c r="N58" i="6"/>
  <c r="G58" i="6"/>
  <c r="C58" i="6"/>
  <c r="BW57" i="6"/>
  <c r="BI57" i="6"/>
  <c r="AX57" i="6"/>
  <c r="F57" i="6" s="1"/>
  <c r="AP57" i="6"/>
  <c r="AG57" i="6"/>
  <c r="AH57" i="6" s="1"/>
  <c r="AA57" i="6"/>
  <c r="AB57" i="6" s="1"/>
  <c r="S57" i="6"/>
  <c r="T57" i="6" s="1"/>
  <c r="U57" i="6" s="1"/>
  <c r="N57" i="6"/>
  <c r="G57" i="6"/>
  <c r="C57" i="6"/>
  <c r="BW56" i="6"/>
  <c r="BI56" i="6"/>
  <c r="AX56" i="6"/>
  <c r="AP56" i="6"/>
  <c r="S56" i="6"/>
  <c r="N56" i="6"/>
  <c r="G56" i="6"/>
  <c r="C56" i="6"/>
  <c r="BW55" i="6"/>
  <c r="BI55" i="6"/>
  <c r="AX55" i="6"/>
  <c r="AP55" i="6"/>
  <c r="AJ55" i="6"/>
  <c r="AK55" i="6" s="1"/>
  <c r="AD55" i="6"/>
  <c r="AE55" i="6" s="1"/>
  <c r="W55" i="6"/>
  <c r="X55" i="6" s="1"/>
  <c r="S55" i="6"/>
  <c r="N55" i="6"/>
  <c r="G55" i="6"/>
  <c r="C55" i="6"/>
  <c r="BW54" i="6"/>
  <c r="BI54" i="6"/>
  <c r="AX54" i="6"/>
  <c r="AP54" i="6"/>
  <c r="S54" i="6"/>
  <c r="T54" i="6" s="1"/>
  <c r="U54" i="6" s="1"/>
  <c r="N54" i="6"/>
  <c r="G54" i="6"/>
  <c r="C54" i="6"/>
  <c r="BW53" i="6"/>
  <c r="BI53" i="6"/>
  <c r="AX53" i="6"/>
  <c r="AP53" i="6"/>
  <c r="AG53" i="6"/>
  <c r="AH53" i="6" s="1"/>
  <c r="AA53" i="6"/>
  <c r="AB53" i="6" s="1"/>
  <c r="S53" i="6"/>
  <c r="T53" i="6" s="1"/>
  <c r="U53" i="6" s="1"/>
  <c r="N53" i="6"/>
  <c r="G53" i="6"/>
  <c r="C53" i="6"/>
  <c r="BW52" i="6"/>
  <c r="BI52" i="6"/>
  <c r="AX52" i="6"/>
  <c r="AP52" i="6"/>
  <c r="S52" i="6"/>
  <c r="N52" i="6"/>
  <c r="G52" i="6"/>
  <c r="C52" i="6"/>
  <c r="BW51" i="6"/>
  <c r="BI51" i="6"/>
  <c r="AX51" i="6"/>
  <c r="AP51" i="6"/>
  <c r="AJ51" i="6"/>
  <c r="AK51" i="6" s="1"/>
  <c r="AD51" i="6"/>
  <c r="AE51" i="6" s="1"/>
  <c r="W51" i="6"/>
  <c r="X51" i="6" s="1"/>
  <c r="S51" i="6"/>
  <c r="N51" i="6"/>
  <c r="G51" i="6"/>
  <c r="C51" i="6"/>
  <c r="BW50" i="6"/>
  <c r="BI50" i="6"/>
  <c r="AX50" i="6"/>
  <c r="AP50" i="6"/>
  <c r="S50" i="6"/>
  <c r="T50" i="6" s="1"/>
  <c r="U50" i="6" s="1"/>
  <c r="N50" i="6"/>
  <c r="G50" i="6"/>
  <c r="C50" i="6"/>
  <c r="BW49" i="6"/>
  <c r="BI49" i="6"/>
  <c r="AX49" i="6"/>
  <c r="AP49" i="6"/>
  <c r="AG49" i="6"/>
  <c r="AH49" i="6" s="1"/>
  <c r="AA49" i="6"/>
  <c r="AB49" i="6" s="1"/>
  <c r="S49" i="6"/>
  <c r="T49" i="6" s="1"/>
  <c r="U49" i="6" s="1"/>
  <c r="N49" i="6"/>
  <c r="G49" i="6"/>
  <c r="C49" i="6"/>
  <c r="BW48" i="6"/>
  <c r="BI48" i="6"/>
  <c r="AX48" i="6"/>
  <c r="AP48" i="6"/>
  <c r="S48" i="6"/>
  <c r="N48" i="6"/>
  <c r="G48" i="6"/>
  <c r="C48" i="6"/>
  <c r="BW47" i="6"/>
  <c r="BI47" i="6"/>
  <c r="AX47" i="6"/>
  <c r="AP47" i="6"/>
  <c r="AJ47" i="6"/>
  <c r="AK47" i="6" s="1"/>
  <c r="AD47" i="6"/>
  <c r="AE47" i="6" s="1"/>
  <c r="W47" i="6"/>
  <c r="X47" i="6" s="1"/>
  <c r="S47" i="6"/>
  <c r="N47" i="6"/>
  <c r="G47" i="6"/>
  <c r="C47" i="6"/>
  <c r="BW46" i="6"/>
  <c r="BI46" i="6"/>
  <c r="AX46" i="6"/>
  <c r="AP46" i="6"/>
  <c r="S46" i="6"/>
  <c r="T46" i="6" s="1"/>
  <c r="U46" i="6" s="1"/>
  <c r="N46" i="6"/>
  <c r="G46" i="6"/>
  <c r="C46" i="6"/>
  <c r="BW45" i="6"/>
  <c r="BI45" i="6"/>
  <c r="AX45" i="6"/>
  <c r="AP45" i="6"/>
  <c r="AG45" i="6"/>
  <c r="AH45" i="6" s="1"/>
  <c r="S45" i="6"/>
  <c r="T45" i="6" s="1"/>
  <c r="U45" i="6" s="1"/>
  <c r="N45" i="6"/>
  <c r="G45" i="6"/>
  <c r="C45" i="6"/>
  <c r="BW44" i="6"/>
  <c r="BI44" i="6"/>
  <c r="AX44" i="6"/>
  <c r="AP44" i="6"/>
  <c r="S44" i="6"/>
  <c r="N44" i="6"/>
  <c r="G44" i="6"/>
  <c r="C44" i="6"/>
  <c r="BW43" i="6"/>
  <c r="BI43" i="6"/>
  <c r="AX43" i="6"/>
  <c r="AP43" i="6"/>
  <c r="AJ43" i="6"/>
  <c r="AK43" i="6" s="1"/>
  <c r="AD43" i="6"/>
  <c r="AE43" i="6" s="1"/>
  <c r="W43" i="6"/>
  <c r="X43" i="6" s="1"/>
  <c r="S43" i="6"/>
  <c r="N43" i="6"/>
  <c r="G43" i="6"/>
  <c r="C43" i="6"/>
  <c r="BW42" i="6"/>
  <c r="BI42" i="6"/>
  <c r="AX42" i="6"/>
  <c r="AP42" i="6"/>
  <c r="S42" i="6"/>
  <c r="T42" i="6" s="1"/>
  <c r="U42" i="6" s="1"/>
  <c r="N42" i="6"/>
  <c r="G42" i="6"/>
  <c r="C42" i="6"/>
  <c r="BW41" i="6"/>
  <c r="BI41" i="6"/>
  <c r="AX41" i="6"/>
  <c r="AP41" i="6"/>
  <c r="AG41" i="6"/>
  <c r="AH41" i="6" s="1"/>
  <c r="S41" i="6"/>
  <c r="T41" i="6" s="1"/>
  <c r="U41" i="6" s="1"/>
  <c r="N41" i="6"/>
  <c r="G41" i="6"/>
  <c r="C41" i="6"/>
  <c r="BW40" i="6"/>
  <c r="BI40" i="6"/>
  <c r="AX40" i="6"/>
  <c r="AP40" i="6"/>
  <c r="S40" i="6"/>
  <c r="N40" i="6"/>
  <c r="G40" i="6"/>
  <c r="C40" i="6"/>
  <c r="BW39" i="6"/>
  <c r="BI39" i="6"/>
  <c r="AX39" i="6"/>
  <c r="AP39" i="6"/>
  <c r="AJ39" i="6"/>
  <c r="AK39" i="6" s="1"/>
  <c r="AD39" i="6"/>
  <c r="AE39" i="6" s="1"/>
  <c r="W39" i="6"/>
  <c r="X39" i="6" s="1"/>
  <c r="S39" i="6"/>
  <c r="N39" i="6"/>
  <c r="G39" i="6"/>
  <c r="C39" i="6"/>
  <c r="BW38" i="6"/>
  <c r="BI38" i="6"/>
  <c r="AX38" i="6"/>
  <c r="AP38" i="6"/>
  <c r="S38" i="6"/>
  <c r="T38" i="6" s="1"/>
  <c r="U38" i="6" s="1"/>
  <c r="N38" i="6"/>
  <c r="G38" i="6"/>
  <c r="C38" i="6"/>
  <c r="BW37" i="6"/>
  <c r="BI37" i="6"/>
  <c r="AX37" i="6"/>
  <c r="AP37" i="6"/>
  <c r="AG37" i="6"/>
  <c r="AH37" i="6" s="1"/>
  <c r="AA37" i="6"/>
  <c r="AB37" i="6" s="1"/>
  <c r="S37" i="6"/>
  <c r="T37" i="6" s="1"/>
  <c r="U37" i="6" s="1"/>
  <c r="N37" i="6"/>
  <c r="G37" i="6"/>
  <c r="C37" i="6"/>
  <c r="BW36" i="6"/>
  <c r="BI36" i="6"/>
  <c r="AX36" i="6"/>
  <c r="AP36" i="6"/>
  <c r="S36" i="6"/>
  <c r="N36" i="6"/>
  <c r="G36" i="6"/>
  <c r="C36" i="6"/>
  <c r="BW35" i="6"/>
  <c r="BI35" i="6"/>
  <c r="AX35" i="6"/>
  <c r="AP35" i="6"/>
  <c r="AJ35" i="6"/>
  <c r="AK35" i="6" s="1"/>
  <c r="AD35" i="6"/>
  <c r="AE35" i="6" s="1"/>
  <c r="W35" i="6"/>
  <c r="X35" i="6" s="1"/>
  <c r="S35" i="6"/>
  <c r="N35" i="6"/>
  <c r="G35" i="6"/>
  <c r="C35" i="6"/>
  <c r="BW34" i="6"/>
  <c r="BI34" i="6"/>
  <c r="AX34" i="6"/>
  <c r="AP34" i="6"/>
  <c r="S34" i="6"/>
  <c r="T34" i="6" s="1"/>
  <c r="U34" i="6" s="1"/>
  <c r="N34" i="6"/>
  <c r="G34" i="6"/>
  <c r="C34" i="6"/>
  <c r="BW33" i="6"/>
  <c r="BI33" i="6"/>
  <c r="AX33" i="6"/>
  <c r="AP33" i="6"/>
  <c r="AG33" i="6"/>
  <c r="AH33" i="6" s="1"/>
  <c r="AA33" i="6"/>
  <c r="AB33" i="6" s="1"/>
  <c r="S33" i="6"/>
  <c r="T33" i="6" s="1"/>
  <c r="U33" i="6" s="1"/>
  <c r="N33" i="6"/>
  <c r="G33" i="6"/>
  <c r="C33" i="6"/>
  <c r="BW32" i="6"/>
  <c r="BI32" i="6"/>
  <c r="AX32" i="6"/>
  <c r="AP32" i="6"/>
  <c r="S32" i="6"/>
  <c r="N32" i="6"/>
  <c r="G32" i="6"/>
  <c r="C32" i="6"/>
  <c r="BW31" i="6"/>
  <c r="BI31" i="6"/>
  <c r="AX31" i="6"/>
  <c r="AP31" i="6"/>
  <c r="AJ31" i="6"/>
  <c r="AK31" i="6" s="1"/>
  <c r="AD31" i="6"/>
  <c r="AE31" i="6" s="1"/>
  <c r="W31" i="6"/>
  <c r="X31" i="6" s="1"/>
  <c r="S31" i="6"/>
  <c r="N31" i="6"/>
  <c r="G31" i="6"/>
  <c r="C31" i="6"/>
  <c r="BW30" i="6"/>
  <c r="BI30" i="6"/>
  <c r="AX30" i="6"/>
  <c r="AP30" i="6"/>
  <c r="S30" i="6"/>
  <c r="T30" i="6" s="1"/>
  <c r="U30" i="6" s="1"/>
  <c r="N30" i="6"/>
  <c r="G30" i="6"/>
  <c r="C30" i="6"/>
  <c r="BW29" i="6"/>
  <c r="BI29" i="6"/>
  <c r="AX29" i="6"/>
  <c r="AP29" i="6"/>
  <c r="AG29" i="6"/>
  <c r="AH29" i="6" s="1"/>
  <c r="AA29" i="6"/>
  <c r="AB29" i="6" s="1"/>
  <c r="S29" i="6"/>
  <c r="T29" i="6" s="1"/>
  <c r="U29" i="6" s="1"/>
  <c r="N29" i="6"/>
  <c r="G29" i="6"/>
  <c r="C29" i="6"/>
  <c r="BW28" i="6"/>
  <c r="BI28" i="6"/>
  <c r="AX28" i="6"/>
  <c r="AP28" i="6"/>
  <c r="S28" i="6"/>
  <c r="N28" i="6"/>
  <c r="G28" i="6"/>
  <c r="C28" i="6"/>
  <c r="BW27" i="6"/>
  <c r="BI27" i="6"/>
  <c r="AX27" i="6"/>
  <c r="AP27" i="6"/>
  <c r="AJ27" i="6"/>
  <c r="AK27" i="6" s="1"/>
  <c r="AD27" i="6"/>
  <c r="AE27" i="6" s="1"/>
  <c r="W27" i="6"/>
  <c r="X27" i="6" s="1"/>
  <c r="S27" i="6"/>
  <c r="N27" i="6"/>
  <c r="G27" i="6"/>
  <c r="C27" i="6"/>
  <c r="BW26" i="6"/>
  <c r="BI26" i="6"/>
  <c r="AX26" i="6"/>
  <c r="AP26" i="6"/>
  <c r="S26" i="6"/>
  <c r="T26" i="6" s="1"/>
  <c r="U26" i="6" s="1"/>
  <c r="N26" i="6"/>
  <c r="G26" i="6"/>
  <c r="C26" i="6"/>
  <c r="BW25" i="6"/>
  <c r="BI25" i="6"/>
  <c r="AX25" i="6"/>
  <c r="AP25" i="6"/>
  <c r="AG25" i="6"/>
  <c r="AH25" i="6" s="1"/>
  <c r="AA25" i="6"/>
  <c r="AB25" i="6" s="1"/>
  <c r="S25" i="6"/>
  <c r="T25" i="6" s="1"/>
  <c r="U25" i="6" s="1"/>
  <c r="N25" i="6"/>
  <c r="G25" i="6"/>
  <c r="C25" i="6"/>
  <c r="BW24" i="6"/>
  <c r="BI24" i="6"/>
  <c r="AX24" i="6"/>
  <c r="AP24" i="6"/>
  <c r="S24" i="6"/>
  <c r="N24" i="6"/>
  <c r="G24" i="6"/>
  <c r="C24" i="6"/>
  <c r="BW23" i="6"/>
  <c r="BI23" i="6"/>
  <c r="AX23" i="6"/>
  <c r="AP23" i="6"/>
  <c r="AJ23" i="6"/>
  <c r="AK23" i="6" s="1"/>
  <c r="AD23" i="6"/>
  <c r="AE23" i="6" s="1"/>
  <c r="W23" i="6"/>
  <c r="X23" i="6" s="1"/>
  <c r="S23" i="6"/>
  <c r="N23" i="6"/>
  <c r="G23" i="6"/>
  <c r="C23" i="6"/>
  <c r="BW22" i="6"/>
  <c r="BI22" i="6"/>
  <c r="AX22" i="6"/>
  <c r="AP22" i="6"/>
  <c r="S22" i="6"/>
  <c r="T22" i="6" s="1"/>
  <c r="U22" i="6" s="1"/>
  <c r="N22" i="6"/>
  <c r="G22" i="6"/>
  <c r="C22" i="6"/>
  <c r="BW21" i="6"/>
  <c r="BI21" i="6"/>
  <c r="AX21" i="6"/>
  <c r="AP21" i="6"/>
  <c r="AG21" i="6"/>
  <c r="AH21" i="6" s="1"/>
  <c r="AA21" i="6"/>
  <c r="AB21" i="6" s="1"/>
  <c r="S21" i="6"/>
  <c r="T21" i="6" s="1"/>
  <c r="U21" i="6" s="1"/>
  <c r="N21" i="6"/>
  <c r="G21" i="6"/>
  <c r="C21" i="6"/>
  <c r="BW20" i="6"/>
  <c r="BI20" i="6"/>
  <c r="AX20" i="6"/>
  <c r="AP20" i="6"/>
  <c r="S20" i="6"/>
  <c r="N20" i="6"/>
  <c r="G20" i="6"/>
  <c r="C20" i="6"/>
  <c r="BW19" i="6"/>
  <c r="BI19" i="6"/>
  <c r="AX19" i="6"/>
  <c r="F19" i="6" s="1"/>
  <c r="AP19" i="6"/>
  <c r="AJ19" i="6"/>
  <c r="AK19" i="6" s="1"/>
  <c r="AD19" i="6"/>
  <c r="AE19" i="6" s="1"/>
  <c r="W19" i="6"/>
  <c r="X19" i="6" s="1"/>
  <c r="S19" i="6"/>
  <c r="N19" i="6"/>
  <c r="G19" i="6"/>
  <c r="C19" i="6"/>
  <c r="BW18" i="6"/>
  <c r="BI18" i="6"/>
  <c r="AX18" i="6"/>
  <c r="F18" i="6" s="1"/>
  <c r="AP18" i="6"/>
  <c r="S18" i="6"/>
  <c r="T18" i="6" s="1"/>
  <c r="U18" i="6" s="1"/>
  <c r="N18" i="6"/>
  <c r="G18" i="6"/>
  <c r="C18" i="6"/>
  <c r="BW17" i="6"/>
  <c r="BI17" i="6"/>
  <c r="AX17" i="6"/>
  <c r="F17" i="6" s="1"/>
  <c r="AP17" i="6"/>
  <c r="AG17" i="6"/>
  <c r="AH17" i="6" s="1"/>
  <c r="AA17" i="6"/>
  <c r="AB17" i="6" s="1"/>
  <c r="S17" i="6"/>
  <c r="T17" i="6" s="1"/>
  <c r="U17" i="6" s="1"/>
  <c r="N17" i="6"/>
  <c r="G17" i="6"/>
  <c r="C17" i="6"/>
  <c r="BW16" i="6"/>
  <c r="BI16" i="6"/>
  <c r="AX16" i="6"/>
  <c r="AP16" i="6"/>
  <c r="S16" i="6"/>
  <c r="N16" i="6"/>
  <c r="G16" i="6"/>
  <c r="C16" i="6"/>
  <c r="BW15" i="6"/>
  <c r="BI15" i="6"/>
  <c r="AX15" i="6"/>
  <c r="AP15" i="6"/>
  <c r="AJ15" i="6"/>
  <c r="AK15" i="6" s="1"/>
  <c r="AD15" i="6"/>
  <c r="W15" i="6"/>
  <c r="X15" i="6" s="1"/>
  <c r="S15" i="6"/>
  <c r="N15" i="6"/>
  <c r="G15" i="6"/>
  <c r="C15" i="6"/>
  <c r="BW14" i="6"/>
  <c r="BI14" i="6"/>
  <c r="AX14" i="6"/>
  <c r="F14" i="6" s="1"/>
  <c r="AP14" i="6"/>
  <c r="S14" i="6"/>
  <c r="T14" i="6" s="1"/>
  <c r="U14" i="6" s="1"/>
  <c r="N14" i="6"/>
  <c r="G14" i="6"/>
  <c r="C14" i="6"/>
  <c r="BW13" i="6"/>
  <c r="BI13" i="6"/>
  <c r="AX13" i="6"/>
  <c r="F13" i="6" s="1"/>
  <c r="AP13" i="6"/>
  <c r="AJ13" i="6"/>
  <c r="AK13" i="6" s="1"/>
  <c r="AG13" i="6"/>
  <c r="AH13" i="6" s="1"/>
  <c r="AD13" i="6"/>
  <c r="AE13" i="6" s="1"/>
  <c r="W13" i="6"/>
  <c r="X13" i="6" s="1"/>
  <c r="S13" i="6"/>
  <c r="T13" i="6" s="1"/>
  <c r="U13" i="6" s="1"/>
  <c r="N13" i="6"/>
  <c r="G13" i="6"/>
  <c r="C13" i="6"/>
  <c r="BW12" i="6"/>
  <c r="BI12" i="6"/>
  <c r="AX12" i="6"/>
  <c r="F12" i="6" s="1"/>
  <c r="AP12" i="6"/>
  <c r="S12" i="6"/>
  <c r="N12" i="6"/>
  <c r="G12" i="6"/>
  <c r="C12" i="6"/>
  <c r="BW11" i="6"/>
  <c r="BI11" i="6"/>
  <c r="AX11" i="6"/>
  <c r="F11" i="6" s="1"/>
  <c r="AP11" i="6"/>
  <c r="AJ11" i="6"/>
  <c r="AK11" i="6" s="1"/>
  <c r="AG11" i="6"/>
  <c r="AH11" i="6" s="1"/>
  <c r="AD11" i="6"/>
  <c r="AE11" i="6" s="1"/>
  <c r="AA11" i="6"/>
  <c r="AB11" i="6" s="1"/>
  <c r="W11" i="6"/>
  <c r="X11" i="6" s="1"/>
  <c r="S11" i="6"/>
  <c r="T11" i="6" s="1"/>
  <c r="N11" i="6"/>
  <c r="G11" i="6"/>
  <c r="C11" i="6"/>
  <c r="BW10" i="6"/>
  <c r="BI10" i="6"/>
  <c r="AX10" i="6"/>
  <c r="AP10" i="6"/>
  <c r="S10" i="6"/>
  <c r="N10" i="6"/>
  <c r="G10" i="6"/>
  <c r="C10" i="6"/>
  <c r="BW9" i="6"/>
  <c r="BI9" i="6"/>
  <c r="AX9" i="6"/>
  <c r="AP9" i="6"/>
  <c r="AJ9" i="6"/>
  <c r="AG9" i="6"/>
  <c r="AD9" i="6"/>
  <c r="AA9" i="6"/>
  <c r="AB9" i="6" s="1"/>
  <c r="W9" i="6"/>
  <c r="S9" i="6"/>
  <c r="T9" i="6" s="1"/>
  <c r="U9" i="6" s="1"/>
  <c r="N9" i="6"/>
  <c r="G9" i="6"/>
  <c r="C9" i="6"/>
  <c r="C5" i="6"/>
  <c r="AN209" i="6" s="1"/>
  <c r="AO209" i="6" s="1"/>
  <c r="AS374" i="6" l="1"/>
  <c r="F9" i="6"/>
  <c r="F10" i="6"/>
  <c r="F15" i="6"/>
  <c r="F16" i="6"/>
  <c r="F25" i="6"/>
  <c r="F61" i="6"/>
  <c r="F178" i="6"/>
  <c r="F179" i="6"/>
  <c r="F188" i="6"/>
  <c r="F248" i="6"/>
  <c r="F249" i="6"/>
  <c r="F250" i="6"/>
  <c r="F251" i="6"/>
  <c r="F252" i="6"/>
  <c r="F288" i="6"/>
  <c r="F289" i="6"/>
  <c r="F290" i="6"/>
  <c r="F291" i="6"/>
  <c r="F327" i="6"/>
  <c r="F328" i="6"/>
  <c r="F329" i="6"/>
  <c r="F330" i="6"/>
  <c r="F331" i="6"/>
  <c r="AN21" i="6"/>
  <c r="AO21" i="6" s="1"/>
  <c r="AN53" i="6"/>
  <c r="AO53" i="6" s="1"/>
  <c r="AN37" i="6"/>
  <c r="AO37" i="6" s="1"/>
  <c r="AN69" i="6"/>
  <c r="AO69" i="6" s="1"/>
  <c r="BE375" i="6"/>
  <c r="BJ373" i="6"/>
  <c r="BW369" i="6"/>
  <c r="AU373" i="6"/>
  <c r="F75" i="6"/>
  <c r="F73" i="6"/>
  <c r="F71" i="6"/>
  <c r="F55" i="6"/>
  <c r="F35" i="6"/>
  <c r="F364" i="6"/>
  <c r="F350" i="6"/>
  <c r="F320" i="6"/>
  <c r="F260" i="6"/>
  <c r="F183" i="6"/>
  <c r="F139" i="6"/>
  <c r="F63" i="6"/>
  <c r="F23" i="6"/>
  <c r="F362" i="6"/>
  <c r="F335" i="6"/>
  <c r="F315" i="6"/>
  <c r="F298" i="6"/>
  <c r="F276" i="6"/>
  <c r="F256" i="6"/>
  <c r="F238" i="6"/>
  <c r="F226" i="6"/>
  <c r="F204" i="6"/>
  <c r="F196" i="6"/>
  <c r="F174" i="6"/>
  <c r="F128" i="6"/>
  <c r="F100" i="6"/>
  <c r="F92" i="6"/>
  <c r="F67" i="6"/>
  <c r="F53" i="6"/>
  <c r="F51" i="6"/>
  <c r="F49" i="6"/>
  <c r="F47" i="6"/>
  <c r="F45" i="6"/>
  <c r="F43" i="6"/>
  <c r="F41" i="6"/>
  <c r="F39" i="6"/>
  <c r="F27" i="6"/>
  <c r="F21" i="6"/>
  <c r="F29" i="6"/>
  <c r="F30" i="6"/>
  <c r="F31" i="6"/>
  <c r="F32" i="6"/>
  <c r="F33" i="6"/>
  <c r="F80" i="6"/>
  <c r="F81" i="6"/>
  <c r="F82" i="6"/>
  <c r="F86" i="6"/>
  <c r="F87" i="6"/>
  <c r="F88" i="6"/>
  <c r="F89" i="6"/>
  <c r="F122" i="6"/>
  <c r="F123" i="6"/>
  <c r="F124" i="6"/>
  <c r="F197" i="6"/>
  <c r="F198" i="6"/>
  <c r="F231" i="6"/>
  <c r="F232" i="6"/>
  <c r="F233" i="6"/>
  <c r="F234" i="6"/>
  <c r="F264" i="6"/>
  <c r="F265" i="6"/>
  <c r="F266" i="6"/>
  <c r="F267" i="6"/>
  <c r="F268" i="6"/>
  <c r="F303" i="6"/>
  <c r="F304" i="6"/>
  <c r="F305" i="6"/>
  <c r="F306" i="6"/>
  <c r="F307" i="6"/>
  <c r="F344" i="6"/>
  <c r="F345" i="6"/>
  <c r="F346" i="6"/>
  <c r="AR373" i="6"/>
  <c r="BA373" i="6"/>
  <c r="BD373" i="6"/>
  <c r="BH373" i="6"/>
  <c r="BN373" i="6"/>
  <c r="F76" i="6"/>
  <c r="F77" i="6"/>
  <c r="F102" i="6"/>
  <c r="F103" i="6"/>
  <c r="F104" i="6"/>
  <c r="F105" i="6"/>
  <c r="F114" i="6"/>
  <c r="F115" i="6"/>
  <c r="F116" i="6"/>
  <c r="F152" i="6"/>
  <c r="F153" i="6"/>
  <c r="F154" i="6"/>
  <c r="F155" i="6"/>
  <c r="F164" i="6"/>
  <c r="F165" i="6"/>
  <c r="F166" i="6"/>
  <c r="F167" i="6"/>
  <c r="F168" i="6"/>
  <c r="F199" i="6"/>
  <c r="F200" i="6"/>
  <c r="F201" i="6"/>
  <c r="F202" i="6"/>
  <c r="F269" i="6"/>
  <c r="F270" i="6"/>
  <c r="F271" i="6"/>
  <c r="F272" i="6"/>
  <c r="F310" i="6"/>
  <c r="F311" i="6"/>
  <c r="F312" i="6"/>
  <c r="F347" i="6"/>
  <c r="F348" i="6"/>
  <c r="F349" i="6"/>
  <c r="F354" i="6"/>
  <c r="F355" i="6"/>
  <c r="F356" i="6"/>
  <c r="F357" i="6"/>
  <c r="F358" i="6"/>
  <c r="F359" i="6"/>
  <c r="F143" i="6"/>
  <c r="F144" i="6"/>
  <c r="F145" i="6"/>
  <c r="F146" i="6"/>
  <c r="F147" i="6"/>
  <c r="F157" i="6"/>
  <c r="F158" i="6"/>
  <c r="F159" i="6"/>
  <c r="F160" i="6"/>
  <c r="F214" i="6"/>
  <c r="F215" i="6"/>
  <c r="F216" i="6"/>
  <c r="F217" i="6"/>
  <c r="F240" i="6"/>
  <c r="F241" i="6"/>
  <c r="F242" i="6"/>
  <c r="F243" i="6"/>
  <c r="F244" i="6"/>
  <c r="F286" i="6"/>
  <c r="F287" i="6"/>
  <c r="F324" i="6"/>
  <c r="F325" i="6"/>
  <c r="F326" i="6"/>
  <c r="F20" i="6"/>
  <c r="F26" i="6"/>
  <c r="F28" i="6"/>
  <c r="F37" i="6"/>
  <c r="F38" i="6"/>
  <c r="F40" i="6"/>
  <c r="F42" i="6"/>
  <c r="F44" i="6"/>
  <c r="F46" i="6"/>
  <c r="F48" i="6"/>
  <c r="F50" i="6"/>
  <c r="F52" i="6"/>
  <c r="F66" i="6"/>
  <c r="F68" i="6"/>
  <c r="F78" i="6"/>
  <c r="F79" i="6"/>
  <c r="F90" i="6"/>
  <c r="F91" i="6"/>
  <c r="F99" i="6"/>
  <c r="F127" i="6"/>
  <c r="F132" i="6"/>
  <c r="F133" i="6"/>
  <c r="F134" i="6"/>
  <c r="F135" i="6"/>
  <c r="F171" i="6"/>
  <c r="F172" i="6"/>
  <c r="F173" i="6"/>
  <c r="F181" i="6"/>
  <c r="F195" i="6"/>
  <c r="F203" i="6"/>
  <c r="F222" i="6"/>
  <c r="F223" i="6"/>
  <c r="F224" i="6"/>
  <c r="F225" i="6"/>
  <c r="F235" i="6"/>
  <c r="F236" i="6"/>
  <c r="F237" i="6"/>
  <c r="F253" i="6"/>
  <c r="F254" i="6"/>
  <c r="F255" i="6"/>
  <c r="F273" i="6"/>
  <c r="F274" i="6"/>
  <c r="F275" i="6"/>
  <c r="F294" i="6"/>
  <c r="F295" i="6"/>
  <c r="F296" i="6"/>
  <c r="F297" i="6"/>
  <c r="F313" i="6"/>
  <c r="F314" i="6"/>
  <c r="F332" i="6"/>
  <c r="F333" i="6"/>
  <c r="F334" i="6"/>
  <c r="F360" i="6"/>
  <c r="F361" i="6"/>
  <c r="F22" i="6"/>
  <c r="F24" i="6"/>
  <c r="F62" i="6"/>
  <c r="F64" i="6"/>
  <c r="F83" i="6"/>
  <c r="F110" i="6"/>
  <c r="F111" i="6"/>
  <c r="F112" i="6"/>
  <c r="F113" i="6"/>
  <c r="F118" i="6"/>
  <c r="F119" i="6"/>
  <c r="F120" i="6"/>
  <c r="F121" i="6"/>
  <c r="F136" i="6"/>
  <c r="F137" i="6"/>
  <c r="F138" i="6"/>
  <c r="F163" i="6"/>
  <c r="F175" i="6"/>
  <c r="F176" i="6"/>
  <c r="F177" i="6"/>
  <c r="F182" i="6"/>
  <c r="F189" i="6"/>
  <c r="F207" i="6"/>
  <c r="F208" i="6"/>
  <c r="F209" i="6"/>
  <c r="F210" i="6"/>
  <c r="F211" i="6"/>
  <c r="F212" i="6"/>
  <c r="F213" i="6"/>
  <c r="F227" i="6"/>
  <c r="F228" i="6"/>
  <c r="F229" i="6"/>
  <c r="F230" i="6"/>
  <c r="F239" i="6"/>
  <c r="F257" i="6"/>
  <c r="F258" i="6"/>
  <c r="F259" i="6"/>
  <c r="F280" i="6"/>
  <c r="F281" i="6"/>
  <c r="F282" i="6"/>
  <c r="F283" i="6"/>
  <c r="F284" i="6"/>
  <c r="F285" i="6"/>
  <c r="F299" i="6"/>
  <c r="F300" i="6"/>
  <c r="F301" i="6"/>
  <c r="F302" i="6"/>
  <c r="F316" i="6"/>
  <c r="F317" i="6"/>
  <c r="F318" i="6"/>
  <c r="F319" i="6"/>
  <c r="F340" i="6"/>
  <c r="F341" i="6"/>
  <c r="F342" i="6"/>
  <c r="F343" i="6"/>
  <c r="F363" i="6"/>
  <c r="N370" i="6"/>
  <c r="F34" i="6"/>
  <c r="F36" i="6"/>
  <c r="F54" i="6"/>
  <c r="F56" i="6"/>
  <c r="F69" i="6"/>
  <c r="F70" i="6"/>
  <c r="F72" i="6"/>
  <c r="F74" i="6"/>
  <c r="F84" i="6"/>
  <c r="F85" i="6"/>
  <c r="F93" i="6"/>
  <c r="F101" i="6"/>
  <c r="F109" i="6"/>
  <c r="F117" i="6"/>
  <c r="F125" i="6"/>
  <c r="F126" i="6"/>
  <c r="F140" i="6"/>
  <c r="F141" i="6"/>
  <c r="F142" i="6"/>
  <c r="F161" i="6"/>
  <c r="F162" i="6"/>
  <c r="F169" i="6"/>
  <c r="F170" i="6"/>
  <c r="F184" i="6"/>
  <c r="F185" i="6"/>
  <c r="F190" i="6"/>
  <c r="F205" i="6"/>
  <c r="F206" i="6"/>
  <c r="F221" i="6"/>
  <c r="F245" i="6"/>
  <c r="F246" i="6"/>
  <c r="F247" i="6"/>
  <c r="F261" i="6"/>
  <c r="F262" i="6"/>
  <c r="F263" i="6"/>
  <c r="F277" i="6"/>
  <c r="F278" i="6"/>
  <c r="F279" i="6"/>
  <c r="F292" i="6"/>
  <c r="F293" i="6"/>
  <c r="F308" i="6"/>
  <c r="F309" i="6"/>
  <c r="F321" i="6"/>
  <c r="F322" i="6"/>
  <c r="F323" i="6"/>
  <c r="F336" i="6"/>
  <c r="F337" i="6"/>
  <c r="F338" i="6"/>
  <c r="F339" i="6"/>
  <c r="F351" i="6"/>
  <c r="F352" i="6"/>
  <c r="F353" i="6"/>
  <c r="F365" i="6"/>
  <c r="F366" i="6"/>
  <c r="AS376" i="6"/>
  <c r="AM373" i="6"/>
  <c r="AT373" i="6"/>
  <c r="AY373" i="6"/>
  <c r="BC373" i="6"/>
  <c r="BG373" i="6"/>
  <c r="AP370" i="6"/>
  <c r="V373" i="6"/>
  <c r="AF373" i="6"/>
  <c r="AQ373" i="6"/>
  <c r="AZ373" i="6"/>
  <c r="U11" i="6"/>
  <c r="Z373" i="6"/>
  <c r="AL373" i="6"/>
  <c r="AS373" i="6"/>
  <c r="AW373" i="6"/>
  <c r="BF373" i="6"/>
  <c r="AR390" i="6"/>
  <c r="AU390" i="6" s="1"/>
  <c r="BL373" i="6"/>
  <c r="BM373" i="6"/>
  <c r="BM383" i="6" s="1"/>
  <c r="AN205" i="6"/>
  <c r="AO205" i="6" s="1"/>
  <c r="AN212" i="6"/>
  <c r="AO212" i="6" s="1"/>
  <c r="AN25" i="6"/>
  <c r="AO25" i="6" s="1"/>
  <c r="AN41" i="6"/>
  <c r="AO41" i="6" s="1"/>
  <c r="AN57" i="6"/>
  <c r="AO57" i="6" s="1"/>
  <c r="AN73" i="6"/>
  <c r="AO73" i="6" s="1"/>
  <c r="AN88" i="6"/>
  <c r="AO88" i="6" s="1"/>
  <c r="AN92" i="6"/>
  <c r="AO92" i="6" s="1"/>
  <c r="AN96" i="6"/>
  <c r="AO96" i="6" s="1"/>
  <c r="AN100" i="6"/>
  <c r="AO100" i="6" s="1"/>
  <c r="AN104" i="6"/>
  <c r="AO104" i="6" s="1"/>
  <c r="AN108" i="6"/>
  <c r="AO108" i="6" s="1"/>
  <c r="AN112" i="6"/>
  <c r="AO112" i="6" s="1"/>
  <c r="AN116" i="6"/>
  <c r="AO116" i="6" s="1"/>
  <c r="AN120" i="6"/>
  <c r="AO120" i="6" s="1"/>
  <c r="AN124" i="6"/>
  <c r="AO124" i="6" s="1"/>
  <c r="AN13" i="6"/>
  <c r="AO13" i="6" s="1"/>
  <c r="AN29" i="6"/>
  <c r="AO29" i="6" s="1"/>
  <c r="AN45" i="6"/>
  <c r="AO45" i="6" s="1"/>
  <c r="AN61" i="6"/>
  <c r="AO61" i="6" s="1"/>
  <c r="AN133" i="6"/>
  <c r="AO133" i="6" s="1"/>
  <c r="AN149" i="6"/>
  <c r="AO149" i="6" s="1"/>
  <c r="AN165" i="6"/>
  <c r="AO165" i="6" s="1"/>
  <c r="AN189" i="6"/>
  <c r="AO189" i="6" s="1"/>
  <c r="AN9" i="6"/>
  <c r="AO9" i="6" s="1"/>
  <c r="AN17" i="6"/>
  <c r="AO17" i="6" s="1"/>
  <c r="AN33" i="6"/>
  <c r="AO33" i="6" s="1"/>
  <c r="AN49" i="6"/>
  <c r="AO49" i="6" s="1"/>
  <c r="AN65" i="6"/>
  <c r="AO65" i="6" s="1"/>
  <c r="AN82" i="6"/>
  <c r="AO82" i="6" s="1"/>
  <c r="T91" i="6"/>
  <c r="U91" i="6" s="1"/>
  <c r="T99" i="6"/>
  <c r="U99" i="6" s="1"/>
  <c r="T103" i="6"/>
  <c r="U103" i="6" s="1"/>
  <c r="T111" i="6"/>
  <c r="U111" i="6" s="1"/>
  <c r="T123" i="6"/>
  <c r="U123" i="6" s="1"/>
  <c r="T193" i="6"/>
  <c r="U193" i="6" s="1"/>
  <c r="AJ366" i="6"/>
  <c r="AK366" i="6" s="1"/>
  <c r="AD366" i="6"/>
  <c r="AE366" i="6" s="1"/>
  <c r="W366" i="6"/>
  <c r="X366" i="6" s="1"/>
  <c r="AG364" i="6"/>
  <c r="AH364" i="6" s="1"/>
  <c r="AA364" i="6"/>
  <c r="AB364" i="6" s="1"/>
  <c r="AJ367" i="6"/>
  <c r="AK367" i="6" s="1"/>
  <c r="AD367" i="6"/>
  <c r="AE367" i="6" s="1"/>
  <c r="W367" i="6"/>
  <c r="X367" i="6" s="1"/>
  <c r="AG365" i="6"/>
  <c r="AH365" i="6" s="1"/>
  <c r="AA365" i="6"/>
  <c r="AB365" i="6" s="1"/>
  <c r="AG367" i="6"/>
  <c r="AH367" i="6" s="1"/>
  <c r="T367" i="6"/>
  <c r="U367" i="6" s="1"/>
  <c r="AG366" i="6"/>
  <c r="AH366" i="6" s="1"/>
  <c r="AJ365" i="6"/>
  <c r="AK365" i="6" s="1"/>
  <c r="W365" i="6"/>
  <c r="X365" i="6" s="1"/>
  <c r="AG363" i="6"/>
  <c r="AH363" i="6" s="1"/>
  <c r="AJ361" i="6"/>
  <c r="AK361" i="6" s="1"/>
  <c r="AD361" i="6"/>
  <c r="AE361" i="6" s="1"/>
  <c r="W361" i="6"/>
  <c r="X361" i="6" s="1"/>
  <c r="AG359" i="6"/>
  <c r="AH359" i="6" s="1"/>
  <c r="AA359" i="6"/>
  <c r="AB359" i="6" s="1"/>
  <c r="AJ357" i="6"/>
  <c r="AK357" i="6" s="1"/>
  <c r="AD357" i="6"/>
  <c r="AE357" i="6" s="1"/>
  <c r="W357" i="6"/>
  <c r="X357" i="6" s="1"/>
  <c r="AG355" i="6"/>
  <c r="AH355" i="6" s="1"/>
  <c r="AD365" i="6"/>
  <c r="AE365" i="6" s="1"/>
  <c r="AD364" i="6"/>
  <c r="AE364" i="6" s="1"/>
  <c r="AG362" i="6"/>
  <c r="AH362" i="6" s="1"/>
  <c r="W362" i="6"/>
  <c r="X362" i="6" s="1"/>
  <c r="AD360" i="6"/>
  <c r="AE360" i="6" s="1"/>
  <c r="AJ359" i="6"/>
  <c r="AK359" i="6" s="1"/>
  <c r="AA358" i="6"/>
  <c r="AB358" i="6" s="1"/>
  <c r="W356" i="6"/>
  <c r="X356" i="6" s="1"/>
  <c r="AD355" i="6"/>
  <c r="AE355" i="6" s="1"/>
  <c r="W355" i="6"/>
  <c r="X355" i="6" s="1"/>
  <c r="AG353" i="6"/>
  <c r="AH353" i="6" s="1"/>
  <c r="AA353" i="6"/>
  <c r="AB353" i="6" s="1"/>
  <c r="AJ351" i="6"/>
  <c r="AK351" i="6" s="1"/>
  <c r="AD351" i="6"/>
  <c r="AE351" i="6" s="1"/>
  <c r="W351" i="6"/>
  <c r="X351" i="6" s="1"/>
  <c r="AG349" i="6"/>
  <c r="AH349" i="6" s="1"/>
  <c r="AA349" i="6"/>
  <c r="AB349" i="6" s="1"/>
  <c r="AJ347" i="6"/>
  <c r="AK347" i="6" s="1"/>
  <c r="AD347" i="6"/>
  <c r="AE347" i="6" s="1"/>
  <c r="W347" i="6"/>
  <c r="X347" i="6" s="1"/>
  <c r="AG345" i="6"/>
  <c r="AH345" i="6" s="1"/>
  <c r="AJ343" i="6"/>
  <c r="AK343" i="6" s="1"/>
  <c r="AD343" i="6"/>
  <c r="AE343" i="6" s="1"/>
  <c r="W343" i="6"/>
  <c r="X343" i="6" s="1"/>
  <c r="AG341" i="6"/>
  <c r="AH341" i="6" s="1"/>
  <c r="AJ339" i="6"/>
  <c r="AK339" i="6" s="1"/>
  <c r="AD339" i="6"/>
  <c r="AE339" i="6" s="1"/>
  <c r="W339" i="6"/>
  <c r="X339" i="6" s="1"/>
  <c r="W363" i="6"/>
  <c r="X363" i="6" s="1"/>
  <c r="AD362" i="6"/>
  <c r="AE362" i="6" s="1"/>
  <c r="AA361" i="6"/>
  <c r="AB361" i="6" s="1"/>
  <c r="AJ360" i="6"/>
  <c r="AK360" i="6" s="1"/>
  <c r="AA360" i="6"/>
  <c r="AB360" i="6" s="1"/>
  <c r="W360" i="6"/>
  <c r="X360" i="6" s="1"/>
  <c r="AG357" i="6"/>
  <c r="AH357" i="6" s="1"/>
  <c r="AD356" i="6"/>
  <c r="AE356" i="6" s="1"/>
  <c r="AG354" i="6"/>
  <c r="AH354" i="6" s="1"/>
  <c r="W353" i="6"/>
  <c r="X353" i="6" s="1"/>
  <c r="AD352" i="6"/>
  <c r="AE352" i="6" s="1"/>
  <c r="AA351" i="6"/>
  <c r="AB351" i="6" s="1"/>
  <c r="AJ350" i="6"/>
  <c r="AK350" i="6" s="1"/>
  <c r="AA350" i="6"/>
  <c r="AB350" i="6" s="1"/>
  <c r="AG348" i="6"/>
  <c r="AH348" i="6" s="1"/>
  <c r="W348" i="6"/>
  <c r="X348" i="6" s="1"/>
  <c r="AD346" i="6"/>
  <c r="AE346" i="6" s="1"/>
  <c r="AJ345" i="6"/>
  <c r="AK345" i="6" s="1"/>
  <c r="W342" i="6"/>
  <c r="X342" i="6" s="1"/>
  <c r="AD341" i="6"/>
  <c r="AE341" i="6" s="1"/>
  <c r="AJ340" i="6"/>
  <c r="AK340" i="6" s="1"/>
  <c r="T340" i="6"/>
  <c r="U340" i="6" s="1"/>
  <c r="AG339" i="6"/>
  <c r="AH339" i="6" s="1"/>
  <c r="AG338" i="6"/>
  <c r="AH338" i="6" s="1"/>
  <c r="AJ336" i="6"/>
  <c r="AK336" i="6" s="1"/>
  <c r="AD336" i="6"/>
  <c r="AE336" i="6" s="1"/>
  <c r="W336" i="6"/>
  <c r="X336" i="6" s="1"/>
  <c r="AG334" i="6"/>
  <c r="AH334" i="6" s="1"/>
  <c r="AJ332" i="6"/>
  <c r="AK332" i="6" s="1"/>
  <c r="AD332" i="6"/>
  <c r="AE332" i="6" s="1"/>
  <c r="W332" i="6"/>
  <c r="X332" i="6" s="1"/>
  <c r="AA366" i="6"/>
  <c r="AB366" i="6" s="1"/>
  <c r="AA362" i="6"/>
  <c r="AB362" i="6" s="1"/>
  <c r="AG361" i="6"/>
  <c r="AH361" i="6" s="1"/>
  <c r="AJ358" i="6"/>
  <c r="AK358" i="6" s="1"/>
  <c r="AJ356" i="6"/>
  <c r="AK356" i="6" s="1"/>
  <c r="T356" i="6"/>
  <c r="U356" i="6" s="1"/>
  <c r="AA354" i="6"/>
  <c r="AB354" i="6" s="1"/>
  <c r="AJ352" i="6"/>
  <c r="AK352" i="6" s="1"/>
  <c r="AA352" i="6"/>
  <c r="AB352" i="6" s="1"/>
  <c r="T351" i="6"/>
  <c r="U351" i="6" s="1"/>
  <c r="T350" i="6"/>
  <c r="U350" i="6" s="1"/>
  <c r="AG346" i="6"/>
  <c r="AH346" i="6" s="1"/>
  <c r="W346" i="6"/>
  <c r="X346" i="6" s="1"/>
  <c r="AG343" i="6"/>
  <c r="AH343" i="6" s="1"/>
  <c r="AD342" i="6"/>
  <c r="AE342" i="6" s="1"/>
  <c r="W341" i="6"/>
  <c r="X341" i="6" s="1"/>
  <c r="W338" i="6"/>
  <c r="X338" i="6" s="1"/>
  <c r="AD337" i="6"/>
  <c r="AE337" i="6" s="1"/>
  <c r="AA336" i="6"/>
  <c r="AB336" i="6" s="1"/>
  <c r="AJ335" i="6"/>
  <c r="AK335" i="6" s="1"/>
  <c r="AA335" i="6"/>
  <c r="AB335" i="6" s="1"/>
  <c r="AG333" i="6"/>
  <c r="AH333" i="6" s="1"/>
  <c r="W333" i="6"/>
  <c r="X333" i="6" s="1"/>
  <c r="AG331" i="6"/>
  <c r="AH331" i="6" s="1"/>
  <c r="AA331" i="6"/>
  <c r="AB331" i="6" s="1"/>
  <c r="AJ329" i="6"/>
  <c r="AK329" i="6" s="1"/>
  <c r="AD329" i="6"/>
  <c r="AE329" i="6" s="1"/>
  <c r="W329" i="6"/>
  <c r="X329" i="6" s="1"/>
  <c r="AG327" i="6"/>
  <c r="AH327" i="6" s="1"/>
  <c r="AJ325" i="6"/>
  <c r="AK325" i="6" s="1"/>
  <c r="AD325" i="6"/>
  <c r="AE325" i="6" s="1"/>
  <c r="W325" i="6"/>
  <c r="X325" i="6" s="1"/>
  <c r="AG323" i="6"/>
  <c r="AH323" i="6" s="1"/>
  <c r="AJ364" i="6"/>
  <c r="AK364" i="6" s="1"/>
  <c r="T362" i="6"/>
  <c r="U362" i="6" s="1"/>
  <c r="AG358" i="6"/>
  <c r="AH358" i="6" s="1"/>
  <c r="T358" i="6"/>
  <c r="U358" i="6" s="1"/>
  <c r="AG356" i="6"/>
  <c r="AH356" i="6" s="1"/>
  <c r="AA355" i="6"/>
  <c r="AB355" i="6" s="1"/>
  <c r="AJ354" i="6"/>
  <c r="AK354" i="6" s="1"/>
  <c r="W354" i="6"/>
  <c r="X354" i="6" s="1"/>
  <c r="AD353" i="6"/>
  <c r="AE353" i="6" s="1"/>
  <c r="W352" i="6"/>
  <c r="X352" i="6" s="1"/>
  <c r="AD350" i="6"/>
  <c r="AE350" i="6" s="1"/>
  <c r="AD349" i="6"/>
  <c r="AE349" i="6" s="1"/>
  <c r="AJ348" i="6"/>
  <c r="AK348" i="6" s="1"/>
  <c r="W345" i="6"/>
  <c r="X345" i="6" s="1"/>
  <c r="AJ344" i="6"/>
  <c r="AK344" i="6" s="1"/>
  <c r="W344" i="6"/>
  <c r="X344" i="6" s="1"/>
  <c r="W340" i="6"/>
  <c r="X340" i="6" s="1"/>
  <c r="AD338" i="6"/>
  <c r="AE338" i="6" s="1"/>
  <c r="AJ337" i="6"/>
  <c r="AK337" i="6" s="1"/>
  <c r="T337" i="6"/>
  <c r="U337" i="6" s="1"/>
  <c r="AG336" i="6"/>
  <c r="AH336" i="6" s="1"/>
  <c r="AG335" i="6"/>
  <c r="AH335" i="6" s="1"/>
  <c r="W334" i="6"/>
  <c r="X334" i="6" s="1"/>
  <c r="AD333" i="6"/>
  <c r="AE333" i="6" s="1"/>
  <c r="AA332" i="6"/>
  <c r="AB332" i="6" s="1"/>
  <c r="AJ330" i="6"/>
  <c r="AK330" i="6" s="1"/>
  <c r="AD330" i="6"/>
  <c r="AE330" i="6" s="1"/>
  <c r="W330" i="6"/>
  <c r="X330" i="6" s="1"/>
  <c r="AG328" i="6"/>
  <c r="AH328" i="6" s="1"/>
  <c r="AA328" i="6"/>
  <c r="AB328" i="6" s="1"/>
  <c r="AJ326" i="6"/>
  <c r="AK326" i="6" s="1"/>
  <c r="AD326" i="6"/>
  <c r="AE326" i="6" s="1"/>
  <c r="W326" i="6"/>
  <c r="X326" i="6" s="1"/>
  <c r="AG324" i="6"/>
  <c r="AH324" i="6" s="1"/>
  <c r="AJ322" i="6"/>
  <c r="AK322" i="6" s="1"/>
  <c r="AD322" i="6"/>
  <c r="AE322" i="6" s="1"/>
  <c r="W322" i="6"/>
  <c r="X322" i="6" s="1"/>
  <c r="AG320" i="6"/>
  <c r="AH320" i="6" s="1"/>
  <c r="AA320" i="6"/>
  <c r="AB320" i="6" s="1"/>
  <c r="AJ318" i="6"/>
  <c r="AK318" i="6" s="1"/>
  <c r="AD318" i="6"/>
  <c r="AE318" i="6" s="1"/>
  <c r="W318" i="6"/>
  <c r="X318" i="6" s="1"/>
  <c r="AG316" i="6"/>
  <c r="AH316" i="6" s="1"/>
  <c r="AA316" i="6"/>
  <c r="AB316" i="6" s="1"/>
  <c r="AJ314" i="6"/>
  <c r="AK314" i="6" s="1"/>
  <c r="AD314" i="6"/>
  <c r="AE314" i="6" s="1"/>
  <c r="W314" i="6"/>
  <c r="X314" i="6" s="1"/>
  <c r="AG312" i="6"/>
  <c r="AH312" i="6" s="1"/>
  <c r="AA312" i="6"/>
  <c r="AB312" i="6" s="1"/>
  <c r="W364" i="6"/>
  <c r="X364" i="6" s="1"/>
  <c r="AJ363" i="6"/>
  <c r="AK363" i="6" s="1"/>
  <c r="AJ362" i="6"/>
  <c r="AK362" i="6" s="1"/>
  <c r="AG360" i="6"/>
  <c r="AH360" i="6" s="1"/>
  <c r="AD359" i="6"/>
  <c r="AE359" i="6" s="1"/>
  <c r="AD358" i="6"/>
  <c r="AE358" i="6" s="1"/>
  <c r="AA357" i="6"/>
  <c r="AB357" i="6" s="1"/>
  <c r="AA356" i="6"/>
  <c r="AB356" i="6" s="1"/>
  <c r="AJ355" i="6"/>
  <c r="AK355" i="6" s="1"/>
  <c r="AG352" i="6"/>
  <c r="AH352" i="6" s="1"/>
  <c r="T352" i="6"/>
  <c r="U352" i="6" s="1"/>
  <c r="AG347" i="6"/>
  <c r="AH347" i="6" s="1"/>
  <c r="AG344" i="6"/>
  <c r="AH344" i="6" s="1"/>
  <c r="AJ342" i="6"/>
  <c r="AK342" i="6" s="1"/>
  <c r="AD363" i="6"/>
  <c r="AE363" i="6" s="1"/>
  <c r="W359" i="6"/>
  <c r="X359" i="6" s="1"/>
  <c r="W358" i="6"/>
  <c r="X358" i="6" s="1"/>
  <c r="AD354" i="6"/>
  <c r="AE354" i="6" s="1"/>
  <c r="AG350" i="6"/>
  <c r="AH350" i="6" s="1"/>
  <c r="AJ346" i="6"/>
  <c r="AK346" i="6" s="1"/>
  <c r="AG342" i="6"/>
  <c r="AH342" i="6" s="1"/>
  <c r="AG340" i="6"/>
  <c r="AH340" i="6" s="1"/>
  <c r="AG337" i="6"/>
  <c r="AH337" i="6" s="1"/>
  <c r="AD335" i="6"/>
  <c r="AE335" i="6" s="1"/>
  <c r="AJ331" i="6"/>
  <c r="AK331" i="6" s="1"/>
  <c r="W331" i="6"/>
  <c r="X331" i="6" s="1"/>
  <c r="AG330" i="6"/>
  <c r="AH330" i="6" s="1"/>
  <c r="T330" i="6"/>
  <c r="U330" i="6" s="1"/>
  <c r="AG329" i="6"/>
  <c r="AH329" i="6" s="1"/>
  <c r="AJ328" i="6"/>
  <c r="AK328" i="6" s="1"/>
  <c r="W328" i="6"/>
  <c r="X328" i="6" s="1"/>
  <c r="AD323" i="6"/>
  <c r="AE323" i="6" s="1"/>
  <c r="W321" i="6"/>
  <c r="X321" i="6" s="1"/>
  <c r="AD320" i="6"/>
  <c r="AE320" i="6" s="1"/>
  <c r="AJ319" i="6"/>
  <c r="AK319" i="6" s="1"/>
  <c r="T319" i="6"/>
  <c r="U319" i="6" s="1"/>
  <c r="AG318" i="6"/>
  <c r="AH318" i="6" s="1"/>
  <c r="AG317" i="6"/>
  <c r="AH317" i="6" s="1"/>
  <c r="W316" i="6"/>
  <c r="X316" i="6" s="1"/>
  <c r="AD315" i="6"/>
  <c r="AE315" i="6" s="1"/>
  <c r="AA314" i="6"/>
  <c r="AB314" i="6" s="1"/>
  <c r="AJ313" i="6"/>
  <c r="AK313" i="6" s="1"/>
  <c r="AA313" i="6"/>
  <c r="AB313" i="6" s="1"/>
  <c r="AG311" i="6"/>
  <c r="AH311" i="6" s="1"/>
  <c r="AA311" i="6"/>
  <c r="AB311" i="6" s="1"/>
  <c r="AJ309" i="6"/>
  <c r="AK309" i="6" s="1"/>
  <c r="AD309" i="6"/>
  <c r="AE309" i="6" s="1"/>
  <c r="W309" i="6"/>
  <c r="X309" i="6" s="1"/>
  <c r="AG307" i="6"/>
  <c r="AH307" i="6" s="1"/>
  <c r="AA307" i="6"/>
  <c r="AB307" i="6" s="1"/>
  <c r="AJ305" i="6"/>
  <c r="AK305" i="6" s="1"/>
  <c r="AD305" i="6"/>
  <c r="AE305" i="6" s="1"/>
  <c r="W305" i="6"/>
  <c r="X305" i="6" s="1"/>
  <c r="AG303" i="6"/>
  <c r="AH303" i="6" s="1"/>
  <c r="AA303" i="6"/>
  <c r="AB303" i="6" s="1"/>
  <c r="AJ301" i="6"/>
  <c r="AK301" i="6" s="1"/>
  <c r="AD301" i="6"/>
  <c r="AE301" i="6" s="1"/>
  <c r="W301" i="6"/>
  <c r="X301" i="6" s="1"/>
  <c r="AG299" i="6"/>
  <c r="AH299" i="6" s="1"/>
  <c r="AA299" i="6"/>
  <c r="AB299" i="6" s="1"/>
  <c r="AJ297" i="6"/>
  <c r="AK297" i="6" s="1"/>
  <c r="AD297" i="6"/>
  <c r="AE297" i="6" s="1"/>
  <c r="W297" i="6"/>
  <c r="X297" i="6" s="1"/>
  <c r="AG295" i="6"/>
  <c r="AH295" i="6" s="1"/>
  <c r="AA295" i="6"/>
  <c r="AB295" i="6" s="1"/>
  <c r="AJ293" i="6"/>
  <c r="AK293" i="6" s="1"/>
  <c r="AD293" i="6"/>
  <c r="AE293" i="6" s="1"/>
  <c r="W293" i="6"/>
  <c r="X293" i="6" s="1"/>
  <c r="AG291" i="6"/>
  <c r="AH291" i="6" s="1"/>
  <c r="AA291" i="6"/>
  <c r="AB291" i="6" s="1"/>
  <c r="AJ289" i="6"/>
  <c r="AK289" i="6" s="1"/>
  <c r="AD289" i="6"/>
  <c r="AE289" i="6" s="1"/>
  <c r="W289" i="6"/>
  <c r="X289" i="6" s="1"/>
  <c r="AG287" i="6"/>
  <c r="AH287" i="6" s="1"/>
  <c r="AA287" i="6"/>
  <c r="AB287" i="6" s="1"/>
  <c r="AJ285" i="6"/>
  <c r="AK285" i="6" s="1"/>
  <c r="AD285" i="6"/>
  <c r="AE285" i="6" s="1"/>
  <c r="W285" i="6"/>
  <c r="X285" i="6" s="1"/>
  <c r="AG283" i="6"/>
  <c r="AH283" i="6" s="1"/>
  <c r="AA283" i="6"/>
  <c r="AB283" i="6" s="1"/>
  <c r="AJ281" i="6"/>
  <c r="AK281" i="6" s="1"/>
  <c r="AD281" i="6"/>
  <c r="AE281" i="6" s="1"/>
  <c r="W281" i="6"/>
  <c r="X281" i="6" s="1"/>
  <c r="W350" i="6"/>
  <c r="X350" i="6" s="1"/>
  <c r="AD344" i="6"/>
  <c r="AE344" i="6" s="1"/>
  <c r="T342" i="6"/>
  <c r="U342" i="6" s="1"/>
  <c r="AD340" i="6"/>
  <c r="AE340" i="6" s="1"/>
  <c r="W335" i="6"/>
  <c r="X335" i="6" s="1"/>
  <c r="AA333" i="6"/>
  <c r="AB333" i="6" s="1"/>
  <c r="AD327" i="6"/>
  <c r="AE327" i="6" s="1"/>
  <c r="AA325" i="6"/>
  <c r="AB325" i="6" s="1"/>
  <c r="AD324" i="6"/>
  <c r="AE324" i="6" s="1"/>
  <c r="AD321" i="6"/>
  <c r="AE321" i="6" s="1"/>
  <c r="AJ320" i="6"/>
  <c r="AK320" i="6" s="1"/>
  <c r="AA319" i="6"/>
  <c r="AB319" i="6" s="1"/>
  <c r="W317" i="6"/>
  <c r="X317" i="6" s="1"/>
  <c r="AD316" i="6"/>
  <c r="AE316" i="6" s="1"/>
  <c r="AJ315" i="6"/>
  <c r="AK315" i="6" s="1"/>
  <c r="T315" i="6"/>
  <c r="U315" i="6" s="1"/>
  <c r="AG314" i="6"/>
  <c r="AH314" i="6" s="1"/>
  <c r="AG313" i="6"/>
  <c r="AH313" i="6" s="1"/>
  <c r="W312" i="6"/>
  <c r="X312" i="6" s="1"/>
  <c r="AJ310" i="6"/>
  <c r="AK310" i="6" s="1"/>
  <c r="AD310" i="6"/>
  <c r="AE310" i="6" s="1"/>
  <c r="W310" i="6"/>
  <c r="X310" i="6" s="1"/>
  <c r="AG308" i="6"/>
  <c r="AH308" i="6" s="1"/>
  <c r="AA308" i="6"/>
  <c r="AB308" i="6" s="1"/>
  <c r="AJ306" i="6"/>
  <c r="AK306" i="6" s="1"/>
  <c r="AD306" i="6"/>
  <c r="AE306" i="6" s="1"/>
  <c r="W306" i="6"/>
  <c r="X306" i="6" s="1"/>
  <c r="T355" i="6"/>
  <c r="U355" i="6" s="1"/>
  <c r="AJ349" i="6"/>
  <c r="AK349" i="6" s="1"/>
  <c r="AD348" i="6"/>
  <c r="AE348" i="6" s="1"/>
  <c r="AD345" i="6"/>
  <c r="AE345" i="6" s="1"/>
  <c r="T344" i="6"/>
  <c r="U344" i="6" s="1"/>
  <c r="AJ341" i="6"/>
  <c r="AK341" i="6" s="1"/>
  <c r="T339" i="6"/>
  <c r="U339" i="6" s="1"/>
  <c r="W337" i="6"/>
  <c r="X337" i="6" s="1"/>
  <c r="T335" i="6"/>
  <c r="U335" i="6" s="1"/>
  <c r="AJ334" i="6"/>
  <c r="AK334" i="6" s="1"/>
  <c r="AJ333" i="6"/>
  <c r="AK333" i="6" s="1"/>
  <c r="T333" i="6"/>
  <c r="U333" i="6" s="1"/>
  <c r="AG332" i="6"/>
  <c r="AH332" i="6" s="1"/>
  <c r="AD331" i="6"/>
  <c r="AE331" i="6" s="1"/>
  <c r="AD328" i="6"/>
  <c r="AE328" i="6" s="1"/>
  <c r="AJ323" i="6"/>
  <c r="AK323" i="6" s="1"/>
  <c r="W323" i="6"/>
  <c r="X323" i="6" s="1"/>
  <c r="AA322" i="6"/>
  <c r="AB322" i="6" s="1"/>
  <c r="AJ321" i="6"/>
  <c r="AK321" i="6" s="1"/>
  <c r="AA321" i="6"/>
  <c r="AB321" i="6" s="1"/>
  <c r="AG319" i="6"/>
  <c r="AH319" i="6" s="1"/>
  <c r="W319" i="6"/>
  <c r="X319" i="6" s="1"/>
  <c r="AD317" i="6"/>
  <c r="AE317" i="6" s="1"/>
  <c r="AJ316" i="6"/>
  <c r="AK316" i="6" s="1"/>
  <c r="AA315" i="6"/>
  <c r="AB315" i="6" s="1"/>
  <c r="W313" i="6"/>
  <c r="X313" i="6" s="1"/>
  <c r="T348" i="6"/>
  <c r="U348" i="6" s="1"/>
  <c r="T326" i="6"/>
  <c r="U326" i="6" s="1"/>
  <c r="AG325" i="6"/>
  <c r="AH325" i="6" s="1"/>
  <c r="W320" i="6"/>
  <c r="X320" i="6" s="1"/>
  <c r="AD313" i="6"/>
  <c r="AE313" i="6" s="1"/>
  <c r="AD307" i="6"/>
  <c r="AE307" i="6" s="1"/>
  <c r="AA306" i="6"/>
  <c r="AB306" i="6" s="1"/>
  <c r="AG305" i="6"/>
  <c r="AH305" i="6" s="1"/>
  <c r="AG304" i="6"/>
  <c r="AH304" i="6" s="1"/>
  <c r="W303" i="6"/>
  <c r="X303" i="6" s="1"/>
  <c r="AD302" i="6"/>
  <c r="AE302" i="6" s="1"/>
  <c r="AA301" i="6"/>
  <c r="AB301" i="6" s="1"/>
  <c r="AJ300" i="6"/>
  <c r="AK300" i="6" s="1"/>
  <c r="AA300" i="6"/>
  <c r="AB300" i="6" s="1"/>
  <c r="AG298" i="6"/>
  <c r="AH298" i="6" s="1"/>
  <c r="W298" i="6"/>
  <c r="X298" i="6" s="1"/>
  <c r="AD296" i="6"/>
  <c r="AE296" i="6" s="1"/>
  <c r="AJ295" i="6"/>
  <c r="AK295" i="6" s="1"/>
  <c r="AA294" i="6"/>
  <c r="AB294" i="6" s="1"/>
  <c r="W292" i="6"/>
  <c r="X292" i="6" s="1"/>
  <c r="AD291" i="6"/>
  <c r="AE291" i="6" s="1"/>
  <c r="AJ290" i="6"/>
  <c r="AK290" i="6" s="1"/>
  <c r="T290" i="6"/>
  <c r="U290" i="6" s="1"/>
  <c r="AG289" i="6"/>
  <c r="AH289" i="6" s="1"/>
  <c r="AG288" i="6"/>
  <c r="AH288" i="6" s="1"/>
  <c r="W287" i="6"/>
  <c r="X287" i="6" s="1"/>
  <c r="AD286" i="6"/>
  <c r="AE286" i="6" s="1"/>
  <c r="T336" i="6"/>
  <c r="U336" i="6" s="1"/>
  <c r="T325" i="6"/>
  <c r="U325" i="6" s="1"/>
  <c r="AG322" i="6"/>
  <c r="AH322" i="6" s="1"/>
  <c r="AD319" i="6"/>
  <c r="AE319" i="6" s="1"/>
  <c r="T313" i="6"/>
  <c r="U313" i="6" s="1"/>
  <c r="AD311" i="6"/>
  <c r="AE311" i="6" s="1"/>
  <c r="AA310" i="6"/>
  <c r="AB310" i="6" s="1"/>
  <c r="AA309" i="6"/>
  <c r="AB309" i="6" s="1"/>
  <c r="AD308" i="6"/>
  <c r="AE308" i="6" s="1"/>
  <c r="W304" i="6"/>
  <c r="X304" i="6" s="1"/>
  <c r="AD303" i="6"/>
  <c r="AE303" i="6" s="1"/>
  <c r="AJ302" i="6"/>
  <c r="AK302" i="6" s="1"/>
  <c r="T302" i="6"/>
  <c r="U302" i="6" s="1"/>
  <c r="AG301" i="6"/>
  <c r="AH301" i="6" s="1"/>
  <c r="AG300" i="6"/>
  <c r="AH300" i="6" s="1"/>
  <c r="W299" i="6"/>
  <c r="X299" i="6" s="1"/>
  <c r="AD298" i="6"/>
  <c r="AE298" i="6" s="1"/>
  <c r="AA297" i="6"/>
  <c r="AB297" i="6" s="1"/>
  <c r="AJ296" i="6"/>
  <c r="AK296" i="6" s="1"/>
  <c r="AA296" i="6"/>
  <c r="AB296" i="6" s="1"/>
  <c r="AG294" i="6"/>
  <c r="AH294" i="6" s="1"/>
  <c r="W294" i="6"/>
  <c r="X294" i="6" s="1"/>
  <c r="T293" i="6"/>
  <c r="U293" i="6" s="1"/>
  <c r="AD292" i="6"/>
  <c r="AE292" i="6" s="1"/>
  <c r="T292" i="6"/>
  <c r="U292" i="6" s="1"/>
  <c r="AJ291" i="6"/>
  <c r="AK291" i="6" s="1"/>
  <c r="AA290" i="6"/>
  <c r="AB290" i="6" s="1"/>
  <c r="W288" i="6"/>
  <c r="X288" i="6" s="1"/>
  <c r="W349" i="6"/>
  <c r="X349" i="6" s="1"/>
  <c r="AJ338" i="6"/>
  <c r="AK338" i="6" s="1"/>
  <c r="AJ327" i="6"/>
  <c r="AK327" i="6" s="1"/>
  <c r="AJ324" i="6"/>
  <c r="AK324" i="6" s="1"/>
  <c r="AG321" i="6"/>
  <c r="AH321" i="6" s="1"/>
  <c r="AJ317" i="6"/>
  <c r="AK317" i="6" s="1"/>
  <c r="AG315" i="6"/>
  <c r="AH315" i="6" s="1"/>
  <c r="AJ312" i="6"/>
  <c r="AK312" i="6" s="1"/>
  <c r="AJ307" i="6"/>
  <c r="AK307" i="6" s="1"/>
  <c r="W307" i="6"/>
  <c r="X307" i="6" s="1"/>
  <c r="AG306" i="6"/>
  <c r="AH306" i="6" s="1"/>
  <c r="T306" i="6"/>
  <c r="U306" i="6" s="1"/>
  <c r="AD304" i="6"/>
  <c r="AE304" i="6" s="1"/>
  <c r="AJ303" i="6"/>
  <c r="AK303" i="6" s="1"/>
  <c r="AA302" i="6"/>
  <c r="AB302" i="6" s="1"/>
  <c r="W300" i="6"/>
  <c r="X300" i="6" s="1"/>
  <c r="AD299" i="6"/>
  <c r="AE299" i="6" s="1"/>
  <c r="AJ298" i="6"/>
  <c r="AK298" i="6" s="1"/>
  <c r="T298" i="6"/>
  <c r="U298" i="6" s="1"/>
  <c r="AG297" i="6"/>
  <c r="AH297" i="6" s="1"/>
  <c r="AG296" i="6"/>
  <c r="AH296" i="6" s="1"/>
  <c r="W295" i="6"/>
  <c r="X295" i="6" s="1"/>
  <c r="AD294" i="6"/>
  <c r="AE294" i="6" s="1"/>
  <c r="AA293" i="6"/>
  <c r="AB293" i="6" s="1"/>
  <c r="AJ292" i="6"/>
  <c r="AK292" i="6" s="1"/>
  <c r="AA292" i="6"/>
  <c r="AB292" i="6" s="1"/>
  <c r="AG290" i="6"/>
  <c r="AH290" i="6" s="1"/>
  <c r="W290" i="6"/>
  <c r="X290" i="6" s="1"/>
  <c r="AD288" i="6"/>
  <c r="AE288" i="6" s="1"/>
  <c r="AJ287" i="6"/>
  <c r="AK287" i="6" s="1"/>
  <c r="AA286" i="6"/>
  <c r="AB286" i="6" s="1"/>
  <c r="AJ353" i="6"/>
  <c r="AK353" i="6" s="1"/>
  <c r="W324" i="6"/>
  <c r="X324" i="6" s="1"/>
  <c r="AD312" i="6"/>
  <c r="AE312" i="6" s="1"/>
  <c r="W311" i="6"/>
  <c r="X311" i="6" s="1"/>
  <c r="AG310" i="6"/>
  <c r="AH310" i="6" s="1"/>
  <c r="W308" i="6"/>
  <c r="X308" i="6" s="1"/>
  <c r="AD300" i="6"/>
  <c r="AE300" i="6" s="1"/>
  <c r="W296" i="6"/>
  <c r="X296" i="6" s="1"/>
  <c r="T294" i="6"/>
  <c r="U294" i="6" s="1"/>
  <c r="AA289" i="6"/>
  <c r="AB289" i="6" s="1"/>
  <c r="AA288" i="6"/>
  <c r="AB288" i="6" s="1"/>
  <c r="W286" i="6"/>
  <c r="X286" i="6" s="1"/>
  <c r="AA285" i="6"/>
  <c r="AB285" i="6" s="1"/>
  <c r="AJ284" i="6"/>
  <c r="AK284" i="6" s="1"/>
  <c r="AA284" i="6"/>
  <c r="AB284" i="6" s="1"/>
  <c r="AG282" i="6"/>
  <c r="AH282" i="6" s="1"/>
  <c r="W282" i="6"/>
  <c r="X282" i="6" s="1"/>
  <c r="AD280" i="6"/>
  <c r="AE280" i="6" s="1"/>
  <c r="AG279" i="6"/>
  <c r="AH279" i="6" s="1"/>
  <c r="AA279" i="6"/>
  <c r="AB279" i="6" s="1"/>
  <c r="AJ277" i="6"/>
  <c r="AK277" i="6" s="1"/>
  <c r="AD277" i="6"/>
  <c r="AE277" i="6" s="1"/>
  <c r="W277" i="6"/>
  <c r="X277" i="6" s="1"/>
  <c r="AG275" i="6"/>
  <c r="AH275" i="6" s="1"/>
  <c r="AA275" i="6"/>
  <c r="AB275" i="6" s="1"/>
  <c r="AJ273" i="6"/>
  <c r="AK273" i="6" s="1"/>
  <c r="AD273" i="6"/>
  <c r="AE273" i="6" s="1"/>
  <c r="W273" i="6"/>
  <c r="X273" i="6" s="1"/>
  <c r="AG271" i="6"/>
  <c r="AH271" i="6" s="1"/>
  <c r="AJ269" i="6"/>
  <c r="AK269" i="6" s="1"/>
  <c r="AD269" i="6"/>
  <c r="AE269" i="6" s="1"/>
  <c r="W269" i="6"/>
  <c r="X269" i="6" s="1"/>
  <c r="AG267" i="6"/>
  <c r="AH267" i="6" s="1"/>
  <c r="AA267" i="6"/>
  <c r="AB267" i="6" s="1"/>
  <c r="AJ265" i="6"/>
  <c r="AK265" i="6" s="1"/>
  <c r="AD265" i="6"/>
  <c r="AE265" i="6" s="1"/>
  <c r="W265" i="6"/>
  <c r="X265" i="6" s="1"/>
  <c r="AG263" i="6"/>
  <c r="AH263" i="6" s="1"/>
  <c r="AA263" i="6"/>
  <c r="AB263" i="6" s="1"/>
  <c r="AJ261" i="6"/>
  <c r="AK261" i="6" s="1"/>
  <c r="AD261" i="6"/>
  <c r="AE261" i="6" s="1"/>
  <c r="W261" i="6"/>
  <c r="X261" i="6" s="1"/>
  <c r="AG259" i="6"/>
  <c r="AH259" i="6" s="1"/>
  <c r="AA259" i="6"/>
  <c r="AB259" i="6" s="1"/>
  <c r="AJ257" i="6"/>
  <c r="AK257" i="6" s="1"/>
  <c r="AD257" i="6"/>
  <c r="AE257" i="6" s="1"/>
  <c r="W257" i="6"/>
  <c r="X257" i="6" s="1"/>
  <c r="AG255" i="6"/>
  <c r="AH255" i="6" s="1"/>
  <c r="AJ253" i="6"/>
  <c r="AK253" i="6" s="1"/>
  <c r="AD253" i="6"/>
  <c r="AE253" i="6" s="1"/>
  <c r="W253" i="6"/>
  <c r="X253" i="6" s="1"/>
  <c r="AG251" i="6"/>
  <c r="AH251" i="6" s="1"/>
  <c r="AA251" i="6"/>
  <c r="AB251" i="6" s="1"/>
  <c r="AJ249" i="6"/>
  <c r="AK249" i="6" s="1"/>
  <c r="AD249" i="6"/>
  <c r="AE249" i="6" s="1"/>
  <c r="W249" i="6"/>
  <c r="X249" i="6" s="1"/>
  <c r="AG247" i="6"/>
  <c r="AH247" i="6" s="1"/>
  <c r="AA247" i="6"/>
  <c r="AB247" i="6" s="1"/>
  <c r="AJ245" i="6"/>
  <c r="AK245" i="6" s="1"/>
  <c r="AD245" i="6"/>
  <c r="AE245" i="6" s="1"/>
  <c r="W245" i="6"/>
  <c r="X245" i="6" s="1"/>
  <c r="AG243" i="6"/>
  <c r="AH243" i="6" s="1"/>
  <c r="AA243" i="6"/>
  <c r="AB243" i="6" s="1"/>
  <c r="AJ241" i="6"/>
  <c r="AK241" i="6" s="1"/>
  <c r="AD241" i="6"/>
  <c r="AE241" i="6" s="1"/>
  <c r="W241" i="6"/>
  <c r="X241" i="6" s="1"/>
  <c r="AG326" i="6"/>
  <c r="AH326" i="6" s="1"/>
  <c r="AA318" i="6"/>
  <c r="AB318" i="6" s="1"/>
  <c r="T310" i="6"/>
  <c r="U310" i="6" s="1"/>
  <c r="AG309" i="6"/>
  <c r="AH309" i="6" s="1"/>
  <c r="AJ304" i="6"/>
  <c r="AK304" i="6" s="1"/>
  <c r="T300" i="6"/>
  <c r="U300" i="6" s="1"/>
  <c r="AJ299" i="6"/>
  <c r="AK299" i="6" s="1"/>
  <c r="AA298" i="6"/>
  <c r="AB298" i="6" s="1"/>
  <c r="AD295" i="6"/>
  <c r="AE295" i="6" s="1"/>
  <c r="AG293" i="6"/>
  <c r="AH293" i="6" s="1"/>
  <c r="W291" i="6"/>
  <c r="X291" i="6" s="1"/>
  <c r="AJ286" i="6"/>
  <c r="AK286" i="6" s="1"/>
  <c r="T286" i="6"/>
  <c r="U286" i="6" s="1"/>
  <c r="AG284" i="6"/>
  <c r="AH284" i="6" s="1"/>
  <c r="W283" i="6"/>
  <c r="X283" i="6" s="1"/>
  <c r="AD282" i="6"/>
  <c r="AE282" i="6" s="1"/>
  <c r="AJ280" i="6"/>
  <c r="AK280" i="6" s="1"/>
  <c r="AA280" i="6"/>
  <c r="AB280" i="6" s="1"/>
  <c r="T280" i="6"/>
  <c r="U280" i="6" s="1"/>
  <c r="AJ278" i="6"/>
  <c r="AK278" i="6" s="1"/>
  <c r="AD278" i="6"/>
  <c r="AE278" i="6" s="1"/>
  <c r="W278" i="6"/>
  <c r="X278" i="6" s="1"/>
  <c r="AG276" i="6"/>
  <c r="AH276" i="6" s="1"/>
  <c r="T276" i="6"/>
  <c r="U276" i="6" s="1"/>
  <c r="AJ274" i="6"/>
  <c r="AK274" i="6" s="1"/>
  <c r="AD274" i="6"/>
  <c r="AE274" i="6" s="1"/>
  <c r="W274" i="6"/>
  <c r="X274" i="6" s="1"/>
  <c r="AG272" i="6"/>
  <c r="AH272" i="6" s="1"/>
  <c r="T272" i="6"/>
  <c r="U272" i="6" s="1"/>
  <c r="AJ270" i="6"/>
  <c r="AK270" i="6" s="1"/>
  <c r="AD270" i="6"/>
  <c r="AE270" i="6" s="1"/>
  <c r="W270" i="6"/>
  <c r="X270" i="6" s="1"/>
  <c r="AG268" i="6"/>
  <c r="AH268" i="6" s="1"/>
  <c r="AA268" i="6"/>
  <c r="AB268" i="6" s="1"/>
  <c r="T268" i="6"/>
  <c r="U268" i="6" s="1"/>
  <c r="AJ266" i="6"/>
  <c r="AK266" i="6" s="1"/>
  <c r="AD266" i="6"/>
  <c r="AE266" i="6" s="1"/>
  <c r="W266" i="6"/>
  <c r="X266" i="6" s="1"/>
  <c r="AG264" i="6"/>
  <c r="AH264" i="6" s="1"/>
  <c r="AA264" i="6"/>
  <c r="AB264" i="6" s="1"/>
  <c r="T264" i="6"/>
  <c r="U264" i="6" s="1"/>
  <c r="AJ262" i="6"/>
  <c r="AK262" i="6" s="1"/>
  <c r="AD262" i="6"/>
  <c r="AE262" i="6" s="1"/>
  <c r="W262" i="6"/>
  <c r="X262" i="6" s="1"/>
  <c r="AG260" i="6"/>
  <c r="AH260" i="6" s="1"/>
  <c r="AA260" i="6"/>
  <c r="AB260" i="6" s="1"/>
  <c r="T260" i="6"/>
  <c r="U260" i="6" s="1"/>
  <c r="AJ258" i="6"/>
  <c r="AK258" i="6" s="1"/>
  <c r="AD258" i="6"/>
  <c r="AE258" i="6" s="1"/>
  <c r="W258" i="6"/>
  <c r="X258" i="6" s="1"/>
  <c r="AG256" i="6"/>
  <c r="AH256" i="6" s="1"/>
  <c r="T256" i="6"/>
  <c r="U256" i="6" s="1"/>
  <c r="AJ254" i="6"/>
  <c r="AK254" i="6" s="1"/>
  <c r="AD254" i="6"/>
  <c r="AE254" i="6" s="1"/>
  <c r="W254" i="6"/>
  <c r="X254" i="6" s="1"/>
  <c r="AG252" i="6"/>
  <c r="AH252" i="6" s="1"/>
  <c r="AA252" i="6"/>
  <c r="AB252" i="6" s="1"/>
  <c r="T252" i="6"/>
  <c r="U252" i="6" s="1"/>
  <c r="AJ250" i="6"/>
  <c r="AK250" i="6" s="1"/>
  <c r="AD250" i="6"/>
  <c r="AE250" i="6" s="1"/>
  <c r="W250" i="6"/>
  <c r="X250" i="6" s="1"/>
  <c r="AG248" i="6"/>
  <c r="AH248" i="6" s="1"/>
  <c r="AA248" i="6"/>
  <c r="AB248" i="6" s="1"/>
  <c r="T248" i="6"/>
  <c r="U248" i="6" s="1"/>
  <c r="AJ246" i="6"/>
  <c r="AK246" i="6" s="1"/>
  <c r="AD246" i="6"/>
  <c r="AE246" i="6" s="1"/>
  <c r="W246" i="6"/>
  <c r="X246" i="6" s="1"/>
  <c r="AG244" i="6"/>
  <c r="AH244" i="6" s="1"/>
  <c r="AA244" i="6"/>
  <c r="AB244" i="6" s="1"/>
  <c r="T244" i="6"/>
  <c r="U244" i="6" s="1"/>
  <c r="AD334" i="6"/>
  <c r="AE334" i="6" s="1"/>
  <c r="W327" i="6"/>
  <c r="X327" i="6" s="1"/>
  <c r="AA317" i="6"/>
  <c r="AB317" i="6" s="1"/>
  <c r="T309" i="6"/>
  <c r="U309" i="6" s="1"/>
  <c r="AA305" i="6"/>
  <c r="AB305" i="6" s="1"/>
  <c r="AA304" i="6"/>
  <c r="AB304" i="6" s="1"/>
  <c r="AG302" i="6"/>
  <c r="AH302" i="6" s="1"/>
  <c r="AJ294" i="6"/>
  <c r="AK294" i="6" s="1"/>
  <c r="AG292" i="6"/>
  <c r="AH292" i="6" s="1"/>
  <c r="AD290" i="6"/>
  <c r="AE290" i="6" s="1"/>
  <c r="AG286" i="6"/>
  <c r="AH286" i="6" s="1"/>
  <c r="AG285" i="6"/>
  <c r="AH285" i="6" s="1"/>
  <c r="W284" i="6"/>
  <c r="X284" i="6" s="1"/>
  <c r="AD283" i="6"/>
  <c r="AE283" i="6" s="1"/>
  <c r="AJ282" i="6"/>
  <c r="AK282" i="6" s="1"/>
  <c r="T282" i="6"/>
  <c r="U282" i="6" s="1"/>
  <c r="AG281" i="6"/>
  <c r="AH281" i="6" s="1"/>
  <c r="AG280" i="6"/>
  <c r="AH280" i="6" s="1"/>
  <c r="AJ279" i="6"/>
  <c r="AK279" i="6" s="1"/>
  <c r="AD279" i="6"/>
  <c r="AE279" i="6" s="1"/>
  <c r="W279" i="6"/>
  <c r="X279" i="6" s="1"/>
  <c r="AG277" i="6"/>
  <c r="AH277" i="6" s="1"/>
  <c r="AA277" i="6"/>
  <c r="AB277" i="6" s="1"/>
  <c r="AJ275" i="6"/>
  <c r="AK275" i="6" s="1"/>
  <c r="AD275" i="6"/>
  <c r="AE275" i="6" s="1"/>
  <c r="W275" i="6"/>
  <c r="X275" i="6" s="1"/>
  <c r="AG273" i="6"/>
  <c r="AH273" i="6" s="1"/>
  <c r="AA273" i="6"/>
  <c r="AB273" i="6" s="1"/>
  <c r="AJ271" i="6"/>
  <c r="AK271" i="6" s="1"/>
  <c r="AD271" i="6"/>
  <c r="AE271" i="6" s="1"/>
  <c r="W271" i="6"/>
  <c r="X271" i="6" s="1"/>
  <c r="AG269" i="6"/>
  <c r="AH269" i="6" s="1"/>
  <c r="AA269" i="6"/>
  <c r="AB269" i="6" s="1"/>
  <c r="AJ267" i="6"/>
  <c r="AK267" i="6" s="1"/>
  <c r="AD267" i="6"/>
  <c r="AE267" i="6" s="1"/>
  <c r="W267" i="6"/>
  <c r="X267" i="6" s="1"/>
  <c r="AG265" i="6"/>
  <c r="AH265" i="6" s="1"/>
  <c r="AA265" i="6"/>
  <c r="AB265" i="6" s="1"/>
  <c r="AJ263" i="6"/>
  <c r="AK263" i="6" s="1"/>
  <c r="AD263" i="6"/>
  <c r="AE263" i="6" s="1"/>
  <c r="W263" i="6"/>
  <c r="X263" i="6" s="1"/>
  <c r="AG261" i="6"/>
  <c r="AH261" i="6" s="1"/>
  <c r="AA261" i="6"/>
  <c r="AB261" i="6" s="1"/>
  <c r="AJ259" i="6"/>
  <c r="AK259" i="6" s="1"/>
  <c r="AD259" i="6"/>
  <c r="AE259" i="6" s="1"/>
  <c r="W259" i="6"/>
  <c r="X259" i="6" s="1"/>
  <c r="AG257" i="6"/>
  <c r="AH257" i="6" s="1"/>
  <c r="AJ255" i="6"/>
  <c r="AK255" i="6" s="1"/>
  <c r="AD255" i="6"/>
  <c r="AE255" i="6" s="1"/>
  <c r="W255" i="6"/>
  <c r="X255" i="6" s="1"/>
  <c r="AG253" i="6"/>
  <c r="AH253" i="6" s="1"/>
  <c r="AJ251" i="6"/>
  <c r="AK251" i="6" s="1"/>
  <c r="AD251" i="6"/>
  <c r="AE251" i="6" s="1"/>
  <c r="W251" i="6"/>
  <c r="X251" i="6" s="1"/>
  <c r="AG249" i="6"/>
  <c r="AH249" i="6" s="1"/>
  <c r="AA249" i="6"/>
  <c r="AB249" i="6" s="1"/>
  <c r="AJ247" i="6"/>
  <c r="AK247" i="6" s="1"/>
  <c r="AD247" i="6"/>
  <c r="AE247" i="6" s="1"/>
  <c r="W247" i="6"/>
  <c r="X247" i="6" s="1"/>
  <c r="AG245" i="6"/>
  <c r="AH245" i="6" s="1"/>
  <c r="AA245" i="6"/>
  <c r="AB245" i="6" s="1"/>
  <c r="AJ243" i="6"/>
  <c r="AK243" i="6" s="1"/>
  <c r="AD243" i="6"/>
  <c r="AE243" i="6" s="1"/>
  <c r="W243" i="6"/>
  <c r="X243" i="6" s="1"/>
  <c r="AG241" i="6"/>
  <c r="AH241" i="6" s="1"/>
  <c r="AA241" i="6"/>
  <c r="AB241" i="6" s="1"/>
  <c r="W315" i="6"/>
  <c r="X315" i="6" s="1"/>
  <c r="AD284" i="6"/>
  <c r="AE284" i="6" s="1"/>
  <c r="W280" i="6"/>
  <c r="X280" i="6" s="1"/>
  <c r="W276" i="6"/>
  <c r="X276" i="6" s="1"/>
  <c r="W272" i="6"/>
  <c r="X272" i="6" s="1"/>
  <c r="W268" i="6"/>
  <c r="X268" i="6" s="1"/>
  <c r="W264" i="6"/>
  <c r="X264" i="6" s="1"/>
  <c r="W260" i="6"/>
  <c r="X260" i="6" s="1"/>
  <c r="W256" i="6"/>
  <c r="X256" i="6" s="1"/>
  <c r="W252" i="6"/>
  <c r="X252" i="6" s="1"/>
  <c r="W248" i="6"/>
  <c r="X248" i="6" s="1"/>
  <c r="W244" i="6"/>
  <c r="X244" i="6" s="1"/>
  <c r="AD242" i="6"/>
  <c r="AE242" i="6" s="1"/>
  <c r="AA240" i="6"/>
  <c r="AB240" i="6" s="1"/>
  <c r="AG238" i="6"/>
  <c r="AH238" i="6" s="1"/>
  <c r="AA238" i="6"/>
  <c r="AB238" i="6" s="1"/>
  <c r="AJ236" i="6"/>
  <c r="AK236" i="6" s="1"/>
  <c r="AD236" i="6"/>
  <c r="AE236" i="6" s="1"/>
  <c r="W236" i="6"/>
  <c r="X236" i="6" s="1"/>
  <c r="AG234" i="6"/>
  <c r="AH234" i="6" s="1"/>
  <c r="AA234" i="6"/>
  <c r="AB234" i="6" s="1"/>
  <c r="T234" i="6"/>
  <c r="U234" i="6" s="1"/>
  <c r="AJ232" i="6"/>
  <c r="AK232" i="6" s="1"/>
  <c r="AD232" i="6"/>
  <c r="AE232" i="6" s="1"/>
  <c r="W232" i="6"/>
  <c r="X232" i="6" s="1"/>
  <c r="AG230" i="6"/>
  <c r="AH230" i="6" s="1"/>
  <c r="T230" i="6"/>
  <c r="U230" i="6" s="1"/>
  <c r="AJ228" i="6"/>
  <c r="AK228" i="6" s="1"/>
  <c r="AD228" i="6"/>
  <c r="AE228" i="6" s="1"/>
  <c r="W228" i="6"/>
  <c r="X228" i="6" s="1"/>
  <c r="AG226" i="6"/>
  <c r="AH226" i="6" s="1"/>
  <c r="AA226" i="6"/>
  <c r="AB226" i="6" s="1"/>
  <c r="T226" i="6"/>
  <c r="U226" i="6" s="1"/>
  <c r="AJ224" i="6"/>
  <c r="AK224" i="6" s="1"/>
  <c r="AD224" i="6"/>
  <c r="AE224" i="6" s="1"/>
  <c r="W224" i="6"/>
  <c r="X224" i="6" s="1"/>
  <c r="AG222" i="6"/>
  <c r="AH222" i="6" s="1"/>
  <c r="AA222" i="6"/>
  <c r="AB222" i="6" s="1"/>
  <c r="T222" i="6"/>
  <c r="U222" i="6" s="1"/>
  <c r="AJ220" i="6"/>
  <c r="AK220" i="6" s="1"/>
  <c r="AD220" i="6"/>
  <c r="AE220" i="6" s="1"/>
  <c r="W220" i="6"/>
  <c r="X220" i="6" s="1"/>
  <c r="AG218" i="6"/>
  <c r="AH218" i="6" s="1"/>
  <c r="AA218" i="6"/>
  <c r="AB218" i="6" s="1"/>
  <c r="T218" i="6"/>
  <c r="U218" i="6" s="1"/>
  <c r="AJ216" i="6"/>
  <c r="AK216" i="6" s="1"/>
  <c r="AD216" i="6"/>
  <c r="AE216" i="6" s="1"/>
  <c r="W216" i="6"/>
  <c r="X216" i="6" s="1"/>
  <c r="AG214" i="6"/>
  <c r="AH214" i="6" s="1"/>
  <c r="AA214" i="6"/>
  <c r="AB214" i="6" s="1"/>
  <c r="T214" i="6"/>
  <c r="U214" i="6" s="1"/>
  <c r="AJ212" i="6"/>
  <c r="AK212" i="6" s="1"/>
  <c r="AD212" i="6"/>
  <c r="AE212" i="6" s="1"/>
  <c r="W212" i="6"/>
  <c r="X212" i="6" s="1"/>
  <c r="AG210" i="6"/>
  <c r="AH210" i="6" s="1"/>
  <c r="T210" i="6"/>
  <c r="U210" i="6" s="1"/>
  <c r="AJ208" i="6"/>
  <c r="AK208" i="6" s="1"/>
  <c r="AD208" i="6"/>
  <c r="AE208" i="6" s="1"/>
  <c r="W208" i="6"/>
  <c r="X208" i="6" s="1"/>
  <c r="AD287" i="6"/>
  <c r="AE287" i="6" s="1"/>
  <c r="T284" i="6"/>
  <c r="U284" i="6" s="1"/>
  <c r="AJ283" i="6"/>
  <c r="AK283" i="6" s="1"/>
  <c r="AG278" i="6"/>
  <c r="AH278" i="6" s="1"/>
  <c r="AG274" i="6"/>
  <c r="AH274" i="6" s="1"/>
  <c r="AG270" i="6"/>
  <c r="AH270" i="6" s="1"/>
  <c r="AG266" i="6"/>
  <c r="AH266" i="6" s="1"/>
  <c r="AG262" i="6"/>
  <c r="AH262" i="6" s="1"/>
  <c r="AG258" i="6"/>
  <c r="AH258" i="6" s="1"/>
  <c r="AG254" i="6"/>
  <c r="AH254" i="6" s="1"/>
  <c r="AG250" i="6"/>
  <c r="AH250" i="6" s="1"/>
  <c r="AG246" i="6"/>
  <c r="AH246" i="6" s="1"/>
  <c r="AA242" i="6"/>
  <c r="AB242" i="6" s="1"/>
  <c r="AJ240" i="6"/>
  <c r="AK240" i="6" s="1"/>
  <c r="W240" i="6"/>
  <c r="X240" i="6" s="1"/>
  <c r="AG239" i="6"/>
  <c r="AH239" i="6" s="1"/>
  <c r="AA239" i="6"/>
  <c r="AB239" i="6" s="1"/>
  <c r="T239" i="6"/>
  <c r="U239" i="6" s="1"/>
  <c r="AJ237" i="6"/>
  <c r="AK237" i="6" s="1"/>
  <c r="AD237" i="6"/>
  <c r="AE237" i="6" s="1"/>
  <c r="W237" i="6"/>
  <c r="X237" i="6" s="1"/>
  <c r="AG235" i="6"/>
  <c r="AH235" i="6" s="1"/>
  <c r="AA235" i="6"/>
  <c r="AB235" i="6" s="1"/>
  <c r="AJ233" i="6"/>
  <c r="AK233" i="6" s="1"/>
  <c r="AD233" i="6"/>
  <c r="AE233" i="6" s="1"/>
  <c r="W233" i="6"/>
  <c r="X233" i="6" s="1"/>
  <c r="AG231" i="6"/>
  <c r="AH231" i="6" s="1"/>
  <c r="AA231" i="6"/>
  <c r="AB231" i="6" s="1"/>
  <c r="AJ229" i="6"/>
  <c r="AK229" i="6" s="1"/>
  <c r="AD229" i="6"/>
  <c r="AE229" i="6" s="1"/>
  <c r="W229" i="6"/>
  <c r="X229" i="6" s="1"/>
  <c r="AG227" i="6"/>
  <c r="AH227" i="6" s="1"/>
  <c r="AA227" i="6"/>
  <c r="AB227" i="6" s="1"/>
  <c r="AJ225" i="6"/>
  <c r="AK225" i="6" s="1"/>
  <c r="AD225" i="6"/>
  <c r="AE225" i="6" s="1"/>
  <c r="W225" i="6"/>
  <c r="X225" i="6" s="1"/>
  <c r="AG223" i="6"/>
  <c r="AH223" i="6" s="1"/>
  <c r="AA223" i="6"/>
  <c r="AB223" i="6" s="1"/>
  <c r="AJ221" i="6"/>
  <c r="AK221" i="6" s="1"/>
  <c r="AD221" i="6"/>
  <c r="AE221" i="6" s="1"/>
  <c r="W221" i="6"/>
  <c r="X221" i="6" s="1"/>
  <c r="AG219" i="6"/>
  <c r="AH219" i="6" s="1"/>
  <c r="AA219" i="6"/>
  <c r="AB219" i="6" s="1"/>
  <c r="AJ217" i="6"/>
  <c r="AK217" i="6" s="1"/>
  <c r="AD217" i="6"/>
  <c r="AE217" i="6" s="1"/>
  <c r="W217" i="6"/>
  <c r="X217" i="6" s="1"/>
  <c r="AG215" i="6"/>
  <c r="AH215" i="6" s="1"/>
  <c r="AJ213" i="6"/>
  <c r="AK213" i="6" s="1"/>
  <c r="AD213" i="6"/>
  <c r="AE213" i="6" s="1"/>
  <c r="W213" i="6"/>
  <c r="X213" i="6" s="1"/>
  <c r="AG211" i="6"/>
  <c r="AH211" i="6" s="1"/>
  <c r="AA211" i="6"/>
  <c r="AB211" i="6" s="1"/>
  <c r="AJ209" i="6"/>
  <c r="AK209" i="6" s="1"/>
  <c r="AD209" i="6"/>
  <c r="AE209" i="6" s="1"/>
  <c r="W209" i="6"/>
  <c r="X209" i="6" s="1"/>
  <c r="AG207" i="6"/>
  <c r="AH207" i="6" s="1"/>
  <c r="AA207" i="6"/>
  <c r="AB207" i="6" s="1"/>
  <c r="AJ205" i="6"/>
  <c r="AK205" i="6" s="1"/>
  <c r="AD205" i="6"/>
  <c r="AE205" i="6" s="1"/>
  <c r="W205" i="6"/>
  <c r="X205" i="6" s="1"/>
  <c r="AG351" i="6"/>
  <c r="AH351" i="6" s="1"/>
  <c r="T314" i="6"/>
  <c r="U314" i="6" s="1"/>
  <c r="AJ311" i="6"/>
  <c r="AK311" i="6" s="1"/>
  <c r="AJ308" i="6"/>
  <c r="AK308" i="6" s="1"/>
  <c r="W302" i="6"/>
  <c r="X302" i="6" s="1"/>
  <c r="T301" i="6"/>
  <c r="U301" i="6" s="1"/>
  <c r="AA278" i="6"/>
  <c r="AB278" i="6" s="1"/>
  <c r="AJ276" i="6"/>
  <c r="AK276" i="6" s="1"/>
  <c r="AA274" i="6"/>
  <c r="AB274" i="6" s="1"/>
  <c r="AJ272" i="6"/>
  <c r="AK272" i="6" s="1"/>
  <c r="AA270" i="6"/>
  <c r="AB270" i="6" s="1"/>
  <c r="AJ268" i="6"/>
  <c r="AK268" i="6" s="1"/>
  <c r="AA266" i="6"/>
  <c r="AB266" i="6" s="1"/>
  <c r="AJ264" i="6"/>
  <c r="AK264" i="6" s="1"/>
  <c r="AA262" i="6"/>
  <c r="AB262" i="6" s="1"/>
  <c r="AJ260" i="6"/>
  <c r="AK260" i="6" s="1"/>
  <c r="AJ256" i="6"/>
  <c r="AK256" i="6" s="1"/>
  <c r="AJ252" i="6"/>
  <c r="AK252" i="6" s="1"/>
  <c r="AA250" i="6"/>
  <c r="AB250" i="6" s="1"/>
  <c r="AJ248" i="6"/>
  <c r="AK248" i="6" s="1"/>
  <c r="AA246" i="6"/>
  <c r="AB246" i="6" s="1"/>
  <c r="AJ244" i="6"/>
  <c r="AK244" i="6" s="1"/>
  <c r="AJ242" i="6"/>
  <c r="AK242" i="6" s="1"/>
  <c r="W242" i="6"/>
  <c r="X242" i="6" s="1"/>
  <c r="AG240" i="6"/>
  <c r="AH240" i="6" s="1"/>
  <c r="T240" i="6"/>
  <c r="U240" i="6" s="1"/>
  <c r="AJ238" i="6"/>
  <c r="AK238" i="6" s="1"/>
  <c r="AD238" i="6"/>
  <c r="AE238" i="6" s="1"/>
  <c r="AJ288" i="6"/>
  <c r="AK288" i="6" s="1"/>
  <c r="AJ239" i="6"/>
  <c r="AK239" i="6" s="1"/>
  <c r="AJ234" i="6"/>
  <c r="AK234" i="6" s="1"/>
  <c r="W234" i="6"/>
  <c r="X234" i="6" s="1"/>
  <c r="AG233" i="6"/>
  <c r="AH233" i="6" s="1"/>
  <c r="T233" i="6"/>
  <c r="U233" i="6" s="1"/>
  <c r="AD230" i="6"/>
  <c r="AE230" i="6" s="1"/>
  <c r="AA229" i="6"/>
  <c r="AB229" i="6" s="1"/>
  <c r="AJ226" i="6"/>
  <c r="AK226" i="6" s="1"/>
  <c r="W226" i="6"/>
  <c r="X226" i="6" s="1"/>
  <c r="AG225" i="6"/>
  <c r="AH225" i="6" s="1"/>
  <c r="T225" i="6"/>
  <c r="U225" i="6" s="1"/>
  <c r="AD222" i="6"/>
  <c r="AE222" i="6" s="1"/>
  <c r="AA221" i="6"/>
  <c r="AB221" i="6" s="1"/>
  <c r="AJ218" i="6"/>
  <c r="AK218" i="6" s="1"/>
  <c r="W218" i="6"/>
  <c r="X218" i="6" s="1"/>
  <c r="AG217" i="6"/>
  <c r="AH217" i="6" s="1"/>
  <c r="T217" i="6"/>
  <c r="U217" i="6" s="1"/>
  <c r="AD214" i="6"/>
  <c r="AE214" i="6" s="1"/>
  <c r="AJ210" i="6"/>
  <c r="AK210" i="6" s="1"/>
  <c r="W210" i="6"/>
  <c r="X210" i="6" s="1"/>
  <c r="AG209" i="6"/>
  <c r="AH209" i="6" s="1"/>
  <c r="T209" i="6"/>
  <c r="U209" i="6" s="1"/>
  <c r="AG206" i="6"/>
  <c r="AH206" i="6" s="1"/>
  <c r="W206" i="6"/>
  <c r="X206" i="6" s="1"/>
  <c r="AD204" i="6"/>
  <c r="AE204" i="6" s="1"/>
  <c r="AG203" i="6"/>
  <c r="AH203" i="6" s="1"/>
  <c r="AJ201" i="6"/>
  <c r="AK201" i="6" s="1"/>
  <c r="AD201" i="6"/>
  <c r="AE201" i="6" s="1"/>
  <c r="W201" i="6"/>
  <c r="X201" i="6" s="1"/>
  <c r="AG199" i="6"/>
  <c r="AH199" i="6" s="1"/>
  <c r="AA199" i="6"/>
  <c r="AB199" i="6" s="1"/>
  <c r="AJ197" i="6"/>
  <c r="AK197" i="6" s="1"/>
  <c r="AD197" i="6"/>
  <c r="AE197" i="6" s="1"/>
  <c r="W197" i="6"/>
  <c r="X197" i="6" s="1"/>
  <c r="AG195" i="6"/>
  <c r="AH195" i="6" s="1"/>
  <c r="AA195" i="6"/>
  <c r="AB195" i="6" s="1"/>
  <c r="AJ193" i="6"/>
  <c r="AK193" i="6" s="1"/>
  <c r="AD193" i="6"/>
  <c r="AE193" i="6" s="1"/>
  <c r="W193" i="6"/>
  <c r="X193" i="6" s="1"/>
  <c r="AG191" i="6"/>
  <c r="AH191" i="6" s="1"/>
  <c r="AA191" i="6"/>
  <c r="AB191" i="6" s="1"/>
  <c r="AJ189" i="6"/>
  <c r="AK189" i="6" s="1"/>
  <c r="AD189" i="6"/>
  <c r="AE189" i="6" s="1"/>
  <c r="W189" i="6"/>
  <c r="X189" i="6" s="1"/>
  <c r="AG187" i="6"/>
  <c r="AH187" i="6" s="1"/>
  <c r="AA187" i="6"/>
  <c r="AB187" i="6" s="1"/>
  <c r="AJ185" i="6"/>
  <c r="AK185" i="6" s="1"/>
  <c r="AD185" i="6"/>
  <c r="AE185" i="6" s="1"/>
  <c r="W185" i="6"/>
  <c r="X185" i="6" s="1"/>
  <c r="AG183" i="6"/>
  <c r="AH183" i="6" s="1"/>
  <c r="AJ181" i="6"/>
  <c r="AK181" i="6" s="1"/>
  <c r="AD181" i="6"/>
  <c r="AE181" i="6" s="1"/>
  <c r="W181" i="6"/>
  <c r="X181" i="6" s="1"/>
  <c r="AG179" i="6"/>
  <c r="AH179" i="6" s="1"/>
  <c r="AA179" i="6"/>
  <c r="AB179" i="6" s="1"/>
  <c r="AJ177" i="6"/>
  <c r="AK177" i="6" s="1"/>
  <c r="AD177" i="6"/>
  <c r="AE177" i="6" s="1"/>
  <c r="W177" i="6"/>
  <c r="X177" i="6" s="1"/>
  <c r="AG175" i="6"/>
  <c r="AH175" i="6" s="1"/>
  <c r="AA175" i="6"/>
  <c r="AB175" i="6" s="1"/>
  <c r="AJ173" i="6"/>
  <c r="AK173" i="6" s="1"/>
  <c r="AD173" i="6"/>
  <c r="AE173" i="6" s="1"/>
  <c r="W173" i="6"/>
  <c r="X173" i="6" s="1"/>
  <c r="AG171" i="6"/>
  <c r="AH171" i="6" s="1"/>
  <c r="AA171" i="6"/>
  <c r="AB171" i="6" s="1"/>
  <c r="AJ169" i="6"/>
  <c r="AK169" i="6" s="1"/>
  <c r="AD169" i="6"/>
  <c r="AE169" i="6" s="1"/>
  <c r="W169" i="6"/>
  <c r="X169" i="6" s="1"/>
  <c r="AG167" i="6"/>
  <c r="AH167" i="6" s="1"/>
  <c r="AA167" i="6"/>
  <c r="AB167" i="6" s="1"/>
  <c r="T167" i="6"/>
  <c r="U167" i="6" s="1"/>
  <c r="AJ165" i="6"/>
  <c r="AK165" i="6" s="1"/>
  <c r="AD165" i="6"/>
  <c r="AE165" i="6" s="1"/>
  <c r="W165" i="6"/>
  <c r="X165" i="6" s="1"/>
  <c r="AG163" i="6"/>
  <c r="AH163" i="6" s="1"/>
  <c r="AA163" i="6"/>
  <c r="AB163" i="6" s="1"/>
  <c r="T163" i="6"/>
  <c r="U163" i="6" s="1"/>
  <c r="AJ161" i="6"/>
  <c r="AK161" i="6" s="1"/>
  <c r="AD161" i="6"/>
  <c r="AE161" i="6" s="1"/>
  <c r="W161" i="6"/>
  <c r="X161" i="6" s="1"/>
  <c r="AG159" i="6"/>
  <c r="AH159" i="6" s="1"/>
  <c r="AA159" i="6"/>
  <c r="AB159" i="6" s="1"/>
  <c r="T159" i="6"/>
  <c r="U159" i="6" s="1"/>
  <c r="AJ157" i="6"/>
  <c r="AK157" i="6" s="1"/>
  <c r="AD157" i="6"/>
  <c r="AE157" i="6" s="1"/>
  <c r="W157" i="6"/>
  <c r="X157" i="6" s="1"/>
  <c r="AG155" i="6"/>
  <c r="AH155" i="6" s="1"/>
  <c r="AA155" i="6"/>
  <c r="AB155" i="6" s="1"/>
  <c r="T155" i="6"/>
  <c r="U155" i="6" s="1"/>
  <c r="AJ153" i="6"/>
  <c r="AK153" i="6" s="1"/>
  <c r="AD153" i="6"/>
  <c r="AE153" i="6" s="1"/>
  <c r="W153" i="6"/>
  <c r="X153" i="6" s="1"/>
  <c r="AG151" i="6"/>
  <c r="AH151" i="6" s="1"/>
  <c r="T151" i="6"/>
  <c r="U151" i="6" s="1"/>
  <c r="AJ149" i="6"/>
  <c r="AK149" i="6" s="1"/>
  <c r="AD149" i="6"/>
  <c r="AE149" i="6" s="1"/>
  <c r="W149" i="6"/>
  <c r="X149" i="6" s="1"/>
  <c r="AG147" i="6"/>
  <c r="AH147" i="6" s="1"/>
  <c r="T147" i="6"/>
  <c r="U147" i="6" s="1"/>
  <c r="AJ145" i="6"/>
  <c r="AK145" i="6" s="1"/>
  <c r="AD145" i="6"/>
  <c r="AE145" i="6" s="1"/>
  <c r="W145" i="6"/>
  <c r="X145" i="6" s="1"/>
  <c r="AG143" i="6"/>
  <c r="AH143" i="6" s="1"/>
  <c r="AA143" i="6"/>
  <c r="AB143" i="6" s="1"/>
  <c r="T143" i="6"/>
  <c r="U143" i="6" s="1"/>
  <c r="AJ141" i="6"/>
  <c r="AK141" i="6" s="1"/>
  <c r="AD141" i="6"/>
  <c r="AE141" i="6" s="1"/>
  <c r="W141" i="6"/>
  <c r="X141" i="6" s="1"/>
  <c r="AG139" i="6"/>
  <c r="AH139" i="6" s="1"/>
  <c r="AA139" i="6"/>
  <c r="AB139" i="6" s="1"/>
  <c r="T139" i="6"/>
  <c r="U139" i="6" s="1"/>
  <c r="AJ137" i="6"/>
  <c r="AK137" i="6" s="1"/>
  <c r="AD137" i="6"/>
  <c r="AE137" i="6" s="1"/>
  <c r="W137" i="6"/>
  <c r="X137" i="6" s="1"/>
  <c r="AG135" i="6"/>
  <c r="AH135" i="6" s="1"/>
  <c r="T135" i="6"/>
  <c r="U135" i="6" s="1"/>
  <c r="AJ133" i="6"/>
  <c r="AK133" i="6" s="1"/>
  <c r="AD133" i="6"/>
  <c r="AE133" i="6" s="1"/>
  <c r="W133" i="6"/>
  <c r="X133" i="6" s="1"/>
  <c r="AG131" i="6"/>
  <c r="AH131" i="6" s="1"/>
  <c r="T131" i="6"/>
  <c r="U131" i="6" s="1"/>
  <c r="AJ129" i="6"/>
  <c r="AK129" i="6" s="1"/>
  <c r="AD129" i="6"/>
  <c r="AE129" i="6" s="1"/>
  <c r="W129" i="6"/>
  <c r="X129" i="6" s="1"/>
  <c r="AD276" i="6"/>
  <c r="AE276" i="6" s="1"/>
  <c r="T274" i="6"/>
  <c r="U274" i="6" s="1"/>
  <c r="AD268" i="6"/>
  <c r="AE268" i="6" s="1"/>
  <c r="T266" i="6"/>
  <c r="U266" i="6" s="1"/>
  <c r="AD260" i="6"/>
  <c r="AE260" i="6" s="1"/>
  <c r="T258" i="6"/>
  <c r="U258" i="6" s="1"/>
  <c r="AD252" i="6"/>
  <c r="AE252" i="6" s="1"/>
  <c r="T250" i="6"/>
  <c r="U250" i="6" s="1"/>
  <c r="AD244" i="6"/>
  <c r="AE244" i="6" s="1"/>
  <c r="AD240" i="6"/>
  <c r="AE240" i="6" s="1"/>
  <c r="AD239" i="6"/>
  <c r="AE239" i="6" s="1"/>
  <c r="W238" i="6"/>
  <c r="X238" i="6" s="1"/>
  <c r="AG237" i="6"/>
  <c r="AH237" i="6" s="1"/>
  <c r="T237" i="6"/>
  <c r="U237" i="6" s="1"/>
  <c r="AG236" i="6"/>
  <c r="AH236" i="6" s="1"/>
  <c r="AJ235" i="6"/>
  <c r="AK235" i="6" s="1"/>
  <c r="W235" i="6"/>
  <c r="X235" i="6" s="1"/>
  <c r="AA232" i="6"/>
  <c r="AB232" i="6" s="1"/>
  <c r="AD231" i="6"/>
  <c r="AE231" i="6" s="1"/>
  <c r="AG228" i="6"/>
  <c r="AH228" i="6" s="1"/>
  <c r="AJ227" i="6"/>
  <c r="AK227" i="6" s="1"/>
  <c r="W227" i="6"/>
  <c r="X227" i="6" s="1"/>
  <c r="AA224" i="6"/>
  <c r="AB224" i="6" s="1"/>
  <c r="AD223" i="6"/>
  <c r="AE223" i="6" s="1"/>
  <c r="AG220" i="6"/>
  <c r="AH220" i="6" s="1"/>
  <c r="AJ219" i="6"/>
  <c r="AK219" i="6" s="1"/>
  <c r="W219" i="6"/>
  <c r="X219" i="6" s="1"/>
  <c r="AD215" i="6"/>
  <c r="AE215" i="6" s="1"/>
  <c r="AG212" i="6"/>
  <c r="AH212" i="6" s="1"/>
  <c r="AJ211" i="6"/>
  <c r="AK211" i="6" s="1"/>
  <c r="W211" i="6"/>
  <c r="X211" i="6" s="1"/>
  <c r="AD207" i="6"/>
  <c r="AE207" i="6" s="1"/>
  <c r="AD206" i="6"/>
  <c r="AE206" i="6" s="1"/>
  <c r="AJ204" i="6"/>
  <c r="AK204" i="6" s="1"/>
  <c r="AJ202" i="6"/>
  <c r="AK202" i="6" s="1"/>
  <c r="AD202" i="6"/>
  <c r="AE202" i="6" s="1"/>
  <c r="W202" i="6"/>
  <c r="X202" i="6" s="1"/>
  <c r="AG200" i="6"/>
  <c r="AH200" i="6" s="1"/>
  <c r="AJ198" i="6"/>
  <c r="AK198" i="6" s="1"/>
  <c r="AD198" i="6"/>
  <c r="AE198" i="6" s="1"/>
  <c r="W198" i="6"/>
  <c r="X198" i="6" s="1"/>
  <c r="AG196" i="6"/>
  <c r="AH196" i="6" s="1"/>
  <c r="AA196" i="6"/>
  <c r="AB196" i="6" s="1"/>
  <c r="AJ194" i="6"/>
  <c r="AK194" i="6" s="1"/>
  <c r="AD194" i="6"/>
  <c r="AE194" i="6" s="1"/>
  <c r="W194" i="6"/>
  <c r="X194" i="6" s="1"/>
  <c r="AG192" i="6"/>
  <c r="AH192" i="6" s="1"/>
  <c r="AA192" i="6"/>
  <c r="AB192" i="6" s="1"/>
  <c r="AJ190" i="6"/>
  <c r="AK190" i="6" s="1"/>
  <c r="AD190" i="6"/>
  <c r="AE190" i="6" s="1"/>
  <c r="W190" i="6"/>
  <c r="X190" i="6" s="1"/>
  <c r="AG188" i="6"/>
  <c r="AH188" i="6" s="1"/>
  <c r="AA188" i="6"/>
  <c r="AB188" i="6" s="1"/>
  <c r="AJ186" i="6"/>
  <c r="AK186" i="6" s="1"/>
  <c r="AD186" i="6"/>
  <c r="AE186" i="6" s="1"/>
  <c r="W186" i="6"/>
  <c r="X186" i="6" s="1"/>
  <c r="AG184" i="6"/>
  <c r="AH184" i="6" s="1"/>
  <c r="AJ182" i="6"/>
  <c r="AK182" i="6" s="1"/>
  <c r="AD182" i="6"/>
  <c r="AE182" i="6" s="1"/>
  <c r="W182" i="6"/>
  <c r="X182" i="6" s="1"/>
  <c r="AG180" i="6"/>
  <c r="AH180" i="6" s="1"/>
  <c r="AA180" i="6"/>
  <c r="AB180" i="6" s="1"/>
  <c r="AJ178" i="6"/>
  <c r="AK178" i="6" s="1"/>
  <c r="AD178" i="6"/>
  <c r="AE178" i="6" s="1"/>
  <c r="W178" i="6"/>
  <c r="X178" i="6" s="1"/>
  <c r="AG176" i="6"/>
  <c r="AH176" i="6" s="1"/>
  <c r="AA176" i="6"/>
  <c r="AB176" i="6" s="1"/>
  <c r="AJ174" i="6"/>
  <c r="AK174" i="6" s="1"/>
  <c r="AD174" i="6"/>
  <c r="AE174" i="6" s="1"/>
  <c r="W174" i="6"/>
  <c r="X174" i="6" s="1"/>
  <c r="AG172" i="6"/>
  <c r="AH172" i="6" s="1"/>
  <c r="AA172" i="6"/>
  <c r="AB172" i="6" s="1"/>
  <c r="AJ170" i="6"/>
  <c r="AK170" i="6" s="1"/>
  <c r="AD170" i="6"/>
  <c r="AE170" i="6" s="1"/>
  <c r="W170" i="6"/>
  <c r="X170" i="6" s="1"/>
  <c r="AG168" i="6"/>
  <c r="AH168" i="6" s="1"/>
  <c r="AA168" i="6"/>
  <c r="AB168" i="6" s="1"/>
  <c r="AJ166" i="6"/>
  <c r="AK166" i="6" s="1"/>
  <c r="AD166" i="6"/>
  <c r="AE166" i="6" s="1"/>
  <c r="W166" i="6"/>
  <c r="X166" i="6" s="1"/>
  <c r="AG164" i="6"/>
  <c r="AH164" i="6" s="1"/>
  <c r="AA164" i="6"/>
  <c r="AB164" i="6" s="1"/>
  <c r="AJ162" i="6"/>
  <c r="AK162" i="6" s="1"/>
  <c r="AD162" i="6"/>
  <c r="AE162" i="6" s="1"/>
  <c r="W162" i="6"/>
  <c r="X162" i="6" s="1"/>
  <c r="AG160" i="6"/>
  <c r="AH160" i="6" s="1"/>
  <c r="AA160" i="6"/>
  <c r="AB160" i="6" s="1"/>
  <c r="AJ158" i="6"/>
  <c r="AK158" i="6" s="1"/>
  <c r="AD158" i="6"/>
  <c r="AE158" i="6" s="1"/>
  <c r="W158" i="6"/>
  <c r="X158" i="6" s="1"/>
  <c r="AG156" i="6"/>
  <c r="AH156" i="6" s="1"/>
  <c r="AA156" i="6"/>
  <c r="AB156" i="6" s="1"/>
  <c r="AJ154" i="6"/>
  <c r="AK154" i="6" s="1"/>
  <c r="AD154" i="6"/>
  <c r="AE154" i="6" s="1"/>
  <c r="W154" i="6"/>
  <c r="X154" i="6" s="1"/>
  <c r="AG152" i="6"/>
  <c r="AH152" i="6" s="1"/>
  <c r="AJ150" i="6"/>
  <c r="AK150" i="6" s="1"/>
  <c r="AD150" i="6"/>
  <c r="AE150" i="6" s="1"/>
  <c r="W150" i="6"/>
  <c r="X150" i="6" s="1"/>
  <c r="AG148" i="6"/>
  <c r="AH148" i="6" s="1"/>
  <c r="AA148" i="6"/>
  <c r="AB148" i="6" s="1"/>
  <c r="AJ146" i="6"/>
  <c r="AK146" i="6" s="1"/>
  <c r="AD146" i="6"/>
  <c r="AE146" i="6" s="1"/>
  <c r="W146" i="6"/>
  <c r="X146" i="6" s="1"/>
  <c r="AG144" i="6"/>
  <c r="AH144" i="6" s="1"/>
  <c r="AA144" i="6"/>
  <c r="AB144" i="6" s="1"/>
  <c r="AJ142" i="6"/>
  <c r="AK142" i="6" s="1"/>
  <c r="AD142" i="6"/>
  <c r="AE142" i="6" s="1"/>
  <c r="W142" i="6"/>
  <c r="X142" i="6" s="1"/>
  <c r="AG140" i="6"/>
  <c r="AH140" i="6" s="1"/>
  <c r="AA140" i="6"/>
  <c r="AB140" i="6" s="1"/>
  <c r="AJ138" i="6"/>
  <c r="AK138" i="6" s="1"/>
  <c r="AD138" i="6"/>
  <c r="AE138" i="6" s="1"/>
  <c r="W138" i="6"/>
  <c r="X138" i="6" s="1"/>
  <c r="AG136" i="6"/>
  <c r="AH136" i="6" s="1"/>
  <c r="AA136" i="6"/>
  <c r="AB136" i="6" s="1"/>
  <c r="AJ134" i="6"/>
  <c r="AK134" i="6" s="1"/>
  <c r="AD134" i="6"/>
  <c r="AE134" i="6" s="1"/>
  <c r="W134" i="6"/>
  <c r="X134" i="6" s="1"/>
  <c r="AG132" i="6"/>
  <c r="AH132" i="6" s="1"/>
  <c r="AA132" i="6"/>
  <c r="AB132" i="6" s="1"/>
  <c r="AJ130" i="6"/>
  <c r="AK130" i="6" s="1"/>
  <c r="AD130" i="6"/>
  <c r="AE130" i="6" s="1"/>
  <c r="W130" i="6"/>
  <c r="X130" i="6" s="1"/>
  <c r="AG128" i="6"/>
  <c r="AH128" i="6" s="1"/>
  <c r="AA128" i="6"/>
  <c r="AB128" i="6" s="1"/>
  <c r="AJ126" i="6"/>
  <c r="AK126" i="6" s="1"/>
  <c r="AD126" i="6"/>
  <c r="AE126" i="6" s="1"/>
  <c r="W126" i="6"/>
  <c r="X126" i="6" s="1"/>
  <c r="T285" i="6"/>
  <c r="U285" i="6" s="1"/>
  <c r="AG242" i="6"/>
  <c r="AH242" i="6" s="1"/>
  <c r="W239" i="6"/>
  <c r="X239" i="6" s="1"/>
  <c r="T278" i="6"/>
  <c r="U278" i="6" s="1"/>
  <c r="AD264" i="6"/>
  <c r="AE264" i="6" s="1"/>
  <c r="T246" i="6"/>
  <c r="U246" i="6" s="1"/>
  <c r="AA233" i="6"/>
  <c r="AB233" i="6" s="1"/>
  <c r="AJ230" i="6"/>
  <c r="AK230" i="6" s="1"/>
  <c r="AG229" i="6"/>
  <c r="AH229" i="6" s="1"/>
  <c r="AG224" i="6"/>
  <c r="AH224" i="6" s="1"/>
  <c r="W223" i="6"/>
  <c r="X223" i="6" s="1"/>
  <c r="AD219" i="6"/>
  <c r="AE219" i="6" s="1"/>
  <c r="W214" i="6"/>
  <c r="X214" i="6" s="1"/>
  <c r="T213" i="6"/>
  <c r="U213" i="6" s="1"/>
  <c r="AD210" i="6"/>
  <c r="AE210" i="6" s="1"/>
  <c r="T208" i="6"/>
  <c r="U208" i="6" s="1"/>
  <c r="AJ207" i="6"/>
  <c r="AK207" i="6" s="1"/>
  <c r="AJ206" i="6"/>
  <c r="AK206" i="6" s="1"/>
  <c r="T206" i="6"/>
  <c r="U206" i="6" s="1"/>
  <c r="AG205" i="6"/>
  <c r="AH205" i="6" s="1"/>
  <c r="AJ203" i="6"/>
  <c r="AK203" i="6" s="1"/>
  <c r="W203" i="6"/>
  <c r="X203" i="6" s="1"/>
  <c r="AG202" i="6"/>
  <c r="AH202" i="6" s="1"/>
  <c r="T202" i="6"/>
  <c r="U202" i="6" s="1"/>
  <c r="AG201" i="6"/>
  <c r="AH201" i="6" s="1"/>
  <c r="AJ200" i="6"/>
  <c r="AK200" i="6" s="1"/>
  <c r="W200" i="6"/>
  <c r="X200" i="6" s="1"/>
  <c r="AD195" i="6"/>
  <c r="AE195" i="6" s="1"/>
  <c r="AA194" i="6"/>
  <c r="AB194" i="6" s="1"/>
  <c r="AA193" i="6"/>
  <c r="AB193" i="6" s="1"/>
  <c r="AD192" i="6"/>
  <c r="AE192" i="6" s="1"/>
  <c r="AJ187" i="6"/>
  <c r="AK187" i="6" s="1"/>
  <c r="W187" i="6"/>
  <c r="X187" i="6" s="1"/>
  <c r="AG186" i="6"/>
  <c r="AH186" i="6" s="1"/>
  <c r="T186" i="6"/>
  <c r="U186" i="6" s="1"/>
  <c r="AG185" i="6"/>
  <c r="AH185" i="6" s="1"/>
  <c r="AJ184" i="6"/>
  <c r="AK184" i="6" s="1"/>
  <c r="W184" i="6"/>
  <c r="X184" i="6" s="1"/>
  <c r="AD179" i="6"/>
  <c r="AE179" i="6" s="1"/>
  <c r="AA178" i="6"/>
  <c r="AB178" i="6" s="1"/>
  <c r="AA177" i="6"/>
  <c r="AB177" i="6" s="1"/>
  <c r="AD176" i="6"/>
  <c r="AE176" i="6" s="1"/>
  <c r="AJ171" i="6"/>
  <c r="AK171" i="6" s="1"/>
  <c r="W171" i="6"/>
  <c r="X171" i="6" s="1"/>
  <c r="AG170" i="6"/>
  <c r="AH170" i="6" s="1"/>
  <c r="T170" i="6"/>
  <c r="U170" i="6" s="1"/>
  <c r="AD167" i="6"/>
  <c r="AE167" i="6" s="1"/>
  <c r="AA166" i="6"/>
  <c r="AB166" i="6" s="1"/>
  <c r="AJ163" i="6"/>
  <c r="AK163" i="6" s="1"/>
  <c r="W163" i="6"/>
  <c r="X163" i="6" s="1"/>
  <c r="AG162" i="6"/>
  <c r="AH162" i="6" s="1"/>
  <c r="T162" i="6"/>
  <c r="U162" i="6" s="1"/>
  <c r="AD159" i="6"/>
  <c r="AE159" i="6" s="1"/>
  <c r="AJ155" i="6"/>
  <c r="AK155" i="6" s="1"/>
  <c r="W155" i="6"/>
  <c r="X155" i="6" s="1"/>
  <c r="AG154" i="6"/>
  <c r="AH154" i="6" s="1"/>
  <c r="T154" i="6"/>
  <c r="U154" i="6" s="1"/>
  <c r="AD151" i="6"/>
  <c r="AE151" i="6" s="1"/>
  <c r="AJ147" i="6"/>
  <c r="AK147" i="6" s="1"/>
  <c r="W147" i="6"/>
  <c r="X147" i="6" s="1"/>
  <c r="AG146" i="6"/>
  <c r="AH146" i="6" s="1"/>
  <c r="T146" i="6"/>
  <c r="U146" i="6" s="1"/>
  <c r="AD143" i="6"/>
  <c r="AE143" i="6" s="1"/>
  <c r="AA142" i="6"/>
  <c r="AB142" i="6" s="1"/>
  <c r="AJ139" i="6"/>
  <c r="AK139" i="6" s="1"/>
  <c r="W139" i="6"/>
  <c r="X139" i="6" s="1"/>
  <c r="AG138" i="6"/>
  <c r="AH138" i="6" s="1"/>
  <c r="T138" i="6"/>
  <c r="U138" i="6" s="1"/>
  <c r="AD135" i="6"/>
  <c r="AE135" i="6" s="1"/>
  <c r="AA134" i="6"/>
  <c r="AB134" i="6" s="1"/>
  <c r="AJ131" i="6"/>
  <c r="AK131" i="6" s="1"/>
  <c r="W131" i="6"/>
  <c r="X131" i="6" s="1"/>
  <c r="AG130" i="6"/>
  <c r="AH130" i="6" s="1"/>
  <c r="T130" i="6"/>
  <c r="U130" i="6" s="1"/>
  <c r="AG125" i="6"/>
  <c r="AH125" i="6" s="1"/>
  <c r="AA125" i="6"/>
  <c r="AB125" i="6" s="1"/>
  <c r="AJ123" i="6"/>
  <c r="AK123" i="6" s="1"/>
  <c r="AD123" i="6"/>
  <c r="AE123" i="6" s="1"/>
  <c r="W123" i="6"/>
  <c r="X123" i="6" s="1"/>
  <c r="AG121" i="6"/>
  <c r="AH121" i="6" s="1"/>
  <c r="AA121" i="6"/>
  <c r="AB121" i="6" s="1"/>
  <c r="AJ119" i="6"/>
  <c r="AK119" i="6" s="1"/>
  <c r="AD119" i="6"/>
  <c r="AE119" i="6" s="1"/>
  <c r="W119" i="6"/>
  <c r="X119" i="6" s="1"/>
  <c r="AG117" i="6"/>
  <c r="AH117" i="6" s="1"/>
  <c r="AA117" i="6"/>
  <c r="AB117" i="6" s="1"/>
  <c r="AJ115" i="6"/>
  <c r="AK115" i="6" s="1"/>
  <c r="AD115" i="6"/>
  <c r="AE115" i="6" s="1"/>
  <c r="W115" i="6"/>
  <c r="X115" i="6" s="1"/>
  <c r="AG113" i="6"/>
  <c r="AH113" i="6" s="1"/>
  <c r="AJ111" i="6"/>
  <c r="AK111" i="6" s="1"/>
  <c r="AD111" i="6"/>
  <c r="AE111" i="6" s="1"/>
  <c r="W111" i="6"/>
  <c r="X111" i="6" s="1"/>
  <c r="AG109" i="6"/>
  <c r="AH109" i="6" s="1"/>
  <c r="AA109" i="6"/>
  <c r="AB109" i="6" s="1"/>
  <c r="AJ107" i="6"/>
  <c r="AK107" i="6" s="1"/>
  <c r="AD107" i="6"/>
  <c r="AE107" i="6" s="1"/>
  <c r="W107" i="6"/>
  <c r="X107" i="6" s="1"/>
  <c r="AG105" i="6"/>
  <c r="AH105" i="6" s="1"/>
  <c r="AA105" i="6"/>
  <c r="AB105" i="6" s="1"/>
  <c r="AJ103" i="6"/>
  <c r="AK103" i="6" s="1"/>
  <c r="AD103" i="6"/>
  <c r="AE103" i="6" s="1"/>
  <c r="W103" i="6"/>
  <c r="X103" i="6" s="1"/>
  <c r="AG101" i="6"/>
  <c r="AH101" i="6" s="1"/>
  <c r="AA101" i="6"/>
  <c r="AB101" i="6" s="1"/>
  <c r="AJ99" i="6"/>
  <c r="AK99" i="6" s="1"/>
  <c r="AD99" i="6"/>
  <c r="AE99" i="6" s="1"/>
  <c r="W99" i="6"/>
  <c r="X99" i="6" s="1"/>
  <c r="AG97" i="6"/>
  <c r="AH97" i="6" s="1"/>
  <c r="AA97" i="6"/>
  <c r="AB97" i="6" s="1"/>
  <c r="AJ95" i="6"/>
  <c r="AK95" i="6" s="1"/>
  <c r="AD95" i="6"/>
  <c r="AE95" i="6" s="1"/>
  <c r="W95" i="6"/>
  <c r="X95" i="6" s="1"/>
  <c r="AG93" i="6"/>
  <c r="AH93" i="6" s="1"/>
  <c r="AJ91" i="6"/>
  <c r="AK91" i="6" s="1"/>
  <c r="AD91" i="6"/>
  <c r="AE91" i="6" s="1"/>
  <c r="W91" i="6"/>
  <c r="X91" i="6" s="1"/>
  <c r="AG89" i="6"/>
  <c r="AH89" i="6" s="1"/>
  <c r="AA89" i="6"/>
  <c r="AB89" i="6" s="1"/>
  <c r="AJ87" i="6"/>
  <c r="AK87" i="6" s="1"/>
  <c r="AD87" i="6"/>
  <c r="AE87" i="6" s="1"/>
  <c r="W87" i="6"/>
  <c r="X87" i="6" s="1"/>
  <c r="AG85" i="6"/>
  <c r="AH85" i="6" s="1"/>
  <c r="AJ83" i="6"/>
  <c r="AK83" i="6" s="1"/>
  <c r="AD83" i="6"/>
  <c r="AE83" i="6" s="1"/>
  <c r="W83" i="6"/>
  <c r="X83" i="6" s="1"/>
  <c r="AG81" i="6"/>
  <c r="AH81" i="6" s="1"/>
  <c r="AA81" i="6"/>
  <c r="AB81" i="6" s="1"/>
  <c r="AJ79" i="6"/>
  <c r="AK79" i="6" s="1"/>
  <c r="AD79" i="6"/>
  <c r="AE79" i="6" s="1"/>
  <c r="W79" i="6"/>
  <c r="X79" i="6" s="1"/>
  <c r="AG77" i="6"/>
  <c r="AH77" i="6" s="1"/>
  <c r="AA77" i="6"/>
  <c r="AB77" i="6" s="1"/>
  <c r="T270" i="6"/>
  <c r="U270" i="6" s="1"/>
  <c r="AD256" i="6"/>
  <c r="AE256" i="6" s="1"/>
  <c r="T242" i="6"/>
  <c r="U242" i="6" s="1"/>
  <c r="AA237" i="6"/>
  <c r="AB237" i="6" s="1"/>
  <c r="AG232" i="6"/>
  <c r="AH232" i="6" s="1"/>
  <c r="W231" i="6"/>
  <c r="X231" i="6" s="1"/>
  <c r="AD227" i="6"/>
  <c r="AE227" i="6" s="1"/>
  <c r="W222" i="6"/>
  <c r="X222" i="6" s="1"/>
  <c r="T221" i="6"/>
  <c r="U221" i="6" s="1"/>
  <c r="AD218" i="6"/>
  <c r="AE218" i="6" s="1"/>
  <c r="T216" i="6"/>
  <c r="U216" i="6" s="1"/>
  <c r="AJ215" i="6"/>
  <c r="AK215" i="6" s="1"/>
  <c r="AA212" i="6"/>
  <c r="AB212" i="6" s="1"/>
  <c r="W204" i="6"/>
  <c r="X204" i="6" s="1"/>
  <c r="AD199" i="6"/>
  <c r="AE199" i="6" s="1"/>
  <c r="AD196" i="6"/>
  <c r="AE196" i="6" s="1"/>
  <c r="AJ191" i="6"/>
  <c r="AK191" i="6" s="1"/>
  <c r="W191" i="6"/>
  <c r="X191" i="6" s="1"/>
  <c r="AG190" i="6"/>
  <c r="AH190" i="6" s="1"/>
  <c r="T190" i="6"/>
  <c r="U190" i="6" s="1"/>
  <c r="AG189" i="6"/>
  <c r="AH189" i="6" s="1"/>
  <c r="T189" i="6"/>
  <c r="U189" i="6" s="1"/>
  <c r="AJ188" i="6"/>
  <c r="AK188" i="6" s="1"/>
  <c r="W188" i="6"/>
  <c r="X188" i="6" s="1"/>
  <c r="AD183" i="6"/>
  <c r="AE183" i="6" s="1"/>
  <c r="AA182" i="6"/>
  <c r="AB182" i="6" s="1"/>
  <c r="AD180" i="6"/>
  <c r="AE180" i="6" s="1"/>
  <c r="AJ175" i="6"/>
  <c r="AK175" i="6" s="1"/>
  <c r="W175" i="6"/>
  <c r="X175" i="6" s="1"/>
  <c r="AG174" i="6"/>
  <c r="AH174" i="6" s="1"/>
  <c r="T174" i="6"/>
  <c r="U174" i="6" s="1"/>
  <c r="AG173" i="6"/>
  <c r="AH173" i="6" s="1"/>
  <c r="T173" i="6"/>
  <c r="U173" i="6" s="1"/>
  <c r="AJ172" i="6"/>
  <c r="AK172" i="6" s="1"/>
  <c r="W172" i="6"/>
  <c r="X172" i="6" s="1"/>
  <c r="AA169" i="6"/>
  <c r="AB169" i="6" s="1"/>
  <c r="AD168" i="6"/>
  <c r="AE168" i="6" s="1"/>
  <c r="AG165" i="6"/>
  <c r="AH165" i="6" s="1"/>
  <c r="T165" i="6"/>
  <c r="U165" i="6" s="1"/>
  <c r="AJ164" i="6"/>
  <c r="AK164" i="6" s="1"/>
  <c r="W164" i="6"/>
  <c r="X164" i="6" s="1"/>
  <c r="AD160" i="6"/>
  <c r="AE160" i="6" s="1"/>
  <c r="AG157" i="6"/>
  <c r="AH157" i="6" s="1"/>
  <c r="T157" i="6"/>
  <c r="U157" i="6" s="1"/>
  <c r="AJ156" i="6"/>
  <c r="AK156" i="6" s="1"/>
  <c r="W156" i="6"/>
  <c r="X156" i="6" s="1"/>
  <c r="AD152" i="6"/>
  <c r="AE152" i="6" s="1"/>
  <c r="AG149" i="6"/>
  <c r="AH149" i="6" s="1"/>
  <c r="T149" i="6"/>
  <c r="U149" i="6" s="1"/>
  <c r="AJ148" i="6"/>
  <c r="AK148" i="6" s="1"/>
  <c r="W148" i="6"/>
  <c r="X148" i="6" s="1"/>
  <c r="AD144" i="6"/>
  <c r="AE144" i="6" s="1"/>
  <c r="AG141" i="6"/>
  <c r="AH141" i="6" s="1"/>
  <c r="T141" i="6"/>
  <c r="U141" i="6" s="1"/>
  <c r="AJ140" i="6"/>
  <c r="AK140" i="6" s="1"/>
  <c r="W140" i="6"/>
  <c r="X140" i="6" s="1"/>
  <c r="AA137" i="6"/>
  <c r="AB137" i="6" s="1"/>
  <c r="AD136" i="6"/>
  <c r="AE136" i="6" s="1"/>
  <c r="AG133" i="6"/>
  <c r="AH133" i="6" s="1"/>
  <c r="T133" i="6"/>
  <c r="U133" i="6" s="1"/>
  <c r="AJ132" i="6"/>
  <c r="AK132" i="6" s="1"/>
  <c r="W132" i="6"/>
  <c r="X132" i="6" s="1"/>
  <c r="AA129" i="6"/>
  <c r="AB129" i="6" s="1"/>
  <c r="AD128" i="6"/>
  <c r="AE128" i="6" s="1"/>
  <c r="AG127" i="6"/>
  <c r="AH127" i="6" s="1"/>
  <c r="W127" i="6"/>
  <c r="X127" i="6" s="1"/>
  <c r="T126" i="6"/>
  <c r="U126" i="6" s="1"/>
  <c r="AJ124" i="6"/>
  <c r="AK124" i="6" s="1"/>
  <c r="AD124" i="6"/>
  <c r="AE124" i="6" s="1"/>
  <c r="W124" i="6"/>
  <c r="X124" i="6" s="1"/>
  <c r="AG122" i="6"/>
  <c r="AH122" i="6" s="1"/>
  <c r="AA122" i="6"/>
  <c r="AB122" i="6" s="1"/>
  <c r="T122" i="6"/>
  <c r="U122" i="6" s="1"/>
  <c r="AJ120" i="6"/>
  <c r="AK120" i="6" s="1"/>
  <c r="AD120" i="6"/>
  <c r="AE120" i="6" s="1"/>
  <c r="W120" i="6"/>
  <c r="X120" i="6" s="1"/>
  <c r="AG118" i="6"/>
  <c r="AH118" i="6" s="1"/>
  <c r="AA118" i="6"/>
  <c r="AB118" i="6" s="1"/>
  <c r="T118" i="6"/>
  <c r="U118" i="6" s="1"/>
  <c r="AJ116" i="6"/>
  <c r="AK116" i="6" s="1"/>
  <c r="AD116" i="6"/>
  <c r="AE116" i="6" s="1"/>
  <c r="W116" i="6"/>
  <c r="X116" i="6" s="1"/>
  <c r="AG114" i="6"/>
  <c r="AH114" i="6" s="1"/>
  <c r="T114" i="6"/>
  <c r="U114" i="6" s="1"/>
  <c r="AJ112" i="6"/>
  <c r="AK112" i="6" s="1"/>
  <c r="AD112" i="6"/>
  <c r="AE112" i="6" s="1"/>
  <c r="W112" i="6"/>
  <c r="X112" i="6" s="1"/>
  <c r="AG110" i="6"/>
  <c r="AH110" i="6" s="1"/>
  <c r="AA110" i="6"/>
  <c r="AB110" i="6" s="1"/>
  <c r="T110" i="6"/>
  <c r="U110" i="6" s="1"/>
  <c r="AJ108" i="6"/>
  <c r="AK108" i="6" s="1"/>
  <c r="AD108" i="6"/>
  <c r="AE108" i="6" s="1"/>
  <c r="W108" i="6"/>
  <c r="X108" i="6" s="1"/>
  <c r="AG106" i="6"/>
  <c r="AH106" i="6" s="1"/>
  <c r="AA106" i="6"/>
  <c r="AB106" i="6" s="1"/>
  <c r="T106" i="6"/>
  <c r="U106" i="6" s="1"/>
  <c r="AJ104" i="6"/>
  <c r="AK104" i="6" s="1"/>
  <c r="AD104" i="6"/>
  <c r="AE104" i="6" s="1"/>
  <c r="W104" i="6"/>
  <c r="X104" i="6" s="1"/>
  <c r="AG102" i="6"/>
  <c r="AH102" i="6" s="1"/>
  <c r="AA102" i="6"/>
  <c r="AB102" i="6" s="1"/>
  <c r="T102" i="6"/>
  <c r="U102" i="6" s="1"/>
  <c r="AJ100" i="6"/>
  <c r="AK100" i="6" s="1"/>
  <c r="AD100" i="6"/>
  <c r="AE100" i="6" s="1"/>
  <c r="W100" i="6"/>
  <c r="X100" i="6" s="1"/>
  <c r="AG98" i="6"/>
  <c r="AH98" i="6" s="1"/>
  <c r="AA98" i="6"/>
  <c r="AB98" i="6" s="1"/>
  <c r="T98" i="6"/>
  <c r="U98" i="6" s="1"/>
  <c r="AJ96" i="6"/>
  <c r="AK96" i="6" s="1"/>
  <c r="AD96" i="6"/>
  <c r="AE96" i="6" s="1"/>
  <c r="W96" i="6"/>
  <c r="X96" i="6" s="1"/>
  <c r="AG94" i="6"/>
  <c r="AH94" i="6" s="1"/>
  <c r="T94" i="6"/>
  <c r="U94" i="6" s="1"/>
  <c r="AJ92" i="6"/>
  <c r="AK92" i="6" s="1"/>
  <c r="AD92" i="6"/>
  <c r="AE92" i="6" s="1"/>
  <c r="W92" i="6"/>
  <c r="X92" i="6" s="1"/>
  <c r="AG90" i="6"/>
  <c r="AH90" i="6" s="1"/>
  <c r="AA90" i="6"/>
  <c r="AB90" i="6" s="1"/>
  <c r="T90" i="6"/>
  <c r="U90" i="6" s="1"/>
  <c r="AJ88" i="6"/>
  <c r="AK88" i="6" s="1"/>
  <c r="AD88" i="6"/>
  <c r="AE88" i="6" s="1"/>
  <c r="W88" i="6"/>
  <c r="X88" i="6" s="1"/>
  <c r="AG86" i="6"/>
  <c r="AH86" i="6" s="1"/>
  <c r="T86" i="6"/>
  <c r="U86" i="6" s="1"/>
  <c r="T262" i="6"/>
  <c r="U262" i="6" s="1"/>
  <c r="AD248" i="6"/>
  <c r="AE248" i="6" s="1"/>
  <c r="AA236" i="6"/>
  <c r="AB236" i="6" s="1"/>
  <c r="AD235" i="6"/>
  <c r="AE235" i="6" s="1"/>
  <c r="W230" i="6"/>
  <c r="X230" i="6" s="1"/>
  <c r="T229" i="6"/>
  <c r="U229" i="6" s="1"/>
  <c r="AD226" i="6"/>
  <c r="AE226" i="6" s="1"/>
  <c r="T224" i="6"/>
  <c r="U224" i="6" s="1"/>
  <c r="AJ223" i="6"/>
  <c r="AK223" i="6" s="1"/>
  <c r="AA220" i="6"/>
  <c r="AB220" i="6" s="1"/>
  <c r="AA217" i="6"/>
  <c r="AB217" i="6" s="1"/>
  <c r="AJ214" i="6"/>
  <c r="AK214" i="6" s="1"/>
  <c r="AG213" i="6"/>
  <c r="AH213" i="6" s="1"/>
  <c r="AG208" i="6"/>
  <c r="AH208" i="6" s="1"/>
  <c r="W207" i="6"/>
  <c r="X207" i="6" s="1"/>
  <c r="AG204" i="6"/>
  <c r="AH204" i="6" s="1"/>
  <c r="AD203" i="6"/>
  <c r="AE203" i="6" s="1"/>
  <c r="AA201" i="6"/>
  <c r="AB201" i="6" s="1"/>
  <c r="AD200" i="6"/>
  <c r="AE200" i="6" s="1"/>
  <c r="AJ195" i="6"/>
  <c r="AK195" i="6" s="1"/>
  <c r="W195" i="6"/>
  <c r="X195" i="6" s="1"/>
  <c r="AG194" i="6"/>
  <c r="AH194" i="6" s="1"/>
  <c r="T194" i="6"/>
  <c r="U194" i="6" s="1"/>
  <c r="AG193" i="6"/>
  <c r="AH193" i="6" s="1"/>
  <c r="AJ192" i="6"/>
  <c r="AK192" i="6" s="1"/>
  <c r="W192" i="6"/>
  <c r="X192" i="6" s="1"/>
  <c r="AD187" i="6"/>
  <c r="AE187" i="6" s="1"/>
  <c r="AA186" i="6"/>
  <c r="AB186" i="6" s="1"/>
  <c r="AD184" i="6"/>
  <c r="AE184" i="6" s="1"/>
  <c r="AJ179" i="6"/>
  <c r="AK179" i="6" s="1"/>
  <c r="W179" i="6"/>
  <c r="X179" i="6" s="1"/>
  <c r="AG178" i="6"/>
  <c r="AH178" i="6" s="1"/>
  <c r="T178" i="6"/>
  <c r="U178" i="6" s="1"/>
  <c r="AG177" i="6"/>
  <c r="AH177" i="6" s="1"/>
  <c r="AJ176" i="6"/>
  <c r="AK176" i="6" s="1"/>
  <c r="W176" i="6"/>
  <c r="X176" i="6" s="1"/>
  <c r="AD171" i="6"/>
  <c r="AE171" i="6" s="1"/>
  <c r="AA170" i="6"/>
  <c r="AB170" i="6" s="1"/>
  <c r="AJ167" i="6"/>
  <c r="AK167" i="6" s="1"/>
  <c r="W167" i="6"/>
  <c r="X167" i="6" s="1"/>
  <c r="AG166" i="6"/>
  <c r="AH166" i="6" s="1"/>
  <c r="T166" i="6"/>
  <c r="U166" i="6" s="1"/>
  <c r="AD163" i="6"/>
  <c r="AE163" i="6" s="1"/>
  <c r="AA162" i="6"/>
  <c r="AB162" i="6" s="1"/>
  <c r="AJ159" i="6"/>
  <c r="AK159" i="6" s="1"/>
  <c r="W159" i="6"/>
  <c r="X159" i="6" s="1"/>
  <c r="AG158" i="6"/>
  <c r="AH158" i="6" s="1"/>
  <c r="T158" i="6"/>
  <c r="U158" i="6" s="1"/>
  <c r="AD155" i="6"/>
  <c r="AE155" i="6" s="1"/>
  <c r="AJ151" i="6"/>
  <c r="AK151" i="6" s="1"/>
  <c r="W151" i="6"/>
  <c r="X151" i="6" s="1"/>
  <c r="AG150" i="6"/>
  <c r="AH150" i="6" s="1"/>
  <c r="T150" i="6"/>
  <c r="U150" i="6" s="1"/>
  <c r="AD147" i="6"/>
  <c r="AE147" i="6" s="1"/>
  <c r="AA146" i="6"/>
  <c r="AB146" i="6" s="1"/>
  <c r="AJ143" i="6"/>
  <c r="AK143" i="6" s="1"/>
  <c r="W143" i="6"/>
  <c r="X143" i="6" s="1"/>
  <c r="AG142" i="6"/>
  <c r="AH142" i="6" s="1"/>
  <c r="T142" i="6"/>
  <c r="U142" i="6" s="1"/>
  <c r="AD139" i="6"/>
  <c r="AE139" i="6" s="1"/>
  <c r="AA138" i="6"/>
  <c r="AB138" i="6" s="1"/>
  <c r="AJ135" i="6"/>
  <c r="AK135" i="6" s="1"/>
  <c r="W135" i="6"/>
  <c r="X135" i="6" s="1"/>
  <c r="AG134" i="6"/>
  <c r="AH134" i="6" s="1"/>
  <c r="T134" i="6"/>
  <c r="U134" i="6" s="1"/>
  <c r="AD131" i="6"/>
  <c r="AE131" i="6" s="1"/>
  <c r="AA130" i="6"/>
  <c r="AB130" i="6" s="1"/>
  <c r="AD127" i="6"/>
  <c r="AE127" i="6" s="1"/>
  <c r="AJ125" i="6"/>
  <c r="AK125" i="6" s="1"/>
  <c r="AD125" i="6"/>
  <c r="AE125" i="6" s="1"/>
  <c r="W125" i="6"/>
  <c r="X125" i="6" s="1"/>
  <c r="AG123" i="6"/>
  <c r="AH123" i="6" s="1"/>
  <c r="AA123" i="6"/>
  <c r="AB123" i="6" s="1"/>
  <c r="AJ121" i="6"/>
  <c r="AK121" i="6" s="1"/>
  <c r="AD121" i="6"/>
  <c r="AE121" i="6" s="1"/>
  <c r="W121" i="6"/>
  <c r="X121" i="6" s="1"/>
  <c r="AG119" i="6"/>
  <c r="AH119" i="6" s="1"/>
  <c r="AA119" i="6"/>
  <c r="AB119" i="6" s="1"/>
  <c r="AJ117" i="6"/>
  <c r="AK117" i="6" s="1"/>
  <c r="AD117" i="6"/>
  <c r="AE117" i="6" s="1"/>
  <c r="W117" i="6"/>
  <c r="X117" i="6" s="1"/>
  <c r="AG115" i="6"/>
  <c r="AH115" i="6" s="1"/>
  <c r="AA115" i="6"/>
  <c r="AB115" i="6" s="1"/>
  <c r="AJ113" i="6"/>
  <c r="AK113" i="6" s="1"/>
  <c r="AD113" i="6"/>
  <c r="AE113" i="6" s="1"/>
  <c r="W113" i="6"/>
  <c r="X113" i="6" s="1"/>
  <c r="AG111" i="6"/>
  <c r="AH111" i="6" s="1"/>
  <c r="AA111" i="6"/>
  <c r="AB111" i="6" s="1"/>
  <c r="AJ109" i="6"/>
  <c r="AK109" i="6" s="1"/>
  <c r="AD109" i="6"/>
  <c r="AE109" i="6" s="1"/>
  <c r="W109" i="6"/>
  <c r="X109" i="6" s="1"/>
  <c r="AG107" i="6"/>
  <c r="AH107" i="6" s="1"/>
  <c r="AA107" i="6"/>
  <c r="AB107" i="6" s="1"/>
  <c r="AJ105" i="6"/>
  <c r="AK105" i="6" s="1"/>
  <c r="AD105" i="6"/>
  <c r="AE105" i="6" s="1"/>
  <c r="W105" i="6"/>
  <c r="X105" i="6" s="1"/>
  <c r="AG103" i="6"/>
  <c r="AH103" i="6" s="1"/>
  <c r="AA103" i="6"/>
  <c r="AB103" i="6" s="1"/>
  <c r="AJ101" i="6"/>
  <c r="AK101" i="6" s="1"/>
  <c r="AD101" i="6"/>
  <c r="AE101" i="6" s="1"/>
  <c r="W101" i="6"/>
  <c r="X101" i="6" s="1"/>
  <c r="AG99" i="6"/>
  <c r="AH99" i="6" s="1"/>
  <c r="AA99" i="6"/>
  <c r="AB99" i="6" s="1"/>
  <c r="AJ97" i="6"/>
  <c r="AK97" i="6" s="1"/>
  <c r="AD97" i="6"/>
  <c r="AE97" i="6" s="1"/>
  <c r="W97" i="6"/>
  <c r="X97" i="6" s="1"/>
  <c r="AG95" i="6"/>
  <c r="AH95" i="6" s="1"/>
  <c r="AJ93" i="6"/>
  <c r="AK93" i="6" s="1"/>
  <c r="AD93" i="6"/>
  <c r="AE93" i="6" s="1"/>
  <c r="W93" i="6"/>
  <c r="X93" i="6" s="1"/>
  <c r="AG91" i="6"/>
  <c r="AH91" i="6" s="1"/>
  <c r="AJ89" i="6"/>
  <c r="AK89" i="6" s="1"/>
  <c r="AD89" i="6"/>
  <c r="AE89" i="6" s="1"/>
  <c r="W89" i="6"/>
  <c r="X89" i="6" s="1"/>
  <c r="AG87" i="6"/>
  <c r="AH87" i="6" s="1"/>
  <c r="AA87" i="6"/>
  <c r="AB87" i="6" s="1"/>
  <c r="AJ85" i="6"/>
  <c r="AK85" i="6" s="1"/>
  <c r="AD85" i="6"/>
  <c r="AE85" i="6" s="1"/>
  <c r="W85" i="6"/>
  <c r="X85" i="6" s="1"/>
  <c r="AG83" i="6"/>
  <c r="AH83" i="6" s="1"/>
  <c r="AJ81" i="6"/>
  <c r="AK81" i="6" s="1"/>
  <c r="AD81" i="6"/>
  <c r="AE81" i="6" s="1"/>
  <c r="W81" i="6"/>
  <c r="X81" i="6" s="1"/>
  <c r="AG79" i="6"/>
  <c r="AH79" i="6" s="1"/>
  <c r="AA79" i="6"/>
  <c r="AB79" i="6" s="1"/>
  <c r="AJ77" i="6"/>
  <c r="AK77" i="6" s="1"/>
  <c r="AD77" i="6"/>
  <c r="AE77" i="6" s="1"/>
  <c r="W77" i="6"/>
  <c r="X77" i="6" s="1"/>
  <c r="AH9" i="6"/>
  <c r="N371" i="6"/>
  <c r="W10" i="6"/>
  <c r="AD10" i="6"/>
  <c r="AJ10" i="6"/>
  <c r="AP371" i="6"/>
  <c r="T12" i="6"/>
  <c r="U12" i="6" s="1"/>
  <c r="AG12" i="6"/>
  <c r="AH12" i="6" s="1"/>
  <c r="AN12" i="6"/>
  <c r="AO12" i="6" s="1"/>
  <c r="W14" i="6"/>
  <c r="X14" i="6" s="1"/>
  <c r="AD14" i="6"/>
  <c r="AE14" i="6" s="1"/>
  <c r="AJ14" i="6"/>
  <c r="AK14" i="6" s="1"/>
  <c r="C370" i="6"/>
  <c r="G370" i="6"/>
  <c r="S370" i="6"/>
  <c r="AE15" i="6"/>
  <c r="AX370" i="6"/>
  <c r="T16" i="6"/>
  <c r="U16" i="6" s="1"/>
  <c r="AA16" i="6"/>
  <c r="AB16" i="6" s="1"/>
  <c r="AG16" i="6"/>
  <c r="AH16" i="6" s="1"/>
  <c r="AN16" i="6"/>
  <c r="AO16" i="6" s="1"/>
  <c r="W18" i="6"/>
  <c r="X18" i="6" s="1"/>
  <c r="AD18" i="6"/>
  <c r="AE18" i="6" s="1"/>
  <c r="AJ18" i="6"/>
  <c r="AK18" i="6" s="1"/>
  <c r="T20" i="6"/>
  <c r="U20" i="6" s="1"/>
  <c r="AA20" i="6"/>
  <c r="AB20" i="6" s="1"/>
  <c r="AG20" i="6"/>
  <c r="AH20" i="6" s="1"/>
  <c r="AN20" i="6"/>
  <c r="AO20" i="6" s="1"/>
  <c r="W22" i="6"/>
  <c r="X22" i="6" s="1"/>
  <c r="AD22" i="6"/>
  <c r="AE22" i="6" s="1"/>
  <c r="AJ22" i="6"/>
  <c r="AK22" i="6" s="1"/>
  <c r="T24" i="6"/>
  <c r="U24" i="6" s="1"/>
  <c r="AA24" i="6"/>
  <c r="AB24" i="6" s="1"/>
  <c r="AG24" i="6"/>
  <c r="AH24" i="6" s="1"/>
  <c r="AN24" i="6"/>
  <c r="AO24" i="6" s="1"/>
  <c r="W26" i="6"/>
  <c r="X26" i="6" s="1"/>
  <c r="AD26" i="6"/>
  <c r="AE26" i="6" s="1"/>
  <c r="AJ26" i="6"/>
  <c r="AK26" i="6" s="1"/>
  <c r="T28" i="6"/>
  <c r="U28" i="6" s="1"/>
  <c r="AA28" i="6"/>
  <c r="AB28" i="6" s="1"/>
  <c r="AG28" i="6"/>
  <c r="AH28" i="6" s="1"/>
  <c r="AN28" i="6"/>
  <c r="AO28" i="6" s="1"/>
  <c r="W30" i="6"/>
  <c r="X30" i="6" s="1"/>
  <c r="AD30" i="6"/>
  <c r="AE30" i="6" s="1"/>
  <c r="AJ30" i="6"/>
  <c r="AK30" i="6" s="1"/>
  <c r="T32" i="6"/>
  <c r="U32" i="6" s="1"/>
  <c r="AA32" i="6"/>
  <c r="AB32" i="6" s="1"/>
  <c r="AG32" i="6"/>
  <c r="AH32" i="6" s="1"/>
  <c r="AN32" i="6"/>
  <c r="AO32" i="6" s="1"/>
  <c r="W34" i="6"/>
  <c r="X34" i="6" s="1"/>
  <c r="AD34" i="6"/>
  <c r="AE34" i="6" s="1"/>
  <c r="AJ34" i="6"/>
  <c r="AK34" i="6" s="1"/>
  <c r="T36" i="6"/>
  <c r="U36" i="6" s="1"/>
  <c r="AA36" i="6"/>
  <c r="AB36" i="6" s="1"/>
  <c r="AG36" i="6"/>
  <c r="AH36" i="6" s="1"/>
  <c r="AN36" i="6"/>
  <c r="AO36" i="6" s="1"/>
  <c r="W38" i="6"/>
  <c r="X38" i="6" s="1"/>
  <c r="AD38" i="6"/>
  <c r="AE38" i="6" s="1"/>
  <c r="AJ38" i="6"/>
  <c r="AK38" i="6" s="1"/>
  <c r="T40" i="6"/>
  <c r="U40" i="6" s="1"/>
  <c r="AA40" i="6"/>
  <c r="AB40" i="6" s="1"/>
  <c r="AG40" i="6"/>
  <c r="AH40" i="6" s="1"/>
  <c r="AN40" i="6"/>
  <c r="AO40" i="6" s="1"/>
  <c r="W42" i="6"/>
  <c r="X42" i="6" s="1"/>
  <c r="AD42" i="6"/>
  <c r="AE42" i="6" s="1"/>
  <c r="AJ42" i="6"/>
  <c r="AK42" i="6" s="1"/>
  <c r="T44" i="6"/>
  <c r="U44" i="6" s="1"/>
  <c r="AG44" i="6"/>
  <c r="AH44" i="6" s="1"/>
  <c r="AN44" i="6"/>
  <c r="AO44" i="6" s="1"/>
  <c r="W46" i="6"/>
  <c r="X46" i="6" s="1"/>
  <c r="AD46" i="6"/>
  <c r="AE46" i="6" s="1"/>
  <c r="AJ46" i="6"/>
  <c r="AK46" i="6" s="1"/>
  <c r="T48" i="6"/>
  <c r="U48" i="6" s="1"/>
  <c r="AA48" i="6"/>
  <c r="AB48" i="6" s="1"/>
  <c r="AG48" i="6"/>
  <c r="AH48" i="6" s="1"/>
  <c r="AN48" i="6"/>
  <c r="AO48" i="6" s="1"/>
  <c r="W50" i="6"/>
  <c r="X50" i="6" s="1"/>
  <c r="AD50" i="6"/>
  <c r="AE50" i="6" s="1"/>
  <c r="AJ50" i="6"/>
  <c r="AK50" i="6" s="1"/>
  <c r="T52" i="6"/>
  <c r="U52" i="6" s="1"/>
  <c r="AA52" i="6"/>
  <c r="AB52" i="6" s="1"/>
  <c r="AG52" i="6"/>
  <c r="AH52" i="6" s="1"/>
  <c r="AN52" i="6"/>
  <c r="AO52" i="6" s="1"/>
  <c r="W54" i="6"/>
  <c r="X54" i="6" s="1"/>
  <c r="AD54" i="6"/>
  <c r="AE54" i="6" s="1"/>
  <c r="AJ54" i="6"/>
  <c r="AK54" i="6" s="1"/>
  <c r="T56" i="6"/>
  <c r="U56" i="6" s="1"/>
  <c r="AA56" i="6"/>
  <c r="AB56" i="6" s="1"/>
  <c r="AG56" i="6"/>
  <c r="AH56" i="6" s="1"/>
  <c r="AN56" i="6"/>
  <c r="AO56" i="6" s="1"/>
  <c r="W58" i="6"/>
  <c r="X58" i="6" s="1"/>
  <c r="AD58" i="6"/>
  <c r="AE58" i="6" s="1"/>
  <c r="AJ58" i="6"/>
  <c r="AK58" i="6" s="1"/>
  <c r="T60" i="6"/>
  <c r="U60" i="6" s="1"/>
  <c r="AA60" i="6"/>
  <c r="AB60" i="6" s="1"/>
  <c r="AG60" i="6"/>
  <c r="AH60" i="6" s="1"/>
  <c r="AN60" i="6"/>
  <c r="AO60" i="6" s="1"/>
  <c r="W62" i="6"/>
  <c r="X62" i="6" s="1"/>
  <c r="AD62" i="6"/>
  <c r="AE62" i="6" s="1"/>
  <c r="AJ62" i="6"/>
  <c r="AK62" i="6" s="1"/>
  <c r="T64" i="6"/>
  <c r="U64" i="6" s="1"/>
  <c r="AA64" i="6"/>
  <c r="AB64" i="6" s="1"/>
  <c r="AG64" i="6"/>
  <c r="AH64" i="6" s="1"/>
  <c r="AN64" i="6"/>
  <c r="AO64" i="6" s="1"/>
  <c r="W66" i="6"/>
  <c r="X66" i="6" s="1"/>
  <c r="AD66" i="6"/>
  <c r="AE66" i="6" s="1"/>
  <c r="AJ66" i="6"/>
  <c r="AK66" i="6" s="1"/>
  <c r="T68" i="6"/>
  <c r="U68" i="6" s="1"/>
  <c r="AA68" i="6"/>
  <c r="AB68" i="6" s="1"/>
  <c r="AG68" i="6"/>
  <c r="AH68" i="6" s="1"/>
  <c r="AN68" i="6"/>
  <c r="AO68" i="6" s="1"/>
  <c r="W70" i="6"/>
  <c r="X70" i="6" s="1"/>
  <c r="AD70" i="6"/>
  <c r="AE70" i="6" s="1"/>
  <c r="AJ70" i="6"/>
  <c r="AK70" i="6" s="1"/>
  <c r="T72" i="6"/>
  <c r="U72" i="6" s="1"/>
  <c r="AG72" i="6"/>
  <c r="AH72" i="6" s="1"/>
  <c r="AN72" i="6"/>
  <c r="AO72" i="6" s="1"/>
  <c r="W74" i="6"/>
  <c r="X74" i="6" s="1"/>
  <c r="AD74" i="6"/>
  <c r="AE74" i="6" s="1"/>
  <c r="AJ74" i="6"/>
  <c r="AK74" i="6" s="1"/>
  <c r="T76" i="6"/>
  <c r="U76" i="6" s="1"/>
  <c r="AA76" i="6"/>
  <c r="AB76" i="6" s="1"/>
  <c r="AG76" i="6"/>
  <c r="AH76" i="6" s="1"/>
  <c r="T77" i="6"/>
  <c r="U77" i="6" s="1"/>
  <c r="W78" i="6"/>
  <c r="X78" i="6" s="1"/>
  <c r="AJ78" i="6"/>
  <c r="AK78" i="6" s="1"/>
  <c r="U79" i="6"/>
  <c r="AA80" i="6"/>
  <c r="AB80" i="6" s="1"/>
  <c r="AN80" i="6"/>
  <c r="AO80" i="6" s="1"/>
  <c r="AD82" i="6"/>
  <c r="AE82" i="6" s="1"/>
  <c r="T84" i="6"/>
  <c r="U84" i="6" s="1"/>
  <c r="AG84" i="6"/>
  <c r="AH84" i="6" s="1"/>
  <c r="AD86" i="6"/>
  <c r="AE86" i="6" s="1"/>
  <c r="T88" i="6"/>
  <c r="U88" i="6" s="1"/>
  <c r="AD90" i="6"/>
  <c r="AE90" i="6" s="1"/>
  <c r="T92" i="6"/>
  <c r="U92" i="6" s="1"/>
  <c r="AD94" i="6"/>
  <c r="AE94" i="6" s="1"/>
  <c r="T96" i="6"/>
  <c r="U96" i="6" s="1"/>
  <c r="AD98" i="6"/>
  <c r="AE98" i="6" s="1"/>
  <c r="T100" i="6"/>
  <c r="U100" i="6" s="1"/>
  <c r="AD102" i="6"/>
  <c r="AE102" i="6" s="1"/>
  <c r="T104" i="6"/>
  <c r="U104" i="6" s="1"/>
  <c r="AD106" i="6"/>
  <c r="AE106" i="6" s="1"/>
  <c r="T108" i="6"/>
  <c r="U108" i="6" s="1"/>
  <c r="AD110" i="6"/>
  <c r="AE110" i="6" s="1"/>
  <c r="T112" i="6"/>
  <c r="U112" i="6" s="1"/>
  <c r="AD114" i="6"/>
  <c r="AE114" i="6" s="1"/>
  <c r="T116" i="6"/>
  <c r="U116" i="6" s="1"/>
  <c r="AD118" i="6"/>
  <c r="AE118" i="6" s="1"/>
  <c r="T120" i="6"/>
  <c r="U120" i="6" s="1"/>
  <c r="AD122" i="6"/>
  <c r="AE122" i="6" s="1"/>
  <c r="T124" i="6"/>
  <c r="U124" i="6" s="1"/>
  <c r="AG126" i="6"/>
  <c r="AH126" i="6" s="1"/>
  <c r="AG129" i="6"/>
  <c r="AH129" i="6" s="1"/>
  <c r="AJ136" i="6"/>
  <c r="AK136" i="6" s="1"/>
  <c r="AA141" i="6"/>
  <c r="AB141" i="6" s="1"/>
  <c r="AG145" i="6"/>
  <c r="AH145" i="6" s="1"/>
  <c r="AJ152" i="6"/>
  <c r="AK152" i="6" s="1"/>
  <c r="AG161" i="6"/>
  <c r="AH161" i="6" s="1"/>
  <c r="AJ168" i="6"/>
  <c r="AK168" i="6" s="1"/>
  <c r="AA173" i="6"/>
  <c r="AB173" i="6" s="1"/>
  <c r="T175" i="6"/>
  <c r="U175" i="6" s="1"/>
  <c r="AJ180" i="6"/>
  <c r="AK180" i="6" s="1"/>
  <c r="AJ183" i="6"/>
  <c r="AK183" i="6" s="1"/>
  <c r="AN190" i="6"/>
  <c r="AO190" i="6" s="1"/>
  <c r="T192" i="6"/>
  <c r="U192" i="6" s="1"/>
  <c r="AG197" i="6"/>
  <c r="AH197" i="6" s="1"/>
  <c r="T198" i="6"/>
  <c r="U198" i="6" s="1"/>
  <c r="AG216" i="6"/>
  <c r="AH216" i="6" s="1"/>
  <c r="AJ231" i="6"/>
  <c r="AK231" i="6" s="1"/>
  <c r="T235" i="6"/>
  <c r="U235" i="6" s="1"/>
  <c r="T95" i="6"/>
  <c r="U95" i="6" s="1"/>
  <c r="T115" i="6"/>
  <c r="U115" i="6" s="1"/>
  <c r="AN364" i="6"/>
  <c r="AO364" i="6" s="1"/>
  <c r="AN365" i="6"/>
  <c r="AO365" i="6" s="1"/>
  <c r="AN359" i="6"/>
  <c r="AO359" i="6" s="1"/>
  <c r="AN355" i="6"/>
  <c r="AO355" i="6" s="1"/>
  <c r="AN357" i="6"/>
  <c r="AO357" i="6" s="1"/>
  <c r="AN356" i="6"/>
  <c r="AO356" i="6" s="1"/>
  <c r="AN353" i="6"/>
  <c r="AO353" i="6" s="1"/>
  <c r="AN349" i="6"/>
  <c r="AO349" i="6" s="1"/>
  <c r="AN345" i="6"/>
  <c r="AO345" i="6" s="1"/>
  <c r="AN341" i="6"/>
  <c r="AO341" i="6" s="1"/>
  <c r="AN362" i="6"/>
  <c r="AO362" i="6" s="1"/>
  <c r="AN367" i="6"/>
  <c r="AO367" i="6" s="1"/>
  <c r="AN360" i="6"/>
  <c r="AO360" i="6" s="1"/>
  <c r="AN358" i="6"/>
  <c r="AO358" i="6" s="1"/>
  <c r="AN352" i="6"/>
  <c r="AO352" i="6" s="1"/>
  <c r="AN343" i="6"/>
  <c r="AO343" i="6" s="1"/>
  <c r="AN342" i="6"/>
  <c r="AO342" i="6" s="1"/>
  <c r="AN338" i="6"/>
  <c r="AO338" i="6" s="1"/>
  <c r="AN334" i="6"/>
  <c r="AO334" i="6" s="1"/>
  <c r="AN348" i="6"/>
  <c r="AO348" i="6" s="1"/>
  <c r="AN347" i="6"/>
  <c r="AO347" i="6" s="1"/>
  <c r="AN344" i="6"/>
  <c r="AO344" i="6" s="1"/>
  <c r="AN340" i="6"/>
  <c r="AO340" i="6" s="1"/>
  <c r="AN339" i="6"/>
  <c r="AO339" i="6" s="1"/>
  <c r="AN337" i="6"/>
  <c r="AO337" i="6" s="1"/>
  <c r="AN331" i="6"/>
  <c r="AO331" i="6" s="1"/>
  <c r="AN327" i="6"/>
  <c r="AO327" i="6" s="1"/>
  <c r="AN323" i="6"/>
  <c r="AO323" i="6" s="1"/>
  <c r="AN363" i="6"/>
  <c r="AO363" i="6" s="1"/>
  <c r="AN351" i="6"/>
  <c r="AO351" i="6" s="1"/>
  <c r="AN350" i="6"/>
  <c r="AO350" i="6" s="1"/>
  <c r="AN333" i="6"/>
  <c r="AO333" i="6" s="1"/>
  <c r="AN328" i="6"/>
  <c r="AO328" i="6" s="1"/>
  <c r="AN324" i="6"/>
  <c r="AO324" i="6" s="1"/>
  <c r="AN320" i="6"/>
  <c r="AO320" i="6" s="1"/>
  <c r="AN316" i="6"/>
  <c r="AO316" i="6" s="1"/>
  <c r="AN312" i="6"/>
  <c r="AO312" i="6" s="1"/>
  <c r="AN346" i="6"/>
  <c r="AO346" i="6" s="1"/>
  <c r="AN322" i="6"/>
  <c r="AO322" i="6" s="1"/>
  <c r="AN321" i="6"/>
  <c r="AO321" i="6" s="1"/>
  <c r="AN315" i="6"/>
  <c r="AO315" i="6" s="1"/>
  <c r="AN311" i="6"/>
  <c r="AO311" i="6" s="1"/>
  <c r="AN307" i="6"/>
  <c r="AO307" i="6" s="1"/>
  <c r="AN303" i="6"/>
  <c r="AO303" i="6" s="1"/>
  <c r="AN299" i="6"/>
  <c r="AO299" i="6" s="1"/>
  <c r="AN295" i="6"/>
  <c r="AO295" i="6" s="1"/>
  <c r="AN291" i="6"/>
  <c r="AO291" i="6" s="1"/>
  <c r="AN287" i="6"/>
  <c r="AO287" i="6" s="1"/>
  <c r="AN283" i="6"/>
  <c r="AO283" i="6" s="1"/>
  <c r="AN361" i="6"/>
  <c r="AO361" i="6" s="1"/>
  <c r="AN335" i="6"/>
  <c r="AO335" i="6" s="1"/>
  <c r="AN332" i="6"/>
  <c r="AO332" i="6" s="1"/>
  <c r="AN326" i="6"/>
  <c r="AO326" i="6" s="1"/>
  <c r="AN325" i="6"/>
  <c r="AO325" i="6" s="1"/>
  <c r="AN318" i="6"/>
  <c r="AO318" i="6" s="1"/>
  <c r="AN317" i="6"/>
  <c r="AO317" i="6" s="1"/>
  <c r="AN308" i="6"/>
  <c r="AO308" i="6" s="1"/>
  <c r="AN366" i="6"/>
  <c r="AO366" i="6" s="1"/>
  <c r="AN336" i="6"/>
  <c r="AO336" i="6" s="1"/>
  <c r="AN330" i="6"/>
  <c r="AO330" i="6" s="1"/>
  <c r="AN329" i="6"/>
  <c r="AO329" i="6" s="1"/>
  <c r="AN314" i="6"/>
  <c r="AO314" i="6" s="1"/>
  <c r="AN313" i="6"/>
  <c r="AO313" i="6" s="1"/>
  <c r="AN354" i="6"/>
  <c r="AO354" i="6" s="1"/>
  <c r="AN319" i="6"/>
  <c r="AO319" i="6" s="1"/>
  <c r="AN306" i="6"/>
  <c r="AO306" i="6" s="1"/>
  <c r="AN302" i="6"/>
  <c r="AO302" i="6" s="1"/>
  <c r="AN293" i="6"/>
  <c r="AO293" i="6" s="1"/>
  <c r="AN292" i="6"/>
  <c r="AO292" i="6" s="1"/>
  <c r="AN286" i="6"/>
  <c r="AO286" i="6" s="1"/>
  <c r="AN310" i="6"/>
  <c r="AO310" i="6" s="1"/>
  <c r="AN309" i="6"/>
  <c r="AO309" i="6" s="1"/>
  <c r="AN305" i="6"/>
  <c r="AO305" i="6" s="1"/>
  <c r="AN304" i="6"/>
  <c r="AO304" i="6" s="1"/>
  <c r="AN298" i="6"/>
  <c r="AO298" i="6" s="1"/>
  <c r="AN289" i="6"/>
  <c r="AO289" i="6" s="1"/>
  <c r="AN288" i="6"/>
  <c r="AO288" i="6" s="1"/>
  <c r="AN301" i="6"/>
  <c r="AO301" i="6" s="1"/>
  <c r="AN300" i="6"/>
  <c r="AO300" i="6" s="1"/>
  <c r="AN294" i="6"/>
  <c r="AO294" i="6" s="1"/>
  <c r="AN285" i="6"/>
  <c r="AO285" i="6" s="1"/>
  <c r="AN279" i="6"/>
  <c r="AO279" i="6" s="1"/>
  <c r="AN275" i="6"/>
  <c r="AO275" i="6" s="1"/>
  <c r="AN271" i="6"/>
  <c r="AO271" i="6" s="1"/>
  <c r="AN267" i="6"/>
  <c r="AO267" i="6" s="1"/>
  <c r="AN263" i="6"/>
  <c r="AO263" i="6" s="1"/>
  <c r="AN259" i="6"/>
  <c r="AO259" i="6" s="1"/>
  <c r="AN255" i="6"/>
  <c r="AO255" i="6" s="1"/>
  <c r="AN251" i="6"/>
  <c r="AO251" i="6" s="1"/>
  <c r="AN247" i="6"/>
  <c r="AO247" i="6" s="1"/>
  <c r="AN243" i="6"/>
  <c r="AO243" i="6" s="1"/>
  <c r="AN297" i="6"/>
  <c r="AO297" i="6" s="1"/>
  <c r="AN290" i="6"/>
  <c r="AO290" i="6" s="1"/>
  <c r="AN282" i="6"/>
  <c r="AO282" i="6" s="1"/>
  <c r="AN276" i="6"/>
  <c r="AO276" i="6" s="1"/>
  <c r="AN272" i="6"/>
  <c r="AO272" i="6" s="1"/>
  <c r="AN268" i="6"/>
  <c r="AO268" i="6" s="1"/>
  <c r="AN264" i="6"/>
  <c r="AO264" i="6" s="1"/>
  <c r="AN260" i="6"/>
  <c r="AO260" i="6" s="1"/>
  <c r="AN256" i="6"/>
  <c r="AO256" i="6" s="1"/>
  <c r="AN252" i="6"/>
  <c r="AO252" i="6" s="1"/>
  <c r="AN248" i="6"/>
  <c r="AO248" i="6" s="1"/>
  <c r="AN244" i="6"/>
  <c r="AO244" i="6" s="1"/>
  <c r="AN296" i="6"/>
  <c r="AO296" i="6" s="1"/>
  <c r="AN284" i="6"/>
  <c r="AO284" i="6" s="1"/>
  <c r="AN277" i="6"/>
  <c r="AO277" i="6" s="1"/>
  <c r="AN273" i="6"/>
  <c r="AO273" i="6" s="1"/>
  <c r="AN269" i="6"/>
  <c r="AO269" i="6" s="1"/>
  <c r="AN265" i="6"/>
  <c r="AO265" i="6" s="1"/>
  <c r="AN261" i="6"/>
  <c r="AO261" i="6" s="1"/>
  <c r="AN257" i="6"/>
  <c r="AO257" i="6" s="1"/>
  <c r="AN253" i="6"/>
  <c r="AO253" i="6" s="1"/>
  <c r="AN249" i="6"/>
  <c r="AO249" i="6" s="1"/>
  <c r="AN245" i="6"/>
  <c r="AO245" i="6" s="1"/>
  <c r="AN241" i="6"/>
  <c r="AO241" i="6" s="1"/>
  <c r="AN278" i="6"/>
  <c r="AO278" i="6" s="1"/>
  <c r="AN274" i="6"/>
  <c r="AO274" i="6" s="1"/>
  <c r="AN270" i="6"/>
  <c r="AO270" i="6" s="1"/>
  <c r="AN266" i="6"/>
  <c r="AO266" i="6" s="1"/>
  <c r="AN262" i="6"/>
  <c r="AO262" i="6" s="1"/>
  <c r="AN258" i="6"/>
  <c r="AO258" i="6" s="1"/>
  <c r="AN254" i="6"/>
  <c r="AO254" i="6" s="1"/>
  <c r="AN250" i="6"/>
  <c r="AO250" i="6" s="1"/>
  <c r="AN246" i="6"/>
  <c r="AO246" i="6" s="1"/>
  <c r="AN240" i="6"/>
  <c r="AO240" i="6" s="1"/>
  <c r="AN238" i="6"/>
  <c r="AO238" i="6" s="1"/>
  <c r="AN234" i="6"/>
  <c r="AO234" i="6" s="1"/>
  <c r="AN230" i="6"/>
  <c r="AO230" i="6" s="1"/>
  <c r="AN226" i="6"/>
  <c r="AO226" i="6" s="1"/>
  <c r="AN222" i="6"/>
  <c r="AO222" i="6" s="1"/>
  <c r="AN218" i="6"/>
  <c r="AO218" i="6" s="1"/>
  <c r="AN214" i="6"/>
  <c r="AO214" i="6" s="1"/>
  <c r="AN210" i="6"/>
  <c r="AO210" i="6" s="1"/>
  <c r="AN281" i="6"/>
  <c r="AO281" i="6" s="1"/>
  <c r="AN242" i="6"/>
  <c r="AO242" i="6" s="1"/>
  <c r="AN239" i="6"/>
  <c r="AO239" i="6" s="1"/>
  <c r="AN235" i="6"/>
  <c r="AO235" i="6" s="1"/>
  <c r="AN231" i="6"/>
  <c r="AO231" i="6" s="1"/>
  <c r="AN227" i="6"/>
  <c r="AO227" i="6" s="1"/>
  <c r="AN223" i="6"/>
  <c r="AO223" i="6" s="1"/>
  <c r="AN219" i="6"/>
  <c r="AO219" i="6" s="1"/>
  <c r="AN215" i="6"/>
  <c r="AO215" i="6" s="1"/>
  <c r="AN211" i="6"/>
  <c r="AO211" i="6" s="1"/>
  <c r="AN207" i="6"/>
  <c r="AO207" i="6" s="1"/>
  <c r="AN280" i="6"/>
  <c r="AO280" i="6" s="1"/>
  <c r="AN229" i="6"/>
  <c r="AO229" i="6" s="1"/>
  <c r="AN221" i="6"/>
  <c r="AO221" i="6" s="1"/>
  <c r="AN213" i="6"/>
  <c r="AO213" i="6" s="1"/>
  <c r="AN203" i="6"/>
  <c r="AO203" i="6" s="1"/>
  <c r="AN199" i="6"/>
  <c r="AO199" i="6" s="1"/>
  <c r="AN195" i="6"/>
  <c r="AO195" i="6" s="1"/>
  <c r="AN191" i="6"/>
  <c r="AO191" i="6" s="1"/>
  <c r="AN187" i="6"/>
  <c r="AO187" i="6" s="1"/>
  <c r="AN183" i="6"/>
  <c r="AO183" i="6" s="1"/>
  <c r="AN179" i="6"/>
  <c r="AO179" i="6" s="1"/>
  <c r="AN175" i="6"/>
  <c r="AO175" i="6" s="1"/>
  <c r="AN171" i="6"/>
  <c r="AO171" i="6" s="1"/>
  <c r="AN167" i="6"/>
  <c r="AO167" i="6" s="1"/>
  <c r="AN163" i="6"/>
  <c r="AO163" i="6" s="1"/>
  <c r="AN159" i="6"/>
  <c r="AO159" i="6" s="1"/>
  <c r="AN155" i="6"/>
  <c r="AO155" i="6" s="1"/>
  <c r="AN151" i="6"/>
  <c r="AO151" i="6" s="1"/>
  <c r="AN147" i="6"/>
  <c r="AO147" i="6" s="1"/>
  <c r="AN143" i="6"/>
  <c r="AO143" i="6" s="1"/>
  <c r="AN139" i="6"/>
  <c r="AO139" i="6" s="1"/>
  <c r="AN135" i="6"/>
  <c r="AO135" i="6" s="1"/>
  <c r="AN131" i="6"/>
  <c r="AO131" i="6" s="1"/>
  <c r="AN232" i="6"/>
  <c r="AO232" i="6" s="1"/>
  <c r="AN224" i="6"/>
  <c r="AO224" i="6" s="1"/>
  <c r="AN216" i="6"/>
  <c r="AO216" i="6" s="1"/>
  <c r="AN208" i="6"/>
  <c r="AO208" i="6" s="1"/>
  <c r="AN206" i="6"/>
  <c r="AO206" i="6" s="1"/>
  <c r="AN200" i="6"/>
  <c r="AO200" i="6" s="1"/>
  <c r="AN196" i="6"/>
  <c r="AO196" i="6" s="1"/>
  <c r="AN192" i="6"/>
  <c r="AO192" i="6" s="1"/>
  <c r="AN188" i="6"/>
  <c r="AO188" i="6" s="1"/>
  <c r="AN184" i="6"/>
  <c r="AO184" i="6" s="1"/>
  <c r="AN180" i="6"/>
  <c r="AO180" i="6" s="1"/>
  <c r="AN176" i="6"/>
  <c r="AO176" i="6" s="1"/>
  <c r="AN172" i="6"/>
  <c r="AO172" i="6" s="1"/>
  <c r="AN168" i="6"/>
  <c r="AO168" i="6" s="1"/>
  <c r="AN164" i="6"/>
  <c r="AO164" i="6" s="1"/>
  <c r="AN160" i="6"/>
  <c r="AO160" i="6" s="1"/>
  <c r="AN156" i="6"/>
  <c r="AO156" i="6" s="1"/>
  <c r="AN152" i="6"/>
  <c r="AO152" i="6" s="1"/>
  <c r="AN148" i="6"/>
  <c r="AO148" i="6" s="1"/>
  <c r="AN144" i="6"/>
  <c r="AO144" i="6" s="1"/>
  <c r="AN140" i="6"/>
  <c r="AO140" i="6" s="1"/>
  <c r="AN136" i="6"/>
  <c r="AO136" i="6" s="1"/>
  <c r="AN132" i="6"/>
  <c r="AO132" i="6" s="1"/>
  <c r="AN128" i="6"/>
  <c r="AO128" i="6" s="1"/>
  <c r="AN237" i="6"/>
  <c r="AO237" i="6" s="1"/>
  <c r="AN220" i="6"/>
  <c r="AO220" i="6" s="1"/>
  <c r="AN217" i="6"/>
  <c r="AO217" i="6" s="1"/>
  <c r="AN194" i="6"/>
  <c r="AO194" i="6" s="1"/>
  <c r="AN193" i="6"/>
  <c r="AO193" i="6" s="1"/>
  <c r="AN178" i="6"/>
  <c r="AO178" i="6" s="1"/>
  <c r="AN177" i="6"/>
  <c r="AO177" i="6" s="1"/>
  <c r="AN166" i="6"/>
  <c r="AO166" i="6" s="1"/>
  <c r="AN158" i="6"/>
  <c r="AO158" i="6" s="1"/>
  <c r="AN150" i="6"/>
  <c r="AO150" i="6" s="1"/>
  <c r="AN142" i="6"/>
  <c r="AO142" i="6" s="1"/>
  <c r="AN134" i="6"/>
  <c r="AO134" i="6" s="1"/>
  <c r="AN126" i="6"/>
  <c r="AO126" i="6" s="1"/>
  <c r="AN125" i="6"/>
  <c r="AO125" i="6" s="1"/>
  <c r="AN121" i="6"/>
  <c r="AO121" i="6" s="1"/>
  <c r="AN117" i="6"/>
  <c r="AO117" i="6" s="1"/>
  <c r="AN113" i="6"/>
  <c r="AO113" i="6" s="1"/>
  <c r="AN109" i="6"/>
  <c r="AO109" i="6" s="1"/>
  <c r="AN105" i="6"/>
  <c r="AO105" i="6" s="1"/>
  <c r="AN101" i="6"/>
  <c r="AO101" i="6" s="1"/>
  <c r="AN97" i="6"/>
  <c r="AO97" i="6" s="1"/>
  <c r="AN93" i="6"/>
  <c r="AO93" i="6" s="1"/>
  <c r="AN89" i="6"/>
  <c r="AO89" i="6" s="1"/>
  <c r="AN85" i="6"/>
  <c r="AO85" i="6" s="1"/>
  <c r="AN81" i="6"/>
  <c r="AO81" i="6" s="1"/>
  <c r="AN77" i="6"/>
  <c r="AO77" i="6" s="1"/>
  <c r="AN236" i="6"/>
  <c r="AO236" i="6" s="1"/>
  <c r="AN228" i="6"/>
  <c r="AO228" i="6" s="1"/>
  <c r="AN225" i="6"/>
  <c r="AO225" i="6" s="1"/>
  <c r="AN204" i="6"/>
  <c r="AO204" i="6" s="1"/>
  <c r="AN198" i="6"/>
  <c r="AO198" i="6" s="1"/>
  <c r="AN197" i="6"/>
  <c r="AO197" i="6" s="1"/>
  <c r="AN182" i="6"/>
  <c r="AO182" i="6" s="1"/>
  <c r="AN181" i="6"/>
  <c r="AO181" i="6" s="1"/>
  <c r="AN169" i="6"/>
  <c r="AO169" i="6" s="1"/>
  <c r="AN161" i="6"/>
  <c r="AO161" i="6" s="1"/>
  <c r="AN153" i="6"/>
  <c r="AO153" i="6" s="1"/>
  <c r="AN145" i="6"/>
  <c r="AO145" i="6" s="1"/>
  <c r="AN137" i="6"/>
  <c r="AO137" i="6" s="1"/>
  <c r="AN129" i="6"/>
  <c r="AO129" i="6" s="1"/>
  <c r="AN122" i="6"/>
  <c r="AO122" i="6" s="1"/>
  <c r="AN118" i="6"/>
  <c r="AO118" i="6" s="1"/>
  <c r="AN114" i="6"/>
  <c r="AO114" i="6" s="1"/>
  <c r="AN110" i="6"/>
  <c r="AO110" i="6" s="1"/>
  <c r="AN106" i="6"/>
  <c r="AO106" i="6" s="1"/>
  <c r="AN102" i="6"/>
  <c r="AO102" i="6" s="1"/>
  <c r="AN98" i="6"/>
  <c r="AO98" i="6" s="1"/>
  <c r="AN94" i="6"/>
  <c r="AO94" i="6" s="1"/>
  <c r="AN90" i="6"/>
  <c r="AO90" i="6" s="1"/>
  <c r="AN86" i="6"/>
  <c r="AO86" i="6" s="1"/>
  <c r="AN233" i="6"/>
  <c r="AO233" i="6" s="1"/>
  <c r="AN202" i="6"/>
  <c r="AO202" i="6" s="1"/>
  <c r="AN201" i="6"/>
  <c r="AO201" i="6" s="1"/>
  <c r="AN186" i="6"/>
  <c r="AO186" i="6" s="1"/>
  <c r="AN185" i="6"/>
  <c r="AO185" i="6" s="1"/>
  <c r="AN170" i="6"/>
  <c r="AO170" i="6" s="1"/>
  <c r="AN162" i="6"/>
  <c r="AO162" i="6" s="1"/>
  <c r="AN154" i="6"/>
  <c r="AO154" i="6" s="1"/>
  <c r="AN146" i="6"/>
  <c r="AO146" i="6" s="1"/>
  <c r="AN138" i="6"/>
  <c r="AO138" i="6" s="1"/>
  <c r="AN130" i="6"/>
  <c r="AO130" i="6" s="1"/>
  <c r="AN127" i="6"/>
  <c r="AO127" i="6" s="1"/>
  <c r="AN123" i="6"/>
  <c r="AO123" i="6" s="1"/>
  <c r="AN119" i="6"/>
  <c r="AO119" i="6" s="1"/>
  <c r="AN115" i="6"/>
  <c r="AO115" i="6" s="1"/>
  <c r="AN111" i="6"/>
  <c r="AO111" i="6" s="1"/>
  <c r="AN107" i="6"/>
  <c r="AO107" i="6" s="1"/>
  <c r="AN103" i="6"/>
  <c r="AO103" i="6" s="1"/>
  <c r="AN99" i="6"/>
  <c r="AO99" i="6" s="1"/>
  <c r="AN95" i="6"/>
  <c r="AO95" i="6" s="1"/>
  <c r="AN91" i="6"/>
  <c r="AO91" i="6" s="1"/>
  <c r="AN87" i="6"/>
  <c r="AO87" i="6" s="1"/>
  <c r="AN83" i="6"/>
  <c r="AO83" i="6" s="1"/>
  <c r="AN79" i="6"/>
  <c r="AO79" i="6" s="1"/>
  <c r="N372" i="6"/>
  <c r="N368" i="6"/>
  <c r="AP372" i="6"/>
  <c r="G371" i="6"/>
  <c r="AX371" i="6"/>
  <c r="T15" i="6"/>
  <c r="U15" i="6" s="1"/>
  <c r="AG15" i="6"/>
  <c r="AN15" i="6"/>
  <c r="BI370" i="6"/>
  <c r="W17" i="6"/>
  <c r="X17" i="6" s="1"/>
  <c r="AD17" i="6"/>
  <c r="AE17" i="6" s="1"/>
  <c r="AJ17" i="6"/>
  <c r="AK17" i="6" s="1"/>
  <c r="T19" i="6"/>
  <c r="U19" i="6" s="1"/>
  <c r="AA19" i="6"/>
  <c r="AB19" i="6" s="1"/>
  <c r="AG19" i="6"/>
  <c r="AH19" i="6" s="1"/>
  <c r="AN19" i="6"/>
  <c r="AO19" i="6" s="1"/>
  <c r="W21" i="6"/>
  <c r="X21" i="6" s="1"/>
  <c r="AD21" i="6"/>
  <c r="AE21" i="6" s="1"/>
  <c r="AJ21" i="6"/>
  <c r="AK21" i="6" s="1"/>
  <c r="T23" i="6"/>
  <c r="U23" i="6" s="1"/>
  <c r="AG23" i="6"/>
  <c r="AH23" i="6" s="1"/>
  <c r="AN23" i="6"/>
  <c r="AO23" i="6" s="1"/>
  <c r="W25" i="6"/>
  <c r="X25" i="6" s="1"/>
  <c r="AD25" i="6"/>
  <c r="AE25" i="6" s="1"/>
  <c r="AJ25" i="6"/>
  <c r="AK25" i="6" s="1"/>
  <c r="T27" i="6"/>
  <c r="U27" i="6" s="1"/>
  <c r="AA27" i="6"/>
  <c r="AB27" i="6" s="1"/>
  <c r="AG27" i="6"/>
  <c r="AH27" i="6" s="1"/>
  <c r="AN27" i="6"/>
  <c r="AO27" i="6" s="1"/>
  <c r="W29" i="6"/>
  <c r="X29" i="6" s="1"/>
  <c r="AD29" i="6"/>
  <c r="AE29" i="6" s="1"/>
  <c r="AJ29" i="6"/>
  <c r="AK29" i="6" s="1"/>
  <c r="T31" i="6"/>
  <c r="U31" i="6" s="1"/>
  <c r="AA31" i="6"/>
  <c r="AB31" i="6" s="1"/>
  <c r="AG31" i="6"/>
  <c r="AH31" i="6" s="1"/>
  <c r="AN31" i="6"/>
  <c r="AO31" i="6" s="1"/>
  <c r="W33" i="6"/>
  <c r="X33" i="6" s="1"/>
  <c r="AD33" i="6"/>
  <c r="AE33" i="6" s="1"/>
  <c r="AJ33" i="6"/>
  <c r="AK33" i="6" s="1"/>
  <c r="T35" i="6"/>
  <c r="U35" i="6" s="1"/>
  <c r="AA35" i="6"/>
  <c r="AB35" i="6" s="1"/>
  <c r="AG35" i="6"/>
  <c r="AH35" i="6" s="1"/>
  <c r="AN35" i="6"/>
  <c r="AO35" i="6" s="1"/>
  <c r="W37" i="6"/>
  <c r="X37" i="6" s="1"/>
  <c r="AD37" i="6"/>
  <c r="AE37" i="6" s="1"/>
  <c r="AJ37" i="6"/>
  <c r="AK37" i="6" s="1"/>
  <c r="T39" i="6"/>
  <c r="U39" i="6" s="1"/>
  <c r="AA39" i="6"/>
  <c r="AB39" i="6" s="1"/>
  <c r="AG39" i="6"/>
  <c r="AH39" i="6" s="1"/>
  <c r="AN39" i="6"/>
  <c r="AO39" i="6" s="1"/>
  <c r="W41" i="6"/>
  <c r="X41" i="6" s="1"/>
  <c r="AD41" i="6"/>
  <c r="AE41" i="6" s="1"/>
  <c r="AJ41" i="6"/>
  <c r="AK41" i="6" s="1"/>
  <c r="T43" i="6"/>
  <c r="U43" i="6" s="1"/>
  <c r="AG43" i="6"/>
  <c r="AH43" i="6" s="1"/>
  <c r="AN43" i="6"/>
  <c r="AO43" i="6" s="1"/>
  <c r="W45" i="6"/>
  <c r="X45" i="6" s="1"/>
  <c r="AD45" i="6"/>
  <c r="AE45" i="6" s="1"/>
  <c r="AJ45" i="6"/>
  <c r="AK45" i="6" s="1"/>
  <c r="T47" i="6"/>
  <c r="U47" i="6" s="1"/>
  <c r="AA47" i="6"/>
  <c r="AB47" i="6" s="1"/>
  <c r="AG47" i="6"/>
  <c r="AH47" i="6" s="1"/>
  <c r="AN47" i="6"/>
  <c r="AO47" i="6" s="1"/>
  <c r="W49" i="6"/>
  <c r="X49" i="6" s="1"/>
  <c r="AD49" i="6"/>
  <c r="AE49" i="6" s="1"/>
  <c r="AJ49" i="6"/>
  <c r="AK49" i="6" s="1"/>
  <c r="T51" i="6"/>
  <c r="U51" i="6" s="1"/>
  <c r="AA51" i="6"/>
  <c r="AB51" i="6" s="1"/>
  <c r="AG51" i="6"/>
  <c r="AH51" i="6" s="1"/>
  <c r="AN51" i="6"/>
  <c r="AO51" i="6" s="1"/>
  <c r="W53" i="6"/>
  <c r="X53" i="6" s="1"/>
  <c r="AD53" i="6"/>
  <c r="AE53" i="6" s="1"/>
  <c r="AJ53" i="6"/>
  <c r="AK53" i="6" s="1"/>
  <c r="T55" i="6"/>
  <c r="U55" i="6" s="1"/>
  <c r="AA55" i="6"/>
  <c r="AB55" i="6" s="1"/>
  <c r="AG55" i="6"/>
  <c r="AH55" i="6" s="1"/>
  <c r="AN55" i="6"/>
  <c r="AO55" i="6" s="1"/>
  <c r="W57" i="6"/>
  <c r="X57" i="6" s="1"/>
  <c r="AD57" i="6"/>
  <c r="AE57" i="6" s="1"/>
  <c r="AJ57" i="6"/>
  <c r="AK57" i="6" s="1"/>
  <c r="T59" i="6"/>
  <c r="U59" i="6" s="1"/>
  <c r="AA59" i="6"/>
  <c r="AB59" i="6" s="1"/>
  <c r="AG59" i="6"/>
  <c r="AH59" i="6" s="1"/>
  <c r="AN59" i="6"/>
  <c r="AO59" i="6" s="1"/>
  <c r="W61" i="6"/>
  <c r="X61" i="6" s="1"/>
  <c r="AD61" i="6"/>
  <c r="AE61" i="6" s="1"/>
  <c r="AJ61" i="6"/>
  <c r="AK61" i="6" s="1"/>
  <c r="T63" i="6"/>
  <c r="U63" i="6" s="1"/>
  <c r="AG63" i="6"/>
  <c r="AH63" i="6" s="1"/>
  <c r="AN63" i="6"/>
  <c r="AO63" i="6" s="1"/>
  <c r="W65" i="6"/>
  <c r="X65" i="6" s="1"/>
  <c r="AD65" i="6"/>
  <c r="AE65" i="6" s="1"/>
  <c r="AJ65" i="6"/>
  <c r="AK65" i="6" s="1"/>
  <c r="T67" i="6"/>
  <c r="U67" i="6" s="1"/>
  <c r="AG67" i="6"/>
  <c r="AH67" i="6" s="1"/>
  <c r="AN67" i="6"/>
  <c r="AO67" i="6" s="1"/>
  <c r="W69" i="6"/>
  <c r="X69" i="6" s="1"/>
  <c r="AD69" i="6"/>
  <c r="AE69" i="6" s="1"/>
  <c r="AJ69" i="6"/>
  <c r="AK69" i="6" s="1"/>
  <c r="T71" i="6"/>
  <c r="U71" i="6" s="1"/>
  <c r="AA71" i="6"/>
  <c r="AB71" i="6" s="1"/>
  <c r="AG71" i="6"/>
  <c r="AH71" i="6" s="1"/>
  <c r="AN71" i="6"/>
  <c r="AO71" i="6" s="1"/>
  <c r="W73" i="6"/>
  <c r="X73" i="6" s="1"/>
  <c r="AD73" i="6"/>
  <c r="AE73" i="6" s="1"/>
  <c r="AJ73" i="6"/>
  <c r="AK73" i="6" s="1"/>
  <c r="T75" i="6"/>
  <c r="U75" i="6" s="1"/>
  <c r="AA75" i="6"/>
  <c r="AB75" i="6" s="1"/>
  <c r="AG75" i="6"/>
  <c r="AH75" i="6" s="1"/>
  <c r="AN75" i="6"/>
  <c r="AO75" i="6" s="1"/>
  <c r="AJ76" i="6"/>
  <c r="AK76" i="6" s="1"/>
  <c r="AA78" i="6"/>
  <c r="AB78" i="6" s="1"/>
  <c r="AN78" i="6"/>
  <c r="AO78" i="6" s="1"/>
  <c r="AD80" i="6"/>
  <c r="AE80" i="6" s="1"/>
  <c r="T82" i="6"/>
  <c r="U82" i="6" s="1"/>
  <c r="AG82" i="6"/>
  <c r="AH82" i="6" s="1"/>
  <c r="T83" i="6"/>
  <c r="U83" i="6" s="1"/>
  <c r="W84" i="6"/>
  <c r="X84" i="6" s="1"/>
  <c r="AJ84" i="6"/>
  <c r="AK84" i="6" s="1"/>
  <c r="AJ86" i="6"/>
  <c r="AK86" i="6" s="1"/>
  <c r="AJ90" i="6"/>
  <c r="AK90" i="6" s="1"/>
  <c r="AJ94" i="6"/>
  <c r="AK94" i="6" s="1"/>
  <c r="AJ98" i="6"/>
  <c r="AK98" i="6" s="1"/>
  <c r="AA100" i="6"/>
  <c r="AB100" i="6" s="1"/>
  <c r="AJ102" i="6"/>
  <c r="AK102" i="6" s="1"/>
  <c r="AA104" i="6"/>
  <c r="AB104" i="6" s="1"/>
  <c r="AJ106" i="6"/>
  <c r="AK106" i="6" s="1"/>
  <c r="AA108" i="6"/>
  <c r="AB108" i="6" s="1"/>
  <c r="AJ110" i="6"/>
  <c r="AK110" i="6" s="1"/>
  <c r="AA112" i="6"/>
  <c r="AB112" i="6" s="1"/>
  <c r="AJ114" i="6"/>
  <c r="AK114" i="6" s="1"/>
  <c r="AA116" i="6"/>
  <c r="AB116" i="6" s="1"/>
  <c r="AJ118" i="6"/>
  <c r="AK118" i="6" s="1"/>
  <c r="AA120" i="6"/>
  <c r="AB120" i="6" s="1"/>
  <c r="AJ122" i="6"/>
  <c r="AK122" i="6" s="1"/>
  <c r="AA124" i="6"/>
  <c r="AB124" i="6" s="1"/>
  <c r="T127" i="6"/>
  <c r="U127" i="6" s="1"/>
  <c r="W128" i="6"/>
  <c r="X128" i="6" s="1"/>
  <c r="T137" i="6"/>
  <c r="U137" i="6" s="1"/>
  <c r="AD140" i="6"/>
  <c r="AE140" i="6" s="1"/>
  <c r="AN141" i="6"/>
  <c r="AO141" i="6" s="1"/>
  <c r="W144" i="6"/>
  <c r="X144" i="6" s="1"/>
  <c r="T153" i="6"/>
  <c r="U153" i="6" s="1"/>
  <c r="AD156" i="6"/>
  <c r="AE156" i="6" s="1"/>
  <c r="AN157" i="6"/>
  <c r="AO157" i="6" s="1"/>
  <c r="W160" i="6"/>
  <c r="X160" i="6" s="1"/>
  <c r="T169" i="6"/>
  <c r="U169" i="6" s="1"/>
  <c r="AD172" i="6"/>
  <c r="AE172" i="6" s="1"/>
  <c r="AN173" i="6"/>
  <c r="AO173" i="6" s="1"/>
  <c r="AA174" i="6"/>
  <c r="AB174" i="6" s="1"/>
  <c r="AD175" i="6"/>
  <c r="AE175" i="6" s="1"/>
  <c r="T177" i="6"/>
  <c r="U177" i="6" s="1"/>
  <c r="T181" i="6"/>
  <c r="U181" i="6" s="1"/>
  <c r="W196" i="6"/>
  <c r="X196" i="6" s="1"/>
  <c r="AG198" i="6"/>
  <c r="AH198" i="6" s="1"/>
  <c r="W199" i="6"/>
  <c r="X199" i="6" s="1"/>
  <c r="AD211" i="6"/>
  <c r="AE211" i="6" s="1"/>
  <c r="AJ222" i="6"/>
  <c r="AK222" i="6" s="1"/>
  <c r="AA228" i="6"/>
  <c r="AB228" i="6" s="1"/>
  <c r="T87" i="6"/>
  <c r="U87" i="6" s="1"/>
  <c r="T107" i="6"/>
  <c r="U107" i="6" s="1"/>
  <c r="T119" i="6"/>
  <c r="U119" i="6" s="1"/>
  <c r="C371" i="6"/>
  <c r="S371" i="6"/>
  <c r="AN11" i="6"/>
  <c r="AO11" i="6" s="1"/>
  <c r="C372" i="6"/>
  <c r="C368" i="6"/>
  <c r="G372" i="6"/>
  <c r="G368" i="6"/>
  <c r="S372" i="6"/>
  <c r="S368" i="6"/>
  <c r="X9" i="6"/>
  <c r="AE9" i="6"/>
  <c r="AK9" i="6"/>
  <c r="AX368" i="6"/>
  <c r="AX372" i="6"/>
  <c r="T10" i="6"/>
  <c r="AA10" i="6"/>
  <c r="AG10" i="6"/>
  <c r="AN10" i="6"/>
  <c r="W12" i="6"/>
  <c r="X12" i="6" s="1"/>
  <c r="AD12" i="6"/>
  <c r="AE12" i="6" s="1"/>
  <c r="AJ12" i="6"/>
  <c r="AK12" i="6" s="1"/>
  <c r="AA14" i="6"/>
  <c r="AB14" i="6" s="1"/>
  <c r="AG14" i="6"/>
  <c r="AH14" i="6" s="1"/>
  <c r="AN14" i="6"/>
  <c r="AO14" i="6" s="1"/>
  <c r="W16" i="6"/>
  <c r="X16" i="6" s="1"/>
  <c r="AD16" i="6"/>
  <c r="AE16" i="6" s="1"/>
  <c r="AJ16" i="6"/>
  <c r="AK16" i="6" s="1"/>
  <c r="AA18" i="6"/>
  <c r="AB18" i="6" s="1"/>
  <c r="AG18" i="6"/>
  <c r="AH18" i="6" s="1"/>
  <c r="AN18" i="6"/>
  <c r="AO18" i="6" s="1"/>
  <c r="W20" i="6"/>
  <c r="X20" i="6" s="1"/>
  <c r="AD20" i="6"/>
  <c r="AE20" i="6" s="1"/>
  <c r="AJ20" i="6"/>
  <c r="AK20" i="6" s="1"/>
  <c r="AA22" i="6"/>
  <c r="AB22" i="6" s="1"/>
  <c r="AG22" i="6"/>
  <c r="AH22" i="6" s="1"/>
  <c r="AN22" i="6"/>
  <c r="AO22" i="6" s="1"/>
  <c r="W24" i="6"/>
  <c r="X24" i="6" s="1"/>
  <c r="AD24" i="6"/>
  <c r="AE24" i="6" s="1"/>
  <c r="AJ24" i="6"/>
  <c r="AK24" i="6" s="1"/>
  <c r="AA26" i="6"/>
  <c r="AB26" i="6" s="1"/>
  <c r="AG26" i="6"/>
  <c r="AH26" i="6" s="1"/>
  <c r="AN26" i="6"/>
  <c r="AO26" i="6" s="1"/>
  <c r="W28" i="6"/>
  <c r="X28" i="6" s="1"/>
  <c r="AD28" i="6"/>
  <c r="AE28" i="6" s="1"/>
  <c r="AJ28" i="6"/>
  <c r="AK28" i="6" s="1"/>
  <c r="AA30" i="6"/>
  <c r="AB30" i="6" s="1"/>
  <c r="AG30" i="6"/>
  <c r="AH30" i="6" s="1"/>
  <c r="AN30" i="6"/>
  <c r="AO30" i="6" s="1"/>
  <c r="W32" i="6"/>
  <c r="X32" i="6" s="1"/>
  <c r="AD32" i="6"/>
  <c r="AE32" i="6" s="1"/>
  <c r="AJ32" i="6"/>
  <c r="AK32" i="6" s="1"/>
  <c r="AA34" i="6"/>
  <c r="AB34" i="6" s="1"/>
  <c r="AG34" i="6"/>
  <c r="AH34" i="6" s="1"/>
  <c r="AN34" i="6"/>
  <c r="AO34" i="6" s="1"/>
  <c r="W36" i="6"/>
  <c r="X36" i="6" s="1"/>
  <c r="AD36" i="6"/>
  <c r="AE36" i="6" s="1"/>
  <c r="AJ36" i="6"/>
  <c r="AK36" i="6" s="1"/>
  <c r="AA38" i="6"/>
  <c r="AB38" i="6" s="1"/>
  <c r="AG38" i="6"/>
  <c r="AH38" i="6" s="1"/>
  <c r="AN38" i="6"/>
  <c r="AO38" i="6" s="1"/>
  <c r="W40" i="6"/>
  <c r="X40" i="6" s="1"/>
  <c r="AD40" i="6"/>
  <c r="AE40" i="6" s="1"/>
  <c r="AJ40" i="6"/>
  <c r="AK40" i="6" s="1"/>
  <c r="AG42" i="6"/>
  <c r="AH42" i="6" s="1"/>
  <c r="AN42" i="6"/>
  <c r="AO42" i="6" s="1"/>
  <c r="W44" i="6"/>
  <c r="X44" i="6" s="1"/>
  <c r="AD44" i="6"/>
  <c r="AE44" i="6" s="1"/>
  <c r="AJ44" i="6"/>
  <c r="AK44" i="6" s="1"/>
  <c r="AA46" i="6"/>
  <c r="AB46" i="6" s="1"/>
  <c r="AG46" i="6"/>
  <c r="AH46" i="6" s="1"/>
  <c r="AN46" i="6"/>
  <c r="AO46" i="6" s="1"/>
  <c r="W48" i="6"/>
  <c r="X48" i="6" s="1"/>
  <c r="AD48" i="6"/>
  <c r="AE48" i="6" s="1"/>
  <c r="AJ48" i="6"/>
  <c r="AK48" i="6" s="1"/>
  <c r="AA50" i="6"/>
  <c r="AB50" i="6" s="1"/>
  <c r="AG50" i="6"/>
  <c r="AH50" i="6" s="1"/>
  <c r="AN50" i="6"/>
  <c r="AO50" i="6" s="1"/>
  <c r="W52" i="6"/>
  <c r="X52" i="6" s="1"/>
  <c r="AD52" i="6"/>
  <c r="AE52" i="6" s="1"/>
  <c r="AJ52" i="6"/>
  <c r="AK52" i="6" s="1"/>
  <c r="AA54" i="6"/>
  <c r="AB54" i="6" s="1"/>
  <c r="AG54" i="6"/>
  <c r="AH54" i="6" s="1"/>
  <c r="AN54" i="6"/>
  <c r="AO54" i="6" s="1"/>
  <c r="W56" i="6"/>
  <c r="X56" i="6" s="1"/>
  <c r="AD56" i="6"/>
  <c r="AE56" i="6" s="1"/>
  <c r="AJ56" i="6"/>
  <c r="AK56" i="6" s="1"/>
  <c r="AA58" i="6"/>
  <c r="AB58" i="6" s="1"/>
  <c r="AG58" i="6"/>
  <c r="AH58" i="6" s="1"/>
  <c r="AN58" i="6"/>
  <c r="AO58" i="6" s="1"/>
  <c r="W60" i="6"/>
  <c r="X60" i="6" s="1"/>
  <c r="AD60" i="6"/>
  <c r="AE60" i="6" s="1"/>
  <c r="AJ60" i="6"/>
  <c r="AK60" i="6" s="1"/>
  <c r="AA62" i="6"/>
  <c r="AB62" i="6" s="1"/>
  <c r="AG62" i="6"/>
  <c r="AH62" i="6" s="1"/>
  <c r="AN62" i="6"/>
  <c r="AO62" i="6" s="1"/>
  <c r="W64" i="6"/>
  <c r="X64" i="6" s="1"/>
  <c r="AD64" i="6"/>
  <c r="AE64" i="6" s="1"/>
  <c r="AJ64" i="6"/>
  <c r="AK64" i="6" s="1"/>
  <c r="AA66" i="6"/>
  <c r="AB66" i="6" s="1"/>
  <c r="AG66" i="6"/>
  <c r="AH66" i="6" s="1"/>
  <c r="AN66" i="6"/>
  <c r="AO66" i="6" s="1"/>
  <c r="W68" i="6"/>
  <c r="X68" i="6" s="1"/>
  <c r="AD68" i="6"/>
  <c r="AE68" i="6" s="1"/>
  <c r="AJ68" i="6"/>
  <c r="AK68" i="6" s="1"/>
  <c r="AG70" i="6"/>
  <c r="AH70" i="6" s="1"/>
  <c r="AN70" i="6"/>
  <c r="AO70" i="6" s="1"/>
  <c r="W72" i="6"/>
  <c r="X72" i="6" s="1"/>
  <c r="AD72" i="6"/>
  <c r="AE72" i="6" s="1"/>
  <c r="AJ72" i="6"/>
  <c r="AK72" i="6" s="1"/>
  <c r="AG74" i="6"/>
  <c r="AH74" i="6" s="1"/>
  <c r="AN74" i="6"/>
  <c r="AO74" i="6" s="1"/>
  <c r="W76" i="6"/>
  <c r="X76" i="6" s="1"/>
  <c r="AD76" i="6"/>
  <c r="AE76" i="6" s="1"/>
  <c r="AN76" i="6"/>
  <c r="AO76" i="6" s="1"/>
  <c r="AD78" i="6"/>
  <c r="AE78" i="6" s="1"/>
  <c r="T80" i="6"/>
  <c r="U80" i="6" s="1"/>
  <c r="AG80" i="6"/>
  <c r="AH80" i="6" s="1"/>
  <c r="T81" i="6"/>
  <c r="U81" i="6" s="1"/>
  <c r="W82" i="6"/>
  <c r="X82" i="6" s="1"/>
  <c r="AJ82" i="6"/>
  <c r="AK82" i="6" s="1"/>
  <c r="AN84" i="6"/>
  <c r="AO84" i="6" s="1"/>
  <c r="AG88" i="6"/>
  <c r="AH88" i="6" s="1"/>
  <c r="AG92" i="6"/>
  <c r="AH92" i="6" s="1"/>
  <c r="AG96" i="6"/>
  <c r="AH96" i="6" s="1"/>
  <c r="AG100" i="6"/>
  <c r="AH100" i="6" s="1"/>
  <c r="AG104" i="6"/>
  <c r="AH104" i="6" s="1"/>
  <c r="AG108" i="6"/>
  <c r="AH108" i="6" s="1"/>
  <c r="AG112" i="6"/>
  <c r="AH112" i="6" s="1"/>
  <c r="AG116" i="6"/>
  <c r="AH116" i="6" s="1"/>
  <c r="AG120" i="6"/>
  <c r="AH120" i="6" s="1"/>
  <c r="AG124" i="6"/>
  <c r="AH124" i="6" s="1"/>
  <c r="AJ128" i="6"/>
  <c r="AK128" i="6" s="1"/>
  <c r="AA133" i="6"/>
  <c r="AB133" i="6" s="1"/>
  <c r="AG137" i="6"/>
  <c r="AH137" i="6" s="1"/>
  <c r="AJ144" i="6"/>
  <c r="AK144" i="6" s="1"/>
  <c r="AG153" i="6"/>
  <c r="AH153" i="6" s="1"/>
  <c r="AJ160" i="6"/>
  <c r="AK160" i="6" s="1"/>
  <c r="AA165" i="6"/>
  <c r="AB165" i="6" s="1"/>
  <c r="AG169" i="6"/>
  <c r="AH169" i="6" s="1"/>
  <c r="AN174" i="6"/>
  <c r="AO174" i="6" s="1"/>
  <c r="T176" i="6"/>
  <c r="U176" i="6" s="1"/>
  <c r="AG181" i="6"/>
  <c r="AH181" i="6" s="1"/>
  <c r="T182" i="6"/>
  <c r="U182" i="6" s="1"/>
  <c r="AA189" i="6"/>
  <c r="AB189" i="6" s="1"/>
  <c r="T191" i="6"/>
  <c r="U191" i="6" s="1"/>
  <c r="AJ196" i="6"/>
  <c r="AK196" i="6" s="1"/>
  <c r="AJ199" i="6"/>
  <c r="AK199" i="6" s="1"/>
  <c r="W215" i="6"/>
  <c r="X215" i="6" s="1"/>
  <c r="T220" i="6"/>
  <c r="U220" i="6" s="1"/>
  <c r="AA225" i="6"/>
  <c r="AB225" i="6" s="1"/>
  <c r="T232" i="6"/>
  <c r="U232" i="6" s="1"/>
  <c r="T254" i="6"/>
  <c r="U254" i="6" s="1"/>
  <c r="AD272" i="6"/>
  <c r="AE272" i="6" s="1"/>
  <c r="T132" i="6"/>
  <c r="U132" i="6" s="1"/>
  <c r="T140" i="6"/>
  <c r="U140" i="6" s="1"/>
  <c r="T148" i="6"/>
  <c r="U148" i="6" s="1"/>
  <c r="T156" i="6"/>
  <c r="U156" i="6" s="1"/>
  <c r="T164" i="6"/>
  <c r="U164" i="6" s="1"/>
  <c r="T171" i="6"/>
  <c r="U171" i="6" s="1"/>
  <c r="T172" i="6"/>
  <c r="U172" i="6" s="1"/>
  <c r="T187" i="6"/>
  <c r="U187" i="6" s="1"/>
  <c r="T188" i="6"/>
  <c r="U188" i="6" s="1"/>
  <c r="T203" i="6"/>
  <c r="U203" i="6" s="1"/>
  <c r="T212" i="6"/>
  <c r="U212" i="6" s="1"/>
  <c r="T227" i="6"/>
  <c r="U227" i="6" s="1"/>
  <c r="T238" i="6"/>
  <c r="U238" i="6" s="1"/>
  <c r="T183" i="6"/>
  <c r="U183" i="6" s="1"/>
  <c r="T184" i="6"/>
  <c r="U184" i="6" s="1"/>
  <c r="T199" i="6"/>
  <c r="U199" i="6" s="1"/>
  <c r="T200" i="6"/>
  <c r="U200" i="6" s="1"/>
  <c r="T219" i="6"/>
  <c r="U219" i="6" s="1"/>
  <c r="T128" i="6"/>
  <c r="U128" i="6" s="1"/>
  <c r="U129" i="6"/>
  <c r="T136" i="6"/>
  <c r="U136" i="6" s="1"/>
  <c r="T144" i="6"/>
  <c r="U144" i="6" s="1"/>
  <c r="U145" i="6"/>
  <c r="T152" i="6"/>
  <c r="U152" i="6" s="1"/>
  <c r="T160" i="6"/>
  <c r="U160" i="6" s="1"/>
  <c r="U161" i="6"/>
  <c r="T168" i="6"/>
  <c r="U168" i="6" s="1"/>
  <c r="T179" i="6"/>
  <c r="U179" i="6" s="1"/>
  <c r="T180" i="6"/>
  <c r="U180" i="6" s="1"/>
  <c r="T185" i="6"/>
  <c r="U185" i="6" s="1"/>
  <c r="T195" i="6"/>
  <c r="U195" i="6" s="1"/>
  <c r="T196" i="6"/>
  <c r="U196" i="6" s="1"/>
  <c r="U197" i="6"/>
  <c r="T201" i="6"/>
  <c r="U201" i="6" s="1"/>
  <c r="T205" i="6"/>
  <c r="U205" i="6" s="1"/>
  <c r="T211" i="6"/>
  <c r="U211" i="6" s="1"/>
  <c r="T228" i="6"/>
  <c r="U228" i="6" s="1"/>
  <c r="T283" i="6"/>
  <c r="U283" i="6" s="1"/>
  <c r="T299" i="6"/>
  <c r="U299" i="6" s="1"/>
  <c r="T236" i="6"/>
  <c r="U236" i="6" s="1"/>
  <c r="T204" i="6"/>
  <c r="U204" i="6" s="1"/>
  <c r="T207" i="6"/>
  <c r="U207" i="6" s="1"/>
  <c r="T215" i="6"/>
  <c r="U215" i="6" s="1"/>
  <c r="T223" i="6"/>
  <c r="U223" i="6" s="1"/>
  <c r="T231" i="6"/>
  <c r="U231" i="6" s="1"/>
  <c r="T243" i="6"/>
  <c r="U243" i="6" s="1"/>
  <c r="T305" i="6"/>
  <c r="U305" i="6" s="1"/>
  <c r="T241" i="6"/>
  <c r="U241" i="6" s="1"/>
  <c r="T245" i="6"/>
  <c r="U245" i="6" s="1"/>
  <c r="T247" i="6"/>
  <c r="U247" i="6" s="1"/>
  <c r="T249" i="6"/>
  <c r="U249" i="6" s="1"/>
  <c r="T251" i="6"/>
  <c r="U251" i="6" s="1"/>
  <c r="T253" i="6"/>
  <c r="U253" i="6" s="1"/>
  <c r="T255" i="6"/>
  <c r="U255" i="6" s="1"/>
  <c r="T257" i="6"/>
  <c r="U257" i="6" s="1"/>
  <c r="T259" i="6"/>
  <c r="U259" i="6" s="1"/>
  <c r="T261" i="6"/>
  <c r="U261" i="6" s="1"/>
  <c r="T263" i="6"/>
  <c r="U263" i="6" s="1"/>
  <c r="T265" i="6"/>
  <c r="U265" i="6" s="1"/>
  <c r="T267" i="6"/>
  <c r="U267" i="6" s="1"/>
  <c r="T269" i="6"/>
  <c r="U269" i="6" s="1"/>
  <c r="T271" i="6"/>
  <c r="U271" i="6" s="1"/>
  <c r="T273" i="6"/>
  <c r="U273" i="6" s="1"/>
  <c r="T275" i="6"/>
  <c r="U275" i="6" s="1"/>
  <c r="T277" i="6"/>
  <c r="U277" i="6" s="1"/>
  <c r="T279" i="6"/>
  <c r="U279" i="6" s="1"/>
  <c r="T281" i="6"/>
  <c r="U281" i="6" s="1"/>
  <c r="T304" i="6"/>
  <c r="U304" i="6" s="1"/>
  <c r="T338" i="6"/>
  <c r="U338" i="6" s="1"/>
  <c r="T288" i="6"/>
  <c r="U288" i="6" s="1"/>
  <c r="T289" i="6"/>
  <c r="U289" i="6" s="1"/>
  <c r="T297" i="6"/>
  <c r="U297" i="6" s="1"/>
  <c r="T287" i="6"/>
  <c r="U287" i="6" s="1"/>
  <c r="T303" i="6"/>
  <c r="U303" i="6" s="1"/>
  <c r="T312" i="6"/>
  <c r="U312" i="6" s="1"/>
  <c r="T347" i="6"/>
  <c r="U347" i="6" s="1"/>
  <c r="T291" i="6"/>
  <c r="U291" i="6" s="1"/>
  <c r="T311" i="6"/>
  <c r="U311" i="6" s="1"/>
  <c r="T364" i="6"/>
  <c r="U364" i="6" s="1"/>
  <c r="T365" i="6"/>
  <c r="U365" i="6" s="1"/>
  <c r="T295" i="6"/>
  <c r="U295" i="6" s="1"/>
  <c r="T296" i="6"/>
  <c r="U296" i="6" s="1"/>
  <c r="T307" i="6"/>
  <c r="U307" i="6" s="1"/>
  <c r="T308" i="6"/>
  <c r="U308" i="6" s="1"/>
  <c r="T317" i="6"/>
  <c r="U317" i="6" s="1"/>
  <c r="T318" i="6"/>
  <c r="U318" i="6" s="1"/>
  <c r="T316" i="6"/>
  <c r="U316" i="6" s="1"/>
  <c r="T331" i="6"/>
  <c r="U331" i="6" s="1"/>
  <c r="T332" i="6"/>
  <c r="U332" i="6" s="1"/>
  <c r="T334" i="6"/>
  <c r="U334" i="6" s="1"/>
  <c r="T361" i="6"/>
  <c r="U361" i="6" s="1"/>
  <c r="T320" i="6"/>
  <c r="U320" i="6" s="1"/>
  <c r="T321" i="6"/>
  <c r="U321" i="6" s="1"/>
  <c r="T322" i="6"/>
  <c r="U322" i="6" s="1"/>
  <c r="T327" i="6"/>
  <c r="U327" i="6" s="1"/>
  <c r="T328" i="6"/>
  <c r="U328" i="6" s="1"/>
  <c r="T354" i="6"/>
  <c r="U354" i="6" s="1"/>
  <c r="T323" i="6"/>
  <c r="U323" i="6" s="1"/>
  <c r="T324" i="6"/>
  <c r="U324" i="6" s="1"/>
  <c r="T329" i="6"/>
  <c r="U329" i="6" s="1"/>
  <c r="T341" i="6"/>
  <c r="U341" i="6" s="1"/>
  <c r="T346" i="6"/>
  <c r="U346" i="6" s="1"/>
  <c r="T349" i="6"/>
  <c r="U349" i="6" s="1"/>
  <c r="T353" i="6"/>
  <c r="U353" i="6" s="1"/>
  <c r="T363" i="6"/>
  <c r="U363" i="6" s="1"/>
  <c r="T343" i="6"/>
  <c r="U343" i="6" s="1"/>
  <c r="T357" i="6"/>
  <c r="U357" i="6" s="1"/>
  <c r="T345" i="6"/>
  <c r="U345" i="6" s="1"/>
  <c r="AI373" i="6"/>
  <c r="AS379" i="6"/>
  <c r="T359" i="6"/>
  <c r="U359" i="6" s="1"/>
  <c r="T360" i="6"/>
  <c r="U360" i="6" s="1"/>
  <c r="T366" i="6"/>
  <c r="U366" i="6" s="1"/>
  <c r="AR389" i="6"/>
  <c r="AC373" i="6"/>
  <c r="BE373" i="6"/>
  <c r="AS389" i="6"/>
  <c r="AT389" i="6"/>
  <c r="AV381" i="6" l="1"/>
  <c r="AV372" i="6"/>
  <c r="AV373" i="6" s="1"/>
  <c r="AV368" i="6"/>
  <c r="AV384" i="6" s="1"/>
  <c r="AT374" i="6"/>
  <c r="F372" i="6"/>
  <c r="F371" i="6"/>
  <c r="F370" i="6"/>
  <c r="F368" i="6"/>
  <c r="F377" i="6" s="1"/>
  <c r="C373" i="6"/>
  <c r="AP373" i="6"/>
  <c r="N373" i="6"/>
  <c r="AO372" i="6"/>
  <c r="X370" i="6"/>
  <c r="AK370" i="6"/>
  <c r="T368" i="6"/>
  <c r="U370" i="6"/>
  <c r="U372" i="6"/>
  <c r="X372" i="6"/>
  <c r="W368" i="6"/>
  <c r="AG371" i="6"/>
  <c r="AH10" i="6"/>
  <c r="AH371" i="6" s="1"/>
  <c r="O367" i="6"/>
  <c r="O364" i="6"/>
  <c r="O362" i="6"/>
  <c r="O358" i="6"/>
  <c r="O365" i="6"/>
  <c r="O361" i="6"/>
  <c r="O360" i="6"/>
  <c r="O352" i="6"/>
  <c r="O348" i="6"/>
  <c r="O344" i="6"/>
  <c r="O340" i="6"/>
  <c r="O347" i="6"/>
  <c r="O346" i="6"/>
  <c r="O341" i="6"/>
  <c r="O337" i="6"/>
  <c r="O333" i="6"/>
  <c r="O351" i="6"/>
  <c r="O350" i="6"/>
  <c r="O332" i="6"/>
  <c r="O330" i="6"/>
  <c r="O326" i="6"/>
  <c r="O354" i="6"/>
  <c r="O338" i="6"/>
  <c r="O331" i="6"/>
  <c r="O327" i="6"/>
  <c r="O323" i="6"/>
  <c r="O319" i="6"/>
  <c r="O315" i="6"/>
  <c r="O366" i="6"/>
  <c r="O363" i="6"/>
  <c r="O357" i="6"/>
  <c r="O355" i="6"/>
  <c r="O345" i="6"/>
  <c r="O342" i="6"/>
  <c r="O339" i="6"/>
  <c r="O320" i="6"/>
  <c r="O310" i="6"/>
  <c r="O306" i="6"/>
  <c r="O302" i="6"/>
  <c r="O298" i="6"/>
  <c r="O294" i="6"/>
  <c r="O290" i="6"/>
  <c r="O286" i="6"/>
  <c r="O282" i="6"/>
  <c r="O356" i="6"/>
  <c r="O349" i="6"/>
  <c r="O335" i="6"/>
  <c r="O322" i="6"/>
  <c r="O321" i="6"/>
  <c r="O316" i="6"/>
  <c r="O311" i="6"/>
  <c r="O307" i="6"/>
  <c r="O359" i="6"/>
  <c r="O353" i="6"/>
  <c r="O343" i="6"/>
  <c r="O336" i="6"/>
  <c r="O325" i="6"/>
  <c r="O324" i="6"/>
  <c r="O318" i="6"/>
  <c r="O317" i="6"/>
  <c r="O297" i="6"/>
  <c r="O296" i="6"/>
  <c r="O291" i="6"/>
  <c r="O334" i="6"/>
  <c r="O314" i="6"/>
  <c r="O303" i="6"/>
  <c r="O293" i="6"/>
  <c r="O292" i="6"/>
  <c r="O329" i="6"/>
  <c r="O328" i="6"/>
  <c r="O309" i="6"/>
  <c r="O308" i="6"/>
  <c r="O305" i="6"/>
  <c r="O304" i="6"/>
  <c r="O299" i="6"/>
  <c r="O289" i="6"/>
  <c r="O288" i="6"/>
  <c r="O295" i="6"/>
  <c r="O287" i="6"/>
  <c r="O281" i="6"/>
  <c r="O278" i="6"/>
  <c r="O274" i="6"/>
  <c r="O270" i="6"/>
  <c r="O266" i="6"/>
  <c r="O262" i="6"/>
  <c r="O258" i="6"/>
  <c r="O254" i="6"/>
  <c r="O250" i="6"/>
  <c r="O246" i="6"/>
  <c r="O242" i="6"/>
  <c r="O301" i="6"/>
  <c r="O279" i="6"/>
  <c r="O275" i="6"/>
  <c r="O271" i="6"/>
  <c r="O267" i="6"/>
  <c r="O263" i="6"/>
  <c r="O259" i="6"/>
  <c r="O255" i="6"/>
  <c r="O251" i="6"/>
  <c r="O247" i="6"/>
  <c r="O312" i="6"/>
  <c r="O283" i="6"/>
  <c r="O280" i="6"/>
  <c r="O276" i="6"/>
  <c r="O272" i="6"/>
  <c r="O268" i="6"/>
  <c r="O264" i="6"/>
  <c r="O260" i="6"/>
  <c r="O256" i="6"/>
  <c r="O252" i="6"/>
  <c r="O248" i="6"/>
  <c r="O244" i="6"/>
  <c r="O240" i="6"/>
  <c r="O313" i="6"/>
  <c r="O241" i="6"/>
  <c r="O237" i="6"/>
  <c r="O233" i="6"/>
  <c r="O229" i="6"/>
  <c r="O225" i="6"/>
  <c r="O221" i="6"/>
  <c r="O217" i="6"/>
  <c r="O213" i="6"/>
  <c r="O209" i="6"/>
  <c r="O285" i="6"/>
  <c r="O277" i="6"/>
  <c r="O273" i="6"/>
  <c r="O269" i="6"/>
  <c r="O265" i="6"/>
  <c r="O261" i="6"/>
  <c r="O257" i="6"/>
  <c r="O253" i="6"/>
  <c r="O249" i="6"/>
  <c r="O245" i="6"/>
  <c r="O243" i="6"/>
  <c r="O238" i="6"/>
  <c r="O234" i="6"/>
  <c r="O230" i="6"/>
  <c r="O226" i="6"/>
  <c r="O222" i="6"/>
  <c r="O218" i="6"/>
  <c r="O214" i="6"/>
  <c r="O210" i="6"/>
  <c r="O206" i="6"/>
  <c r="O300" i="6"/>
  <c r="O239" i="6"/>
  <c r="O236" i="6"/>
  <c r="O235" i="6"/>
  <c r="O228" i="6"/>
  <c r="O227" i="6"/>
  <c r="O220" i="6"/>
  <c r="O219" i="6"/>
  <c r="O212" i="6"/>
  <c r="O211" i="6"/>
  <c r="O205" i="6"/>
  <c r="O204" i="6"/>
  <c r="O202" i="6"/>
  <c r="O198" i="6"/>
  <c r="O194" i="6"/>
  <c r="O190" i="6"/>
  <c r="O186" i="6"/>
  <c r="O182" i="6"/>
  <c r="O178" i="6"/>
  <c r="O174" i="6"/>
  <c r="O170" i="6"/>
  <c r="O166" i="6"/>
  <c r="O162" i="6"/>
  <c r="O158" i="6"/>
  <c r="O154" i="6"/>
  <c r="O150" i="6"/>
  <c r="O146" i="6"/>
  <c r="O142" i="6"/>
  <c r="O138" i="6"/>
  <c r="O134" i="6"/>
  <c r="O130" i="6"/>
  <c r="O203" i="6"/>
  <c r="O199" i="6"/>
  <c r="O195" i="6"/>
  <c r="O191" i="6"/>
  <c r="O187" i="6"/>
  <c r="O183" i="6"/>
  <c r="O179" i="6"/>
  <c r="O175" i="6"/>
  <c r="O171" i="6"/>
  <c r="O167" i="6"/>
  <c r="O163" i="6"/>
  <c r="O159" i="6"/>
  <c r="O155" i="6"/>
  <c r="O151" i="6"/>
  <c r="O147" i="6"/>
  <c r="O143" i="6"/>
  <c r="O139" i="6"/>
  <c r="O135" i="6"/>
  <c r="O131" i="6"/>
  <c r="O127" i="6"/>
  <c r="O284" i="6"/>
  <c r="O224" i="6"/>
  <c r="O207" i="6"/>
  <c r="O189" i="6"/>
  <c r="O188" i="6"/>
  <c r="O173" i="6"/>
  <c r="O172" i="6"/>
  <c r="O165" i="6"/>
  <c r="O164" i="6"/>
  <c r="O157" i="6"/>
  <c r="O156" i="6"/>
  <c r="O149" i="6"/>
  <c r="O148" i="6"/>
  <c r="O141" i="6"/>
  <c r="O140" i="6"/>
  <c r="O133" i="6"/>
  <c r="O132" i="6"/>
  <c r="O124" i="6"/>
  <c r="O120" i="6"/>
  <c r="O116" i="6"/>
  <c r="O112" i="6"/>
  <c r="O108" i="6"/>
  <c r="O104" i="6"/>
  <c r="O100" i="6"/>
  <c r="O96" i="6"/>
  <c r="O92" i="6"/>
  <c r="O88" i="6"/>
  <c r="O84" i="6"/>
  <c r="O80" i="6"/>
  <c r="O232" i="6"/>
  <c r="O215" i="6"/>
  <c r="O193" i="6"/>
  <c r="O192" i="6"/>
  <c r="O177" i="6"/>
  <c r="O176" i="6"/>
  <c r="O125" i="6"/>
  <c r="O121" i="6"/>
  <c r="O117" i="6"/>
  <c r="O113" i="6"/>
  <c r="O109" i="6"/>
  <c r="O105" i="6"/>
  <c r="O101" i="6"/>
  <c r="O97" i="6"/>
  <c r="O93" i="6"/>
  <c r="O89" i="6"/>
  <c r="O85" i="6"/>
  <c r="O223" i="6"/>
  <c r="O208" i="6"/>
  <c r="O197" i="6"/>
  <c r="O196" i="6"/>
  <c r="O181" i="6"/>
  <c r="O180" i="6"/>
  <c r="O169" i="6"/>
  <c r="O168" i="6"/>
  <c r="O161" i="6"/>
  <c r="O160" i="6"/>
  <c r="O153" i="6"/>
  <c r="O152" i="6"/>
  <c r="O145" i="6"/>
  <c r="O144" i="6"/>
  <c r="O137" i="6"/>
  <c r="O136" i="6"/>
  <c r="O129" i="6"/>
  <c r="O128" i="6"/>
  <c r="O126" i="6"/>
  <c r="O122" i="6"/>
  <c r="O118" i="6"/>
  <c r="O114" i="6"/>
  <c r="O110" i="6"/>
  <c r="O106" i="6"/>
  <c r="O102" i="6"/>
  <c r="O98" i="6"/>
  <c r="O94" i="6"/>
  <c r="O90" i="6"/>
  <c r="O86" i="6"/>
  <c r="O82" i="6"/>
  <c r="O78" i="6"/>
  <c r="O231" i="6"/>
  <c r="O216" i="6"/>
  <c r="O201" i="6"/>
  <c r="O200" i="6"/>
  <c r="O123" i="6"/>
  <c r="O119" i="6"/>
  <c r="O115" i="6"/>
  <c r="O111" i="6"/>
  <c r="O107" i="6"/>
  <c r="O103" i="6"/>
  <c r="O99" i="6"/>
  <c r="O95" i="6"/>
  <c r="O91" i="6"/>
  <c r="O87" i="6"/>
  <c r="O77" i="6"/>
  <c r="O73" i="6"/>
  <c r="O69" i="6"/>
  <c r="O65" i="6"/>
  <c r="O61" i="6"/>
  <c r="O57" i="6"/>
  <c r="O53" i="6"/>
  <c r="O49" i="6"/>
  <c r="O45" i="6"/>
  <c r="O41" i="6"/>
  <c r="O37" i="6"/>
  <c r="O33" i="6"/>
  <c r="O29" i="6"/>
  <c r="O25" i="6"/>
  <c r="O21" i="6"/>
  <c r="O17" i="6"/>
  <c r="O13" i="6"/>
  <c r="O9" i="6"/>
  <c r="O83" i="6"/>
  <c r="O76" i="6"/>
  <c r="O52" i="6"/>
  <c r="O48" i="6"/>
  <c r="O28" i="6"/>
  <c r="O24" i="6"/>
  <c r="O16" i="6"/>
  <c r="O79" i="6"/>
  <c r="O74" i="6"/>
  <c r="O70" i="6"/>
  <c r="O66" i="6"/>
  <c r="O62" i="6"/>
  <c r="O58" i="6"/>
  <c r="O54" i="6"/>
  <c r="O50" i="6"/>
  <c r="O46" i="6"/>
  <c r="O42" i="6"/>
  <c r="O38" i="6"/>
  <c r="O34" i="6"/>
  <c r="O30" i="6"/>
  <c r="O26" i="6"/>
  <c r="O22" i="6"/>
  <c r="O18" i="6"/>
  <c r="O14" i="6"/>
  <c r="O10" i="6"/>
  <c r="O72" i="6"/>
  <c r="O68" i="6"/>
  <c r="O64" i="6"/>
  <c r="O60" i="6"/>
  <c r="O44" i="6"/>
  <c r="O40" i="6"/>
  <c r="O36" i="6"/>
  <c r="O32" i="6"/>
  <c r="O20" i="6"/>
  <c r="O185" i="6"/>
  <c r="O184" i="6"/>
  <c r="O81" i="6"/>
  <c r="O75" i="6"/>
  <c r="O71" i="6"/>
  <c r="O67" i="6"/>
  <c r="O63" i="6"/>
  <c r="O59" i="6"/>
  <c r="O55" i="6"/>
  <c r="O51" i="6"/>
  <c r="O47" i="6"/>
  <c r="O43" i="6"/>
  <c r="O39" i="6"/>
  <c r="O35" i="6"/>
  <c r="O31" i="6"/>
  <c r="O27" i="6"/>
  <c r="O23" i="6"/>
  <c r="O19" i="6"/>
  <c r="O15" i="6"/>
  <c r="O11" i="6"/>
  <c r="O56" i="6"/>
  <c r="O12" i="6"/>
  <c r="AD372" i="6"/>
  <c r="AN370" i="6"/>
  <c r="AO15" i="6"/>
  <c r="AO370" i="6" s="1"/>
  <c r="W372" i="6"/>
  <c r="AE370" i="6"/>
  <c r="AJ371" i="6"/>
  <c r="AK10" i="6"/>
  <c r="AK371" i="6" s="1"/>
  <c r="AH372" i="6"/>
  <c r="AD370" i="6"/>
  <c r="AG368" i="6"/>
  <c r="AN371" i="6"/>
  <c r="AO10" i="6"/>
  <c r="W370" i="6"/>
  <c r="AX373" i="6"/>
  <c r="AG372" i="6"/>
  <c r="L364" i="6"/>
  <c r="L365" i="6"/>
  <c r="L363" i="6"/>
  <c r="L359" i="6"/>
  <c r="L366" i="6"/>
  <c r="L357" i="6"/>
  <c r="L353" i="6"/>
  <c r="L349" i="6"/>
  <c r="L345" i="6"/>
  <c r="L341" i="6"/>
  <c r="L367" i="6"/>
  <c r="L362" i="6"/>
  <c r="L361" i="6"/>
  <c r="L356" i="6"/>
  <c r="L354" i="6"/>
  <c r="L352" i="6"/>
  <c r="L343" i="6"/>
  <c r="L338" i="6"/>
  <c r="L334" i="6"/>
  <c r="L358" i="6"/>
  <c r="L355" i="6"/>
  <c r="L348" i="6"/>
  <c r="L347" i="6"/>
  <c r="L342" i="6"/>
  <c r="L340" i="6"/>
  <c r="L339" i="6"/>
  <c r="L337" i="6"/>
  <c r="L331" i="6"/>
  <c r="L327" i="6"/>
  <c r="L323" i="6"/>
  <c r="L360" i="6"/>
  <c r="L346" i="6"/>
  <c r="L335" i="6"/>
  <c r="L333" i="6"/>
  <c r="L328" i="6"/>
  <c r="L324" i="6"/>
  <c r="L320" i="6"/>
  <c r="L316" i="6"/>
  <c r="L350" i="6"/>
  <c r="L344" i="6"/>
  <c r="L351" i="6"/>
  <c r="L336" i="6"/>
  <c r="L325" i="6"/>
  <c r="L322" i="6"/>
  <c r="L317" i="6"/>
  <c r="L315" i="6"/>
  <c r="L311" i="6"/>
  <c r="L307" i="6"/>
  <c r="L303" i="6"/>
  <c r="L299" i="6"/>
  <c r="L295" i="6"/>
  <c r="L291" i="6"/>
  <c r="L287" i="6"/>
  <c r="L283" i="6"/>
  <c r="L329" i="6"/>
  <c r="L326" i="6"/>
  <c r="L318" i="6"/>
  <c r="L313" i="6"/>
  <c r="L312" i="6"/>
  <c r="L308" i="6"/>
  <c r="L330" i="6"/>
  <c r="L314" i="6"/>
  <c r="L332" i="6"/>
  <c r="L309" i="6"/>
  <c r="L306" i="6"/>
  <c r="L304" i="6"/>
  <c r="L302" i="6"/>
  <c r="L293" i="6"/>
  <c r="L288" i="6"/>
  <c r="L310" i="6"/>
  <c r="L305" i="6"/>
  <c r="L300" i="6"/>
  <c r="L298" i="6"/>
  <c r="L289" i="6"/>
  <c r="L319" i="6"/>
  <c r="L301" i="6"/>
  <c r="L296" i="6"/>
  <c r="L294" i="6"/>
  <c r="L286" i="6"/>
  <c r="L279" i="6"/>
  <c r="L275" i="6"/>
  <c r="L271" i="6"/>
  <c r="L267" i="6"/>
  <c r="L263" i="6"/>
  <c r="L259" i="6"/>
  <c r="L255" i="6"/>
  <c r="L251" i="6"/>
  <c r="L247" i="6"/>
  <c r="L243" i="6"/>
  <c r="L284" i="6"/>
  <c r="L282" i="6"/>
  <c r="L280" i="6"/>
  <c r="L276" i="6"/>
  <c r="L272" i="6"/>
  <c r="L268" i="6"/>
  <c r="L264" i="6"/>
  <c r="L260" i="6"/>
  <c r="L256" i="6"/>
  <c r="L252" i="6"/>
  <c r="L248" i="6"/>
  <c r="L244" i="6"/>
  <c r="L285" i="6"/>
  <c r="L277" i="6"/>
  <c r="L273" i="6"/>
  <c r="L269" i="6"/>
  <c r="L265" i="6"/>
  <c r="L261" i="6"/>
  <c r="L257" i="6"/>
  <c r="L253" i="6"/>
  <c r="L249" i="6"/>
  <c r="L245" i="6"/>
  <c r="L241" i="6"/>
  <c r="L297" i="6"/>
  <c r="L242" i="6"/>
  <c r="L238" i="6"/>
  <c r="L234" i="6"/>
  <c r="L230" i="6"/>
  <c r="L226" i="6"/>
  <c r="L222" i="6"/>
  <c r="L218" i="6"/>
  <c r="L214" i="6"/>
  <c r="L210" i="6"/>
  <c r="L290" i="6"/>
  <c r="L239" i="6"/>
  <c r="L235" i="6"/>
  <c r="L231" i="6"/>
  <c r="L227" i="6"/>
  <c r="L223" i="6"/>
  <c r="L219" i="6"/>
  <c r="L215" i="6"/>
  <c r="L211" i="6"/>
  <c r="L207" i="6"/>
  <c r="L281" i="6"/>
  <c r="L274" i="6"/>
  <c r="L266" i="6"/>
  <c r="L258" i="6"/>
  <c r="L250" i="6"/>
  <c r="L240" i="6"/>
  <c r="L232" i="6"/>
  <c r="L229" i="6"/>
  <c r="L224" i="6"/>
  <c r="L221" i="6"/>
  <c r="L216" i="6"/>
  <c r="L213" i="6"/>
  <c r="L208" i="6"/>
  <c r="L203" i="6"/>
  <c r="L199" i="6"/>
  <c r="L195" i="6"/>
  <c r="L191" i="6"/>
  <c r="L187" i="6"/>
  <c r="L183" i="6"/>
  <c r="L179" i="6"/>
  <c r="L175" i="6"/>
  <c r="L171" i="6"/>
  <c r="L167" i="6"/>
  <c r="L163" i="6"/>
  <c r="L159" i="6"/>
  <c r="L155" i="6"/>
  <c r="L151" i="6"/>
  <c r="L147" i="6"/>
  <c r="L143" i="6"/>
  <c r="L139" i="6"/>
  <c r="L135" i="6"/>
  <c r="L131" i="6"/>
  <c r="L292" i="6"/>
  <c r="L206" i="6"/>
  <c r="L200" i="6"/>
  <c r="L196" i="6"/>
  <c r="L192" i="6"/>
  <c r="L188" i="6"/>
  <c r="L184" i="6"/>
  <c r="L180" i="6"/>
  <c r="L176" i="6"/>
  <c r="L172" i="6"/>
  <c r="L168" i="6"/>
  <c r="L164" i="6"/>
  <c r="L160" i="6"/>
  <c r="L156" i="6"/>
  <c r="L152" i="6"/>
  <c r="L148" i="6"/>
  <c r="L144" i="6"/>
  <c r="L140" i="6"/>
  <c r="L136" i="6"/>
  <c r="L132" i="6"/>
  <c r="L128" i="6"/>
  <c r="L278" i="6"/>
  <c r="L270" i="6"/>
  <c r="L262" i="6"/>
  <c r="L254" i="6"/>
  <c r="L246" i="6"/>
  <c r="L236" i="6"/>
  <c r="L217" i="6"/>
  <c r="L197" i="6"/>
  <c r="L194" i="6"/>
  <c r="L181" i="6"/>
  <c r="L178" i="6"/>
  <c r="L169" i="6"/>
  <c r="L166" i="6"/>
  <c r="L161" i="6"/>
  <c r="L158" i="6"/>
  <c r="L153" i="6"/>
  <c r="L150" i="6"/>
  <c r="L145" i="6"/>
  <c r="L142" i="6"/>
  <c r="L137" i="6"/>
  <c r="L134" i="6"/>
  <c r="L129" i="6"/>
  <c r="L125" i="6"/>
  <c r="L121" i="6"/>
  <c r="L117" i="6"/>
  <c r="L113" i="6"/>
  <c r="L109" i="6"/>
  <c r="L105" i="6"/>
  <c r="L101" i="6"/>
  <c r="L97" i="6"/>
  <c r="L93" i="6"/>
  <c r="L89" i="6"/>
  <c r="L85" i="6"/>
  <c r="L81" i="6"/>
  <c r="L77" i="6"/>
  <c r="L237" i="6"/>
  <c r="L225" i="6"/>
  <c r="L212" i="6"/>
  <c r="L205" i="6"/>
  <c r="L201" i="6"/>
  <c r="L198" i="6"/>
  <c r="L185" i="6"/>
  <c r="L182" i="6"/>
  <c r="L126" i="6"/>
  <c r="L122" i="6"/>
  <c r="L118" i="6"/>
  <c r="L114" i="6"/>
  <c r="L110" i="6"/>
  <c r="L106" i="6"/>
  <c r="L102" i="6"/>
  <c r="L98" i="6"/>
  <c r="L94" i="6"/>
  <c r="L90" i="6"/>
  <c r="L86" i="6"/>
  <c r="L233" i="6"/>
  <c r="L220" i="6"/>
  <c r="L204" i="6"/>
  <c r="L202" i="6"/>
  <c r="L189" i="6"/>
  <c r="L186" i="6"/>
  <c r="L173" i="6"/>
  <c r="L170" i="6"/>
  <c r="L165" i="6"/>
  <c r="L162" i="6"/>
  <c r="L157" i="6"/>
  <c r="L154" i="6"/>
  <c r="L149" i="6"/>
  <c r="L146" i="6"/>
  <c r="L141" i="6"/>
  <c r="L138" i="6"/>
  <c r="L133" i="6"/>
  <c r="L130" i="6"/>
  <c r="L127" i="6"/>
  <c r="L123" i="6"/>
  <c r="L119" i="6"/>
  <c r="L115" i="6"/>
  <c r="L111" i="6"/>
  <c r="L107" i="6"/>
  <c r="L103" i="6"/>
  <c r="L99" i="6"/>
  <c r="L95" i="6"/>
  <c r="L91" i="6"/>
  <c r="L87" i="6"/>
  <c r="L83" i="6"/>
  <c r="L79" i="6"/>
  <c r="L228" i="6"/>
  <c r="L78" i="6"/>
  <c r="L74" i="6"/>
  <c r="L70" i="6"/>
  <c r="L66" i="6"/>
  <c r="L62" i="6"/>
  <c r="L58" i="6"/>
  <c r="L54" i="6"/>
  <c r="L50" i="6"/>
  <c r="L46" i="6"/>
  <c r="L42" i="6"/>
  <c r="L38" i="6"/>
  <c r="L34" i="6"/>
  <c r="L30" i="6"/>
  <c r="L26" i="6"/>
  <c r="L22" i="6"/>
  <c r="L18" i="6"/>
  <c r="L14" i="6"/>
  <c r="L10" i="6"/>
  <c r="L11" i="6"/>
  <c r="L321" i="6"/>
  <c r="L73" i="6"/>
  <c r="L69" i="6"/>
  <c r="L65" i="6"/>
  <c r="L37" i="6"/>
  <c r="L33" i="6"/>
  <c r="L29" i="6"/>
  <c r="L25" i="6"/>
  <c r="L21" i="6"/>
  <c r="L9" i="6"/>
  <c r="L209" i="6"/>
  <c r="L193" i="6"/>
  <c r="L174" i="6"/>
  <c r="L80" i="6"/>
  <c r="L75" i="6"/>
  <c r="L71" i="6"/>
  <c r="L67" i="6"/>
  <c r="L63" i="6"/>
  <c r="L59" i="6"/>
  <c r="L55" i="6"/>
  <c r="L51" i="6"/>
  <c r="L47" i="6"/>
  <c r="L43" i="6"/>
  <c r="L39" i="6"/>
  <c r="L35" i="6"/>
  <c r="L31" i="6"/>
  <c r="L27" i="6"/>
  <c r="L23" i="6"/>
  <c r="L19" i="6"/>
  <c r="L15" i="6"/>
  <c r="L84" i="6"/>
  <c r="L41" i="6"/>
  <c r="L124" i="6"/>
  <c r="L120" i="6"/>
  <c r="L116" i="6"/>
  <c r="L112" i="6"/>
  <c r="L108" i="6"/>
  <c r="L104" i="6"/>
  <c r="L100" i="6"/>
  <c r="L96" i="6"/>
  <c r="L92" i="6"/>
  <c r="L88" i="6"/>
  <c r="L82" i="6"/>
  <c r="L76" i="6"/>
  <c r="L72" i="6"/>
  <c r="L68" i="6"/>
  <c r="L64" i="6"/>
  <c r="L60" i="6"/>
  <c r="L56" i="6"/>
  <c r="L52" i="6"/>
  <c r="L48" i="6"/>
  <c r="L44" i="6"/>
  <c r="L40" i="6"/>
  <c r="L36" i="6"/>
  <c r="L32" i="6"/>
  <c r="L28" i="6"/>
  <c r="L24" i="6"/>
  <c r="L20" i="6"/>
  <c r="L16" i="6"/>
  <c r="L12" i="6"/>
  <c r="L190" i="6"/>
  <c r="L177" i="6"/>
  <c r="L61" i="6"/>
  <c r="L57" i="6"/>
  <c r="L53" i="6"/>
  <c r="L49" i="6"/>
  <c r="L45" i="6"/>
  <c r="L17" i="6"/>
  <c r="L13" i="6"/>
  <c r="AB10" i="6"/>
  <c r="AK372" i="6"/>
  <c r="AJ368" i="6"/>
  <c r="AG370" i="6"/>
  <c r="AH15" i="6"/>
  <c r="AH370" i="6" s="1"/>
  <c r="T372" i="6"/>
  <c r="S373" i="6"/>
  <c r="AD371" i="6"/>
  <c r="AE10" i="6"/>
  <c r="AE371" i="6" s="1"/>
  <c r="AD368" i="6"/>
  <c r="T370" i="6"/>
  <c r="AN372" i="6"/>
  <c r="AU389" i="6"/>
  <c r="T371" i="6"/>
  <c r="U10" i="6"/>
  <c r="AE372" i="6"/>
  <c r="AJ372" i="6"/>
  <c r="AJ370" i="6"/>
  <c r="AN368" i="6"/>
  <c r="G373" i="6"/>
  <c r="W371" i="6"/>
  <c r="X10" i="6"/>
  <c r="X371" i="6" s="1"/>
  <c r="AR374" i="6" l="1"/>
  <c r="AR376" i="6" s="1"/>
  <c r="D17" i="6" s="1"/>
  <c r="D13" i="6"/>
  <c r="D21" i="6"/>
  <c r="D25" i="6"/>
  <c r="D29" i="6"/>
  <c r="D33" i="6"/>
  <c r="D37" i="6"/>
  <c r="D41" i="6"/>
  <c r="D45" i="6"/>
  <c r="D49" i="6"/>
  <c r="D53" i="6"/>
  <c r="D57" i="6"/>
  <c r="D61" i="6"/>
  <c r="D65" i="6"/>
  <c r="D69" i="6"/>
  <c r="D73" i="6"/>
  <c r="D77" i="6"/>
  <c r="D81" i="6"/>
  <c r="D85" i="6"/>
  <c r="D89" i="6"/>
  <c r="D93" i="6"/>
  <c r="D97" i="6"/>
  <c r="D101" i="6"/>
  <c r="D105" i="6"/>
  <c r="D109" i="6"/>
  <c r="D113" i="6"/>
  <c r="D117" i="6"/>
  <c r="D121" i="6"/>
  <c r="D125" i="6"/>
  <c r="D129" i="6"/>
  <c r="D133" i="6"/>
  <c r="D137" i="6"/>
  <c r="D141" i="6"/>
  <c r="D145" i="6"/>
  <c r="D149" i="6"/>
  <c r="D153" i="6"/>
  <c r="D157" i="6"/>
  <c r="D161" i="6"/>
  <c r="D165" i="6"/>
  <c r="D169" i="6"/>
  <c r="D173" i="6"/>
  <c r="D177" i="6"/>
  <c r="D181" i="6"/>
  <c r="D185" i="6"/>
  <c r="D189" i="6"/>
  <c r="D193" i="6"/>
  <c r="D197" i="6"/>
  <c r="D201" i="6"/>
  <c r="D205" i="6"/>
  <c r="D209" i="6"/>
  <c r="D213" i="6"/>
  <c r="D217" i="6"/>
  <c r="D221" i="6"/>
  <c r="D225" i="6"/>
  <c r="D229" i="6"/>
  <c r="D233" i="6"/>
  <c r="D237" i="6"/>
  <c r="D241" i="6"/>
  <c r="D245" i="6"/>
  <c r="D249" i="6"/>
  <c r="D253" i="6"/>
  <c r="D257" i="6"/>
  <c r="D261" i="6"/>
  <c r="D265" i="6"/>
  <c r="D269" i="6"/>
  <c r="D273" i="6"/>
  <c r="D277" i="6"/>
  <c r="D281" i="6"/>
  <c r="D285" i="6"/>
  <c r="D289" i="6"/>
  <c r="D293" i="6"/>
  <c r="D297" i="6"/>
  <c r="D301" i="6"/>
  <c r="D305" i="6"/>
  <c r="D10" i="6"/>
  <c r="D14" i="6"/>
  <c r="D18" i="6"/>
  <c r="D22" i="6"/>
  <c r="D26" i="6"/>
  <c r="D30" i="6"/>
  <c r="D34" i="6"/>
  <c r="D38" i="6"/>
  <c r="D42" i="6"/>
  <c r="D46" i="6"/>
  <c r="D50" i="6"/>
  <c r="D54" i="6"/>
  <c r="D58" i="6"/>
  <c r="D62" i="6"/>
  <c r="D66" i="6"/>
  <c r="D70" i="6"/>
  <c r="D74" i="6"/>
  <c r="D78" i="6"/>
  <c r="D82" i="6"/>
  <c r="D86" i="6"/>
  <c r="D90" i="6"/>
  <c r="D94" i="6"/>
  <c r="D98" i="6"/>
  <c r="D102" i="6"/>
  <c r="D106" i="6"/>
  <c r="D110" i="6"/>
  <c r="D114" i="6"/>
  <c r="D118" i="6"/>
  <c r="D122" i="6"/>
  <c r="D126" i="6"/>
  <c r="D130" i="6"/>
  <c r="D134" i="6"/>
  <c r="D138" i="6"/>
  <c r="D142" i="6"/>
  <c r="D146" i="6"/>
  <c r="D150" i="6"/>
  <c r="D154" i="6"/>
  <c r="D158" i="6"/>
  <c r="D162" i="6"/>
  <c r="D166" i="6"/>
  <c r="D170" i="6"/>
  <c r="D174" i="6"/>
  <c r="D178" i="6"/>
  <c r="D182" i="6"/>
  <c r="D186" i="6"/>
  <c r="D190" i="6"/>
  <c r="D194" i="6"/>
  <c r="D198" i="6"/>
  <c r="D202" i="6"/>
  <c r="D206" i="6"/>
  <c r="D210" i="6"/>
  <c r="D214" i="6"/>
  <c r="D218" i="6"/>
  <c r="D222" i="6"/>
  <c r="D226" i="6"/>
  <c r="D230" i="6"/>
  <c r="D234" i="6"/>
  <c r="D238" i="6"/>
  <c r="D242" i="6"/>
  <c r="D246" i="6"/>
  <c r="D250" i="6"/>
  <c r="D254" i="6"/>
  <c r="D258" i="6"/>
  <c r="D262" i="6"/>
  <c r="D266" i="6"/>
  <c r="D270" i="6"/>
  <c r="D274" i="6"/>
  <c r="D278" i="6"/>
  <c r="D282" i="6"/>
  <c r="D286" i="6"/>
  <c r="D290" i="6"/>
  <c r="D294" i="6"/>
  <c r="D11" i="6"/>
  <c r="D15" i="6"/>
  <c r="D19" i="6"/>
  <c r="D23" i="6"/>
  <c r="D27" i="6"/>
  <c r="D31" i="6"/>
  <c r="D35" i="6"/>
  <c r="D39" i="6"/>
  <c r="D43" i="6"/>
  <c r="D47" i="6"/>
  <c r="D51" i="6"/>
  <c r="D55" i="6"/>
  <c r="D59" i="6"/>
  <c r="D63" i="6"/>
  <c r="D67" i="6"/>
  <c r="D71" i="6"/>
  <c r="D75" i="6"/>
  <c r="D79" i="6"/>
  <c r="D83" i="6"/>
  <c r="D87" i="6"/>
  <c r="D91" i="6"/>
  <c r="D95" i="6"/>
  <c r="D99" i="6"/>
  <c r="D103" i="6"/>
  <c r="D107" i="6"/>
  <c r="D111" i="6"/>
  <c r="D115" i="6"/>
  <c r="D119" i="6"/>
  <c r="D123" i="6"/>
  <c r="D127" i="6"/>
  <c r="D131" i="6"/>
  <c r="D135" i="6"/>
  <c r="D139" i="6"/>
  <c r="D143" i="6"/>
  <c r="D147" i="6"/>
  <c r="D151" i="6"/>
  <c r="D155" i="6"/>
  <c r="D159" i="6"/>
  <c r="D163" i="6"/>
  <c r="D167" i="6"/>
  <c r="D171" i="6"/>
  <c r="D175" i="6"/>
  <c r="D179" i="6"/>
  <c r="D183" i="6"/>
  <c r="D187" i="6"/>
  <c r="D191" i="6"/>
  <c r="D195" i="6"/>
  <c r="D199" i="6"/>
  <c r="D203" i="6"/>
  <c r="D207" i="6"/>
  <c r="D211" i="6"/>
  <c r="D215" i="6"/>
  <c r="D219" i="6"/>
  <c r="D223" i="6"/>
  <c r="D227" i="6"/>
  <c r="D231" i="6"/>
  <c r="D235" i="6"/>
  <c r="D239" i="6"/>
  <c r="D243" i="6"/>
  <c r="D247" i="6"/>
  <c r="D251" i="6"/>
  <c r="D255" i="6"/>
  <c r="D259" i="6"/>
  <c r="D263" i="6"/>
  <c r="D267" i="6"/>
  <c r="D271" i="6"/>
  <c r="D275" i="6"/>
  <c r="D279" i="6"/>
  <c r="D283" i="6"/>
  <c r="D287" i="6"/>
  <c r="D291" i="6"/>
  <c r="D295" i="6"/>
  <c r="D299" i="6"/>
  <c r="D303" i="6"/>
  <c r="D307" i="6"/>
  <c r="D311" i="6"/>
  <c r="D315" i="6"/>
  <c r="D319" i="6"/>
  <c r="D323" i="6"/>
  <c r="D327" i="6"/>
  <c r="D331" i="6"/>
  <c r="D335" i="6"/>
  <c r="D339" i="6"/>
  <c r="D343" i="6"/>
  <c r="D347" i="6"/>
  <c r="D24" i="6"/>
  <c r="D40" i="6"/>
  <c r="D56" i="6"/>
  <c r="D72" i="6"/>
  <c r="D88" i="6"/>
  <c r="D104" i="6"/>
  <c r="D120" i="6"/>
  <c r="D136" i="6"/>
  <c r="D152" i="6"/>
  <c r="D168" i="6"/>
  <c r="D184" i="6"/>
  <c r="D200" i="6"/>
  <c r="D216" i="6"/>
  <c r="D232" i="6"/>
  <c r="D248" i="6"/>
  <c r="D264" i="6"/>
  <c r="D280" i="6"/>
  <c r="D296" i="6"/>
  <c r="D304" i="6"/>
  <c r="D310" i="6"/>
  <c r="D316" i="6"/>
  <c r="D321" i="6"/>
  <c r="D326" i="6"/>
  <c r="D332" i="6"/>
  <c r="D337" i="6"/>
  <c r="D342" i="6"/>
  <c r="D348" i="6"/>
  <c r="D352" i="6"/>
  <c r="D356" i="6"/>
  <c r="D360" i="6"/>
  <c r="D364" i="6"/>
  <c r="D9" i="6"/>
  <c r="D64" i="6"/>
  <c r="D112" i="6"/>
  <c r="D144" i="6"/>
  <c r="D176" i="6"/>
  <c r="D208" i="6"/>
  <c r="D240" i="6"/>
  <c r="D272" i="6"/>
  <c r="D300" i="6"/>
  <c r="D313" i="6"/>
  <c r="D324" i="6"/>
  <c r="D334" i="6"/>
  <c r="D345" i="6"/>
  <c r="D354" i="6"/>
  <c r="D362" i="6"/>
  <c r="D20" i="6"/>
  <c r="D52" i="6"/>
  <c r="D84" i="6"/>
  <c r="D116" i="6"/>
  <c r="D148" i="6"/>
  <c r="D180" i="6"/>
  <c r="D212" i="6"/>
  <c r="D244" i="6"/>
  <c r="D276" i="6"/>
  <c r="D309" i="6"/>
  <c r="D320" i="6"/>
  <c r="D330" i="6"/>
  <c r="D341" i="6"/>
  <c r="D351" i="6"/>
  <c r="D359" i="6"/>
  <c r="D367" i="6"/>
  <c r="D12" i="6"/>
  <c r="D28" i="6"/>
  <c r="D44" i="6"/>
  <c r="D60" i="6"/>
  <c r="D76" i="6"/>
  <c r="D92" i="6"/>
  <c r="D108" i="6"/>
  <c r="D124" i="6"/>
  <c r="D140" i="6"/>
  <c r="D156" i="6"/>
  <c r="D172" i="6"/>
  <c r="D188" i="6"/>
  <c r="D204" i="6"/>
  <c r="D220" i="6"/>
  <c r="D236" i="6"/>
  <c r="D252" i="6"/>
  <c r="D268" i="6"/>
  <c r="D284" i="6"/>
  <c r="D298" i="6"/>
  <c r="D306" i="6"/>
  <c r="D312" i="6"/>
  <c r="D317" i="6"/>
  <c r="D322" i="6"/>
  <c r="D328" i="6"/>
  <c r="D333" i="6"/>
  <c r="D338" i="6"/>
  <c r="D344" i="6"/>
  <c r="D349" i="6"/>
  <c r="D353" i="6"/>
  <c r="D357" i="6"/>
  <c r="D361" i="6"/>
  <c r="D365" i="6"/>
  <c r="D16" i="6"/>
  <c r="D32" i="6"/>
  <c r="D48" i="6"/>
  <c r="D80" i="6"/>
  <c r="D96" i="6"/>
  <c r="D128" i="6"/>
  <c r="D160" i="6"/>
  <c r="D192" i="6"/>
  <c r="D224" i="6"/>
  <c r="D256" i="6"/>
  <c r="D288" i="6"/>
  <c r="D308" i="6"/>
  <c r="D318" i="6"/>
  <c r="D329" i="6"/>
  <c r="D340" i="6"/>
  <c r="D350" i="6"/>
  <c r="D358" i="6"/>
  <c r="D366" i="6"/>
  <c r="D36" i="6"/>
  <c r="D68" i="6"/>
  <c r="D100" i="6"/>
  <c r="D132" i="6"/>
  <c r="D164" i="6"/>
  <c r="D196" i="6"/>
  <c r="D228" i="6"/>
  <c r="D260" i="6"/>
  <c r="D292" i="6"/>
  <c r="D302" i="6"/>
  <c r="D314" i="6"/>
  <c r="D325" i="6"/>
  <c r="D336" i="6"/>
  <c r="D346" i="6"/>
  <c r="D355" i="6"/>
  <c r="D363" i="6"/>
  <c r="F373" i="6"/>
  <c r="J376" i="6"/>
  <c r="J344" i="6" s="1"/>
  <c r="AK368" i="6"/>
  <c r="AE368" i="6"/>
  <c r="X373" i="6"/>
  <c r="AK373" i="6"/>
  <c r="M177" i="6"/>
  <c r="P177" i="6"/>
  <c r="M52" i="6"/>
  <c r="P52" i="6"/>
  <c r="M104" i="6"/>
  <c r="P104" i="6"/>
  <c r="M31" i="6"/>
  <c r="P31" i="6"/>
  <c r="M80" i="6"/>
  <c r="P80" i="6"/>
  <c r="P73" i="6"/>
  <c r="M73" i="6"/>
  <c r="P46" i="6"/>
  <c r="M46" i="6"/>
  <c r="M78" i="6"/>
  <c r="P78" i="6"/>
  <c r="M103" i="6"/>
  <c r="P103" i="6"/>
  <c r="M149" i="6"/>
  <c r="P149" i="6"/>
  <c r="M98" i="6"/>
  <c r="P98" i="6"/>
  <c r="M205" i="6"/>
  <c r="P205" i="6"/>
  <c r="P109" i="6"/>
  <c r="M109" i="6"/>
  <c r="P158" i="6"/>
  <c r="M158" i="6"/>
  <c r="M262" i="6"/>
  <c r="P262" i="6"/>
  <c r="M164" i="6"/>
  <c r="P164" i="6"/>
  <c r="P131" i="6"/>
  <c r="M131" i="6"/>
  <c r="P195" i="6"/>
  <c r="M195" i="6"/>
  <c r="P207" i="6"/>
  <c r="M207" i="6"/>
  <c r="P241" i="6"/>
  <c r="M241" i="6"/>
  <c r="U371" i="6"/>
  <c r="U373" i="6" s="1"/>
  <c r="U368" i="6"/>
  <c r="AH373" i="6"/>
  <c r="M13" i="6"/>
  <c r="P13" i="6"/>
  <c r="P53" i="6"/>
  <c r="M53" i="6"/>
  <c r="P190" i="6"/>
  <c r="M190" i="6"/>
  <c r="M24" i="6"/>
  <c r="P24" i="6"/>
  <c r="M40" i="6"/>
  <c r="P40" i="6"/>
  <c r="M56" i="6"/>
  <c r="P56" i="6"/>
  <c r="M72" i="6"/>
  <c r="P72" i="6"/>
  <c r="M92" i="6"/>
  <c r="P92" i="6"/>
  <c r="M108" i="6"/>
  <c r="P108" i="6"/>
  <c r="M124" i="6"/>
  <c r="P124" i="6"/>
  <c r="M19" i="6"/>
  <c r="P19" i="6"/>
  <c r="M35" i="6"/>
  <c r="P35" i="6"/>
  <c r="M51" i="6"/>
  <c r="P51" i="6"/>
  <c r="M67" i="6"/>
  <c r="P67" i="6"/>
  <c r="P174" i="6"/>
  <c r="M174" i="6"/>
  <c r="P21" i="6"/>
  <c r="M21" i="6"/>
  <c r="M37" i="6"/>
  <c r="P37" i="6"/>
  <c r="M321" i="6"/>
  <c r="P321" i="6"/>
  <c r="P18" i="6"/>
  <c r="M18" i="6"/>
  <c r="P34" i="6"/>
  <c r="M34" i="6"/>
  <c r="P50" i="6"/>
  <c r="M50" i="6"/>
  <c r="P66" i="6"/>
  <c r="M66" i="6"/>
  <c r="M228" i="6"/>
  <c r="P228" i="6"/>
  <c r="M91" i="6"/>
  <c r="P91" i="6"/>
  <c r="M107" i="6"/>
  <c r="P107" i="6"/>
  <c r="M123" i="6"/>
  <c r="P123" i="6"/>
  <c r="M138" i="6"/>
  <c r="P138" i="6"/>
  <c r="M154" i="6"/>
  <c r="P154" i="6"/>
  <c r="M170" i="6"/>
  <c r="P170" i="6"/>
  <c r="M202" i="6"/>
  <c r="P202" i="6"/>
  <c r="M86" i="6"/>
  <c r="P86" i="6"/>
  <c r="M102" i="6"/>
  <c r="P102" i="6"/>
  <c r="M118" i="6"/>
  <c r="P118" i="6"/>
  <c r="M185" i="6"/>
  <c r="P185" i="6"/>
  <c r="M212" i="6"/>
  <c r="P212" i="6"/>
  <c r="P81" i="6"/>
  <c r="M81" i="6"/>
  <c r="P97" i="6"/>
  <c r="M97" i="6"/>
  <c r="P113" i="6"/>
  <c r="M113" i="6"/>
  <c r="M129" i="6"/>
  <c r="P129" i="6"/>
  <c r="M145" i="6"/>
  <c r="P145" i="6"/>
  <c r="M161" i="6"/>
  <c r="P161" i="6"/>
  <c r="M181" i="6"/>
  <c r="P181" i="6"/>
  <c r="M236" i="6"/>
  <c r="P236" i="6"/>
  <c r="M270" i="6"/>
  <c r="P270" i="6"/>
  <c r="M136" i="6"/>
  <c r="P136" i="6"/>
  <c r="M152" i="6"/>
  <c r="P152" i="6"/>
  <c r="M168" i="6"/>
  <c r="P168" i="6"/>
  <c r="M184" i="6"/>
  <c r="P184" i="6"/>
  <c r="M200" i="6"/>
  <c r="P200" i="6"/>
  <c r="P135" i="6"/>
  <c r="M135" i="6"/>
  <c r="P151" i="6"/>
  <c r="M151" i="6"/>
  <c r="P167" i="6"/>
  <c r="M167" i="6"/>
  <c r="P183" i="6"/>
  <c r="M183" i="6"/>
  <c r="P199" i="6"/>
  <c r="M199" i="6"/>
  <c r="M216" i="6"/>
  <c r="P216" i="6"/>
  <c r="M232" i="6"/>
  <c r="P232" i="6"/>
  <c r="M266" i="6"/>
  <c r="P266" i="6"/>
  <c r="M211" i="6"/>
  <c r="P211" i="6"/>
  <c r="M227" i="6"/>
  <c r="P227" i="6"/>
  <c r="P290" i="6"/>
  <c r="M290" i="6"/>
  <c r="P222" i="6"/>
  <c r="M222" i="6"/>
  <c r="P238" i="6"/>
  <c r="M238" i="6"/>
  <c r="M245" i="6"/>
  <c r="P245" i="6"/>
  <c r="M261" i="6"/>
  <c r="P261" i="6"/>
  <c r="M277" i="6"/>
  <c r="P277" i="6"/>
  <c r="M252" i="6"/>
  <c r="P252" i="6"/>
  <c r="M268" i="6"/>
  <c r="P268" i="6"/>
  <c r="M282" i="6"/>
  <c r="P282" i="6"/>
  <c r="P251" i="6"/>
  <c r="M251" i="6"/>
  <c r="P267" i="6"/>
  <c r="M267" i="6"/>
  <c r="P286" i="6"/>
  <c r="M286" i="6"/>
  <c r="P319" i="6"/>
  <c r="M319" i="6"/>
  <c r="M305" i="6"/>
  <c r="P305" i="6"/>
  <c r="P302" i="6"/>
  <c r="M302" i="6"/>
  <c r="P332" i="6"/>
  <c r="M332" i="6"/>
  <c r="P312" i="6"/>
  <c r="M312" i="6"/>
  <c r="M329" i="6"/>
  <c r="P329" i="6"/>
  <c r="P295" i="6"/>
  <c r="M295" i="6"/>
  <c r="P311" i="6"/>
  <c r="M311" i="6"/>
  <c r="M325" i="6"/>
  <c r="P325" i="6"/>
  <c r="M350" i="6"/>
  <c r="P350" i="6"/>
  <c r="M328" i="6"/>
  <c r="P328" i="6"/>
  <c r="M360" i="6"/>
  <c r="P360" i="6"/>
  <c r="P337" i="6"/>
  <c r="M337" i="6"/>
  <c r="P347" i="6"/>
  <c r="M347" i="6"/>
  <c r="P334" i="6"/>
  <c r="M334" i="6"/>
  <c r="M354" i="6"/>
  <c r="P354" i="6"/>
  <c r="M367" i="6"/>
  <c r="P367" i="6"/>
  <c r="P353" i="6"/>
  <c r="M353" i="6"/>
  <c r="P363" i="6"/>
  <c r="M363" i="6"/>
  <c r="P49" i="6"/>
  <c r="M49" i="6"/>
  <c r="M36" i="6"/>
  <c r="P36" i="6"/>
  <c r="M88" i="6"/>
  <c r="P88" i="6"/>
  <c r="L370" i="6"/>
  <c r="M15" i="6"/>
  <c r="P15" i="6"/>
  <c r="M63" i="6"/>
  <c r="P63" i="6"/>
  <c r="M33" i="6"/>
  <c r="P33" i="6"/>
  <c r="P62" i="6"/>
  <c r="M62" i="6"/>
  <c r="M133" i="6"/>
  <c r="P133" i="6"/>
  <c r="M189" i="6"/>
  <c r="P189" i="6"/>
  <c r="M114" i="6"/>
  <c r="P114" i="6"/>
  <c r="P77" i="6"/>
  <c r="M77" i="6"/>
  <c r="P125" i="6"/>
  <c r="M125" i="6"/>
  <c r="P178" i="6"/>
  <c r="M178" i="6"/>
  <c r="M148" i="6"/>
  <c r="P148" i="6"/>
  <c r="M196" i="6"/>
  <c r="P196" i="6"/>
  <c r="P163" i="6"/>
  <c r="M163" i="6"/>
  <c r="P213" i="6"/>
  <c r="M213" i="6"/>
  <c r="M258" i="6"/>
  <c r="P258" i="6"/>
  <c r="M239" i="6"/>
  <c r="P239" i="6"/>
  <c r="P218" i="6"/>
  <c r="M218" i="6"/>
  <c r="M257" i="6"/>
  <c r="P257" i="6"/>
  <c r="M248" i="6"/>
  <c r="P248" i="6"/>
  <c r="M280" i="6"/>
  <c r="P280" i="6"/>
  <c r="P263" i="6"/>
  <c r="M263" i="6"/>
  <c r="M300" i="6"/>
  <c r="P300" i="6"/>
  <c r="M309" i="6"/>
  <c r="P309" i="6"/>
  <c r="M326" i="6"/>
  <c r="P326" i="6"/>
  <c r="P307" i="6"/>
  <c r="M307" i="6"/>
  <c r="M344" i="6"/>
  <c r="P344" i="6"/>
  <c r="M346" i="6"/>
  <c r="P346" i="6"/>
  <c r="M342" i="6"/>
  <c r="P342" i="6"/>
  <c r="P358" i="6"/>
  <c r="M358" i="6"/>
  <c r="M362" i="6"/>
  <c r="P362" i="6"/>
  <c r="P349" i="6"/>
  <c r="M349" i="6"/>
  <c r="P359" i="6"/>
  <c r="M359" i="6"/>
  <c r="O372" i="6"/>
  <c r="O368" i="6"/>
  <c r="AG373" i="6"/>
  <c r="P17" i="6"/>
  <c r="M17" i="6"/>
  <c r="P57" i="6"/>
  <c r="M57" i="6"/>
  <c r="M12" i="6"/>
  <c r="P12" i="6"/>
  <c r="M28" i="6"/>
  <c r="P28" i="6"/>
  <c r="M44" i="6"/>
  <c r="P44" i="6"/>
  <c r="M60" i="6"/>
  <c r="P60" i="6"/>
  <c r="M76" i="6"/>
  <c r="P76" i="6"/>
  <c r="M96" i="6"/>
  <c r="P96" i="6"/>
  <c r="M112" i="6"/>
  <c r="P112" i="6"/>
  <c r="P41" i="6"/>
  <c r="M41" i="6"/>
  <c r="M23" i="6"/>
  <c r="P23" i="6"/>
  <c r="M39" i="6"/>
  <c r="P39" i="6"/>
  <c r="M55" i="6"/>
  <c r="P55" i="6"/>
  <c r="M71" i="6"/>
  <c r="P71" i="6"/>
  <c r="M193" i="6"/>
  <c r="P193" i="6"/>
  <c r="P25" i="6"/>
  <c r="M25" i="6"/>
  <c r="M65" i="6"/>
  <c r="P65" i="6"/>
  <c r="M11" i="6"/>
  <c r="P11" i="6"/>
  <c r="P22" i="6"/>
  <c r="M22" i="6"/>
  <c r="P38" i="6"/>
  <c r="M38" i="6"/>
  <c r="P54" i="6"/>
  <c r="M54" i="6"/>
  <c r="P70" i="6"/>
  <c r="M70" i="6"/>
  <c r="P79" i="6"/>
  <c r="M79" i="6"/>
  <c r="M95" i="6"/>
  <c r="P95" i="6"/>
  <c r="M111" i="6"/>
  <c r="P111" i="6"/>
  <c r="M127" i="6"/>
  <c r="P127" i="6"/>
  <c r="M141" i="6"/>
  <c r="P141" i="6"/>
  <c r="M157" i="6"/>
  <c r="P157" i="6"/>
  <c r="M173" i="6"/>
  <c r="P173" i="6"/>
  <c r="M204" i="6"/>
  <c r="P204" i="6"/>
  <c r="M90" i="6"/>
  <c r="P90" i="6"/>
  <c r="M106" i="6"/>
  <c r="P106" i="6"/>
  <c r="M122" i="6"/>
  <c r="P122" i="6"/>
  <c r="M198" i="6"/>
  <c r="P198" i="6"/>
  <c r="M225" i="6"/>
  <c r="P225" i="6"/>
  <c r="P85" i="6"/>
  <c r="M85" i="6"/>
  <c r="P101" i="6"/>
  <c r="M101" i="6"/>
  <c r="P117" i="6"/>
  <c r="M117" i="6"/>
  <c r="P134" i="6"/>
  <c r="M134" i="6"/>
  <c r="P150" i="6"/>
  <c r="M150" i="6"/>
  <c r="P166" i="6"/>
  <c r="M166" i="6"/>
  <c r="P194" i="6"/>
  <c r="M194" i="6"/>
  <c r="M246" i="6"/>
  <c r="P246" i="6"/>
  <c r="M278" i="6"/>
  <c r="P278" i="6"/>
  <c r="M140" i="6"/>
  <c r="P140" i="6"/>
  <c r="M156" i="6"/>
  <c r="P156" i="6"/>
  <c r="M172" i="6"/>
  <c r="P172" i="6"/>
  <c r="M188" i="6"/>
  <c r="P188" i="6"/>
  <c r="M206" i="6"/>
  <c r="P206" i="6"/>
  <c r="P139" i="6"/>
  <c r="M139" i="6"/>
  <c r="P155" i="6"/>
  <c r="M155" i="6"/>
  <c r="P171" i="6"/>
  <c r="M171" i="6"/>
  <c r="P187" i="6"/>
  <c r="M187" i="6"/>
  <c r="P203" i="6"/>
  <c r="M203" i="6"/>
  <c r="P221" i="6"/>
  <c r="M221" i="6"/>
  <c r="M240" i="6"/>
  <c r="P240" i="6"/>
  <c r="M274" i="6"/>
  <c r="P274" i="6"/>
  <c r="M215" i="6"/>
  <c r="P215" i="6"/>
  <c r="M231" i="6"/>
  <c r="P231" i="6"/>
  <c r="P210" i="6"/>
  <c r="M210" i="6"/>
  <c r="P226" i="6"/>
  <c r="M226" i="6"/>
  <c r="M242" i="6"/>
  <c r="P242" i="6"/>
  <c r="M249" i="6"/>
  <c r="P249" i="6"/>
  <c r="M265" i="6"/>
  <c r="P265" i="6"/>
  <c r="M285" i="6"/>
  <c r="P285" i="6"/>
  <c r="M256" i="6"/>
  <c r="P256" i="6"/>
  <c r="M272" i="6"/>
  <c r="P272" i="6"/>
  <c r="M284" i="6"/>
  <c r="P284" i="6"/>
  <c r="P255" i="6"/>
  <c r="M255" i="6"/>
  <c r="P271" i="6"/>
  <c r="M271" i="6"/>
  <c r="M294" i="6"/>
  <c r="P294" i="6"/>
  <c r="M289" i="6"/>
  <c r="P289" i="6"/>
  <c r="M310" i="6"/>
  <c r="P310" i="6"/>
  <c r="M304" i="6"/>
  <c r="P304" i="6"/>
  <c r="M314" i="6"/>
  <c r="P314" i="6"/>
  <c r="M313" i="6"/>
  <c r="P313" i="6"/>
  <c r="P283" i="6"/>
  <c r="M283" i="6"/>
  <c r="P299" i="6"/>
  <c r="M299" i="6"/>
  <c r="P315" i="6"/>
  <c r="M315" i="6"/>
  <c r="M336" i="6"/>
  <c r="P336" i="6"/>
  <c r="P316" i="6"/>
  <c r="M316" i="6"/>
  <c r="M333" i="6"/>
  <c r="P333" i="6"/>
  <c r="P323" i="6"/>
  <c r="M323" i="6"/>
  <c r="M339" i="6"/>
  <c r="P339" i="6"/>
  <c r="M348" i="6"/>
  <c r="P348" i="6"/>
  <c r="P338" i="6"/>
  <c r="M338" i="6"/>
  <c r="M356" i="6"/>
  <c r="P356" i="6"/>
  <c r="P341" i="6"/>
  <c r="M341" i="6"/>
  <c r="P357" i="6"/>
  <c r="M357" i="6"/>
  <c r="M365" i="6"/>
  <c r="P365" i="6"/>
  <c r="W373" i="6"/>
  <c r="AD373" i="6"/>
  <c r="AN373" i="6"/>
  <c r="X368" i="6"/>
  <c r="J363" i="6"/>
  <c r="J222" i="6"/>
  <c r="J90" i="6"/>
  <c r="J110" i="6"/>
  <c r="J103" i="6"/>
  <c r="J93" i="6"/>
  <c r="J264" i="6"/>
  <c r="J246" i="6"/>
  <c r="J367" i="6"/>
  <c r="J325" i="6"/>
  <c r="J288" i="6"/>
  <c r="J72" i="6"/>
  <c r="J192" i="6"/>
  <c r="J191" i="6"/>
  <c r="J312" i="6"/>
  <c r="J349" i="6"/>
  <c r="J174" i="6"/>
  <c r="J253" i="6"/>
  <c r="J80" i="6"/>
  <c r="J49" i="6"/>
  <c r="J175" i="6"/>
  <c r="J88" i="6"/>
  <c r="J176" i="6"/>
  <c r="J272" i="6"/>
  <c r="J266" i="6"/>
  <c r="J60" i="6"/>
  <c r="J328" i="6"/>
  <c r="J341" i="6"/>
  <c r="M20" i="6"/>
  <c r="P20" i="6"/>
  <c r="M68" i="6"/>
  <c r="P68" i="6"/>
  <c r="M120" i="6"/>
  <c r="P120" i="6"/>
  <c r="M47" i="6"/>
  <c r="P47" i="6"/>
  <c r="L372" i="6"/>
  <c r="L368" i="6"/>
  <c r="M9" i="6"/>
  <c r="P9" i="6"/>
  <c r="P14" i="6"/>
  <c r="M14" i="6"/>
  <c r="P30" i="6"/>
  <c r="M30" i="6"/>
  <c r="M87" i="6"/>
  <c r="P87" i="6"/>
  <c r="M119" i="6"/>
  <c r="P119" i="6"/>
  <c r="M165" i="6"/>
  <c r="P165" i="6"/>
  <c r="M233" i="6"/>
  <c r="P233" i="6"/>
  <c r="M182" i="6"/>
  <c r="P182" i="6"/>
  <c r="P93" i="6"/>
  <c r="M93" i="6"/>
  <c r="P142" i="6"/>
  <c r="M142" i="6"/>
  <c r="M217" i="6"/>
  <c r="P217" i="6"/>
  <c r="M132" i="6"/>
  <c r="P132" i="6"/>
  <c r="M180" i="6"/>
  <c r="P180" i="6"/>
  <c r="P147" i="6"/>
  <c r="M147" i="6"/>
  <c r="P179" i="6"/>
  <c r="M179" i="6"/>
  <c r="P229" i="6"/>
  <c r="M229" i="6"/>
  <c r="M223" i="6"/>
  <c r="P223" i="6"/>
  <c r="P234" i="6"/>
  <c r="M234" i="6"/>
  <c r="M273" i="6"/>
  <c r="P273" i="6"/>
  <c r="M264" i="6"/>
  <c r="P264" i="6"/>
  <c r="P247" i="6"/>
  <c r="M247" i="6"/>
  <c r="P279" i="6"/>
  <c r="M279" i="6"/>
  <c r="M301" i="6"/>
  <c r="P301" i="6"/>
  <c r="P293" i="6"/>
  <c r="M293" i="6"/>
  <c r="M308" i="6"/>
  <c r="P308" i="6"/>
  <c r="P291" i="6"/>
  <c r="M291" i="6"/>
  <c r="P322" i="6"/>
  <c r="M322" i="6"/>
  <c r="M324" i="6"/>
  <c r="P324" i="6"/>
  <c r="P331" i="6"/>
  <c r="M331" i="6"/>
  <c r="P352" i="6"/>
  <c r="M352" i="6"/>
  <c r="AJ373" i="6"/>
  <c r="T373" i="6"/>
  <c r="P45" i="6"/>
  <c r="M45" i="6"/>
  <c r="P61" i="6"/>
  <c r="M61" i="6"/>
  <c r="M16" i="6"/>
  <c r="P16" i="6"/>
  <c r="M32" i="6"/>
  <c r="P32" i="6"/>
  <c r="M48" i="6"/>
  <c r="P48" i="6"/>
  <c r="M64" i="6"/>
  <c r="P64" i="6"/>
  <c r="M82" i="6"/>
  <c r="P82" i="6"/>
  <c r="M100" i="6"/>
  <c r="P100" i="6"/>
  <c r="M116" i="6"/>
  <c r="P116" i="6"/>
  <c r="M84" i="6"/>
  <c r="P84" i="6"/>
  <c r="M27" i="6"/>
  <c r="P27" i="6"/>
  <c r="M43" i="6"/>
  <c r="P43" i="6"/>
  <c r="M59" i="6"/>
  <c r="P59" i="6"/>
  <c r="M75" i="6"/>
  <c r="P75" i="6"/>
  <c r="M209" i="6"/>
  <c r="P209" i="6"/>
  <c r="P29" i="6"/>
  <c r="M29" i="6"/>
  <c r="P69" i="6"/>
  <c r="M69" i="6"/>
  <c r="L371" i="6"/>
  <c r="P10" i="6"/>
  <c r="M10" i="6"/>
  <c r="P26" i="6"/>
  <c r="M26" i="6"/>
  <c r="P42" i="6"/>
  <c r="M42" i="6"/>
  <c r="P58" i="6"/>
  <c r="M58" i="6"/>
  <c r="P74" i="6"/>
  <c r="M74" i="6"/>
  <c r="P83" i="6"/>
  <c r="M83" i="6"/>
  <c r="M99" i="6"/>
  <c r="P99" i="6"/>
  <c r="M115" i="6"/>
  <c r="P115" i="6"/>
  <c r="M130" i="6"/>
  <c r="P130" i="6"/>
  <c r="M146" i="6"/>
  <c r="P146" i="6"/>
  <c r="M162" i="6"/>
  <c r="P162" i="6"/>
  <c r="M186" i="6"/>
  <c r="P186" i="6"/>
  <c r="M220" i="6"/>
  <c r="P220" i="6"/>
  <c r="M94" i="6"/>
  <c r="P94" i="6"/>
  <c r="M110" i="6"/>
  <c r="P110" i="6"/>
  <c r="M126" i="6"/>
  <c r="P126" i="6"/>
  <c r="M201" i="6"/>
  <c r="P201" i="6"/>
  <c r="P237" i="6"/>
  <c r="M237" i="6"/>
  <c r="P89" i="6"/>
  <c r="M89" i="6"/>
  <c r="P105" i="6"/>
  <c r="M105" i="6"/>
  <c r="P121" i="6"/>
  <c r="M121" i="6"/>
  <c r="M137" i="6"/>
  <c r="P137" i="6"/>
  <c r="M153" i="6"/>
  <c r="P153" i="6"/>
  <c r="M169" i="6"/>
  <c r="P169" i="6"/>
  <c r="M197" i="6"/>
  <c r="P197" i="6"/>
  <c r="M254" i="6"/>
  <c r="P254" i="6"/>
  <c r="M128" i="6"/>
  <c r="P128" i="6"/>
  <c r="M144" i="6"/>
  <c r="P144" i="6"/>
  <c r="M160" i="6"/>
  <c r="P160" i="6"/>
  <c r="M176" i="6"/>
  <c r="P176" i="6"/>
  <c r="M192" i="6"/>
  <c r="P192" i="6"/>
  <c r="M292" i="6"/>
  <c r="P292" i="6"/>
  <c r="P143" i="6"/>
  <c r="M143" i="6"/>
  <c r="P159" i="6"/>
  <c r="M159" i="6"/>
  <c r="P175" i="6"/>
  <c r="M175" i="6"/>
  <c r="P191" i="6"/>
  <c r="M191" i="6"/>
  <c r="M208" i="6"/>
  <c r="P208" i="6"/>
  <c r="M224" i="6"/>
  <c r="P224" i="6"/>
  <c r="M250" i="6"/>
  <c r="P250" i="6"/>
  <c r="M281" i="6"/>
  <c r="P281" i="6"/>
  <c r="M219" i="6"/>
  <c r="P219" i="6"/>
  <c r="M235" i="6"/>
  <c r="P235" i="6"/>
  <c r="P214" i="6"/>
  <c r="M214" i="6"/>
  <c r="P230" i="6"/>
  <c r="M230" i="6"/>
  <c r="M297" i="6"/>
  <c r="P297" i="6"/>
  <c r="M253" i="6"/>
  <c r="P253" i="6"/>
  <c r="M269" i="6"/>
  <c r="P269" i="6"/>
  <c r="M244" i="6"/>
  <c r="P244" i="6"/>
  <c r="M260" i="6"/>
  <c r="P260" i="6"/>
  <c r="M276" i="6"/>
  <c r="P276" i="6"/>
  <c r="P243" i="6"/>
  <c r="M243" i="6"/>
  <c r="P259" i="6"/>
  <c r="M259" i="6"/>
  <c r="P275" i="6"/>
  <c r="M275" i="6"/>
  <c r="M296" i="6"/>
  <c r="P296" i="6"/>
  <c r="M298" i="6"/>
  <c r="P298" i="6"/>
  <c r="M288" i="6"/>
  <c r="P288" i="6"/>
  <c r="P306" i="6"/>
  <c r="M306" i="6"/>
  <c r="M330" i="6"/>
  <c r="P330" i="6"/>
  <c r="M318" i="6"/>
  <c r="P318" i="6"/>
  <c r="P287" i="6"/>
  <c r="M287" i="6"/>
  <c r="P303" i="6"/>
  <c r="M303" i="6"/>
  <c r="M317" i="6"/>
  <c r="P317" i="6"/>
  <c r="M351" i="6"/>
  <c r="P351" i="6"/>
  <c r="P320" i="6"/>
  <c r="M320" i="6"/>
  <c r="M335" i="6"/>
  <c r="P335" i="6"/>
  <c r="P327" i="6"/>
  <c r="M327" i="6"/>
  <c r="P340" i="6"/>
  <c r="M340" i="6"/>
  <c r="M355" i="6"/>
  <c r="P355" i="6"/>
  <c r="P343" i="6"/>
  <c r="M343" i="6"/>
  <c r="P361" i="6"/>
  <c r="M361" i="6"/>
  <c r="P345" i="6"/>
  <c r="M345" i="6"/>
  <c r="M366" i="6"/>
  <c r="P366" i="6"/>
  <c r="P364" i="6"/>
  <c r="M364" i="6"/>
  <c r="AO371" i="6"/>
  <c r="AO373" i="6" s="1"/>
  <c r="AO368" i="6"/>
  <c r="AH368" i="6"/>
  <c r="AE373" i="6"/>
  <c r="O370" i="6"/>
  <c r="O371" i="6"/>
  <c r="D371" i="6" l="1"/>
  <c r="D368" i="6"/>
  <c r="BH388" i="6" s="1"/>
  <c r="H17" i="6"/>
  <c r="E17" i="6"/>
  <c r="I17" i="6" s="1"/>
  <c r="H363" i="6"/>
  <c r="E363" i="6"/>
  <c r="H329" i="6"/>
  <c r="E329" i="6"/>
  <c r="I329" i="6" s="1"/>
  <c r="H32" i="6"/>
  <c r="E32" i="6"/>
  <c r="E220" i="6"/>
  <c r="H220" i="6"/>
  <c r="H28" i="6"/>
  <c r="E28" i="6"/>
  <c r="H180" i="6"/>
  <c r="E180" i="6"/>
  <c r="I180" i="6" s="1"/>
  <c r="H300" i="6"/>
  <c r="E300" i="6"/>
  <c r="H352" i="6"/>
  <c r="E352" i="6"/>
  <c r="I352" i="6" s="1"/>
  <c r="H264" i="6"/>
  <c r="E264" i="6"/>
  <c r="H72" i="6"/>
  <c r="E72" i="6"/>
  <c r="I72" i="6" s="1"/>
  <c r="K72" i="6" s="1"/>
  <c r="H283" i="6"/>
  <c r="E283" i="6"/>
  <c r="H235" i="6"/>
  <c r="E235" i="6"/>
  <c r="I235" i="6" s="1"/>
  <c r="H187" i="6"/>
  <c r="E187" i="6"/>
  <c r="H139" i="6"/>
  <c r="I139" i="6"/>
  <c r="E139" i="6"/>
  <c r="H91" i="6"/>
  <c r="E91" i="6"/>
  <c r="H43" i="6"/>
  <c r="E43" i="6"/>
  <c r="H250" i="6"/>
  <c r="E250" i="6"/>
  <c r="E202" i="6"/>
  <c r="H202" i="6"/>
  <c r="H154" i="6"/>
  <c r="E154" i="6"/>
  <c r="I154" i="6" s="1"/>
  <c r="H106" i="6"/>
  <c r="E106" i="6"/>
  <c r="H26" i="6"/>
  <c r="E26" i="6"/>
  <c r="H37" i="6"/>
  <c r="E37" i="6"/>
  <c r="H355" i="6"/>
  <c r="E355" i="6"/>
  <c r="I355" i="6" s="1"/>
  <c r="H314" i="6"/>
  <c r="E314" i="6"/>
  <c r="E228" i="6"/>
  <c r="H228" i="6"/>
  <c r="H100" i="6"/>
  <c r="E100" i="6"/>
  <c r="H358" i="6"/>
  <c r="E358" i="6"/>
  <c r="I358" i="6" s="1"/>
  <c r="H318" i="6"/>
  <c r="E318" i="6"/>
  <c r="H224" i="6"/>
  <c r="E224" i="6"/>
  <c r="H96" i="6"/>
  <c r="E96" i="6"/>
  <c r="H16" i="6"/>
  <c r="E16" i="6"/>
  <c r="I16" i="6" s="1"/>
  <c r="H353" i="6"/>
  <c r="E353" i="6"/>
  <c r="H333" i="6"/>
  <c r="E333" i="6"/>
  <c r="I333" i="6" s="1"/>
  <c r="H312" i="6"/>
  <c r="E312" i="6"/>
  <c r="H268" i="6"/>
  <c r="E268" i="6"/>
  <c r="I268" i="6" s="1"/>
  <c r="E204" i="6"/>
  <c r="I204" i="6" s="1"/>
  <c r="H204" i="6"/>
  <c r="H140" i="6"/>
  <c r="E140" i="6"/>
  <c r="H76" i="6"/>
  <c r="E76" i="6"/>
  <c r="H12" i="6"/>
  <c r="E12" i="6"/>
  <c r="H341" i="6"/>
  <c r="E341" i="6"/>
  <c r="H276" i="6"/>
  <c r="E276" i="6"/>
  <c r="H148" i="6"/>
  <c r="E148" i="6"/>
  <c r="H20" i="6"/>
  <c r="E20" i="6"/>
  <c r="I20" i="6" s="1"/>
  <c r="H334" i="6"/>
  <c r="E334" i="6"/>
  <c r="H272" i="6"/>
  <c r="E272" i="6"/>
  <c r="H144" i="6"/>
  <c r="E144" i="6"/>
  <c r="H364" i="6"/>
  <c r="E364" i="6"/>
  <c r="H348" i="6"/>
  <c r="E348" i="6"/>
  <c r="H326" i="6"/>
  <c r="E326" i="6"/>
  <c r="H304" i="6"/>
  <c r="E304" i="6"/>
  <c r="H248" i="6"/>
  <c r="E248" i="6"/>
  <c r="I248" i="6" s="1"/>
  <c r="E184" i="6"/>
  <c r="I184" i="6" s="1"/>
  <c r="H184" i="6"/>
  <c r="H120" i="6"/>
  <c r="E120" i="6"/>
  <c r="I120" i="6" s="1"/>
  <c r="H56" i="6"/>
  <c r="E56" i="6"/>
  <c r="H343" i="6"/>
  <c r="E343" i="6"/>
  <c r="H327" i="6"/>
  <c r="E327" i="6"/>
  <c r="H311" i="6"/>
  <c r="E311" i="6"/>
  <c r="H295" i="6"/>
  <c r="E295" i="6"/>
  <c r="H279" i="6"/>
  <c r="E279" i="6"/>
  <c r="H263" i="6"/>
  <c r="E263" i="6"/>
  <c r="H247" i="6"/>
  <c r="E247" i="6"/>
  <c r="H231" i="6"/>
  <c r="E231" i="6"/>
  <c r="H215" i="6"/>
  <c r="E215" i="6"/>
  <c r="H199" i="6"/>
  <c r="E199" i="6"/>
  <c r="H183" i="6"/>
  <c r="E183" i="6"/>
  <c r="H167" i="6"/>
  <c r="E167" i="6"/>
  <c r="H151" i="6"/>
  <c r="E151" i="6"/>
  <c r="H135" i="6"/>
  <c r="E135" i="6"/>
  <c r="H119" i="6"/>
  <c r="E119" i="6"/>
  <c r="H103" i="6"/>
  <c r="E103" i="6"/>
  <c r="H87" i="6"/>
  <c r="E87" i="6"/>
  <c r="H71" i="6"/>
  <c r="E71" i="6"/>
  <c r="H55" i="6"/>
  <c r="E55" i="6"/>
  <c r="H39" i="6"/>
  <c r="E39" i="6"/>
  <c r="H23" i="6"/>
  <c r="E23" i="6"/>
  <c r="H294" i="6"/>
  <c r="E294" i="6"/>
  <c r="H278" i="6"/>
  <c r="E278" i="6"/>
  <c r="H262" i="6"/>
  <c r="E262" i="6"/>
  <c r="H246" i="6"/>
  <c r="E246" i="6"/>
  <c r="I246" i="6" s="1"/>
  <c r="K246" i="6" s="1"/>
  <c r="E230" i="6"/>
  <c r="H230" i="6"/>
  <c r="E214" i="6"/>
  <c r="H214" i="6"/>
  <c r="E198" i="6"/>
  <c r="H198" i="6"/>
  <c r="H182" i="6"/>
  <c r="E182" i="6"/>
  <c r="I182" i="6" s="1"/>
  <c r="H166" i="6"/>
  <c r="E166" i="6"/>
  <c r="H150" i="6"/>
  <c r="E150" i="6"/>
  <c r="I150" i="6" s="1"/>
  <c r="H134" i="6"/>
  <c r="E134" i="6"/>
  <c r="H118" i="6"/>
  <c r="E118" i="6"/>
  <c r="H102" i="6"/>
  <c r="E102" i="6"/>
  <c r="H86" i="6"/>
  <c r="E86" i="6"/>
  <c r="I86" i="6" s="1"/>
  <c r="H70" i="6"/>
  <c r="E70" i="6"/>
  <c r="H54" i="6"/>
  <c r="E54" i="6"/>
  <c r="I54" i="6" s="1"/>
  <c r="H38" i="6"/>
  <c r="E38" i="6"/>
  <c r="H22" i="6"/>
  <c r="E22" i="6"/>
  <c r="I22" i="6" s="1"/>
  <c r="H305" i="6"/>
  <c r="E305" i="6"/>
  <c r="H289" i="6"/>
  <c r="E289" i="6"/>
  <c r="H273" i="6"/>
  <c r="E273" i="6"/>
  <c r="H257" i="6"/>
  <c r="E257" i="6"/>
  <c r="H241" i="6"/>
  <c r="E241" i="6"/>
  <c r="H225" i="6"/>
  <c r="E225" i="6"/>
  <c r="H209" i="6"/>
  <c r="E209" i="6"/>
  <c r="H193" i="6"/>
  <c r="E193" i="6"/>
  <c r="H177" i="6"/>
  <c r="E177" i="6"/>
  <c r="H161" i="6"/>
  <c r="E161" i="6"/>
  <c r="H145" i="6"/>
  <c r="E145" i="6"/>
  <c r="H129" i="6"/>
  <c r="E129" i="6"/>
  <c r="H113" i="6"/>
  <c r="E113" i="6"/>
  <c r="H97" i="6"/>
  <c r="E97" i="6"/>
  <c r="H81" i="6"/>
  <c r="E81" i="6"/>
  <c r="H65" i="6"/>
  <c r="E65" i="6"/>
  <c r="I65" i="6" s="1"/>
  <c r="H49" i="6"/>
  <c r="E49" i="6"/>
  <c r="H33" i="6"/>
  <c r="E33" i="6"/>
  <c r="H325" i="6"/>
  <c r="E325" i="6"/>
  <c r="H366" i="6"/>
  <c r="E366" i="6"/>
  <c r="I366" i="6" s="1"/>
  <c r="H128" i="6"/>
  <c r="E128" i="6"/>
  <c r="H338" i="6"/>
  <c r="E338" i="6"/>
  <c r="I338" i="6"/>
  <c r="H284" i="6"/>
  <c r="E284" i="6"/>
  <c r="H92" i="6"/>
  <c r="E92" i="6"/>
  <c r="I92" i="6" s="1"/>
  <c r="H309" i="6"/>
  <c r="E309" i="6"/>
  <c r="H345" i="6"/>
  <c r="E345" i="6"/>
  <c r="I345" i="6" s="1"/>
  <c r="H176" i="6"/>
  <c r="E176" i="6"/>
  <c r="H332" i="6"/>
  <c r="E332" i="6"/>
  <c r="I332" i="6" s="1"/>
  <c r="H200" i="6"/>
  <c r="E200" i="6"/>
  <c r="H347" i="6"/>
  <c r="E347" i="6"/>
  <c r="H315" i="6"/>
  <c r="E315" i="6"/>
  <c r="H251" i="6"/>
  <c r="E251" i="6"/>
  <c r="I251" i="6" s="1"/>
  <c r="H203" i="6"/>
  <c r="E203" i="6"/>
  <c r="H155" i="6"/>
  <c r="E155" i="6"/>
  <c r="I155" i="6" s="1"/>
  <c r="H107" i="6"/>
  <c r="E107" i="6"/>
  <c r="H59" i="6"/>
  <c r="I59" i="6"/>
  <c r="E59" i="6"/>
  <c r="H11" i="6"/>
  <c r="E11" i="6"/>
  <c r="H266" i="6"/>
  <c r="E266" i="6"/>
  <c r="E218" i="6"/>
  <c r="H218" i="6"/>
  <c r="H170" i="6"/>
  <c r="E170" i="6"/>
  <c r="H122" i="6"/>
  <c r="E122" i="6"/>
  <c r="I122" i="6" s="1"/>
  <c r="H74" i="6"/>
  <c r="I74" i="6" s="1"/>
  <c r="E74" i="6"/>
  <c r="H42" i="6"/>
  <c r="E42" i="6"/>
  <c r="I42" i="6" s="1"/>
  <c r="H293" i="6"/>
  <c r="E293" i="6"/>
  <c r="H85" i="6"/>
  <c r="E85" i="6"/>
  <c r="I85" i="6" s="1"/>
  <c r="H346" i="6"/>
  <c r="I346" i="6" s="1"/>
  <c r="E346" i="6"/>
  <c r="H302" i="6"/>
  <c r="E302" i="6"/>
  <c r="I302" i="6" s="1"/>
  <c r="E196" i="6"/>
  <c r="H196" i="6"/>
  <c r="H68" i="6"/>
  <c r="E68" i="6"/>
  <c r="H350" i="6"/>
  <c r="E350" i="6"/>
  <c r="H308" i="6"/>
  <c r="E308" i="6"/>
  <c r="H192" i="6"/>
  <c r="E192" i="6"/>
  <c r="H80" i="6"/>
  <c r="E80" i="6"/>
  <c r="H365" i="6"/>
  <c r="E365" i="6"/>
  <c r="H349" i="6"/>
  <c r="E349" i="6"/>
  <c r="H328" i="6"/>
  <c r="E328" i="6"/>
  <c r="H306" i="6"/>
  <c r="E306" i="6"/>
  <c r="H252" i="6"/>
  <c r="E252" i="6"/>
  <c r="E188" i="6"/>
  <c r="H188" i="6"/>
  <c r="H124" i="6"/>
  <c r="E124" i="6"/>
  <c r="H60" i="6"/>
  <c r="E60" i="6"/>
  <c r="H367" i="6"/>
  <c r="E367" i="6"/>
  <c r="H330" i="6"/>
  <c r="E330" i="6"/>
  <c r="H244" i="6"/>
  <c r="E244" i="6"/>
  <c r="H116" i="6"/>
  <c r="E116" i="6"/>
  <c r="H362" i="6"/>
  <c r="E362" i="6"/>
  <c r="H324" i="6"/>
  <c r="E324" i="6"/>
  <c r="H240" i="6"/>
  <c r="E240" i="6"/>
  <c r="H112" i="6"/>
  <c r="E112" i="6"/>
  <c r="I112" i="6" s="1"/>
  <c r="H360" i="6"/>
  <c r="E360" i="6"/>
  <c r="H342" i="6"/>
  <c r="E342" i="6"/>
  <c r="I342" i="6" s="1"/>
  <c r="H321" i="6"/>
  <c r="E321" i="6"/>
  <c r="H296" i="6"/>
  <c r="E296" i="6"/>
  <c r="I296" i="6" s="1"/>
  <c r="H232" i="6"/>
  <c r="E232" i="6"/>
  <c r="H168" i="6"/>
  <c r="E168" i="6"/>
  <c r="H104" i="6"/>
  <c r="E104" i="6"/>
  <c r="H40" i="6"/>
  <c r="E40" i="6"/>
  <c r="H339" i="6"/>
  <c r="E339" i="6"/>
  <c r="H323" i="6"/>
  <c r="E323" i="6"/>
  <c r="H307" i="6"/>
  <c r="E307" i="6"/>
  <c r="H291" i="6"/>
  <c r="E291" i="6"/>
  <c r="H275" i="6"/>
  <c r="E275" i="6"/>
  <c r="H259" i="6"/>
  <c r="E259" i="6"/>
  <c r="H243" i="6"/>
  <c r="E243" i="6"/>
  <c r="H227" i="6"/>
  <c r="E227" i="6"/>
  <c r="H211" i="6"/>
  <c r="E211" i="6"/>
  <c r="H195" i="6"/>
  <c r="E195" i="6"/>
  <c r="H179" i="6"/>
  <c r="E179" i="6"/>
  <c r="H163" i="6"/>
  <c r="E163" i="6"/>
  <c r="H147" i="6"/>
  <c r="E147" i="6"/>
  <c r="H131" i="6"/>
  <c r="E131" i="6"/>
  <c r="H115" i="6"/>
  <c r="E115" i="6"/>
  <c r="H99" i="6"/>
  <c r="E99" i="6"/>
  <c r="H83" i="6"/>
  <c r="E83" i="6"/>
  <c r="H67" i="6"/>
  <c r="E67" i="6"/>
  <c r="H51" i="6"/>
  <c r="E51" i="6"/>
  <c r="H35" i="6"/>
  <c r="E35" i="6"/>
  <c r="H19" i="6"/>
  <c r="E19" i="6"/>
  <c r="H290" i="6"/>
  <c r="E290" i="6"/>
  <c r="H274" i="6"/>
  <c r="E274" i="6"/>
  <c r="H258" i="6"/>
  <c r="E258" i="6"/>
  <c r="H242" i="6"/>
  <c r="E242" i="6"/>
  <c r="E226" i="6"/>
  <c r="H226" i="6"/>
  <c r="E210" i="6"/>
  <c r="H210" i="6"/>
  <c r="E194" i="6"/>
  <c r="H194" i="6"/>
  <c r="I194" i="6"/>
  <c r="H178" i="6"/>
  <c r="E178" i="6"/>
  <c r="H162" i="6"/>
  <c r="E162" i="6"/>
  <c r="I162" i="6" s="1"/>
  <c r="H146" i="6"/>
  <c r="E146" i="6"/>
  <c r="H130" i="6"/>
  <c r="E130" i="6"/>
  <c r="I130" i="6" s="1"/>
  <c r="H114" i="6"/>
  <c r="E114" i="6"/>
  <c r="H98" i="6"/>
  <c r="E98" i="6"/>
  <c r="H82" i="6"/>
  <c r="E82" i="6"/>
  <c r="H66" i="6"/>
  <c r="E66" i="6"/>
  <c r="I66" i="6" s="1"/>
  <c r="H50" i="6"/>
  <c r="E50" i="6"/>
  <c r="H34" i="6"/>
  <c r="E34" i="6"/>
  <c r="H18" i="6"/>
  <c r="E18" i="6"/>
  <c r="H301" i="6"/>
  <c r="E301" i="6"/>
  <c r="H285" i="6"/>
  <c r="E285" i="6"/>
  <c r="H269" i="6"/>
  <c r="E269" i="6"/>
  <c r="H253" i="6"/>
  <c r="E253" i="6"/>
  <c r="H237" i="6"/>
  <c r="E237" i="6"/>
  <c r="H221" i="6"/>
  <c r="E221" i="6"/>
  <c r="H205" i="6"/>
  <c r="E205" i="6"/>
  <c r="H189" i="6"/>
  <c r="E189" i="6"/>
  <c r="H173" i="6"/>
  <c r="E173" i="6"/>
  <c r="H157" i="6"/>
  <c r="E157" i="6"/>
  <c r="H141" i="6"/>
  <c r="E141" i="6"/>
  <c r="H125" i="6"/>
  <c r="E125" i="6"/>
  <c r="H109" i="6"/>
  <c r="E109" i="6"/>
  <c r="H93" i="6"/>
  <c r="E93" i="6"/>
  <c r="H77" i="6"/>
  <c r="E77" i="6"/>
  <c r="I77" i="6" s="1"/>
  <c r="H61" i="6"/>
  <c r="E61" i="6"/>
  <c r="H45" i="6"/>
  <c r="E45" i="6"/>
  <c r="H29" i="6"/>
  <c r="E29" i="6"/>
  <c r="H13" i="6"/>
  <c r="E13" i="6"/>
  <c r="H260" i="6"/>
  <c r="E260" i="6"/>
  <c r="H132" i="6"/>
  <c r="E132" i="6"/>
  <c r="H256" i="6"/>
  <c r="E256" i="6"/>
  <c r="H357" i="6"/>
  <c r="E357" i="6"/>
  <c r="H317" i="6"/>
  <c r="E317" i="6"/>
  <c r="H156" i="6"/>
  <c r="E156" i="6"/>
  <c r="H351" i="6"/>
  <c r="E351" i="6"/>
  <c r="H52" i="6"/>
  <c r="E52" i="6"/>
  <c r="I52" i="6" s="1"/>
  <c r="H9" i="6"/>
  <c r="E9" i="6"/>
  <c r="H310" i="6"/>
  <c r="E310" i="6"/>
  <c r="H136" i="6"/>
  <c r="E136" i="6"/>
  <c r="H331" i="6"/>
  <c r="E331" i="6"/>
  <c r="H299" i="6"/>
  <c r="E299" i="6"/>
  <c r="H267" i="6"/>
  <c r="E267" i="6"/>
  <c r="H219" i="6"/>
  <c r="E219" i="6"/>
  <c r="H171" i="6"/>
  <c r="E171" i="6"/>
  <c r="H123" i="6"/>
  <c r="E123" i="6"/>
  <c r="H75" i="6"/>
  <c r="E75" i="6"/>
  <c r="H27" i="6"/>
  <c r="E27" i="6"/>
  <c r="H282" i="6"/>
  <c r="E282" i="6"/>
  <c r="H234" i="6"/>
  <c r="E234" i="6"/>
  <c r="E186" i="6"/>
  <c r="H186" i="6"/>
  <c r="H138" i="6"/>
  <c r="E138" i="6"/>
  <c r="H90" i="6"/>
  <c r="E90" i="6"/>
  <c r="I90" i="6" s="1"/>
  <c r="K90" i="6" s="1"/>
  <c r="H58" i="6"/>
  <c r="E58" i="6"/>
  <c r="H10" i="6"/>
  <c r="E10" i="6"/>
  <c r="H277" i="6"/>
  <c r="E277" i="6"/>
  <c r="H261" i="6"/>
  <c r="E261" i="6"/>
  <c r="H245" i="6"/>
  <c r="E245" i="6"/>
  <c r="H229" i="6"/>
  <c r="E229" i="6"/>
  <c r="I229" i="6" s="1"/>
  <c r="H213" i="6"/>
  <c r="E213" i="6"/>
  <c r="H197" i="6"/>
  <c r="E197" i="6"/>
  <c r="I197" i="6" s="1"/>
  <c r="H181" i="6"/>
  <c r="E181" i="6"/>
  <c r="H165" i="6"/>
  <c r="E165" i="6"/>
  <c r="I165" i="6" s="1"/>
  <c r="H149" i="6"/>
  <c r="E149" i="6"/>
  <c r="H133" i="6"/>
  <c r="E133" i="6"/>
  <c r="I133" i="6" s="1"/>
  <c r="H117" i="6"/>
  <c r="E117" i="6"/>
  <c r="H101" i="6"/>
  <c r="E101" i="6"/>
  <c r="I101" i="6" s="1"/>
  <c r="H69" i="6"/>
  <c r="E69" i="6"/>
  <c r="H53" i="6"/>
  <c r="E53" i="6"/>
  <c r="H21" i="6"/>
  <c r="E21" i="6"/>
  <c r="H336" i="6"/>
  <c r="E336" i="6"/>
  <c r="H292" i="6"/>
  <c r="E292" i="6"/>
  <c r="H164" i="6"/>
  <c r="E164" i="6"/>
  <c r="I164" i="6" s="1"/>
  <c r="H36" i="6"/>
  <c r="E36" i="6"/>
  <c r="H340" i="6"/>
  <c r="E340" i="6"/>
  <c r="I340" i="6" s="1"/>
  <c r="E288" i="6"/>
  <c r="H288" i="6"/>
  <c r="H160" i="6"/>
  <c r="E160" i="6"/>
  <c r="I160" i="6" s="1"/>
  <c r="H48" i="6"/>
  <c r="E48" i="6"/>
  <c r="H361" i="6"/>
  <c r="E361" i="6"/>
  <c r="I361" i="6" s="1"/>
  <c r="H344" i="6"/>
  <c r="E344" i="6"/>
  <c r="I344" i="6" s="1"/>
  <c r="K344" i="6" s="1"/>
  <c r="H322" i="6"/>
  <c r="E322" i="6"/>
  <c r="H298" i="6"/>
  <c r="E298" i="6"/>
  <c r="H236" i="6"/>
  <c r="E236" i="6"/>
  <c r="H172" i="6"/>
  <c r="E172" i="6"/>
  <c r="I172" i="6" s="1"/>
  <c r="H108" i="6"/>
  <c r="E108" i="6"/>
  <c r="H44" i="6"/>
  <c r="E44" i="6"/>
  <c r="I44" i="6" s="1"/>
  <c r="H359" i="6"/>
  <c r="E359" i="6"/>
  <c r="H320" i="6"/>
  <c r="E320" i="6"/>
  <c r="I320" i="6" s="1"/>
  <c r="E212" i="6"/>
  <c r="H212" i="6"/>
  <c r="H84" i="6"/>
  <c r="E84" i="6"/>
  <c r="I84" i="6" s="1"/>
  <c r="H354" i="6"/>
  <c r="E354" i="6"/>
  <c r="H313" i="6"/>
  <c r="E313" i="6"/>
  <c r="I313" i="6" s="1"/>
  <c r="H208" i="6"/>
  <c r="E208" i="6"/>
  <c r="H64" i="6"/>
  <c r="E64" i="6"/>
  <c r="H356" i="6"/>
  <c r="E356" i="6"/>
  <c r="H337" i="6"/>
  <c r="E337" i="6"/>
  <c r="H316" i="6"/>
  <c r="E316" i="6"/>
  <c r="E280" i="6"/>
  <c r="H280" i="6"/>
  <c r="H216" i="6"/>
  <c r="E216" i="6"/>
  <c r="H152" i="6"/>
  <c r="E152" i="6"/>
  <c r="H88" i="6"/>
  <c r="E88" i="6"/>
  <c r="H24" i="6"/>
  <c r="E24" i="6"/>
  <c r="H335" i="6"/>
  <c r="E335" i="6"/>
  <c r="H319" i="6"/>
  <c r="E319" i="6"/>
  <c r="H303" i="6"/>
  <c r="E303" i="6"/>
  <c r="H287" i="6"/>
  <c r="E287" i="6"/>
  <c r="H271" i="6"/>
  <c r="E271" i="6"/>
  <c r="H255" i="6"/>
  <c r="E255" i="6"/>
  <c r="H239" i="6"/>
  <c r="E239" i="6"/>
  <c r="H223" i="6"/>
  <c r="E223" i="6"/>
  <c r="H207" i="6"/>
  <c r="E207" i="6"/>
  <c r="H191" i="6"/>
  <c r="E191" i="6"/>
  <c r="H175" i="6"/>
  <c r="E175" i="6"/>
  <c r="H159" i="6"/>
  <c r="E159" i="6"/>
  <c r="H143" i="6"/>
  <c r="E143" i="6"/>
  <c r="H127" i="6"/>
  <c r="E127" i="6"/>
  <c r="H111" i="6"/>
  <c r="E111" i="6"/>
  <c r="H95" i="6"/>
  <c r="E95" i="6"/>
  <c r="H79" i="6"/>
  <c r="E79" i="6"/>
  <c r="H63" i="6"/>
  <c r="E63" i="6"/>
  <c r="I63" i="6" s="1"/>
  <c r="H47" i="6"/>
  <c r="E47" i="6"/>
  <c r="H31" i="6"/>
  <c r="E31" i="6"/>
  <c r="I31" i="6" s="1"/>
  <c r="H15" i="6"/>
  <c r="E15" i="6"/>
  <c r="H286" i="6"/>
  <c r="E286" i="6"/>
  <c r="I286" i="6" s="1"/>
  <c r="H270" i="6"/>
  <c r="E270" i="6"/>
  <c r="H254" i="6"/>
  <c r="E254" i="6"/>
  <c r="I254" i="6" s="1"/>
  <c r="H238" i="6"/>
  <c r="E238" i="6"/>
  <c r="E222" i="6"/>
  <c r="H222" i="6"/>
  <c r="E206" i="6"/>
  <c r="H206" i="6"/>
  <c r="E190" i="6"/>
  <c r="H190" i="6"/>
  <c r="H174" i="6"/>
  <c r="E174" i="6"/>
  <c r="H158" i="6"/>
  <c r="E158" i="6"/>
  <c r="H142" i="6"/>
  <c r="E142" i="6"/>
  <c r="H126" i="6"/>
  <c r="E126" i="6"/>
  <c r="I126" i="6" s="1"/>
  <c r="H110" i="6"/>
  <c r="E110" i="6"/>
  <c r="H94" i="6"/>
  <c r="E94" i="6"/>
  <c r="I94" i="6" s="1"/>
  <c r="H78" i="6"/>
  <c r="E78" i="6"/>
  <c r="H62" i="6"/>
  <c r="E62" i="6"/>
  <c r="I62" i="6" s="1"/>
  <c r="H46" i="6"/>
  <c r="E46" i="6"/>
  <c r="I46" i="6" s="1"/>
  <c r="H30" i="6"/>
  <c r="E30" i="6"/>
  <c r="H14" i="6"/>
  <c r="E14" i="6"/>
  <c r="H297" i="6"/>
  <c r="E297" i="6"/>
  <c r="H281" i="6"/>
  <c r="E281" i="6"/>
  <c r="H265" i="6"/>
  <c r="E265" i="6"/>
  <c r="H249" i="6"/>
  <c r="E249" i="6"/>
  <c r="I249" i="6" s="1"/>
  <c r="H233" i="6"/>
  <c r="E233" i="6"/>
  <c r="H217" i="6"/>
  <c r="E217" i="6"/>
  <c r="I217" i="6" s="1"/>
  <c r="H201" i="6"/>
  <c r="E201" i="6"/>
  <c r="H185" i="6"/>
  <c r="E185" i="6"/>
  <c r="H169" i="6"/>
  <c r="E169" i="6"/>
  <c r="H153" i="6"/>
  <c r="E153" i="6"/>
  <c r="I153" i="6" s="1"/>
  <c r="H137" i="6"/>
  <c r="E137" i="6"/>
  <c r="H121" i="6"/>
  <c r="E121" i="6"/>
  <c r="H105" i="6"/>
  <c r="E105" i="6"/>
  <c r="H89" i="6"/>
  <c r="E89" i="6"/>
  <c r="I89" i="6" s="1"/>
  <c r="H73" i="6"/>
  <c r="E73" i="6"/>
  <c r="H57" i="6"/>
  <c r="E57" i="6"/>
  <c r="H41" i="6"/>
  <c r="E41" i="6"/>
  <c r="H25" i="6"/>
  <c r="E25" i="6"/>
  <c r="J159" i="6"/>
  <c r="J236" i="6"/>
  <c r="J204" i="6"/>
  <c r="J120" i="6"/>
  <c r="J146" i="6"/>
  <c r="J22" i="6"/>
  <c r="J57" i="6"/>
  <c r="J277" i="6"/>
  <c r="J67" i="6"/>
  <c r="J130" i="6"/>
  <c r="J318" i="6"/>
  <c r="J237" i="6"/>
  <c r="J32" i="6"/>
  <c r="J86" i="6"/>
  <c r="J292" i="6"/>
  <c r="J184" i="6"/>
  <c r="J265" i="6"/>
  <c r="J104" i="6"/>
  <c r="J18" i="6"/>
  <c r="J316" i="6"/>
  <c r="J332" i="6"/>
  <c r="J273" i="6"/>
  <c r="J62" i="6"/>
  <c r="J51" i="6"/>
  <c r="J311" i="6"/>
  <c r="J125" i="6"/>
  <c r="J61" i="6"/>
  <c r="J187" i="6"/>
  <c r="J356" i="6"/>
  <c r="J365" i="6"/>
  <c r="J327" i="6"/>
  <c r="J295" i="6"/>
  <c r="J211" i="6"/>
  <c r="J135" i="6"/>
  <c r="J131" i="6"/>
  <c r="J140" i="6"/>
  <c r="J155" i="6"/>
  <c r="J82" i="6"/>
  <c r="J70" i="6"/>
  <c r="J34" i="6"/>
  <c r="J153" i="6"/>
  <c r="J105" i="6"/>
  <c r="J152" i="6"/>
  <c r="J149" i="6"/>
  <c r="J228" i="6"/>
  <c r="J270" i="6"/>
  <c r="J308" i="6"/>
  <c r="J352" i="6"/>
  <c r="J268" i="6"/>
  <c r="J338" i="6"/>
  <c r="J162" i="6"/>
  <c r="J142" i="6"/>
  <c r="J302" i="6"/>
  <c r="J58" i="6"/>
  <c r="J16" i="6"/>
  <c r="J99" i="6"/>
  <c r="J196" i="6"/>
  <c r="J248" i="6"/>
  <c r="J233" i="6"/>
  <c r="J263" i="6"/>
  <c r="J362" i="6"/>
  <c r="J274" i="6"/>
  <c r="J23" i="6"/>
  <c r="J19" i="6"/>
  <c r="J238" i="6"/>
  <c r="J243" i="6"/>
  <c r="J297" i="6"/>
  <c r="J27" i="6"/>
  <c r="J40" i="6"/>
  <c r="J63" i="6"/>
  <c r="J36" i="6"/>
  <c r="J200" i="6"/>
  <c r="J168" i="6"/>
  <c r="J92" i="6"/>
  <c r="J108" i="6"/>
  <c r="J124" i="6"/>
  <c r="J183" i="6"/>
  <c r="J202" i="6"/>
  <c r="J141" i="6"/>
  <c r="J223" i="6"/>
  <c r="J305" i="6"/>
  <c r="J74" i="6"/>
  <c r="J280" i="6"/>
  <c r="J251" i="6"/>
  <c r="J319" i="6"/>
  <c r="J303" i="6"/>
  <c r="J230" i="6"/>
  <c r="J218" i="6"/>
  <c r="J118" i="6"/>
  <c r="J43" i="6"/>
  <c r="J87" i="6"/>
  <c r="J121" i="6"/>
  <c r="J178" i="6"/>
  <c r="J309" i="6"/>
  <c r="J355" i="6"/>
  <c r="J64" i="6"/>
  <c r="J269" i="6"/>
  <c r="J48" i="6"/>
  <c r="J136" i="6"/>
  <c r="J198" i="6"/>
  <c r="J296" i="6"/>
  <c r="J337" i="6"/>
  <c r="J107" i="6"/>
  <c r="J299" i="6"/>
  <c r="J59" i="6"/>
  <c r="J55" i="6"/>
  <c r="J111" i="6"/>
  <c r="J100" i="6"/>
  <c r="J160" i="6"/>
  <c r="J232" i="6"/>
  <c r="J252" i="6"/>
  <c r="J39" i="6"/>
  <c r="J285" i="6"/>
  <c r="J359" i="6"/>
  <c r="J331" i="6"/>
  <c r="J287" i="6"/>
  <c r="J219" i="6"/>
  <c r="J227" i="6"/>
  <c r="J164" i="6"/>
  <c r="J78" i="6"/>
  <c r="J139" i="6"/>
  <c r="J41" i="6"/>
  <c r="J33" i="6"/>
  <c r="J52" i="6"/>
  <c r="J169" i="6"/>
  <c r="J109" i="6"/>
  <c r="J129" i="6"/>
  <c r="J165" i="6"/>
  <c r="J244" i="6"/>
  <c r="J278" i="6"/>
  <c r="J315" i="6"/>
  <c r="J336" i="6"/>
  <c r="J250" i="6"/>
  <c r="J366" i="6"/>
  <c r="J91" i="6"/>
  <c r="J224" i="6"/>
  <c r="J289" i="6"/>
  <c r="J76" i="6"/>
  <c r="J11" i="6"/>
  <c r="J115" i="6"/>
  <c r="J206" i="6"/>
  <c r="J134" i="6"/>
  <c r="J213" i="6"/>
  <c r="J271" i="6"/>
  <c r="J310" i="6"/>
  <c r="J294" i="6"/>
  <c r="J31" i="6"/>
  <c r="J37" i="6"/>
  <c r="J158" i="6"/>
  <c r="J267" i="6"/>
  <c r="J343" i="6"/>
  <c r="J45" i="6"/>
  <c r="J13" i="6"/>
  <c r="J38" i="6"/>
  <c r="J50" i="6"/>
  <c r="J95" i="6"/>
  <c r="J199" i="6"/>
  <c r="J96" i="6"/>
  <c r="J112" i="6"/>
  <c r="J128" i="6"/>
  <c r="J234" i="6"/>
  <c r="J217" i="6"/>
  <c r="J157" i="6"/>
  <c r="J185" i="6"/>
  <c r="J351" i="6"/>
  <c r="J14" i="6"/>
  <c r="J182" i="6"/>
  <c r="J304" i="6"/>
  <c r="J342" i="6"/>
  <c r="J323" i="6"/>
  <c r="J167" i="6"/>
  <c r="J94" i="6"/>
  <c r="J122" i="6"/>
  <c r="J12" i="6"/>
  <c r="J89" i="6"/>
  <c r="J197" i="6"/>
  <c r="J205" i="6"/>
  <c r="J321" i="6"/>
  <c r="J298" i="6"/>
  <c r="J257" i="6"/>
  <c r="J357" i="6"/>
  <c r="J53" i="6"/>
  <c r="J9" i="6"/>
  <c r="J261" i="6"/>
  <c r="J354" i="6"/>
  <c r="J127" i="6"/>
  <c r="J209" i="6"/>
  <c r="J329" i="6"/>
  <c r="J30" i="6"/>
  <c r="J68" i="6"/>
  <c r="J77" i="6"/>
  <c r="J116" i="6"/>
  <c r="J210" i="6"/>
  <c r="J173" i="6"/>
  <c r="J28" i="6"/>
  <c r="J194" i="6"/>
  <c r="J322" i="6"/>
  <c r="J42" i="6"/>
  <c r="J350" i="6"/>
  <c r="J283" i="6"/>
  <c r="J335" i="6"/>
  <c r="J320" i="6"/>
  <c r="J301" i="6"/>
  <c r="J255" i="6"/>
  <c r="J245" i="6"/>
  <c r="J215" i="6"/>
  <c r="J166" i="6"/>
  <c r="J231" i="6"/>
  <c r="J208" i="6"/>
  <c r="J170" i="6"/>
  <c r="J225" i="6"/>
  <c r="J15" i="6"/>
  <c r="J35" i="6"/>
  <c r="J54" i="6"/>
  <c r="J17" i="6"/>
  <c r="J44" i="6"/>
  <c r="J346" i="6"/>
  <c r="J275" i="6"/>
  <c r="J221" i="6"/>
  <c r="J177" i="6"/>
  <c r="J154" i="6"/>
  <c r="J81" i="6"/>
  <c r="J46" i="6"/>
  <c r="J364" i="6"/>
  <c r="J282" i="6"/>
  <c r="J220" i="6"/>
  <c r="J340" i="6"/>
  <c r="J326" i="6"/>
  <c r="J317" i="6"/>
  <c r="J281" i="6"/>
  <c r="J291" i="6"/>
  <c r="J262" i="6"/>
  <c r="J276" i="6"/>
  <c r="J212" i="6"/>
  <c r="J256" i="6"/>
  <c r="J133" i="6"/>
  <c r="J161" i="6"/>
  <c r="J190" i="6"/>
  <c r="J117" i="6"/>
  <c r="J101" i="6"/>
  <c r="J85" i="6"/>
  <c r="J137" i="6"/>
  <c r="J79" i="6"/>
  <c r="J20" i="6"/>
  <c r="J65" i="6"/>
  <c r="J25" i="6"/>
  <c r="J29" i="6"/>
  <c r="J102" i="6"/>
  <c r="J126" i="6"/>
  <c r="J171" i="6"/>
  <c r="J132" i="6"/>
  <c r="J156" i="6"/>
  <c r="J98" i="6"/>
  <c r="J147" i="6"/>
  <c r="J235" i="6"/>
  <c r="J143" i="6"/>
  <c r="J179" i="6"/>
  <c r="J239" i="6"/>
  <c r="J242" i="6"/>
  <c r="J286" i="6"/>
  <c r="J307" i="6"/>
  <c r="J333" i="6"/>
  <c r="J345" i="6"/>
  <c r="J348" i="6"/>
  <c r="J347" i="6"/>
  <c r="J314" i="6"/>
  <c r="J216" i="6"/>
  <c r="J306" i="6"/>
  <c r="J324" i="6"/>
  <c r="J279" i="6"/>
  <c r="J247" i="6"/>
  <c r="J229" i="6"/>
  <c r="J201" i="6"/>
  <c r="J150" i="6"/>
  <c r="J193" i="6"/>
  <c r="J226" i="6"/>
  <c r="J138" i="6"/>
  <c r="J181" i="6"/>
  <c r="J84" i="6"/>
  <c r="J21" i="6"/>
  <c r="J24" i="6"/>
  <c r="J73" i="6"/>
  <c r="J26" i="6"/>
  <c r="J293" i="6"/>
  <c r="J259" i="6"/>
  <c r="J249" i="6"/>
  <c r="J83" i="6"/>
  <c r="J123" i="6"/>
  <c r="J69" i="6"/>
  <c r="J56" i="6"/>
  <c r="J330" i="6"/>
  <c r="J258" i="6"/>
  <c r="J361" i="6"/>
  <c r="J360" i="6"/>
  <c r="J358" i="6"/>
  <c r="J334" i="6"/>
  <c r="J290" i="6"/>
  <c r="J241" i="6"/>
  <c r="J254" i="6"/>
  <c r="J260" i="6"/>
  <c r="J240" i="6"/>
  <c r="J189" i="6"/>
  <c r="J186" i="6"/>
  <c r="J145" i="6"/>
  <c r="J144" i="6"/>
  <c r="J113" i="6"/>
  <c r="J97" i="6"/>
  <c r="J180" i="6"/>
  <c r="J119" i="6"/>
  <c r="J66" i="6"/>
  <c r="J10" i="6"/>
  <c r="J47" i="6"/>
  <c r="J75" i="6"/>
  <c r="J71" i="6"/>
  <c r="J106" i="6"/>
  <c r="J148" i="6"/>
  <c r="J203" i="6"/>
  <c r="J188" i="6"/>
  <c r="J172" i="6"/>
  <c r="J114" i="6"/>
  <c r="J163" i="6"/>
  <c r="J207" i="6"/>
  <c r="J151" i="6"/>
  <c r="J195" i="6"/>
  <c r="J214" i="6"/>
  <c r="J284" i="6"/>
  <c r="J300" i="6"/>
  <c r="J313" i="6"/>
  <c r="J339" i="6"/>
  <c r="J353" i="6"/>
  <c r="D370" i="6"/>
  <c r="D372" i="6"/>
  <c r="Q153" i="6"/>
  <c r="R153" i="6" s="1"/>
  <c r="Q9" i="6"/>
  <c r="R9" i="6" s="1"/>
  <c r="Q359" i="6"/>
  <c r="R359" i="6" s="1"/>
  <c r="Q267" i="6"/>
  <c r="R267" i="6" s="1"/>
  <c r="Q113" i="6"/>
  <c r="R113" i="6" s="1"/>
  <c r="Q366" i="6"/>
  <c r="R366" i="6" s="1"/>
  <c r="Q87" i="6"/>
  <c r="R87" i="6" s="1"/>
  <c r="Q348" i="6"/>
  <c r="R348" i="6" s="1"/>
  <c r="Q255" i="6"/>
  <c r="R255" i="6" s="1"/>
  <c r="Q206" i="6"/>
  <c r="R206" i="6" s="1"/>
  <c r="Q79" i="6"/>
  <c r="R79" i="6" s="1"/>
  <c r="Q109" i="6"/>
  <c r="R109" i="6" s="1"/>
  <c r="Q29" i="6"/>
  <c r="R29" i="6" s="1"/>
  <c r="Q61" i="6"/>
  <c r="R61" i="6" s="1"/>
  <c r="Q352" i="6"/>
  <c r="R352" i="6" s="1"/>
  <c r="Q164" i="6"/>
  <c r="R164" i="6" s="1"/>
  <c r="Q115" i="6"/>
  <c r="R115" i="6" s="1"/>
  <c r="Q165" i="6"/>
  <c r="R165" i="6" s="1"/>
  <c r="Q202" i="6"/>
  <c r="R202" i="6" s="1"/>
  <c r="Q154" i="6"/>
  <c r="R154" i="6" s="1"/>
  <c r="Q85" i="6"/>
  <c r="R85" i="6" s="1"/>
  <c r="Q344" i="6"/>
  <c r="R344" i="6" s="1"/>
  <c r="Q282" i="6"/>
  <c r="R282" i="6" s="1"/>
  <c r="Q196" i="6"/>
  <c r="R196" i="6" s="1"/>
  <c r="Q361" i="6"/>
  <c r="R361" i="6" s="1"/>
  <c r="Q320" i="6"/>
  <c r="R320" i="6" s="1"/>
  <c r="Q191" i="6"/>
  <c r="R191" i="6" s="1"/>
  <c r="Q201" i="6"/>
  <c r="R201" i="6" s="1"/>
  <c r="Q220" i="6"/>
  <c r="R220" i="6" s="1"/>
  <c r="Q301" i="6"/>
  <c r="R301" i="6" s="1"/>
  <c r="Q323" i="6"/>
  <c r="R323" i="6" s="1"/>
  <c r="Q307" i="6"/>
  <c r="R307" i="6" s="1"/>
  <c r="Q248" i="6"/>
  <c r="R248" i="6" s="1"/>
  <c r="Q218" i="6"/>
  <c r="R218" i="6" s="1"/>
  <c r="Q114" i="6"/>
  <c r="R114" i="6" s="1"/>
  <c r="Q251" i="6"/>
  <c r="R251" i="6" s="1"/>
  <c r="Q287" i="6"/>
  <c r="R287" i="6" s="1"/>
  <c r="Q253" i="6"/>
  <c r="R253" i="6" s="1"/>
  <c r="Q224" i="6"/>
  <c r="R224" i="6" s="1"/>
  <c r="Q169" i="6"/>
  <c r="R169" i="6" s="1"/>
  <c r="Q105" i="6"/>
  <c r="R105" i="6" s="1"/>
  <c r="Q162" i="6"/>
  <c r="R162" i="6" s="1"/>
  <c r="Q130" i="6"/>
  <c r="R130" i="6" s="1"/>
  <c r="Q45" i="6"/>
  <c r="R45" i="6" s="1"/>
  <c r="Q291" i="6"/>
  <c r="R291" i="6" s="1"/>
  <c r="Q223" i="6"/>
  <c r="R223" i="6" s="1"/>
  <c r="Q119" i="6"/>
  <c r="R119" i="6" s="1"/>
  <c r="Q271" i="6"/>
  <c r="R271" i="6" s="1"/>
  <c r="Q284" i="6"/>
  <c r="R284" i="6" s="1"/>
  <c r="Q242" i="6"/>
  <c r="R242" i="6" s="1"/>
  <c r="Q240" i="6"/>
  <c r="R240" i="6" s="1"/>
  <c r="Q127" i="6"/>
  <c r="R127" i="6" s="1"/>
  <c r="Q25" i="6"/>
  <c r="R25" i="6" s="1"/>
  <c r="Q148" i="6"/>
  <c r="R148" i="6" s="1"/>
  <c r="Q363" i="6"/>
  <c r="R363" i="6" s="1"/>
  <c r="Q73" i="6"/>
  <c r="R73" i="6" s="1"/>
  <c r="Q345" i="6"/>
  <c r="R345" i="6" s="1"/>
  <c r="Q303" i="6"/>
  <c r="R303" i="6" s="1"/>
  <c r="Q306" i="6"/>
  <c r="R306" i="6" s="1"/>
  <c r="Q132" i="6"/>
  <c r="R132" i="6" s="1"/>
  <c r="Q63" i="6"/>
  <c r="R63" i="6" s="1"/>
  <c r="Q135" i="6"/>
  <c r="R135" i="6" s="1"/>
  <c r="Q89" i="6"/>
  <c r="R89" i="6" s="1"/>
  <c r="Q101" i="6"/>
  <c r="R101" i="6" s="1"/>
  <c r="Q17" i="6"/>
  <c r="R17" i="6" s="1"/>
  <c r="Q349" i="6"/>
  <c r="R349" i="6" s="1"/>
  <c r="Q358" i="6"/>
  <c r="R358" i="6" s="1"/>
  <c r="Q346" i="6"/>
  <c r="R346" i="6" s="1"/>
  <c r="Q88" i="6"/>
  <c r="R88" i="6" s="1"/>
  <c r="Q21" i="6"/>
  <c r="R21" i="6" s="1"/>
  <c r="Q340" i="6"/>
  <c r="R340" i="6" s="1"/>
  <c r="Q318" i="6"/>
  <c r="R318" i="6" s="1"/>
  <c r="Q269" i="6"/>
  <c r="R269" i="6" s="1"/>
  <c r="Q197" i="6"/>
  <c r="R197" i="6" s="1"/>
  <c r="Q137" i="6"/>
  <c r="R137" i="6" s="1"/>
  <c r="Q58" i="6"/>
  <c r="R58" i="6" s="1"/>
  <c r="Q308" i="6"/>
  <c r="R308" i="6" s="1"/>
  <c r="Q229" i="6"/>
  <c r="R229" i="6" s="1"/>
  <c r="Q71" i="6"/>
  <c r="R71" i="6" s="1"/>
  <c r="Q39" i="6"/>
  <c r="R39" i="6" s="1"/>
  <c r="Q151" i="6"/>
  <c r="R151" i="6" s="1"/>
  <c r="Q53" i="6"/>
  <c r="R53" i="6" s="1"/>
  <c r="Q355" i="6"/>
  <c r="R355" i="6" s="1"/>
  <c r="Q99" i="6"/>
  <c r="R99" i="6" s="1"/>
  <c r="Q180" i="6"/>
  <c r="R180" i="6" s="1"/>
  <c r="Q310" i="6"/>
  <c r="R310" i="6" s="1"/>
  <c r="Q57" i="6"/>
  <c r="R57" i="6" s="1"/>
  <c r="Q281" i="6"/>
  <c r="R281" i="6" s="1"/>
  <c r="Q47" i="6"/>
  <c r="R47" i="6" s="1"/>
  <c r="Q225" i="6"/>
  <c r="R225" i="6" s="1"/>
  <c r="Q55" i="6"/>
  <c r="R55" i="6" s="1"/>
  <c r="Q23" i="6"/>
  <c r="R23" i="6" s="1"/>
  <c r="Q12" i="6"/>
  <c r="R12" i="6" s="1"/>
  <c r="Q300" i="6"/>
  <c r="R300" i="6" s="1"/>
  <c r="Q280" i="6"/>
  <c r="R280" i="6" s="1"/>
  <c r="Q239" i="6"/>
  <c r="R239" i="6" s="1"/>
  <c r="Q36" i="6"/>
  <c r="R36" i="6" s="1"/>
  <c r="Q354" i="6"/>
  <c r="R354" i="6" s="1"/>
  <c r="Q360" i="6"/>
  <c r="R360" i="6" s="1"/>
  <c r="Q350" i="6"/>
  <c r="R350" i="6" s="1"/>
  <c r="Q98" i="6"/>
  <c r="R98" i="6" s="1"/>
  <c r="Q69" i="6"/>
  <c r="R69" i="6" s="1"/>
  <c r="Q324" i="6"/>
  <c r="R324" i="6" s="1"/>
  <c r="Q293" i="6"/>
  <c r="R293" i="6" s="1"/>
  <c r="Q147" i="6"/>
  <c r="R147" i="6" s="1"/>
  <c r="Q142" i="6"/>
  <c r="R142" i="6" s="1"/>
  <c r="Q182" i="6"/>
  <c r="R182" i="6" s="1"/>
  <c r="Q62" i="6"/>
  <c r="R62" i="6" s="1"/>
  <c r="L373" i="6"/>
  <c r="Q238" i="6"/>
  <c r="R238" i="6" s="1"/>
  <c r="Q199" i="6"/>
  <c r="R199" i="6" s="1"/>
  <c r="Q167" i="6"/>
  <c r="R167" i="6" s="1"/>
  <c r="Q97" i="6"/>
  <c r="R97" i="6" s="1"/>
  <c r="Q66" i="6"/>
  <c r="R66" i="6" s="1"/>
  <c r="Q34" i="6"/>
  <c r="R34" i="6" s="1"/>
  <c r="Q78" i="6"/>
  <c r="R78" i="6" s="1"/>
  <c r="Q31" i="6"/>
  <c r="R31" i="6" s="1"/>
  <c r="Q175" i="6"/>
  <c r="R175" i="6" s="1"/>
  <c r="Q298" i="6"/>
  <c r="R298" i="6" s="1"/>
  <c r="Q297" i="6"/>
  <c r="R297" i="6" s="1"/>
  <c r="Q250" i="6"/>
  <c r="R250" i="6" s="1"/>
  <c r="Q254" i="6"/>
  <c r="R254" i="6" s="1"/>
  <c r="Q186" i="6"/>
  <c r="R186" i="6" s="1"/>
  <c r="Q146" i="6"/>
  <c r="R146" i="6" s="1"/>
  <c r="Q42" i="6"/>
  <c r="R42" i="6" s="1"/>
  <c r="Q331" i="6"/>
  <c r="R331" i="6" s="1"/>
  <c r="Q30" i="6"/>
  <c r="R30" i="6" s="1"/>
  <c r="Q341" i="6"/>
  <c r="R341" i="6" s="1"/>
  <c r="Q38" i="6"/>
  <c r="R38" i="6" s="1"/>
  <c r="Q205" i="6"/>
  <c r="R205" i="6" s="1"/>
  <c r="Q351" i="6"/>
  <c r="R351" i="6" s="1"/>
  <c r="Q208" i="6"/>
  <c r="R208" i="6" s="1"/>
  <c r="Q121" i="6"/>
  <c r="R121" i="6" s="1"/>
  <c r="Q84" i="6"/>
  <c r="R84" i="6" s="1"/>
  <c r="Q322" i="6"/>
  <c r="R322" i="6" s="1"/>
  <c r="Q264" i="6"/>
  <c r="R264" i="6" s="1"/>
  <c r="Q234" i="6"/>
  <c r="R234" i="6" s="1"/>
  <c r="Q217" i="6"/>
  <c r="R217" i="6" s="1"/>
  <c r="Q233" i="6"/>
  <c r="R233" i="6" s="1"/>
  <c r="Q313" i="6"/>
  <c r="R313" i="6" s="1"/>
  <c r="Q304" i="6"/>
  <c r="R304" i="6" s="1"/>
  <c r="Q117" i="6"/>
  <c r="R117" i="6" s="1"/>
  <c r="Q41" i="6"/>
  <c r="R41" i="6" s="1"/>
  <c r="Q362" i="6"/>
  <c r="R362" i="6" s="1"/>
  <c r="Q163" i="6"/>
  <c r="R163" i="6" s="1"/>
  <c r="Q15" i="6"/>
  <c r="R15" i="6" s="1"/>
  <c r="Q222" i="6"/>
  <c r="R222" i="6" s="1"/>
  <c r="Q183" i="6"/>
  <c r="R183" i="6" s="1"/>
  <c r="Q50" i="6"/>
  <c r="R50" i="6" s="1"/>
  <c r="Q174" i="6"/>
  <c r="R174" i="6" s="1"/>
  <c r="Q51" i="6"/>
  <c r="R51" i="6" s="1"/>
  <c r="Q190" i="6"/>
  <c r="R190" i="6" s="1"/>
  <c r="Q294" i="6"/>
  <c r="R294" i="6" s="1"/>
  <c r="Q275" i="6"/>
  <c r="R275" i="6" s="1"/>
  <c r="Q243" i="6"/>
  <c r="R243" i="6" s="1"/>
  <c r="Q209" i="6"/>
  <c r="R209" i="6" s="1"/>
  <c r="Q333" i="6"/>
  <c r="R333" i="6" s="1"/>
  <c r="Q364" i="6"/>
  <c r="R364" i="6" s="1"/>
  <c r="Q259" i="6"/>
  <c r="R259" i="6" s="1"/>
  <c r="Q273" i="6"/>
  <c r="R273" i="6" s="1"/>
  <c r="Q343" i="6"/>
  <c r="R343" i="6" s="1"/>
  <c r="Q74" i="6"/>
  <c r="R74" i="6" s="1"/>
  <c r="Q357" i="6"/>
  <c r="R357" i="6" s="1"/>
  <c r="Q338" i="6"/>
  <c r="R338" i="6" s="1"/>
  <c r="Q299" i="6"/>
  <c r="R299" i="6" s="1"/>
  <c r="Q70" i="6"/>
  <c r="R70" i="6" s="1"/>
  <c r="Q138" i="6"/>
  <c r="R138" i="6" s="1"/>
  <c r="Q342" i="6"/>
  <c r="R342" i="6" s="1"/>
  <c r="Q330" i="6"/>
  <c r="R330" i="6" s="1"/>
  <c r="Q237" i="6"/>
  <c r="R237" i="6" s="1"/>
  <c r="Q83" i="6"/>
  <c r="R83" i="6" s="1"/>
  <c r="Q316" i="6"/>
  <c r="R316" i="6" s="1"/>
  <c r="Q315" i="6"/>
  <c r="R315" i="6" s="1"/>
  <c r="Q283" i="6"/>
  <c r="R283" i="6" s="1"/>
  <c r="Q226" i="6"/>
  <c r="R226" i="6" s="1"/>
  <c r="Q198" i="6"/>
  <c r="R198" i="6" s="1"/>
  <c r="Q22" i="6"/>
  <c r="R22" i="6" s="1"/>
  <c r="Q311" i="6"/>
  <c r="R311" i="6" s="1"/>
  <c r="Q80" i="6"/>
  <c r="R80" i="6" s="1"/>
  <c r="Q326" i="6"/>
  <c r="R326" i="6" s="1"/>
  <c r="Q295" i="6"/>
  <c r="R295" i="6" s="1"/>
  <c r="Q312" i="6"/>
  <c r="R312" i="6" s="1"/>
  <c r="Q302" i="6"/>
  <c r="R302" i="6" s="1"/>
  <c r="Q319" i="6"/>
  <c r="R319" i="6" s="1"/>
  <c r="Q241" i="6"/>
  <c r="R241" i="6" s="1"/>
  <c r="Q195" i="6"/>
  <c r="R195" i="6" s="1"/>
  <c r="Q367" i="6"/>
  <c r="R367" i="6" s="1"/>
  <c r="Q334" i="6"/>
  <c r="R334" i="6" s="1"/>
  <c r="Q337" i="6"/>
  <c r="R337" i="6" s="1"/>
  <c r="Q332" i="6"/>
  <c r="R332" i="6" s="1"/>
  <c r="Q290" i="6"/>
  <c r="R290" i="6" s="1"/>
  <c r="Q81" i="6"/>
  <c r="R81" i="6" s="1"/>
  <c r="Q170" i="6"/>
  <c r="R170" i="6" s="1"/>
  <c r="Q46" i="6"/>
  <c r="R46" i="6" s="1"/>
  <c r="M371" i="6"/>
  <c r="O373" i="6"/>
  <c r="Q335" i="6"/>
  <c r="R335" i="6" s="1"/>
  <c r="Q317" i="6"/>
  <c r="R317" i="6" s="1"/>
  <c r="Q288" i="6"/>
  <c r="R288" i="6" s="1"/>
  <c r="Q296" i="6"/>
  <c r="R296" i="6" s="1"/>
  <c r="Q276" i="6"/>
  <c r="R276" i="6" s="1"/>
  <c r="Q260" i="6"/>
  <c r="R260" i="6" s="1"/>
  <c r="Q244" i="6"/>
  <c r="R244" i="6" s="1"/>
  <c r="Q235" i="6"/>
  <c r="R235" i="6" s="1"/>
  <c r="Q219" i="6"/>
  <c r="R219" i="6" s="1"/>
  <c r="Q292" i="6"/>
  <c r="R292" i="6" s="1"/>
  <c r="Q192" i="6"/>
  <c r="R192" i="6" s="1"/>
  <c r="Q176" i="6"/>
  <c r="R176" i="6" s="1"/>
  <c r="Q160" i="6"/>
  <c r="R160" i="6" s="1"/>
  <c r="Q144" i="6"/>
  <c r="R144" i="6" s="1"/>
  <c r="Q128" i="6"/>
  <c r="R128" i="6" s="1"/>
  <c r="Q126" i="6"/>
  <c r="R126" i="6" s="1"/>
  <c r="Q110" i="6"/>
  <c r="R110" i="6" s="1"/>
  <c r="Q94" i="6"/>
  <c r="R94" i="6" s="1"/>
  <c r="P371" i="6"/>
  <c r="Q116" i="6"/>
  <c r="R116" i="6" s="1"/>
  <c r="Q100" i="6"/>
  <c r="R100" i="6" s="1"/>
  <c r="Q64" i="6"/>
  <c r="R64" i="6" s="1"/>
  <c r="Q48" i="6"/>
  <c r="R48" i="6" s="1"/>
  <c r="Q32" i="6"/>
  <c r="R32" i="6" s="1"/>
  <c r="Q16" i="6"/>
  <c r="R16" i="6" s="1"/>
  <c r="Q179" i="6"/>
  <c r="R179" i="6" s="1"/>
  <c r="P372" i="6"/>
  <c r="P368" i="6"/>
  <c r="Q120" i="6"/>
  <c r="R120" i="6" s="1"/>
  <c r="Q68" i="6"/>
  <c r="R68" i="6" s="1"/>
  <c r="Q20" i="6"/>
  <c r="R20" i="6" s="1"/>
  <c r="Q339" i="6"/>
  <c r="R339" i="6" s="1"/>
  <c r="Q336" i="6"/>
  <c r="R336" i="6" s="1"/>
  <c r="Q314" i="6"/>
  <c r="R314" i="6" s="1"/>
  <c r="Q289" i="6"/>
  <c r="R289" i="6" s="1"/>
  <c r="Q285" i="6"/>
  <c r="R285" i="6" s="1"/>
  <c r="Q265" i="6"/>
  <c r="R265" i="6" s="1"/>
  <c r="Q249" i="6"/>
  <c r="R249" i="6" s="1"/>
  <c r="Q210" i="6"/>
  <c r="R210" i="6" s="1"/>
  <c r="Q274" i="6"/>
  <c r="R274" i="6" s="1"/>
  <c r="Q221" i="6"/>
  <c r="R221" i="6" s="1"/>
  <c r="Q203" i="6"/>
  <c r="R203" i="6" s="1"/>
  <c r="Q187" i="6"/>
  <c r="R187" i="6" s="1"/>
  <c r="Q171" i="6"/>
  <c r="R171" i="6" s="1"/>
  <c r="Q155" i="6"/>
  <c r="R155" i="6" s="1"/>
  <c r="Q139" i="6"/>
  <c r="R139" i="6" s="1"/>
  <c r="Q278" i="6"/>
  <c r="R278" i="6" s="1"/>
  <c r="Q246" i="6"/>
  <c r="R246" i="6" s="1"/>
  <c r="Q194" i="6"/>
  <c r="R194" i="6" s="1"/>
  <c r="Q166" i="6"/>
  <c r="R166" i="6" s="1"/>
  <c r="Q150" i="6"/>
  <c r="R150" i="6" s="1"/>
  <c r="Q134" i="6"/>
  <c r="R134" i="6" s="1"/>
  <c r="Q173" i="6"/>
  <c r="R173" i="6" s="1"/>
  <c r="Q157" i="6"/>
  <c r="R157" i="6" s="1"/>
  <c r="Q141" i="6"/>
  <c r="R141" i="6" s="1"/>
  <c r="Q111" i="6"/>
  <c r="R111" i="6" s="1"/>
  <c r="Q95" i="6"/>
  <c r="R95" i="6" s="1"/>
  <c r="Q54" i="6"/>
  <c r="R54" i="6" s="1"/>
  <c r="Q65" i="6"/>
  <c r="R65" i="6" s="1"/>
  <c r="Q193" i="6"/>
  <c r="R193" i="6" s="1"/>
  <c r="Q112" i="6"/>
  <c r="R112" i="6" s="1"/>
  <c r="Q96" i="6"/>
  <c r="R96" i="6" s="1"/>
  <c r="Q76" i="6"/>
  <c r="R76" i="6" s="1"/>
  <c r="Q60" i="6"/>
  <c r="R60" i="6" s="1"/>
  <c r="Q44" i="6"/>
  <c r="R44" i="6" s="1"/>
  <c r="Q28" i="6"/>
  <c r="R28" i="6" s="1"/>
  <c r="Q263" i="6"/>
  <c r="R263" i="6" s="1"/>
  <c r="Q125" i="6"/>
  <c r="R125" i="6" s="1"/>
  <c r="Q77" i="6"/>
  <c r="R77" i="6" s="1"/>
  <c r="P370" i="6"/>
  <c r="Q353" i="6"/>
  <c r="R353" i="6" s="1"/>
  <c r="Q347" i="6"/>
  <c r="R347" i="6" s="1"/>
  <c r="Q325" i="6"/>
  <c r="R325" i="6" s="1"/>
  <c r="Q329" i="6"/>
  <c r="R329" i="6" s="1"/>
  <c r="Q305" i="6"/>
  <c r="R305" i="6" s="1"/>
  <c r="Q277" i="6"/>
  <c r="R277" i="6" s="1"/>
  <c r="Q261" i="6"/>
  <c r="R261" i="6" s="1"/>
  <c r="Q245" i="6"/>
  <c r="R245" i="6" s="1"/>
  <c r="Q266" i="6"/>
  <c r="R266" i="6" s="1"/>
  <c r="Q232" i="6"/>
  <c r="R232" i="6" s="1"/>
  <c r="Q216" i="6"/>
  <c r="R216" i="6" s="1"/>
  <c r="Q270" i="6"/>
  <c r="R270" i="6" s="1"/>
  <c r="Q236" i="6"/>
  <c r="R236" i="6" s="1"/>
  <c r="Q181" i="6"/>
  <c r="R181" i="6" s="1"/>
  <c r="Q161" i="6"/>
  <c r="R161" i="6" s="1"/>
  <c r="Q145" i="6"/>
  <c r="R145" i="6" s="1"/>
  <c r="Q129" i="6"/>
  <c r="R129" i="6" s="1"/>
  <c r="Q212" i="6"/>
  <c r="R212" i="6" s="1"/>
  <c r="Q185" i="6"/>
  <c r="R185" i="6" s="1"/>
  <c r="Q123" i="6"/>
  <c r="R123" i="6" s="1"/>
  <c r="Q107" i="6"/>
  <c r="R107" i="6" s="1"/>
  <c r="Q91" i="6"/>
  <c r="R91" i="6" s="1"/>
  <c r="Q228" i="6"/>
  <c r="R228" i="6" s="1"/>
  <c r="Q18" i="6"/>
  <c r="R18" i="6" s="1"/>
  <c r="Q37" i="6"/>
  <c r="R37" i="6" s="1"/>
  <c r="Q124" i="6"/>
  <c r="R124" i="6" s="1"/>
  <c r="Q108" i="6"/>
  <c r="R108" i="6" s="1"/>
  <c r="Q92" i="6"/>
  <c r="R92" i="6" s="1"/>
  <c r="Q72" i="6"/>
  <c r="R72" i="6" s="1"/>
  <c r="Q56" i="6"/>
  <c r="R56" i="6" s="1"/>
  <c r="Q40" i="6"/>
  <c r="R40" i="6" s="1"/>
  <c r="Q24" i="6"/>
  <c r="R24" i="6" s="1"/>
  <c r="Q13" i="6"/>
  <c r="R13" i="6" s="1"/>
  <c r="Q131" i="6"/>
  <c r="R131" i="6" s="1"/>
  <c r="Q262" i="6"/>
  <c r="R262" i="6" s="1"/>
  <c r="Q158" i="6"/>
  <c r="R158" i="6" s="1"/>
  <c r="Q149" i="6"/>
  <c r="R149" i="6" s="1"/>
  <c r="Q103" i="6"/>
  <c r="R103" i="6" s="1"/>
  <c r="Q104" i="6"/>
  <c r="R104" i="6" s="1"/>
  <c r="Q52" i="6"/>
  <c r="R52" i="6" s="1"/>
  <c r="Q177" i="6"/>
  <c r="R177" i="6" s="1"/>
  <c r="Q327" i="6"/>
  <c r="R327" i="6" s="1"/>
  <c r="Q230" i="6"/>
  <c r="R230" i="6" s="1"/>
  <c r="Q214" i="6"/>
  <c r="R214" i="6" s="1"/>
  <c r="Q159" i="6"/>
  <c r="R159" i="6" s="1"/>
  <c r="Q143" i="6"/>
  <c r="R143" i="6" s="1"/>
  <c r="Q26" i="6"/>
  <c r="R26" i="6" s="1"/>
  <c r="Q10" i="6"/>
  <c r="R10" i="6" s="1"/>
  <c r="Q75" i="6"/>
  <c r="R75" i="6" s="1"/>
  <c r="Q59" i="6"/>
  <c r="R59" i="6" s="1"/>
  <c r="Q43" i="6"/>
  <c r="R43" i="6" s="1"/>
  <c r="Q27" i="6"/>
  <c r="R27" i="6" s="1"/>
  <c r="Q82" i="6"/>
  <c r="R82" i="6" s="1"/>
  <c r="Q279" i="6"/>
  <c r="R279" i="6" s="1"/>
  <c r="Q247" i="6"/>
  <c r="R247" i="6" s="1"/>
  <c r="Q93" i="6"/>
  <c r="R93" i="6" s="1"/>
  <c r="Q14" i="6"/>
  <c r="R14" i="6" s="1"/>
  <c r="M368" i="6"/>
  <c r="M372" i="6"/>
  <c r="Q365" i="6"/>
  <c r="R365" i="6" s="1"/>
  <c r="Q356" i="6"/>
  <c r="R356" i="6" s="1"/>
  <c r="Q272" i="6"/>
  <c r="R272" i="6" s="1"/>
  <c r="Q256" i="6"/>
  <c r="R256" i="6" s="1"/>
  <c r="Q231" i="6"/>
  <c r="R231" i="6" s="1"/>
  <c r="Q215" i="6"/>
  <c r="R215" i="6" s="1"/>
  <c r="Q188" i="6"/>
  <c r="R188" i="6" s="1"/>
  <c r="Q172" i="6"/>
  <c r="R172" i="6" s="1"/>
  <c r="Q156" i="6"/>
  <c r="R156" i="6" s="1"/>
  <c r="Q140" i="6"/>
  <c r="R140" i="6" s="1"/>
  <c r="Q122" i="6"/>
  <c r="R122" i="6" s="1"/>
  <c r="Q106" i="6"/>
  <c r="R106" i="6" s="1"/>
  <c r="Q90" i="6"/>
  <c r="R90" i="6" s="1"/>
  <c r="Q204" i="6"/>
  <c r="R204" i="6" s="1"/>
  <c r="Q11" i="6"/>
  <c r="R11" i="6" s="1"/>
  <c r="Q309" i="6"/>
  <c r="R309" i="6" s="1"/>
  <c r="Q257" i="6"/>
  <c r="R257" i="6" s="1"/>
  <c r="Q258" i="6"/>
  <c r="R258" i="6" s="1"/>
  <c r="Q213" i="6"/>
  <c r="R213" i="6" s="1"/>
  <c r="Q178" i="6"/>
  <c r="R178" i="6" s="1"/>
  <c r="Q189" i="6"/>
  <c r="R189" i="6" s="1"/>
  <c r="Q133" i="6"/>
  <c r="R133" i="6" s="1"/>
  <c r="Q33" i="6"/>
  <c r="R33" i="6" s="1"/>
  <c r="M370" i="6"/>
  <c r="Q49" i="6"/>
  <c r="R49" i="6" s="1"/>
  <c r="Q328" i="6"/>
  <c r="R328" i="6" s="1"/>
  <c r="Q286" i="6"/>
  <c r="R286" i="6" s="1"/>
  <c r="Q268" i="6"/>
  <c r="R268" i="6" s="1"/>
  <c r="Q252" i="6"/>
  <c r="R252" i="6" s="1"/>
  <c r="Q227" i="6"/>
  <c r="R227" i="6" s="1"/>
  <c r="Q211" i="6"/>
  <c r="R211" i="6" s="1"/>
  <c r="Q200" i="6"/>
  <c r="R200" i="6" s="1"/>
  <c r="Q184" i="6"/>
  <c r="R184" i="6" s="1"/>
  <c r="Q168" i="6"/>
  <c r="R168" i="6" s="1"/>
  <c r="Q152" i="6"/>
  <c r="R152" i="6" s="1"/>
  <c r="Q136" i="6"/>
  <c r="R136" i="6" s="1"/>
  <c r="Q118" i="6"/>
  <c r="R118" i="6" s="1"/>
  <c r="Q102" i="6"/>
  <c r="R102" i="6" s="1"/>
  <c r="Q86" i="6"/>
  <c r="R86" i="6" s="1"/>
  <c r="Q321" i="6"/>
  <c r="R321" i="6" s="1"/>
  <c r="Q67" i="6"/>
  <c r="R67" i="6" s="1"/>
  <c r="Q35" i="6"/>
  <c r="R35" i="6" s="1"/>
  <c r="Q19" i="6"/>
  <c r="R19" i="6" s="1"/>
  <c r="Q207" i="6"/>
  <c r="R207" i="6" s="1"/>
  <c r="I206" i="6" l="1"/>
  <c r="I79" i="6"/>
  <c r="I208" i="6"/>
  <c r="I359" i="6"/>
  <c r="K359" i="6" s="1"/>
  <c r="I258" i="6"/>
  <c r="I137" i="6"/>
  <c r="I60" i="6"/>
  <c r="I188" i="6"/>
  <c r="K188" i="6" s="1"/>
  <c r="I68" i="6"/>
  <c r="I67" i="6"/>
  <c r="I323" i="6"/>
  <c r="K323" i="6" s="1"/>
  <c r="I55" i="6"/>
  <c r="K130" i="6"/>
  <c r="I288" i="6"/>
  <c r="K288" i="6" s="1"/>
  <c r="H371" i="6"/>
  <c r="H373" i="6" s="1"/>
  <c r="I178" i="6"/>
  <c r="K178" i="6" s="1"/>
  <c r="I210" i="6"/>
  <c r="I274" i="6"/>
  <c r="K274" i="6" s="1"/>
  <c r="I19" i="6"/>
  <c r="I51" i="6"/>
  <c r="K51" i="6" s="1"/>
  <c r="I83" i="6"/>
  <c r="I115" i="6"/>
  <c r="I211" i="6"/>
  <c r="I243" i="6"/>
  <c r="K243" i="6" s="1"/>
  <c r="I275" i="6"/>
  <c r="I307" i="6"/>
  <c r="I240" i="6"/>
  <c r="K240" i="6" s="1"/>
  <c r="I244" i="6"/>
  <c r="K244" i="6" s="1"/>
  <c r="I328" i="6"/>
  <c r="K328" i="6" s="1"/>
  <c r="I365" i="6"/>
  <c r="I192" i="6"/>
  <c r="K192" i="6" s="1"/>
  <c r="I262" i="6"/>
  <c r="K262" i="6" s="1"/>
  <c r="I39" i="6"/>
  <c r="I263" i="6"/>
  <c r="I295" i="6"/>
  <c r="K295" i="6" s="1"/>
  <c r="I327" i="6"/>
  <c r="K327" i="6" s="1"/>
  <c r="I56" i="6"/>
  <c r="I304" i="6"/>
  <c r="I144" i="6"/>
  <c r="I148" i="6"/>
  <c r="K148" i="6" s="1"/>
  <c r="I341" i="6"/>
  <c r="I76" i="6"/>
  <c r="I300" i="6"/>
  <c r="K300" i="6" s="1"/>
  <c r="K60" i="6"/>
  <c r="K338" i="6"/>
  <c r="I230" i="6"/>
  <c r="I238" i="6"/>
  <c r="I280" i="6"/>
  <c r="K280" i="6" s="1"/>
  <c r="I282" i="6"/>
  <c r="I269" i="6"/>
  <c r="I232" i="6"/>
  <c r="K232" i="6" s="1"/>
  <c r="I193" i="6"/>
  <c r="K193" i="6" s="1"/>
  <c r="K86" i="6"/>
  <c r="K296" i="6"/>
  <c r="I306" i="6"/>
  <c r="K306" i="6" s="1"/>
  <c r="I198" i="6"/>
  <c r="K198" i="6" s="1"/>
  <c r="H370" i="6"/>
  <c r="I111" i="6"/>
  <c r="I143" i="6"/>
  <c r="K143" i="6" s="1"/>
  <c r="I175" i="6"/>
  <c r="K175" i="6" s="1"/>
  <c r="I207" i="6"/>
  <c r="I239" i="6"/>
  <c r="I271" i="6"/>
  <c r="I335" i="6"/>
  <c r="K335" i="6" s="1"/>
  <c r="I88" i="6"/>
  <c r="K88" i="6" s="1"/>
  <c r="I216" i="6"/>
  <c r="K216" i="6" s="1"/>
  <c r="I316" i="6"/>
  <c r="I356" i="6"/>
  <c r="K356" i="6" s="1"/>
  <c r="I27" i="6"/>
  <c r="I123" i="6"/>
  <c r="K123" i="6" s="1"/>
  <c r="I219" i="6"/>
  <c r="K219" i="6" s="1"/>
  <c r="I299" i="6"/>
  <c r="I136" i="6"/>
  <c r="I351" i="6"/>
  <c r="I260" i="6"/>
  <c r="K260" i="6" s="1"/>
  <c r="I221" i="6"/>
  <c r="K221" i="6" s="1"/>
  <c r="I253" i="6"/>
  <c r="K253" i="6" s="1"/>
  <c r="I285" i="6"/>
  <c r="K285" i="6" s="1"/>
  <c r="I18" i="6"/>
  <c r="I40" i="6"/>
  <c r="K40" i="6" s="1"/>
  <c r="I168" i="6"/>
  <c r="I124" i="6"/>
  <c r="K124" i="6" s="1"/>
  <c r="I252" i="6"/>
  <c r="K252" i="6" s="1"/>
  <c r="I170" i="6"/>
  <c r="K170" i="6" s="1"/>
  <c r="I81" i="6"/>
  <c r="I113" i="6"/>
  <c r="I145" i="6"/>
  <c r="K145" i="6" s="1"/>
  <c r="I209" i="6"/>
  <c r="I241" i="6"/>
  <c r="I311" i="6"/>
  <c r="K311" i="6" s="1"/>
  <c r="I314" i="6"/>
  <c r="K314" i="6" s="1"/>
  <c r="I28" i="6"/>
  <c r="K282" i="6"/>
  <c r="K194" i="6"/>
  <c r="I222" i="6"/>
  <c r="K222" i="6" s="1"/>
  <c r="I132" i="6"/>
  <c r="I348" i="6"/>
  <c r="I228" i="6"/>
  <c r="K228" i="6" s="1"/>
  <c r="K208" i="6"/>
  <c r="I190" i="6"/>
  <c r="I156" i="6"/>
  <c r="K156" i="6" s="1"/>
  <c r="K204" i="6"/>
  <c r="I14" i="6"/>
  <c r="I142" i="6"/>
  <c r="I95" i="6"/>
  <c r="I127" i="6"/>
  <c r="K127" i="6" s="1"/>
  <c r="I223" i="6"/>
  <c r="K223" i="6" s="1"/>
  <c r="I255" i="6"/>
  <c r="K255" i="6" s="1"/>
  <c r="I287" i="6"/>
  <c r="K287" i="6" s="1"/>
  <c r="I319" i="6"/>
  <c r="I354" i="6"/>
  <c r="K354" i="6" s="1"/>
  <c r="I108" i="6"/>
  <c r="K108" i="6" s="1"/>
  <c r="I236" i="6"/>
  <c r="K236" i="6" s="1"/>
  <c r="I322" i="6"/>
  <c r="K322" i="6" s="1"/>
  <c r="I292" i="6"/>
  <c r="I21" i="6"/>
  <c r="K21" i="6" s="1"/>
  <c r="I69" i="6"/>
  <c r="I10" i="6"/>
  <c r="K10" i="6" s="1"/>
  <c r="I186" i="6"/>
  <c r="I267" i="6"/>
  <c r="K267" i="6" s="1"/>
  <c r="I317" i="6"/>
  <c r="I256" i="6"/>
  <c r="K256" i="6" s="1"/>
  <c r="I109" i="6"/>
  <c r="K109" i="6" s="1"/>
  <c r="I141" i="6"/>
  <c r="I173" i="6"/>
  <c r="I205" i="6"/>
  <c r="K205" i="6" s="1"/>
  <c r="I50" i="6"/>
  <c r="K50" i="6" s="1"/>
  <c r="I82" i="6"/>
  <c r="K82" i="6" s="1"/>
  <c r="I146" i="6"/>
  <c r="K146" i="6" s="1"/>
  <c r="I290" i="6"/>
  <c r="I339" i="6"/>
  <c r="K339" i="6" s="1"/>
  <c r="I116" i="6"/>
  <c r="I330" i="6"/>
  <c r="K330" i="6" s="1"/>
  <c r="I349" i="6"/>
  <c r="K349" i="6" s="1"/>
  <c r="I350" i="6"/>
  <c r="I218" i="6"/>
  <c r="K218" i="6" s="1"/>
  <c r="I107" i="6"/>
  <c r="K107" i="6" s="1"/>
  <c r="I203" i="6"/>
  <c r="K203" i="6" s="1"/>
  <c r="I200" i="6"/>
  <c r="K200" i="6" s="1"/>
  <c r="I176" i="6"/>
  <c r="K176" i="6" s="1"/>
  <c r="I309" i="6"/>
  <c r="K309" i="6" s="1"/>
  <c r="I284" i="6"/>
  <c r="I97" i="6"/>
  <c r="K97" i="6" s="1"/>
  <c r="I129" i="6"/>
  <c r="K129" i="6" s="1"/>
  <c r="I38" i="6"/>
  <c r="I70" i="6"/>
  <c r="K70" i="6" s="1"/>
  <c r="I102" i="6"/>
  <c r="I214" i="6"/>
  <c r="K214" i="6" s="1"/>
  <c r="I364" i="6"/>
  <c r="I272" i="6"/>
  <c r="K272" i="6" s="1"/>
  <c r="I312" i="6"/>
  <c r="I353" i="6"/>
  <c r="K353" i="6" s="1"/>
  <c r="I96" i="6"/>
  <c r="I318" i="6"/>
  <c r="K318" i="6" s="1"/>
  <c r="I100" i="6"/>
  <c r="I250" i="6"/>
  <c r="I187" i="6"/>
  <c r="K187" i="6" s="1"/>
  <c r="I283" i="6"/>
  <c r="K68" i="6"/>
  <c r="K55" i="6"/>
  <c r="I41" i="6"/>
  <c r="K41" i="6" s="1"/>
  <c r="I73" i="6"/>
  <c r="I265" i="6"/>
  <c r="I297" i="6"/>
  <c r="I117" i="6"/>
  <c r="K117" i="6" s="1"/>
  <c r="I245" i="6"/>
  <c r="I277" i="6"/>
  <c r="I58" i="6"/>
  <c r="K58" i="6" s="1"/>
  <c r="I138" i="6"/>
  <c r="K138" i="6" s="1"/>
  <c r="I234" i="6"/>
  <c r="I29" i="6"/>
  <c r="K29" i="6" s="1"/>
  <c r="I301" i="6"/>
  <c r="K301" i="6" s="1"/>
  <c r="I34" i="6"/>
  <c r="K34" i="6" s="1"/>
  <c r="I99" i="6"/>
  <c r="I131" i="6"/>
  <c r="K131" i="6" s="1"/>
  <c r="I163" i="6"/>
  <c r="K163" i="6" s="1"/>
  <c r="I195" i="6"/>
  <c r="K195" i="6" s="1"/>
  <c r="I227" i="6"/>
  <c r="I259" i="6"/>
  <c r="I321" i="6"/>
  <c r="I308" i="6"/>
  <c r="K308" i="6" s="1"/>
  <c r="I225" i="6"/>
  <c r="I257" i="6"/>
  <c r="K257" i="6" s="1"/>
  <c r="I166" i="6"/>
  <c r="K166" i="6" s="1"/>
  <c r="I87" i="6"/>
  <c r="K87" i="6" s="1"/>
  <c r="I119" i="6"/>
  <c r="I151" i="6"/>
  <c r="K151" i="6" s="1"/>
  <c r="I183" i="6"/>
  <c r="K183" i="6" s="1"/>
  <c r="I215" i="6"/>
  <c r="I247" i="6"/>
  <c r="I279" i="6"/>
  <c r="K279" i="6" s="1"/>
  <c r="I276" i="6"/>
  <c r="K276" i="6" s="1"/>
  <c r="I37" i="6"/>
  <c r="I106" i="6"/>
  <c r="I43" i="6"/>
  <c r="K43" i="6" s="1"/>
  <c r="I363" i="6"/>
  <c r="K363" i="6" s="1"/>
  <c r="I25" i="6"/>
  <c r="K25" i="6" s="1"/>
  <c r="I57" i="6"/>
  <c r="I169" i="6"/>
  <c r="I201" i="6"/>
  <c r="K201" i="6" s="1"/>
  <c r="I233" i="6"/>
  <c r="K233" i="6" s="1"/>
  <c r="I78" i="6"/>
  <c r="E370" i="6"/>
  <c r="I47" i="6"/>
  <c r="K47" i="6" s="1"/>
  <c r="I159" i="6"/>
  <c r="K159" i="6" s="1"/>
  <c r="I191" i="6"/>
  <c r="I303" i="6"/>
  <c r="I337" i="6"/>
  <c r="K337" i="6" s="1"/>
  <c r="I64" i="6"/>
  <c r="K64" i="6" s="1"/>
  <c r="I212" i="6"/>
  <c r="I48" i="6"/>
  <c r="K48" i="6" s="1"/>
  <c r="I336" i="6"/>
  <c r="K336" i="6" s="1"/>
  <c r="I53" i="6"/>
  <c r="I181" i="6"/>
  <c r="I213" i="6"/>
  <c r="I75" i="6"/>
  <c r="K75" i="6" s="1"/>
  <c r="I171" i="6"/>
  <c r="K171" i="6" s="1"/>
  <c r="I357" i="6"/>
  <c r="K357" i="6" s="1"/>
  <c r="I93" i="6"/>
  <c r="K93" i="6" s="1"/>
  <c r="I125" i="6"/>
  <c r="K125" i="6" s="1"/>
  <c r="I237" i="6"/>
  <c r="K237" i="6" s="1"/>
  <c r="I98" i="6"/>
  <c r="I360" i="6"/>
  <c r="K360" i="6" s="1"/>
  <c r="I315" i="6"/>
  <c r="K315" i="6" s="1"/>
  <c r="I33" i="6"/>
  <c r="I177" i="6"/>
  <c r="I289" i="6"/>
  <c r="I134" i="6"/>
  <c r="K134" i="6" s="1"/>
  <c r="I220" i="6"/>
  <c r="K164" i="6"/>
  <c r="I121" i="6"/>
  <c r="K121" i="6" s="1"/>
  <c r="I30" i="6"/>
  <c r="K30" i="6" s="1"/>
  <c r="I174" i="6"/>
  <c r="K174" i="6" s="1"/>
  <c r="I298" i="6"/>
  <c r="K298" i="6" s="1"/>
  <c r="I36" i="6"/>
  <c r="K36" i="6" s="1"/>
  <c r="I331" i="6"/>
  <c r="I45" i="6"/>
  <c r="K45" i="6" s="1"/>
  <c r="I157" i="6"/>
  <c r="K157" i="6" s="1"/>
  <c r="I189" i="6"/>
  <c r="K189" i="6" s="1"/>
  <c r="I226" i="6"/>
  <c r="I362" i="6"/>
  <c r="K365" i="6"/>
  <c r="K22" i="6"/>
  <c r="I294" i="6"/>
  <c r="K294" i="6" s="1"/>
  <c r="I71" i="6"/>
  <c r="I224" i="6"/>
  <c r="K224" i="6" s="1"/>
  <c r="I26" i="6"/>
  <c r="K26" i="6" s="1"/>
  <c r="I202" i="6"/>
  <c r="K329" i="6"/>
  <c r="K119" i="6"/>
  <c r="K96" i="6"/>
  <c r="K248" i="6"/>
  <c r="K217" i="6"/>
  <c r="K238" i="6"/>
  <c r="I35" i="6"/>
  <c r="I147" i="6"/>
  <c r="I179" i="6"/>
  <c r="K179" i="6" s="1"/>
  <c r="I291" i="6"/>
  <c r="K291" i="6" s="1"/>
  <c r="I324" i="6"/>
  <c r="I367" i="6"/>
  <c r="K367" i="6" s="1"/>
  <c r="I80" i="6"/>
  <c r="K80" i="6" s="1"/>
  <c r="I196" i="6"/>
  <c r="K196" i="6" s="1"/>
  <c r="I293" i="6"/>
  <c r="I347" i="6"/>
  <c r="I128" i="6"/>
  <c r="K128" i="6" s="1"/>
  <c r="I325" i="6"/>
  <c r="I161" i="6"/>
  <c r="I273" i="6"/>
  <c r="K273" i="6" s="1"/>
  <c r="I305" i="6"/>
  <c r="K305" i="6" s="1"/>
  <c r="I118" i="6"/>
  <c r="K118" i="6" s="1"/>
  <c r="I278" i="6"/>
  <c r="I23" i="6"/>
  <c r="I135" i="6"/>
  <c r="K135" i="6" s="1"/>
  <c r="I167" i="6"/>
  <c r="I199" i="6"/>
  <c r="I231" i="6"/>
  <c r="I343" i="6"/>
  <c r="K343" i="6" s="1"/>
  <c r="I326" i="6"/>
  <c r="K326" i="6" s="1"/>
  <c r="I334" i="6"/>
  <c r="I140" i="6"/>
  <c r="K140" i="6" s="1"/>
  <c r="I91" i="6"/>
  <c r="K91" i="6" s="1"/>
  <c r="I32" i="6"/>
  <c r="K32" i="6" s="1"/>
  <c r="K258" i="6"/>
  <c r="K234" i="6"/>
  <c r="I105" i="6"/>
  <c r="K105" i="6" s="1"/>
  <c r="I281" i="6"/>
  <c r="K281" i="6" s="1"/>
  <c r="I158" i="6"/>
  <c r="I270" i="6"/>
  <c r="K270" i="6" s="1"/>
  <c r="I24" i="6"/>
  <c r="K24" i="6" s="1"/>
  <c r="I152" i="6"/>
  <c r="K152" i="6" s="1"/>
  <c r="I149" i="6"/>
  <c r="I261" i="6"/>
  <c r="K261" i="6" s="1"/>
  <c r="I310" i="6"/>
  <c r="K310" i="6" s="1"/>
  <c r="I61" i="6"/>
  <c r="K61" i="6" s="1"/>
  <c r="I114" i="6"/>
  <c r="K114" i="6" s="1"/>
  <c r="I242" i="6"/>
  <c r="K74" i="6"/>
  <c r="K325" i="6"/>
  <c r="K341" i="6"/>
  <c r="K290" i="6"/>
  <c r="K307" i="6"/>
  <c r="K346" i="6"/>
  <c r="K191" i="6"/>
  <c r="K14" i="6"/>
  <c r="K302" i="6"/>
  <c r="D373" i="6"/>
  <c r="K180" i="6"/>
  <c r="K293" i="6"/>
  <c r="K226" i="6"/>
  <c r="K229" i="6"/>
  <c r="K348" i="6"/>
  <c r="K133" i="6"/>
  <c r="K177" i="6"/>
  <c r="K231" i="6"/>
  <c r="K342" i="6"/>
  <c r="K351" i="6"/>
  <c r="K250" i="6"/>
  <c r="K168" i="6"/>
  <c r="K362" i="6"/>
  <c r="K268" i="6"/>
  <c r="K155" i="6"/>
  <c r="K211" i="6"/>
  <c r="K332" i="6"/>
  <c r="I185" i="6"/>
  <c r="K185" i="6" s="1"/>
  <c r="I110" i="6"/>
  <c r="K110" i="6" s="1"/>
  <c r="I15" i="6"/>
  <c r="K15" i="6" s="1"/>
  <c r="E368" i="6"/>
  <c r="E372" i="6"/>
  <c r="I13" i="6"/>
  <c r="K13" i="6" s="1"/>
  <c r="I104" i="6"/>
  <c r="K104" i="6" s="1"/>
  <c r="I49" i="6"/>
  <c r="K49" i="6" s="1"/>
  <c r="I103" i="6"/>
  <c r="K103" i="6" s="1"/>
  <c r="K144" i="6"/>
  <c r="K324" i="6"/>
  <c r="K161" i="6"/>
  <c r="K173" i="6"/>
  <c r="K53" i="6"/>
  <c r="H368" i="6"/>
  <c r="K172" i="6"/>
  <c r="K186" i="6"/>
  <c r="K358" i="6"/>
  <c r="K84" i="6"/>
  <c r="K345" i="6"/>
  <c r="K132" i="6"/>
  <c r="K17" i="6"/>
  <c r="K225" i="6"/>
  <c r="K350" i="6"/>
  <c r="K197" i="6"/>
  <c r="K304" i="6"/>
  <c r="K37" i="6"/>
  <c r="K78" i="6"/>
  <c r="K100" i="6"/>
  <c r="K263" i="6"/>
  <c r="K99" i="6"/>
  <c r="K142" i="6"/>
  <c r="K184" i="6"/>
  <c r="K120" i="6"/>
  <c r="I266" i="6"/>
  <c r="K266" i="6" s="1"/>
  <c r="I11" i="6"/>
  <c r="I12" i="6"/>
  <c r="K12" i="6" s="1"/>
  <c r="I264" i="6"/>
  <c r="K264" i="6" s="1"/>
  <c r="K85" i="6"/>
  <c r="K317" i="6"/>
  <c r="K321" i="6"/>
  <c r="K366" i="6"/>
  <c r="K202" i="6"/>
  <c r="K312" i="6"/>
  <c r="H372" i="6"/>
  <c r="K76" i="6"/>
  <c r="K241" i="6"/>
  <c r="K56" i="6"/>
  <c r="K181" i="6"/>
  <c r="K150" i="6"/>
  <c r="K333" i="6"/>
  <c r="K147" i="6"/>
  <c r="K137" i="6"/>
  <c r="K81" i="6"/>
  <c r="K275" i="6"/>
  <c r="K54" i="6"/>
  <c r="K28" i="6"/>
  <c r="K77" i="6"/>
  <c r="K182" i="6"/>
  <c r="K213" i="6"/>
  <c r="K136" i="6"/>
  <c r="K355" i="6"/>
  <c r="K162" i="6"/>
  <c r="K18" i="6"/>
  <c r="K292" i="6"/>
  <c r="E371" i="6"/>
  <c r="I9" i="6"/>
  <c r="K9" i="6" s="1"/>
  <c r="K254" i="6"/>
  <c r="K46" i="6"/>
  <c r="K94" i="6"/>
  <c r="K95" i="6"/>
  <c r="K271" i="6"/>
  <c r="K352" i="6"/>
  <c r="K284" i="6"/>
  <c r="K320" i="6"/>
  <c r="K297" i="6"/>
  <c r="K361" i="6"/>
  <c r="K126" i="6"/>
  <c r="K303" i="6"/>
  <c r="K63" i="6"/>
  <c r="K158" i="6"/>
  <c r="K206" i="6"/>
  <c r="K319" i="6"/>
  <c r="K153" i="6"/>
  <c r="K265" i="6"/>
  <c r="K38" i="6"/>
  <c r="K278" i="6"/>
  <c r="K227" i="6"/>
  <c r="K89" i="6"/>
  <c r="K31" i="6"/>
  <c r="K141" i="6"/>
  <c r="K57" i="6"/>
  <c r="K16" i="6"/>
  <c r="K230" i="6"/>
  <c r="K33" i="6"/>
  <c r="K331" i="6"/>
  <c r="K209" i="6"/>
  <c r="K92" i="6"/>
  <c r="K316" i="6"/>
  <c r="K277" i="6"/>
  <c r="K115" i="6"/>
  <c r="K39" i="6"/>
  <c r="K112" i="6"/>
  <c r="K111" i="6"/>
  <c r="K62" i="6"/>
  <c r="K11" i="6"/>
  <c r="K42" i="6"/>
  <c r="K167" i="6"/>
  <c r="K239" i="6"/>
  <c r="K23" i="6"/>
  <c r="K210" i="6"/>
  <c r="K71" i="6"/>
  <c r="K169" i="6"/>
  <c r="K269" i="6"/>
  <c r="K289" i="6"/>
  <c r="K139" i="6"/>
  <c r="K160" i="6"/>
  <c r="K199" i="6"/>
  <c r="K67" i="6"/>
  <c r="K59" i="6"/>
  <c r="K122" i="6"/>
  <c r="K340" i="6"/>
  <c r="K251" i="6"/>
  <c r="K116" i="6"/>
  <c r="K149" i="6"/>
  <c r="K165" i="6"/>
  <c r="K27" i="6"/>
  <c r="K299" i="6"/>
  <c r="K52" i="6"/>
  <c r="K19" i="6"/>
  <c r="K313" i="6"/>
  <c r="K220" i="6"/>
  <c r="K73" i="6"/>
  <c r="K212" i="6"/>
  <c r="K113" i="6"/>
  <c r="K249" i="6"/>
  <c r="K364" i="6"/>
  <c r="K235" i="6"/>
  <c r="K242" i="6"/>
  <c r="K190" i="6"/>
  <c r="K207" i="6"/>
  <c r="K215" i="6"/>
  <c r="K79" i="6"/>
  <c r="K44" i="6"/>
  <c r="K286" i="6"/>
  <c r="K334" i="6"/>
  <c r="K98" i="6"/>
  <c r="K69" i="6"/>
  <c r="K65" i="6"/>
  <c r="K35" i="6"/>
  <c r="K245" i="6"/>
  <c r="K259" i="6"/>
  <c r="K154" i="6"/>
  <c r="J372" i="6"/>
  <c r="J370" i="6"/>
  <c r="K347" i="6"/>
  <c r="J371" i="6"/>
  <c r="K102" i="6"/>
  <c r="K83" i="6"/>
  <c r="J368" i="6"/>
  <c r="K283" i="6"/>
  <c r="K247" i="6"/>
  <c r="K20" i="6"/>
  <c r="K106" i="6"/>
  <c r="K101" i="6"/>
  <c r="Q370" i="6"/>
  <c r="R372" i="6"/>
  <c r="R370" i="6"/>
  <c r="R371" i="6"/>
  <c r="Q368" i="6"/>
  <c r="K66" i="6"/>
  <c r="Q372" i="6"/>
  <c r="M373" i="6"/>
  <c r="Q371" i="6"/>
  <c r="R368" i="6"/>
  <c r="P373" i="6"/>
  <c r="E373" i="6" l="1"/>
  <c r="I370" i="6"/>
  <c r="I368" i="6"/>
  <c r="BH393" i="6"/>
  <c r="BH390" i="6"/>
  <c r="BH392" i="6" s="1"/>
  <c r="I372" i="6"/>
  <c r="I371" i="6"/>
  <c r="I373" i="6" s="1"/>
  <c r="J373" i="6"/>
  <c r="K371" i="6"/>
  <c r="K372" i="6"/>
  <c r="K370" i="6"/>
  <c r="Q373" i="6"/>
  <c r="K368" i="6"/>
  <c r="R373" i="6"/>
  <c r="BH394" i="6" l="1"/>
  <c r="K373" i="6"/>
  <c r="AT3" i="7"/>
  <c r="H135" i="23"/>
  <c r="H136" i="23"/>
  <c r="H137" i="23"/>
  <c r="CA2" i="1" l="1"/>
  <c r="H131" i="23"/>
  <c r="H132" i="23"/>
  <c r="H133" i="23"/>
  <c r="H134" i="23"/>
  <c r="BU2" i="1" l="1"/>
  <c r="BD387" i="7"/>
  <c r="BD392" i="7" s="1"/>
  <c r="BB388" i="7"/>
  <c r="BB393" i="7" s="1"/>
  <c r="B5" i="7"/>
  <c r="B4" i="7"/>
  <c r="C4" i="7" s="1"/>
  <c r="BC388" i="7"/>
  <c r="BC393" i="7" s="1"/>
  <c r="BA388" i="7"/>
  <c r="BA393" i="7" s="1"/>
  <c r="BC384" i="7"/>
  <c r="BB384" i="7"/>
  <c r="BA384" i="7"/>
  <c r="BI378" i="7"/>
  <c r="BD378" i="7"/>
  <c r="BC378" i="7"/>
  <c r="BB378" i="7"/>
  <c r="BA378" i="7"/>
  <c r="BI377" i="7"/>
  <c r="BD377" i="7"/>
  <c r="BC377" i="7"/>
  <c r="BB377" i="7"/>
  <c r="BA377" i="7"/>
  <c r="BI376" i="7"/>
  <c r="BD376" i="7"/>
  <c r="BC376" i="7"/>
  <c r="BB376" i="7"/>
  <c r="BA376" i="7"/>
  <c r="AU375" i="7"/>
  <c r="BI368" i="7"/>
  <c r="BD368" i="7"/>
  <c r="BC368" i="7"/>
  <c r="BB368" i="7"/>
  <c r="BA368" i="7"/>
  <c r="BF367" i="7"/>
  <c r="BF366" i="7"/>
  <c r="BF365" i="7"/>
  <c r="BF364" i="7"/>
  <c r="BF363" i="7"/>
  <c r="BF362" i="7"/>
  <c r="BF361" i="7"/>
  <c r="BF360" i="7"/>
  <c r="BF327" i="7"/>
  <c r="BF326" i="7"/>
  <c r="BF325" i="7"/>
  <c r="BF324" i="7"/>
  <c r="BF323" i="7"/>
  <c r="AT322" i="7"/>
  <c r="BF321" i="7"/>
  <c r="BF320" i="7"/>
  <c r="BF319" i="7"/>
  <c r="BF318" i="7"/>
  <c r="BF317" i="7"/>
  <c r="BF316" i="7"/>
  <c r="BF315" i="7"/>
  <c r="BF314" i="7"/>
  <c r="BF313" i="7"/>
  <c r="BF312" i="7"/>
  <c r="BF311" i="7"/>
  <c r="BF310" i="7"/>
  <c r="BF309" i="7"/>
  <c r="AT307" i="7"/>
  <c r="AT306" i="7"/>
  <c r="AT305" i="7"/>
  <c r="AT304" i="7"/>
  <c r="BF303" i="7"/>
  <c r="BF293" i="7"/>
  <c r="BF292" i="7"/>
  <c r="BF290" i="7"/>
  <c r="BF288" i="7"/>
  <c r="BF287" i="7"/>
  <c r="BF286" i="7"/>
  <c r="BF285" i="7"/>
  <c r="BF283" i="7"/>
  <c r="BF280" i="7"/>
  <c r="AT279" i="7"/>
  <c r="AT277" i="7"/>
  <c r="BF276" i="7"/>
  <c r="AT275" i="7"/>
  <c r="BF274" i="7"/>
  <c r="BF273" i="7"/>
  <c r="BF272" i="7"/>
  <c r="BF271" i="7"/>
  <c r="AT268" i="7"/>
  <c r="BF267" i="7"/>
  <c r="BF266" i="7"/>
  <c r="BF265" i="7"/>
  <c r="BF264" i="7"/>
  <c r="BF263" i="7"/>
  <c r="BF262" i="7"/>
  <c r="BF261" i="7"/>
  <c r="BF260" i="7"/>
  <c r="BF259" i="7"/>
  <c r="BF253" i="7"/>
  <c r="AT252" i="7"/>
  <c r="AT251" i="7"/>
  <c r="BF239" i="7"/>
  <c r="BF238" i="7"/>
  <c r="BF237" i="7"/>
  <c r="BF236" i="7"/>
  <c r="BF235" i="7"/>
  <c r="BF234" i="7"/>
  <c r="BF233" i="7"/>
  <c r="BF232" i="7"/>
  <c r="AT231" i="7"/>
  <c r="BF230" i="7"/>
  <c r="BF229" i="7"/>
  <c r="BF228" i="7"/>
  <c r="BF227" i="7"/>
  <c r="BF225" i="7"/>
  <c r="AT223" i="7"/>
  <c r="BF222" i="7"/>
  <c r="BF221" i="7"/>
  <c r="BF220" i="7"/>
  <c r="BF219" i="7"/>
  <c r="BF218" i="7"/>
  <c r="BF217" i="7"/>
  <c r="BF216" i="7"/>
  <c r="BF215" i="7"/>
  <c r="BF214" i="7"/>
  <c r="BF213" i="7"/>
  <c r="AT212" i="7"/>
  <c r="AT211" i="7"/>
  <c r="BF210" i="7"/>
  <c r="BF209" i="7"/>
  <c r="BF208" i="7"/>
  <c r="BF207" i="7"/>
  <c r="BF206" i="7"/>
  <c r="BF205" i="7"/>
  <c r="BF204" i="7"/>
  <c r="BF203" i="7"/>
  <c r="BF202" i="7"/>
  <c r="BF200" i="7"/>
  <c r="BF199" i="7"/>
  <c r="BF198" i="7"/>
  <c r="BF197" i="7"/>
  <c r="BF196" i="7"/>
  <c r="BF195" i="7"/>
  <c r="BF194" i="7"/>
  <c r="BF193" i="7"/>
  <c r="BF192" i="7"/>
  <c r="BF191" i="7"/>
  <c r="BF190" i="7"/>
  <c r="BF186" i="7"/>
  <c r="AT178" i="7"/>
  <c r="AT177" i="7"/>
  <c r="AT176" i="7"/>
  <c r="AT175" i="7"/>
  <c r="AT171" i="7"/>
  <c r="AT170" i="7"/>
  <c r="AT169" i="7"/>
  <c r="AT168" i="7"/>
  <c r="AT167" i="7"/>
  <c r="AT166" i="7"/>
  <c r="AT165" i="7"/>
  <c r="AT164" i="7"/>
  <c r="AT163" i="7"/>
  <c r="AT162" i="7"/>
  <c r="BF161" i="7"/>
  <c r="AT160" i="7"/>
  <c r="AT159" i="7"/>
  <c r="BF158" i="7"/>
  <c r="BF157" i="7"/>
  <c r="AT156" i="7"/>
  <c r="AT155" i="7"/>
  <c r="BF154" i="7"/>
  <c r="BF153" i="7"/>
  <c r="BF152" i="7"/>
  <c r="BF151" i="7"/>
  <c r="BF150" i="7"/>
  <c r="BF149" i="7"/>
  <c r="BF148" i="7"/>
  <c r="BF147" i="7"/>
  <c r="AT146" i="7"/>
  <c r="BF145" i="7"/>
  <c r="BF144" i="7"/>
  <c r="BF143" i="7"/>
  <c r="BF142" i="7"/>
  <c r="BF141" i="7"/>
  <c r="AT141" i="7"/>
  <c r="BF140" i="7"/>
  <c r="BF139" i="7"/>
  <c r="BF138" i="7"/>
  <c r="BF137" i="7"/>
  <c r="BF136" i="7"/>
  <c r="BF135" i="7"/>
  <c r="BF134" i="7"/>
  <c r="AT133" i="7"/>
  <c r="AT132" i="7"/>
  <c r="AT130" i="7"/>
  <c r="AT129" i="7"/>
  <c r="AT128" i="7"/>
  <c r="AT124" i="7"/>
  <c r="AT123" i="7"/>
  <c r="AT122" i="7"/>
  <c r="AT120" i="7"/>
  <c r="AT119" i="7"/>
  <c r="AT118" i="7"/>
  <c r="AT117" i="7"/>
  <c r="AT115" i="7"/>
  <c r="BF114" i="7"/>
  <c r="BF113" i="7"/>
  <c r="BF112" i="7"/>
  <c r="BF111" i="7"/>
  <c r="BF110" i="7"/>
  <c r="BF109" i="7"/>
  <c r="BF108" i="7"/>
  <c r="BF107" i="7"/>
  <c r="BF106" i="7"/>
  <c r="BF105" i="7"/>
  <c r="BF104" i="7"/>
  <c r="BF103" i="7"/>
  <c r="BF102" i="7"/>
  <c r="BF101" i="7"/>
  <c r="BF100" i="7"/>
  <c r="BF99" i="7"/>
  <c r="BF97" i="7"/>
  <c r="BF96" i="7"/>
  <c r="BF95" i="7"/>
  <c r="BF94" i="7"/>
  <c r="BF93" i="7"/>
  <c r="BF92" i="7"/>
  <c r="BF91" i="7"/>
  <c r="BF90" i="7"/>
  <c r="AT89" i="7"/>
  <c r="BF88" i="7"/>
  <c r="AT87" i="7"/>
  <c r="BF86" i="7"/>
  <c r="AT82" i="7"/>
  <c r="AT80" i="7"/>
  <c r="AT79" i="7"/>
  <c r="AT78" i="7"/>
  <c r="AT77" i="7"/>
  <c r="AT76" i="7"/>
  <c r="AT75" i="7"/>
  <c r="BF74" i="7"/>
  <c r="BF73" i="7"/>
  <c r="BF72" i="7"/>
  <c r="BF71" i="7"/>
  <c r="BF70" i="7"/>
  <c r="AT69" i="7"/>
  <c r="AT68" i="7"/>
  <c r="BF67" i="7"/>
  <c r="AT66" i="7"/>
  <c r="AT65" i="7"/>
  <c r="BF64" i="7"/>
  <c r="BF63" i="7"/>
  <c r="BF62" i="7"/>
  <c r="BF61" i="7"/>
  <c r="AT60" i="7"/>
  <c r="AT59" i="7"/>
  <c r="BF58" i="7"/>
  <c r="BF57" i="7"/>
  <c r="BF56" i="7"/>
  <c r="BF55" i="7"/>
  <c r="BF54" i="7"/>
  <c r="BF53" i="7"/>
  <c r="AT52" i="7"/>
  <c r="BF51" i="7"/>
  <c r="BF50" i="7"/>
  <c r="BF49" i="7"/>
  <c r="AT48" i="7"/>
  <c r="AT47" i="7"/>
  <c r="BF46" i="7"/>
  <c r="BF40" i="7"/>
  <c r="BF39" i="7"/>
  <c r="BF38" i="7"/>
  <c r="BF37" i="7"/>
  <c r="BF36" i="7"/>
  <c r="BF35" i="7"/>
  <c r="BF34" i="7"/>
  <c r="BF33" i="7"/>
  <c r="BF32" i="7"/>
  <c r="AT30" i="7"/>
  <c r="AT28" i="7"/>
  <c r="AT26" i="7"/>
  <c r="AT25" i="7"/>
  <c r="AT24" i="7"/>
  <c r="BF22" i="7"/>
  <c r="BF21" i="7"/>
  <c r="AT20" i="7"/>
  <c r="BF19" i="7"/>
  <c r="AT14" i="7"/>
  <c r="BD379" i="7" l="1"/>
  <c r="BA379" i="7"/>
  <c r="BA399" i="7"/>
  <c r="BL45" i="7" s="1"/>
  <c r="D45" i="7" s="1"/>
  <c r="H45" i="7" s="1"/>
  <c r="BI379" i="7"/>
  <c r="BC399" i="7"/>
  <c r="BN243" i="7" s="1"/>
  <c r="Z243" i="7" s="1"/>
  <c r="AD243" i="7" s="1"/>
  <c r="BL122" i="7"/>
  <c r="D122" i="7" s="1"/>
  <c r="H122" i="7" s="1"/>
  <c r="BL299" i="7"/>
  <c r="D299" i="7" s="1"/>
  <c r="H299" i="7" s="1"/>
  <c r="BC379" i="7"/>
  <c r="BD398" i="7"/>
  <c r="BO280" i="7" s="1"/>
  <c r="AH280" i="7" s="1"/>
  <c r="AM280" i="7" s="1"/>
  <c r="BA386" i="7"/>
  <c r="BB399" i="7"/>
  <c r="BA387" i="7"/>
  <c r="BA392" i="7" s="1"/>
  <c r="BA398" i="7" s="1"/>
  <c r="BB379" i="7"/>
  <c r="BB386" i="7"/>
  <c r="BB387" i="7"/>
  <c r="BB392" i="7" s="1"/>
  <c r="BB398" i="7" s="1"/>
  <c r="BC386" i="7"/>
  <c r="BC387" i="7"/>
  <c r="BC392" i="7" s="1"/>
  <c r="BC398" i="7" s="1"/>
  <c r="BD384" i="7"/>
  <c r="BD386" i="7"/>
  <c r="BD388" i="7"/>
  <c r="BD393" i="7" s="1"/>
  <c r="BD399" i="7" s="1"/>
  <c r="BL338" i="7" l="1"/>
  <c r="D338" i="7" s="1"/>
  <c r="H338" i="7" s="1"/>
  <c r="BL241" i="7"/>
  <c r="D241" i="7" s="1"/>
  <c r="H241" i="7" s="1"/>
  <c r="BL77" i="7"/>
  <c r="D77" i="7" s="1"/>
  <c r="H77" i="7" s="1"/>
  <c r="BL28" i="7"/>
  <c r="D28" i="7" s="1"/>
  <c r="H28" i="7" s="1"/>
  <c r="BL358" i="7"/>
  <c r="D358" i="7" s="1"/>
  <c r="H358" i="7" s="1"/>
  <c r="BL333" i="7"/>
  <c r="D333" i="7" s="1"/>
  <c r="H333" i="7" s="1"/>
  <c r="BL167" i="7"/>
  <c r="D167" i="7" s="1"/>
  <c r="H167" i="7" s="1"/>
  <c r="BL41" i="7"/>
  <c r="D41" i="7" s="1"/>
  <c r="H41" i="7" s="1"/>
  <c r="BL270" i="7"/>
  <c r="D270" i="7" s="1"/>
  <c r="H270" i="7" s="1"/>
  <c r="BL84" i="7"/>
  <c r="D84" i="7" s="1"/>
  <c r="H84" i="7" s="1"/>
  <c r="BL347" i="7"/>
  <c r="D347" i="7" s="1"/>
  <c r="H347" i="7" s="1"/>
  <c r="BL85" i="7"/>
  <c r="D85" i="7" s="1"/>
  <c r="H85" i="7" s="1"/>
  <c r="BL117" i="7"/>
  <c r="D117" i="7" s="1"/>
  <c r="H117" i="7" s="1"/>
  <c r="BL24" i="7"/>
  <c r="D24" i="7" s="1"/>
  <c r="H24" i="7" s="1"/>
  <c r="BL339" i="7"/>
  <c r="D339" i="7" s="1"/>
  <c r="H339" i="7" s="1"/>
  <c r="BO309" i="7"/>
  <c r="AH309" i="7" s="1"/>
  <c r="AM309" i="7" s="1"/>
  <c r="BL23" i="7"/>
  <c r="D23" i="7" s="1"/>
  <c r="H23" i="7" s="1"/>
  <c r="BL355" i="7"/>
  <c r="D355" i="7" s="1"/>
  <c r="H355" i="7" s="1"/>
  <c r="BL334" i="7"/>
  <c r="D334" i="7" s="1"/>
  <c r="H334" i="7" s="1"/>
  <c r="BO61" i="7"/>
  <c r="AH61" i="7" s="1"/>
  <c r="AM61" i="7" s="1"/>
  <c r="BO57" i="7"/>
  <c r="AH57" i="7" s="1"/>
  <c r="AM57" i="7" s="1"/>
  <c r="BL350" i="7"/>
  <c r="D350" i="7" s="1"/>
  <c r="H350" i="7" s="1"/>
  <c r="BL281" i="7"/>
  <c r="D281" i="7" s="1"/>
  <c r="H281" i="7" s="1"/>
  <c r="BL165" i="7"/>
  <c r="D165" i="7" s="1"/>
  <c r="H165" i="7" s="1"/>
  <c r="BL76" i="7"/>
  <c r="D76" i="7" s="1"/>
  <c r="H76" i="7" s="1"/>
  <c r="BL248" i="7"/>
  <c r="D248" i="7" s="1"/>
  <c r="H248" i="7" s="1"/>
  <c r="BL307" i="7"/>
  <c r="D307" i="7" s="1"/>
  <c r="H307" i="7" s="1"/>
  <c r="BO196" i="7"/>
  <c r="AH196" i="7" s="1"/>
  <c r="AM196" i="7" s="1"/>
  <c r="BO186" i="7"/>
  <c r="AH186" i="7" s="1"/>
  <c r="AM186" i="7" s="1"/>
  <c r="BO58" i="7"/>
  <c r="AH58" i="7" s="1"/>
  <c r="AM58" i="7" s="1"/>
  <c r="BO363" i="7"/>
  <c r="AH363" i="7" s="1"/>
  <c r="AM363" i="7" s="1"/>
  <c r="BO256" i="7"/>
  <c r="AH256" i="7" s="1"/>
  <c r="AM256" i="7" s="1"/>
  <c r="BO217" i="7"/>
  <c r="AH217" i="7" s="1"/>
  <c r="AM217" i="7" s="1"/>
  <c r="BO222" i="7"/>
  <c r="AH222" i="7" s="1"/>
  <c r="AM222" i="7" s="1"/>
  <c r="BO19" i="7"/>
  <c r="AH19" i="7" s="1"/>
  <c r="AM19" i="7" s="1"/>
  <c r="BO32" i="7"/>
  <c r="AH32" i="7" s="1"/>
  <c r="AM32" i="7" s="1"/>
  <c r="BO292" i="7"/>
  <c r="AH292" i="7" s="1"/>
  <c r="AM292" i="7" s="1"/>
  <c r="BO310" i="7"/>
  <c r="AH310" i="7" s="1"/>
  <c r="AM310" i="7" s="1"/>
  <c r="BL346" i="7"/>
  <c r="D346" i="7" s="1"/>
  <c r="H346" i="7" s="1"/>
  <c r="BL282" i="7"/>
  <c r="D282" i="7" s="1"/>
  <c r="H282" i="7" s="1"/>
  <c r="BL181" i="7"/>
  <c r="D181" i="7" s="1"/>
  <c r="H181" i="7" s="1"/>
  <c r="BL121" i="7"/>
  <c r="D121" i="7" s="1"/>
  <c r="H121" i="7" s="1"/>
  <c r="BL43" i="7"/>
  <c r="D43" i="7" s="1"/>
  <c r="H43" i="7" s="1"/>
  <c r="BL284" i="7"/>
  <c r="D284" i="7" s="1"/>
  <c r="H284" i="7" s="1"/>
  <c r="BL44" i="7"/>
  <c r="D44" i="7" s="1"/>
  <c r="H44" i="7" s="1"/>
  <c r="BL343" i="7"/>
  <c r="D343" i="7" s="1"/>
  <c r="H343" i="7" s="1"/>
  <c r="BL306" i="7"/>
  <c r="D306" i="7" s="1"/>
  <c r="H306" i="7" s="1"/>
  <c r="BN178" i="7"/>
  <c r="Z178" i="7" s="1"/>
  <c r="AD178" i="7" s="1"/>
  <c r="BL305" i="7"/>
  <c r="D305" i="7" s="1"/>
  <c r="H305" i="7" s="1"/>
  <c r="BL357" i="7"/>
  <c r="D357" i="7" s="1"/>
  <c r="H357" i="7" s="1"/>
  <c r="BL342" i="7"/>
  <c r="D342" i="7" s="1"/>
  <c r="H342" i="7" s="1"/>
  <c r="BL291" i="7"/>
  <c r="D291" i="7" s="1"/>
  <c r="H291" i="7" s="1"/>
  <c r="BL247" i="7"/>
  <c r="D247" i="7" s="1"/>
  <c r="H247" i="7" s="1"/>
  <c r="BL166" i="7"/>
  <c r="D166" i="7" s="1"/>
  <c r="H166" i="7" s="1"/>
  <c r="BL119" i="7"/>
  <c r="D119" i="7" s="1"/>
  <c r="H119" i="7" s="1"/>
  <c r="BL75" i="7"/>
  <c r="D75" i="7" s="1"/>
  <c r="H75" i="7" s="1"/>
  <c r="BL13" i="7"/>
  <c r="D13" i="7" s="1"/>
  <c r="H13" i="7" s="1"/>
  <c r="BL242" i="7"/>
  <c r="D242" i="7" s="1"/>
  <c r="H242" i="7" s="1"/>
  <c r="BL27" i="7"/>
  <c r="D27" i="7" s="1"/>
  <c r="H27" i="7" s="1"/>
  <c r="BL351" i="7"/>
  <c r="D351" i="7" s="1"/>
  <c r="H351" i="7" s="1"/>
  <c r="BL330" i="7"/>
  <c r="D330" i="7" s="1"/>
  <c r="H330" i="7" s="1"/>
  <c r="BL177" i="7"/>
  <c r="D177" i="7" s="1"/>
  <c r="H177" i="7" s="1"/>
  <c r="BL240" i="7"/>
  <c r="D240" i="7" s="1"/>
  <c r="H240" i="7" s="1"/>
  <c r="BO108" i="7"/>
  <c r="AH108" i="7" s="1"/>
  <c r="AM108" i="7" s="1"/>
  <c r="BO234" i="7"/>
  <c r="AH234" i="7" s="1"/>
  <c r="AM234" i="7" s="1"/>
  <c r="BO362" i="7"/>
  <c r="AH362" i="7" s="1"/>
  <c r="AM362" i="7" s="1"/>
  <c r="BO365" i="7"/>
  <c r="AH365" i="7" s="1"/>
  <c r="AM365" i="7" s="1"/>
  <c r="BO98" i="7"/>
  <c r="AH98" i="7" s="1"/>
  <c r="AM98" i="7" s="1"/>
  <c r="BO262" i="7"/>
  <c r="AH262" i="7" s="1"/>
  <c r="AM262" i="7" s="1"/>
  <c r="BO103" i="7"/>
  <c r="AH103" i="7" s="1"/>
  <c r="AM103" i="7" s="1"/>
  <c r="BO229" i="7"/>
  <c r="AH229" i="7" s="1"/>
  <c r="AM229" i="7" s="1"/>
  <c r="BO323" i="7"/>
  <c r="AH323" i="7" s="1"/>
  <c r="AM323" i="7" s="1"/>
  <c r="BO137" i="7"/>
  <c r="AH137" i="7" s="1"/>
  <c r="AM137" i="7" s="1"/>
  <c r="BO265" i="7"/>
  <c r="AH265" i="7" s="1"/>
  <c r="AM265" i="7" s="1"/>
  <c r="BO11" i="7"/>
  <c r="AH11" i="7" s="1"/>
  <c r="AM11" i="7" s="1"/>
  <c r="BO367" i="7"/>
  <c r="AH367" i="7" s="1"/>
  <c r="AM367" i="7" s="1"/>
  <c r="BO144" i="7"/>
  <c r="AH144" i="7" s="1"/>
  <c r="AM144" i="7" s="1"/>
  <c r="BO312" i="7"/>
  <c r="AH312" i="7" s="1"/>
  <c r="AM312" i="7" s="1"/>
  <c r="BO162" i="7"/>
  <c r="AH162" i="7" s="1"/>
  <c r="AM162" i="7" s="1"/>
  <c r="BO259" i="7"/>
  <c r="AH259" i="7" s="1"/>
  <c r="AM259" i="7" s="1"/>
  <c r="BO33" i="7"/>
  <c r="AH33" i="7" s="1"/>
  <c r="AM33" i="7" s="1"/>
  <c r="BO190" i="7"/>
  <c r="AH190" i="7" s="1"/>
  <c r="AM190" i="7" s="1"/>
  <c r="BO300" i="7"/>
  <c r="AH300" i="7" s="1"/>
  <c r="AM300" i="7" s="1"/>
  <c r="BO143" i="7"/>
  <c r="AH143" i="7" s="1"/>
  <c r="AM143" i="7" s="1"/>
  <c r="BL118" i="7"/>
  <c r="D118" i="7" s="1"/>
  <c r="H118" i="7" s="1"/>
  <c r="BO105" i="7"/>
  <c r="AH105" i="7" s="1"/>
  <c r="AM105" i="7" s="1"/>
  <c r="BN43" i="7"/>
  <c r="Z43" i="7" s="1"/>
  <c r="AD43" i="7" s="1"/>
  <c r="BL182" i="7"/>
  <c r="D182" i="7" s="1"/>
  <c r="H182" i="7" s="1"/>
  <c r="BO195" i="7"/>
  <c r="AH195" i="7" s="1"/>
  <c r="AM195" i="7" s="1"/>
  <c r="BO55" i="7"/>
  <c r="AH55" i="7" s="1"/>
  <c r="AM55" i="7" s="1"/>
  <c r="BL178" i="7"/>
  <c r="D178" i="7" s="1"/>
  <c r="H178" i="7" s="1"/>
  <c r="BO303" i="7"/>
  <c r="AH303" i="7" s="1"/>
  <c r="AM303" i="7" s="1"/>
  <c r="BL47" i="7"/>
  <c r="D47" i="7" s="1"/>
  <c r="H47" i="7" s="1"/>
  <c r="BO235" i="7"/>
  <c r="AH235" i="7" s="1"/>
  <c r="AM235" i="7" s="1"/>
  <c r="BO266" i="7"/>
  <c r="AH266" i="7" s="1"/>
  <c r="AM266" i="7" s="1"/>
  <c r="BO366" i="7"/>
  <c r="AH366" i="7" s="1"/>
  <c r="AM366" i="7" s="1"/>
  <c r="BL116" i="7"/>
  <c r="D116" i="7" s="1"/>
  <c r="H116" i="7" s="1"/>
  <c r="BL354" i="7"/>
  <c r="D354" i="7" s="1"/>
  <c r="H354" i="7" s="1"/>
  <c r="BL352" i="7"/>
  <c r="D352" i="7" s="1"/>
  <c r="H352" i="7" s="1"/>
  <c r="BL344" i="7"/>
  <c r="D344" i="7" s="1"/>
  <c r="H344" i="7" s="1"/>
  <c r="BL335" i="7"/>
  <c r="D335" i="7" s="1"/>
  <c r="H335" i="7" s="1"/>
  <c r="BL249" i="7"/>
  <c r="D249" i="7" s="1"/>
  <c r="H249" i="7" s="1"/>
  <c r="BL243" i="7"/>
  <c r="D243" i="7" s="1"/>
  <c r="H243" i="7" s="1"/>
  <c r="BL131" i="7"/>
  <c r="D131" i="7" s="1"/>
  <c r="H131" i="7" s="1"/>
  <c r="BL125" i="7"/>
  <c r="D125" i="7" s="1"/>
  <c r="H125" i="7" s="1"/>
  <c r="BL25" i="7"/>
  <c r="D25" i="7" s="1"/>
  <c r="H25" i="7" s="1"/>
  <c r="BL250" i="7"/>
  <c r="D250" i="7" s="1"/>
  <c r="H250" i="7" s="1"/>
  <c r="BL244" i="7"/>
  <c r="D244" i="7" s="1"/>
  <c r="H244" i="7" s="1"/>
  <c r="BL183" i="7"/>
  <c r="D183" i="7" s="1"/>
  <c r="H183" i="7" s="1"/>
  <c r="BL9" i="7"/>
  <c r="D9" i="7" s="1"/>
  <c r="BL340" i="7"/>
  <c r="D340" i="7" s="1"/>
  <c r="H340" i="7" s="1"/>
  <c r="BL331" i="7"/>
  <c r="D331" i="7" s="1"/>
  <c r="H331" i="7" s="1"/>
  <c r="BL289" i="7"/>
  <c r="D289" i="7" s="1"/>
  <c r="H289" i="7" s="1"/>
  <c r="BL245" i="7"/>
  <c r="D245" i="7" s="1"/>
  <c r="H245" i="7" s="1"/>
  <c r="BL184" i="7"/>
  <c r="D184" i="7" s="1"/>
  <c r="H184" i="7" s="1"/>
  <c r="BL83" i="7"/>
  <c r="D83" i="7" s="1"/>
  <c r="H83" i="7" s="1"/>
  <c r="BL30" i="7"/>
  <c r="D30" i="7" s="1"/>
  <c r="H30" i="7" s="1"/>
  <c r="BL359" i="7"/>
  <c r="D359" i="7" s="1"/>
  <c r="H359" i="7" s="1"/>
  <c r="BL341" i="7"/>
  <c r="D341" i="7" s="1"/>
  <c r="H341" i="7" s="1"/>
  <c r="BL332" i="7"/>
  <c r="D332" i="7" s="1"/>
  <c r="H332" i="7" s="1"/>
  <c r="BL175" i="7"/>
  <c r="D175" i="7" s="1"/>
  <c r="H175" i="7" s="1"/>
  <c r="BL171" i="7"/>
  <c r="D171" i="7" s="1"/>
  <c r="H171" i="7" s="1"/>
  <c r="BL168" i="7"/>
  <c r="D168" i="7" s="1"/>
  <c r="H168" i="7" s="1"/>
  <c r="BL133" i="7"/>
  <c r="D133" i="7" s="1"/>
  <c r="H133" i="7" s="1"/>
  <c r="BL130" i="7"/>
  <c r="D130" i="7" s="1"/>
  <c r="H130" i="7" s="1"/>
  <c r="BL128" i="7"/>
  <c r="D128" i="7" s="1"/>
  <c r="H128" i="7" s="1"/>
  <c r="BL42" i="7"/>
  <c r="D42" i="7" s="1"/>
  <c r="H42" i="7" s="1"/>
  <c r="BL353" i="7"/>
  <c r="D353" i="7" s="1"/>
  <c r="H353" i="7" s="1"/>
  <c r="BL345" i="7"/>
  <c r="D345" i="7" s="1"/>
  <c r="H345" i="7" s="1"/>
  <c r="BL337" i="7"/>
  <c r="D337" i="7" s="1"/>
  <c r="H337" i="7" s="1"/>
  <c r="BL336" i="7"/>
  <c r="D336" i="7" s="1"/>
  <c r="H336" i="7" s="1"/>
  <c r="BL308" i="7"/>
  <c r="D308" i="7" s="1"/>
  <c r="H308" i="7" s="1"/>
  <c r="BL304" i="7"/>
  <c r="D304" i="7" s="1"/>
  <c r="H304" i="7" s="1"/>
  <c r="BL120" i="7"/>
  <c r="D120" i="7" s="1"/>
  <c r="H120" i="7" s="1"/>
  <c r="BL356" i="7"/>
  <c r="D356" i="7" s="1"/>
  <c r="H356" i="7" s="1"/>
  <c r="BL348" i="7"/>
  <c r="D348" i="7" s="1"/>
  <c r="H348" i="7" s="1"/>
  <c r="BL179" i="7"/>
  <c r="D179" i="7" s="1"/>
  <c r="H179" i="7" s="1"/>
  <c r="BL173" i="7"/>
  <c r="D173" i="7" s="1"/>
  <c r="H173" i="7" s="1"/>
  <c r="BL48" i="7"/>
  <c r="D48" i="7" s="1"/>
  <c r="H48" i="7" s="1"/>
  <c r="BL29" i="7"/>
  <c r="D29" i="7" s="1"/>
  <c r="H29" i="7" s="1"/>
  <c r="BL12" i="7"/>
  <c r="D12" i="7" s="1"/>
  <c r="H12" i="7" s="1"/>
  <c r="BL349" i="7"/>
  <c r="D349" i="7" s="1"/>
  <c r="H349" i="7" s="1"/>
  <c r="BL246" i="7"/>
  <c r="D246" i="7" s="1"/>
  <c r="H246" i="7" s="1"/>
  <c r="BL185" i="7"/>
  <c r="D185" i="7" s="1"/>
  <c r="H185" i="7" s="1"/>
  <c r="BL176" i="7"/>
  <c r="D176" i="7" s="1"/>
  <c r="H176" i="7" s="1"/>
  <c r="BL174" i="7"/>
  <c r="D174" i="7" s="1"/>
  <c r="H174" i="7" s="1"/>
  <c r="BL170" i="7"/>
  <c r="D170" i="7" s="1"/>
  <c r="H170" i="7" s="1"/>
  <c r="BL169" i="7"/>
  <c r="D169" i="7" s="1"/>
  <c r="H169" i="7" s="1"/>
  <c r="BL132" i="7"/>
  <c r="D132" i="7" s="1"/>
  <c r="H132" i="7" s="1"/>
  <c r="BL129" i="7"/>
  <c r="D129" i="7" s="1"/>
  <c r="H129" i="7" s="1"/>
  <c r="BL124" i="7"/>
  <c r="D124" i="7" s="1"/>
  <c r="H124" i="7" s="1"/>
  <c r="BL123" i="7"/>
  <c r="D123" i="7" s="1"/>
  <c r="H123" i="7" s="1"/>
  <c r="BL31" i="7"/>
  <c r="D31" i="7" s="1"/>
  <c r="H31" i="7" s="1"/>
  <c r="BL26" i="7"/>
  <c r="D26" i="7" s="1"/>
  <c r="H26" i="7" s="1"/>
  <c r="BL20" i="7"/>
  <c r="D20" i="7" s="1"/>
  <c r="H20" i="7" s="1"/>
  <c r="BL14" i="7"/>
  <c r="D14" i="7" s="1"/>
  <c r="H14" i="7" s="1"/>
  <c r="BO35" i="7"/>
  <c r="AH35" i="7" s="1"/>
  <c r="AM35" i="7" s="1"/>
  <c r="BO102" i="7"/>
  <c r="AH102" i="7" s="1"/>
  <c r="AM102" i="7" s="1"/>
  <c r="BO220" i="7"/>
  <c r="AH220" i="7" s="1"/>
  <c r="AM220" i="7" s="1"/>
  <c r="BO263" i="7"/>
  <c r="AH263" i="7" s="1"/>
  <c r="AM263" i="7" s="1"/>
  <c r="BO36" i="7"/>
  <c r="AH36" i="7" s="1"/>
  <c r="AM36" i="7" s="1"/>
  <c r="BO107" i="7"/>
  <c r="AH107" i="7" s="1"/>
  <c r="AM107" i="7" s="1"/>
  <c r="BO189" i="7"/>
  <c r="AH189" i="7" s="1"/>
  <c r="AM189" i="7" s="1"/>
  <c r="BO233" i="7"/>
  <c r="AH233" i="7" s="1"/>
  <c r="AM233" i="7" s="1"/>
  <c r="BO295" i="7"/>
  <c r="AH295" i="7" s="1"/>
  <c r="AM295" i="7" s="1"/>
  <c r="BO324" i="7"/>
  <c r="AH324" i="7" s="1"/>
  <c r="AM324" i="7" s="1"/>
  <c r="BO59" i="7"/>
  <c r="AH59" i="7" s="1"/>
  <c r="AM59" i="7" s="1"/>
  <c r="BO138" i="7"/>
  <c r="AH138" i="7" s="1"/>
  <c r="AM138" i="7" s="1"/>
  <c r="BO223" i="7"/>
  <c r="AH223" i="7" s="1"/>
  <c r="AM223" i="7" s="1"/>
  <c r="BO283" i="7"/>
  <c r="AH283" i="7" s="1"/>
  <c r="AM283" i="7" s="1"/>
  <c r="BO327" i="7"/>
  <c r="AH327" i="7" s="1"/>
  <c r="AM327" i="7" s="1"/>
  <c r="BO21" i="7"/>
  <c r="AH21" i="7" s="1"/>
  <c r="AM21" i="7" s="1"/>
  <c r="BO109" i="7"/>
  <c r="AH109" i="7" s="1"/>
  <c r="AM109" i="7" s="1"/>
  <c r="BO199" i="7"/>
  <c r="AH199" i="7" s="1"/>
  <c r="AM199" i="7" s="1"/>
  <c r="BO267" i="7"/>
  <c r="AH267" i="7" s="1"/>
  <c r="AM267" i="7" s="1"/>
  <c r="BO56" i="7"/>
  <c r="AH56" i="7" s="1"/>
  <c r="AM56" i="7" s="1"/>
  <c r="BO114" i="7"/>
  <c r="AH114" i="7" s="1"/>
  <c r="AM114" i="7" s="1"/>
  <c r="BO236" i="7"/>
  <c r="AH236" i="7" s="1"/>
  <c r="AM236" i="7" s="1"/>
  <c r="BO290" i="7"/>
  <c r="AH290" i="7" s="1"/>
  <c r="AM290" i="7" s="1"/>
  <c r="BO53" i="7"/>
  <c r="AH53" i="7" s="1"/>
  <c r="AM53" i="7" s="1"/>
  <c r="BO136" i="7"/>
  <c r="AH136" i="7" s="1"/>
  <c r="AM136" i="7" s="1"/>
  <c r="BO207" i="7"/>
  <c r="AH207" i="7" s="1"/>
  <c r="AM207" i="7" s="1"/>
  <c r="BO255" i="7"/>
  <c r="AH255" i="7" s="1"/>
  <c r="AM255" i="7" s="1"/>
  <c r="BO298" i="7"/>
  <c r="AH298" i="7" s="1"/>
  <c r="AM298" i="7" s="1"/>
  <c r="BO329" i="7"/>
  <c r="AH329" i="7" s="1"/>
  <c r="AM329" i="7" s="1"/>
  <c r="BO104" i="7"/>
  <c r="AH104" i="7" s="1"/>
  <c r="AM104" i="7" s="1"/>
  <c r="BO180" i="7"/>
  <c r="AH180" i="7" s="1"/>
  <c r="AM180" i="7" s="1"/>
  <c r="BO230" i="7"/>
  <c r="AH230" i="7" s="1"/>
  <c r="AM230" i="7" s="1"/>
  <c r="BO294" i="7"/>
  <c r="AH294" i="7" s="1"/>
  <c r="AM294" i="7" s="1"/>
  <c r="BO361" i="7"/>
  <c r="AH361" i="7" s="1"/>
  <c r="AM361" i="7" s="1"/>
  <c r="BO38" i="7"/>
  <c r="AH38" i="7" s="1"/>
  <c r="AM38" i="7" s="1"/>
  <c r="BO142" i="7"/>
  <c r="AH142" i="7" s="1"/>
  <c r="AM142" i="7" s="1"/>
  <c r="BO231" i="7"/>
  <c r="AH231" i="7" s="1"/>
  <c r="AM231" i="7" s="1"/>
  <c r="BN299" i="7"/>
  <c r="Z299" i="7" s="1"/>
  <c r="AD299" i="7" s="1"/>
  <c r="BN121" i="7"/>
  <c r="Z121" i="7" s="1"/>
  <c r="AD121" i="7" s="1"/>
  <c r="BN339" i="7"/>
  <c r="Z339" i="7" s="1"/>
  <c r="AD339" i="7" s="1"/>
  <c r="BN358" i="7"/>
  <c r="Z358" i="7" s="1"/>
  <c r="AD358" i="7" s="1"/>
  <c r="BN41" i="7"/>
  <c r="Z41" i="7" s="1"/>
  <c r="AD41" i="7" s="1"/>
  <c r="BN47" i="7"/>
  <c r="Z47" i="7" s="1"/>
  <c r="AD47" i="7" s="1"/>
  <c r="BN24" i="7"/>
  <c r="Z24" i="7" s="1"/>
  <c r="AD24" i="7" s="1"/>
  <c r="BN26" i="7"/>
  <c r="Z26" i="7" s="1"/>
  <c r="AD26" i="7" s="1"/>
  <c r="BN20" i="7"/>
  <c r="Z20" i="7" s="1"/>
  <c r="AD20" i="7" s="1"/>
  <c r="BN176" i="7"/>
  <c r="Z176" i="7" s="1"/>
  <c r="AD176" i="7" s="1"/>
  <c r="BN183" i="7"/>
  <c r="Z183" i="7" s="1"/>
  <c r="AD183" i="7" s="1"/>
  <c r="BN289" i="7"/>
  <c r="Z289" i="7" s="1"/>
  <c r="AD289" i="7" s="1"/>
  <c r="BN338" i="7"/>
  <c r="Z338" i="7" s="1"/>
  <c r="AD338" i="7" s="1"/>
  <c r="BN185" i="7"/>
  <c r="Z185" i="7" s="1"/>
  <c r="AD185" i="7" s="1"/>
  <c r="BN305" i="7"/>
  <c r="Z305" i="7" s="1"/>
  <c r="AD305" i="7" s="1"/>
  <c r="BN13" i="7"/>
  <c r="Z13" i="7" s="1"/>
  <c r="AD13" i="7" s="1"/>
  <c r="BN77" i="7"/>
  <c r="Z77" i="7" s="1"/>
  <c r="AD77" i="7" s="1"/>
  <c r="BN25" i="7"/>
  <c r="Z25" i="7" s="1"/>
  <c r="AD25" i="7" s="1"/>
  <c r="BN118" i="7"/>
  <c r="Z118" i="7" s="1"/>
  <c r="AD118" i="7" s="1"/>
  <c r="BN131" i="7"/>
  <c r="Z131" i="7" s="1"/>
  <c r="AD131" i="7" s="1"/>
  <c r="BN184" i="7"/>
  <c r="Z184" i="7" s="1"/>
  <c r="AD184" i="7" s="1"/>
  <c r="BN307" i="7"/>
  <c r="Z307" i="7" s="1"/>
  <c r="AD307" i="7" s="1"/>
  <c r="BN76" i="7"/>
  <c r="Z76" i="7" s="1"/>
  <c r="AD76" i="7" s="1"/>
  <c r="BN165" i="7"/>
  <c r="Z165" i="7" s="1"/>
  <c r="AD165" i="7" s="1"/>
  <c r="BN244" i="7"/>
  <c r="Z244" i="7" s="1"/>
  <c r="AD244" i="7" s="1"/>
  <c r="BN333" i="7"/>
  <c r="Z333" i="7" s="1"/>
  <c r="AD333" i="7" s="1"/>
  <c r="BN9" i="7"/>
  <c r="Z9" i="7" s="1"/>
  <c r="BN117" i="7"/>
  <c r="Z117" i="7" s="1"/>
  <c r="AD117" i="7" s="1"/>
  <c r="BN28" i="7"/>
  <c r="Z28" i="7" s="1"/>
  <c r="AD28" i="7" s="1"/>
  <c r="BN84" i="7"/>
  <c r="Z84" i="7" s="1"/>
  <c r="AD84" i="7" s="1"/>
  <c r="BN171" i="7"/>
  <c r="Z171" i="7" s="1"/>
  <c r="AD171" i="7" s="1"/>
  <c r="BN247" i="7"/>
  <c r="Z247" i="7" s="1"/>
  <c r="AD247" i="7" s="1"/>
  <c r="BN341" i="7"/>
  <c r="Z341" i="7" s="1"/>
  <c r="AD341" i="7" s="1"/>
  <c r="BN345" i="7"/>
  <c r="Z345" i="7" s="1"/>
  <c r="AD345" i="7" s="1"/>
  <c r="BN349" i="7"/>
  <c r="Z349" i="7" s="1"/>
  <c r="AD349" i="7" s="1"/>
  <c r="BN353" i="7"/>
  <c r="Z353" i="7" s="1"/>
  <c r="AD353" i="7" s="1"/>
  <c r="BN355" i="7"/>
  <c r="Z355" i="7" s="1"/>
  <c r="AD355" i="7" s="1"/>
  <c r="BN179" i="7"/>
  <c r="Z179" i="7" s="1"/>
  <c r="AD179" i="7" s="1"/>
  <c r="BN249" i="7"/>
  <c r="Z249" i="7" s="1"/>
  <c r="AD249" i="7" s="1"/>
  <c r="BN291" i="7"/>
  <c r="Z291" i="7" s="1"/>
  <c r="AD291" i="7" s="1"/>
  <c r="BN119" i="7"/>
  <c r="Z119" i="7" s="1"/>
  <c r="AD119" i="7" s="1"/>
  <c r="BN241" i="7"/>
  <c r="Z241" i="7" s="1"/>
  <c r="AD241" i="7" s="1"/>
  <c r="BN330" i="7"/>
  <c r="Z330" i="7" s="1"/>
  <c r="AD330" i="7" s="1"/>
  <c r="BN29" i="7"/>
  <c r="Z29" i="7" s="1"/>
  <c r="AD29" i="7" s="1"/>
  <c r="BN133" i="7"/>
  <c r="Z133" i="7" s="1"/>
  <c r="AD133" i="7" s="1"/>
  <c r="BN30" i="7"/>
  <c r="Z30" i="7" s="1"/>
  <c r="AD30" i="7" s="1"/>
  <c r="BN120" i="7"/>
  <c r="Z120" i="7" s="1"/>
  <c r="AD120" i="7" s="1"/>
  <c r="BN166" i="7"/>
  <c r="Z166" i="7" s="1"/>
  <c r="AD166" i="7" s="1"/>
  <c r="BN240" i="7"/>
  <c r="Z240" i="7" s="1"/>
  <c r="AD240" i="7" s="1"/>
  <c r="BN308" i="7"/>
  <c r="Z308" i="7" s="1"/>
  <c r="AD308" i="7" s="1"/>
  <c r="BN116" i="7"/>
  <c r="Z116" i="7" s="1"/>
  <c r="AD116" i="7" s="1"/>
  <c r="BN169" i="7"/>
  <c r="Z169" i="7" s="1"/>
  <c r="AD169" i="7" s="1"/>
  <c r="BN248" i="7"/>
  <c r="Z248" i="7" s="1"/>
  <c r="AD248" i="7" s="1"/>
  <c r="BN335" i="7"/>
  <c r="Z335" i="7" s="1"/>
  <c r="AD335" i="7" s="1"/>
  <c r="BN12" i="7"/>
  <c r="Z12" i="7" s="1"/>
  <c r="AD12" i="7" s="1"/>
  <c r="BN125" i="7"/>
  <c r="Z125" i="7" s="1"/>
  <c r="AD125" i="7" s="1"/>
  <c r="BN31" i="7"/>
  <c r="Z31" i="7" s="1"/>
  <c r="AD31" i="7" s="1"/>
  <c r="BN85" i="7"/>
  <c r="Z85" i="7" s="1"/>
  <c r="AD85" i="7" s="1"/>
  <c r="BN175" i="7"/>
  <c r="Z175" i="7" s="1"/>
  <c r="AD175" i="7" s="1"/>
  <c r="BN281" i="7"/>
  <c r="Z281" i="7" s="1"/>
  <c r="AD281" i="7" s="1"/>
  <c r="BN342" i="7"/>
  <c r="Z342" i="7" s="1"/>
  <c r="AD342" i="7" s="1"/>
  <c r="BN346" i="7"/>
  <c r="Z346" i="7" s="1"/>
  <c r="AD346" i="7" s="1"/>
  <c r="BN350" i="7"/>
  <c r="Z350" i="7" s="1"/>
  <c r="AD350" i="7" s="1"/>
  <c r="BN354" i="7"/>
  <c r="Z354" i="7" s="1"/>
  <c r="AD354" i="7" s="1"/>
  <c r="BN356" i="7"/>
  <c r="Z356" i="7" s="1"/>
  <c r="AD356" i="7" s="1"/>
  <c r="BN182" i="7"/>
  <c r="Z182" i="7" s="1"/>
  <c r="AD182" i="7" s="1"/>
  <c r="BN337" i="7"/>
  <c r="Z337" i="7" s="1"/>
  <c r="AD337" i="7" s="1"/>
  <c r="BN282" i="7"/>
  <c r="Z282" i="7" s="1"/>
  <c r="AD282" i="7" s="1"/>
  <c r="BN44" i="7"/>
  <c r="Z44" i="7" s="1"/>
  <c r="AD44" i="7" s="1"/>
  <c r="BN75" i="7"/>
  <c r="Z75" i="7" s="1"/>
  <c r="AD75" i="7" s="1"/>
  <c r="BN170" i="7"/>
  <c r="Z170" i="7" s="1"/>
  <c r="AD170" i="7" s="1"/>
  <c r="BN359" i="7"/>
  <c r="Z359" i="7" s="1"/>
  <c r="AD359" i="7" s="1"/>
  <c r="BN242" i="7"/>
  <c r="Z242" i="7" s="1"/>
  <c r="AD242" i="7" s="1"/>
  <c r="BN357" i="7"/>
  <c r="Z357" i="7" s="1"/>
  <c r="AD357" i="7" s="1"/>
  <c r="BN14" i="7"/>
  <c r="Z14" i="7" s="1"/>
  <c r="AD14" i="7" s="1"/>
  <c r="BN128" i="7"/>
  <c r="Z128" i="7" s="1"/>
  <c r="AD128" i="7" s="1"/>
  <c r="BN340" i="7"/>
  <c r="Z340" i="7" s="1"/>
  <c r="AD340" i="7" s="1"/>
  <c r="BN348" i="7"/>
  <c r="Z348" i="7" s="1"/>
  <c r="AD348" i="7" s="1"/>
  <c r="BN270" i="7"/>
  <c r="Z270" i="7" s="1"/>
  <c r="AD270" i="7" s="1"/>
  <c r="BN23" i="7"/>
  <c r="Z23" i="7" s="1"/>
  <c r="AD23" i="7" s="1"/>
  <c r="BN304" i="7"/>
  <c r="Z304" i="7" s="1"/>
  <c r="AD304" i="7" s="1"/>
  <c r="BN331" i="7"/>
  <c r="Z331" i="7" s="1"/>
  <c r="AD331" i="7" s="1"/>
  <c r="BN83" i="7"/>
  <c r="Z83" i="7" s="1"/>
  <c r="AD83" i="7" s="1"/>
  <c r="BN344" i="7"/>
  <c r="Z344" i="7" s="1"/>
  <c r="AD344" i="7" s="1"/>
  <c r="BN250" i="7"/>
  <c r="Z250" i="7" s="1"/>
  <c r="AD250" i="7" s="1"/>
  <c r="BN122" i="7"/>
  <c r="Z122" i="7" s="1"/>
  <c r="AD122" i="7" s="1"/>
  <c r="BN332" i="7"/>
  <c r="Z332" i="7" s="1"/>
  <c r="AD332" i="7" s="1"/>
  <c r="BN173" i="7"/>
  <c r="Z173" i="7" s="1"/>
  <c r="AD173" i="7" s="1"/>
  <c r="BN123" i="7"/>
  <c r="Z123" i="7" s="1"/>
  <c r="AD123" i="7" s="1"/>
  <c r="BN245" i="7"/>
  <c r="Z245" i="7" s="1"/>
  <c r="AD245" i="7" s="1"/>
  <c r="BN124" i="7"/>
  <c r="Z124" i="7" s="1"/>
  <c r="AD124" i="7" s="1"/>
  <c r="BN284" i="7"/>
  <c r="Z284" i="7" s="1"/>
  <c r="AD284" i="7" s="1"/>
  <c r="BN27" i="7"/>
  <c r="Z27" i="7" s="1"/>
  <c r="AD27" i="7" s="1"/>
  <c r="BN45" i="7"/>
  <c r="Z45" i="7" s="1"/>
  <c r="AD45" i="7" s="1"/>
  <c r="BN177" i="7"/>
  <c r="Z177" i="7" s="1"/>
  <c r="AD177" i="7" s="1"/>
  <c r="BN343" i="7"/>
  <c r="Z343" i="7" s="1"/>
  <c r="AD343" i="7" s="1"/>
  <c r="BN351" i="7"/>
  <c r="Z351" i="7" s="1"/>
  <c r="AD351" i="7" s="1"/>
  <c r="BN129" i="7"/>
  <c r="Z129" i="7" s="1"/>
  <c r="AD129" i="7" s="1"/>
  <c r="BN167" i="7"/>
  <c r="Z167" i="7" s="1"/>
  <c r="AD167" i="7" s="1"/>
  <c r="BN334" i="7"/>
  <c r="Z334" i="7" s="1"/>
  <c r="AD334" i="7" s="1"/>
  <c r="BN130" i="7"/>
  <c r="Z130" i="7" s="1"/>
  <c r="AD130" i="7" s="1"/>
  <c r="BN132" i="7"/>
  <c r="Z132" i="7" s="1"/>
  <c r="AD132" i="7" s="1"/>
  <c r="BN42" i="7"/>
  <c r="Z42" i="7" s="1"/>
  <c r="AD42" i="7" s="1"/>
  <c r="BN246" i="7"/>
  <c r="Z246" i="7" s="1"/>
  <c r="AD246" i="7" s="1"/>
  <c r="BN352" i="7"/>
  <c r="Z352" i="7" s="1"/>
  <c r="AD352" i="7" s="1"/>
  <c r="BN174" i="7"/>
  <c r="Z174" i="7" s="1"/>
  <c r="AD174" i="7" s="1"/>
  <c r="BN168" i="7"/>
  <c r="Z168" i="7" s="1"/>
  <c r="AD168" i="7" s="1"/>
  <c r="BN306" i="7"/>
  <c r="Z306" i="7" s="1"/>
  <c r="AD306" i="7" s="1"/>
  <c r="BN347" i="7"/>
  <c r="Z347" i="7" s="1"/>
  <c r="AD347" i="7" s="1"/>
  <c r="BN336" i="7"/>
  <c r="Z336" i="7" s="1"/>
  <c r="AD336" i="7" s="1"/>
  <c r="BN48" i="7"/>
  <c r="Z48" i="7" s="1"/>
  <c r="AD48" i="7" s="1"/>
  <c r="BN181" i="7"/>
  <c r="Z181" i="7" s="1"/>
  <c r="AD181" i="7" s="1"/>
  <c r="BO314" i="7"/>
  <c r="AH314" i="7" s="1"/>
  <c r="AM314" i="7" s="1"/>
  <c r="BO278" i="7"/>
  <c r="AH278" i="7" s="1"/>
  <c r="AM278" i="7" s="1"/>
  <c r="BO261" i="7"/>
  <c r="AH261" i="7" s="1"/>
  <c r="AM261" i="7" s="1"/>
  <c r="BO227" i="7"/>
  <c r="AH227" i="7" s="1"/>
  <c r="AM227" i="7" s="1"/>
  <c r="BO191" i="7"/>
  <c r="AH191" i="7" s="1"/>
  <c r="AM191" i="7" s="1"/>
  <c r="BO141" i="7"/>
  <c r="AH141" i="7" s="1"/>
  <c r="AM141" i="7" s="1"/>
  <c r="BO101" i="7"/>
  <c r="AH101" i="7" s="1"/>
  <c r="AM101" i="7" s="1"/>
  <c r="BO34" i="7"/>
  <c r="AH34" i="7" s="1"/>
  <c r="AM34" i="7" s="1"/>
  <c r="BO10" i="7"/>
  <c r="AH10" i="7" s="1"/>
  <c r="BO360" i="7"/>
  <c r="AH360" i="7" s="1"/>
  <c r="AM360" i="7" s="1"/>
  <c r="BO302" i="7"/>
  <c r="AH302" i="7" s="1"/>
  <c r="AM302" i="7" s="1"/>
  <c r="BO293" i="7"/>
  <c r="AH293" i="7" s="1"/>
  <c r="AM293" i="7" s="1"/>
  <c r="BO260" i="7"/>
  <c r="AH260" i="7" s="1"/>
  <c r="AM260" i="7" s="1"/>
  <c r="BO226" i="7"/>
  <c r="AH226" i="7" s="1"/>
  <c r="AM226" i="7" s="1"/>
  <c r="BO218" i="7"/>
  <c r="AH218" i="7" s="1"/>
  <c r="AM218" i="7" s="1"/>
  <c r="BO140" i="7"/>
  <c r="AH140" i="7" s="1"/>
  <c r="AM140" i="7" s="1"/>
  <c r="BO134" i="7"/>
  <c r="AH134" i="7" s="1"/>
  <c r="AM134" i="7" s="1"/>
  <c r="BO100" i="7"/>
  <c r="AH100" i="7" s="1"/>
  <c r="AM100" i="7" s="1"/>
  <c r="BO54" i="7"/>
  <c r="AH54" i="7" s="1"/>
  <c r="AM54" i="7" s="1"/>
  <c r="BO326" i="7"/>
  <c r="AH326" i="7" s="1"/>
  <c r="AM326" i="7" s="1"/>
  <c r="BO316" i="7"/>
  <c r="AH316" i="7" s="1"/>
  <c r="AM316" i="7" s="1"/>
  <c r="BO297" i="7"/>
  <c r="AH297" i="7" s="1"/>
  <c r="AM297" i="7" s="1"/>
  <c r="BO287" i="7"/>
  <c r="AH287" i="7" s="1"/>
  <c r="AM287" i="7" s="1"/>
  <c r="BO254" i="7"/>
  <c r="AH254" i="7" s="1"/>
  <c r="AM254" i="7" s="1"/>
  <c r="BO224" i="7"/>
  <c r="AH224" i="7" s="1"/>
  <c r="AM224" i="7" s="1"/>
  <c r="BO201" i="7"/>
  <c r="AH201" i="7" s="1"/>
  <c r="AM201" i="7" s="1"/>
  <c r="BO164" i="7"/>
  <c r="AH164" i="7" s="1"/>
  <c r="AM164" i="7" s="1"/>
  <c r="BO115" i="7"/>
  <c r="AH115" i="7" s="1"/>
  <c r="AM115" i="7" s="1"/>
  <c r="BO99" i="7"/>
  <c r="AH99" i="7" s="1"/>
  <c r="AM99" i="7" s="1"/>
  <c r="BO46" i="7"/>
  <c r="AH46" i="7" s="1"/>
  <c r="AM46" i="7" s="1"/>
  <c r="BO322" i="7"/>
  <c r="AH322" i="7" s="1"/>
  <c r="AM322" i="7" s="1"/>
  <c r="BO286" i="7"/>
  <c r="AH286" i="7" s="1"/>
  <c r="AM286" i="7" s="1"/>
  <c r="BO258" i="7"/>
  <c r="AH258" i="7" s="1"/>
  <c r="AM258" i="7" s="1"/>
  <c r="BO232" i="7"/>
  <c r="AH232" i="7" s="1"/>
  <c r="AM232" i="7" s="1"/>
  <c r="BO192" i="7"/>
  <c r="AH192" i="7" s="1"/>
  <c r="AM192" i="7" s="1"/>
  <c r="BO110" i="7"/>
  <c r="AH110" i="7" s="1"/>
  <c r="AM110" i="7" s="1"/>
  <c r="BO97" i="7"/>
  <c r="AH97" i="7" s="1"/>
  <c r="AM97" i="7" s="1"/>
  <c r="BO52" i="7"/>
  <c r="AH52" i="7" s="1"/>
  <c r="AM52" i="7" s="1"/>
  <c r="BO311" i="7"/>
  <c r="AH311" i="7" s="1"/>
  <c r="AM311" i="7" s="1"/>
  <c r="BO268" i="7"/>
  <c r="AH268" i="7" s="1"/>
  <c r="AM268" i="7" s="1"/>
  <c r="BO239" i="7"/>
  <c r="AH239" i="7" s="1"/>
  <c r="AM239" i="7" s="1"/>
  <c r="BO219" i="7"/>
  <c r="AH219" i="7" s="1"/>
  <c r="AM219" i="7" s="1"/>
  <c r="BO172" i="7"/>
  <c r="AH172" i="7" s="1"/>
  <c r="AM172" i="7" s="1"/>
  <c r="BO113" i="7"/>
  <c r="AH113" i="7" s="1"/>
  <c r="AM113" i="7" s="1"/>
  <c r="BO60" i="7"/>
  <c r="AH60" i="7" s="1"/>
  <c r="AM60" i="7" s="1"/>
  <c r="BO22" i="7"/>
  <c r="AH22" i="7" s="1"/>
  <c r="AM22" i="7" s="1"/>
  <c r="BO364" i="7"/>
  <c r="AH364" i="7" s="1"/>
  <c r="AM364" i="7" s="1"/>
  <c r="BO328" i="7"/>
  <c r="AH328" i="7" s="1"/>
  <c r="AM328" i="7" s="1"/>
  <c r="BO301" i="7"/>
  <c r="AH301" i="7" s="1"/>
  <c r="AM301" i="7" s="1"/>
  <c r="BO288" i="7"/>
  <c r="AH288" i="7" s="1"/>
  <c r="AM288" i="7" s="1"/>
  <c r="BO238" i="7"/>
  <c r="AH238" i="7" s="1"/>
  <c r="AM238" i="7" s="1"/>
  <c r="BO225" i="7"/>
  <c r="AH225" i="7" s="1"/>
  <c r="AM225" i="7" s="1"/>
  <c r="BO194" i="7"/>
  <c r="AH194" i="7" s="1"/>
  <c r="AM194" i="7" s="1"/>
  <c r="BO139" i="7"/>
  <c r="AH139" i="7" s="1"/>
  <c r="AM139" i="7" s="1"/>
  <c r="BO112" i="7"/>
  <c r="AH112" i="7" s="1"/>
  <c r="AM112" i="7" s="1"/>
  <c r="BO64" i="7"/>
  <c r="AH64" i="7" s="1"/>
  <c r="AM64" i="7" s="1"/>
  <c r="BO37" i="7"/>
  <c r="AH37" i="7" s="1"/>
  <c r="AM37" i="7" s="1"/>
  <c r="BO325" i="7"/>
  <c r="AH325" i="7" s="1"/>
  <c r="AM325" i="7" s="1"/>
  <c r="BO313" i="7"/>
  <c r="AH313" i="7" s="1"/>
  <c r="AM313" i="7" s="1"/>
  <c r="BO296" i="7"/>
  <c r="AH296" i="7" s="1"/>
  <c r="AM296" i="7" s="1"/>
  <c r="BO264" i="7"/>
  <c r="AH264" i="7" s="1"/>
  <c r="AM264" i="7" s="1"/>
  <c r="BO237" i="7"/>
  <c r="AH237" i="7" s="1"/>
  <c r="AM237" i="7" s="1"/>
  <c r="BO221" i="7"/>
  <c r="AH221" i="7" s="1"/>
  <c r="AM221" i="7" s="1"/>
  <c r="BO193" i="7"/>
  <c r="AH193" i="7" s="1"/>
  <c r="AM193" i="7" s="1"/>
  <c r="BO163" i="7"/>
  <c r="AH163" i="7" s="1"/>
  <c r="AM163" i="7" s="1"/>
  <c r="BO111" i="7"/>
  <c r="AH111" i="7" s="1"/>
  <c r="AM111" i="7" s="1"/>
  <c r="BO63" i="7"/>
  <c r="AH63" i="7" s="1"/>
  <c r="AM63" i="7" s="1"/>
  <c r="BO40" i="7"/>
  <c r="AH40" i="7" s="1"/>
  <c r="AM40" i="7" s="1"/>
  <c r="BO315" i="7"/>
  <c r="AH315" i="7" s="1"/>
  <c r="AM315" i="7" s="1"/>
  <c r="BO285" i="7"/>
  <c r="AH285" i="7" s="1"/>
  <c r="AM285" i="7" s="1"/>
  <c r="BO257" i="7"/>
  <c r="AH257" i="7" s="1"/>
  <c r="AM257" i="7" s="1"/>
  <c r="BO228" i="7"/>
  <c r="AH228" i="7" s="1"/>
  <c r="AM228" i="7" s="1"/>
  <c r="BO146" i="7"/>
  <c r="AH146" i="7" s="1"/>
  <c r="AM146" i="7" s="1"/>
  <c r="BO106" i="7"/>
  <c r="AH106" i="7" s="1"/>
  <c r="AM106" i="7" s="1"/>
  <c r="BO62" i="7"/>
  <c r="AH62" i="7" s="1"/>
  <c r="AM62" i="7" s="1"/>
  <c r="BO39" i="7"/>
  <c r="AH39" i="7" s="1"/>
  <c r="AM39" i="7" s="1"/>
  <c r="BO356" i="7"/>
  <c r="AH356" i="7" s="1"/>
  <c r="AM356" i="7" s="1"/>
  <c r="BO358" i="7"/>
  <c r="AH358" i="7" s="1"/>
  <c r="AM358" i="7" s="1"/>
  <c r="BO350" i="7"/>
  <c r="AH350" i="7" s="1"/>
  <c r="AM350" i="7" s="1"/>
  <c r="BO346" i="7"/>
  <c r="AH346" i="7" s="1"/>
  <c r="AM346" i="7" s="1"/>
  <c r="BO342" i="7"/>
  <c r="AH342" i="7" s="1"/>
  <c r="AM342" i="7" s="1"/>
  <c r="BO337" i="7"/>
  <c r="AH337" i="7" s="1"/>
  <c r="AM337" i="7" s="1"/>
  <c r="BO336" i="7"/>
  <c r="AH336" i="7" s="1"/>
  <c r="AM336" i="7" s="1"/>
  <c r="BO359" i="7"/>
  <c r="AH359" i="7" s="1"/>
  <c r="AM359" i="7" s="1"/>
  <c r="BO355" i="7"/>
  <c r="AH355" i="7" s="1"/>
  <c r="AM355" i="7" s="1"/>
  <c r="BO351" i="7"/>
  <c r="AH351" i="7" s="1"/>
  <c r="AM351" i="7" s="1"/>
  <c r="BO347" i="7"/>
  <c r="AH347" i="7" s="1"/>
  <c r="AM347" i="7" s="1"/>
  <c r="BO357" i="7"/>
  <c r="AH357" i="7" s="1"/>
  <c r="AM357" i="7" s="1"/>
  <c r="BO338" i="7"/>
  <c r="AH338" i="7" s="1"/>
  <c r="AM338" i="7" s="1"/>
  <c r="BO354" i="7"/>
  <c r="AH354" i="7" s="1"/>
  <c r="AM354" i="7" s="1"/>
  <c r="BO352" i="7"/>
  <c r="AH352" i="7" s="1"/>
  <c r="AM352" i="7" s="1"/>
  <c r="BO348" i="7"/>
  <c r="AH348" i="7" s="1"/>
  <c r="AM348" i="7" s="1"/>
  <c r="BO344" i="7"/>
  <c r="AH344" i="7" s="1"/>
  <c r="AM344" i="7" s="1"/>
  <c r="BO340" i="7"/>
  <c r="AH340" i="7" s="1"/>
  <c r="AM340" i="7" s="1"/>
  <c r="BO341" i="7"/>
  <c r="AH341" i="7" s="1"/>
  <c r="AM341" i="7" s="1"/>
  <c r="BO332" i="7"/>
  <c r="AH332" i="7" s="1"/>
  <c r="AM332" i="7" s="1"/>
  <c r="BO339" i="7"/>
  <c r="AH339" i="7" s="1"/>
  <c r="AM339" i="7" s="1"/>
  <c r="BO333" i="7"/>
  <c r="AH333" i="7" s="1"/>
  <c r="AM333" i="7" s="1"/>
  <c r="BO334" i="7"/>
  <c r="AH334" i="7" s="1"/>
  <c r="AM334" i="7" s="1"/>
  <c r="BO330" i="7"/>
  <c r="AH330" i="7" s="1"/>
  <c r="AM330" i="7" s="1"/>
  <c r="BO349" i="7"/>
  <c r="AH349" i="7" s="1"/>
  <c r="AM349" i="7" s="1"/>
  <c r="BO335" i="7"/>
  <c r="AH335" i="7" s="1"/>
  <c r="AM335" i="7" s="1"/>
  <c r="BO331" i="7"/>
  <c r="AH331" i="7" s="1"/>
  <c r="AM331" i="7" s="1"/>
  <c r="BO307" i="7"/>
  <c r="AH307" i="7" s="1"/>
  <c r="AM307" i="7" s="1"/>
  <c r="BO353" i="7"/>
  <c r="AH353" i="7" s="1"/>
  <c r="AM353" i="7" s="1"/>
  <c r="BO308" i="7"/>
  <c r="AH308" i="7" s="1"/>
  <c r="AM308" i="7" s="1"/>
  <c r="BO304" i="7"/>
  <c r="AH304" i="7" s="1"/>
  <c r="AM304" i="7" s="1"/>
  <c r="BO299" i="7"/>
  <c r="AH299" i="7" s="1"/>
  <c r="AM299" i="7" s="1"/>
  <c r="BO345" i="7"/>
  <c r="AH345" i="7" s="1"/>
  <c r="AM345" i="7" s="1"/>
  <c r="BO343" i="7"/>
  <c r="AH343" i="7" s="1"/>
  <c r="AM343" i="7" s="1"/>
  <c r="BO305" i="7"/>
  <c r="AH305" i="7" s="1"/>
  <c r="AM305" i="7" s="1"/>
  <c r="BO289" i="7"/>
  <c r="AH289" i="7" s="1"/>
  <c r="AM289" i="7" s="1"/>
  <c r="BO270" i="7"/>
  <c r="AH270" i="7" s="1"/>
  <c r="AM270" i="7" s="1"/>
  <c r="BO291" i="7"/>
  <c r="AH291" i="7" s="1"/>
  <c r="AM291" i="7" s="1"/>
  <c r="BO281" i="7"/>
  <c r="AH281" i="7" s="1"/>
  <c r="AM281" i="7" s="1"/>
  <c r="BO306" i="7"/>
  <c r="AH306" i="7" s="1"/>
  <c r="AM306" i="7" s="1"/>
  <c r="BO282" i="7"/>
  <c r="AH282" i="7" s="1"/>
  <c r="AM282" i="7" s="1"/>
  <c r="BO248" i="7"/>
  <c r="AH248" i="7" s="1"/>
  <c r="AM248" i="7" s="1"/>
  <c r="BO244" i="7"/>
  <c r="AH244" i="7" s="1"/>
  <c r="AM244" i="7" s="1"/>
  <c r="BO284" i="7"/>
  <c r="AH284" i="7" s="1"/>
  <c r="AM284" i="7" s="1"/>
  <c r="BO249" i="7"/>
  <c r="AH249" i="7" s="1"/>
  <c r="AM249" i="7" s="1"/>
  <c r="BO245" i="7"/>
  <c r="AH245" i="7" s="1"/>
  <c r="AM245" i="7" s="1"/>
  <c r="BO241" i="7"/>
  <c r="AH241" i="7" s="1"/>
  <c r="AM241" i="7" s="1"/>
  <c r="BO240" i="7"/>
  <c r="AH240" i="7" s="1"/>
  <c r="AM240" i="7" s="1"/>
  <c r="BO250" i="7"/>
  <c r="AH250" i="7" s="1"/>
  <c r="AM250" i="7" s="1"/>
  <c r="BO246" i="7"/>
  <c r="AH246" i="7" s="1"/>
  <c r="AM246" i="7" s="1"/>
  <c r="BO242" i="7"/>
  <c r="AH242" i="7" s="1"/>
  <c r="AM242" i="7" s="1"/>
  <c r="BO243" i="7"/>
  <c r="AH243" i="7" s="1"/>
  <c r="AM243" i="7" s="1"/>
  <c r="BO183" i="7"/>
  <c r="AH183" i="7" s="1"/>
  <c r="AM183" i="7" s="1"/>
  <c r="BO179" i="7"/>
  <c r="AH179" i="7" s="1"/>
  <c r="AM179" i="7" s="1"/>
  <c r="BO175" i="7"/>
  <c r="AH175" i="7" s="1"/>
  <c r="AM175" i="7" s="1"/>
  <c r="BO171" i="7"/>
  <c r="AH171" i="7" s="1"/>
  <c r="AM171" i="7" s="1"/>
  <c r="BO167" i="7"/>
  <c r="AH167" i="7" s="1"/>
  <c r="AM167" i="7" s="1"/>
  <c r="BO247" i="7"/>
  <c r="AH247" i="7" s="1"/>
  <c r="AM247" i="7" s="1"/>
  <c r="BO184" i="7"/>
  <c r="AH184" i="7" s="1"/>
  <c r="AM184" i="7" s="1"/>
  <c r="BO176" i="7"/>
  <c r="AH176" i="7" s="1"/>
  <c r="AM176" i="7" s="1"/>
  <c r="BO168" i="7"/>
  <c r="AH168" i="7" s="1"/>
  <c r="AM168" i="7" s="1"/>
  <c r="BO174" i="7"/>
  <c r="AH174" i="7" s="1"/>
  <c r="AM174" i="7" s="1"/>
  <c r="BO165" i="7"/>
  <c r="AH165" i="7" s="1"/>
  <c r="AM165" i="7" s="1"/>
  <c r="BO130" i="7"/>
  <c r="AH130" i="7" s="1"/>
  <c r="AM130" i="7" s="1"/>
  <c r="BO122" i="7"/>
  <c r="AH122" i="7" s="1"/>
  <c r="AM122" i="7" s="1"/>
  <c r="BO118" i="7"/>
  <c r="AH118" i="7" s="1"/>
  <c r="AM118" i="7" s="1"/>
  <c r="BO178" i="7"/>
  <c r="AH178" i="7" s="1"/>
  <c r="AM178" i="7" s="1"/>
  <c r="BO177" i="7"/>
  <c r="AH177" i="7" s="1"/>
  <c r="AM177" i="7" s="1"/>
  <c r="BO131" i="7"/>
  <c r="AH131" i="7" s="1"/>
  <c r="AM131" i="7" s="1"/>
  <c r="BO123" i="7"/>
  <c r="AH123" i="7" s="1"/>
  <c r="AM123" i="7" s="1"/>
  <c r="BO119" i="7"/>
  <c r="AH119" i="7" s="1"/>
  <c r="AM119" i="7" s="1"/>
  <c r="BO181" i="7"/>
  <c r="AH181" i="7" s="1"/>
  <c r="AM181" i="7" s="1"/>
  <c r="BO166" i="7"/>
  <c r="AH166" i="7" s="1"/>
  <c r="AM166" i="7" s="1"/>
  <c r="BO132" i="7"/>
  <c r="AH132" i="7" s="1"/>
  <c r="AM132" i="7" s="1"/>
  <c r="BO128" i="7"/>
  <c r="AH128" i="7" s="1"/>
  <c r="AM128" i="7" s="1"/>
  <c r="BO124" i="7"/>
  <c r="AH124" i="7" s="1"/>
  <c r="AM124" i="7" s="1"/>
  <c r="BO120" i="7"/>
  <c r="AH120" i="7" s="1"/>
  <c r="AM120" i="7" s="1"/>
  <c r="BO116" i="7"/>
  <c r="AH116" i="7" s="1"/>
  <c r="AM116" i="7" s="1"/>
  <c r="BO170" i="7"/>
  <c r="AH170" i="7" s="1"/>
  <c r="AM170" i="7" s="1"/>
  <c r="BO133" i="7"/>
  <c r="AH133" i="7" s="1"/>
  <c r="AM133" i="7" s="1"/>
  <c r="BO117" i="7"/>
  <c r="AH117" i="7" s="1"/>
  <c r="AM117" i="7" s="1"/>
  <c r="BO85" i="7"/>
  <c r="AH85" i="7" s="1"/>
  <c r="AM85" i="7" s="1"/>
  <c r="BO77" i="7"/>
  <c r="AH77" i="7" s="1"/>
  <c r="AM77" i="7" s="1"/>
  <c r="BO44" i="7"/>
  <c r="AH44" i="7" s="1"/>
  <c r="AM44" i="7" s="1"/>
  <c r="BO31" i="7"/>
  <c r="AH31" i="7" s="1"/>
  <c r="AM31" i="7" s="1"/>
  <c r="BO27" i="7"/>
  <c r="AH27" i="7" s="1"/>
  <c r="AM27" i="7" s="1"/>
  <c r="BO23" i="7"/>
  <c r="AH23" i="7" s="1"/>
  <c r="AM23" i="7" s="1"/>
  <c r="BO182" i="7"/>
  <c r="AH182" i="7" s="1"/>
  <c r="AM182" i="7" s="1"/>
  <c r="BO129" i="7"/>
  <c r="AH129" i="7" s="1"/>
  <c r="AM129" i="7" s="1"/>
  <c r="BO125" i="7"/>
  <c r="AH125" i="7" s="1"/>
  <c r="AM125" i="7" s="1"/>
  <c r="BO45" i="7"/>
  <c r="AH45" i="7" s="1"/>
  <c r="AM45" i="7" s="1"/>
  <c r="BO41" i="7"/>
  <c r="AH41" i="7" s="1"/>
  <c r="AM41" i="7" s="1"/>
  <c r="BO28" i="7"/>
  <c r="AH28" i="7" s="1"/>
  <c r="AM28" i="7" s="1"/>
  <c r="BO185" i="7"/>
  <c r="AH185" i="7" s="1"/>
  <c r="AM185" i="7" s="1"/>
  <c r="BO173" i="7"/>
  <c r="AH173" i="7" s="1"/>
  <c r="AM173" i="7" s="1"/>
  <c r="BO169" i="7"/>
  <c r="AH169" i="7" s="1"/>
  <c r="AM169" i="7" s="1"/>
  <c r="BO121" i="7"/>
  <c r="AH121" i="7" s="1"/>
  <c r="AM121" i="7" s="1"/>
  <c r="BO83" i="7"/>
  <c r="AH83" i="7" s="1"/>
  <c r="AM83" i="7" s="1"/>
  <c r="BO75" i="7"/>
  <c r="AH75" i="7" s="1"/>
  <c r="AM75" i="7" s="1"/>
  <c r="BO47" i="7"/>
  <c r="AH47" i="7" s="1"/>
  <c r="AM47" i="7" s="1"/>
  <c r="BO42" i="7"/>
  <c r="AH42" i="7" s="1"/>
  <c r="AM42" i="7" s="1"/>
  <c r="BO29" i="7"/>
  <c r="AH29" i="7" s="1"/>
  <c r="AM29" i="7" s="1"/>
  <c r="BO25" i="7"/>
  <c r="AH25" i="7" s="1"/>
  <c r="AM25" i="7" s="1"/>
  <c r="BO24" i="7"/>
  <c r="AH24" i="7" s="1"/>
  <c r="AM24" i="7" s="1"/>
  <c r="BO13" i="7"/>
  <c r="AH13" i="7" s="1"/>
  <c r="AM13" i="7" s="1"/>
  <c r="BO9" i="7"/>
  <c r="AH9" i="7" s="1"/>
  <c r="BO30" i="7"/>
  <c r="AH30" i="7" s="1"/>
  <c r="AM30" i="7" s="1"/>
  <c r="BO84" i="7"/>
  <c r="AH84" i="7" s="1"/>
  <c r="AM84" i="7" s="1"/>
  <c r="BO43" i="7"/>
  <c r="AH43" i="7" s="1"/>
  <c r="AM43" i="7" s="1"/>
  <c r="BO14" i="7"/>
  <c r="AH14" i="7" s="1"/>
  <c r="AM14" i="7" s="1"/>
  <c r="BO12" i="7"/>
  <c r="AH12" i="7" s="1"/>
  <c r="AM12" i="7" s="1"/>
  <c r="BO76" i="7"/>
  <c r="AH76" i="7" s="1"/>
  <c r="AM76" i="7" s="1"/>
  <c r="BO48" i="7"/>
  <c r="AH48" i="7" s="1"/>
  <c r="AM48" i="7" s="1"/>
  <c r="BO26" i="7"/>
  <c r="AH26" i="7" s="1"/>
  <c r="AM26" i="7" s="1"/>
  <c r="BO20" i="7"/>
  <c r="AH20" i="7" s="1"/>
  <c r="AM20" i="7" s="1"/>
  <c r="BC391" i="7"/>
  <c r="BC389" i="7"/>
  <c r="BL367" i="7"/>
  <c r="D367" i="7" s="1"/>
  <c r="H367" i="7" s="1"/>
  <c r="BL366" i="7"/>
  <c r="D366" i="7" s="1"/>
  <c r="H366" i="7" s="1"/>
  <c r="BL365" i="7"/>
  <c r="D365" i="7" s="1"/>
  <c r="H365" i="7" s="1"/>
  <c r="BL364" i="7"/>
  <c r="D364" i="7" s="1"/>
  <c r="H364" i="7" s="1"/>
  <c r="BL363" i="7"/>
  <c r="D363" i="7" s="1"/>
  <c r="H363" i="7" s="1"/>
  <c r="BL361" i="7"/>
  <c r="D361" i="7" s="1"/>
  <c r="H361" i="7" s="1"/>
  <c r="BL360" i="7"/>
  <c r="D360" i="7" s="1"/>
  <c r="H360" i="7" s="1"/>
  <c r="BL362" i="7"/>
  <c r="D362" i="7" s="1"/>
  <c r="H362" i="7" s="1"/>
  <c r="BL329" i="7"/>
  <c r="D329" i="7" s="1"/>
  <c r="H329" i="7" s="1"/>
  <c r="BL327" i="7"/>
  <c r="D327" i="7" s="1"/>
  <c r="H327" i="7" s="1"/>
  <c r="BL326" i="7"/>
  <c r="D326" i="7" s="1"/>
  <c r="H326" i="7" s="1"/>
  <c r="BL325" i="7"/>
  <c r="D325" i="7" s="1"/>
  <c r="H325" i="7" s="1"/>
  <c r="BL324" i="7"/>
  <c r="D324" i="7" s="1"/>
  <c r="H324" i="7" s="1"/>
  <c r="BL323" i="7"/>
  <c r="D323" i="7" s="1"/>
  <c r="H323" i="7" s="1"/>
  <c r="BL322" i="7"/>
  <c r="D322" i="7" s="1"/>
  <c r="H322" i="7" s="1"/>
  <c r="BL328" i="7"/>
  <c r="D328" i="7" s="1"/>
  <c r="H328" i="7" s="1"/>
  <c r="BL316" i="7"/>
  <c r="D316" i="7" s="1"/>
  <c r="H316" i="7" s="1"/>
  <c r="BL313" i="7"/>
  <c r="D313" i="7" s="1"/>
  <c r="H313" i="7" s="1"/>
  <c r="BL312" i="7"/>
  <c r="D312" i="7" s="1"/>
  <c r="H312" i="7" s="1"/>
  <c r="BL311" i="7"/>
  <c r="D311" i="7" s="1"/>
  <c r="H311" i="7" s="1"/>
  <c r="BL310" i="7"/>
  <c r="D310" i="7" s="1"/>
  <c r="H310" i="7" s="1"/>
  <c r="BL309" i="7"/>
  <c r="D309" i="7" s="1"/>
  <c r="H309" i="7" s="1"/>
  <c r="BL300" i="7"/>
  <c r="D300" i="7" s="1"/>
  <c r="H300" i="7" s="1"/>
  <c r="BL315" i="7"/>
  <c r="D315" i="7" s="1"/>
  <c r="H315" i="7" s="1"/>
  <c r="BL314" i="7"/>
  <c r="D314" i="7" s="1"/>
  <c r="H314" i="7" s="1"/>
  <c r="BL303" i="7"/>
  <c r="D303" i="7" s="1"/>
  <c r="H303" i="7" s="1"/>
  <c r="BL297" i="7"/>
  <c r="D297" i="7" s="1"/>
  <c r="H297" i="7" s="1"/>
  <c r="BL293" i="7"/>
  <c r="D293" i="7" s="1"/>
  <c r="H293" i="7" s="1"/>
  <c r="BL292" i="7"/>
  <c r="D292" i="7" s="1"/>
  <c r="H292" i="7" s="1"/>
  <c r="BL298" i="7"/>
  <c r="D298" i="7" s="1"/>
  <c r="H298" i="7" s="1"/>
  <c r="BL294" i="7"/>
  <c r="D294" i="7" s="1"/>
  <c r="H294" i="7" s="1"/>
  <c r="BL283" i="7"/>
  <c r="D283" i="7" s="1"/>
  <c r="H283" i="7" s="1"/>
  <c r="BL267" i="7"/>
  <c r="D267" i="7" s="1"/>
  <c r="H267" i="7" s="1"/>
  <c r="BL266" i="7"/>
  <c r="D266" i="7" s="1"/>
  <c r="H266" i="7" s="1"/>
  <c r="BL265" i="7"/>
  <c r="D265" i="7" s="1"/>
  <c r="H265" i="7" s="1"/>
  <c r="BL264" i="7"/>
  <c r="D264" i="7" s="1"/>
  <c r="H264" i="7" s="1"/>
  <c r="BL263" i="7"/>
  <c r="D263" i="7" s="1"/>
  <c r="H263" i="7" s="1"/>
  <c r="BL262" i="7"/>
  <c r="D262" i="7" s="1"/>
  <c r="H262" i="7" s="1"/>
  <c r="BL261" i="7"/>
  <c r="D261" i="7" s="1"/>
  <c r="H261" i="7" s="1"/>
  <c r="BL260" i="7"/>
  <c r="D260" i="7" s="1"/>
  <c r="H260" i="7" s="1"/>
  <c r="BL259" i="7"/>
  <c r="D259" i="7" s="1"/>
  <c r="H259" i="7" s="1"/>
  <c r="BL258" i="7"/>
  <c r="D258" i="7" s="1"/>
  <c r="H258" i="7" s="1"/>
  <c r="BL295" i="7"/>
  <c r="D295" i="7" s="1"/>
  <c r="H295" i="7" s="1"/>
  <c r="BL288" i="7"/>
  <c r="D288" i="7" s="1"/>
  <c r="H288" i="7" s="1"/>
  <c r="BL287" i="7"/>
  <c r="D287" i="7" s="1"/>
  <c r="H287" i="7" s="1"/>
  <c r="BL286" i="7"/>
  <c r="D286" i="7" s="1"/>
  <c r="H286" i="7" s="1"/>
  <c r="BL285" i="7"/>
  <c r="D285" i="7" s="1"/>
  <c r="H285" i="7" s="1"/>
  <c r="BL278" i="7"/>
  <c r="D278" i="7" s="1"/>
  <c r="H278" i="7" s="1"/>
  <c r="BL268" i="7"/>
  <c r="D268" i="7" s="1"/>
  <c r="H268" i="7" s="1"/>
  <c r="BL255" i="7"/>
  <c r="D255" i="7" s="1"/>
  <c r="H255" i="7" s="1"/>
  <c r="BL301" i="7"/>
  <c r="D301" i="7" s="1"/>
  <c r="H301" i="7" s="1"/>
  <c r="BL257" i="7"/>
  <c r="D257" i="7" s="1"/>
  <c r="H257" i="7" s="1"/>
  <c r="BL256" i="7"/>
  <c r="D256" i="7" s="1"/>
  <c r="H256" i="7" s="1"/>
  <c r="BL254" i="7"/>
  <c r="D254" i="7" s="1"/>
  <c r="H254" i="7" s="1"/>
  <c r="BL234" i="7"/>
  <c r="D234" i="7" s="1"/>
  <c r="H234" i="7" s="1"/>
  <c r="BL233" i="7"/>
  <c r="D233" i="7" s="1"/>
  <c r="H233" i="7" s="1"/>
  <c r="BL232" i="7"/>
  <c r="D232" i="7" s="1"/>
  <c r="H232" i="7" s="1"/>
  <c r="BL231" i="7"/>
  <c r="D231" i="7" s="1"/>
  <c r="H231" i="7" s="1"/>
  <c r="BL222" i="7"/>
  <c r="D222" i="7" s="1"/>
  <c r="H222" i="7" s="1"/>
  <c r="BL221" i="7"/>
  <c r="D221" i="7" s="1"/>
  <c r="H221" i="7" s="1"/>
  <c r="BL302" i="7"/>
  <c r="D302" i="7" s="1"/>
  <c r="H302" i="7" s="1"/>
  <c r="BL280" i="7"/>
  <c r="D280" i="7" s="1"/>
  <c r="H280" i="7" s="1"/>
  <c r="BL223" i="7"/>
  <c r="D223" i="7" s="1"/>
  <c r="H223" i="7" s="1"/>
  <c r="BL296" i="7"/>
  <c r="D296" i="7" s="1"/>
  <c r="H296" i="7" s="1"/>
  <c r="BL290" i="7"/>
  <c r="D290" i="7" s="1"/>
  <c r="H290" i="7" s="1"/>
  <c r="BL225" i="7"/>
  <c r="D225" i="7" s="1"/>
  <c r="H225" i="7" s="1"/>
  <c r="BL224" i="7"/>
  <c r="D224" i="7" s="1"/>
  <c r="H224" i="7" s="1"/>
  <c r="BL219" i="7"/>
  <c r="D219" i="7" s="1"/>
  <c r="H219" i="7" s="1"/>
  <c r="BL218" i="7"/>
  <c r="D218" i="7" s="1"/>
  <c r="H218" i="7" s="1"/>
  <c r="BL217" i="7"/>
  <c r="D217" i="7" s="1"/>
  <c r="H217" i="7" s="1"/>
  <c r="BL220" i="7"/>
  <c r="D220" i="7" s="1"/>
  <c r="H220" i="7" s="1"/>
  <c r="BL199" i="7"/>
  <c r="D199" i="7" s="1"/>
  <c r="H199" i="7" s="1"/>
  <c r="BL196" i="7"/>
  <c r="D196" i="7" s="1"/>
  <c r="H196" i="7" s="1"/>
  <c r="BL195" i="7"/>
  <c r="D195" i="7" s="1"/>
  <c r="H195" i="7" s="1"/>
  <c r="BL194" i="7"/>
  <c r="D194" i="7" s="1"/>
  <c r="H194" i="7" s="1"/>
  <c r="BL193" i="7"/>
  <c r="D193" i="7" s="1"/>
  <c r="H193" i="7" s="1"/>
  <c r="BL192" i="7"/>
  <c r="D192" i="7" s="1"/>
  <c r="H192" i="7" s="1"/>
  <c r="BL191" i="7"/>
  <c r="D191" i="7" s="1"/>
  <c r="H191" i="7" s="1"/>
  <c r="BL190" i="7"/>
  <c r="D190" i="7" s="1"/>
  <c r="H190" i="7" s="1"/>
  <c r="BL189" i="7"/>
  <c r="D189" i="7" s="1"/>
  <c r="H189" i="7" s="1"/>
  <c r="BL180" i="7"/>
  <c r="D180" i="7" s="1"/>
  <c r="H180" i="7" s="1"/>
  <c r="BL172" i="7"/>
  <c r="D172" i="7" s="1"/>
  <c r="H172" i="7" s="1"/>
  <c r="BL230" i="7"/>
  <c r="D230" i="7" s="1"/>
  <c r="H230" i="7" s="1"/>
  <c r="BL229" i="7"/>
  <c r="D229" i="7" s="1"/>
  <c r="H229" i="7" s="1"/>
  <c r="BL228" i="7"/>
  <c r="D228" i="7" s="1"/>
  <c r="H228" i="7" s="1"/>
  <c r="BL227" i="7"/>
  <c r="D227" i="7" s="1"/>
  <c r="H227" i="7" s="1"/>
  <c r="BL226" i="7"/>
  <c r="D226" i="7" s="1"/>
  <c r="H226" i="7" s="1"/>
  <c r="BL207" i="7"/>
  <c r="D207" i="7" s="1"/>
  <c r="H207" i="7" s="1"/>
  <c r="BL201" i="7"/>
  <c r="D201" i="7" s="1"/>
  <c r="H201" i="7" s="1"/>
  <c r="BL186" i="7"/>
  <c r="D186" i="7" s="1"/>
  <c r="H186" i="7" s="1"/>
  <c r="BL162" i="7"/>
  <c r="D162" i="7" s="1"/>
  <c r="H162" i="7" s="1"/>
  <c r="BL115" i="7"/>
  <c r="D115" i="7" s="1"/>
  <c r="H115" i="7" s="1"/>
  <c r="BL239" i="7"/>
  <c r="D239" i="7" s="1"/>
  <c r="H239" i="7" s="1"/>
  <c r="BL238" i="7"/>
  <c r="D238" i="7" s="1"/>
  <c r="H238" i="7" s="1"/>
  <c r="BL237" i="7"/>
  <c r="D237" i="7" s="1"/>
  <c r="H237" i="7" s="1"/>
  <c r="BL236" i="7"/>
  <c r="D236" i="7" s="1"/>
  <c r="H236" i="7" s="1"/>
  <c r="BL235" i="7"/>
  <c r="D235" i="7" s="1"/>
  <c r="H235" i="7" s="1"/>
  <c r="BL163" i="7"/>
  <c r="D163" i="7" s="1"/>
  <c r="H163" i="7" s="1"/>
  <c r="BL164" i="7"/>
  <c r="D164" i="7" s="1"/>
  <c r="H164" i="7" s="1"/>
  <c r="BL144" i="7"/>
  <c r="D144" i="7" s="1"/>
  <c r="H144" i="7" s="1"/>
  <c r="BL143" i="7"/>
  <c r="D143" i="7" s="1"/>
  <c r="H143" i="7" s="1"/>
  <c r="BL142" i="7"/>
  <c r="D142" i="7" s="1"/>
  <c r="H142" i="7" s="1"/>
  <c r="BL141" i="7"/>
  <c r="D141" i="7" s="1"/>
  <c r="H141" i="7" s="1"/>
  <c r="BL140" i="7"/>
  <c r="D140" i="7" s="1"/>
  <c r="H140" i="7" s="1"/>
  <c r="BL139" i="7"/>
  <c r="D139" i="7" s="1"/>
  <c r="H139" i="7" s="1"/>
  <c r="BL138" i="7"/>
  <c r="D138" i="7" s="1"/>
  <c r="H138" i="7" s="1"/>
  <c r="BL137" i="7"/>
  <c r="D137" i="7" s="1"/>
  <c r="H137" i="7" s="1"/>
  <c r="BL136" i="7"/>
  <c r="D136" i="7" s="1"/>
  <c r="H136" i="7" s="1"/>
  <c r="BL134" i="7"/>
  <c r="D134" i="7" s="1"/>
  <c r="H134" i="7" s="1"/>
  <c r="BL146" i="7"/>
  <c r="D146" i="7" s="1"/>
  <c r="H146" i="7" s="1"/>
  <c r="BL102" i="7"/>
  <c r="D102" i="7" s="1"/>
  <c r="H102" i="7" s="1"/>
  <c r="BL98" i="7"/>
  <c r="D98" i="7" s="1"/>
  <c r="H98" i="7" s="1"/>
  <c r="BL97" i="7"/>
  <c r="D97" i="7" s="1"/>
  <c r="H97" i="7" s="1"/>
  <c r="BL59" i="7"/>
  <c r="D59" i="7" s="1"/>
  <c r="H59" i="7" s="1"/>
  <c r="BL46" i="7"/>
  <c r="D46" i="7" s="1"/>
  <c r="H46" i="7" s="1"/>
  <c r="BL99" i="7"/>
  <c r="D99" i="7" s="1"/>
  <c r="H99" i="7" s="1"/>
  <c r="BL64" i="7"/>
  <c r="D64" i="7" s="1"/>
  <c r="H64" i="7" s="1"/>
  <c r="BL63" i="7"/>
  <c r="D63" i="7" s="1"/>
  <c r="H63" i="7" s="1"/>
  <c r="BL62" i="7"/>
  <c r="D62" i="7" s="1"/>
  <c r="H62" i="7" s="1"/>
  <c r="BL61" i="7"/>
  <c r="D61" i="7" s="1"/>
  <c r="H61" i="7" s="1"/>
  <c r="BL60" i="7"/>
  <c r="D60" i="7" s="1"/>
  <c r="H60" i="7" s="1"/>
  <c r="BL114" i="7"/>
  <c r="D114" i="7" s="1"/>
  <c r="H114" i="7" s="1"/>
  <c r="BL113" i="7"/>
  <c r="D113" i="7" s="1"/>
  <c r="H113" i="7" s="1"/>
  <c r="BL112" i="7"/>
  <c r="D112" i="7" s="1"/>
  <c r="H112" i="7" s="1"/>
  <c r="BL111" i="7"/>
  <c r="D111" i="7" s="1"/>
  <c r="H111" i="7" s="1"/>
  <c r="BL110" i="7"/>
  <c r="D110" i="7" s="1"/>
  <c r="H110" i="7" s="1"/>
  <c r="BL109" i="7"/>
  <c r="D109" i="7" s="1"/>
  <c r="H109" i="7" s="1"/>
  <c r="BL108" i="7"/>
  <c r="D108" i="7" s="1"/>
  <c r="H108" i="7" s="1"/>
  <c r="BL107" i="7"/>
  <c r="D107" i="7" s="1"/>
  <c r="H107" i="7" s="1"/>
  <c r="BL106" i="7"/>
  <c r="D106" i="7" s="1"/>
  <c r="H106" i="7" s="1"/>
  <c r="BL105" i="7"/>
  <c r="D105" i="7" s="1"/>
  <c r="H105" i="7" s="1"/>
  <c r="BL104" i="7"/>
  <c r="D104" i="7" s="1"/>
  <c r="H104" i="7" s="1"/>
  <c r="BL103" i="7"/>
  <c r="D103" i="7" s="1"/>
  <c r="H103" i="7" s="1"/>
  <c r="BL100" i="7"/>
  <c r="D100" i="7" s="1"/>
  <c r="H100" i="7" s="1"/>
  <c r="BL22" i="7"/>
  <c r="D22" i="7" s="1"/>
  <c r="H22" i="7" s="1"/>
  <c r="BL21" i="7"/>
  <c r="D21" i="7" s="1"/>
  <c r="H21" i="7" s="1"/>
  <c r="BL40" i="7"/>
  <c r="D40" i="7" s="1"/>
  <c r="H40" i="7" s="1"/>
  <c r="BL39" i="7"/>
  <c r="D39" i="7" s="1"/>
  <c r="H39" i="7" s="1"/>
  <c r="BL38" i="7"/>
  <c r="D38" i="7" s="1"/>
  <c r="H38" i="7" s="1"/>
  <c r="BL37" i="7"/>
  <c r="D37" i="7" s="1"/>
  <c r="H37" i="7" s="1"/>
  <c r="BL36" i="7"/>
  <c r="D36" i="7" s="1"/>
  <c r="H36" i="7" s="1"/>
  <c r="BL35" i="7"/>
  <c r="D35" i="7" s="1"/>
  <c r="H35" i="7" s="1"/>
  <c r="BL34" i="7"/>
  <c r="D34" i="7" s="1"/>
  <c r="H34" i="7" s="1"/>
  <c r="BL33" i="7"/>
  <c r="D33" i="7" s="1"/>
  <c r="H33" i="7" s="1"/>
  <c r="BL32" i="7"/>
  <c r="D32" i="7" s="1"/>
  <c r="H32" i="7" s="1"/>
  <c r="BL10" i="7"/>
  <c r="D10" i="7" s="1"/>
  <c r="BL101" i="7"/>
  <c r="D101" i="7" s="1"/>
  <c r="H101" i="7" s="1"/>
  <c r="BL19" i="7"/>
  <c r="D19" i="7" s="1"/>
  <c r="H19" i="7" s="1"/>
  <c r="BL11" i="7"/>
  <c r="D11" i="7" s="1"/>
  <c r="H11" i="7" s="1"/>
  <c r="BL58" i="7"/>
  <c r="D58" i="7" s="1"/>
  <c r="H58" i="7" s="1"/>
  <c r="BL57" i="7"/>
  <c r="D57" i="7" s="1"/>
  <c r="H57" i="7" s="1"/>
  <c r="BL56" i="7"/>
  <c r="D56" i="7" s="1"/>
  <c r="H56" i="7" s="1"/>
  <c r="BL55" i="7"/>
  <c r="D55" i="7" s="1"/>
  <c r="H55" i="7" s="1"/>
  <c r="BL54" i="7"/>
  <c r="D54" i="7" s="1"/>
  <c r="H54" i="7" s="1"/>
  <c r="BL53" i="7"/>
  <c r="D53" i="7" s="1"/>
  <c r="H53" i="7" s="1"/>
  <c r="BL52" i="7"/>
  <c r="D52" i="7" s="1"/>
  <c r="H52" i="7" s="1"/>
  <c r="BM366" i="7"/>
  <c r="L366" i="7" s="1"/>
  <c r="P366" i="7" s="1"/>
  <c r="BM364" i="7"/>
  <c r="L364" i="7" s="1"/>
  <c r="P364" i="7" s="1"/>
  <c r="BM362" i="7"/>
  <c r="L362" i="7" s="1"/>
  <c r="P362" i="7" s="1"/>
  <c r="BM361" i="7"/>
  <c r="L361" i="7" s="1"/>
  <c r="P361" i="7" s="1"/>
  <c r="BM360" i="7"/>
  <c r="L360" i="7" s="1"/>
  <c r="P360" i="7" s="1"/>
  <c r="BM365" i="7"/>
  <c r="L365" i="7" s="1"/>
  <c r="P365" i="7" s="1"/>
  <c r="BM363" i="7"/>
  <c r="L363" i="7" s="1"/>
  <c r="P363" i="7" s="1"/>
  <c r="BM316" i="7"/>
  <c r="L316" i="7" s="1"/>
  <c r="P316" i="7" s="1"/>
  <c r="BM367" i="7"/>
  <c r="L367" i="7" s="1"/>
  <c r="P367" i="7" s="1"/>
  <c r="BM327" i="7"/>
  <c r="L327" i="7" s="1"/>
  <c r="P327" i="7" s="1"/>
  <c r="BM326" i="7"/>
  <c r="L326" i="7" s="1"/>
  <c r="P326" i="7" s="1"/>
  <c r="BM325" i="7"/>
  <c r="L325" i="7" s="1"/>
  <c r="P325" i="7" s="1"/>
  <c r="BM324" i="7"/>
  <c r="L324" i="7" s="1"/>
  <c r="P324" i="7" s="1"/>
  <c r="BM323" i="7"/>
  <c r="L323" i="7" s="1"/>
  <c r="P323" i="7" s="1"/>
  <c r="BM328" i="7"/>
  <c r="L328" i="7" s="1"/>
  <c r="P328" i="7" s="1"/>
  <c r="BM300" i="7"/>
  <c r="L300" i="7" s="1"/>
  <c r="P300" i="7" s="1"/>
  <c r="BM301" i="7"/>
  <c r="L301" i="7" s="1"/>
  <c r="P301" i="7" s="1"/>
  <c r="BM329" i="7"/>
  <c r="L329" i="7" s="1"/>
  <c r="P329" i="7" s="1"/>
  <c r="BM315" i="7"/>
  <c r="L315" i="7" s="1"/>
  <c r="P315" i="7" s="1"/>
  <c r="BM314" i="7"/>
  <c r="L314" i="7" s="1"/>
  <c r="P314" i="7" s="1"/>
  <c r="BM310" i="7"/>
  <c r="L310" i="7" s="1"/>
  <c r="P310" i="7" s="1"/>
  <c r="BM298" i="7"/>
  <c r="L298" i="7" s="1"/>
  <c r="P298" i="7" s="1"/>
  <c r="BM294" i="7"/>
  <c r="L294" i="7" s="1"/>
  <c r="P294" i="7" s="1"/>
  <c r="BM283" i="7"/>
  <c r="L283" i="7" s="1"/>
  <c r="P283" i="7" s="1"/>
  <c r="BM267" i="7"/>
  <c r="L267" i="7" s="1"/>
  <c r="P267" i="7" s="1"/>
  <c r="BM266" i="7"/>
  <c r="L266" i="7" s="1"/>
  <c r="P266" i="7" s="1"/>
  <c r="BM265" i="7"/>
  <c r="L265" i="7" s="1"/>
  <c r="P265" i="7" s="1"/>
  <c r="BM264" i="7"/>
  <c r="L264" i="7" s="1"/>
  <c r="P264" i="7" s="1"/>
  <c r="BM263" i="7"/>
  <c r="L263" i="7" s="1"/>
  <c r="P263" i="7" s="1"/>
  <c r="BM262" i="7"/>
  <c r="L262" i="7" s="1"/>
  <c r="P262" i="7" s="1"/>
  <c r="BM261" i="7"/>
  <c r="L261" i="7" s="1"/>
  <c r="P261" i="7" s="1"/>
  <c r="BM313" i="7"/>
  <c r="L313" i="7" s="1"/>
  <c r="P313" i="7" s="1"/>
  <c r="BM309" i="7"/>
  <c r="L309" i="7" s="1"/>
  <c r="P309" i="7" s="1"/>
  <c r="BM295" i="7"/>
  <c r="L295" i="7" s="1"/>
  <c r="P295" i="7" s="1"/>
  <c r="BM288" i="7"/>
  <c r="L288" i="7" s="1"/>
  <c r="P288" i="7" s="1"/>
  <c r="BM287" i="7"/>
  <c r="L287" i="7" s="1"/>
  <c r="P287" i="7" s="1"/>
  <c r="BM286" i="7"/>
  <c r="L286" i="7" s="1"/>
  <c r="P286" i="7" s="1"/>
  <c r="BM285" i="7"/>
  <c r="L285" i="7" s="1"/>
  <c r="P285" i="7" s="1"/>
  <c r="BM278" i="7"/>
  <c r="L278" i="7" s="1"/>
  <c r="P278" i="7" s="1"/>
  <c r="BM268" i="7"/>
  <c r="L268" i="7" s="1"/>
  <c r="P268" i="7" s="1"/>
  <c r="BM255" i="7"/>
  <c r="L255" i="7" s="1"/>
  <c r="P255" i="7" s="1"/>
  <c r="BM312" i="7"/>
  <c r="L312" i="7" s="1"/>
  <c r="P312" i="7" s="1"/>
  <c r="BM302" i="7"/>
  <c r="L302" i="7" s="1"/>
  <c r="P302" i="7" s="1"/>
  <c r="BM296" i="7"/>
  <c r="L296" i="7" s="1"/>
  <c r="P296" i="7" s="1"/>
  <c r="BM290" i="7"/>
  <c r="L290" i="7" s="1"/>
  <c r="P290" i="7" s="1"/>
  <c r="BM280" i="7"/>
  <c r="L280" i="7" s="1"/>
  <c r="P280" i="7" s="1"/>
  <c r="BM256" i="7"/>
  <c r="L256" i="7" s="1"/>
  <c r="P256" i="7" s="1"/>
  <c r="BM293" i="7"/>
  <c r="L293" i="7" s="1"/>
  <c r="P293" i="7" s="1"/>
  <c r="BM260" i="7"/>
  <c r="L260" i="7" s="1"/>
  <c r="P260" i="7" s="1"/>
  <c r="BM223" i="7"/>
  <c r="L223" i="7" s="1"/>
  <c r="P223" i="7" s="1"/>
  <c r="BM292" i="7"/>
  <c r="L292" i="7" s="1"/>
  <c r="P292" i="7" s="1"/>
  <c r="BM259" i="7"/>
  <c r="L259" i="7" s="1"/>
  <c r="P259" i="7" s="1"/>
  <c r="BM225" i="7"/>
  <c r="L225" i="7" s="1"/>
  <c r="P225" i="7" s="1"/>
  <c r="BM224" i="7"/>
  <c r="L224" i="7" s="1"/>
  <c r="P224" i="7" s="1"/>
  <c r="BM322" i="7"/>
  <c r="L322" i="7" s="1"/>
  <c r="P322" i="7" s="1"/>
  <c r="BM303" i="7"/>
  <c r="L303" i="7" s="1"/>
  <c r="P303" i="7" s="1"/>
  <c r="BM258" i="7"/>
  <c r="L258" i="7" s="1"/>
  <c r="P258" i="7" s="1"/>
  <c r="BM239" i="7"/>
  <c r="L239" i="7" s="1"/>
  <c r="P239" i="7" s="1"/>
  <c r="BM238" i="7"/>
  <c r="L238" i="7" s="1"/>
  <c r="P238" i="7" s="1"/>
  <c r="BM237" i="7"/>
  <c r="L237" i="7" s="1"/>
  <c r="P237" i="7" s="1"/>
  <c r="BM236" i="7"/>
  <c r="L236" i="7" s="1"/>
  <c r="P236" i="7" s="1"/>
  <c r="BM235" i="7"/>
  <c r="L235" i="7" s="1"/>
  <c r="P235" i="7" s="1"/>
  <c r="BM230" i="7"/>
  <c r="L230" i="7" s="1"/>
  <c r="P230" i="7" s="1"/>
  <c r="BM229" i="7"/>
  <c r="L229" i="7" s="1"/>
  <c r="P229" i="7" s="1"/>
  <c r="BM228" i="7"/>
  <c r="L228" i="7" s="1"/>
  <c r="P228" i="7" s="1"/>
  <c r="BM227" i="7"/>
  <c r="L227" i="7" s="1"/>
  <c r="P227" i="7" s="1"/>
  <c r="BM226" i="7"/>
  <c r="L226" i="7" s="1"/>
  <c r="P226" i="7" s="1"/>
  <c r="BM297" i="7"/>
  <c r="L297" i="7" s="1"/>
  <c r="P297" i="7" s="1"/>
  <c r="BM254" i="7"/>
  <c r="L254" i="7" s="1"/>
  <c r="P254" i="7" s="1"/>
  <c r="BM233" i="7"/>
  <c r="L233" i="7" s="1"/>
  <c r="P233" i="7" s="1"/>
  <c r="BM220" i="7"/>
  <c r="L220" i="7" s="1"/>
  <c r="P220" i="7" s="1"/>
  <c r="BM199" i="7"/>
  <c r="L199" i="7" s="1"/>
  <c r="P199" i="7" s="1"/>
  <c r="BM196" i="7"/>
  <c r="L196" i="7" s="1"/>
  <c r="P196" i="7" s="1"/>
  <c r="BM195" i="7"/>
  <c r="L195" i="7" s="1"/>
  <c r="P195" i="7" s="1"/>
  <c r="BM194" i="7"/>
  <c r="L194" i="7" s="1"/>
  <c r="P194" i="7" s="1"/>
  <c r="BM193" i="7"/>
  <c r="L193" i="7" s="1"/>
  <c r="P193" i="7" s="1"/>
  <c r="BM192" i="7"/>
  <c r="L192" i="7" s="1"/>
  <c r="P192" i="7" s="1"/>
  <c r="BM191" i="7"/>
  <c r="L191" i="7" s="1"/>
  <c r="P191" i="7" s="1"/>
  <c r="BM190" i="7"/>
  <c r="L190" i="7" s="1"/>
  <c r="P190" i="7" s="1"/>
  <c r="BM189" i="7"/>
  <c r="L189" i="7" s="1"/>
  <c r="P189" i="7" s="1"/>
  <c r="BM311" i="7"/>
  <c r="L311" i="7" s="1"/>
  <c r="P311" i="7" s="1"/>
  <c r="BM257" i="7"/>
  <c r="L257" i="7" s="1"/>
  <c r="P257" i="7" s="1"/>
  <c r="BM232" i="7"/>
  <c r="L232" i="7" s="1"/>
  <c r="P232" i="7" s="1"/>
  <c r="BM207" i="7"/>
  <c r="L207" i="7" s="1"/>
  <c r="P207" i="7" s="1"/>
  <c r="BM201" i="7"/>
  <c r="L201" i="7" s="1"/>
  <c r="P201" i="7" s="1"/>
  <c r="BM186" i="7"/>
  <c r="L186" i="7" s="1"/>
  <c r="P186" i="7" s="1"/>
  <c r="BM231" i="7"/>
  <c r="L231" i="7" s="1"/>
  <c r="P231" i="7" s="1"/>
  <c r="BM222" i="7"/>
  <c r="L222" i="7" s="1"/>
  <c r="P222" i="7" s="1"/>
  <c r="BM219" i="7"/>
  <c r="L219" i="7" s="1"/>
  <c r="P219" i="7" s="1"/>
  <c r="BM172" i="7"/>
  <c r="L172" i="7" s="1"/>
  <c r="P172" i="7" s="1"/>
  <c r="BM163" i="7"/>
  <c r="L163" i="7" s="1"/>
  <c r="P163" i="7" s="1"/>
  <c r="BM218" i="7"/>
  <c r="L218" i="7" s="1"/>
  <c r="P218" i="7" s="1"/>
  <c r="BM164" i="7"/>
  <c r="L164" i="7" s="1"/>
  <c r="P164" i="7" s="1"/>
  <c r="BM144" i="7"/>
  <c r="L144" i="7" s="1"/>
  <c r="P144" i="7" s="1"/>
  <c r="BM143" i="7"/>
  <c r="L143" i="7" s="1"/>
  <c r="P143" i="7" s="1"/>
  <c r="BM142" i="7"/>
  <c r="L142" i="7" s="1"/>
  <c r="P142" i="7" s="1"/>
  <c r="BM141" i="7"/>
  <c r="L141" i="7" s="1"/>
  <c r="P141" i="7" s="1"/>
  <c r="BM140" i="7"/>
  <c r="L140" i="7" s="1"/>
  <c r="P140" i="7" s="1"/>
  <c r="BM139" i="7"/>
  <c r="L139" i="7" s="1"/>
  <c r="P139" i="7" s="1"/>
  <c r="BM138" i="7"/>
  <c r="L138" i="7" s="1"/>
  <c r="P138" i="7" s="1"/>
  <c r="BM137" i="7"/>
  <c r="L137" i="7" s="1"/>
  <c r="P137" i="7" s="1"/>
  <c r="BM136" i="7"/>
  <c r="L136" i="7" s="1"/>
  <c r="P136" i="7" s="1"/>
  <c r="BM134" i="7"/>
  <c r="L134" i="7" s="1"/>
  <c r="P134" i="7" s="1"/>
  <c r="BM97" i="7"/>
  <c r="L97" i="7" s="1"/>
  <c r="P97" i="7" s="1"/>
  <c r="BM234" i="7"/>
  <c r="L234" i="7" s="1"/>
  <c r="P234" i="7" s="1"/>
  <c r="BM217" i="7"/>
  <c r="L217" i="7" s="1"/>
  <c r="P217" i="7" s="1"/>
  <c r="BM146" i="7"/>
  <c r="L146" i="7" s="1"/>
  <c r="P146" i="7" s="1"/>
  <c r="BM114" i="7"/>
  <c r="L114" i="7" s="1"/>
  <c r="P114" i="7" s="1"/>
  <c r="BM113" i="7"/>
  <c r="L113" i="7" s="1"/>
  <c r="P113" i="7" s="1"/>
  <c r="BM112" i="7"/>
  <c r="L112" i="7" s="1"/>
  <c r="P112" i="7" s="1"/>
  <c r="BM111" i="7"/>
  <c r="L111" i="7" s="1"/>
  <c r="P111" i="7" s="1"/>
  <c r="BM110" i="7"/>
  <c r="L110" i="7" s="1"/>
  <c r="P110" i="7" s="1"/>
  <c r="BM109" i="7"/>
  <c r="L109" i="7" s="1"/>
  <c r="P109" i="7" s="1"/>
  <c r="BM108" i="7"/>
  <c r="L108" i="7" s="1"/>
  <c r="P108" i="7" s="1"/>
  <c r="BM107" i="7"/>
  <c r="L107" i="7" s="1"/>
  <c r="P107" i="7" s="1"/>
  <c r="BM106" i="7"/>
  <c r="L106" i="7" s="1"/>
  <c r="P106" i="7" s="1"/>
  <c r="BM105" i="7"/>
  <c r="L105" i="7" s="1"/>
  <c r="P105" i="7" s="1"/>
  <c r="BM104" i="7"/>
  <c r="L104" i="7" s="1"/>
  <c r="P104" i="7" s="1"/>
  <c r="BM103" i="7"/>
  <c r="L103" i="7" s="1"/>
  <c r="P103" i="7" s="1"/>
  <c r="BM99" i="7"/>
  <c r="L99" i="7" s="1"/>
  <c r="P99" i="7" s="1"/>
  <c r="BM64" i="7"/>
  <c r="L64" i="7" s="1"/>
  <c r="P64" i="7" s="1"/>
  <c r="BM63" i="7"/>
  <c r="L63" i="7" s="1"/>
  <c r="P63" i="7" s="1"/>
  <c r="BM62" i="7"/>
  <c r="L62" i="7" s="1"/>
  <c r="P62" i="7" s="1"/>
  <c r="BM61" i="7"/>
  <c r="L61" i="7" s="1"/>
  <c r="P61" i="7" s="1"/>
  <c r="BM60" i="7"/>
  <c r="L60" i="7" s="1"/>
  <c r="P60" i="7" s="1"/>
  <c r="BM19" i="7"/>
  <c r="L19" i="7" s="1"/>
  <c r="P19" i="7" s="1"/>
  <c r="BM100" i="7"/>
  <c r="L100" i="7" s="1"/>
  <c r="P100" i="7" s="1"/>
  <c r="BM221" i="7"/>
  <c r="L221" i="7" s="1"/>
  <c r="P221" i="7" s="1"/>
  <c r="BM180" i="7"/>
  <c r="L180" i="7" s="1"/>
  <c r="P180" i="7" s="1"/>
  <c r="BM115" i="7"/>
  <c r="L115" i="7" s="1"/>
  <c r="P115" i="7" s="1"/>
  <c r="BM101" i="7"/>
  <c r="L101" i="7" s="1"/>
  <c r="P101" i="7" s="1"/>
  <c r="BM58" i="7"/>
  <c r="L58" i="7" s="1"/>
  <c r="P58" i="7" s="1"/>
  <c r="BM57" i="7"/>
  <c r="L57" i="7" s="1"/>
  <c r="P57" i="7" s="1"/>
  <c r="BM56" i="7"/>
  <c r="L56" i="7" s="1"/>
  <c r="P56" i="7" s="1"/>
  <c r="BM55" i="7"/>
  <c r="L55" i="7" s="1"/>
  <c r="P55" i="7" s="1"/>
  <c r="BM54" i="7"/>
  <c r="L54" i="7" s="1"/>
  <c r="P54" i="7" s="1"/>
  <c r="BM53" i="7"/>
  <c r="L53" i="7" s="1"/>
  <c r="P53" i="7" s="1"/>
  <c r="BM52" i="7"/>
  <c r="L52" i="7" s="1"/>
  <c r="P52" i="7" s="1"/>
  <c r="BM40" i="7"/>
  <c r="L40" i="7" s="1"/>
  <c r="P40" i="7" s="1"/>
  <c r="BM39" i="7"/>
  <c r="L39" i="7" s="1"/>
  <c r="P39" i="7" s="1"/>
  <c r="BM38" i="7"/>
  <c r="L38" i="7" s="1"/>
  <c r="P38" i="7" s="1"/>
  <c r="BM37" i="7"/>
  <c r="L37" i="7" s="1"/>
  <c r="P37" i="7" s="1"/>
  <c r="BM36" i="7"/>
  <c r="L36" i="7" s="1"/>
  <c r="P36" i="7" s="1"/>
  <c r="BM35" i="7"/>
  <c r="L35" i="7" s="1"/>
  <c r="P35" i="7" s="1"/>
  <c r="BM34" i="7"/>
  <c r="L34" i="7" s="1"/>
  <c r="P34" i="7" s="1"/>
  <c r="BM33" i="7"/>
  <c r="L33" i="7" s="1"/>
  <c r="P33" i="7" s="1"/>
  <c r="BM32" i="7"/>
  <c r="L32" i="7" s="1"/>
  <c r="P32" i="7" s="1"/>
  <c r="BM162" i="7"/>
  <c r="L162" i="7" s="1"/>
  <c r="P162" i="7" s="1"/>
  <c r="BM11" i="7"/>
  <c r="L11" i="7" s="1"/>
  <c r="P11" i="7" s="1"/>
  <c r="BM46" i="7"/>
  <c r="L46" i="7" s="1"/>
  <c r="P46" i="7" s="1"/>
  <c r="BM21" i="7"/>
  <c r="L21" i="7" s="1"/>
  <c r="P21" i="7" s="1"/>
  <c r="BM10" i="7"/>
  <c r="L10" i="7" s="1"/>
  <c r="BM102" i="7"/>
  <c r="L102" i="7" s="1"/>
  <c r="P102" i="7" s="1"/>
  <c r="BM98" i="7"/>
  <c r="L98" i="7" s="1"/>
  <c r="P98" i="7" s="1"/>
  <c r="BM59" i="7"/>
  <c r="L59" i="7" s="1"/>
  <c r="P59" i="7" s="1"/>
  <c r="BM22" i="7"/>
  <c r="L22" i="7" s="1"/>
  <c r="P22" i="7" s="1"/>
  <c r="BN362" i="7"/>
  <c r="Z362" i="7" s="1"/>
  <c r="AD362" i="7" s="1"/>
  <c r="BN361" i="7"/>
  <c r="Z361" i="7" s="1"/>
  <c r="AD361" i="7" s="1"/>
  <c r="BN360" i="7"/>
  <c r="Z360" i="7" s="1"/>
  <c r="AD360" i="7" s="1"/>
  <c r="BN367" i="7"/>
  <c r="Z367" i="7" s="1"/>
  <c r="AD367" i="7" s="1"/>
  <c r="BN365" i="7"/>
  <c r="Z365" i="7" s="1"/>
  <c r="AD365" i="7" s="1"/>
  <c r="BN363" i="7"/>
  <c r="Z363" i="7" s="1"/>
  <c r="AD363" i="7" s="1"/>
  <c r="BN366" i="7"/>
  <c r="Z366" i="7" s="1"/>
  <c r="AD366" i="7" s="1"/>
  <c r="BN327" i="7"/>
  <c r="Z327" i="7" s="1"/>
  <c r="AD327" i="7" s="1"/>
  <c r="BN326" i="7"/>
  <c r="Z326" i="7" s="1"/>
  <c r="AD326" i="7" s="1"/>
  <c r="BN325" i="7"/>
  <c r="Z325" i="7" s="1"/>
  <c r="AD325" i="7" s="1"/>
  <c r="BN324" i="7"/>
  <c r="Z324" i="7" s="1"/>
  <c r="AD324" i="7" s="1"/>
  <c r="BN323" i="7"/>
  <c r="Z323" i="7" s="1"/>
  <c r="AD323" i="7" s="1"/>
  <c r="BN322" i="7"/>
  <c r="Z322" i="7" s="1"/>
  <c r="AD322" i="7" s="1"/>
  <c r="BN364" i="7"/>
  <c r="Z364" i="7" s="1"/>
  <c r="AD364" i="7" s="1"/>
  <c r="BN328" i="7"/>
  <c r="Z328" i="7" s="1"/>
  <c r="AD328" i="7" s="1"/>
  <c r="BN329" i="7"/>
  <c r="Z329" i="7" s="1"/>
  <c r="AD329" i="7" s="1"/>
  <c r="BN301" i="7"/>
  <c r="Z301" i="7" s="1"/>
  <c r="AD301" i="7" s="1"/>
  <c r="BN315" i="7"/>
  <c r="Z315" i="7" s="1"/>
  <c r="AD315" i="7" s="1"/>
  <c r="BN314" i="7"/>
  <c r="Z314" i="7" s="1"/>
  <c r="AD314" i="7" s="1"/>
  <c r="BN303" i="7"/>
  <c r="Z303" i="7" s="1"/>
  <c r="AD303" i="7" s="1"/>
  <c r="BN302" i="7"/>
  <c r="Z302" i="7" s="1"/>
  <c r="AD302" i="7" s="1"/>
  <c r="BN313" i="7"/>
  <c r="Z313" i="7" s="1"/>
  <c r="AD313" i="7" s="1"/>
  <c r="BN312" i="7"/>
  <c r="Z312" i="7" s="1"/>
  <c r="AD312" i="7" s="1"/>
  <c r="BN311" i="7"/>
  <c r="Z311" i="7" s="1"/>
  <c r="AD311" i="7" s="1"/>
  <c r="BN310" i="7"/>
  <c r="Z310" i="7" s="1"/>
  <c r="AD310" i="7" s="1"/>
  <c r="BN309" i="7"/>
  <c r="Z309" i="7" s="1"/>
  <c r="AD309" i="7" s="1"/>
  <c r="BN295" i="7"/>
  <c r="Z295" i="7" s="1"/>
  <c r="AD295" i="7" s="1"/>
  <c r="BN288" i="7"/>
  <c r="Z288" i="7" s="1"/>
  <c r="AD288" i="7" s="1"/>
  <c r="BN287" i="7"/>
  <c r="Z287" i="7" s="1"/>
  <c r="AD287" i="7" s="1"/>
  <c r="BN286" i="7"/>
  <c r="Z286" i="7" s="1"/>
  <c r="AD286" i="7" s="1"/>
  <c r="BN285" i="7"/>
  <c r="Z285" i="7" s="1"/>
  <c r="AD285" i="7" s="1"/>
  <c r="BN278" i="7"/>
  <c r="Z278" i="7" s="1"/>
  <c r="AD278" i="7" s="1"/>
  <c r="BN268" i="7"/>
  <c r="Z268" i="7" s="1"/>
  <c r="AD268" i="7" s="1"/>
  <c r="BN316" i="7"/>
  <c r="Z316" i="7" s="1"/>
  <c r="AD316" i="7" s="1"/>
  <c r="BN300" i="7"/>
  <c r="Z300" i="7" s="1"/>
  <c r="AD300" i="7" s="1"/>
  <c r="BN296" i="7"/>
  <c r="Z296" i="7" s="1"/>
  <c r="AD296" i="7" s="1"/>
  <c r="BN290" i="7"/>
  <c r="Z290" i="7" s="1"/>
  <c r="AD290" i="7" s="1"/>
  <c r="BN280" i="7"/>
  <c r="Z280" i="7" s="1"/>
  <c r="AD280" i="7" s="1"/>
  <c r="BN256" i="7"/>
  <c r="Z256" i="7" s="1"/>
  <c r="AD256" i="7" s="1"/>
  <c r="BN297" i="7"/>
  <c r="Z297" i="7" s="1"/>
  <c r="AD297" i="7" s="1"/>
  <c r="BN293" i="7"/>
  <c r="Z293" i="7" s="1"/>
  <c r="AD293" i="7" s="1"/>
  <c r="BN292" i="7"/>
  <c r="Z292" i="7" s="1"/>
  <c r="AD292" i="7" s="1"/>
  <c r="BN257" i="7"/>
  <c r="Z257" i="7" s="1"/>
  <c r="AD257" i="7" s="1"/>
  <c r="BN294" i="7"/>
  <c r="Z294" i="7" s="1"/>
  <c r="AD294" i="7" s="1"/>
  <c r="BN283" i="7"/>
  <c r="Z283" i="7" s="1"/>
  <c r="AD283" i="7" s="1"/>
  <c r="BN267" i="7"/>
  <c r="Z267" i="7" s="1"/>
  <c r="AD267" i="7" s="1"/>
  <c r="BN265" i="7"/>
  <c r="Z265" i="7" s="1"/>
  <c r="AD265" i="7" s="1"/>
  <c r="BN263" i="7"/>
  <c r="Z263" i="7" s="1"/>
  <c r="AD263" i="7" s="1"/>
  <c r="BN261" i="7"/>
  <c r="Z261" i="7" s="1"/>
  <c r="AD261" i="7" s="1"/>
  <c r="BN259" i="7"/>
  <c r="Z259" i="7" s="1"/>
  <c r="AD259" i="7" s="1"/>
  <c r="BN225" i="7"/>
  <c r="Z225" i="7" s="1"/>
  <c r="AD225" i="7" s="1"/>
  <c r="BN224" i="7"/>
  <c r="Z224" i="7" s="1"/>
  <c r="AD224" i="7" s="1"/>
  <c r="BN258" i="7"/>
  <c r="Z258" i="7" s="1"/>
  <c r="AD258" i="7" s="1"/>
  <c r="BN239" i="7"/>
  <c r="Z239" i="7" s="1"/>
  <c r="AD239" i="7" s="1"/>
  <c r="BN238" i="7"/>
  <c r="Z238" i="7" s="1"/>
  <c r="AD238" i="7" s="1"/>
  <c r="BN237" i="7"/>
  <c r="Z237" i="7" s="1"/>
  <c r="AD237" i="7" s="1"/>
  <c r="BN236" i="7"/>
  <c r="Z236" i="7" s="1"/>
  <c r="AD236" i="7" s="1"/>
  <c r="BN235" i="7"/>
  <c r="Z235" i="7" s="1"/>
  <c r="AD235" i="7" s="1"/>
  <c r="BN230" i="7"/>
  <c r="Z230" i="7" s="1"/>
  <c r="AD230" i="7" s="1"/>
  <c r="BN229" i="7"/>
  <c r="Z229" i="7" s="1"/>
  <c r="AD229" i="7" s="1"/>
  <c r="BN228" i="7"/>
  <c r="Z228" i="7" s="1"/>
  <c r="AD228" i="7" s="1"/>
  <c r="BN227" i="7"/>
  <c r="Z227" i="7" s="1"/>
  <c r="AD227" i="7" s="1"/>
  <c r="BN226" i="7"/>
  <c r="Z226" i="7" s="1"/>
  <c r="AD226" i="7" s="1"/>
  <c r="BN266" i="7"/>
  <c r="Z266" i="7" s="1"/>
  <c r="AD266" i="7" s="1"/>
  <c r="BN264" i="7"/>
  <c r="Z264" i="7" s="1"/>
  <c r="AD264" i="7" s="1"/>
  <c r="BN262" i="7"/>
  <c r="Z262" i="7" s="1"/>
  <c r="AD262" i="7" s="1"/>
  <c r="BN255" i="7"/>
  <c r="Z255" i="7" s="1"/>
  <c r="AD255" i="7" s="1"/>
  <c r="BN254" i="7"/>
  <c r="Z254" i="7" s="1"/>
  <c r="AD254" i="7" s="1"/>
  <c r="BN234" i="7"/>
  <c r="Z234" i="7" s="1"/>
  <c r="AD234" i="7" s="1"/>
  <c r="BN233" i="7"/>
  <c r="Z233" i="7" s="1"/>
  <c r="AD233" i="7" s="1"/>
  <c r="BN232" i="7"/>
  <c r="Z232" i="7" s="1"/>
  <c r="AD232" i="7" s="1"/>
  <c r="BN231" i="7"/>
  <c r="Z231" i="7" s="1"/>
  <c r="AD231" i="7" s="1"/>
  <c r="BN222" i="7"/>
  <c r="Z222" i="7" s="1"/>
  <c r="AD222" i="7" s="1"/>
  <c r="BN221" i="7"/>
  <c r="Z221" i="7" s="1"/>
  <c r="AD221" i="7" s="1"/>
  <c r="BN298" i="7"/>
  <c r="Z298" i="7" s="1"/>
  <c r="AD298" i="7" s="1"/>
  <c r="BN260" i="7"/>
  <c r="Z260" i="7" s="1"/>
  <c r="AD260" i="7" s="1"/>
  <c r="BN207" i="7"/>
  <c r="Z207" i="7" s="1"/>
  <c r="AD207" i="7" s="1"/>
  <c r="BN201" i="7"/>
  <c r="Z201" i="7" s="1"/>
  <c r="AD201" i="7" s="1"/>
  <c r="BN186" i="7"/>
  <c r="Z186" i="7" s="1"/>
  <c r="AD186" i="7" s="1"/>
  <c r="BN219" i="7"/>
  <c r="Z219" i="7" s="1"/>
  <c r="AD219" i="7" s="1"/>
  <c r="BN218" i="7"/>
  <c r="Z218" i="7" s="1"/>
  <c r="AD218" i="7" s="1"/>
  <c r="BN217" i="7"/>
  <c r="Z217" i="7" s="1"/>
  <c r="AD217" i="7" s="1"/>
  <c r="BN223" i="7"/>
  <c r="Z223" i="7" s="1"/>
  <c r="AD223" i="7" s="1"/>
  <c r="BN220" i="7"/>
  <c r="Z220" i="7" s="1"/>
  <c r="AD220" i="7" s="1"/>
  <c r="BN196" i="7"/>
  <c r="Z196" i="7" s="1"/>
  <c r="AD196" i="7" s="1"/>
  <c r="BN194" i="7"/>
  <c r="Z194" i="7" s="1"/>
  <c r="AD194" i="7" s="1"/>
  <c r="BN192" i="7"/>
  <c r="Z192" i="7" s="1"/>
  <c r="AD192" i="7" s="1"/>
  <c r="BN190" i="7"/>
  <c r="Z190" i="7" s="1"/>
  <c r="AD190" i="7" s="1"/>
  <c r="BN164" i="7"/>
  <c r="Z164" i="7" s="1"/>
  <c r="AD164" i="7" s="1"/>
  <c r="BN144" i="7"/>
  <c r="Z144" i="7" s="1"/>
  <c r="AD144" i="7" s="1"/>
  <c r="BN143" i="7"/>
  <c r="Z143" i="7" s="1"/>
  <c r="AD143" i="7" s="1"/>
  <c r="BN142" i="7"/>
  <c r="Z142" i="7" s="1"/>
  <c r="AD142" i="7" s="1"/>
  <c r="BN141" i="7"/>
  <c r="Z141" i="7" s="1"/>
  <c r="AD141" i="7" s="1"/>
  <c r="BN140" i="7"/>
  <c r="Z140" i="7" s="1"/>
  <c r="AD140" i="7" s="1"/>
  <c r="BN139" i="7"/>
  <c r="Z139" i="7" s="1"/>
  <c r="AD139" i="7" s="1"/>
  <c r="BN138" i="7"/>
  <c r="Z138" i="7" s="1"/>
  <c r="AD138" i="7" s="1"/>
  <c r="BN137" i="7"/>
  <c r="Z137" i="7" s="1"/>
  <c r="AD137" i="7" s="1"/>
  <c r="BN136" i="7"/>
  <c r="Z136" i="7" s="1"/>
  <c r="AD136" i="7" s="1"/>
  <c r="BN134" i="7"/>
  <c r="Z134" i="7" s="1"/>
  <c r="AD134" i="7" s="1"/>
  <c r="BN97" i="7"/>
  <c r="Z97" i="7" s="1"/>
  <c r="AD97" i="7" s="1"/>
  <c r="BN146" i="7"/>
  <c r="Z146" i="7" s="1"/>
  <c r="AD146" i="7" s="1"/>
  <c r="BN114" i="7"/>
  <c r="Z114" i="7" s="1"/>
  <c r="AD114" i="7" s="1"/>
  <c r="BN113" i="7"/>
  <c r="Z113" i="7" s="1"/>
  <c r="AD113" i="7" s="1"/>
  <c r="BN112" i="7"/>
  <c r="Z112" i="7" s="1"/>
  <c r="AD112" i="7" s="1"/>
  <c r="BN111" i="7"/>
  <c r="Z111" i="7" s="1"/>
  <c r="AD111" i="7" s="1"/>
  <c r="BN110" i="7"/>
  <c r="Z110" i="7" s="1"/>
  <c r="AD110" i="7" s="1"/>
  <c r="BN109" i="7"/>
  <c r="Z109" i="7" s="1"/>
  <c r="AD109" i="7" s="1"/>
  <c r="BN108" i="7"/>
  <c r="Z108" i="7" s="1"/>
  <c r="AD108" i="7" s="1"/>
  <c r="BN107" i="7"/>
  <c r="Z107" i="7" s="1"/>
  <c r="AD107" i="7" s="1"/>
  <c r="BN106" i="7"/>
  <c r="Z106" i="7" s="1"/>
  <c r="AD106" i="7" s="1"/>
  <c r="BN105" i="7"/>
  <c r="Z105" i="7" s="1"/>
  <c r="AD105" i="7" s="1"/>
  <c r="BN104" i="7"/>
  <c r="Z104" i="7" s="1"/>
  <c r="AD104" i="7" s="1"/>
  <c r="BN103" i="7"/>
  <c r="Z103" i="7" s="1"/>
  <c r="AD103" i="7" s="1"/>
  <c r="BN102" i="7"/>
  <c r="Z102" i="7" s="1"/>
  <c r="AD102" i="7" s="1"/>
  <c r="BN101" i="7"/>
  <c r="Z101" i="7" s="1"/>
  <c r="AD101" i="7" s="1"/>
  <c r="BN100" i="7"/>
  <c r="Z100" i="7" s="1"/>
  <c r="AD100" i="7" s="1"/>
  <c r="BN99" i="7"/>
  <c r="Z99" i="7" s="1"/>
  <c r="AD99" i="7" s="1"/>
  <c r="BN98" i="7"/>
  <c r="Z98" i="7" s="1"/>
  <c r="AD98" i="7" s="1"/>
  <c r="BN199" i="7"/>
  <c r="Z199" i="7" s="1"/>
  <c r="AD199" i="7" s="1"/>
  <c r="BN195" i="7"/>
  <c r="Z195" i="7" s="1"/>
  <c r="AD195" i="7" s="1"/>
  <c r="BN193" i="7"/>
  <c r="Z193" i="7" s="1"/>
  <c r="AD193" i="7" s="1"/>
  <c r="BN191" i="7"/>
  <c r="Z191" i="7" s="1"/>
  <c r="AD191" i="7" s="1"/>
  <c r="BN189" i="7"/>
  <c r="Z189" i="7" s="1"/>
  <c r="AD189" i="7" s="1"/>
  <c r="BN180" i="7"/>
  <c r="Z180" i="7" s="1"/>
  <c r="AD180" i="7" s="1"/>
  <c r="BN162" i="7"/>
  <c r="Z162" i="7" s="1"/>
  <c r="AD162" i="7" s="1"/>
  <c r="BN115" i="7"/>
  <c r="Z115" i="7" s="1"/>
  <c r="AD115" i="7" s="1"/>
  <c r="BN163" i="7"/>
  <c r="Z163" i="7" s="1"/>
  <c r="AD163" i="7" s="1"/>
  <c r="BN22" i="7"/>
  <c r="Z22" i="7" s="1"/>
  <c r="AD22" i="7" s="1"/>
  <c r="BN21" i="7"/>
  <c r="Z21" i="7" s="1"/>
  <c r="AD21" i="7" s="1"/>
  <c r="BN58" i="7"/>
  <c r="Z58" i="7" s="1"/>
  <c r="AD58" i="7" s="1"/>
  <c r="BN57" i="7"/>
  <c r="Z57" i="7" s="1"/>
  <c r="AD57" i="7" s="1"/>
  <c r="BN56" i="7"/>
  <c r="Z56" i="7" s="1"/>
  <c r="AD56" i="7" s="1"/>
  <c r="BN55" i="7"/>
  <c r="Z55" i="7" s="1"/>
  <c r="AD55" i="7" s="1"/>
  <c r="BN54" i="7"/>
  <c r="Z54" i="7" s="1"/>
  <c r="AD54" i="7" s="1"/>
  <c r="BN53" i="7"/>
  <c r="Z53" i="7" s="1"/>
  <c r="AD53" i="7" s="1"/>
  <c r="BN52" i="7"/>
  <c r="Z52" i="7" s="1"/>
  <c r="AD52" i="7" s="1"/>
  <c r="BN40" i="7"/>
  <c r="Z40" i="7" s="1"/>
  <c r="AD40" i="7" s="1"/>
  <c r="BN39" i="7"/>
  <c r="Z39" i="7" s="1"/>
  <c r="AD39" i="7" s="1"/>
  <c r="BN38" i="7"/>
  <c r="Z38" i="7" s="1"/>
  <c r="AD38" i="7" s="1"/>
  <c r="BN37" i="7"/>
  <c r="Z37" i="7" s="1"/>
  <c r="AD37" i="7" s="1"/>
  <c r="BN36" i="7"/>
  <c r="Z36" i="7" s="1"/>
  <c r="AD36" i="7" s="1"/>
  <c r="BN35" i="7"/>
  <c r="Z35" i="7" s="1"/>
  <c r="AD35" i="7" s="1"/>
  <c r="BN34" i="7"/>
  <c r="Z34" i="7" s="1"/>
  <c r="AD34" i="7" s="1"/>
  <c r="BN33" i="7"/>
  <c r="Z33" i="7" s="1"/>
  <c r="AD33" i="7" s="1"/>
  <c r="BN32" i="7"/>
  <c r="Z32" i="7" s="1"/>
  <c r="AD32" i="7" s="1"/>
  <c r="BN59" i="7"/>
  <c r="Z59" i="7" s="1"/>
  <c r="AD59" i="7" s="1"/>
  <c r="BN46" i="7"/>
  <c r="Z46" i="7" s="1"/>
  <c r="AD46" i="7" s="1"/>
  <c r="BN19" i="7"/>
  <c r="Z19" i="7" s="1"/>
  <c r="AD19" i="7" s="1"/>
  <c r="BN172" i="7"/>
  <c r="Z172" i="7" s="1"/>
  <c r="AD172" i="7" s="1"/>
  <c r="BN64" i="7"/>
  <c r="Z64" i="7" s="1"/>
  <c r="AD64" i="7" s="1"/>
  <c r="BN63" i="7"/>
  <c r="Z63" i="7" s="1"/>
  <c r="AD63" i="7" s="1"/>
  <c r="BN61" i="7"/>
  <c r="Z61" i="7" s="1"/>
  <c r="AD61" i="7" s="1"/>
  <c r="BN62" i="7"/>
  <c r="Z62" i="7" s="1"/>
  <c r="AD62" i="7" s="1"/>
  <c r="BN11" i="7"/>
  <c r="Z11" i="7" s="1"/>
  <c r="AD11" i="7" s="1"/>
  <c r="BN10" i="7"/>
  <c r="Z10" i="7" s="1"/>
  <c r="BN60" i="7"/>
  <c r="Z60" i="7" s="1"/>
  <c r="AD60" i="7" s="1"/>
  <c r="BD391" i="7"/>
  <c r="BD389" i="7"/>
  <c r="BM358" i="7"/>
  <c r="L358" i="7" s="1"/>
  <c r="P358" i="7" s="1"/>
  <c r="BM354" i="7"/>
  <c r="L354" i="7" s="1"/>
  <c r="P354" i="7" s="1"/>
  <c r="BM359" i="7"/>
  <c r="L359" i="7" s="1"/>
  <c r="P359" i="7" s="1"/>
  <c r="BM357" i="7"/>
  <c r="L357" i="7" s="1"/>
  <c r="P357" i="7" s="1"/>
  <c r="BM352" i="7"/>
  <c r="L352" i="7" s="1"/>
  <c r="P352" i="7" s="1"/>
  <c r="BM348" i="7"/>
  <c r="L348" i="7" s="1"/>
  <c r="P348" i="7" s="1"/>
  <c r="BM344" i="7"/>
  <c r="L344" i="7" s="1"/>
  <c r="P344" i="7" s="1"/>
  <c r="BM339" i="7"/>
  <c r="L339" i="7" s="1"/>
  <c r="P339" i="7" s="1"/>
  <c r="BM353" i="7"/>
  <c r="L353" i="7" s="1"/>
  <c r="P353" i="7" s="1"/>
  <c r="BM349" i="7"/>
  <c r="L349" i="7" s="1"/>
  <c r="P349" i="7" s="1"/>
  <c r="BM345" i="7"/>
  <c r="L345" i="7" s="1"/>
  <c r="P345" i="7" s="1"/>
  <c r="BM340" i="7"/>
  <c r="L340" i="7" s="1"/>
  <c r="P340" i="7" s="1"/>
  <c r="BM356" i="7"/>
  <c r="L356" i="7" s="1"/>
  <c r="P356" i="7" s="1"/>
  <c r="BM351" i="7"/>
  <c r="L351" i="7" s="1"/>
  <c r="P351" i="7" s="1"/>
  <c r="BM347" i="7"/>
  <c r="L347" i="7" s="1"/>
  <c r="P347" i="7" s="1"/>
  <c r="BM338" i="7"/>
  <c r="L338" i="7" s="1"/>
  <c r="P338" i="7" s="1"/>
  <c r="BM337" i="7"/>
  <c r="L337" i="7" s="1"/>
  <c r="P337" i="7" s="1"/>
  <c r="BM350" i="7"/>
  <c r="L350" i="7" s="1"/>
  <c r="P350" i="7" s="1"/>
  <c r="BM346" i="7"/>
  <c r="L346" i="7" s="1"/>
  <c r="P346" i="7" s="1"/>
  <c r="BM334" i="7"/>
  <c r="L334" i="7" s="1"/>
  <c r="P334" i="7" s="1"/>
  <c r="BM330" i="7"/>
  <c r="L330" i="7" s="1"/>
  <c r="P330" i="7" s="1"/>
  <c r="BM343" i="7"/>
  <c r="L343" i="7" s="1"/>
  <c r="P343" i="7" s="1"/>
  <c r="BM336" i="7"/>
  <c r="L336" i="7" s="1"/>
  <c r="P336" i="7" s="1"/>
  <c r="BM335" i="7"/>
  <c r="L335" i="7" s="1"/>
  <c r="P335" i="7" s="1"/>
  <c r="BM331" i="7"/>
  <c r="L331" i="7" s="1"/>
  <c r="P331" i="7" s="1"/>
  <c r="BM342" i="7"/>
  <c r="L342" i="7" s="1"/>
  <c r="P342" i="7" s="1"/>
  <c r="BM341" i="7"/>
  <c r="L341" i="7" s="1"/>
  <c r="P341" i="7" s="1"/>
  <c r="BM332" i="7"/>
  <c r="L332" i="7" s="1"/>
  <c r="P332" i="7" s="1"/>
  <c r="BM305" i="7"/>
  <c r="L305" i="7" s="1"/>
  <c r="P305" i="7" s="1"/>
  <c r="BM355" i="7"/>
  <c r="L355" i="7" s="1"/>
  <c r="P355" i="7" s="1"/>
  <c r="BM306" i="7"/>
  <c r="L306" i="7" s="1"/>
  <c r="P306" i="7" s="1"/>
  <c r="BM333" i="7"/>
  <c r="L333" i="7" s="1"/>
  <c r="P333" i="7" s="1"/>
  <c r="BM307" i="7"/>
  <c r="L307" i="7" s="1"/>
  <c r="P307" i="7" s="1"/>
  <c r="BM304" i="7"/>
  <c r="L304" i="7" s="1"/>
  <c r="P304" i="7" s="1"/>
  <c r="BM282" i="7"/>
  <c r="L282" i="7" s="1"/>
  <c r="P282" i="7" s="1"/>
  <c r="BM284" i="7"/>
  <c r="L284" i="7" s="1"/>
  <c r="P284" i="7" s="1"/>
  <c r="BM308" i="7"/>
  <c r="L308" i="7" s="1"/>
  <c r="P308" i="7" s="1"/>
  <c r="BM289" i="7"/>
  <c r="L289" i="7" s="1"/>
  <c r="P289" i="7" s="1"/>
  <c r="BM270" i="7"/>
  <c r="L270" i="7" s="1"/>
  <c r="P270" i="7" s="1"/>
  <c r="BM250" i="7"/>
  <c r="L250" i="7" s="1"/>
  <c r="P250" i="7" s="1"/>
  <c r="BM246" i="7"/>
  <c r="L246" i="7" s="1"/>
  <c r="P246" i="7" s="1"/>
  <c r="BM242" i="7"/>
  <c r="L242" i="7" s="1"/>
  <c r="P242" i="7" s="1"/>
  <c r="BM281" i="7"/>
  <c r="L281" i="7" s="1"/>
  <c r="P281" i="7" s="1"/>
  <c r="BM247" i="7"/>
  <c r="L247" i="7" s="1"/>
  <c r="P247" i="7" s="1"/>
  <c r="BM243" i="7"/>
  <c r="L243" i="7" s="1"/>
  <c r="P243" i="7" s="1"/>
  <c r="BM291" i="7"/>
  <c r="L291" i="7" s="1"/>
  <c r="P291" i="7" s="1"/>
  <c r="BM248" i="7"/>
  <c r="L248" i="7" s="1"/>
  <c r="P248" i="7" s="1"/>
  <c r="BM244" i="7"/>
  <c r="L244" i="7" s="1"/>
  <c r="P244" i="7" s="1"/>
  <c r="BM245" i="7"/>
  <c r="L245" i="7" s="1"/>
  <c r="P245" i="7" s="1"/>
  <c r="BM185" i="7"/>
  <c r="L185" i="7" s="1"/>
  <c r="P185" i="7" s="1"/>
  <c r="BM181" i="7"/>
  <c r="L181" i="7" s="1"/>
  <c r="P181" i="7" s="1"/>
  <c r="BM177" i="7"/>
  <c r="L177" i="7" s="1"/>
  <c r="P177" i="7" s="1"/>
  <c r="BM173" i="7"/>
  <c r="L173" i="7" s="1"/>
  <c r="P173" i="7" s="1"/>
  <c r="BM169" i="7"/>
  <c r="L169" i="7" s="1"/>
  <c r="P169" i="7" s="1"/>
  <c r="BM241" i="7"/>
  <c r="L241" i="7" s="1"/>
  <c r="P241" i="7" s="1"/>
  <c r="BM182" i="7"/>
  <c r="L182" i="7" s="1"/>
  <c r="P182" i="7" s="1"/>
  <c r="BM178" i="7"/>
  <c r="L178" i="7" s="1"/>
  <c r="P178" i="7" s="1"/>
  <c r="BM174" i="7"/>
  <c r="L174" i="7" s="1"/>
  <c r="P174" i="7" s="1"/>
  <c r="BM170" i="7"/>
  <c r="L170" i="7" s="1"/>
  <c r="P170" i="7" s="1"/>
  <c r="BM166" i="7"/>
  <c r="L166" i="7" s="1"/>
  <c r="P166" i="7" s="1"/>
  <c r="BM299" i="7"/>
  <c r="L299" i="7" s="1"/>
  <c r="P299" i="7" s="1"/>
  <c r="BM249" i="7"/>
  <c r="L249" i="7" s="1"/>
  <c r="P249" i="7" s="1"/>
  <c r="BM240" i="7"/>
  <c r="L240" i="7" s="1"/>
  <c r="P240" i="7" s="1"/>
  <c r="BM179" i="7"/>
  <c r="L179" i="7" s="1"/>
  <c r="P179" i="7" s="1"/>
  <c r="BM167" i="7"/>
  <c r="L167" i="7" s="1"/>
  <c r="P167" i="7" s="1"/>
  <c r="BM132" i="7"/>
  <c r="L132" i="7" s="1"/>
  <c r="P132" i="7" s="1"/>
  <c r="BM128" i="7"/>
  <c r="L128" i="7" s="1"/>
  <c r="P128" i="7" s="1"/>
  <c r="BM124" i="7"/>
  <c r="L124" i="7" s="1"/>
  <c r="P124" i="7" s="1"/>
  <c r="BM120" i="7"/>
  <c r="L120" i="7" s="1"/>
  <c r="P120" i="7" s="1"/>
  <c r="BM116" i="7"/>
  <c r="L116" i="7" s="1"/>
  <c r="P116" i="7" s="1"/>
  <c r="BM184" i="7"/>
  <c r="L184" i="7" s="1"/>
  <c r="P184" i="7" s="1"/>
  <c r="BM176" i="7"/>
  <c r="L176" i="7" s="1"/>
  <c r="P176" i="7" s="1"/>
  <c r="BM171" i="7"/>
  <c r="L171" i="7" s="1"/>
  <c r="P171" i="7" s="1"/>
  <c r="BM133" i="7"/>
  <c r="L133" i="7" s="1"/>
  <c r="P133" i="7" s="1"/>
  <c r="BM129" i="7"/>
  <c r="L129" i="7" s="1"/>
  <c r="P129" i="7" s="1"/>
  <c r="BM125" i="7"/>
  <c r="L125" i="7" s="1"/>
  <c r="P125" i="7" s="1"/>
  <c r="BM121" i="7"/>
  <c r="L121" i="7" s="1"/>
  <c r="P121" i="7" s="1"/>
  <c r="BM117" i="7"/>
  <c r="L117" i="7" s="1"/>
  <c r="P117" i="7" s="1"/>
  <c r="BM183" i="7"/>
  <c r="L183" i="7" s="1"/>
  <c r="P183" i="7" s="1"/>
  <c r="BM175" i="7"/>
  <c r="L175" i="7" s="1"/>
  <c r="P175" i="7" s="1"/>
  <c r="BM165" i="7"/>
  <c r="L165" i="7" s="1"/>
  <c r="P165" i="7" s="1"/>
  <c r="BM130" i="7"/>
  <c r="L130" i="7" s="1"/>
  <c r="P130" i="7" s="1"/>
  <c r="BM122" i="7"/>
  <c r="L122" i="7" s="1"/>
  <c r="P122" i="7" s="1"/>
  <c r="BM118" i="7"/>
  <c r="L118" i="7" s="1"/>
  <c r="P118" i="7" s="1"/>
  <c r="BM83" i="7"/>
  <c r="L83" i="7" s="1"/>
  <c r="P83" i="7" s="1"/>
  <c r="BM75" i="7"/>
  <c r="L75" i="7" s="1"/>
  <c r="P75" i="7" s="1"/>
  <c r="BM47" i="7"/>
  <c r="L47" i="7" s="1"/>
  <c r="P47" i="7" s="1"/>
  <c r="BM42" i="7"/>
  <c r="L42" i="7" s="1"/>
  <c r="P42" i="7" s="1"/>
  <c r="BM29" i="7"/>
  <c r="L29" i="7" s="1"/>
  <c r="P29" i="7" s="1"/>
  <c r="BM25" i="7"/>
  <c r="L25" i="7" s="1"/>
  <c r="P25" i="7" s="1"/>
  <c r="BM84" i="7"/>
  <c r="L84" i="7" s="1"/>
  <c r="P84" i="7" s="1"/>
  <c r="BM76" i="7"/>
  <c r="L76" i="7" s="1"/>
  <c r="P76" i="7" s="1"/>
  <c r="BM48" i="7"/>
  <c r="L48" i="7" s="1"/>
  <c r="P48" i="7" s="1"/>
  <c r="BM43" i="7"/>
  <c r="L43" i="7" s="1"/>
  <c r="P43" i="7" s="1"/>
  <c r="BM30" i="7"/>
  <c r="L30" i="7" s="1"/>
  <c r="P30" i="7" s="1"/>
  <c r="BM26" i="7"/>
  <c r="L26" i="7" s="1"/>
  <c r="P26" i="7" s="1"/>
  <c r="BM131" i="7"/>
  <c r="L131" i="7" s="1"/>
  <c r="P131" i="7" s="1"/>
  <c r="BM123" i="7"/>
  <c r="L123" i="7" s="1"/>
  <c r="P123" i="7" s="1"/>
  <c r="BM85" i="7"/>
  <c r="L85" i="7" s="1"/>
  <c r="P85" i="7" s="1"/>
  <c r="BM77" i="7"/>
  <c r="L77" i="7" s="1"/>
  <c r="P77" i="7" s="1"/>
  <c r="BM44" i="7"/>
  <c r="L44" i="7" s="1"/>
  <c r="P44" i="7" s="1"/>
  <c r="BM31" i="7"/>
  <c r="L31" i="7" s="1"/>
  <c r="P31" i="7" s="1"/>
  <c r="BM27" i="7"/>
  <c r="L27" i="7" s="1"/>
  <c r="P27" i="7" s="1"/>
  <c r="BM23" i="7"/>
  <c r="L23" i="7" s="1"/>
  <c r="P23" i="7" s="1"/>
  <c r="BM168" i="7"/>
  <c r="L168" i="7" s="1"/>
  <c r="P168" i="7" s="1"/>
  <c r="BM20" i="7"/>
  <c r="L20" i="7" s="1"/>
  <c r="P20" i="7" s="1"/>
  <c r="BM14" i="7"/>
  <c r="L14" i="7" s="1"/>
  <c r="P14" i="7" s="1"/>
  <c r="BM119" i="7"/>
  <c r="L119" i="7" s="1"/>
  <c r="P119" i="7" s="1"/>
  <c r="BM28" i="7"/>
  <c r="L28" i="7" s="1"/>
  <c r="P28" i="7" s="1"/>
  <c r="BM12" i="7"/>
  <c r="L12" i="7" s="1"/>
  <c r="P12" i="7" s="1"/>
  <c r="BM45" i="7"/>
  <c r="L45" i="7" s="1"/>
  <c r="P45" i="7" s="1"/>
  <c r="BM24" i="7"/>
  <c r="L24" i="7" s="1"/>
  <c r="P24" i="7" s="1"/>
  <c r="BM13" i="7"/>
  <c r="L13" i="7" s="1"/>
  <c r="P13" i="7" s="1"/>
  <c r="BM9" i="7"/>
  <c r="L9" i="7" s="1"/>
  <c r="BM41" i="7"/>
  <c r="L41" i="7" s="1"/>
  <c r="P41" i="7" s="1"/>
  <c r="BB391" i="7"/>
  <c r="BB389" i="7"/>
  <c r="BA391" i="7"/>
  <c r="BA389" i="7"/>
  <c r="AM9" i="7" l="1"/>
  <c r="AM378" i="7" s="1"/>
  <c r="AH378" i="7"/>
  <c r="AM10" i="7"/>
  <c r="AM377" i="7" s="1"/>
  <c r="AH377" i="7"/>
  <c r="Z378" i="7"/>
  <c r="AD9" i="7"/>
  <c r="AD378" i="7" s="1"/>
  <c r="Z377" i="7"/>
  <c r="AD10" i="7"/>
  <c r="AD377" i="7" s="1"/>
  <c r="P9" i="7"/>
  <c r="P378" i="7" s="1"/>
  <c r="L378" i="7"/>
  <c r="P10" i="7"/>
  <c r="P377" i="7" s="1"/>
  <c r="L377" i="7"/>
  <c r="D378" i="7"/>
  <c r="H9" i="7"/>
  <c r="H378" i="7" s="1"/>
  <c r="D377" i="7"/>
  <c r="H10" i="7"/>
  <c r="H377" i="7" s="1"/>
  <c r="BA397" i="7"/>
  <c r="BA394" i="7"/>
  <c r="BA369" i="7" s="1"/>
  <c r="BB397" i="7"/>
  <c r="BB394" i="7"/>
  <c r="BB369" i="7" s="1"/>
  <c r="BD397" i="7"/>
  <c r="BD394" i="7"/>
  <c r="BD369" i="7" s="1"/>
  <c r="BC397" i="7"/>
  <c r="BC394" i="7"/>
  <c r="BC369" i="7" s="1"/>
  <c r="BN321" i="7" l="1"/>
  <c r="Z321" i="7" s="1"/>
  <c r="BN319" i="7"/>
  <c r="Z319" i="7" s="1"/>
  <c r="BN317" i="7"/>
  <c r="Z317" i="7" s="1"/>
  <c r="BN320" i="7"/>
  <c r="Z320" i="7" s="1"/>
  <c r="BN318" i="7"/>
  <c r="Z318" i="7" s="1"/>
  <c r="BN279" i="7"/>
  <c r="Z279" i="7" s="1"/>
  <c r="BN274" i="7"/>
  <c r="Z274" i="7" s="1"/>
  <c r="BN273" i="7"/>
  <c r="Z273" i="7" s="1"/>
  <c r="BN272" i="7"/>
  <c r="Z272" i="7" s="1"/>
  <c r="BN271" i="7"/>
  <c r="Z271" i="7" s="1"/>
  <c r="BN269" i="7"/>
  <c r="Z269" i="7" s="1"/>
  <c r="BN276" i="7"/>
  <c r="Z276" i="7" s="1"/>
  <c r="BN275" i="7"/>
  <c r="Z275" i="7" s="1"/>
  <c r="BN251" i="7"/>
  <c r="Z251" i="7" s="1"/>
  <c r="BN253" i="7"/>
  <c r="Z253" i="7" s="1"/>
  <c r="BN252" i="7"/>
  <c r="Z252" i="7" s="1"/>
  <c r="BN277" i="7"/>
  <c r="Z277" i="7" s="1"/>
  <c r="BN210" i="7"/>
  <c r="Z210" i="7" s="1"/>
  <c r="BN209" i="7"/>
  <c r="Z209" i="7" s="1"/>
  <c r="BN208" i="7"/>
  <c r="Z208" i="7" s="1"/>
  <c r="BN206" i="7"/>
  <c r="Z206" i="7" s="1"/>
  <c r="BN205" i="7"/>
  <c r="Z205" i="7" s="1"/>
  <c r="BN204" i="7"/>
  <c r="Z204" i="7" s="1"/>
  <c r="BN203" i="7"/>
  <c r="Z203" i="7" s="1"/>
  <c r="BN202" i="7"/>
  <c r="Z202" i="7" s="1"/>
  <c r="BN211" i="7"/>
  <c r="Z211" i="7" s="1"/>
  <c r="BN187" i="7"/>
  <c r="Z187" i="7" s="1"/>
  <c r="BN216" i="7"/>
  <c r="Z216" i="7" s="1"/>
  <c r="BN215" i="7"/>
  <c r="Z215" i="7" s="1"/>
  <c r="BN214" i="7"/>
  <c r="Z214" i="7" s="1"/>
  <c r="BN213" i="7"/>
  <c r="Z213" i="7" s="1"/>
  <c r="BN212" i="7"/>
  <c r="Z212" i="7" s="1"/>
  <c r="BN188" i="7"/>
  <c r="Z188" i="7" s="1"/>
  <c r="BN159" i="7"/>
  <c r="Z159" i="7" s="1"/>
  <c r="BN145" i="7"/>
  <c r="Z145" i="7" s="1"/>
  <c r="BN135" i="7"/>
  <c r="Z135" i="7" s="1"/>
  <c r="BN96" i="7"/>
  <c r="Z96" i="7" s="1"/>
  <c r="BN95" i="7"/>
  <c r="Z95" i="7" s="1"/>
  <c r="BN94" i="7"/>
  <c r="Z94" i="7" s="1"/>
  <c r="BN93" i="7"/>
  <c r="Z93" i="7" s="1"/>
  <c r="BN92" i="7"/>
  <c r="Z92" i="7" s="1"/>
  <c r="BN91" i="7"/>
  <c r="Z91" i="7" s="1"/>
  <c r="BN90" i="7"/>
  <c r="Z90" i="7" s="1"/>
  <c r="BN200" i="7"/>
  <c r="Z200" i="7" s="1"/>
  <c r="BN161" i="7"/>
  <c r="Z161" i="7" s="1"/>
  <c r="BN160" i="7"/>
  <c r="Z160" i="7" s="1"/>
  <c r="BN154" i="7"/>
  <c r="Z154" i="7" s="1"/>
  <c r="BN153" i="7"/>
  <c r="Z153" i="7" s="1"/>
  <c r="BN152" i="7"/>
  <c r="Z152" i="7" s="1"/>
  <c r="BN151" i="7"/>
  <c r="Z151" i="7" s="1"/>
  <c r="BN150" i="7"/>
  <c r="Z150" i="7" s="1"/>
  <c r="BN149" i="7"/>
  <c r="Z149" i="7" s="1"/>
  <c r="BN148" i="7"/>
  <c r="Z148" i="7" s="1"/>
  <c r="BN147" i="7"/>
  <c r="Z147" i="7" s="1"/>
  <c r="BN126" i="7"/>
  <c r="Z126" i="7" s="1"/>
  <c r="BN155" i="7"/>
  <c r="Z155" i="7" s="1"/>
  <c r="BN127" i="7"/>
  <c r="Z127" i="7" s="1"/>
  <c r="BN197" i="7"/>
  <c r="Z197" i="7" s="1"/>
  <c r="BN80" i="7"/>
  <c r="Z80" i="7" s="1"/>
  <c r="BN67" i="7"/>
  <c r="Z67" i="7" s="1"/>
  <c r="BN65" i="7"/>
  <c r="Z65" i="7" s="1"/>
  <c r="BN51" i="7"/>
  <c r="Z51" i="7" s="1"/>
  <c r="BN50" i="7"/>
  <c r="Z50" i="7" s="1"/>
  <c r="BN49" i="7"/>
  <c r="Z49" i="7" s="1"/>
  <c r="BN198" i="7"/>
  <c r="Z198" i="7" s="1"/>
  <c r="BN86" i="7"/>
  <c r="Z86" i="7" s="1"/>
  <c r="BN81" i="7"/>
  <c r="Z81" i="7" s="1"/>
  <c r="BN68" i="7"/>
  <c r="Z68" i="7" s="1"/>
  <c r="BN66" i="7"/>
  <c r="Z66" i="7" s="1"/>
  <c r="BN88" i="7"/>
  <c r="Z88" i="7" s="1"/>
  <c r="BN87" i="7"/>
  <c r="Z87" i="7" s="1"/>
  <c r="BN82" i="7"/>
  <c r="Z82" i="7" s="1"/>
  <c r="BN78" i="7"/>
  <c r="Z78" i="7" s="1"/>
  <c r="BN74" i="7"/>
  <c r="Z74" i="7" s="1"/>
  <c r="BN73" i="7"/>
  <c r="Z73" i="7" s="1"/>
  <c r="BN72" i="7"/>
  <c r="Z72" i="7" s="1"/>
  <c r="BN71" i="7"/>
  <c r="Z71" i="7" s="1"/>
  <c r="BN70" i="7"/>
  <c r="Z70" i="7" s="1"/>
  <c r="BN69" i="7"/>
  <c r="Z69" i="7" s="1"/>
  <c r="BN158" i="7"/>
  <c r="Z158" i="7" s="1"/>
  <c r="BN16" i="7"/>
  <c r="Z16" i="7" s="1"/>
  <c r="BN157" i="7"/>
  <c r="Z157" i="7" s="1"/>
  <c r="BN15" i="7"/>
  <c r="Z15" i="7" s="1"/>
  <c r="BN89" i="7"/>
  <c r="Z89" i="7" s="1"/>
  <c r="BN17" i="7"/>
  <c r="Z17" i="7" s="1"/>
  <c r="BN156" i="7"/>
  <c r="Z156" i="7" s="1"/>
  <c r="BN79" i="7"/>
  <c r="Z79" i="7" s="1"/>
  <c r="BN18" i="7"/>
  <c r="Z18" i="7" s="1"/>
  <c r="BB370" i="7"/>
  <c r="BB372" i="7"/>
  <c r="BC370" i="7"/>
  <c r="BC372" i="7"/>
  <c r="BL321" i="7"/>
  <c r="D321" i="7" s="1"/>
  <c r="BL319" i="7"/>
  <c r="D319" i="7" s="1"/>
  <c r="BL317" i="7"/>
  <c r="D317" i="7" s="1"/>
  <c r="BL276" i="7"/>
  <c r="D276" i="7" s="1"/>
  <c r="BL275" i="7"/>
  <c r="D275" i="7" s="1"/>
  <c r="BL318" i="7"/>
  <c r="D318" i="7" s="1"/>
  <c r="BL277" i="7"/>
  <c r="D277" i="7" s="1"/>
  <c r="BL320" i="7"/>
  <c r="D320" i="7" s="1"/>
  <c r="BL279" i="7"/>
  <c r="D279" i="7" s="1"/>
  <c r="BL274" i="7"/>
  <c r="D274" i="7" s="1"/>
  <c r="BL272" i="7"/>
  <c r="D272" i="7" s="1"/>
  <c r="BL269" i="7"/>
  <c r="D269" i="7" s="1"/>
  <c r="BL251" i="7"/>
  <c r="D251" i="7" s="1"/>
  <c r="BL252" i="7"/>
  <c r="D252" i="7" s="1"/>
  <c r="BL216" i="7"/>
  <c r="D216" i="7" s="1"/>
  <c r="BL215" i="7"/>
  <c r="D215" i="7" s="1"/>
  <c r="BL214" i="7"/>
  <c r="D214" i="7" s="1"/>
  <c r="BL213" i="7"/>
  <c r="D213" i="7" s="1"/>
  <c r="BL212" i="7"/>
  <c r="D212" i="7" s="1"/>
  <c r="BL188" i="7"/>
  <c r="D188" i="7" s="1"/>
  <c r="BL200" i="7"/>
  <c r="D200" i="7" s="1"/>
  <c r="BL198" i="7"/>
  <c r="D198" i="7" s="1"/>
  <c r="BL197" i="7"/>
  <c r="D197" i="7" s="1"/>
  <c r="BL273" i="7"/>
  <c r="D273" i="7" s="1"/>
  <c r="BL271" i="7"/>
  <c r="D271" i="7" s="1"/>
  <c r="BL253" i="7"/>
  <c r="D253" i="7" s="1"/>
  <c r="BL210" i="7"/>
  <c r="D210" i="7" s="1"/>
  <c r="BL209" i="7"/>
  <c r="D209" i="7" s="1"/>
  <c r="BL208" i="7"/>
  <c r="D208" i="7" s="1"/>
  <c r="BL206" i="7"/>
  <c r="D206" i="7" s="1"/>
  <c r="BL205" i="7"/>
  <c r="D205" i="7" s="1"/>
  <c r="BL204" i="7"/>
  <c r="D204" i="7" s="1"/>
  <c r="BL203" i="7"/>
  <c r="D203" i="7" s="1"/>
  <c r="BL202" i="7"/>
  <c r="D202" i="7" s="1"/>
  <c r="BL211" i="7"/>
  <c r="D211" i="7" s="1"/>
  <c r="BL155" i="7"/>
  <c r="D155" i="7" s="1"/>
  <c r="BL127" i="7"/>
  <c r="D127" i="7" s="1"/>
  <c r="BL158" i="7"/>
  <c r="D158" i="7" s="1"/>
  <c r="BL157" i="7"/>
  <c r="D157" i="7" s="1"/>
  <c r="BL156" i="7"/>
  <c r="D156" i="7" s="1"/>
  <c r="BL187" i="7"/>
  <c r="D187" i="7" s="1"/>
  <c r="BL159" i="7"/>
  <c r="D159" i="7" s="1"/>
  <c r="BL145" i="7"/>
  <c r="D145" i="7" s="1"/>
  <c r="BL135" i="7"/>
  <c r="D135" i="7" s="1"/>
  <c r="BL160" i="7"/>
  <c r="D160" i="7" s="1"/>
  <c r="BL93" i="7"/>
  <c r="D93" i="7" s="1"/>
  <c r="BL88" i="7"/>
  <c r="D88" i="7" s="1"/>
  <c r="BL87" i="7"/>
  <c r="D87" i="7" s="1"/>
  <c r="BL82" i="7"/>
  <c r="D82" i="7" s="1"/>
  <c r="BL78" i="7"/>
  <c r="D78" i="7" s="1"/>
  <c r="BL74" i="7"/>
  <c r="D74" i="7" s="1"/>
  <c r="BL73" i="7"/>
  <c r="D73" i="7" s="1"/>
  <c r="BL72" i="7"/>
  <c r="D72" i="7" s="1"/>
  <c r="BL71" i="7"/>
  <c r="D71" i="7" s="1"/>
  <c r="BL70" i="7"/>
  <c r="D70" i="7" s="1"/>
  <c r="BL69" i="7"/>
  <c r="D69" i="7" s="1"/>
  <c r="BL153" i="7"/>
  <c r="D153" i="7" s="1"/>
  <c r="BL151" i="7"/>
  <c r="D151" i="7" s="1"/>
  <c r="BL149" i="7"/>
  <c r="D149" i="7" s="1"/>
  <c r="BL147" i="7"/>
  <c r="D147" i="7" s="1"/>
  <c r="BL96" i="7"/>
  <c r="D96" i="7" s="1"/>
  <c r="BL92" i="7"/>
  <c r="D92" i="7" s="1"/>
  <c r="BL89" i="7"/>
  <c r="D89" i="7" s="1"/>
  <c r="BL79" i="7"/>
  <c r="D79" i="7" s="1"/>
  <c r="BL161" i="7"/>
  <c r="D161" i="7" s="1"/>
  <c r="BL95" i="7"/>
  <c r="D95" i="7" s="1"/>
  <c r="BL80" i="7"/>
  <c r="D80" i="7" s="1"/>
  <c r="BL67" i="7"/>
  <c r="D67" i="7" s="1"/>
  <c r="BL65" i="7"/>
  <c r="D65" i="7" s="1"/>
  <c r="BL51" i="7"/>
  <c r="D51" i="7" s="1"/>
  <c r="BL50" i="7"/>
  <c r="D50" i="7" s="1"/>
  <c r="BL49" i="7"/>
  <c r="D49" i="7" s="1"/>
  <c r="BL94" i="7"/>
  <c r="D94" i="7" s="1"/>
  <c r="BL90" i="7"/>
  <c r="D90" i="7" s="1"/>
  <c r="BL86" i="7"/>
  <c r="D86" i="7" s="1"/>
  <c r="BL81" i="7"/>
  <c r="D81" i="7" s="1"/>
  <c r="BL18" i="7"/>
  <c r="D18" i="7" s="1"/>
  <c r="BL126" i="7"/>
  <c r="D126" i="7" s="1"/>
  <c r="BL66" i="7"/>
  <c r="D66" i="7" s="1"/>
  <c r="BL154" i="7"/>
  <c r="D154" i="7" s="1"/>
  <c r="BL152" i="7"/>
  <c r="D152" i="7" s="1"/>
  <c r="BL150" i="7"/>
  <c r="D150" i="7" s="1"/>
  <c r="BL148" i="7"/>
  <c r="D148" i="7" s="1"/>
  <c r="BL68" i="7"/>
  <c r="D68" i="7" s="1"/>
  <c r="BL15" i="7"/>
  <c r="D15" i="7" s="1"/>
  <c r="BL16" i="7"/>
  <c r="D16" i="7" s="1"/>
  <c r="BL91" i="7"/>
  <c r="D91" i="7" s="1"/>
  <c r="BL17" i="7"/>
  <c r="D17" i="7" s="1"/>
  <c r="BD370" i="7"/>
  <c r="BD372" i="7"/>
  <c r="BM321" i="7"/>
  <c r="L321" i="7" s="1"/>
  <c r="BM320" i="7"/>
  <c r="L320" i="7" s="1"/>
  <c r="BM319" i="7"/>
  <c r="L319" i="7" s="1"/>
  <c r="BM318" i="7"/>
  <c r="L318" i="7" s="1"/>
  <c r="BM317" i="7"/>
  <c r="L317" i="7" s="1"/>
  <c r="BM277" i="7"/>
  <c r="L277" i="7" s="1"/>
  <c r="BM279" i="7"/>
  <c r="L279" i="7" s="1"/>
  <c r="BM274" i="7"/>
  <c r="L274" i="7" s="1"/>
  <c r="BM273" i="7"/>
  <c r="L273" i="7" s="1"/>
  <c r="BM272" i="7"/>
  <c r="L272" i="7" s="1"/>
  <c r="BM271" i="7"/>
  <c r="L271" i="7" s="1"/>
  <c r="BM269" i="7"/>
  <c r="L269" i="7" s="1"/>
  <c r="BM276" i="7"/>
  <c r="L276" i="7" s="1"/>
  <c r="BM251" i="7"/>
  <c r="L251" i="7" s="1"/>
  <c r="BM253" i="7"/>
  <c r="L253" i="7" s="1"/>
  <c r="BM252" i="7"/>
  <c r="L252" i="7" s="1"/>
  <c r="BM200" i="7"/>
  <c r="L200" i="7" s="1"/>
  <c r="BM198" i="7"/>
  <c r="L198" i="7" s="1"/>
  <c r="BM197" i="7"/>
  <c r="L197" i="7" s="1"/>
  <c r="BM210" i="7"/>
  <c r="L210" i="7" s="1"/>
  <c r="BM209" i="7"/>
  <c r="L209" i="7" s="1"/>
  <c r="BM208" i="7"/>
  <c r="L208" i="7" s="1"/>
  <c r="BM206" i="7"/>
  <c r="L206" i="7" s="1"/>
  <c r="BM205" i="7"/>
  <c r="L205" i="7" s="1"/>
  <c r="BM204" i="7"/>
  <c r="L204" i="7" s="1"/>
  <c r="BM203" i="7"/>
  <c r="L203" i="7" s="1"/>
  <c r="BM202" i="7"/>
  <c r="L202" i="7" s="1"/>
  <c r="BM275" i="7"/>
  <c r="L275" i="7" s="1"/>
  <c r="BM211" i="7"/>
  <c r="L211" i="7" s="1"/>
  <c r="BM187" i="7"/>
  <c r="L187" i="7" s="1"/>
  <c r="BM214" i="7"/>
  <c r="L214" i="7" s="1"/>
  <c r="BM158" i="7"/>
  <c r="L158" i="7" s="1"/>
  <c r="BM157" i="7"/>
  <c r="L157" i="7" s="1"/>
  <c r="BM156" i="7"/>
  <c r="L156" i="7" s="1"/>
  <c r="BM215" i="7"/>
  <c r="L215" i="7" s="1"/>
  <c r="BM188" i="7"/>
  <c r="L188" i="7" s="1"/>
  <c r="BM159" i="7"/>
  <c r="L159" i="7" s="1"/>
  <c r="BM145" i="7"/>
  <c r="L145" i="7" s="1"/>
  <c r="BM135" i="7"/>
  <c r="L135" i="7" s="1"/>
  <c r="BM96" i="7"/>
  <c r="L96" i="7" s="1"/>
  <c r="BM95" i="7"/>
  <c r="L95" i="7" s="1"/>
  <c r="BM94" i="7"/>
  <c r="L94" i="7" s="1"/>
  <c r="BM93" i="7"/>
  <c r="L93" i="7" s="1"/>
  <c r="BM92" i="7"/>
  <c r="L92" i="7" s="1"/>
  <c r="BM216" i="7"/>
  <c r="L216" i="7" s="1"/>
  <c r="BM212" i="7"/>
  <c r="L212" i="7" s="1"/>
  <c r="BM161" i="7"/>
  <c r="L161" i="7" s="1"/>
  <c r="BM160" i="7"/>
  <c r="L160" i="7" s="1"/>
  <c r="BM154" i="7"/>
  <c r="L154" i="7" s="1"/>
  <c r="BM153" i="7"/>
  <c r="L153" i="7" s="1"/>
  <c r="BM152" i="7"/>
  <c r="L152" i="7" s="1"/>
  <c r="BM151" i="7"/>
  <c r="L151" i="7" s="1"/>
  <c r="BM150" i="7"/>
  <c r="L150" i="7" s="1"/>
  <c r="BM149" i="7"/>
  <c r="L149" i="7" s="1"/>
  <c r="BM148" i="7"/>
  <c r="L148" i="7" s="1"/>
  <c r="BM147" i="7"/>
  <c r="L147" i="7" s="1"/>
  <c r="BM126" i="7"/>
  <c r="L126" i="7" s="1"/>
  <c r="BM89" i="7"/>
  <c r="L89" i="7" s="1"/>
  <c r="BM79" i="7"/>
  <c r="L79" i="7" s="1"/>
  <c r="BM18" i="7"/>
  <c r="L18" i="7" s="1"/>
  <c r="BM155" i="7"/>
  <c r="L155" i="7" s="1"/>
  <c r="BM80" i="7"/>
  <c r="L80" i="7" s="1"/>
  <c r="BM67" i="7"/>
  <c r="L67" i="7" s="1"/>
  <c r="BM65" i="7"/>
  <c r="L65" i="7" s="1"/>
  <c r="BM51" i="7"/>
  <c r="L51" i="7" s="1"/>
  <c r="BM50" i="7"/>
  <c r="L50" i="7" s="1"/>
  <c r="BM49" i="7"/>
  <c r="L49" i="7" s="1"/>
  <c r="BM213" i="7"/>
  <c r="L213" i="7" s="1"/>
  <c r="BM127" i="7"/>
  <c r="L127" i="7" s="1"/>
  <c r="BM91" i="7"/>
  <c r="L91" i="7" s="1"/>
  <c r="BM90" i="7"/>
  <c r="L90" i="7" s="1"/>
  <c r="BM86" i="7"/>
  <c r="L86" i="7" s="1"/>
  <c r="BM81" i="7"/>
  <c r="L81" i="7" s="1"/>
  <c r="BM68" i="7"/>
  <c r="L68" i="7" s="1"/>
  <c r="BM66" i="7"/>
  <c r="L66" i="7" s="1"/>
  <c r="BM78" i="7"/>
  <c r="L78" i="7" s="1"/>
  <c r="BM74" i="7"/>
  <c r="L74" i="7" s="1"/>
  <c r="BM70" i="7"/>
  <c r="L70" i="7" s="1"/>
  <c r="BM15" i="7"/>
  <c r="L15" i="7" s="1"/>
  <c r="BM71" i="7"/>
  <c r="L71" i="7" s="1"/>
  <c r="BM16" i="7"/>
  <c r="L16" i="7" s="1"/>
  <c r="BM73" i="7"/>
  <c r="L73" i="7" s="1"/>
  <c r="BM87" i="7"/>
  <c r="L87" i="7" s="1"/>
  <c r="BM82" i="7"/>
  <c r="L82" i="7" s="1"/>
  <c r="BM72" i="7"/>
  <c r="L72" i="7" s="1"/>
  <c r="BM17" i="7"/>
  <c r="L17" i="7" s="1"/>
  <c r="BM88" i="7"/>
  <c r="L88" i="7" s="1"/>
  <c r="BM69" i="7"/>
  <c r="L69" i="7" s="1"/>
  <c r="BO321" i="7"/>
  <c r="AH321" i="7" s="1"/>
  <c r="BO320" i="7"/>
  <c r="AH320" i="7" s="1"/>
  <c r="BO319" i="7"/>
  <c r="AH319" i="7" s="1"/>
  <c r="BO318" i="7"/>
  <c r="AH318" i="7" s="1"/>
  <c r="BO317" i="7"/>
  <c r="AH317" i="7" s="1"/>
  <c r="BO279" i="7"/>
  <c r="AH279" i="7" s="1"/>
  <c r="BO274" i="7"/>
  <c r="AH274" i="7" s="1"/>
  <c r="BO273" i="7"/>
  <c r="AH273" i="7" s="1"/>
  <c r="BO272" i="7"/>
  <c r="AH272" i="7" s="1"/>
  <c r="BO271" i="7"/>
  <c r="AH271" i="7" s="1"/>
  <c r="BO269" i="7"/>
  <c r="AH269" i="7" s="1"/>
  <c r="BO276" i="7"/>
  <c r="AH276" i="7" s="1"/>
  <c r="BO275" i="7"/>
  <c r="AH275" i="7" s="1"/>
  <c r="BO277" i="7"/>
  <c r="AH277" i="7" s="1"/>
  <c r="BO253" i="7"/>
  <c r="AH253" i="7" s="1"/>
  <c r="BO252" i="7"/>
  <c r="AH252" i="7" s="1"/>
  <c r="BO211" i="7"/>
  <c r="AH211" i="7" s="1"/>
  <c r="BO187" i="7"/>
  <c r="AH187" i="7" s="1"/>
  <c r="BO216" i="7"/>
  <c r="AH216" i="7" s="1"/>
  <c r="BO215" i="7"/>
  <c r="AH215" i="7" s="1"/>
  <c r="BO214" i="7"/>
  <c r="AH214" i="7" s="1"/>
  <c r="BO213" i="7"/>
  <c r="AH213" i="7" s="1"/>
  <c r="BO212" i="7"/>
  <c r="AH212" i="7" s="1"/>
  <c r="BO188" i="7"/>
  <c r="AH188" i="7" s="1"/>
  <c r="BO200" i="7"/>
  <c r="AH200" i="7" s="1"/>
  <c r="BO198" i="7"/>
  <c r="AH198" i="7" s="1"/>
  <c r="BO197" i="7"/>
  <c r="AH197" i="7" s="1"/>
  <c r="BO251" i="7"/>
  <c r="AH251" i="7" s="1"/>
  <c r="BO203" i="7"/>
  <c r="AH203" i="7" s="1"/>
  <c r="BO161" i="7"/>
  <c r="AH161" i="7" s="1"/>
  <c r="BO160" i="7"/>
  <c r="AH160" i="7" s="1"/>
  <c r="BO154" i="7"/>
  <c r="AH154" i="7" s="1"/>
  <c r="BO153" i="7"/>
  <c r="AH153" i="7" s="1"/>
  <c r="BO152" i="7"/>
  <c r="AH152" i="7" s="1"/>
  <c r="BO151" i="7"/>
  <c r="AH151" i="7" s="1"/>
  <c r="BO150" i="7"/>
  <c r="AH150" i="7" s="1"/>
  <c r="BO149" i="7"/>
  <c r="AH149" i="7" s="1"/>
  <c r="BO148" i="7"/>
  <c r="AH148" i="7" s="1"/>
  <c r="BO147" i="7"/>
  <c r="AH147" i="7" s="1"/>
  <c r="BO126" i="7"/>
  <c r="AH126" i="7" s="1"/>
  <c r="BO208" i="7"/>
  <c r="AH208" i="7" s="1"/>
  <c r="BO204" i="7"/>
  <c r="AH204" i="7" s="1"/>
  <c r="BO155" i="7"/>
  <c r="AH155" i="7" s="1"/>
  <c r="BO127" i="7"/>
  <c r="AH127" i="7" s="1"/>
  <c r="BO209" i="7"/>
  <c r="AH209" i="7" s="1"/>
  <c r="BO205" i="7"/>
  <c r="AH205" i="7" s="1"/>
  <c r="BO158" i="7"/>
  <c r="AH158" i="7" s="1"/>
  <c r="BO157" i="7"/>
  <c r="AH157" i="7" s="1"/>
  <c r="BO156" i="7"/>
  <c r="AH156" i="7" s="1"/>
  <c r="BO96" i="7"/>
  <c r="AH96" i="7" s="1"/>
  <c r="BO92" i="7"/>
  <c r="AH92" i="7" s="1"/>
  <c r="BO86" i="7"/>
  <c r="AH86" i="7" s="1"/>
  <c r="BO81" i="7"/>
  <c r="AH81" i="7" s="1"/>
  <c r="BO68" i="7"/>
  <c r="AH68" i="7" s="1"/>
  <c r="BO66" i="7"/>
  <c r="AH66" i="7" s="1"/>
  <c r="BO95" i="7"/>
  <c r="AH95" i="7" s="1"/>
  <c r="BO91" i="7"/>
  <c r="AH91" i="7" s="1"/>
  <c r="BO90" i="7"/>
  <c r="AH90" i="7" s="1"/>
  <c r="BO88" i="7"/>
  <c r="AH88" i="7" s="1"/>
  <c r="BO87" i="7"/>
  <c r="AH87" i="7" s="1"/>
  <c r="BO82" i="7"/>
  <c r="AH82" i="7" s="1"/>
  <c r="BO78" i="7"/>
  <c r="AH78" i="7" s="1"/>
  <c r="BO74" i="7"/>
  <c r="AH74" i="7" s="1"/>
  <c r="BO73" i="7"/>
  <c r="AH73" i="7" s="1"/>
  <c r="BO72" i="7"/>
  <c r="AH72" i="7" s="1"/>
  <c r="BO71" i="7"/>
  <c r="AH71" i="7" s="1"/>
  <c r="BO70" i="7"/>
  <c r="AH70" i="7" s="1"/>
  <c r="BO69" i="7"/>
  <c r="AH69" i="7" s="1"/>
  <c r="BO202" i="7"/>
  <c r="AH202" i="7" s="1"/>
  <c r="BO135" i="7"/>
  <c r="AH135" i="7" s="1"/>
  <c r="BO94" i="7"/>
  <c r="AH94" i="7" s="1"/>
  <c r="BO89" i="7"/>
  <c r="AH89" i="7" s="1"/>
  <c r="BO79" i="7"/>
  <c r="AH79" i="7" s="1"/>
  <c r="BO210" i="7"/>
  <c r="AH210" i="7" s="1"/>
  <c r="BO145" i="7"/>
  <c r="AH145" i="7" s="1"/>
  <c r="BO67" i="7"/>
  <c r="AH67" i="7" s="1"/>
  <c r="BO50" i="7"/>
  <c r="AH50" i="7" s="1"/>
  <c r="BO17" i="7"/>
  <c r="AH17" i="7" s="1"/>
  <c r="BO93" i="7"/>
  <c r="AH93" i="7" s="1"/>
  <c r="BO49" i="7"/>
  <c r="AH49" i="7" s="1"/>
  <c r="BO159" i="7"/>
  <c r="AH159" i="7" s="1"/>
  <c r="BO51" i="7"/>
  <c r="AH51" i="7" s="1"/>
  <c r="BO206" i="7"/>
  <c r="AH206" i="7" s="1"/>
  <c r="BO16" i="7"/>
  <c r="AH16" i="7" s="1"/>
  <c r="BO80" i="7"/>
  <c r="AH80" i="7" s="1"/>
  <c r="BO65" i="7"/>
  <c r="AH65" i="7" s="1"/>
  <c r="BO18" i="7"/>
  <c r="AH18" i="7" s="1"/>
  <c r="BO15" i="7"/>
  <c r="AH15" i="7" s="1"/>
  <c r="BA374" i="7"/>
  <c r="BA375" i="7" s="1"/>
  <c r="BA370" i="7"/>
  <c r="BA372" i="7"/>
  <c r="AI51" i="7" l="1"/>
  <c r="AM51" i="7"/>
  <c r="AM17" i="7"/>
  <c r="AI17" i="7"/>
  <c r="AM210" i="7"/>
  <c r="AI210" i="7"/>
  <c r="AM135" i="7"/>
  <c r="AI135" i="7"/>
  <c r="AI71" i="7"/>
  <c r="AM71" i="7"/>
  <c r="AI78" i="7"/>
  <c r="AM78" i="7"/>
  <c r="AM90" i="7"/>
  <c r="AI90" i="7"/>
  <c r="AI68" i="7"/>
  <c r="AM68" i="7"/>
  <c r="AI96" i="7"/>
  <c r="AM96" i="7"/>
  <c r="AM205" i="7"/>
  <c r="AI205" i="7"/>
  <c r="AM204" i="7"/>
  <c r="AI204" i="7"/>
  <c r="AM148" i="7"/>
  <c r="AI148" i="7"/>
  <c r="AM152" i="7"/>
  <c r="AI152" i="7"/>
  <c r="AM161" i="7"/>
  <c r="AI161" i="7"/>
  <c r="AM198" i="7"/>
  <c r="AI198" i="7"/>
  <c r="AM213" i="7"/>
  <c r="AI213" i="7"/>
  <c r="AM187" i="7"/>
  <c r="AI187" i="7"/>
  <c r="AI277" i="7"/>
  <c r="AM277" i="7"/>
  <c r="AM271" i="7"/>
  <c r="AI271" i="7"/>
  <c r="AI279" i="7"/>
  <c r="AM279" i="7"/>
  <c r="AI320" i="7"/>
  <c r="AM320" i="7"/>
  <c r="AM65" i="7"/>
  <c r="AI65" i="7"/>
  <c r="AI80" i="7"/>
  <c r="AM80" i="7"/>
  <c r="AM159" i="7"/>
  <c r="AI159" i="7"/>
  <c r="AM50" i="7"/>
  <c r="AI50" i="7"/>
  <c r="AI79" i="7"/>
  <c r="AM79" i="7"/>
  <c r="AM202" i="7"/>
  <c r="AI202" i="7"/>
  <c r="AI72" i="7"/>
  <c r="AM72" i="7"/>
  <c r="AM82" i="7"/>
  <c r="AI82" i="7"/>
  <c r="AM91" i="7"/>
  <c r="AI91" i="7"/>
  <c r="AI81" i="7"/>
  <c r="AM81" i="7"/>
  <c r="AM156" i="7"/>
  <c r="AI156" i="7"/>
  <c r="AM209" i="7"/>
  <c r="AI209" i="7"/>
  <c r="AM208" i="7"/>
  <c r="AI208" i="7"/>
  <c r="AM149" i="7"/>
  <c r="AI149" i="7"/>
  <c r="AM153" i="7"/>
  <c r="AI153" i="7"/>
  <c r="AM203" i="7"/>
  <c r="AI203" i="7"/>
  <c r="AM200" i="7"/>
  <c r="AI200" i="7"/>
  <c r="AM214" i="7"/>
  <c r="AI214" i="7"/>
  <c r="AM211" i="7"/>
  <c r="AI211" i="7"/>
  <c r="AI275" i="7"/>
  <c r="AM275" i="7"/>
  <c r="AM272" i="7"/>
  <c r="AI272" i="7"/>
  <c r="AI317" i="7"/>
  <c r="AM317" i="7"/>
  <c r="AM321" i="7"/>
  <c r="AI321" i="7"/>
  <c r="AM15" i="7"/>
  <c r="AH368" i="7"/>
  <c r="AH376" i="7"/>
  <c r="AH379" i="7" s="1"/>
  <c r="AI15" i="7"/>
  <c r="AM16" i="7"/>
  <c r="AI16" i="7"/>
  <c r="AM49" i="7"/>
  <c r="AI49" i="7"/>
  <c r="AI67" i="7"/>
  <c r="AM67" i="7"/>
  <c r="AI89" i="7"/>
  <c r="AM89" i="7"/>
  <c r="AI69" i="7"/>
  <c r="AM69" i="7"/>
  <c r="AI73" i="7"/>
  <c r="AM73" i="7"/>
  <c r="AM87" i="7"/>
  <c r="AI87" i="7"/>
  <c r="AM95" i="7"/>
  <c r="AI95" i="7"/>
  <c r="AM86" i="7"/>
  <c r="AI86" i="7"/>
  <c r="AM157" i="7"/>
  <c r="AI157" i="7"/>
  <c r="AI127" i="7"/>
  <c r="AM127" i="7"/>
  <c r="AM126" i="7"/>
  <c r="AI126" i="7"/>
  <c r="AM150" i="7"/>
  <c r="AI150" i="7"/>
  <c r="AM154" i="7"/>
  <c r="AI154" i="7"/>
  <c r="AM251" i="7"/>
  <c r="AI251" i="7"/>
  <c r="AM188" i="7"/>
  <c r="AI188" i="7"/>
  <c r="AM215" i="7"/>
  <c r="AI215" i="7"/>
  <c r="AI252" i="7"/>
  <c r="AM252" i="7"/>
  <c r="AM276" i="7"/>
  <c r="AI276" i="7"/>
  <c r="AI273" i="7"/>
  <c r="AM273" i="7"/>
  <c r="AI318" i="7"/>
  <c r="AM318" i="7"/>
  <c r="AI366" i="7"/>
  <c r="AI355" i="7"/>
  <c r="AI343" i="7"/>
  <c r="AI334" i="7"/>
  <c r="AI313" i="7"/>
  <c r="AI310" i="7"/>
  <c r="AI267" i="7"/>
  <c r="AI255" i="7"/>
  <c r="AI243" i="7"/>
  <c r="AI236" i="7"/>
  <c r="AI235" i="7"/>
  <c r="AI118" i="7"/>
  <c r="AI108" i="7"/>
  <c r="AI104" i="7"/>
  <c r="AI100" i="7"/>
  <c r="AI84" i="7"/>
  <c r="AI77" i="7"/>
  <c r="AI75" i="7"/>
  <c r="AI61" i="7"/>
  <c r="AI57" i="7"/>
  <c r="AI367" i="7"/>
  <c r="AI363" i="7"/>
  <c r="AI357" i="7"/>
  <c r="AI351" i="7"/>
  <c r="AI337" i="7"/>
  <c r="AI335" i="7"/>
  <c r="AI314" i="7"/>
  <c r="AI305" i="7"/>
  <c r="AI303" i="7"/>
  <c r="AI301" i="7"/>
  <c r="AI299" i="7"/>
  <c r="AI263" i="7"/>
  <c r="AI260" i="7"/>
  <c r="AI246" i="7"/>
  <c r="AI240" i="7"/>
  <c r="AI232" i="7"/>
  <c r="AI130" i="7"/>
  <c r="AI114" i="7"/>
  <c r="AI109" i="7"/>
  <c r="AI105" i="7"/>
  <c r="AI101" i="7"/>
  <c r="AI97" i="7"/>
  <c r="AI85" i="7"/>
  <c r="AI62" i="7"/>
  <c r="AI58" i="7"/>
  <c r="AI364" i="7"/>
  <c r="AI362" i="7"/>
  <c r="AI342" i="7"/>
  <c r="AI339" i="7"/>
  <c r="AI332" i="7"/>
  <c r="AI268" i="7"/>
  <c r="AI237" i="7"/>
  <c r="AI233" i="7"/>
  <c r="AI110" i="7"/>
  <c r="AI106" i="7"/>
  <c r="AI102" i="7"/>
  <c r="AI98" i="7"/>
  <c r="AI76" i="7"/>
  <c r="AI63" i="7"/>
  <c r="AI59" i="7"/>
  <c r="AI365" i="7"/>
  <c r="AI358" i="7"/>
  <c r="AI350" i="7"/>
  <c r="AI347" i="7"/>
  <c r="AI333" i="7"/>
  <c r="AI309" i="7"/>
  <c r="AI306" i="7"/>
  <c r="AI304" i="7"/>
  <c r="AI302" i="7"/>
  <c r="AI300" i="7"/>
  <c r="AI259" i="7"/>
  <c r="AI242" i="7"/>
  <c r="AI241" i="7"/>
  <c r="AI234" i="7"/>
  <c r="AI122" i="7"/>
  <c r="AI107" i="7"/>
  <c r="AI103" i="7"/>
  <c r="AI99" i="7"/>
  <c r="AI83" i="7"/>
  <c r="AI64" i="7"/>
  <c r="AI60" i="7"/>
  <c r="AI56" i="7"/>
  <c r="AI55" i="7"/>
  <c r="AI47" i="7"/>
  <c r="AI52" i="7"/>
  <c r="AI48" i="7"/>
  <c r="AI54" i="7"/>
  <c r="AI53" i="7"/>
  <c r="AI46" i="7"/>
  <c r="AI116" i="7"/>
  <c r="AI131" i="7"/>
  <c r="AI185" i="7"/>
  <c r="AI238" i="7"/>
  <c r="AI281" i="7"/>
  <c r="AI134" i="7"/>
  <c r="AI136" i="7"/>
  <c r="AI139" i="7"/>
  <c r="AI142" i="7"/>
  <c r="AI144" i="7"/>
  <c r="AI163" i="7"/>
  <c r="AI166" i="7"/>
  <c r="AI168" i="7"/>
  <c r="AI171" i="7"/>
  <c r="AI289" i="7"/>
  <c r="AI9" i="7"/>
  <c r="AI12" i="7"/>
  <c r="AI22" i="7"/>
  <c r="AI26" i="7"/>
  <c r="AI30" i="7"/>
  <c r="AI34" i="7"/>
  <c r="AI38" i="7"/>
  <c r="AI42" i="7"/>
  <c r="AI117" i="7"/>
  <c r="AI129" i="7"/>
  <c r="AI184" i="7"/>
  <c r="AI190" i="7"/>
  <c r="AI119" i="7"/>
  <c r="AI112" i="7"/>
  <c r="AI120" i="7"/>
  <c r="AI124" i="7"/>
  <c r="AI123" i="7"/>
  <c r="AI174" i="7"/>
  <c r="AI297" i="7"/>
  <c r="AI283" i="7"/>
  <c r="AI239" i="7"/>
  <c r="AI132" i="7"/>
  <c r="AI143" i="7"/>
  <c r="AI164" i="7"/>
  <c r="AI182" i="7"/>
  <c r="AI264" i="7"/>
  <c r="AI311" i="7"/>
  <c r="AI261" i="7"/>
  <c r="AI10" i="7"/>
  <c r="AI19" i="7"/>
  <c r="AI24" i="7"/>
  <c r="AI29" i="7"/>
  <c r="AI35" i="7"/>
  <c r="AI40" i="7"/>
  <c r="AI45" i="7"/>
  <c r="AI113" i="7"/>
  <c r="AI293" i="7"/>
  <c r="AI176" i="7"/>
  <c r="AI192" i="7"/>
  <c r="AI196" i="7"/>
  <c r="AI128" i="7"/>
  <c r="AI291" i="7"/>
  <c r="AI178" i="7"/>
  <c r="AI133" i="7"/>
  <c r="AI137" i="7"/>
  <c r="AI140" i="7"/>
  <c r="AI162" i="7"/>
  <c r="AI165" i="7"/>
  <c r="AI169" i="7"/>
  <c r="AI172" i="7"/>
  <c r="AI247" i="7"/>
  <c r="AI295" i="7"/>
  <c r="AI248" i="7"/>
  <c r="AI11" i="7"/>
  <c r="AI20" i="7"/>
  <c r="AI25" i="7"/>
  <c r="AI31" i="7"/>
  <c r="AI36" i="7"/>
  <c r="AI41" i="7"/>
  <c r="AI326" i="7"/>
  <c r="AI180" i="7"/>
  <c r="AI189" i="7"/>
  <c r="AI193" i="7"/>
  <c r="AI207" i="7"/>
  <c r="AI217" i="7"/>
  <c r="AI220" i="7"/>
  <c r="AI223" i="7"/>
  <c r="AI225" i="7"/>
  <c r="AI228" i="7"/>
  <c r="AI231" i="7"/>
  <c r="AI280" i="7"/>
  <c r="AI284" i="7"/>
  <c r="AI294" i="7"/>
  <c r="AI183" i="7"/>
  <c r="AI328" i="7"/>
  <c r="AI245" i="7"/>
  <c r="AI256" i="7"/>
  <c r="AI323" i="7"/>
  <c r="AI138" i="7"/>
  <c r="AI141" i="7"/>
  <c r="AI170" i="7"/>
  <c r="AI177" i="7"/>
  <c r="AI173" i="7"/>
  <c r="AI167" i="7"/>
  <c r="AI13" i="7"/>
  <c r="AI28" i="7"/>
  <c r="AI39" i="7"/>
  <c r="AI125" i="7"/>
  <c r="AI186" i="7"/>
  <c r="AI194" i="7"/>
  <c r="AI201" i="7"/>
  <c r="AI227" i="7"/>
  <c r="AI230" i="7"/>
  <c r="AI278" i="7"/>
  <c r="AI298" i="7"/>
  <c r="AI179" i="7"/>
  <c r="AI249" i="7"/>
  <c r="AI262" i="7"/>
  <c r="AI325" i="7"/>
  <c r="AI353" i="7"/>
  <c r="AI331" i="7"/>
  <c r="AI360" i="7"/>
  <c r="AI344" i="7"/>
  <c r="AI352" i="7"/>
  <c r="AI37" i="7"/>
  <c r="AI121" i="7"/>
  <c r="AI219" i="7"/>
  <c r="AI226" i="7"/>
  <c r="AI282" i="7"/>
  <c r="AI290" i="7"/>
  <c r="AI257" i="7"/>
  <c r="AI307" i="7"/>
  <c r="AI316" i="7"/>
  <c r="AI287" i="7"/>
  <c r="AI14" i="7"/>
  <c r="AI21" i="7"/>
  <c r="AI32" i="7"/>
  <c r="AI43" i="7"/>
  <c r="AI315" i="7"/>
  <c r="AI195" i="7"/>
  <c r="AI224" i="7"/>
  <c r="AI288" i="7"/>
  <c r="AI292" i="7"/>
  <c r="AI296" i="7"/>
  <c r="AI327" i="7"/>
  <c r="AI254" i="7"/>
  <c r="AI266" i="7"/>
  <c r="AI308" i="7"/>
  <c r="AI346" i="7"/>
  <c r="AI336" i="7"/>
  <c r="AI349" i="7"/>
  <c r="AI359" i="7"/>
  <c r="AI115" i="7"/>
  <c r="AI27" i="7"/>
  <c r="AI199" i="7"/>
  <c r="AI222" i="7"/>
  <c r="AI229" i="7"/>
  <c r="AI286" i="7"/>
  <c r="AI175" i="7"/>
  <c r="AI265" i="7"/>
  <c r="AI250" i="7"/>
  <c r="AI270" i="7"/>
  <c r="AI312" i="7"/>
  <c r="AI354" i="7"/>
  <c r="AI111" i="7"/>
  <c r="AI146" i="7"/>
  <c r="AI23" i="7"/>
  <c r="AI33" i="7"/>
  <c r="AI44" i="7"/>
  <c r="AI181" i="7"/>
  <c r="AI285" i="7"/>
  <c r="AI191" i="7"/>
  <c r="AI218" i="7"/>
  <c r="AI221" i="7"/>
  <c r="AI244" i="7"/>
  <c r="AI322" i="7"/>
  <c r="AI345" i="7"/>
  <c r="AI324" i="7"/>
  <c r="AI258" i="7"/>
  <c r="AI329" i="7"/>
  <c r="AI330" i="7"/>
  <c r="AI338" i="7"/>
  <c r="AI341" i="7"/>
  <c r="AI340" i="7"/>
  <c r="AI348" i="7"/>
  <c r="AI356" i="7"/>
  <c r="AI361" i="7"/>
  <c r="AM18" i="7"/>
  <c r="AI18" i="7"/>
  <c r="AM206" i="7"/>
  <c r="AI206" i="7"/>
  <c r="AI93" i="7"/>
  <c r="AM93" i="7"/>
  <c r="AM145" i="7"/>
  <c r="AI145" i="7"/>
  <c r="AM94" i="7"/>
  <c r="AI94" i="7"/>
  <c r="AI70" i="7"/>
  <c r="AM70" i="7"/>
  <c r="AI74" i="7"/>
  <c r="AM74" i="7"/>
  <c r="AI88" i="7"/>
  <c r="AM88" i="7"/>
  <c r="AI66" i="7"/>
  <c r="AM66" i="7"/>
  <c r="AI92" i="7"/>
  <c r="AM92" i="7"/>
  <c r="AM158" i="7"/>
  <c r="AI158" i="7"/>
  <c r="AM155" i="7"/>
  <c r="AI155" i="7"/>
  <c r="AM147" i="7"/>
  <c r="AI147" i="7"/>
  <c r="AM151" i="7"/>
  <c r="AI151" i="7"/>
  <c r="AM160" i="7"/>
  <c r="AI160" i="7"/>
  <c r="AM197" i="7"/>
  <c r="AI197" i="7"/>
  <c r="AM212" i="7"/>
  <c r="AI212" i="7"/>
  <c r="AM216" i="7"/>
  <c r="AI216" i="7"/>
  <c r="AI253" i="7"/>
  <c r="AM253" i="7"/>
  <c r="AI269" i="7"/>
  <c r="AM269" i="7"/>
  <c r="AI274" i="7"/>
  <c r="AM274" i="7"/>
  <c r="AI319" i="7"/>
  <c r="AM319" i="7"/>
  <c r="AA357" i="7"/>
  <c r="AA356" i="7"/>
  <c r="AA350" i="7"/>
  <c r="AA344" i="7"/>
  <c r="AA339" i="7"/>
  <c r="AA338" i="7"/>
  <c r="AA335" i="7"/>
  <c r="AA328" i="7"/>
  <c r="AA324" i="7"/>
  <c r="AA316" i="7"/>
  <c r="AA310" i="7"/>
  <c r="AE310" i="7" s="1"/>
  <c r="AG310" i="7" s="1"/>
  <c r="AA305" i="7"/>
  <c r="AE305" i="7" s="1"/>
  <c r="AG305" i="7" s="1"/>
  <c r="AA301" i="7"/>
  <c r="AA267" i="7"/>
  <c r="AE267" i="7" s="1"/>
  <c r="AG267" i="7" s="1"/>
  <c r="AA266" i="7"/>
  <c r="AE266" i="7" s="1"/>
  <c r="AG266" i="7" s="1"/>
  <c r="AA265" i="7"/>
  <c r="AA264" i="7"/>
  <c r="AA255" i="7"/>
  <c r="AE255" i="7" s="1"/>
  <c r="AG255" i="7" s="1"/>
  <c r="AA254" i="7"/>
  <c r="AE254" i="7" s="1"/>
  <c r="AG254" i="7" s="1"/>
  <c r="AA246" i="7"/>
  <c r="AA362" i="7"/>
  <c r="AA361" i="7"/>
  <c r="AE361" i="7" s="1"/>
  <c r="AG361" i="7" s="1"/>
  <c r="AA355" i="7"/>
  <c r="AA354" i="7"/>
  <c r="AA349" i="7"/>
  <c r="AA348" i="7"/>
  <c r="AA343" i="7"/>
  <c r="AA337" i="7"/>
  <c r="AA336" i="7"/>
  <c r="AA329" i="7"/>
  <c r="AA325" i="7"/>
  <c r="AA314" i="7"/>
  <c r="AE314" i="7" s="1"/>
  <c r="AG314" i="7" s="1"/>
  <c r="AA304" i="7"/>
  <c r="AE304" i="7" s="1"/>
  <c r="AG304" i="7" s="1"/>
  <c r="AA300" i="7"/>
  <c r="AA263" i="7"/>
  <c r="AE263" i="7" s="1"/>
  <c r="AG263" i="7" s="1"/>
  <c r="AA262" i="7"/>
  <c r="AE262" i="7" s="1"/>
  <c r="AG262" i="7" s="1"/>
  <c r="AA261" i="7"/>
  <c r="AA242" i="7"/>
  <c r="AE242" i="7" s="1"/>
  <c r="AG242" i="7" s="1"/>
  <c r="AA241" i="7"/>
  <c r="AA231" i="7"/>
  <c r="AE231" i="7" s="1"/>
  <c r="AG231" i="7" s="1"/>
  <c r="AA230" i="7"/>
  <c r="AA229" i="7"/>
  <c r="AA228" i="7"/>
  <c r="AA227" i="7"/>
  <c r="AA226" i="7"/>
  <c r="AA225" i="7"/>
  <c r="AE225" i="7" s="1"/>
  <c r="AG225" i="7" s="1"/>
  <c r="AA224" i="7"/>
  <c r="AA223" i="7"/>
  <c r="AA222" i="7"/>
  <c r="AA221" i="7"/>
  <c r="AE221" i="7" s="1"/>
  <c r="AG221" i="7" s="1"/>
  <c r="AA220" i="7"/>
  <c r="AA219" i="7"/>
  <c r="AE219" i="7" s="1"/>
  <c r="AG219" i="7" s="1"/>
  <c r="AA218" i="7"/>
  <c r="AA217" i="7"/>
  <c r="AE217" i="7" s="1"/>
  <c r="AG217" i="7" s="1"/>
  <c r="AA207" i="7"/>
  <c r="AA201" i="7"/>
  <c r="AE201" i="7" s="1"/>
  <c r="AG201" i="7" s="1"/>
  <c r="AA199" i="7"/>
  <c r="AE199" i="7" s="1"/>
  <c r="AG199" i="7" s="1"/>
  <c r="AA196" i="7"/>
  <c r="AA195" i="7"/>
  <c r="AA194" i="7"/>
  <c r="AA193" i="7"/>
  <c r="AE193" i="7" s="1"/>
  <c r="AG193" i="7" s="1"/>
  <c r="AA192" i="7"/>
  <c r="AA191" i="7"/>
  <c r="AA190" i="7"/>
  <c r="AA189" i="7"/>
  <c r="AE189" i="7" s="1"/>
  <c r="AG189" i="7" s="1"/>
  <c r="AA184" i="7"/>
  <c r="AA183" i="7"/>
  <c r="AA360" i="7"/>
  <c r="AA359" i="7"/>
  <c r="AA353" i="7"/>
  <c r="AA352" i="7"/>
  <c r="AA347" i="7"/>
  <c r="AA346" i="7"/>
  <c r="AA342" i="7"/>
  <c r="AA330" i="7"/>
  <c r="AA326" i="7"/>
  <c r="AE326" i="7" s="1"/>
  <c r="AG326" i="7" s="1"/>
  <c r="AA322" i="7"/>
  <c r="AE322" i="7" s="1"/>
  <c r="AG322" i="7" s="1"/>
  <c r="AA309" i="7"/>
  <c r="AE309" i="7" s="1"/>
  <c r="AG309" i="7" s="1"/>
  <c r="AA308" i="7"/>
  <c r="AA307" i="7"/>
  <c r="AE307" i="7" s="1"/>
  <c r="AG307" i="7" s="1"/>
  <c r="AA303" i="7"/>
  <c r="AA299" i="7"/>
  <c r="AA270" i="7"/>
  <c r="AE270" i="7" s="1"/>
  <c r="AG270" i="7" s="1"/>
  <c r="AA260" i="7"/>
  <c r="AA250" i="7"/>
  <c r="AE250" i="7" s="1"/>
  <c r="AG250" i="7" s="1"/>
  <c r="AA247" i="7"/>
  <c r="AA240" i="7"/>
  <c r="AA239" i="7"/>
  <c r="AA237" i="7"/>
  <c r="AA178" i="7"/>
  <c r="AA175" i="7"/>
  <c r="AA358" i="7"/>
  <c r="AA351" i="7"/>
  <c r="AE351" i="7" s="1"/>
  <c r="AG351" i="7" s="1"/>
  <c r="AA345" i="7"/>
  <c r="AA341" i="7"/>
  <c r="AA340" i="7"/>
  <c r="AA327" i="7"/>
  <c r="AA323" i="7"/>
  <c r="AA315" i="7"/>
  <c r="AA313" i="7"/>
  <c r="AA312" i="7"/>
  <c r="AE312" i="7" s="1"/>
  <c r="AG312" i="7" s="1"/>
  <c r="AA311" i="7"/>
  <c r="AE311" i="7" s="1"/>
  <c r="AG311" i="7" s="1"/>
  <c r="AA306" i="7"/>
  <c r="AA302" i="7"/>
  <c r="AA298" i="7"/>
  <c r="AA268" i="7"/>
  <c r="AE268" i="7" s="1"/>
  <c r="AG268" i="7" s="1"/>
  <c r="AA259" i="7"/>
  <c r="AE259" i="7" s="1"/>
  <c r="AG259" i="7" s="1"/>
  <c r="AA258" i="7"/>
  <c r="AE258" i="7" s="1"/>
  <c r="AG258" i="7" s="1"/>
  <c r="AA257" i="7"/>
  <c r="AA256" i="7"/>
  <c r="AE256" i="7" s="1"/>
  <c r="AG256" i="7" s="1"/>
  <c r="AA238" i="7"/>
  <c r="AA236" i="7"/>
  <c r="AA180" i="7"/>
  <c r="AA179" i="7"/>
  <c r="AA172" i="7"/>
  <c r="AE172" i="7" s="1"/>
  <c r="AG172" i="7" s="1"/>
  <c r="AA171" i="7"/>
  <c r="AA170" i="7"/>
  <c r="AA169" i="7"/>
  <c r="AA131" i="7"/>
  <c r="AE131" i="7" s="1"/>
  <c r="AG131" i="7" s="1"/>
  <c r="AA118" i="7"/>
  <c r="AA117" i="7"/>
  <c r="AA116" i="7"/>
  <c r="AE116" i="7" s="1"/>
  <c r="AG116" i="7" s="1"/>
  <c r="AA115" i="7"/>
  <c r="AA77" i="7"/>
  <c r="AA123" i="7"/>
  <c r="AE123" i="7" s="1"/>
  <c r="AG123" i="7" s="1"/>
  <c r="AA75" i="7"/>
  <c r="AA165" i="7"/>
  <c r="AA144" i="7"/>
  <c r="AE144" i="7" s="1"/>
  <c r="AG144" i="7" s="1"/>
  <c r="AA142" i="7"/>
  <c r="AE142" i="7" s="1"/>
  <c r="AG142" i="7" s="1"/>
  <c r="AA140" i="7"/>
  <c r="AA138" i="7"/>
  <c r="AE138" i="7" s="1"/>
  <c r="AG138" i="7" s="1"/>
  <c r="AA132" i="7"/>
  <c r="AA121" i="7"/>
  <c r="AA174" i="7"/>
  <c r="AE174" i="7" s="1"/>
  <c r="AG174" i="7" s="1"/>
  <c r="AA130" i="7"/>
  <c r="AA129" i="7"/>
  <c r="AA128" i="7"/>
  <c r="AE128" i="7" s="1"/>
  <c r="AG128" i="7" s="1"/>
  <c r="AA114" i="7"/>
  <c r="AE114" i="7" s="1"/>
  <c r="AG114" i="7" s="1"/>
  <c r="AA113" i="7"/>
  <c r="AA112" i="7"/>
  <c r="AE112" i="7" s="1"/>
  <c r="AG112" i="7" s="1"/>
  <c r="AA111" i="7"/>
  <c r="AA76" i="7"/>
  <c r="AA176" i="7"/>
  <c r="AE176" i="7" s="1"/>
  <c r="AG176" i="7" s="1"/>
  <c r="AA125" i="7"/>
  <c r="AA124" i="7"/>
  <c r="AE124" i="7" s="1"/>
  <c r="AG124" i="7" s="1"/>
  <c r="AA110" i="7"/>
  <c r="AA168" i="7"/>
  <c r="AE168" i="7" s="1"/>
  <c r="AG168" i="7" s="1"/>
  <c r="AA167" i="7"/>
  <c r="AA166" i="7"/>
  <c r="AA164" i="7"/>
  <c r="AE164" i="7" s="1"/>
  <c r="AG164" i="7" s="1"/>
  <c r="AA163" i="7"/>
  <c r="AA162" i="7"/>
  <c r="AA146" i="7"/>
  <c r="AA143" i="7"/>
  <c r="AA141" i="7"/>
  <c r="AA139" i="7"/>
  <c r="AA137" i="7"/>
  <c r="AA136" i="7"/>
  <c r="AA134" i="7"/>
  <c r="AE134" i="7" s="1"/>
  <c r="AG134" i="7" s="1"/>
  <c r="AA133" i="7"/>
  <c r="AA122" i="7"/>
  <c r="AE122" i="7" s="1"/>
  <c r="AG122" i="7" s="1"/>
  <c r="AA120" i="7"/>
  <c r="AE120" i="7" s="1"/>
  <c r="AG120" i="7" s="1"/>
  <c r="AA119" i="7"/>
  <c r="AE119" i="7" s="1"/>
  <c r="AG119" i="7" s="1"/>
  <c r="AA101" i="7"/>
  <c r="AA104" i="7"/>
  <c r="AA62" i="7"/>
  <c r="AA98" i="7"/>
  <c r="AA57" i="7"/>
  <c r="AA56" i="7"/>
  <c r="AA58" i="7"/>
  <c r="AA12" i="7"/>
  <c r="AA14" i="7"/>
  <c r="AE14" i="7" s="1"/>
  <c r="AG14" i="7" s="1"/>
  <c r="AA19" i="7"/>
  <c r="AA21" i="7"/>
  <c r="AE21" i="7" s="1"/>
  <c r="AG21" i="7" s="1"/>
  <c r="AA23" i="7"/>
  <c r="AA25" i="7"/>
  <c r="AE25" i="7" s="1"/>
  <c r="AG25" i="7" s="1"/>
  <c r="AA27" i="7"/>
  <c r="AA29" i="7"/>
  <c r="AE29" i="7" s="1"/>
  <c r="AG29" i="7" s="1"/>
  <c r="AA31" i="7"/>
  <c r="AA33" i="7"/>
  <c r="AE33" i="7" s="1"/>
  <c r="AG33" i="7" s="1"/>
  <c r="AA35" i="7"/>
  <c r="AA37" i="7"/>
  <c r="AE37" i="7" s="1"/>
  <c r="AG37" i="7" s="1"/>
  <c r="AA39" i="7"/>
  <c r="AA41" i="7"/>
  <c r="AE41" i="7" s="1"/>
  <c r="AG41" i="7" s="1"/>
  <c r="AA43" i="7"/>
  <c r="AA45" i="7"/>
  <c r="AE45" i="7" s="1"/>
  <c r="AG45" i="7" s="1"/>
  <c r="AA296" i="7"/>
  <c r="AA244" i="7"/>
  <c r="AA294" i="7"/>
  <c r="AA245" i="7"/>
  <c r="AA331" i="7"/>
  <c r="AE331" i="7" s="1"/>
  <c r="AG331" i="7" s="1"/>
  <c r="AA333" i="7"/>
  <c r="AA248" i="7"/>
  <c r="AE248" i="7" s="1"/>
  <c r="AG248" i="7" s="1"/>
  <c r="AA107" i="7"/>
  <c r="AA63" i="7"/>
  <c r="AA54" i="7"/>
  <c r="AA102" i="7"/>
  <c r="AA48" i="7"/>
  <c r="AA61" i="7"/>
  <c r="AA97" i="7"/>
  <c r="AA106" i="7"/>
  <c r="AA334" i="7"/>
  <c r="AA234" i="7"/>
  <c r="AE234" i="7" s="1"/>
  <c r="AG234" i="7" s="1"/>
  <c r="AA9" i="7"/>
  <c r="AA13" i="7"/>
  <c r="AA22" i="7"/>
  <c r="AE22" i="7" s="1"/>
  <c r="AG22" i="7" s="1"/>
  <c r="AA26" i="7"/>
  <c r="AE26" i="7" s="1"/>
  <c r="AG26" i="7" s="1"/>
  <c r="AA30" i="7"/>
  <c r="AE30" i="7" s="1"/>
  <c r="AG30" i="7" s="1"/>
  <c r="AA34" i="7"/>
  <c r="AE34" i="7" s="1"/>
  <c r="AG34" i="7" s="1"/>
  <c r="AA38" i="7"/>
  <c r="AE38" i="7" s="1"/>
  <c r="AG38" i="7" s="1"/>
  <c r="AA42" i="7"/>
  <c r="AE42" i="7" s="1"/>
  <c r="AG42" i="7" s="1"/>
  <c r="AA52" i="7"/>
  <c r="AA53" i="7"/>
  <c r="AA108" i="7"/>
  <c r="AA60" i="7"/>
  <c r="AA99" i="7"/>
  <c r="AA105" i="7"/>
  <c r="AA84" i="7"/>
  <c r="AA103" i="7"/>
  <c r="AA364" i="7"/>
  <c r="AA284" i="7"/>
  <c r="AA181" i="7"/>
  <c r="AA185" i="7"/>
  <c r="AA282" i="7"/>
  <c r="AE282" i="7" s="1"/>
  <c r="AG282" i="7" s="1"/>
  <c r="AA290" i="7"/>
  <c r="AE290" i="7" s="1"/>
  <c r="AG290" i="7" s="1"/>
  <c r="AA332" i="7"/>
  <c r="AE332" i="7" s="1"/>
  <c r="AG332" i="7" s="1"/>
  <c r="AA233" i="7"/>
  <c r="AA281" i="7"/>
  <c r="AE281" i="7" s="1"/>
  <c r="AG281" i="7" s="1"/>
  <c r="AA285" i="7"/>
  <c r="AE285" i="7" s="1"/>
  <c r="AG285" i="7" s="1"/>
  <c r="AA289" i="7"/>
  <c r="AE289" i="7" s="1"/>
  <c r="AG289" i="7" s="1"/>
  <c r="AA293" i="7"/>
  <c r="AA297" i="7"/>
  <c r="AE297" i="7" s="1"/>
  <c r="AG297" i="7" s="1"/>
  <c r="AA367" i="7"/>
  <c r="AA85" i="7"/>
  <c r="AA11" i="7"/>
  <c r="AA20" i="7"/>
  <c r="AE20" i="7" s="1"/>
  <c r="AG20" i="7" s="1"/>
  <c r="AA24" i="7"/>
  <c r="AE24" i="7" s="1"/>
  <c r="AG24" i="7" s="1"/>
  <c r="AA28" i="7"/>
  <c r="AE28" i="7" s="1"/>
  <c r="AG28" i="7" s="1"/>
  <c r="AA32" i="7"/>
  <c r="AE32" i="7" s="1"/>
  <c r="AG32" i="7" s="1"/>
  <c r="AA36" i="7"/>
  <c r="AE36" i="7" s="1"/>
  <c r="AG36" i="7" s="1"/>
  <c r="AA40" i="7"/>
  <c r="AE40" i="7" s="1"/>
  <c r="AG40" i="7" s="1"/>
  <c r="AA44" i="7"/>
  <c r="AE44" i="7" s="1"/>
  <c r="AG44" i="7" s="1"/>
  <c r="AA182" i="7"/>
  <c r="AE182" i="7" s="1"/>
  <c r="AG182" i="7" s="1"/>
  <c r="AA243" i="7"/>
  <c r="AA59" i="7"/>
  <c r="AA64" i="7"/>
  <c r="AA186" i="7"/>
  <c r="AE186" i="7" s="1"/>
  <c r="AG186" i="7" s="1"/>
  <c r="AA286" i="7"/>
  <c r="AE286" i="7" s="1"/>
  <c r="AG286" i="7" s="1"/>
  <c r="AA295" i="7"/>
  <c r="AE295" i="7" s="1"/>
  <c r="AG295" i="7" s="1"/>
  <c r="AA109" i="7"/>
  <c r="AA46" i="7"/>
  <c r="AA83" i="7"/>
  <c r="AA100" i="7"/>
  <c r="AA177" i="7"/>
  <c r="AA280" i="7"/>
  <c r="AA291" i="7"/>
  <c r="AE291" i="7" s="1"/>
  <c r="AG291" i="7" s="1"/>
  <c r="AA47" i="7"/>
  <c r="AA235" i="7"/>
  <c r="AA10" i="7"/>
  <c r="AA292" i="7"/>
  <c r="AA288" i="7"/>
  <c r="AE288" i="7" s="1"/>
  <c r="AG288" i="7" s="1"/>
  <c r="AA173" i="7"/>
  <c r="AA287" i="7"/>
  <c r="AE287" i="7" s="1"/>
  <c r="AG287" i="7" s="1"/>
  <c r="AA55" i="7"/>
  <c r="AA278" i="7"/>
  <c r="AA232" i="7"/>
  <c r="AA283" i="7"/>
  <c r="AA366" i="7"/>
  <c r="AA249" i="7"/>
  <c r="AA365" i="7"/>
  <c r="AE365" i="7" s="1"/>
  <c r="AG365" i="7" s="1"/>
  <c r="AA363" i="7"/>
  <c r="AA18" i="7"/>
  <c r="AD18" i="7"/>
  <c r="AA89" i="7"/>
  <c r="AD89" i="7"/>
  <c r="AA158" i="7"/>
  <c r="AD158" i="7"/>
  <c r="AA72" i="7"/>
  <c r="AD72" i="7"/>
  <c r="AA82" i="7"/>
  <c r="AD82" i="7"/>
  <c r="AD68" i="7"/>
  <c r="AA68" i="7"/>
  <c r="AA49" i="7"/>
  <c r="AD49" i="7"/>
  <c r="AA67" i="7"/>
  <c r="AD67" i="7"/>
  <c r="AA155" i="7"/>
  <c r="AD155" i="7"/>
  <c r="AA149" i="7"/>
  <c r="AD149" i="7"/>
  <c r="AA153" i="7"/>
  <c r="AD153" i="7"/>
  <c r="AA200" i="7"/>
  <c r="AD200" i="7"/>
  <c r="AA93" i="7"/>
  <c r="AD93" i="7"/>
  <c r="AA135" i="7"/>
  <c r="AD135" i="7"/>
  <c r="AA212" i="7"/>
  <c r="AD212" i="7"/>
  <c r="AA216" i="7"/>
  <c r="AD216" i="7"/>
  <c r="AA203" i="7"/>
  <c r="AD203" i="7"/>
  <c r="AA208" i="7"/>
  <c r="AD208" i="7"/>
  <c r="AD252" i="7"/>
  <c r="AA252" i="7"/>
  <c r="AD276" i="7"/>
  <c r="AA276" i="7"/>
  <c r="AD273" i="7"/>
  <c r="AA273" i="7"/>
  <c r="AA320" i="7"/>
  <c r="AD320" i="7"/>
  <c r="AA79" i="7"/>
  <c r="AD79" i="7"/>
  <c r="AD15" i="7"/>
  <c r="Z376" i="7"/>
  <c r="Z379" i="7" s="1"/>
  <c r="AA15" i="7"/>
  <c r="Z368" i="7"/>
  <c r="AA69" i="7"/>
  <c r="AD69" i="7"/>
  <c r="AD73" i="7"/>
  <c r="AA73" i="7"/>
  <c r="AA87" i="7"/>
  <c r="AD87" i="7"/>
  <c r="AA81" i="7"/>
  <c r="AD81" i="7"/>
  <c r="AA50" i="7"/>
  <c r="AD50" i="7"/>
  <c r="AA80" i="7"/>
  <c r="AD80" i="7"/>
  <c r="AA126" i="7"/>
  <c r="AD126" i="7"/>
  <c r="AA150" i="7"/>
  <c r="AD150" i="7"/>
  <c r="AA154" i="7"/>
  <c r="AD154" i="7"/>
  <c r="AA90" i="7"/>
  <c r="AD90" i="7"/>
  <c r="AA94" i="7"/>
  <c r="AD94" i="7"/>
  <c r="AA145" i="7"/>
  <c r="AD145" i="7"/>
  <c r="AA213" i="7"/>
  <c r="AD213" i="7"/>
  <c r="AD187" i="7"/>
  <c r="AA187" i="7"/>
  <c r="AA204" i="7"/>
  <c r="AD204" i="7"/>
  <c r="AA209" i="7"/>
  <c r="AD209" i="7"/>
  <c r="AA253" i="7"/>
  <c r="AD253" i="7"/>
  <c r="AD269" i="7"/>
  <c r="AA269" i="7"/>
  <c r="AA274" i="7"/>
  <c r="AD274" i="7"/>
  <c r="AA317" i="7"/>
  <c r="AD317" i="7"/>
  <c r="AA156" i="7"/>
  <c r="AD156" i="7"/>
  <c r="AA157" i="7"/>
  <c r="AD157" i="7"/>
  <c r="AA70" i="7"/>
  <c r="AD70" i="7"/>
  <c r="AD74" i="7"/>
  <c r="AA74" i="7"/>
  <c r="AA88" i="7"/>
  <c r="AD88" i="7"/>
  <c r="AA86" i="7"/>
  <c r="AD86" i="7"/>
  <c r="AA51" i="7"/>
  <c r="AD51" i="7"/>
  <c r="AA197" i="7"/>
  <c r="AD197" i="7"/>
  <c r="AA147" i="7"/>
  <c r="AD147" i="7"/>
  <c r="AA151" i="7"/>
  <c r="AD151" i="7"/>
  <c r="AA160" i="7"/>
  <c r="AD160" i="7"/>
  <c r="AA91" i="7"/>
  <c r="AD91" i="7"/>
  <c r="AA95" i="7"/>
  <c r="AD95" i="7"/>
  <c r="AA159" i="7"/>
  <c r="AD159" i="7"/>
  <c r="AA214" i="7"/>
  <c r="AD214" i="7"/>
  <c r="AA211" i="7"/>
  <c r="AD211" i="7"/>
  <c r="AA205" i="7"/>
  <c r="AD205" i="7"/>
  <c r="AA210" i="7"/>
  <c r="AD210" i="7"/>
  <c r="AD251" i="7"/>
  <c r="AA251" i="7"/>
  <c r="AA271" i="7"/>
  <c r="AD271" i="7"/>
  <c r="AA279" i="7"/>
  <c r="AD279" i="7"/>
  <c r="AA319" i="7"/>
  <c r="AD319" i="7"/>
  <c r="AA17" i="7"/>
  <c r="AD17" i="7"/>
  <c r="AD16" i="7"/>
  <c r="AA16" i="7"/>
  <c r="AD71" i="7"/>
  <c r="AA71" i="7"/>
  <c r="AD78" i="7"/>
  <c r="AA78" i="7"/>
  <c r="AD66" i="7"/>
  <c r="AA66" i="7"/>
  <c r="AA198" i="7"/>
  <c r="AD198" i="7"/>
  <c r="AA65" i="7"/>
  <c r="AD65" i="7"/>
  <c r="AD127" i="7"/>
  <c r="AA127" i="7"/>
  <c r="AA148" i="7"/>
  <c r="AD148" i="7"/>
  <c r="AA152" i="7"/>
  <c r="AD152" i="7"/>
  <c r="AA161" i="7"/>
  <c r="AD161" i="7"/>
  <c r="AA92" i="7"/>
  <c r="AD92" i="7"/>
  <c r="AA96" i="7"/>
  <c r="AD96" i="7"/>
  <c r="AD188" i="7"/>
  <c r="AA188" i="7"/>
  <c r="AA215" i="7"/>
  <c r="AD215" i="7"/>
  <c r="AA202" i="7"/>
  <c r="AD202" i="7"/>
  <c r="AA206" i="7"/>
  <c r="AD206" i="7"/>
  <c r="AD277" i="7"/>
  <c r="AA277" i="7"/>
  <c r="AD275" i="7"/>
  <c r="AA275" i="7"/>
  <c r="AD272" i="7"/>
  <c r="AA272" i="7"/>
  <c r="AA318" i="7"/>
  <c r="AD318" i="7"/>
  <c r="AA321" i="7"/>
  <c r="AD321" i="7"/>
  <c r="M17" i="7"/>
  <c r="P17" i="7"/>
  <c r="P73" i="7"/>
  <c r="M73" i="7"/>
  <c r="P70" i="7"/>
  <c r="M70" i="7"/>
  <c r="P68" i="7"/>
  <c r="M68" i="7"/>
  <c r="M91" i="7"/>
  <c r="P91" i="7"/>
  <c r="P50" i="7"/>
  <c r="M50" i="7"/>
  <c r="M80" i="7"/>
  <c r="P80" i="7"/>
  <c r="P89" i="7"/>
  <c r="M89" i="7"/>
  <c r="P149" i="7"/>
  <c r="M149" i="7"/>
  <c r="P153" i="7"/>
  <c r="M153" i="7"/>
  <c r="P212" i="7"/>
  <c r="M212" i="7"/>
  <c r="P94" i="7"/>
  <c r="M94" i="7"/>
  <c r="P145" i="7"/>
  <c r="M145" i="7"/>
  <c r="P156" i="7"/>
  <c r="M156" i="7"/>
  <c r="M187" i="7"/>
  <c r="P187" i="7"/>
  <c r="P203" i="7"/>
  <c r="M203" i="7"/>
  <c r="M208" i="7"/>
  <c r="P208" i="7"/>
  <c r="P198" i="7"/>
  <c r="M198" i="7"/>
  <c r="M251" i="7"/>
  <c r="P251" i="7"/>
  <c r="P272" i="7"/>
  <c r="M272" i="7"/>
  <c r="P277" i="7"/>
  <c r="M277" i="7"/>
  <c r="M320" i="7"/>
  <c r="P320" i="7"/>
  <c r="P72" i="7"/>
  <c r="M72" i="7"/>
  <c r="M16" i="7"/>
  <c r="P16" i="7"/>
  <c r="M74" i="7"/>
  <c r="P74" i="7"/>
  <c r="P81" i="7"/>
  <c r="M81" i="7"/>
  <c r="M127" i="7"/>
  <c r="P127" i="7"/>
  <c r="P51" i="7"/>
  <c r="M51" i="7"/>
  <c r="P155" i="7"/>
  <c r="M155" i="7"/>
  <c r="M126" i="7"/>
  <c r="P126" i="7"/>
  <c r="M150" i="7"/>
  <c r="P150" i="7"/>
  <c r="P154" i="7"/>
  <c r="M154" i="7"/>
  <c r="M216" i="7"/>
  <c r="P216" i="7"/>
  <c r="P95" i="7"/>
  <c r="M95" i="7"/>
  <c r="P159" i="7"/>
  <c r="M159" i="7"/>
  <c r="P157" i="7"/>
  <c r="M157" i="7"/>
  <c r="M211" i="7"/>
  <c r="P211" i="7"/>
  <c r="P204" i="7"/>
  <c r="M204" i="7"/>
  <c r="M209" i="7"/>
  <c r="P209" i="7"/>
  <c r="M200" i="7"/>
  <c r="P200" i="7"/>
  <c r="P276" i="7"/>
  <c r="M276" i="7"/>
  <c r="P273" i="7"/>
  <c r="M273" i="7"/>
  <c r="P317" i="7"/>
  <c r="M317" i="7"/>
  <c r="P321" i="7"/>
  <c r="M321" i="7"/>
  <c r="P69" i="7"/>
  <c r="M69" i="7"/>
  <c r="P82" i="7"/>
  <c r="M82" i="7"/>
  <c r="P71" i="7"/>
  <c r="M71" i="7"/>
  <c r="P78" i="7"/>
  <c r="M78" i="7"/>
  <c r="P86" i="7"/>
  <c r="M86" i="7"/>
  <c r="P213" i="7"/>
  <c r="M213" i="7"/>
  <c r="P65" i="7"/>
  <c r="M65" i="7"/>
  <c r="M18" i="7"/>
  <c r="P18" i="7"/>
  <c r="P147" i="7"/>
  <c r="M147" i="7"/>
  <c r="P151" i="7"/>
  <c r="M151" i="7"/>
  <c r="P160" i="7"/>
  <c r="M160" i="7"/>
  <c r="M92" i="7"/>
  <c r="P92" i="7"/>
  <c r="P96" i="7"/>
  <c r="M96" i="7"/>
  <c r="P188" i="7"/>
  <c r="M188" i="7"/>
  <c r="M158" i="7"/>
  <c r="P158" i="7"/>
  <c r="P275" i="7"/>
  <c r="M275" i="7"/>
  <c r="P205" i="7"/>
  <c r="M205" i="7"/>
  <c r="M210" i="7"/>
  <c r="P210" i="7"/>
  <c r="P252" i="7"/>
  <c r="M252" i="7"/>
  <c r="P269" i="7"/>
  <c r="M269" i="7"/>
  <c r="P274" i="7"/>
  <c r="M274" i="7"/>
  <c r="M318" i="7"/>
  <c r="P318" i="7"/>
  <c r="M364" i="7"/>
  <c r="M345" i="7"/>
  <c r="Q345" i="7" s="1"/>
  <c r="S345" i="7" s="1"/>
  <c r="M314" i="7"/>
  <c r="Q314" i="7" s="1"/>
  <c r="S314" i="7" s="1"/>
  <c r="M313" i="7"/>
  <c r="M304" i="7"/>
  <c r="M300" i="7"/>
  <c r="M299" i="7"/>
  <c r="Q299" i="7" s="1"/>
  <c r="S299" i="7" s="1"/>
  <c r="M298" i="7"/>
  <c r="M259" i="7"/>
  <c r="M256" i="7"/>
  <c r="Q256" i="7" s="1"/>
  <c r="S256" i="7" s="1"/>
  <c r="M248" i="7"/>
  <c r="M234" i="7"/>
  <c r="M131" i="7"/>
  <c r="M122" i="7"/>
  <c r="Q122" i="7" s="1"/>
  <c r="S122" i="7" s="1"/>
  <c r="M109" i="7"/>
  <c r="M108" i="7"/>
  <c r="M107" i="7"/>
  <c r="M106" i="7"/>
  <c r="M77" i="7"/>
  <c r="Q77" i="7" s="1"/>
  <c r="S77" i="7" s="1"/>
  <c r="M76" i="7"/>
  <c r="Q76" i="7" s="1"/>
  <c r="S76" i="7" s="1"/>
  <c r="M75" i="7"/>
  <c r="Q75" i="7" s="1"/>
  <c r="S75" i="7" s="1"/>
  <c r="M59" i="7"/>
  <c r="M58" i="7"/>
  <c r="M57" i="7"/>
  <c r="M56" i="7"/>
  <c r="Q56" i="7" s="1"/>
  <c r="S56" i="7" s="1"/>
  <c r="M360" i="7"/>
  <c r="Q360" i="7" s="1"/>
  <c r="S360" i="7" s="1"/>
  <c r="M353" i="7"/>
  <c r="Q353" i="7" s="1"/>
  <c r="S353" i="7" s="1"/>
  <c r="M340" i="7"/>
  <c r="M337" i="7"/>
  <c r="Q337" i="7" s="1"/>
  <c r="S337" i="7" s="1"/>
  <c r="M310" i="7"/>
  <c r="M309" i="7"/>
  <c r="M305" i="7"/>
  <c r="Q305" i="7" s="1"/>
  <c r="S305" i="7" s="1"/>
  <c r="M301" i="7"/>
  <c r="M263" i="7"/>
  <c r="Q263" i="7" s="1"/>
  <c r="S263" i="7" s="1"/>
  <c r="M245" i="7"/>
  <c r="M241" i="7"/>
  <c r="M123" i="7"/>
  <c r="Q123" i="7" s="1"/>
  <c r="S123" i="7" s="1"/>
  <c r="M114" i="7"/>
  <c r="M105" i="7"/>
  <c r="M104" i="7"/>
  <c r="M103" i="7"/>
  <c r="M102" i="7"/>
  <c r="Q102" i="7" s="1"/>
  <c r="S102" i="7" s="1"/>
  <c r="M55" i="7"/>
  <c r="M54" i="7"/>
  <c r="M53" i="7"/>
  <c r="M52" i="7"/>
  <c r="Q52" i="7" s="1"/>
  <c r="S52" i="7" s="1"/>
  <c r="M366" i="7"/>
  <c r="M333" i="7"/>
  <c r="M306" i="7"/>
  <c r="M302" i="7"/>
  <c r="Q302" i="7" s="1"/>
  <c r="S302" i="7" s="1"/>
  <c r="M267" i="7"/>
  <c r="M264" i="7"/>
  <c r="M239" i="7"/>
  <c r="Q239" i="7" s="1"/>
  <c r="S239" i="7" s="1"/>
  <c r="M238" i="7"/>
  <c r="Q238" i="7" s="1"/>
  <c r="S238" i="7" s="1"/>
  <c r="M118" i="7"/>
  <c r="Q118" i="7" s="1"/>
  <c r="S118" i="7" s="1"/>
  <c r="M115" i="7"/>
  <c r="M101" i="7"/>
  <c r="M100" i="7"/>
  <c r="M99" i="7"/>
  <c r="M98" i="7"/>
  <c r="M85" i="7"/>
  <c r="M84" i="7"/>
  <c r="M83" i="7"/>
  <c r="M64" i="7"/>
  <c r="Q64" i="7" s="1"/>
  <c r="S64" i="7" s="1"/>
  <c r="M48" i="7"/>
  <c r="M363" i="7"/>
  <c r="M255" i="7"/>
  <c r="M367" i="7"/>
  <c r="M110" i="7"/>
  <c r="M47" i="7"/>
  <c r="M365" i="7"/>
  <c r="M341" i="7"/>
  <c r="M303" i="7"/>
  <c r="M268" i="7"/>
  <c r="Q268" i="7" s="1"/>
  <c r="S268" i="7" s="1"/>
  <c r="M233" i="7"/>
  <c r="Q233" i="7" s="1"/>
  <c r="S233" i="7" s="1"/>
  <c r="M349" i="7"/>
  <c r="Q349" i="7" s="1"/>
  <c r="S349" i="7" s="1"/>
  <c r="M244" i="7"/>
  <c r="M235" i="7"/>
  <c r="M130" i="7"/>
  <c r="M63" i="7"/>
  <c r="M62" i="7"/>
  <c r="M61" i="7"/>
  <c r="M60" i="7"/>
  <c r="Q60" i="7" s="1"/>
  <c r="S60" i="7" s="1"/>
  <c r="M334" i="7"/>
  <c r="M97" i="7"/>
  <c r="M46" i="7"/>
  <c r="M11" i="7"/>
  <c r="M39" i="7"/>
  <c r="M35" i="7"/>
  <c r="M28" i="7"/>
  <c r="M44" i="7"/>
  <c r="M33" i="7"/>
  <c r="M111" i="7"/>
  <c r="Q111" i="7" s="1"/>
  <c r="S111" i="7" s="1"/>
  <c r="M332" i="7"/>
  <c r="M30" i="7"/>
  <c r="M178" i="7"/>
  <c r="M180" i="7"/>
  <c r="Q180" i="7" s="1"/>
  <c r="S180" i="7" s="1"/>
  <c r="M249" i="7"/>
  <c r="Q249" i="7" s="1"/>
  <c r="S249" i="7" s="1"/>
  <c r="M112" i="7"/>
  <c r="M120" i="7"/>
  <c r="M286" i="7"/>
  <c r="Q286" i="7" s="1"/>
  <c r="S286" i="7" s="1"/>
  <c r="M134" i="7"/>
  <c r="M142" i="7"/>
  <c r="M166" i="7"/>
  <c r="M240" i="7"/>
  <c r="Q240" i="7" s="1"/>
  <c r="S240" i="7" s="1"/>
  <c r="M19" i="7"/>
  <c r="M12" i="7"/>
  <c r="M43" i="7"/>
  <c r="M186" i="7"/>
  <c r="Q186" i="7" s="1"/>
  <c r="S186" i="7" s="1"/>
  <c r="M32" i="7"/>
  <c r="M21" i="7"/>
  <c r="M37" i="7"/>
  <c r="M173" i="7"/>
  <c r="M34" i="7"/>
  <c r="M119" i="7"/>
  <c r="Q119" i="7" s="1"/>
  <c r="S119" i="7" s="1"/>
  <c r="M294" i="7"/>
  <c r="Q294" i="7" s="1"/>
  <c r="S294" i="7" s="1"/>
  <c r="M183" i="7"/>
  <c r="Q183" i="7" s="1"/>
  <c r="S183" i="7" s="1"/>
  <c r="M246" i="7"/>
  <c r="Q246" i="7" s="1"/>
  <c r="S246" i="7" s="1"/>
  <c r="M257" i="7"/>
  <c r="Q257" i="7" s="1"/>
  <c r="S257" i="7" s="1"/>
  <c r="M184" i="7"/>
  <c r="Q184" i="7" s="1"/>
  <c r="S184" i="7" s="1"/>
  <c r="M132" i="7"/>
  <c r="M133" i="7"/>
  <c r="M139" i="7"/>
  <c r="Q139" i="7" s="1"/>
  <c r="S139" i="7" s="1"/>
  <c r="M140" i="7"/>
  <c r="Q140" i="7" s="1"/>
  <c r="S140" i="7" s="1"/>
  <c r="M141" i="7"/>
  <c r="Q141" i="7" s="1"/>
  <c r="S141" i="7" s="1"/>
  <c r="M163" i="7"/>
  <c r="M164" i="7"/>
  <c r="Q164" i="7" s="1"/>
  <c r="S164" i="7" s="1"/>
  <c r="M165" i="7"/>
  <c r="Q165" i="7" s="1"/>
  <c r="S165" i="7" s="1"/>
  <c r="M171" i="7"/>
  <c r="Q171" i="7" s="1"/>
  <c r="S171" i="7" s="1"/>
  <c r="M172" i="7"/>
  <c r="Q172" i="7" s="1"/>
  <c r="S172" i="7" s="1"/>
  <c r="M175" i="7"/>
  <c r="Q175" i="7" s="1"/>
  <c r="S175" i="7" s="1"/>
  <c r="M23" i="7"/>
  <c r="M331" i="7"/>
  <c r="M20" i="7"/>
  <c r="M36" i="7"/>
  <c r="M25" i="7"/>
  <c r="M41" i="7"/>
  <c r="M181" i="7"/>
  <c r="M22" i="7"/>
  <c r="M38" i="7"/>
  <c r="M174" i="7"/>
  <c r="M185" i="7"/>
  <c r="M278" i="7"/>
  <c r="Q278" i="7" s="1"/>
  <c r="S278" i="7" s="1"/>
  <c r="M116" i="7"/>
  <c r="M128" i="7"/>
  <c r="M138" i="7"/>
  <c r="M146" i="7"/>
  <c r="M162" i="7"/>
  <c r="M170" i="7"/>
  <c r="M282" i="7"/>
  <c r="Q282" i="7" s="1"/>
  <c r="S282" i="7" s="1"/>
  <c r="M290" i="7"/>
  <c r="Q290" i="7" s="1"/>
  <c r="S290" i="7" s="1"/>
  <c r="M129" i="7"/>
  <c r="Q129" i="7" s="1"/>
  <c r="S129" i="7" s="1"/>
  <c r="M280" i="7"/>
  <c r="Q280" i="7" s="1"/>
  <c r="S280" i="7" s="1"/>
  <c r="M288" i="7"/>
  <c r="Q288" i="7" s="1"/>
  <c r="S288" i="7" s="1"/>
  <c r="M192" i="7"/>
  <c r="Q192" i="7" s="1"/>
  <c r="S192" i="7" s="1"/>
  <c r="M193" i="7"/>
  <c r="Q193" i="7" s="1"/>
  <c r="S193" i="7" s="1"/>
  <c r="M194" i="7"/>
  <c r="Q194" i="7" s="1"/>
  <c r="S194" i="7" s="1"/>
  <c r="M201" i="7"/>
  <c r="Q201" i="7" s="1"/>
  <c r="S201" i="7" s="1"/>
  <c r="M31" i="7"/>
  <c r="M24" i="7"/>
  <c r="M45" i="7"/>
  <c r="M42" i="7"/>
  <c r="M237" i="7"/>
  <c r="M236" i="7"/>
  <c r="Q236" i="7" s="1"/>
  <c r="S236" i="7" s="1"/>
  <c r="M265" i="7"/>
  <c r="Q265" i="7" s="1"/>
  <c r="S265" i="7" s="1"/>
  <c r="M167" i="7"/>
  <c r="Q167" i="7" s="1"/>
  <c r="S167" i="7" s="1"/>
  <c r="M168" i="7"/>
  <c r="Q168" i="7" s="1"/>
  <c r="S168" i="7" s="1"/>
  <c r="M169" i="7"/>
  <c r="M260" i="7"/>
  <c r="M176" i="7"/>
  <c r="M179" i="7"/>
  <c r="M329" i="7"/>
  <c r="Q329" i="7" s="1"/>
  <c r="S329" i="7" s="1"/>
  <c r="M189" i="7"/>
  <c r="M190" i="7"/>
  <c r="M199" i="7"/>
  <c r="M217" i="7"/>
  <c r="M218" i="7"/>
  <c r="Q218" i="7" s="1"/>
  <c r="S218" i="7" s="1"/>
  <c r="M224" i="7"/>
  <c r="Q224" i="7" s="1"/>
  <c r="S224" i="7" s="1"/>
  <c r="M225" i="7"/>
  <c r="Q225" i="7" s="1"/>
  <c r="S225" i="7" s="1"/>
  <c r="M226" i="7"/>
  <c r="Q226" i="7" s="1"/>
  <c r="S226" i="7" s="1"/>
  <c r="M232" i="7"/>
  <c r="Q232" i="7" s="1"/>
  <c r="S232" i="7" s="1"/>
  <c r="M242" i="7"/>
  <c r="M308" i="7"/>
  <c r="M324" i="7"/>
  <c r="Q324" i="7" s="1"/>
  <c r="S324" i="7" s="1"/>
  <c r="M347" i="7"/>
  <c r="Q347" i="7" s="1"/>
  <c r="S347" i="7" s="1"/>
  <c r="M261" i="7"/>
  <c r="M322" i="7"/>
  <c r="Q322" i="7" s="1"/>
  <c r="S322" i="7" s="1"/>
  <c r="M326" i="7"/>
  <c r="Q326" i="7" s="1"/>
  <c r="S326" i="7" s="1"/>
  <c r="M336" i="7"/>
  <c r="M361" i="7"/>
  <c r="M350" i="7"/>
  <c r="M354" i="7"/>
  <c r="Q354" i="7" s="1"/>
  <c r="S354" i="7" s="1"/>
  <c r="M357" i="7"/>
  <c r="M311" i="7"/>
  <c r="Q311" i="7" s="1"/>
  <c r="S311" i="7" s="1"/>
  <c r="M327" i="7"/>
  <c r="Q327" i="7" s="1"/>
  <c r="S327" i="7" s="1"/>
  <c r="M335" i="7"/>
  <c r="Q335" i="7" s="1"/>
  <c r="S335" i="7" s="1"/>
  <c r="M339" i="7"/>
  <c r="Q339" i="7" s="1"/>
  <c r="S339" i="7" s="1"/>
  <c r="M351" i="7"/>
  <c r="M13" i="7"/>
  <c r="M40" i="7"/>
  <c r="M143" i="7"/>
  <c r="M144" i="7"/>
  <c r="Q144" i="7" s="1"/>
  <c r="S144" i="7" s="1"/>
  <c r="M292" i="7"/>
  <c r="Q292" i="7" s="1"/>
  <c r="S292" i="7" s="1"/>
  <c r="M196" i="7"/>
  <c r="Q196" i="7" s="1"/>
  <c r="S196" i="7" s="1"/>
  <c r="M207" i="7"/>
  <c r="M223" i="7"/>
  <c r="M231" i="7"/>
  <c r="M281" i="7"/>
  <c r="Q281" i="7" s="1"/>
  <c r="S281" i="7" s="1"/>
  <c r="M283" i="7"/>
  <c r="Q283" i="7" s="1"/>
  <c r="S283" i="7" s="1"/>
  <c r="M285" i="7"/>
  <c r="Q285" i="7" s="1"/>
  <c r="S285" i="7" s="1"/>
  <c r="M287" i="7"/>
  <c r="Q287" i="7" s="1"/>
  <c r="S287" i="7" s="1"/>
  <c r="M289" i="7"/>
  <c r="Q289" i="7" s="1"/>
  <c r="S289" i="7" s="1"/>
  <c r="M291" i="7"/>
  <c r="Q291" i="7" s="1"/>
  <c r="S291" i="7" s="1"/>
  <c r="M293" i="7"/>
  <c r="Q293" i="7" s="1"/>
  <c r="S293" i="7" s="1"/>
  <c r="M295" i="7"/>
  <c r="Q295" i="7" s="1"/>
  <c r="S295" i="7" s="1"/>
  <c r="M297" i="7"/>
  <c r="Q297" i="7" s="1"/>
  <c r="S297" i="7" s="1"/>
  <c r="M312" i="7"/>
  <c r="M243" i="7"/>
  <c r="M247" i="7"/>
  <c r="Q247" i="7" s="1"/>
  <c r="S247" i="7" s="1"/>
  <c r="M315" i="7"/>
  <c r="Q315" i="7" s="1"/>
  <c r="S315" i="7" s="1"/>
  <c r="M323" i="7"/>
  <c r="Q323" i="7" s="1"/>
  <c r="S323" i="7" s="1"/>
  <c r="M344" i="7"/>
  <c r="M27" i="7"/>
  <c r="M182" i="7"/>
  <c r="Q182" i="7" s="1"/>
  <c r="S182" i="7" s="1"/>
  <c r="M177" i="7"/>
  <c r="M124" i="7"/>
  <c r="M136" i="7"/>
  <c r="Q136" i="7" s="1"/>
  <c r="S136" i="7" s="1"/>
  <c r="M137" i="7"/>
  <c r="Q137" i="7" s="1"/>
  <c r="S137" i="7" s="1"/>
  <c r="M113" i="7"/>
  <c r="Q113" i="7" s="1"/>
  <c r="S113" i="7" s="1"/>
  <c r="M296" i="7"/>
  <c r="Q296" i="7" s="1"/>
  <c r="S296" i="7" s="1"/>
  <c r="M195" i="7"/>
  <c r="M220" i="7"/>
  <c r="M221" i="7"/>
  <c r="Q221" i="7" s="1"/>
  <c r="S221" i="7" s="1"/>
  <c r="M222" i="7"/>
  <c r="M228" i="7"/>
  <c r="Q228" i="7" s="1"/>
  <c r="S228" i="7" s="1"/>
  <c r="M229" i="7"/>
  <c r="Q229" i="7" s="1"/>
  <c r="S229" i="7" s="1"/>
  <c r="M230" i="7"/>
  <c r="Q230" i="7" s="1"/>
  <c r="S230" i="7" s="1"/>
  <c r="M316" i="7"/>
  <c r="Q316" i="7" s="1"/>
  <c r="S316" i="7" s="1"/>
  <c r="M356" i="7"/>
  <c r="M307" i="7"/>
  <c r="Q307" i="7" s="1"/>
  <c r="S307" i="7" s="1"/>
  <c r="M355" i="7"/>
  <c r="M330" i="7"/>
  <c r="Q330" i="7" s="1"/>
  <c r="S330" i="7" s="1"/>
  <c r="M343" i="7"/>
  <c r="M338" i="7"/>
  <c r="Q338" i="7" s="1"/>
  <c r="S338" i="7" s="1"/>
  <c r="M342" i="7"/>
  <c r="M358" i="7"/>
  <c r="M14" i="7"/>
  <c r="M328" i="7"/>
  <c r="M325" i="7"/>
  <c r="Q325" i="7" s="1"/>
  <c r="S325" i="7" s="1"/>
  <c r="M29" i="7"/>
  <c r="M191" i="7"/>
  <c r="M362" i="7"/>
  <c r="M352" i="7"/>
  <c r="M26" i="7"/>
  <c r="M284" i="7"/>
  <c r="Q284" i="7" s="1"/>
  <c r="S284" i="7" s="1"/>
  <c r="M348" i="7"/>
  <c r="M219" i="7"/>
  <c r="M254" i="7"/>
  <c r="M258" i="7"/>
  <c r="M262" i="7"/>
  <c r="M266" i="7"/>
  <c r="M270" i="7"/>
  <c r="M346" i="7"/>
  <c r="M359" i="7"/>
  <c r="M9" i="7"/>
  <c r="M10" i="7"/>
  <c r="M117" i="7"/>
  <c r="Q117" i="7" s="1"/>
  <c r="S117" i="7" s="1"/>
  <c r="M121" i="7"/>
  <c r="M125" i="7"/>
  <c r="M227" i="7"/>
  <c r="M250" i="7"/>
  <c r="P88" i="7"/>
  <c r="M88" i="7"/>
  <c r="P87" i="7"/>
  <c r="M87" i="7"/>
  <c r="P15" i="7"/>
  <c r="L368" i="7"/>
  <c r="M15" i="7"/>
  <c r="L376" i="7"/>
  <c r="L379" i="7" s="1"/>
  <c r="M66" i="7"/>
  <c r="P66" i="7"/>
  <c r="M90" i="7"/>
  <c r="P90" i="7"/>
  <c r="P49" i="7"/>
  <c r="M49" i="7"/>
  <c r="P67" i="7"/>
  <c r="M67" i="7"/>
  <c r="P79" i="7"/>
  <c r="M79" i="7"/>
  <c r="P148" i="7"/>
  <c r="M148" i="7"/>
  <c r="P152" i="7"/>
  <c r="M152" i="7"/>
  <c r="P161" i="7"/>
  <c r="M161" i="7"/>
  <c r="M93" i="7"/>
  <c r="P93" i="7"/>
  <c r="P135" i="7"/>
  <c r="M135" i="7"/>
  <c r="P215" i="7"/>
  <c r="M215" i="7"/>
  <c r="P214" i="7"/>
  <c r="M214" i="7"/>
  <c r="M202" i="7"/>
  <c r="P202" i="7"/>
  <c r="P206" i="7"/>
  <c r="M206" i="7"/>
  <c r="P197" i="7"/>
  <c r="M197" i="7"/>
  <c r="P253" i="7"/>
  <c r="M253" i="7"/>
  <c r="P271" i="7"/>
  <c r="M271" i="7"/>
  <c r="P279" i="7"/>
  <c r="M279" i="7"/>
  <c r="P319" i="7"/>
  <c r="M319" i="7"/>
  <c r="H17" i="7"/>
  <c r="E17" i="7"/>
  <c r="H68" i="7"/>
  <c r="E68" i="7"/>
  <c r="E154" i="7"/>
  <c r="H154" i="7"/>
  <c r="H81" i="7"/>
  <c r="E81" i="7"/>
  <c r="H49" i="7"/>
  <c r="E49" i="7"/>
  <c r="H67" i="7"/>
  <c r="E67" i="7"/>
  <c r="H79" i="7"/>
  <c r="E79" i="7"/>
  <c r="E147" i="7"/>
  <c r="H147" i="7"/>
  <c r="E69" i="7"/>
  <c r="H69" i="7"/>
  <c r="H73" i="7"/>
  <c r="E73" i="7"/>
  <c r="H87" i="7"/>
  <c r="E87" i="7"/>
  <c r="E135" i="7"/>
  <c r="H135" i="7"/>
  <c r="E156" i="7"/>
  <c r="H156" i="7"/>
  <c r="E155" i="7"/>
  <c r="H155" i="7"/>
  <c r="E204" i="7"/>
  <c r="H204" i="7"/>
  <c r="E209" i="7"/>
  <c r="H209" i="7"/>
  <c r="E273" i="7"/>
  <c r="H273" i="7"/>
  <c r="H188" i="7"/>
  <c r="E188" i="7"/>
  <c r="E215" i="7"/>
  <c r="H215" i="7"/>
  <c r="E269" i="7"/>
  <c r="H269" i="7"/>
  <c r="E320" i="7"/>
  <c r="H320" i="7"/>
  <c r="E276" i="7"/>
  <c r="H276" i="7"/>
  <c r="H91" i="7"/>
  <c r="E91" i="7"/>
  <c r="E148" i="7"/>
  <c r="H148" i="7"/>
  <c r="H66" i="7"/>
  <c r="E66" i="7"/>
  <c r="H86" i="7"/>
  <c r="E86" i="7"/>
  <c r="E50" i="7"/>
  <c r="H50" i="7"/>
  <c r="H80" i="7"/>
  <c r="E80" i="7"/>
  <c r="E89" i="7"/>
  <c r="H89" i="7"/>
  <c r="E149" i="7"/>
  <c r="H149" i="7"/>
  <c r="E70" i="7"/>
  <c r="H70" i="7"/>
  <c r="E74" i="7"/>
  <c r="H74" i="7"/>
  <c r="E88" i="7"/>
  <c r="H88" i="7"/>
  <c r="E145" i="7"/>
  <c r="H145" i="7"/>
  <c r="E157" i="7"/>
  <c r="H157" i="7"/>
  <c r="E211" i="7"/>
  <c r="H211" i="7"/>
  <c r="E205" i="7"/>
  <c r="H205" i="7"/>
  <c r="E210" i="7"/>
  <c r="H210" i="7"/>
  <c r="E197" i="7"/>
  <c r="H197" i="7"/>
  <c r="E212" i="7"/>
  <c r="H212" i="7"/>
  <c r="E216" i="7"/>
  <c r="H216" i="7"/>
  <c r="E272" i="7"/>
  <c r="H272" i="7"/>
  <c r="E277" i="7"/>
  <c r="H277" i="7"/>
  <c r="E317" i="7"/>
  <c r="H317" i="7"/>
  <c r="H16" i="7"/>
  <c r="E16" i="7"/>
  <c r="E150" i="7"/>
  <c r="H150" i="7"/>
  <c r="E126" i="7"/>
  <c r="H126" i="7"/>
  <c r="H90" i="7"/>
  <c r="E90" i="7"/>
  <c r="E51" i="7"/>
  <c r="H51" i="7"/>
  <c r="H95" i="7"/>
  <c r="E95" i="7"/>
  <c r="H92" i="7"/>
  <c r="E92" i="7"/>
  <c r="E151" i="7"/>
  <c r="H151" i="7"/>
  <c r="H71" i="7"/>
  <c r="E71" i="7"/>
  <c r="E78" i="7"/>
  <c r="H78" i="7"/>
  <c r="H93" i="7"/>
  <c r="E93" i="7"/>
  <c r="E159" i="7"/>
  <c r="H159" i="7"/>
  <c r="E158" i="7"/>
  <c r="H158" i="7"/>
  <c r="E202" i="7"/>
  <c r="H202" i="7"/>
  <c r="E206" i="7"/>
  <c r="H206" i="7"/>
  <c r="E253" i="7"/>
  <c r="H253" i="7"/>
  <c r="E198" i="7"/>
  <c r="H198" i="7"/>
  <c r="E213" i="7"/>
  <c r="H213" i="7"/>
  <c r="H252" i="7"/>
  <c r="E252" i="7"/>
  <c r="E274" i="7"/>
  <c r="H274" i="7"/>
  <c r="E318" i="7"/>
  <c r="H318" i="7"/>
  <c r="E319" i="7"/>
  <c r="H319" i="7"/>
  <c r="E334" i="7"/>
  <c r="E330" i="7"/>
  <c r="E328" i="7"/>
  <c r="E326" i="7"/>
  <c r="E324" i="7"/>
  <c r="E322" i="7"/>
  <c r="E316" i="7"/>
  <c r="E313" i="7"/>
  <c r="E312" i="7"/>
  <c r="E311" i="7"/>
  <c r="E294" i="7"/>
  <c r="E290" i="7"/>
  <c r="E286" i="7"/>
  <c r="E282" i="7"/>
  <c r="E278" i="7"/>
  <c r="E270" i="7"/>
  <c r="E267" i="7"/>
  <c r="E266" i="7"/>
  <c r="E265" i="7"/>
  <c r="E260" i="7"/>
  <c r="E250" i="7"/>
  <c r="E246" i="7"/>
  <c r="E242" i="7"/>
  <c r="E229" i="7"/>
  <c r="E225" i="7"/>
  <c r="E221" i="7"/>
  <c r="E217" i="7"/>
  <c r="E201" i="7"/>
  <c r="E193" i="7"/>
  <c r="E176" i="7"/>
  <c r="E175" i="7"/>
  <c r="E170" i="7"/>
  <c r="E166" i="7"/>
  <c r="E162" i="7"/>
  <c r="E146" i="7"/>
  <c r="E142" i="7"/>
  <c r="E138" i="7"/>
  <c r="E134" i="7"/>
  <c r="E131" i="7"/>
  <c r="E125" i="7"/>
  <c r="E124" i="7"/>
  <c r="E114" i="7"/>
  <c r="E113" i="7"/>
  <c r="E112" i="7"/>
  <c r="E111" i="7"/>
  <c r="E314" i="7"/>
  <c r="E309" i="7"/>
  <c r="E308" i="7"/>
  <c r="E307" i="7"/>
  <c r="E297" i="7"/>
  <c r="E293" i="7"/>
  <c r="E289" i="7"/>
  <c r="E285" i="7"/>
  <c r="E281" i="7"/>
  <c r="E264" i="7"/>
  <c r="E255" i="7"/>
  <c r="E254" i="7"/>
  <c r="E245" i="7"/>
  <c r="E230" i="7"/>
  <c r="E226" i="7"/>
  <c r="E222" i="7"/>
  <c r="E218" i="7"/>
  <c r="E194" i="7"/>
  <c r="E190" i="7"/>
  <c r="E185" i="7"/>
  <c r="E181" i="7"/>
  <c r="E179" i="7"/>
  <c r="E171" i="7"/>
  <c r="E167" i="7"/>
  <c r="E163" i="7"/>
  <c r="E143" i="7"/>
  <c r="E139" i="7"/>
  <c r="E123" i="7"/>
  <c r="E118" i="7"/>
  <c r="E117" i="7"/>
  <c r="E116" i="7"/>
  <c r="E332" i="7"/>
  <c r="E329" i="7"/>
  <c r="E327" i="7"/>
  <c r="E325" i="7"/>
  <c r="E323" i="7"/>
  <c r="E315" i="7"/>
  <c r="E310" i="7"/>
  <c r="E296" i="7"/>
  <c r="E292" i="7"/>
  <c r="E288" i="7"/>
  <c r="E284" i="7"/>
  <c r="E280" i="7"/>
  <c r="E268" i="7"/>
  <c r="E259" i="7"/>
  <c r="E258" i="7"/>
  <c r="E257" i="7"/>
  <c r="E247" i="7"/>
  <c r="E244" i="7"/>
  <c r="E243" i="7"/>
  <c r="E235" i="7"/>
  <c r="E234" i="7"/>
  <c r="E231" i="7"/>
  <c r="E227" i="7"/>
  <c r="E223" i="7"/>
  <c r="E219" i="7"/>
  <c r="E207" i="7"/>
  <c r="E199" i="7"/>
  <c r="E195" i="7"/>
  <c r="E191" i="7"/>
  <c r="E184" i="7"/>
  <c r="E180" i="7"/>
  <c r="E172" i="7"/>
  <c r="E168" i="7"/>
  <c r="E164" i="7"/>
  <c r="E144" i="7"/>
  <c r="E140" i="7"/>
  <c r="E136" i="7"/>
  <c r="E132" i="7"/>
  <c r="E130" i="7"/>
  <c r="E129" i="7"/>
  <c r="E128" i="7"/>
  <c r="E115" i="7"/>
  <c r="E110" i="7"/>
  <c r="E364" i="7"/>
  <c r="E331" i="7"/>
  <c r="E295" i="7"/>
  <c r="E291" i="7"/>
  <c r="E287" i="7"/>
  <c r="E283" i="7"/>
  <c r="E263" i="7"/>
  <c r="E262" i="7"/>
  <c r="E261" i="7"/>
  <c r="E256" i="7"/>
  <c r="E249" i="7"/>
  <c r="E248" i="7"/>
  <c r="E232" i="7"/>
  <c r="E228" i="7"/>
  <c r="E224" i="7"/>
  <c r="E220" i="7"/>
  <c r="E196" i="7"/>
  <c r="E192" i="7"/>
  <c r="E177" i="7"/>
  <c r="E173" i="7"/>
  <c r="E169" i="7"/>
  <c r="E165" i="7"/>
  <c r="E141" i="7"/>
  <c r="E137" i="7"/>
  <c r="E133" i="7"/>
  <c r="E122" i="7"/>
  <c r="E121" i="7"/>
  <c r="E120" i="7"/>
  <c r="E119" i="7"/>
  <c r="E44" i="7"/>
  <c r="E40" i="7"/>
  <c r="E36" i="7"/>
  <c r="E32" i="7"/>
  <c r="E28" i="7"/>
  <c r="E24" i="7"/>
  <c r="E20" i="7"/>
  <c r="E12" i="7"/>
  <c r="E35" i="7"/>
  <c r="E31" i="7"/>
  <c r="E23" i="7"/>
  <c r="E19" i="7"/>
  <c r="E11" i="7"/>
  <c r="E45" i="7"/>
  <c r="E41" i="7"/>
  <c r="E37" i="7"/>
  <c r="E33" i="7"/>
  <c r="E29" i="7"/>
  <c r="E25" i="7"/>
  <c r="E21" i="7"/>
  <c r="E13" i="7"/>
  <c r="E9" i="7"/>
  <c r="E43" i="7"/>
  <c r="E42" i="7"/>
  <c r="E38" i="7"/>
  <c r="E34" i="7"/>
  <c r="E30" i="7"/>
  <c r="E26" i="7"/>
  <c r="E22" i="7"/>
  <c r="E14" i="7"/>
  <c r="E10" i="7"/>
  <c r="E39" i="7"/>
  <c r="E27" i="7"/>
  <c r="E46" i="7"/>
  <c r="E183" i="7"/>
  <c r="E60" i="7"/>
  <c r="E64" i="7"/>
  <c r="E54" i="7"/>
  <c r="E59" i="7"/>
  <c r="E56" i="7"/>
  <c r="E97" i="7"/>
  <c r="E105" i="7"/>
  <c r="E58" i="7"/>
  <c r="E104" i="7"/>
  <c r="E62" i="7"/>
  <c r="E84" i="7"/>
  <c r="E174" i="7"/>
  <c r="E240" i="7"/>
  <c r="E100" i="7"/>
  <c r="E55" i="7"/>
  <c r="E57" i="7"/>
  <c r="E98" i="7"/>
  <c r="E182" i="7"/>
  <c r="E236" i="7"/>
  <c r="E178" i="7"/>
  <c r="E103" i="7"/>
  <c r="E107" i="7"/>
  <c r="E47" i="7"/>
  <c r="E48" i="7"/>
  <c r="E53" i="7"/>
  <c r="E77" i="7"/>
  <c r="E75" i="7"/>
  <c r="E106" i="7"/>
  <c r="E83" i="7"/>
  <c r="E233" i="7"/>
  <c r="E338" i="7"/>
  <c r="E238" i="7"/>
  <c r="E298" i="7"/>
  <c r="E335" i="7"/>
  <c r="E303" i="7"/>
  <c r="E343" i="7"/>
  <c r="E351" i="7"/>
  <c r="E363" i="7"/>
  <c r="I363" i="7" s="1"/>
  <c r="K363" i="7" s="1"/>
  <c r="E341" i="7"/>
  <c r="E349" i="7"/>
  <c r="E358" i="7"/>
  <c r="E360" i="7"/>
  <c r="E186" i="7"/>
  <c r="E344" i="7"/>
  <c r="E239" i="7"/>
  <c r="E365" i="7"/>
  <c r="E347" i="7"/>
  <c r="E355" i="7"/>
  <c r="E348" i="7"/>
  <c r="E300" i="7"/>
  <c r="E304" i="7"/>
  <c r="E333" i="7"/>
  <c r="E346" i="7"/>
  <c r="E354" i="7"/>
  <c r="E109" i="7"/>
  <c r="E63" i="7"/>
  <c r="E102" i="7"/>
  <c r="E76" i="7"/>
  <c r="E99" i="7"/>
  <c r="E241" i="7"/>
  <c r="E189" i="7"/>
  <c r="E339" i="7"/>
  <c r="E299" i="7"/>
  <c r="E366" i="7"/>
  <c r="E336" i="7"/>
  <c r="E367" i="7"/>
  <c r="E301" i="7"/>
  <c r="E305" i="7"/>
  <c r="E342" i="7"/>
  <c r="E350" i="7"/>
  <c r="E362" i="7"/>
  <c r="E337" i="7"/>
  <c r="E345" i="7"/>
  <c r="E353" i="7"/>
  <c r="E85" i="7"/>
  <c r="E108" i="7"/>
  <c r="E352" i="7"/>
  <c r="E340" i="7"/>
  <c r="E306" i="7"/>
  <c r="E101" i="7"/>
  <c r="E61" i="7"/>
  <c r="E361" i="7"/>
  <c r="E357" i="7"/>
  <c r="E237" i="7"/>
  <c r="E356" i="7"/>
  <c r="E359" i="7"/>
  <c r="E52" i="7"/>
  <c r="E302" i="7"/>
  <c r="E15" i="7"/>
  <c r="D368" i="7"/>
  <c r="D376" i="7"/>
  <c r="D379" i="7" s="1"/>
  <c r="H15" i="7"/>
  <c r="E152" i="7"/>
  <c r="H152" i="7"/>
  <c r="H18" i="7"/>
  <c r="E18" i="7"/>
  <c r="H94" i="7"/>
  <c r="E94" i="7"/>
  <c r="E65" i="7"/>
  <c r="H65" i="7"/>
  <c r="E161" i="7"/>
  <c r="H161" i="7"/>
  <c r="H96" i="7"/>
  <c r="E96" i="7"/>
  <c r="E153" i="7"/>
  <c r="H153" i="7"/>
  <c r="H72" i="7"/>
  <c r="E72" i="7"/>
  <c r="H82" i="7"/>
  <c r="E82" i="7"/>
  <c r="E160" i="7"/>
  <c r="H160" i="7"/>
  <c r="E187" i="7"/>
  <c r="H187" i="7"/>
  <c r="H127" i="7"/>
  <c r="E127" i="7"/>
  <c r="E203" i="7"/>
  <c r="H203" i="7"/>
  <c r="E208" i="7"/>
  <c r="H208" i="7"/>
  <c r="E271" i="7"/>
  <c r="H271" i="7"/>
  <c r="E200" i="7"/>
  <c r="H200" i="7"/>
  <c r="E214" i="7"/>
  <c r="H214" i="7"/>
  <c r="E251" i="7"/>
  <c r="H251" i="7"/>
  <c r="E279" i="7"/>
  <c r="H279" i="7"/>
  <c r="E275" i="7"/>
  <c r="H275" i="7"/>
  <c r="E321" i="7"/>
  <c r="H321" i="7"/>
  <c r="Q274" i="7" l="1"/>
  <c r="S274" i="7" s="1"/>
  <c r="Q252" i="7"/>
  <c r="S252" i="7" s="1"/>
  <c r="Q205" i="7"/>
  <c r="S205" i="7" s="1"/>
  <c r="Q96" i="7"/>
  <c r="S96" i="7" s="1"/>
  <c r="Q160" i="7"/>
  <c r="Q147" i="7"/>
  <c r="Q65" i="7"/>
  <c r="S65" i="7" s="1"/>
  <c r="Q86" i="7"/>
  <c r="S86" i="7" s="1"/>
  <c r="Q71" i="7"/>
  <c r="S71" i="7" s="1"/>
  <c r="Q69" i="7"/>
  <c r="S69" i="7" s="1"/>
  <c r="Q317" i="7"/>
  <c r="S317" i="7" s="1"/>
  <c r="Q269" i="7"/>
  <c r="S269" i="7" s="1"/>
  <c r="Q275" i="7"/>
  <c r="S275" i="7" s="1"/>
  <c r="Q151" i="7"/>
  <c r="S151" i="7" s="1"/>
  <c r="Q213" i="7"/>
  <c r="S213" i="7" s="1"/>
  <c r="Q78" i="7"/>
  <c r="S78" i="7" s="1"/>
  <c r="Q321" i="7"/>
  <c r="S321" i="7" s="1"/>
  <c r="Q204" i="7"/>
  <c r="S204" i="7" s="1"/>
  <c r="Q157" i="7"/>
  <c r="S157" i="7" s="1"/>
  <c r="Q95" i="7"/>
  <c r="S95" i="7" s="1"/>
  <c r="Q154" i="7"/>
  <c r="S154" i="7" s="1"/>
  <c r="Q81" i="7"/>
  <c r="Q272" i="7"/>
  <c r="S272" i="7" s="1"/>
  <c r="Q198" i="7"/>
  <c r="S198" i="7" s="1"/>
  <c r="Q156" i="7"/>
  <c r="S156" i="7" s="1"/>
  <c r="Q94" i="7"/>
  <c r="Q153" i="7"/>
  <c r="S153" i="7" s="1"/>
  <c r="Q68" i="7"/>
  <c r="S68" i="7" s="1"/>
  <c r="Q73" i="7"/>
  <c r="S73" i="7" s="1"/>
  <c r="AE269" i="7"/>
  <c r="AE187" i="7"/>
  <c r="AG187" i="7" s="1"/>
  <c r="Q276" i="7"/>
  <c r="S276" i="7" s="1"/>
  <c r="Q159" i="7"/>
  <c r="S159" i="7" s="1"/>
  <c r="Q155" i="7"/>
  <c r="S155" i="7" s="1"/>
  <c r="Q72" i="7"/>
  <c r="S72" i="7" s="1"/>
  <c r="Q277" i="7"/>
  <c r="S277" i="7" s="1"/>
  <c r="Q145" i="7"/>
  <c r="S145" i="7" s="1"/>
  <c r="AE275" i="7"/>
  <c r="AG275" i="7" s="1"/>
  <c r="AE251" i="7"/>
  <c r="AG251" i="7" s="1"/>
  <c r="AE155" i="7"/>
  <c r="AG155" i="7" s="1"/>
  <c r="AE153" i="7"/>
  <c r="AE73" i="7"/>
  <c r="AG73" i="7" s="1"/>
  <c r="Q279" i="7"/>
  <c r="S279" i="7" s="1"/>
  <c r="Q253" i="7"/>
  <c r="S253" i="7" s="1"/>
  <c r="Q161" i="7"/>
  <c r="S161" i="7" s="1"/>
  <c r="Q148" i="7"/>
  <c r="S148" i="7" s="1"/>
  <c r="Q67" i="7"/>
  <c r="S67" i="7" s="1"/>
  <c r="AE321" i="7"/>
  <c r="AG321" i="7" s="1"/>
  <c r="AE92" i="7"/>
  <c r="AE319" i="7"/>
  <c r="AG319" i="7" s="1"/>
  <c r="AE271" i="7"/>
  <c r="AG271" i="7" s="1"/>
  <c r="AE210" i="7"/>
  <c r="AG210" i="7" s="1"/>
  <c r="AE211" i="7"/>
  <c r="AG211" i="7" s="1"/>
  <c r="AE91" i="7"/>
  <c r="AG91" i="7" s="1"/>
  <c r="AE151" i="7"/>
  <c r="AG151" i="7" s="1"/>
  <c r="AE273" i="7"/>
  <c r="AG273" i="7" s="1"/>
  <c r="AE149" i="7"/>
  <c r="AE89" i="7"/>
  <c r="AG89" i="7" s="1"/>
  <c r="AE15" i="7"/>
  <c r="AG15" i="7" s="1"/>
  <c r="Q271" i="7"/>
  <c r="S271" i="7" s="1"/>
  <c r="Q197" i="7"/>
  <c r="Q152" i="7"/>
  <c r="S152" i="7" s="1"/>
  <c r="Q91" i="7"/>
  <c r="S91" i="7" s="1"/>
  <c r="Q17" i="7"/>
  <c r="S17" i="7" s="1"/>
  <c r="AE147" i="7"/>
  <c r="AE51" i="7"/>
  <c r="AG51" i="7" s="1"/>
  <c r="AE88" i="7"/>
  <c r="AG88" i="7" s="1"/>
  <c r="AE274" i="7"/>
  <c r="AG274" i="7" s="1"/>
  <c r="AE253" i="7"/>
  <c r="AG253" i="7" s="1"/>
  <c r="AE213" i="7"/>
  <c r="AG213" i="7" s="1"/>
  <c r="AE154" i="7"/>
  <c r="AG154" i="7" s="1"/>
  <c r="AE126" i="7"/>
  <c r="AG126" i="7" s="1"/>
  <c r="AE87" i="7"/>
  <c r="AG87" i="7" s="1"/>
  <c r="AE276" i="7"/>
  <c r="AG276" i="7" s="1"/>
  <c r="AE18" i="7"/>
  <c r="AG18" i="7" s="1"/>
  <c r="AE318" i="7"/>
  <c r="AG318" i="7" s="1"/>
  <c r="AE206" i="7"/>
  <c r="AG206" i="7" s="1"/>
  <c r="AE96" i="7"/>
  <c r="AG96" i="7" s="1"/>
  <c r="AE161" i="7"/>
  <c r="AG161" i="7" s="1"/>
  <c r="AE65" i="7"/>
  <c r="AG65" i="7" s="1"/>
  <c r="AE66" i="7"/>
  <c r="AG66" i="7" s="1"/>
  <c r="AE197" i="7"/>
  <c r="AG197" i="7" s="1"/>
  <c r="AE157" i="7"/>
  <c r="AG157" i="7" s="1"/>
  <c r="AE209" i="7"/>
  <c r="AG209" i="7" s="1"/>
  <c r="AE145" i="7"/>
  <c r="AE150" i="7"/>
  <c r="AG150" i="7" s="1"/>
  <c r="AE252" i="7"/>
  <c r="AG252" i="7" s="1"/>
  <c r="AE203" i="7"/>
  <c r="AG203" i="7" s="1"/>
  <c r="AE93" i="7"/>
  <c r="AG93" i="7" s="1"/>
  <c r="AE272" i="7"/>
  <c r="AG272" i="7" s="1"/>
  <c r="AE277" i="7"/>
  <c r="AG277" i="7" s="1"/>
  <c r="AE188" i="7"/>
  <c r="AG188" i="7" s="1"/>
  <c r="AE127" i="7"/>
  <c r="AG127" i="7" s="1"/>
  <c r="AE279" i="7"/>
  <c r="AG279" i="7" s="1"/>
  <c r="AE205" i="7"/>
  <c r="AG205" i="7" s="1"/>
  <c r="AE214" i="7"/>
  <c r="AG214" i="7" s="1"/>
  <c r="AE160" i="7"/>
  <c r="AG160" i="7" s="1"/>
  <c r="AE216" i="7"/>
  <c r="AG216" i="7" s="1"/>
  <c r="AE200" i="7"/>
  <c r="AG200" i="7" s="1"/>
  <c r="Q90" i="7"/>
  <c r="S90" i="7" s="1"/>
  <c r="Q15" i="7"/>
  <c r="S15" i="7" s="1"/>
  <c r="Q149" i="7"/>
  <c r="S149" i="7" s="1"/>
  <c r="Q88" i="7"/>
  <c r="S88" i="7" s="1"/>
  <c r="Q158" i="7"/>
  <c r="S158" i="7" s="1"/>
  <c r="Q209" i="7"/>
  <c r="S209" i="7" s="1"/>
  <c r="Q211" i="7"/>
  <c r="S211" i="7" s="1"/>
  <c r="Q216" i="7"/>
  <c r="S216" i="7" s="1"/>
  <c r="Q150" i="7"/>
  <c r="S150" i="7" s="1"/>
  <c r="Q127" i="7"/>
  <c r="S127" i="7" s="1"/>
  <c r="Q74" i="7"/>
  <c r="S74" i="7" s="1"/>
  <c r="Q208" i="7"/>
  <c r="S208" i="7" s="1"/>
  <c r="Q187" i="7"/>
  <c r="S187" i="7" s="1"/>
  <c r="Q93" i="7"/>
  <c r="S93" i="7" s="1"/>
  <c r="Q66" i="7"/>
  <c r="S66" i="7" s="1"/>
  <c r="Q318" i="7"/>
  <c r="Q18" i="7"/>
  <c r="S18" i="7" s="1"/>
  <c r="Q200" i="7"/>
  <c r="S200" i="7" s="1"/>
  <c r="Q126" i="7"/>
  <c r="S126" i="7" s="1"/>
  <c r="Q320" i="7"/>
  <c r="S320" i="7" s="1"/>
  <c r="Q79" i="7"/>
  <c r="S79" i="7" s="1"/>
  <c r="Q210" i="7"/>
  <c r="S210" i="7" s="1"/>
  <c r="AI377" i="7"/>
  <c r="AI378" i="7"/>
  <c r="AI368" i="7"/>
  <c r="AM376" i="7"/>
  <c r="AM379" i="7" s="1"/>
  <c r="AM368" i="7"/>
  <c r="AI376" i="7"/>
  <c r="AE152" i="7"/>
  <c r="AG152" i="7" s="1"/>
  <c r="AE90" i="7"/>
  <c r="AG90" i="7" s="1"/>
  <c r="AE80" i="7"/>
  <c r="AG80" i="7" s="1"/>
  <c r="AE148" i="7"/>
  <c r="AG148" i="7" s="1"/>
  <c r="AE70" i="7"/>
  <c r="AG70" i="7" s="1"/>
  <c r="AE320" i="7"/>
  <c r="AG320" i="7" s="1"/>
  <c r="AE158" i="7"/>
  <c r="AG158" i="7" s="1"/>
  <c r="AE204" i="7"/>
  <c r="AG204" i="7" s="1"/>
  <c r="AE212" i="7"/>
  <c r="AG212" i="7" s="1"/>
  <c r="AE72" i="7"/>
  <c r="AG72" i="7" s="1"/>
  <c r="AG92" i="7"/>
  <c r="AG269" i="7"/>
  <c r="AE215" i="7"/>
  <c r="AG215" i="7" s="1"/>
  <c r="AE69" i="7"/>
  <c r="AG69" i="7" s="1"/>
  <c r="AE135" i="7"/>
  <c r="AG135" i="7" s="1"/>
  <c r="AE82" i="7"/>
  <c r="AG82" i="7" s="1"/>
  <c r="AE198" i="7"/>
  <c r="AG198" i="7" s="1"/>
  <c r="AE78" i="7"/>
  <c r="AG78" i="7" s="1"/>
  <c r="AE16" i="7"/>
  <c r="AG16" i="7" s="1"/>
  <c r="AE74" i="7"/>
  <c r="AG74" i="7" s="1"/>
  <c r="AE94" i="7"/>
  <c r="AG94" i="7" s="1"/>
  <c r="AE208" i="7"/>
  <c r="AG208" i="7" s="1"/>
  <c r="AE366" i="7"/>
  <c r="AG366" i="7" s="1"/>
  <c r="AE55" i="7"/>
  <c r="AG55" i="7" s="1"/>
  <c r="AE292" i="7"/>
  <c r="AG292" i="7" s="1"/>
  <c r="AE83" i="7"/>
  <c r="AG83" i="7" s="1"/>
  <c r="AE243" i="7"/>
  <c r="AG243" i="7" s="1"/>
  <c r="AE364" i="7"/>
  <c r="AG364" i="7" s="1"/>
  <c r="AE99" i="7"/>
  <c r="AG99" i="7" s="1"/>
  <c r="AE52" i="7"/>
  <c r="AG52" i="7" s="1"/>
  <c r="AA368" i="7"/>
  <c r="AA378" i="7"/>
  <c r="AE9" i="7"/>
  <c r="AE97" i="7"/>
  <c r="AG97" i="7" s="1"/>
  <c r="AE54" i="7"/>
  <c r="AG54" i="7" s="1"/>
  <c r="AE333" i="7"/>
  <c r="AG333" i="7" s="1"/>
  <c r="AE244" i="7"/>
  <c r="AG244" i="7" s="1"/>
  <c r="AE57" i="7"/>
  <c r="AG57" i="7" s="1"/>
  <c r="AE101" i="7"/>
  <c r="AG101" i="7" s="1"/>
  <c r="AE133" i="7"/>
  <c r="AG133" i="7" s="1"/>
  <c r="AE139" i="7"/>
  <c r="AG139" i="7" s="1"/>
  <c r="AE162" i="7"/>
  <c r="AG162" i="7" s="1"/>
  <c r="AE167" i="7"/>
  <c r="AG167" i="7" s="1"/>
  <c r="AE125" i="7"/>
  <c r="AG125" i="7" s="1"/>
  <c r="AE129" i="7"/>
  <c r="AG129" i="7" s="1"/>
  <c r="AE132" i="7"/>
  <c r="AG132" i="7" s="1"/>
  <c r="AE77" i="7"/>
  <c r="AG77" i="7" s="1"/>
  <c r="AE118" i="7"/>
  <c r="AG118" i="7" s="1"/>
  <c r="AE171" i="7"/>
  <c r="AG171" i="7" s="1"/>
  <c r="AE236" i="7"/>
  <c r="AG236" i="7" s="1"/>
  <c r="AE302" i="7"/>
  <c r="AG302" i="7" s="1"/>
  <c r="AE313" i="7"/>
  <c r="AG313" i="7" s="1"/>
  <c r="AE340" i="7"/>
  <c r="AG340" i="7" s="1"/>
  <c r="AE358" i="7"/>
  <c r="AG358" i="7" s="1"/>
  <c r="AE239" i="7"/>
  <c r="AG239" i="7" s="1"/>
  <c r="AE260" i="7"/>
  <c r="AG260" i="7" s="1"/>
  <c r="AE347" i="7"/>
  <c r="AG347" i="7" s="1"/>
  <c r="AE360" i="7"/>
  <c r="AG360" i="7" s="1"/>
  <c r="AE190" i="7"/>
  <c r="AG190" i="7" s="1"/>
  <c r="AE194" i="7"/>
  <c r="AG194" i="7" s="1"/>
  <c r="AE223" i="7"/>
  <c r="AG223" i="7" s="1"/>
  <c r="AE227" i="7"/>
  <c r="AG227" i="7" s="1"/>
  <c r="AE337" i="7"/>
  <c r="AG337" i="7" s="1"/>
  <c r="AE354" i="7"/>
  <c r="AG354" i="7" s="1"/>
  <c r="AE246" i="7"/>
  <c r="AG246" i="7" s="1"/>
  <c r="AE265" i="7"/>
  <c r="AG265" i="7" s="1"/>
  <c r="AE328" i="7"/>
  <c r="AG328" i="7" s="1"/>
  <c r="AE344" i="7"/>
  <c r="AG344" i="7" s="1"/>
  <c r="AE86" i="7"/>
  <c r="AG86" i="7" s="1"/>
  <c r="AE156" i="7"/>
  <c r="AG156" i="7" s="1"/>
  <c r="AE317" i="7"/>
  <c r="AG317" i="7" s="1"/>
  <c r="AG145" i="7"/>
  <c r="AE81" i="7"/>
  <c r="AG81" i="7" s="1"/>
  <c r="AA376" i="7"/>
  <c r="AE79" i="7"/>
  <c r="AG79" i="7" s="1"/>
  <c r="AG149" i="7"/>
  <c r="AE67" i="7"/>
  <c r="AG67" i="7" s="1"/>
  <c r="AE49" i="7"/>
  <c r="AG49" i="7" s="1"/>
  <c r="AE363" i="7"/>
  <c r="AG363" i="7" s="1"/>
  <c r="AE283" i="7"/>
  <c r="AG283" i="7" s="1"/>
  <c r="AE10" i="7"/>
  <c r="AA377" i="7"/>
  <c r="AE280" i="7"/>
  <c r="AG280" i="7" s="1"/>
  <c r="AE46" i="7"/>
  <c r="AG46" i="7" s="1"/>
  <c r="AE11" i="7"/>
  <c r="AG11" i="7" s="1"/>
  <c r="AE293" i="7"/>
  <c r="AG293" i="7" s="1"/>
  <c r="AE233" i="7"/>
  <c r="AG233" i="7" s="1"/>
  <c r="AE185" i="7"/>
  <c r="AG185" i="7" s="1"/>
  <c r="AE103" i="7"/>
  <c r="AG103" i="7" s="1"/>
  <c r="AE60" i="7"/>
  <c r="AG60" i="7" s="1"/>
  <c r="AE61" i="7"/>
  <c r="AG61" i="7" s="1"/>
  <c r="AE63" i="7"/>
  <c r="AG63" i="7" s="1"/>
  <c r="AE296" i="7"/>
  <c r="AG296" i="7" s="1"/>
  <c r="AE39" i="7"/>
  <c r="AG39" i="7" s="1"/>
  <c r="AE31" i="7"/>
  <c r="AG31" i="7" s="1"/>
  <c r="AE23" i="7"/>
  <c r="AG23" i="7" s="1"/>
  <c r="AE12" i="7"/>
  <c r="AG12" i="7" s="1"/>
  <c r="AE98" i="7"/>
  <c r="AG98" i="7" s="1"/>
  <c r="AE141" i="7"/>
  <c r="AG141" i="7" s="1"/>
  <c r="AE163" i="7"/>
  <c r="AG163" i="7" s="1"/>
  <c r="AE113" i="7"/>
  <c r="AG113" i="7" s="1"/>
  <c r="AE130" i="7"/>
  <c r="AG130" i="7" s="1"/>
  <c r="AE165" i="7"/>
  <c r="AG165" i="7" s="1"/>
  <c r="AE115" i="7"/>
  <c r="AG115" i="7" s="1"/>
  <c r="AE238" i="7"/>
  <c r="AG238" i="7" s="1"/>
  <c r="AE306" i="7"/>
  <c r="AG306" i="7" s="1"/>
  <c r="AE315" i="7"/>
  <c r="AG315" i="7" s="1"/>
  <c r="AE341" i="7"/>
  <c r="AG341" i="7" s="1"/>
  <c r="AE175" i="7"/>
  <c r="AG175" i="7" s="1"/>
  <c r="AE240" i="7"/>
  <c r="AG240" i="7" s="1"/>
  <c r="AE308" i="7"/>
  <c r="AG308" i="7" s="1"/>
  <c r="AE330" i="7"/>
  <c r="AG330" i="7" s="1"/>
  <c r="AE352" i="7"/>
  <c r="AG352" i="7" s="1"/>
  <c r="AE183" i="7"/>
  <c r="AG183" i="7" s="1"/>
  <c r="AE191" i="7"/>
  <c r="AG191" i="7" s="1"/>
  <c r="AE195" i="7"/>
  <c r="AG195" i="7" s="1"/>
  <c r="AE207" i="7"/>
  <c r="AG207" i="7" s="1"/>
  <c r="AE220" i="7"/>
  <c r="AG220" i="7" s="1"/>
  <c r="AE224" i="7"/>
  <c r="AG224" i="7" s="1"/>
  <c r="AE228" i="7"/>
  <c r="AG228" i="7" s="1"/>
  <c r="AE241" i="7"/>
  <c r="AG241" i="7" s="1"/>
  <c r="AE325" i="7"/>
  <c r="AG325" i="7" s="1"/>
  <c r="AE343" i="7"/>
  <c r="AG343" i="7" s="1"/>
  <c r="AE355" i="7"/>
  <c r="AG355" i="7" s="1"/>
  <c r="AE335" i="7"/>
  <c r="AG335" i="7" s="1"/>
  <c r="AE350" i="7"/>
  <c r="AG350" i="7" s="1"/>
  <c r="AE232" i="7"/>
  <c r="AG232" i="7" s="1"/>
  <c r="AE173" i="7"/>
  <c r="AG173" i="7" s="1"/>
  <c r="AE235" i="7"/>
  <c r="AG235" i="7" s="1"/>
  <c r="AE177" i="7"/>
  <c r="AG177" i="7" s="1"/>
  <c r="AE109" i="7"/>
  <c r="AG109" i="7" s="1"/>
  <c r="AE64" i="7"/>
  <c r="AG64" i="7" s="1"/>
  <c r="AE85" i="7"/>
  <c r="AG85" i="7" s="1"/>
  <c r="AE181" i="7"/>
  <c r="AG181" i="7" s="1"/>
  <c r="AE84" i="7"/>
  <c r="AG84" i="7" s="1"/>
  <c r="AE108" i="7"/>
  <c r="AG108" i="7" s="1"/>
  <c r="AE334" i="7"/>
  <c r="AG334" i="7" s="1"/>
  <c r="AE48" i="7"/>
  <c r="AG48" i="7" s="1"/>
  <c r="AE107" i="7"/>
  <c r="AG107" i="7" s="1"/>
  <c r="AE245" i="7"/>
  <c r="AG245" i="7" s="1"/>
  <c r="AE58" i="7"/>
  <c r="AG58" i="7" s="1"/>
  <c r="AE62" i="7"/>
  <c r="AG62" i="7" s="1"/>
  <c r="AE136" i="7"/>
  <c r="AG136" i="7" s="1"/>
  <c r="AE143" i="7"/>
  <c r="AG143" i="7" s="1"/>
  <c r="AE110" i="7"/>
  <c r="AG110" i="7" s="1"/>
  <c r="AE76" i="7"/>
  <c r="AG76" i="7" s="1"/>
  <c r="AE140" i="7"/>
  <c r="AG140" i="7" s="1"/>
  <c r="AE75" i="7"/>
  <c r="AG75" i="7" s="1"/>
  <c r="AE169" i="7"/>
  <c r="AG169" i="7" s="1"/>
  <c r="AE179" i="7"/>
  <c r="AG179" i="7" s="1"/>
  <c r="AE323" i="7"/>
  <c r="AG323" i="7" s="1"/>
  <c r="AE345" i="7"/>
  <c r="AG345" i="7" s="1"/>
  <c r="AE178" i="7"/>
  <c r="AG178" i="7" s="1"/>
  <c r="AE247" i="7"/>
  <c r="AG247" i="7" s="1"/>
  <c r="AE299" i="7"/>
  <c r="AG299" i="7" s="1"/>
  <c r="AE342" i="7"/>
  <c r="AG342" i="7" s="1"/>
  <c r="AE353" i="7"/>
  <c r="AG353" i="7" s="1"/>
  <c r="AE184" i="7"/>
  <c r="AG184" i="7" s="1"/>
  <c r="AE192" i="7"/>
  <c r="AG192" i="7" s="1"/>
  <c r="AE196" i="7"/>
  <c r="AG196" i="7" s="1"/>
  <c r="AE229" i="7"/>
  <c r="AG229" i="7" s="1"/>
  <c r="AE300" i="7"/>
  <c r="AG300" i="7" s="1"/>
  <c r="AE329" i="7"/>
  <c r="AG329" i="7" s="1"/>
  <c r="AE348" i="7"/>
  <c r="AG348" i="7" s="1"/>
  <c r="AE316" i="7"/>
  <c r="AG316" i="7" s="1"/>
  <c r="AE338" i="7"/>
  <c r="AG338" i="7" s="1"/>
  <c r="AE356" i="7"/>
  <c r="AG356" i="7" s="1"/>
  <c r="AE202" i="7"/>
  <c r="AG202" i="7" s="1"/>
  <c r="AE71" i="7"/>
  <c r="AG71" i="7" s="1"/>
  <c r="AE17" i="7"/>
  <c r="AG17" i="7" s="1"/>
  <c r="AE159" i="7"/>
  <c r="AG159" i="7" s="1"/>
  <c r="AE95" i="7"/>
  <c r="AG95" i="7" s="1"/>
  <c r="AG147" i="7"/>
  <c r="AE50" i="7"/>
  <c r="AG50" i="7" s="1"/>
  <c r="AD368" i="7"/>
  <c r="AD376" i="7"/>
  <c r="AD379" i="7" s="1"/>
  <c r="AG153" i="7"/>
  <c r="AE68" i="7"/>
  <c r="AG68" i="7" s="1"/>
  <c r="AE249" i="7"/>
  <c r="AG249" i="7" s="1"/>
  <c r="AE278" i="7"/>
  <c r="AG278" i="7" s="1"/>
  <c r="AE47" i="7"/>
  <c r="AG47" i="7" s="1"/>
  <c r="AE100" i="7"/>
  <c r="AG100" i="7" s="1"/>
  <c r="AE59" i="7"/>
  <c r="AG59" i="7" s="1"/>
  <c r="AE367" i="7"/>
  <c r="AG367" i="7" s="1"/>
  <c r="AE284" i="7"/>
  <c r="AG284" i="7" s="1"/>
  <c r="AE105" i="7"/>
  <c r="AG105" i="7" s="1"/>
  <c r="AE53" i="7"/>
  <c r="AG53" i="7" s="1"/>
  <c r="AE13" i="7"/>
  <c r="AG13" i="7" s="1"/>
  <c r="AE106" i="7"/>
  <c r="AG106" i="7" s="1"/>
  <c r="AE102" i="7"/>
  <c r="AG102" i="7" s="1"/>
  <c r="AE294" i="7"/>
  <c r="AG294" i="7" s="1"/>
  <c r="AE43" i="7"/>
  <c r="AG43" i="7" s="1"/>
  <c r="AE35" i="7"/>
  <c r="AG35" i="7" s="1"/>
  <c r="AE27" i="7"/>
  <c r="AG27" i="7" s="1"/>
  <c r="AE19" i="7"/>
  <c r="AG19" i="7" s="1"/>
  <c r="AE56" i="7"/>
  <c r="AG56" i="7" s="1"/>
  <c r="AE104" i="7"/>
  <c r="AG104" i="7" s="1"/>
  <c r="AE137" i="7"/>
  <c r="AG137" i="7" s="1"/>
  <c r="AE146" i="7"/>
  <c r="AG146" i="7" s="1"/>
  <c r="AE166" i="7"/>
  <c r="AG166" i="7" s="1"/>
  <c r="AE111" i="7"/>
  <c r="AG111" i="7" s="1"/>
  <c r="AE121" i="7"/>
  <c r="AG121" i="7" s="1"/>
  <c r="AE117" i="7"/>
  <c r="AG117" i="7" s="1"/>
  <c r="AE170" i="7"/>
  <c r="AG170" i="7" s="1"/>
  <c r="AE180" i="7"/>
  <c r="AG180" i="7" s="1"/>
  <c r="AE257" i="7"/>
  <c r="AG257" i="7" s="1"/>
  <c r="AE298" i="7"/>
  <c r="AG298" i="7" s="1"/>
  <c r="AE327" i="7"/>
  <c r="AG327" i="7" s="1"/>
  <c r="AE237" i="7"/>
  <c r="AG237" i="7" s="1"/>
  <c r="AE303" i="7"/>
  <c r="AG303" i="7" s="1"/>
  <c r="AE346" i="7"/>
  <c r="AG346" i="7" s="1"/>
  <c r="AE359" i="7"/>
  <c r="AG359" i="7" s="1"/>
  <c r="AE218" i="7"/>
  <c r="AG218" i="7" s="1"/>
  <c r="AE222" i="7"/>
  <c r="AG222" i="7" s="1"/>
  <c r="AE226" i="7"/>
  <c r="AG226" i="7" s="1"/>
  <c r="AE230" i="7"/>
  <c r="AG230" i="7" s="1"/>
  <c r="AE261" i="7"/>
  <c r="AG261" i="7" s="1"/>
  <c r="AE336" i="7"/>
  <c r="AG336" i="7" s="1"/>
  <c r="AE349" i="7"/>
  <c r="AG349" i="7" s="1"/>
  <c r="AE362" i="7"/>
  <c r="AG362" i="7" s="1"/>
  <c r="AE264" i="7"/>
  <c r="AG264" i="7" s="1"/>
  <c r="AE301" i="7"/>
  <c r="AG301" i="7" s="1"/>
  <c r="AE324" i="7"/>
  <c r="AG324" i="7" s="1"/>
  <c r="AE339" i="7"/>
  <c r="AG339" i="7" s="1"/>
  <c r="AE357" i="7"/>
  <c r="AG357" i="7" s="1"/>
  <c r="Q188" i="7"/>
  <c r="S160" i="7"/>
  <c r="Q212" i="7"/>
  <c r="S212" i="7" s="1"/>
  <c r="Q70" i="7"/>
  <c r="S70" i="7" s="1"/>
  <c r="Q206" i="7"/>
  <c r="S206" i="7" s="1"/>
  <c r="Q214" i="7"/>
  <c r="S214" i="7" s="1"/>
  <c r="Q135" i="7"/>
  <c r="S135" i="7" s="1"/>
  <c r="S94" i="7"/>
  <c r="S188" i="7"/>
  <c r="Q202" i="7"/>
  <c r="S202" i="7" s="1"/>
  <c r="Q215" i="7"/>
  <c r="S215" i="7" s="1"/>
  <c r="Q49" i="7"/>
  <c r="S49" i="7" s="1"/>
  <c r="M376" i="7"/>
  <c r="Q87" i="7"/>
  <c r="S87" i="7" s="1"/>
  <c r="Q121" i="7"/>
  <c r="S121" i="7" s="1"/>
  <c r="Q359" i="7"/>
  <c r="S359" i="7" s="1"/>
  <c r="Q262" i="7"/>
  <c r="S262" i="7" s="1"/>
  <c r="Q348" i="7"/>
  <c r="S348" i="7" s="1"/>
  <c r="Q362" i="7"/>
  <c r="S362" i="7" s="1"/>
  <c r="Q328" i="7"/>
  <c r="S328" i="7" s="1"/>
  <c r="Q220" i="7"/>
  <c r="S220" i="7" s="1"/>
  <c r="Q40" i="7"/>
  <c r="S40" i="7" s="1"/>
  <c r="Q217" i="7"/>
  <c r="S217" i="7" s="1"/>
  <c r="Q169" i="7"/>
  <c r="S169" i="7" s="1"/>
  <c r="Q24" i="7"/>
  <c r="S24" i="7" s="1"/>
  <c r="Q162" i="7"/>
  <c r="S162" i="7" s="1"/>
  <c r="Q116" i="7"/>
  <c r="S116" i="7" s="1"/>
  <c r="Q38" i="7"/>
  <c r="S38" i="7" s="1"/>
  <c r="Q25" i="7"/>
  <c r="S25" i="7" s="1"/>
  <c r="Q23" i="7"/>
  <c r="S23" i="7" s="1"/>
  <c r="Q37" i="7"/>
  <c r="S37" i="7" s="1"/>
  <c r="Q43" i="7"/>
  <c r="S43" i="7" s="1"/>
  <c r="Q166" i="7"/>
  <c r="S166" i="7" s="1"/>
  <c r="Q120" i="7"/>
  <c r="S120" i="7" s="1"/>
  <c r="Q178" i="7"/>
  <c r="S178" i="7" s="1"/>
  <c r="Q33" i="7"/>
  <c r="S33" i="7" s="1"/>
  <c r="Q39" i="7"/>
  <c r="S39" i="7" s="1"/>
  <c r="Q334" i="7"/>
  <c r="S334" i="7" s="1"/>
  <c r="Q63" i="7"/>
  <c r="S63" i="7" s="1"/>
  <c r="Q341" i="7"/>
  <c r="S341" i="7" s="1"/>
  <c r="Q367" i="7"/>
  <c r="S367" i="7" s="1"/>
  <c r="Q98" i="7"/>
  <c r="S98" i="7" s="1"/>
  <c r="Q115" i="7"/>
  <c r="S115" i="7" s="1"/>
  <c r="Q264" i="7"/>
  <c r="S264" i="7" s="1"/>
  <c r="Q333" i="7"/>
  <c r="S333" i="7" s="1"/>
  <c r="Q54" i="7"/>
  <c r="S54" i="7" s="1"/>
  <c r="Q104" i="7"/>
  <c r="S104" i="7" s="1"/>
  <c r="Q241" i="7"/>
  <c r="S241" i="7" s="1"/>
  <c r="Q340" i="7"/>
  <c r="S340" i="7" s="1"/>
  <c r="Q57" i="7"/>
  <c r="S57" i="7" s="1"/>
  <c r="Q108" i="7"/>
  <c r="S108" i="7" s="1"/>
  <c r="Q234" i="7"/>
  <c r="S234" i="7" s="1"/>
  <c r="Q298" i="7"/>
  <c r="S298" i="7" s="1"/>
  <c r="Q313" i="7"/>
  <c r="S313" i="7" s="1"/>
  <c r="S318" i="7"/>
  <c r="S147" i="7"/>
  <c r="Q82" i="7"/>
  <c r="S82" i="7" s="1"/>
  <c r="Q273" i="7"/>
  <c r="S273" i="7" s="1"/>
  <c r="S81" i="7"/>
  <c r="Q16" i="7"/>
  <c r="S16" i="7" s="1"/>
  <c r="Q251" i="7"/>
  <c r="S251" i="7" s="1"/>
  <c r="Q203" i="7"/>
  <c r="S203" i="7" s="1"/>
  <c r="Q80" i="7"/>
  <c r="S80" i="7" s="1"/>
  <c r="Q50" i="7"/>
  <c r="S50" i="7" s="1"/>
  <c r="S197" i="7"/>
  <c r="Q250" i="7"/>
  <c r="S250" i="7" s="1"/>
  <c r="Q346" i="7"/>
  <c r="S346" i="7" s="1"/>
  <c r="Q258" i="7"/>
  <c r="S258" i="7" s="1"/>
  <c r="Q191" i="7"/>
  <c r="S191" i="7" s="1"/>
  <c r="Q14" i="7"/>
  <c r="S14" i="7" s="1"/>
  <c r="Q343" i="7"/>
  <c r="S343" i="7" s="1"/>
  <c r="Q356" i="7"/>
  <c r="S356" i="7" s="1"/>
  <c r="Q195" i="7"/>
  <c r="S195" i="7" s="1"/>
  <c r="Q27" i="7"/>
  <c r="S27" i="7" s="1"/>
  <c r="Q231" i="7"/>
  <c r="S231" i="7" s="1"/>
  <c r="Q13" i="7"/>
  <c r="S13" i="7" s="1"/>
  <c r="Q350" i="7"/>
  <c r="S350" i="7" s="1"/>
  <c r="Q308" i="7"/>
  <c r="S308" i="7" s="1"/>
  <c r="Q199" i="7"/>
  <c r="S199" i="7" s="1"/>
  <c r="Q179" i="7"/>
  <c r="S179" i="7" s="1"/>
  <c r="Q237" i="7"/>
  <c r="S237" i="7" s="1"/>
  <c r="Q31" i="7"/>
  <c r="S31" i="7" s="1"/>
  <c r="Q146" i="7"/>
  <c r="S146" i="7" s="1"/>
  <c r="Q22" i="7"/>
  <c r="S22" i="7" s="1"/>
  <c r="Q36" i="7"/>
  <c r="S36" i="7" s="1"/>
  <c r="Q21" i="7"/>
  <c r="S21" i="7" s="1"/>
  <c r="Q12" i="7"/>
  <c r="S12" i="7" s="1"/>
  <c r="Q142" i="7"/>
  <c r="S142" i="7" s="1"/>
  <c r="Q112" i="7"/>
  <c r="S112" i="7" s="1"/>
  <c r="Q30" i="7"/>
  <c r="S30" i="7" s="1"/>
  <c r="Q44" i="7"/>
  <c r="S44" i="7" s="1"/>
  <c r="Q11" i="7"/>
  <c r="S11" i="7" s="1"/>
  <c r="Q130" i="7"/>
  <c r="S130" i="7" s="1"/>
  <c r="Q365" i="7"/>
  <c r="S365" i="7" s="1"/>
  <c r="Q255" i="7"/>
  <c r="S255" i="7" s="1"/>
  <c r="Q83" i="7"/>
  <c r="S83" i="7" s="1"/>
  <c r="Q99" i="7"/>
  <c r="S99" i="7" s="1"/>
  <c r="Q267" i="7"/>
  <c r="S267" i="7" s="1"/>
  <c r="Q366" i="7"/>
  <c r="S366" i="7" s="1"/>
  <c r="Q55" i="7"/>
  <c r="S55" i="7" s="1"/>
  <c r="Q105" i="7"/>
  <c r="S105" i="7" s="1"/>
  <c r="Q245" i="7"/>
  <c r="S245" i="7" s="1"/>
  <c r="Q309" i="7"/>
  <c r="S309" i="7" s="1"/>
  <c r="Q58" i="7"/>
  <c r="S58" i="7" s="1"/>
  <c r="Q109" i="7"/>
  <c r="S109" i="7" s="1"/>
  <c r="Q248" i="7"/>
  <c r="S248" i="7" s="1"/>
  <c r="Q51" i="7"/>
  <c r="S51" i="7" s="1"/>
  <c r="Q89" i="7"/>
  <c r="S89" i="7" s="1"/>
  <c r="Q319" i="7"/>
  <c r="S319" i="7" s="1"/>
  <c r="P376" i="7"/>
  <c r="P379" i="7" s="1"/>
  <c r="P368" i="7"/>
  <c r="Q227" i="7"/>
  <c r="S227" i="7" s="1"/>
  <c r="M377" i="7"/>
  <c r="Q10" i="7"/>
  <c r="S10" i="7" s="1"/>
  <c r="Q270" i="7"/>
  <c r="S270" i="7" s="1"/>
  <c r="Q254" i="7"/>
  <c r="S254" i="7" s="1"/>
  <c r="Q26" i="7"/>
  <c r="S26" i="7" s="1"/>
  <c r="Q29" i="7"/>
  <c r="S29" i="7" s="1"/>
  <c r="Q358" i="7"/>
  <c r="S358" i="7" s="1"/>
  <c r="Q222" i="7"/>
  <c r="S222" i="7" s="1"/>
  <c r="Q124" i="7"/>
  <c r="S124" i="7" s="1"/>
  <c r="Q344" i="7"/>
  <c r="S344" i="7" s="1"/>
  <c r="Q243" i="7"/>
  <c r="S243" i="7" s="1"/>
  <c r="Q223" i="7"/>
  <c r="S223" i="7" s="1"/>
  <c r="Q351" i="7"/>
  <c r="S351" i="7" s="1"/>
  <c r="Q361" i="7"/>
  <c r="S361" i="7" s="1"/>
  <c r="Q261" i="7"/>
  <c r="S261" i="7" s="1"/>
  <c r="Q242" i="7"/>
  <c r="S242" i="7" s="1"/>
  <c r="Q190" i="7"/>
  <c r="S190" i="7" s="1"/>
  <c r="Q176" i="7"/>
  <c r="S176" i="7" s="1"/>
  <c r="Q42" i="7"/>
  <c r="S42" i="7" s="1"/>
  <c r="Q138" i="7"/>
  <c r="S138" i="7" s="1"/>
  <c r="Q185" i="7"/>
  <c r="S185" i="7" s="1"/>
  <c r="Q181" i="7"/>
  <c r="S181" i="7" s="1"/>
  <c r="Q20" i="7"/>
  <c r="S20" i="7" s="1"/>
  <c r="Q163" i="7"/>
  <c r="S163" i="7" s="1"/>
  <c r="Q133" i="7"/>
  <c r="S133" i="7" s="1"/>
  <c r="Q34" i="7"/>
  <c r="S34" i="7" s="1"/>
  <c r="Q32" i="7"/>
  <c r="S32" i="7" s="1"/>
  <c r="Q19" i="7"/>
  <c r="S19" i="7" s="1"/>
  <c r="Q134" i="7"/>
  <c r="S134" i="7" s="1"/>
  <c r="Q332" i="7"/>
  <c r="S332" i="7" s="1"/>
  <c r="Q28" i="7"/>
  <c r="S28" i="7" s="1"/>
  <c r="Q46" i="7"/>
  <c r="S46" i="7" s="1"/>
  <c r="Q61" i="7"/>
  <c r="S61" i="7" s="1"/>
  <c r="Q235" i="7"/>
  <c r="S235" i="7" s="1"/>
  <c r="Q47" i="7"/>
  <c r="S47" i="7" s="1"/>
  <c r="Q363" i="7"/>
  <c r="S363" i="7" s="1"/>
  <c r="Q84" i="7"/>
  <c r="S84" i="7" s="1"/>
  <c r="Q100" i="7"/>
  <c r="S100" i="7" s="1"/>
  <c r="Q114" i="7"/>
  <c r="S114" i="7" s="1"/>
  <c r="Q310" i="7"/>
  <c r="S310" i="7" s="1"/>
  <c r="Q59" i="7"/>
  <c r="S59" i="7" s="1"/>
  <c r="Q106" i="7"/>
  <c r="S106" i="7" s="1"/>
  <c r="Q300" i="7"/>
  <c r="S300" i="7" s="1"/>
  <c r="Q125" i="7"/>
  <c r="S125" i="7" s="1"/>
  <c r="M378" i="7"/>
  <c r="M368" i="7"/>
  <c r="Q9" i="7"/>
  <c r="S9" i="7" s="1"/>
  <c r="Q266" i="7"/>
  <c r="S266" i="7" s="1"/>
  <c r="Q219" i="7"/>
  <c r="S219" i="7" s="1"/>
  <c r="Q352" i="7"/>
  <c r="S352" i="7" s="1"/>
  <c r="Q342" i="7"/>
  <c r="S342" i="7" s="1"/>
  <c r="Q355" i="7"/>
  <c r="S355" i="7" s="1"/>
  <c r="Q177" i="7"/>
  <c r="S177" i="7" s="1"/>
  <c r="Q312" i="7"/>
  <c r="S312" i="7" s="1"/>
  <c r="Q207" i="7"/>
  <c r="S207" i="7" s="1"/>
  <c r="Q143" i="7"/>
  <c r="S143" i="7" s="1"/>
  <c r="Q357" i="7"/>
  <c r="S357" i="7" s="1"/>
  <c r="Q336" i="7"/>
  <c r="S336" i="7" s="1"/>
  <c r="Q189" i="7"/>
  <c r="S189" i="7" s="1"/>
  <c r="Q260" i="7"/>
  <c r="S260" i="7" s="1"/>
  <c r="Q45" i="7"/>
  <c r="S45" i="7" s="1"/>
  <c r="Q170" i="7"/>
  <c r="S170" i="7" s="1"/>
  <c r="Q128" i="7"/>
  <c r="S128" i="7" s="1"/>
  <c r="Q174" i="7"/>
  <c r="S174" i="7" s="1"/>
  <c r="Q41" i="7"/>
  <c r="S41" i="7" s="1"/>
  <c r="Q331" i="7"/>
  <c r="S331" i="7" s="1"/>
  <c r="Q132" i="7"/>
  <c r="S132" i="7" s="1"/>
  <c r="Q173" i="7"/>
  <c r="S173" i="7" s="1"/>
  <c r="Q35" i="7"/>
  <c r="S35" i="7" s="1"/>
  <c r="Q97" i="7"/>
  <c r="S97" i="7" s="1"/>
  <c r="Q62" i="7"/>
  <c r="S62" i="7" s="1"/>
  <c r="Q244" i="7"/>
  <c r="S244" i="7" s="1"/>
  <c r="Q303" i="7"/>
  <c r="S303" i="7" s="1"/>
  <c r="Q110" i="7"/>
  <c r="S110" i="7" s="1"/>
  <c r="Q48" i="7"/>
  <c r="S48" i="7" s="1"/>
  <c r="Q85" i="7"/>
  <c r="S85" i="7" s="1"/>
  <c r="Q101" i="7"/>
  <c r="S101" i="7" s="1"/>
  <c r="Q306" i="7"/>
  <c r="S306" i="7" s="1"/>
  <c r="Q53" i="7"/>
  <c r="S53" i="7" s="1"/>
  <c r="Q103" i="7"/>
  <c r="S103" i="7" s="1"/>
  <c r="Q301" i="7"/>
  <c r="S301" i="7" s="1"/>
  <c r="Q107" i="7"/>
  <c r="S107" i="7" s="1"/>
  <c r="Q131" i="7"/>
  <c r="S131" i="7" s="1"/>
  <c r="Q259" i="7"/>
  <c r="S259" i="7" s="1"/>
  <c r="Q304" i="7"/>
  <c r="S304" i="7" s="1"/>
  <c r="Q364" i="7"/>
  <c r="S364" i="7" s="1"/>
  <c r="Q92" i="7"/>
  <c r="S92" i="7" s="1"/>
  <c r="E376" i="7"/>
  <c r="H368" i="7"/>
  <c r="H376" i="7"/>
  <c r="H379" i="7" s="1"/>
  <c r="E377" i="7"/>
  <c r="E368" i="7"/>
  <c r="E378" i="7"/>
  <c r="AI379" i="7" l="1"/>
  <c r="AA379" i="7"/>
  <c r="AG376" i="7"/>
  <c r="AE376" i="7"/>
  <c r="AE378" i="7"/>
  <c r="AE368" i="7"/>
  <c r="AE377" i="7"/>
  <c r="AG10" i="7"/>
  <c r="AG377" i="7" s="1"/>
  <c r="AG9" i="7"/>
  <c r="Q376" i="7"/>
  <c r="S377" i="7"/>
  <c r="S376" i="7"/>
  <c r="S378" i="7"/>
  <c r="S368" i="7"/>
  <c r="Q377" i="7"/>
  <c r="M379" i="7"/>
  <c r="Q378" i="7"/>
  <c r="Q368" i="7"/>
  <c r="E379" i="7"/>
  <c r="Q379" i="7" l="1"/>
  <c r="AG368" i="7"/>
  <c r="AG378" i="7"/>
  <c r="AG379" i="7" s="1"/>
  <c r="AE379" i="7"/>
  <c r="S379" i="7"/>
  <c r="H130" i="23" l="1"/>
  <c r="H129" i="23"/>
  <c r="H128" i="23"/>
  <c r="H127" i="23"/>
  <c r="H126" i="23"/>
  <c r="H125" i="23"/>
  <c r="H124" i="23"/>
  <c r="H123" i="23"/>
  <c r="H122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H10" i="23"/>
  <c r="H9" i="23"/>
  <c r="H8" i="23"/>
  <c r="H7" i="23"/>
  <c r="H6" i="23"/>
  <c r="H5" i="23"/>
  <c r="H4" i="23"/>
  <c r="H3" i="23"/>
  <c r="H2" i="23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C151" i="23" l="1"/>
  <c r="C152" i="23"/>
  <c r="C150" i="23"/>
  <c r="G152" i="23"/>
  <c r="G151" i="23"/>
  <c r="G150" i="23"/>
  <c r="E152" i="23"/>
  <c r="D151" i="23"/>
  <c r="E150" i="23"/>
  <c r="F150" i="23"/>
  <c r="E151" i="23"/>
  <c r="D150" i="23"/>
  <c r="F152" i="23"/>
  <c r="F151" i="23"/>
  <c r="D152" i="23"/>
  <c r="G153" i="23" l="1"/>
  <c r="C153" i="23"/>
  <c r="D153" i="23"/>
  <c r="F153" i="23"/>
  <c r="E153" i="23"/>
  <c r="DC377" i="1"/>
  <c r="E271" i="1"/>
  <c r="E164" i="1"/>
  <c r="E163" i="1"/>
  <c r="C163" i="7" l="1"/>
  <c r="C164" i="7"/>
  <c r="C271" i="7"/>
  <c r="E255" i="1"/>
  <c r="E12" i="1"/>
  <c r="E72" i="1"/>
  <c r="E54" i="1"/>
  <c r="E56" i="1"/>
  <c r="E62" i="1"/>
  <c r="E155" i="1"/>
  <c r="E160" i="1"/>
  <c r="E278" i="1"/>
  <c r="E291" i="1"/>
  <c r="E295" i="1"/>
  <c r="E303" i="1"/>
  <c r="E367" i="1"/>
  <c r="E363" i="1"/>
  <c r="E299" i="1"/>
  <c r="E24" i="1"/>
  <c r="E26" i="1"/>
  <c r="E77" i="1"/>
  <c r="E133" i="1"/>
  <c r="E174" i="1"/>
  <c r="E178" i="1"/>
  <c r="E194" i="1"/>
  <c r="E223" i="1"/>
  <c r="E229" i="1"/>
  <c r="E267" i="1"/>
  <c r="E104" i="1"/>
  <c r="E13" i="1"/>
  <c r="E18" i="1"/>
  <c r="E20" i="1"/>
  <c r="E44" i="1"/>
  <c r="E49" i="1"/>
  <c r="E53" i="1"/>
  <c r="E142" i="1"/>
  <c r="E144" i="1"/>
  <c r="E184" i="1"/>
  <c r="E189" i="1"/>
  <c r="E191" i="1"/>
  <c r="E224" i="1"/>
  <c r="E228" i="1"/>
  <c r="E256" i="1"/>
  <c r="E276" i="1"/>
  <c r="E325" i="1"/>
  <c r="E333" i="1"/>
  <c r="E91" i="1"/>
  <c r="E95" i="1"/>
  <c r="E100" i="1"/>
  <c r="E161" i="1"/>
  <c r="E221" i="1"/>
  <c r="E254" i="1"/>
  <c r="E258" i="1"/>
  <c r="E282" i="1"/>
  <c r="E349" i="1"/>
  <c r="E90" i="1"/>
  <c r="E9" i="1"/>
  <c r="E41" i="1"/>
  <c r="E45" i="1"/>
  <c r="E85" i="1"/>
  <c r="E147" i="1"/>
  <c r="E165" i="1"/>
  <c r="E253" i="1"/>
  <c r="E257" i="1"/>
  <c r="E264" i="1"/>
  <c r="E288" i="1"/>
  <c r="E296" i="1"/>
  <c r="E32" i="1"/>
  <c r="E67" i="1"/>
  <c r="E80" i="1"/>
  <c r="E105" i="1"/>
  <c r="E109" i="1"/>
  <c r="E129" i="1"/>
  <c r="E138" i="1"/>
  <c r="E169" i="1"/>
  <c r="E173" i="1"/>
  <c r="E186" i="1"/>
  <c r="E213" i="1"/>
  <c r="E234" i="1"/>
  <c r="E236" i="1"/>
  <c r="E242" i="1"/>
  <c r="E244" i="1"/>
  <c r="E250" i="1"/>
  <c r="E252" i="1"/>
  <c r="E283" i="1"/>
  <c r="E305" i="1"/>
  <c r="E311" i="1"/>
  <c r="E319" i="1"/>
  <c r="E321" i="1"/>
  <c r="E361" i="1"/>
  <c r="E75" i="1"/>
  <c r="E84" i="1"/>
  <c r="E94" i="1"/>
  <c r="E127" i="1"/>
  <c r="E281" i="1"/>
  <c r="E324" i="1"/>
  <c r="E353" i="1"/>
  <c r="E357" i="1"/>
  <c r="E11" i="1"/>
  <c r="E16" i="1"/>
  <c r="E29" i="1"/>
  <c r="E33" i="1"/>
  <c r="E46" i="1"/>
  <c r="E48" i="1"/>
  <c r="E50" i="1"/>
  <c r="E52" i="1"/>
  <c r="E66" i="1"/>
  <c r="E71" i="1"/>
  <c r="E79" i="1"/>
  <c r="E97" i="1"/>
  <c r="E115" i="1"/>
  <c r="E119" i="1"/>
  <c r="E123" i="1"/>
  <c r="E130" i="1"/>
  <c r="E139" i="1"/>
  <c r="E141" i="1"/>
  <c r="E182" i="1"/>
  <c r="E187" i="1"/>
  <c r="E201" i="1"/>
  <c r="E211" i="1"/>
  <c r="E237" i="1"/>
  <c r="E241" i="1"/>
  <c r="E243" i="1"/>
  <c r="E249" i="1"/>
  <c r="E263" i="1"/>
  <c r="E265" i="1"/>
  <c r="E270" i="1"/>
  <c r="E323" i="1"/>
  <c r="E350" i="1"/>
  <c r="E354" i="1"/>
  <c r="E358" i="1"/>
  <c r="E362" i="1"/>
  <c r="E39" i="1"/>
  <c r="E60" i="1"/>
  <c r="E73" i="1"/>
  <c r="E166" i="1"/>
  <c r="E170" i="1"/>
  <c r="E199" i="1"/>
  <c r="E245" i="1"/>
  <c r="E259" i="1"/>
  <c r="E63" i="1"/>
  <c r="E74" i="1"/>
  <c r="E152" i="1"/>
  <c r="E203" i="1"/>
  <c r="E210" i="1"/>
  <c r="E214" i="1"/>
  <c r="E216" i="1"/>
  <c r="E219" i="1"/>
  <c r="E286" i="1"/>
  <c r="E307" i="1"/>
  <c r="E315" i="1"/>
  <c r="E365" i="1"/>
  <c r="E31" i="1"/>
  <c r="E35" i="1"/>
  <c r="E82" i="1"/>
  <c r="E118" i="1"/>
  <c r="E122" i="1"/>
  <c r="E14" i="1"/>
  <c r="E19" i="1"/>
  <c r="E21" i="1"/>
  <c r="E28" i="1"/>
  <c r="E57" i="1"/>
  <c r="E65" i="1"/>
  <c r="E76" i="1"/>
  <c r="E101" i="1"/>
  <c r="E108" i="1"/>
  <c r="E112" i="1"/>
  <c r="E114" i="1"/>
  <c r="E128" i="1"/>
  <c r="E134" i="1"/>
  <c r="E143" i="1"/>
  <c r="E148" i="1"/>
  <c r="E151" i="1"/>
  <c r="E158" i="1"/>
  <c r="E162" i="1"/>
  <c r="E177" i="1"/>
  <c r="E185" i="1"/>
  <c r="E190" i="1"/>
  <c r="E192" i="1"/>
  <c r="E198" i="1"/>
  <c r="E202" i="1"/>
  <c r="E206" i="1"/>
  <c r="E209" i="1"/>
  <c r="E212" i="1"/>
  <c r="E220" i="1"/>
  <c r="E222" i="1"/>
  <c r="E233" i="1"/>
  <c r="E262" i="1"/>
  <c r="E275" i="1"/>
  <c r="E277" i="1"/>
  <c r="E287" i="1"/>
  <c r="E289" i="1"/>
  <c r="E294" i="1"/>
  <c r="E304" i="1"/>
  <c r="E306" i="1"/>
  <c r="E312" i="1"/>
  <c r="E314" i="1"/>
  <c r="E320" i="1"/>
  <c r="E322" i="1"/>
  <c r="E351" i="1"/>
  <c r="E355" i="1"/>
  <c r="E359" i="1"/>
  <c r="E15" i="1"/>
  <c r="E126" i="1"/>
  <c r="E135" i="1"/>
  <c r="E149" i="1"/>
  <c r="E153" i="1"/>
  <c r="E43" i="1"/>
  <c r="E93" i="1"/>
  <c r="E113" i="1"/>
  <c r="E183" i="1"/>
  <c r="E204" i="1"/>
  <c r="E230" i="1"/>
  <c r="E327" i="1"/>
  <c r="E330" i="1"/>
  <c r="E22" i="1"/>
  <c r="E42" i="1"/>
  <c r="E70" i="1"/>
  <c r="E86" i="1"/>
  <c r="E92" i="1"/>
  <c r="E96" i="1"/>
  <c r="E200" i="1"/>
  <c r="E272" i="1"/>
  <c r="E334" i="1"/>
  <c r="E340" i="1"/>
  <c r="E344" i="1"/>
  <c r="E348" i="1"/>
  <c r="E23" i="1"/>
  <c r="E36" i="1"/>
  <c r="E38" i="1"/>
  <c r="E40" i="1"/>
  <c r="E47" i="1"/>
  <c r="E78" i="1"/>
  <c r="E81" i="1"/>
  <c r="E83" i="1"/>
  <c r="E87" i="1"/>
  <c r="E136" i="1"/>
  <c r="E146" i="1"/>
  <c r="E150" i="1"/>
  <c r="E154" i="1"/>
  <c r="E157" i="1"/>
  <c r="E168" i="1"/>
  <c r="E171" i="1"/>
  <c r="E176" i="1"/>
  <c r="E179" i="1"/>
  <c r="E193" i="1"/>
  <c r="E195" i="1"/>
  <c r="E205" i="1"/>
  <c r="E208" i="1"/>
  <c r="E215" i="1"/>
  <c r="E218" i="1"/>
  <c r="E225" i="1"/>
  <c r="E227" i="1"/>
  <c r="E232" i="1"/>
  <c r="E239" i="1"/>
  <c r="E246" i="1"/>
  <c r="E248" i="1"/>
  <c r="E261" i="1"/>
  <c r="E266" i="1"/>
  <c r="E268" i="1"/>
  <c r="E273" i="1"/>
  <c r="E285" i="1"/>
  <c r="E290" i="1"/>
  <c r="E292" i="1"/>
  <c r="E301" i="1"/>
  <c r="E308" i="1"/>
  <c r="E310" i="1"/>
  <c r="E317" i="1"/>
  <c r="E326" i="1"/>
  <c r="E329" i="1"/>
  <c r="E332" i="1"/>
  <c r="E335" i="1"/>
  <c r="E337" i="1"/>
  <c r="E341" i="1"/>
  <c r="E345" i="1"/>
  <c r="E360" i="1"/>
  <c r="E25" i="1"/>
  <c r="E27" i="1"/>
  <c r="E37" i="1"/>
  <c r="E51" i="1"/>
  <c r="E59" i="1"/>
  <c r="E61" i="1"/>
  <c r="E64" i="1"/>
  <c r="E68" i="1"/>
  <c r="E132" i="1"/>
  <c r="E156" i="1"/>
  <c r="E159" i="1"/>
  <c r="E167" i="1"/>
  <c r="E172" i="1"/>
  <c r="E175" i="1"/>
  <c r="E180" i="1"/>
  <c r="E181" i="1"/>
  <c r="E196" i="1"/>
  <c r="E197" i="1"/>
  <c r="E207" i="1"/>
  <c r="E217" i="1"/>
  <c r="E226" i="1"/>
  <c r="E231" i="1"/>
  <c r="E238" i="1"/>
  <c r="E240" i="1"/>
  <c r="E247" i="1"/>
  <c r="E260" i="1"/>
  <c r="E269" i="1"/>
  <c r="E274" i="1"/>
  <c r="E280" i="1"/>
  <c r="E284" i="1"/>
  <c r="E293" i="1"/>
  <c r="E298" i="1"/>
  <c r="E300" i="1"/>
  <c r="E302" i="1"/>
  <c r="E309" i="1"/>
  <c r="E316" i="1"/>
  <c r="E318" i="1"/>
  <c r="E328" i="1"/>
  <c r="E331" i="1"/>
  <c r="E336" i="1"/>
  <c r="E356" i="1"/>
  <c r="E364" i="1"/>
  <c r="E366" i="1"/>
  <c r="E88" i="1"/>
  <c r="E10" i="1"/>
  <c r="E30" i="1"/>
  <c r="E58" i="1"/>
  <c r="E99" i="1"/>
  <c r="E102" i="1"/>
  <c r="E107" i="1"/>
  <c r="E110" i="1"/>
  <c r="E117" i="1"/>
  <c r="E120" i="1"/>
  <c r="E125" i="1"/>
  <c r="E339" i="1"/>
  <c r="E343" i="1"/>
  <c r="E347" i="1"/>
  <c r="H368" i="1"/>
  <c r="G368" i="1"/>
  <c r="E17" i="1"/>
  <c r="E34" i="1"/>
  <c r="E55" i="1"/>
  <c r="E69" i="1"/>
  <c r="E89" i="1"/>
  <c r="E98" i="1"/>
  <c r="E103" i="1"/>
  <c r="E106" i="1"/>
  <c r="E111" i="1"/>
  <c r="E116" i="1"/>
  <c r="E121" i="1"/>
  <c r="E124" i="1"/>
  <c r="E131" i="1"/>
  <c r="E137" i="1"/>
  <c r="E140" i="1"/>
  <c r="E145" i="1"/>
  <c r="E188" i="1"/>
  <c r="E235" i="1"/>
  <c r="E251" i="1"/>
  <c r="E279" i="1"/>
  <c r="E297" i="1"/>
  <c r="E313" i="1"/>
  <c r="E338" i="1"/>
  <c r="E342" i="1"/>
  <c r="E346" i="1"/>
  <c r="E352" i="1"/>
  <c r="C90" i="7" l="1"/>
  <c r="C254" i="7"/>
  <c r="C95" i="7"/>
  <c r="C276" i="7"/>
  <c r="C191" i="7"/>
  <c r="C142" i="7"/>
  <c r="C20" i="7"/>
  <c r="C267" i="7"/>
  <c r="C178" i="7"/>
  <c r="C26" i="7"/>
  <c r="C367" i="7"/>
  <c r="C278" i="7"/>
  <c r="C56" i="7"/>
  <c r="C255" i="7"/>
  <c r="C356" i="7"/>
  <c r="C300" i="7"/>
  <c r="C226" i="7"/>
  <c r="C132" i="7"/>
  <c r="C25" i="7"/>
  <c r="C301" i="7"/>
  <c r="C248" i="7"/>
  <c r="C208" i="7"/>
  <c r="C179" i="7"/>
  <c r="C136" i="7"/>
  <c r="C36" i="7"/>
  <c r="C340" i="7"/>
  <c r="C42" i="7"/>
  <c r="C93" i="7"/>
  <c r="C355" i="7"/>
  <c r="C294" i="7"/>
  <c r="C220" i="7"/>
  <c r="C185" i="7"/>
  <c r="C128" i="7"/>
  <c r="C122" i="7"/>
  <c r="C31" i="7"/>
  <c r="C210" i="7"/>
  <c r="C170" i="7"/>
  <c r="C39" i="7"/>
  <c r="C263" i="7"/>
  <c r="C182" i="7"/>
  <c r="C123" i="7"/>
  <c r="C50" i="7"/>
  <c r="C353" i="7"/>
  <c r="C321" i="7"/>
  <c r="C283" i="7"/>
  <c r="C186" i="7"/>
  <c r="C129" i="7"/>
  <c r="C147" i="7"/>
  <c r="C12" i="7"/>
  <c r="C339" i="7"/>
  <c r="C110" i="7"/>
  <c r="C88" i="7"/>
  <c r="C336" i="7"/>
  <c r="C298" i="7"/>
  <c r="C240" i="7"/>
  <c r="C181" i="7"/>
  <c r="C68" i="7"/>
  <c r="C51" i="7"/>
  <c r="C335" i="7"/>
  <c r="C292" i="7"/>
  <c r="C246" i="7"/>
  <c r="C205" i="7"/>
  <c r="C87" i="7"/>
  <c r="C262" i="7"/>
  <c r="C125" i="7"/>
  <c r="C107" i="7"/>
  <c r="C30" i="7"/>
  <c r="C366" i="7"/>
  <c r="C331" i="7"/>
  <c r="C309" i="7"/>
  <c r="C293" i="7"/>
  <c r="C269" i="7"/>
  <c r="C238" i="7"/>
  <c r="C207" i="7"/>
  <c r="C180" i="7"/>
  <c r="C159" i="7"/>
  <c r="C64" i="7"/>
  <c r="C37" i="7"/>
  <c r="C345" i="7"/>
  <c r="C332" i="7"/>
  <c r="C310" i="7"/>
  <c r="C290" i="7"/>
  <c r="C266" i="7"/>
  <c r="C239" i="7"/>
  <c r="C218" i="7"/>
  <c r="C195" i="7"/>
  <c r="C171" i="7"/>
  <c r="C150" i="7"/>
  <c r="C83" i="7"/>
  <c r="C40" i="7"/>
  <c r="C348" i="7"/>
  <c r="C272" i="7"/>
  <c r="C86" i="7"/>
  <c r="C330" i="7"/>
  <c r="C183" i="7"/>
  <c r="C153" i="7"/>
  <c r="C15" i="7"/>
  <c r="C322" i="7"/>
  <c r="C306" i="7"/>
  <c r="C287" i="7"/>
  <c r="C233" i="7"/>
  <c r="C209" i="7"/>
  <c r="C192" i="7"/>
  <c r="C162" i="7"/>
  <c r="C143" i="7"/>
  <c r="C112" i="7"/>
  <c r="C65" i="7"/>
  <c r="C19" i="7"/>
  <c r="C82" i="7"/>
  <c r="C315" i="7"/>
  <c r="C216" i="7"/>
  <c r="C152" i="7"/>
  <c r="C245" i="7"/>
  <c r="C73" i="7"/>
  <c r="C358" i="7"/>
  <c r="C270" i="7"/>
  <c r="C243" i="7"/>
  <c r="C201" i="7"/>
  <c r="C139" i="7"/>
  <c r="C115" i="7"/>
  <c r="C66" i="7"/>
  <c r="C46" i="7"/>
  <c r="C11" i="7"/>
  <c r="C281" i="7"/>
  <c r="C75" i="7"/>
  <c r="C311" i="7"/>
  <c r="C250" i="7"/>
  <c r="C234" i="7"/>
  <c r="C169" i="7"/>
  <c r="C105" i="7"/>
  <c r="C296" i="7"/>
  <c r="C253" i="7"/>
  <c r="C45" i="7"/>
  <c r="C349" i="7"/>
  <c r="C221" i="7"/>
  <c r="C91" i="7"/>
  <c r="C256" i="7"/>
  <c r="C189" i="7"/>
  <c r="C53" i="7"/>
  <c r="C18" i="7"/>
  <c r="C229" i="7"/>
  <c r="C174" i="7"/>
  <c r="C24" i="7"/>
  <c r="C303" i="7"/>
  <c r="C160" i="7"/>
  <c r="C54" i="7"/>
  <c r="C346" i="7"/>
  <c r="C297" i="7"/>
  <c r="C188" i="7"/>
  <c r="C131" i="7"/>
  <c r="C111" i="7"/>
  <c r="C89" i="7"/>
  <c r="C17" i="7"/>
  <c r="C343" i="7"/>
  <c r="C117" i="7"/>
  <c r="C99" i="7"/>
  <c r="C318" i="7"/>
  <c r="C280" i="7"/>
  <c r="C247" i="7"/>
  <c r="C196" i="7"/>
  <c r="C172" i="7"/>
  <c r="C59" i="7"/>
  <c r="C337" i="7"/>
  <c r="C326" i="7"/>
  <c r="C273" i="7"/>
  <c r="C227" i="7"/>
  <c r="C157" i="7"/>
  <c r="C78" i="7"/>
  <c r="C96" i="7"/>
  <c r="C230" i="7"/>
  <c r="C135" i="7"/>
  <c r="C314" i="7"/>
  <c r="C275" i="7"/>
  <c r="C202" i="7"/>
  <c r="C151" i="7"/>
  <c r="C101" i="7"/>
  <c r="C28" i="7"/>
  <c r="C286" i="7"/>
  <c r="C63" i="7"/>
  <c r="C350" i="7"/>
  <c r="C237" i="7"/>
  <c r="C79" i="7"/>
  <c r="C29" i="7"/>
  <c r="C94" i="7"/>
  <c r="C242" i="7"/>
  <c r="C67" i="7"/>
  <c r="C264" i="7"/>
  <c r="C9" i="7"/>
  <c r="C258" i="7"/>
  <c r="C100" i="7"/>
  <c r="C325" i="7"/>
  <c r="C224" i="7"/>
  <c r="C144" i="7"/>
  <c r="C44" i="7"/>
  <c r="C104" i="7"/>
  <c r="C194" i="7"/>
  <c r="C77" i="7"/>
  <c r="C363" i="7"/>
  <c r="C291" i="7"/>
  <c r="C62" i="7"/>
  <c r="C342" i="7"/>
  <c r="C279" i="7"/>
  <c r="C145" i="7"/>
  <c r="C124" i="7"/>
  <c r="C106" i="7"/>
  <c r="C69" i="7"/>
  <c r="C58" i="7"/>
  <c r="C316" i="7"/>
  <c r="C274" i="7"/>
  <c r="C217" i="7"/>
  <c r="C167" i="7"/>
  <c r="C360" i="7"/>
  <c r="C317" i="7"/>
  <c r="C268" i="7"/>
  <c r="C225" i="7"/>
  <c r="C176" i="7"/>
  <c r="C154" i="7"/>
  <c r="C47" i="7"/>
  <c r="C23" i="7"/>
  <c r="C334" i="7"/>
  <c r="C92" i="7"/>
  <c r="C22" i="7"/>
  <c r="C204" i="7"/>
  <c r="C43" i="7"/>
  <c r="C126" i="7"/>
  <c r="C351" i="7"/>
  <c r="C312" i="7"/>
  <c r="C289" i="7"/>
  <c r="C212" i="7"/>
  <c r="C198" i="7"/>
  <c r="C177" i="7"/>
  <c r="C148" i="7"/>
  <c r="C114" i="7"/>
  <c r="C76" i="7"/>
  <c r="C21" i="7"/>
  <c r="C118" i="7"/>
  <c r="C365" i="7"/>
  <c r="C219" i="7"/>
  <c r="C203" i="7"/>
  <c r="C259" i="7"/>
  <c r="C166" i="7"/>
  <c r="C362" i="7"/>
  <c r="C323" i="7"/>
  <c r="C249" i="7"/>
  <c r="C211" i="7"/>
  <c r="C141" i="7"/>
  <c r="C119" i="7"/>
  <c r="C71" i="7"/>
  <c r="C48" i="7"/>
  <c r="C16" i="7"/>
  <c r="C324" i="7"/>
  <c r="C84" i="7"/>
  <c r="C319" i="7"/>
  <c r="C252" i="7"/>
  <c r="C236" i="7"/>
  <c r="C173" i="7"/>
  <c r="C109" i="7"/>
  <c r="C32" i="7"/>
  <c r="C257" i="7"/>
  <c r="C85" i="7"/>
  <c r="C338" i="7"/>
  <c r="C251" i="7"/>
  <c r="C140" i="7"/>
  <c r="C121" i="7"/>
  <c r="C103" i="7"/>
  <c r="C55" i="7"/>
  <c r="C352" i="7"/>
  <c r="C313" i="7"/>
  <c r="C235" i="7"/>
  <c r="C137" i="7"/>
  <c r="C116" i="7"/>
  <c r="C98" i="7"/>
  <c r="C34" i="7"/>
  <c r="C347" i="7"/>
  <c r="C120" i="7"/>
  <c r="C102" i="7"/>
  <c r="C10" i="7"/>
  <c r="C364" i="7"/>
  <c r="C328" i="7"/>
  <c r="C302" i="7"/>
  <c r="C284" i="7"/>
  <c r="C260" i="7"/>
  <c r="C231" i="7"/>
  <c r="C197" i="7"/>
  <c r="C175" i="7"/>
  <c r="C156" i="7"/>
  <c r="C61" i="7"/>
  <c r="C27" i="7"/>
  <c r="C341" i="7"/>
  <c r="C329" i="7"/>
  <c r="C308" i="7"/>
  <c r="C285" i="7"/>
  <c r="C261" i="7"/>
  <c r="C232" i="7"/>
  <c r="C215" i="7"/>
  <c r="C193" i="7"/>
  <c r="C168" i="7"/>
  <c r="C146" i="7"/>
  <c r="C81" i="7"/>
  <c r="C38" i="7"/>
  <c r="C344" i="7"/>
  <c r="C200" i="7"/>
  <c r="C70" i="7"/>
  <c r="C327" i="7"/>
  <c r="C113" i="7"/>
  <c r="C149" i="7"/>
  <c r="C359" i="7"/>
  <c r="C320" i="7"/>
  <c r="C304" i="7"/>
  <c r="C277" i="7"/>
  <c r="C222" i="7"/>
  <c r="C206" i="7"/>
  <c r="C190" i="7"/>
  <c r="C158" i="7"/>
  <c r="C134" i="7"/>
  <c r="C108" i="7"/>
  <c r="C57" i="7"/>
  <c r="C14" i="7"/>
  <c r="C35" i="7"/>
  <c r="C307" i="7"/>
  <c r="C214" i="7"/>
  <c r="C74" i="7"/>
  <c r="C199" i="7"/>
  <c r="C60" i="7"/>
  <c r="C354" i="7"/>
  <c r="C265" i="7"/>
  <c r="C241" i="7"/>
  <c r="C187" i="7"/>
  <c r="C130" i="7"/>
  <c r="C97" i="7"/>
  <c r="C52" i="7"/>
  <c r="C33" i="7"/>
  <c r="C357" i="7"/>
  <c r="C127" i="7"/>
  <c r="C361" i="7"/>
  <c r="C305" i="7"/>
  <c r="C244" i="7"/>
  <c r="C213" i="7"/>
  <c r="C138" i="7"/>
  <c r="C80" i="7"/>
  <c r="C288" i="7"/>
  <c r="C165" i="7"/>
  <c r="C41" i="7"/>
  <c r="C282" i="7"/>
  <c r="C161" i="7"/>
  <c r="C333" i="7"/>
  <c r="C228" i="7"/>
  <c r="C184" i="7"/>
  <c r="C49" i="7"/>
  <c r="C13" i="7"/>
  <c r="C223" i="7"/>
  <c r="C133" i="7"/>
  <c r="C299" i="7"/>
  <c r="C295" i="7"/>
  <c r="C155" i="7"/>
  <c r="C72" i="7"/>
  <c r="E368" i="1"/>
  <c r="E369" i="1"/>
  <c r="C368" i="7" l="1"/>
  <c r="C381" i="7"/>
  <c r="G362" i="7" l="1"/>
  <c r="I362" i="7" s="1"/>
  <c r="K362" i="7" s="1"/>
  <c r="G361" i="7"/>
  <c r="I361" i="7" s="1"/>
  <c r="K361" i="7" s="1"/>
  <c r="G360" i="7"/>
  <c r="I360" i="7" s="1"/>
  <c r="K360" i="7" s="1"/>
  <c r="G359" i="7"/>
  <c r="I359" i="7" s="1"/>
  <c r="K359" i="7" s="1"/>
  <c r="G358" i="7"/>
  <c r="I358" i="7" s="1"/>
  <c r="K358" i="7" s="1"/>
  <c r="G357" i="7"/>
  <c r="I357" i="7" s="1"/>
  <c r="K357" i="7" s="1"/>
  <c r="G356" i="7"/>
  <c r="I356" i="7" s="1"/>
  <c r="K356" i="7" s="1"/>
  <c r="G355" i="7"/>
  <c r="I355" i="7" s="1"/>
  <c r="K355" i="7" s="1"/>
  <c r="G354" i="7"/>
  <c r="I354" i="7" s="1"/>
  <c r="K354" i="7" s="1"/>
  <c r="G353" i="7"/>
  <c r="I353" i="7" s="1"/>
  <c r="K353" i="7" s="1"/>
  <c r="G352" i="7"/>
  <c r="I352" i="7" s="1"/>
  <c r="K352" i="7" s="1"/>
  <c r="G351" i="7"/>
  <c r="I351" i="7" s="1"/>
  <c r="K351" i="7" s="1"/>
  <c r="G350" i="7"/>
  <c r="I350" i="7" s="1"/>
  <c r="K350" i="7" s="1"/>
  <c r="G349" i="7"/>
  <c r="I349" i="7" s="1"/>
  <c r="K349" i="7" s="1"/>
  <c r="G348" i="7"/>
  <c r="I348" i="7" s="1"/>
  <c r="K348" i="7" s="1"/>
  <c r="G347" i="7"/>
  <c r="I347" i="7" s="1"/>
  <c r="K347" i="7" s="1"/>
  <c r="G346" i="7"/>
  <c r="I346" i="7" s="1"/>
  <c r="K346" i="7" s="1"/>
  <c r="G345" i="7"/>
  <c r="I345" i="7" s="1"/>
  <c r="K345" i="7" s="1"/>
  <c r="G344" i="7"/>
  <c r="I344" i="7" s="1"/>
  <c r="K344" i="7" s="1"/>
  <c r="G343" i="7"/>
  <c r="I343" i="7" s="1"/>
  <c r="K343" i="7" s="1"/>
  <c r="G342" i="7"/>
  <c r="I342" i="7" s="1"/>
  <c r="K342" i="7" s="1"/>
  <c r="G341" i="7"/>
  <c r="I341" i="7" s="1"/>
  <c r="K341" i="7" s="1"/>
  <c r="G340" i="7"/>
  <c r="I340" i="7" s="1"/>
  <c r="K340" i="7" s="1"/>
  <c r="G339" i="7"/>
  <c r="I339" i="7" s="1"/>
  <c r="K339" i="7" s="1"/>
  <c r="G338" i="7"/>
  <c r="I338" i="7" s="1"/>
  <c r="K338" i="7" s="1"/>
  <c r="G337" i="7"/>
  <c r="I337" i="7" s="1"/>
  <c r="K337" i="7" s="1"/>
  <c r="G336" i="7"/>
  <c r="I336" i="7" s="1"/>
  <c r="K336" i="7" s="1"/>
  <c r="G335" i="7"/>
  <c r="I335" i="7" s="1"/>
  <c r="K335" i="7" s="1"/>
  <c r="AK314" i="7"/>
  <c r="AN314" i="7" s="1"/>
  <c r="AP314" i="7" s="1"/>
  <c r="AK313" i="7"/>
  <c r="AN313" i="7" s="1"/>
  <c r="AP313" i="7" s="1"/>
  <c r="AK312" i="7"/>
  <c r="AN312" i="7" s="1"/>
  <c r="AP312" i="7" s="1"/>
  <c r="AK311" i="7"/>
  <c r="AN311" i="7" s="1"/>
  <c r="AP311" i="7" s="1"/>
  <c r="AK310" i="7"/>
  <c r="AN310" i="7" s="1"/>
  <c r="AP310" i="7" s="1"/>
  <c r="AK309" i="7"/>
  <c r="AN309" i="7" s="1"/>
  <c r="AP309" i="7" s="1"/>
  <c r="AK308" i="7"/>
  <c r="AN308" i="7" s="1"/>
  <c r="AP308" i="7" s="1"/>
  <c r="AK307" i="7"/>
  <c r="AN307" i="7" s="1"/>
  <c r="AP307" i="7" s="1"/>
  <c r="AK306" i="7"/>
  <c r="AN306" i="7" s="1"/>
  <c r="AP306" i="7" s="1"/>
  <c r="AK305" i="7"/>
  <c r="AN305" i="7" s="1"/>
  <c r="AP305" i="7" s="1"/>
  <c r="AK304" i="7"/>
  <c r="AN304" i="7" s="1"/>
  <c r="AP304" i="7" s="1"/>
  <c r="AK303" i="7"/>
  <c r="AN303" i="7" s="1"/>
  <c r="AP303" i="7" s="1"/>
  <c r="AK302" i="7"/>
  <c r="AN302" i="7" s="1"/>
  <c r="AP302" i="7" s="1"/>
  <c r="AK301" i="7"/>
  <c r="AN301" i="7" s="1"/>
  <c r="AP301" i="7" s="1"/>
  <c r="AK300" i="7"/>
  <c r="AN300" i="7" s="1"/>
  <c r="AP300" i="7" s="1"/>
  <c r="AK299" i="7"/>
  <c r="AN299" i="7" s="1"/>
  <c r="AP299" i="7" s="1"/>
  <c r="AK298" i="7"/>
  <c r="AN298" i="7" s="1"/>
  <c r="AP298" i="7" s="1"/>
  <c r="AK297" i="7"/>
  <c r="AN297" i="7" s="1"/>
  <c r="AP297" i="7" s="1"/>
  <c r="AK296" i="7"/>
  <c r="AN296" i="7" s="1"/>
  <c r="AP296" i="7" s="1"/>
  <c r="AK295" i="7"/>
  <c r="AN295" i="7" s="1"/>
  <c r="AP295" i="7" s="1"/>
  <c r="AK294" i="7"/>
  <c r="AN294" i="7" s="1"/>
  <c r="AP294" i="7" s="1"/>
  <c r="AK293" i="7"/>
  <c r="AN293" i="7" s="1"/>
  <c r="AP293" i="7" s="1"/>
  <c r="AK292" i="7"/>
  <c r="AN292" i="7" s="1"/>
  <c r="AP292" i="7" s="1"/>
  <c r="AK291" i="7"/>
  <c r="AN291" i="7" s="1"/>
  <c r="AP291" i="7" s="1"/>
  <c r="AK290" i="7"/>
  <c r="AN290" i="7" s="1"/>
  <c r="AP290" i="7" s="1"/>
  <c r="AK289" i="7"/>
  <c r="AN289" i="7" s="1"/>
  <c r="AP289" i="7" s="1"/>
  <c r="AK288" i="7"/>
  <c r="AN288" i="7" s="1"/>
  <c r="AP288" i="7" s="1"/>
  <c r="AK287" i="7"/>
  <c r="AN287" i="7" s="1"/>
  <c r="AP287" i="7" s="1"/>
  <c r="AK286" i="7"/>
  <c r="AK285" i="7"/>
  <c r="AN285" i="7" s="1"/>
  <c r="AP285" i="7" s="1"/>
  <c r="AK284" i="7"/>
  <c r="AN284" i="7" s="1"/>
  <c r="AP284" i="7" s="1"/>
  <c r="AK283" i="7"/>
  <c r="AN283" i="7" s="1"/>
  <c r="AP283" i="7" s="1"/>
  <c r="AK282" i="7"/>
  <c r="AN282" i="7" s="1"/>
  <c r="AP282" i="7" s="1"/>
  <c r="AK281" i="7"/>
  <c r="AN281" i="7" s="1"/>
  <c r="AP281" i="7" s="1"/>
  <c r="AK280" i="7"/>
  <c r="AN280" i="7" s="1"/>
  <c r="AP280" i="7" s="1"/>
  <c r="AK279" i="7"/>
  <c r="AN279" i="7" s="1"/>
  <c r="AP279" i="7" s="1"/>
  <c r="AK278" i="7"/>
  <c r="AN278" i="7" s="1"/>
  <c r="AP278" i="7" s="1"/>
  <c r="AK277" i="7"/>
  <c r="AN277" i="7" s="1"/>
  <c r="AP277" i="7" s="1"/>
  <c r="AK276" i="7"/>
  <c r="AN276" i="7" s="1"/>
  <c r="AP276" i="7" s="1"/>
  <c r="AK275" i="7"/>
  <c r="AN275" i="7" s="1"/>
  <c r="AP275" i="7" s="1"/>
  <c r="AK274" i="7"/>
  <c r="AN274" i="7" s="1"/>
  <c r="AP274" i="7" s="1"/>
  <c r="AK273" i="7"/>
  <c r="AK272" i="7"/>
  <c r="AN272" i="7" s="1"/>
  <c r="AP272" i="7" s="1"/>
  <c r="AK271" i="7"/>
  <c r="AN271" i="7" s="1"/>
  <c r="AP271" i="7" s="1"/>
  <c r="G270" i="7"/>
  <c r="I270" i="7" s="1"/>
  <c r="K270" i="7" s="1"/>
  <c r="G269" i="7"/>
  <c r="I269" i="7" s="1"/>
  <c r="K269" i="7" s="1"/>
  <c r="G268" i="7"/>
  <c r="I268" i="7" s="1"/>
  <c r="K268" i="7" s="1"/>
  <c r="G267" i="7"/>
  <c r="I267" i="7" s="1"/>
  <c r="K267" i="7" s="1"/>
  <c r="G266" i="7"/>
  <c r="I266" i="7" s="1"/>
  <c r="K266" i="7" s="1"/>
  <c r="G265" i="7"/>
  <c r="I265" i="7" s="1"/>
  <c r="K265" i="7" s="1"/>
  <c r="G264" i="7"/>
  <c r="I264" i="7" s="1"/>
  <c r="K264" i="7" s="1"/>
  <c r="G263" i="7"/>
  <c r="I263" i="7" s="1"/>
  <c r="K263" i="7" s="1"/>
  <c r="G262" i="7"/>
  <c r="I262" i="7" s="1"/>
  <c r="K262" i="7" s="1"/>
  <c r="G261" i="7"/>
  <c r="I261" i="7" s="1"/>
  <c r="K261" i="7" s="1"/>
  <c r="G260" i="7"/>
  <c r="I260" i="7" s="1"/>
  <c r="K260" i="7" s="1"/>
  <c r="G259" i="7"/>
  <c r="I259" i="7" s="1"/>
  <c r="K259" i="7" s="1"/>
  <c r="G258" i="7"/>
  <c r="I258" i="7" s="1"/>
  <c r="K258" i="7" s="1"/>
  <c r="G367" i="7"/>
  <c r="I367" i="7" s="1"/>
  <c r="K367" i="7" s="1"/>
  <c r="G366" i="7"/>
  <c r="I366" i="7" s="1"/>
  <c r="K366" i="7" s="1"/>
  <c r="G365" i="7"/>
  <c r="I365" i="7" s="1"/>
  <c r="K365" i="7" s="1"/>
  <c r="G364" i="7"/>
  <c r="I364" i="7" s="1"/>
  <c r="K364" i="7" s="1"/>
  <c r="AK362" i="7"/>
  <c r="AN362" i="7" s="1"/>
  <c r="AP362" i="7" s="1"/>
  <c r="AK361" i="7"/>
  <c r="AN361" i="7" s="1"/>
  <c r="AP361" i="7" s="1"/>
  <c r="AK360" i="7"/>
  <c r="AN360" i="7" s="1"/>
  <c r="AP360" i="7" s="1"/>
  <c r="AK359" i="7"/>
  <c r="AN359" i="7" s="1"/>
  <c r="AP359" i="7" s="1"/>
  <c r="AK358" i="7"/>
  <c r="AN358" i="7" s="1"/>
  <c r="AP358" i="7" s="1"/>
  <c r="AK357" i="7"/>
  <c r="AN357" i="7" s="1"/>
  <c r="AP357" i="7" s="1"/>
  <c r="AK356" i="7"/>
  <c r="AN356" i="7" s="1"/>
  <c r="AP356" i="7" s="1"/>
  <c r="AK355" i="7"/>
  <c r="AN355" i="7" s="1"/>
  <c r="AP355" i="7" s="1"/>
  <c r="AK354" i="7"/>
  <c r="AN354" i="7" s="1"/>
  <c r="AP354" i="7" s="1"/>
  <c r="AK353" i="7"/>
  <c r="AN353" i="7" s="1"/>
  <c r="AP353" i="7" s="1"/>
  <c r="AK352" i="7"/>
  <c r="AN352" i="7" s="1"/>
  <c r="AP352" i="7" s="1"/>
  <c r="AK351" i="7"/>
  <c r="AN351" i="7" s="1"/>
  <c r="AP351" i="7" s="1"/>
  <c r="AK350" i="7"/>
  <c r="AN350" i="7" s="1"/>
  <c r="AP350" i="7" s="1"/>
  <c r="AK349" i="7"/>
  <c r="AN349" i="7" s="1"/>
  <c r="AP349" i="7" s="1"/>
  <c r="AK348" i="7"/>
  <c r="AN348" i="7" s="1"/>
  <c r="AP348" i="7" s="1"/>
  <c r="AK347" i="7"/>
  <c r="AN347" i="7" s="1"/>
  <c r="AP347" i="7" s="1"/>
  <c r="AK346" i="7"/>
  <c r="AN346" i="7" s="1"/>
  <c r="AP346" i="7" s="1"/>
  <c r="AK345" i="7"/>
  <c r="AN345" i="7" s="1"/>
  <c r="AP345" i="7" s="1"/>
  <c r="AK344" i="7"/>
  <c r="AN344" i="7" s="1"/>
  <c r="AP344" i="7" s="1"/>
  <c r="AK343" i="7"/>
  <c r="AN343" i="7" s="1"/>
  <c r="AP343" i="7" s="1"/>
  <c r="AK342" i="7"/>
  <c r="AN342" i="7" s="1"/>
  <c r="AP342" i="7" s="1"/>
  <c r="AK341" i="7"/>
  <c r="AN341" i="7" s="1"/>
  <c r="AP341" i="7" s="1"/>
  <c r="AK340" i="7"/>
  <c r="AN340" i="7" s="1"/>
  <c r="AP340" i="7" s="1"/>
  <c r="AK339" i="7"/>
  <c r="AN339" i="7" s="1"/>
  <c r="AP339" i="7" s="1"/>
  <c r="AK338" i="7"/>
  <c r="AN338" i="7" s="1"/>
  <c r="AP338" i="7" s="1"/>
  <c r="AK337" i="7"/>
  <c r="AN337" i="7" s="1"/>
  <c r="AP337" i="7" s="1"/>
  <c r="AK336" i="7"/>
  <c r="AN336" i="7" s="1"/>
  <c r="AP336" i="7" s="1"/>
  <c r="AK335" i="7"/>
  <c r="AN335" i="7" s="1"/>
  <c r="AP335" i="7" s="1"/>
  <c r="G334" i="7"/>
  <c r="I334" i="7" s="1"/>
  <c r="K334" i="7" s="1"/>
  <c r="G333" i="7"/>
  <c r="I333" i="7" s="1"/>
  <c r="K333" i="7" s="1"/>
  <c r="G332" i="7"/>
  <c r="I332" i="7" s="1"/>
  <c r="K332" i="7" s="1"/>
  <c r="G331" i="7"/>
  <c r="I331" i="7" s="1"/>
  <c r="K331" i="7" s="1"/>
  <c r="AK270" i="7"/>
  <c r="AN270" i="7" s="1"/>
  <c r="AP270" i="7" s="1"/>
  <c r="AK269" i="7"/>
  <c r="AK268" i="7"/>
  <c r="AN268" i="7" s="1"/>
  <c r="AP268" i="7" s="1"/>
  <c r="AK267" i="7"/>
  <c r="AN267" i="7" s="1"/>
  <c r="AP267" i="7" s="1"/>
  <c r="AK266" i="7"/>
  <c r="AN266" i="7" s="1"/>
  <c r="AP266" i="7" s="1"/>
  <c r="AK265" i="7"/>
  <c r="AN265" i="7" s="1"/>
  <c r="AP265" i="7" s="1"/>
  <c r="AK264" i="7"/>
  <c r="AN264" i="7" s="1"/>
  <c r="AP264" i="7" s="1"/>
  <c r="AK263" i="7"/>
  <c r="AN263" i="7" s="1"/>
  <c r="AP263" i="7" s="1"/>
  <c r="AK262" i="7"/>
  <c r="AN262" i="7" s="1"/>
  <c r="AP262" i="7" s="1"/>
  <c r="AK261" i="7"/>
  <c r="AN261" i="7" s="1"/>
  <c r="AP261" i="7" s="1"/>
  <c r="AK260" i="7"/>
  <c r="AN260" i="7" s="1"/>
  <c r="AP260" i="7" s="1"/>
  <c r="AK259" i="7"/>
  <c r="AN259" i="7" s="1"/>
  <c r="AP259" i="7" s="1"/>
  <c r="AK258" i="7"/>
  <c r="AN258" i="7" s="1"/>
  <c r="AP258" i="7" s="1"/>
  <c r="AK257" i="7"/>
  <c r="AN257" i="7" s="1"/>
  <c r="AP257" i="7" s="1"/>
  <c r="AK256" i="7"/>
  <c r="AN256" i="7" s="1"/>
  <c r="AP256" i="7" s="1"/>
  <c r="AK365" i="7"/>
  <c r="AN365" i="7" s="1"/>
  <c r="AP365" i="7" s="1"/>
  <c r="AK332" i="7"/>
  <c r="AN332" i="7" s="1"/>
  <c r="AP332" i="7" s="1"/>
  <c r="G312" i="7"/>
  <c r="I312" i="7" s="1"/>
  <c r="K312" i="7" s="1"/>
  <c r="G308" i="7"/>
  <c r="I308" i="7" s="1"/>
  <c r="K308" i="7" s="1"/>
  <c r="G304" i="7"/>
  <c r="I304" i="7" s="1"/>
  <c r="K304" i="7" s="1"/>
  <c r="G300" i="7"/>
  <c r="I300" i="7" s="1"/>
  <c r="K300" i="7" s="1"/>
  <c r="G296" i="7"/>
  <c r="I296" i="7" s="1"/>
  <c r="K296" i="7" s="1"/>
  <c r="G292" i="7"/>
  <c r="I292" i="7" s="1"/>
  <c r="K292" i="7" s="1"/>
  <c r="G288" i="7"/>
  <c r="I288" i="7" s="1"/>
  <c r="K288" i="7" s="1"/>
  <c r="G284" i="7"/>
  <c r="I284" i="7" s="1"/>
  <c r="K284" i="7" s="1"/>
  <c r="G280" i="7"/>
  <c r="I280" i="7" s="1"/>
  <c r="K280" i="7" s="1"/>
  <c r="G276" i="7"/>
  <c r="I276" i="7" s="1"/>
  <c r="K276" i="7" s="1"/>
  <c r="G272" i="7"/>
  <c r="I272" i="7" s="1"/>
  <c r="K272" i="7" s="1"/>
  <c r="G256" i="7"/>
  <c r="I256" i="7" s="1"/>
  <c r="K256" i="7" s="1"/>
  <c r="G255" i="7"/>
  <c r="I255" i="7" s="1"/>
  <c r="K255" i="7" s="1"/>
  <c r="G254" i="7"/>
  <c r="I254" i="7" s="1"/>
  <c r="K254" i="7" s="1"/>
  <c r="G253" i="7"/>
  <c r="G252" i="7"/>
  <c r="I252" i="7" s="1"/>
  <c r="K252" i="7" s="1"/>
  <c r="G251" i="7"/>
  <c r="I251" i="7" s="1"/>
  <c r="K251" i="7" s="1"/>
  <c r="G250" i="7"/>
  <c r="I250" i="7" s="1"/>
  <c r="K250" i="7" s="1"/>
  <c r="G249" i="7"/>
  <c r="I249" i="7" s="1"/>
  <c r="K249" i="7" s="1"/>
  <c r="G248" i="7"/>
  <c r="I248" i="7" s="1"/>
  <c r="K248" i="7" s="1"/>
  <c r="G247" i="7"/>
  <c r="I247" i="7" s="1"/>
  <c r="K247" i="7" s="1"/>
  <c r="G246" i="7"/>
  <c r="I246" i="7" s="1"/>
  <c r="K246" i="7" s="1"/>
  <c r="G245" i="7"/>
  <c r="I245" i="7" s="1"/>
  <c r="K245" i="7" s="1"/>
  <c r="G244" i="7"/>
  <c r="I244" i="7" s="1"/>
  <c r="K244" i="7" s="1"/>
  <c r="G243" i="7"/>
  <c r="I243" i="7" s="1"/>
  <c r="K243" i="7" s="1"/>
  <c r="G242" i="7"/>
  <c r="I242" i="7" s="1"/>
  <c r="K242" i="7" s="1"/>
  <c r="AK131" i="7"/>
  <c r="AN131" i="7" s="1"/>
  <c r="AP131" i="7" s="1"/>
  <c r="AK130" i="7"/>
  <c r="AN130" i="7" s="1"/>
  <c r="AP130" i="7" s="1"/>
  <c r="AK129" i="7"/>
  <c r="AN129" i="7" s="1"/>
  <c r="AP129" i="7" s="1"/>
  <c r="AK128" i="7"/>
  <c r="AN128" i="7" s="1"/>
  <c r="AP128" i="7" s="1"/>
  <c r="AK127" i="7"/>
  <c r="AK126" i="7"/>
  <c r="AN126" i="7" s="1"/>
  <c r="AP126" i="7" s="1"/>
  <c r="AK125" i="7"/>
  <c r="AN125" i="7" s="1"/>
  <c r="AP125" i="7" s="1"/>
  <c r="AK124" i="7"/>
  <c r="AN124" i="7" s="1"/>
  <c r="AP124" i="7" s="1"/>
  <c r="AK123" i="7"/>
  <c r="AN123" i="7" s="1"/>
  <c r="AP123" i="7" s="1"/>
  <c r="AK122" i="7"/>
  <c r="AN122" i="7" s="1"/>
  <c r="AP122" i="7" s="1"/>
  <c r="AK121" i="7"/>
  <c r="AN121" i="7" s="1"/>
  <c r="AP121" i="7" s="1"/>
  <c r="AK120" i="7"/>
  <c r="AN120" i="7" s="1"/>
  <c r="AP120" i="7" s="1"/>
  <c r="AK119" i="7"/>
  <c r="AN119" i="7" s="1"/>
  <c r="AP119" i="7" s="1"/>
  <c r="AK118" i="7"/>
  <c r="AN118" i="7" s="1"/>
  <c r="AP118" i="7" s="1"/>
  <c r="AK117" i="7"/>
  <c r="AN117" i="7" s="1"/>
  <c r="AP117" i="7" s="1"/>
  <c r="AK116" i="7"/>
  <c r="AN116" i="7" s="1"/>
  <c r="AP116" i="7" s="1"/>
  <c r="AK115" i="7"/>
  <c r="AN115" i="7" s="1"/>
  <c r="AP115" i="7" s="1"/>
  <c r="AK114" i="7"/>
  <c r="AN114" i="7" s="1"/>
  <c r="AP114" i="7" s="1"/>
  <c r="AK113" i="7"/>
  <c r="AN113" i="7" s="1"/>
  <c r="AP113" i="7" s="1"/>
  <c r="AK112" i="7"/>
  <c r="AN112" i="7" s="1"/>
  <c r="AP112" i="7" s="1"/>
  <c r="AK111" i="7"/>
  <c r="AN111" i="7" s="1"/>
  <c r="AP111" i="7" s="1"/>
  <c r="AK110" i="7"/>
  <c r="G109" i="7"/>
  <c r="I109" i="7" s="1"/>
  <c r="K109" i="7" s="1"/>
  <c r="G108" i="7"/>
  <c r="I108" i="7" s="1"/>
  <c r="K108" i="7" s="1"/>
  <c r="G107" i="7"/>
  <c r="I107" i="7" s="1"/>
  <c r="K107" i="7" s="1"/>
  <c r="G106" i="7"/>
  <c r="I106" i="7" s="1"/>
  <c r="K106" i="7" s="1"/>
  <c r="G105" i="7"/>
  <c r="I105" i="7" s="1"/>
  <c r="K105" i="7" s="1"/>
  <c r="G104" i="7"/>
  <c r="I104" i="7" s="1"/>
  <c r="K104" i="7" s="1"/>
  <c r="G103" i="7"/>
  <c r="I103" i="7" s="1"/>
  <c r="K103" i="7" s="1"/>
  <c r="G102" i="7"/>
  <c r="I102" i="7" s="1"/>
  <c r="K102" i="7" s="1"/>
  <c r="G101" i="7"/>
  <c r="I101" i="7" s="1"/>
  <c r="K101" i="7" s="1"/>
  <c r="G100" i="7"/>
  <c r="I100" i="7" s="1"/>
  <c r="K100" i="7" s="1"/>
  <c r="G99" i="7"/>
  <c r="I99" i="7" s="1"/>
  <c r="K99" i="7" s="1"/>
  <c r="G98" i="7"/>
  <c r="I98" i="7" s="1"/>
  <c r="K98" i="7" s="1"/>
  <c r="G97" i="7"/>
  <c r="G96" i="7"/>
  <c r="G95" i="7"/>
  <c r="I95" i="7" s="1"/>
  <c r="K95" i="7" s="1"/>
  <c r="G94" i="7"/>
  <c r="G93" i="7"/>
  <c r="G92" i="7"/>
  <c r="G91" i="7"/>
  <c r="I91" i="7" s="1"/>
  <c r="K91" i="7" s="1"/>
  <c r="G90" i="7"/>
  <c r="I90" i="7" s="1"/>
  <c r="K90" i="7" s="1"/>
  <c r="G89" i="7"/>
  <c r="I89" i="7" s="1"/>
  <c r="K89" i="7" s="1"/>
  <c r="G88" i="7"/>
  <c r="G87" i="7"/>
  <c r="I87" i="7" s="1"/>
  <c r="K87" i="7" s="1"/>
  <c r="G86" i="7"/>
  <c r="I86" i="7" s="1"/>
  <c r="K86" i="7" s="1"/>
  <c r="G85" i="7"/>
  <c r="G84" i="7"/>
  <c r="I84" i="7" s="1"/>
  <c r="K84" i="7" s="1"/>
  <c r="G83" i="7"/>
  <c r="I83" i="7" s="1"/>
  <c r="K83" i="7" s="1"/>
  <c r="G82" i="7"/>
  <c r="I82" i="7" s="1"/>
  <c r="K82" i="7" s="1"/>
  <c r="G81" i="7"/>
  <c r="G80" i="7"/>
  <c r="I80" i="7" s="1"/>
  <c r="K80" i="7" s="1"/>
  <c r="G79" i="7"/>
  <c r="I79" i="7" s="1"/>
  <c r="K79" i="7" s="1"/>
  <c r="G78" i="7"/>
  <c r="I78" i="7" s="1"/>
  <c r="K78" i="7" s="1"/>
  <c r="G77" i="7"/>
  <c r="I77" i="7" s="1"/>
  <c r="K77" i="7" s="1"/>
  <c r="G76" i="7"/>
  <c r="I76" i="7" s="1"/>
  <c r="K76" i="7" s="1"/>
  <c r="G75" i="7"/>
  <c r="I75" i="7" s="1"/>
  <c r="K75" i="7" s="1"/>
  <c r="G74" i="7"/>
  <c r="I74" i="7" s="1"/>
  <c r="K74" i="7" s="1"/>
  <c r="G73" i="7"/>
  <c r="I73" i="7" s="1"/>
  <c r="K73" i="7" s="1"/>
  <c r="G72" i="7"/>
  <c r="I72" i="7" s="1"/>
  <c r="K72" i="7" s="1"/>
  <c r="G71" i="7"/>
  <c r="I71" i="7" s="1"/>
  <c r="K71" i="7" s="1"/>
  <c r="G70" i="7"/>
  <c r="I70" i="7" s="1"/>
  <c r="K70" i="7" s="1"/>
  <c r="G69" i="7"/>
  <c r="I69" i="7" s="1"/>
  <c r="K69" i="7" s="1"/>
  <c r="G68" i="7"/>
  <c r="G67" i="7"/>
  <c r="G66" i="7"/>
  <c r="I66" i="7" s="1"/>
  <c r="K66" i="7" s="1"/>
  <c r="G65" i="7"/>
  <c r="I65" i="7" s="1"/>
  <c r="K65" i="7" s="1"/>
  <c r="G64" i="7"/>
  <c r="I64" i="7" s="1"/>
  <c r="K64" i="7" s="1"/>
  <c r="G63" i="7"/>
  <c r="I63" i="7" s="1"/>
  <c r="K63" i="7" s="1"/>
  <c r="G62" i="7"/>
  <c r="I62" i="7" s="1"/>
  <c r="K62" i="7" s="1"/>
  <c r="G61" i="7"/>
  <c r="I61" i="7" s="1"/>
  <c r="K61" i="7" s="1"/>
  <c r="G60" i="7"/>
  <c r="I60" i="7" s="1"/>
  <c r="K60" i="7" s="1"/>
  <c r="G59" i="7"/>
  <c r="I59" i="7" s="1"/>
  <c r="K59" i="7" s="1"/>
  <c r="AK366" i="7"/>
  <c r="AN366" i="7" s="1"/>
  <c r="AP366" i="7" s="1"/>
  <c r="AK333" i="7"/>
  <c r="AN333" i="7" s="1"/>
  <c r="AP333" i="7" s="1"/>
  <c r="G313" i="7"/>
  <c r="I313" i="7" s="1"/>
  <c r="K313" i="7" s="1"/>
  <c r="G309" i="7"/>
  <c r="I309" i="7" s="1"/>
  <c r="K309" i="7" s="1"/>
  <c r="G305" i="7"/>
  <c r="I305" i="7" s="1"/>
  <c r="K305" i="7" s="1"/>
  <c r="G301" i="7"/>
  <c r="I301" i="7" s="1"/>
  <c r="K301" i="7" s="1"/>
  <c r="G297" i="7"/>
  <c r="G293" i="7"/>
  <c r="I293" i="7" s="1"/>
  <c r="K293" i="7" s="1"/>
  <c r="G289" i="7"/>
  <c r="I289" i="7" s="1"/>
  <c r="K289" i="7" s="1"/>
  <c r="G285" i="7"/>
  <c r="I285" i="7" s="1"/>
  <c r="K285" i="7" s="1"/>
  <c r="G281" i="7"/>
  <c r="I281" i="7" s="1"/>
  <c r="K281" i="7" s="1"/>
  <c r="G277" i="7"/>
  <c r="I277" i="7" s="1"/>
  <c r="K277" i="7" s="1"/>
  <c r="G273" i="7"/>
  <c r="I273" i="7" s="1"/>
  <c r="K273" i="7" s="1"/>
  <c r="G257" i="7"/>
  <c r="I257" i="7" s="1"/>
  <c r="K257" i="7" s="1"/>
  <c r="AK255" i="7"/>
  <c r="AN255" i="7" s="1"/>
  <c r="AP255" i="7" s="1"/>
  <c r="AK254" i="7"/>
  <c r="AN254" i="7" s="1"/>
  <c r="AP254" i="7" s="1"/>
  <c r="AK253" i="7"/>
  <c r="AK252" i="7"/>
  <c r="AK251" i="7"/>
  <c r="AN251" i="7" s="1"/>
  <c r="AP251" i="7" s="1"/>
  <c r="AK250" i="7"/>
  <c r="AN250" i="7" s="1"/>
  <c r="AP250" i="7" s="1"/>
  <c r="AK249" i="7"/>
  <c r="AN249" i="7" s="1"/>
  <c r="AP249" i="7" s="1"/>
  <c r="AK248" i="7"/>
  <c r="AN248" i="7" s="1"/>
  <c r="AP248" i="7" s="1"/>
  <c r="AK247" i="7"/>
  <c r="AN247" i="7" s="1"/>
  <c r="AP247" i="7" s="1"/>
  <c r="AK246" i="7"/>
  <c r="AN246" i="7" s="1"/>
  <c r="AP246" i="7" s="1"/>
  <c r="AK245" i="7"/>
  <c r="AN245" i="7" s="1"/>
  <c r="AP245" i="7" s="1"/>
  <c r="AK244" i="7"/>
  <c r="AN244" i="7" s="1"/>
  <c r="AP244" i="7" s="1"/>
  <c r="AK243" i="7"/>
  <c r="AN243" i="7" s="1"/>
  <c r="AP243" i="7" s="1"/>
  <c r="AK242" i="7"/>
  <c r="AN242" i="7" s="1"/>
  <c r="AP242" i="7" s="1"/>
  <c r="G241" i="7"/>
  <c r="I241" i="7" s="1"/>
  <c r="K241" i="7" s="1"/>
  <c r="G240" i="7"/>
  <c r="I240" i="7" s="1"/>
  <c r="K240" i="7" s="1"/>
  <c r="G239" i="7"/>
  <c r="G238" i="7"/>
  <c r="I238" i="7" s="1"/>
  <c r="K238" i="7" s="1"/>
  <c r="G237" i="7"/>
  <c r="I237" i="7" s="1"/>
  <c r="K237" i="7" s="1"/>
  <c r="G236" i="7"/>
  <c r="I236" i="7" s="1"/>
  <c r="K236" i="7" s="1"/>
  <c r="AK109" i="7"/>
  <c r="AN109" i="7" s="1"/>
  <c r="AP109" i="7" s="1"/>
  <c r="AK108" i="7"/>
  <c r="AN108" i="7" s="1"/>
  <c r="AP108" i="7" s="1"/>
  <c r="AK107" i="7"/>
  <c r="AN107" i="7" s="1"/>
  <c r="AP107" i="7" s="1"/>
  <c r="AK106" i="7"/>
  <c r="AN106" i="7" s="1"/>
  <c r="AP106" i="7" s="1"/>
  <c r="AK105" i="7"/>
  <c r="AN105" i="7" s="1"/>
  <c r="AP105" i="7" s="1"/>
  <c r="AK104" i="7"/>
  <c r="AN104" i="7" s="1"/>
  <c r="AP104" i="7" s="1"/>
  <c r="AK103" i="7"/>
  <c r="AN103" i="7" s="1"/>
  <c r="AP103" i="7" s="1"/>
  <c r="AK102" i="7"/>
  <c r="AN102" i="7" s="1"/>
  <c r="AP102" i="7" s="1"/>
  <c r="AK101" i="7"/>
  <c r="AN101" i="7" s="1"/>
  <c r="AP101" i="7" s="1"/>
  <c r="AK100" i="7"/>
  <c r="AN100" i="7" s="1"/>
  <c r="AP100" i="7" s="1"/>
  <c r="AK99" i="7"/>
  <c r="AN99" i="7" s="1"/>
  <c r="AP99" i="7" s="1"/>
  <c r="AK98" i="7"/>
  <c r="AN98" i="7" s="1"/>
  <c r="AP98" i="7" s="1"/>
  <c r="AK97" i="7"/>
  <c r="AN97" i="7" s="1"/>
  <c r="AP97" i="7" s="1"/>
  <c r="AK96" i="7"/>
  <c r="AN96" i="7" s="1"/>
  <c r="AP96" i="7" s="1"/>
  <c r="AK95" i="7"/>
  <c r="AN95" i="7" s="1"/>
  <c r="AP95" i="7" s="1"/>
  <c r="AK94" i="7"/>
  <c r="AN94" i="7" s="1"/>
  <c r="AP94" i="7" s="1"/>
  <c r="AK93" i="7"/>
  <c r="AN93" i="7" s="1"/>
  <c r="AP93" i="7" s="1"/>
  <c r="AK92" i="7"/>
  <c r="AN92" i="7" s="1"/>
  <c r="AP92" i="7" s="1"/>
  <c r="AK91" i="7"/>
  <c r="AN91" i="7" s="1"/>
  <c r="AP91" i="7" s="1"/>
  <c r="AK90" i="7"/>
  <c r="AN90" i="7" s="1"/>
  <c r="AP90" i="7" s="1"/>
  <c r="AK89" i="7"/>
  <c r="AN89" i="7" s="1"/>
  <c r="AP89" i="7" s="1"/>
  <c r="AK88" i="7"/>
  <c r="AN88" i="7" s="1"/>
  <c r="AP88" i="7" s="1"/>
  <c r="AK87" i="7"/>
  <c r="AN87" i="7" s="1"/>
  <c r="AP87" i="7" s="1"/>
  <c r="AK86" i="7"/>
  <c r="AN86" i="7" s="1"/>
  <c r="AP86" i="7" s="1"/>
  <c r="AK85" i="7"/>
  <c r="AN85" i="7" s="1"/>
  <c r="AP85" i="7" s="1"/>
  <c r="AK84" i="7"/>
  <c r="AN84" i="7" s="1"/>
  <c r="AP84" i="7" s="1"/>
  <c r="AK83" i="7"/>
  <c r="AN83" i="7" s="1"/>
  <c r="AP83" i="7" s="1"/>
  <c r="AK82" i="7"/>
  <c r="AN82" i="7" s="1"/>
  <c r="AP82" i="7" s="1"/>
  <c r="AK81" i="7"/>
  <c r="AN81" i="7" s="1"/>
  <c r="AP81" i="7" s="1"/>
  <c r="AK80" i="7"/>
  <c r="AN80" i="7" s="1"/>
  <c r="AP80" i="7" s="1"/>
  <c r="AK79" i="7"/>
  <c r="AN79" i="7" s="1"/>
  <c r="AP79" i="7" s="1"/>
  <c r="AK78" i="7"/>
  <c r="AN78" i="7" s="1"/>
  <c r="AP78" i="7" s="1"/>
  <c r="AK77" i="7"/>
  <c r="AN77" i="7" s="1"/>
  <c r="AP77" i="7" s="1"/>
  <c r="AK76" i="7"/>
  <c r="AN76" i="7" s="1"/>
  <c r="AP76" i="7" s="1"/>
  <c r="AK75" i="7"/>
  <c r="AN75" i="7" s="1"/>
  <c r="AP75" i="7" s="1"/>
  <c r="AK74" i="7"/>
  <c r="AN74" i="7" s="1"/>
  <c r="AP74" i="7" s="1"/>
  <c r="AK73" i="7"/>
  <c r="AK72" i="7"/>
  <c r="AK71" i="7"/>
  <c r="AN71" i="7" s="1"/>
  <c r="AP71" i="7" s="1"/>
  <c r="AK70" i="7"/>
  <c r="AN70" i="7" s="1"/>
  <c r="AP70" i="7" s="1"/>
  <c r="AK69" i="7"/>
  <c r="AK68" i="7"/>
  <c r="AK67" i="7"/>
  <c r="AN67" i="7" s="1"/>
  <c r="AP67" i="7" s="1"/>
  <c r="AK66" i="7"/>
  <c r="AN66" i="7" s="1"/>
  <c r="AP66" i="7" s="1"/>
  <c r="AK65" i="7"/>
  <c r="AK64" i="7"/>
  <c r="AN64" i="7" s="1"/>
  <c r="AP64" i="7" s="1"/>
  <c r="AK63" i="7"/>
  <c r="AN63" i="7" s="1"/>
  <c r="AP63" i="7" s="1"/>
  <c r="AK62" i="7"/>
  <c r="AN62" i="7" s="1"/>
  <c r="AP62" i="7" s="1"/>
  <c r="AK61" i="7"/>
  <c r="AN61" i="7" s="1"/>
  <c r="AP61" i="7" s="1"/>
  <c r="AK60" i="7"/>
  <c r="AN60" i="7" s="1"/>
  <c r="AP60" i="7" s="1"/>
  <c r="AK59" i="7"/>
  <c r="AN59" i="7" s="1"/>
  <c r="AP59" i="7" s="1"/>
  <c r="AK367" i="7"/>
  <c r="AN367" i="7" s="1"/>
  <c r="AP367" i="7" s="1"/>
  <c r="AK363" i="7"/>
  <c r="AN363" i="7" s="1"/>
  <c r="AP363" i="7" s="1"/>
  <c r="AK334" i="7"/>
  <c r="AN334" i="7" s="1"/>
  <c r="AP334" i="7" s="1"/>
  <c r="G330" i="7"/>
  <c r="I330" i="7" s="1"/>
  <c r="K330" i="7" s="1"/>
  <c r="G329" i="7"/>
  <c r="I329" i="7" s="1"/>
  <c r="K329" i="7" s="1"/>
  <c r="G328" i="7"/>
  <c r="I328" i="7" s="1"/>
  <c r="K328" i="7" s="1"/>
  <c r="G327" i="7"/>
  <c r="I327" i="7" s="1"/>
  <c r="K327" i="7" s="1"/>
  <c r="G326" i="7"/>
  <c r="I326" i="7" s="1"/>
  <c r="K326" i="7" s="1"/>
  <c r="G325" i="7"/>
  <c r="I325" i="7" s="1"/>
  <c r="K325" i="7" s="1"/>
  <c r="G324" i="7"/>
  <c r="I324" i="7" s="1"/>
  <c r="K324" i="7" s="1"/>
  <c r="G323" i="7"/>
  <c r="I323" i="7" s="1"/>
  <c r="K323" i="7" s="1"/>
  <c r="G322" i="7"/>
  <c r="I322" i="7" s="1"/>
  <c r="K322" i="7" s="1"/>
  <c r="G321" i="7"/>
  <c r="I321" i="7" s="1"/>
  <c r="K321" i="7" s="1"/>
  <c r="G320" i="7"/>
  <c r="I320" i="7" s="1"/>
  <c r="K320" i="7" s="1"/>
  <c r="G319" i="7"/>
  <c r="G318" i="7"/>
  <c r="I318" i="7" s="1"/>
  <c r="K318" i="7" s="1"/>
  <c r="G317" i="7"/>
  <c r="I317" i="7" s="1"/>
  <c r="K317" i="7" s="1"/>
  <c r="G316" i="7"/>
  <c r="I316" i="7" s="1"/>
  <c r="K316" i="7" s="1"/>
  <c r="G315" i="7"/>
  <c r="I315" i="7" s="1"/>
  <c r="K315" i="7" s="1"/>
  <c r="G314" i="7"/>
  <c r="I314" i="7" s="1"/>
  <c r="K314" i="7" s="1"/>
  <c r="G310" i="7"/>
  <c r="I310" i="7" s="1"/>
  <c r="K310" i="7" s="1"/>
  <c r="G306" i="7"/>
  <c r="I306" i="7" s="1"/>
  <c r="K306" i="7" s="1"/>
  <c r="G302" i="7"/>
  <c r="I302" i="7" s="1"/>
  <c r="K302" i="7" s="1"/>
  <c r="G298" i="7"/>
  <c r="I298" i="7" s="1"/>
  <c r="K298" i="7" s="1"/>
  <c r="G294" i="7"/>
  <c r="I294" i="7" s="1"/>
  <c r="K294" i="7" s="1"/>
  <c r="G290" i="7"/>
  <c r="I290" i="7" s="1"/>
  <c r="K290" i="7" s="1"/>
  <c r="G286" i="7"/>
  <c r="I286" i="7" s="1"/>
  <c r="K286" i="7" s="1"/>
  <c r="G282" i="7"/>
  <c r="I282" i="7" s="1"/>
  <c r="K282" i="7" s="1"/>
  <c r="G278" i="7"/>
  <c r="I278" i="7" s="1"/>
  <c r="K278" i="7" s="1"/>
  <c r="G274" i="7"/>
  <c r="AK364" i="7"/>
  <c r="AN364" i="7" s="1"/>
  <c r="AP364" i="7" s="1"/>
  <c r="AK331" i="7"/>
  <c r="AN331" i="7" s="1"/>
  <c r="AP331" i="7" s="1"/>
  <c r="AK330" i="7"/>
  <c r="AN330" i="7" s="1"/>
  <c r="AP330" i="7" s="1"/>
  <c r="AK326" i="7"/>
  <c r="AN326" i="7" s="1"/>
  <c r="AP326" i="7" s="1"/>
  <c r="AK322" i="7"/>
  <c r="AN322" i="7" s="1"/>
  <c r="AP322" i="7" s="1"/>
  <c r="AK318" i="7"/>
  <c r="G299" i="7"/>
  <c r="I299" i="7" s="1"/>
  <c r="K299" i="7" s="1"/>
  <c r="G283" i="7"/>
  <c r="I283" i="7" s="1"/>
  <c r="K283" i="7" s="1"/>
  <c r="AK241" i="7"/>
  <c r="AN241" i="7" s="1"/>
  <c r="AP241" i="7" s="1"/>
  <c r="AK237" i="7"/>
  <c r="AN237" i="7" s="1"/>
  <c r="AP237" i="7" s="1"/>
  <c r="G129" i="7"/>
  <c r="I129" i="7" s="1"/>
  <c r="K129" i="7" s="1"/>
  <c r="G125" i="7"/>
  <c r="I125" i="7" s="1"/>
  <c r="K125" i="7" s="1"/>
  <c r="G121" i="7"/>
  <c r="I121" i="7" s="1"/>
  <c r="K121" i="7" s="1"/>
  <c r="G117" i="7"/>
  <c r="I117" i="7" s="1"/>
  <c r="K117" i="7" s="1"/>
  <c r="G113" i="7"/>
  <c r="I113" i="7" s="1"/>
  <c r="K113" i="7" s="1"/>
  <c r="G58" i="7"/>
  <c r="I58" i="7" s="1"/>
  <c r="K58" i="7" s="1"/>
  <c r="G57" i="7"/>
  <c r="I57" i="7" s="1"/>
  <c r="K57" i="7" s="1"/>
  <c r="G56" i="7"/>
  <c r="I56" i="7" s="1"/>
  <c r="K56" i="7" s="1"/>
  <c r="G55" i="7"/>
  <c r="I55" i="7" s="1"/>
  <c r="K55" i="7" s="1"/>
  <c r="G54" i="7"/>
  <c r="I54" i="7" s="1"/>
  <c r="K54" i="7" s="1"/>
  <c r="G53" i="7"/>
  <c r="I53" i="7" s="1"/>
  <c r="K53" i="7" s="1"/>
  <c r="G52" i="7"/>
  <c r="I52" i="7" s="1"/>
  <c r="K52" i="7" s="1"/>
  <c r="G51" i="7"/>
  <c r="I51" i="7" s="1"/>
  <c r="K51" i="7" s="1"/>
  <c r="G50" i="7"/>
  <c r="I50" i="7" s="1"/>
  <c r="K50" i="7" s="1"/>
  <c r="G49" i="7"/>
  <c r="G48" i="7"/>
  <c r="I48" i="7" s="1"/>
  <c r="K48" i="7" s="1"/>
  <c r="G47" i="7"/>
  <c r="I47" i="7" s="1"/>
  <c r="K47" i="7" s="1"/>
  <c r="G46" i="7"/>
  <c r="I46" i="7" s="1"/>
  <c r="K46" i="7" s="1"/>
  <c r="G36" i="7"/>
  <c r="I36" i="7" s="1"/>
  <c r="K36" i="7" s="1"/>
  <c r="G33" i="7"/>
  <c r="I33" i="7" s="1"/>
  <c r="K33" i="7" s="1"/>
  <c r="G31" i="7"/>
  <c r="I31" i="7" s="1"/>
  <c r="K31" i="7" s="1"/>
  <c r="G29" i="7"/>
  <c r="I29" i="7" s="1"/>
  <c r="K29" i="7" s="1"/>
  <c r="G23" i="7"/>
  <c r="I23" i="7" s="1"/>
  <c r="K23" i="7" s="1"/>
  <c r="G21" i="7"/>
  <c r="I21" i="7" s="1"/>
  <c r="K21" i="7" s="1"/>
  <c r="G19" i="7"/>
  <c r="I19" i="7" s="1"/>
  <c r="K19" i="7" s="1"/>
  <c r="G18" i="7"/>
  <c r="G16" i="7"/>
  <c r="I16" i="7" s="1"/>
  <c r="K16" i="7" s="1"/>
  <c r="G15" i="7"/>
  <c r="G14" i="7"/>
  <c r="I14" i="7" s="1"/>
  <c r="K14" i="7" s="1"/>
  <c r="G12" i="7"/>
  <c r="I12" i="7" s="1"/>
  <c r="K12" i="7" s="1"/>
  <c r="G11" i="7"/>
  <c r="I11" i="7" s="1"/>
  <c r="K11" i="7" s="1"/>
  <c r="G10" i="7"/>
  <c r="G226" i="7"/>
  <c r="I226" i="7" s="1"/>
  <c r="K226" i="7" s="1"/>
  <c r="G221" i="7"/>
  <c r="I221" i="7" s="1"/>
  <c r="K221" i="7" s="1"/>
  <c r="G217" i="7"/>
  <c r="I217" i="7" s="1"/>
  <c r="K217" i="7" s="1"/>
  <c r="G214" i="7"/>
  <c r="I214" i="7" s="1"/>
  <c r="K214" i="7" s="1"/>
  <c r="G212" i="7"/>
  <c r="I212" i="7" s="1"/>
  <c r="K212" i="7" s="1"/>
  <c r="G209" i="7"/>
  <c r="G205" i="7"/>
  <c r="I205" i="7" s="1"/>
  <c r="K205" i="7" s="1"/>
  <c r="G202" i="7"/>
  <c r="I202" i="7" s="1"/>
  <c r="K202" i="7" s="1"/>
  <c r="G200" i="7"/>
  <c r="I200" i="7" s="1"/>
  <c r="K200" i="7" s="1"/>
  <c r="G196" i="7"/>
  <c r="I196" i="7" s="1"/>
  <c r="K196" i="7" s="1"/>
  <c r="G192" i="7"/>
  <c r="I192" i="7" s="1"/>
  <c r="K192" i="7" s="1"/>
  <c r="G189" i="7"/>
  <c r="I189" i="7" s="1"/>
  <c r="K189" i="7" s="1"/>
  <c r="G186" i="7"/>
  <c r="I186" i="7" s="1"/>
  <c r="K186" i="7" s="1"/>
  <c r="G184" i="7"/>
  <c r="I184" i="7" s="1"/>
  <c r="K184" i="7" s="1"/>
  <c r="G181" i="7"/>
  <c r="I181" i="7" s="1"/>
  <c r="K181" i="7" s="1"/>
  <c r="G178" i="7"/>
  <c r="I178" i="7" s="1"/>
  <c r="K178" i="7" s="1"/>
  <c r="G174" i="7"/>
  <c r="I174" i="7" s="1"/>
  <c r="K174" i="7" s="1"/>
  <c r="G171" i="7"/>
  <c r="I171" i="7" s="1"/>
  <c r="K171" i="7" s="1"/>
  <c r="G168" i="7"/>
  <c r="I168" i="7" s="1"/>
  <c r="K168" i="7" s="1"/>
  <c r="G165" i="7"/>
  <c r="I165" i="7" s="1"/>
  <c r="K165" i="7" s="1"/>
  <c r="G162" i="7"/>
  <c r="I162" i="7" s="1"/>
  <c r="K162" i="7" s="1"/>
  <c r="G159" i="7"/>
  <c r="I159" i="7" s="1"/>
  <c r="K159" i="7" s="1"/>
  <c r="G156" i="7"/>
  <c r="I156" i="7" s="1"/>
  <c r="K156" i="7" s="1"/>
  <c r="G153" i="7"/>
  <c r="I153" i="7" s="1"/>
  <c r="K153" i="7" s="1"/>
  <c r="G150" i="7"/>
  <c r="I150" i="7" s="1"/>
  <c r="K150" i="7" s="1"/>
  <c r="G147" i="7"/>
  <c r="I147" i="7" s="1"/>
  <c r="K147" i="7" s="1"/>
  <c r="G144" i="7"/>
  <c r="I144" i="7" s="1"/>
  <c r="K144" i="7" s="1"/>
  <c r="G140" i="7"/>
  <c r="I140" i="7" s="1"/>
  <c r="K140" i="7" s="1"/>
  <c r="G136" i="7"/>
  <c r="I136" i="7" s="1"/>
  <c r="K136" i="7" s="1"/>
  <c r="G134" i="7"/>
  <c r="I134" i="7" s="1"/>
  <c r="K134" i="7" s="1"/>
  <c r="G131" i="7"/>
  <c r="I131" i="7" s="1"/>
  <c r="K131" i="7" s="1"/>
  <c r="G115" i="7"/>
  <c r="I115" i="7" s="1"/>
  <c r="K115" i="7" s="1"/>
  <c r="AK45" i="7"/>
  <c r="AN45" i="7" s="1"/>
  <c r="AP45" i="7" s="1"/>
  <c r="AK42" i="7"/>
  <c r="AN42" i="7" s="1"/>
  <c r="AP42" i="7" s="1"/>
  <c r="AK40" i="7"/>
  <c r="AN40" i="7" s="1"/>
  <c r="AP40" i="7" s="1"/>
  <c r="AK37" i="7"/>
  <c r="AN37" i="7" s="1"/>
  <c r="AP37" i="7" s="1"/>
  <c r="AK34" i="7"/>
  <c r="AN34" i="7" s="1"/>
  <c r="AP34" i="7" s="1"/>
  <c r="AK31" i="7"/>
  <c r="AN31" i="7" s="1"/>
  <c r="AP31" i="7" s="1"/>
  <c r="AK29" i="7"/>
  <c r="AN29" i="7" s="1"/>
  <c r="AP29" i="7" s="1"/>
  <c r="AK27" i="7"/>
  <c r="AN27" i="7" s="1"/>
  <c r="AP27" i="7" s="1"/>
  <c r="AK25" i="7"/>
  <c r="AN25" i="7" s="1"/>
  <c r="AP25" i="7" s="1"/>
  <c r="AK23" i="7"/>
  <c r="AN23" i="7" s="1"/>
  <c r="AP23" i="7" s="1"/>
  <c r="AK21" i="7"/>
  <c r="AN21" i="7" s="1"/>
  <c r="AP21" i="7" s="1"/>
  <c r="AK19" i="7"/>
  <c r="AN19" i="7" s="1"/>
  <c r="AP19" i="7" s="1"/>
  <c r="AK16" i="7"/>
  <c r="AN16" i="7" s="1"/>
  <c r="AP16" i="7" s="1"/>
  <c r="AK14" i="7"/>
  <c r="AN14" i="7" s="1"/>
  <c r="AP14" i="7" s="1"/>
  <c r="AK12" i="7"/>
  <c r="AN12" i="7" s="1"/>
  <c r="AP12" i="7" s="1"/>
  <c r="AK10" i="7"/>
  <c r="G287" i="7"/>
  <c r="I287" i="7" s="1"/>
  <c r="K287" i="7" s="1"/>
  <c r="AK240" i="7"/>
  <c r="AN240" i="7" s="1"/>
  <c r="AP240" i="7" s="1"/>
  <c r="AK233" i="7"/>
  <c r="AN233" i="7" s="1"/>
  <c r="AP233" i="7" s="1"/>
  <c r="AK230" i="7"/>
  <c r="AN230" i="7" s="1"/>
  <c r="AP230" i="7" s="1"/>
  <c r="AK227" i="7"/>
  <c r="AN227" i="7" s="1"/>
  <c r="AP227" i="7" s="1"/>
  <c r="AK223" i="7"/>
  <c r="AN223" i="7" s="1"/>
  <c r="AP223" i="7" s="1"/>
  <c r="AK219" i="7"/>
  <c r="AN219" i="7" s="1"/>
  <c r="AP219" i="7" s="1"/>
  <c r="AK214" i="7"/>
  <c r="AN214" i="7" s="1"/>
  <c r="AP214" i="7" s="1"/>
  <c r="AK210" i="7"/>
  <c r="AN210" i="7" s="1"/>
  <c r="AP210" i="7" s="1"/>
  <c r="AK207" i="7"/>
  <c r="AN207" i="7" s="1"/>
  <c r="AP207" i="7" s="1"/>
  <c r="AK203" i="7"/>
  <c r="AK199" i="7"/>
  <c r="AN199" i="7" s="1"/>
  <c r="AP199" i="7" s="1"/>
  <c r="AK195" i="7"/>
  <c r="AN195" i="7" s="1"/>
  <c r="AP195" i="7" s="1"/>
  <c r="AK191" i="7"/>
  <c r="AN191" i="7" s="1"/>
  <c r="AP191" i="7" s="1"/>
  <c r="AK186" i="7"/>
  <c r="AN186" i="7" s="1"/>
  <c r="AP186" i="7" s="1"/>
  <c r="AK182" i="7"/>
  <c r="AN182" i="7" s="1"/>
  <c r="AP182" i="7" s="1"/>
  <c r="AK179" i="7"/>
  <c r="AN179" i="7" s="1"/>
  <c r="AP179" i="7" s="1"/>
  <c r="AK175" i="7"/>
  <c r="AN175" i="7" s="1"/>
  <c r="AP175" i="7" s="1"/>
  <c r="AK170" i="7"/>
  <c r="AN170" i="7" s="1"/>
  <c r="AP170" i="7" s="1"/>
  <c r="AK166" i="7"/>
  <c r="AN166" i="7" s="1"/>
  <c r="AP166" i="7" s="1"/>
  <c r="AK162" i="7"/>
  <c r="AN162" i="7" s="1"/>
  <c r="AP162" i="7" s="1"/>
  <c r="AK158" i="7"/>
  <c r="AN158" i="7" s="1"/>
  <c r="AP158" i="7" s="1"/>
  <c r="AK327" i="7"/>
  <c r="AN327" i="7" s="1"/>
  <c r="AP327" i="7" s="1"/>
  <c r="AK323" i="7"/>
  <c r="AN323" i="7" s="1"/>
  <c r="AP323" i="7" s="1"/>
  <c r="AK319" i="7"/>
  <c r="AN319" i="7" s="1"/>
  <c r="AP319" i="7" s="1"/>
  <c r="AK315" i="7"/>
  <c r="AN315" i="7" s="1"/>
  <c r="AP315" i="7" s="1"/>
  <c r="G311" i="7"/>
  <c r="I311" i="7" s="1"/>
  <c r="K311" i="7" s="1"/>
  <c r="G295" i="7"/>
  <c r="I295" i="7" s="1"/>
  <c r="K295" i="7" s="1"/>
  <c r="G279" i="7"/>
  <c r="I279" i="7" s="1"/>
  <c r="K279" i="7" s="1"/>
  <c r="AK238" i="7"/>
  <c r="AN238" i="7" s="1"/>
  <c r="AP238" i="7" s="1"/>
  <c r="G130" i="7"/>
  <c r="I130" i="7" s="1"/>
  <c r="K130" i="7" s="1"/>
  <c r="G126" i="7"/>
  <c r="I126" i="7" s="1"/>
  <c r="K126" i="7" s="1"/>
  <c r="G122" i="7"/>
  <c r="I122" i="7" s="1"/>
  <c r="K122" i="7" s="1"/>
  <c r="AU122" i="7" s="1"/>
  <c r="G118" i="7"/>
  <c r="I118" i="7" s="1"/>
  <c r="K118" i="7" s="1"/>
  <c r="G114" i="7"/>
  <c r="I114" i="7" s="1"/>
  <c r="K114" i="7" s="1"/>
  <c r="G110" i="7"/>
  <c r="I110" i="7" s="1"/>
  <c r="K110" i="7" s="1"/>
  <c r="AK58" i="7"/>
  <c r="AN58" i="7" s="1"/>
  <c r="AP58" i="7" s="1"/>
  <c r="AK57" i="7"/>
  <c r="AN57" i="7" s="1"/>
  <c r="AP57" i="7" s="1"/>
  <c r="AK56" i="7"/>
  <c r="AN56" i="7" s="1"/>
  <c r="AP56" i="7" s="1"/>
  <c r="AK55" i="7"/>
  <c r="AN55" i="7" s="1"/>
  <c r="AP55" i="7" s="1"/>
  <c r="AK54" i="7"/>
  <c r="AN54" i="7" s="1"/>
  <c r="AP54" i="7" s="1"/>
  <c r="AK53" i="7"/>
  <c r="AN53" i="7" s="1"/>
  <c r="AP53" i="7" s="1"/>
  <c r="AK52" i="7"/>
  <c r="AK51" i="7"/>
  <c r="AN51" i="7" s="1"/>
  <c r="AP51" i="7" s="1"/>
  <c r="AK50" i="7"/>
  <c r="AN50" i="7" s="1"/>
  <c r="AP50" i="7" s="1"/>
  <c r="AK49" i="7"/>
  <c r="AN49" i="7" s="1"/>
  <c r="AP49" i="7" s="1"/>
  <c r="AK48" i="7"/>
  <c r="AN48" i="7" s="1"/>
  <c r="AP48" i="7" s="1"/>
  <c r="AK47" i="7"/>
  <c r="AN47" i="7" s="1"/>
  <c r="AP47" i="7" s="1"/>
  <c r="AK46" i="7"/>
  <c r="AN46" i="7" s="1"/>
  <c r="AP46" i="7" s="1"/>
  <c r="G45" i="7"/>
  <c r="I45" i="7" s="1"/>
  <c r="K45" i="7" s="1"/>
  <c r="G44" i="7"/>
  <c r="I44" i="7" s="1"/>
  <c r="K44" i="7" s="1"/>
  <c r="G43" i="7"/>
  <c r="I43" i="7" s="1"/>
  <c r="K43" i="7" s="1"/>
  <c r="G42" i="7"/>
  <c r="I42" i="7" s="1"/>
  <c r="K42" i="7" s="1"/>
  <c r="G41" i="7"/>
  <c r="I41" i="7" s="1"/>
  <c r="K41" i="7" s="1"/>
  <c r="G40" i="7"/>
  <c r="I40" i="7" s="1"/>
  <c r="K40" i="7" s="1"/>
  <c r="G39" i="7"/>
  <c r="I39" i="7" s="1"/>
  <c r="K39" i="7" s="1"/>
  <c r="G38" i="7"/>
  <c r="I38" i="7" s="1"/>
  <c r="K38" i="7" s="1"/>
  <c r="G37" i="7"/>
  <c r="I37" i="7" s="1"/>
  <c r="K37" i="7" s="1"/>
  <c r="G35" i="7"/>
  <c r="I35" i="7" s="1"/>
  <c r="K35" i="7" s="1"/>
  <c r="G34" i="7"/>
  <c r="G32" i="7"/>
  <c r="I32" i="7" s="1"/>
  <c r="K32" i="7" s="1"/>
  <c r="G30" i="7"/>
  <c r="I30" i="7" s="1"/>
  <c r="K30" i="7" s="1"/>
  <c r="G28" i="7"/>
  <c r="I28" i="7" s="1"/>
  <c r="K28" i="7" s="1"/>
  <c r="G27" i="7"/>
  <c r="I27" i="7" s="1"/>
  <c r="K27" i="7" s="1"/>
  <c r="G26" i="7"/>
  <c r="I26" i="7" s="1"/>
  <c r="K26" i="7" s="1"/>
  <c r="G25" i="7"/>
  <c r="I25" i="7" s="1"/>
  <c r="K25" i="7" s="1"/>
  <c r="G24" i="7"/>
  <c r="I24" i="7" s="1"/>
  <c r="K24" i="7" s="1"/>
  <c r="G22" i="7"/>
  <c r="I22" i="7" s="1"/>
  <c r="K22" i="7" s="1"/>
  <c r="G20" i="7"/>
  <c r="I20" i="7" s="1"/>
  <c r="K20" i="7" s="1"/>
  <c r="G17" i="7"/>
  <c r="I17" i="7" s="1"/>
  <c r="K17" i="7" s="1"/>
  <c r="G13" i="7"/>
  <c r="I13" i="7" s="1"/>
  <c r="K13" i="7" s="1"/>
  <c r="G9" i="7"/>
  <c r="G232" i="7"/>
  <c r="I232" i="7" s="1"/>
  <c r="K232" i="7" s="1"/>
  <c r="G228" i="7"/>
  <c r="I228" i="7" s="1"/>
  <c r="K228" i="7" s="1"/>
  <c r="G224" i="7"/>
  <c r="I224" i="7" s="1"/>
  <c r="K224" i="7" s="1"/>
  <c r="G222" i="7"/>
  <c r="I222" i="7" s="1"/>
  <c r="K222" i="7" s="1"/>
  <c r="G219" i="7"/>
  <c r="I219" i="7" s="1"/>
  <c r="K219" i="7" s="1"/>
  <c r="G216" i="7"/>
  <c r="I216" i="7" s="1"/>
  <c r="K216" i="7" s="1"/>
  <c r="G213" i="7"/>
  <c r="I213" i="7" s="1"/>
  <c r="K213" i="7" s="1"/>
  <c r="G210" i="7"/>
  <c r="I210" i="7" s="1"/>
  <c r="K210" i="7" s="1"/>
  <c r="G207" i="7"/>
  <c r="I207" i="7" s="1"/>
  <c r="K207" i="7" s="1"/>
  <c r="G204" i="7"/>
  <c r="I204" i="7" s="1"/>
  <c r="K204" i="7" s="1"/>
  <c r="G201" i="7"/>
  <c r="I201" i="7" s="1"/>
  <c r="K201" i="7" s="1"/>
  <c r="G199" i="7"/>
  <c r="I199" i="7" s="1"/>
  <c r="K199" i="7" s="1"/>
  <c r="G197" i="7"/>
  <c r="I197" i="7" s="1"/>
  <c r="K197" i="7" s="1"/>
  <c r="G194" i="7"/>
  <c r="I194" i="7" s="1"/>
  <c r="K194" i="7" s="1"/>
  <c r="G191" i="7"/>
  <c r="I191" i="7" s="1"/>
  <c r="K191" i="7" s="1"/>
  <c r="G188" i="7"/>
  <c r="G185" i="7"/>
  <c r="I185" i="7" s="1"/>
  <c r="K185" i="7" s="1"/>
  <c r="G182" i="7"/>
  <c r="I182" i="7" s="1"/>
  <c r="K182" i="7" s="1"/>
  <c r="G179" i="7"/>
  <c r="I179" i="7" s="1"/>
  <c r="K179" i="7" s="1"/>
  <c r="G176" i="7"/>
  <c r="I176" i="7" s="1"/>
  <c r="K176" i="7" s="1"/>
  <c r="G175" i="7"/>
  <c r="I175" i="7" s="1"/>
  <c r="K175" i="7" s="1"/>
  <c r="G172" i="7"/>
  <c r="I172" i="7" s="1"/>
  <c r="K172" i="7" s="1"/>
  <c r="G169" i="7"/>
  <c r="I169" i="7" s="1"/>
  <c r="K169" i="7" s="1"/>
  <c r="G166" i="7"/>
  <c r="I166" i="7" s="1"/>
  <c r="K166" i="7" s="1"/>
  <c r="G163" i="7"/>
  <c r="I163" i="7" s="1"/>
  <c r="K163" i="7" s="1"/>
  <c r="G160" i="7"/>
  <c r="I160" i="7" s="1"/>
  <c r="K160" i="7" s="1"/>
  <c r="G157" i="7"/>
  <c r="G154" i="7"/>
  <c r="G151" i="7"/>
  <c r="I151" i="7" s="1"/>
  <c r="K151" i="7" s="1"/>
  <c r="G148" i="7"/>
  <c r="G145" i="7"/>
  <c r="I145" i="7" s="1"/>
  <c r="K145" i="7" s="1"/>
  <c r="G142" i="7"/>
  <c r="I142" i="7" s="1"/>
  <c r="K142" i="7" s="1"/>
  <c r="G141" i="7"/>
  <c r="I141" i="7" s="1"/>
  <c r="K141" i="7" s="1"/>
  <c r="G138" i="7"/>
  <c r="G135" i="7"/>
  <c r="G132" i="7"/>
  <c r="I132" i="7" s="1"/>
  <c r="K132" i="7" s="1"/>
  <c r="G123" i="7"/>
  <c r="I123" i="7" s="1"/>
  <c r="K123" i="7" s="1"/>
  <c r="G111" i="7"/>
  <c r="I111" i="7" s="1"/>
  <c r="K111" i="7" s="1"/>
  <c r="AK43" i="7"/>
  <c r="AN43" i="7" s="1"/>
  <c r="AP43" i="7" s="1"/>
  <c r="AK38" i="7"/>
  <c r="AN38" i="7" s="1"/>
  <c r="AP38" i="7" s="1"/>
  <c r="AK35" i="7"/>
  <c r="AN35" i="7" s="1"/>
  <c r="AP35" i="7" s="1"/>
  <c r="AK32" i="7"/>
  <c r="AN32" i="7" s="1"/>
  <c r="AP32" i="7" s="1"/>
  <c r="AK18" i="7"/>
  <c r="AK11" i="7"/>
  <c r="AN11" i="7" s="1"/>
  <c r="AP11" i="7" s="1"/>
  <c r="AK234" i="7"/>
  <c r="AN234" i="7" s="1"/>
  <c r="AP234" i="7" s="1"/>
  <c r="AK229" i="7"/>
  <c r="AN229" i="7" s="1"/>
  <c r="AP229" i="7" s="1"/>
  <c r="AK224" i="7"/>
  <c r="AN224" i="7" s="1"/>
  <c r="AP224" i="7" s="1"/>
  <c r="AK221" i="7"/>
  <c r="AN221" i="7" s="1"/>
  <c r="AP221" i="7" s="1"/>
  <c r="AK217" i="7"/>
  <c r="AN217" i="7" s="1"/>
  <c r="AP217" i="7" s="1"/>
  <c r="AK213" i="7"/>
  <c r="AK209" i="7"/>
  <c r="AK205" i="7"/>
  <c r="AK201" i="7"/>
  <c r="AN201" i="7" s="1"/>
  <c r="AP201" i="7" s="1"/>
  <c r="AK197" i="7"/>
  <c r="AN197" i="7" s="1"/>
  <c r="AP197" i="7" s="1"/>
  <c r="AK193" i="7"/>
  <c r="AN193" i="7" s="1"/>
  <c r="AP193" i="7" s="1"/>
  <c r="AK189" i="7"/>
  <c r="AN189" i="7" s="1"/>
  <c r="AP189" i="7" s="1"/>
  <c r="AK185" i="7"/>
  <c r="AN185" i="7" s="1"/>
  <c r="AP185" i="7" s="1"/>
  <c r="AK181" i="7"/>
  <c r="AN181" i="7" s="1"/>
  <c r="AP181" i="7" s="1"/>
  <c r="AK177" i="7"/>
  <c r="AN177" i="7" s="1"/>
  <c r="AP177" i="7" s="1"/>
  <c r="AK172" i="7"/>
  <c r="AN172" i="7" s="1"/>
  <c r="AP172" i="7" s="1"/>
  <c r="AK169" i="7"/>
  <c r="AN169" i="7" s="1"/>
  <c r="AP169" i="7" s="1"/>
  <c r="AK165" i="7"/>
  <c r="AN165" i="7" s="1"/>
  <c r="AP165" i="7" s="1"/>
  <c r="AK161" i="7"/>
  <c r="AK157" i="7"/>
  <c r="AN157" i="7" s="1"/>
  <c r="AP157" i="7" s="1"/>
  <c r="AK328" i="7"/>
  <c r="AN328" i="7" s="1"/>
  <c r="AP328" i="7" s="1"/>
  <c r="AK324" i="7"/>
  <c r="AN324" i="7" s="1"/>
  <c r="AP324" i="7" s="1"/>
  <c r="AK320" i="7"/>
  <c r="AN320" i="7" s="1"/>
  <c r="AP320" i="7" s="1"/>
  <c r="AK316" i="7"/>
  <c r="AN316" i="7" s="1"/>
  <c r="AP316" i="7" s="1"/>
  <c r="G307" i="7"/>
  <c r="I307" i="7" s="1"/>
  <c r="K307" i="7" s="1"/>
  <c r="G291" i="7"/>
  <c r="I291" i="7" s="1"/>
  <c r="K291" i="7" s="1"/>
  <c r="G275" i="7"/>
  <c r="I275" i="7" s="1"/>
  <c r="K275" i="7" s="1"/>
  <c r="AK239" i="7"/>
  <c r="AN239" i="7" s="1"/>
  <c r="AP239" i="7" s="1"/>
  <c r="G235" i="7"/>
  <c r="I235" i="7" s="1"/>
  <c r="K235" i="7" s="1"/>
  <c r="G234" i="7"/>
  <c r="I234" i="7" s="1"/>
  <c r="K234" i="7" s="1"/>
  <c r="G233" i="7"/>
  <c r="I233" i="7" s="1"/>
  <c r="K233" i="7" s="1"/>
  <c r="G231" i="7"/>
  <c r="I231" i="7" s="1"/>
  <c r="K231" i="7" s="1"/>
  <c r="G230" i="7"/>
  <c r="I230" i="7" s="1"/>
  <c r="K230" i="7" s="1"/>
  <c r="G229" i="7"/>
  <c r="I229" i="7" s="1"/>
  <c r="K229" i="7" s="1"/>
  <c r="G227" i="7"/>
  <c r="I227" i="7" s="1"/>
  <c r="K227" i="7" s="1"/>
  <c r="G225" i="7"/>
  <c r="I225" i="7" s="1"/>
  <c r="K225" i="7" s="1"/>
  <c r="G223" i="7"/>
  <c r="I223" i="7" s="1"/>
  <c r="K223" i="7" s="1"/>
  <c r="G220" i="7"/>
  <c r="I220" i="7" s="1"/>
  <c r="K220" i="7" s="1"/>
  <c r="G218" i="7"/>
  <c r="I218" i="7" s="1"/>
  <c r="K218" i="7" s="1"/>
  <c r="G215" i="7"/>
  <c r="I215" i="7" s="1"/>
  <c r="K215" i="7" s="1"/>
  <c r="G211" i="7"/>
  <c r="G208" i="7"/>
  <c r="I208" i="7" s="1"/>
  <c r="K208" i="7" s="1"/>
  <c r="G206" i="7"/>
  <c r="I206" i="7" s="1"/>
  <c r="K206" i="7" s="1"/>
  <c r="G203" i="7"/>
  <c r="I203" i="7" s="1"/>
  <c r="K203" i="7" s="1"/>
  <c r="G198" i="7"/>
  <c r="I198" i="7" s="1"/>
  <c r="K198" i="7" s="1"/>
  <c r="G195" i="7"/>
  <c r="I195" i="7" s="1"/>
  <c r="K195" i="7" s="1"/>
  <c r="G193" i="7"/>
  <c r="I193" i="7" s="1"/>
  <c r="K193" i="7" s="1"/>
  <c r="G190" i="7"/>
  <c r="I190" i="7" s="1"/>
  <c r="K190" i="7" s="1"/>
  <c r="G187" i="7"/>
  <c r="I187" i="7" s="1"/>
  <c r="K187" i="7" s="1"/>
  <c r="G183" i="7"/>
  <c r="I183" i="7" s="1"/>
  <c r="K183" i="7" s="1"/>
  <c r="G180" i="7"/>
  <c r="I180" i="7" s="1"/>
  <c r="K180" i="7" s="1"/>
  <c r="G177" i="7"/>
  <c r="I177" i="7" s="1"/>
  <c r="K177" i="7" s="1"/>
  <c r="G173" i="7"/>
  <c r="I173" i="7" s="1"/>
  <c r="K173" i="7" s="1"/>
  <c r="G170" i="7"/>
  <c r="I170" i="7" s="1"/>
  <c r="K170" i="7" s="1"/>
  <c r="G167" i="7"/>
  <c r="I167" i="7" s="1"/>
  <c r="K167" i="7" s="1"/>
  <c r="G164" i="7"/>
  <c r="I164" i="7" s="1"/>
  <c r="K164" i="7" s="1"/>
  <c r="G161" i="7"/>
  <c r="G158" i="7"/>
  <c r="G155" i="7"/>
  <c r="I155" i="7" s="1"/>
  <c r="K155" i="7" s="1"/>
  <c r="G152" i="7"/>
  <c r="I152" i="7" s="1"/>
  <c r="K152" i="7" s="1"/>
  <c r="G149" i="7"/>
  <c r="G146" i="7"/>
  <c r="I146" i="7" s="1"/>
  <c r="K146" i="7" s="1"/>
  <c r="G143" i="7"/>
  <c r="I143" i="7" s="1"/>
  <c r="K143" i="7" s="1"/>
  <c r="G139" i="7"/>
  <c r="I139" i="7" s="1"/>
  <c r="K139" i="7" s="1"/>
  <c r="G137" i="7"/>
  <c r="I137" i="7" s="1"/>
  <c r="K137" i="7" s="1"/>
  <c r="G133" i="7"/>
  <c r="I133" i="7" s="1"/>
  <c r="K133" i="7" s="1"/>
  <c r="G127" i="7"/>
  <c r="I127" i="7" s="1"/>
  <c r="K127" i="7" s="1"/>
  <c r="G119" i="7"/>
  <c r="AK44" i="7"/>
  <c r="AN44" i="7" s="1"/>
  <c r="AP44" i="7" s="1"/>
  <c r="AK41" i="7"/>
  <c r="AN41" i="7" s="1"/>
  <c r="AP41" i="7" s="1"/>
  <c r="AK39" i="7"/>
  <c r="AN39" i="7" s="1"/>
  <c r="AP39" i="7" s="1"/>
  <c r="AK36" i="7"/>
  <c r="AN36" i="7" s="1"/>
  <c r="AP36" i="7" s="1"/>
  <c r="AK33" i="7"/>
  <c r="AN33" i="7" s="1"/>
  <c r="AP33" i="7" s="1"/>
  <c r="AK30" i="7"/>
  <c r="AN30" i="7" s="1"/>
  <c r="AP30" i="7" s="1"/>
  <c r="AK28" i="7"/>
  <c r="AN28" i="7" s="1"/>
  <c r="AP28" i="7" s="1"/>
  <c r="AK26" i="7"/>
  <c r="AN26" i="7" s="1"/>
  <c r="AP26" i="7" s="1"/>
  <c r="AK24" i="7"/>
  <c r="AN24" i="7" s="1"/>
  <c r="AP24" i="7" s="1"/>
  <c r="AK22" i="7"/>
  <c r="AN22" i="7" s="1"/>
  <c r="AP22" i="7" s="1"/>
  <c r="AK20" i="7"/>
  <c r="AN20" i="7" s="1"/>
  <c r="AP20" i="7" s="1"/>
  <c r="AK17" i="7"/>
  <c r="AN17" i="7" s="1"/>
  <c r="AP17" i="7" s="1"/>
  <c r="AK15" i="7"/>
  <c r="AK13" i="7"/>
  <c r="AN13" i="7" s="1"/>
  <c r="AP13" i="7" s="1"/>
  <c r="AK9" i="7"/>
  <c r="G303" i="7"/>
  <c r="I303" i="7" s="1"/>
  <c r="K303" i="7" s="1"/>
  <c r="G271" i="7"/>
  <c r="I271" i="7" s="1"/>
  <c r="K271" i="7" s="1"/>
  <c r="AK236" i="7"/>
  <c r="AN236" i="7" s="1"/>
  <c r="AP236" i="7" s="1"/>
  <c r="AK232" i="7"/>
  <c r="AN232" i="7" s="1"/>
  <c r="AP232" i="7" s="1"/>
  <c r="AK228" i="7"/>
  <c r="AN228" i="7" s="1"/>
  <c r="AP228" i="7" s="1"/>
  <c r="AK225" i="7"/>
  <c r="AN225" i="7" s="1"/>
  <c r="AP225" i="7" s="1"/>
  <c r="AK222" i="7"/>
  <c r="AN222" i="7" s="1"/>
  <c r="AP222" i="7" s="1"/>
  <c r="AK218" i="7"/>
  <c r="AN218" i="7" s="1"/>
  <c r="AP218" i="7" s="1"/>
  <c r="AK215" i="7"/>
  <c r="AK211" i="7"/>
  <c r="AK206" i="7"/>
  <c r="AN206" i="7" s="1"/>
  <c r="AP206" i="7" s="1"/>
  <c r="AK202" i="7"/>
  <c r="AN202" i="7" s="1"/>
  <c r="AP202" i="7" s="1"/>
  <c r="AK198" i="7"/>
  <c r="AK194" i="7"/>
  <c r="AN194" i="7" s="1"/>
  <c r="AP194" i="7" s="1"/>
  <c r="AK190" i="7"/>
  <c r="AN190" i="7" s="1"/>
  <c r="AP190" i="7" s="1"/>
  <c r="AK187" i="7"/>
  <c r="AN187" i="7" s="1"/>
  <c r="AP187" i="7" s="1"/>
  <c r="AK183" i="7"/>
  <c r="AK178" i="7"/>
  <c r="AN178" i="7" s="1"/>
  <c r="AP178" i="7" s="1"/>
  <c r="AK174" i="7"/>
  <c r="AN174" i="7" s="1"/>
  <c r="AP174" i="7" s="1"/>
  <c r="AK171" i="7"/>
  <c r="AN171" i="7" s="1"/>
  <c r="AP171" i="7" s="1"/>
  <c r="AK167" i="7"/>
  <c r="AN167" i="7" s="1"/>
  <c r="AP167" i="7" s="1"/>
  <c r="AK163" i="7"/>
  <c r="AN163" i="7" s="1"/>
  <c r="AP163" i="7" s="1"/>
  <c r="AK329" i="7"/>
  <c r="AN329" i="7" s="1"/>
  <c r="AP329" i="7" s="1"/>
  <c r="AK325" i="7"/>
  <c r="AN325" i="7" s="1"/>
  <c r="AP325" i="7" s="1"/>
  <c r="AK321" i="7"/>
  <c r="AN321" i="7" s="1"/>
  <c r="AP321" i="7" s="1"/>
  <c r="AK317" i="7"/>
  <c r="AK235" i="7"/>
  <c r="AN235" i="7" s="1"/>
  <c r="AP235" i="7" s="1"/>
  <c r="AK231" i="7"/>
  <c r="AN231" i="7" s="1"/>
  <c r="AP231" i="7" s="1"/>
  <c r="AK226" i="7"/>
  <c r="AN226" i="7" s="1"/>
  <c r="AP226" i="7" s="1"/>
  <c r="AK220" i="7"/>
  <c r="AN220" i="7" s="1"/>
  <c r="AP220" i="7" s="1"/>
  <c r="AK216" i="7"/>
  <c r="AN216" i="7" s="1"/>
  <c r="AP216" i="7" s="1"/>
  <c r="AK212" i="7"/>
  <c r="AK208" i="7"/>
  <c r="AK204" i="7"/>
  <c r="AK200" i="7"/>
  <c r="AK196" i="7"/>
  <c r="AN196" i="7" s="1"/>
  <c r="AP196" i="7" s="1"/>
  <c r="AK192" i="7"/>
  <c r="AN192" i="7" s="1"/>
  <c r="AP192" i="7" s="1"/>
  <c r="AK188" i="7"/>
  <c r="AN188" i="7" s="1"/>
  <c r="AP188" i="7" s="1"/>
  <c r="AK184" i="7"/>
  <c r="AN184" i="7" s="1"/>
  <c r="AP184" i="7" s="1"/>
  <c r="AK180" i="7"/>
  <c r="AK176" i="7"/>
  <c r="AN176" i="7" s="1"/>
  <c r="AP176" i="7" s="1"/>
  <c r="AK173" i="7"/>
  <c r="AK168" i="7"/>
  <c r="AN168" i="7" s="1"/>
  <c r="AP168" i="7" s="1"/>
  <c r="AK164" i="7"/>
  <c r="AN164" i="7" s="1"/>
  <c r="AP164" i="7" s="1"/>
  <c r="AK160" i="7"/>
  <c r="AN160" i="7" s="1"/>
  <c r="AP160" i="7" s="1"/>
  <c r="AK156" i="7"/>
  <c r="AN156" i="7" s="1"/>
  <c r="AP156" i="7" s="1"/>
  <c r="AK159" i="7"/>
  <c r="AN159" i="7" s="1"/>
  <c r="AP159" i="7" s="1"/>
  <c r="AK154" i="7"/>
  <c r="AK150" i="7"/>
  <c r="AK146" i="7"/>
  <c r="AN146" i="7" s="1"/>
  <c r="AP146" i="7" s="1"/>
  <c r="AK142" i="7"/>
  <c r="AN142" i="7" s="1"/>
  <c r="AP142" i="7" s="1"/>
  <c r="AK138" i="7"/>
  <c r="AN138" i="7" s="1"/>
  <c r="AP138" i="7" s="1"/>
  <c r="AK134" i="7"/>
  <c r="AN134" i="7" s="1"/>
  <c r="AP134" i="7" s="1"/>
  <c r="G120" i="7"/>
  <c r="I120" i="7" s="1"/>
  <c r="K120" i="7" s="1"/>
  <c r="AK155" i="7"/>
  <c r="AK151" i="7"/>
  <c r="AK147" i="7"/>
  <c r="AK143" i="7"/>
  <c r="AN143" i="7" s="1"/>
  <c r="AP143" i="7" s="1"/>
  <c r="AK139" i="7"/>
  <c r="AN139" i="7" s="1"/>
  <c r="AP139" i="7" s="1"/>
  <c r="AK135" i="7"/>
  <c r="G116" i="7"/>
  <c r="I116" i="7" s="1"/>
  <c r="K116" i="7" s="1"/>
  <c r="AK152" i="7"/>
  <c r="AN152" i="7" s="1"/>
  <c r="AP152" i="7" s="1"/>
  <c r="AK148" i="7"/>
  <c r="AK144" i="7"/>
  <c r="AN144" i="7" s="1"/>
  <c r="AP144" i="7" s="1"/>
  <c r="AK140" i="7"/>
  <c r="AN140" i="7" s="1"/>
  <c r="AP140" i="7" s="1"/>
  <c r="AK136" i="7"/>
  <c r="AN136" i="7" s="1"/>
  <c r="AP136" i="7" s="1"/>
  <c r="AK132" i="7"/>
  <c r="G128" i="7"/>
  <c r="I128" i="7" s="1"/>
  <c r="K128" i="7" s="1"/>
  <c r="G112" i="7"/>
  <c r="I112" i="7" s="1"/>
  <c r="K112" i="7" s="1"/>
  <c r="AK153" i="7"/>
  <c r="AK149" i="7"/>
  <c r="AN149" i="7" s="1"/>
  <c r="AP149" i="7" s="1"/>
  <c r="AK145" i="7"/>
  <c r="AK141" i="7"/>
  <c r="AN141" i="7" s="1"/>
  <c r="AP141" i="7" s="1"/>
  <c r="AK137" i="7"/>
  <c r="AN137" i="7" s="1"/>
  <c r="AP137" i="7" s="1"/>
  <c r="AK133" i="7"/>
  <c r="AN133" i="7" s="1"/>
  <c r="AP133" i="7" s="1"/>
  <c r="G124" i="7"/>
  <c r="I124" i="7" s="1"/>
  <c r="K124" i="7" s="1"/>
  <c r="C383" i="7"/>
  <c r="AU2" i="7"/>
  <c r="AT5" i="7" s="1"/>
  <c r="AT31" i="7" s="1"/>
  <c r="AU306" i="7"/>
  <c r="D400" i="1"/>
  <c r="D399" i="1"/>
  <c r="D398" i="1"/>
  <c r="D397" i="1"/>
  <c r="D396" i="1"/>
  <c r="D395" i="1"/>
  <c r="D394" i="1"/>
  <c r="D393" i="1"/>
  <c r="D392" i="1"/>
  <c r="D391" i="1"/>
  <c r="D390" i="1"/>
  <c r="C385" i="1"/>
  <c r="C384" i="1"/>
  <c r="C383" i="1"/>
  <c r="B368" i="38"/>
  <c r="AU170" i="7" l="1"/>
  <c r="AU304" i="7"/>
  <c r="AU48" i="7"/>
  <c r="AU169" i="7"/>
  <c r="AN317" i="7"/>
  <c r="AP317" i="7" s="1"/>
  <c r="I149" i="7"/>
  <c r="K149" i="7" s="1"/>
  <c r="I85" i="7"/>
  <c r="K85" i="7" s="1"/>
  <c r="I93" i="7"/>
  <c r="K93" i="7" s="1"/>
  <c r="AN150" i="7"/>
  <c r="AP150" i="7" s="1"/>
  <c r="AN208" i="7"/>
  <c r="AP208" i="7" s="1"/>
  <c r="AN198" i="7"/>
  <c r="AP198" i="7" s="1"/>
  <c r="I119" i="7"/>
  <c r="K119" i="7" s="1"/>
  <c r="AU119" i="7" s="1"/>
  <c r="AN205" i="7"/>
  <c r="AP205" i="7" s="1"/>
  <c r="G378" i="7"/>
  <c r="G368" i="7"/>
  <c r="I9" i="7"/>
  <c r="I34" i="7"/>
  <c r="K34" i="7" s="1"/>
  <c r="AN132" i="7"/>
  <c r="AP132" i="7" s="1"/>
  <c r="AU132" i="7" s="1"/>
  <c r="AN148" i="7"/>
  <c r="AP148" i="7" s="1"/>
  <c r="AN155" i="7"/>
  <c r="AP155" i="7" s="1"/>
  <c r="AU155" i="7" s="1"/>
  <c r="AN200" i="7"/>
  <c r="AP200" i="7" s="1"/>
  <c r="I158" i="7"/>
  <c r="K158" i="7" s="1"/>
  <c r="AN213" i="7"/>
  <c r="AP213" i="7" s="1"/>
  <c r="I138" i="7"/>
  <c r="K138" i="7" s="1"/>
  <c r="I148" i="7"/>
  <c r="K148" i="7" s="1"/>
  <c r="I209" i="7"/>
  <c r="K209" i="7" s="1"/>
  <c r="I18" i="7"/>
  <c r="K18" i="7" s="1"/>
  <c r="I274" i="7"/>
  <c r="K274" i="7" s="1"/>
  <c r="AN65" i="7"/>
  <c r="AP65" i="7" s="1"/>
  <c r="AU65" i="7" s="1"/>
  <c r="AN69" i="7"/>
  <c r="AP69" i="7" s="1"/>
  <c r="AU69" i="7" s="1"/>
  <c r="AN73" i="7"/>
  <c r="AP73" i="7" s="1"/>
  <c r="I239" i="7"/>
  <c r="K239" i="7" s="1"/>
  <c r="I297" i="7"/>
  <c r="K297" i="7" s="1"/>
  <c r="I68" i="7"/>
  <c r="K68" i="7" s="1"/>
  <c r="I88" i="7"/>
  <c r="K88" i="7" s="1"/>
  <c r="I92" i="7"/>
  <c r="K92" i="7" s="1"/>
  <c r="I96" i="7"/>
  <c r="K96" i="7" s="1"/>
  <c r="AN204" i="7"/>
  <c r="AP204" i="7" s="1"/>
  <c r="I81" i="7"/>
  <c r="K81" i="7" s="1"/>
  <c r="AN153" i="7"/>
  <c r="AP153" i="7" s="1"/>
  <c r="AN173" i="7"/>
  <c r="AP173" i="7" s="1"/>
  <c r="AN211" i="7"/>
  <c r="AP211" i="7" s="1"/>
  <c r="I161" i="7"/>
  <c r="K161" i="7" s="1"/>
  <c r="AN252" i="7"/>
  <c r="AP252" i="7" s="1"/>
  <c r="AU252" i="7" s="1"/>
  <c r="AN269" i="7"/>
  <c r="AP269" i="7" s="1"/>
  <c r="AK377" i="7"/>
  <c r="AN10" i="7"/>
  <c r="G377" i="7"/>
  <c r="I10" i="7"/>
  <c r="G376" i="7"/>
  <c r="I15" i="7"/>
  <c r="K15" i="7" s="1"/>
  <c r="AN318" i="7"/>
  <c r="AP318" i="7" s="1"/>
  <c r="AN253" i="7"/>
  <c r="AP253" i="7" s="1"/>
  <c r="I94" i="7"/>
  <c r="K94" i="7" s="1"/>
  <c r="AN110" i="7"/>
  <c r="AP110" i="7" s="1"/>
  <c r="AN273" i="7"/>
  <c r="AP273" i="7" s="1"/>
  <c r="AK376" i="7"/>
  <c r="AN15" i="7"/>
  <c r="I211" i="7"/>
  <c r="K211" i="7" s="1"/>
  <c r="I97" i="7"/>
  <c r="K97" i="7" s="1"/>
  <c r="AN147" i="7"/>
  <c r="AP147" i="7" s="1"/>
  <c r="AN183" i="7"/>
  <c r="AP183" i="7" s="1"/>
  <c r="AN215" i="7"/>
  <c r="AP215" i="7" s="1"/>
  <c r="I154" i="7"/>
  <c r="K154" i="7" s="1"/>
  <c r="I188" i="7"/>
  <c r="K188" i="7" s="1"/>
  <c r="AN145" i="7"/>
  <c r="AP145" i="7" s="1"/>
  <c r="AN135" i="7"/>
  <c r="AP135" i="7" s="1"/>
  <c r="AN151" i="7"/>
  <c r="AP151" i="7" s="1"/>
  <c r="AN154" i="7"/>
  <c r="AP154" i="7" s="1"/>
  <c r="AN180" i="7"/>
  <c r="AP180" i="7" s="1"/>
  <c r="AN212" i="7"/>
  <c r="AP212" i="7" s="1"/>
  <c r="AU212" i="7" s="1"/>
  <c r="AK368" i="7"/>
  <c r="AK378" i="7"/>
  <c r="AN9" i="7"/>
  <c r="AP9" i="7" s="1"/>
  <c r="AN161" i="7"/>
  <c r="AP161" i="7" s="1"/>
  <c r="AN209" i="7"/>
  <c r="AP209" i="7" s="1"/>
  <c r="AN18" i="7"/>
  <c r="AP18" i="7" s="1"/>
  <c r="I135" i="7"/>
  <c r="K135" i="7" s="1"/>
  <c r="I157" i="7"/>
  <c r="K157" i="7" s="1"/>
  <c r="AN52" i="7"/>
  <c r="AP52" i="7" s="1"/>
  <c r="AU52" i="7" s="1"/>
  <c r="AN203" i="7"/>
  <c r="AP203" i="7" s="1"/>
  <c r="I49" i="7"/>
  <c r="K49" i="7" s="1"/>
  <c r="I319" i="7"/>
  <c r="K319" i="7" s="1"/>
  <c r="AN68" i="7"/>
  <c r="AP68" i="7" s="1"/>
  <c r="AN72" i="7"/>
  <c r="AP72" i="7" s="1"/>
  <c r="I67" i="7"/>
  <c r="K67" i="7" s="1"/>
  <c r="AN127" i="7"/>
  <c r="AP127" i="7" s="1"/>
  <c r="I253" i="7"/>
  <c r="K253" i="7" s="1"/>
  <c r="AN286" i="7"/>
  <c r="AP286" i="7" s="1"/>
  <c r="AU31" i="7"/>
  <c r="AT27" i="7"/>
  <c r="AU27" i="7" s="1"/>
  <c r="AT29" i="7"/>
  <c r="AU29" i="7" s="1"/>
  <c r="AU14" i="7"/>
  <c r="AU175" i="7"/>
  <c r="AU251" i="7"/>
  <c r="AU177" i="7"/>
  <c r="AU231" i="7"/>
  <c r="AU75" i="7"/>
  <c r="AU166" i="7"/>
  <c r="AU171" i="7"/>
  <c r="AU79" i="7"/>
  <c r="AU162" i="7"/>
  <c r="AU223" i="7"/>
  <c r="AU275" i="7"/>
  <c r="AU47" i="7"/>
  <c r="AU305" i="7"/>
  <c r="AU307" i="7"/>
  <c r="AU129" i="7"/>
  <c r="AU159" i="7"/>
  <c r="AU26" i="7"/>
  <c r="AU118" i="7"/>
  <c r="AU160" i="7"/>
  <c r="AU120" i="7"/>
  <c r="AU176" i="7"/>
  <c r="AU164" i="7"/>
  <c r="AU124" i="7"/>
  <c r="AU168" i="7"/>
  <c r="AU28" i="7"/>
  <c r="AU59" i="7"/>
  <c r="AU178" i="7"/>
  <c r="AU25" i="7"/>
  <c r="AU165" i="7"/>
  <c r="AU20" i="7"/>
  <c r="AU76" i="7"/>
  <c r="AU89" i="7"/>
  <c r="AU128" i="7"/>
  <c r="AU156" i="7"/>
  <c r="AU115" i="7"/>
  <c r="AU268" i="7"/>
  <c r="AU133" i="7"/>
  <c r="AU77" i="7"/>
  <c r="AU60" i="7"/>
  <c r="AU130" i="7"/>
  <c r="AT271" i="7"/>
  <c r="AU271" i="7" s="1"/>
  <c r="AT72" i="7"/>
  <c r="AT74" i="7"/>
  <c r="AT329" i="7"/>
  <c r="AU329" i="7" s="1"/>
  <c r="AT249" i="7"/>
  <c r="AU249" i="7" s="1"/>
  <c r="AT62" i="7"/>
  <c r="AU62" i="7" s="1"/>
  <c r="AT202" i="7"/>
  <c r="AU202" i="7" s="1"/>
  <c r="AT91" i="7"/>
  <c r="AU91" i="7" s="1"/>
  <c r="AT290" i="7"/>
  <c r="AU290" i="7" s="1"/>
  <c r="AT267" i="7"/>
  <c r="AU267" i="7" s="1"/>
  <c r="AT215" i="7"/>
  <c r="AT319" i="7"/>
  <c r="AT144" i="7"/>
  <c r="AU144" i="7" s="1"/>
  <c r="AT135" i="7"/>
  <c r="AT174" i="7"/>
  <c r="AU174" i="7" s="1"/>
  <c r="AT253" i="7"/>
  <c r="AT46" i="7"/>
  <c r="AU46" i="7" s="1"/>
  <c r="AT152" i="7"/>
  <c r="AU152" i="7" s="1"/>
  <c r="AT330" i="7"/>
  <c r="AU330" i="7" s="1"/>
  <c r="AT37" i="7"/>
  <c r="AU37" i="7" s="1"/>
  <c r="AT262" i="7"/>
  <c r="AU262" i="7" s="1"/>
  <c r="AT181" i="7"/>
  <c r="AU181" i="7" s="1"/>
  <c r="AT147" i="7"/>
  <c r="AT182" i="7"/>
  <c r="AU182" i="7" s="1"/>
  <c r="AT340" i="7"/>
  <c r="AU340" i="7" s="1"/>
  <c r="AT142" i="7"/>
  <c r="AU142" i="7" s="1"/>
  <c r="AT108" i="7"/>
  <c r="AU108" i="7" s="1"/>
  <c r="AT32" i="7"/>
  <c r="AU32" i="7" s="1"/>
  <c r="AT314" i="7"/>
  <c r="AU314" i="7" s="1"/>
  <c r="AT228" i="7"/>
  <c r="AU228" i="7" s="1"/>
  <c r="AT244" i="7"/>
  <c r="AU244" i="7" s="1"/>
  <c r="AT354" i="7"/>
  <c r="AU354" i="7" s="1"/>
  <c r="AT190" i="7"/>
  <c r="AU190" i="7" s="1"/>
  <c r="AT344" i="7"/>
  <c r="AU344" i="7" s="1"/>
  <c r="AT341" i="7"/>
  <c r="AU341" i="7" s="1"/>
  <c r="AT10" i="7"/>
  <c r="AT140" i="7"/>
  <c r="AU140" i="7" s="1"/>
  <c r="AT236" i="7"/>
  <c r="AU236" i="7" s="1"/>
  <c r="AT21" i="7"/>
  <c r="AU21" i="7" s="1"/>
  <c r="AT204" i="7"/>
  <c r="AT317" i="7"/>
  <c r="AT145" i="7"/>
  <c r="AT264" i="7"/>
  <c r="AU264" i="7" s="1"/>
  <c r="AT273" i="7"/>
  <c r="AT17" i="7"/>
  <c r="AU17" i="7" s="1"/>
  <c r="AT11" i="7"/>
  <c r="AU11" i="7" s="1"/>
  <c r="AT15" i="7"/>
  <c r="AT64" i="7"/>
  <c r="AU64" i="7" s="1"/>
  <c r="AT12" i="7"/>
  <c r="AU12" i="7" s="1"/>
  <c r="AT226" i="7"/>
  <c r="AU226" i="7" s="1"/>
  <c r="AT95" i="7"/>
  <c r="AT265" i="7"/>
  <c r="AU265" i="7" s="1"/>
  <c r="AT197" i="7"/>
  <c r="AU197" i="7" s="1"/>
  <c r="AT84" i="7"/>
  <c r="AU84" i="7" s="1"/>
  <c r="AT326" i="7"/>
  <c r="AU326" i="7" s="1"/>
  <c r="AT311" i="7"/>
  <c r="AU311" i="7" s="1"/>
  <c r="AT107" i="7"/>
  <c r="AU107" i="7" s="1"/>
  <c r="AT288" i="7"/>
  <c r="AU288" i="7" s="1"/>
  <c r="AT187" i="7"/>
  <c r="AU187" i="7" s="1"/>
  <c r="AT102" i="7"/>
  <c r="AU102" i="7" s="1"/>
  <c r="AT16" i="7"/>
  <c r="AT43" i="7"/>
  <c r="AU43" i="7" s="1"/>
  <c r="AT194" i="7"/>
  <c r="AU194" i="7" s="1"/>
  <c r="AT9" i="7"/>
  <c r="AT53" i="7"/>
  <c r="AU53" i="7" s="1"/>
  <c r="AT250" i="7"/>
  <c r="AU250" i="7" s="1"/>
  <c r="AT216" i="7"/>
  <c r="AU216" i="7" s="1"/>
  <c r="AT83" i="7"/>
  <c r="AU83" i="7" s="1"/>
  <c r="AT180" i="7"/>
  <c r="AT246" i="7"/>
  <c r="AU246" i="7" s="1"/>
  <c r="AT220" i="7"/>
  <c r="AU220" i="7" s="1"/>
  <c r="AT248" i="7"/>
  <c r="AU248" i="7" s="1"/>
  <c r="AT280" i="7"/>
  <c r="AU280" i="7" s="1"/>
  <c r="AT112" i="7"/>
  <c r="AU112" i="7" s="1"/>
  <c r="AT294" i="7"/>
  <c r="AU294" i="7" s="1"/>
  <c r="AT214" i="7"/>
  <c r="AU214" i="7" s="1"/>
  <c r="AT320" i="7"/>
  <c r="AU320" i="7" s="1"/>
  <c r="AT71" i="7"/>
  <c r="AT44" i="7"/>
  <c r="AU44" i="7" s="1"/>
  <c r="AT221" i="7"/>
  <c r="AU221" i="7" s="1"/>
  <c r="AT233" i="7"/>
  <c r="AU233" i="7" s="1"/>
  <c r="AT238" i="7"/>
  <c r="AU238" i="7" s="1"/>
  <c r="AT42" i="7"/>
  <c r="AU42" i="7" s="1"/>
  <c r="AT213" i="7"/>
  <c r="AT149" i="7"/>
  <c r="AT121" i="7"/>
  <c r="AU121" i="7" s="1"/>
  <c r="AT334" i="7"/>
  <c r="AU334" i="7" s="1"/>
  <c r="AT94" i="7"/>
  <c r="AT99" i="7"/>
  <c r="AU99" i="7" s="1"/>
  <c r="AT287" i="7"/>
  <c r="AU287" i="7" s="1"/>
  <c r="AT39" i="7"/>
  <c r="AU39" i="7" s="1"/>
  <c r="AT199" i="7"/>
  <c r="AU199" i="7" s="1"/>
  <c r="AT235" i="7"/>
  <c r="AU235" i="7" s="1"/>
  <c r="AT23" i="7"/>
  <c r="AU23" i="7" s="1"/>
  <c r="AT63" i="7"/>
  <c r="AU63" i="7" s="1"/>
  <c r="AT247" i="7"/>
  <c r="AU247" i="7" s="1"/>
  <c r="AT189" i="7"/>
  <c r="AU189" i="7" s="1"/>
  <c r="AT234" i="7"/>
  <c r="AU234" i="7" s="1"/>
  <c r="AT270" i="7"/>
  <c r="AU270" i="7" s="1"/>
  <c r="AT209" i="7"/>
  <c r="AT195" i="7"/>
  <c r="AU195" i="7" s="1"/>
  <c r="AT309" i="7"/>
  <c r="AU309" i="7" s="1"/>
  <c r="AT292" i="7"/>
  <c r="AU292" i="7" s="1"/>
  <c r="AT88" i="7"/>
  <c r="AT321" i="7"/>
  <c r="AT185" i="7"/>
  <c r="AU185" i="7" s="1"/>
  <c r="AT301" i="7"/>
  <c r="AU301" i="7" s="1"/>
  <c r="AT254" i="7"/>
  <c r="AU254" i="7" s="1"/>
  <c r="AT260" i="7"/>
  <c r="AU260" i="7" s="1"/>
  <c r="AT289" i="7"/>
  <c r="AU289" i="7" s="1"/>
  <c r="AT54" i="7"/>
  <c r="AU54" i="7" s="1"/>
  <c r="AT41" i="7"/>
  <c r="AU41" i="7" s="1"/>
  <c r="AT357" i="7"/>
  <c r="AU357" i="7" s="1"/>
  <c r="AT57" i="7"/>
  <c r="AU57" i="7" s="1"/>
  <c r="AT113" i="7"/>
  <c r="AU113" i="7" s="1"/>
  <c r="AT261" i="7"/>
  <c r="AU261" i="7" s="1"/>
  <c r="AT284" i="7"/>
  <c r="AU284" i="7" s="1"/>
  <c r="AT116" i="7"/>
  <c r="AU116" i="7" s="1"/>
  <c r="AT257" i="7"/>
  <c r="AU257" i="7" s="1"/>
  <c r="AT323" i="7"/>
  <c r="AU323" i="7" s="1"/>
  <c r="AT312" i="7"/>
  <c r="AU312" i="7" s="1"/>
  <c r="AT154" i="7"/>
  <c r="AT58" i="7"/>
  <c r="AU58" i="7" s="1"/>
  <c r="AT104" i="7"/>
  <c r="AU104" i="7" s="1"/>
  <c r="AT237" i="7"/>
  <c r="AU237" i="7" s="1"/>
  <c r="AT172" i="7"/>
  <c r="AU172" i="7" s="1"/>
  <c r="AT346" i="7"/>
  <c r="AU346" i="7" s="1"/>
  <c r="AT143" i="7"/>
  <c r="AU143" i="7" s="1"/>
  <c r="AT86" i="7"/>
  <c r="AT335" i="7"/>
  <c r="AU335" i="7" s="1"/>
  <c r="AT263" i="7"/>
  <c r="AU263" i="7" s="1"/>
  <c r="AT367" i="7"/>
  <c r="AU367" i="7" s="1"/>
  <c r="AT333" i="7"/>
  <c r="AU333" i="7" s="1"/>
  <c r="AT200" i="7"/>
  <c r="AT313" i="7"/>
  <c r="AU313" i="7" s="1"/>
  <c r="AT148" i="7"/>
  <c r="AT350" i="7"/>
  <c r="AU350" i="7" s="1"/>
  <c r="AT131" i="7"/>
  <c r="AU131" i="7" s="1"/>
  <c r="AT272" i="7"/>
  <c r="AT208" i="7"/>
  <c r="AT295" i="7"/>
  <c r="AU295" i="7" s="1"/>
  <c r="AT98" i="7"/>
  <c r="AU98" i="7" s="1"/>
  <c r="AT219" i="7"/>
  <c r="AU219" i="7" s="1"/>
  <c r="AT224" i="7"/>
  <c r="AU224" i="7" s="1"/>
  <c r="AT45" i="7"/>
  <c r="AU45" i="7" s="1"/>
  <c r="AT150" i="7"/>
  <c r="AT151" i="7"/>
  <c r="AT349" i="7"/>
  <c r="AU349" i="7" s="1"/>
  <c r="AT153" i="7"/>
  <c r="AT366" i="7"/>
  <c r="AU366" i="7" s="1"/>
  <c r="AT51" i="7"/>
  <c r="AU51" i="7" s="1"/>
  <c r="AT93" i="7"/>
  <c r="AT300" i="7"/>
  <c r="AU300" i="7" s="1"/>
  <c r="AT137" i="7"/>
  <c r="AU137" i="7" s="1"/>
  <c r="AT49" i="7"/>
  <c r="AT241" i="7"/>
  <c r="AU241" i="7" s="1"/>
  <c r="AT308" i="7"/>
  <c r="AU308" i="7" s="1"/>
  <c r="AT352" i="7"/>
  <c r="AU352" i="7" s="1"/>
  <c r="AT365" i="7"/>
  <c r="AU365" i="7" s="1"/>
  <c r="AT126" i="7"/>
  <c r="AU126" i="7" s="1"/>
  <c r="AT106" i="7"/>
  <c r="AU106" i="7" s="1"/>
  <c r="AT157" i="7"/>
  <c r="AT256" i="7"/>
  <c r="AU256" i="7" s="1"/>
  <c r="AT310" i="7"/>
  <c r="AU310" i="7" s="1"/>
  <c r="AT191" i="7"/>
  <c r="AU191" i="7" s="1"/>
  <c r="AT285" i="7"/>
  <c r="AU285" i="7" s="1"/>
  <c r="AT316" i="7"/>
  <c r="AU316" i="7" s="1"/>
  <c r="AT303" i="7"/>
  <c r="AU303" i="7" s="1"/>
  <c r="AT278" i="7"/>
  <c r="AU278" i="7" s="1"/>
  <c r="AT38" i="7"/>
  <c r="AU38" i="7" s="1"/>
  <c r="AT351" i="7"/>
  <c r="AU351" i="7" s="1"/>
  <c r="AT184" i="7"/>
  <c r="AU184" i="7" s="1"/>
  <c r="AT206" i="7"/>
  <c r="AU206" i="7" s="1"/>
  <c r="AT302" i="7"/>
  <c r="AU302" i="7" s="1"/>
  <c r="AT198" i="7"/>
  <c r="AT100" i="7"/>
  <c r="AU100" i="7" s="1"/>
  <c r="AT227" i="7"/>
  <c r="AU227" i="7" s="1"/>
  <c r="AT315" i="7"/>
  <c r="AU315" i="7" s="1"/>
  <c r="AT207" i="7"/>
  <c r="AU207" i="7" s="1"/>
  <c r="AT299" i="7"/>
  <c r="AU299" i="7" s="1"/>
  <c r="AT203" i="7"/>
  <c r="AT258" i="7"/>
  <c r="AU258" i="7" s="1"/>
  <c r="AT96" i="7"/>
  <c r="AT18" i="7"/>
  <c r="AT105" i="7"/>
  <c r="AU105" i="7" s="1"/>
  <c r="AT201" i="7"/>
  <c r="AU201" i="7" s="1"/>
  <c r="AT19" i="7"/>
  <c r="AU19" i="7" s="1"/>
  <c r="AT40" i="7"/>
  <c r="AU40" i="7" s="1"/>
  <c r="AT269" i="7"/>
  <c r="AT205" i="7"/>
  <c r="AT298" i="7"/>
  <c r="AU298" i="7" s="1"/>
  <c r="AT186" i="7"/>
  <c r="AU186" i="7" s="1"/>
  <c r="AT210" i="7"/>
  <c r="AT136" i="7"/>
  <c r="AU136" i="7" s="1"/>
  <c r="AT276" i="7"/>
  <c r="AU276" i="7" s="1"/>
  <c r="AT232" i="7"/>
  <c r="AU232" i="7" s="1"/>
  <c r="AT362" i="7"/>
  <c r="AU362" i="7" s="1"/>
  <c r="AT196" i="7"/>
  <c r="AU196" i="7" s="1"/>
  <c r="AT161" i="7"/>
  <c r="AT361" i="7"/>
  <c r="AU361" i="7" s="1"/>
  <c r="AT35" i="7"/>
  <c r="AU35" i="7" s="1"/>
  <c r="AT222" i="7"/>
  <c r="AU222" i="7" s="1"/>
  <c r="AT81" i="7"/>
  <c r="AT61" i="7"/>
  <c r="AU61" i="7" s="1"/>
  <c r="AT34" i="7"/>
  <c r="AT338" i="7"/>
  <c r="AU338" i="7" s="1"/>
  <c r="AT324" i="7"/>
  <c r="AU324" i="7" s="1"/>
  <c r="AT114" i="7"/>
  <c r="AU114" i="7" s="1"/>
  <c r="AT92" i="7"/>
  <c r="AT274" i="7"/>
  <c r="AT291" i="7"/>
  <c r="AU291" i="7" s="1"/>
  <c r="AT242" i="7"/>
  <c r="AU242" i="7" s="1"/>
  <c r="AT337" i="7"/>
  <c r="AU337" i="7" s="1"/>
  <c r="AT188" i="7"/>
  <c r="AT139" i="7"/>
  <c r="AU139" i="7" s="1"/>
  <c r="AT183" i="7"/>
  <c r="AT331" i="7"/>
  <c r="AU331" i="7" s="1"/>
  <c r="AT283" i="7"/>
  <c r="AU283" i="7" s="1"/>
  <c r="AT356" i="7"/>
  <c r="AU356" i="7" s="1"/>
  <c r="AT13" i="7"/>
  <c r="AU13" i="7" s="1"/>
  <c r="AT158" i="7"/>
  <c r="AT364" i="7"/>
  <c r="AU364" i="7" s="1"/>
  <c r="AT259" i="7"/>
  <c r="AU259" i="7" s="1"/>
  <c r="AT347" i="7"/>
  <c r="AU347" i="7" s="1"/>
  <c r="AT22" i="7"/>
  <c r="AU22" i="7" s="1"/>
  <c r="AT230" i="7"/>
  <c r="AU230" i="7" s="1"/>
  <c r="AT243" i="7"/>
  <c r="AU243" i="7" s="1"/>
  <c r="AT218" i="7"/>
  <c r="AU218" i="7" s="1"/>
  <c r="AT336" i="7"/>
  <c r="AU336" i="7" s="1"/>
  <c r="AT327" i="7"/>
  <c r="AU327" i="7" s="1"/>
  <c r="AT360" i="7"/>
  <c r="AU360" i="7" s="1"/>
  <c r="AT343" i="7"/>
  <c r="AU343" i="7" s="1"/>
  <c r="AT358" i="7"/>
  <c r="AU358" i="7" s="1"/>
  <c r="AT266" i="7"/>
  <c r="AU266" i="7" s="1"/>
  <c r="AT293" i="7"/>
  <c r="AU293" i="7" s="1"/>
  <c r="AT110" i="7"/>
  <c r="AT36" i="7"/>
  <c r="AU36" i="7" s="1"/>
  <c r="AT56" i="7"/>
  <c r="AU56" i="7" s="1"/>
  <c r="AT97" i="7"/>
  <c r="AT193" i="7"/>
  <c r="AU193" i="7" s="1"/>
  <c r="AT173" i="7"/>
  <c r="AT217" i="7"/>
  <c r="AU217" i="7" s="1"/>
  <c r="AT286" i="7"/>
  <c r="AT297" i="7"/>
  <c r="AT255" i="7"/>
  <c r="AU255" i="7" s="1"/>
  <c r="AT359" i="7"/>
  <c r="AU359" i="7" s="1"/>
  <c r="AT103" i="7"/>
  <c r="AU103" i="7" s="1"/>
  <c r="AT342" i="7"/>
  <c r="AU342" i="7" s="1"/>
  <c r="AT111" i="7"/>
  <c r="AU111" i="7" s="1"/>
  <c r="AT281" i="7"/>
  <c r="AU281" i="7" s="1"/>
  <c r="AT73" i="7"/>
  <c r="AT332" i="7"/>
  <c r="AU332" i="7" s="1"/>
  <c r="AT339" i="7"/>
  <c r="AU339" i="7" s="1"/>
  <c r="AT50" i="7"/>
  <c r="AT282" i="7"/>
  <c r="AU282" i="7" s="1"/>
  <c r="AT67" i="7"/>
  <c r="AT138" i="7"/>
  <c r="AT134" i="7"/>
  <c r="AU134" i="7" s="1"/>
  <c r="AT70" i="7"/>
  <c r="AT328" i="7"/>
  <c r="AU328" i="7" s="1"/>
  <c r="AT109" i="7"/>
  <c r="AU109" i="7" s="1"/>
  <c r="AT225" i="7"/>
  <c r="AU225" i="7" s="1"/>
  <c r="AT325" i="7"/>
  <c r="AU325" i="7" s="1"/>
  <c r="AT318" i="7"/>
  <c r="AT192" i="7"/>
  <c r="AU192" i="7" s="1"/>
  <c r="AT240" i="7"/>
  <c r="AU240" i="7" s="1"/>
  <c r="AT355" i="7"/>
  <c r="AU355" i="7" s="1"/>
  <c r="AT33" i="7"/>
  <c r="AU33" i="7" s="1"/>
  <c r="AT85" i="7"/>
  <c r="AT101" i="7"/>
  <c r="AU101" i="7" s="1"/>
  <c r="AT239" i="7"/>
  <c r="AT127" i="7"/>
  <c r="AT55" i="7"/>
  <c r="AU55" i="7" s="1"/>
  <c r="AT363" i="7"/>
  <c r="AU363" i="7" s="1"/>
  <c r="AT229" i="7"/>
  <c r="AU229" i="7" s="1"/>
  <c r="AT296" i="7"/>
  <c r="AU296" i="7" s="1"/>
  <c r="AT245" i="7"/>
  <c r="AU245" i="7" s="1"/>
  <c r="AT348" i="7"/>
  <c r="AU348" i="7" s="1"/>
  <c r="AT345" i="7"/>
  <c r="AU345" i="7" s="1"/>
  <c r="AT125" i="7"/>
  <c r="AU125" i="7" s="1"/>
  <c r="AT353" i="7"/>
  <c r="AU353" i="7" s="1"/>
  <c r="AT179" i="7"/>
  <c r="AU179" i="7" s="1"/>
  <c r="AT90" i="7"/>
  <c r="AU90" i="7" s="1"/>
  <c r="AU66" i="7"/>
  <c r="AU80" i="7"/>
  <c r="AU117" i="7"/>
  <c r="AU163" i="7"/>
  <c r="AU322" i="7"/>
  <c r="AU30" i="7"/>
  <c r="AU24" i="7"/>
  <c r="AU78" i="7"/>
  <c r="AU123" i="7"/>
  <c r="AU167" i="7"/>
  <c r="AU146" i="7"/>
  <c r="AU82" i="7"/>
  <c r="AU279" i="7"/>
  <c r="AU141" i="7"/>
  <c r="D401" i="1"/>
  <c r="C386" i="1"/>
  <c r="EH372" i="1"/>
  <c r="EH371" i="1"/>
  <c r="EH368" i="1"/>
  <c r="EH373" i="1"/>
  <c r="AU239" i="7" l="1"/>
  <c r="AU211" i="7"/>
  <c r="AU274" i="7"/>
  <c r="AU157" i="7"/>
  <c r="AU72" i="7"/>
  <c r="K376" i="7"/>
  <c r="AU34" i="7"/>
  <c r="AU269" i="7"/>
  <c r="AK379" i="7"/>
  <c r="AU147" i="7"/>
  <c r="AU215" i="7"/>
  <c r="AU68" i="7"/>
  <c r="AP10" i="7"/>
  <c r="AP377" i="7" s="1"/>
  <c r="AN377" i="7"/>
  <c r="I368" i="7"/>
  <c r="I378" i="7"/>
  <c r="AU138" i="7"/>
  <c r="AU173" i="7"/>
  <c r="AU92" i="7"/>
  <c r="AU127" i="7"/>
  <c r="AU297" i="7"/>
  <c r="AU110" i="7"/>
  <c r="AU183" i="7"/>
  <c r="AU93" i="7"/>
  <c r="AU208" i="7"/>
  <c r="AU148" i="7"/>
  <c r="AU209" i="7"/>
  <c r="AU94" i="7"/>
  <c r="AU204" i="7"/>
  <c r="AN378" i="7"/>
  <c r="AN368" i="7"/>
  <c r="K10" i="7"/>
  <c r="K377" i="7" s="1"/>
  <c r="I377" i="7"/>
  <c r="AU286" i="7"/>
  <c r="AU81" i="7"/>
  <c r="AU161" i="7"/>
  <c r="AU96" i="7"/>
  <c r="AU151" i="7"/>
  <c r="AP15" i="7"/>
  <c r="AP376" i="7" s="1"/>
  <c r="AN376" i="7"/>
  <c r="AU73" i="7"/>
  <c r="AU97" i="7"/>
  <c r="I376" i="7"/>
  <c r="AU85" i="7"/>
  <c r="AU158" i="7"/>
  <c r="AU153" i="7"/>
  <c r="AU180" i="7"/>
  <c r="AU317" i="7"/>
  <c r="AP378" i="7"/>
  <c r="G379" i="7"/>
  <c r="K9" i="7"/>
  <c r="AU150" i="7"/>
  <c r="AU205" i="7"/>
  <c r="AU319" i="7"/>
  <c r="AU273" i="7"/>
  <c r="AU87" i="7"/>
  <c r="AU95" i="7"/>
  <c r="AU86" i="7"/>
  <c r="AU203" i="7"/>
  <c r="AU74" i="7"/>
  <c r="AU145" i="7"/>
  <c r="AU50" i="7"/>
  <c r="AU213" i="7"/>
  <c r="AU188" i="7"/>
  <c r="AU135" i="7"/>
  <c r="AU200" i="7"/>
  <c r="AU154" i="7"/>
  <c r="AU149" i="7"/>
  <c r="AU210" i="7"/>
  <c r="AU70" i="7"/>
  <c r="AU88" i="7"/>
  <c r="AU272" i="7"/>
  <c r="AU318" i="7"/>
  <c r="AU16" i="7"/>
  <c r="AU198" i="7"/>
  <c r="AU49" i="7"/>
  <c r="AU67" i="7"/>
  <c r="AU71" i="7"/>
  <c r="AU253" i="7"/>
  <c r="AT378" i="7"/>
  <c r="AT368" i="7"/>
  <c r="AU18" i="7"/>
  <c r="AT376" i="7"/>
  <c r="AT377" i="7"/>
  <c r="AU277" i="7"/>
  <c r="AU321" i="7"/>
  <c r="EH374" i="1"/>
  <c r="EH378" i="1"/>
  <c r="EH379" i="1"/>
  <c r="AU15" i="7" l="1"/>
  <c r="AP368" i="7"/>
  <c r="AN379" i="7"/>
  <c r="K378" i="7"/>
  <c r="K379" i="7" s="1"/>
  <c r="K368" i="7"/>
  <c r="I379" i="7"/>
  <c r="AP379" i="7"/>
  <c r="AU10" i="7"/>
  <c r="AU377" i="7" s="1"/>
  <c r="AT379" i="7"/>
  <c r="AU9" i="7"/>
  <c r="AU376" i="7"/>
  <c r="EH380" i="1"/>
  <c r="EF9" i="1"/>
  <c r="EF10" i="1"/>
  <c r="EF11" i="1"/>
  <c r="EF12" i="1"/>
  <c r="EF13" i="1"/>
  <c r="EF14" i="1"/>
  <c r="EF15" i="1"/>
  <c r="EF16" i="1"/>
  <c r="EF17" i="1"/>
  <c r="EF18" i="1"/>
  <c r="EF19" i="1"/>
  <c r="EF20" i="1"/>
  <c r="EF21" i="1"/>
  <c r="EF22" i="1"/>
  <c r="EF23" i="1"/>
  <c r="EF24" i="1"/>
  <c r="EF25" i="1"/>
  <c r="EF26" i="1"/>
  <c r="EF27" i="1"/>
  <c r="EF28" i="1"/>
  <c r="EF29" i="1"/>
  <c r="EF30" i="1"/>
  <c r="EF31" i="1"/>
  <c r="EF32" i="1"/>
  <c r="EF33" i="1"/>
  <c r="EF34" i="1"/>
  <c r="EF35" i="1"/>
  <c r="EF36" i="1"/>
  <c r="EF37" i="1"/>
  <c r="EF38" i="1"/>
  <c r="EF39" i="1"/>
  <c r="EF40" i="1"/>
  <c r="EF41" i="1"/>
  <c r="EF42" i="1"/>
  <c r="EF43" i="1"/>
  <c r="EF44" i="1"/>
  <c r="EF45" i="1"/>
  <c r="EF46" i="1"/>
  <c r="EF47" i="1"/>
  <c r="EF48" i="1"/>
  <c r="EF49" i="1"/>
  <c r="EF50" i="1"/>
  <c r="EF51" i="1"/>
  <c r="EF52" i="1"/>
  <c r="EF53" i="1"/>
  <c r="EF54" i="1"/>
  <c r="EF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F69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120" i="1"/>
  <c r="EF121" i="1"/>
  <c r="EF122" i="1"/>
  <c r="EF123" i="1"/>
  <c r="EF124" i="1"/>
  <c r="EF125" i="1"/>
  <c r="EF126" i="1"/>
  <c r="EF127" i="1"/>
  <c r="EF128" i="1"/>
  <c r="EF129" i="1"/>
  <c r="EF130" i="1"/>
  <c r="EF131" i="1"/>
  <c r="EF132" i="1"/>
  <c r="EF133" i="1"/>
  <c r="EF134" i="1"/>
  <c r="EF135" i="1"/>
  <c r="EF136" i="1"/>
  <c r="EF137" i="1"/>
  <c r="EF138" i="1"/>
  <c r="EF139" i="1"/>
  <c r="EF140" i="1"/>
  <c r="EF141" i="1"/>
  <c r="EF142" i="1"/>
  <c r="EF143" i="1"/>
  <c r="EF144" i="1"/>
  <c r="EF145" i="1"/>
  <c r="EF146" i="1"/>
  <c r="EF147" i="1"/>
  <c r="EF148" i="1"/>
  <c r="EF149" i="1"/>
  <c r="EF150" i="1"/>
  <c r="EF151" i="1"/>
  <c r="EF152" i="1"/>
  <c r="EF153" i="1"/>
  <c r="EF154" i="1"/>
  <c r="EF155" i="1"/>
  <c r="EF156" i="1"/>
  <c r="EF157" i="1"/>
  <c r="EF158" i="1"/>
  <c r="EF159" i="1"/>
  <c r="EF160" i="1"/>
  <c r="EF161" i="1"/>
  <c r="EF162" i="1"/>
  <c r="EF163" i="1"/>
  <c r="EF164" i="1"/>
  <c r="EF165" i="1"/>
  <c r="EF166" i="1"/>
  <c r="EF167" i="1"/>
  <c r="EF168" i="1"/>
  <c r="EF169" i="1"/>
  <c r="EF170" i="1"/>
  <c r="EF171" i="1"/>
  <c r="EF172" i="1"/>
  <c r="EF173" i="1"/>
  <c r="EF174" i="1"/>
  <c r="EF175" i="1"/>
  <c r="EF176" i="1"/>
  <c r="EF177" i="1"/>
  <c r="EF178" i="1"/>
  <c r="EF179" i="1"/>
  <c r="EF180" i="1"/>
  <c r="EF181" i="1"/>
  <c r="EF182" i="1"/>
  <c r="EF183" i="1"/>
  <c r="EF184" i="1"/>
  <c r="EF185" i="1"/>
  <c r="EF186" i="1"/>
  <c r="EF187" i="1"/>
  <c r="EF188" i="1"/>
  <c r="EF189" i="1"/>
  <c r="EF190" i="1"/>
  <c r="EF191" i="1"/>
  <c r="EF192" i="1"/>
  <c r="EF193" i="1"/>
  <c r="EF194" i="1"/>
  <c r="EF195" i="1"/>
  <c r="EF196" i="1"/>
  <c r="EF197" i="1"/>
  <c r="EF198" i="1"/>
  <c r="EF199" i="1"/>
  <c r="EF200" i="1"/>
  <c r="EF201" i="1"/>
  <c r="EF202" i="1"/>
  <c r="EF203" i="1"/>
  <c r="EF204" i="1"/>
  <c r="EF205" i="1"/>
  <c r="EF206" i="1"/>
  <c r="EF207" i="1"/>
  <c r="EF208" i="1"/>
  <c r="EF209" i="1"/>
  <c r="EF210" i="1"/>
  <c r="EF211" i="1"/>
  <c r="EF212" i="1"/>
  <c r="EF213" i="1"/>
  <c r="EF214" i="1"/>
  <c r="EF215" i="1"/>
  <c r="EF216" i="1"/>
  <c r="EF217" i="1"/>
  <c r="EF218" i="1"/>
  <c r="EF219" i="1"/>
  <c r="EF220" i="1"/>
  <c r="EF221" i="1"/>
  <c r="EF222" i="1"/>
  <c r="EF223" i="1"/>
  <c r="EF224" i="1"/>
  <c r="EF225" i="1"/>
  <c r="EF226" i="1"/>
  <c r="EF227" i="1"/>
  <c r="EF228" i="1"/>
  <c r="EF229" i="1"/>
  <c r="EF230" i="1"/>
  <c r="EF231" i="1"/>
  <c r="EF232" i="1"/>
  <c r="EF233" i="1"/>
  <c r="EF234" i="1"/>
  <c r="EF235" i="1"/>
  <c r="EF236" i="1"/>
  <c r="EF237" i="1"/>
  <c r="EF238" i="1"/>
  <c r="EF239" i="1"/>
  <c r="EF240" i="1"/>
  <c r="EF241" i="1"/>
  <c r="EF242" i="1"/>
  <c r="EF243" i="1"/>
  <c r="EF244" i="1"/>
  <c r="EF245" i="1"/>
  <c r="EF246" i="1"/>
  <c r="EF247" i="1"/>
  <c r="EF248" i="1"/>
  <c r="EF249" i="1"/>
  <c r="EF250" i="1"/>
  <c r="EF251" i="1"/>
  <c r="EF252" i="1"/>
  <c r="EF253" i="1"/>
  <c r="EF254" i="1"/>
  <c r="EF255" i="1"/>
  <c r="EF256" i="1"/>
  <c r="EF257" i="1"/>
  <c r="EF258" i="1"/>
  <c r="EF259" i="1"/>
  <c r="EF260" i="1"/>
  <c r="EF261" i="1"/>
  <c r="EF262" i="1"/>
  <c r="EF263" i="1"/>
  <c r="EF264" i="1"/>
  <c r="EF265" i="1"/>
  <c r="EF266" i="1"/>
  <c r="EF267" i="1"/>
  <c r="EF268" i="1"/>
  <c r="EF269" i="1"/>
  <c r="EF270" i="1"/>
  <c r="EF271" i="1"/>
  <c r="EF272" i="1"/>
  <c r="EF273" i="1"/>
  <c r="EF274" i="1"/>
  <c r="EF275" i="1"/>
  <c r="EF276" i="1"/>
  <c r="EF277" i="1"/>
  <c r="EF278" i="1"/>
  <c r="EF279" i="1"/>
  <c r="EF280" i="1"/>
  <c r="EF281" i="1"/>
  <c r="EF282" i="1"/>
  <c r="EF283" i="1"/>
  <c r="EF284" i="1"/>
  <c r="EF285" i="1"/>
  <c r="EF286" i="1"/>
  <c r="EF287" i="1"/>
  <c r="EF288" i="1"/>
  <c r="EF289" i="1"/>
  <c r="EF290" i="1"/>
  <c r="EF291" i="1"/>
  <c r="EF292" i="1"/>
  <c r="EF293" i="1"/>
  <c r="EF294" i="1"/>
  <c r="EF295" i="1"/>
  <c r="EF296" i="1"/>
  <c r="EF297" i="1"/>
  <c r="EF298" i="1"/>
  <c r="EF299" i="1"/>
  <c r="EF300" i="1"/>
  <c r="EF301" i="1"/>
  <c r="EF302" i="1"/>
  <c r="EF303" i="1"/>
  <c r="EF304" i="1"/>
  <c r="EF305" i="1"/>
  <c r="EF306" i="1"/>
  <c r="EF307" i="1"/>
  <c r="EF308" i="1"/>
  <c r="EF309" i="1"/>
  <c r="EF310" i="1"/>
  <c r="EF311" i="1"/>
  <c r="EF312" i="1"/>
  <c r="EF313" i="1"/>
  <c r="EF314" i="1"/>
  <c r="EF315" i="1"/>
  <c r="EF316" i="1"/>
  <c r="EF317" i="1"/>
  <c r="EF318" i="1"/>
  <c r="EF319" i="1"/>
  <c r="EF320" i="1"/>
  <c r="EF321" i="1"/>
  <c r="EF322" i="1"/>
  <c r="EF323" i="1"/>
  <c r="EF324" i="1"/>
  <c r="EF325" i="1"/>
  <c r="EF326" i="1"/>
  <c r="EF327" i="1"/>
  <c r="EF328" i="1"/>
  <c r="EF329" i="1"/>
  <c r="EF330" i="1"/>
  <c r="EF331" i="1"/>
  <c r="EF332" i="1"/>
  <c r="EF333" i="1"/>
  <c r="EF334" i="1"/>
  <c r="EF335" i="1"/>
  <c r="EF336" i="1"/>
  <c r="EF337" i="1"/>
  <c r="EF338" i="1"/>
  <c r="EF339" i="1"/>
  <c r="EF340" i="1"/>
  <c r="EF341" i="1"/>
  <c r="EF342" i="1"/>
  <c r="EF343" i="1"/>
  <c r="EF344" i="1"/>
  <c r="EF345" i="1"/>
  <c r="EF347" i="1"/>
  <c r="EF348" i="1"/>
  <c r="EF349" i="1"/>
  <c r="EF350" i="1"/>
  <c r="EF351" i="1"/>
  <c r="EF352" i="1"/>
  <c r="EF353" i="1"/>
  <c r="EF354" i="1"/>
  <c r="EF355" i="1"/>
  <c r="EF356" i="1"/>
  <c r="EF357" i="1"/>
  <c r="EF358" i="1"/>
  <c r="EF359" i="1"/>
  <c r="EF360" i="1"/>
  <c r="EF361" i="1"/>
  <c r="EF362" i="1"/>
  <c r="EF363" i="1"/>
  <c r="EF364" i="1"/>
  <c r="EF365" i="1"/>
  <c r="EF366" i="1"/>
  <c r="EF367" i="1"/>
  <c r="DG379" i="1"/>
  <c r="DG378" i="1"/>
  <c r="AU368" i="7" l="1"/>
  <c r="AU378" i="7"/>
  <c r="AU379" i="7" s="1"/>
  <c r="DG380" i="1"/>
  <c r="DR10" i="1" l="1"/>
  <c r="DR11" i="1"/>
  <c r="DR12" i="1"/>
  <c r="DR13" i="1"/>
  <c r="DR14" i="1"/>
  <c r="DR15" i="1"/>
  <c r="DR16" i="1"/>
  <c r="DR17" i="1"/>
  <c r="DR18" i="1"/>
  <c r="DR19" i="1"/>
  <c r="DR20" i="1"/>
  <c r="DR21" i="1"/>
  <c r="DR22" i="1"/>
  <c r="DR23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EE372" i="1" l="1"/>
  <c r="EE371" i="1"/>
  <c r="C65" i="12" s="1"/>
  <c r="D65" i="12" s="1"/>
  <c r="EE346" i="1"/>
  <c r="EF346" i="1" s="1"/>
  <c r="C44" i="12"/>
  <c r="C46" i="12" s="1"/>
  <c r="C45" i="12"/>
  <c r="EF378" i="1" l="1"/>
  <c r="EF379" i="1"/>
  <c r="EE368" i="1"/>
  <c r="EE378" i="1"/>
  <c r="EE379" i="1"/>
  <c r="EE373" i="1"/>
  <c r="EE374" i="1" s="1"/>
  <c r="EF380" i="1" l="1"/>
  <c r="EE380" i="1"/>
  <c r="DG368" i="1" l="1"/>
  <c r="EF368" i="1" s="1"/>
  <c r="DW373" i="1"/>
  <c r="M43" i="3" s="1"/>
  <c r="DW372" i="1"/>
  <c r="J43" i="3" s="1"/>
  <c r="DW371" i="1"/>
  <c r="D47" i="12" s="1"/>
  <c r="DW368" i="1"/>
  <c r="C43" i="3" s="1"/>
  <c r="D43" i="3" s="1"/>
  <c r="F43" i="3" l="1"/>
  <c r="K43" i="3" s="1"/>
  <c r="E43" i="3"/>
  <c r="DW374" i="1"/>
  <c r="G43" i="3"/>
  <c r="DI373" i="1"/>
  <c r="M44" i="3" s="1"/>
  <c r="DI371" i="1"/>
  <c r="G44" i="3" l="1"/>
  <c r="H43" i="3"/>
  <c r="N43" i="3"/>
  <c r="DI368" i="1"/>
  <c r="C44" i="3" s="1"/>
  <c r="DI372" i="1"/>
  <c r="DI374" i="1" l="1"/>
  <c r="J44" i="3"/>
  <c r="DA371" i="1" l="1"/>
  <c r="DB371" i="1"/>
  <c r="DA372" i="1"/>
  <c r="D46" i="12" s="1"/>
  <c r="DB372" i="1"/>
  <c r="DA373" i="1"/>
  <c r="DB373" i="1"/>
  <c r="DR79" i="1" l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3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35" i="1"/>
  <c r="DR236" i="1"/>
  <c r="DR237" i="1"/>
  <c r="DR238" i="1"/>
  <c r="DR239" i="1"/>
  <c r="DR240" i="1"/>
  <c r="DR241" i="1"/>
  <c r="DR242" i="1"/>
  <c r="DR243" i="1"/>
  <c r="DR244" i="1"/>
  <c r="DR245" i="1"/>
  <c r="DR246" i="1"/>
  <c r="DR247" i="1"/>
  <c r="DR248" i="1"/>
  <c r="DR249" i="1"/>
  <c r="DR250" i="1"/>
  <c r="DR251" i="1"/>
  <c r="DR252" i="1"/>
  <c r="DR253" i="1"/>
  <c r="DR254" i="1"/>
  <c r="DR255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85" i="1"/>
  <c r="DR286" i="1"/>
  <c r="DR287" i="1"/>
  <c r="DR288" i="1"/>
  <c r="DR289" i="1"/>
  <c r="DR290" i="1"/>
  <c r="DR291" i="1"/>
  <c r="DR292" i="1"/>
  <c r="DR293" i="1"/>
  <c r="DR294" i="1"/>
  <c r="DR295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354" i="1"/>
  <c r="DR355" i="1"/>
  <c r="DR356" i="1"/>
  <c r="DR357" i="1"/>
  <c r="DR358" i="1"/>
  <c r="DR359" i="1"/>
  <c r="DR360" i="1"/>
  <c r="DR361" i="1"/>
  <c r="DR362" i="1"/>
  <c r="DR363" i="1"/>
  <c r="DR364" i="1"/>
  <c r="DR365" i="1"/>
  <c r="DR366" i="1"/>
  <c r="DR367" i="1"/>
  <c r="DR9" i="1"/>
  <c r="O204" i="30" l="1"/>
  <c r="G211" i="30"/>
  <c r="L146" i="30" l="1"/>
  <c r="I146" i="30"/>
  <c r="F146" i="30"/>
  <c r="C146" i="30"/>
  <c r="L96" i="30"/>
  <c r="I96" i="30"/>
  <c r="F96" i="30"/>
  <c r="C96" i="30"/>
  <c r="L46" i="30"/>
  <c r="I46" i="30"/>
  <c r="F46" i="30"/>
  <c r="C46" i="30"/>
  <c r="DS368" i="1" l="1"/>
  <c r="DT10" i="1"/>
  <c r="DT11" i="1"/>
  <c r="DT12" i="1"/>
  <c r="DT13" i="1"/>
  <c r="DT14" i="1"/>
  <c r="DT15" i="1"/>
  <c r="DT16" i="1"/>
  <c r="DT17" i="1"/>
  <c r="DT18" i="1"/>
  <c r="DT19" i="1"/>
  <c r="DT20" i="1"/>
  <c r="DT21" i="1"/>
  <c r="DT22" i="1"/>
  <c r="DT23" i="1"/>
  <c r="DT24" i="1"/>
  <c r="DT25" i="1"/>
  <c r="DT26" i="1"/>
  <c r="DT27" i="1"/>
  <c r="DT28" i="1"/>
  <c r="DT29" i="1"/>
  <c r="DT30" i="1"/>
  <c r="DT31" i="1"/>
  <c r="DT32" i="1"/>
  <c r="DT33" i="1"/>
  <c r="DT34" i="1"/>
  <c r="DT35" i="1"/>
  <c r="DT36" i="1"/>
  <c r="DT37" i="1"/>
  <c r="DT38" i="1"/>
  <c r="DT39" i="1"/>
  <c r="DT40" i="1"/>
  <c r="DT41" i="1"/>
  <c r="DT42" i="1"/>
  <c r="DT43" i="1"/>
  <c r="DT44" i="1"/>
  <c r="DT45" i="1"/>
  <c r="DT46" i="1"/>
  <c r="DT47" i="1"/>
  <c r="DT48" i="1"/>
  <c r="DT49" i="1"/>
  <c r="DT50" i="1"/>
  <c r="DT51" i="1"/>
  <c r="DT52" i="1"/>
  <c r="DT53" i="1"/>
  <c r="DT54" i="1"/>
  <c r="DT55" i="1"/>
  <c r="DT56" i="1"/>
  <c r="DT57" i="1"/>
  <c r="DT58" i="1"/>
  <c r="DT59" i="1"/>
  <c r="DT60" i="1"/>
  <c r="DT61" i="1"/>
  <c r="DT62" i="1"/>
  <c r="DT63" i="1"/>
  <c r="DT64" i="1"/>
  <c r="DT65" i="1"/>
  <c r="DT66" i="1"/>
  <c r="DT67" i="1"/>
  <c r="DT68" i="1"/>
  <c r="DT69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4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T120" i="1"/>
  <c r="DT121" i="1"/>
  <c r="DT122" i="1"/>
  <c r="DT123" i="1"/>
  <c r="DT124" i="1"/>
  <c r="DT125" i="1"/>
  <c r="DT126" i="1"/>
  <c r="DT127" i="1"/>
  <c r="DT128" i="1"/>
  <c r="DT129" i="1"/>
  <c r="DT130" i="1"/>
  <c r="DT131" i="1"/>
  <c r="DT132" i="1"/>
  <c r="DT133" i="1"/>
  <c r="DT134" i="1"/>
  <c r="DT135" i="1"/>
  <c r="DT136" i="1"/>
  <c r="DT137" i="1"/>
  <c r="DT138" i="1"/>
  <c r="DT139" i="1"/>
  <c r="DT140" i="1"/>
  <c r="DT141" i="1"/>
  <c r="DT142" i="1"/>
  <c r="DT143" i="1"/>
  <c r="DT144" i="1"/>
  <c r="DT145" i="1"/>
  <c r="DT146" i="1"/>
  <c r="DT147" i="1"/>
  <c r="DT148" i="1"/>
  <c r="DT149" i="1"/>
  <c r="DT150" i="1"/>
  <c r="DT151" i="1"/>
  <c r="DT152" i="1"/>
  <c r="DT153" i="1"/>
  <c r="DT154" i="1"/>
  <c r="DT155" i="1"/>
  <c r="DT156" i="1"/>
  <c r="DT157" i="1"/>
  <c r="DT158" i="1"/>
  <c r="DT159" i="1"/>
  <c r="DT160" i="1"/>
  <c r="DT161" i="1"/>
  <c r="DT162" i="1"/>
  <c r="DT163" i="1"/>
  <c r="DT164" i="1"/>
  <c r="DT165" i="1"/>
  <c r="DT166" i="1"/>
  <c r="DT167" i="1"/>
  <c r="DT168" i="1"/>
  <c r="DT169" i="1"/>
  <c r="DT170" i="1"/>
  <c r="DT171" i="1"/>
  <c r="DT172" i="1"/>
  <c r="DT173" i="1"/>
  <c r="DT174" i="1"/>
  <c r="DT175" i="1"/>
  <c r="DT176" i="1"/>
  <c r="DT177" i="1"/>
  <c r="DT178" i="1"/>
  <c r="DT179" i="1"/>
  <c r="DT180" i="1"/>
  <c r="DT181" i="1"/>
  <c r="DT182" i="1"/>
  <c r="DT183" i="1"/>
  <c r="DT184" i="1"/>
  <c r="DT185" i="1"/>
  <c r="DT186" i="1"/>
  <c r="DT187" i="1"/>
  <c r="DT188" i="1"/>
  <c r="DT189" i="1"/>
  <c r="DT190" i="1"/>
  <c r="DT191" i="1"/>
  <c r="DT192" i="1"/>
  <c r="DT193" i="1"/>
  <c r="DT194" i="1"/>
  <c r="DT195" i="1"/>
  <c r="DT196" i="1"/>
  <c r="DT197" i="1"/>
  <c r="DT198" i="1"/>
  <c r="DT199" i="1"/>
  <c r="DT200" i="1"/>
  <c r="DT201" i="1"/>
  <c r="DT202" i="1"/>
  <c r="DT203" i="1"/>
  <c r="DT204" i="1"/>
  <c r="DT205" i="1"/>
  <c r="DT206" i="1"/>
  <c r="DT207" i="1"/>
  <c r="DT208" i="1"/>
  <c r="DT209" i="1"/>
  <c r="DT210" i="1"/>
  <c r="DT211" i="1"/>
  <c r="DT212" i="1"/>
  <c r="DT213" i="1"/>
  <c r="DT214" i="1"/>
  <c r="DT215" i="1"/>
  <c r="DT216" i="1"/>
  <c r="DT217" i="1"/>
  <c r="DT218" i="1"/>
  <c r="DT219" i="1"/>
  <c r="DT220" i="1"/>
  <c r="DT221" i="1"/>
  <c r="DT222" i="1"/>
  <c r="DT223" i="1"/>
  <c r="DT224" i="1"/>
  <c r="DT225" i="1"/>
  <c r="DT226" i="1"/>
  <c r="DT227" i="1"/>
  <c r="DT228" i="1"/>
  <c r="DT229" i="1"/>
  <c r="DT230" i="1"/>
  <c r="DT231" i="1"/>
  <c r="DT232" i="1"/>
  <c r="DT233" i="1"/>
  <c r="DT234" i="1"/>
  <c r="DT235" i="1"/>
  <c r="DT236" i="1"/>
  <c r="DT237" i="1"/>
  <c r="DT238" i="1"/>
  <c r="DT239" i="1"/>
  <c r="DT240" i="1"/>
  <c r="DT241" i="1"/>
  <c r="DT242" i="1"/>
  <c r="DT243" i="1"/>
  <c r="DT244" i="1"/>
  <c r="DT245" i="1"/>
  <c r="DT246" i="1"/>
  <c r="DT247" i="1"/>
  <c r="DT248" i="1"/>
  <c r="DT249" i="1"/>
  <c r="DT250" i="1"/>
  <c r="DT251" i="1"/>
  <c r="DT252" i="1"/>
  <c r="DT253" i="1"/>
  <c r="DT254" i="1"/>
  <c r="DT255" i="1"/>
  <c r="DT256" i="1"/>
  <c r="DT257" i="1"/>
  <c r="DT258" i="1"/>
  <c r="DT259" i="1"/>
  <c r="DT260" i="1"/>
  <c r="DT261" i="1"/>
  <c r="DT262" i="1"/>
  <c r="DT263" i="1"/>
  <c r="DT264" i="1"/>
  <c r="DT265" i="1"/>
  <c r="DT266" i="1"/>
  <c r="DT267" i="1"/>
  <c r="DT268" i="1"/>
  <c r="DT269" i="1"/>
  <c r="DT270" i="1"/>
  <c r="DT271" i="1"/>
  <c r="DT272" i="1"/>
  <c r="DT273" i="1"/>
  <c r="DT274" i="1"/>
  <c r="DT275" i="1"/>
  <c r="DT276" i="1"/>
  <c r="DT277" i="1"/>
  <c r="DT278" i="1"/>
  <c r="DT279" i="1"/>
  <c r="DT280" i="1"/>
  <c r="DT281" i="1"/>
  <c r="DT282" i="1"/>
  <c r="DT283" i="1"/>
  <c r="DT284" i="1"/>
  <c r="DT285" i="1"/>
  <c r="DT286" i="1"/>
  <c r="DT287" i="1"/>
  <c r="DT288" i="1"/>
  <c r="DT289" i="1"/>
  <c r="DT290" i="1"/>
  <c r="DT291" i="1"/>
  <c r="DT292" i="1"/>
  <c r="DT293" i="1"/>
  <c r="DT294" i="1"/>
  <c r="DT295" i="1"/>
  <c r="DT296" i="1"/>
  <c r="DT297" i="1"/>
  <c r="DT298" i="1"/>
  <c r="DT299" i="1"/>
  <c r="DT300" i="1"/>
  <c r="DT301" i="1"/>
  <c r="DT302" i="1"/>
  <c r="DT303" i="1"/>
  <c r="DT304" i="1"/>
  <c r="DT305" i="1"/>
  <c r="DT306" i="1"/>
  <c r="DT307" i="1"/>
  <c r="DT308" i="1"/>
  <c r="DT309" i="1"/>
  <c r="DT310" i="1"/>
  <c r="DT311" i="1"/>
  <c r="DT312" i="1"/>
  <c r="DT313" i="1"/>
  <c r="DT314" i="1"/>
  <c r="DT315" i="1"/>
  <c r="DT316" i="1"/>
  <c r="DT317" i="1"/>
  <c r="DT318" i="1"/>
  <c r="DT319" i="1"/>
  <c r="DT320" i="1"/>
  <c r="DT321" i="1"/>
  <c r="DT322" i="1"/>
  <c r="DT323" i="1"/>
  <c r="DT324" i="1"/>
  <c r="DT325" i="1"/>
  <c r="DT326" i="1"/>
  <c r="DT327" i="1"/>
  <c r="DT328" i="1"/>
  <c r="DT329" i="1"/>
  <c r="DT330" i="1"/>
  <c r="DT331" i="1"/>
  <c r="DT332" i="1"/>
  <c r="DT333" i="1"/>
  <c r="DT334" i="1"/>
  <c r="DT335" i="1"/>
  <c r="DT336" i="1"/>
  <c r="DT337" i="1"/>
  <c r="DT338" i="1"/>
  <c r="DT339" i="1"/>
  <c r="DT340" i="1"/>
  <c r="DT341" i="1"/>
  <c r="DT342" i="1"/>
  <c r="DT343" i="1"/>
  <c r="DT344" i="1"/>
  <c r="DT345" i="1"/>
  <c r="DT346" i="1"/>
  <c r="DT347" i="1"/>
  <c r="DT348" i="1"/>
  <c r="DT349" i="1"/>
  <c r="DT350" i="1"/>
  <c r="DT351" i="1"/>
  <c r="DT352" i="1"/>
  <c r="DT353" i="1"/>
  <c r="DT354" i="1"/>
  <c r="DT355" i="1"/>
  <c r="DT356" i="1"/>
  <c r="DT357" i="1"/>
  <c r="DT358" i="1"/>
  <c r="DT359" i="1"/>
  <c r="DT360" i="1"/>
  <c r="DT361" i="1"/>
  <c r="DT362" i="1"/>
  <c r="DT363" i="1"/>
  <c r="DT364" i="1"/>
  <c r="DT365" i="1"/>
  <c r="DT366" i="1"/>
  <c r="DT367" i="1"/>
  <c r="DT9" i="1"/>
  <c r="D403" i="4" l="1"/>
  <c r="E380" i="4"/>
  <c r="D391" i="4" l="1"/>
  <c r="D406" i="4" s="1"/>
  <c r="D407" i="4" s="1"/>
  <c r="F29" i="5" l="1"/>
  <c r="F15" i="5"/>
  <c r="F33" i="5" s="1"/>
  <c r="F35" i="5" s="1"/>
  <c r="C32" i="5"/>
  <c r="C31" i="5"/>
  <c r="C15" i="5"/>
  <c r="C33" i="5" l="1"/>
  <c r="C35" i="5" s="1"/>
  <c r="F215" i="30"/>
  <c r="E214" i="30"/>
  <c r="O150" i="30" s="1"/>
  <c r="D214" i="30"/>
  <c r="O100" i="30" s="1"/>
  <c r="C214" i="30"/>
  <c r="O50" i="30" s="1"/>
  <c r="C222" i="30"/>
  <c r="E213" i="30" s="1"/>
  <c r="O149" i="30" s="1"/>
  <c r="D213" i="30" l="1"/>
  <c r="O99" i="30" s="1"/>
  <c r="F214" i="30"/>
  <c r="C213" i="30"/>
  <c r="O49" i="30" l="1"/>
  <c r="F213" i="30"/>
  <c r="K163" i="30" l="1"/>
  <c r="N163" i="30" s="1"/>
  <c r="O146" i="30"/>
  <c r="O96" i="30"/>
  <c r="O46" i="30"/>
  <c r="DC373" i="1" l="1"/>
  <c r="DC371" i="1"/>
  <c r="DC372" i="1"/>
  <c r="K270" i="30"/>
  <c r="M270" i="30" s="1"/>
  <c r="H270" i="30"/>
  <c r="E270" i="30"/>
  <c r="G270" i="30" s="1"/>
  <c r="B270" i="30"/>
  <c r="O269" i="30"/>
  <c r="N269" i="30"/>
  <c r="M269" i="30"/>
  <c r="J269" i="30"/>
  <c r="G269" i="30"/>
  <c r="D269" i="30"/>
  <c r="O268" i="30"/>
  <c r="N268" i="30"/>
  <c r="M268" i="30"/>
  <c r="J268" i="30"/>
  <c r="G268" i="30"/>
  <c r="D268" i="30"/>
  <c r="O267" i="30"/>
  <c r="N267" i="30"/>
  <c r="M267" i="30"/>
  <c r="J267" i="30"/>
  <c r="G267" i="30"/>
  <c r="D267" i="30"/>
  <c r="O266" i="30"/>
  <c r="N266" i="30"/>
  <c r="M266" i="30"/>
  <c r="J266" i="30"/>
  <c r="G266" i="30"/>
  <c r="D266" i="30"/>
  <c r="O265" i="30"/>
  <c r="N265" i="30"/>
  <c r="M265" i="30"/>
  <c r="J265" i="30"/>
  <c r="G265" i="30"/>
  <c r="D265" i="30"/>
  <c r="O262" i="30"/>
  <c r="K262" i="30"/>
  <c r="M262" i="30" s="1"/>
  <c r="J262" i="30"/>
  <c r="E262" i="30"/>
  <c r="G262" i="30" s="1"/>
  <c r="B262" i="30"/>
  <c r="K255" i="30"/>
  <c r="M255" i="30" s="1"/>
  <c r="H255" i="30"/>
  <c r="E255" i="30"/>
  <c r="G255" i="30" s="1"/>
  <c r="B255" i="30"/>
  <c r="O254" i="30"/>
  <c r="N254" i="30"/>
  <c r="M254" i="30"/>
  <c r="G254" i="30"/>
  <c r="O253" i="30"/>
  <c r="N253" i="30"/>
  <c r="M253" i="30"/>
  <c r="G253" i="30"/>
  <c r="O252" i="30"/>
  <c r="N252" i="30"/>
  <c r="M252" i="30"/>
  <c r="G252" i="30"/>
  <c r="O251" i="30"/>
  <c r="N251" i="30"/>
  <c r="M251" i="30"/>
  <c r="G251" i="30"/>
  <c r="O250" i="30"/>
  <c r="N250" i="30"/>
  <c r="N255" i="30" s="1"/>
  <c r="M250" i="30"/>
  <c r="G250" i="30"/>
  <c r="O247" i="30"/>
  <c r="K247" i="30"/>
  <c r="M247" i="30" s="1"/>
  <c r="E247" i="30"/>
  <c r="G247" i="30" s="1"/>
  <c r="B247" i="30"/>
  <c r="L240" i="30"/>
  <c r="K240" i="30"/>
  <c r="I240" i="30"/>
  <c r="H240" i="30"/>
  <c r="F240" i="30"/>
  <c r="E240" i="30"/>
  <c r="B240" i="30"/>
  <c r="O239" i="30"/>
  <c r="N239" i="30"/>
  <c r="M239" i="30"/>
  <c r="J239" i="30"/>
  <c r="G239" i="30"/>
  <c r="D239" i="30"/>
  <c r="O238" i="30"/>
  <c r="N238" i="30"/>
  <c r="M238" i="30"/>
  <c r="J238" i="30"/>
  <c r="G238" i="30"/>
  <c r="D238" i="30"/>
  <c r="O237" i="30"/>
  <c r="N237" i="30"/>
  <c r="M237" i="30"/>
  <c r="J237" i="30"/>
  <c r="G237" i="30"/>
  <c r="D237" i="30"/>
  <c r="O236" i="30"/>
  <c r="N236" i="30"/>
  <c r="M236" i="30"/>
  <c r="J236" i="30"/>
  <c r="G236" i="30"/>
  <c r="D236" i="30"/>
  <c r="O235" i="30"/>
  <c r="N235" i="30"/>
  <c r="M235" i="30"/>
  <c r="J235" i="30"/>
  <c r="G235" i="30"/>
  <c r="D235" i="30"/>
  <c r="O232" i="30"/>
  <c r="K232" i="30"/>
  <c r="M232" i="30" s="1"/>
  <c r="J232" i="30"/>
  <c r="E232" i="30"/>
  <c r="G232" i="30" s="1"/>
  <c r="B232" i="30"/>
  <c r="D232" i="30" s="1"/>
  <c r="D213" i="34"/>
  <c r="D159" i="34"/>
  <c r="D352" i="34"/>
  <c r="D349" i="34"/>
  <c r="D348" i="34"/>
  <c r="D299" i="34"/>
  <c r="D298" i="34"/>
  <c r="D297" i="34"/>
  <c r="D295" i="34"/>
  <c r="D294" i="34"/>
  <c r="D293" i="34"/>
  <c r="D292" i="34"/>
  <c r="D291" i="34"/>
  <c r="D290" i="34"/>
  <c r="D289" i="34"/>
  <c r="D288" i="34"/>
  <c r="D287" i="34"/>
  <c r="D286" i="34"/>
  <c r="D276" i="34"/>
  <c r="D273" i="34"/>
  <c r="D272" i="34"/>
  <c r="D142" i="34"/>
  <c r="D139" i="34"/>
  <c r="D138" i="34"/>
  <c r="D137" i="34"/>
  <c r="D123" i="34"/>
  <c r="D59" i="34"/>
  <c r="D228" i="34"/>
  <c r="D223" i="34"/>
  <c r="D222" i="34"/>
  <c r="D219" i="34"/>
  <c r="D218" i="34"/>
  <c r="D206" i="34"/>
  <c r="D179" i="34"/>
  <c r="D175" i="34"/>
  <c r="D192" i="34"/>
  <c r="D193" i="34"/>
  <c r="D164" i="34"/>
  <c r="D162" i="34"/>
  <c r="D307" i="34"/>
  <c r="D128" i="34"/>
  <c r="D341" i="34"/>
  <c r="D337" i="34"/>
  <c r="D336" i="34"/>
  <c r="D267" i="34"/>
  <c r="D266" i="34"/>
  <c r="D262" i="34"/>
  <c r="D260" i="34"/>
  <c r="D258" i="34"/>
  <c r="D247" i="34"/>
  <c r="D246" i="34"/>
  <c r="D245" i="34"/>
  <c r="D378" i="34"/>
  <c r="D369" i="34"/>
  <c r="D197" i="34"/>
  <c r="D101" i="34"/>
  <c r="D28" i="34"/>
  <c r="D27" i="34"/>
  <c r="D20" i="34"/>
  <c r="D237" i="34"/>
  <c r="D325" i="34"/>
  <c r="D331" i="34"/>
  <c r="D329" i="34"/>
  <c r="D316" i="34"/>
  <c r="D79" i="34"/>
  <c r="D10" i="34"/>
  <c r="EA10" i="1" l="1"/>
  <c r="EA50" i="1"/>
  <c r="EA65" i="1"/>
  <c r="EA96" i="1"/>
  <c r="EA127" i="1"/>
  <c r="EA150" i="1"/>
  <c r="EA166" i="1"/>
  <c r="EA174" i="1"/>
  <c r="EA182" i="1"/>
  <c r="EA197" i="1"/>
  <c r="EA229" i="1"/>
  <c r="EA237" i="1"/>
  <c r="EA269" i="1"/>
  <c r="EA14" i="1"/>
  <c r="EA30" i="1"/>
  <c r="EA54" i="1"/>
  <c r="EA69" i="1"/>
  <c r="EA77" i="1"/>
  <c r="EA84" i="1"/>
  <c r="EA108" i="1"/>
  <c r="EA116" i="1"/>
  <c r="EA123" i="1"/>
  <c r="EA131" i="1"/>
  <c r="EA138" i="1"/>
  <c r="EA146" i="1"/>
  <c r="EA162" i="1"/>
  <c r="EA178" i="1"/>
  <c r="EA209" i="1"/>
  <c r="EA225" i="1"/>
  <c r="EA249" i="1"/>
  <c r="EA265" i="1"/>
  <c r="EA272" i="1"/>
  <c r="EA279" i="1"/>
  <c r="EA302" i="1"/>
  <c r="EA334" i="1"/>
  <c r="EA342" i="1"/>
  <c r="EA350" i="1"/>
  <c r="EA358" i="1"/>
  <c r="EA15" i="1"/>
  <c r="EA23" i="1"/>
  <c r="EA31" i="1"/>
  <c r="EA47" i="1"/>
  <c r="EA70" i="1"/>
  <c r="EA78" i="1"/>
  <c r="EA85" i="1"/>
  <c r="EA117" i="1"/>
  <c r="EA124" i="1"/>
  <c r="EA147" i="1"/>
  <c r="EA155" i="1"/>
  <c r="EA163" i="1"/>
  <c r="EA171" i="1"/>
  <c r="EA179" i="1"/>
  <c r="EA187" i="1"/>
  <c r="EA195" i="1"/>
  <c r="EA202" i="1"/>
  <c r="EA210" i="1"/>
  <c r="EA218" i="1"/>
  <c r="EA226" i="1"/>
  <c r="EA234" i="1"/>
  <c r="EA242" i="1"/>
  <c r="EA258" i="1"/>
  <c r="EA273" i="1"/>
  <c r="EA287" i="1"/>
  <c r="EA335" i="1"/>
  <c r="EA351" i="1"/>
  <c r="EA16" i="1"/>
  <c r="EA24" i="1"/>
  <c r="EA48" i="1"/>
  <c r="EA71" i="1"/>
  <c r="EA86" i="1"/>
  <c r="EA110" i="1"/>
  <c r="EA118" i="1"/>
  <c r="EA132" i="1"/>
  <c r="EA140" i="1"/>
  <c r="EA156" i="1"/>
  <c r="EA164" i="1"/>
  <c r="EA180" i="1"/>
  <c r="EA188" i="1"/>
  <c r="EA196" i="1"/>
  <c r="EA203" i="1"/>
  <c r="EA211" i="1"/>
  <c r="EA219" i="1"/>
  <c r="EA227" i="1"/>
  <c r="EA251" i="1"/>
  <c r="EA304" i="1"/>
  <c r="EA336" i="1"/>
  <c r="EA344" i="1"/>
  <c r="EA352" i="1"/>
  <c r="EA9" i="1"/>
  <c r="EA17" i="1"/>
  <c r="EA25" i="1"/>
  <c r="EA41" i="1"/>
  <c r="EA49" i="1"/>
  <c r="EA57" i="1"/>
  <c r="EA72" i="1"/>
  <c r="EA79" i="1"/>
  <c r="EA87" i="1"/>
  <c r="EA95" i="1"/>
  <c r="EA119" i="1"/>
  <c r="EA126" i="1"/>
  <c r="EA133" i="1"/>
  <c r="EA149" i="1"/>
  <c r="EA157" i="1"/>
  <c r="EA165" i="1"/>
  <c r="EA173" i="1"/>
  <c r="EA181" i="1"/>
  <c r="EA204" i="1"/>
  <c r="EA212" i="1"/>
  <c r="EA236" i="1"/>
  <c r="EA244" i="1"/>
  <c r="EA252" i="1"/>
  <c r="EA268" i="1"/>
  <c r="EA275" i="1"/>
  <c r="EA305" i="1"/>
  <c r="EA321" i="1"/>
  <c r="EA329" i="1"/>
  <c r="EA337" i="1"/>
  <c r="EA345" i="1"/>
  <c r="EA353" i="1"/>
  <c r="EA26" i="1"/>
  <c r="EA42" i="1"/>
  <c r="EA58" i="1"/>
  <c r="EA73" i="1"/>
  <c r="EA80" i="1"/>
  <c r="EA120" i="1"/>
  <c r="EA158" i="1"/>
  <c r="EA205" i="1"/>
  <c r="EA245" i="1"/>
  <c r="EA276" i="1"/>
  <c r="EA298" i="1"/>
  <c r="EA306" i="1"/>
  <c r="EA322" i="1"/>
  <c r="EA330" i="1"/>
  <c r="EA11" i="1"/>
  <c r="EA27" i="1"/>
  <c r="EA43" i="1"/>
  <c r="EA51" i="1"/>
  <c r="EA59" i="1"/>
  <c r="EA66" i="1"/>
  <c r="EA81" i="1"/>
  <c r="EA89" i="1"/>
  <c r="EA105" i="1"/>
  <c r="EA113" i="1"/>
  <c r="EA121" i="1"/>
  <c r="EA128" i="1"/>
  <c r="EA135" i="1"/>
  <c r="EA159" i="1"/>
  <c r="EA167" i="1"/>
  <c r="EA175" i="1"/>
  <c r="EA183" i="1"/>
  <c r="EA206" i="1"/>
  <c r="EA214" i="1"/>
  <c r="EA230" i="1"/>
  <c r="EA238" i="1"/>
  <c r="EA254" i="1"/>
  <c r="EA262" i="1"/>
  <c r="EA277" i="1"/>
  <c r="EA299" i="1"/>
  <c r="EA307" i="1"/>
  <c r="EA323" i="1"/>
  <c r="EA331" i="1"/>
  <c r="EA347" i="1"/>
  <c r="EA355" i="1"/>
  <c r="EA12" i="1"/>
  <c r="EA28" i="1"/>
  <c r="EA44" i="1"/>
  <c r="EA52" i="1"/>
  <c r="EA60" i="1"/>
  <c r="EA67" i="1"/>
  <c r="EA75" i="1"/>
  <c r="EA82" i="1"/>
  <c r="EA98" i="1"/>
  <c r="EA114" i="1"/>
  <c r="EA129" i="1"/>
  <c r="EA160" i="1"/>
  <c r="EA168" i="1"/>
  <c r="EA176" i="1"/>
  <c r="EA184" i="1"/>
  <c r="EA192" i="1"/>
  <c r="EA215" i="1"/>
  <c r="EA223" i="1"/>
  <c r="EA231" i="1"/>
  <c r="EA239" i="1"/>
  <c r="EA270" i="1"/>
  <c r="EA278" i="1"/>
  <c r="EA308" i="1"/>
  <c r="EA324" i="1"/>
  <c r="EA340" i="1"/>
  <c r="EA356" i="1"/>
  <c r="EA13" i="1"/>
  <c r="EA29" i="1"/>
  <c r="EA45" i="1"/>
  <c r="EA68" i="1"/>
  <c r="EA76" i="1"/>
  <c r="EA83" i="1"/>
  <c r="EA115" i="1"/>
  <c r="EA122" i="1"/>
  <c r="EA130" i="1"/>
  <c r="EA145" i="1"/>
  <c r="EA153" i="1"/>
  <c r="EA161" i="1"/>
  <c r="EA169" i="1"/>
  <c r="EA177" i="1"/>
  <c r="EA185" i="1"/>
  <c r="EA200" i="1"/>
  <c r="EA208" i="1"/>
  <c r="EA216" i="1"/>
  <c r="EA224" i="1"/>
  <c r="EA232" i="1"/>
  <c r="EA256" i="1"/>
  <c r="EA285" i="1"/>
  <c r="EA333" i="1"/>
  <c r="EA341" i="1"/>
  <c r="EA349" i="1"/>
  <c r="EA357" i="1"/>
  <c r="EA365" i="1"/>
  <c r="P236" i="30"/>
  <c r="N240" i="30"/>
  <c r="N232" i="30"/>
  <c r="N262" i="30"/>
  <c r="P262" i="30" s="1"/>
  <c r="P267" i="30"/>
  <c r="P269" i="30"/>
  <c r="G240" i="30"/>
  <c r="M240" i="30"/>
  <c r="P253" i="30"/>
  <c r="P254" i="30"/>
  <c r="P266" i="30"/>
  <c r="P268" i="30"/>
  <c r="D270" i="30"/>
  <c r="J270" i="30"/>
  <c r="P237" i="30"/>
  <c r="P239" i="30"/>
  <c r="N247" i="30"/>
  <c r="P247" i="30" s="1"/>
  <c r="N270" i="30"/>
  <c r="O270" i="30"/>
  <c r="P265" i="30"/>
  <c r="D262" i="30"/>
  <c r="O255" i="30"/>
  <c r="P255" i="30" s="1"/>
  <c r="P252" i="30"/>
  <c r="P251" i="30"/>
  <c r="P250" i="30"/>
  <c r="J240" i="30"/>
  <c r="O240" i="30"/>
  <c r="P232" i="30"/>
  <c r="P238" i="30"/>
  <c r="D240" i="30"/>
  <c r="P235" i="30"/>
  <c r="P240" i="30" l="1"/>
  <c r="P270" i="30"/>
  <c r="B5" i="33" l="1"/>
  <c r="L12" i="30" l="1"/>
  <c r="L112" i="30"/>
  <c r="A54" i="30" l="1"/>
  <c r="A103" i="30" s="1"/>
  <c r="A153" i="30" s="1"/>
  <c r="L196" i="30" l="1"/>
  <c r="K196" i="30"/>
  <c r="I196" i="30"/>
  <c r="H196" i="30"/>
  <c r="F196" i="30"/>
  <c r="E196" i="30"/>
  <c r="C196" i="30"/>
  <c r="B196" i="30"/>
  <c r="M146" i="30"/>
  <c r="J146" i="30"/>
  <c r="G146" i="30"/>
  <c r="D146" i="30"/>
  <c r="M96" i="30"/>
  <c r="J96" i="30"/>
  <c r="G96" i="30"/>
  <c r="D96" i="30"/>
  <c r="M46" i="30"/>
  <c r="J46" i="30"/>
  <c r="G46" i="30"/>
  <c r="D46" i="30"/>
  <c r="M196" i="30" l="1"/>
  <c r="D196" i="30"/>
  <c r="J196" i="30"/>
  <c r="G196" i="30"/>
  <c r="H12" i="31" l="1"/>
  <c r="D10" i="31"/>
  <c r="C10" i="31"/>
  <c r="B10" i="31"/>
  <c r="H11" i="31"/>
  <c r="H13" i="31"/>
  <c r="E14" i="31"/>
  <c r="E15" i="31" s="1"/>
  <c r="F14" i="31"/>
  <c r="F15" i="31" s="1"/>
  <c r="G14" i="31"/>
  <c r="G15" i="31" s="1"/>
  <c r="D9" i="31"/>
  <c r="C9" i="31"/>
  <c r="B9" i="31"/>
  <c r="P54" i="30"/>
  <c r="P103" i="30" s="1"/>
  <c r="P153" i="30" s="1"/>
  <c r="O200" i="30"/>
  <c r="O199" i="30"/>
  <c r="N198" i="30"/>
  <c r="N199" i="30"/>
  <c r="K192" i="30"/>
  <c r="N192" i="30" s="1"/>
  <c r="K191" i="30"/>
  <c r="K189" i="30"/>
  <c r="N189" i="30" s="1"/>
  <c r="K188" i="30"/>
  <c r="N188" i="30" s="1"/>
  <c r="L186" i="30"/>
  <c r="K186" i="30"/>
  <c r="H186" i="30"/>
  <c r="E186" i="30"/>
  <c r="B186" i="30"/>
  <c r="K184" i="30"/>
  <c r="H184" i="30"/>
  <c r="E184" i="30"/>
  <c r="B184" i="30"/>
  <c r="B177" i="30"/>
  <c r="C177" i="30"/>
  <c r="E177" i="30"/>
  <c r="F177" i="30"/>
  <c r="H177" i="30"/>
  <c r="I177" i="30"/>
  <c r="K177" i="30"/>
  <c r="L177" i="30"/>
  <c r="B178" i="30"/>
  <c r="C178" i="30"/>
  <c r="E178" i="30"/>
  <c r="F178" i="30"/>
  <c r="H178" i="30"/>
  <c r="I178" i="30"/>
  <c r="K178" i="30"/>
  <c r="L178" i="30"/>
  <c r="B179" i="30"/>
  <c r="C179" i="30"/>
  <c r="E179" i="30"/>
  <c r="F179" i="30"/>
  <c r="H179" i="30"/>
  <c r="I179" i="30"/>
  <c r="K179" i="30"/>
  <c r="L179" i="30"/>
  <c r="B180" i="30"/>
  <c r="C180" i="30"/>
  <c r="E180" i="30"/>
  <c r="F180" i="30"/>
  <c r="H180" i="30"/>
  <c r="I180" i="30"/>
  <c r="K180" i="30"/>
  <c r="L180" i="30"/>
  <c r="L176" i="30"/>
  <c r="K176" i="30"/>
  <c r="I176" i="30"/>
  <c r="H176" i="30"/>
  <c r="F176" i="30"/>
  <c r="E176" i="30"/>
  <c r="C176" i="30"/>
  <c r="B176" i="30"/>
  <c r="L173" i="30"/>
  <c r="I173" i="30"/>
  <c r="H173" i="30"/>
  <c r="F173" i="30"/>
  <c r="C173" i="30"/>
  <c r="K171" i="30"/>
  <c r="N171" i="30" s="1"/>
  <c r="K169" i="30"/>
  <c r="K168" i="30"/>
  <c r="N168" i="30" s="1"/>
  <c r="K166" i="30"/>
  <c r="N166" i="30" s="1"/>
  <c r="K162" i="30"/>
  <c r="K161" i="30"/>
  <c r="K160" i="30"/>
  <c r="K159" i="30"/>
  <c r="H162" i="30"/>
  <c r="I161" i="30"/>
  <c r="H161" i="30"/>
  <c r="J161" i="30" s="1"/>
  <c r="I160" i="30"/>
  <c r="H160" i="30"/>
  <c r="H159" i="30"/>
  <c r="E162" i="30"/>
  <c r="F161" i="30"/>
  <c r="E161" i="30"/>
  <c r="F160" i="30"/>
  <c r="E160" i="30"/>
  <c r="E159" i="30"/>
  <c r="C160" i="30"/>
  <c r="C161" i="30"/>
  <c r="B160" i="30"/>
  <c r="B161" i="30"/>
  <c r="B162" i="30"/>
  <c r="B159" i="30"/>
  <c r="N191" i="30"/>
  <c r="N169" i="30"/>
  <c r="O1" i="30"/>
  <c r="O54" i="30" s="1"/>
  <c r="O103" i="30" s="1"/>
  <c r="O153" i="30" s="1"/>
  <c r="O196" i="30"/>
  <c r="B211" i="30" s="1"/>
  <c r="K123" i="30"/>
  <c r="M123" i="30" s="1"/>
  <c r="N96" i="30"/>
  <c r="K73" i="30"/>
  <c r="N46" i="30"/>
  <c r="K23" i="30"/>
  <c r="N47" i="30"/>
  <c r="N197" i="30" s="1"/>
  <c r="E123" i="30"/>
  <c r="G123" i="30" s="1"/>
  <c r="B123" i="30"/>
  <c r="D123" i="30" s="1"/>
  <c r="P149" i="30"/>
  <c r="P146" i="30"/>
  <c r="N142" i="30"/>
  <c r="N141" i="30"/>
  <c r="N139" i="30"/>
  <c r="N138" i="30"/>
  <c r="N136" i="30"/>
  <c r="M136" i="30"/>
  <c r="N134" i="30"/>
  <c r="L131" i="30"/>
  <c r="K131" i="30"/>
  <c r="I131" i="30"/>
  <c r="H131" i="30"/>
  <c r="D8" i="31" s="1"/>
  <c r="F131" i="30"/>
  <c r="E131" i="30"/>
  <c r="C131" i="30"/>
  <c r="B131" i="30"/>
  <c r="O130" i="30"/>
  <c r="N130" i="30"/>
  <c r="M130" i="30"/>
  <c r="J130" i="30"/>
  <c r="G130" i="30"/>
  <c r="D130" i="30"/>
  <c r="O129" i="30"/>
  <c r="N129" i="30"/>
  <c r="M129" i="30"/>
  <c r="J129" i="30"/>
  <c r="G129" i="30"/>
  <c r="D129" i="30"/>
  <c r="O128" i="30"/>
  <c r="N128" i="30"/>
  <c r="M128" i="30"/>
  <c r="J128" i="30"/>
  <c r="G128" i="30"/>
  <c r="D128" i="30"/>
  <c r="O127" i="30"/>
  <c r="N127" i="30"/>
  <c r="M127" i="30"/>
  <c r="J127" i="30"/>
  <c r="G127" i="30"/>
  <c r="D127" i="30"/>
  <c r="O126" i="30"/>
  <c r="N126" i="30"/>
  <c r="M126" i="30"/>
  <c r="J126" i="30"/>
  <c r="G126" i="30"/>
  <c r="D126" i="30"/>
  <c r="O123" i="30"/>
  <c r="J123" i="30"/>
  <c r="N121" i="30"/>
  <c r="N119" i="30"/>
  <c r="N118" i="30"/>
  <c r="N116" i="30"/>
  <c r="K114" i="30"/>
  <c r="H114" i="30"/>
  <c r="E114" i="30"/>
  <c r="B114" i="30"/>
  <c r="N112" i="30"/>
  <c r="M112" i="30"/>
  <c r="N111" i="30"/>
  <c r="J111" i="30"/>
  <c r="G111" i="30"/>
  <c r="D111" i="30"/>
  <c r="N110" i="30"/>
  <c r="J110" i="30"/>
  <c r="G110" i="30"/>
  <c r="D110" i="30"/>
  <c r="N109" i="30"/>
  <c r="L109" i="30"/>
  <c r="G161" i="30" l="1"/>
  <c r="J160" i="30"/>
  <c r="K164" i="30"/>
  <c r="G176" i="30"/>
  <c r="B181" i="30"/>
  <c r="N176" i="30"/>
  <c r="G160" i="30"/>
  <c r="H164" i="30"/>
  <c r="N161" i="30"/>
  <c r="E164" i="30"/>
  <c r="L181" i="30"/>
  <c r="C181" i="30"/>
  <c r="D181" i="30" s="1"/>
  <c r="K173" i="30"/>
  <c r="M173" i="30" s="1"/>
  <c r="H181" i="30"/>
  <c r="M180" i="30"/>
  <c r="O180" i="30"/>
  <c r="M179" i="30"/>
  <c r="M178" i="30"/>
  <c r="O178" i="30"/>
  <c r="N186" i="30"/>
  <c r="N184" i="30"/>
  <c r="P199" i="30"/>
  <c r="O176" i="30"/>
  <c r="H144" i="30"/>
  <c r="H151" i="30" s="1"/>
  <c r="N196" i="30"/>
  <c r="F181" i="30"/>
  <c r="D180" i="30"/>
  <c r="J179" i="30"/>
  <c r="D179" i="30"/>
  <c r="D178" i="30"/>
  <c r="D177" i="30"/>
  <c r="M176" i="30"/>
  <c r="M177" i="30"/>
  <c r="J177" i="30"/>
  <c r="G179" i="30"/>
  <c r="D7" i="31"/>
  <c r="D14" i="31" s="1"/>
  <c r="D15" i="31" s="1"/>
  <c r="H9" i="31"/>
  <c r="H10" i="31"/>
  <c r="N159" i="30"/>
  <c r="D161" i="30"/>
  <c r="N180" i="30"/>
  <c r="N178" i="30"/>
  <c r="N162" i="30"/>
  <c r="J180" i="30"/>
  <c r="J178" i="30"/>
  <c r="M186" i="30"/>
  <c r="K181" i="30"/>
  <c r="E181" i="30"/>
  <c r="B164" i="30"/>
  <c r="J173" i="30"/>
  <c r="D176" i="30"/>
  <c r="J176" i="30"/>
  <c r="P196" i="30"/>
  <c r="N179" i="30"/>
  <c r="O177" i="30"/>
  <c r="O179" i="30"/>
  <c r="I181" i="30"/>
  <c r="G180" i="30"/>
  <c r="G178" i="30"/>
  <c r="G177" i="30"/>
  <c r="N177" i="30"/>
  <c r="O173" i="30"/>
  <c r="D160" i="30"/>
  <c r="N160" i="30"/>
  <c r="P130" i="30"/>
  <c r="K144" i="30"/>
  <c r="K151" i="30" s="1"/>
  <c r="N123" i="30"/>
  <c r="P123" i="30" s="1"/>
  <c r="P128" i="30"/>
  <c r="M131" i="30"/>
  <c r="G131" i="30"/>
  <c r="P126" i="30"/>
  <c r="J131" i="30"/>
  <c r="E144" i="30"/>
  <c r="E151" i="30" s="1"/>
  <c r="P129" i="30"/>
  <c r="B144" i="30"/>
  <c r="B151" i="30" s="1"/>
  <c r="P127" i="30"/>
  <c r="D131" i="30"/>
  <c r="N114" i="30"/>
  <c r="N131" i="30"/>
  <c r="O131" i="30"/>
  <c r="M109" i="30"/>
  <c r="P176" i="30" l="1"/>
  <c r="J181" i="30"/>
  <c r="H194" i="30"/>
  <c r="H201" i="30" s="1"/>
  <c r="P178" i="30"/>
  <c r="N164" i="30"/>
  <c r="M181" i="30"/>
  <c r="P180" i="30"/>
  <c r="G181" i="30"/>
  <c r="P177" i="30"/>
  <c r="K194" i="30"/>
  <c r="K201" i="30" s="1"/>
  <c r="O181" i="30"/>
  <c r="N144" i="30"/>
  <c r="N151" i="30" s="1"/>
  <c r="N181" i="30"/>
  <c r="P179" i="30"/>
  <c r="P131" i="30"/>
  <c r="P181" i="30" l="1"/>
  <c r="E73" i="30" l="1"/>
  <c r="G73" i="30" s="1"/>
  <c r="B73" i="30"/>
  <c r="P99" i="30"/>
  <c r="P96" i="30"/>
  <c r="N92" i="30"/>
  <c r="N91" i="30"/>
  <c r="N89" i="30"/>
  <c r="N88" i="30"/>
  <c r="N86" i="30"/>
  <c r="M86" i="30"/>
  <c r="N84" i="30"/>
  <c r="L81" i="30"/>
  <c r="K81" i="30"/>
  <c r="I81" i="30"/>
  <c r="H81" i="30"/>
  <c r="C8" i="31" s="1"/>
  <c r="F81" i="30"/>
  <c r="E81" i="30"/>
  <c r="C81" i="30"/>
  <c r="B81" i="30"/>
  <c r="O80" i="30"/>
  <c r="N80" i="30"/>
  <c r="M80" i="30"/>
  <c r="J80" i="30"/>
  <c r="G80" i="30"/>
  <c r="D80" i="30"/>
  <c r="O79" i="30"/>
  <c r="N79" i="30"/>
  <c r="M79" i="30"/>
  <c r="J79" i="30"/>
  <c r="G79" i="30"/>
  <c r="D79" i="30"/>
  <c r="O78" i="30"/>
  <c r="N78" i="30"/>
  <c r="M78" i="30"/>
  <c r="J78" i="30"/>
  <c r="G78" i="30"/>
  <c r="D78" i="30"/>
  <c r="O77" i="30"/>
  <c r="N77" i="30"/>
  <c r="M77" i="30"/>
  <c r="J77" i="30"/>
  <c r="G77" i="30"/>
  <c r="D77" i="30"/>
  <c r="O76" i="30"/>
  <c r="N76" i="30"/>
  <c r="M76" i="30"/>
  <c r="J76" i="30"/>
  <c r="G76" i="30"/>
  <c r="D76" i="30"/>
  <c r="O73" i="30"/>
  <c r="M73" i="30"/>
  <c r="J73" i="30"/>
  <c r="N71" i="30"/>
  <c r="N69" i="30"/>
  <c r="N68" i="30"/>
  <c r="N66" i="30"/>
  <c r="K64" i="30"/>
  <c r="H64" i="30"/>
  <c r="C7" i="31" s="1"/>
  <c r="E64" i="30"/>
  <c r="B64" i="30"/>
  <c r="N62" i="30"/>
  <c r="N61" i="30"/>
  <c r="J61" i="30"/>
  <c r="G61" i="30"/>
  <c r="D61" i="30"/>
  <c r="N60" i="30"/>
  <c r="J60" i="30"/>
  <c r="G60" i="30"/>
  <c r="D60" i="30"/>
  <c r="N59" i="30"/>
  <c r="C14" i="31" l="1"/>
  <c r="C15" i="31" s="1"/>
  <c r="P78" i="30"/>
  <c r="B94" i="30"/>
  <c r="B101" i="30" s="1"/>
  <c r="M81" i="30"/>
  <c r="N73" i="30"/>
  <c r="P73" i="30" s="1"/>
  <c r="J81" i="30"/>
  <c r="G81" i="30"/>
  <c r="P80" i="30"/>
  <c r="E94" i="30"/>
  <c r="E101" i="30" s="1"/>
  <c r="P77" i="30"/>
  <c r="P79" i="30"/>
  <c r="N81" i="30"/>
  <c r="D81" i="30"/>
  <c r="P76" i="30"/>
  <c r="D73" i="30"/>
  <c r="K94" i="30"/>
  <c r="K101" i="30" s="1"/>
  <c r="N64" i="30"/>
  <c r="O81" i="30"/>
  <c r="H94" i="30"/>
  <c r="H101" i="30" s="1"/>
  <c r="N94" i="30" l="1"/>
  <c r="N101" i="30" s="1"/>
  <c r="P81" i="30"/>
  <c r="P49" i="30" l="1"/>
  <c r="P46" i="30" l="1"/>
  <c r="N16" i="30" l="1"/>
  <c r="E23" i="30"/>
  <c r="E173" i="30" s="1"/>
  <c r="B23" i="30"/>
  <c r="B173" i="30" s="1"/>
  <c r="N42" i="30"/>
  <c r="N41" i="30"/>
  <c r="N39" i="30"/>
  <c r="N38" i="30"/>
  <c r="M36" i="30"/>
  <c r="N36" i="30"/>
  <c r="N34" i="30"/>
  <c r="M30" i="30"/>
  <c r="M29" i="30"/>
  <c r="M28" i="30"/>
  <c r="M27" i="30"/>
  <c r="M26" i="30"/>
  <c r="J30" i="30"/>
  <c r="J29" i="30"/>
  <c r="J28" i="30"/>
  <c r="J27" i="30"/>
  <c r="J26" i="30"/>
  <c r="G30" i="30"/>
  <c r="G29" i="30"/>
  <c r="G28" i="30"/>
  <c r="G27" i="30"/>
  <c r="G26" i="30"/>
  <c r="D30" i="30"/>
  <c r="D29" i="30"/>
  <c r="D28" i="30"/>
  <c r="D27" i="30"/>
  <c r="D26" i="30"/>
  <c r="L31" i="30"/>
  <c r="O30" i="30"/>
  <c r="I31" i="30"/>
  <c r="F31" i="30"/>
  <c r="C31" i="30"/>
  <c r="O29" i="30"/>
  <c r="O27" i="30"/>
  <c r="O28" i="30"/>
  <c r="N173" i="30" l="1"/>
  <c r="D173" i="30"/>
  <c r="B194" i="30"/>
  <c r="B201" i="30" s="1"/>
  <c r="G173" i="30"/>
  <c r="E194" i="30"/>
  <c r="E201" i="30" s="1"/>
  <c r="N194" i="30" l="1"/>
  <c r="N201" i="30" s="1"/>
  <c r="P173" i="30"/>
  <c r="O26" i="30" l="1"/>
  <c r="B31" i="30"/>
  <c r="D31" i="30" s="1"/>
  <c r="E31" i="30"/>
  <c r="G31" i="30" s="1"/>
  <c r="H31" i="30"/>
  <c r="K31" i="30"/>
  <c r="M31" i="30" s="1"/>
  <c r="N30" i="30"/>
  <c r="P30" i="30" s="1"/>
  <c r="N29" i="30"/>
  <c r="P29" i="30" s="1"/>
  <c r="N28" i="30"/>
  <c r="P28" i="30" s="1"/>
  <c r="N27" i="30"/>
  <c r="P27" i="30" s="1"/>
  <c r="N26" i="30"/>
  <c r="M23" i="30"/>
  <c r="J23" i="30"/>
  <c r="G23" i="30"/>
  <c r="D23" i="30"/>
  <c r="O23" i="30"/>
  <c r="N23" i="30"/>
  <c r="J31" i="30" l="1"/>
  <c r="B8" i="31"/>
  <c r="H8" i="31" s="1"/>
  <c r="P23" i="30"/>
  <c r="P26" i="30"/>
  <c r="O31" i="30"/>
  <c r="N31" i="30"/>
  <c r="N21" i="30"/>
  <c r="N19" i="30"/>
  <c r="N18" i="30"/>
  <c r="J10" i="30"/>
  <c r="J11" i="30"/>
  <c r="G10" i="30"/>
  <c r="G11" i="30"/>
  <c r="D10" i="30"/>
  <c r="D11" i="30"/>
  <c r="L11" i="30"/>
  <c r="L10" i="30"/>
  <c r="L61" i="30"/>
  <c r="L60" i="30"/>
  <c r="L62" i="30"/>
  <c r="M62" i="30" s="1"/>
  <c r="L63" i="30"/>
  <c r="L111" i="30"/>
  <c r="L110" i="30"/>
  <c r="L113" i="30"/>
  <c r="O113" i="30" s="1"/>
  <c r="E14" i="30"/>
  <c r="E44" i="30" s="1"/>
  <c r="E51" i="30" s="1"/>
  <c r="H14" i="30"/>
  <c r="K14" i="30"/>
  <c r="K44" i="30" s="1"/>
  <c r="K51" i="30" s="1"/>
  <c r="B14" i="30"/>
  <c r="B44" i="30" s="1"/>
  <c r="B51" i="30" s="1"/>
  <c r="N10" i="30"/>
  <c r="N11" i="30"/>
  <c r="N12" i="30"/>
  <c r="N9" i="30"/>
  <c r="O63" i="30" l="1"/>
  <c r="L163" i="30"/>
  <c r="O163" i="30" s="1"/>
  <c r="P163" i="30" s="1"/>
  <c r="L114" i="30"/>
  <c r="M114" i="30" s="1"/>
  <c r="L59" i="30"/>
  <c r="M59" i="30" s="1"/>
  <c r="M111" i="30"/>
  <c r="O111" i="30"/>
  <c r="P111" i="30" s="1"/>
  <c r="O60" i="30"/>
  <c r="P60" i="30" s="1"/>
  <c r="M60" i="30"/>
  <c r="M110" i="30"/>
  <c r="O110" i="30"/>
  <c r="P110" i="30" s="1"/>
  <c r="O61" i="30"/>
  <c r="P61" i="30" s="1"/>
  <c r="M61" i="30"/>
  <c r="H44" i="30"/>
  <c r="H51" i="30" s="1"/>
  <c r="B7" i="31"/>
  <c r="M10" i="30"/>
  <c r="L160" i="30"/>
  <c r="M11" i="30"/>
  <c r="L161" i="30"/>
  <c r="P31" i="30"/>
  <c r="L9" i="30"/>
  <c r="N14" i="30"/>
  <c r="N44" i="30" s="1"/>
  <c r="O11" i="30"/>
  <c r="P11" i="30" s="1"/>
  <c r="O10" i="30"/>
  <c r="P10" i="30" s="1"/>
  <c r="L42" i="30"/>
  <c r="L92" i="30"/>
  <c r="L142" i="30"/>
  <c r="L41" i="30"/>
  <c r="L91" i="30"/>
  <c r="L141" i="30"/>
  <c r="L119" i="30"/>
  <c r="L39" i="30"/>
  <c r="L89" i="30"/>
  <c r="L139" i="30"/>
  <c r="L21" i="30"/>
  <c r="M21" i="30" s="1"/>
  <c r="L71" i="30"/>
  <c r="L64" i="30" l="1"/>
  <c r="M64" i="30" s="1"/>
  <c r="O39" i="30"/>
  <c r="P39" i="30" s="1"/>
  <c r="L189" i="30"/>
  <c r="M39" i="30"/>
  <c r="O42" i="30"/>
  <c r="P42" i="30" s="1"/>
  <c r="M42" i="30"/>
  <c r="L192" i="30"/>
  <c r="M92" i="30"/>
  <c r="O92" i="30"/>
  <c r="P92" i="30" s="1"/>
  <c r="O21" i="30"/>
  <c r="P21" i="30" s="1"/>
  <c r="L121" i="30"/>
  <c r="O89" i="30"/>
  <c r="P89" i="30" s="1"/>
  <c r="M89" i="30"/>
  <c r="M139" i="30"/>
  <c r="O139" i="30"/>
  <c r="P139" i="30" s="1"/>
  <c r="M119" i="30"/>
  <c r="O119" i="30"/>
  <c r="P119" i="30" s="1"/>
  <c r="M41" i="30"/>
  <c r="L191" i="30"/>
  <c r="O41" i="30"/>
  <c r="P41" i="30" s="1"/>
  <c r="O142" i="30"/>
  <c r="P142" i="30" s="1"/>
  <c r="M142" i="30"/>
  <c r="M141" i="30"/>
  <c r="O141" i="30"/>
  <c r="P141" i="30" s="1"/>
  <c r="O71" i="30"/>
  <c r="P71" i="30" s="1"/>
  <c r="M71" i="30"/>
  <c r="O91" i="30"/>
  <c r="P91" i="30" s="1"/>
  <c r="M91" i="30"/>
  <c r="B14" i="31"/>
  <c r="B15" i="31" s="1"/>
  <c r="H15" i="31" s="1"/>
  <c r="H7" i="31"/>
  <c r="H14" i="31" s="1"/>
  <c r="M161" i="30"/>
  <c r="O161" i="30"/>
  <c r="P161" i="30" s="1"/>
  <c r="M160" i="30"/>
  <c r="O160" i="30"/>
  <c r="P160" i="30" s="1"/>
  <c r="N51" i="30"/>
  <c r="M12" i="30"/>
  <c r="L162" i="30"/>
  <c r="M162" i="30" s="1"/>
  <c r="M9" i="30"/>
  <c r="L159" i="30"/>
  <c r="L14" i="30"/>
  <c r="M14" i="30" s="1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5" i="26"/>
  <c r="AO6" i="26"/>
  <c r="R6" i="26" s="1"/>
  <c r="AO7" i="26"/>
  <c r="R7" i="26" s="1"/>
  <c r="AO8" i="26"/>
  <c r="R8" i="26" s="1"/>
  <c r="AO9" i="26"/>
  <c r="R9" i="26" s="1"/>
  <c r="AO10" i="26"/>
  <c r="R10" i="26" s="1"/>
  <c r="AO11" i="26"/>
  <c r="R11" i="26" s="1"/>
  <c r="AO12" i="26"/>
  <c r="R12" i="26" s="1"/>
  <c r="AO13" i="26"/>
  <c r="R13" i="26" s="1"/>
  <c r="AO14" i="26"/>
  <c r="R14" i="26" s="1"/>
  <c r="AO15" i="26"/>
  <c r="R15" i="26" s="1"/>
  <c r="AO16" i="26"/>
  <c r="R16" i="26" s="1"/>
  <c r="AO17" i="26"/>
  <c r="R17" i="26" s="1"/>
  <c r="AO18" i="26"/>
  <c r="R18" i="26" s="1"/>
  <c r="AO19" i="26"/>
  <c r="R19" i="26" s="1"/>
  <c r="AO20" i="26"/>
  <c r="R20" i="26" s="1"/>
  <c r="AO21" i="26"/>
  <c r="R21" i="26" s="1"/>
  <c r="AO22" i="26"/>
  <c r="R22" i="26" s="1"/>
  <c r="AO23" i="26"/>
  <c r="R23" i="26" s="1"/>
  <c r="AO24" i="26"/>
  <c r="R24" i="26" s="1"/>
  <c r="AO25" i="26"/>
  <c r="R25" i="26" s="1"/>
  <c r="AO26" i="26"/>
  <c r="R26" i="26" s="1"/>
  <c r="AO27" i="26"/>
  <c r="R27" i="26" s="1"/>
  <c r="AO28" i="26"/>
  <c r="R28" i="26" s="1"/>
  <c r="AO29" i="26"/>
  <c r="R29" i="26" s="1"/>
  <c r="AO30" i="26"/>
  <c r="R30" i="26" s="1"/>
  <c r="AO31" i="26"/>
  <c r="R31" i="26" s="1"/>
  <c r="AO32" i="26"/>
  <c r="R32" i="26" s="1"/>
  <c r="AO33" i="26"/>
  <c r="R33" i="26" s="1"/>
  <c r="AO34" i="26"/>
  <c r="R34" i="26" s="1"/>
  <c r="AO35" i="26"/>
  <c r="R35" i="26" s="1"/>
  <c r="AO36" i="26"/>
  <c r="R36" i="26" s="1"/>
  <c r="AO37" i="26"/>
  <c r="R37" i="26" s="1"/>
  <c r="AO38" i="26"/>
  <c r="R38" i="26" s="1"/>
  <c r="AO39" i="26"/>
  <c r="R39" i="26" s="1"/>
  <c r="AO40" i="26"/>
  <c r="R40" i="26" s="1"/>
  <c r="AO41" i="26"/>
  <c r="R41" i="26" s="1"/>
  <c r="AO42" i="26"/>
  <c r="R42" i="26" s="1"/>
  <c r="AO43" i="26"/>
  <c r="R43" i="26" s="1"/>
  <c r="AO44" i="26"/>
  <c r="R44" i="26" s="1"/>
  <c r="AO45" i="26"/>
  <c r="R45" i="26" s="1"/>
  <c r="AO46" i="26"/>
  <c r="R46" i="26" s="1"/>
  <c r="AO47" i="26"/>
  <c r="R47" i="26" s="1"/>
  <c r="AO48" i="26"/>
  <c r="R48" i="26" s="1"/>
  <c r="AO49" i="26"/>
  <c r="R49" i="26" s="1"/>
  <c r="AO50" i="26"/>
  <c r="R50" i="26" s="1"/>
  <c r="AO51" i="26"/>
  <c r="R51" i="26" s="1"/>
  <c r="AO52" i="26"/>
  <c r="R52" i="26" s="1"/>
  <c r="AO53" i="26"/>
  <c r="R53" i="26" s="1"/>
  <c r="AO54" i="26"/>
  <c r="R54" i="26" s="1"/>
  <c r="AO55" i="26"/>
  <c r="R55" i="26" s="1"/>
  <c r="AO56" i="26"/>
  <c r="R56" i="26" s="1"/>
  <c r="AO57" i="26"/>
  <c r="R57" i="26" s="1"/>
  <c r="AO58" i="26"/>
  <c r="R58" i="26" s="1"/>
  <c r="AO59" i="26"/>
  <c r="R59" i="26" s="1"/>
  <c r="AO60" i="26"/>
  <c r="R60" i="26" s="1"/>
  <c r="AO61" i="26"/>
  <c r="R61" i="26" s="1"/>
  <c r="AO62" i="26"/>
  <c r="R62" i="26" s="1"/>
  <c r="AO63" i="26"/>
  <c r="R63" i="26" s="1"/>
  <c r="AO64" i="26"/>
  <c r="R64" i="26" s="1"/>
  <c r="AO65" i="26"/>
  <c r="R65" i="26" s="1"/>
  <c r="AO66" i="26"/>
  <c r="R66" i="26" s="1"/>
  <c r="AO67" i="26"/>
  <c r="R67" i="26" s="1"/>
  <c r="AO68" i="26"/>
  <c r="R68" i="26" s="1"/>
  <c r="AO69" i="26"/>
  <c r="R69" i="26" s="1"/>
  <c r="AO70" i="26"/>
  <c r="R70" i="26" s="1"/>
  <c r="AO71" i="26"/>
  <c r="R71" i="26" s="1"/>
  <c r="AO72" i="26"/>
  <c r="R72" i="26" s="1"/>
  <c r="AO73" i="26"/>
  <c r="R73" i="26" s="1"/>
  <c r="AO74" i="26"/>
  <c r="R74" i="26" s="1"/>
  <c r="AO75" i="26"/>
  <c r="R75" i="26" s="1"/>
  <c r="AO76" i="26"/>
  <c r="R76" i="26" s="1"/>
  <c r="AO77" i="26"/>
  <c r="R77" i="26" s="1"/>
  <c r="AO78" i="26"/>
  <c r="R78" i="26" s="1"/>
  <c r="AO79" i="26"/>
  <c r="R79" i="26" s="1"/>
  <c r="AO80" i="26"/>
  <c r="R80" i="26" s="1"/>
  <c r="AO81" i="26"/>
  <c r="R81" i="26" s="1"/>
  <c r="AO82" i="26"/>
  <c r="R82" i="26" s="1"/>
  <c r="AO83" i="26"/>
  <c r="R83" i="26" s="1"/>
  <c r="AO84" i="26"/>
  <c r="R84" i="26" s="1"/>
  <c r="AO85" i="26"/>
  <c r="R85" i="26" s="1"/>
  <c r="AO86" i="26"/>
  <c r="R86" i="26" s="1"/>
  <c r="AO87" i="26"/>
  <c r="R87" i="26" s="1"/>
  <c r="AO88" i="26"/>
  <c r="R88" i="26" s="1"/>
  <c r="AO89" i="26"/>
  <c r="R89" i="26" s="1"/>
  <c r="AO90" i="26"/>
  <c r="R90" i="26" s="1"/>
  <c r="AO91" i="26"/>
  <c r="R91" i="26" s="1"/>
  <c r="AO92" i="26"/>
  <c r="R92" i="26" s="1"/>
  <c r="AO93" i="26"/>
  <c r="R93" i="26" s="1"/>
  <c r="AO94" i="26"/>
  <c r="R94" i="26" s="1"/>
  <c r="AO95" i="26"/>
  <c r="R95" i="26" s="1"/>
  <c r="AO96" i="26"/>
  <c r="R96" i="26" s="1"/>
  <c r="AO97" i="26"/>
  <c r="R97" i="26" s="1"/>
  <c r="AO98" i="26"/>
  <c r="R98" i="26" s="1"/>
  <c r="AO99" i="26"/>
  <c r="R99" i="26" s="1"/>
  <c r="AO100" i="26"/>
  <c r="R100" i="26" s="1"/>
  <c r="AO101" i="26"/>
  <c r="R101" i="26" s="1"/>
  <c r="AO102" i="26"/>
  <c r="R102" i="26" s="1"/>
  <c r="AO103" i="26"/>
  <c r="R103" i="26" s="1"/>
  <c r="AO104" i="26"/>
  <c r="R104" i="26" s="1"/>
  <c r="AO105" i="26"/>
  <c r="R105" i="26" s="1"/>
  <c r="AO106" i="26"/>
  <c r="R106" i="26" s="1"/>
  <c r="AO107" i="26"/>
  <c r="R107" i="26" s="1"/>
  <c r="AO108" i="26"/>
  <c r="R108" i="26" s="1"/>
  <c r="AO109" i="26"/>
  <c r="R109" i="26" s="1"/>
  <c r="AO110" i="26"/>
  <c r="R110" i="26" s="1"/>
  <c r="AO111" i="26"/>
  <c r="R111" i="26" s="1"/>
  <c r="AO112" i="26"/>
  <c r="R112" i="26" s="1"/>
  <c r="AO113" i="26"/>
  <c r="R113" i="26" s="1"/>
  <c r="AO114" i="26"/>
  <c r="R114" i="26" s="1"/>
  <c r="AO115" i="26"/>
  <c r="R115" i="26" s="1"/>
  <c r="AO116" i="26"/>
  <c r="R116" i="26" s="1"/>
  <c r="AO117" i="26"/>
  <c r="R117" i="26" s="1"/>
  <c r="AO118" i="26"/>
  <c r="R118" i="26" s="1"/>
  <c r="AO119" i="26"/>
  <c r="R119" i="26" s="1"/>
  <c r="AO120" i="26"/>
  <c r="R120" i="26" s="1"/>
  <c r="AO121" i="26"/>
  <c r="R121" i="26" s="1"/>
  <c r="AO122" i="26"/>
  <c r="R122" i="26" s="1"/>
  <c r="AO123" i="26"/>
  <c r="R123" i="26" s="1"/>
  <c r="AO124" i="26"/>
  <c r="R124" i="26" s="1"/>
  <c r="AO125" i="26"/>
  <c r="R125" i="26" s="1"/>
  <c r="AO126" i="26"/>
  <c r="R126" i="26" s="1"/>
  <c r="AO127" i="26"/>
  <c r="R127" i="26" s="1"/>
  <c r="AO128" i="26"/>
  <c r="R128" i="26" s="1"/>
  <c r="AO129" i="26"/>
  <c r="R129" i="26" s="1"/>
  <c r="AO130" i="26"/>
  <c r="R130" i="26" s="1"/>
  <c r="AO131" i="26"/>
  <c r="R131" i="26" s="1"/>
  <c r="AO132" i="26"/>
  <c r="R132" i="26" s="1"/>
  <c r="AO133" i="26"/>
  <c r="R133" i="26" s="1"/>
  <c r="AO134" i="26"/>
  <c r="R134" i="26" s="1"/>
  <c r="AO135" i="26"/>
  <c r="R135" i="26" s="1"/>
  <c r="AO136" i="26"/>
  <c r="R136" i="26" s="1"/>
  <c r="AO137" i="26"/>
  <c r="R137" i="26" s="1"/>
  <c r="AO138" i="26"/>
  <c r="R138" i="26" s="1"/>
  <c r="AO139" i="26"/>
  <c r="R139" i="26" s="1"/>
  <c r="AO140" i="26"/>
  <c r="R140" i="26" s="1"/>
  <c r="AO141" i="26"/>
  <c r="R141" i="26" s="1"/>
  <c r="AO142" i="26"/>
  <c r="R142" i="26" s="1"/>
  <c r="AO143" i="26"/>
  <c r="R143" i="26" s="1"/>
  <c r="AO144" i="26"/>
  <c r="R144" i="26" s="1"/>
  <c r="AO145" i="26"/>
  <c r="R145" i="26" s="1"/>
  <c r="AO146" i="26"/>
  <c r="R146" i="26" s="1"/>
  <c r="AO147" i="26"/>
  <c r="R147" i="26" s="1"/>
  <c r="AO148" i="26"/>
  <c r="R148" i="26" s="1"/>
  <c r="AO149" i="26"/>
  <c r="R149" i="26" s="1"/>
  <c r="AO150" i="26"/>
  <c r="R150" i="26" s="1"/>
  <c r="AO151" i="26"/>
  <c r="R151" i="26" s="1"/>
  <c r="AO152" i="26"/>
  <c r="R152" i="26" s="1"/>
  <c r="AO153" i="26"/>
  <c r="R153" i="26" s="1"/>
  <c r="AO154" i="26"/>
  <c r="R154" i="26" s="1"/>
  <c r="AO155" i="26"/>
  <c r="R155" i="26" s="1"/>
  <c r="AO156" i="26"/>
  <c r="R156" i="26" s="1"/>
  <c r="AO157" i="26"/>
  <c r="R157" i="26" s="1"/>
  <c r="AO158" i="26"/>
  <c r="R158" i="26" s="1"/>
  <c r="AO159" i="26"/>
  <c r="R159" i="26" s="1"/>
  <c r="AO160" i="26"/>
  <c r="R160" i="26" s="1"/>
  <c r="AO161" i="26"/>
  <c r="R161" i="26" s="1"/>
  <c r="AO162" i="26"/>
  <c r="R162" i="26" s="1"/>
  <c r="AO163" i="26"/>
  <c r="R163" i="26" s="1"/>
  <c r="AO164" i="26"/>
  <c r="R164" i="26" s="1"/>
  <c r="AO165" i="26"/>
  <c r="R165" i="26" s="1"/>
  <c r="AO166" i="26"/>
  <c r="R166" i="26" s="1"/>
  <c r="AO167" i="26"/>
  <c r="R167" i="26" s="1"/>
  <c r="AO168" i="26"/>
  <c r="R168" i="26" s="1"/>
  <c r="AO169" i="26"/>
  <c r="R169" i="26" s="1"/>
  <c r="AO170" i="26"/>
  <c r="R170" i="26" s="1"/>
  <c r="AO171" i="26"/>
  <c r="R171" i="26" s="1"/>
  <c r="AO172" i="26"/>
  <c r="R172" i="26" s="1"/>
  <c r="AO173" i="26"/>
  <c r="R173" i="26" s="1"/>
  <c r="AO174" i="26"/>
  <c r="R174" i="26" s="1"/>
  <c r="AO175" i="26"/>
  <c r="R175" i="26" s="1"/>
  <c r="AO176" i="26"/>
  <c r="R176" i="26" s="1"/>
  <c r="AO177" i="26"/>
  <c r="R177" i="26" s="1"/>
  <c r="AO178" i="26"/>
  <c r="R178" i="26" s="1"/>
  <c r="AO179" i="26"/>
  <c r="R179" i="26" s="1"/>
  <c r="AO180" i="26"/>
  <c r="R180" i="26" s="1"/>
  <c r="AO181" i="26"/>
  <c r="R181" i="26" s="1"/>
  <c r="AO182" i="26"/>
  <c r="R182" i="26" s="1"/>
  <c r="AO183" i="26"/>
  <c r="R183" i="26" s="1"/>
  <c r="AO184" i="26"/>
  <c r="R184" i="26" s="1"/>
  <c r="AO185" i="26"/>
  <c r="R185" i="26" s="1"/>
  <c r="AO186" i="26"/>
  <c r="R186" i="26" s="1"/>
  <c r="AO187" i="26"/>
  <c r="R187" i="26" s="1"/>
  <c r="AO188" i="26"/>
  <c r="R188" i="26" s="1"/>
  <c r="AO189" i="26"/>
  <c r="R189" i="26" s="1"/>
  <c r="AO190" i="26"/>
  <c r="R190" i="26" s="1"/>
  <c r="AO191" i="26"/>
  <c r="R191" i="26" s="1"/>
  <c r="AO192" i="26"/>
  <c r="R192" i="26" s="1"/>
  <c r="AO193" i="26"/>
  <c r="R193" i="26" s="1"/>
  <c r="AO194" i="26"/>
  <c r="R194" i="26" s="1"/>
  <c r="AO195" i="26"/>
  <c r="R195" i="26" s="1"/>
  <c r="AO196" i="26"/>
  <c r="R196" i="26" s="1"/>
  <c r="AO197" i="26"/>
  <c r="R197" i="26" s="1"/>
  <c r="AO198" i="26"/>
  <c r="R198" i="26" s="1"/>
  <c r="AO199" i="26"/>
  <c r="R199" i="26" s="1"/>
  <c r="AO200" i="26"/>
  <c r="R200" i="26" s="1"/>
  <c r="AO201" i="26"/>
  <c r="R201" i="26" s="1"/>
  <c r="AO202" i="26"/>
  <c r="R202" i="26" s="1"/>
  <c r="AO203" i="26"/>
  <c r="R203" i="26" s="1"/>
  <c r="AO204" i="26"/>
  <c r="R204" i="26" s="1"/>
  <c r="AO205" i="26"/>
  <c r="R205" i="26" s="1"/>
  <c r="AO206" i="26"/>
  <c r="R206" i="26" s="1"/>
  <c r="AO207" i="26"/>
  <c r="R207" i="26" s="1"/>
  <c r="AO208" i="26"/>
  <c r="R208" i="26" s="1"/>
  <c r="AO209" i="26"/>
  <c r="R209" i="26" s="1"/>
  <c r="AO210" i="26"/>
  <c r="R210" i="26" s="1"/>
  <c r="AO211" i="26"/>
  <c r="R211" i="26" s="1"/>
  <c r="AO212" i="26"/>
  <c r="R212" i="26" s="1"/>
  <c r="AO213" i="26"/>
  <c r="R213" i="26" s="1"/>
  <c r="AO214" i="26"/>
  <c r="R214" i="26" s="1"/>
  <c r="AO215" i="26"/>
  <c r="R215" i="26" s="1"/>
  <c r="AO216" i="26"/>
  <c r="R216" i="26" s="1"/>
  <c r="AO217" i="26"/>
  <c r="R217" i="26" s="1"/>
  <c r="AO218" i="26"/>
  <c r="R218" i="26" s="1"/>
  <c r="AO219" i="26"/>
  <c r="R219" i="26" s="1"/>
  <c r="AO220" i="26"/>
  <c r="R220" i="26" s="1"/>
  <c r="AO221" i="26"/>
  <c r="R221" i="26" s="1"/>
  <c r="AO222" i="26"/>
  <c r="R222" i="26" s="1"/>
  <c r="AO223" i="26"/>
  <c r="R223" i="26" s="1"/>
  <c r="AO224" i="26"/>
  <c r="R224" i="26" s="1"/>
  <c r="AO225" i="26"/>
  <c r="R225" i="26" s="1"/>
  <c r="AO226" i="26"/>
  <c r="R226" i="26" s="1"/>
  <c r="AO227" i="26"/>
  <c r="R227" i="26" s="1"/>
  <c r="AO228" i="26"/>
  <c r="R228" i="26" s="1"/>
  <c r="AO229" i="26"/>
  <c r="R229" i="26" s="1"/>
  <c r="AO230" i="26"/>
  <c r="R230" i="26" s="1"/>
  <c r="AO231" i="26"/>
  <c r="R231" i="26" s="1"/>
  <c r="AO232" i="26"/>
  <c r="R232" i="26" s="1"/>
  <c r="AO233" i="26"/>
  <c r="R233" i="26" s="1"/>
  <c r="AO234" i="26"/>
  <c r="R234" i="26" s="1"/>
  <c r="AO235" i="26"/>
  <c r="R235" i="26" s="1"/>
  <c r="AO236" i="26"/>
  <c r="R236" i="26" s="1"/>
  <c r="AO237" i="26"/>
  <c r="R237" i="26" s="1"/>
  <c r="AO238" i="26"/>
  <c r="R238" i="26" s="1"/>
  <c r="AO239" i="26"/>
  <c r="R239" i="26" s="1"/>
  <c r="AO240" i="26"/>
  <c r="R240" i="26" s="1"/>
  <c r="AO241" i="26"/>
  <c r="R241" i="26" s="1"/>
  <c r="AO242" i="26"/>
  <c r="R242" i="26" s="1"/>
  <c r="AO243" i="26"/>
  <c r="R243" i="26" s="1"/>
  <c r="AO244" i="26"/>
  <c r="R244" i="26" s="1"/>
  <c r="AO245" i="26"/>
  <c r="R245" i="26" s="1"/>
  <c r="AO246" i="26"/>
  <c r="R246" i="26" s="1"/>
  <c r="AO247" i="26"/>
  <c r="R247" i="26" s="1"/>
  <c r="AO248" i="26"/>
  <c r="R248" i="26" s="1"/>
  <c r="AO249" i="26"/>
  <c r="R249" i="26" s="1"/>
  <c r="AO250" i="26"/>
  <c r="R250" i="26" s="1"/>
  <c r="AO251" i="26"/>
  <c r="R251" i="26" s="1"/>
  <c r="AO252" i="26"/>
  <c r="R252" i="26" s="1"/>
  <c r="AO253" i="26"/>
  <c r="R253" i="26" s="1"/>
  <c r="AO254" i="26"/>
  <c r="R254" i="26" s="1"/>
  <c r="AO255" i="26"/>
  <c r="R255" i="26" s="1"/>
  <c r="AO256" i="26"/>
  <c r="R256" i="26" s="1"/>
  <c r="AO257" i="26"/>
  <c r="R257" i="26" s="1"/>
  <c r="AO258" i="26"/>
  <c r="R258" i="26" s="1"/>
  <c r="AO259" i="26"/>
  <c r="R259" i="26" s="1"/>
  <c r="AO260" i="26"/>
  <c r="R260" i="26" s="1"/>
  <c r="AO261" i="26"/>
  <c r="R261" i="26" s="1"/>
  <c r="AO262" i="26"/>
  <c r="R262" i="26" s="1"/>
  <c r="AO263" i="26"/>
  <c r="R263" i="26" s="1"/>
  <c r="AO264" i="26"/>
  <c r="R264" i="26" s="1"/>
  <c r="AO265" i="26"/>
  <c r="R265" i="26" s="1"/>
  <c r="AO266" i="26"/>
  <c r="R266" i="26" s="1"/>
  <c r="AO267" i="26"/>
  <c r="R267" i="26" s="1"/>
  <c r="AO268" i="26"/>
  <c r="R268" i="26" s="1"/>
  <c r="AO269" i="26"/>
  <c r="R269" i="26" s="1"/>
  <c r="AO270" i="26"/>
  <c r="R270" i="26" s="1"/>
  <c r="AO271" i="26"/>
  <c r="R271" i="26" s="1"/>
  <c r="AO272" i="26"/>
  <c r="R272" i="26" s="1"/>
  <c r="AO273" i="26"/>
  <c r="R273" i="26" s="1"/>
  <c r="AO274" i="26"/>
  <c r="R274" i="26" s="1"/>
  <c r="AO275" i="26"/>
  <c r="R275" i="26" s="1"/>
  <c r="AO276" i="26"/>
  <c r="R276" i="26" s="1"/>
  <c r="AO277" i="26"/>
  <c r="R277" i="26" s="1"/>
  <c r="AO278" i="26"/>
  <c r="R278" i="26" s="1"/>
  <c r="AO279" i="26"/>
  <c r="R279" i="26" s="1"/>
  <c r="AO280" i="26"/>
  <c r="R280" i="26" s="1"/>
  <c r="AO281" i="26"/>
  <c r="R281" i="26" s="1"/>
  <c r="AO282" i="26"/>
  <c r="R282" i="26" s="1"/>
  <c r="AO283" i="26"/>
  <c r="R283" i="26" s="1"/>
  <c r="AO284" i="26"/>
  <c r="R284" i="26" s="1"/>
  <c r="AO285" i="26"/>
  <c r="R285" i="26" s="1"/>
  <c r="AO286" i="26"/>
  <c r="R286" i="26" s="1"/>
  <c r="AO287" i="26"/>
  <c r="R287" i="26" s="1"/>
  <c r="AO288" i="26"/>
  <c r="R288" i="26" s="1"/>
  <c r="AO289" i="26"/>
  <c r="R289" i="26" s="1"/>
  <c r="AO290" i="26"/>
  <c r="R290" i="26" s="1"/>
  <c r="AO291" i="26"/>
  <c r="R291" i="26" s="1"/>
  <c r="AO292" i="26"/>
  <c r="R292" i="26" s="1"/>
  <c r="AO293" i="26"/>
  <c r="R293" i="26" s="1"/>
  <c r="AO294" i="26"/>
  <c r="R294" i="26" s="1"/>
  <c r="AO295" i="26"/>
  <c r="R295" i="26" s="1"/>
  <c r="AO296" i="26"/>
  <c r="R296" i="26" s="1"/>
  <c r="AO297" i="26"/>
  <c r="R297" i="26" s="1"/>
  <c r="AO298" i="26"/>
  <c r="R298" i="26" s="1"/>
  <c r="AO299" i="26"/>
  <c r="R299" i="26" s="1"/>
  <c r="AO300" i="26"/>
  <c r="R300" i="26" s="1"/>
  <c r="AO301" i="26"/>
  <c r="R301" i="26" s="1"/>
  <c r="AO302" i="26"/>
  <c r="R302" i="26" s="1"/>
  <c r="AO303" i="26"/>
  <c r="R303" i="26" s="1"/>
  <c r="AO304" i="26"/>
  <c r="R304" i="26" s="1"/>
  <c r="AO305" i="26"/>
  <c r="R305" i="26" s="1"/>
  <c r="AO306" i="26"/>
  <c r="R306" i="26" s="1"/>
  <c r="AO307" i="26"/>
  <c r="R307" i="26" s="1"/>
  <c r="AO308" i="26"/>
  <c r="R308" i="26" s="1"/>
  <c r="AO309" i="26"/>
  <c r="R309" i="26" s="1"/>
  <c r="AO310" i="26"/>
  <c r="R310" i="26" s="1"/>
  <c r="AO311" i="26"/>
  <c r="R311" i="26" s="1"/>
  <c r="AO312" i="26"/>
  <c r="R312" i="26" s="1"/>
  <c r="AO313" i="26"/>
  <c r="R313" i="26" s="1"/>
  <c r="AO314" i="26"/>
  <c r="R314" i="26" s="1"/>
  <c r="AO315" i="26"/>
  <c r="R315" i="26" s="1"/>
  <c r="AO316" i="26"/>
  <c r="R316" i="26" s="1"/>
  <c r="AO317" i="26"/>
  <c r="R317" i="26" s="1"/>
  <c r="AO318" i="26"/>
  <c r="R318" i="26" s="1"/>
  <c r="AO319" i="26"/>
  <c r="R319" i="26" s="1"/>
  <c r="AO320" i="26"/>
  <c r="R320" i="26" s="1"/>
  <c r="AO321" i="26"/>
  <c r="R321" i="26" s="1"/>
  <c r="AO322" i="26"/>
  <c r="R322" i="26" s="1"/>
  <c r="AO323" i="26"/>
  <c r="R323" i="26" s="1"/>
  <c r="AO324" i="26"/>
  <c r="R324" i="26" s="1"/>
  <c r="AO325" i="26"/>
  <c r="R325" i="26" s="1"/>
  <c r="AO326" i="26"/>
  <c r="R326" i="26" s="1"/>
  <c r="AO327" i="26"/>
  <c r="R327" i="26" s="1"/>
  <c r="AO328" i="26"/>
  <c r="R328" i="26" s="1"/>
  <c r="AO329" i="26"/>
  <c r="R329" i="26" s="1"/>
  <c r="AO330" i="26"/>
  <c r="R330" i="26" s="1"/>
  <c r="AO331" i="26"/>
  <c r="R331" i="26" s="1"/>
  <c r="AO332" i="26"/>
  <c r="R332" i="26" s="1"/>
  <c r="AO333" i="26"/>
  <c r="R333" i="26" s="1"/>
  <c r="AO334" i="26"/>
  <c r="R334" i="26" s="1"/>
  <c r="AO335" i="26"/>
  <c r="R335" i="26" s="1"/>
  <c r="AO336" i="26"/>
  <c r="R336" i="26" s="1"/>
  <c r="AO337" i="26"/>
  <c r="R337" i="26" s="1"/>
  <c r="AO338" i="26"/>
  <c r="R338" i="26" s="1"/>
  <c r="AO339" i="26"/>
  <c r="R339" i="26" s="1"/>
  <c r="AO340" i="26"/>
  <c r="R340" i="26" s="1"/>
  <c r="AO341" i="26"/>
  <c r="R341" i="26" s="1"/>
  <c r="AO342" i="26"/>
  <c r="R342" i="26" s="1"/>
  <c r="AO343" i="26"/>
  <c r="R343" i="26" s="1"/>
  <c r="AO344" i="26"/>
  <c r="R344" i="26" s="1"/>
  <c r="AO345" i="26"/>
  <c r="R345" i="26" s="1"/>
  <c r="AO346" i="26"/>
  <c r="R346" i="26" s="1"/>
  <c r="AO347" i="26"/>
  <c r="R347" i="26" s="1"/>
  <c r="AO348" i="26"/>
  <c r="R348" i="26" s="1"/>
  <c r="AO349" i="26"/>
  <c r="R349" i="26" s="1"/>
  <c r="AO350" i="26"/>
  <c r="R350" i="26" s="1"/>
  <c r="AO351" i="26"/>
  <c r="R351" i="26" s="1"/>
  <c r="AO352" i="26"/>
  <c r="R352" i="26" s="1"/>
  <c r="AO353" i="26"/>
  <c r="R353" i="26" s="1"/>
  <c r="AO354" i="26"/>
  <c r="R354" i="26" s="1"/>
  <c r="AO355" i="26"/>
  <c r="R355" i="26" s="1"/>
  <c r="AO356" i="26"/>
  <c r="R356" i="26" s="1"/>
  <c r="AO357" i="26"/>
  <c r="R357" i="26" s="1"/>
  <c r="AO358" i="26"/>
  <c r="R358" i="26" s="1"/>
  <c r="AO359" i="26"/>
  <c r="R359" i="26" s="1"/>
  <c r="AO360" i="26"/>
  <c r="R360" i="26" s="1"/>
  <c r="AO361" i="26"/>
  <c r="R361" i="26" s="1"/>
  <c r="AO362" i="26"/>
  <c r="R362" i="26" s="1"/>
  <c r="AO363" i="26"/>
  <c r="R363" i="26" s="1"/>
  <c r="AO364" i="26"/>
  <c r="R364" i="26" s="1"/>
  <c r="AO365" i="26"/>
  <c r="R365" i="26" s="1"/>
  <c r="AO366" i="26"/>
  <c r="R366" i="26" s="1"/>
  <c r="AO367" i="26"/>
  <c r="R367" i="26" s="1"/>
  <c r="AO368" i="26"/>
  <c r="R368" i="26" s="1"/>
  <c r="AO369" i="26"/>
  <c r="R369" i="26" s="1"/>
  <c r="AO370" i="26"/>
  <c r="R370" i="26" s="1"/>
  <c r="AO371" i="26"/>
  <c r="R371" i="26" s="1"/>
  <c r="AO372" i="26"/>
  <c r="R372" i="26" s="1"/>
  <c r="AO373" i="26"/>
  <c r="R373" i="26" s="1"/>
  <c r="AO374" i="26"/>
  <c r="R374" i="26" s="1"/>
  <c r="AO375" i="26"/>
  <c r="R375" i="26" s="1"/>
  <c r="AO376" i="26"/>
  <c r="R376" i="26" s="1"/>
  <c r="AO377" i="26"/>
  <c r="R377" i="26" s="1"/>
  <c r="AO378" i="26"/>
  <c r="R378" i="26" s="1"/>
  <c r="AO379" i="26"/>
  <c r="R379" i="26" s="1"/>
  <c r="AO380" i="26"/>
  <c r="R380" i="26" s="1"/>
  <c r="AO381" i="26"/>
  <c r="R381" i="26" s="1"/>
  <c r="AO382" i="26"/>
  <c r="R382" i="26" s="1"/>
  <c r="AO383" i="26"/>
  <c r="R383" i="26" s="1"/>
  <c r="AO384" i="26"/>
  <c r="R384" i="26" s="1"/>
  <c r="AO385" i="26"/>
  <c r="R385" i="26" s="1"/>
  <c r="AO386" i="26"/>
  <c r="R386" i="26" s="1"/>
  <c r="AO387" i="26"/>
  <c r="R387" i="26" s="1"/>
  <c r="AO388" i="26"/>
  <c r="R388" i="26" s="1"/>
  <c r="AO389" i="26"/>
  <c r="R389" i="26" s="1"/>
  <c r="AO390" i="26"/>
  <c r="R390" i="26" s="1"/>
  <c r="AO391" i="26"/>
  <c r="R391" i="26" s="1"/>
  <c r="AO392" i="26"/>
  <c r="R392" i="26" s="1"/>
  <c r="AO393" i="26"/>
  <c r="R393" i="26" s="1"/>
  <c r="AO394" i="26"/>
  <c r="R394" i="26" s="1"/>
  <c r="AO395" i="26"/>
  <c r="R395" i="26" s="1"/>
  <c r="AO396" i="26"/>
  <c r="R396" i="26" s="1"/>
  <c r="AO397" i="26"/>
  <c r="R397" i="26" s="1"/>
  <c r="AO398" i="26"/>
  <c r="R398" i="26" s="1"/>
  <c r="AO399" i="26"/>
  <c r="R399" i="26" s="1"/>
  <c r="AO5" i="26"/>
  <c r="R5" i="26" s="1"/>
  <c r="AL400" i="26"/>
  <c r="AM400" i="26"/>
  <c r="AI397" i="26" l="1"/>
  <c r="DU269" i="1" s="1"/>
  <c r="DV269" i="1" s="1"/>
  <c r="AI393" i="26"/>
  <c r="DU218" i="1" s="1"/>
  <c r="DV218" i="1" s="1"/>
  <c r="AI389" i="26"/>
  <c r="DU220" i="1" s="1"/>
  <c r="DV220" i="1" s="1"/>
  <c r="AI385" i="26"/>
  <c r="DU226" i="1" s="1"/>
  <c r="DV226" i="1" s="1"/>
  <c r="AI381" i="26"/>
  <c r="DU156" i="1" s="1"/>
  <c r="DV156" i="1" s="1"/>
  <c r="AI377" i="26"/>
  <c r="DU159" i="1" s="1"/>
  <c r="DV159" i="1" s="1"/>
  <c r="AI373" i="26"/>
  <c r="DU154" i="1" s="1"/>
  <c r="DV154" i="1" s="1"/>
  <c r="AI369" i="26"/>
  <c r="DU150" i="1" s="1"/>
  <c r="DV150" i="1" s="1"/>
  <c r="AI365" i="26"/>
  <c r="DU145" i="1" s="1"/>
  <c r="DV145" i="1" s="1"/>
  <c r="AI361" i="26"/>
  <c r="DU140" i="1" s="1"/>
  <c r="DV140" i="1" s="1"/>
  <c r="AI357" i="26"/>
  <c r="DU136" i="1" s="1"/>
  <c r="DV136" i="1" s="1"/>
  <c r="AI353" i="26"/>
  <c r="DU28" i="1" s="1"/>
  <c r="DV28" i="1" s="1"/>
  <c r="AI349" i="26"/>
  <c r="DU25" i="1" s="1"/>
  <c r="DV25" i="1" s="1"/>
  <c r="AI345" i="26"/>
  <c r="DU26" i="1" s="1"/>
  <c r="DV26" i="1" s="1"/>
  <c r="AI341" i="26"/>
  <c r="DU48" i="1" s="1"/>
  <c r="DV48" i="1" s="1"/>
  <c r="AI337" i="26"/>
  <c r="DU43" i="1" s="1"/>
  <c r="DV43" i="1" s="1"/>
  <c r="AI333" i="26"/>
  <c r="DU36" i="1" s="1"/>
  <c r="DV36" i="1" s="1"/>
  <c r="AI329" i="26"/>
  <c r="AI325" i="26"/>
  <c r="DU19" i="1" s="1"/>
  <c r="DV19" i="1" s="1"/>
  <c r="AI321" i="26"/>
  <c r="DU210" i="1" s="1"/>
  <c r="DV210" i="1" s="1"/>
  <c r="AI317" i="26"/>
  <c r="DU208" i="1" s="1"/>
  <c r="DV208" i="1" s="1"/>
  <c r="AI313" i="26"/>
  <c r="DU216" i="1" s="1"/>
  <c r="DV216" i="1" s="1"/>
  <c r="AI309" i="26"/>
  <c r="DU213" i="1" s="1"/>
  <c r="DV213" i="1" s="1"/>
  <c r="AI305" i="26"/>
  <c r="DU202" i="1" s="1"/>
  <c r="DV202" i="1" s="1"/>
  <c r="AI301" i="26"/>
  <c r="AI297" i="26"/>
  <c r="DU192" i="1" s="1"/>
  <c r="DV192" i="1" s="1"/>
  <c r="AI293" i="26"/>
  <c r="DU186" i="1" s="1"/>
  <c r="DV186" i="1" s="1"/>
  <c r="AI289" i="26"/>
  <c r="DU193" i="1" s="1"/>
  <c r="DV193" i="1" s="1"/>
  <c r="AI285" i="26"/>
  <c r="DU357" i="1" s="1"/>
  <c r="DV357" i="1" s="1"/>
  <c r="AI281" i="26"/>
  <c r="DU353" i="1" s="1"/>
  <c r="DV353" i="1" s="1"/>
  <c r="AI277" i="26"/>
  <c r="DU349" i="1" s="1"/>
  <c r="DV349" i="1" s="1"/>
  <c r="AI273" i="26"/>
  <c r="DU345" i="1" s="1"/>
  <c r="DV345" i="1" s="1"/>
  <c r="AI269" i="26"/>
  <c r="DU341" i="1" s="1"/>
  <c r="DV341" i="1" s="1"/>
  <c r="AI265" i="26"/>
  <c r="DU337" i="1" s="1"/>
  <c r="DV337" i="1" s="1"/>
  <c r="AI261" i="26"/>
  <c r="DU332" i="1" s="1"/>
  <c r="DV332" i="1" s="1"/>
  <c r="AI257" i="26"/>
  <c r="DU327" i="1" s="1"/>
  <c r="DV327" i="1" s="1"/>
  <c r="AI253" i="26"/>
  <c r="DU323" i="1" s="1"/>
  <c r="DV323" i="1" s="1"/>
  <c r="AI249" i="26"/>
  <c r="DU364" i="1" s="1"/>
  <c r="DV364" i="1" s="1"/>
  <c r="AI245" i="26"/>
  <c r="DU360" i="1" s="1"/>
  <c r="DV360" i="1" s="1"/>
  <c r="AI241" i="26"/>
  <c r="DU310" i="1" s="1"/>
  <c r="DV310" i="1" s="1"/>
  <c r="AI237" i="26"/>
  <c r="DU318" i="1" s="1"/>
  <c r="DV318" i="1" s="1"/>
  <c r="AI233" i="26"/>
  <c r="DU312" i="1" s="1"/>
  <c r="DV312" i="1" s="1"/>
  <c r="AI229" i="26"/>
  <c r="DU278" i="1" s="1"/>
  <c r="DV278" i="1" s="1"/>
  <c r="AI225" i="26"/>
  <c r="DU276" i="1" s="1"/>
  <c r="DV276" i="1" s="1"/>
  <c r="AI221" i="26"/>
  <c r="AI217" i="26"/>
  <c r="DU284" i="1" s="1"/>
  <c r="DV284" i="1" s="1"/>
  <c r="AI213" i="26"/>
  <c r="DU282" i="1" s="1"/>
  <c r="DV282" i="1" s="1"/>
  <c r="AI209" i="26"/>
  <c r="DU299" i="1" s="1"/>
  <c r="DV299" i="1" s="1"/>
  <c r="AI205" i="26"/>
  <c r="DU294" i="1" s="1"/>
  <c r="DV294" i="1" s="1"/>
  <c r="AI201" i="26"/>
  <c r="DU289" i="1" s="1"/>
  <c r="DV289" i="1" s="1"/>
  <c r="AI197" i="26"/>
  <c r="DU285" i="1" s="1"/>
  <c r="DV285" i="1" s="1"/>
  <c r="AI193" i="26"/>
  <c r="DU133" i="1" s="1"/>
  <c r="DV133" i="1" s="1"/>
  <c r="AI189" i="26"/>
  <c r="DU179" i="1" s="1"/>
  <c r="DV179" i="1" s="1"/>
  <c r="AI185" i="26"/>
  <c r="DU177" i="1" s="1"/>
  <c r="DV177" i="1" s="1"/>
  <c r="AI181" i="26"/>
  <c r="DU254" i="1" s="1"/>
  <c r="DV254" i="1" s="1"/>
  <c r="AI177" i="26"/>
  <c r="DU10" i="1" s="1"/>
  <c r="DV10" i="1" s="1"/>
  <c r="AI173" i="26"/>
  <c r="DU268" i="1" s="1"/>
  <c r="DV268" i="1" s="1"/>
  <c r="AI169" i="26"/>
  <c r="DU266" i="1" s="1"/>
  <c r="DV266" i="1" s="1"/>
  <c r="AI165" i="26"/>
  <c r="DU261" i="1" s="1"/>
  <c r="DV261" i="1" s="1"/>
  <c r="AI161" i="26"/>
  <c r="AI157" i="26"/>
  <c r="DU237" i="1" s="1"/>
  <c r="DV237" i="1" s="1"/>
  <c r="AI153" i="26"/>
  <c r="DU246" i="1" s="1"/>
  <c r="DV246" i="1" s="1"/>
  <c r="AI149" i="26"/>
  <c r="DU245" i="1" s="1"/>
  <c r="DV245" i="1" s="1"/>
  <c r="AI145" i="26"/>
  <c r="DU241" i="1" s="1"/>
  <c r="DV241" i="1" s="1"/>
  <c r="AI141" i="26"/>
  <c r="DU306" i="1" s="1"/>
  <c r="DV306" i="1" s="1"/>
  <c r="AI137" i="26"/>
  <c r="DU12" i="1" s="1"/>
  <c r="DV12" i="1" s="1"/>
  <c r="AI133" i="26"/>
  <c r="DU181" i="1" s="1"/>
  <c r="DV181" i="1" s="1"/>
  <c r="AI129" i="26"/>
  <c r="DU130" i="1" s="1"/>
  <c r="DV130" i="1" s="1"/>
  <c r="AI125" i="26"/>
  <c r="AI121" i="26"/>
  <c r="DU231" i="1" s="1"/>
  <c r="DV231" i="1" s="1"/>
  <c r="AI117" i="26"/>
  <c r="DU83" i="1" s="1"/>
  <c r="DV83" i="1" s="1"/>
  <c r="AI113" i="26"/>
  <c r="DU77" i="1" s="1"/>
  <c r="DV77" i="1" s="1"/>
  <c r="AI109" i="26"/>
  <c r="AI105" i="26"/>
  <c r="DU93" i="1" s="1"/>
  <c r="DV93" i="1" s="1"/>
  <c r="AI101" i="26"/>
  <c r="DU107" i="1" s="1"/>
  <c r="DV107" i="1" s="1"/>
  <c r="AI97" i="26"/>
  <c r="DU113" i="1" s="1"/>
  <c r="DV113" i="1" s="1"/>
  <c r="AI93" i="26"/>
  <c r="DU109" i="1" s="1"/>
  <c r="DV109" i="1" s="1"/>
  <c r="AI89" i="26"/>
  <c r="DU104" i="1" s="1"/>
  <c r="DV104" i="1" s="1"/>
  <c r="AI85" i="26"/>
  <c r="DU100" i="1" s="1"/>
  <c r="DV100" i="1" s="1"/>
  <c r="AI81" i="26"/>
  <c r="DU89" i="1" s="1"/>
  <c r="DV89" i="1" s="1"/>
  <c r="AI77" i="26"/>
  <c r="DU90" i="1" s="1"/>
  <c r="DV90" i="1" s="1"/>
  <c r="AI73" i="26"/>
  <c r="AI69" i="26"/>
  <c r="DU81" i="1" s="1"/>
  <c r="DV81" i="1" s="1"/>
  <c r="AI61" i="26"/>
  <c r="DU123" i="1" s="1"/>
  <c r="DV123" i="1" s="1"/>
  <c r="AI57" i="26"/>
  <c r="DU124" i="1" s="1"/>
  <c r="DV124" i="1" s="1"/>
  <c r="AI53" i="26"/>
  <c r="DU164" i="1" s="1"/>
  <c r="DV164" i="1" s="1"/>
  <c r="AI45" i="26"/>
  <c r="DU162" i="1" s="1"/>
  <c r="DV162" i="1" s="1"/>
  <c r="AI41" i="26"/>
  <c r="DU71" i="1" s="1"/>
  <c r="DV71" i="1" s="1"/>
  <c r="AI33" i="26"/>
  <c r="DU64" i="1" s="1"/>
  <c r="DV64" i="1" s="1"/>
  <c r="AI29" i="26"/>
  <c r="AI25" i="26"/>
  <c r="DU55" i="1" s="1"/>
  <c r="DV55" i="1" s="1"/>
  <c r="AI21" i="26"/>
  <c r="DU171" i="1" s="1"/>
  <c r="DV171" i="1" s="1"/>
  <c r="AI17" i="26"/>
  <c r="DU167" i="1" s="1"/>
  <c r="DV167" i="1" s="1"/>
  <c r="AI13" i="26"/>
  <c r="DU18" i="1" s="1"/>
  <c r="DV18" i="1" s="1"/>
  <c r="AI9" i="26"/>
  <c r="DU127" i="1" s="1"/>
  <c r="DV127" i="1" s="1"/>
  <c r="AI5" i="26"/>
  <c r="AI396" i="26"/>
  <c r="DU174" i="1" s="1"/>
  <c r="DV174" i="1" s="1"/>
  <c r="AI392" i="26"/>
  <c r="DU224" i="1" s="1"/>
  <c r="DV224" i="1" s="1"/>
  <c r="AI388" i="26"/>
  <c r="DU219" i="1" s="1"/>
  <c r="DV219" i="1" s="1"/>
  <c r="AI384" i="26"/>
  <c r="DU225" i="1" s="1"/>
  <c r="DV225" i="1" s="1"/>
  <c r="AI380" i="26"/>
  <c r="DU148" i="1" s="1"/>
  <c r="DV148" i="1" s="1"/>
  <c r="AI376" i="26"/>
  <c r="DU158" i="1" s="1"/>
  <c r="DV158" i="1" s="1"/>
  <c r="AI372" i="26"/>
  <c r="DU153" i="1" s="1"/>
  <c r="DV153" i="1" s="1"/>
  <c r="AI368" i="26"/>
  <c r="DU149" i="1" s="1"/>
  <c r="DV149" i="1" s="1"/>
  <c r="AI364" i="26"/>
  <c r="DU144" i="1" s="1"/>
  <c r="DV144" i="1" s="1"/>
  <c r="AI360" i="26"/>
  <c r="DU139" i="1" s="1"/>
  <c r="DV139" i="1" s="1"/>
  <c r="AI356" i="26"/>
  <c r="DU134" i="1" s="1"/>
  <c r="DV134" i="1" s="1"/>
  <c r="AI352" i="26"/>
  <c r="DU31" i="1" s="1"/>
  <c r="DV31" i="1" s="1"/>
  <c r="AI348" i="26"/>
  <c r="DU46" i="1" s="1"/>
  <c r="DV46" i="1" s="1"/>
  <c r="AI344" i="26"/>
  <c r="DU24" i="1" s="1"/>
  <c r="DV24" i="1" s="1"/>
  <c r="AI340" i="26"/>
  <c r="DU47" i="1" s="1"/>
  <c r="DV47" i="1" s="1"/>
  <c r="AI336" i="26"/>
  <c r="DU42" i="1" s="1"/>
  <c r="DV42" i="1" s="1"/>
  <c r="AI332" i="26"/>
  <c r="DU35" i="1" s="1"/>
  <c r="DV35" i="1" s="1"/>
  <c r="AI328" i="26"/>
  <c r="DU32" i="1" s="1"/>
  <c r="DV32" i="1" s="1"/>
  <c r="AI324" i="26"/>
  <c r="DU40" i="1" s="1"/>
  <c r="DV40" i="1" s="1"/>
  <c r="AI320" i="26"/>
  <c r="DU206" i="1" s="1"/>
  <c r="DV206" i="1" s="1"/>
  <c r="AI316" i="26"/>
  <c r="DU204" i="1" s="1"/>
  <c r="DV204" i="1" s="1"/>
  <c r="AI312" i="26"/>
  <c r="DU215" i="1" s="1"/>
  <c r="DV215" i="1" s="1"/>
  <c r="AI308" i="26"/>
  <c r="DU212" i="1" s="1"/>
  <c r="DV212" i="1" s="1"/>
  <c r="AI304" i="26"/>
  <c r="DU200" i="1" s="1"/>
  <c r="DV200" i="1" s="1"/>
  <c r="AI300" i="26"/>
  <c r="DU196" i="1" s="1"/>
  <c r="DV196" i="1" s="1"/>
  <c r="AI296" i="26"/>
  <c r="DU191" i="1" s="1"/>
  <c r="DV191" i="1" s="1"/>
  <c r="AI292" i="26"/>
  <c r="DU207" i="1" s="1"/>
  <c r="DV207" i="1" s="1"/>
  <c r="AI288" i="26"/>
  <c r="DU334" i="1" s="1"/>
  <c r="DV334" i="1" s="1"/>
  <c r="AI284" i="26"/>
  <c r="DU356" i="1" s="1"/>
  <c r="DV356" i="1" s="1"/>
  <c r="AI280" i="26"/>
  <c r="DU352" i="1" s="1"/>
  <c r="DV352" i="1" s="1"/>
  <c r="AI276" i="26"/>
  <c r="DU348" i="1" s="1"/>
  <c r="DV348" i="1" s="1"/>
  <c r="AI272" i="26"/>
  <c r="DU344" i="1" s="1"/>
  <c r="DV344" i="1" s="1"/>
  <c r="AI268" i="26"/>
  <c r="DU340" i="1" s="1"/>
  <c r="DV340" i="1" s="1"/>
  <c r="AI264" i="26"/>
  <c r="DU336" i="1" s="1"/>
  <c r="DV336" i="1" s="1"/>
  <c r="AI260" i="26"/>
  <c r="DU331" i="1" s="1"/>
  <c r="DV331" i="1" s="1"/>
  <c r="AI256" i="26"/>
  <c r="DU326" i="1" s="1"/>
  <c r="DV326" i="1" s="1"/>
  <c r="AI252" i="26"/>
  <c r="DU367" i="1" s="1"/>
  <c r="DV367" i="1" s="1"/>
  <c r="AI248" i="26"/>
  <c r="DU363" i="1" s="1"/>
  <c r="DV363" i="1" s="1"/>
  <c r="AI244" i="26"/>
  <c r="DU321" i="1" s="1"/>
  <c r="DV321" i="1" s="1"/>
  <c r="AI240" i="26"/>
  <c r="DU322" i="1" s="1"/>
  <c r="DV322" i="1" s="1"/>
  <c r="AI236" i="26"/>
  <c r="DU317" i="1" s="1"/>
  <c r="DV317" i="1" s="1"/>
  <c r="AI232" i="26"/>
  <c r="DU311" i="1" s="1"/>
  <c r="DV311" i="1" s="1"/>
  <c r="AI228" i="26"/>
  <c r="AI224" i="26"/>
  <c r="DU275" i="1" s="1"/>
  <c r="DV275" i="1" s="1"/>
  <c r="AI220" i="26"/>
  <c r="AI216" i="26"/>
  <c r="DU302" i="1" s="1"/>
  <c r="DV302" i="1" s="1"/>
  <c r="AI212" i="26"/>
  <c r="DU281" i="1" s="1"/>
  <c r="DV281" i="1" s="1"/>
  <c r="AI208" i="26"/>
  <c r="DU297" i="1" s="1"/>
  <c r="DV297" i="1" s="1"/>
  <c r="AI204" i="26"/>
  <c r="DU292" i="1" s="1"/>
  <c r="DV292" i="1" s="1"/>
  <c r="AI200" i="26"/>
  <c r="DU288" i="1" s="1"/>
  <c r="DV288" i="1" s="1"/>
  <c r="AI196" i="26"/>
  <c r="DU283" i="1" s="1"/>
  <c r="DV283" i="1" s="1"/>
  <c r="AI192" i="26"/>
  <c r="DU270" i="1" s="1"/>
  <c r="DV270" i="1" s="1"/>
  <c r="AI188" i="26"/>
  <c r="DU178" i="1" s="1"/>
  <c r="DV178" i="1" s="1"/>
  <c r="AI184" i="26"/>
  <c r="DU176" i="1" s="1"/>
  <c r="DV176" i="1" s="1"/>
  <c r="AI180" i="26"/>
  <c r="DU256" i="1" s="1"/>
  <c r="DV256" i="1" s="1"/>
  <c r="AI176" i="26"/>
  <c r="DU253" i="1" s="1"/>
  <c r="DV253" i="1" s="1"/>
  <c r="AI172" i="26"/>
  <c r="DU265" i="1" s="1"/>
  <c r="DV265" i="1" s="1"/>
  <c r="AI168" i="26"/>
  <c r="DU264" i="1" s="1"/>
  <c r="DV264" i="1" s="1"/>
  <c r="AI164" i="26"/>
  <c r="DU259" i="1" s="1"/>
  <c r="DV259" i="1" s="1"/>
  <c r="AI160" i="26"/>
  <c r="DU232" i="1" s="1"/>
  <c r="DV232" i="1" s="1"/>
  <c r="AI156" i="26"/>
  <c r="DU236" i="1" s="1"/>
  <c r="DV236" i="1" s="1"/>
  <c r="AI152" i="26"/>
  <c r="DU249" i="1" s="1"/>
  <c r="DV249" i="1" s="1"/>
  <c r="AI148" i="26"/>
  <c r="DU244" i="1" s="1"/>
  <c r="DV244" i="1" s="1"/>
  <c r="AI144" i="26"/>
  <c r="DU240" i="1" s="1"/>
  <c r="DV240" i="1" s="1"/>
  <c r="AI140" i="26"/>
  <c r="DU305" i="1" s="1"/>
  <c r="DV305" i="1" s="1"/>
  <c r="AI136" i="26"/>
  <c r="DU185" i="1" s="1"/>
  <c r="DV185" i="1" s="1"/>
  <c r="AI132" i="26"/>
  <c r="DU184" i="1" s="1"/>
  <c r="DV184" i="1" s="1"/>
  <c r="AI128" i="26"/>
  <c r="DU129" i="1" s="1"/>
  <c r="DV129" i="1" s="1"/>
  <c r="AI124" i="26"/>
  <c r="DU230" i="1" s="1"/>
  <c r="DV230" i="1" s="1"/>
  <c r="AI120" i="26"/>
  <c r="AI116" i="26"/>
  <c r="DU131" i="1" s="1"/>
  <c r="DV131" i="1" s="1"/>
  <c r="AI112" i="26"/>
  <c r="DU76" i="1" s="1"/>
  <c r="DV76" i="1" s="1"/>
  <c r="AI108" i="26"/>
  <c r="DU121" i="1" s="1"/>
  <c r="DV121" i="1" s="1"/>
  <c r="AI104" i="26"/>
  <c r="DU92" i="1" s="1"/>
  <c r="DV92" i="1" s="1"/>
  <c r="AI100" i="26"/>
  <c r="AI96" i="26"/>
  <c r="DU112" i="1" s="1"/>
  <c r="DV112" i="1" s="1"/>
  <c r="AI92" i="26"/>
  <c r="DU108" i="1" s="1"/>
  <c r="DV108" i="1" s="1"/>
  <c r="AI88" i="26"/>
  <c r="DU103" i="1" s="1"/>
  <c r="DV103" i="1" s="1"/>
  <c r="AI84" i="26"/>
  <c r="DU99" i="1" s="1"/>
  <c r="DV99" i="1" s="1"/>
  <c r="AI80" i="26"/>
  <c r="DU87" i="1" s="1"/>
  <c r="DV87" i="1" s="1"/>
  <c r="AI76" i="26"/>
  <c r="DU88" i="1" s="1"/>
  <c r="DV88" i="1" s="1"/>
  <c r="AI72" i="26"/>
  <c r="DU118" i="1" s="1"/>
  <c r="DV118" i="1" s="1"/>
  <c r="AI60" i="26"/>
  <c r="DU122" i="1" s="1"/>
  <c r="DV122" i="1" s="1"/>
  <c r="AI56" i="26"/>
  <c r="DU50" i="1" s="1"/>
  <c r="DV50" i="1" s="1"/>
  <c r="AI52" i="26"/>
  <c r="DU163" i="1" s="1"/>
  <c r="DV163" i="1" s="1"/>
  <c r="AI44" i="26"/>
  <c r="DU74" i="1" s="1"/>
  <c r="DV74" i="1" s="1"/>
  <c r="AI40" i="26"/>
  <c r="DU70" i="1" s="1"/>
  <c r="DV70" i="1" s="1"/>
  <c r="AI36" i="26"/>
  <c r="AI32" i="26"/>
  <c r="DU63" i="1" s="1"/>
  <c r="DV63" i="1" s="1"/>
  <c r="AI28" i="26"/>
  <c r="DU59" i="1" s="1"/>
  <c r="DV59" i="1" s="1"/>
  <c r="AI24" i="26"/>
  <c r="DU54" i="1" s="1"/>
  <c r="DV54" i="1" s="1"/>
  <c r="AI20" i="26"/>
  <c r="DU170" i="1" s="1"/>
  <c r="DV170" i="1" s="1"/>
  <c r="AI16" i="26"/>
  <c r="DU166" i="1" s="1"/>
  <c r="DV166" i="1" s="1"/>
  <c r="AI12" i="26"/>
  <c r="DU15" i="1" s="1"/>
  <c r="DV15" i="1" s="1"/>
  <c r="AI8" i="26"/>
  <c r="DU126" i="1" s="1"/>
  <c r="DV126" i="1" s="1"/>
  <c r="AI399" i="26"/>
  <c r="DU98" i="1" s="1"/>
  <c r="DV98" i="1" s="1"/>
  <c r="AI395" i="26"/>
  <c r="DU119" i="1" s="1"/>
  <c r="DV119" i="1" s="1"/>
  <c r="AI391" i="26"/>
  <c r="DU223" i="1" s="1"/>
  <c r="DV223" i="1" s="1"/>
  <c r="AI387" i="26"/>
  <c r="DU217" i="1" s="1"/>
  <c r="DV217" i="1" s="1"/>
  <c r="AI383" i="26"/>
  <c r="DU221" i="1" s="1"/>
  <c r="DV221" i="1" s="1"/>
  <c r="AI379" i="26"/>
  <c r="DU135" i="1" s="1"/>
  <c r="DV135" i="1" s="1"/>
  <c r="AI375" i="26"/>
  <c r="DU157" i="1" s="1"/>
  <c r="DV157" i="1" s="1"/>
  <c r="AI371" i="26"/>
  <c r="DU152" i="1" s="1"/>
  <c r="DV152" i="1" s="1"/>
  <c r="AI367" i="26"/>
  <c r="DU147" i="1" s="1"/>
  <c r="DV147" i="1" s="1"/>
  <c r="AI363" i="26"/>
  <c r="DU142" i="1" s="1"/>
  <c r="DV142" i="1" s="1"/>
  <c r="AI359" i="26"/>
  <c r="DU138" i="1" s="1"/>
  <c r="DV138" i="1" s="1"/>
  <c r="AI355" i="26"/>
  <c r="DU143" i="1" s="1"/>
  <c r="DV143" i="1" s="1"/>
  <c r="AI351" i="26"/>
  <c r="AI347" i="26"/>
  <c r="DU30" i="1" s="1"/>
  <c r="DV30" i="1" s="1"/>
  <c r="AI343" i="26"/>
  <c r="DU23" i="1" s="1"/>
  <c r="DV23" i="1" s="1"/>
  <c r="AI339" i="26"/>
  <c r="DU45" i="1" s="1"/>
  <c r="DV45" i="1" s="1"/>
  <c r="AI335" i="26"/>
  <c r="DU41" i="1" s="1"/>
  <c r="DV41" i="1" s="1"/>
  <c r="AI331" i="26"/>
  <c r="DU34" i="1" s="1"/>
  <c r="DV34" i="1" s="1"/>
  <c r="AI327" i="26"/>
  <c r="DU22" i="1" s="1"/>
  <c r="DV22" i="1" s="1"/>
  <c r="AI323" i="26"/>
  <c r="DU39" i="1" s="1"/>
  <c r="DV39" i="1" s="1"/>
  <c r="AI319" i="26"/>
  <c r="DU209" i="1" s="1"/>
  <c r="DV209" i="1" s="1"/>
  <c r="AI315" i="26"/>
  <c r="DU188" i="1" s="1"/>
  <c r="DV188" i="1" s="1"/>
  <c r="AI311" i="26"/>
  <c r="DU214" i="1" s="1"/>
  <c r="DV214" i="1" s="1"/>
  <c r="AI307" i="26"/>
  <c r="DU211" i="1" s="1"/>
  <c r="DV211" i="1" s="1"/>
  <c r="AI303" i="26"/>
  <c r="DU198" i="1" s="1"/>
  <c r="DV198" i="1" s="1"/>
  <c r="AI299" i="26"/>
  <c r="DU195" i="1" s="1"/>
  <c r="DV195" i="1" s="1"/>
  <c r="AI295" i="26"/>
  <c r="DU190" i="1" s="1"/>
  <c r="DV190" i="1" s="1"/>
  <c r="AI291" i="26"/>
  <c r="DU201" i="1" s="1"/>
  <c r="DV201" i="1" s="1"/>
  <c r="AI287" i="26"/>
  <c r="DU359" i="1" s="1"/>
  <c r="DV359" i="1" s="1"/>
  <c r="AI283" i="26"/>
  <c r="DU355" i="1" s="1"/>
  <c r="DV355" i="1" s="1"/>
  <c r="AI279" i="26"/>
  <c r="DU351" i="1" s="1"/>
  <c r="DV351" i="1" s="1"/>
  <c r="AI275" i="26"/>
  <c r="DU347" i="1" s="1"/>
  <c r="DV347" i="1" s="1"/>
  <c r="AI271" i="26"/>
  <c r="DU343" i="1" s="1"/>
  <c r="DV343" i="1" s="1"/>
  <c r="AI267" i="26"/>
  <c r="DU339" i="1" s="1"/>
  <c r="DV339" i="1" s="1"/>
  <c r="AI263" i="26"/>
  <c r="DU335" i="1" s="1"/>
  <c r="DV335" i="1" s="1"/>
  <c r="AI259" i="26"/>
  <c r="DU330" i="1" s="1"/>
  <c r="DV330" i="1" s="1"/>
  <c r="AI255" i="26"/>
  <c r="DU325" i="1" s="1"/>
  <c r="DV325" i="1" s="1"/>
  <c r="AI251" i="26"/>
  <c r="DU366" i="1" s="1"/>
  <c r="DV366" i="1" s="1"/>
  <c r="AI247" i="26"/>
  <c r="DU362" i="1" s="1"/>
  <c r="DV362" i="1" s="1"/>
  <c r="AI243" i="26"/>
  <c r="DU316" i="1" s="1"/>
  <c r="DV316" i="1" s="1"/>
  <c r="AI239" i="26"/>
  <c r="DU320" i="1" s="1"/>
  <c r="DV320" i="1" s="1"/>
  <c r="AI235" i="26"/>
  <c r="DU314" i="1" s="1"/>
  <c r="DV314" i="1" s="1"/>
  <c r="AI231" i="26"/>
  <c r="DU309" i="1" s="1"/>
  <c r="DV309" i="1" s="1"/>
  <c r="AI227" i="26"/>
  <c r="DU279" i="1" s="1"/>
  <c r="DV279" i="1" s="1"/>
  <c r="AI223" i="26"/>
  <c r="DU274" i="1" s="1"/>
  <c r="DV274" i="1" s="1"/>
  <c r="AI219" i="26"/>
  <c r="DU272" i="1" s="1"/>
  <c r="DV272" i="1" s="1"/>
  <c r="AI215" i="26"/>
  <c r="DU298" i="1" s="1"/>
  <c r="DV298" i="1" s="1"/>
  <c r="AI211" i="26"/>
  <c r="DU301" i="1" s="1"/>
  <c r="DV301" i="1" s="1"/>
  <c r="AI207" i="26"/>
  <c r="DU296" i="1" s="1"/>
  <c r="DV296" i="1" s="1"/>
  <c r="AI203" i="26"/>
  <c r="DU291" i="1" s="1"/>
  <c r="DV291" i="1" s="1"/>
  <c r="AI199" i="26"/>
  <c r="DU287" i="1" s="1"/>
  <c r="DV287" i="1" s="1"/>
  <c r="AI195" i="26"/>
  <c r="DU280" i="1" s="1"/>
  <c r="DV280" i="1" s="1"/>
  <c r="AI191" i="26"/>
  <c r="DU14" i="1" s="1"/>
  <c r="DV14" i="1" s="1"/>
  <c r="AI187" i="26"/>
  <c r="DU175" i="1" s="1"/>
  <c r="DV175" i="1" s="1"/>
  <c r="AI183" i="26"/>
  <c r="DU258" i="1" s="1"/>
  <c r="DV258" i="1" s="1"/>
  <c r="AI179" i="26"/>
  <c r="DU255" i="1" s="1"/>
  <c r="DV255" i="1" s="1"/>
  <c r="AI175" i="26"/>
  <c r="DU252" i="1" s="1"/>
  <c r="DV252" i="1" s="1"/>
  <c r="AI171" i="26"/>
  <c r="DU260" i="1" s="1"/>
  <c r="DV260" i="1" s="1"/>
  <c r="AI167" i="26"/>
  <c r="DU263" i="1" s="1"/>
  <c r="DV263" i="1" s="1"/>
  <c r="AI163" i="26"/>
  <c r="DU234" i="1" s="1"/>
  <c r="DV234" i="1" s="1"/>
  <c r="AI159" i="26"/>
  <c r="DU239" i="1" s="1"/>
  <c r="DV239" i="1" s="1"/>
  <c r="AI155" i="26"/>
  <c r="DU235" i="1" s="1"/>
  <c r="DV235" i="1" s="1"/>
  <c r="AI151" i="26"/>
  <c r="DU248" i="1" s="1"/>
  <c r="DV248" i="1" s="1"/>
  <c r="AI147" i="26"/>
  <c r="DU243" i="1" s="1"/>
  <c r="DV243" i="1" s="1"/>
  <c r="AI143" i="26"/>
  <c r="DU304" i="1" s="1"/>
  <c r="DV304" i="1" s="1"/>
  <c r="AI139" i="26"/>
  <c r="AI135" i="26"/>
  <c r="AI131" i="26"/>
  <c r="DU183" i="1" s="1"/>
  <c r="DV183" i="1" s="1"/>
  <c r="AI127" i="26"/>
  <c r="DU128" i="1" s="1"/>
  <c r="DV128" i="1" s="1"/>
  <c r="AI123" i="26"/>
  <c r="DU229" i="1" s="1"/>
  <c r="DV229" i="1" s="1"/>
  <c r="AI119" i="26"/>
  <c r="DU85" i="1" s="1"/>
  <c r="DV85" i="1" s="1"/>
  <c r="AI115" i="26"/>
  <c r="AI111" i="26"/>
  <c r="AI107" i="26"/>
  <c r="DU120" i="1" s="1"/>
  <c r="DV120" i="1" s="1"/>
  <c r="AI103" i="26"/>
  <c r="DU96" i="1" s="1"/>
  <c r="DV96" i="1" s="1"/>
  <c r="AI99" i="26"/>
  <c r="DU115" i="1" s="1"/>
  <c r="DV115" i="1" s="1"/>
  <c r="AI95" i="26"/>
  <c r="DU111" i="1" s="1"/>
  <c r="DV111" i="1" s="1"/>
  <c r="AI91" i="26"/>
  <c r="DU106" i="1" s="1"/>
  <c r="DV106" i="1" s="1"/>
  <c r="AI87" i="26"/>
  <c r="DU102" i="1" s="1"/>
  <c r="DV102" i="1" s="1"/>
  <c r="AI83" i="26"/>
  <c r="DU97" i="1" s="1"/>
  <c r="DV97" i="1" s="1"/>
  <c r="AI79" i="26"/>
  <c r="DU86" i="1" s="1"/>
  <c r="DV86" i="1" s="1"/>
  <c r="AI75" i="26"/>
  <c r="DU308" i="1" s="1"/>
  <c r="DV308" i="1" s="1"/>
  <c r="AI71" i="26"/>
  <c r="DU117" i="1" s="1"/>
  <c r="DV117" i="1" s="1"/>
  <c r="AI67" i="26"/>
  <c r="DU80" i="1" s="1"/>
  <c r="DV80" i="1" s="1"/>
  <c r="AI63" i="26"/>
  <c r="AI59" i="26"/>
  <c r="AI55" i="26"/>
  <c r="DU49" i="1" s="1"/>
  <c r="DV49" i="1" s="1"/>
  <c r="AI47" i="26"/>
  <c r="DU60" i="1" s="1"/>
  <c r="DV60" i="1" s="1"/>
  <c r="AI43" i="26"/>
  <c r="DU73" i="1" s="1"/>
  <c r="DV73" i="1" s="1"/>
  <c r="AI35" i="26"/>
  <c r="DU65" i="1" s="1"/>
  <c r="DV65" i="1" s="1"/>
  <c r="AI31" i="26"/>
  <c r="DU62" i="1" s="1"/>
  <c r="DV62" i="1" s="1"/>
  <c r="AI27" i="26"/>
  <c r="DU58" i="1" s="1"/>
  <c r="DV58" i="1" s="1"/>
  <c r="AI23" i="26"/>
  <c r="DU53" i="1" s="1"/>
  <c r="DV53" i="1" s="1"/>
  <c r="AI19" i="26"/>
  <c r="DU168" i="1" s="1"/>
  <c r="DV168" i="1" s="1"/>
  <c r="AI15" i="26"/>
  <c r="DU165" i="1" s="1"/>
  <c r="DV165" i="1" s="1"/>
  <c r="AI11" i="26"/>
  <c r="DU17" i="1" s="1"/>
  <c r="DV17" i="1" s="1"/>
  <c r="AI7" i="26"/>
  <c r="AI398" i="26"/>
  <c r="DU329" i="1" s="1"/>
  <c r="DV329" i="1" s="1"/>
  <c r="AI394" i="26"/>
  <c r="DU9" i="1" s="1"/>
  <c r="AI390" i="26"/>
  <c r="DU222" i="1" s="1"/>
  <c r="DV222" i="1" s="1"/>
  <c r="AI386" i="26"/>
  <c r="DU227" i="1" s="1"/>
  <c r="DV227" i="1" s="1"/>
  <c r="AI382" i="26"/>
  <c r="DU160" i="1" s="1"/>
  <c r="DV160" i="1" s="1"/>
  <c r="AI378" i="26"/>
  <c r="DU161" i="1" s="1"/>
  <c r="DV161" i="1" s="1"/>
  <c r="AI374" i="26"/>
  <c r="DU155" i="1" s="1"/>
  <c r="DV155" i="1" s="1"/>
  <c r="AI370" i="26"/>
  <c r="DU151" i="1" s="1"/>
  <c r="DV151" i="1" s="1"/>
  <c r="AI366" i="26"/>
  <c r="DU146" i="1" s="1"/>
  <c r="DV146" i="1" s="1"/>
  <c r="AI362" i="26"/>
  <c r="DU141" i="1" s="1"/>
  <c r="DV141" i="1" s="1"/>
  <c r="AI358" i="26"/>
  <c r="DU137" i="1" s="1"/>
  <c r="DV137" i="1" s="1"/>
  <c r="AI354" i="26"/>
  <c r="AI350" i="26"/>
  <c r="DU27" i="1" s="1"/>
  <c r="DV27" i="1" s="1"/>
  <c r="AI346" i="26"/>
  <c r="DU29" i="1" s="1"/>
  <c r="DV29" i="1" s="1"/>
  <c r="AI342" i="26"/>
  <c r="DU20" i="1" s="1"/>
  <c r="DV20" i="1" s="1"/>
  <c r="AI338" i="26"/>
  <c r="DU44" i="1" s="1"/>
  <c r="DV44" i="1" s="1"/>
  <c r="AI334" i="26"/>
  <c r="DU37" i="1" s="1"/>
  <c r="DV37" i="1" s="1"/>
  <c r="AI330" i="26"/>
  <c r="DU33" i="1" s="1"/>
  <c r="DV33" i="1" s="1"/>
  <c r="AI326" i="26"/>
  <c r="DU21" i="1" s="1"/>
  <c r="DV21" i="1" s="1"/>
  <c r="AI322" i="26"/>
  <c r="DU38" i="1" s="1"/>
  <c r="DV38" i="1" s="1"/>
  <c r="AI318" i="26"/>
  <c r="DU205" i="1" s="1"/>
  <c r="DV205" i="1" s="1"/>
  <c r="AI314" i="26"/>
  <c r="DU187" i="1" s="1"/>
  <c r="DV187" i="1" s="1"/>
  <c r="AI310" i="26"/>
  <c r="AI306" i="26"/>
  <c r="DU203" i="1" s="1"/>
  <c r="DV203" i="1" s="1"/>
  <c r="AI302" i="26"/>
  <c r="DU197" i="1" s="1"/>
  <c r="DV197" i="1" s="1"/>
  <c r="AI298" i="26"/>
  <c r="DU194" i="1" s="1"/>
  <c r="DV194" i="1" s="1"/>
  <c r="AI294" i="26"/>
  <c r="DU189" i="1" s="1"/>
  <c r="DV189" i="1" s="1"/>
  <c r="AI290" i="26"/>
  <c r="DU199" i="1" s="1"/>
  <c r="DV199" i="1" s="1"/>
  <c r="AI286" i="26"/>
  <c r="DU358" i="1" s="1"/>
  <c r="DV358" i="1" s="1"/>
  <c r="AI282" i="26"/>
  <c r="DU354" i="1" s="1"/>
  <c r="DV354" i="1" s="1"/>
  <c r="AI278" i="26"/>
  <c r="DU350" i="1" s="1"/>
  <c r="DV350" i="1" s="1"/>
  <c r="AI274" i="26"/>
  <c r="DU346" i="1" s="1"/>
  <c r="DV346" i="1" s="1"/>
  <c r="AI270" i="26"/>
  <c r="DU342" i="1" s="1"/>
  <c r="DV342" i="1" s="1"/>
  <c r="AI266" i="26"/>
  <c r="DU338" i="1" s="1"/>
  <c r="DV338" i="1" s="1"/>
  <c r="AI262" i="26"/>
  <c r="DU333" i="1" s="1"/>
  <c r="DV333" i="1" s="1"/>
  <c r="AI258" i="26"/>
  <c r="DU328" i="1" s="1"/>
  <c r="DV328" i="1" s="1"/>
  <c r="AI254" i="26"/>
  <c r="DU324" i="1" s="1"/>
  <c r="DV324" i="1" s="1"/>
  <c r="AI250" i="26"/>
  <c r="DU365" i="1" s="1"/>
  <c r="DV365" i="1" s="1"/>
  <c r="AI246" i="26"/>
  <c r="DU361" i="1" s="1"/>
  <c r="DV361" i="1" s="1"/>
  <c r="AI242" i="26"/>
  <c r="DU315" i="1" s="1"/>
  <c r="DV315" i="1" s="1"/>
  <c r="AI238" i="26"/>
  <c r="DU319" i="1" s="1"/>
  <c r="DV319" i="1" s="1"/>
  <c r="AI234" i="26"/>
  <c r="DU313" i="1" s="1"/>
  <c r="DV313" i="1" s="1"/>
  <c r="AI230" i="26"/>
  <c r="AI226" i="26"/>
  <c r="DU277" i="1" s="1"/>
  <c r="DV277" i="1" s="1"/>
  <c r="AI222" i="26"/>
  <c r="DU273" i="1" s="1"/>
  <c r="DV273" i="1" s="1"/>
  <c r="AI218" i="26"/>
  <c r="DU271" i="1" s="1"/>
  <c r="DV271" i="1" s="1"/>
  <c r="AI214" i="26"/>
  <c r="DU293" i="1" s="1"/>
  <c r="DV293" i="1" s="1"/>
  <c r="AI210" i="26"/>
  <c r="DU300" i="1" s="1"/>
  <c r="DV300" i="1" s="1"/>
  <c r="AI206" i="26"/>
  <c r="DU295" i="1" s="1"/>
  <c r="DV295" i="1" s="1"/>
  <c r="AI202" i="26"/>
  <c r="DU290" i="1" s="1"/>
  <c r="DV290" i="1" s="1"/>
  <c r="AI198" i="26"/>
  <c r="DU286" i="1" s="1"/>
  <c r="DV286" i="1" s="1"/>
  <c r="AI190" i="26"/>
  <c r="DU173" i="1" s="1"/>
  <c r="DV173" i="1" s="1"/>
  <c r="AI186" i="26"/>
  <c r="DU180" i="1" s="1"/>
  <c r="DV180" i="1" s="1"/>
  <c r="AI182" i="26"/>
  <c r="DU257" i="1" s="1"/>
  <c r="DV257" i="1" s="1"/>
  <c r="AI178" i="26"/>
  <c r="DU11" i="1" s="1"/>
  <c r="DV11" i="1" s="1"/>
  <c r="AI174" i="26"/>
  <c r="DU251" i="1" s="1"/>
  <c r="DV251" i="1" s="1"/>
  <c r="AI170" i="26"/>
  <c r="DU267" i="1" s="1"/>
  <c r="DV267" i="1" s="1"/>
  <c r="AI166" i="26"/>
  <c r="DU262" i="1" s="1"/>
  <c r="DV262" i="1" s="1"/>
  <c r="AI162" i="26"/>
  <c r="DU233" i="1" s="1"/>
  <c r="DV233" i="1" s="1"/>
  <c r="AI158" i="26"/>
  <c r="DU238" i="1" s="1"/>
  <c r="DV238" i="1" s="1"/>
  <c r="AI154" i="26"/>
  <c r="DU250" i="1" s="1"/>
  <c r="DV250" i="1" s="1"/>
  <c r="AI150" i="26"/>
  <c r="DU247" i="1" s="1"/>
  <c r="DV247" i="1" s="1"/>
  <c r="AI146" i="26"/>
  <c r="DU242" i="1" s="1"/>
  <c r="DV242" i="1" s="1"/>
  <c r="AI142" i="26"/>
  <c r="DU307" i="1" s="1"/>
  <c r="DV307" i="1" s="1"/>
  <c r="AI138" i="26"/>
  <c r="DU13" i="1" s="1"/>
  <c r="DV13" i="1" s="1"/>
  <c r="AI134" i="26"/>
  <c r="DU182" i="1" s="1"/>
  <c r="DV182" i="1" s="1"/>
  <c r="AI130" i="26"/>
  <c r="AI126" i="26"/>
  <c r="DU132" i="1" s="1"/>
  <c r="DV132" i="1" s="1"/>
  <c r="AI122" i="26"/>
  <c r="DU228" i="1" s="1"/>
  <c r="DV228" i="1" s="1"/>
  <c r="AI118" i="26"/>
  <c r="DU84" i="1" s="1"/>
  <c r="DV84" i="1" s="1"/>
  <c r="AI114" i="26"/>
  <c r="DU75" i="1" s="1"/>
  <c r="DV75" i="1" s="1"/>
  <c r="AI110" i="26"/>
  <c r="AI106" i="26"/>
  <c r="DU95" i="1" s="1"/>
  <c r="DV95" i="1" s="1"/>
  <c r="AI102" i="26"/>
  <c r="DU94" i="1" s="1"/>
  <c r="DV94" i="1" s="1"/>
  <c r="AI98" i="26"/>
  <c r="DU114" i="1" s="1"/>
  <c r="DV114" i="1" s="1"/>
  <c r="AI94" i="26"/>
  <c r="DU110" i="1" s="1"/>
  <c r="DV110" i="1" s="1"/>
  <c r="AI90" i="26"/>
  <c r="DU105" i="1" s="1"/>
  <c r="DV105" i="1" s="1"/>
  <c r="AI86" i="26"/>
  <c r="DU101" i="1" s="1"/>
  <c r="DV101" i="1" s="1"/>
  <c r="AI82" i="26"/>
  <c r="AI78" i="26"/>
  <c r="DU91" i="1" s="1"/>
  <c r="DV91" i="1" s="1"/>
  <c r="AI74" i="26"/>
  <c r="DU116" i="1" s="1"/>
  <c r="DV116" i="1" s="1"/>
  <c r="AI70" i="26"/>
  <c r="DU82" i="1" s="1"/>
  <c r="DV82" i="1" s="1"/>
  <c r="AI66" i="26"/>
  <c r="DU79" i="1" s="1"/>
  <c r="DV79" i="1" s="1"/>
  <c r="AI62" i="26"/>
  <c r="AI58" i="26"/>
  <c r="DU125" i="1" s="1"/>
  <c r="DV125" i="1" s="1"/>
  <c r="AI54" i="26"/>
  <c r="DU51" i="1" s="1"/>
  <c r="DV51" i="1" s="1"/>
  <c r="AI46" i="26"/>
  <c r="DU57" i="1" s="1"/>
  <c r="DV57" i="1" s="1"/>
  <c r="AI42" i="26"/>
  <c r="DU72" i="1" s="1"/>
  <c r="DV72" i="1" s="1"/>
  <c r="AI38" i="26"/>
  <c r="DU67" i="1" s="1"/>
  <c r="DV67" i="1" s="1"/>
  <c r="AI34" i="26"/>
  <c r="AI30" i="26"/>
  <c r="DU61" i="1" s="1"/>
  <c r="DV61" i="1" s="1"/>
  <c r="AI26" i="26"/>
  <c r="DU56" i="1" s="1"/>
  <c r="DV56" i="1" s="1"/>
  <c r="AI22" i="26"/>
  <c r="DU52" i="1" s="1"/>
  <c r="DV52" i="1" s="1"/>
  <c r="AI18" i="26"/>
  <c r="DU169" i="1" s="1"/>
  <c r="DV169" i="1" s="1"/>
  <c r="AI14" i="26"/>
  <c r="DU172" i="1" s="1"/>
  <c r="DV172" i="1" s="1"/>
  <c r="AI10" i="26"/>
  <c r="DU16" i="1" s="1"/>
  <c r="DV16" i="1" s="1"/>
  <c r="AI6" i="26"/>
  <c r="AH5" i="26"/>
  <c r="AH396" i="26"/>
  <c r="AH392" i="26"/>
  <c r="AH388" i="26"/>
  <c r="AH384" i="26"/>
  <c r="AH380" i="26"/>
  <c r="AH376" i="26"/>
  <c r="AH372" i="26"/>
  <c r="AH368" i="26"/>
  <c r="AH364" i="26"/>
  <c r="AH360" i="26"/>
  <c r="AH356" i="26"/>
  <c r="AH352" i="26"/>
  <c r="AH348" i="26"/>
  <c r="AH344" i="26"/>
  <c r="AH340" i="26"/>
  <c r="AH336" i="26"/>
  <c r="AH332" i="26"/>
  <c r="AH328" i="26"/>
  <c r="AH324" i="26"/>
  <c r="AH320" i="26"/>
  <c r="AH316" i="26"/>
  <c r="AH312" i="26"/>
  <c r="AH308" i="26"/>
  <c r="AH304" i="26"/>
  <c r="AH300" i="26"/>
  <c r="AH296" i="26"/>
  <c r="AH292" i="26"/>
  <c r="AH288" i="26"/>
  <c r="AH284" i="26"/>
  <c r="AH280" i="26"/>
  <c r="AH276" i="26"/>
  <c r="AH272" i="26"/>
  <c r="AH268" i="26"/>
  <c r="AH264" i="26"/>
  <c r="AH260" i="26"/>
  <c r="AH256" i="26"/>
  <c r="AH252" i="26"/>
  <c r="AH248" i="26"/>
  <c r="AH244" i="26"/>
  <c r="AH240" i="26"/>
  <c r="AH236" i="26"/>
  <c r="AH232" i="26"/>
  <c r="AH228" i="26"/>
  <c r="AH224" i="26"/>
  <c r="AH220" i="26"/>
  <c r="AH216" i="26"/>
  <c r="AH212" i="26"/>
  <c r="AH208" i="26"/>
  <c r="AH204" i="26"/>
  <c r="AH200" i="26"/>
  <c r="AH196" i="26"/>
  <c r="AH192" i="26"/>
  <c r="AH188" i="26"/>
  <c r="AH184" i="26"/>
  <c r="AH180" i="26"/>
  <c r="AH176" i="26"/>
  <c r="AH172" i="26"/>
  <c r="AH168" i="26"/>
  <c r="AH164" i="26"/>
  <c r="AH160" i="26"/>
  <c r="AH156" i="26"/>
  <c r="AH152" i="26"/>
  <c r="AH148" i="26"/>
  <c r="AH144" i="26"/>
  <c r="AH140" i="26"/>
  <c r="AH136" i="26"/>
  <c r="AH132" i="26"/>
  <c r="AH128" i="26"/>
  <c r="AH124" i="26"/>
  <c r="AH120" i="26"/>
  <c r="AH116" i="26"/>
  <c r="AH112" i="26"/>
  <c r="AH108" i="26"/>
  <c r="AH104" i="26"/>
  <c r="AH100" i="26"/>
  <c r="AH96" i="26"/>
  <c r="AH92" i="26"/>
  <c r="AH88" i="26"/>
  <c r="AH84" i="26"/>
  <c r="AH80" i="26"/>
  <c r="AH76" i="26"/>
  <c r="AH72" i="26"/>
  <c r="AH60" i="26"/>
  <c r="AH56" i="26"/>
  <c r="AH52" i="26"/>
  <c r="AH44" i="26"/>
  <c r="AH40" i="26"/>
  <c r="AH36" i="26"/>
  <c r="AH32" i="26"/>
  <c r="AH28" i="26"/>
  <c r="AH24" i="26"/>
  <c r="AH20" i="26"/>
  <c r="AH16" i="26"/>
  <c r="AH12" i="26"/>
  <c r="AH8" i="26"/>
  <c r="L164" i="30"/>
  <c r="AH399" i="26"/>
  <c r="AH395" i="26"/>
  <c r="AH391" i="26"/>
  <c r="AH387" i="26"/>
  <c r="AH383" i="26"/>
  <c r="AH379" i="26"/>
  <c r="AH375" i="26"/>
  <c r="AH371" i="26"/>
  <c r="AH367" i="26"/>
  <c r="AH363" i="26"/>
  <c r="AH359" i="26"/>
  <c r="AH355" i="26"/>
  <c r="AH351" i="26"/>
  <c r="AH398" i="26"/>
  <c r="AH394" i="26"/>
  <c r="AH390" i="26"/>
  <c r="AH386" i="26"/>
  <c r="AH382" i="26"/>
  <c r="AH378" i="26"/>
  <c r="AH374" i="26"/>
  <c r="AH370" i="26"/>
  <c r="AH366" i="26"/>
  <c r="AH362" i="26"/>
  <c r="AH358" i="26"/>
  <c r="AH354" i="26"/>
  <c r="AH350" i="26"/>
  <c r="AH346" i="26"/>
  <c r="AH342" i="26"/>
  <c r="AH338" i="26"/>
  <c r="AH334" i="26"/>
  <c r="AH330" i="26"/>
  <c r="AH326" i="26"/>
  <c r="AH322" i="26"/>
  <c r="AH318" i="26"/>
  <c r="AH314" i="26"/>
  <c r="AH310" i="26"/>
  <c r="AH306" i="26"/>
  <c r="AH302" i="26"/>
  <c r="AH298" i="26"/>
  <c r="AH294" i="26"/>
  <c r="AH290" i="26"/>
  <c r="AH286" i="26"/>
  <c r="AH282" i="26"/>
  <c r="AH278" i="26"/>
  <c r="AH274" i="26"/>
  <c r="AH270" i="26"/>
  <c r="AH266" i="26"/>
  <c r="AH262" i="26"/>
  <c r="AH258" i="26"/>
  <c r="AH254" i="26"/>
  <c r="AH250" i="26"/>
  <c r="AH246" i="26"/>
  <c r="AH242" i="26"/>
  <c r="AH238" i="26"/>
  <c r="AH234" i="26"/>
  <c r="AH230" i="26"/>
  <c r="AH226" i="26"/>
  <c r="AH222" i="26"/>
  <c r="AH218" i="26"/>
  <c r="AH397" i="26"/>
  <c r="AH393" i="26"/>
  <c r="AH389" i="26"/>
  <c r="AH385" i="26"/>
  <c r="AH381" i="26"/>
  <c r="AH377" i="26"/>
  <c r="AH373" i="26"/>
  <c r="AH369" i="26"/>
  <c r="AH365" i="26"/>
  <c r="AH361" i="26"/>
  <c r="AH357" i="26"/>
  <c r="AH353" i="26"/>
  <c r="AH349" i="26"/>
  <c r="AH347" i="26"/>
  <c r="AH343" i="26"/>
  <c r="AH339" i="26"/>
  <c r="AH335" i="26"/>
  <c r="AH331" i="26"/>
  <c r="AH327" i="26"/>
  <c r="AH323" i="26"/>
  <c r="AH319" i="26"/>
  <c r="AH315" i="26"/>
  <c r="AH311" i="26"/>
  <c r="AH307" i="26"/>
  <c r="AH303" i="26"/>
  <c r="AH299" i="26"/>
  <c r="AH295" i="26"/>
  <c r="AH291" i="26"/>
  <c r="AH287" i="26"/>
  <c r="AH283" i="26"/>
  <c r="AH279" i="26"/>
  <c r="AH275" i="26"/>
  <c r="AH271" i="26"/>
  <c r="AH267" i="26"/>
  <c r="AH263" i="26"/>
  <c r="AH259" i="26"/>
  <c r="AH255" i="26"/>
  <c r="AH251" i="26"/>
  <c r="AH247" i="26"/>
  <c r="AH243" i="26"/>
  <c r="AH239" i="26"/>
  <c r="AH235" i="26"/>
  <c r="AH231" i="26"/>
  <c r="AH227" i="26"/>
  <c r="AH223" i="26"/>
  <c r="AH219" i="26"/>
  <c r="AH215" i="26"/>
  <c r="AH211" i="26"/>
  <c r="AH207" i="26"/>
  <c r="AH203" i="26"/>
  <c r="AH199" i="26"/>
  <c r="AH195" i="26"/>
  <c r="AH191" i="26"/>
  <c r="AH187" i="26"/>
  <c r="AH183" i="26"/>
  <c r="AH179" i="26"/>
  <c r="AH175" i="26"/>
  <c r="AH171" i="26"/>
  <c r="AH167" i="26"/>
  <c r="AH163" i="26"/>
  <c r="AH159" i="26"/>
  <c r="AH155" i="26"/>
  <c r="AH151" i="26"/>
  <c r="AH147" i="26"/>
  <c r="AH143" i="26"/>
  <c r="AH139" i="26"/>
  <c r="AH135" i="26"/>
  <c r="AH131" i="26"/>
  <c r="AH127" i="26"/>
  <c r="AH123" i="26"/>
  <c r="AH119" i="26"/>
  <c r="AH115" i="26"/>
  <c r="AH111" i="26"/>
  <c r="AH107" i="26"/>
  <c r="AH103" i="26"/>
  <c r="AH99" i="26"/>
  <c r="AH95" i="26"/>
  <c r="AH91" i="26"/>
  <c r="AH87" i="26"/>
  <c r="AH83" i="26"/>
  <c r="AH79" i="26"/>
  <c r="AH75" i="26"/>
  <c r="AH71" i="26"/>
  <c r="AH67" i="26"/>
  <c r="AH63" i="26"/>
  <c r="AH59" i="26"/>
  <c r="AH55" i="26"/>
  <c r="AH47" i="26"/>
  <c r="AH43" i="26"/>
  <c r="AH35" i="26"/>
  <c r="AH31" i="26"/>
  <c r="AH27" i="26"/>
  <c r="AH23" i="26"/>
  <c r="AH19" i="26"/>
  <c r="AH15" i="26"/>
  <c r="AH11" i="26"/>
  <c r="AH7" i="26"/>
  <c r="AH214" i="26"/>
  <c r="AH210" i="26"/>
  <c r="AH206" i="26"/>
  <c r="AH202" i="26"/>
  <c r="AH198" i="26"/>
  <c r="AH190" i="26"/>
  <c r="AH186" i="26"/>
  <c r="AH182" i="26"/>
  <c r="AH178" i="26"/>
  <c r="AH174" i="26"/>
  <c r="AH170" i="26"/>
  <c r="AH166" i="26"/>
  <c r="AH162" i="26"/>
  <c r="AH158" i="26"/>
  <c r="AH154" i="26"/>
  <c r="AH150" i="26"/>
  <c r="AH146" i="26"/>
  <c r="AH142" i="26"/>
  <c r="AH138" i="26"/>
  <c r="AH134" i="26"/>
  <c r="AH130" i="26"/>
  <c r="AH126" i="26"/>
  <c r="AH122" i="26"/>
  <c r="AH118" i="26"/>
  <c r="AH114" i="26"/>
  <c r="AH110" i="26"/>
  <c r="AH106" i="26"/>
  <c r="AH102" i="26"/>
  <c r="AH98" i="26"/>
  <c r="AH94" i="26"/>
  <c r="AH90" i="26"/>
  <c r="AH86" i="26"/>
  <c r="AH82" i="26"/>
  <c r="AH78" i="26"/>
  <c r="AH74" i="26"/>
  <c r="AH70" i="26"/>
  <c r="AH66" i="26"/>
  <c r="AH62" i="26"/>
  <c r="AH58" i="26"/>
  <c r="AH54" i="26"/>
  <c r="AH46" i="26"/>
  <c r="AH42" i="26"/>
  <c r="AH38" i="26"/>
  <c r="AH34" i="26"/>
  <c r="AH30" i="26"/>
  <c r="AH26" i="26"/>
  <c r="AH22" i="26"/>
  <c r="AH18" i="26"/>
  <c r="AH14" i="26"/>
  <c r="AH10" i="26"/>
  <c r="AH6" i="26"/>
  <c r="AH345" i="26"/>
  <c r="AH341" i="26"/>
  <c r="AH337" i="26"/>
  <c r="AH333" i="26"/>
  <c r="AH329" i="26"/>
  <c r="AH325" i="26"/>
  <c r="AH321" i="26"/>
  <c r="AH317" i="26"/>
  <c r="AH313" i="26"/>
  <c r="AH309" i="26"/>
  <c r="AH305" i="26"/>
  <c r="AH301" i="26"/>
  <c r="AH297" i="26"/>
  <c r="AH293" i="26"/>
  <c r="AH289" i="26"/>
  <c r="AH285" i="26"/>
  <c r="AH281" i="26"/>
  <c r="AH277" i="26"/>
  <c r="AH273" i="26"/>
  <c r="AH269" i="26"/>
  <c r="AH265" i="26"/>
  <c r="AH261" i="26"/>
  <c r="AH257" i="26"/>
  <c r="AH253" i="26"/>
  <c r="AH249" i="26"/>
  <c r="AH245" i="26"/>
  <c r="AH241" i="26"/>
  <c r="AH237" i="26"/>
  <c r="AH233" i="26"/>
  <c r="AH229" i="26"/>
  <c r="AH225" i="26"/>
  <c r="AH221" i="26"/>
  <c r="AH217" i="26"/>
  <c r="AH213" i="26"/>
  <c r="AH209" i="26"/>
  <c r="AH205" i="26"/>
  <c r="AH201" i="26"/>
  <c r="AH197" i="26"/>
  <c r="AH193" i="26"/>
  <c r="AH189" i="26"/>
  <c r="AH185" i="26"/>
  <c r="AH181" i="26"/>
  <c r="AH177" i="26"/>
  <c r="AH173" i="26"/>
  <c r="AH169" i="26"/>
  <c r="AH165" i="26"/>
  <c r="AH161" i="26"/>
  <c r="AH157" i="26"/>
  <c r="AH153" i="26"/>
  <c r="AH149" i="26"/>
  <c r="AH145" i="26"/>
  <c r="AH141" i="26"/>
  <c r="AH137" i="26"/>
  <c r="AH133" i="26"/>
  <c r="AH129" i="26"/>
  <c r="AH125" i="26"/>
  <c r="AH121" i="26"/>
  <c r="AH117" i="26"/>
  <c r="AH113" i="26"/>
  <c r="AH109" i="26"/>
  <c r="AH105" i="26"/>
  <c r="AH101" i="26"/>
  <c r="AH97" i="26"/>
  <c r="AH93" i="26"/>
  <c r="AH89" i="26"/>
  <c r="AH85" i="26"/>
  <c r="AH81" i="26"/>
  <c r="AH77" i="26"/>
  <c r="AH73" i="26"/>
  <c r="AH69" i="26"/>
  <c r="AH61" i="26"/>
  <c r="AH57" i="26"/>
  <c r="AH53" i="26"/>
  <c r="AH45" i="26"/>
  <c r="AH41" i="26"/>
  <c r="AH33" i="26"/>
  <c r="AH29" i="26"/>
  <c r="AH25" i="26"/>
  <c r="AH21" i="26"/>
  <c r="AH17" i="26"/>
  <c r="AH13" i="26"/>
  <c r="AH9" i="26"/>
  <c r="AO400" i="26"/>
  <c r="AP5" i="26"/>
  <c r="M189" i="30"/>
  <c r="O189" i="30"/>
  <c r="P189" i="30" s="1"/>
  <c r="O121" i="30"/>
  <c r="P121" i="30" s="1"/>
  <c r="M121" i="30"/>
  <c r="M192" i="30"/>
  <c r="O192" i="30"/>
  <c r="P192" i="30" s="1"/>
  <c r="O191" i="30"/>
  <c r="P191" i="30" s="1"/>
  <c r="M191" i="30"/>
  <c r="L171" i="30"/>
  <c r="M159" i="30"/>
  <c r="AG194" i="26"/>
  <c r="AH194" i="26" s="1"/>
  <c r="E194" i="26"/>
  <c r="AI194" i="26" l="1"/>
  <c r="DU303" i="1" s="1"/>
  <c r="DV303" i="1" s="1"/>
  <c r="DV9" i="1"/>
  <c r="O171" i="30"/>
  <c r="P171" i="30" s="1"/>
  <c r="M171" i="30"/>
  <c r="M164" i="30"/>
  <c r="Z68" i="26"/>
  <c r="Z65" i="26"/>
  <c r="Z64" i="26"/>
  <c r="Z51" i="26"/>
  <c r="Z50" i="26"/>
  <c r="Z49" i="26"/>
  <c r="Z48" i="26"/>
  <c r="AI48" i="26" s="1"/>
  <c r="Z39" i="26"/>
  <c r="Z37" i="26"/>
  <c r="I3" i="24"/>
  <c r="D406" i="29"/>
  <c r="E406" i="29"/>
  <c r="F406" i="29"/>
  <c r="C10" i="29"/>
  <c r="D10" i="29"/>
  <c r="E10" i="29"/>
  <c r="F10" i="29"/>
  <c r="C11" i="29"/>
  <c r="D11" i="29"/>
  <c r="E11" i="29"/>
  <c r="F11" i="29"/>
  <c r="C12" i="29"/>
  <c r="D12" i="29"/>
  <c r="E12" i="29"/>
  <c r="F12" i="29"/>
  <c r="C13" i="29"/>
  <c r="D13" i="29"/>
  <c r="E13" i="29"/>
  <c r="F13" i="29"/>
  <c r="C14" i="29"/>
  <c r="D14" i="29"/>
  <c r="E14" i="29"/>
  <c r="F14" i="29"/>
  <c r="C15" i="29"/>
  <c r="D15" i="29"/>
  <c r="E15" i="29"/>
  <c r="F15" i="29"/>
  <c r="C16" i="29"/>
  <c r="D16" i="29"/>
  <c r="E16" i="29"/>
  <c r="F16" i="29"/>
  <c r="C17" i="29"/>
  <c r="D17" i="29"/>
  <c r="E17" i="29"/>
  <c r="F17" i="29"/>
  <c r="C18" i="29"/>
  <c r="D18" i="29"/>
  <c r="E18" i="29"/>
  <c r="F18" i="29"/>
  <c r="C19" i="29"/>
  <c r="D19" i="29"/>
  <c r="E19" i="29"/>
  <c r="F19" i="29"/>
  <c r="C20" i="29"/>
  <c r="D20" i="29"/>
  <c r="E20" i="29"/>
  <c r="F20" i="29"/>
  <c r="C21" i="29"/>
  <c r="D21" i="29"/>
  <c r="E21" i="29"/>
  <c r="F21" i="29"/>
  <c r="C22" i="29"/>
  <c r="D22" i="29"/>
  <c r="E22" i="29"/>
  <c r="F22" i="29"/>
  <c r="C23" i="29"/>
  <c r="D23" i="29"/>
  <c r="E23" i="29"/>
  <c r="F23" i="29"/>
  <c r="C24" i="29"/>
  <c r="D24" i="29"/>
  <c r="E24" i="29"/>
  <c r="F24" i="29"/>
  <c r="C25" i="29"/>
  <c r="D25" i="29"/>
  <c r="E25" i="29"/>
  <c r="F25" i="29"/>
  <c r="C26" i="29"/>
  <c r="D26" i="29"/>
  <c r="E26" i="29"/>
  <c r="F26" i="29"/>
  <c r="C27" i="29"/>
  <c r="D27" i="29"/>
  <c r="E27" i="29"/>
  <c r="F27" i="29"/>
  <c r="C28" i="29"/>
  <c r="D28" i="29"/>
  <c r="E28" i="29"/>
  <c r="F28" i="29"/>
  <c r="C29" i="29"/>
  <c r="D29" i="29"/>
  <c r="E29" i="29"/>
  <c r="F29" i="29"/>
  <c r="C30" i="29"/>
  <c r="D30" i="29"/>
  <c r="E30" i="29"/>
  <c r="F30" i="29"/>
  <c r="C31" i="29"/>
  <c r="D31" i="29"/>
  <c r="E31" i="29"/>
  <c r="F31" i="29"/>
  <c r="C32" i="29"/>
  <c r="D32" i="29"/>
  <c r="E32" i="29"/>
  <c r="F32" i="29"/>
  <c r="C33" i="29"/>
  <c r="D33" i="29"/>
  <c r="E33" i="29"/>
  <c r="F33" i="29"/>
  <c r="C34" i="29"/>
  <c r="D34" i="29"/>
  <c r="E34" i="29"/>
  <c r="F34" i="29"/>
  <c r="C35" i="29"/>
  <c r="D35" i="29"/>
  <c r="E35" i="29"/>
  <c r="F35" i="29"/>
  <c r="C36" i="29"/>
  <c r="D36" i="29"/>
  <c r="E36" i="29"/>
  <c r="F36" i="29"/>
  <c r="C37" i="29"/>
  <c r="D37" i="29"/>
  <c r="E37" i="29"/>
  <c r="F37" i="29"/>
  <c r="C38" i="29"/>
  <c r="D38" i="29"/>
  <c r="E38" i="29"/>
  <c r="F38" i="29"/>
  <c r="C39" i="29"/>
  <c r="D39" i="29"/>
  <c r="E39" i="29"/>
  <c r="F39" i="29"/>
  <c r="C40" i="29"/>
  <c r="D40" i="29"/>
  <c r="E40" i="29"/>
  <c r="F40" i="29"/>
  <c r="C41" i="29"/>
  <c r="D41" i="29"/>
  <c r="E41" i="29"/>
  <c r="F41" i="29"/>
  <c r="C42" i="29"/>
  <c r="D42" i="29"/>
  <c r="E42" i="29"/>
  <c r="F42" i="29"/>
  <c r="C43" i="29"/>
  <c r="D43" i="29"/>
  <c r="E43" i="29"/>
  <c r="F43" i="29"/>
  <c r="C44" i="29"/>
  <c r="D44" i="29"/>
  <c r="E44" i="29"/>
  <c r="F44" i="29"/>
  <c r="C45" i="29"/>
  <c r="D45" i="29"/>
  <c r="E45" i="29"/>
  <c r="F45" i="29"/>
  <c r="C46" i="29"/>
  <c r="D46" i="29"/>
  <c r="E46" i="29"/>
  <c r="F46" i="29"/>
  <c r="C47" i="29"/>
  <c r="D47" i="29"/>
  <c r="E47" i="29"/>
  <c r="F47" i="29"/>
  <c r="C48" i="29"/>
  <c r="D48" i="29"/>
  <c r="E48" i="29"/>
  <c r="F48" i="29"/>
  <c r="C49" i="29"/>
  <c r="D49" i="29"/>
  <c r="E49" i="29"/>
  <c r="F49" i="29"/>
  <c r="C50" i="29"/>
  <c r="D50" i="29"/>
  <c r="E50" i="29"/>
  <c r="F50" i="29"/>
  <c r="C51" i="29"/>
  <c r="D51" i="29"/>
  <c r="E51" i="29"/>
  <c r="F51" i="29"/>
  <c r="C52" i="29"/>
  <c r="D52" i="29"/>
  <c r="E52" i="29"/>
  <c r="F52" i="29"/>
  <c r="C53" i="29"/>
  <c r="D53" i="29"/>
  <c r="E53" i="29"/>
  <c r="F53" i="29"/>
  <c r="C54" i="29"/>
  <c r="D54" i="29"/>
  <c r="E54" i="29"/>
  <c r="F54" i="29"/>
  <c r="C55" i="29"/>
  <c r="D55" i="29"/>
  <c r="E55" i="29"/>
  <c r="F55" i="29"/>
  <c r="C56" i="29"/>
  <c r="D56" i="29"/>
  <c r="E56" i="29"/>
  <c r="F56" i="29"/>
  <c r="C57" i="29"/>
  <c r="D57" i="29"/>
  <c r="E57" i="29"/>
  <c r="F57" i="29"/>
  <c r="C58" i="29"/>
  <c r="D58" i="29"/>
  <c r="E58" i="29"/>
  <c r="F58" i="29"/>
  <c r="C59" i="29"/>
  <c r="D59" i="29"/>
  <c r="E59" i="29"/>
  <c r="F59" i="29"/>
  <c r="C60" i="29"/>
  <c r="D60" i="29"/>
  <c r="E60" i="29"/>
  <c r="F60" i="29"/>
  <c r="C61" i="29"/>
  <c r="D61" i="29"/>
  <c r="E61" i="29"/>
  <c r="F61" i="29"/>
  <c r="C62" i="29"/>
  <c r="D62" i="29"/>
  <c r="E62" i="29"/>
  <c r="F62" i="29"/>
  <c r="C63" i="29"/>
  <c r="D63" i="29"/>
  <c r="E63" i="29"/>
  <c r="F63" i="29"/>
  <c r="C64" i="29"/>
  <c r="D64" i="29"/>
  <c r="E64" i="29"/>
  <c r="F64" i="29"/>
  <c r="C65" i="29"/>
  <c r="D65" i="29"/>
  <c r="E65" i="29"/>
  <c r="F65" i="29"/>
  <c r="C66" i="29"/>
  <c r="D66" i="29"/>
  <c r="E66" i="29"/>
  <c r="F66" i="29"/>
  <c r="C67" i="29"/>
  <c r="D67" i="29"/>
  <c r="E67" i="29"/>
  <c r="F67" i="29"/>
  <c r="C68" i="29"/>
  <c r="D68" i="29"/>
  <c r="E68" i="29"/>
  <c r="F68" i="29"/>
  <c r="C69" i="29"/>
  <c r="D69" i="29"/>
  <c r="E69" i="29"/>
  <c r="F69" i="29"/>
  <c r="C70" i="29"/>
  <c r="D70" i="29"/>
  <c r="E70" i="29"/>
  <c r="F70" i="29"/>
  <c r="C71" i="29"/>
  <c r="D71" i="29"/>
  <c r="E71" i="29"/>
  <c r="F71" i="29"/>
  <c r="C72" i="29"/>
  <c r="D72" i="29"/>
  <c r="E72" i="29"/>
  <c r="F72" i="29"/>
  <c r="C73" i="29"/>
  <c r="D73" i="29"/>
  <c r="E73" i="29"/>
  <c r="F73" i="29"/>
  <c r="C74" i="29"/>
  <c r="D74" i="29"/>
  <c r="E74" i="29"/>
  <c r="F74" i="29"/>
  <c r="C75" i="29"/>
  <c r="D75" i="29"/>
  <c r="E75" i="29"/>
  <c r="F75" i="29"/>
  <c r="C76" i="29"/>
  <c r="D76" i="29"/>
  <c r="E76" i="29"/>
  <c r="F76" i="29"/>
  <c r="C77" i="29"/>
  <c r="D77" i="29"/>
  <c r="E77" i="29"/>
  <c r="F77" i="29"/>
  <c r="C78" i="29"/>
  <c r="D78" i="29"/>
  <c r="E78" i="29"/>
  <c r="F78" i="29"/>
  <c r="C79" i="29"/>
  <c r="D79" i="29"/>
  <c r="E79" i="29"/>
  <c r="F79" i="29"/>
  <c r="C80" i="29"/>
  <c r="D80" i="29"/>
  <c r="E80" i="29"/>
  <c r="F80" i="29"/>
  <c r="C81" i="29"/>
  <c r="D81" i="29"/>
  <c r="E81" i="29"/>
  <c r="F81" i="29"/>
  <c r="C82" i="29"/>
  <c r="D82" i="29"/>
  <c r="E82" i="29"/>
  <c r="F82" i="29"/>
  <c r="C83" i="29"/>
  <c r="D83" i="29"/>
  <c r="E83" i="29"/>
  <c r="F83" i="29"/>
  <c r="C84" i="29"/>
  <c r="D84" i="29"/>
  <c r="E84" i="29"/>
  <c r="F84" i="29"/>
  <c r="C85" i="29"/>
  <c r="D85" i="29"/>
  <c r="E85" i="29"/>
  <c r="F85" i="29"/>
  <c r="C86" i="29"/>
  <c r="D86" i="29"/>
  <c r="E86" i="29"/>
  <c r="F86" i="29"/>
  <c r="C87" i="29"/>
  <c r="D87" i="29"/>
  <c r="E87" i="29"/>
  <c r="F87" i="29"/>
  <c r="C88" i="29"/>
  <c r="D88" i="29"/>
  <c r="E88" i="29"/>
  <c r="F88" i="29"/>
  <c r="C89" i="29"/>
  <c r="D89" i="29"/>
  <c r="E89" i="29"/>
  <c r="F89" i="29"/>
  <c r="C90" i="29"/>
  <c r="D90" i="29"/>
  <c r="E90" i="29"/>
  <c r="F90" i="29"/>
  <c r="C91" i="29"/>
  <c r="D91" i="29"/>
  <c r="E91" i="29"/>
  <c r="F91" i="29"/>
  <c r="C92" i="29"/>
  <c r="D92" i="29"/>
  <c r="E92" i="29"/>
  <c r="F92" i="29"/>
  <c r="C93" i="29"/>
  <c r="D93" i="29"/>
  <c r="E93" i="29"/>
  <c r="F93" i="29"/>
  <c r="C94" i="29"/>
  <c r="D94" i="29"/>
  <c r="E94" i="29"/>
  <c r="F94" i="29"/>
  <c r="C95" i="29"/>
  <c r="D95" i="29"/>
  <c r="E95" i="29"/>
  <c r="F95" i="29"/>
  <c r="C96" i="29"/>
  <c r="D96" i="29"/>
  <c r="E96" i="29"/>
  <c r="F96" i="29"/>
  <c r="C97" i="29"/>
  <c r="D97" i="29"/>
  <c r="E97" i="29"/>
  <c r="F97" i="29"/>
  <c r="C98" i="29"/>
  <c r="D98" i="29"/>
  <c r="E98" i="29"/>
  <c r="F98" i="29"/>
  <c r="C99" i="29"/>
  <c r="D99" i="29"/>
  <c r="E99" i="29"/>
  <c r="F99" i="29"/>
  <c r="C100" i="29"/>
  <c r="D100" i="29"/>
  <c r="E100" i="29"/>
  <c r="F100" i="29"/>
  <c r="C101" i="29"/>
  <c r="D101" i="29"/>
  <c r="E101" i="29"/>
  <c r="F101" i="29"/>
  <c r="C102" i="29"/>
  <c r="D102" i="29"/>
  <c r="E102" i="29"/>
  <c r="F102" i="29"/>
  <c r="C103" i="29"/>
  <c r="D103" i="29"/>
  <c r="E103" i="29"/>
  <c r="F103" i="29"/>
  <c r="C104" i="29"/>
  <c r="D104" i="29"/>
  <c r="E104" i="29"/>
  <c r="F104" i="29"/>
  <c r="C105" i="29"/>
  <c r="D105" i="29"/>
  <c r="E105" i="29"/>
  <c r="F105" i="29"/>
  <c r="C106" i="29"/>
  <c r="D106" i="29"/>
  <c r="E106" i="29"/>
  <c r="F106" i="29"/>
  <c r="C107" i="29"/>
  <c r="D107" i="29"/>
  <c r="E107" i="29"/>
  <c r="F107" i="29"/>
  <c r="C108" i="29"/>
  <c r="D108" i="29"/>
  <c r="E108" i="29"/>
  <c r="F108" i="29"/>
  <c r="C109" i="29"/>
  <c r="D109" i="29"/>
  <c r="E109" i="29"/>
  <c r="F109" i="29"/>
  <c r="C110" i="29"/>
  <c r="D110" i="29"/>
  <c r="E110" i="29"/>
  <c r="F110" i="29"/>
  <c r="C111" i="29"/>
  <c r="D111" i="29"/>
  <c r="E111" i="29"/>
  <c r="F111" i="29"/>
  <c r="C112" i="29"/>
  <c r="D112" i="29"/>
  <c r="E112" i="29"/>
  <c r="F112" i="29"/>
  <c r="C113" i="29"/>
  <c r="D113" i="29"/>
  <c r="E113" i="29"/>
  <c r="F113" i="29"/>
  <c r="C114" i="29"/>
  <c r="D114" i="29"/>
  <c r="E114" i="29"/>
  <c r="F114" i="29"/>
  <c r="C115" i="29"/>
  <c r="D115" i="29"/>
  <c r="E115" i="29"/>
  <c r="F115" i="29"/>
  <c r="C116" i="29"/>
  <c r="D116" i="29"/>
  <c r="E116" i="29"/>
  <c r="F116" i="29"/>
  <c r="C117" i="29"/>
  <c r="D117" i="29"/>
  <c r="E117" i="29"/>
  <c r="F117" i="29"/>
  <c r="C118" i="29"/>
  <c r="D118" i="29"/>
  <c r="E118" i="29"/>
  <c r="F118" i="29"/>
  <c r="C119" i="29"/>
  <c r="D119" i="29"/>
  <c r="E119" i="29"/>
  <c r="F119" i="29"/>
  <c r="C120" i="29"/>
  <c r="D120" i="29"/>
  <c r="E120" i="29"/>
  <c r="F120" i="29"/>
  <c r="C121" i="29"/>
  <c r="D121" i="29"/>
  <c r="E121" i="29"/>
  <c r="F121" i="29"/>
  <c r="C122" i="29"/>
  <c r="D122" i="29"/>
  <c r="E122" i="29"/>
  <c r="F122" i="29"/>
  <c r="C123" i="29"/>
  <c r="D123" i="29"/>
  <c r="E123" i="29"/>
  <c r="F123" i="29"/>
  <c r="C124" i="29"/>
  <c r="D124" i="29"/>
  <c r="E124" i="29"/>
  <c r="F124" i="29"/>
  <c r="C125" i="29"/>
  <c r="D125" i="29"/>
  <c r="E125" i="29"/>
  <c r="F125" i="29"/>
  <c r="C126" i="29"/>
  <c r="D126" i="29"/>
  <c r="E126" i="29"/>
  <c r="F126" i="29"/>
  <c r="C127" i="29"/>
  <c r="D127" i="29"/>
  <c r="E127" i="29"/>
  <c r="F127" i="29"/>
  <c r="C128" i="29"/>
  <c r="D128" i="29"/>
  <c r="E128" i="29"/>
  <c r="F128" i="29"/>
  <c r="C129" i="29"/>
  <c r="D129" i="29"/>
  <c r="E129" i="29"/>
  <c r="F129" i="29"/>
  <c r="C130" i="29"/>
  <c r="D130" i="29"/>
  <c r="E130" i="29"/>
  <c r="F130" i="29"/>
  <c r="C131" i="29"/>
  <c r="D131" i="29"/>
  <c r="E131" i="29"/>
  <c r="F131" i="29"/>
  <c r="C132" i="29"/>
  <c r="D132" i="29"/>
  <c r="E132" i="29"/>
  <c r="F132" i="29"/>
  <c r="C133" i="29"/>
  <c r="D133" i="29"/>
  <c r="E133" i="29"/>
  <c r="F133" i="29"/>
  <c r="C134" i="29"/>
  <c r="D134" i="29"/>
  <c r="E134" i="29"/>
  <c r="F134" i="29"/>
  <c r="C135" i="29"/>
  <c r="D135" i="29"/>
  <c r="E135" i="29"/>
  <c r="F135" i="29"/>
  <c r="C136" i="29"/>
  <c r="D136" i="29"/>
  <c r="E136" i="29"/>
  <c r="F136" i="29"/>
  <c r="C137" i="29"/>
  <c r="D137" i="29"/>
  <c r="E137" i="29"/>
  <c r="F137" i="29"/>
  <c r="C138" i="29"/>
  <c r="D138" i="29"/>
  <c r="E138" i="29"/>
  <c r="F138" i="29"/>
  <c r="C139" i="29"/>
  <c r="D139" i="29"/>
  <c r="E139" i="29"/>
  <c r="F139" i="29"/>
  <c r="C140" i="29"/>
  <c r="D140" i="29"/>
  <c r="E140" i="29"/>
  <c r="F140" i="29"/>
  <c r="C141" i="29"/>
  <c r="D141" i="29"/>
  <c r="E141" i="29"/>
  <c r="F141" i="29"/>
  <c r="C142" i="29"/>
  <c r="D142" i="29"/>
  <c r="E142" i="29"/>
  <c r="F142" i="29"/>
  <c r="C143" i="29"/>
  <c r="D143" i="29"/>
  <c r="E143" i="29"/>
  <c r="F143" i="29"/>
  <c r="C144" i="29"/>
  <c r="D144" i="29"/>
  <c r="E144" i="29"/>
  <c r="F144" i="29"/>
  <c r="C145" i="29"/>
  <c r="D145" i="29"/>
  <c r="E145" i="29"/>
  <c r="F145" i="29"/>
  <c r="C146" i="29"/>
  <c r="D146" i="29"/>
  <c r="E146" i="29"/>
  <c r="F146" i="29"/>
  <c r="C147" i="29"/>
  <c r="D147" i="29"/>
  <c r="E147" i="29"/>
  <c r="F147" i="29"/>
  <c r="C148" i="29"/>
  <c r="D148" i="29"/>
  <c r="E148" i="29"/>
  <c r="F148" i="29"/>
  <c r="C149" i="29"/>
  <c r="D149" i="29"/>
  <c r="E149" i="29"/>
  <c r="F149" i="29"/>
  <c r="C150" i="29"/>
  <c r="D150" i="29"/>
  <c r="E150" i="29"/>
  <c r="F150" i="29"/>
  <c r="C151" i="29"/>
  <c r="D151" i="29"/>
  <c r="E151" i="29"/>
  <c r="F151" i="29"/>
  <c r="C152" i="29"/>
  <c r="D152" i="29"/>
  <c r="E152" i="29"/>
  <c r="F152" i="29"/>
  <c r="C153" i="29"/>
  <c r="D153" i="29"/>
  <c r="E153" i="29"/>
  <c r="F153" i="29"/>
  <c r="C154" i="29"/>
  <c r="D154" i="29"/>
  <c r="E154" i="29"/>
  <c r="F154" i="29"/>
  <c r="C155" i="29"/>
  <c r="D155" i="29"/>
  <c r="E155" i="29"/>
  <c r="F155" i="29"/>
  <c r="C156" i="29"/>
  <c r="D156" i="29"/>
  <c r="E156" i="29"/>
  <c r="F156" i="29"/>
  <c r="C157" i="29"/>
  <c r="D157" i="29"/>
  <c r="E157" i="29"/>
  <c r="F157" i="29"/>
  <c r="C158" i="29"/>
  <c r="D158" i="29"/>
  <c r="E158" i="29"/>
  <c r="F158" i="29"/>
  <c r="C159" i="29"/>
  <c r="D159" i="29"/>
  <c r="E159" i="29"/>
  <c r="F159" i="29"/>
  <c r="C160" i="29"/>
  <c r="D160" i="29"/>
  <c r="E160" i="29"/>
  <c r="F160" i="29"/>
  <c r="C161" i="29"/>
  <c r="D161" i="29"/>
  <c r="E161" i="29"/>
  <c r="F161" i="29"/>
  <c r="C162" i="29"/>
  <c r="D162" i="29"/>
  <c r="E162" i="29"/>
  <c r="F162" i="29"/>
  <c r="C163" i="29"/>
  <c r="D163" i="29"/>
  <c r="E163" i="29"/>
  <c r="F163" i="29"/>
  <c r="C164" i="29"/>
  <c r="D164" i="29"/>
  <c r="E164" i="29"/>
  <c r="F164" i="29"/>
  <c r="C165" i="29"/>
  <c r="D165" i="29"/>
  <c r="E165" i="29"/>
  <c r="F165" i="29"/>
  <c r="C166" i="29"/>
  <c r="D166" i="29"/>
  <c r="E166" i="29"/>
  <c r="F166" i="29"/>
  <c r="C167" i="29"/>
  <c r="D167" i="29"/>
  <c r="E167" i="29"/>
  <c r="F167" i="29"/>
  <c r="C168" i="29"/>
  <c r="D168" i="29"/>
  <c r="E168" i="29"/>
  <c r="F168" i="29"/>
  <c r="C169" i="29"/>
  <c r="D169" i="29"/>
  <c r="E169" i="29"/>
  <c r="F169" i="29"/>
  <c r="C170" i="29"/>
  <c r="D170" i="29"/>
  <c r="E170" i="29"/>
  <c r="F170" i="29"/>
  <c r="C171" i="29"/>
  <c r="D171" i="29"/>
  <c r="E171" i="29"/>
  <c r="F171" i="29"/>
  <c r="C172" i="29"/>
  <c r="D172" i="29"/>
  <c r="E172" i="29"/>
  <c r="F172" i="29"/>
  <c r="C173" i="29"/>
  <c r="D173" i="29"/>
  <c r="E173" i="29"/>
  <c r="F173" i="29"/>
  <c r="C174" i="29"/>
  <c r="D174" i="29"/>
  <c r="E174" i="29"/>
  <c r="F174" i="29"/>
  <c r="C175" i="29"/>
  <c r="D175" i="29"/>
  <c r="E175" i="29"/>
  <c r="F175" i="29"/>
  <c r="C176" i="29"/>
  <c r="D176" i="29"/>
  <c r="E176" i="29"/>
  <c r="F176" i="29"/>
  <c r="C177" i="29"/>
  <c r="D177" i="29"/>
  <c r="E177" i="29"/>
  <c r="F177" i="29"/>
  <c r="C178" i="29"/>
  <c r="D178" i="29"/>
  <c r="E178" i="29"/>
  <c r="F178" i="29"/>
  <c r="C179" i="29"/>
  <c r="D179" i="29"/>
  <c r="E179" i="29"/>
  <c r="F179" i="29"/>
  <c r="C180" i="29"/>
  <c r="D180" i="29"/>
  <c r="E180" i="29"/>
  <c r="F180" i="29"/>
  <c r="C181" i="29"/>
  <c r="D181" i="29"/>
  <c r="E181" i="29"/>
  <c r="F181" i="29"/>
  <c r="C182" i="29"/>
  <c r="D182" i="29"/>
  <c r="E182" i="29"/>
  <c r="F182" i="29"/>
  <c r="C183" i="29"/>
  <c r="D183" i="29"/>
  <c r="E183" i="29"/>
  <c r="F183" i="29"/>
  <c r="C184" i="29"/>
  <c r="D184" i="29"/>
  <c r="E184" i="29"/>
  <c r="F184" i="29"/>
  <c r="C185" i="29"/>
  <c r="D185" i="29"/>
  <c r="E185" i="29"/>
  <c r="F185" i="29"/>
  <c r="C186" i="29"/>
  <c r="D186" i="29"/>
  <c r="E186" i="29"/>
  <c r="F186" i="29"/>
  <c r="C187" i="29"/>
  <c r="D187" i="29"/>
  <c r="E187" i="29"/>
  <c r="F187" i="29"/>
  <c r="C188" i="29"/>
  <c r="D188" i="29"/>
  <c r="E188" i="29"/>
  <c r="F188" i="29"/>
  <c r="C189" i="29"/>
  <c r="D189" i="29"/>
  <c r="E189" i="29"/>
  <c r="F189" i="29"/>
  <c r="C190" i="29"/>
  <c r="D190" i="29"/>
  <c r="E190" i="29"/>
  <c r="F190" i="29"/>
  <c r="C191" i="29"/>
  <c r="D191" i="29"/>
  <c r="E191" i="29"/>
  <c r="F191" i="29"/>
  <c r="C192" i="29"/>
  <c r="D192" i="29"/>
  <c r="E192" i="29"/>
  <c r="F192" i="29"/>
  <c r="C193" i="29"/>
  <c r="D193" i="29"/>
  <c r="E193" i="29"/>
  <c r="F193" i="29"/>
  <c r="C194" i="29"/>
  <c r="D194" i="29"/>
  <c r="E194" i="29"/>
  <c r="F194" i="29"/>
  <c r="C195" i="29"/>
  <c r="D195" i="29"/>
  <c r="E195" i="29"/>
  <c r="F195" i="29"/>
  <c r="C196" i="29"/>
  <c r="D196" i="29"/>
  <c r="E196" i="29"/>
  <c r="F196" i="29"/>
  <c r="C197" i="29"/>
  <c r="D197" i="29"/>
  <c r="E197" i="29"/>
  <c r="F197" i="29"/>
  <c r="C198" i="29"/>
  <c r="D198" i="29"/>
  <c r="E198" i="29"/>
  <c r="F198" i="29"/>
  <c r="C199" i="29"/>
  <c r="D199" i="29"/>
  <c r="E199" i="29"/>
  <c r="F199" i="29"/>
  <c r="C200" i="29"/>
  <c r="D200" i="29"/>
  <c r="E200" i="29"/>
  <c r="F200" i="29"/>
  <c r="C201" i="29"/>
  <c r="D201" i="29"/>
  <c r="E201" i="29"/>
  <c r="F201" i="29"/>
  <c r="C202" i="29"/>
  <c r="D202" i="29"/>
  <c r="E202" i="29"/>
  <c r="F202" i="29"/>
  <c r="C203" i="29"/>
  <c r="D203" i="29"/>
  <c r="E203" i="29"/>
  <c r="F203" i="29"/>
  <c r="C204" i="29"/>
  <c r="D204" i="29"/>
  <c r="E204" i="29"/>
  <c r="F204" i="29"/>
  <c r="C205" i="29"/>
  <c r="D205" i="29"/>
  <c r="E205" i="29"/>
  <c r="F205" i="29"/>
  <c r="C206" i="29"/>
  <c r="D206" i="29"/>
  <c r="E206" i="29"/>
  <c r="F206" i="29"/>
  <c r="C207" i="29"/>
  <c r="D207" i="29"/>
  <c r="E207" i="29"/>
  <c r="F207" i="29"/>
  <c r="C208" i="29"/>
  <c r="D208" i="29"/>
  <c r="E208" i="29"/>
  <c r="F208" i="29"/>
  <c r="C209" i="29"/>
  <c r="D209" i="29"/>
  <c r="E209" i="29"/>
  <c r="F209" i="29"/>
  <c r="C210" i="29"/>
  <c r="D210" i="29"/>
  <c r="E210" i="29"/>
  <c r="F210" i="29"/>
  <c r="C211" i="29"/>
  <c r="D211" i="29"/>
  <c r="E211" i="29"/>
  <c r="F211" i="29"/>
  <c r="C212" i="29"/>
  <c r="D212" i="29"/>
  <c r="E212" i="29"/>
  <c r="F212" i="29"/>
  <c r="C213" i="29"/>
  <c r="D213" i="29"/>
  <c r="E213" i="29"/>
  <c r="F213" i="29"/>
  <c r="C214" i="29"/>
  <c r="D214" i="29"/>
  <c r="E214" i="29"/>
  <c r="F214" i="29"/>
  <c r="C215" i="29"/>
  <c r="D215" i="29"/>
  <c r="E215" i="29"/>
  <c r="F215" i="29"/>
  <c r="C216" i="29"/>
  <c r="D216" i="29"/>
  <c r="E216" i="29"/>
  <c r="F216" i="29"/>
  <c r="C217" i="29"/>
  <c r="D217" i="29"/>
  <c r="E217" i="29"/>
  <c r="F217" i="29"/>
  <c r="C218" i="29"/>
  <c r="D218" i="29"/>
  <c r="E218" i="29"/>
  <c r="F218" i="29"/>
  <c r="C219" i="29"/>
  <c r="D219" i="29"/>
  <c r="E219" i="29"/>
  <c r="F219" i="29"/>
  <c r="C220" i="29"/>
  <c r="D220" i="29"/>
  <c r="E220" i="29"/>
  <c r="F220" i="29"/>
  <c r="C221" i="29"/>
  <c r="D221" i="29"/>
  <c r="E221" i="29"/>
  <c r="F221" i="29"/>
  <c r="C222" i="29"/>
  <c r="D222" i="29"/>
  <c r="E222" i="29"/>
  <c r="F222" i="29"/>
  <c r="C223" i="29"/>
  <c r="D223" i="29"/>
  <c r="E223" i="29"/>
  <c r="F223" i="29"/>
  <c r="C224" i="29"/>
  <c r="D224" i="29"/>
  <c r="E224" i="29"/>
  <c r="F224" i="29"/>
  <c r="C225" i="29"/>
  <c r="D225" i="29"/>
  <c r="E225" i="29"/>
  <c r="F225" i="29"/>
  <c r="C226" i="29"/>
  <c r="D226" i="29"/>
  <c r="E226" i="29"/>
  <c r="F226" i="29"/>
  <c r="C227" i="29"/>
  <c r="D227" i="29"/>
  <c r="E227" i="29"/>
  <c r="F227" i="29"/>
  <c r="C228" i="29"/>
  <c r="D228" i="29"/>
  <c r="E228" i="29"/>
  <c r="F228" i="29"/>
  <c r="C229" i="29"/>
  <c r="D229" i="29"/>
  <c r="E229" i="29"/>
  <c r="F229" i="29"/>
  <c r="C230" i="29"/>
  <c r="D230" i="29"/>
  <c r="E230" i="29"/>
  <c r="F230" i="29"/>
  <c r="C231" i="29"/>
  <c r="D231" i="29"/>
  <c r="E231" i="29"/>
  <c r="F231" i="29"/>
  <c r="C232" i="29"/>
  <c r="D232" i="29"/>
  <c r="E232" i="29"/>
  <c r="F232" i="29"/>
  <c r="C233" i="29"/>
  <c r="D233" i="29"/>
  <c r="E233" i="29"/>
  <c r="F233" i="29"/>
  <c r="C234" i="29"/>
  <c r="D234" i="29"/>
  <c r="E234" i="29"/>
  <c r="F234" i="29"/>
  <c r="C235" i="29"/>
  <c r="D235" i="29"/>
  <c r="E235" i="29"/>
  <c r="F235" i="29"/>
  <c r="C236" i="29"/>
  <c r="D236" i="29"/>
  <c r="E236" i="29"/>
  <c r="F236" i="29"/>
  <c r="C237" i="29"/>
  <c r="D237" i="29"/>
  <c r="E237" i="29"/>
  <c r="F237" i="29"/>
  <c r="C238" i="29"/>
  <c r="D238" i="29"/>
  <c r="E238" i="29"/>
  <c r="F238" i="29"/>
  <c r="C239" i="29"/>
  <c r="D239" i="29"/>
  <c r="E239" i="29"/>
  <c r="F239" i="29"/>
  <c r="C240" i="29"/>
  <c r="D240" i="29"/>
  <c r="E240" i="29"/>
  <c r="F240" i="29"/>
  <c r="C241" i="29"/>
  <c r="D241" i="29"/>
  <c r="E241" i="29"/>
  <c r="F241" i="29"/>
  <c r="C242" i="29"/>
  <c r="D242" i="29"/>
  <c r="E242" i="29"/>
  <c r="F242" i="29"/>
  <c r="C243" i="29"/>
  <c r="D243" i="29"/>
  <c r="E243" i="29"/>
  <c r="F243" i="29"/>
  <c r="C244" i="29"/>
  <c r="D244" i="29"/>
  <c r="E244" i="29"/>
  <c r="F244" i="29"/>
  <c r="C245" i="29"/>
  <c r="D245" i="29"/>
  <c r="E245" i="29"/>
  <c r="F245" i="29"/>
  <c r="C246" i="29"/>
  <c r="D246" i="29"/>
  <c r="E246" i="29"/>
  <c r="F246" i="29"/>
  <c r="C247" i="29"/>
  <c r="D247" i="29"/>
  <c r="E247" i="29"/>
  <c r="F247" i="29"/>
  <c r="C248" i="29"/>
  <c r="D248" i="29"/>
  <c r="E248" i="29"/>
  <c r="F248" i="29"/>
  <c r="C249" i="29"/>
  <c r="D249" i="29"/>
  <c r="E249" i="29"/>
  <c r="F249" i="29"/>
  <c r="C250" i="29"/>
  <c r="D250" i="29"/>
  <c r="E250" i="29"/>
  <c r="F250" i="29"/>
  <c r="C251" i="29"/>
  <c r="D251" i="29"/>
  <c r="E251" i="29"/>
  <c r="F251" i="29"/>
  <c r="C252" i="29"/>
  <c r="D252" i="29"/>
  <c r="E252" i="29"/>
  <c r="F252" i="29"/>
  <c r="C253" i="29"/>
  <c r="D253" i="29"/>
  <c r="E253" i="29"/>
  <c r="F253" i="29"/>
  <c r="C254" i="29"/>
  <c r="D254" i="29"/>
  <c r="E254" i="29"/>
  <c r="F254" i="29"/>
  <c r="C255" i="29"/>
  <c r="D255" i="29"/>
  <c r="E255" i="29"/>
  <c r="F255" i="29"/>
  <c r="C256" i="29"/>
  <c r="D256" i="29"/>
  <c r="E256" i="29"/>
  <c r="F256" i="29"/>
  <c r="C257" i="29"/>
  <c r="D257" i="29"/>
  <c r="E257" i="29"/>
  <c r="F257" i="29"/>
  <c r="C258" i="29"/>
  <c r="D258" i="29"/>
  <c r="E258" i="29"/>
  <c r="F258" i="29"/>
  <c r="C259" i="29"/>
  <c r="D259" i="29"/>
  <c r="E259" i="29"/>
  <c r="F259" i="29"/>
  <c r="C260" i="29"/>
  <c r="D260" i="29"/>
  <c r="E260" i="29"/>
  <c r="F260" i="29"/>
  <c r="C261" i="29"/>
  <c r="D261" i="29"/>
  <c r="E261" i="29"/>
  <c r="F261" i="29"/>
  <c r="C262" i="29"/>
  <c r="D262" i="29"/>
  <c r="E262" i="29"/>
  <c r="F262" i="29"/>
  <c r="C263" i="29"/>
  <c r="D263" i="29"/>
  <c r="E263" i="29"/>
  <c r="F263" i="29"/>
  <c r="C264" i="29"/>
  <c r="D264" i="29"/>
  <c r="E264" i="29"/>
  <c r="F264" i="29"/>
  <c r="C265" i="29"/>
  <c r="D265" i="29"/>
  <c r="E265" i="29"/>
  <c r="F265" i="29"/>
  <c r="C266" i="29"/>
  <c r="D266" i="29"/>
  <c r="E266" i="29"/>
  <c r="F266" i="29"/>
  <c r="C267" i="29"/>
  <c r="D267" i="29"/>
  <c r="E267" i="29"/>
  <c r="F267" i="29"/>
  <c r="C268" i="29"/>
  <c r="D268" i="29"/>
  <c r="E268" i="29"/>
  <c r="F268" i="29"/>
  <c r="C269" i="29"/>
  <c r="D269" i="29"/>
  <c r="E269" i="29"/>
  <c r="F269" i="29"/>
  <c r="C270" i="29"/>
  <c r="D270" i="29"/>
  <c r="E270" i="29"/>
  <c r="F270" i="29"/>
  <c r="C271" i="29"/>
  <c r="D271" i="29"/>
  <c r="E271" i="29"/>
  <c r="F271" i="29"/>
  <c r="C272" i="29"/>
  <c r="D272" i="29"/>
  <c r="E272" i="29"/>
  <c r="F272" i="29"/>
  <c r="C273" i="29"/>
  <c r="D273" i="29"/>
  <c r="E273" i="29"/>
  <c r="F273" i="29"/>
  <c r="C274" i="29"/>
  <c r="D274" i="29"/>
  <c r="E274" i="29"/>
  <c r="F274" i="29"/>
  <c r="C275" i="29"/>
  <c r="D275" i="29"/>
  <c r="E275" i="29"/>
  <c r="F275" i="29"/>
  <c r="C276" i="29"/>
  <c r="D276" i="29"/>
  <c r="E276" i="29"/>
  <c r="F276" i="29"/>
  <c r="C277" i="29"/>
  <c r="D277" i="29"/>
  <c r="E277" i="29"/>
  <c r="F277" i="29"/>
  <c r="C278" i="29"/>
  <c r="D278" i="29"/>
  <c r="E278" i="29"/>
  <c r="F278" i="29"/>
  <c r="C279" i="29"/>
  <c r="D279" i="29"/>
  <c r="E279" i="29"/>
  <c r="F279" i="29"/>
  <c r="C280" i="29"/>
  <c r="D280" i="29"/>
  <c r="E280" i="29"/>
  <c r="F280" i="29"/>
  <c r="C281" i="29"/>
  <c r="D281" i="29"/>
  <c r="E281" i="29"/>
  <c r="F281" i="29"/>
  <c r="C282" i="29"/>
  <c r="D282" i="29"/>
  <c r="E282" i="29"/>
  <c r="F282" i="29"/>
  <c r="C283" i="29"/>
  <c r="D283" i="29"/>
  <c r="E283" i="29"/>
  <c r="F283" i="29"/>
  <c r="C284" i="29"/>
  <c r="D284" i="29"/>
  <c r="E284" i="29"/>
  <c r="F284" i="29"/>
  <c r="C285" i="29"/>
  <c r="D285" i="29"/>
  <c r="E285" i="29"/>
  <c r="F285" i="29"/>
  <c r="C286" i="29"/>
  <c r="D286" i="29"/>
  <c r="E286" i="29"/>
  <c r="F286" i="29"/>
  <c r="C287" i="29"/>
  <c r="D287" i="29"/>
  <c r="E287" i="29"/>
  <c r="F287" i="29"/>
  <c r="C288" i="29"/>
  <c r="D288" i="29"/>
  <c r="E288" i="29"/>
  <c r="F288" i="29"/>
  <c r="C289" i="29"/>
  <c r="D289" i="29"/>
  <c r="E289" i="29"/>
  <c r="F289" i="29"/>
  <c r="C290" i="29"/>
  <c r="D290" i="29"/>
  <c r="E290" i="29"/>
  <c r="F290" i="29"/>
  <c r="C291" i="29"/>
  <c r="D291" i="29"/>
  <c r="E291" i="29"/>
  <c r="F291" i="29"/>
  <c r="C292" i="29"/>
  <c r="D292" i="29"/>
  <c r="E292" i="29"/>
  <c r="F292" i="29"/>
  <c r="C293" i="29"/>
  <c r="D293" i="29"/>
  <c r="E293" i="29"/>
  <c r="F293" i="29"/>
  <c r="C294" i="29"/>
  <c r="D294" i="29"/>
  <c r="E294" i="29"/>
  <c r="F294" i="29"/>
  <c r="C295" i="29"/>
  <c r="D295" i="29"/>
  <c r="E295" i="29"/>
  <c r="F295" i="29"/>
  <c r="C296" i="29"/>
  <c r="D296" i="29"/>
  <c r="E296" i="29"/>
  <c r="F296" i="29"/>
  <c r="C297" i="29"/>
  <c r="D297" i="29"/>
  <c r="E297" i="29"/>
  <c r="F297" i="29"/>
  <c r="C298" i="29"/>
  <c r="D298" i="29"/>
  <c r="E298" i="29"/>
  <c r="F298" i="29"/>
  <c r="C299" i="29"/>
  <c r="D299" i="29"/>
  <c r="E299" i="29"/>
  <c r="F299" i="29"/>
  <c r="C300" i="29"/>
  <c r="D300" i="29"/>
  <c r="E300" i="29"/>
  <c r="F300" i="29"/>
  <c r="C301" i="29"/>
  <c r="D301" i="29"/>
  <c r="E301" i="29"/>
  <c r="F301" i="29"/>
  <c r="C302" i="29"/>
  <c r="D302" i="29"/>
  <c r="E302" i="29"/>
  <c r="F302" i="29"/>
  <c r="C303" i="29"/>
  <c r="D303" i="29"/>
  <c r="E303" i="29"/>
  <c r="F303" i="29"/>
  <c r="C304" i="29"/>
  <c r="D304" i="29"/>
  <c r="E304" i="29"/>
  <c r="F304" i="29"/>
  <c r="C305" i="29"/>
  <c r="D305" i="29"/>
  <c r="E305" i="29"/>
  <c r="F305" i="29"/>
  <c r="C306" i="29"/>
  <c r="D306" i="29"/>
  <c r="E306" i="29"/>
  <c r="F306" i="29"/>
  <c r="C307" i="29"/>
  <c r="D307" i="29"/>
  <c r="E307" i="29"/>
  <c r="F307" i="29"/>
  <c r="C308" i="29"/>
  <c r="D308" i="29"/>
  <c r="E308" i="29"/>
  <c r="F308" i="29"/>
  <c r="C309" i="29"/>
  <c r="D309" i="29"/>
  <c r="E309" i="29"/>
  <c r="F309" i="29"/>
  <c r="C310" i="29"/>
  <c r="D310" i="29"/>
  <c r="E310" i="29"/>
  <c r="F310" i="29"/>
  <c r="C311" i="29"/>
  <c r="D311" i="29"/>
  <c r="E311" i="29"/>
  <c r="F311" i="29"/>
  <c r="C312" i="29"/>
  <c r="D312" i="29"/>
  <c r="E312" i="29"/>
  <c r="F312" i="29"/>
  <c r="C313" i="29"/>
  <c r="D313" i="29"/>
  <c r="E313" i="29"/>
  <c r="F313" i="29"/>
  <c r="C314" i="29"/>
  <c r="D314" i="29"/>
  <c r="E314" i="29"/>
  <c r="F314" i="29"/>
  <c r="C315" i="29"/>
  <c r="D315" i="29"/>
  <c r="E315" i="29"/>
  <c r="F315" i="29"/>
  <c r="C316" i="29"/>
  <c r="D316" i="29"/>
  <c r="E316" i="29"/>
  <c r="F316" i="29"/>
  <c r="C317" i="29"/>
  <c r="D317" i="29"/>
  <c r="E317" i="29"/>
  <c r="F317" i="29"/>
  <c r="C318" i="29"/>
  <c r="D318" i="29"/>
  <c r="E318" i="29"/>
  <c r="F318" i="29"/>
  <c r="C319" i="29"/>
  <c r="D319" i="29"/>
  <c r="E319" i="29"/>
  <c r="F319" i="29"/>
  <c r="C320" i="29"/>
  <c r="D320" i="29"/>
  <c r="E320" i="29"/>
  <c r="F320" i="29"/>
  <c r="C321" i="29"/>
  <c r="D321" i="29"/>
  <c r="E321" i="29"/>
  <c r="F321" i="29"/>
  <c r="C322" i="29"/>
  <c r="D322" i="29"/>
  <c r="E322" i="29"/>
  <c r="F322" i="29"/>
  <c r="C323" i="29"/>
  <c r="D323" i="29"/>
  <c r="E323" i="29"/>
  <c r="F323" i="29"/>
  <c r="C324" i="29"/>
  <c r="D324" i="29"/>
  <c r="E324" i="29"/>
  <c r="F324" i="29"/>
  <c r="C325" i="29"/>
  <c r="D325" i="29"/>
  <c r="E325" i="29"/>
  <c r="F325" i="29"/>
  <c r="C326" i="29"/>
  <c r="D326" i="29"/>
  <c r="E326" i="29"/>
  <c r="F326" i="29"/>
  <c r="C327" i="29"/>
  <c r="D327" i="29"/>
  <c r="E327" i="29"/>
  <c r="F327" i="29"/>
  <c r="C328" i="29"/>
  <c r="D328" i="29"/>
  <c r="E328" i="29"/>
  <c r="F328" i="29"/>
  <c r="C329" i="29"/>
  <c r="D329" i="29"/>
  <c r="E329" i="29"/>
  <c r="F329" i="29"/>
  <c r="C330" i="29"/>
  <c r="D330" i="29"/>
  <c r="E330" i="29"/>
  <c r="F330" i="29"/>
  <c r="C331" i="29"/>
  <c r="D331" i="29"/>
  <c r="E331" i="29"/>
  <c r="F331" i="29"/>
  <c r="C332" i="29"/>
  <c r="D332" i="29"/>
  <c r="E332" i="29"/>
  <c r="F332" i="29"/>
  <c r="C333" i="29"/>
  <c r="D333" i="29"/>
  <c r="E333" i="29"/>
  <c r="F333" i="29"/>
  <c r="C334" i="29"/>
  <c r="D334" i="29"/>
  <c r="E334" i="29"/>
  <c r="F334" i="29"/>
  <c r="C335" i="29"/>
  <c r="D335" i="29"/>
  <c r="E335" i="29"/>
  <c r="F335" i="29"/>
  <c r="C336" i="29"/>
  <c r="D336" i="29"/>
  <c r="E336" i="29"/>
  <c r="F336" i="29"/>
  <c r="C337" i="29"/>
  <c r="D337" i="29"/>
  <c r="E337" i="29"/>
  <c r="F337" i="29"/>
  <c r="C338" i="29"/>
  <c r="D338" i="29"/>
  <c r="E338" i="29"/>
  <c r="F338" i="29"/>
  <c r="C339" i="29"/>
  <c r="D339" i="29"/>
  <c r="E339" i="29"/>
  <c r="F339" i="29"/>
  <c r="C340" i="29"/>
  <c r="D340" i="29"/>
  <c r="E340" i="29"/>
  <c r="F340" i="29"/>
  <c r="C341" i="29"/>
  <c r="D341" i="29"/>
  <c r="E341" i="29"/>
  <c r="F341" i="29"/>
  <c r="C342" i="29"/>
  <c r="D342" i="29"/>
  <c r="E342" i="29"/>
  <c r="F342" i="29"/>
  <c r="C343" i="29"/>
  <c r="D343" i="29"/>
  <c r="E343" i="29"/>
  <c r="F343" i="29"/>
  <c r="C344" i="29"/>
  <c r="D344" i="29"/>
  <c r="E344" i="29"/>
  <c r="F344" i="29"/>
  <c r="C345" i="29"/>
  <c r="D345" i="29"/>
  <c r="E345" i="29"/>
  <c r="F345" i="29"/>
  <c r="C346" i="29"/>
  <c r="D346" i="29"/>
  <c r="E346" i="29"/>
  <c r="F346" i="29"/>
  <c r="C347" i="29"/>
  <c r="D347" i="29"/>
  <c r="E347" i="29"/>
  <c r="F347" i="29"/>
  <c r="C348" i="29"/>
  <c r="D348" i="29"/>
  <c r="E348" i="29"/>
  <c r="F348" i="29"/>
  <c r="C349" i="29"/>
  <c r="D349" i="29"/>
  <c r="E349" i="29"/>
  <c r="F349" i="29"/>
  <c r="C350" i="29"/>
  <c r="D350" i="29"/>
  <c r="E350" i="29"/>
  <c r="F350" i="29"/>
  <c r="C351" i="29"/>
  <c r="D351" i="29"/>
  <c r="E351" i="29"/>
  <c r="F351" i="29"/>
  <c r="C352" i="29"/>
  <c r="D352" i="29"/>
  <c r="E352" i="29"/>
  <c r="F352" i="29"/>
  <c r="C353" i="29"/>
  <c r="D353" i="29"/>
  <c r="E353" i="29"/>
  <c r="F353" i="29"/>
  <c r="C354" i="29"/>
  <c r="D354" i="29"/>
  <c r="E354" i="29"/>
  <c r="F354" i="29"/>
  <c r="C355" i="29"/>
  <c r="D355" i="29"/>
  <c r="E355" i="29"/>
  <c r="F355" i="29"/>
  <c r="C356" i="29"/>
  <c r="D356" i="29"/>
  <c r="E356" i="29"/>
  <c r="F356" i="29"/>
  <c r="C357" i="29"/>
  <c r="D357" i="29"/>
  <c r="E357" i="29"/>
  <c r="F357" i="29"/>
  <c r="C358" i="29"/>
  <c r="D358" i="29"/>
  <c r="E358" i="29"/>
  <c r="F358" i="29"/>
  <c r="C359" i="29"/>
  <c r="D359" i="29"/>
  <c r="E359" i="29"/>
  <c r="F359" i="29"/>
  <c r="C360" i="29"/>
  <c r="D360" i="29"/>
  <c r="E360" i="29"/>
  <c r="F360" i="29"/>
  <c r="C361" i="29"/>
  <c r="D361" i="29"/>
  <c r="E361" i="29"/>
  <c r="F361" i="29"/>
  <c r="C362" i="29"/>
  <c r="D362" i="29"/>
  <c r="E362" i="29"/>
  <c r="F362" i="29"/>
  <c r="C363" i="29"/>
  <c r="D363" i="29"/>
  <c r="E363" i="29"/>
  <c r="F363" i="29"/>
  <c r="C364" i="29"/>
  <c r="D364" i="29"/>
  <c r="E364" i="29"/>
  <c r="F364" i="29"/>
  <c r="C365" i="29"/>
  <c r="D365" i="29"/>
  <c r="E365" i="29"/>
  <c r="F365" i="29"/>
  <c r="C366" i="29"/>
  <c r="D366" i="29"/>
  <c r="E366" i="29"/>
  <c r="F366" i="29"/>
  <c r="C367" i="29"/>
  <c r="D367" i="29"/>
  <c r="E367" i="29"/>
  <c r="F367" i="29"/>
  <c r="C368" i="29"/>
  <c r="D368" i="29"/>
  <c r="E368" i="29"/>
  <c r="F368" i="29"/>
  <c r="C369" i="29"/>
  <c r="D369" i="29"/>
  <c r="E369" i="29"/>
  <c r="F369" i="29"/>
  <c r="C370" i="29"/>
  <c r="D370" i="29"/>
  <c r="E370" i="29"/>
  <c r="F370" i="29"/>
  <c r="C371" i="29"/>
  <c r="D371" i="29"/>
  <c r="E371" i="29"/>
  <c r="F371" i="29"/>
  <c r="C372" i="29"/>
  <c r="D372" i="29"/>
  <c r="E372" i="29"/>
  <c r="F372" i="29"/>
  <c r="C373" i="29"/>
  <c r="D373" i="29"/>
  <c r="E373" i="29"/>
  <c r="F373" i="29"/>
  <c r="C374" i="29"/>
  <c r="D374" i="29"/>
  <c r="E374" i="29"/>
  <c r="F374" i="29"/>
  <c r="C375" i="29"/>
  <c r="D375" i="29"/>
  <c r="E375" i="29"/>
  <c r="F375" i="29"/>
  <c r="C376" i="29"/>
  <c r="D376" i="29"/>
  <c r="E376" i="29"/>
  <c r="F376" i="29"/>
  <c r="C377" i="29"/>
  <c r="D377" i="29"/>
  <c r="E377" i="29"/>
  <c r="F377" i="29"/>
  <c r="C378" i="29"/>
  <c r="D378" i="29"/>
  <c r="E378" i="29"/>
  <c r="F378" i="29"/>
  <c r="C379" i="29"/>
  <c r="D379" i="29"/>
  <c r="E379" i="29"/>
  <c r="F379" i="29"/>
  <c r="C380" i="29"/>
  <c r="D380" i="29"/>
  <c r="E380" i="29"/>
  <c r="F380" i="29"/>
  <c r="C381" i="29"/>
  <c r="D381" i="29"/>
  <c r="E381" i="29"/>
  <c r="F381" i="29"/>
  <c r="C382" i="29"/>
  <c r="D382" i="29"/>
  <c r="E382" i="29"/>
  <c r="F382" i="29"/>
  <c r="C383" i="29"/>
  <c r="D383" i="29"/>
  <c r="E383" i="29"/>
  <c r="F383" i="29"/>
  <c r="C384" i="29"/>
  <c r="D384" i="29"/>
  <c r="E384" i="29"/>
  <c r="F384" i="29"/>
  <c r="C385" i="29"/>
  <c r="D385" i="29"/>
  <c r="E385" i="29"/>
  <c r="F385" i="29"/>
  <c r="C386" i="29"/>
  <c r="D386" i="29"/>
  <c r="E386" i="29"/>
  <c r="F386" i="29"/>
  <c r="C387" i="29"/>
  <c r="D387" i="29"/>
  <c r="E387" i="29"/>
  <c r="F387" i="29"/>
  <c r="C388" i="29"/>
  <c r="D388" i="29"/>
  <c r="E388" i="29"/>
  <c r="F388" i="29"/>
  <c r="C389" i="29"/>
  <c r="D389" i="29"/>
  <c r="E389" i="29"/>
  <c r="F389" i="29"/>
  <c r="C390" i="29"/>
  <c r="D390" i="29"/>
  <c r="E390" i="29"/>
  <c r="F390" i="29"/>
  <c r="C391" i="29"/>
  <c r="D391" i="29"/>
  <c r="E391" i="29"/>
  <c r="F391" i="29"/>
  <c r="C392" i="29"/>
  <c r="D392" i="29"/>
  <c r="E392" i="29"/>
  <c r="F392" i="29"/>
  <c r="C393" i="29"/>
  <c r="D393" i="29"/>
  <c r="E393" i="29"/>
  <c r="F393" i="29"/>
  <c r="C394" i="29"/>
  <c r="D394" i="29"/>
  <c r="E394" i="29"/>
  <c r="F394" i="29"/>
  <c r="C395" i="29"/>
  <c r="D395" i="29"/>
  <c r="E395" i="29"/>
  <c r="F395" i="29"/>
  <c r="C396" i="29"/>
  <c r="D396" i="29"/>
  <c r="E396" i="29"/>
  <c r="F396" i="29"/>
  <c r="C397" i="29"/>
  <c r="D397" i="29"/>
  <c r="E397" i="29"/>
  <c r="F397" i="29"/>
  <c r="C398" i="29"/>
  <c r="D398" i="29"/>
  <c r="E398" i="29"/>
  <c r="F398" i="29"/>
  <c r="C399" i="29"/>
  <c r="D399" i="29"/>
  <c r="E399" i="29"/>
  <c r="F399" i="29"/>
  <c r="C400" i="29"/>
  <c r="D400" i="29"/>
  <c r="E400" i="29"/>
  <c r="F400" i="29"/>
  <c r="C401" i="29"/>
  <c r="D401" i="29"/>
  <c r="E401" i="29"/>
  <c r="F401" i="29"/>
  <c r="C402" i="29"/>
  <c r="D402" i="29"/>
  <c r="E402" i="29"/>
  <c r="F402" i="29"/>
  <c r="C403" i="29"/>
  <c r="D403" i="29"/>
  <c r="E403" i="29"/>
  <c r="F403" i="29"/>
  <c r="F9" i="29"/>
  <c r="E9" i="29"/>
  <c r="D9" i="29"/>
  <c r="C9" i="29"/>
  <c r="C406" i="29"/>
  <c r="DN144" i="1"/>
  <c r="DN228" i="1"/>
  <c r="B1" i="26"/>
  <c r="C1" i="26" s="1"/>
  <c r="D1" i="26" s="1"/>
  <c r="E1" i="26" s="1"/>
  <c r="F1" i="26" s="1"/>
  <c r="G1" i="26" s="1"/>
  <c r="H1" i="26" s="1"/>
  <c r="I1" i="26" s="1"/>
  <c r="J1" i="26" s="1"/>
  <c r="K1" i="26" s="1"/>
  <c r="L1" i="26" s="1"/>
  <c r="M1" i="26" s="1"/>
  <c r="N1" i="26" s="1"/>
  <c r="O1" i="26" s="1"/>
  <c r="P1" i="26" s="1"/>
  <c r="Q1" i="26" s="1"/>
  <c r="R1" i="26" s="1"/>
  <c r="S1" i="26" s="1"/>
  <c r="T1" i="26" s="1"/>
  <c r="U1" i="26" s="1"/>
  <c r="V1" i="26" s="1"/>
  <c r="W1" i="26" s="1"/>
  <c r="X1" i="26" s="1"/>
  <c r="Y1" i="26" s="1"/>
  <c r="Z1" i="26" s="1"/>
  <c r="AA1" i="26" s="1"/>
  <c r="AB1" i="26" s="1"/>
  <c r="AC1" i="26" s="1"/>
  <c r="AD1" i="26" s="1"/>
  <c r="AE1" i="26" s="1"/>
  <c r="AF1" i="26" s="1"/>
  <c r="AG1" i="26" s="1"/>
  <c r="AH1" i="26" s="1"/>
  <c r="AI1" i="26" s="1"/>
  <c r="AG400" i="26"/>
  <c r="AF400" i="26"/>
  <c r="AE400" i="26"/>
  <c r="CI383" i="1" s="1"/>
  <c r="AD400" i="26"/>
  <c r="CF383" i="1" s="1"/>
  <c r="AC400" i="26"/>
  <c r="CC383" i="1" s="1"/>
  <c r="AB400" i="26"/>
  <c r="BZ383" i="1" s="1"/>
  <c r="AA400" i="26"/>
  <c r="BW383" i="1" s="1"/>
  <c r="Y400" i="26"/>
  <c r="BN383" i="1" s="1"/>
  <c r="X400" i="26"/>
  <c r="BK383" i="1" s="1"/>
  <c r="W400" i="26"/>
  <c r="BH383" i="1" s="1"/>
  <c r="V400" i="26"/>
  <c r="BE383" i="1" s="1"/>
  <c r="U400" i="26"/>
  <c r="BB383" i="1" s="1"/>
  <c r="T400" i="26"/>
  <c r="AY383" i="1" s="1"/>
  <c r="S400" i="26"/>
  <c r="AV383" i="1" s="1"/>
  <c r="Q400" i="26"/>
  <c r="AP383" i="1" s="1"/>
  <c r="P400" i="26"/>
  <c r="AM383" i="1" s="1"/>
  <c r="O400" i="26"/>
  <c r="AJ383" i="1" s="1"/>
  <c r="N400" i="26"/>
  <c r="AD383" i="1" s="1"/>
  <c r="M400" i="26"/>
  <c r="L400" i="26"/>
  <c r="X383" i="1" s="1"/>
  <c r="K400" i="26"/>
  <c r="U383" i="1" s="1"/>
  <c r="J400" i="26"/>
  <c r="R383" i="1" s="1"/>
  <c r="I400" i="26"/>
  <c r="O383" i="1" s="1"/>
  <c r="H400" i="26"/>
  <c r="G400" i="26"/>
  <c r="I383" i="1" s="1"/>
  <c r="F400" i="26"/>
  <c r="E400" i="26"/>
  <c r="D400" i="26"/>
  <c r="C400" i="26"/>
  <c r="S171" i="30"/>
  <c r="D5" i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K5" i="1" s="1"/>
  <c r="AL5" i="1" s="1"/>
  <c r="AM5" i="1" s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AX5" i="1" s="1"/>
  <c r="AY5" i="1" s="1"/>
  <c r="AZ5" i="1" s="1"/>
  <c r="BA5" i="1" s="1"/>
  <c r="BB5" i="1" s="1"/>
  <c r="BC5" i="1" s="1"/>
  <c r="BD5" i="1" s="1"/>
  <c r="BE5" i="1" s="1"/>
  <c r="BF5" i="1" s="1"/>
  <c r="BG5" i="1" s="1"/>
  <c r="BH5" i="1" s="1"/>
  <c r="BI5" i="1" s="1"/>
  <c r="BJ5" i="1" s="1"/>
  <c r="BK5" i="1" s="1"/>
  <c r="BL5" i="1" s="1"/>
  <c r="BM5" i="1" s="1"/>
  <c r="BN5" i="1" s="1"/>
  <c r="BO5" i="1" s="1"/>
  <c r="BP5" i="1" s="1"/>
  <c r="BQ5" i="1" s="1"/>
  <c r="BR5" i="1" s="1"/>
  <c r="BS5" i="1" s="1"/>
  <c r="BT5" i="1" s="1"/>
  <c r="BU5" i="1" s="1"/>
  <c r="BV5" i="1" s="1"/>
  <c r="BW5" i="1" s="1"/>
  <c r="BX5" i="1" s="1"/>
  <c r="BY5" i="1" s="1"/>
  <c r="BZ5" i="1" s="1"/>
  <c r="CA5" i="1" s="1"/>
  <c r="CB5" i="1" s="1"/>
  <c r="CC5" i="1" s="1"/>
  <c r="CD5" i="1" s="1"/>
  <c r="CE5" i="1" s="1"/>
  <c r="CF5" i="1" s="1"/>
  <c r="CG5" i="1" s="1"/>
  <c r="CH5" i="1" s="1"/>
  <c r="CI5" i="1" s="1"/>
  <c r="CJ5" i="1" s="1"/>
  <c r="CK5" i="1" s="1"/>
  <c r="CL5" i="1" s="1"/>
  <c r="CM5" i="1" s="1"/>
  <c r="CN5" i="1" s="1"/>
  <c r="CO5" i="1" s="1"/>
  <c r="CP5" i="1" s="1"/>
  <c r="CQ5" i="1" s="1"/>
  <c r="CR5" i="1" s="1"/>
  <c r="CS5" i="1" s="1"/>
  <c r="CT5" i="1" s="1"/>
  <c r="CU5" i="1" s="1"/>
  <c r="CV5" i="1" s="1"/>
  <c r="CW5" i="1" s="1"/>
  <c r="CX5" i="1" s="1"/>
  <c r="CY5" i="1" s="1"/>
  <c r="CZ5" i="1" s="1"/>
  <c r="DA5" i="1" s="1"/>
  <c r="DB5" i="1" s="1"/>
  <c r="DC5" i="1" s="1"/>
  <c r="DD5" i="1" s="1"/>
  <c r="DE5" i="1" s="1"/>
  <c r="DF5" i="1" s="1"/>
  <c r="B407" i="21"/>
  <c r="F3" i="5"/>
  <c r="C3" i="13"/>
  <c r="E3" i="12"/>
  <c r="G3" i="1"/>
  <c r="E3" i="3"/>
  <c r="D5" i="3" s="1"/>
  <c r="V41" i="3"/>
  <c r="U22" i="3"/>
  <c r="U41" i="3" s="1"/>
  <c r="T41" i="3"/>
  <c r="R41" i="3"/>
  <c r="S22" i="3"/>
  <c r="S41" i="3" s="1"/>
  <c r="Q22" i="3"/>
  <c r="Q41" i="3" s="1"/>
  <c r="O40" i="3"/>
  <c r="O31" i="3"/>
  <c r="O21" i="3"/>
  <c r="L40" i="3"/>
  <c r="L31" i="3"/>
  <c r="L21" i="3"/>
  <c r="I40" i="3"/>
  <c r="I31" i="3"/>
  <c r="I21" i="3"/>
  <c r="D1" i="13"/>
  <c r="F31" i="12"/>
  <c r="E31" i="12"/>
  <c r="E21" i="12"/>
  <c r="I7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7" i="5"/>
  <c r="J28" i="5"/>
  <c r="J29" i="5"/>
  <c r="J30" i="5"/>
  <c r="J31" i="5"/>
  <c r="J32" i="5"/>
  <c r="J34" i="5"/>
  <c r="H34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4" i="5"/>
  <c r="H13" i="5"/>
  <c r="H12" i="5"/>
  <c r="H11" i="5"/>
  <c r="H10" i="5"/>
  <c r="H9" i="5"/>
  <c r="H8" i="5"/>
  <c r="H7" i="5"/>
  <c r="G15" i="5"/>
  <c r="G33" i="5" s="1"/>
  <c r="G35" i="5" s="1"/>
  <c r="E8" i="5"/>
  <c r="E9" i="5"/>
  <c r="E10" i="5"/>
  <c r="E11" i="5"/>
  <c r="E12" i="5"/>
  <c r="E13" i="5"/>
  <c r="E14" i="5"/>
  <c r="E16" i="5"/>
  <c r="E17" i="5"/>
  <c r="E18" i="5"/>
  <c r="E19" i="5"/>
  <c r="E20" i="5"/>
  <c r="E21" i="5"/>
  <c r="E22" i="5"/>
  <c r="E23" i="5"/>
  <c r="E24" i="5"/>
  <c r="E25" i="5"/>
  <c r="E27" i="5"/>
  <c r="E28" i="5"/>
  <c r="E29" i="5"/>
  <c r="E30" i="5"/>
  <c r="E31" i="5"/>
  <c r="E32" i="5"/>
  <c r="E34" i="5"/>
  <c r="E7" i="5"/>
  <c r="E26" i="5"/>
  <c r="D15" i="5"/>
  <c r="D33" i="5" s="1"/>
  <c r="D35" i="5" s="1"/>
  <c r="E36" i="5" s="1"/>
  <c r="J26" i="5"/>
  <c r="I34" i="5"/>
  <c r="I8" i="5"/>
  <c r="I9" i="5"/>
  <c r="I10" i="5"/>
  <c r="I11" i="5"/>
  <c r="I12" i="5"/>
  <c r="I13" i="5"/>
  <c r="I14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E21" i="3"/>
  <c r="E31" i="3"/>
  <c r="E40" i="3"/>
  <c r="I15" i="5"/>
  <c r="L138" i="30" l="1"/>
  <c r="L88" i="30"/>
  <c r="H35" i="5"/>
  <c r="H36" i="5"/>
  <c r="EA271" i="1"/>
  <c r="K26" i="5"/>
  <c r="K23" i="5"/>
  <c r="K14" i="5"/>
  <c r="Z400" i="26"/>
  <c r="BT383" i="1" s="1"/>
  <c r="K29" i="5"/>
  <c r="K25" i="5"/>
  <c r="C404" i="29"/>
  <c r="K24" i="5"/>
  <c r="K20" i="5"/>
  <c r="K16" i="5"/>
  <c r="K34" i="5"/>
  <c r="K7" i="5"/>
  <c r="F404" i="29"/>
  <c r="AH39" i="26"/>
  <c r="AI39" i="26"/>
  <c r="DU68" i="1" s="1"/>
  <c r="DV68" i="1" s="1"/>
  <c r="AH51" i="26"/>
  <c r="AI51" i="26"/>
  <c r="DU69" i="1" s="1"/>
  <c r="DV69" i="1" s="1"/>
  <c r="AH64" i="26"/>
  <c r="AI64" i="26"/>
  <c r="DU78" i="1" s="1"/>
  <c r="DV78" i="1" s="1"/>
  <c r="K11" i="5"/>
  <c r="DG5" i="1"/>
  <c r="DH5" i="1" s="1"/>
  <c r="DI5" i="1" s="1"/>
  <c r="DJ5" i="1" s="1"/>
  <c r="DK5" i="1" s="1"/>
  <c r="DL5" i="1" s="1"/>
  <c r="DM5" i="1" s="1"/>
  <c r="DN5" i="1" s="1"/>
  <c r="DO5" i="1" s="1"/>
  <c r="DP5" i="1" s="1"/>
  <c r="DQ5" i="1" s="1"/>
  <c r="DR5" i="1" s="1"/>
  <c r="DS5" i="1" s="1"/>
  <c r="DT5" i="1" s="1"/>
  <c r="DU5" i="1" s="1"/>
  <c r="DV5" i="1" s="1"/>
  <c r="DW5" i="1" s="1"/>
  <c r="DX5" i="1" s="1"/>
  <c r="DY5" i="1" s="1"/>
  <c r="DZ5" i="1" s="1"/>
  <c r="AH49" i="26"/>
  <c r="AI49" i="26"/>
  <c r="AH65" i="26"/>
  <c r="AI65" i="26"/>
  <c r="AH37" i="26"/>
  <c r="AI37" i="26"/>
  <c r="DU66" i="1" s="1"/>
  <c r="AH50" i="26"/>
  <c r="AI50" i="26"/>
  <c r="AH68" i="26"/>
  <c r="AI68" i="26"/>
  <c r="DD372" i="1"/>
  <c r="H373" i="1"/>
  <c r="DD373" i="1"/>
  <c r="DD371" i="1"/>
  <c r="H372" i="1"/>
  <c r="G373" i="1"/>
  <c r="G371" i="1"/>
  <c r="G372" i="1"/>
  <c r="H371" i="1"/>
  <c r="K32" i="5"/>
  <c r="K28" i="5"/>
  <c r="J15" i="5"/>
  <c r="J33" i="5" s="1"/>
  <c r="J35" i="5" s="1"/>
  <c r="J47" i="5" s="1"/>
  <c r="H15" i="5"/>
  <c r="H33" i="5"/>
  <c r="K10" i="5"/>
  <c r="E404" i="29"/>
  <c r="K18" i="5"/>
  <c r="D404" i="29"/>
  <c r="K30" i="5"/>
  <c r="K17" i="5"/>
  <c r="K19" i="5"/>
  <c r="K22" i="5"/>
  <c r="K13" i="5"/>
  <c r="E33" i="5"/>
  <c r="E15" i="5"/>
  <c r="K8" i="5"/>
  <c r="AH48" i="26"/>
  <c r="AH400" i="26" s="1"/>
  <c r="AI400" i="26" s="1"/>
  <c r="AI403" i="26" s="1"/>
  <c r="E35" i="5"/>
  <c r="K21" i="5"/>
  <c r="K12" i="5"/>
  <c r="I134" i="24"/>
  <c r="I123" i="24"/>
  <c r="K31" i="5"/>
  <c r="K27" i="5"/>
  <c r="I33" i="5"/>
  <c r="I35" i="5" s="1"/>
  <c r="K9" i="5"/>
  <c r="I286" i="24"/>
  <c r="E348" i="4"/>
  <c r="E301" i="4"/>
  <c r="E285" i="4"/>
  <c r="E213" i="4"/>
  <c r="DD368" i="1"/>
  <c r="E359" i="4"/>
  <c r="E343" i="4"/>
  <c r="E327" i="4"/>
  <c r="E311" i="4"/>
  <c r="E304" i="4"/>
  <c r="E296" i="4"/>
  <c r="E281" i="4"/>
  <c r="E267" i="4"/>
  <c r="E263" i="4"/>
  <c r="E257" i="4"/>
  <c r="E231" i="4"/>
  <c r="E227" i="4"/>
  <c r="E171" i="4"/>
  <c r="E155" i="4"/>
  <c r="E119" i="4"/>
  <c r="E67" i="4"/>
  <c r="E53" i="4"/>
  <c r="E41" i="4"/>
  <c r="E37" i="4"/>
  <c r="C12" i="30"/>
  <c r="C62" i="30"/>
  <c r="D62" i="30" s="1"/>
  <c r="C112" i="30"/>
  <c r="D112" i="30" s="1"/>
  <c r="DR368" i="1"/>
  <c r="DC368" i="1"/>
  <c r="AA383" i="1"/>
  <c r="E11" i="4"/>
  <c r="E151" i="4"/>
  <c r="E135" i="4"/>
  <c r="E117" i="4"/>
  <c r="E101" i="4"/>
  <c r="E64" i="4"/>
  <c r="E49" i="4"/>
  <c r="E20" i="4"/>
  <c r="E329" i="4"/>
  <c r="E302" i="4"/>
  <c r="E294" i="4"/>
  <c r="E290" i="4"/>
  <c r="E286" i="4"/>
  <c r="E282" i="4"/>
  <c r="E235" i="4"/>
  <c r="E358" i="4"/>
  <c r="E350" i="4"/>
  <c r="E334" i="4"/>
  <c r="E330" i="4"/>
  <c r="E318" i="4"/>
  <c r="E303" i="4"/>
  <c r="E287" i="4"/>
  <c r="E283" i="4"/>
  <c r="E277" i="4"/>
  <c r="E233" i="4"/>
  <c r="E215" i="4"/>
  <c r="E211" i="4"/>
  <c r="E174" i="4"/>
  <c r="E134" i="4"/>
  <c r="E128" i="4"/>
  <c r="E118" i="4"/>
  <c r="E104" i="4"/>
  <c r="E93" i="4"/>
  <c r="E78" i="4"/>
  <c r="E56" i="4"/>
  <c r="E14" i="4"/>
  <c r="E368" i="4"/>
  <c r="E356" i="4"/>
  <c r="E352" i="4"/>
  <c r="E268" i="4"/>
  <c r="E264" i="4"/>
  <c r="E220" i="4"/>
  <c r="E198" i="4"/>
  <c r="E168" i="4"/>
  <c r="E156" i="4"/>
  <c r="E140" i="4"/>
  <c r="E133" i="4"/>
  <c r="E114" i="4"/>
  <c r="E106" i="4"/>
  <c r="E84" i="4"/>
  <c r="E80" i="4"/>
  <c r="E46" i="4"/>
  <c r="E29" i="4"/>
  <c r="E16" i="4"/>
  <c r="DI370" i="1"/>
  <c r="E230" i="4"/>
  <c r="DO228" i="1"/>
  <c r="DP228" i="1" s="1"/>
  <c r="DO144" i="1"/>
  <c r="DP144" i="1" s="1"/>
  <c r="E146" i="4"/>
  <c r="E19" i="4"/>
  <c r="E12" i="4"/>
  <c r="E181" i="4"/>
  <c r="E153" i="4"/>
  <c r="E145" i="4"/>
  <c r="E26" i="4"/>
  <c r="R400" i="26"/>
  <c r="AS383" i="1" s="1"/>
  <c r="E250" i="4"/>
  <c r="E238" i="4"/>
  <c r="E228" i="4"/>
  <c r="E216" i="4"/>
  <c r="E209" i="4"/>
  <c r="E180" i="4"/>
  <c r="E172" i="4"/>
  <c r="E164" i="4"/>
  <c r="E144" i="4"/>
  <c r="E136" i="4"/>
  <c r="E130" i="4"/>
  <c r="E110" i="4"/>
  <c r="E102" i="4"/>
  <c r="E94" i="4"/>
  <c r="E88" i="4"/>
  <c r="E81" i="4"/>
  <c r="E76" i="4"/>
  <c r="E69" i="4"/>
  <c r="E65" i="4"/>
  <c r="E54" i="4"/>
  <c r="E42" i="4"/>
  <c r="E21" i="4"/>
  <c r="E369" i="4"/>
  <c r="E365" i="4"/>
  <c r="E361" i="4"/>
  <c r="E357" i="4"/>
  <c r="E353" i="4"/>
  <c r="E349" i="4"/>
  <c r="E345" i="4"/>
  <c r="E272" i="4"/>
  <c r="E269" i="4"/>
  <c r="E265" i="4"/>
  <c r="E261" i="4"/>
  <c r="E259" i="4"/>
  <c r="E255" i="4"/>
  <c r="E243" i="4"/>
  <c r="E221" i="4"/>
  <c r="E195" i="4"/>
  <c r="E191" i="4"/>
  <c r="E177" i="4"/>
  <c r="E161" i="4"/>
  <c r="E149" i="4"/>
  <c r="E51" i="4"/>
  <c r="E39" i="4"/>
  <c r="E254" i="4"/>
  <c r="E246" i="4"/>
  <c r="E242" i="4"/>
  <c r="E201" i="4"/>
  <c r="E183" i="4"/>
  <c r="E176" i="4"/>
  <c r="E160" i="4"/>
  <c r="E152" i="4"/>
  <c r="E148" i="4"/>
  <c r="E62" i="4"/>
  <c r="E58" i="4"/>
  <c r="E50" i="4"/>
  <c r="E38" i="4"/>
  <c r="E25" i="4"/>
  <c r="E251" i="4"/>
  <c r="E239" i="4"/>
  <c r="E232" i="4"/>
  <c r="E229" i="4"/>
  <c r="E225" i="4"/>
  <c r="E217" i="4"/>
  <c r="E214" i="4"/>
  <c r="E210" i="4"/>
  <c r="E206" i="4"/>
  <c r="E202" i="4"/>
  <c r="E187" i="4"/>
  <c r="E184" i="4"/>
  <c r="E169" i="4"/>
  <c r="E165" i="4"/>
  <c r="E157" i="4"/>
  <c r="E141" i="4"/>
  <c r="E137" i="4"/>
  <c r="E131" i="4"/>
  <c r="E127" i="4"/>
  <c r="E121" i="4"/>
  <c r="E115" i="4"/>
  <c r="E111" i="4"/>
  <c r="E107" i="4"/>
  <c r="E103" i="4"/>
  <c r="E99" i="4"/>
  <c r="E95" i="4"/>
  <c r="E92" i="4"/>
  <c r="E89" i="4"/>
  <c r="E85" i="4"/>
  <c r="E77" i="4"/>
  <c r="E73" i="4"/>
  <c r="E70" i="4"/>
  <c r="E66" i="4"/>
  <c r="E55" i="4"/>
  <c r="E47" i="4"/>
  <c r="E43" i="4"/>
  <c r="E35" i="4"/>
  <c r="E32" i="4"/>
  <c r="E30" i="4"/>
  <c r="E22" i="4"/>
  <c r="E18" i="4"/>
  <c r="L383" i="1"/>
  <c r="CL383" i="1"/>
  <c r="CO383" i="1"/>
  <c r="AG383" i="1"/>
  <c r="BQ383" i="1"/>
  <c r="E23" i="4" l="1"/>
  <c r="E36" i="4"/>
  <c r="E52" i="4"/>
  <c r="E68" i="4"/>
  <c r="E86" i="4"/>
  <c r="E100" i="4"/>
  <c r="E116" i="4"/>
  <c r="E150" i="4"/>
  <c r="E166" i="4"/>
  <c r="E182" i="4"/>
  <c r="E196" i="4"/>
  <c r="E226" i="4"/>
  <c r="E244" i="4"/>
  <c r="E260" i="4"/>
  <c r="E273" i="4"/>
  <c r="E291" i="4"/>
  <c r="E306" i="4"/>
  <c r="E322" i="4"/>
  <c r="E338" i="4"/>
  <c r="E354" i="4"/>
  <c r="E247" i="4"/>
  <c r="E321" i="4"/>
  <c r="E337" i="4"/>
  <c r="E167" i="4"/>
  <c r="E253" i="4"/>
  <c r="E24" i="4"/>
  <c r="E45" i="4"/>
  <c r="E87" i="4"/>
  <c r="E109" i="4"/>
  <c r="E129" i="4"/>
  <c r="E147" i="4"/>
  <c r="E189" i="4"/>
  <c r="E212" i="4"/>
  <c r="E249" i="4"/>
  <c r="E271" i="4"/>
  <c r="E284" i="4"/>
  <c r="E300" i="4"/>
  <c r="E315" i="4"/>
  <c r="E331" i="4"/>
  <c r="E347" i="4"/>
  <c r="E363" i="4"/>
  <c r="E17" i="4"/>
  <c r="E126" i="4"/>
  <c r="E279" i="4"/>
  <c r="E297" i="4"/>
  <c r="E312" i="4"/>
  <c r="E328" i="4"/>
  <c r="E344" i="4"/>
  <c r="E27" i="4"/>
  <c r="E40" i="4"/>
  <c r="E74" i="4"/>
  <c r="E90" i="4"/>
  <c r="E154" i="4"/>
  <c r="E170" i="4"/>
  <c r="E185" i="4"/>
  <c r="E199" i="4"/>
  <c r="E248" i="4"/>
  <c r="E262" i="4"/>
  <c r="E295" i="4"/>
  <c r="E310" i="4"/>
  <c r="E326" i="4"/>
  <c r="E342" i="4"/>
  <c r="E59" i="4"/>
  <c r="E276" i="4"/>
  <c r="E309" i="4"/>
  <c r="E325" i="4"/>
  <c r="E341" i="4"/>
  <c r="E125" i="4"/>
  <c r="E193" i="4"/>
  <c r="E28" i="4"/>
  <c r="E75" i="4"/>
  <c r="E91" i="4"/>
  <c r="E113" i="4"/>
  <c r="E132" i="4"/>
  <c r="E175" i="4"/>
  <c r="E197" i="4"/>
  <c r="E219" i="4"/>
  <c r="E234" i="4"/>
  <c r="E274" i="4"/>
  <c r="E288" i="4"/>
  <c r="E319" i="4"/>
  <c r="E335" i="4"/>
  <c r="E351" i="4"/>
  <c r="E367" i="4"/>
  <c r="E72" i="4"/>
  <c r="E190" i="4"/>
  <c r="E224" i="4"/>
  <c r="E316" i="4"/>
  <c r="E332" i="4"/>
  <c r="E13" i="4"/>
  <c r="E31" i="4"/>
  <c r="E44" i="4"/>
  <c r="E60" i="4"/>
  <c r="E108" i="4"/>
  <c r="E122" i="4"/>
  <c r="E138" i="4"/>
  <c r="E158" i="4"/>
  <c r="E188" i="4"/>
  <c r="E203" i="4"/>
  <c r="E218" i="4"/>
  <c r="E236" i="4"/>
  <c r="E252" i="4"/>
  <c r="E266" i="4"/>
  <c r="E299" i="4"/>
  <c r="E314" i="4"/>
  <c r="E346" i="4"/>
  <c r="E362" i="4"/>
  <c r="E173" i="4"/>
  <c r="E280" i="4"/>
  <c r="E313" i="4"/>
  <c r="E71" i="4"/>
  <c r="E204" i="4"/>
  <c r="E57" i="4"/>
  <c r="E79" i="4"/>
  <c r="E97" i="4"/>
  <c r="E139" i="4"/>
  <c r="E159" i="4"/>
  <c r="E179" i="4"/>
  <c r="E200" i="4"/>
  <c r="E223" i="4"/>
  <c r="E241" i="4"/>
  <c r="E278" i="4"/>
  <c r="E292" i="4"/>
  <c r="E307" i="4"/>
  <c r="E323" i="4"/>
  <c r="E339" i="4"/>
  <c r="E355" i="4"/>
  <c r="E98" i="4"/>
  <c r="E194" i="4"/>
  <c r="E258" i="4"/>
  <c r="E289" i="4"/>
  <c r="E305" i="4"/>
  <c r="E320" i="4"/>
  <c r="E336" i="4"/>
  <c r="E360" i="4"/>
  <c r="E33" i="4"/>
  <c r="E48" i="4"/>
  <c r="E63" i="4"/>
  <c r="E82" i="4"/>
  <c r="E96" i="4"/>
  <c r="E112" i="4"/>
  <c r="E124" i="4"/>
  <c r="E142" i="4"/>
  <c r="E162" i="4"/>
  <c r="E178" i="4"/>
  <c r="E192" i="4"/>
  <c r="E207" i="4"/>
  <c r="E222" i="4"/>
  <c r="E240" i="4"/>
  <c r="E256" i="4"/>
  <c r="E270" i="4"/>
  <c r="E366" i="4"/>
  <c r="E298" i="4"/>
  <c r="E317" i="4"/>
  <c r="E333" i="4"/>
  <c r="E34" i="4"/>
  <c r="E237" i="4"/>
  <c r="E15" i="4"/>
  <c r="E61" i="4"/>
  <c r="E83" i="4"/>
  <c r="E105" i="4"/>
  <c r="E123" i="4"/>
  <c r="E143" i="4"/>
  <c r="E163" i="4"/>
  <c r="E186" i="4"/>
  <c r="E208" i="4"/>
  <c r="E245" i="4"/>
  <c r="E120" i="4"/>
  <c r="E205" i="4"/>
  <c r="E275" i="4"/>
  <c r="E293" i="4"/>
  <c r="E308" i="4"/>
  <c r="E324" i="4"/>
  <c r="E340" i="4"/>
  <c r="E364" i="4"/>
  <c r="K15" i="5"/>
  <c r="EA222" i="1"/>
  <c r="EA363" i="1"/>
  <c r="EA343" i="1"/>
  <c r="EA320" i="1"/>
  <c r="EA312" i="1"/>
  <c r="EA296" i="1"/>
  <c r="EA288" i="1"/>
  <c r="EA257" i="1"/>
  <c r="EA241" i="1"/>
  <c r="EA217" i="1"/>
  <c r="EA191" i="1"/>
  <c r="EA151" i="1"/>
  <c r="EA136" i="1"/>
  <c r="EA104" i="1"/>
  <c r="EA93" i="1"/>
  <c r="EA62" i="1"/>
  <c r="EA38" i="1"/>
  <c r="EA21" i="1"/>
  <c r="EA332" i="1"/>
  <c r="EA297" i="1"/>
  <c r="EA220" i="1"/>
  <c r="EA94" i="1"/>
  <c r="EA367" i="1"/>
  <c r="EA354" i="1"/>
  <c r="EA327" i="1"/>
  <c r="EA315" i="1"/>
  <c r="EA301" i="1"/>
  <c r="EA291" i="1"/>
  <c r="EA281" i="1"/>
  <c r="EA261" i="1"/>
  <c r="EA247" i="1"/>
  <c r="EA198" i="1"/>
  <c r="EA170" i="1"/>
  <c r="EA141" i="1"/>
  <c r="EA109" i="1"/>
  <c r="EA99" i="1"/>
  <c r="EA74" i="1"/>
  <c r="EA46" i="1"/>
  <c r="EA33" i="1"/>
  <c r="EA325" i="1"/>
  <c r="EA264" i="1"/>
  <c r="EA193" i="1"/>
  <c r="EA63" i="1"/>
  <c r="EA366" i="1"/>
  <c r="EA348" i="1"/>
  <c r="EA326" i="1"/>
  <c r="EA314" i="1"/>
  <c r="EA300" i="1"/>
  <c r="EA290" i="1"/>
  <c r="EA280" i="1"/>
  <c r="EA260" i="1"/>
  <c r="EA246" i="1"/>
  <c r="EA221" i="1"/>
  <c r="EA194" i="1"/>
  <c r="EA154" i="1"/>
  <c r="EA139" i="1"/>
  <c r="EA107" i="1"/>
  <c r="EA97" i="1"/>
  <c r="EA64" i="1"/>
  <c r="EA40" i="1"/>
  <c r="EA32" i="1"/>
  <c r="EA364" i="1"/>
  <c r="EA293" i="1"/>
  <c r="EA233" i="1"/>
  <c r="EA112" i="1"/>
  <c r="EA90" i="1"/>
  <c r="EA317" i="1"/>
  <c r="EA250" i="1"/>
  <c r="EA152" i="1"/>
  <c r="EA55" i="1"/>
  <c r="EA359" i="1"/>
  <c r="EA328" i="1"/>
  <c r="EA316" i="1"/>
  <c r="EA303" i="1"/>
  <c r="EA292" i="1"/>
  <c r="EA282" i="1"/>
  <c r="EA263" i="1"/>
  <c r="EA248" i="1"/>
  <c r="EA228" i="1"/>
  <c r="EA199" i="1"/>
  <c r="EA172" i="1"/>
  <c r="EA142" i="1"/>
  <c r="EA111" i="1"/>
  <c r="EA100" i="1"/>
  <c r="EA88" i="1"/>
  <c r="EA53" i="1"/>
  <c r="EA34" i="1"/>
  <c r="EA309" i="1"/>
  <c r="EA274" i="1"/>
  <c r="EA143" i="1"/>
  <c r="EA35" i="1"/>
  <c r="EA362" i="1"/>
  <c r="EA339" i="1"/>
  <c r="EA319" i="1"/>
  <c r="EA311" i="1"/>
  <c r="EA295" i="1"/>
  <c r="EA286" i="1"/>
  <c r="EA267" i="1"/>
  <c r="EA255" i="1"/>
  <c r="EA240" i="1"/>
  <c r="EA213" i="1"/>
  <c r="EA190" i="1"/>
  <c r="EA148" i="1"/>
  <c r="EA134" i="1"/>
  <c r="EA103" i="1"/>
  <c r="EA92" i="1"/>
  <c r="EA61" i="1"/>
  <c r="EA37" i="1"/>
  <c r="EA20" i="1"/>
  <c r="EA360" i="1"/>
  <c r="EA289" i="1"/>
  <c r="EA243" i="1"/>
  <c r="EA137" i="1"/>
  <c r="EA22" i="1"/>
  <c r="EA361" i="1"/>
  <c r="EA338" i="1"/>
  <c r="EA318" i="1"/>
  <c r="EA310" i="1"/>
  <c r="EA294" i="1"/>
  <c r="EA284" i="1"/>
  <c r="EA266" i="1"/>
  <c r="EA253" i="1"/>
  <c r="EA235" i="1"/>
  <c r="EA207" i="1"/>
  <c r="EA189" i="1"/>
  <c r="EA144" i="1"/>
  <c r="EA125" i="1"/>
  <c r="EA102" i="1"/>
  <c r="EA91" i="1"/>
  <c r="EA56" i="1"/>
  <c r="EA36" i="1"/>
  <c r="EA19" i="1"/>
  <c r="EA313" i="1"/>
  <c r="EA259" i="1"/>
  <c r="EA186" i="1"/>
  <c r="EA106" i="1"/>
  <c r="EA39" i="1"/>
  <c r="EA346" i="1"/>
  <c r="EA283" i="1"/>
  <c r="EA201" i="1"/>
  <c r="EA101" i="1"/>
  <c r="EA18" i="1"/>
  <c r="EA5" i="1"/>
  <c r="EB5" i="1" s="1"/>
  <c r="EC5" i="1" s="1"/>
  <c r="ED5" i="1" s="1"/>
  <c r="EE5" i="1" s="1"/>
  <c r="EF5" i="1" s="1"/>
  <c r="EG5" i="1" s="1"/>
  <c r="EH5" i="1" s="1"/>
  <c r="DV66" i="1"/>
  <c r="DU368" i="1"/>
  <c r="H123" i="24"/>
  <c r="K123" i="24" s="1"/>
  <c r="H200" i="24"/>
  <c r="E371" i="1"/>
  <c r="E372" i="1"/>
  <c r="J7" i="3" s="1"/>
  <c r="E373" i="1"/>
  <c r="M7" i="3" s="1"/>
  <c r="H64" i="24"/>
  <c r="H79" i="24"/>
  <c r="DS371" i="1"/>
  <c r="DT368" i="1"/>
  <c r="H286" i="24"/>
  <c r="J286" i="24" s="1"/>
  <c r="H134" i="24"/>
  <c r="J134" i="24" s="1"/>
  <c r="I200" i="24"/>
  <c r="J200" i="24" s="1"/>
  <c r="I284" i="24"/>
  <c r="DS369" i="1"/>
  <c r="C59" i="30"/>
  <c r="C64" i="30" s="1"/>
  <c r="D64" i="30" s="1"/>
  <c r="C109" i="30"/>
  <c r="K33" i="5"/>
  <c r="I47" i="5"/>
  <c r="K47" i="5" s="1"/>
  <c r="K35" i="5"/>
  <c r="J36" i="5"/>
  <c r="DD374" i="1"/>
  <c r="DD385" i="1" s="1"/>
  <c r="DC374" i="1"/>
  <c r="O88" i="30"/>
  <c r="P88" i="30" s="1"/>
  <c r="M88" i="30"/>
  <c r="L38" i="30"/>
  <c r="L84" i="30"/>
  <c r="M138" i="30"/>
  <c r="O138" i="30"/>
  <c r="P138" i="30" s="1"/>
  <c r="D12" i="30"/>
  <c r="C162" i="30"/>
  <c r="D162" i="30" s="1"/>
  <c r="C9" i="30"/>
  <c r="I64" i="24"/>
  <c r="I274" i="24"/>
  <c r="I79" i="24"/>
  <c r="AG402" i="26"/>
  <c r="C7" i="12"/>
  <c r="CR383" i="1"/>
  <c r="CU383" i="1" s="1"/>
  <c r="H284" i="24"/>
  <c r="H274" i="24"/>
  <c r="G374" i="1"/>
  <c r="H374" i="1"/>
  <c r="C7" i="3"/>
  <c r="E370" i="4" l="1"/>
  <c r="EA368" i="1"/>
  <c r="J123" i="24"/>
  <c r="D64" i="24"/>
  <c r="DV368" i="1"/>
  <c r="D200" i="24"/>
  <c r="K64" i="24"/>
  <c r="K286" i="24"/>
  <c r="J79" i="24"/>
  <c r="D123" i="24"/>
  <c r="D79" i="24"/>
  <c r="K134" i="24"/>
  <c r="K284" i="24"/>
  <c r="J284" i="24"/>
  <c r="K200" i="24"/>
  <c r="J64" i="24"/>
  <c r="B220" i="30"/>
  <c r="B221" i="30"/>
  <c r="D59" i="30"/>
  <c r="C159" i="30"/>
  <c r="D159" i="30" s="1"/>
  <c r="C114" i="30"/>
  <c r="D114" i="30" s="1"/>
  <c r="D109" i="30"/>
  <c r="F59" i="30"/>
  <c r="F109" i="30"/>
  <c r="K79" i="24"/>
  <c r="O38" i="30"/>
  <c r="P38" i="30" s="1"/>
  <c r="L188" i="30"/>
  <c r="M38" i="30"/>
  <c r="M84" i="30"/>
  <c r="F112" i="30"/>
  <c r="G112" i="30" s="1"/>
  <c r="F62" i="30"/>
  <c r="G62" i="30" s="1"/>
  <c r="F12" i="30"/>
  <c r="D9" i="30"/>
  <c r="C14" i="30"/>
  <c r="F9" i="30"/>
  <c r="D284" i="24"/>
  <c r="D286" i="24"/>
  <c r="L147" i="24"/>
  <c r="J274" i="24"/>
  <c r="K274" i="24"/>
  <c r="D274" i="24"/>
  <c r="D134" i="24"/>
  <c r="G7" i="3"/>
  <c r="E374" i="1"/>
  <c r="L232" i="24"/>
  <c r="C164" i="30" l="1"/>
  <c r="D164" i="30" s="1"/>
  <c r="B219" i="30"/>
  <c r="B222" i="30" s="1"/>
  <c r="F159" i="30"/>
  <c r="G159" i="30" s="1"/>
  <c r="G59" i="30"/>
  <c r="F64" i="30"/>
  <c r="G64" i="30" s="1"/>
  <c r="G109" i="30"/>
  <c r="F114" i="30"/>
  <c r="G114" i="30" s="1"/>
  <c r="M188" i="30"/>
  <c r="O188" i="30"/>
  <c r="P188" i="30" s="1"/>
  <c r="G12" i="30"/>
  <c r="F162" i="30"/>
  <c r="D14" i="30"/>
  <c r="G9" i="30"/>
  <c r="F14" i="30"/>
  <c r="M46" i="3" l="1"/>
  <c r="D211" i="30"/>
  <c r="O97" i="30" s="1"/>
  <c r="P97" i="30" s="1"/>
  <c r="E211" i="30"/>
  <c r="O147" i="30" s="1"/>
  <c r="P147" i="30" s="1"/>
  <c r="E212" i="30"/>
  <c r="O148" i="30" s="1"/>
  <c r="P148" i="30" s="1"/>
  <c r="C211" i="30"/>
  <c r="C212" i="30"/>
  <c r="D212" i="30"/>
  <c r="O98" i="30" s="1"/>
  <c r="P98" i="30" s="1"/>
  <c r="F164" i="30"/>
  <c r="G164" i="30" s="1"/>
  <c r="G162" i="30"/>
  <c r="G14" i="30"/>
  <c r="G46" i="3"/>
  <c r="J46" i="3"/>
  <c r="O47" i="30" l="1"/>
  <c r="F211" i="30"/>
  <c r="F212" i="30"/>
  <c r="O48" i="30"/>
  <c r="L16" i="30"/>
  <c r="L116" i="30"/>
  <c r="L66" i="30"/>
  <c r="C46" i="3"/>
  <c r="S166" i="30"/>
  <c r="O198" i="30" l="1"/>
  <c r="P198" i="30" s="1"/>
  <c r="P48" i="30"/>
  <c r="O197" i="30"/>
  <c r="P197" i="30" s="1"/>
  <c r="P47" i="30"/>
  <c r="M116" i="30"/>
  <c r="O116" i="30"/>
  <c r="P116" i="30" s="1"/>
  <c r="O66" i="30"/>
  <c r="P66" i="30" s="1"/>
  <c r="M66" i="30"/>
  <c r="L166" i="30"/>
  <c r="O166" i="30" s="1"/>
  <c r="P166" i="30" s="1"/>
  <c r="O16" i="30"/>
  <c r="P16" i="30" s="1"/>
  <c r="M16" i="30"/>
  <c r="M166" i="30" l="1"/>
  <c r="DM351" i="1" l="1"/>
  <c r="DM296" i="1"/>
  <c r="DM100" i="1"/>
  <c r="DM253" i="1"/>
  <c r="DO296" i="1" l="1"/>
  <c r="DO253" i="1"/>
  <c r="DO100" i="1"/>
  <c r="DO351" i="1"/>
  <c r="DM199" i="1"/>
  <c r="DM312" i="1"/>
  <c r="DM81" i="1"/>
  <c r="DM184" i="1"/>
  <c r="DM171" i="1"/>
  <c r="DM159" i="1"/>
  <c r="DM220" i="1"/>
  <c r="DM233" i="1"/>
  <c r="DM341" i="1"/>
  <c r="DM75" i="1"/>
  <c r="DM352" i="1"/>
  <c r="DM146" i="1"/>
  <c r="DM272" i="1"/>
  <c r="DM15" i="1"/>
  <c r="DM348" i="1"/>
  <c r="DM195" i="1"/>
  <c r="DM215" i="1"/>
  <c r="DM20" i="1"/>
  <c r="DM114" i="1"/>
  <c r="DM107" i="1"/>
  <c r="DM201" i="1"/>
  <c r="DM232" i="1"/>
  <c r="DM356" i="1"/>
  <c r="DM225" i="1"/>
  <c r="DM226" i="1"/>
  <c r="DM154" i="1"/>
  <c r="DM59" i="1"/>
  <c r="DM322" i="1"/>
  <c r="DM160" i="1"/>
  <c r="DM335" i="1"/>
  <c r="DM359" i="1"/>
  <c r="DM174" i="1"/>
  <c r="DM33" i="1"/>
  <c r="DM294" i="1"/>
  <c r="DM192" i="1"/>
  <c r="DM210" i="1"/>
  <c r="DM267" i="1"/>
  <c r="DM133" i="1"/>
  <c r="DM361" i="1"/>
  <c r="DM261" i="1"/>
  <c r="DM187" i="1"/>
  <c r="DM297" i="1"/>
  <c r="DM99" i="1"/>
  <c r="DM95" i="1"/>
  <c r="DM68" i="1"/>
  <c r="DM330" i="1"/>
  <c r="DM237" i="1"/>
  <c r="DM305" i="1"/>
  <c r="DM186" i="1"/>
  <c r="DM132" i="1"/>
  <c r="DM254" i="1"/>
  <c r="DM282" i="1"/>
  <c r="DM299" i="1"/>
  <c r="DM52" i="1"/>
  <c r="DM35" i="1"/>
  <c r="DM127" i="1"/>
  <c r="DM196" i="1"/>
  <c r="DM97" i="1"/>
  <c r="DM136" i="1"/>
  <c r="DK253" i="1"/>
  <c r="DM54" i="1"/>
  <c r="DM120" i="1"/>
  <c r="DM61" i="1"/>
  <c r="DM105" i="1"/>
  <c r="DM93" i="1"/>
  <c r="DM339" i="1"/>
  <c r="DM163" i="1"/>
  <c r="DM165" i="1"/>
  <c r="DM300" i="1"/>
  <c r="DM80" i="1"/>
  <c r="DM125" i="1"/>
  <c r="DM304" i="1"/>
  <c r="DM323" i="1"/>
  <c r="DM227" i="1"/>
  <c r="DM172" i="1"/>
  <c r="DM135" i="1"/>
  <c r="DM198" i="1"/>
  <c r="DM31" i="1"/>
  <c r="DM231" i="1"/>
  <c r="DM258" i="1"/>
  <c r="DM18" i="1"/>
  <c r="DM260" i="1"/>
  <c r="DM298" i="1"/>
  <c r="DM178" i="1"/>
  <c r="DM44" i="1"/>
  <c r="DM73" i="1"/>
  <c r="DM180" i="1"/>
  <c r="DM117" i="1"/>
  <c r="DM334" i="1"/>
  <c r="DM289" i="1"/>
  <c r="DM214" i="1"/>
  <c r="DM40" i="1"/>
  <c r="DM353" i="1"/>
  <c r="DM333" i="1"/>
  <c r="DM367" i="1"/>
  <c r="DM230" i="1"/>
  <c r="DM271" i="1"/>
  <c r="DM168" i="1"/>
  <c r="DM349" i="1"/>
  <c r="DM13" i="1"/>
  <c r="DM366" i="1"/>
  <c r="DM148" i="1"/>
  <c r="DM309" i="1"/>
  <c r="DM320" i="1"/>
  <c r="DM328" i="1"/>
  <c r="DM30" i="1"/>
  <c r="DM108" i="1"/>
  <c r="DM116" i="1"/>
  <c r="DM90" i="1"/>
  <c r="DM89" i="1"/>
  <c r="DM197" i="1"/>
  <c r="DM106" i="1"/>
  <c r="DM200" i="1"/>
  <c r="DM128" i="1"/>
  <c r="DM77" i="1"/>
  <c r="DM217" i="1"/>
  <c r="DM126" i="1"/>
  <c r="DM292" i="1"/>
  <c r="DM250" i="1"/>
  <c r="DM242" i="1"/>
  <c r="DM281" i="1"/>
  <c r="DM129" i="1"/>
  <c r="DM290" i="1"/>
  <c r="DM268" i="1"/>
  <c r="DM83" i="1"/>
  <c r="DM76" i="1"/>
  <c r="DM102" i="1"/>
  <c r="DM84" i="1"/>
  <c r="DM216" i="1"/>
  <c r="DM101" i="1"/>
  <c r="DM266" i="1"/>
  <c r="DM82" i="1"/>
  <c r="DM74" i="1"/>
  <c r="DO83" i="1" l="1"/>
  <c r="DO281" i="1"/>
  <c r="DO292" i="1"/>
  <c r="DO77" i="1"/>
  <c r="DO197" i="1"/>
  <c r="DO108" i="1"/>
  <c r="DO309" i="1"/>
  <c r="DO349" i="1"/>
  <c r="DO367" i="1"/>
  <c r="DO214" i="1"/>
  <c r="DO117" i="1"/>
  <c r="DO18" i="1"/>
  <c r="DO231" i="1"/>
  <c r="DO172" i="1"/>
  <c r="DO125" i="1"/>
  <c r="DO163" i="1"/>
  <c r="DO105" i="1"/>
  <c r="DO127" i="1"/>
  <c r="DO132" i="1"/>
  <c r="DO330" i="1"/>
  <c r="DO297" i="1"/>
  <c r="DO210" i="1"/>
  <c r="DO160" i="1"/>
  <c r="DO226" i="1"/>
  <c r="DO232" i="1"/>
  <c r="DO20" i="1"/>
  <c r="DO15" i="1"/>
  <c r="DO75" i="1"/>
  <c r="DO81" i="1"/>
  <c r="DO216" i="1"/>
  <c r="DO242" i="1"/>
  <c r="DO89" i="1"/>
  <c r="DO30" i="1"/>
  <c r="DO168" i="1"/>
  <c r="DO333" i="1"/>
  <c r="DO180" i="1"/>
  <c r="DO178" i="1"/>
  <c r="DO31" i="1"/>
  <c r="DO227" i="1"/>
  <c r="DO80" i="1"/>
  <c r="DO339" i="1"/>
  <c r="DO61" i="1"/>
  <c r="DO136" i="1"/>
  <c r="DO299" i="1"/>
  <c r="DO186" i="1"/>
  <c r="DO68" i="1"/>
  <c r="DO187" i="1"/>
  <c r="DO133" i="1"/>
  <c r="DO192" i="1"/>
  <c r="DO174" i="1"/>
  <c r="DO322" i="1"/>
  <c r="DO201" i="1"/>
  <c r="DO215" i="1"/>
  <c r="DO272" i="1"/>
  <c r="DO341" i="1"/>
  <c r="DO159" i="1"/>
  <c r="DO312" i="1"/>
  <c r="DO82" i="1"/>
  <c r="DO268" i="1"/>
  <c r="DO128" i="1"/>
  <c r="DO148" i="1"/>
  <c r="DO266" i="1"/>
  <c r="DO102" i="1"/>
  <c r="DO290" i="1"/>
  <c r="DO250" i="1"/>
  <c r="DO126" i="1"/>
  <c r="DO200" i="1"/>
  <c r="DO90" i="1"/>
  <c r="DO328" i="1"/>
  <c r="DO366" i="1"/>
  <c r="DO271" i="1"/>
  <c r="DO353" i="1"/>
  <c r="DO289" i="1"/>
  <c r="DO73" i="1"/>
  <c r="DO298" i="1"/>
  <c r="DO258" i="1"/>
  <c r="DO198" i="1"/>
  <c r="DO323" i="1"/>
  <c r="DO300" i="1"/>
  <c r="DO93" i="1"/>
  <c r="DO120" i="1"/>
  <c r="DO97" i="1"/>
  <c r="DO35" i="1"/>
  <c r="DO282" i="1"/>
  <c r="DO305" i="1"/>
  <c r="DO95" i="1"/>
  <c r="DO261" i="1"/>
  <c r="DO294" i="1"/>
  <c r="DO359" i="1"/>
  <c r="DO59" i="1"/>
  <c r="DO225" i="1"/>
  <c r="DO107" i="1"/>
  <c r="DO195" i="1"/>
  <c r="DO146" i="1"/>
  <c r="DO233" i="1"/>
  <c r="DO171" i="1"/>
  <c r="DO199" i="1"/>
  <c r="DO84" i="1"/>
  <c r="DO74" i="1"/>
  <c r="DO101" i="1"/>
  <c r="DO76" i="1"/>
  <c r="DO129" i="1"/>
  <c r="DO217" i="1"/>
  <c r="DO116" i="1"/>
  <c r="DO320" i="1"/>
  <c r="DO13" i="1"/>
  <c r="DO230" i="1"/>
  <c r="DO40" i="1"/>
  <c r="DO334" i="1"/>
  <c r="DO44" i="1"/>
  <c r="DO260" i="1"/>
  <c r="DO135" i="1"/>
  <c r="DO304" i="1"/>
  <c r="DO165" i="1"/>
  <c r="DO54" i="1"/>
  <c r="DO196" i="1"/>
  <c r="DO52" i="1"/>
  <c r="DO254" i="1"/>
  <c r="DO237" i="1"/>
  <c r="DO99" i="1"/>
  <c r="DO361" i="1"/>
  <c r="DO267" i="1"/>
  <c r="DO33" i="1"/>
  <c r="DO335" i="1"/>
  <c r="DO154" i="1"/>
  <c r="DO356" i="1"/>
  <c r="DO114" i="1"/>
  <c r="DO348" i="1"/>
  <c r="DO352" i="1"/>
  <c r="DO220" i="1"/>
  <c r="DO184" i="1"/>
  <c r="DM50" i="1"/>
  <c r="DK84" i="1"/>
  <c r="DK74" i="1"/>
  <c r="DK76" i="1"/>
  <c r="DK83" i="1"/>
  <c r="DK268" i="1"/>
  <c r="DK129" i="1"/>
  <c r="DK281" i="1"/>
  <c r="DK126" i="1"/>
  <c r="DK77" i="1"/>
  <c r="DM204" i="1"/>
  <c r="DM248" i="1"/>
  <c r="DM173" i="1"/>
  <c r="DM64" i="1"/>
  <c r="DM104" i="1"/>
  <c r="DM151" i="1"/>
  <c r="DM143" i="1"/>
  <c r="DM286" i="1"/>
  <c r="DK13" i="1"/>
  <c r="DM360" i="1"/>
  <c r="DM182" i="1"/>
  <c r="DK334" i="1"/>
  <c r="DK178" i="1"/>
  <c r="DM279" i="1"/>
  <c r="DM284" i="1"/>
  <c r="DM185" i="1"/>
  <c r="DM24" i="1"/>
  <c r="DM302" i="1"/>
  <c r="DM303" i="1"/>
  <c r="DM98" i="1"/>
  <c r="DM209" i="1"/>
  <c r="DM78" i="1"/>
  <c r="DK135" i="1"/>
  <c r="DM316" i="1"/>
  <c r="DM295" i="1"/>
  <c r="DK304" i="1"/>
  <c r="DM276" i="1"/>
  <c r="DM28" i="1"/>
  <c r="DM109" i="1"/>
  <c r="DM122" i="1"/>
  <c r="DM45" i="1"/>
  <c r="DM37" i="1"/>
  <c r="DM169" i="1"/>
  <c r="DM257" i="1"/>
  <c r="DM22" i="1"/>
  <c r="DM167" i="1"/>
  <c r="DM155" i="1"/>
  <c r="DM358" i="1"/>
  <c r="DM124" i="1"/>
  <c r="DM317" i="1"/>
  <c r="DM273" i="1"/>
  <c r="DM66" i="1"/>
  <c r="DM94" i="1"/>
  <c r="DM345" i="1"/>
  <c r="DM350" i="1"/>
  <c r="DM243" i="1"/>
  <c r="DM213" i="1"/>
  <c r="DM325" i="1"/>
  <c r="DM355" i="1"/>
  <c r="DM357" i="1"/>
  <c r="DM337" i="1"/>
  <c r="DM96" i="1"/>
  <c r="DM71" i="1"/>
  <c r="DM113" i="1"/>
  <c r="DM234" i="1"/>
  <c r="DK322" i="1"/>
  <c r="DK154" i="1"/>
  <c r="DM277" i="1"/>
  <c r="DM103" i="1"/>
  <c r="DK272" i="1"/>
  <c r="DM362" i="1"/>
  <c r="DM329" i="1"/>
  <c r="DM344" i="1"/>
  <c r="DK200" i="1"/>
  <c r="DK271" i="1"/>
  <c r="DM69" i="1"/>
  <c r="DM87" i="1"/>
  <c r="DM193" i="1"/>
  <c r="DM262" i="1"/>
  <c r="DM176" i="1"/>
  <c r="DM285" i="1"/>
  <c r="DM112" i="1"/>
  <c r="DM221" i="1"/>
  <c r="DM46" i="1"/>
  <c r="DM137" i="1"/>
  <c r="DM236" i="1"/>
  <c r="DK323" i="1"/>
  <c r="DK93" i="1"/>
  <c r="DM336" i="1"/>
  <c r="DM145" i="1"/>
  <c r="DM17" i="1"/>
  <c r="DM270" i="1"/>
  <c r="DM156" i="1"/>
  <c r="DM283" i="1"/>
  <c r="DM140" i="1"/>
  <c r="DM274" i="1"/>
  <c r="DM130" i="1"/>
  <c r="DM313" i="1"/>
  <c r="DK282" i="1"/>
  <c r="DK254" i="1"/>
  <c r="DK305" i="1"/>
  <c r="DK68" i="1"/>
  <c r="DK95" i="1"/>
  <c r="DM301" i="1"/>
  <c r="DM265" i="1"/>
  <c r="DM86" i="1"/>
  <c r="DM191" i="1"/>
  <c r="DM263" i="1"/>
  <c r="DM314" i="1"/>
  <c r="DM36" i="1"/>
  <c r="DM278" i="1"/>
  <c r="DM164" i="1"/>
  <c r="DM251" i="1"/>
  <c r="DM111" i="1"/>
  <c r="DM67" i="1"/>
  <c r="DM244" i="1"/>
  <c r="DM264" i="1"/>
  <c r="DM269" i="1"/>
  <c r="DK160" i="1"/>
  <c r="DK59" i="1"/>
  <c r="DM190" i="1"/>
  <c r="DM91" i="1"/>
  <c r="DM177" i="1"/>
  <c r="DM131" i="1"/>
  <c r="DK20" i="1"/>
  <c r="DK215" i="1"/>
  <c r="DM175" i="1"/>
  <c r="DM347" i="1"/>
  <c r="DM239" i="1"/>
  <c r="DM16" i="1"/>
  <c r="DM141" i="1"/>
  <c r="DM252" i="1"/>
  <c r="DM57" i="1"/>
  <c r="DK216" i="1"/>
  <c r="DK197" i="1"/>
  <c r="DK89" i="1"/>
  <c r="DM229" i="1"/>
  <c r="DM188" i="1"/>
  <c r="DM205" i="1"/>
  <c r="DM27" i="1"/>
  <c r="DM275" i="1"/>
  <c r="DM48" i="1"/>
  <c r="DM123" i="1"/>
  <c r="DK82" i="1"/>
  <c r="DM65" i="1"/>
  <c r="DM55" i="1"/>
  <c r="DM318" i="1"/>
  <c r="DM249" i="1"/>
  <c r="DM110" i="1"/>
  <c r="DM34" i="1"/>
  <c r="DM170" i="1"/>
  <c r="DM166" i="1"/>
  <c r="DM324" i="1"/>
  <c r="DM256" i="1"/>
  <c r="DM25" i="1"/>
  <c r="DM212" i="1"/>
  <c r="DM138" i="1"/>
  <c r="DM157" i="1"/>
  <c r="DM70" i="1"/>
  <c r="DM259" i="1"/>
  <c r="DM331" i="1"/>
  <c r="DM287" i="1"/>
  <c r="DM38" i="1"/>
  <c r="DM23" i="1"/>
  <c r="DM85" i="1"/>
  <c r="DK258" i="1"/>
  <c r="DM342" i="1"/>
  <c r="DK231" i="1"/>
  <c r="DK198" i="1"/>
  <c r="DM115" i="1"/>
  <c r="DM134" i="1"/>
  <c r="DM280" i="1"/>
  <c r="DM26" i="1"/>
  <c r="DM29" i="1"/>
  <c r="DM363" i="1"/>
  <c r="DM343" i="1"/>
  <c r="DM53" i="1"/>
  <c r="DM310" i="1"/>
  <c r="DM327" i="1"/>
  <c r="DM152" i="1"/>
  <c r="DK132" i="1"/>
  <c r="DM72" i="1"/>
  <c r="DM162" i="1"/>
  <c r="DM288" i="1"/>
  <c r="DM255" i="1"/>
  <c r="DM150" i="1"/>
  <c r="DM206" i="1"/>
  <c r="DM207" i="1"/>
  <c r="DM354" i="1"/>
  <c r="DM306" i="1"/>
  <c r="DM346" i="1"/>
  <c r="DK351" i="1"/>
  <c r="DM142" i="1"/>
  <c r="DM293" i="1"/>
  <c r="DK114" i="1"/>
  <c r="DM321" i="1"/>
  <c r="DK159" i="1"/>
  <c r="DM139" i="1"/>
  <c r="DM121" i="1"/>
  <c r="DM158" i="1"/>
  <c r="DM41" i="1"/>
  <c r="DM211" i="1"/>
  <c r="DK100" i="1"/>
  <c r="DK128" i="1"/>
  <c r="DK30" i="1"/>
  <c r="DM332" i="1"/>
  <c r="DM246" i="1"/>
  <c r="DK168" i="1"/>
  <c r="DK230" i="1"/>
  <c r="DM49" i="1"/>
  <c r="DM240" i="1"/>
  <c r="DM147" i="1"/>
  <c r="DM62" i="1"/>
  <c r="DM364" i="1"/>
  <c r="DM183" i="1"/>
  <c r="DK117" i="1"/>
  <c r="DK44" i="1"/>
  <c r="DM179" i="1"/>
  <c r="DM238" i="1"/>
  <c r="DK31" i="1"/>
  <c r="DM315" i="1"/>
  <c r="DM219" i="1"/>
  <c r="DM203" i="1"/>
  <c r="DM222" i="1"/>
  <c r="DK80" i="1"/>
  <c r="DK165" i="1"/>
  <c r="DK163" i="1"/>
  <c r="DK339" i="1"/>
  <c r="DM92" i="1"/>
  <c r="DM247" i="1"/>
  <c r="DK120" i="1"/>
  <c r="DM223" i="1"/>
  <c r="DM202" i="1"/>
  <c r="DM365" i="1"/>
  <c r="DM43" i="1"/>
  <c r="DM58" i="1"/>
  <c r="DM224" i="1"/>
  <c r="DM307" i="1"/>
  <c r="DM118" i="1"/>
  <c r="DM161" i="1"/>
  <c r="DM308" i="1"/>
  <c r="DM47" i="1"/>
  <c r="DL253" i="1"/>
  <c r="DM79" i="1"/>
  <c r="DK127" i="1"/>
  <c r="DK52" i="1"/>
  <c r="DK330" i="1"/>
  <c r="DM39" i="1"/>
  <c r="DM60" i="1"/>
  <c r="DM208" i="1"/>
  <c r="DM42" i="1"/>
  <c r="DM340" i="1"/>
  <c r="DM311" i="1"/>
  <c r="DM218" i="1"/>
  <c r="DK133" i="1"/>
  <c r="DM21" i="1"/>
  <c r="DM241" i="1"/>
  <c r="DM291" i="1"/>
  <c r="DM189" i="1"/>
  <c r="DK296" i="1"/>
  <c r="DK210" i="1"/>
  <c r="DM119" i="1"/>
  <c r="DM235" i="1"/>
  <c r="DM149" i="1"/>
  <c r="DM88" i="1"/>
  <c r="DM51" i="1"/>
  <c r="DM194" i="1"/>
  <c r="DK348" i="1"/>
  <c r="DK15" i="1"/>
  <c r="DK146" i="1"/>
  <c r="DM319" i="1"/>
  <c r="DM181" i="1"/>
  <c r="DK75" i="1"/>
  <c r="DK341" i="1"/>
  <c r="DM11" i="1"/>
  <c r="DK171" i="1"/>
  <c r="DK184" i="1"/>
  <c r="DM245" i="1"/>
  <c r="DO181" i="1" l="1"/>
  <c r="DO11" i="1"/>
  <c r="DO88" i="1"/>
  <c r="DO189" i="1"/>
  <c r="DN133" i="1"/>
  <c r="DO340" i="1"/>
  <c r="DO60" i="1"/>
  <c r="DN253" i="1"/>
  <c r="DO118" i="1"/>
  <c r="DO43" i="1"/>
  <c r="DO315" i="1"/>
  <c r="DO183" i="1"/>
  <c r="DO240" i="1"/>
  <c r="DN168" i="1"/>
  <c r="DO41" i="1"/>
  <c r="DN159" i="1"/>
  <c r="DN351" i="1"/>
  <c r="DO354" i="1"/>
  <c r="DO72" i="1"/>
  <c r="DO152" i="1"/>
  <c r="DO53" i="1"/>
  <c r="DO29" i="1"/>
  <c r="DO85" i="1"/>
  <c r="DO287" i="1"/>
  <c r="DO157" i="1"/>
  <c r="DO138" i="1"/>
  <c r="DO170" i="1"/>
  <c r="DO318" i="1"/>
  <c r="DO205" i="1"/>
  <c r="DN89" i="1"/>
  <c r="DO57" i="1"/>
  <c r="DO141" i="1"/>
  <c r="DO131" i="1"/>
  <c r="DO190" i="1"/>
  <c r="DO269" i="1"/>
  <c r="DO67" i="1"/>
  <c r="DO278" i="1"/>
  <c r="DO191" i="1"/>
  <c r="DO301" i="1"/>
  <c r="DN305" i="1"/>
  <c r="DO140" i="1"/>
  <c r="DO17" i="1"/>
  <c r="DO221" i="1"/>
  <c r="DO262" i="1"/>
  <c r="DO329" i="1"/>
  <c r="DO277" i="1"/>
  <c r="DN322" i="1"/>
  <c r="DO96" i="1"/>
  <c r="DO355" i="1"/>
  <c r="DO243" i="1"/>
  <c r="DO94" i="1"/>
  <c r="DO358" i="1"/>
  <c r="DO122" i="1"/>
  <c r="DO302" i="1"/>
  <c r="DO185" i="1"/>
  <c r="DN178" i="1"/>
  <c r="DO360" i="1"/>
  <c r="DO151" i="1"/>
  <c r="DO248" i="1"/>
  <c r="DN77" i="1"/>
  <c r="DN268" i="1"/>
  <c r="DO50" i="1"/>
  <c r="DO245" i="1"/>
  <c r="DO149" i="1"/>
  <c r="DO218" i="1"/>
  <c r="DO42" i="1"/>
  <c r="DO39" i="1"/>
  <c r="DO47" i="1"/>
  <c r="DO307" i="1"/>
  <c r="DO365" i="1"/>
  <c r="DN120" i="1"/>
  <c r="DN163" i="1"/>
  <c r="DO222" i="1"/>
  <c r="DN31" i="1"/>
  <c r="DO364" i="1"/>
  <c r="DO49" i="1"/>
  <c r="DO246" i="1"/>
  <c r="DN100" i="1"/>
  <c r="DO158" i="1"/>
  <c r="DO293" i="1"/>
  <c r="DO207" i="1"/>
  <c r="DO288" i="1"/>
  <c r="DO26" i="1"/>
  <c r="DO134" i="1"/>
  <c r="DN231" i="1"/>
  <c r="DO331" i="1"/>
  <c r="DO212" i="1"/>
  <c r="DO256" i="1"/>
  <c r="DO34" i="1"/>
  <c r="DO55" i="1"/>
  <c r="DN82" i="1"/>
  <c r="DO188" i="1"/>
  <c r="DO16" i="1"/>
  <c r="DO175" i="1"/>
  <c r="DO177" i="1"/>
  <c r="DO264" i="1"/>
  <c r="DO111" i="1"/>
  <c r="DO36" i="1"/>
  <c r="DO86" i="1"/>
  <c r="DO313" i="1"/>
  <c r="DO283" i="1"/>
  <c r="DO236" i="1"/>
  <c r="DO112" i="1"/>
  <c r="DO193" i="1"/>
  <c r="DO362" i="1"/>
  <c r="DO234" i="1"/>
  <c r="DO325" i="1"/>
  <c r="DO350" i="1"/>
  <c r="DO66" i="1"/>
  <c r="DO273" i="1"/>
  <c r="DO155" i="1"/>
  <c r="DO169" i="1"/>
  <c r="DO109" i="1"/>
  <c r="DN304" i="1"/>
  <c r="DO24" i="1"/>
  <c r="DO104" i="1"/>
  <c r="DO204" i="1"/>
  <c r="DO319" i="1"/>
  <c r="DO235" i="1"/>
  <c r="DN296" i="1"/>
  <c r="DO241" i="1"/>
  <c r="DO311" i="1"/>
  <c r="DO208" i="1"/>
  <c r="DO308" i="1"/>
  <c r="DO224" i="1"/>
  <c r="DO202" i="1"/>
  <c r="DO247" i="1"/>
  <c r="DN165" i="1"/>
  <c r="DO203" i="1"/>
  <c r="DO238" i="1"/>
  <c r="DN117" i="1"/>
  <c r="DO62" i="1"/>
  <c r="DO332" i="1"/>
  <c r="DN30" i="1"/>
  <c r="DO121" i="1"/>
  <c r="DO321" i="1"/>
  <c r="DO142" i="1"/>
  <c r="DO346" i="1"/>
  <c r="DO206" i="1"/>
  <c r="DO162" i="1"/>
  <c r="DN132" i="1"/>
  <c r="DO343" i="1"/>
  <c r="DO280" i="1"/>
  <c r="DO115" i="1"/>
  <c r="DO342" i="1"/>
  <c r="DO23" i="1"/>
  <c r="DO259" i="1"/>
  <c r="DO324" i="1"/>
  <c r="DO110" i="1"/>
  <c r="DO65" i="1"/>
  <c r="DO123" i="1"/>
  <c r="DO275" i="1"/>
  <c r="DO229" i="1"/>
  <c r="DO239" i="1"/>
  <c r="DO91" i="1"/>
  <c r="DN59" i="1"/>
  <c r="DO244" i="1"/>
  <c r="DO251" i="1"/>
  <c r="DO314" i="1"/>
  <c r="DO265" i="1"/>
  <c r="DN68" i="1"/>
  <c r="DO130" i="1"/>
  <c r="DO156" i="1"/>
  <c r="DO145" i="1"/>
  <c r="DO137" i="1"/>
  <c r="DO285" i="1"/>
  <c r="DO87" i="1"/>
  <c r="DO344" i="1"/>
  <c r="DO113" i="1"/>
  <c r="DO337" i="1"/>
  <c r="DO213" i="1"/>
  <c r="DO345" i="1"/>
  <c r="DO317" i="1"/>
  <c r="DO167" i="1"/>
  <c r="DO37" i="1"/>
  <c r="DO28" i="1"/>
  <c r="DO295" i="1"/>
  <c r="DO78" i="1"/>
  <c r="DO98" i="1"/>
  <c r="DO284" i="1"/>
  <c r="DO286" i="1"/>
  <c r="DO64" i="1"/>
  <c r="DN76" i="1"/>
  <c r="DO194" i="1"/>
  <c r="DN171" i="1"/>
  <c r="DN75" i="1"/>
  <c r="DN146" i="1"/>
  <c r="DO51" i="1"/>
  <c r="DO119" i="1"/>
  <c r="DO21" i="1"/>
  <c r="DN52" i="1"/>
  <c r="DO79" i="1"/>
  <c r="DO161" i="1"/>
  <c r="DO58" i="1"/>
  <c r="DO223" i="1"/>
  <c r="DO92" i="1"/>
  <c r="DN80" i="1"/>
  <c r="DO219" i="1"/>
  <c r="DO179" i="1"/>
  <c r="DO147" i="1"/>
  <c r="DN128" i="1"/>
  <c r="DO211" i="1"/>
  <c r="DO139" i="1"/>
  <c r="DO306" i="1"/>
  <c r="DO150" i="1"/>
  <c r="DO310" i="1"/>
  <c r="DO363" i="1"/>
  <c r="DO38" i="1"/>
  <c r="DO70" i="1"/>
  <c r="DO25" i="1"/>
  <c r="DO166" i="1"/>
  <c r="DO249" i="1"/>
  <c r="DO48" i="1"/>
  <c r="DO27" i="1"/>
  <c r="DO252" i="1"/>
  <c r="DO347" i="1"/>
  <c r="DN20" i="1"/>
  <c r="DN160" i="1"/>
  <c r="DO164" i="1"/>
  <c r="DO263" i="1"/>
  <c r="DO274" i="1"/>
  <c r="DO270" i="1"/>
  <c r="DO336" i="1"/>
  <c r="DO46" i="1"/>
  <c r="DO176" i="1"/>
  <c r="DO69" i="1"/>
  <c r="DO103" i="1"/>
  <c r="DO71" i="1"/>
  <c r="DO357" i="1"/>
  <c r="DO124" i="1"/>
  <c r="DO22" i="1"/>
  <c r="DO45" i="1"/>
  <c r="DO276" i="1"/>
  <c r="DO316" i="1"/>
  <c r="DO209" i="1"/>
  <c r="DO303" i="1"/>
  <c r="DO279" i="1"/>
  <c r="DO182" i="1"/>
  <c r="DO143" i="1"/>
  <c r="DO173" i="1"/>
  <c r="DN129" i="1"/>
  <c r="DL341" i="1"/>
  <c r="DN341" i="1" s="1"/>
  <c r="DK181" i="1"/>
  <c r="DL348" i="1"/>
  <c r="DN348" i="1" s="1"/>
  <c r="DK88" i="1"/>
  <c r="DK60" i="1"/>
  <c r="DK47" i="1"/>
  <c r="DK223" i="1"/>
  <c r="DL44" i="1"/>
  <c r="DL230" i="1"/>
  <c r="DK195" i="1"/>
  <c r="DK226" i="1"/>
  <c r="DK335" i="1"/>
  <c r="DK306" i="1"/>
  <c r="DK206" i="1"/>
  <c r="DK54" i="1"/>
  <c r="DK363" i="1"/>
  <c r="DK29" i="1"/>
  <c r="DK26" i="1"/>
  <c r="DK105" i="1"/>
  <c r="DK85" i="1"/>
  <c r="DK298" i="1"/>
  <c r="DK256" i="1"/>
  <c r="DK324" i="1"/>
  <c r="DK205" i="1"/>
  <c r="DL197" i="1"/>
  <c r="DK175" i="1"/>
  <c r="DK232" i="1"/>
  <c r="DK251" i="1"/>
  <c r="DL95" i="1"/>
  <c r="DN95" i="1" s="1"/>
  <c r="DL282" i="1"/>
  <c r="DK130" i="1"/>
  <c r="DK156" i="1"/>
  <c r="DK69" i="1"/>
  <c r="DK367" i="1"/>
  <c r="DK81" i="1"/>
  <c r="DK356" i="1"/>
  <c r="DK96" i="1"/>
  <c r="DK97" i="1"/>
  <c r="DK136" i="1"/>
  <c r="DK155" i="1"/>
  <c r="DK257" i="1"/>
  <c r="DK61" i="1"/>
  <c r="DK185" i="1"/>
  <c r="DL334" i="1"/>
  <c r="DL13" i="1"/>
  <c r="DN13" i="1" s="1"/>
  <c r="DK151" i="1"/>
  <c r="DK204" i="1"/>
  <c r="DL126" i="1"/>
  <c r="DN126" i="1" s="1"/>
  <c r="DK290" i="1"/>
  <c r="DK174" i="1"/>
  <c r="DK119" i="1"/>
  <c r="DK192" i="1"/>
  <c r="DK35" i="1"/>
  <c r="DK43" i="1"/>
  <c r="DK203" i="1"/>
  <c r="DK147" i="1"/>
  <c r="DK333" i="1"/>
  <c r="DK349" i="1"/>
  <c r="DK211" i="1"/>
  <c r="DL114" i="1"/>
  <c r="DK261" i="1"/>
  <c r="DK327" i="1"/>
  <c r="DL198" i="1"/>
  <c r="DK70" i="1"/>
  <c r="DK157" i="1"/>
  <c r="DK289" i="1"/>
  <c r="DK214" i="1"/>
  <c r="DK212" i="1"/>
  <c r="DK366" i="1"/>
  <c r="DK170" i="1"/>
  <c r="DK65" i="1"/>
  <c r="DK106" i="1"/>
  <c r="DK292" i="1"/>
  <c r="DK352" i="1"/>
  <c r="DK164" i="1"/>
  <c r="DK237" i="1"/>
  <c r="DK186" i="1"/>
  <c r="DL323" i="1"/>
  <c r="DK87" i="1"/>
  <c r="DL200" i="1"/>
  <c r="DL272" i="1"/>
  <c r="DK225" i="1"/>
  <c r="DL154" i="1"/>
  <c r="DN154" i="1" s="1"/>
  <c r="DK213" i="1"/>
  <c r="DK167" i="1"/>
  <c r="DK122" i="1"/>
  <c r="DK209" i="1"/>
  <c r="DK250" i="1"/>
  <c r="DK242" i="1"/>
  <c r="DL74" i="1"/>
  <c r="DL84" i="1"/>
  <c r="DK220" i="1"/>
  <c r="DL184" i="1"/>
  <c r="DL15" i="1"/>
  <c r="DL210" i="1"/>
  <c r="DK361" i="1"/>
  <c r="DK340" i="1"/>
  <c r="DK42" i="1"/>
  <c r="DK208" i="1"/>
  <c r="DK299" i="1"/>
  <c r="DK79" i="1"/>
  <c r="DK161" i="1"/>
  <c r="DK307" i="1"/>
  <c r="DK183" i="1"/>
  <c r="DK148" i="1"/>
  <c r="DK309" i="1"/>
  <c r="DK328" i="1"/>
  <c r="DK41" i="1"/>
  <c r="DK158" i="1"/>
  <c r="DK359" i="1"/>
  <c r="DK33" i="1"/>
  <c r="DK346" i="1"/>
  <c r="DK150" i="1"/>
  <c r="DK255" i="1"/>
  <c r="DK152" i="1"/>
  <c r="DK343" i="1"/>
  <c r="DK227" i="1"/>
  <c r="DK115" i="1"/>
  <c r="DK172" i="1"/>
  <c r="DL258" i="1"/>
  <c r="DN258" i="1" s="1"/>
  <c r="DK260" i="1"/>
  <c r="DK73" i="1"/>
  <c r="DK40" i="1"/>
  <c r="DK123" i="1"/>
  <c r="DK48" i="1"/>
  <c r="DK27" i="1"/>
  <c r="DK252" i="1"/>
  <c r="DK141" i="1"/>
  <c r="DK347" i="1"/>
  <c r="DL215" i="1"/>
  <c r="DK177" i="1"/>
  <c r="DK91" i="1"/>
  <c r="DK267" i="1"/>
  <c r="DK67" i="1"/>
  <c r="DK86" i="1"/>
  <c r="DL93" i="1"/>
  <c r="DL271" i="1"/>
  <c r="DK217" i="1"/>
  <c r="DK199" i="1"/>
  <c r="DK329" i="1"/>
  <c r="DK294" i="1"/>
  <c r="DK345" i="1"/>
  <c r="DK66" i="1"/>
  <c r="DK124" i="1"/>
  <c r="DL135" i="1"/>
  <c r="DK78" i="1"/>
  <c r="DK24" i="1"/>
  <c r="DK279" i="1"/>
  <c r="DN334" i="1"/>
  <c r="DK108" i="1"/>
  <c r="DK90" i="1"/>
  <c r="DL281" i="1"/>
  <c r="DK101" i="1"/>
  <c r="DK107" i="1"/>
  <c r="DK201" i="1"/>
  <c r="DK149" i="1"/>
  <c r="DK187" i="1"/>
  <c r="DK297" i="1"/>
  <c r="DK99" i="1"/>
  <c r="DL330" i="1"/>
  <c r="DL127" i="1"/>
  <c r="DK196" i="1"/>
  <c r="DK118" i="1"/>
  <c r="DK202" i="1"/>
  <c r="DK92" i="1"/>
  <c r="DL339" i="1"/>
  <c r="DK125" i="1"/>
  <c r="DK320" i="1"/>
  <c r="DK162" i="1"/>
  <c r="DK72" i="1"/>
  <c r="DK342" i="1"/>
  <c r="DK23" i="1"/>
  <c r="DK18" i="1"/>
  <c r="DK353" i="1"/>
  <c r="DK25" i="1"/>
  <c r="DK166" i="1"/>
  <c r="DK275" i="1"/>
  <c r="DK116" i="1"/>
  <c r="DL216" i="1"/>
  <c r="DK266" i="1"/>
  <c r="DK131" i="1"/>
  <c r="DL254" i="1"/>
  <c r="DK145" i="1"/>
  <c r="DK300" i="1"/>
  <c r="DK176" i="1"/>
  <c r="DK344" i="1"/>
  <c r="DK312" i="1"/>
  <c r="DK233" i="1"/>
  <c r="DK277" i="1"/>
  <c r="DK113" i="1"/>
  <c r="DK337" i="1"/>
  <c r="DK94" i="1"/>
  <c r="DK50" i="1"/>
  <c r="DK169" i="1"/>
  <c r="DK45" i="1"/>
  <c r="DK28" i="1"/>
  <c r="DK276" i="1"/>
  <c r="DK180" i="1"/>
  <c r="DL83" i="1"/>
  <c r="DK102" i="1"/>
  <c r="DP154" i="1" l="1"/>
  <c r="DP341" i="1"/>
  <c r="DP20" i="1"/>
  <c r="DP80" i="1"/>
  <c r="DP75" i="1"/>
  <c r="DP68" i="1"/>
  <c r="DP30" i="1"/>
  <c r="DP163" i="1"/>
  <c r="DP268" i="1"/>
  <c r="DP351" i="1"/>
  <c r="DP133" i="1"/>
  <c r="DP13" i="1"/>
  <c r="DP171" i="1"/>
  <c r="DP59" i="1"/>
  <c r="DP132" i="1"/>
  <c r="DP231" i="1"/>
  <c r="DP120" i="1"/>
  <c r="DP77" i="1"/>
  <c r="DP178" i="1"/>
  <c r="DP89" i="1"/>
  <c r="DP159" i="1"/>
  <c r="DP168" i="1"/>
  <c r="DP253" i="1"/>
  <c r="DP95" i="1"/>
  <c r="DP334" i="1"/>
  <c r="DP258" i="1"/>
  <c r="DP348" i="1"/>
  <c r="DP160" i="1"/>
  <c r="DP128" i="1"/>
  <c r="DP52" i="1"/>
  <c r="DP165" i="1"/>
  <c r="DP296" i="1"/>
  <c r="DP82" i="1"/>
  <c r="DP100" i="1"/>
  <c r="DP31" i="1"/>
  <c r="DP126" i="1"/>
  <c r="DP129" i="1"/>
  <c r="DP146" i="1"/>
  <c r="DP76" i="1"/>
  <c r="DP117" i="1"/>
  <c r="DP304" i="1"/>
  <c r="DP322" i="1"/>
  <c r="DP305" i="1"/>
  <c r="DN169" i="1"/>
  <c r="DN277" i="1"/>
  <c r="DN312" i="1"/>
  <c r="DN166" i="1"/>
  <c r="DN125" i="1"/>
  <c r="DN339" i="1"/>
  <c r="DN118" i="1"/>
  <c r="DN330" i="1"/>
  <c r="DN297" i="1"/>
  <c r="DN107" i="1"/>
  <c r="DN101" i="1"/>
  <c r="DN78" i="1"/>
  <c r="DN124" i="1"/>
  <c r="DN294" i="1"/>
  <c r="DN199" i="1"/>
  <c r="DN271" i="1"/>
  <c r="DN93" i="1"/>
  <c r="DN267" i="1"/>
  <c r="DN215" i="1"/>
  <c r="DN48" i="1"/>
  <c r="DN148" i="1"/>
  <c r="DN15" i="1"/>
  <c r="DN87" i="1"/>
  <c r="DN352" i="1"/>
  <c r="DN170" i="1"/>
  <c r="DN214" i="1"/>
  <c r="DN333" i="1"/>
  <c r="DN119" i="1"/>
  <c r="DN61" i="1"/>
  <c r="DN97" i="1"/>
  <c r="DN69" i="1"/>
  <c r="DN175" i="1"/>
  <c r="DN29" i="1"/>
  <c r="DN226" i="1"/>
  <c r="DN50" i="1"/>
  <c r="DN300" i="1"/>
  <c r="DN254" i="1"/>
  <c r="DN266" i="1"/>
  <c r="DN116" i="1"/>
  <c r="DN25" i="1"/>
  <c r="DN18" i="1"/>
  <c r="DN196" i="1"/>
  <c r="DN187" i="1"/>
  <c r="DN90" i="1"/>
  <c r="DN279" i="1"/>
  <c r="DN135" i="1"/>
  <c r="DN66" i="1"/>
  <c r="DN177" i="1"/>
  <c r="DN27" i="1"/>
  <c r="DN123" i="1"/>
  <c r="DN73" i="1"/>
  <c r="DN115" i="1"/>
  <c r="DN307" i="1"/>
  <c r="DN84" i="1"/>
  <c r="DN250" i="1"/>
  <c r="DN167" i="1"/>
  <c r="DN225" i="1"/>
  <c r="DN186" i="1"/>
  <c r="DN237" i="1"/>
  <c r="DN366" i="1"/>
  <c r="DN114" i="1"/>
  <c r="DN211" i="1"/>
  <c r="DN35" i="1"/>
  <c r="DN174" i="1"/>
  <c r="DN356" i="1"/>
  <c r="DN130" i="1"/>
  <c r="DN282" i="1"/>
  <c r="DN251" i="1"/>
  <c r="DN232" i="1"/>
  <c r="DN298" i="1"/>
  <c r="DN306" i="1"/>
  <c r="DN44" i="1"/>
  <c r="DN223" i="1"/>
  <c r="DN60" i="1"/>
  <c r="DN180" i="1"/>
  <c r="DN102" i="1"/>
  <c r="DN28" i="1"/>
  <c r="DN216" i="1"/>
  <c r="DN353" i="1"/>
  <c r="DN99" i="1"/>
  <c r="DN201" i="1"/>
  <c r="DN281" i="1"/>
  <c r="DN217" i="1"/>
  <c r="DN141" i="1"/>
  <c r="DN40" i="1"/>
  <c r="DN227" i="1"/>
  <c r="DN328" i="1"/>
  <c r="DN309" i="1"/>
  <c r="DN299" i="1"/>
  <c r="DN210" i="1"/>
  <c r="DN184" i="1"/>
  <c r="DN74" i="1"/>
  <c r="DN122" i="1"/>
  <c r="DN200" i="1"/>
  <c r="DN323" i="1"/>
  <c r="DN106" i="1"/>
  <c r="DN198" i="1"/>
  <c r="DN349" i="1"/>
  <c r="DN192" i="1"/>
  <c r="DN290" i="1"/>
  <c r="DN136" i="1"/>
  <c r="DN156" i="1"/>
  <c r="DN197" i="1"/>
  <c r="DN105" i="1"/>
  <c r="DN54" i="1"/>
  <c r="DN335" i="1"/>
  <c r="DN195" i="1"/>
  <c r="DN230" i="1"/>
  <c r="DN83" i="1"/>
  <c r="DN233" i="1"/>
  <c r="DN176" i="1"/>
  <c r="DN275" i="1"/>
  <c r="DN162" i="1"/>
  <c r="DN320" i="1"/>
  <c r="DN127" i="1"/>
  <c r="DN108" i="1"/>
  <c r="DN24" i="1"/>
  <c r="DN252" i="1"/>
  <c r="DN260" i="1"/>
  <c r="DN172" i="1"/>
  <c r="DN33" i="1"/>
  <c r="DN359" i="1"/>
  <c r="DN79" i="1"/>
  <c r="DN361" i="1"/>
  <c r="DN220" i="1"/>
  <c r="DN242" i="1"/>
  <c r="DN272" i="1"/>
  <c r="DN164" i="1"/>
  <c r="DN292" i="1"/>
  <c r="DN65" i="1"/>
  <c r="DN212" i="1"/>
  <c r="DN289" i="1"/>
  <c r="DN261" i="1"/>
  <c r="DN155" i="1"/>
  <c r="DN81" i="1"/>
  <c r="DN367" i="1"/>
  <c r="DN26" i="1"/>
  <c r="DN47" i="1"/>
  <c r="DL94" i="1"/>
  <c r="DN94" i="1" s="1"/>
  <c r="DL113" i="1"/>
  <c r="DL344" i="1"/>
  <c r="DN344" i="1" s="1"/>
  <c r="DM32" i="1"/>
  <c r="DK364" i="1"/>
  <c r="DL92" i="1"/>
  <c r="DN92" i="1" s="1"/>
  <c r="DL276" i="1"/>
  <c r="DN276" i="1" s="1"/>
  <c r="DK357" i="1"/>
  <c r="DK336" i="1"/>
  <c r="DL23" i="1"/>
  <c r="DL149" i="1"/>
  <c r="DM338" i="1"/>
  <c r="DK284" i="1"/>
  <c r="DL329" i="1"/>
  <c r="DK262" i="1"/>
  <c r="DK46" i="1"/>
  <c r="DL86" i="1"/>
  <c r="DN86" i="1" s="1"/>
  <c r="DK188" i="1"/>
  <c r="DL152" i="1"/>
  <c r="DL255" i="1"/>
  <c r="DN255" i="1" s="1"/>
  <c r="DK246" i="1"/>
  <c r="DK291" i="1"/>
  <c r="DK189" i="1"/>
  <c r="DM153" i="1"/>
  <c r="DK64" i="1"/>
  <c r="DL209" i="1"/>
  <c r="DN209" i="1" s="1"/>
  <c r="DK109" i="1"/>
  <c r="DK37" i="1"/>
  <c r="DK22" i="1"/>
  <c r="DK350" i="1"/>
  <c r="DK265" i="1"/>
  <c r="DK191" i="1"/>
  <c r="DK263" i="1"/>
  <c r="DK224" i="1"/>
  <c r="DL204" i="1"/>
  <c r="DN204" i="1" s="1"/>
  <c r="DK295" i="1"/>
  <c r="DK236" i="1"/>
  <c r="DM14" i="1"/>
  <c r="DL256" i="1"/>
  <c r="DL206" i="1"/>
  <c r="DN206" i="1" s="1"/>
  <c r="DK207" i="1"/>
  <c r="DK354" i="1"/>
  <c r="DL337" i="1"/>
  <c r="DK103" i="1"/>
  <c r="DK311" i="1"/>
  <c r="DK245" i="1"/>
  <c r="DL345" i="1"/>
  <c r="DK269" i="1"/>
  <c r="DL150" i="1"/>
  <c r="DL346" i="1"/>
  <c r="DN346" i="1" s="1"/>
  <c r="DL158" i="1"/>
  <c r="DK218" i="1"/>
  <c r="DK11" i="1"/>
  <c r="DL213" i="1"/>
  <c r="DN213" i="1" s="1"/>
  <c r="DK193" i="1"/>
  <c r="DK270" i="1"/>
  <c r="DK134" i="1"/>
  <c r="DL203" i="1"/>
  <c r="DL185" i="1"/>
  <c r="DK137" i="1"/>
  <c r="DK314" i="1"/>
  <c r="DK36" i="1"/>
  <c r="DK278" i="1"/>
  <c r="DK259" i="1"/>
  <c r="DK139" i="1"/>
  <c r="DK121" i="1"/>
  <c r="DK332" i="1"/>
  <c r="DL88" i="1"/>
  <c r="DK104" i="1"/>
  <c r="DK286" i="1"/>
  <c r="DK360" i="1"/>
  <c r="DK182" i="1"/>
  <c r="DK316" i="1"/>
  <c r="DK221" i="1"/>
  <c r="DL145" i="1"/>
  <c r="DK138" i="1"/>
  <c r="DK58" i="1"/>
  <c r="DK302" i="1"/>
  <c r="DK325" i="1"/>
  <c r="DK71" i="1"/>
  <c r="DL131" i="1"/>
  <c r="DK239" i="1"/>
  <c r="DK16" i="1"/>
  <c r="DL342" i="1"/>
  <c r="DL72" i="1"/>
  <c r="DK179" i="1"/>
  <c r="DK243" i="1"/>
  <c r="DL67" i="1"/>
  <c r="DK264" i="1"/>
  <c r="DL91" i="1"/>
  <c r="DL347" i="1"/>
  <c r="DK293" i="1"/>
  <c r="DL41" i="1"/>
  <c r="DK247" i="1"/>
  <c r="DK365" i="1"/>
  <c r="DL161" i="1"/>
  <c r="DL42" i="1"/>
  <c r="DL340" i="1"/>
  <c r="DK283" i="1"/>
  <c r="DL157" i="1"/>
  <c r="DK53" i="1"/>
  <c r="DK310" i="1"/>
  <c r="DL327" i="1"/>
  <c r="DK321" i="1"/>
  <c r="DL147" i="1"/>
  <c r="DK62" i="1"/>
  <c r="DK219" i="1"/>
  <c r="DL151" i="1"/>
  <c r="DK143" i="1"/>
  <c r="DK303" i="1"/>
  <c r="DK98" i="1"/>
  <c r="DK112" i="1"/>
  <c r="DK17" i="1"/>
  <c r="DK190" i="1"/>
  <c r="DM56" i="1"/>
  <c r="DL205" i="1"/>
  <c r="DN205" i="1" s="1"/>
  <c r="DK55" i="1"/>
  <c r="DK318" i="1"/>
  <c r="DK249" i="1"/>
  <c r="DK110" i="1"/>
  <c r="DK34" i="1"/>
  <c r="DL324" i="1"/>
  <c r="DK331" i="1"/>
  <c r="DL363" i="1"/>
  <c r="DK49" i="1"/>
  <c r="DK238" i="1"/>
  <c r="DK308" i="1"/>
  <c r="DK39" i="1"/>
  <c r="DK194" i="1"/>
  <c r="DL181" i="1"/>
  <c r="DM63" i="1"/>
  <c r="DL45" i="1"/>
  <c r="DK234" i="1"/>
  <c r="DK57" i="1"/>
  <c r="DK287" i="1"/>
  <c r="DK38" i="1"/>
  <c r="DK315" i="1"/>
  <c r="DL202" i="1"/>
  <c r="DK248" i="1"/>
  <c r="DK173" i="1"/>
  <c r="DK362" i="1"/>
  <c r="DK285" i="1"/>
  <c r="DK111" i="1"/>
  <c r="DK280" i="1"/>
  <c r="DL343" i="1"/>
  <c r="DK288" i="1"/>
  <c r="DL183" i="1"/>
  <c r="DM19" i="1"/>
  <c r="DL208" i="1"/>
  <c r="DK21" i="1"/>
  <c r="DK241" i="1"/>
  <c r="DK235" i="1"/>
  <c r="DK319" i="1"/>
  <c r="DK317" i="1"/>
  <c r="DK355" i="1"/>
  <c r="DK301" i="1"/>
  <c r="DK244" i="1"/>
  <c r="DL70" i="1"/>
  <c r="DK142" i="1"/>
  <c r="DK222" i="1"/>
  <c r="DL43" i="1"/>
  <c r="DK51" i="1"/>
  <c r="DL257" i="1"/>
  <c r="DK358" i="1"/>
  <c r="DK273" i="1"/>
  <c r="DL96" i="1"/>
  <c r="DK140" i="1"/>
  <c r="DK274" i="1"/>
  <c r="DK313" i="1"/>
  <c r="DK229" i="1"/>
  <c r="DL85" i="1"/>
  <c r="DK240" i="1"/>
  <c r="DM12" i="1"/>
  <c r="L312" i="24" l="1"/>
  <c r="L311" i="24"/>
  <c r="L149" i="24"/>
  <c r="L128" i="24"/>
  <c r="L30" i="24"/>
  <c r="L83" i="24"/>
  <c r="L168" i="24"/>
  <c r="L130" i="24"/>
  <c r="L355" i="24"/>
  <c r="L341" i="24"/>
  <c r="L257" i="24"/>
  <c r="L162" i="24"/>
  <c r="L181" i="24"/>
  <c r="L121" i="24"/>
  <c r="L135" i="24"/>
  <c r="L174" i="24"/>
  <c r="L12" i="24"/>
  <c r="L166" i="24"/>
  <c r="L68" i="24"/>
  <c r="L75" i="24"/>
  <c r="L200" i="24"/>
  <c r="L348" i="24"/>
  <c r="L123" i="24"/>
  <c r="L329" i="24"/>
  <c r="L118" i="24"/>
  <c r="L76" i="24"/>
  <c r="L131" i="24"/>
  <c r="L101" i="24"/>
  <c r="L303" i="24"/>
  <c r="L51" i="24"/>
  <c r="L163" i="24"/>
  <c r="L262" i="24"/>
  <c r="L96" i="24"/>
  <c r="L171" i="24"/>
  <c r="L90" i="24"/>
  <c r="L77" i="24"/>
  <c r="L235" i="24"/>
  <c r="L58" i="24"/>
  <c r="L136" i="24"/>
  <c r="L358" i="24"/>
  <c r="L272" i="24"/>
  <c r="L29" i="24"/>
  <c r="L81" i="24"/>
  <c r="L19" i="24"/>
  <c r="L157" i="24"/>
  <c r="DP206" i="1"/>
  <c r="DP86" i="1"/>
  <c r="DP367" i="1"/>
  <c r="DP261" i="1"/>
  <c r="DP79" i="1"/>
  <c r="DP108" i="1"/>
  <c r="DP195" i="1"/>
  <c r="DP192" i="1"/>
  <c r="DP184" i="1"/>
  <c r="DP99" i="1"/>
  <c r="DP102" i="1"/>
  <c r="DP232" i="1"/>
  <c r="DP366" i="1"/>
  <c r="DP115" i="1"/>
  <c r="DP90" i="1"/>
  <c r="DP300" i="1"/>
  <c r="DP214" i="1"/>
  <c r="DP148" i="1"/>
  <c r="DP294" i="1"/>
  <c r="DP107" i="1"/>
  <c r="DP344" i="1"/>
  <c r="DP26" i="1"/>
  <c r="DP155" i="1"/>
  <c r="DP289" i="1"/>
  <c r="DP164" i="1"/>
  <c r="DP220" i="1"/>
  <c r="DP33" i="1"/>
  <c r="DP252" i="1"/>
  <c r="DP127" i="1"/>
  <c r="DP176" i="1"/>
  <c r="DP83" i="1"/>
  <c r="DP54" i="1"/>
  <c r="DP136" i="1"/>
  <c r="DP198" i="1"/>
  <c r="DP122" i="1"/>
  <c r="DP299" i="1"/>
  <c r="DP40" i="1"/>
  <c r="DP281" i="1"/>
  <c r="DP60" i="1"/>
  <c r="DP298" i="1"/>
  <c r="DP356" i="1"/>
  <c r="DP211" i="1"/>
  <c r="DP186" i="1"/>
  <c r="DP84" i="1"/>
  <c r="DP123" i="1"/>
  <c r="DP135" i="1"/>
  <c r="DP196" i="1"/>
  <c r="DP266" i="1"/>
  <c r="DP119" i="1"/>
  <c r="DP352" i="1"/>
  <c r="DP48" i="1"/>
  <c r="DP271" i="1"/>
  <c r="DP78" i="1"/>
  <c r="DP330" i="1"/>
  <c r="DP166" i="1"/>
  <c r="DP94" i="1"/>
  <c r="DP204" i="1"/>
  <c r="DP212" i="1"/>
  <c r="DP361" i="1"/>
  <c r="DP172" i="1"/>
  <c r="DP24" i="1"/>
  <c r="DP320" i="1"/>
  <c r="DP230" i="1"/>
  <c r="DP105" i="1"/>
  <c r="DP290" i="1"/>
  <c r="DP106" i="1"/>
  <c r="DP74" i="1"/>
  <c r="DP309" i="1"/>
  <c r="DP201" i="1"/>
  <c r="DP28" i="1"/>
  <c r="DP223" i="1"/>
  <c r="DP282" i="1"/>
  <c r="DP174" i="1"/>
  <c r="DP114" i="1"/>
  <c r="DP225" i="1"/>
  <c r="DP307" i="1"/>
  <c r="DP27" i="1"/>
  <c r="DP279" i="1"/>
  <c r="DP18" i="1"/>
  <c r="DP254" i="1"/>
  <c r="DP226" i="1"/>
  <c r="DP69" i="1"/>
  <c r="DP333" i="1"/>
  <c r="DP87" i="1"/>
  <c r="DP15" i="1"/>
  <c r="DP215" i="1"/>
  <c r="DP199" i="1"/>
  <c r="DP101" i="1"/>
  <c r="DP118" i="1"/>
  <c r="DP312" i="1"/>
  <c r="DP276" i="1"/>
  <c r="DP65" i="1"/>
  <c r="DP328" i="1"/>
  <c r="DP35" i="1"/>
  <c r="DP97" i="1"/>
  <c r="DP277" i="1"/>
  <c r="DP346" i="1"/>
  <c r="DP209" i="1"/>
  <c r="DP255" i="1"/>
  <c r="DP272" i="1"/>
  <c r="DP260" i="1"/>
  <c r="DP162" i="1"/>
  <c r="DP197" i="1"/>
  <c r="DP323" i="1"/>
  <c r="DP141" i="1"/>
  <c r="DP353" i="1"/>
  <c r="DP44" i="1"/>
  <c r="DP130" i="1"/>
  <c r="DP167" i="1"/>
  <c r="DP177" i="1"/>
  <c r="DP25" i="1"/>
  <c r="DP29" i="1"/>
  <c r="DP267" i="1"/>
  <c r="DP339" i="1"/>
  <c r="DP205" i="1"/>
  <c r="DP213" i="1"/>
  <c r="DP92" i="1"/>
  <c r="DP47" i="1"/>
  <c r="DP81" i="1"/>
  <c r="DP292" i="1"/>
  <c r="DP242" i="1"/>
  <c r="DP359" i="1"/>
  <c r="DP275" i="1"/>
  <c r="DP233" i="1"/>
  <c r="DP335" i="1"/>
  <c r="DP156" i="1"/>
  <c r="DP349" i="1"/>
  <c r="DP200" i="1"/>
  <c r="DP210" i="1"/>
  <c r="DP227" i="1"/>
  <c r="DP217" i="1"/>
  <c r="DP216" i="1"/>
  <c r="DP180" i="1"/>
  <c r="DP306" i="1"/>
  <c r="DP251" i="1"/>
  <c r="DP237" i="1"/>
  <c r="DP250" i="1"/>
  <c r="DP73" i="1"/>
  <c r="DP66" i="1"/>
  <c r="DP187" i="1"/>
  <c r="DP116" i="1"/>
  <c r="DP50" i="1"/>
  <c r="DP175" i="1"/>
  <c r="DP61" i="1"/>
  <c r="DP170" i="1"/>
  <c r="DP93" i="1"/>
  <c r="DP124" i="1"/>
  <c r="DP297" i="1"/>
  <c r="DP125" i="1"/>
  <c r="DP169" i="1"/>
  <c r="DO12" i="1"/>
  <c r="DN96" i="1"/>
  <c r="DN240" i="1"/>
  <c r="DN85" i="1"/>
  <c r="DN229" i="1"/>
  <c r="DN317" i="1"/>
  <c r="DO19" i="1"/>
  <c r="DN288" i="1"/>
  <c r="DN285" i="1"/>
  <c r="DN38" i="1"/>
  <c r="DN57" i="1"/>
  <c r="DN45" i="1"/>
  <c r="DN238" i="1"/>
  <c r="DN331" i="1"/>
  <c r="DN143" i="1"/>
  <c r="DN219" i="1"/>
  <c r="DN147" i="1"/>
  <c r="DN42" i="1"/>
  <c r="DN342" i="1"/>
  <c r="DN325" i="1"/>
  <c r="DN138" i="1"/>
  <c r="DN145" i="1"/>
  <c r="DN316" i="1"/>
  <c r="DN360" i="1"/>
  <c r="DN259" i="1"/>
  <c r="DN137" i="1"/>
  <c r="DN203" i="1"/>
  <c r="DN11" i="1"/>
  <c r="DN158" i="1"/>
  <c r="DN103" i="1"/>
  <c r="DN207" i="1"/>
  <c r="DN191" i="1"/>
  <c r="DN37" i="1"/>
  <c r="DN109" i="1"/>
  <c r="DN291" i="1"/>
  <c r="DN246" i="1"/>
  <c r="DN262" i="1"/>
  <c r="DN284" i="1"/>
  <c r="DO338" i="1"/>
  <c r="DN23" i="1"/>
  <c r="DN140" i="1"/>
  <c r="DN43" i="1"/>
  <c r="DN355" i="1"/>
  <c r="DN319" i="1"/>
  <c r="DN241" i="1"/>
  <c r="DN111" i="1"/>
  <c r="DN248" i="1"/>
  <c r="DN202" i="1"/>
  <c r="DO63" i="1"/>
  <c r="DN39" i="1"/>
  <c r="DN49" i="1"/>
  <c r="DN363" i="1"/>
  <c r="DN110" i="1"/>
  <c r="DN17" i="1"/>
  <c r="DN112" i="1"/>
  <c r="DN151" i="1"/>
  <c r="DN321" i="1"/>
  <c r="DN327" i="1"/>
  <c r="DN53" i="1"/>
  <c r="DN283" i="1"/>
  <c r="DN365" i="1"/>
  <c r="DN243" i="1"/>
  <c r="DN179" i="1"/>
  <c r="DN239" i="1"/>
  <c r="DN221" i="1"/>
  <c r="DN104" i="1"/>
  <c r="DN332" i="1"/>
  <c r="DN278" i="1"/>
  <c r="DN314" i="1"/>
  <c r="DN185" i="1"/>
  <c r="DN134" i="1"/>
  <c r="DN270" i="1"/>
  <c r="DN269" i="1"/>
  <c r="DN345" i="1"/>
  <c r="DN256" i="1"/>
  <c r="DN295" i="1"/>
  <c r="DN46" i="1"/>
  <c r="DN364" i="1"/>
  <c r="DN274" i="1"/>
  <c r="DN222" i="1"/>
  <c r="DN142" i="1"/>
  <c r="DN70" i="1"/>
  <c r="DN244" i="1"/>
  <c r="DN343" i="1"/>
  <c r="DN362" i="1"/>
  <c r="DN287" i="1"/>
  <c r="DN234" i="1"/>
  <c r="DN181" i="1"/>
  <c r="DN308" i="1"/>
  <c r="DN324" i="1"/>
  <c r="DN318" i="1"/>
  <c r="DO56" i="1"/>
  <c r="DN190" i="1"/>
  <c r="DN303" i="1"/>
  <c r="DN62" i="1"/>
  <c r="DN310" i="1"/>
  <c r="DN157" i="1"/>
  <c r="DN41" i="1"/>
  <c r="DN91" i="1"/>
  <c r="DN71" i="1"/>
  <c r="DN58" i="1"/>
  <c r="DN182" i="1"/>
  <c r="DN88" i="1"/>
  <c r="DN121" i="1"/>
  <c r="DN218" i="1"/>
  <c r="DN150" i="1"/>
  <c r="DN245" i="1"/>
  <c r="DN311" i="1"/>
  <c r="DN337" i="1"/>
  <c r="DN354" i="1"/>
  <c r="DO14" i="1"/>
  <c r="DN236" i="1"/>
  <c r="DN224" i="1"/>
  <c r="DN263" i="1"/>
  <c r="DN350" i="1"/>
  <c r="DN22" i="1"/>
  <c r="DN64" i="1"/>
  <c r="DN189" i="1"/>
  <c r="DN188" i="1"/>
  <c r="DN273" i="1"/>
  <c r="DN313" i="1"/>
  <c r="DN358" i="1"/>
  <c r="DN257" i="1"/>
  <c r="DN51" i="1"/>
  <c r="DN301" i="1"/>
  <c r="DN235" i="1"/>
  <c r="DN21" i="1"/>
  <c r="DN208" i="1"/>
  <c r="DN183" i="1"/>
  <c r="DN280" i="1"/>
  <c r="DN173" i="1"/>
  <c r="DN315" i="1"/>
  <c r="DN194" i="1"/>
  <c r="DN34" i="1"/>
  <c r="DN249" i="1"/>
  <c r="DN55" i="1"/>
  <c r="DN98" i="1"/>
  <c r="DN340" i="1"/>
  <c r="DN161" i="1"/>
  <c r="DN247" i="1"/>
  <c r="DN293" i="1"/>
  <c r="DN347" i="1"/>
  <c r="DN264" i="1"/>
  <c r="DN67" i="1"/>
  <c r="DN72" i="1"/>
  <c r="DN16" i="1"/>
  <c r="DN131" i="1"/>
  <c r="DN302" i="1"/>
  <c r="DN286" i="1"/>
  <c r="DN139" i="1"/>
  <c r="DN36" i="1"/>
  <c r="DN193" i="1"/>
  <c r="DN265" i="1"/>
  <c r="DO153" i="1"/>
  <c r="DF371" i="1" s="1"/>
  <c r="DN152" i="1"/>
  <c r="DN329" i="1"/>
  <c r="DN149" i="1"/>
  <c r="DN336" i="1"/>
  <c r="DN357" i="1"/>
  <c r="DO32" i="1"/>
  <c r="DN113" i="1"/>
  <c r="DK12" i="1"/>
  <c r="DK63" i="1"/>
  <c r="DM326" i="1"/>
  <c r="DK14" i="1"/>
  <c r="DM9" i="1"/>
  <c r="DK338" i="1"/>
  <c r="DK153" i="1"/>
  <c r="L127" i="24" l="1"/>
  <c r="L126" i="24"/>
  <c r="L173" i="24"/>
  <c r="L178" i="24"/>
  <c r="L117" i="24"/>
  <c r="L66" i="24"/>
  <c r="L254" i="24"/>
  <c r="L255" i="24"/>
  <c r="L183" i="24"/>
  <c r="L231" i="24"/>
  <c r="L204" i="24"/>
  <c r="L159" i="24"/>
  <c r="L237" i="24"/>
  <c r="L366" i="24"/>
  <c r="L299" i="24"/>
  <c r="L82" i="24"/>
  <c r="L93" i="24"/>
  <c r="L209" i="24"/>
  <c r="L271" i="24"/>
  <c r="L28" i="24"/>
  <c r="L180" i="24"/>
  <c r="L132" i="24"/>
  <c r="L360" i="24"/>
  <c r="L330" i="24"/>
  <c r="L165" i="24"/>
  <c r="L277" i="24"/>
  <c r="L213" i="24"/>
  <c r="L108" i="24"/>
  <c r="L151" i="24"/>
  <c r="L307" i="24"/>
  <c r="L116" i="24"/>
  <c r="L236" i="24"/>
  <c r="L100" i="24"/>
  <c r="L195" i="24"/>
  <c r="L109" i="24"/>
  <c r="L265" i="24"/>
  <c r="L87" i="24"/>
  <c r="L282" i="24"/>
  <c r="L34" i="24"/>
  <c r="L281" i="24"/>
  <c r="L119" i="24"/>
  <c r="L203" i="24"/>
  <c r="L340" i="24"/>
  <c r="L230" i="24"/>
  <c r="L17" i="24"/>
  <c r="L26" i="24"/>
  <c r="L229" i="24"/>
  <c r="L177" i="24"/>
  <c r="L27" i="24"/>
  <c r="L205" i="24"/>
  <c r="L316" i="24"/>
  <c r="L107" i="24"/>
  <c r="L106" i="24"/>
  <c r="L23" i="24"/>
  <c r="L368" i="24"/>
  <c r="L216" i="24"/>
  <c r="L95" i="24"/>
  <c r="L337" i="24"/>
  <c r="L276" i="24"/>
  <c r="L120" i="24"/>
  <c r="L199" i="24"/>
  <c r="L125" i="24"/>
  <c r="L189" i="24"/>
  <c r="L363" i="24"/>
  <c r="L305" i="24"/>
  <c r="L286" i="24"/>
  <c r="L288" i="24"/>
  <c r="L306" i="24"/>
  <c r="L202" i="24"/>
  <c r="L53" i="24"/>
  <c r="L179" i="24"/>
  <c r="L256" i="24"/>
  <c r="L224" i="24"/>
  <c r="L296" i="24"/>
  <c r="L25" i="24"/>
  <c r="L172" i="24"/>
  <c r="L304" i="24"/>
  <c r="L94" i="24"/>
  <c r="L60" i="24"/>
  <c r="L49" i="24"/>
  <c r="L190" i="24"/>
  <c r="L73" i="24"/>
  <c r="L241" i="24"/>
  <c r="L79" i="24"/>
  <c r="L313" i="24"/>
  <c r="L220" i="24"/>
  <c r="L221" i="24"/>
  <c r="L214" i="24"/>
  <c r="L356" i="24"/>
  <c r="L342" i="24"/>
  <c r="L280" i="24"/>
  <c r="L246" i="24"/>
  <c r="L46" i="24"/>
  <c r="L217" i="24"/>
  <c r="L346" i="24"/>
  <c r="L134" i="24"/>
  <c r="L24" i="24"/>
  <c r="L170" i="24"/>
  <c r="L43" i="24"/>
  <c r="L144" i="24"/>
  <c r="L201" i="24"/>
  <c r="L264" i="24"/>
  <c r="L259" i="24"/>
  <c r="L353" i="24"/>
  <c r="L301" i="24"/>
  <c r="L218" i="24"/>
  <c r="L91" i="24"/>
  <c r="L373" i="24"/>
  <c r="L103" i="24"/>
  <c r="L187" i="24"/>
  <c r="L198" i="24"/>
  <c r="L374" i="24"/>
  <c r="L210" i="24"/>
  <c r="L98" i="24"/>
  <c r="L335" i="24"/>
  <c r="L65" i="24"/>
  <c r="L319" i="24"/>
  <c r="L102" i="24"/>
  <c r="L219" i="24"/>
  <c r="L88" i="24"/>
  <c r="L69" i="24"/>
  <c r="L258" i="24"/>
  <c r="L285" i="24"/>
  <c r="L314" i="24"/>
  <c r="L115" i="24"/>
  <c r="L289" i="24"/>
  <c r="L227" i="24"/>
  <c r="L74" i="24"/>
  <c r="L297" i="24"/>
  <c r="L234" i="24"/>
  <c r="L327" i="24"/>
  <c r="L175" i="24"/>
  <c r="L64" i="24"/>
  <c r="L284" i="24"/>
  <c r="L208" i="24"/>
  <c r="L169" i="24"/>
  <c r="L78" i="24"/>
  <c r="L47" i="24"/>
  <c r="L359" i="24"/>
  <c r="L270" i="24"/>
  <c r="L138" i="24"/>
  <c r="L85" i="24"/>
  <c r="L215" i="24"/>
  <c r="L274" i="24"/>
  <c r="L59" i="24"/>
  <c r="L39" i="24"/>
  <c r="L124" i="24"/>
  <c r="L139" i="24"/>
  <c r="L84" i="24"/>
  <c r="L129" i="24"/>
  <c r="L32" i="24"/>
  <c r="L167" i="24"/>
  <c r="L158" i="24"/>
  <c r="L351" i="24"/>
  <c r="DP357" i="1"/>
  <c r="DP152" i="1"/>
  <c r="DP36" i="1"/>
  <c r="DP131" i="1"/>
  <c r="DP264" i="1"/>
  <c r="DP161" i="1"/>
  <c r="DP249" i="1"/>
  <c r="DP173" i="1"/>
  <c r="DP21" i="1"/>
  <c r="DP257" i="1"/>
  <c r="DP188" i="1"/>
  <c r="DP350" i="1"/>
  <c r="DP245" i="1"/>
  <c r="DP88" i="1"/>
  <c r="DP91" i="1"/>
  <c r="DP62" i="1"/>
  <c r="DP318" i="1"/>
  <c r="DP234" i="1"/>
  <c r="DP244" i="1"/>
  <c r="DP274" i="1"/>
  <c r="DP256" i="1"/>
  <c r="DP134" i="1"/>
  <c r="DP332" i="1"/>
  <c r="DP179" i="1"/>
  <c r="DP53" i="1"/>
  <c r="DP112" i="1"/>
  <c r="DP49" i="1"/>
  <c r="DP248" i="1"/>
  <c r="DP355" i="1"/>
  <c r="DP291" i="1"/>
  <c r="DP207" i="1"/>
  <c r="DP203" i="1"/>
  <c r="DP316" i="1"/>
  <c r="DP342" i="1"/>
  <c r="DP143" i="1"/>
  <c r="DP57" i="1"/>
  <c r="DP240" i="1"/>
  <c r="DP336" i="1"/>
  <c r="DP139" i="1"/>
  <c r="DP16" i="1"/>
  <c r="DP347" i="1"/>
  <c r="DP340" i="1"/>
  <c r="DP34" i="1"/>
  <c r="DP280" i="1"/>
  <c r="DP235" i="1"/>
  <c r="DP358" i="1"/>
  <c r="DP189" i="1"/>
  <c r="DP263" i="1"/>
  <c r="DP354" i="1"/>
  <c r="DP150" i="1"/>
  <c r="DP182" i="1"/>
  <c r="DP41" i="1"/>
  <c r="DP303" i="1"/>
  <c r="DP324" i="1"/>
  <c r="DP287" i="1"/>
  <c r="DP70" i="1"/>
  <c r="DP364" i="1"/>
  <c r="DP345" i="1"/>
  <c r="DP185" i="1"/>
  <c r="DP104" i="1"/>
  <c r="DP243" i="1"/>
  <c r="DP327" i="1"/>
  <c r="DP17" i="1"/>
  <c r="DP39" i="1"/>
  <c r="DP111" i="1"/>
  <c r="DP43" i="1"/>
  <c r="DP284" i="1"/>
  <c r="DP109" i="1"/>
  <c r="DP103" i="1"/>
  <c r="DP137" i="1"/>
  <c r="DP145" i="1"/>
  <c r="DP42" i="1"/>
  <c r="DP331" i="1"/>
  <c r="DP38" i="1"/>
  <c r="DP317" i="1"/>
  <c r="DP96" i="1"/>
  <c r="L14" i="24"/>
  <c r="DP113" i="1"/>
  <c r="DP149" i="1"/>
  <c r="DP265" i="1"/>
  <c r="DP286" i="1"/>
  <c r="DP72" i="1"/>
  <c r="DP293" i="1"/>
  <c r="DP98" i="1"/>
  <c r="DP194" i="1"/>
  <c r="DP183" i="1"/>
  <c r="DP301" i="1"/>
  <c r="DP313" i="1"/>
  <c r="DP64" i="1"/>
  <c r="DP224" i="1"/>
  <c r="DP337" i="1"/>
  <c r="DP218" i="1"/>
  <c r="DP58" i="1"/>
  <c r="DP157" i="1"/>
  <c r="DP190" i="1"/>
  <c r="DP308" i="1"/>
  <c r="DP362" i="1"/>
  <c r="DP142" i="1"/>
  <c r="DP46" i="1"/>
  <c r="DP269" i="1"/>
  <c r="DP314" i="1"/>
  <c r="DP221" i="1"/>
  <c r="DP365" i="1"/>
  <c r="DP321" i="1"/>
  <c r="DP110" i="1"/>
  <c r="DP241" i="1"/>
  <c r="DP140" i="1"/>
  <c r="DP262" i="1"/>
  <c r="DP37" i="1"/>
  <c r="DP158" i="1"/>
  <c r="DP259" i="1"/>
  <c r="DP138" i="1"/>
  <c r="DP147" i="1"/>
  <c r="DP238" i="1"/>
  <c r="DP285" i="1"/>
  <c r="DP229" i="1"/>
  <c r="L80" i="24"/>
  <c r="DP329" i="1"/>
  <c r="DP193" i="1"/>
  <c r="DP302" i="1"/>
  <c r="DP67" i="1"/>
  <c r="DP247" i="1"/>
  <c r="DP55" i="1"/>
  <c r="DP315" i="1"/>
  <c r="DP208" i="1"/>
  <c r="DP51" i="1"/>
  <c r="DP273" i="1"/>
  <c r="DP22" i="1"/>
  <c r="DP236" i="1"/>
  <c r="DP311" i="1"/>
  <c r="DP121" i="1"/>
  <c r="DP71" i="1"/>
  <c r="DP310" i="1"/>
  <c r="DP181" i="1"/>
  <c r="DP343" i="1"/>
  <c r="DP222" i="1"/>
  <c r="DP295" i="1"/>
  <c r="DP270" i="1"/>
  <c r="DP278" i="1"/>
  <c r="DP239" i="1"/>
  <c r="DP283" i="1"/>
  <c r="DP151" i="1"/>
  <c r="DP363" i="1"/>
  <c r="DP202" i="1"/>
  <c r="DP319" i="1"/>
  <c r="DP23" i="1"/>
  <c r="DP246" i="1"/>
  <c r="DP191" i="1"/>
  <c r="DP11" i="1"/>
  <c r="DP360" i="1"/>
  <c r="DP325" i="1"/>
  <c r="DP219" i="1"/>
  <c r="DP45" i="1"/>
  <c r="DP288" i="1"/>
  <c r="DP85" i="1"/>
  <c r="DO9" i="1"/>
  <c r="DF373" i="1" s="1"/>
  <c r="DO326" i="1"/>
  <c r="DN14" i="1"/>
  <c r="DL153" i="1"/>
  <c r="DK19" i="1"/>
  <c r="DK32" i="1"/>
  <c r="DK56" i="1"/>
  <c r="DL63" i="1"/>
  <c r="DL12" i="1"/>
  <c r="DL338" i="1"/>
  <c r="DK326" i="1"/>
  <c r="L292" i="24" l="1"/>
  <c r="L150" i="24"/>
  <c r="L263" i="24"/>
  <c r="L36" i="24"/>
  <c r="L143" i="24"/>
  <c r="L111" i="24"/>
  <c r="L372" i="24"/>
  <c r="L321" i="24"/>
  <c r="L45" i="24"/>
  <c r="L369" i="24"/>
  <c r="L193" i="24"/>
  <c r="L57" i="24"/>
  <c r="L344" i="24"/>
  <c r="L63" i="24"/>
  <c r="L308" i="24"/>
  <c r="L197" i="24"/>
  <c r="L300" i="24"/>
  <c r="L293" i="24"/>
  <c r="L152" i="24"/>
  <c r="L97" i="24"/>
  <c r="L37" i="24"/>
  <c r="L41" i="24"/>
  <c r="L140" i="24"/>
  <c r="L110" i="24"/>
  <c r="L42" i="24"/>
  <c r="L38" i="24"/>
  <c r="L334" i="24"/>
  <c r="L105" i="24"/>
  <c r="L352" i="24"/>
  <c r="L70" i="24"/>
  <c r="L331" i="24"/>
  <c r="L40" i="24"/>
  <c r="L153" i="24"/>
  <c r="L267" i="24"/>
  <c r="L365" i="24"/>
  <c r="L287" i="24"/>
  <c r="L347" i="24"/>
  <c r="L15" i="24"/>
  <c r="L343" i="24"/>
  <c r="L244" i="24"/>
  <c r="L146" i="24"/>
  <c r="L323" i="24"/>
  <c r="L211" i="24"/>
  <c r="L362" i="24"/>
  <c r="L48" i="24"/>
  <c r="L52" i="24"/>
  <c r="L339" i="24"/>
  <c r="L260" i="24"/>
  <c r="L248" i="24"/>
  <c r="L325" i="24"/>
  <c r="L92" i="24"/>
  <c r="L249" i="24"/>
  <c r="L191" i="24"/>
  <c r="L20" i="24"/>
  <c r="L253" i="24"/>
  <c r="L268" i="24"/>
  <c r="L35" i="24"/>
  <c r="L364" i="24"/>
  <c r="L86" i="24"/>
  <c r="L44" i="24"/>
  <c r="L332" i="24"/>
  <c r="L10" i="24"/>
  <c r="L250" i="24"/>
  <c r="L326" i="24"/>
  <c r="L370" i="24"/>
  <c r="L290" i="24"/>
  <c r="L283" i="24"/>
  <c r="L302" i="24"/>
  <c r="L350" i="24"/>
  <c r="L317" i="24"/>
  <c r="L122" i="24"/>
  <c r="L240" i="24"/>
  <c r="L278" i="24"/>
  <c r="L212" i="24"/>
  <c r="L54" i="24"/>
  <c r="L67" i="24"/>
  <c r="L196" i="24"/>
  <c r="L242" i="24"/>
  <c r="L161" i="24"/>
  <c r="L245" i="24"/>
  <c r="L273" i="24"/>
  <c r="L160" i="24"/>
  <c r="L320" i="24"/>
  <c r="L72" i="24"/>
  <c r="L114" i="24"/>
  <c r="L324" i="24"/>
  <c r="L148" i="24"/>
  <c r="L291" i="24"/>
  <c r="L16" i="24"/>
  <c r="L188" i="24"/>
  <c r="L294" i="24"/>
  <c r="L185" i="24"/>
  <c r="L361" i="24"/>
  <c r="L192" i="24"/>
  <c r="L239" i="24"/>
  <c r="L33" i="24"/>
  <c r="L354" i="24"/>
  <c r="L56" i="24"/>
  <c r="L349" i="24"/>
  <c r="L207" i="24"/>
  <c r="L298" i="24"/>
  <c r="L252" i="24"/>
  <c r="L113" i="24"/>
  <c r="L182" i="24"/>
  <c r="L137" i="24"/>
  <c r="L279" i="24"/>
  <c r="L238" i="24"/>
  <c r="L61" i="24"/>
  <c r="L89" i="24"/>
  <c r="L357" i="24"/>
  <c r="L261" i="24"/>
  <c r="L176" i="24"/>
  <c r="L164" i="24"/>
  <c r="L133" i="24"/>
  <c r="L155" i="24"/>
  <c r="L233" i="24"/>
  <c r="L141" i="24"/>
  <c r="L266" i="24"/>
  <c r="L328" i="24"/>
  <c r="L225" i="24"/>
  <c r="L145" i="24"/>
  <c r="L315" i="24"/>
  <c r="L222" i="24"/>
  <c r="L228" i="24"/>
  <c r="L186" i="24"/>
  <c r="L99" i="24"/>
  <c r="L269" i="24"/>
  <c r="L338" i="24"/>
  <c r="L104" i="24"/>
  <c r="L112" i="24"/>
  <c r="L247" i="24"/>
  <c r="L371" i="24"/>
  <c r="L310" i="24"/>
  <c r="L142" i="24"/>
  <c r="L295" i="24"/>
  <c r="L223" i="24"/>
  <c r="L367" i="24"/>
  <c r="L194" i="24"/>
  <c r="L22" i="24"/>
  <c r="L206" i="24"/>
  <c r="L154" i="24"/>
  <c r="L243" i="24"/>
  <c r="L275" i="24"/>
  <c r="L226" i="24"/>
  <c r="L184" i="24"/>
  <c r="L71" i="24"/>
  <c r="L318" i="24"/>
  <c r="L21" i="24"/>
  <c r="L50" i="24"/>
  <c r="L322" i="24"/>
  <c r="L251" i="24"/>
  <c r="L309" i="24"/>
  <c r="L336" i="24"/>
  <c r="DP14" i="1"/>
  <c r="DN338" i="1"/>
  <c r="DN32" i="1"/>
  <c r="DN56" i="1"/>
  <c r="DN19" i="1"/>
  <c r="DN63" i="1"/>
  <c r="DN153" i="1"/>
  <c r="DN12" i="1"/>
  <c r="DM10" i="1"/>
  <c r="DK9" i="1"/>
  <c r="DL326" i="1"/>
  <c r="L13" i="24" l="1"/>
  <c r="DP56" i="1"/>
  <c r="DP19" i="1"/>
  <c r="DP153" i="1"/>
  <c r="DE371" i="1"/>
  <c r="DP32" i="1"/>
  <c r="DP12" i="1"/>
  <c r="DP63" i="1"/>
  <c r="DP338" i="1"/>
  <c r="DN9" i="1"/>
  <c r="DO10" i="1"/>
  <c r="DN326" i="1"/>
  <c r="L62" i="24" l="1"/>
  <c r="L18" i="24"/>
  <c r="L345" i="24"/>
  <c r="L55" i="24"/>
  <c r="L11" i="24"/>
  <c r="L31" i="24"/>
  <c r="DP326" i="1"/>
  <c r="L156" i="24"/>
  <c r="DO368" i="1"/>
  <c r="DF372" i="1"/>
  <c r="D45" i="12" s="1"/>
  <c r="DP9" i="1"/>
  <c r="DE373" i="1"/>
  <c r="DK10" i="1"/>
  <c r="L333" i="24" l="1"/>
  <c r="DF374" i="1"/>
  <c r="DF368" i="1"/>
  <c r="L8" i="24"/>
  <c r="DN10" i="1"/>
  <c r="DP10" i="1" l="1"/>
  <c r="DE372" i="1"/>
  <c r="D44" i="12" s="1"/>
  <c r="E44" i="12" s="1"/>
  <c r="DN368" i="1"/>
  <c r="DP368" i="1" s="1"/>
  <c r="DE374" i="1" l="1"/>
  <c r="L9" i="24"/>
  <c r="L375" i="24" s="1"/>
  <c r="DE368" i="1"/>
  <c r="M317" i="24" l="1"/>
  <c r="M258" i="24" l="1"/>
  <c r="M149" i="24"/>
  <c r="M247" i="24"/>
  <c r="M100" i="24"/>
  <c r="M49" i="24"/>
  <c r="M155" i="24"/>
  <c r="M260" i="24"/>
  <c r="M308" i="24"/>
  <c r="M191" i="24"/>
  <c r="M54" i="24"/>
  <c r="M138" i="24"/>
  <c r="M27" i="24"/>
  <c r="M116" i="24"/>
  <c r="M279" i="24"/>
  <c r="M29" i="24"/>
  <c r="M270" i="24"/>
  <c r="M15" i="24"/>
  <c r="M359" i="24"/>
  <c r="M301" i="24"/>
  <c r="M45" i="24"/>
  <c r="M345" i="24"/>
  <c r="M296" i="24"/>
  <c r="M267" i="24"/>
  <c r="M188" i="24"/>
  <c r="M176" i="24"/>
  <c r="M291" i="24"/>
  <c r="M210" i="24"/>
  <c r="M204" i="24"/>
  <c r="M212" i="24"/>
  <c r="M274" i="24"/>
  <c r="M91" i="24"/>
  <c r="M287" i="24"/>
  <c r="M227" i="24"/>
  <c r="M347" i="24"/>
  <c r="M253" i="24"/>
  <c r="M196" i="24"/>
  <c r="M295" i="24"/>
  <c r="M180" i="24"/>
  <c r="M269" i="24"/>
  <c r="M264" i="24"/>
  <c r="M42" i="24"/>
  <c r="M225" i="24"/>
  <c r="M259" i="24"/>
  <c r="M366" i="24"/>
  <c r="M79" i="24"/>
  <c r="M222" i="24"/>
  <c r="M257" i="24"/>
  <c r="M337" i="24"/>
  <c r="M103" i="24"/>
  <c r="M51" i="24"/>
  <c r="M19" i="24"/>
  <c r="M141" i="24"/>
  <c r="M127" i="24"/>
  <c r="M169" i="24"/>
  <c r="M142" i="24"/>
  <c r="M255" i="24"/>
  <c r="M342" i="24"/>
  <c r="M164" i="24"/>
  <c r="M18" i="24"/>
  <c r="M327" i="24"/>
  <c r="M316" i="24"/>
  <c r="M115" i="24"/>
  <c r="M34" i="24"/>
  <c r="M229" i="24"/>
  <c r="M319" i="24"/>
  <c r="M223" i="24"/>
  <c r="M117" i="24"/>
  <c r="M239" i="24"/>
  <c r="M168" i="24"/>
  <c r="M254" i="24"/>
  <c r="M10" i="24"/>
  <c r="M134" i="24"/>
  <c r="M87" i="24"/>
  <c r="M121" i="24"/>
  <c r="M16" i="24"/>
  <c r="M73" i="24"/>
  <c r="M284" i="24"/>
  <c r="M179" i="24"/>
  <c r="M159" i="24"/>
  <c r="M90" i="24"/>
  <c r="M110" i="24"/>
  <c r="M177" i="24"/>
  <c r="M40" i="24"/>
  <c r="M352" i="24"/>
  <c r="M217" i="24"/>
  <c r="M208" i="24"/>
  <c r="M99" i="24"/>
  <c r="M302" i="24"/>
  <c r="M114" i="24"/>
  <c r="M358" i="24"/>
  <c r="M231" i="24"/>
  <c r="M361" i="24"/>
  <c r="M153" i="24"/>
  <c r="M215" i="24"/>
  <c r="M202" i="24"/>
  <c r="M351" i="24"/>
  <c r="M96" i="24"/>
  <c r="M175" i="24"/>
  <c r="M194" i="24"/>
  <c r="M26" i="24"/>
  <c r="M71" i="24"/>
  <c r="M199" i="24"/>
  <c r="M218" i="24"/>
  <c r="M276" i="24"/>
  <c r="M261" i="24"/>
  <c r="M56" i="24"/>
  <c r="M325" i="24"/>
  <c r="M160" i="24"/>
  <c r="M250" i="24"/>
  <c r="M67" i="24"/>
  <c r="M237" i="24"/>
  <c r="M173" i="24"/>
  <c r="M230" i="24"/>
  <c r="M241" i="24"/>
  <c r="M184" i="24"/>
  <c r="M147" i="24"/>
  <c r="M298" i="24"/>
  <c r="M198" i="24"/>
  <c r="M133" i="24"/>
  <c r="M294" i="24"/>
  <c r="M271" i="24"/>
  <c r="M364" i="24"/>
  <c r="M220" i="24"/>
  <c r="M190" i="24"/>
  <c r="M207" i="24"/>
  <c r="M324" i="24"/>
  <c r="M236" i="24"/>
  <c r="M197" i="24"/>
  <c r="M332" i="24"/>
  <c r="M72" i="24"/>
  <c r="M167" i="24"/>
  <c r="M75" i="24"/>
  <c r="M233" i="24"/>
  <c r="M278" i="24"/>
  <c r="M84" i="24"/>
  <c r="M232" i="24"/>
  <c r="M83" i="24"/>
  <c r="M132" i="24"/>
  <c r="M22" i="24"/>
  <c r="M182" i="24"/>
  <c r="M219" i="24"/>
  <c r="M265" i="24"/>
  <c r="M336" i="24"/>
  <c r="M154" i="24"/>
  <c r="M286" i="24"/>
  <c r="M119" i="24"/>
  <c r="M172" i="24"/>
  <c r="M272" i="24"/>
  <c r="M44" i="24"/>
  <c r="M334" i="24"/>
  <c r="M94" i="24"/>
  <c r="M300" i="24"/>
  <c r="M82" i="24"/>
  <c r="M195" i="24"/>
  <c r="M186" i="24"/>
  <c r="M112" i="24"/>
  <c r="M280" i="24"/>
  <c r="M273" i="24"/>
  <c r="M144" i="24"/>
  <c r="M292" i="24"/>
  <c r="M80" i="24" l="1"/>
  <c r="M193" i="24"/>
  <c r="M126" i="24"/>
  <c r="M145" i="24"/>
  <c r="M85" i="24"/>
  <c r="M355" i="24"/>
  <c r="M128" i="24"/>
  <c r="M209" i="24"/>
  <c r="M131" i="24"/>
  <c r="M216" i="24"/>
  <c r="M205" i="24"/>
  <c r="M290" i="24"/>
  <c r="M289" i="24"/>
  <c r="M346" i="24"/>
  <c r="M61" i="24"/>
  <c r="M102" i="24"/>
  <c r="M360" i="24"/>
  <c r="M108" i="24"/>
  <c r="M25" i="24"/>
  <c r="M140" i="24"/>
  <c r="M31" i="24"/>
  <c r="M65" i="24"/>
  <c r="M23" i="24"/>
  <c r="M156" i="24"/>
  <c r="M200" i="24"/>
  <c r="M165" i="24"/>
  <c r="M213" i="24"/>
  <c r="M64" i="24"/>
  <c r="M70" i="24"/>
  <c r="M32" i="24"/>
  <c r="M238" i="24"/>
  <c r="M329" i="24"/>
  <c r="M125" i="24"/>
  <c r="M129" i="24"/>
  <c r="M118" i="24"/>
  <c r="M53" i="24"/>
  <c r="M248" i="24"/>
  <c r="M92" i="24"/>
  <c r="M187" i="24"/>
  <c r="M139" i="24"/>
  <c r="M374" i="24"/>
  <c r="M314" i="24"/>
  <c r="M89" i="24"/>
  <c r="M174" i="24"/>
  <c r="M326" i="24"/>
  <c r="M331" i="24"/>
  <c r="M143" i="24"/>
  <c r="M113" i="24"/>
  <c r="M328" i="24"/>
  <c r="M330" i="24"/>
  <c r="M343" i="24"/>
  <c r="M249" i="24"/>
  <c r="M226" i="24"/>
  <c r="M242" i="24"/>
  <c r="M235" i="24"/>
  <c r="M224" i="24"/>
  <c r="M321" i="24"/>
  <c r="M163" i="24"/>
  <c r="M98" i="24"/>
  <c r="M189" i="24"/>
  <c r="M368" i="24"/>
  <c r="M68" i="24"/>
  <c r="M20" i="24"/>
  <c r="M105" i="24"/>
  <c r="M46" i="24"/>
  <c r="M17" i="24"/>
  <c r="M243" i="24"/>
  <c r="M148" i="24"/>
  <c r="M120" i="24"/>
  <c r="M315" i="24"/>
  <c r="M309" i="24"/>
  <c r="M158" i="24"/>
  <c r="M50" i="24"/>
  <c r="M170" i="24"/>
  <c r="M365" i="24"/>
  <c r="M21" i="24"/>
  <c r="M240" i="24"/>
  <c r="M104" i="24"/>
  <c r="M262" i="24"/>
  <c r="M39" i="24"/>
  <c r="M33" i="24"/>
  <c r="M312" i="24"/>
  <c r="M81" i="24"/>
  <c r="M78" i="24"/>
  <c r="M277" i="24"/>
  <c r="M122" i="24"/>
  <c r="M137" i="24"/>
  <c r="M228" i="24"/>
  <c r="M313" i="24"/>
  <c r="M101" i="24"/>
  <c r="M37" i="24"/>
  <c r="M304" i="24"/>
  <c r="M252" i="24"/>
  <c r="M97" i="24"/>
  <c r="M52" i="24"/>
  <c r="M363" i="24"/>
  <c r="M245" i="24"/>
  <c r="M58" i="24"/>
  <c r="M206" i="24"/>
  <c r="M12" i="24"/>
  <c r="M305" i="24"/>
  <c r="M178" i="24"/>
  <c r="M109" i="24"/>
  <c r="M111" i="24"/>
  <c r="M275" i="24"/>
  <c r="M263" i="24"/>
  <c r="M339" i="24"/>
  <c r="M136" i="24"/>
  <c r="M55" i="24"/>
  <c r="M47" i="24"/>
  <c r="M171" i="24"/>
  <c r="M63" i="24"/>
  <c r="M371" i="24"/>
  <c r="M95" i="24"/>
  <c r="M283" i="24"/>
  <c r="M59" i="24"/>
  <c r="M161" i="24"/>
  <c r="M362" i="24"/>
  <c r="M310" i="24"/>
  <c r="M311" i="24"/>
  <c r="M166" i="24"/>
  <c r="M369" i="24"/>
  <c r="M130" i="24"/>
  <c r="M370" i="24"/>
  <c r="M268" i="24"/>
  <c r="M297" i="24"/>
  <c r="M353" i="24"/>
  <c r="M38" i="24"/>
  <c r="M221" i="24"/>
  <c r="M299" i="24"/>
  <c r="M185" i="24"/>
  <c r="M93" i="24"/>
  <c r="M373" i="24"/>
  <c r="M333" i="24"/>
  <c r="M303" i="24"/>
  <c r="M246" i="24"/>
  <c r="M282" i="24"/>
  <c r="M372" i="24"/>
  <c r="M323" i="24"/>
  <c r="M77" i="24"/>
  <c r="M251" i="24"/>
  <c r="M181" i="24"/>
  <c r="M266" i="24"/>
  <c r="M124" i="24"/>
  <c r="M183" i="24"/>
  <c r="M60" i="24"/>
  <c r="M256" i="24"/>
  <c r="M66" i="24"/>
  <c r="M285" i="24"/>
  <c r="M214" i="24"/>
  <c r="M13" i="24"/>
  <c r="M357" i="24"/>
  <c r="M234" i="24"/>
  <c r="M106" i="24"/>
  <c r="M146" i="24"/>
  <c r="M24" i="24"/>
  <c r="M320" i="24"/>
  <c r="M340" i="24"/>
  <c r="M76" i="24"/>
  <c r="M69" i="24"/>
  <c r="M41" i="24"/>
  <c r="M335" i="24"/>
  <c r="M57" i="24"/>
  <c r="M367" i="24"/>
  <c r="M43" i="24"/>
  <c r="M244" i="24"/>
  <c r="M107" i="24"/>
  <c r="M341" i="24"/>
  <c r="M338" i="24"/>
  <c r="M11" i="24"/>
  <c r="M344" i="24"/>
  <c r="M162" i="24"/>
  <c r="M322" i="24"/>
  <c r="M74" i="24"/>
  <c r="M281" i="24"/>
  <c r="M203" i="24"/>
  <c r="M307" i="24"/>
  <c r="M348" i="24"/>
  <c r="M356" i="24"/>
  <c r="M150" i="24"/>
  <c r="M28" i="24"/>
  <c r="M135" i="24"/>
  <c r="M318" i="24"/>
  <c r="M354" i="24"/>
  <c r="M48" i="24"/>
  <c r="M306" i="24"/>
  <c r="M349" i="24"/>
  <c r="M288" i="24"/>
  <c r="M151" i="24"/>
  <c r="M36" i="24"/>
  <c r="M86" i="24"/>
  <c r="M123" i="24"/>
  <c r="M88" i="24"/>
  <c r="M293" i="24"/>
  <c r="M211" i="24"/>
  <c r="M157" i="24"/>
  <c r="M30" i="24"/>
  <c r="M201" i="24"/>
  <c r="M350" i="24"/>
  <c r="M35" i="24"/>
  <c r="M62" i="24"/>
  <c r="M152" i="24"/>
  <c r="M192" i="24"/>
  <c r="M14" i="24" l="1"/>
  <c r="M9" i="24" l="1"/>
  <c r="DA368" i="1" l="1"/>
  <c r="DA374" i="1"/>
  <c r="M8" i="24"/>
  <c r="M375" i="24" s="1"/>
  <c r="N46" i="3" l="1"/>
  <c r="H46" i="3" l="1"/>
  <c r="K46" i="3"/>
  <c r="D46" i="3"/>
  <c r="F46" i="3" s="1"/>
  <c r="I136" i="30" l="1"/>
  <c r="L34" i="30"/>
  <c r="M34" i="30" l="1"/>
  <c r="I34" i="30"/>
  <c r="J136" i="30"/>
  <c r="I134" i="30"/>
  <c r="I36" i="30" l="1"/>
  <c r="J36" i="30" s="1"/>
  <c r="J34" i="30"/>
  <c r="L134" i="30"/>
  <c r="J134" i="30"/>
  <c r="I86" i="30"/>
  <c r="M134" i="30" l="1"/>
  <c r="L184" i="30"/>
  <c r="I84" i="30"/>
  <c r="J86" i="30"/>
  <c r="I186" i="30"/>
  <c r="M184" i="30" l="1"/>
  <c r="J186" i="30"/>
  <c r="J84" i="30"/>
  <c r="I184" i="30"/>
  <c r="J184" i="30" l="1"/>
  <c r="E79" i="24" l="1"/>
  <c r="G79" i="24" l="1"/>
  <c r="F79" i="24"/>
  <c r="L69" i="30" l="1"/>
  <c r="S169" i="30"/>
  <c r="M69" i="30" l="1"/>
  <c r="O69" i="30"/>
  <c r="L19" i="30"/>
  <c r="P69" i="30" l="1"/>
  <c r="M19" i="30"/>
  <c r="L169" i="30"/>
  <c r="O19" i="30"/>
  <c r="O169" i="30" l="1"/>
  <c r="M169" i="30"/>
  <c r="P19" i="30"/>
  <c r="P169" i="30" l="1"/>
  <c r="E284" i="24" l="1"/>
  <c r="E123" i="24"/>
  <c r="E134" i="24"/>
  <c r="E200" i="24"/>
  <c r="E286" i="24"/>
  <c r="E274" i="24" l="1"/>
  <c r="F274" i="24" s="1"/>
  <c r="F286" i="24"/>
  <c r="G286" i="24"/>
  <c r="E64" i="24"/>
  <c r="G123" i="24"/>
  <c r="F123" i="24"/>
  <c r="G200" i="24"/>
  <c r="F200" i="24"/>
  <c r="G284" i="24"/>
  <c r="F284" i="24"/>
  <c r="F134" i="24"/>
  <c r="G134" i="24"/>
  <c r="G274" i="24" l="1"/>
  <c r="F64" i="24"/>
  <c r="G64" i="24"/>
  <c r="F134" i="30" l="1"/>
  <c r="G134" i="30" s="1"/>
  <c r="C34" i="30" l="1"/>
  <c r="F84" i="30"/>
  <c r="G84" i="30" s="1"/>
  <c r="C134" i="30"/>
  <c r="D134" i="30" s="1"/>
  <c r="C84" i="30"/>
  <c r="D84" i="30" s="1"/>
  <c r="F34" i="30"/>
  <c r="O134" i="30" l="1"/>
  <c r="P134" i="30" s="1"/>
  <c r="O84" i="30"/>
  <c r="P84" i="30" s="1"/>
  <c r="G34" i="30"/>
  <c r="F184" i="30"/>
  <c r="G184" i="30" s="1"/>
  <c r="C184" i="30"/>
  <c r="D34" i="30"/>
  <c r="O34" i="30"/>
  <c r="P34" i="30" s="1"/>
  <c r="O184" i="30" l="1"/>
  <c r="P184" i="30" s="1"/>
  <c r="D184" i="30"/>
  <c r="C86" i="30" l="1"/>
  <c r="C94" i="30" s="1"/>
  <c r="C136" i="30"/>
  <c r="C144" i="30" s="1"/>
  <c r="C36" i="30"/>
  <c r="F136" i="30" l="1"/>
  <c r="G136" i="30" s="1"/>
  <c r="D86" i="30"/>
  <c r="F86" i="30"/>
  <c r="F94" i="30" s="1"/>
  <c r="D136" i="30"/>
  <c r="C151" i="30"/>
  <c r="D151" i="30" s="1"/>
  <c r="D144" i="30"/>
  <c r="C44" i="30"/>
  <c r="D36" i="30"/>
  <c r="C186" i="30"/>
  <c r="D94" i="30"/>
  <c r="C101" i="30"/>
  <c r="D101" i="30" s="1"/>
  <c r="O136" i="30" l="1"/>
  <c r="P136" i="30" s="1"/>
  <c r="F144" i="30"/>
  <c r="F151" i="30" s="1"/>
  <c r="G151" i="30" s="1"/>
  <c r="O86" i="30"/>
  <c r="P86" i="30" s="1"/>
  <c r="G86" i="30"/>
  <c r="F36" i="30"/>
  <c r="O36" i="30" s="1"/>
  <c r="P36" i="30" s="1"/>
  <c r="G144" i="30"/>
  <c r="F101" i="30"/>
  <c r="G101" i="30" s="1"/>
  <c r="G94" i="30"/>
  <c r="C51" i="30"/>
  <c r="D51" i="30" s="1"/>
  <c r="D44" i="30"/>
  <c r="F186" i="30"/>
  <c r="O186" i="30" s="1"/>
  <c r="C194" i="30"/>
  <c r="D186" i="30"/>
  <c r="G36" i="30" l="1"/>
  <c r="F44" i="30"/>
  <c r="F51" i="30" s="1"/>
  <c r="G51" i="30" s="1"/>
  <c r="P186" i="30"/>
  <c r="F194" i="30"/>
  <c r="G186" i="30"/>
  <c r="C201" i="30"/>
  <c r="D201" i="30" s="1"/>
  <c r="D194" i="30"/>
  <c r="G44" i="30" l="1"/>
  <c r="G194" i="30"/>
  <c r="F201" i="30"/>
  <c r="G201" i="30" s="1"/>
  <c r="I12" i="30" l="1"/>
  <c r="I109" i="30"/>
  <c r="O12" i="30" l="1"/>
  <c r="P12" i="30" s="1"/>
  <c r="J12" i="30"/>
  <c r="I9" i="30"/>
  <c r="I62" i="30"/>
  <c r="S164" i="30"/>
  <c r="I112" i="30"/>
  <c r="I114" i="30" s="1"/>
  <c r="J109" i="30"/>
  <c r="O109" i="30"/>
  <c r="I59" i="30" l="1"/>
  <c r="O59" i="30" s="1"/>
  <c r="J9" i="30"/>
  <c r="O9" i="30"/>
  <c r="I14" i="30"/>
  <c r="I144" i="30"/>
  <c r="J114" i="30"/>
  <c r="P109" i="30"/>
  <c r="J112" i="30"/>
  <c r="O112" i="30"/>
  <c r="P112" i="30" s="1"/>
  <c r="J62" i="30"/>
  <c r="O62" i="30"/>
  <c r="P62" i="30" s="1"/>
  <c r="I162" i="30"/>
  <c r="I159" i="30" l="1"/>
  <c r="J159" i="30" s="1"/>
  <c r="I64" i="30"/>
  <c r="J64" i="30" s="1"/>
  <c r="J59" i="30"/>
  <c r="O114" i="30"/>
  <c r="P114" i="30" s="1"/>
  <c r="P9" i="30"/>
  <c r="O14" i="30"/>
  <c r="I44" i="30"/>
  <c r="J14" i="30"/>
  <c r="P59" i="30"/>
  <c r="O64" i="30"/>
  <c r="O162" i="30"/>
  <c r="P162" i="30" s="1"/>
  <c r="J162" i="30"/>
  <c r="O159" i="30"/>
  <c r="I164" i="30"/>
  <c r="J144" i="30"/>
  <c r="I151" i="30"/>
  <c r="J151" i="30" s="1"/>
  <c r="I94" i="30" l="1"/>
  <c r="I101" i="30" s="1"/>
  <c r="J101" i="30" s="1"/>
  <c r="P14" i="30"/>
  <c r="J44" i="30"/>
  <c r="I51" i="30"/>
  <c r="J51" i="30" s="1"/>
  <c r="J164" i="30"/>
  <c r="I194" i="30"/>
  <c r="P159" i="30"/>
  <c r="O164" i="30"/>
  <c r="P64" i="30"/>
  <c r="J94" i="30" l="1"/>
  <c r="P164" i="30"/>
  <c r="R164" i="30"/>
  <c r="T164" i="30" s="1"/>
  <c r="J194" i="30"/>
  <c r="I201" i="30"/>
  <c r="J201" i="30" s="1"/>
  <c r="AA345" i="6" l="1"/>
  <c r="AB345" i="6" s="1"/>
  <c r="AA341" i="6"/>
  <c r="AB341" i="6" s="1"/>
  <c r="AA337" i="6"/>
  <c r="AB337" i="6" s="1"/>
  <c r="AA326" i="6"/>
  <c r="AB326" i="6" s="1"/>
  <c r="AA215" i="6"/>
  <c r="AB215" i="6" s="1"/>
  <c r="AA203" i="6"/>
  <c r="AB203" i="6" s="1"/>
  <c r="AA198" i="6"/>
  <c r="AB198" i="6" s="1"/>
  <c r="AA197" i="6"/>
  <c r="AB197" i="6" s="1"/>
  <c r="AA183" i="6"/>
  <c r="AB183" i="6" s="1"/>
  <c r="AA181" i="6"/>
  <c r="AB181" i="6" s="1"/>
  <c r="AA157" i="6"/>
  <c r="AB157" i="6" s="1"/>
  <c r="AA154" i="6"/>
  <c r="AB154" i="6" s="1"/>
  <c r="AA151" i="6"/>
  <c r="AB151" i="6" s="1"/>
  <c r="AA150" i="6"/>
  <c r="AB150" i="6" s="1"/>
  <c r="AA145" i="6"/>
  <c r="AB145" i="6" s="1"/>
  <c r="AA135" i="6"/>
  <c r="AB135" i="6" s="1"/>
  <c r="AA114" i="6"/>
  <c r="AB114" i="6" s="1"/>
  <c r="AA72" i="6"/>
  <c r="AB72" i="6" s="1"/>
  <c r="AA70" i="6"/>
  <c r="AB70" i="6" s="1"/>
  <c r="AA44" i="6"/>
  <c r="AB44" i="6" s="1"/>
  <c r="AA43" i="6"/>
  <c r="AB43" i="6" s="1"/>
  <c r="AA13" i="6"/>
  <c r="AB13" i="6" s="1"/>
  <c r="AA41" i="6"/>
  <c r="AB41" i="6" s="1"/>
  <c r="AA42" i="6"/>
  <c r="AB42" i="6" s="1"/>
  <c r="AA45" i="6"/>
  <c r="AB45" i="6" s="1"/>
  <c r="AA67" i="6"/>
  <c r="AB67" i="6" s="1"/>
  <c r="AA74" i="6"/>
  <c r="AB74" i="6" s="1"/>
  <c r="AA83" i="6"/>
  <c r="AB83" i="6" s="1"/>
  <c r="AA84" i="6"/>
  <c r="AB84" i="6" s="1"/>
  <c r="AA85" i="6"/>
  <c r="AB85" i="6" s="1"/>
  <c r="AA86" i="6"/>
  <c r="AB86" i="6" s="1"/>
  <c r="AA88" i="6"/>
  <c r="AB88" i="6" s="1"/>
  <c r="AA91" i="6"/>
  <c r="AB91" i="6" s="1"/>
  <c r="AA92" i="6"/>
  <c r="AB92" i="6" s="1"/>
  <c r="AA93" i="6"/>
  <c r="AB93" i="6" s="1"/>
  <c r="AA94" i="6"/>
  <c r="AB94" i="6" s="1"/>
  <c r="AA95" i="6"/>
  <c r="AB95" i="6" s="1"/>
  <c r="AA96" i="6"/>
  <c r="AB96" i="6" s="1"/>
  <c r="AA113" i="6"/>
  <c r="AB113" i="6" s="1"/>
  <c r="AA126" i="6"/>
  <c r="AB126" i="6" s="1"/>
  <c r="AA127" i="6"/>
  <c r="AB127" i="6" s="1"/>
  <c r="AA131" i="6"/>
  <c r="AB131" i="6" s="1"/>
  <c r="AA147" i="6"/>
  <c r="AB147" i="6" s="1"/>
  <c r="AA149" i="6"/>
  <c r="AB149" i="6" s="1"/>
  <c r="AA152" i="6"/>
  <c r="AB152" i="6" s="1"/>
  <c r="AA153" i="6"/>
  <c r="AB153" i="6" s="1"/>
  <c r="AA158" i="6"/>
  <c r="AB158" i="6" s="1"/>
  <c r="AA161" i="6"/>
  <c r="AB161" i="6" s="1"/>
  <c r="AA184" i="6"/>
  <c r="AB184" i="6" s="1"/>
  <c r="AA185" i="6"/>
  <c r="AB185" i="6" s="1"/>
  <c r="AA200" i="6"/>
  <c r="AB200" i="6" s="1"/>
  <c r="AA202" i="6"/>
  <c r="AB202" i="6" s="1"/>
  <c r="AA204" i="6"/>
  <c r="AB204" i="6" s="1"/>
  <c r="AA205" i="6"/>
  <c r="AB205" i="6" s="1"/>
  <c r="AA206" i="6"/>
  <c r="AB206" i="6" s="1"/>
  <c r="AA208" i="6"/>
  <c r="AB208" i="6" s="1"/>
  <c r="AA209" i="6"/>
  <c r="AB209" i="6" s="1"/>
  <c r="AA210" i="6"/>
  <c r="AB210" i="6" s="1"/>
  <c r="AA213" i="6"/>
  <c r="AB213" i="6" s="1"/>
  <c r="AA216" i="6"/>
  <c r="AB216" i="6" s="1"/>
  <c r="AA323" i="6"/>
  <c r="AB323" i="6" s="1"/>
  <c r="AA324" i="6"/>
  <c r="AB324" i="6" s="1"/>
  <c r="AA327" i="6"/>
  <c r="AB327" i="6" s="1"/>
  <c r="AA329" i="6"/>
  <c r="AB329" i="6" s="1"/>
  <c r="AA330" i="6"/>
  <c r="AB330" i="6" s="1"/>
  <c r="AA334" i="6"/>
  <c r="AB334" i="6" s="1"/>
  <c r="AA338" i="6"/>
  <c r="AB338" i="6" s="1"/>
  <c r="AA339" i="6"/>
  <c r="AB339" i="6" s="1"/>
  <c r="AA340" i="6"/>
  <c r="AB340" i="6" s="1"/>
  <c r="AA342" i="6"/>
  <c r="AB342" i="6" s="1"/>
  <c r="AA343" i="6"/>
  <c r="AB343" i="6" s="1"/>
  <c r="AA344" i="6"/>
  <c r="AB344" i="6" s="1"/>
  <c r="AA346" i="6"/>
  <c r="AB346" i="6" s="1"/>
  <c r="AA347" i="6"/>
  <c r="AB347" i="6" s="1"/>
  <c r="AA348" i="6"/>
  <c r="AB348" i="6" s="1"/>
  <c r="AA363" i="6"/>
  <c r="AB363" i="6" s="1"/>
  <c r="AA230" i="6"/>
  <c r="AB230" i="6" s="1"/>
  <c r="AA253" i="6"/>
  <c r="AB253" i="6" s="1"/>
  <c r="AA254" i="6"/>
  <c r="AB254" i="6" s="1"/>
  <c r="AA255" i="6"/>
  <c r="AB255" i="6" s="1"/>
  <c r="AA256" i="6"/>
  <c r="AB256" i="6" s="1"/>
  <c r="AA257" i="6"/>
  <c r="AB257" i="6" s="1"/>
  <c r="AA258" i="6"/>
  <c r="AB258" i="6" s="1"/>
  <c r="AA271" i="6"/>
  <c r="AB271" i="6" s="1"/>
  <c r="AA272" i="6"/>
  <c r="AB272" i="6" s="1"/>
  <c r="AA276" i="6"/>
  <c r="AB276" i="6" s="1"/>
  <c r="AA281" i="6"/>
  <c r="AB281" i="6" s="1"/>
  <c r="AA282" i="6"/>
  <c r="AB282" i="6" s="1"/>
  <c r="AA23" i="6" l="1"/>
  <c r="AB23" i="6" s="1"/>
  <c r="Y371" i="6"/>
  <c r="L68" i="30" s="1"/>
  <c r="AA63" i="6"/>
  <c r="Y370" i="6"/>
  <c r="AA15" i="6"/>
  <c r="AA370" i="6" s="1"/>
  <c r="Y368" i="6"/>
  <c r="S168" i="30" s="1"/>
  <c r="Y372" i="6"/>
  <c r="L118" i="30" s="1"/>
  <c r="AA12" i="6"/>
  <c r="Y373" i="6" l="1"/>
  <c r="L18" i="30"/>
  <c r="O68" i="30"/>
  <c r="M68" i="30"/>
  <c r="L94" i="30"/>
  <c r="AB63" i="6"/>
  <c r="AA371" i="6"/>
  <c r="O118" i="30"/>
  <c r="M118" i="30"/>
  <c r="L144" i="30"/>
  <c r="AB12" i="6"/>
  <c r="AA372" i="6"/>
  <c r="AA368" i="6"/>
  <c r="AB15" i="6"/>
  <c r="AA373" i="6" l="1"/>
  <c r="L44" i="30"/>
  <c r="M18" i="30"/>
  <c r="O18" i="30"/>
  <c r="L168" i="30"/>
  <c r="L101" i="30"/>
  <c r="M101" i="30" s="1"/>
  <c r="M94" i="30"/>
  <c r="AB370" i="6"/>
  <c r="AB372" i="6"/>
  <c r="AB368" i="6"/>
  <c r="P68" i="30"/>
  <c r="O94" i="30"/>
  <c r="M144" i="30"/>
  <c r="L151" i="30"/>
  <c r="M151" i="30" s="1"/>
  <c r="AB371" i="6"/>
  <c r="P118" i="30"/>
  <c r="O144" i="30"/>
  <c r="O151" i="30" l="1"/>
  <c r="P144" i="30"/>
  <c r="O101" i="30"/>
  <c r="P94" i="30"/>
  <c r="L51" i="30"/>
  <c r="M51" i="30" s="1"/>
  <c r="M44" i="30"/>
  <c r="M168" i="30"/>
  <c r="O168" i="30"/>
  <c r="L194" i="30"/>
  <c r="AB373" i="6"/>
  <c r="P18" i="30"/>
  <c r="O44" i="30"/>
  <c r="O51" i="30" l="1"/>
  <c r="P44" i="30"/>
  <c r="P168" i="30"/>
  <c r="O194" i="30"/>
  <c r="P101" i="30"/>
  <c r="P102" i="30"/>
  <c r="P151" i="30"/>
  <c r="P152" i="30"/>
  <c r="M194" i="30"/>
  <c r="L201" i="30"/>
  <c r="M201" i="30" s="1"/>
  <c r="P194" i="30" l="1"/>
  <c r="O201" i="30"/>
  <c r="P51" i="30"/>
  <c r="P52" i="30"/>
  <c r="P202" i="30" l="1"/>
  <c r="P201" i="30"/>
  <c r="O206" i="30"/>
  <c r="AX369" i="4" l="1"/>
  <c r="AW369" i="4"/>
  <c r="AX368" i="4"/>
  <c r="AW368" i="4"/>
  <c r="AX367" i="4"/>
  <c r="AW367" i="4"/>
  <c r="AX366" i="4"/>
  <c r="AW366" i="4"/>
  <c r="AX365" i="4"/>
  <c r="AW365" i="4"/>
  <c r="AX364" i="4"/>
  <c r="AW364" i="4"/>
  <c r="AX363" i="4"/>
  <c r="AW363" i="4"/>
  <c r="AX362" i="4"/>
  <c r="AW362" i="4"/>
  <c r="AX361" i="4"/>
  <c r="AW361" i="4"/>
  <c r="AX360" i="4"/>
  <c r="AW360" i="4"/>
  <c r="AX359" i="4"/>
  <c r="AW359" i="4"/>
  <c r="AX358" i="4"/>
  <c r="AW358" i="4"/>
  <c r="AX357" i="4"/>
  <c r="AW357" i="4"/>
  <c r="AX356" i="4"/>
  <c r="AW356" i="4"/>
  <c r="AX355" i="4"/>
  <c r="AW355" i="4"/>
  <c r="AX354" i="4"/>
  <c r="AW354" i="4"/>
  <c r="AX353" i="4"/>
  <c r="AW353" i="4"/>
  <c r="AX352" i="4"/>
  <c r="AW352" i="4"/>
  <c r="AX351" i="4"/>
  <c r="AW351" i="4"/>
  <c r="AX350" i="4"/>
  <c r="AW350" i="4"/>
  <c r="AX349" i="4"/>
  <c r="AW349" i="4"/>
  <c r="AX348" i="4"/>
  <c r="AW348" i="4"/>
  <c r="AX347" i="4"/>
  <c r="AW347" i="4"/>
  <c r="AX346" i="4"/>
  <c r="AW346" i="4"/>
  <c r="AX345" i="4"/>
  <c r="AW345" i="4"/>
  <c r="AX344" i="4"/>
  <c r="AW344" i="4"/>
  <c r="AX343" i="4"/>
  <c r="AW343" i="4"/>
  <c r="AX342" i="4"/>
  <c r="AW342" i="4"/>
  <c r="AX341" i="4"/>
  <c r="AW341" i="4"/>
  <c r="AX340" i="4"/>
  <c r="AW340" i="4"/>
  <c r="AX339" i="4"/>
  <c r="AW339" i="4"/>
  <c r="AX338" i="4"/>
  <c r="AW338" i="4"/>
  <c r="AX337" i="4"/>
  <c r="AW337" i="4"/>
  <c r="AX336" i="4"/>
  <c r="AW336" i="4"/>
  <c r="AX335" i="4"/>
  <c r="AW335" i="4"/>
  <c r="AX334" i="4"/>
  <c r="AW334" i="4"/>
  <c r="AX333" i="4"/>
  <c r="AW333" i="4"/>
  <c r="AX332" i="4"/>
  <c r="AW332" i="4"/>
  <c r="AX331" i="4"/>
  <c r="AW331" i="4"/>
  <c r="AX330" i="4"/>
  <c r="AW330" i="4"/>
  <c r="AX329" i="4"/>
  <c r="AW329" i="4"/>
  <c r="AX328" i="4"/>
  <c r="AW328" i="4"/>
  <c r="AX327" i="4"/>
  <c r="AW327" i="4"/>
  <c r="AX326" i="4"/>
  <c r="AW326" i="4"/>
  <c r="AX325" i="4"/>
  <c r="AW325" i="4"/>
  <c r="AX324" i="4"/>
  <c r="AW324" i="4"/>
  <c r="AX323" i="4"/>
  <c r="AW323" i="4"/>
  <c r="AX322" i="4"/>
  <c r="AW322" i="4"/>
  <c r="AX321" i="4"/>
  <c r="AW321" i="4"/>
  <c r="AX320" i="4"/>
  <c r="AW320" i="4"/>
  <c r="AX319" i="4"/>
  <c r="AW319" i="4"/>
  <c r="AX318" i="4"/>
  <c r="AW318" i="4"/>
  <c r="AX317" i="4"/>
  <c r="AW317" i="4"/>
  <c r="AX316" i="4"/>
  <c r="AW316" i="4"/>
  <c r="AX315" i="4"/>
  <c r="AW315" i="4"/>
  <c r="AX314" i="4"/>
  <c r="AW314" i="4"/>
  <c r="AX313" i="4"/>
  <c r="AW313" i="4"/>
  <c r="AX312" i="4"/>
  <c r="AW312" i="4"/>
  <c r="AX311" i="4"/>
  <c r="AW311" i="4"/>
  <c r="AX310" i="4"/>
  <c r="AW310" i="4"/>
  <c r="AX309" i="4"/>
  <c r="AW309" i="4"/>
  <c r="AX308" i="4"/>
  <c r="AW308" i="4"/>
  <c r="AX307" i="4"/>
  <c r="AW307" i="4"/>
  <c r="AX306" i="4"/>
  <c r="AW306" i="4"/>
  <c r="AX305" i="4"/>
  <c r="AW305" i="4"/>
  <c r="AX304" i="4"/>
  <c r="AW304" i="4"/>
  <c r="AX303" i="4"/>
  <c r="AW303" i="4"/>
  <c r="AX302" i="4"/>
  <c r="AW302" i="4"/>
  <c r="AX301" i="4"/>
  <c r="AW301" i="4"/>
  <c r="AX300" i="4"/>
  <c r="AW300" i="4"/>
  <c r="AX299" i="4"/>
  <c r="AW299" i="4"/>
  <c r="AX298" i="4"/>
  <c r="AW298" i="4"/>
  <c r="AX297" i="4"/>
  <c r="AW297" i="4"/>
  <c r="AX296" i="4"/>
  <c r="AW296" i="4"/>
  <c r="AX295" i="4"/>
  <c r="AW295" i="4"/>
  <c r="AX294" i="4"/>
  <c r="AW294" i="4"/>
  <c r="AX293" i="4"/>
  <c r="AW293" i="4"/>
  <c r="AX292" i="4"/>
  <c r="AW292" i="4"/>
  <c r="AX291" i="4"/>
  <c r="AW291" i="4"/>
  <c r="AX290" i="4"/>
  <c r="AW290" i="4"/>
  <c r="AX289" i="4"/>
  <c r="AW289" i="4"/>
  <c r="AX288" i="4"/>
  <c r="AW288" i="4"/>
  <c r="AX287" i="4"/>
  <c r="AW287" i="4"/>
  <c r="AX286" i="4"/>
  <c r="AW286" i="4"/>
  <c r="AX285" i="4"/>
  <c r="AW285" i="4"/>
  <c r="AX284" i="4"/>
  <c r="AW284" i="4"/>
  <c r="AX283" i="4"/>
  <c r="AW283" i="4"/>
  <c r="AX282" i="4"/>
  <c r="AW282" i="4"/>
  <c r="AX281" i="4"/>
  <c r="AW281" i="4"/>
  <c r="AX280" i="4"/>
  <c r="AW280" i="4"/>
  <c r="AX279" i="4"/>
  <c r="AW279" i="4"/>
  <c r="AX278" i="4"/>
  <c r="AW278" i="4"/>
  <c r="AX277" i="4"/>
  <c r="AW277" i="4"/>
  <c r="AX276" i="4"/>
  <c r="AW276" i="4"/>
  <c r="AX275" i="4"/>
  <c r="AW275" i="4"/>
  <c r="AX274" i="4"/>
  <c r="AW274" i="4"/>
  <c r="AX273" i="4"/>
  <c r="AW273" i="4"/>
  <c r="AX272" i="4"/>
  <c r="AW272" i="4"/>
  <c r="AX271" i="4"/>
  <c r="AW271" i="4"/>
  <c r="AX270" i="4"/>
  <c r="AW270" i="4"/>
  <c r="AX269" i="4"/>
  <c r="AW269" i="4"/>
  <c r="AX268" i="4"/>
  <c r="AW268" i="4"/>
  <c r="AX267" i="4"/>
  <c r="AW267" i="4"/>
  <c r="AX266" i="4"/>
  <c r="AW266" i="4"/>
  <c r="AX265" i="4"/>
  <c r="AW265" i="4"/>
  <c r="AX264" i="4"/>
  <c r="AW264" i="4"/>
  <c r="AX263" i="4"/>
  <c r="AW263" i="4"/>
  <c r="AX262" i="4"/>
  <c r="AW262" i="4"/>
  <c r="AX261" i="4"/>
  <c r="AW261" i="4"/>
  <c r="AX260" i="4"/>
  <c r="AW260" i="4"/>
  <c r="AX259" i="4"/>
  <c r="AW259" i="4"/>
  <c r="AX258" i="4"/>
  <c r="AW258" i="4"/>
  <c r="AX257" i="4"/>
  <c r="AW257" i="4"/>
  <c r="AX256" i="4"/>
  <c r="AW256" i="4"/>
  <c r="AX255" i="4"/>
  <c r="AW255" i="4"/>
  <c r="AX254" i="4"/>
  <c r="AW254" i="4"/>
  <c r="AX253" i="4"/>
  <c r="AW253" i="4"/>
  <c r="AX252" i="4"/>
  <c r="AW252" i="4"/>
  <c r="AX251" i="4"/>
  <c r="AW251" i="4"/>
  <c r="AX250" i="4"/>
  <c r="AW250" i="4"/>
  <c r="AX249" i="4"/>
  <c r="AW249" i="4"/>
  <c r="AX248" i="4"/>
  <c r="AW248" i="4"/>
  <c r="AX247" i="4"/>
  <c r="AW247" i="4"/>
  <c r="AX246" i="4"/>
  <c r="AW246" i="4"/>
  <c r="AX245" i="4"/>
  <c r="AW245" i="4"/>
  <c r="AX244" i="4"/>
  <c r="AW244" i="4"/>
  <c r="AX243" i="4"/>
  <c r="AW243" i="4"/>
  <c r="AX242" i="4"/>
  <c r="AW242" i="4"/>
  <c r="AX241" i="4"/>
  <c r="AW241" i="4"/>
  <c r="AX240" i="4"/>
  <c r="AW240" i="4"/>
  <c r="AX239" i="4"/>
  <c r="AW239" i="4"/>
  <c r="AX238" i="4"/>
  <c r="AW238" i="4"/>
  <c r="AX237" i="4"/>
  <c r="AW237" i="4"/>
  <c r="AX236" i="4"/>
  <c r="AW236" i="4"/>
  <c r="AX235" i="4"/>
  <c r="AW235" i="4"/>
  <c r="AX234" i="4"/>
  <c r="AW234" i="4"/>
  <c r="AX233" i="4"/>
  <c r="AW233" i="4"/>
  <c r="AX232" i="4"/>
  <c r="AW232" i="4"/>
  <c r="AX231" i="4"/>
  <c r="AW231" i="4"/>
  <c r="AX230" i="4"/>
  <c r="AW230" i="4"/>
  <c r="AX229" i="4"/>
  <c r="AW229" i="4"/>
  <c r="AX228" i="4"/>
  <c r="AW228" i="4"/>
  <c r="AX227" i="4"/>
  <c r="AW227" i="4"/>
  <c r="AX226" i="4"/>
  <c r="AW226" i="4"/>
  <c r="AX225" i="4"/>
  <c r="AW225" i="4"/>
  <c r="AX224" i="4"/>
  <c r="AW224" i="4"/>
  <c r="AX223" i="4"/>
  <c r="AW223" i="4"/>
  <c r="AX222" i="4"/>
  <c r="AW222" i="4"/>
  <c r="AX221" i="4"/>
  <c r="AW221" i="4"/>
  <c r="AX220" i="4"/>
  <c r="AW220" i="4"/>
  <c r="AX219" i="4"/>
  <c r="AW219" i="4"/>
  <c r="AX218" i="4"/>
  <c r="AW218" i="4"/>
  <c r="AX217" i="4"/>
  <c r="AW217" i="4"/>
  <c r="AX216" i="4"/>
  <c r="AW216" i="4"/>
  <c r="AX215" i="4"/>
  <c r="AW215" i="4"/>
  <c r="AX214" i="4"/>
  <c r="AW214" i="4"/>
  <c r="AX213" i="4"/>
  <c r="AW213" i="4"/>
  <c r="AX212" i="4"/>
  <c r="AW212" i="4"/>
  <c r="AX211" i="4"/>
  <c r="AW211" i="4"/>
  <c r="AX210" i="4"/>
  <c r="AW210" i="4"/>
  <c r="AX209" i="4"/>
  <c r="AW209" i="4"/>
  <c r="AX208" i="4"/>
  <c r="AW208" i="4"/>
  <c r="AX207" i="4"/>
  <c r="AW207" i="4"/>
  <c r="AX206" i="4"/>
  <c r="AW206" i="4"/>
  <c r="AX205" i="4"/>
  <c r="AW205" i="4"/>
  <c r="AX204" i="4"/>
  <c r="AW204" i="4"/>
  <c r="AX203" i="4"/>
  <c r="AW203" i="4"/>
  <c r="AX202" i="4"/>
  <c r="AW202" i="4"/>
  <c r="AX201" i="4"/>
  <c r="AW201" i="4"/>
  <c r="AX200" i="4"/>
  <c r="AW200" i="4"/>
  <c r="AX199" i="4"/>
  <c r="AW199" i="4"/>
  <c r="AX198" i="4"/>
  <c r="AW198" i="4"/>
  <c r="AX197" i="4"/>
  <c r="AW197" i="4"/>
  <c r="AX196" i="4"/>
  <c r="AW196" i="4"/>
  <c r="AX195" i="4"/>
  <c r="AW195" i="4"/>
  <c r="AX194" i="4"/>
  <c r="AW194" i="4"/>
  <c r="AX193" i="4"/>
  <c r="AW193" i="4"/>
  <c r="AX192" i="4"/>
  <c r="AW192" i="4"/>
  <c r="AX191" i="4"/>
  <c r="AW191" i="4"/>
  <c r="AX190" i="4"/>
  <c r="AW190" i="4"/>
  <c r="AX189" i="4"/>
  <c r="AW189" i="4"/>
  <c r="AX188" i="4"/>
  <c r="AW188" i="4"/>
  <c r="AX187" i="4"/>
  <c r="AW187" i="4"/>
  <c r="AX186" i="4"/>
  <c r="AW186" i="4"/>
  <c r="AX185" i="4"/>
  <c r="AW185" i="4"/>
  <c r="AX184" i="4"/>
  <c r="AW184" i="4"/>
  <c r="AX183" i="4"/>
  <c r="AW183" i="4"/>
  <c r="AX182" i="4"/>
  <c r="AW182" i="4"/>
  <c r="AX181" i="4"/>
  <c r="AW181" i="4"/>
  <c r="AX180" i="4"/>
  <c r="AW180" i="4"/>
  <c r="AX179" i="4"/>
  <c r="AW179" i="4"/>
  <c r="AX178" i="4"/>
  <c r="AW178" i="4"/>
  <c r="AX177" i="4"/>
  <c r="AW177" i="4"/>
  <c r="AX176" i="4"/>
  <c r="AW176" i="4"/>
  <c r="AX175" i="4"/>
  <c r="AW175" i="4"/>
  <c r="AX174" i="4"/>
  <c r="AW174" i="4"/>
  <c r="AX173" i="4"/>
  <c r="AW173" i="4"/>
  <c r="AX172" i="4"/>
  <c r="AW172" i="4"/>
  <c r="AX171" i="4"/>
  <c r="AW171" i="4"/>
  <c r="AX170" i="4"/>
  <c r="AW170" i="4"/>
  <c r="AX169" i="4"/>
  <c r="AW169" i="4"/>
  <c r="AX168" i="4"/>
  <c r="AW168" i="4"/>
  <c r="AX167" i="4"/>
  <c r="AW167" i="4"/>
  <c r="AX166" i="4"/>
  <c r="AW166" i="4"/>
  <c r="AX165" i="4"/>
  <c r="AW165" i="4"/>
  <c r="AX164" i="4"/>
  <c r="AW164" i="4"/>
  <c r="AX163" i="4"/>
  <c r="AW163" i="4"/>
  <c r="AX162" i="4"/>
  <c r="AW162" i="4"/>
  <c r="AX161" i="4"/>
  <c r="AW161" i="4"/>
  <c r="AX160" i="4"/>
  <c r="AW160" i="4"/>
  <c r="AX159" i="4"/>
  <c r="AW159" i="4"/>
  <c r="AX158" i="4"/>
  <c r="AW158" i="4"/>
  <c r="AX157" i="4"/>
  <c r="AW157" i="4"/>
  <c r="AX156" i="4"/>
  <c r="AW156" i="4"/>
  <c r="AX155" i="4"/>
  <c r="AW155" i="4"/>
  <c r="AX154" i="4"/>
  <c r="AW154" i="4"/>
  <c r="AX153" i="4"/>
  <c r="AW153" i="4"/>
  <c r="AX152" i="4"/>
  <c r="AW152" i="4"/>
  <c r="AX151" i="4"/>
  <c r="AW151" i="4"/>
  <c r="AX150" i="4"/>
  <c r="AW150" i="4"/>
  <c r="AX149" i="4"/>
  <c r="AW149" i="4"/>
  <c r="AX148" i="4"/>
  <c r="AW148" i="4"/>
  <c r="AX147" i="4"/>
  <c r="AW147" i="4"/>
  <c r="AX146" i="4"/>
  <c r="AW146" i="4"/>
  <c r="AX145" i="4"/>
  <c r="AW145" i="4"/>
  <c r="AX144" i="4"/>
  <c r="AW144" i="4"/>
  <c r="AX143" i="4"/>
  <c r="AW143" i="4"/>
  <c r="AX142" i="4"/>
  <c r="AW142" i="4"/>
  <c r="AX141" i="4"/>
  <c r="AW141" i="4"/>
  <c r="AX140" i="4"/>
  <c r="AW140" i="4"/>
  <c r="AX139" i="4"/>
  <c r="AW139" i="4"/>
  <c r="AX138" i="4"/>
  <c r="AW138" i="4"/>
  <c r="AX137" i="4"/>
  <c r="AW137" i="4"/>
  <c r="AX136" i="4"/>
  <c r="AW136" i="4"/>
  <c r="AX135" i="4"/>
  <c r="AW135" i="4"/>
  <c r="AX134" i="4"/>
  <c r="AW134" i="4"/>
  <c r="AX133" i="4"/>
  <c r="AW133" i="4"/>
  <c r="AX132" i="4"/>
  <c r="AW132" i="4"/>
  <c r="AX131" i="4"/>
  <c r="AW131" i="4"/>
  <c r="AX130" i="4"/>
  <c r="AW130" i="4"/>
  <c r="AX129" i="4"/>
  <c r="AW129" i="4"/>
  <c r="AX128" i="4"/>
  <c r="AW128" i="4"/>
  <c r="AX127" i="4"/>
  <c r="AW127" i="4"/>
  <c r="AX126" i="4"/>
  <c r="AW126" i="4"/>
  <c r="AX125" i="4"/>
  <c r="AW125" i="4"/>
  <c r="AX124" i="4"/>
  <c r="AW124" i="4"/>
  <c r="AX123" i="4"/>
  <c r="AW123" i="4"/>
  <c r="AX122" i="4"/>
  <c r="AW122" i="4"/>
  <c r="AX121" i="4"/>
  <c r="AW121" i="4"/>
  <c r="AX120" i="4"/>
  <c r="AW120" i="4"/>
  <c r="AX119" i="4"/>
  <c r="AW119" i="4"/>
  <c r="AX118" i="4"/>
  <c r="AW118" i="4"/>
  <c r="AX117" i="4"/>
  <c r="AW117" i="4"/>
  <c r="AX116" i="4"/>
  <c r="AW116" i="4"/>
  <c r="AX115" i="4"/>
  <c r="AW115" i="4"/>
  <c r="AX114" i="4"/>
  <c r="AW114" i="4"/>
  <c r="AX113" i="4"/>
  <c r="AW113" i="4"/>
  <c r="AX112" i="4"/>
  <c r="AW112" i="4"/>
  <c r="AX111" i="4"/>
  <c r="AW111" i="4"/>
  <c r="AX110" i="4"/>
  <c r="AW110" i="4"/>
  <c r="AX109" i="4"/>
  <c r="AW109" i="4"/>
  <c r="AX108" i="4"/>
  <c r="AW108" i="4"/>
  <c r="AX107" i="4"/>
  <c r="AW107" i="4"/>
  <c r="AX106" i="4"/>
  <c r="AW106" i="4"/>
  <c r="AX105" i="4"/>
  <c r="AW105" i="4"/>
  <c r="AX104" i="4"/>
  <c r="AW104" i="4"/>
  <c r="AX103" i="4"/>
  <c r="AW103" i="4"/>
  <c r="AX102" i="4"/>
  <c r="AW102" i="4"/>
  <c r="AX101" i="4"/>
  <c r="AW101" i="4"/>
  <c r="AX100" i="4"/>
  <c r="AW100" i="4"/>
  <c r="AX99" i="4"/>
  <c r="AW99" i="4"/>
  <c r="AX98" i="4"/>
  <c r="AW98" i="4"/>
  <c r="AX97" i="4"/>
  <c r="AW97" i="4"/>
  <c r="AX96" i="4"/>
  <c r="AW96" i="4"/>
  <c r="AX95" i="4"/>
  <c r="AW95" i="4"/>
  <c r="AX94" i="4"/>
  <c r="AW94" i="4"/>
  <c r="AX93" i="4"/>
  <c r="AW93" i="4"/>
  <c r="AX92" i="4"/>
  <c r="AW92" i="4"/>
  <c r="AX91" i="4"/>
  <c r="AW91" i="4"/>
  <c r="AX90" i="4"/>
  <c r="AW90" i="4"/>
  <c r="AX89" i="4"/>
  <c r="AW89" i="4"/>
  <c r="AX88" i="4"/>
  <c r="AW88" i="4"/>
  <c r="AX87" i="4"/>
  <c r="AW87" i="4"/>
  <c r="AX86" i="4"/>
  <c r="AW86" i="4"/>
  <c r="AX85" i="4"/>
  <c r="AW85" i="4"/>
  <c r="AX84" i="4"/>
  <c r="AW84" i="4"/>
  <c r="AX83" i="4"/>
  <c r="AW83" i="4"/>
  <c r="AX82" i="4"/>
  <c r="AW82" i="4"/>
  <c r="AX81" i="4"/>
  <c r="AW81" i="4"/>
  <c r="AX80" i="4"/>
  <c r="AW80" i="4"/>
  <c r="AX79" i="4"/>
  <c r="AW79" i="4"/>
  <c r="AX78" i="4"/>
  <c r="AW78" i="4"/>
  <c r="AX77" i="4"/>
  <c r="AW77" i="4"/>
  <c r="AX76" i="4"/>
  <c r="AW76" i="4"/>
  <c r="AX75" i="4"/>
  <c r="AW75" i="4"/>
  <c r="AX74" i="4"/>
  <c r="AW74" i="4"/>
  <c r="AX73" i="4"/>
  <c r="AW73" i="4"/>
  <c r="AX72" i="4"/>
  <c r="AW72" i="4"/>
  <c r="AX71" i="4"/>
  <c r="AW71" i="4"/>
  <c r="AX70" i="4"/>
  <c r="AW70" i="4"/>
  <c r="AX69" i="4"/>
  <c r="AW69" i="4"/>
  <c r="AX68" i="4"/>
  <c r="AW68" i="4"/>
  <c r="AX67" i="4"/>
  <c r="AW67" i="4"/>
  <c r="AX66" i="4"/>
  <c r="AW66" i="4"/>
  <c r="AX65" i="4"/>
  <c r="AW65" i="4"/>
  <c r="AX64" i="4"/>
  <c r="AW64" i="4"/>
  <c r="AX63" i="4"/>
  <c r="AW63" i="4"/>
  <c r="AX62" i="4"/>
  <c r="AW62" i="4"/>
  <c r="AX61" i="4"/>
  <c r="AW61" i="4"/>
  <c r="AX60" i="4"/>
  <c r="AW60" i="4"/>
  <c r="AX59" i="4"/>
  <c r="AW59" i="4"/>
  <c r="AX58" i="4"/>
  <c r="AW58" i="4"/>
  <c r="AX57" i="4"/>
  <c r="AW57" i="4"/>
  <c r="AX56" i="4"/>
  <c r="AW56" i="4"/>
  <c r="AX55" i="4"/>
  <c r="AW55" i="4"/>
  <c r="AX54" i="4"/>
  <c r="AW54" i="4"/>
  <c r="AX53" i="4"/>
  <c r="AW53" i="4"/>
  <c r="AX52" i="4"/>
  <c r="AW52" i="4"/>
  <c r="AX51" i="4"/>
  <c r="AW51" i="4"/>
  <c r="AX50" i="4"/>
  <c r="AW50" i="4"/>
  <c r="AX49" i="4"/>
  <c r="AW49" i="4"/>
  <c r="AX48" i="4"/>
  <c r="AW48" i="4"/>
  <c r="AX47" i="4"/>
  <c r="AW47" i="4"/>
  <c r="AX46" i="4"/>
  <c r="AW46" i="4"/>
  <c r="AX45" i="4"/>
  <c r="AW45" i="4"/>
  <c r="AX44" i="4"/>
  <c r="AW44" i="4"/>
  <c r="AX43" i="4"/>
  <c r="AW43" i="4"/>
  <c r="AX42" i="4"/>
  <c r="AW42" i="4"/>
  <c r="AX41" i="4"/>
  <c r="AW41" i="4"/>
  <c r="AX40" i="4"/>
  <c r="AW40" i="4"/>
  <c r="AX39" i="4"/>
  <c r="AW39" i="4"/>
  <c r="AX38" i="4"/>
  <c r="AW38" i="4"/>
  <c r="AX37" i="4"/>
  <c r="AW37" i="4"/>
  <c r="AX36" i="4"/>
  <c r="AW36" i="4"/>
  <c r="AX35" i="4"/>
  <c r="AW35" i="4"/>
  <c r="AX34" i="4"/>
  <c r="AW34" i="4"/>
  <c r="AX33" i="4"/>
  <c r="AW33" i="4"/>
  <c r="AX32" i="4"/>
  <c r="AW32" i="4"/>
  <c r="AX31" i="4"/>
  <c r="AW31" i="4"/>
  <c r="AX30" i="4"/>
  <c r="AW30" i="4"/>
  <c r="AX29" i="4"/>
  <c r="AW29" i="4"/>
  <c r="AX28" i="4"/>
  <c r="AW28" i="4"/>
  <c r="AX27" i="4"/>
  <c r="AW27" i="4"/>
  <c r="AX26" i="4"/>
  <c r="AW26" i="4"/>
  <c r="AX25" i="4"/>
  <c r="AW25" i="4"/>
  <c r="AX24" i="4"/>
  <c r="AW24" i="4"/>
  <c r="AX23" i="4"/>
  <c r="AW23" i="4"/>
  <c r="AX22" i="4"/>
  <c r="AW22" i="4"/>
  <c r="AX21" i="4"/>
  <c r="AW21" i="4"/>
  <c r="AX20" i="4"/>
  <c r="AW20" i="4"/>
  <c r="AX19" i="4"/>
  <c r="AW19" i="4"/>
  <c r="AX18" i="4"/>
  <c r="AW18" i="4"/>
  <c r="AX17" i="4"/>
  <c r="AW17" i="4"/>
  <c r="AX16" i="4"/>
  <c r="AW16" i="4"/>
  <c r="AX15" i="4"/>
  <c r="AW15" i="4"/>
  <c r="AX14" i="4"/>
  <c r="AW14" i="4"/>
  <c r="AX13" i="4"/>
  <c r="AW13" i="4"/>
  <c r="AX12" i="4"/>
  <c r="AW12" i="4"/>
  <c r="AX11" i="4"/>
  <c r="AW11" i="4"/>
  <c r="AU369" i="4"/>
  <c r="AT369" i="4"/>
  <c r="AU368" i="4"/>
  <c r="AT368" i="4"/>
  <c r="AU367" i="4"/>
  <c r="AT367" i="4"/>
  <c r="AU366" i="4"/>
  <c r="AT366" i="4"/>
  <c r="AU365" i="4"/>
  <c r="AT365" i="4"/>
  <c r="AU364" i="4"/>
  <c r="AT364" i="4"/>
  <c r="AU363" i="4"/>
  <c r="AT363" i="4"/>
  <c r="AU362" i="4"/>
  <c r="AT362" i="4"/>
  <c r="AU361" i="4"/>
  <c r="AT361" i="4"/>
  <c r="AU360" i="4"/>
  <c r="AT360" i="4"/>
  <c r="AU359" i="4"/>
  <c r="AT359" i="4"/>
  <c r="AU358" i="4"/>
  <c r="AT358" i="4"/>
  <c r="AU357" i="4"/>
  <c r="AT357" i="4"/>
  <c r="AU356" i="4"/>
  <c r="AT356" i="4"/>
  <c r="AU355" i="4"/>
  <c r="AT355" i="4"/>
  <c r="AU354" i="4"/>
  <c r="AT354" i="4"/>
  <c r="AU353" i="4"/>
  <c r="AT353" i="4"/>
  <c r="AU352" i="4"/>
  <c r="AT352" i="4"/>
  <c r="AU351" i="4"/>
  <c r="AT351" i="4"/>
  <c r="AU350" i="4"/>
  <c r="AT350" i="4"/>
  <c r="AU349" i="4"/>
  <c r="AT349" i="4"/>
  <c r="AU348" i="4"/>
  <c r="AT348" i="4"/>
  <c r="AU347" i="4"/>
  <c r="AT347" i="4"/>
  <c r="AU346" i="4"/>
  <c r="AT346" i="4"/>
  <c r="AU345" i="4"/>
  <c r="AT345" i="4"/>
  <c r="AU344" i="4"/>
  <c r="AT344" i="4"/>
  <c r="AU343" i="4"/>
  <c r="AT343" i="4"/>
  <c r="AU342" i="4"/>
  <c r="AT342" i="4"/>
  <c r="AU341" i="4"/>
  <c r="AT341" i="4"/>
  <c r="AU340" i="4"/>
  <c r="AT340" i="4"/>
  <c r="AU339" i="4"/>
  <c r="AT339" i="4"/>
  <c r="AU338" i="4"/>
  <c r="AT338" i="4"/>
  <c r="AU337" i="4"/>
  <c r="AT337" i="4"/>
  <c r="AU336" i="4"/>
  <c r="AT336" i="4"/>
  <c r="AU335" i="4"/>
  <c r="AT335" i="4"/>
  <c r="AU334" i="4"/>
  <c r="AT334" i="4"/>
  <c r="AU333" i="4"/>
  <c r="AT333" i="4"/>
  <c r="AU332" i="4"/>
  <c r="AT332" i="4"/>
  <c r="AU331" i="4"/>
  <c r="AT331" i="4"/>
  <c r="AU330" i="4"/>
  <c r="AT330" i="4"/>
  <c r="AU329" i="4"/>
  <c r="AT329" i="4"/>
  <c r="AU328" i="4"/>
  <c r="AT328" i="4"/>
  <c r="AU327" i="4"/>
  <c r="AT327" i="4"/>
  <c r="AU326" i="4"/>
  <c r="AT326" i="4"/>
  <c r="AU325" i="4"/>
  <c r="AT325" i="4"/>
  <c r="AU324" i="4"/>
  <c r="AT324" i="4"/>
  <c r="AU323" i="4"/>
  <c r="AT323" i="4"/>
  <c r="AU322" i="4"/>
  <c r="AT322" i="4"/>
  <c r="AU321" i="4"/>
  <c r="AT321" i="4"/>
  <c r="AU320" i="4"/>
  <c r="AT320" i="4"/>
  <c r="AU319" i="4"/>
  <c r="AT319" i="4"/>
  <c r="AU318" i="4"/>
  <c r="AT318" i="4"/>
  <c r="AU317" i="4"/>
  <c r="AT317" i="4"/>
  <c r="AU316" i="4"/>
  <c r="AT316" i="4"/>
  <c r="AU315" i="4"/>
  <c r="AT315" i="4"/>
  <c r="AU314" i="4"/>
  <c r="AT314" i="4"/>
  <c r="AU313" i="4"/>
  <c r="AT313" i="4"/>
  <c r="AU312" i="4"/>
  <c r="AT312" i="4"/>
  <c r="AU311" i="4"/>
  <c r="AT311" i="4"/>
  <c r="AU310" i="4"/>
  <c r="AT310" i="4"/>
  <c r="AU309" i="4"/>
  <c r="AT309" i="4"/>
  <c r="AU308" i="4"/>
  <c r="AT308" i="4"/>
  <c r="AU307" i="4"/>
  <c r="AT307" i="4"/>
  <c r="AU306" i="4"/>
  <c r="AT306" i="4"/>
  <c r="AU305" i="4"/>
  <c r="AT305" i="4"/>
  <c r="AU304" i="4"/>
  <c r="AT304" i="4"/>
  <c r="AU303" i="4"/>
  <c r="AT303" i="4"/>
  <c r="AU302" i="4"/>
  <c r="AT302" i="4"/>
  <c r="AU301" i="4"/>
  <c r="AT301" i="4"/>
  <c r="AU300" i="4"/>
  <c r="AT300" i="4"/>
  <c r="AU299" i="4"/>
  <c r="AT299" i="4"/>
  <c r="AU298" i="4"/>
  <c r="AT298" i="4"/>
  <c r="AU297" i="4"/>
  <c r="AT297" i="4"/>
  <c r="AU296" i="4"/>
  <c r="AT296" i="4"/>
  <c r="AU295" i="4"/>
  <c r="AT295" i="4"/>
  <c r="AU294" i="4"/>
  <c r="AT294" i="4"/>
  <c r="AU293" i="4"/>
  <c r="AT293" i="4"/>
  <c r="AU292" i="4"/>
  <c r="AT292" i="4"/>
  <c r="AU291" i="4"/>
  <c r="AT291" i="4"/>
  <c r="AU290" i="4"/>
  <c r="AT290" i="4"/>
  <c r="AU289" i="4"/>
  <c r="AT289" i="4"/>
  <c r="AU288" i="4"/>
  <c r="AT288" i="4"/>
  <c r="AU287" i="4"/>
  <c r="AT287" i="4"/>
  <c r="AU286" i="4"/>
  <c r="AT286" i="4"/>
  <c r="AU285" i="4"/>
  <c r="AT285" i="4"/>
  <c r="AU284" i="4"/>
  <c r="AT284" i="4"/>
  <c r="AU283" i="4"/>
  <c r="AT283" i="4"/>
  <c r="AU282" i="4"/>
  <c r="AT282" i="4"/>
  <c r="AU281" i="4"/>
  <c r="AT281" i="4"/>
  <c r="AU280" i="4"/>
  <c r="AT280" i="4"/>
  <c r="AU279" i="4"/>
  <c r="AT279" i="4"/>
  <c r="AU278" i="4"/>
  <c r="AT278" i="4"/>
  <c r="AU277" i="4"/>
  <c r="AT277" i="4"/>
  <c r="AU276" i="4"/>
  <c r="AT276" i="4"/>
  <c r="AU275" i="4"/>
  <c r="AT275" i="4"/>
  <c r="AU274" i="4"/>
  <c r="AT274" i="4"/>
  <c r="AU273" i="4"/>
  <c r="AT273" i="4"/>
  <c r="AU272" i="4"/>
  <c r="AT272" i="4"/>
  <c r="AU271" i="4"/>
  <c r="AT271" i="4"/>
  <c r="AU270" i="4"/>
  <c r="AT270" i="4"/>
  <c r="AU269" i="4"/>
  <c r="AT269" i="4"/>
  <c r="AU268" i="4"/>
  <c r="AT268" i="4"/>
  <c r="AU267" i="4"/>
  <c r="AT267" i="4"/>
  <c r="AU266" i="4"/>
  <c r="AT266" i="4"/>
  <c r="AU265" i="4"/>
  <c r="AT265" i="4"/>
  <c r="AU264" i="4"/>
  <c r="AT264" i="4"/>
  <c r="AU263" i="4"/>
  <c r="AT263" i="4"/>
  <c r="AU262" i="4"/>
  <c r="AT262" i="4"/>
  <c r="AU261" i="4"/>
  <c r="AT261" i="4"/>
  <c r="AU260" i="4"/>
  <c r="AT260" i="4"/>
  <c r="AU259" i="4"/>
  <c r="AT259" i="4"/>
  <c r="AU258" i="4"/>
  <c r="AT258" i="4"/>
  <c r="AU257" i="4"/>
  <c r="AT257" i="4"/>
  <c r="AU256" i="4"/>
  <c r="AT256" i="4"/>
  <c r="AU255" i="4"/>
  <c r="AT255" i="4"/>
  <c r="AU254" i="4"/>
  <c r="AT254" i="4"/>
  <c r="AU253" i="4"/>
  <c r="AT253" i="4"/>
  <c r="AU252" i="4"/>
  <c r="AT252" i="4"/>
  <c r="AU251" i="4"/>
  <c r="AT251" i="4"/>
  <c r="AU250" i="4"/>
  <c r="AT250" i="4"/>
  <c r="AU249" i="4"/>
  <c r="AT249" i="4"/>
  <c r="AU248" i="4"/>
  <c r="AT248" i="4"/>
  <c r="AU247" i="4"/>
  <c r="AT247" i="4"/>
  <c r="AU246" i="4"/>
  <c r="AT246" i="4"/>
  <c r="AU245" i="4"/>
  <c r="AT245" i="4"/>
  <c r="AU244" i="4"/>
  <c r="AT244" i="4"/>
  <c r="AU243" i="4"/>
  <c r="AT243" i="4"/>
  <c r="AU242" i="4"/>
  <c r="AT242" i="4"/>
  <c r="AU241" i="4"/>
  <c r="AT241" i="4"/>
  <c r="AU240" i="4"/>
  <c r="AT240" i="4"/>
  <c r="AU239" i="4"/>
  <c r="AT239" i="4"/>
  <c r="AU238" i="4"/>
  <c r="AT238" i="4"/>
  <c r="AU237" i="4"/>
  <c r="AT237" i="4"/>
  <c r="AU236" i="4"/>
  <c r="AT236" i="4"/>
  <c r="AU235" i="4"/>
  <c r="AT235" i="4"/>
  <c r="AU234" i="4"/>
  <c r="AT234" i="4"/>
  <c r="AU233" i="4"/>
  <c r="AT233" i="4"/>
  <c r="AU232" i="4"/>
  <c r="AT232" i="4"/>
  <c r="AU231" i="4"/>
  <c r="AT231" i="4"/>
  <c r="AU230" i="4"/>
  <c r="AT230" i="4"/>
  <c r="AU229" i="4"/>
  <c r="AT229" i="4"/>
  <c r="AU228" i="4"/>
  <c r="AT228" i="4"/>
  <c r="AU227" i="4"/>
  <c r="AT227" i="4"/>
  <c r="AU226" i="4"/>
  <c r="AT226" i="4"/>
  <c r="AU225" i="4"/>
  <c r="AT225" i="4"/>
  <c r="AU224" i="4"/>
  <c r="AT224" i="4"/>
  <c r="AU223" i="4"/>
  <c r="AT223" i="4"/>
  <c r="AU222" i="4"/>
  <c r="AT222" i="4"/>
  <c r="AU221" i="4"/>
  <c r="AT221" i="4"/>
  <c r="AU220" i="4"/>
  <c r="AT220" i="4"/>
  <c r="AU219" i="4"/>
  <c r="AT219" i="4"/>
  <c r="AU218" i="4"/>
  <c r="AT218" i="4"/>
  <c r="AU217" i="4"/>
  <c r="AT217" i="4"/>
  <c r="AU216" i="4"/>
  <c r="AT216" i="4"/>
  <c r="AU215" i="4"/>
  <c r="AT215" i="4"/>
  <c r="AU214" i="4"/>
  <c r="AT214" i="4"/>
  <c r="AU213" i="4"/>
  <c r="AT213" i="4"/>
  <c r="AU212" i="4"/>
  <c r="AT212" i="4"/>
  <c r="AU211" i="4"/>
  <c r="AT211" i="4"/>
  <c r="AU210" i="4"/>
  <c r="AT210" i="4"/>
  <c r="AU209" i="4"/>
  <c r="AT209" i="4"/>
  <c r="AU208" i="4"/>
  <c r="AT208" i="4"/>
  <c r="AU207" i="4"/>
  <c r="AT207" i="4"/>
  <c r="AU206" i="4"/>
  <c r="AT206" i="4"/>
  <c r="AU205" i="4"/>
  <c r="AT205" i="4"/>
  <c r="AU204" i="4"/>
  <c r="AT204" i="4"/>
  <c r="AU203" i="4"/>
  <c r="AT203" i="4"/>
  <c r="AU202" i="4"/>
  <c r="AT202" i="4"/>
  <c r="AU201" i="4"/>
  <c r="AT201" i="4"/>
  <c r="AU200" i="4"/>
  <c r="AT200" i="4"/>
  <c r="AU199" i="4"/>
  <c r="AT199" i="4"/>
  <c r="AU198" i="4"/>
  <c r="AT198" i="4"/>
  <c r="AU197" i="4"/>
  <c r="AT197" i="4"/>
  <c r="AU196" i="4"/>
  <c r="AT196" i="4"/>
  <c r="AU195" i="4"/>
  <c r="AT195" i="4"/>
  <c r="AU194" i="4"/>
  <c r="AT194" i="4"/>
  <c r="AU193" i="4"/>
  <c r="AT193" i="4"/>
  <c r="AU192" i="4"/>
  <c r="AT192" i="4"/>
  <c r="AU191" i="4"/>
  <c r="AT191" i="4"/>
  <c r="AU190" i="4"/>
  <c r="AT190" i="4"/>
  <c r="AU189" i="4"/>
  <c r="AT189" i="4"/>
  <c r="AU188" i="4"/>
  <c r="AT188" i="4"/>
  <c r="AU187" i="4"/>
  <c r="AT187" i="4"/>
  <c r="AU186" i="4"/>
  <c r="AT186" i="4"/>
  <c r="AU185" i="4"/>
  <c r="AT185" i="4"/>
  <c r="AU184" i="4"/>
  <c r="AT184" i="4"/>
  <c r="AU183" i="4"/>
  <c r="AT183" i="4"/>
  <c r="AU182" i="4"/>
  <c r="AT182" i="4"/>
  <c r="AU181" i="4"/>
  <c r="AT181" i="4"/>
  <c r="AU180" i="4"/>
  <c r="AT180" i="4"/>
  <c r="AU179" i="4"/>
  <c r="AT179" i="4"/>
  <c r="AU178" i="4"/>
  <c r="AT178" i="4"/>
  <c r="AU177" i="4"/>
  <c r="AT177" i="4"/>
  <c r="AU176" i="4"/>
  <c r="AT176" i="4"/>
  <c r="AU175" i="4"/>
  <c r="AT175" i="4"/>
  <c r="AU174" i="4"/>
  <c r="AT174" i="4"/>
  <c r="AU173" i="4"/>
  <c r="AT173" i="4"/>
  <c r="AU172" i="4"/>
  <c r="AT172" i="4"/>
  <c r="AU171" i="4"/>
  <c r="AT171" i="4"/>
  <c r="AU170" i="4"/>
  <c r="AT170" i="4"/>
  <c r="AU169" i="4"/>
  <c r="AT169" i="4"/>
  <c r="AU168" i="4"/>
  <c r="AT168" i="4"/>
  <c r="AU167" i="4"/>
  <c r="AT167" i="4"/>
  <c r="AU166" i="4"/>
  <c r="AT166" i="4"/>
  <c r="AU165" i="4"/>
  <c r="AT165" i="4"/>
  <c r="AU164" i="4"/>
  <c r="AT164" i="4"/>
  <c r="AU163" i="4"/>
  <c r="AT163" i="4"/>
  <c r="AU162" i="4"/>
  <c r="AT162" i="4"/>
  <c r="AU161" i="4"/>
  <c r="AT161" i="4"/>
  <c r="AU160" i="4"/>
  <c r="AT160" i="4"/>
  <c r="AU159" i="4"/>
  <c r="AT159" i="4"/>
  <c r="AU158" i="4"/>
  <c r="AT158" i="4"/>
  <c r="AU157" i="4"/>
  <c r="AT157" i="4"/>
  <c r="AU156" i="4"/>
  <c r="AT156" i="4"/>
  <c r="AU155" i="4"/>
  <c r="AT155" i="4"/>
  <c r="AU154" i="4"/>
  <c r="AT154" i="4"/>
  <c r="AU153" i="4"/>
  <c r="AT153" i="4"/>
  <c r="AU152" i="4"/>
  <c r="AT152" i="4"/>
  <c r="AU151" i="4"/>
  <c r="AT151" i="4"/>
  <c r="AU150" i="4"/>
  <c r="AT150" i="4"/>
  <c r="AU149" i="4"/>
  <c r="AT149" i="4"/>
  <c r="AU148" i="4"/>
  <c r="AT148" i="4"/>
  <c r="AU147" i="4"/>
  <c r="AT147" i="4"/>
  <c r="AU146" i="4"/>
  <c r="AT146" i="4"/>
  <c r="AU145" i="4"/>
  <c r="AT145" i="4"/>
  <c r="AU144" i="4"/>
  <c r="AT144" i="4"/>
  <c r="AU143" i="4"/>
  <c r="AT143" i="4"/>
  <c r="AU142" i="4"/>
  <c r="AT142" i="4"/>
  <c r="AU141" i="4"/>
  <c r="AT141" i="4"/>
  <c r="AU140" i="4"/>
  <c r="AT140" i="4"/>
  <c r="AU139" i="4"/>
  <c r="AT139" i="4"/>
  <c r="AU138" i="4"/>
  <c r="AT138" i="4"/>
  <c r="AU137" i="4"/>
  <c r="AT137" i="4"/>
  <c r="AU136" i="4"/>
  <c r="AT136" i="4"/>
  <c r="AU135" i="4"/>
  <c r="AT135" i="4"/>
  <c r="AU134" i="4"/>
  <c r="AT134" i="4"/>
  <c r="AU133" i="4"/>
  <c r="AT133" i="4"/>
  <c r="AU132" i="4"/>
  <c r="AT132" i="4"/>
  <c r="AU131" i="4"/>
  <c r="AT131" i="4"/>
  <c r="AU130" i="4"/>
  <c r="AT130" i="4"/>
  <c r="AU129" i="4"/>
  <c r="AT129" i="4"/>
  <c r="AU128" i="4"/>
  <c r="AT128" i="4"/>
  <c r="AU127" i="4"/>
  <c r="AT127" i="4"/>
  <c r="AU126" i="4"/>
  <c r="AT126" i="4"/>
  <c r="AU125" i="4"/>
  <c r="AT125" i="4"/>
  <c r="AU124" i="4"/>
  <c r="AT124" i="4"/>
  <c r="AU123" i="4"/>
  <c r="AT123" i="4"/>
  <c r="AU122" i="4"/>
  <c r="AT122" i="4"/>
  <c r="AU121" i="4"/>
  <c r="AT121" i="4"/>
  <c r="AU120" i="4"/>
  <c r="AT120" i="4"/>
  <c r="AU119" i="4"/>
  <c r="AT119" i="4"/>
  <c r="AU118" i="4"/>
  <c r="AT118" i="4"/>
  <c r="AU117" i="4"/>
  <c r="AT117" i="4"/>
  <c r="AU116" i="4"/>
  <c r="AT116" i="4"/>
  <c r="AU115" i="4"/>
  <c r="AT115" i="4"/>
  <c r="AU114" i="4"/>
  <c r="AT114" i="4"/>
  <c r="AU113" i="4"/>
  <c r="AT113" i="4"/>
  <c r="AU112" i="4"/>
  <c r="AT112" i="4"/>
  <c r="AU111" i="4"/>
  <c r="AT111" i="4"/>
  <c r="AU110" i="4"/>
  <c r="AT110" i="4"/>
  <c r="AU109" i="4"/>
  <c r="AT109" i="4"/>
  <c r="AU108" i="4"/>
  <c r="AT108" i="4"/>
  <c r="AU107" i="4"/>
  <c r="AT107" i="4"/>
  <c r="AU106" i="4"/>
  <c r="AT106" i="4"/>
  <c r="AU105" i="4"/>
  <c r="AT105" i="4"/>
  <c r="AU104" i="4"/>
  <c r="AT104" i="4"/>
  <c r="AU103" i="4"/>
  <c r="AT103" i="4"/>
  <c r="AU102" i="4"/>
  <c r="AT102" i="4"/>
  <c r="AU101" i="4"/>
  <c r="AT101" i="4"/>
  <c r="AU100" i="4"/>
  <c r="AT100" i="4"/>
  <c r="AU99" i="4"/>
  <c r="AT99" i="4"/>
  <c r="AU98" i="4"/>
  <c r="AT98" i="4"/>
  <c r="AU97" i="4"/>
  <c r="AT97" i="4"/>
  <c r="AU96" i="4"/>
  <c r="AT96" i="4"/>
  <c r="AU95" i="4"/>
  <c r="AT95" i="4"/>
  <c r="AU94" i="4"/>
  <c r="AT94" i="4"/>
  <c r="AU93" i="4"/>
  <c r="AT93" i="4"/>
  <c r="AU92" i="4"/>
  <c r="AT92" i="4"/>
  <c r="AU91" i="4"/>
  <c r="AT91" i="4"/>
  <c r="AU90" i="4"/>
  <c r="AT90" i="4"/>
  <c r="AU89" i="4"/>
  <c r="AT89" i="4"/>
  <c r="AU88" i="4"/>
  <c r="AT88" i="4"/>
  <c r="AU87" i="4"/>
  <c r="AT87" i="4"/>
  <c r="AU86" i="4"/>
  <c r="AT86" i="4"/>
  <c r="AU85" i="4"/>
  <c r="AT85" i="4"/>
  <c r="AU84" i="4"/>
  <c r="AT84" i="4"/>
  <c r="AU83" i="4"/>
  <c r="AT83" i="4"/>
  <c r="AU82" i="4"/>
  <c r="AT82" i="4"/>
  <c r="AU81" i="4"/>
  <c r="AT81" i="4"/>
  <c r="AU80" i="4"/>
  <c r="AT80" i="4"/>
  <c r="AU79" i="4"/>
  <c r="AT79" i="4"/>
  <c r="AU78" i="4"/>
  <c r="AT78" i="4"/>
  <c r="AU77" i="4"/>
  <c r="AT77" i="4"/>
  <c r="AU76" i="4"/>
  <c r="AT76" i="4"/>
  <c r="AU75" i="4"/>
  <c r="AT75" i="4"/>
  <c r="AU74" i="4"/>
  <c r="AT74" i="4"/>
  <c r="AU73" i="4"/>
  <c r="AT73" i="4"/>
  <c r="AU72" i="4"/>
  <c r="AT72" i="4"/>
  <c r="AU71" i="4"/>
  <c r="AT71" i="4"/>
  <c r="AU70" i="4"/>
  <c r="AT70" i="4"/>
  <c r="AU69" i="4"/>
  <c r="AT69" i="4"/>
  <c r="AU68" i="4"/>
  <c r="AT68" i="4"/>
  <c r="AU67" i="4"/>
  <c r="AT67" i="4"/>
  <c r="AU66" i="4"/>
  <c r="AT66" i="4"/>
  <c r="AU65" i="4"/>
  <c r="AT65" i="4"/>
  <c r="AU64" i="4"/>
  <c r="AT64" i="4"/>
  <c r="AU63" i="4"/>
  <c r="AT63" i="4"/>
  <c r="AU62" i="4"/>
  <c r="AT62" i="4"/>
  <c r="AU61" i="4"/>
  <c r="AT61" i="4"/>
  <c r="AU60" i="4"/>
  <c r="AT60" i="4"/>
  <c r="AU59" i="4"/>
  <c r="AT59" i="4"/>
  <c r="AU58" i="4"/>
  <c r="AT58" i="4"/>
  <c r="AU57" i="4"/>
  <c r="AT57" i="4"/>
  <c r="AU56" i="4"/>
  <c r="AT56" i="4"/>
  <c r="AU55" i="4"/>
  <c r="AT55" i="4"/>
  <c r="AU54" i="4"/>
  <c r="AT54" i="4"/>
  <c r="AU53" i="4"/>
  <c r="AT53" i="4"/>
  <c r="AU52" i="4"/>
  <c r="AT52" i="4"/>
  <c r="AU51" i="4"/>
  <c r="AT51" i="4"/>
  <c r="AU50" i="4"/>
  <c r="AT50" i="4"/>
  <c r="AU49" i="4"/>
  <c r="AT49" i="4"/>
  <c r="AU48" i="4"/>
  <c r="AT48" i="4"/>
  <c r="AU47" i="4"/>
  <c r="AT47" i="4"/>
  <c r="AU46" i="4"/>
  <c r="AT46" i="4"/>
  <c r="AU45" i="4"/>
  <c r="AT45" i="4"/>
  <c r="AU44" i="4"/>
  <c r="AT44" i="4"/>
  <c r="AU43" i="4"/>
  <c r="AT43" i="4"/>
  <c r="AU42" i="4"/>
  <c r="AT42" i="4"/>
  <c r="AU41" i="4"/>
  <c r="AT41" i="4"/>
  <c r="AU40" i="4"/>
  <c r="AT40" i="4"/>
  <c r="AU39" i="4"/>
  <c r="AT39" i="4"/>
  <c r="AU38" i="4"/>
  <c r="AT38" i="4"/>
  <c r="AU37" i="4"/>
  <c r="AT37" i="4"/>
  <c r="AU36" i="4"/>
  <c r="AT36" i="4"/>
  <c r="AU35" i="4"/>
  <c r="AT35" i="4"/>
  <c r="AU34" i="4"/>
  <c r="AT34" i="4"/>
  <c r="AU33" i="4"/>
  <c r="AT33" i="4"/>
  <c r="AU32" i="4"/>
  <c r="AT32" i="4"/>
  <c r="AU31" i="4"/>
  <c r="AT31" i="4"/>
  <c r="AU30" i="4"/>
  <c r="AT30" i="4"/>
  <c r="AU29" i="4"/>
  <c r="AT29" i="4"/>
  <c r="AU28" i="4"/>
  <c r="AT28" i="4"/>
  <c r="AU27" i="4"/>
  <c r="AT27" i="4"/>
  <c r="AU26" i="4"/>
  <c r="AT26" i="4"/>
  <c r="AU25" i="4"/>
  <c r="AT25" i="4"/>
  <c r="AU24" i="4"/>
  <c r="AT24" i="4"/>
  <c r="AU23" i="4"/>
  <c r="AT23" i="4"/>
  <c r="AU22" i="4"/>
  <c r="AT22" i="4"/>
  <c r="AU21" i="4"/>
  <c r="AT21" i="4"/>
  <c r="AU20" i="4"/>
  <c r="AT20" i="4"/>
  <c r="AU19" i="4"/>
  <c r="AT19" i="4"/>
  <c r="AU18" i="4"/>
  <c r="AT18" i="4"/>
  <c r="AU17" i="4"/>
  <c r="AT17" i="4"/>
  <c r="AU16" i="4"/>
  <c r="AT16" i="4"/>
  <c r="AU15" i="4"/>
  <c r="AT15" i="4"/>
  <c r="AU14" i="4"/>
  <c r="AT14" i="4"/>
  <c r="AU13" i="4"/>
  <c r="AT13" i="4"/>
  <c r="AU12" i="4"/>
  <c r="AT12" i="4"/>
  <c r="AU11" i="4"/>
  <c r="AT11" i="4"/>
  <c r="AR369" i="4"/>
  <c r="AQ369" i="4"/>
  <c r="AR368" i="4"/>
  <c r="AQ368" i="4"/>
  <c r="AR367" i="4"/>
  <c r="AQ367" i="4"/>
  <c r="AR366" i="4"/>
  <c r="AQ366" i="4"/>
  <c r="AR365" i="4"/>
  <c r="AQ365" i="4"/>
  <c r="AR364" i="4"/>
  <c r="AQ364" i="4"/>
  <c r="AR363" i="4"/>
  <c r="AQ363" i="4"/>
  <c r="AR362" i="4"/>
  <c r="AQ362" i="4"/>
  <c r="AR361" i="4"/>
  <c r="AQ361" i="4"/>
  <c r="AR360" i="4"/>
  <c r="AQ360" i="4"/>
  <c r="AR359" i="4"/>
  <c r="AQ359" i="4"/>
  <c r="AR358" i="4"/>
  <c r="AQ358" i="4"/>
  <c r="AR357" i="4"/>
  <c r="AQ357" i="4"/>
  <c r="AR356" i="4"/>
  <c r="AQ356" i="4"/>
  <c r="AR355" i="4"/>
  <c r="AQ355" i="4"/>
  <c r="AR354" i="4"/>
  <c r="AQ354" i="4"/>
  <c r="AR353" i="4"/>
  <c r="AQ353" i="4"/>
  <c r="AR352" i="4"/>
  <c r="AQ352" i="4"/>
  <c r="AR351" i="4"/>
  <c r="AQ351" i="4"/>
  <c r="AR350" i="4"/>
  <c r="AQ350" i="4"/>
  <c r="AR349" i="4"/>
  <c r="AQ349" i="4"/>
  <c r="AR348" i="4"/>
  <c r="AQ348" i="4"/>
  <c r="AR347" i="4"/>
  <c r="AQ347" i="4"/>
  <c r="AR346" i="4"/>
  <c r="AQ346" i="4"/>
  <c r="AR345" i="4"/>
  <c r="AQ345" i="4"/>
  <c r="AR344" i="4"/>
  <c r="AQ344" i="4"/>
  <c r="AR343" i="4"/>
  <c r="AQ343" i="4"/>
  <c r="AR342" i="4"/>
  <c r="AQ342" i="4"/>
  <c r="AR341" i="4"/>
  <c r="AQ341" i="4"/>
  <c r="AR340" i="4"/>
  <c r="AQ340" i="4"/>
  <c r="AR339" i="4"/>
  <c r="AQ339" i="4"/>
  <c r="AR338" i="4"/>
  <c r="AQ338" i="4"/>
  <c r="AR337" i="4"/>
  <c r="AQ337" i="4"/>
  <c r="AR336" i="4"/>
  <c r="AQ336" i="4"/>
  <c r="AR335" i="4"/>
  <c r="AQ335" i="4"/>
  <c r="AR334" i="4"/>
  <c r="AQ334" i="4"/>
  <c r="AR333" i="4"/>
  <c r="AQ333" i="4"/>
  <c r="AR332" i="4"/>
  <c r="AQ332" i="4"/>
  <c r="AR331" i="4"/>
  <c r="AQ331" i="4"/>
  <c r="AR330" i="4"/>
  <c r="AQ330" i="4"/>
  <c r="AR329" i="4"/>
  <c r="AQ329" i="4"/>
  <c r="AR328" i="4"/>
  <c r="AQ328" i="4"/>
  <c r="AR327" i="4"/>
  <c r="AQ327" i="4"/>
  <c r="AR326" i="4"/>
  <c r="AQ326" i="4"/>
  <c r="AR325" i="4"/>
  <c r="AQ325" i="4"/>
  <c r="AR324" i="4"/>
  <c r="AQ324" i="4"/>
  <c r="AR323" i="4"/>
  <c r="AQ323" i="4"/>
  <c r="AR322" i="4"/>
  <c r="AQ322" i="4"/>
  <c r="AR321" i="4"/>
  <c r="AQ321" i="4"/>
  <c r="AR320" i="4"/>
  <c r="AQ320" i="4"/>
  <c r="AR319" i="4"/>
  <c r="AQ319" i="4"/>
  <c r="AR318" i="4"/>
  <c r="AQ318" i="4"/>
  <c r="AR317" i="4"/>
  <c r="AQ317" i="4"/>
  <c r="AR316" i="4"/>
  <c r="AQ316" i="4"/>
  <c r="AR315" i="4"/>
  <c r="AQ315" i="4"/>
  <c r="AR314" i="4"/>
  <c r="AQ314" i="4"/>
  <c r="AR313" i="4"/>
  <c r="AQ313" i="4"/>
  <c r="AR312" i="4"/>
  <c r="AQ312" i="4"/>
  <c r="AR311" i="4"/>
  <c r="AQ311" i="4"/>
  <c r="AR310" i="4"/>
  <c r="AQ310" i="4"/>
  <c r="AR309" i="4"/>
  <c r="AQ309" i="4"/>
  <c r="AR308" i="4"/>
  <c r="AQ308" i="4"/>
  <c r="AR307" i="4"/>
  <c r="AQ307" i="4"/>
  <c r="AR306" i="4"/>
  <c r="AQ306" i="4"/>
  <c r="AR305" i="4"/>
  <c r="AQ305" i="4"/>
  <c r="AR304" i="4"/>
  <c r="AQ304" i="4"/>
  <c r="AR303" i="4"/>
  <c r="AQ303" i="4"/>
  <c r="AR302" i="4"/>
  <c r="AQ302" i="4"/>
  <c r="AR301" i="4"/>
  <c r="AQ301" i="4"/>
  <c r="AR300" i="4"/>
  <c r="AQ300" i="4"/>
  <c r="AR299" i="4"/>
  <c r="AQ299" i="4"/>
  <c r="AR298" i="4"/>
  <c r="AQ298" i="4"/>
  <c r="AR297" i="4"/>
  <c r="AQ297" i="4"/>
  <c r="AR296" i="4"/>
  <c r="AQ296" i="4"/>
  <c r="AR295" i="4"/>
  <c r="AQ295" i="4"/>
  <c r="AR294" i="4"/>
  <c r="AQ294" i="4"/>
  <c r="AR293" i="4"/>
  <c r="AQ293" i="4"/>
  <c r="AR292" i="4"/>
  <c r="AQ292" i="4"/>
  <c r="AR291" i="4"/>
  <c r="AQ291" i="4"/>
  <c r="AR290" i="4"/>
  <c r="AQ290" i="4"/>
  <c r="AR289" i="4"/>
  <c r="AQ289" i="4"/>
  <c r="AR288" i="4"/>
  <c r="AQ288" i="4"/>
  <c r="AR287" i="4"/>
  <c r="AQ287" i="4"/>
  <c r="AR286" i="4"/>
  <c r="AQ286" i="4"/>
  <c r="AR285" i="4"/>
  <c r="AQ285" i="4"/>
  <c r="AR284" i="4"/>
  <c r="AQ284" i="4"/>
  <c r="AR283" i="4"/>
  <c r="AQ283" i="4"/>
  <c r="AR282" i="4"/>
  <c r="AQ282" i="4"/>
  <c r="AR281" i="4"/>
  <c r="AQ281" i="4"/>
  <c r="AR280" i="4"/>
  <c r="AQ280" i="4"/>
  <c r="AR279" i="4"/>
  <c r="AQ279" i="4"/>
  <c r="AR278" i="4"/>
  <c r="AQ278" i="4"/>
  <c r="AR277" i="4"/>
  <c r="AQ277" i="4"/>
  <c r="AR276" i="4"/>
  <c r="AQ276" i="4"/>
  <c r="AR275" i="4"/>
  <c r="AQ275" i="4"/>
  <c r="AR274" i="4"/>
  <c r="AQ274" i="4"/>
  <c r="AR273" i="4"/>
  <c r="AQ273" i="4"/>
  <c r="AR272" i="4"/>
  <c r="AQ272" i="4"/>
  <c r="AR271" i="4"/>
  <c r="AQ271" i="4"/>
  <c r="AR270" i="4"/>
  <c r="AQ270" i="4"/>
  <c r="AR269" i="4"/>
  <c r="AQ269" i="4"/>
  <c r="AR268" i="4"/>
  <c r="AQ268" i="4"/>
  <c r="AR267" i="4"/>
  <c r="AQ267" i="4"/>
  <c r="AR266" i="4"/>
  <c r="AQ266" i="4"/>
  <c r="AR265" i="4"/>
  <c r="AQ265" i="4"/>
  <c r="AR264" i="4"/>
  <c r="AQ264" i="4"/>
  <c r="AR263" i="4"/>
  <c r="AQ263" i="4"/>
  <c r="AR262" i="4"/>
  <c r="AQ262" i="4"/>
  <c r="AR261" i="4"/>
  <c r="AQ261" i="4"/>
  <c r="AR260" i="4"/>
  <c r="AQ260" i="4"/>
  <c r="AR259" i="4"/>
  <c r="AQ259" i="4"/>
  <c r="AR258" i="4"/>
  <c r="AQ258" i="4"/>
  <c r="AR257" i="4"/>
  <c r="AQ257" i="4"/>
  <c r="AR256" i="4"/>
  <c r="AQ256" i="4"/>
  <c r="AR255" i="4"/>
  <c r="AQ255" i="4"/>
  <c r="AR254" i="4"/>
  <c r="AQ254" i="4"/>
  <c r="AR253" i="4"/>
  <c r="AQ253" i="4"/>
  <c r="AR252" i="4"/>
  <c r="AQ252" i="4"/>
  <c r="AR251" i="4"/>
  <c r="AQ251" i="4"/>
  <c r="AR250" i="4"/>
  <c r="AQ250" i="4"/>
  <c r="AR249" i="4"/>
  <c r="AQ249" i="4"/>
  <c r="AR248" i="4"/>
  <c r="AQ248" i="4"/>
  <c r="AR247" i="4"/>
  <c r="AQ247" i="4"/>
  <c r="AR246" i="4"/>
  <c r="AQ246" i="4"/>
  <c r="AR245" i="4"/>
  <c r="AQ245" i="4"/>
  <c r="AR244" i="4"/>
  <c r="AQ244" i="4"/>
  <c r="AR243" i="4"/>
  <c r="AQ243" i="4"/>
  <c r="AR242" i="4"/>
  <c r="AQ242" i="4"/>
  <c r="AR241" i="4"/>
  <c r="AQ241" i="4"/>
  <c r="AR240" i="4"/>
  <c r="AQ240" i="4"/>
  <c r="AR239" i="4"/>
  <c r="AQ239" i="4"/>
  <c r="AR238" i="4"/>
  <c r="AQ238" i="4"/>
  <c r="AR237" i="4"/>
  <c r="AQ237" i="4"/>
  <c r="AR236" i="4"/>
  <c r="AQ236" i="4"/>
  <c r="AR235" i="4"/>
  <c r="AQ235" i="4"/>
  <c r="AR234" i="4"/>
  <c r="AQ234" i="4"/>
  <c r="AR233" i="4"/>
  <c r="AQ233" i="4"/>
  <c r="AR232" i="4"/>
  <c r="AQ232" i="4"/>
  <c r="AR231" i="4"/>
  <c r="AQ231" i="4"/>
  <c r="AR230" i="4"/>
  <c r="AQ230" i="4"/>
  <c r="AR229" i="4"/>
  <c r="AQ229" i="4"/>
  <c r="AR228" i="4"/>
  <c r="AQ228" i="4"/>
  <c r="AR227" i="4"/>
  <c r="AQ227" i="4"/>
  <c r="AR226" i="4"/>
  <c r="AQ226" i="4"/>
  <c r="AR225" i="4"/>
  <c r="AQ225" i="4"/>
  <c r="AR224" i="4"/>
  <c r="AQ224" i="4"/>
  <c r="AR223" i="4"/>
  <c r="AQ223" i="4"/>
  <c r="AR222" i="4"/>
  <c r="AQ222" i="4"/>
  <c r="AR221" i="4"/>
  <c r="AQ221" i="4"/>
  <c r="AR220" i="4"/>
  <c r="AQ220" i="4"/>
  <c r="AR219" i="4"/>
  <c r="AQ219" i="4"/>
  <c r="AR218" i="4"/>
  <c r="AQ218" i="4"/>
  <c r="AR217" i="4"/>
  <c r="AQ217" i="4"/>
  <c r="AR216" i="4"/>
  <c r="AQ216" i="4"/>
  <c r="AR215" i="4"/>
  <c r="AQ215" i="4"/>
  <c r="AR214" i="4"/>
  <c r="AQ214" i="4"/>
  <c r="AR213" i="4"/>
  <c r="AQ213" i="4"/>
  <c r="AR212" i="4"/>
  <c r="AQ212" i="4"/>
  <c r="AR211" i="4"/>
  <c r="AQ211" i="4"/>
  <c r="AR210" i="4"/>
  <c r="AQ210" i="4"/>
  <c r="AR209" i="4"/>
  <c r="AQ209" i="4"/>
  <c r="AR208" i="4"/>
  <c r="AQ208" i="4"/>
  <c r="AR207" i="4"/>
  <c r="AQ207" i="4"/>
  <c r="AR206" i="4"/>
  <c r="AQ206" i="4"/>
  <c r="AR205" i="4"/>
  <c r="AQ205" i="4"/>
  <c r="AR204" i="4"/>
  <c r="AQ204" i="4"/>
  <c r="AR203" i="4"/>
  <c r="AQ203" i="4"/>
  <c r="AR202" i="4"/>
  <c r="AQ202" i="4"/>
  <c r="AR201" i="4"/>
  <c r="AQ201" i="4"/>
  <c r="AR200" i="4"/>
  <c r="AQ200" i="4"/>
  <c r="AR199" i="4"/>
  <c r="AQ199" i="4"/>
  <c r="AR198" i="4"/>
  <c r="AQ198" i="4"/>
  <c r="AR197" i="4"/>
  <c r="AQ197" i="4"/>
  <c r="AR196" i="4"/>
  <c r="AQ196" i="4"/>
  <c r="AR195" i="4"/>
  <c r="AQ195" i="4"/>
  <c r="AR194" i="4"/>
  <c r="AQ194" i="4"/>
  <c r="AR193" i="4"/>
  <c r="AQ193" i="4"/>
  <c r="AR192" i="4"/>
  <c r="AQ192" i="4"/>
  <c r="AR191" i="4"/>
  <c r="AQ191" i="4"/>
  <c r="AR190" i="4"/>
  <c r="AQ190" i="4"/>
  <c r="AR189" i="4"/>
  <c r="AQ189" i="4"/>
  <c r="AR188" i="4"/>
  <c r="AQ188" i="4"/>
  <c r="AR187" i="4"/>
  <c r="AQ187" i="4"/>
  <c r="AR186" i="4"/>
  <c r="AQ186" i="4"/>
  <c r="AR185" i="4"/>
  <c r="AQ185" i="4"/>
  <c r="AR184" i="4"/>
  <c r="AQ184" i="4"/>
  <c r="AR183" i="4"/>
  <c r="AQ183" i="4"/>
  <c r="AR182" i="4"/>
  <c r="AQ182" i="4"/>
  <c r="AR181" i="4"/>
  <c r="AQ181" i="4"/>
  <c r="AR180" i="4"/>
  <c r="AQ180" i="4"/>
  <c r="AR179" i="4"/>
  <c r="AQ179" i="4"/>
  <c r="AR178" i="4"/>
  <c r="AQ178" i="4"/>
  <c r="AR177" i="4"/>
  <c r="AQ177" i="4"/>
  <c r="AR176" i="4"/>
  <c r="AQ176" i="4"/>
  <c r="AR175" i="4"/>
  <c r="AQ175" i="4"/>
  <c r="AR174" i="4"/>
  <c r="AQ174" i="4"/>
  <c r="AR173" i="4"/>
  <c r="AQ173" i="4"/>
  <c r="AR172" i="4"/>
  <c r="AQ172" i="4"/>
  <c r="AR171" i="4"/>
  <c r="AQ171" i="4"/>
  <c r="AR170" i="4"/>
  <c r="AQ170" i="4"/>
  <c r="AR169" i="4"/>
  <c r="AQ169" i="4"/>
  <c r="AR168" i="4"/>
  <c r="AQ168" i="4"/>
  <c r="AR167" i="4"/>
  <c r="AQ167" i="4"/>
  <c r="AR166" i="4"/>
  <c r="AQ166" i="4"/>
  <c r="AR165" i="4"/>
  <c r="AQ165" i="4"/>
  <c r="AR164" i="4"/>
  <c r="AQ164" i="4"/>
  <c r="AR163" i="4"/>
  <c r="AQ163" i="4"/>
  <c r="AR162" i="4"/>
  <c r="AQ162" i="4"/>
  <c r="AR161" i="4"/>
  <c r="AQ161" i="4"/>
  <c r="AR160" i="4"/>
  <c r="AQ160" i="4"/>
  <c r="AR159" i="4"/>
  <c r="AQ159" i="4"/>
  <c r="AR158" i="4"/>
  <c r="AQ158" i="4"/>
  <c r="AR157" i="4"/>
  <c r="AQ157" i="4"/>
  <c r="AR156" i="4"/>
  <c r="AQ156" i="4"/>
  <c r="AR155" i="4"/>
  <c r="AQ155" i="4"/>
  <c r="AR154" i="4"/>
  <c r="AQ154" i="4"/>
  <c r="AR153" i="4"/>
  <c r="AQ153" i="4"/>
  <c r="AR152" i="4"/>
  <c r="AQ152" i="4"/>
  <c r="AR151" i="4"/>
  <c r="AQ151" i="4"/>
  <c r="AR150" i="4"/>
  <c r="AQ150" i="4"/>
  <c r="AR149" i="4"/>
  <c r="AQ149" i="4"/>
  <c r="AR148" i="4"/>
  <c r="AQ148" i="4"/>
  <c r="AR147" i="4"/>
  <c r="AQ147" i="4"/>
  <c r="AR146" i="4"/>
  <c r="AQ146" i="4"/>
  <c r="AR145" i="4"/>
  <c r="AQ145" i="4"/>
  <c r="AR144" i="4"/>
  <c r="AQ144" i="4"/>
  <c r="AR143" i="4"/>
  <c r="AQ143" i="4"/>
  <c r="AR142" i="4"/>
  <c r="AQ142" i="4"/>
  <c r="AR141" i="4"/>
  <c r="AQ141" i="4"/>
  <c r="AR140" i="4"/>
  <c r="AQ140" i="4"/>
  <c r="AR139" i="4"/>
  <c r="AQ139" i="4"/>
  <c r="AR138" i="4"/>
  <c r="AQ138" i="4"/>
  <c r="AR137" i="4"/>
  <c r="AQ137" i="4"/>
  <c r="AR136" i="4"/>
  <c r="AQ136" i="4"/>
  <c r="AR135" i="4"/>
  <c r="AQ135" i="4"/>
  <c r="AR134" i="4"/>
  <c r="AQ134" i="4"/>
  <c r="AR133" i="4"/>
  <c r="AQ133" i="4"/>
  <c r="AR132" i="4"/>
  <c r="AQ132" i="4"/>
  <c r="AR131" i="4"/>
  <c r="AQ131" i="4"/>
  <c r="AR130" i="4"/>
  <c r="AQ130" i="4"/>
  <c r="AR129" i="4"/>
  <c r="AQ129" i="4"/>
  <c r="AR128" i="4"/>
  <c r="AQ128" i="4"/>
  <c r="AR127" i="4"/>
  <c r="AQ127" i="4"/>
  <c r="AR126" i="4"/>
  <c r="AQ126" i="4"/>
  <c r="AR125" i="4"/>
  <c r="AQ125" i="4"/>
  <c r="AR124" i="4"/>
  <c r="AQ124" i="4"/>
  <c r="AR123" i="4"/>
  <c r="AQ123" i="4"/>
  <c r="AR122" i="4"/>
  <c r="AQ122" i="4"/>
  <c r="AR121" i="4"/>
  <c r="AQ121" i="4"/>
  <c r="AR120" i="4"/>
  <c r="AQ120" i="4"/>
  <c r="AR119" i="4"/>
  <c r="AQ119" i="4"/>
  <c r="AR118" i="4"/>
  <c r="AQ118" i="4"/>
  <c r="AR117" i="4"/>
  <c r="AQ117" i="4"/>
  <c r="AR116" i="4"/>
  <c r="AQ116" i="4"/>
  <c r="AR115" i="4"/>
  <c r="AQ115" i="4"/>
  <c r="AR114" i="4"/>
  <c r="AQ114" i="4"/>
  <c r="AR113" i="4"/>
  <c r="AQ113" i="4"/>
  <c r="AR112" i="4"/>
  <c r="AQ112" i="4"/>
  <c r="AR111" i="4"/>
  <c r="AQ111" i="4"/>
  <c r="AR110" i="4"/>
  <c r="AQ110" i="4"/>
  <c r="AR109" i="4"/>
  <c r="AQ109" i="4"/>
  <c r="AR108" i="4"/>
  <c r="AQ108" i="4"/>
  <c r="AR107" i="4"/>
  <c r="AQ107" i="4"/>
  <c r="AR106" i="4"/>
  <c r="AQ106" i="4"/>
  <c r="AR105" i="4"/>
  <c r="AQ105" i="4"/>
  <c r="AR104" i="4"/>
  <c r="AQ104" i="4"/>
  <c r="AR103" i="4"/>
  <c r="AQ103" i="4"/>
  <c r="AR102" i="4"/>
  <c r="AQ102" i="4"/>
  <c r="AR101" i="4"/>
  <c r="AQ101" i="4"/>
  <c r="AR100" i="4"/>
  <c r="AQ100" i="4"/>
  <c r="AR99" i="4"/>
  <c r="AQ99" i="4"/>
  <c r="AR98" i="4"/>
  <c r="AQ98" i="4"/>
  <c r="AR97" i="4"/>
  <c r="AQ97" i="4"/>
  <c r="AR96" i="4"/>
  <c r="AQ96" i="4"/>
  <c r="AR95" i="4"/>
  <c r="AQ95" i="4"/>
  <c r="AR94" i="4"/>
  <c r="AQ94" i="4"/>
  <c r="AR93" i="4"/>
  <c r="AQ93" i="4"/>
  <c r="AR92" i="4"/>
  <c r="AQ92" i="4"/>
  <c r="AR91" i="4"/>
  <c r="AQ91" i="4"/>
  <c r="AR90" i="4"/>
  <c r="AQ90" i="4"/>
  <c r="AR89" i="4"/>
  <c r="AQ89" i="4"/>
  <c r="AR88" i="4"/>
  <c r="AQ88" i="4"/>
  <c r="AR87" i="4"/>
  <c r="AQ87" i="4"/>
  <c r="AR86" i="4"/>
  <c r="AQ86" i="4"/>
  <c r="AR85" i="4"/>
  <c r="AQ85" i="4"/>
  <c r="AR84" i="4"/>
  <c r="AQ84" i="4"/>
  <c r="AR83" i="4"/>
  <c r="AQ83" i="4"/>
  <c r="AR82" i="4"/>
  <c r="AQ82" i="4"/>
  <c r="AR81" i="4"/>
  <c r="AQ81" i="4"/>
  <c r="AR80" i="4"/>
  <c r="AQ80" i="4"/>
  <c r="AR79" i="4"/>
  <c r="AQ79" i="4"/>
  <c r="AR78" i="4"/>
  <c r="AQ78" i="4"/>
  <c r="AR77" i="4"/>
  <c r="AQ77" i="4"/>
  <c r="AR76" i="4"/>
  <c r="AQ76" i="4"/>
  <c r="AR75" i="4"/>
  <c r="AQ75" i="4"/>
  <c r="AR74" i="4"/>
  <c r="AQ74" i="4"/>
  <c r="AR73" i="4"/>
  <c r="AQ73" i="4"/>
  <c r="AR72" i="4"/>
  <c r="AQ72" i="4"/>
  <c r="AR71" i="4"/>
  <c r="AQ71" i="4"/>
  <c r="AR70" i="4"/>
  <c r="AQ70" i="4"/>
  <c r="AR69" i="4"/>
  <c r="AQ69" i="4"/>
  <c r="AR68" i="4"/>
  <c r="AQ68" i="4"/>
  <c r="AR67" i="4"/>
  <c r="AQ67" i="4"/>
  <c r="AR66" i="4"/>
  <c r="AQ66" i="4"/>
  <c r="AR65" i="4"/>
  <c r="AQ65" i="4"/>
  <c r="AR64" i="4"/>
  <c r="AQ64" i="4"/>
  <c r="AR63" i="4"/>
  <c r="AQ63" i="4"/>
  <c r="AR62" i="4"/>
  <c r="AQ62" i="4"/>
  <c r="AR61" i="4"/>
  <c r="AQ61" i="4"/>
  <c r="AR60" i="4"/>
  <c r="AQ60" i="4"/>
  <c r="AR59" i="4"/>
  <c r="AQ59" i="4"/>
  <c r="AR58" i="4"/>
  <c r="AQ58" i="4"/>
  <c r="AR57" i="4"/>
  <c r="AQ57" i="4"/>
  <c r="AR56" i="4"/>
  <c r="AQ56" i="4"/>
  <c r="AR55" i="4"/>
  <c r="AQ55" i="4"/>
  <c r="AR54" i="4"/>
  <c r="AQ54" i="4"/>
  <c r="AR53" i="4"/>
  <c r="AQ53" i="4"/>
  <c r="AR52" i="4"/>
  <c r="AQ52" i="4"/>
  <c r="AR51" i="4"/>
  <c r="AQ51" i="4"/>
  <c r="AR50" i="4"/>
  <c r="AQ50" i="4"/>
  <c r="AR49" i="4"/>
  <c r="AQ49" i="4"/>
  <c r="AR48" i="4"/>
  <c r="AQ48" i="4"/>
  <c r="AR47" i="4"/>
  <c r="AQ47" i="4"/>
  <c r="AR46" i="4"/>
  <c r="AQ46" i="4"/>
  <c r="AR45" i="4"/>
  <c r="AQ45" i="4"/>
  <c r="AR44" i="4"/>
  <c r="AQ44" i="4"/>
  <c r="AR43" i="4"/>
  <c r="AQ43" i="4"/>
  <c r="AR42" i="4"/>
  <c r="AQ42" i="4"/>
  <c r="AR41" i="4"/>
  <c r="AQ41" i="4"/>
  <c r="AR40" i="4"/>
  <c r="AQ40" i="4"/>
  <c r="AR39" i="4"/>
  <c r="AQ39" i="4"/>
  <c r="AR38" i="4"/>
  <c r="AQ38" i="4"/>
  <c r="AR37" i="4"/>
  <c r="AQ37" i="4"/>
  <c r="AR36" i="4"/>
  <c r="AQ36" i="4"/>
  <c r="AR35" i="4"/>
  <c r="AQ35" i="4"/>
  <c r="AR34" i="4"/>
  <c r="AQ34" i="4"/>
  <c r="AR33" i="4"/>
  <c r="AQ33" i="4"/>
  <c r="AR32" i="4"/>
  <c r="AQ32" i="4"/>
  <c r="AR31" i="4"/>
  <c r="AQ31" i="4"/>
  <c r="AR30" i="4"/>
  <c r="AQ30" i="4"/>
  <c r="AR29" i="4"/>
  <c r="AQ29" i="4"/>
  <c r="AR28" i="4"/>
  <c r="AQ28" i="4"/>
  <c r="AR27" i="4"/>
  <c r="AQ27" i="4"/>
  <c r="AR26" i="4"/>
  <c r="AQ26" i="4"/>
  <c r="AR25" i="4"/>
  <c r="AQ25" i="4"/>
  <c r="AR24" i="4"/>
  <c r="AQ24" i="4"/>
  <c r="AR23" i="4"/>
  <c r="AQ23" i="4"/>
  <c r="AR22" i="4"/>
  <c r="AQ22" i="4"/>
  <c r="AR21" i="4"/>
  <c r="AQ21" i="4"/>
  <c r="AR20" i="4"/>
  <c r="AQ20" i="4"/>
  <c r="AR19" i="4"/>
  <c r="AQ19" i="4"/>
  <c r="AR18" i="4"/>
  <c r="AQ18" i="4"/>
  <c r="AR17" i="4"/>
  <c r="AQ17" i="4"/>
  <c r="AR16" i="4"/>
  <c r="AQ16" i="4"/>
  <c r="AR15" i="4"/>
  <c r="AQ15" i="4"/>
  <c r="AR14" i="4"/>
  <c r="AQ14" i="4"/>
  <c r="AR13" i="4"/>
  <c r="AQ13" i="4"/>
  <c r="AR12" i="4"/>
  <c r="AQ12" i="4"/>
  <c r="AR11" i="4"/>
  <c r="AQ11" i="4"/>
  <c r="AO369" i="4"/>
  <c r="AN369" i="4"/>
  <c r="AO368" i="4"/>
  <c r="AN368" i="4"/>
  <c r="AO367" i="4"/>
  <c r="AN367" i="4"/>
  <c r="AO366" i="4"/>
  <c r="AN366" i="4"/>
  <c r="AO365" i="4"/>
  <c r="AN365" i="4"/>
  <c r="AO364" i="4"/>
  <c r="AN364" i="4"/>
  <c r="AO363" i="4"/>
  <c r="AN363" i="4"/>
  <c r="AO362" i="4"/>
  <c r="AN362" i="4"/>
  <c r="AO361" i="4"/>
  <c r="AN361" i="4"/>
  <c r="AO360" i="4"/>
  <c r="AN360" i="4"/>
  <c r="AO359" i="4"/>
  <c r="AN359" i="4"/>
  <c r="AO358" i="4"/>
  <c r="AN358" i="4"/>
  <c r="AO357" i="4"/>
  <c r="AN357" i="4"/>
  <c r="AO356" i="4"/>
  <c r="AN356" i="4"/>
  <c r="AO355" i="4"/>
  <c r="AN355" i="4"/>
  <c r="AO354" i="4"/>
  <c r="AN354" i="4"/>
  <c r="AO353" i="4"/>
  <c r="AN353" i="4"/>
  <c r="AO352" i="4"/>
  <c r="AN352" i="4"/>
  <c r="AO351" i="4"/>
  <c r="AN351" i="4"/>
  <c r="AO350" i="4"/>
  <c r="AN350" i="4"/>
  <c r="AO349" i="4"/>
  <c r="AN349" i="4"/>
  <c r="AO348" i="4"/>
  <c r="AN348" i="4"/>
  <c r="AO347" i="4"/>
  <c r="AN347" i="4"/>
  <c r="AO346" i="4"/>
  <c r="AN346" i="4"/>
  <c r="AO345" i="4"/>
  <c r="AN345" i="4"/>
  <c r="AO344" i="4"/>
  <c r="AN344" i="4"/>
  <c r="AO343" i="4"/>
  <c r="AN343" i="4"/>
  <c r="AO342" i="4"/>
  <c r="AN342" i="4"/>
  <c r="AO341" i="4"/>
  <c r="AN341" i="4"/>
  <c r="AO340" i="4"/>
  <c r="AN340" i="4"/>
  <c r="AO339" i="4"/>
  <c r="AN339" i="4"/>
  <c r="AO338" i="4"/>
  <c r="AN338" i="4"/>
  <c r="AO337" i="4"/>
  <c r="AN337" i="4"/>
  <c r="AO336" i="4"/>
  <c r="AN336" i="4"/>
  <c r="AO335" i="4"/>
  <c r="AN335" i="4"/>
  <c r="AO334" i="4"/>
  <c r="AN334" i="4"/>
  <c r="AO333" i="4"/>
  <c r="AN333" i="4"/>
  <c r="AO332" i="4"/>
  <c r="AN332" i="4"/>
  <c r="AO331" i="4"/>
  <c r="AN331" i="4"/>
  <c r="AO330" i="4"/>
  <c r="AN330" i="4"/>
  <c r="AO329" i="4"/>
  <c r="AN329" i="4"/>
  <c r="AO328" i="4"/>
  <c r="AN328" i="4"/>
  <c r="AO327" i="4"/>
  <c r="AN327" i="4"/>
  <c r="AO326" i="4"/>
  <c r="AN326" i="4"/>
  <c r="AO325" i="4"/>
  <c r="AN325" i="4"/>
  <c r="AO324" i="4"/>
  <c r="AN324" i="4"/>
  <c r="AO323" i="4"/>
  <c r="AN323" i="4"/>
  <c r="AO322" i="4"/>
  <c r="AN322" i="4"/>
  <c r="AO321" i="4"/>
  <c r="AN321" i="4"/>
  <c r="AO320" i="4"/>
  <c r="AN320" i="4"/>
  <c r="AO319" i="4"/>
  <c r="AN319" i="4"/>
  <c r="AO318" i="4"/>
  <c r="AN318" i="4"/>
  <c r="AO317" i="4"/>
  <c r="AN317" i="4"/>
  <c r="AO316" i="4"/>
  <c r="AN316" i="4"/>
  <c r="AO315" i="4"/>
  <c r="AN315" i="4"/>
  <c r="AO314" i="4"/>
  <c r="AN314" i="4"/>
  <c r="AO313" i="4"/>
  <c r="AN313" i="4"/>
  <c r="AO312" i="4"/>
  <c r="AN312" i="4"/>
  <c r="AO311" i="4"/>
  <c r="AN311" i="4"/>
  <c r="AO310" i="4"/>
  <c r="AN310" i="4"/>
  <c r="AO309" i="4"/>
  <c r="AN309" i="4"/>
  <c r="AO308" i="4"/>
  <c r="AN308" i="4"/>
  <c r="AO307" i="4"/>
  <c r="AN307" i="4"/>
  <c r="AO306" i="4"/>
  <c r="AN306" i="4"/>
  <c r="AO305" i="4"/>
  <c r="AN305" i="4"/>
  <c r="AO304" i="4"/>
  <c r="AN304" i="4"/>
  <c r="AO303" i="4"/>
  <c r="AN303" i="4"/>
  <c r="AO302" i="4"/>
  <c r="AN302" i="4"/>
  <c r="AO301" i="4"/>
  <c r="AN301" i="4"/>
  <c r="AO300" i="4"/>
  <c r="AN300" i="4"/>
  <c r="AO299" i="4"/>
  <c r="AN299" i="4"/>
  <c r="AO298" i="4"/>
  <c r="AN298" i="4"/>
  <c r="AO297" i="4"/>
  <c r="AN297" i="4"/>
  <c r="AO296" i="4"/>
  <c r="AN296" i="4"/>
  <c r="AO295" i="4"/>
  <c r="AN295" i="4"/>
  <c r="AO294" i="4"/>
  <c r="AN294" i="4"/>
  <c r="AO293" i="4"/>
  <c r="AN293" i="4"/>
  <c r="AO292" i="4"/>
  <c r="AN292" i="4"/>
  <c r="AO291" i="4"/>
  <c r="AN291" i="4"/>
  <c r="AO290" i="4"/>
  <c r="AN290" i="4"/>
  <c r="AO289" i="4"/>
  <c r="AN289" i="4"/>
  <c r="AO288" i="4"/>
  <c r="AN288" i="4"/>
  <c r="AO287" i="4"/>
  <c r="AN287" i="4"/>
  <c r="AO286" i="4"/>
  <c r="AN286" i="4"/>
  <c r="AO285" i="4"/>
  <c r="AN285" i="4"/>
  <c r="AO284" i="4"/>
  <c r="AN284" i="4"/>
  <c r="AO283" i="4"/>
  <c r="AN283" i="4"/>
  <c r="AO282" i="4"/>
  <c r="AN282" i="4"/>
  <c r="AO281" i="4"/>
  <c r="AN281" i="4"/>
  <c r="AO280" i="4"/>
  <c r="AN280" i="4"/>
  <c r="AO279" i="4"/>
  <c r="AN279" i="4"/>
  <c r="AO278" i="4"/>
  <c r="AN278" i="4"/>
  <c r="AO277" i="4"/>
  <c r="AN277" i="4"/>
  <c r="AO276" i="4"/>
  <c r="AN276" i="4"/>
  <c r="AO275" i="4"/>
  <c r="AN275" i="4"/>
  <c r="AO274" i="4"/>
  <c r="AN274" i="4"/>
  <c r="AO273" i="4"/>
  <c r="AN273" i="4"/>
  <c r="AO272" i="4"/>
  <c r="AN272" i="4"/>
  <c r="AO271" i="4"/>
  <c r="AN271" i="4"/>
  <c r="AO270" i="4"/>
  <c r="AN270" i="4"/>
  <c r="AO269" i="4"/>
  <c r="AN269" i="4"/>
  <c r="AO268" i="4"/>
  <c r="AN268" i="4"/>
  <c r="AO267" i="4"/>
  <c r="AN267" i="4"/>
  <c r="AO266" i="4"/>
  <c r="AN266" i="4"/>
  <c r="AO265" i="4"/>
  <c r="AN265" i="4"/>
  <c r="AO264" i="4"/>
  <c r="AN264" i="4"/>
  <c r="AO263" i="4"/>
  <c r="AN263" i="4"/>
  <c r="AO262" i="4"/>
  <c r="AN262" i="4"/>
  <c r="AO261" i="4"/>
  <c r="AN261" i="4"/>
  <c r="AO260" i="4"/>
  <c r="AN260" i="4"/>
  <c r="AO259" i="4"/>
  <c r="AN259" i="4"/>
  <c r="AO258" i="4"/>
  <c r="AN258" i="4"/>
  <c r="AO257" i="4"/>
  <c r="AN257" i="4"/>
  <c r="AO256" i="4"/>
  <c r="AN256" i="4"/>
  <c r="AO255" i="4"/>
  <c r="AN255" i="4"/>
  <c r="AO254" i="4"/>
  <c r="AN254" i="4"/>
  <c r="AO253" i="4"/>
  <c r="AN253" i="4"/>
  <c r="AO252" i="4"/>
  <c r="AN252" i="4"/>
  <c r="AO251" i="4"/>
  <c r="AN251" i="4"/>
  <c r="AO250" i="4"/>
  <c r="AN250" i="4"/>
  <c r="AO249" i="4"/>
  <c r="AN249" i="4"/>
  <c r="AO248" i="4"/>
  <c r="AN248" i="4"/>
  <c r="AO247" i="4"/>
  <c r="AN247" i="4"/>
  <c r="AO246" i="4"/>
  <c r="AN246" i="4"/>
  <c r="AO245" i="4"/>
  <c r="AN245" i="4"/>
  <c r="AO244" i="4"/>
  <c r="AN244" i="4"/>
  <c r="AO243" i="4"/>
  <c r="AN243" i="4"/>
  <c r="AO242" i="4"/>
  <c r="AN242" i="4"/>
  <c r="AO241" i="4"/>
  <c r="AN241" i="4"/>
  <c r="AO240" i="4"/>
  <c r="AN240" i="4"/>
  <c r="AO239" i="4"/>
  <c r="AN239" i="4"/>
  <c r="AO238" i="4"/>
  <c r="AN238" i="4"/>
  <c r="AO237" i="4"/>
  <c r="AN237" i="4"/>
  <c r="AO236" i="4"/>
  <c r="AN236" i="4"/>
  <c r="AO235" i="4"/>
  <c r="AN235" i="4"/>
  <c r="AO234" i="4"/>
  <c r="AN234" i="4"/>
  <c r="AO233" i="4"/>
  <c r="AN233" i="4"/>
  <c r="AO232" i="4"/>
  <c r="AN232" i="4"/>
  <c r="AO231" i="4"/>
  <c r="AN231" i="4"/>
  <c r="AO230" i="4"/>
  <c r="AN230" i="4"/>
  <c r="AO229" i="4"/>
  <c r="AN229" i="4"/>
  <c r="AO228" i="4"/>
  <c r="AN228" i="4"/>
  <c r="AO227" i="4"/>
  <c r="AN227" i="4"/>
  <c r="AO226" i="4"/>
  <c r="AN226" i="4"/>
  <c r="AO225" i="4"/>
  <c r="AN225" i="4"/>
  <c r="AO224" i="4"/>
  <c r="AN224" i="4"/>
  <c r="AO223" i="4"/>
  <c r="AN223" i="4"/>
  <c r="AO222" i="4"/>
  <c r="AN222" i="4"/>
  <c r="AO221" i="4"/>
  <c r="AN221" i="4"/>
  <c r="AO220" i="4"/>
  <c r="AN220" i="4"/>
  <c r="AO219" i="4"/>
  <c r="AN219" i="4"/>
  <c r="AO218" i="4"/>
  <c r="AN218" i="4"/>
  <c r="AO217" i="4"/>
  <c r="AN217" i="4"/>
  <c r="AO216" i="4"/>
  <c r="AN216" i="4"/>
  <c r="AO215" i="4"/>
  <c r="AN215" i="4"/>
  <c r="AO214" i="4"/>
  <c r="AN214" i="4"/>
  <c r="AO213" i="4"/>
  <c r="AN213" i="4"/>
  <c r="AO212" i="4"/>
  <c r="AN212" i="4"/>
  <c r="AO211" i="4"/>
  <c r="AN211" i="4"/>
  <c r="AO210" i="4"/>
  <c r="AN210" i="4"/>
  <c r="AO209" i="4"/>
  <c r="AN209" i="4"/>
  <c r="AO208" i="4"/>
  <c r="AN208" i="4"/>
  <c r="AO207" i="4"/>
  <c r="AN207" i="4"/>
  <c r="AO206" i="4"/>
  <c r="AN206" i="4"/>
  <c r="AO205" i="4"/>
  <c r="AN205" i="4"/>
  <c r="AO204" i="4"/>
  <c r="AN204" i="4"/>
  <c r="AO203" i="4"/>
  <c r="AN203" i="4"/>
  <c r="AO202" i="4"/>
  <c r="AN202" i="4"/>
  <c r="AO201" i="4"/>
  <c r="AN201" i="4"/>
  <c r="AO200" i="4"/>
  <c r="AN200" i="4"/>
  <c r="AO199" i="4"/>
  <c r="AN199" i="4"/>
  <c r="AO198" i="4"/>
  <c r="AN198" i="4"/>
  <c r="AO197" i="4"/>
  <c r="AN197" i="4"/>
  <c r="AO196" i="4"/>
  <c r="AN196" i="4"/>
  <c r="AO195" i="4"/>
  <c r="AN195" i="4"/>
  <c r="AO194" i="4"/>
  <c r="AN194" i="4"/>
  <c r="AO193" i="4"/>
  <c r="AN193" i="4"/>
  <c r="AO192" i="4"/>
  <c r="AN192" i="4"/>
  <c r="AO191" i="4"/>
  <c r="AN191" i="4"/>
  <c r="AO190" i="4"/>
  <c r="AN190" i="4"/>
  <c r="AO189" i="4"/>
  <c r="AN189" i="4"/>
  <c r="AO188" i="4"/>
  <c r="AN188" i="4"/>
  <c r="AO187" i="4"/>
  <c r="AN187" i="4"/>
  <c r="AO186" i="4"/>
  <c r="AN186" i="4"/>
  <c r="AO185" i="4"/>
  <c r="AN185" i="4"/>
  <c r="AO184" i="4"/>
  <c r="AN184" i="4"/>
  <c r="AO183" i="4"/>
  <c r="AN183" i="4"/>
  <c r="AO182" i="4"/>
  <c r="AN182" i="4"/>
  <c r="AO181" i="4"/>
  <c r="AN181" i="4"/>
  <c r="AO180" i="4"/>
  <c r="AN180" i="4"/>
  <c r="AO179" i="4"/>
  <c r="AN179" i="4"/>
  <c r="AO178" i="4"/>
  <c r="AN178" i="4"/>
  <c r="AO177" i="4"/>
  <c r="AN177" i="4"/>
  <c r="AO176" i="4"/>
  <c r="AN176" i="4"/>
  <c r="AO175" i="4"/>
  <c r="AN175" i="4"/>
  <c r="AO174" i="4"/>
  <c r="AN174" i="4"/>
  <c r="AO173" i="4"/>
  <c r="AN173" i="4"/>
  <c r="AO172" i="4"/>
  <c r="AN172" i="4"/>
  <c r="AO171" i="4"/>
  <c r="AN171" i="4"/>
  <c r="AO170" i="4"/>
  <c r="AN170" i="4"/>
  <c r="AO169" i="4"/>
  <c r="AN169" i="4"/>
  <c r="AO168" i="4"/>
  <c r="AN168" i="4"/>
  <c r="AO167" i="4"/>
  <c r="AN167" i="4"/>
  <c r="AO166" i="4"/>
  <c r="AN166" i="4"/>
  <c r="AO165" i="4"/>
  <c r="AN165" i="4"/>
  <c r="AO164" i="4"/>
  <c r="AN164" i="4"/>
  <c r="AO163" i="4"/>
  <c r="AN163" i="4"/>
  <c r="AO162" i="4"/>
  <c r="AN162" i="4"/>
  <c r="AO161" i="4"/>
  <c r="AN161" i="4"/>
  <c r="AO160" i="4"/>
  <c r="AN160" i="4"/>
  <c r="AO159" i="4"/>
  <c r="AN159" i="4"/>
  <c r="AO158" i="4"/>
  <c r="AN158" i="4"/>
  <c r="AO157" i="4"/>
  <c r="AN157" i="4"/>
  <c r="AO156" i="4"/>
  <c r="AN156" i="4"/>
  <c r="AO155" i="4"/>
  <c r="AN155" i="4"/>
  <c r="AO154" i="4"/>
  <c r="AN154" i="4"/>
  <c r="AO153" i="4"/>
  <c r="AN153" i="4"/>
  <c r="AO152" i="4"/>
  <c r="AN152" i="4"/>
  <c r="AO151" i="4"/>
  <c r="AN151" i="4"/>
  <c r="AO150" i="4"/>
  <c r="AN150" i="4"/>
  <c r="AO149" i="4"/>
  <c r="AN149" i="4"/>
  <c r="AO148" i="4"/>
  <c r="AN148" i="4"/>
  <c r="AO147" i="4"/>
  <c r="AN147" i="4"/>
  <c r="AO146" i="4"/>
  <c r="AN146" i="4"/>
  <c r="AO145" i="4"/>
  <c r="AN145" i="4"/>
  <c r="AO144" i="4"/>
  <c r="AN144" i="4"/>
  <c r="AO143" i="4"/>
  <c r="AN143" i="4"/>
  <c r="AO142" i="4"/>
  <c r="AN142" i="4"/>
  <c r="AO141" i="4"/>
  <c r="AN141" i="4"/>
  <c r="AO140" i="4"/>
  <c r="AN140" i="4"/>
  <c r="AO139" i="4"/>
  <c r="AN139" i="4"/>
  <c r="AO138" i="4"/>
  <c r="AN138" i="4"/>
  <c r="AO137" i="4"/>
  <c r="AN137" i="4"/>
  <c r="AO136" i="4"/>
  <c r="AN136" i="4"/>
  <c r="AO135" i="4"/>
  <c r="AN135" i="4"/>
  <c r="AO134" i="4"/>
  <c r="AN134" i="4"/>
  <c r="AO133" i="4"/>
  <c r="AN133" i="4"/>
  <c r="AO132" i="4"/>
  <c r="AN132" i="4"/>
  <c r="AO131" i="4"/>
  <c r="AN131" i="4"/>
  <c r="AO130" i="4"/>
  <c r="AN130" i="4"/>
  <c r="AO129" i="4"/>
  <c r="AN129" i="4"/>
  <c r="AO128" i="4"/>
  <c r="AN128" i="4"/>
  <c r="AO127" i="4"/>
  <c r="AN127" i="4"/>
  <c r="AO126" i="4"/>
  <c r="AN126" i="4"/>
  <c r="AO125" i="4"/>
  <c r="AN125" i="4"/>
  <c r="AO124" i="4"/>
  <c r="AN124" i="4"/>
  <c r="AO123" i="4"/>
  <c r="AN123" i="4"/>
  <c r="AO122" i="4"/>
  <c r="AN122" i="4"/>
  <c r="AO121" i="4"/>
  <c r="AN121" i="4"/>
  <c r="AO120" i="4"/>
  <c r="AN120" i="4"/>
  <c r="AO119" i="4"/>
  <c r="AN119" i="4"/>
  <c r="AO118" i="4"/>
  <c r="AN118" i="4"/>
  <c r="AO117" i="4"/>
  <c r="AN117" i="4"/>
  <c r="AO116" i="4"/>
  <c r="AN116" i="4"/>
  <c r="AO115" i="4"/>
  <c r="AN115" i="4"/>
  <c r="AO114" i="4"/>
  <c r="AN114" i="4"/>
  <c r="AO113" i="4"/>
  <c r="AN113" i="4"/>
  <c r="AO112" i="4"/>
  <c r="AN112" i="4"/>
  <c r="AO111" i="4"/>
  <c r="AN111" i="4"/>
  <c r="AO110" i="4"/>
  <c r="AN110" i="4"/>
  <c r="AO109" i="4"/>
  <c r="AN109" i="4"/>
  <c r="AO108" i="4"/>
  <c r="AN108" i="4"/>
  <c r="AO107" i="4"/>
  <c r="AN107" i="4"/>
  <c r="AO106" i="4"/>
  <c r="AN106" i="4"/>
  <c r="AO105" i="4"/>
  <c r="AN105" i="4"/>
  <c r="AO104" i="4"/>
  <c r="AN104" i="4"/>
  <c r="AO103" i="4"/>
  <c r="AN103" i="4"/>
  <c r="AO102" i="4"/>
  <c r="AN102" i="4"/>
  <c r="AO101" i="4"/>
  <c r="AN101" i="4"/>
  <c r="AO100" i="4"/>
  <c r="AN100" i="4"/>
  <c r="AO99" i="4"/>
  <c r="AN99" i="4"/>
  <c r="AO98" i="4"/>
  <c r="AN98" i="4"/>
  <c r="AO97" i="4"/>
  <c r="AN97" i="4"/>
  <c r="AO96" i="4"/>
  <c r="AN96" i="4"/>
  <c r="AO95" i="4"/>
  <c r="AN95" i="4"/>
  <c r="AO94" i="4"/>
  <c r="AN94" i="4"/>
  <c r="AO93" i="4"/>
  <c r="AN93" i="4"/>
  <c r="AO92" i="4"/>
  <c r="AN92" i="4"/>
  <c r="AO91" i="4"/>
  <c r="AN91" i="4"/>
  <c r="AO90" i="4"/>
  <c r="AN90" i="4"/>
  <c r="AO89" i="4"/>
  <c r="AN89" i="4"/>
  <c r="AO88" i="4"/>
  <c r="AN88" i="4"/>
  <c r="AO87" i="4"/>
  <c r="AN87" i="4"/>
  <c r="AO86" i="4"/>
  <c r="AN86" i="4"/>
  <c r="AO85" i="4"/>
  <c r="AN85" i="4"/>
  <c r="AO84" i="4"/>
  <c r="AN84" i="4"/>
  <c r="AO83" i="4"/>
  <c r="AN83" i="4"/>
  <c r="AO82" i="4"/>
  <c r="AN82" i="4"/>
  <c r="AO81" i="4"/>
  <c r="AN81" i="4"/>
  <c r="AO80" i="4"/>
  <c r="AN80" i="4"/>
  <c r="AO79" i="4"/>
  <c r="AN79" i="4"/>
  <c r="AO78" i="4"/>
  <c r="AN78" i="4"/>
  <c r="AO77" i="4"/>
  <c r="AN77" i="4"/>
  <c r="AO76" i="4"/>
  <c r="AN76" i="4"/>
  <c r="AO75" i="4"/>
  <c r="AN75" i="4"/>
  <c r="AO74" i="4"/>
  <c r="AN74" i="4"/>
  <c r="AO73" i="4"/>
  <c r="AN73" i="4"/>
  <c r="AO72" i="4"/>
  <c r="AN72" i="4"/>
  <c r="AO71" i="4"/>
  <c r="AN71" i="4"/>
  <c r="AO70" i="4"/>
  <c r="AN70" i="4"/>
  <c r="AO69" i="4"/>
  <c r="AN69" i="4"/>
  <c r="AO68" i="4"/>
  <c r="AN68" i="4"/>
  <c r="AO67" i="4"/>
  <c r="AN67" i="4"/>
  <c r="AO66" i="4"/>
  <c r="AN66" i="4"/>
  <c r="AO65" i="4"/>
  <c r="AN65" i="4"/>
  <c r="AO64" i="4"/>
  <c r="AN64" i="4"/>
  <c r="AO63" i="4"/>
  <c r="AN63" i="4"/>
  <c r="AO62" i="4"/>
  <c r="AN62" i="4"/>
  <c r="AO61" i="4"/>
  <c r="AN61" i="4"/>
  <c r="AO60" i="4"/>
  <c r="AN60" i="4"/>
  <c r="AO59" i="4"/>
  <c r="AN59" i="4"/>
  <c r="AO58" i="4"/>
  <c r="AN58" i="4"/>
  <c r="AO57" i="4"/>
  <c r="AN57" i="4"/>
  <c r="AO56" i="4"/>
  <c r="AN56" i="4"/>
  <c r="AO55" i="4"/>
  <c r="AN55" i="4"/>
  <c r="AO54" i="4"/>
  <c r="AN54" i="4"/>
  <c r="AO53" i="4"/>
  <c r="AN53" i="4"/>
  <c r="AO52" i="4"/>
  <c r="AN52" i="4"/>
  <c r="AO51" i="4"/>
  <c r="AN51" i="4"/>
  <c r="AO50" i="4"/>
  <c r="AN50" i="4"/>
  <c r="AO49" i="4"/>
  <c r="AN49" i="4"/>
  <c r="AO48" i="4"/>
  <c r="AN48" i="4"/>
  <c r="AO47" i="4"/>
  <c r="AN47" i="4"/>
  <c r="AO46" i="4"/>
  <c r="AN46" i="4"/>
  <c r="AO45" i="4"/>
  <c r="AN45" i="4"/>
  <c r="AO44" i="4"/>
  <c r="AN44" i="4"/>
  <c r="AO43" i="4"/>
  <c r="AN43" i="4"/>
  <c r="AO42" i="4"/>
  <c r="AN42" i="4"/>
  <c r="AO41" i="4"/>
  <c r="AN41" i="4"/>
  <c r="AO40" i="4"/>
  <c r="AN40" i="4"/>
  <c r="AO39" i="4"/>
  <c r="AN39" i="4"/>
  <c r="AO38" i="4"/>
  <c r="AN38" i="4"/>
  <c r="AO37" i="4"/>
  <c r="AN37" i="4"/>
  <c r="AO36" i="4"/>
  <c r="AN36" i="4"/>
  <c r="AO35" i="4"/>
  <c r="AN35" i="4"/>
  <c r="AO34" i="4"/>
  <c r="AN34" i="4"/>
  <c r="AO33" i="4"/>
  <c r="AN33" i="4"/>
  <c r="AO32" i="4"/>
  <c r="AN32" i="4"/>
  <c r="AO31" i="4"/>
  <c r="AN31" i="4"/>
  <c r="AO30" i="4"/>
  <c r="AN30" i="4"/>
  <c r="AO29" i="4"/>
  <c r="AN29" i="4"/>
  <c r="AO28" i="4"/>
  <c r="AN28" i="4"/>
  <c r="AO27" i="4"/>
  <c r="AN27" i="4"/>
  <c r="AO26" i="4"/>
  <c r="AN26" i="4"/>
  <c r="AO25" i="4"/>
  <c r="AN25" i="4"/>
  <c r="AO24" i="4"/>
  <c r="AN24" i="4"/>
  <c r="AO23" i="4"/>
  <c r="AN23" i="4"/>
  <c r="AO22" i="4"/>
  <c r="AN22" i="4"/>
  <c r="AO21" i="4"/>
  <c r="AN21" i="4"/>
  <c r="AO20" i="4"/>
  <c r="AN20" i="4"/>
  <c r="AO19" i="4"/>
  <c r="AN19" i="4"/>
  <c r="AO18" i="4"/>
  <c r="AN18" i="4"/>
  <c r="AO17" i="4"/>
  <c r="AN17" i="4"/>
  <c r="AO16" i="4"/>
  <c r="AN16" i="4"/>
  <c r="AO15" i="4"/>
  <c r="AN15" i="4"/>
  <c r="AO14" i="4"/>
  <c r="AN14" i="4"/>
  <c r="AO13" i="4"/>
  <c r="AN13" i="4"/>
  <c r="AO12" i="4"/>
  <c r="AN12" i="4"/>
  <c r="AO11" i="4"/>
  <c r="AN11" i="4"/>
  <c r="AL369" i="4"/>
  <c r="AK369" i="4"/>
  <c r="AL368" i="4"/>
  <c r="AK368" i="4"/>
  <c r="AL367" i="4"/>
  <c r="AK367" i="4"/>
  <c r="AL366" i="4"/>
  <c r="AK366" i="4"/>
  <c r="AL365" i="4"/>
  <c r="AK365" i="4"/>
  <c r="AL364" i="4"/>
  <c r="AK364" i="4"/>
  <c r="AL363" i="4"/>
  <c r="AK363" i="4"/>
  <c r="AL362" i="4"/>
  <c r="AK362" i="4"/>
  <c r="AL361" i="4"/>
  <c r="AK361" i="4"/>
  <c r="AL360" i="4"/>
  <c r="AK360" i="4"/>
  <c r="AL359" i="4"/>
  <c r="AK359" i="4"/>
  <c r="AL358" i="4"/>
  <c r="AK358" i="4"/>
  <c r="AL357" i="4"/>
  <c r="AK357" i="4"/>
  <c r="AL356" i="4"/>
  <c r="AK356" i="4"/>
  <c r="AL355" i="4"/>
  <c r="AK355" i="4"/>
  <c r="AL354" i="4"/>
  <c r="AK354" i="4"/>
  <c r="AL353" i="4"/>
  <c r="AK353" i="4"/>
  <c r="AL352" i="4"/>
  <c r="AK352" i="4"/>
  <c r="AL351" i="4"/>
  <c r="AK351" i="4"/>
  <c r="AL350" i="4"/>
  <c r="AK350" i="4"/>
  <c r="AL349" i="4"/>
  <c r="AK349" i="4"/>
  <c r="AL348" i="4"/>
  <c r="AK348" i="4"/>
  <c r="AL347" i="4"/>
  <c r="AK347" i="4"/>
  <c r="AL346" i="4"/>
  <c r="AK346" i="4"/>
  <c r="AL345" i="4"/>
  <c r="AK345" i="4"/>
  <c r="AL344" i="4"/>
  <c r="AK344" i="4"/>
  <c r="AL343" i="4"/>
  <c r="AK343" i="4"/>
  <c r="AL342" i="4"/>
  <c r="AK342" i="4"/>
  <c r="AL341" i="4"/>
  <c r="AK341" i="4"/>
  <c r="AL340" i="4"/>
  <c r="AK340" i="4"/>
  <c r="AL339" i="4"/>
  <c r="AK339" i="4"/>
  <c r="AL338" i="4"/>
  <c r="AK338" i="4"/>
  <c r="AL337" i="4"/>
  <c r="AK337" i="4"/>
  <c r="AL336" i="4"/>
  <c r="AK336" i="4"/>
  <c r="AL335" i="4"/>
  <c r="AK335" i="4"/>
  <c r="AL334" i="4"/>
  <c r="AK334" i="4"/>
  <c r="AL333" i="4"/>
  <c r="AK333" i="4"/>
  <c r="AL332" i="4"/>
  <c r="AK332" i="4"/>
  <c r="AL331" i="4"/>
  <c r="AK331" i="4"/>
  <c r="AL330" i="4"/>
  <c r="AK330" i="4"/>
  <c r="AL329" i="4"/>
  <c r="AK329" i="4"/>
  <c r="AL328" i="4"/>
  <c r="AK328" i="4"/>
  <c r="AL327" i="4"/>
  <c r="AK327" i="4"/>
  <c r="AL326" i="4"/>
  <c r="AK326" i="4"/>
  <c r="AL325" i="4"/>
  <c r="AK325" i="4"/>
  <c r="AL324" i="4"/>
  <c r="AK324" i="4"/>
  <c r="AL323" i="4"/>
  <c r="AK323" i="4"/>
  <c r="AL322" i="4"/>
  <c r="AK322" i="4"/>
  <c r="AL321" i="4"/>
  <c r="AK321" i="4"/>
  <c r="AL320" i="4"/>
  <c r="AK320" i="4"/>
  <c r="AL319" i="4"/>
  <c r="AK319" i="4"/>
  <c r="AL318" i="4"/>
  <c r="AK318" i="4"/>
  <c r="AL317" i="4"/>
  <c r="AK317" i="4"/>
  <c r="AL316" i="4"/>
  <c r="AK316" i="4"/>
  <c r="AL315" i="4"/>
  <c r="AK315" i="4"/>
  <c r="AL314" i="4"/>
  <c r="AK314" i="4"/>
  <c r="AL313" i="4"/>
  <c r="AK313" i="4"/>
  <c r="AL312" i="4"/>
  <c r="AK312" i="4"/>
  <c r="AL311" i="4"/>
  <c r="AK311" i="4"/>
  <c r="AL310" i="4"/>
  <c r="AK310" i="4"/>
  <c r="AL309" i="4"/>
  <c r="AK309" i="4"/>
  <c r="AL308" i="4"/>
  <c r="AK308" i="4"/>
  <c r="AL307" i="4"/>
  <c r="AK307" i="4"/>
  <c r="AL306" i="4"/>
  <c r="AK306" i="4"/>
  <c r="AL305" i="4"/>
  <c r="AK305" i="4"/>
  <c r="AL304" i="4"/>
  <c r="AK304" i="4"/>
  <c r="AL303" i="4"/>
  <c r="AK303" i="4"/>
  <c r="AL302" i="4"/>
  <c r="AK302" i="4"/>
  <c r="AL301" i="4"/>
  <c r="AK301" i="4"/>
  <c r="AL300" i="4"/>
  <c r="AK300" i="4"/>
  <c r="AL299" i="4"/>
  <c r="AK299" i="4"/>
  <c r="AL298" i="4"/>
  <c r="AK298" i="4"/>
  <c r="AL297" i="4"/>
  <c r="AK297" i="4"/>
  <c r="AL296" i="4"/>
  <c r="AK296" i="4"/>
  <c r="AL295" i="4"/>
  <c r="AK295" i="4"/>
  <c r="AL294" i="4"/>
  <c r="AK294" i="4"/>
  <c r="AL293" i="4"/>
  <c r="AK293" i="4"/>
  <c r="AL292" i="4"/>
  <c r="AK292" i="4"/>
  <c r="AL291" i="4"/>
  <c r="AK291" i="4"/>
  <c r="AL290" i="4"/>
  <c r="AK290" i="4"/>
  <c r="AL289" i="4"/>
  <c r="AK289" i="4"/>
  <c r="AL288" i="4"/>
  <c r="AK288" i="4"/>
  <c r="AL287" i="4"/>
  <c r="AK287" i="4"/>
  <c r="AL286" i="4"/>
  <c r="AK286" i="4"/>
  <c r="AL285" i="4"/>
  <c r="AK285" i="4"/>
  <c r="AL284" i="4"/>
  <c r="AK284" i="4"/>
  <c r="AL283" i="4"/>
  <c r="AK283" i="4"/>
  <c r="AL282" i="4"/>
  <c r="AK282" i="4"/>
  <c r="AL281" i="4"/>
  <c r="AK281" i="4"/>
  <c r="AL280" i="4"/>
  <c r="AK280" i="4"/>
  <c r="AL279" i="4"/>
  <c r="AK279" i="4"/>
  <c r="AL278" i="4"/>
  <c r="AK278" i="4"/>
  <c r="AL277" i="4"/>
  <c r="AK277" i="4"/>
  <c r="AL276" i="4"/>
  <c r="AK276" i="4"/>
  <c r="AL275" i="4"/>
  <c r="AK275" i="4"/>
  <c r="AL274" i="4"/>
  <c r="AK274" i="4"/>
  <c r="AL273" i="4"/>
  <c r="AK273" i="4"/>
  <c r="AL272" i="4"/>
  <c r="AK272" i="4"/>
  <c r="AL271" i="4"/>
  <c r="AK271" i="4"/>
  <c r="AL270" i="4"/>
  <c r="AK270" i="4"/>
  <c r="AL269" i="4"/>
  <c r="AK269" i="4"/>
  <c r="AL268" i="4"/>
  <c r="AK268" i="4"/>
  <c r="AL267" i="4"/>
  <c r="AK267" i="4"/>
  <c r="AL266" i="4"/>
  <c r="AK266" i="4"/>
  <c r="AL265" i="4"/>
  <c r="AK265" i="4"/>
  <c r="AL264" i="4"/>
  <c r="AK264" i="4"/>
  <c r="AL263" i="4"/>
  <c r="AK263" i="4"/>
  <c r="AL262" i="4"/>
  <c r="AK262" i="4"/>
  <c r="AL261" i="4"/>
  <c r="AK261" i="4"/>
  <c r="AL260" i="4"/>
  <c r="AK260" i="4"/>
  <c r="AL259" i="4"/>
  <c r="AK259" i="4"/>
  <c r="AL258" i="4"/>
  <c r="AK258" i="4"/>
  <c r="AL257" i="4"/>
  <c r="AK257" i="4"/>
  <c r="AL256" i="4"/>
  <c r="AK256" i="4"/>
  <c r="AL255" i="4"/>
  <c r="AK255" i="4"/>
  <c r="AL254" i="4"/>
  <c r="AK254" i="4"/>
  <c r="AL253" i="4"/>
  <c r="AK253" i="4"/>
  <c r="AL252" i="4"/>
  <c r="AK252" i="4"/>
  <c r="AL251" i="4"/>
  <c r="AK251" i="4"/>
  <c r="AL250" i="4"/>
  <c r="AK250" i="4"/>
  <c r="AL249" i="4"/>
  <c r="AK249" i="4"/>
  <c r="AL248" i="4"/>
  <c r="AK248" i="4"/>
  <c r="AL247" i="4"/>
  <c r="AK247" i="4"/>
  <c r="AL246" i="4"/>
  <c r="AK246" i="4"/>
  <c r="AL245" i="4"/>
  <c r="AK245" i="4"/>
  <c r="AL244" i="4"/>
  <c r="AK244" i="4"/>
  <c r="AL243" i="4"/>
  <c r="AK243" i="4"/>
  <c r="AL242" i="4"/>
  <c r="AK242" i="4"/>
  <c r="AL241" i="4"/>
  <c r="AK241" i="4"/>
  <c r="AL240" i="4"/>
  <c r="AK240" i="4"/>
  <c r="AL239" i="4"/>
  <c r="AK239" i="4"/>
  <c r="AL238" i="4"/>
  <c r="AK238" i="4"/>
  <c r="AL237" i="4"/>
  <c r="AK237" i="4"/>
  <c r="AL236" i="4"/>
  <c r="AK236" i="4"/>
  <c r="AL235" i="4"/>
  <c r="AK235" i="4"/>
  <c r="AL234" i="4"/>
  <c r="AK234" i="4"/>
  <c r="AL233" i="4"/>
  <c r="AK233" i="4"/>
  <c r="AL232" i="4"/>
  <c r="AK232" i="4"/>
  <c r="AL231" i="4"/>
  <c r="AK231" i="4"/>
  <c r="AL230" i="4"/>
  <c r="AK230" i="4"/>
  <c r="AL229" i="4"/>
  <c r="AK229" i="4"/>
  <c r="AL228" i="4"/>
  <c r="AK228" i="4"/>
  <c r="AL227" i="4"/>
  <c r="AK227" i="4"/>
  <c r="AL226" i="4"/>
  <c r="AK226" i="4"/>
  <c r="AL225" i="4"/>
  <c r="AK225" i="4"/>
  <c r="AL224" i="4"/>
  <c r="AK224" i="4"/>
  <c r="AL223" i="4"/>
  <c r="AK223" i="4"/>
  <c r="AL222" i="4"/>
  <c r="AK222" i="4"/>
  <c r="AL221" i="4"/>
  <c r="AK221" i="4"/>
  <c r="AL220" i="4"/>
  <c r="AK220" i="4"/>
  <c r="AL219" i="4"/>
  <c r="AK219" i="4"/>
  <c r="AL218" i="4"/>
  <c r="AK218" i="4"/>
  <c r="AL217" i="4"/>
  <c r="AK217" i="4"/>
  <c r="AL216" i="4"/>
  <c r="AK216" i="4"/>
  <c r="AL215" i="4"/>
  <c r="AK215" i="4"/>
  <c r="AL214" i="4"/>
  <c r="AK214" i="4"/>
  <c r="AL213" i="4"/>
  <c r="AK213" i="4"/>
  <c r="AL212" i="4"/>
  <c r="AK212" i="4"/>
  <c r="AL211" i="4"/>
  <c r="AK211" i="4"/>
  <c r="AL210" i="4"/>
  <c r="AK210" i="4"/>
  <c r="AL209" i="4"/>
  <c r="AK209" i="4"/>
  <c r="AL208" i="4"/>
  <c r="AK208" i="4"/>
  <c r="AL207" i="4"/>
  <c r="AK207" i="4"/>
  <c r="AL206" i="4"/>
  <c r="AK206" i="4"/>
  <c r="AL205" i="4"/>
  <c r="AK205" i="4"/>
  <c r="AL204" i="4"/>
  <c r="AK204" i="4"/>
  <c r="AL203" i="4"/>
  <c r="AK203" i="4"/>
  <c r="AL202" i="4"/>
  <c r="AK202" i="4"/>
  <c r="AL201" i="4"/>
  <c r="AK201" i="4"/>
  <c r="AL200" i="4"/>
  <c r="AK200" i="4"/>
  <c r="AL199" i="4"/>
  <c r="AK199" i="4"/>
  <c r="AL198" i="4"/>
  <c r="AK198" i="4"/>
  <c r="AL197" i="4"/>
  <c r="AK197" i="4"/>
  <c r="AL196" i="4"/>
  <c r="AK196" i="4"/>
  <c r="AL195" i="4"/>
  <c r="AK195" i="4"/>
  <c r="AL194" i="4"/>
  <c r="AK194" i="4"/>
  <c r="AL193" i="4"/>
  <c r="AK193" i="4"/>
  <c r="AL192" i="4"/>
  <c r="AK192" i="4"/>
  <c r="AL191" i="4"/>
  <c r="AK191" i="4"/>
  <c r="AL190" i="4"/>
  <c r="AK190" i="4"/>
  <c r="AL189" i="4"/>
  <c r="AK189" i="4"/>
  <c r="AL188" i="4"/>
  <c r="AK188" i="4"/>
  <c r="AL187" i="4"/>
  <c r="AK187" i="4"/>
  <c r="AL186" i="4"/>
  <c r="AK186" i="4"/>
  <c r="AL185" i="4"/>
  <c r="AK185" i="4"/>
  <c r="AL184" i="4"/>
  <c r="AK184" i="4"/>
  <c r="AL183" i="4"/>
  <c r="AK183" i="4"/>
  <c r="AL182" i="4"/>
  <c r="AK182" i="4"/>
  <c r="AL181" i="4"/>
  <c r="AK181" i="4"/>
  <c r="AL180" i="4"/>
  <c r="AK180" i="4"/>
  <c r="AL179" i="4"/>
  <c r="AK179" i="4"/>
  <c r="AL178" i="4"/>
  <c r="AK178" i="4"/>
  <c r="AL177" i="4"/>
  <c r="AK177" i="4"/>
  <c r="AL176" i="4"/>
  <c r="AK176" i="4"/>
  <c r="AL175" i="4"/>
  <c r="AK175" i="4"/>
  <c r="AL174" i="4"/>
  <c r="AK174" i="4"/>
  <c r="AL173" i="4"/>
  <c r="AK173" i="4"/>
  <c r="AL172" i="4"/>
  <c r="AK172" i="4"/>
  <c r="AL171" i="4"/>
  <c r="AK171" i="4"/>
  <c r="AL170" i="4"/>
  <c r="AK170" i="4"/>
  <c r="AL169" i="4"/>
  <c r="AK169" i="4"/>
  <c r="AL168" i="4"/>
  <c r="AK168" i="4"/>
  <c r="AL167" i="4"/>
  <c r="AK167" i="4"/>
  <c r="AL166" i="4"/>
  <c r="AK166" i="4"/>
  <c r="AL165" i="4"/>
  <c r="AK165" i="4"/>
  <c r="AL164" i="4"/>
  <c r="AK164" i="4"/>
  <c r="AL163" i="4"/>
  <c r="AK163" i="4"/>
  <c r="AL162" i="4"/>
  <c r="AK162" i="4"/>
  <c r="AL161" i="4"/>
  <c r="AK161" i="4"/>
  <c r="AL160" i="4"/>
  <c r="AK160" i="4"/>
  <c r="AL159" i="4"/>
  <c r="AK159" i="4"/>
  <c r="AL158" i="4"/>
  <c r="AK158" i="4"/>
  <c r="AL157" i="4"/>
  <c r="AK157" i="4"/>
  <c r="AL156" i="4"/>
  <c r="AK156" i="4"/>
  <c r="AL155" i="4"/>
  <c r="AK155" i="4"/>
  <c r="AL154" i="4"/>
  <c r="AK154" i="4"/>
  <c r="AL153" i="4"/>
  <c r="AK153" i="4"/>
  <c r="AL152" i="4"/>
  <c r="AK152" i="4"/>
  <c r="AL151" i="4"/>
  <c r="AK151" i="4"/>
  <c r="AL150" i="4"/>
  <c r="AK150" i="4"/>
  <c r="AL149" i="4"/>
  <c r="AK149" i="4"/>
  <c r="AL148" i="4"/>
  <c r="AK148" i="4"/>
  <c r="AL147" i="4"/>
  <c r="AK147" i="4"/>
  <c r="AL146" i="4"/>
  <c r="AK146" i="4"/>
  <c r="AL145" i="4"/>
  <c r="AK145" i="4"/>
  <c r="AL144" i="4"/>
  <c r="AK144" i="4"/>
  <c r="AL143" i="4"/>
  <c r="AK143" i="4"/>
  <c r="AL142" i="4"/>
  <c r="AK142" i="4"/>
  <c r="AL141" i="4"/>
  <c r="AK141" i="4"/>
  <c r="AL140" i="4"/>
  <c r="AK140" i="4"/>
  <c r="AL139" i="4"/>
  <c r="AK139" i="4"/>
  <c r="AL138" i="4"/>
  <c r="AK138" i="4"/>
  <c r="AL137" i="4"/>
  <c r="AK137" i="4"/>
  <c r="AL136" i="4"/>
  <c r="AK136" i="4"/>
  <c r="AL135" i="4"/>
  <c r="AK135" i="4"/>
  <c r="AL134" i="4"/>
  <c r="AK134" i="4"/>
  <c r="AL133" i="4"/>
  <c r="AK133" i="4"/>
  <c r="AL132" i="4"/>
  <c r="AK132" i="4"/>
  <c r="AL131" i="4"/>
  <c r="AK131" i="4"/>
  <c r="AL130" i="4"/>
  <c r="AK130" i="4"/>
  <c r="AL129" i="4"/>
  <c r="AK129" i="4"/>
  <c r="AL128" i="4"/>
  <c r="AK128" i="4"/>
  <c r="AL127" i="4"/>
  <c r="AK127" i="4"/>
  <c r="AL126" i="4"/>
  <c r="AK126" i="4"/>
  <c r="AL125" i="4"/>
  <c r="AK125" i="4"/>
  <c r="AL124" i="4"/>
  <c r="AK124" i="4"/>
  <c r="AL123" i="4"/>
  <c r="AK123" i="4"/>
  <c r="AL122" i="4"/>
  <c r="AK122" i="4"/>
  <c r="AL121" i="4"/>
  <c r="AK121" i="4"/>
  <c r="AL120" i="4"/>
  <c r="AK120" i="4"/>
  <c r="AL119" i="4"/>
  <c r="AK119" i="4"/>
  <c r="AL118" i="4"/>
  <c r="AK118" i="4"/>
  <c r="AL117" i="4"/>
  <c r="AK117" i="4"/>
  <c r="AL116" i="4"/>
  <c r="AK116" i="4"/>
  <c r="AL115" i="4"/>
  <c r="AK115" i="4"/>
  <c r="AL114" i="4"/>
  <c r="AK114" i="4"/>
  <c r="AL113" i="4"/>
  <c r="AK113" i="4"/>
  <c r="AL112" i="4"/>
  <c r="AK112" i="4"/>
  <c r="AL111" i="4"/>
  <c r="AK111" i="4"/>
  <c r="AL110" i="4"/>
  <c r="AK110" i="4"/>
  <c r="AL109" i="4"/>
  <c r="AK109" i="4"/>
  <c r="AL108" i="4"/>
  <c r="AK108" i="4"/>
  <c r="AL107" i="4"/>
  <c r="AK107" i="4"/>
  <c r="AL106" i="4"/>
  <c r="AK106" i="4"/>
  <c r="AL105" i="4"/>
  <c r="AK105" i="4"/>
  <c r="AL104" i="4"/>
  <c r="AK104" i="4"/>
  <c r="AL103" i="4"/>
  <c r="AK103" i="4"/>
  <c r="AL102" i="4"/>
  <c r="AK102" i="4"/>
  <c r="AL101" i="4"/>
  <c r="AK101" i="4"/>
  <c r="AL100" i="4"/>
  <c r="AK100" i="4"/>
  <c r="AL99" i="4"/>
  <c r="AK99" i="4"/>
  <c r="AL98" i="4"/>
  <c r="AK98" i="4"/>
  <c r="AL97" i="4"/>
  <c r="AK97" i="4"/>
  <c r="AL96" i="4"/>
  <c r="AK96" i="4"/>
  <c r="AL95" i="4"/>
  <c r="AK95" i="4"/>
  <c r="AL94" i="4"/>
  <c r="AK94" i="4"/>
  <c r="AL93" i="4"/>
  <c r="AK93" i="4"/>
  <c r="AL92" i="4"/>
  <c r="AK92" i="4"/>
  <c r="AL91" i="4"/>
  <c r="AK91" i="4"/>
  <c r="AL90" i="4"/>
  <c r="AK90" i="4"/>
  <c r="AL89" i="4"/>
  <c r="AK89" i="4"/>
  <c r="AL88" i="4"/>
  <c r="AK88" i="4"/>
  <c r="AL87" i="4"/>
  <c r="AK87" i="4"/>
  <c r="AL86" i="4"/>
  <c r="AK86" i="4"/>
  <c r="AL85" i="4"/>
  <c r="AK85" i="4"/>
  <c r="AL84" i="4"/>
  <c r="AK84" i="4"/>
  <c r="AL83" i="4"/>
  <c r="AK83" i="4"/>
  <c r="AL82" i="4"/>
  <c r="AK82" i="4"/>
  <c r="AL81" i="4"/>
  <c r="AK81" i="4"/>
  <c r="AL80" i="4"/>
  <c r="AK80" i="4"/>
  <c r="AL79" i="4"/>
  <c r="AK79" i="4"/>
  <c r="AL78" i="4"/>
  <c r="AK78" i="4"/>
  <c r="AL77" i="4"/>
  <c r="AK77" i="4"/>
  <c r="AL76" i="4"/>
  <c r="AK76" i="4"/>
  <c r="AL75" i="4"/>
  <c r="AK75" i="4"/>
  <c r="AL74" i="4"/>
  <c r="AK74" i="4"/>
  <c r="AL73" i="4"/>
  <c r="AK73" i="4"/>
  <c r="AL72" i="4"/>
  <c r="AK72" i="4"/>
  <c r="AL71" i="4"/>
  <c r="AK71" i="4"/>
  <c r="AL70" i="4"/>
  <c r="AK70" i="4"/>
  <c r="AL69" i="4"/>
  <c r="AK69" i="4"/>
  <c r="AL68" i="4"/>
  <c r="AK68" i="4"/>
  <c r="AL67" i="4"/>
  <c r="AK67" i="4"/>
  <c r="AL66" i="4"/>
  <c r="AK66" i="4"/>
  <c r="AL65" i="4"/>
  <c r="AK65" i="4"/>
  <c r="AL64" i="4"/>
  <c r="AK64" i="4"/>
  <c r="AL63" i="4"/>
  <c r="AK63" i="4"/>
  <c r="AL62" i="4"/>
  <c r="AK62" i="4"/>
  <c r="AL61" i="4"/>
  <c r="AK61" i="4"/>
  <c r="AL60" i="4"/>
  <c r="AK60" i="4"/>
  <c r="AL59" i="4"/>
  <c r="AK59" i="4"/>
  <c r="AL58" i="4"/>
  <c r="AK58" i="4"/>
  <c r="AL57" i="4"/>
  <c r="AK57" i="4"/>
  <c r="AL56" i="4"/>
  <c r="AK56" i="4"/>
  <c r="AL55" i="4"/>
  <c r="AK55" i="4"/>
  <c r="AL54" i="4"/>
  <c r="AK54" i="4"/>
  <c r="AL53" i="4"/>
  <c r="AK53" i="4"/>
  <c r="AL52" i="4"/>
  <c r="AK52" i="4"/>
  <c r="AL51" i="4"/>
  <c r="AK51" i="4"/>
  <c r="AL50" i="4"/>
  <c r="AK50" i="4"/>
  <c r="AL49" i="4"/>
  <c r="AK49" i="4"/>
  <c r="AL48" i="4"/>
  <c r="AK48" i="4"/>
  <c r="AL47" i="4"/>
  <c r="AK47" i="4"/>
  <c r="AL46" i="4"/>
  <c r="AK46" i="4"/>
  <c r="AL45" i="4"/>
  <c r="AK45" i="4"/>
  <c r="AL44" i="4"/>
  <c r="AK44" i="4"/>
  <c r="AL43" i="4"/>
  <c r="AK43" i="4"/>
  <c r="AL42" i="4"/>
  <c r="AK42" i="4"/>
  <c r="AL41" i="4"/>
  <c r="AK41" i="4"/>
  <c r="AL40" i="4"/>
  <c r="AK40" i="4"/>
  <c r="AL39" i="4"/>
  <c r="AK39" i="4"/>
  <c r="AL38" i="4"/>
  <c r="AK38" i="4"/>
  <c r="AL37" i="4"/>
  <c r="AK37" i="4"/>
  <c r="AL36" i="4"/>
  <c r="AK36" i="4"/>
  <c r="AL35" i="4"/>
  <c r="AK35" i="4"/>
  <c r="AL34" i="4"/>
  <c r="AK34" i="4"/>
  <c r="AL33" i="4"/>
  <c r="AK33" i="4"/>
  <c r="AL32" i="4"/>
  <c r="AK32" i="4"/>
  <c r="AL31" i="4"/>
  <c r="AK31" i="4"/>
  <c r="AL30" i="4"/>
  <c r="AK30" i="4"/>
  <c r="AL29" i="4"/>
  <c r="AK29" i="4"/>
  <c r="AL28" i="4"/>
  <c r="AK28" i="4"/>
  <c r="AL27" i="4"/>
  <c r="AK27" i="4"/>
  <c r="AL26" i="4"/>
  <c r="AK26" i="4"/>
  <c r="AL25" i="4"/>
  <c r="AK25" i="4"/>
  <c r="AL24" i="4"/>
  <c r="AK24" i="4"/>
  <c r="AL23" i="4"/>
  <c r="AK23" i="4"/>
  <c r="AL22" i="4"/>
  <c r="AK22" i="4"/>
  <c r="AL21" i="4"/>
  <c r="AK21" i="4"/>
  <c r="AL20" i="4"/>
  <c r="AK20" i="4"/>
  <c r="AL19" i="4"/>
  <c r="AK19" i="4"/>
  <c r="AL18" i="4"/>
  <c r="AK18" i="4"/>
  <c r="AL17" i="4"/>
  <c r="AK17" i="4"/>
  <c r="AL16" i="4"/>
  <c r="AK16" i="4"/>
  <c r="AL15" i="4"/>
  <c r="AK15" i="4"/>
  <c r="AL14" i="4"/>
  <c r="AK14" i="4"/>
  <c r="AL13" i="4"/>
  <c r="AK13" i="4"/>
  <c r="AL12" i="4"/>
  <c r="AK12" i="4"/>
  <c r="AL11" i="4"/>
  <c r="AK11" i="4"/>
  <c r="AI369" i="4"/>
  <c r="AH369" i="4"/>
  <c r="AI368" i="4"/>
  <c r="AH368" i="4"/>
  <c r="AI367" i="4"/>
  <c r="AH367" i="4"/>
  <c r="AI366" i="4"/>
  <c r="AH366" i="4"/>
  <c r="AI365" i="4"/>
  <c r="AH365" i="4"/>
  <c r="AI364" i="4"/>
  <c r="AH364" i="4"/>
  <c r="AI363" i="4"/>
  <c r="AH363" i="4"/>
  <c r="AI362" i="4"/>
  <c r="AH362" i="4"/>
  <c r="AI361" i="4"/>
  <c r="AH361" i="4"/>
  <c r="AI360" i="4"/>
  <c r="AH360" i="4"/>
  <c r="AI359" i="4"/>
  <c r="AH359" i="4"/>
  <c r="AI358" i="4"/>
  <c r="AH358" i="4"/>
  <c r="AI357" i="4"/>
  <c r="AH357" i="4"/>
  <c r="AI356" i="4"/>
  <c r="AH356" i="4"/>
  <c r="AI355" i="4"/>
  <c r="AH355" i="4"/>
  <c r="AI354" i="4"/>
  <c r="AH354" i="4"/>
  <c r="AI353" i="4"/>
  <c r="AH353" i="4"/>
  <c r="AI352" i="4"/>
  <c r="AH352" i="4"/>
  <c r="AI351" i="4"/>
  <c r="AH351" i="4"/>
  <c r="AI350" i="4"/>
  <c r="AH350" i="4"/>
  <c r="AI349" i="4"/>
  <c r="AH349" i="4"/>
  <c r="AI348" i="4"/>
  <c r="AH348" i="4"/>
  <c r="AI347" i="4"/>
  <c r="AH347" i="4"/>
  <c r="AI346" i="4"/>
  <c r="AH346" i="4"/>
  <c r="AI345" i="4"/>
  <c r="AH345" i="4"/>
  <c r="AI344" i="4"/>
  <c r="AH344" i="4"/>
  <c r="AI343" i="4"/>
  <c r="AH343" i="4"/>
  <c r="AI342" i="4"/>
  <c r="AH342" i="4"/>
  <c r="AI341" i="4"/>
  <c r="AH341" i="4"/>
  <c r="AI340" i="4"/>
  <c r="AH340" i="4"/>
  <c r="AI339" i="4"/>
  <c r="AH339" i="4"/>
  <c r="AI338" i="4"/>
  <c r="AH338" i="4"/>
  <c r="AI337" i="4"/>
  <c r="AH337" i="4"/>
  <c r="AI336" i="4"/>
  <c r="AH336" i="4"/>
  <c r="AI335" i="4"/>
  <c r="AH335" i="4"/>
  <c r="AI334" i="4"/>
  <c r="AH334" i="4"/>
  <c r="AI333" i="4"/>
  <c r="AH333" i="4"/>
  <c r="AI332" i="4"/>
  <c r="AH332" i="4"/>
  <c r="AI331" i="4"/>
  <c r="AH331" i="4"/>
  <c r="AI330" i="4"/>
  <c r="AH330" i="4"/>
  <c r="AI329" i="4"/>
  <c r="AH329" i="4"/>
  <c r="AI328" i="4"/>
  <c r="AH328" i="4"/>
  <c r="AI327" i="4"/>
  <c r="AH327" i="4"/>
  <c r="AI326" i="4"/>
  <c r="AH326" i="4"/>
  <c r="AI325" i="4"/>
  <c r="AH325" i="4"/>
  <c r="AI324" i="4"/>
  <c r="AH324" i="4"/>
  <c r="AI323" i="4"/>
  <c r="AH323" i="4"/>
  <c r="AI322" i="4"/>
  <c r="AH322" i="4"/>
  <c r="AI321" i="4"/>
  <c r="AH321" i="4"/>
  <c r="AI320" i="4"/>
  <c r="AH320" i="4"/>
  <c r="AI319" i="4"/>
  <c r="AH319" i="4"/>
  <c r="AI318" i="4"/>
  <c r="AH318" i="4"/>
  <c r="AI317" i="4"/>
  <c r="AH317" i="4"/>
  <c r="AI316" i="4"/>
  <c r="AH316" i="4"/>
  <c r="AI315" i="4"/>
  <c r="AH315" i="4"/>
  <c r="AI314" i="4"/>
  <c r="AH314" i="4"/>
  <c r="AI313" i="4"/>
  <c r="AH313" i="4"/>
  <c r="AI312" i="4"/>
  <c r="AH312" i="4"/>
  <c r="AI311" i="4"/>
  <c r="AH311" i="4"/>
  <c r="AI310" i="4"/>
  <c r="AH310" i="4"/>
  <c r="AI309" i="4"/>
  <c r="AH309" i="4"/>
  <c r="AI308" i="4"/>
  <c r="AH308" i="4"/>
  <c r="AI307" i="4"/>
  <c r="AH307" i="4"/>
  <c r="AI306" i="4"/>
  <c r="AH306" i="4"/>
  <c r="AI305" i="4"/>
  <c r="AH305" i="4"/>
  <c r="AI304" i="4"/>
  <c r="AH304" i="4"/>
  <c r="AI303" i="4"/>
  <c r="AH303" i="4"/>
  <c r="AI302" i="4"/>
  <c r="AH302" i="4"/>
  <c r="AI301" i="4"/>
  <c r="AH301" i="4"/>
  <c r="AI300" i="4"/>
  <c r="AH300" i="4"/>
  <c r="AI299" i="4"/>
  <c r="AH299" i="4"/>
  <c r="AI298" i="4"/>
  <c r="AH298" i="4"/>
  <c r="AI297" i="4"/>
  <c r="AH297" i="4"/>
  <c r="AI296" i="4"/>
  <c r="AH296" i="4"/>
  <c r="AI295" i="4"/>
  <c r="AH295" i="4"/>
  <c r="AI294" i="4"/>
  <c r="AH294" i="4"/>
  <c r="AI293" i="4"/>
  <c r="AH293" i="4"/>
  <c r="AI292" i="4"/>
  <c r="AH292" i="4"/>
  <c r="AI291" i="4"/>
  <c r="AH291" i="4"/>
  <c r="AI290" i="4"/>
  <c r="AH290" i="4"/>
  <c r="AI289" i="4"/>
  <c r="AH289" i="4"/>
  <c r="AI288" i="4"/>
  <c r="AH288" i="4"/>
  <c r="AI287" i="4"/>
  <c r="AH287" i="4"/>
  <c r="AI286" i="4"/>
  <c r="AH286" i="4"/>
  <c r="AI285" i="4"/>
  <c r="AH285" i="4"/>
  <c r="AI284" i="4"/>
  <c r="AH284" i="4"/>
  <c r="AI283" i="4"/>
  <c r="AH283" i="4"/>
  <c r="AI282" i="4"/>
  <c r="AH282" i="4"/>
  <c r="AI281" i="4"/>
  <c r="AH281" i="4"/>
  <c r="AI280" i="4"/>
  <c r="AH280" i="4"/>
  <c r="AI279" i="4"/>
  <c r="AH279" i="4"/>
  <c r="AI278" i="4"/>
  <c r="AH278" i="4"/>
  <c r="AI277" i="4"/>
  <c r="AH277" i="4"/>
  <c r="AI276" i="4"/>
  <c r="AH276" i="4"/>
  <c r="AI275" i="4"/>
  <c r="AH275" i="4"/>
  <c r="AI274" i="4"/>
  <c r="AH274" i="4"/>
  <c r="AI273" i="4"/>
  <c r="AH273" i="4"/>
  <c r="AI272" i="4"/>
  <c r="AH272" i="4"/>
  <c r="AI271" i="4"/>
  <c r="AH271" i="4"/>
  <c r="AI270" i="4"/>
  <c r="AH270" i="4"/>
  <c r="AI269" i="4"/>
  <c r="AH269" i="4"/>
  <c r="AI268" i="4"/>
  <c r="AH268" i="4"/>
  <c r="AI267" i="4"/>
  <c r="AH267" i="4"/>
  <c r="AI266" i="4"/>
  <c r="AH266" i="4"/>
  <c r="AI265" i="4"/>
  <c r="AH265" i="4"/>
  <c r="AI264" i="4"/>
  <c r="AH264" i="4"/>
  <c r="AI263" i="4"/>
  <c r="AH263" i="4"/>
  <c r="AI262" i="4"/>
  <c r="AH262" i="4"/>
  <c r="AI261" i="4"/>
  <c r="AH261" i="4"/>
  <c r="AI260" i="4"/>
  <c r="AH260" i="4"/>
  <c r="AI259" i="4"/>
  <c r="AH259" i="4"/>
  <c r="AI258" i="4"/>
  <c r="AH258" i="4"/>
  <c r="AI257" i="4"/>
  <c r="AH257" i="4"/>
  <c r="AI256" i="4"/>
  <c r="AH256" i="4"/>
  <c r="AI255" i="4"/>
  <c r="AH255" i="4"/>
  <c r="AI254" i="4"/>
  <c r="AH254" i="4"/>
  <c r="AI253" i="4"/>
  <c r="AH253" i="4"/>
  <c r="AI252" i="4"/>
  <c r="AH252" i="4"/>
  <c r="AI251" i="4"/>
  <c r="AH251" i="4"/>
  <c r="AI250" i="4"/>
  <c r="AH250" i="4"/>
  <c r="AI249" i="4"/>
  <c r="AH249" i="4"/>
  <c r="AI248" i="4"/>
  <c r="AH248" i="4"/>
  <c r="AI247" i="4"/>
  <c r="AH247" i="4"/>
  <c r="AI246" i="4"/>
  <c r="AH246" i="4"/>
  <c r="AI245" i="4"/>
  <c r="AH245" i="4"/>
  <c r="AI244" i="4"/>
  <c r="AH244" i="4"/>
  <c r="AI243" i="4"/>
  <c r="AH243" i="4"/>
  <c r="AI242" i="4"/>
  <c r="AH242" i="4"/>
  <c r="AI241" i="4"/>
  <c r="AH241" i="4"/>
  <c r="AI240" i="4"/>
  <c r="AH240" i="4"/>
  <c r="AI239" i="4"/>
  <c r="AH239" i="4"/>
  <c r="AI238" i="4"/>
  <c r="AH238" i="4"/>
  <c r="AI237" i="4"/>
  <c r="AH237" i="4"/>
  <c r="AI236" i="4"/>
  <c r="AH236" i="4"/>
  <c r="AI235" i="4"/>
  <c r="AH235" i="4"/>
  <c r="AI234" i="4"/>
  <c r="AH234" i="4"/>
  <c r="AI233" i="4"/>
  <c r="AH233" i="4"/>
  <c r="AI232" i="4"/>
  <c r="AH232" i="4"/>
  <c r="AI231" i="4"/>
  <c r="AH231" i="4"/>
  <c r="AI230" i="4"/>
  <c r="AH230" i="4"/>
  <c r="AI229" i="4"/>
  <c r="AH229" i="4"/>
  <c r="AI228" i="4"/>
  <c r="AH228" i="4"/>
  <c r="AI227" i="4"/>
  <c r="AH227" i="4"/>
  <c r="AI226" i="4"/>
  <c r="AH226" i="4"/>
  <c r="AI225" i="4"/>
  <c r="AH225" i="4"/>
  <c r="AI224" i="4"/>
  <c r="AH224" i="4"/>
  <c r="AI223" i="4"/>
  <c r="AH223" i="4"/>
  <c r="AI222" i="4"/>
  <c r="AH222" i="4"/>
  <c r="AI221" i="4"/>
  <c r="AH221" i="4"/>
  <c r="AI220" i="4"/>
  <c r="AH220" i="4"/>
  <c r="AI219" i="4"/>
  <c r="AH219" i="4"/>
  <c r="AI218" i="4"/>
  <c r="AH218" i="4"/>
  <c r="AI217" i="4"/>
  <c r="AH217" i="4"/>
  <c r="AI216" i="4"/>
  <c r="AH216" i="4"/>
  <c r="AI215" i="4"/>
  <c r="AH215" i="4"/>
  <c r="AI214" i="4"/>
  <c r="AH214" i="4"/>
  <c r="AI213" i="4"/>
  <c r="AH213" i="4"/>
  <c r="AI212" i="4"/>
  <c r="AH212" i="4"/>
  <c r="AI211" i="4"/>
  <c r="AH211" i="4"/>
  <c r="AI210" i="4"/>
  <c r="AH210" i="4"/>
  <c r="AI209" i="4"/>
  <c r="AH209" i="4"/>
  <c r="AI208" i="4"/>
  <c r="AH208" i="4"/>
  <c r="AI207" i="4"/>
  <c r="AH207" i="4"/>
  <c r="AI206" i="4"/>
  <c r="AH206" i="4"/>
  <c r="AI205" i="4"/>
  <c r="AH205" i="4"/>
  <c r="AI204" i="4"/>
  <c r="AH204" i="4"/>
  <c r="AI203" i="4"/>
  <c r="AH203" i="4"/>
  <c r="AI202" i="4"/>
  <c r="AH202" i="4"/>
  <c r="AI201" i="4"/>
  <c r="AH201" i="4"/>
  <c r="AI200" i="4"/>
  <c r="AH200" i="4"/>
  <c r="AI199" i="4"/>
  <c r="AH199" i="4"/>
  <c r="AI198" i="4"/>
  <c r="AH198" i="4"/>
  <c r="AI197" i="4"/>
  <c r="AH197" i="4"/>
  <c r="AI196" i="4"/>
  <c r="AH196" i="4"/>
  <c r="AI195" i="4"/>
  <c r="AH195" i="4"/>
  <c r="AI194" i="4"/>
  <c r="AH194" i="4"/>
  <c r="AI193" i="4"/>
  <c r="AH193" i="4"/>
  <c r="AI192" i="4"/>
  <c r="AH192" i="4"/>
  <c r="AI191" i="4"/>
  <c r="AH191" i="4"/>
  <c r="AI190" i="4"/>
  <c r="AH190" i="4"/>
  <c r="AI189" i="4"/>
  <c r="AH189" i="4"/>
  <c r="AI188" i="4"/>
  <c r="AH188" i="4"/>
  <c r="AI187" i="4"/>
  <c r="AH187" i="4"/>
  <c r="AI186" i="4"/>
  <c r="AH186" i="4"/>
  <c r="AI185" i="4"/>
  <c r="AH185" i="4"/>
  <c r="AI184" i="4"/>
  <c r="AH184" i="4"/>
  <c r="AI183" i="4"/>
  <c r="AH183" i="4"/>
  <c r="AI182" i="4"/>
  <c r="AH182" i="4"/>
  <c r="AI181" i="4"/>
  <c r="AH181" i="4"/>
  <c r="AI180" i="4"/>
  <c r="AH180" i="4"/>
  <c r="AI179" i="4"/>
  <c r="AH179" i="4"/>
  <c r="AI178" i="4"/>
  <c r="AH178" i="4"/>
  <c r="AI177" i="4"/>
  <c r="AH177" i="4"/>
  <c r="AI176" i="4"/>
  <c r="AH176" i="4"/>
  <c r="AI175" i="4"/>
  <c r="AH175" i="4"/>
  <c r="AI174" i="4"/>
  <c r="AH174" i="4"/>
  <c r="AI173" i="4"/>
  <c r="AH173" i="4"/>
  <c r="AI172" i="4"/>
  <c r="AH172" i="4"/>
  <c r="AI171" i="4"/>
  <c r="AH171" i="4"/>
  <c r="AI170" i="4"/>
  <c r="AH170" i="4"/>
  <c r="AI169" i="4"/>
  <c r="AH169" i="4"/>
  <c r="AI168" i="4"/>
  <c r="AH168" i="4"/>
  <c r="AI167" i="4"/>
  <c r="AH167" i="4"/>
  <c r="AI166" i="4"/>
  <c r="AH166" i="4"/>
  <c r="AI165" i="4"/>
  <c r="AH165" i="4"/>
  <c r="AI164" i="4"/>
  <c r="AH164" i="4"/>
  <c r="AI163" i="4"/>
  <c r="AH163" i="4"/>
  <c r="AI162" i="4"/>
  <c r="AH162" i="4"/>
  <c r="AI161" i="4"/>
  <c r="AH161" i="4"/>
  <c r="AI160" i="4"/>
  <c r="AH160" i="4"/>
  <c r="AI159" i="4"/>
  <c r="AH159" i="4"/>
  <c r="AI158" i="4"/>
  <c r="AH158" i="4"/>
  <c r="AI157" i="4"/>
  <c r="AH157" i="4"/>
  <c r="AI156" i="4"/>
  <c r="AH156" i="4"/>
  <c r="AI155" i="4"/>
  <c r="AH155" i="4"/>
  <c r="AI154" i="4"/>
  <c r="AH154" i="4"/>
  <c r="AI153" i="4"/>
  <c r="AH153" i="4"/>
  <c r="AI152" i="4"/>
  <c r="AH152" i="4"/>
  <c r="AI151" i="4"/>
  <c r="AH151" i="4"/>
  <c r="AI150" i="4"/>
  <c r="AH150" i="4"/>
  <c r="AI149" i="4"/>
  <c r="AH149" i="4"/>
  <c r="AI148" i="4"/>
  <c r="AH148" i="4"/>
  <c r="AI147" i="4"/>
  <c r="AH147" i="4"/>
  <c r="AI146" i="4"/>
  <c r="AH146" i="4"/>
  <c r="AI145" i="4"/>
  <c r="AH145" i="4"/>
  <c r="AI144" i="4"/>
  <c r="AH144" i="4"/>
  <c r="AI143" i="4"/>
  <c r="AH143" i="4"/>
  <c r="AI142" i="4"/>
  <c r="AH142" i="4"/>
  <c r="AI141" i="4"/>
  <c r="AH141" i="4"/>
  <c r="AI140" i="4"/>
  <c r="AH140" i="4"/>
  <c r="AI139" i="4"/>
  <c r="AH139" i="4"/>
  <c r="AI138" i="4"/>
  <c r="AH138" i="4"/>
  <c r="AI137" i="4"/>
  <c r="AH137" i="4"/>
  <c r="AI136" i="4"/>
  <c r="AH136" i="4"/>
  <c r="AI135" i="4"/>
  <c r="AH135" i="4"/>
  <c r="AI134" i="4"/>
  <c r="AH134" i="4"/>
  <c r="AI133" i="4"/>
  <c r="AH133" i="4"/>
  <c r="AI132" i="4"/>
  <c r="AH132" i="4"/>
  <c r="AI131" i="4"/>
  <c r="AH131" i="4"/>
  <c r="AI130" i="4"/>
  <c r="AH130" i="4"/>
  <c r="AI129" i="4"/>
  <c r="AH129" i="4"/>
  <c r="AI128" i="4"/>
  <c r="AH128" i="4"/>
  <c r="AI127" i="4"/>
  <c r="AH127" i="4"/>
  <c r="AI126" i="4"/>
  <c r="AH126" i="4"/>
  <c r="AI125" i="4"/>
  <c r="AH125" i="4"/>
  <c r="AI124" i="4"/>
  <c r="AH124" i="4"/>
  <c r="AI123" i="4"/>
  <c r="AH123" i="4"/>
  <c r="AI122" i="4"/>
  <c r="AH122" i="4"/>
  <c r="AI121" i="4"/>
  <c r="AH121" i="4"/>
  <c r="AI120" i="4"/>
  <c r="AH120" i="4"/>
  <c r="AI119" i="4"/>
  <c r="AH119" i="4"/>
  <c r="AI118" i="4"/>
  <c r="AH118" i="4"/>
  <c r="AI117" i="4"/>
  <c r="AH117" i="4"/>
  <c r="AI116" i="4"/>
  <c r="AH116" i="4"/>
  <c r="AI115" i="4"/>
  <c r="AH115" i="4"/>
  <c r="AI114" i="4"/>
  <c r="AH114" i="4"/>
  <c r="AI113" i="4"/>
  <c r="AH113" i="4"/>
  <c r="AI112" i="4"/>
  <c r="AH112" i="4"/>
  <c r="AI111" i="4"/>
  <c r="AH111" i="4"/>
  <c r="AI110" i="4"/>
  <c r="AH110" i="4"/>
  <c r="AI109" i="4"/>
  <c r="AH109" i="4"/>
  <c r="AI108" i="4"/>
  <c r="AH108" i="4"/>
  <c r="AI107" i="4"/>
  <c r="AH107" i="4"/>
  <c r="AI106" i="4"/>
  <c r="AH106" i="4"/>
  <c r="AI105" i="4"/>
  <c r="AH105" i="4"/>
  <c r="AI104" i="4"/>
  <c r="AH104" i="4"/>
  <c r="AI103" i="4"/>
  <c r="AH103" i="4"/>
  <c r="AI102" i="4"/>
  <c r="AH102" i="4"/>
  <c r="AI101" i="4"/>
  <c r="AH101" i="4"/>
  <c r="AI100" i="4"/>
  <c r="AH100" i="4"/>
  <c r="AI99" i="4"/>
  <c r="AH99" i="4"/>
  <c r="AI98" i="4"/>
  <c r="AH98" i="4"/>
  <c r="AI97" i="4"/>
  <c r="AH97" i="4"/>
  <c r="AI96" i="4"/>
  <c r="AH96" i="4"/>
  <c r="AI95" i="4"/>
  <c r="AH95" i="4"/>
  <c r="AI94" i="4"/>
  <c r="AH94" i="4"/>
  <c r="AI93" i="4"/>
  <c r="AH93" i="4"/>
  <c r="AI92" i="4"/>
  <c r="AH92" i="4"/>
  <c r="AI91" i="4"/>
  <c r="AH91" i="4"/>
  <c r="AI90" i="4"/>
  <c r="AH90" i="4"/>
  <c r="AI89" i="4"/>
  <c r="AH89" i="4"/>
  <c r="AI88" i="4"/>
  <c r="AH88" i="4"/>
  <c r="AI87" i="4"/>
  <c r="AH87" i="4"/>
  <c r="AI86" i="4"/>
  <c r="AH86" i="4"/>
  <c r="AI85" i="4"/>
  <c r="AH85" i="4"/>
  <c r="AI84" i="4"/>
  <c r="AH84" i="4"/>
  <c r="AI83" i="4"/>
  <c r="AH83" i="4"/>
  <c r="AI82" i="4"/>
  <c r="AH82" i="4"/>
  <c r="AI81" i="4"/>
  <c r="AH81" i="4"/>
  <c r="AI80" i="4"/>
  <c r="AH80" i="4"/>
  <c r="AI79" i="4"/>
  <c r="AH79" i="4"/>
  <c r="AI78" i="4"/>
  <c r="AH78" i="4"/>
  <c r="AI77" i="4"/>
  <c r="AH77" i="4"/>
  <c r="AI76" i="4"/>
  <c r="AH76" i="4"/>
  <c r="AI75" i="4"/>
  <c r="AH75" i="4"/>
  <c r="AI74" i="4"/>
  <c r="AH74" i="4"/>
  <c r="AI73" i="4"/>
  <c r="AH73" i="4"/>
  <c r="AI72" i="4"/>
  <c r="AH72" i="4"/>
  <c r="AI71" i="4"/>
  <c r="AH71" i="4"/>
  <c r="AI70" i="4"/>
  <c r="AH70" i="4"/>
  <c r="AI69" i="4"/>
  <c r="AH69" i="4"/>
  <c r="AI68" i="4"/>
  <c r="AH68" i="4"/>
  <c r="AI67" i="4"/>
  <c r="AH67" i="4"/>
  <c r="AI66" i="4"/>
  <c r="AH66" i="4"/>
  <c r="AI65" i="4"/>
  <c r="AH65" i="4"/>
  <c r="AI64" i="4"/>
  <c r="AH64" i="4"/>
  <c r="AI63" i="4"/>
  <c r="AH63" i="4"/>
  <c r="AI62" i="4"/>
  <c r="AH62" i="4"/>
  <c r="AI61" i="4"/>
  <c r="AH61" i="4"/>
  <c r="AI60" i="4"/>
  <c r="AH60" i="4"/>
  <c r="AI59" i="4"/>
  <c r="AH59" i="4"/>
  <c r="AI58" i="4"/>
  <c r="AH58" i="4"/>
  <c r="AI57" i="4"/>
  <c r="AH57" i="4"/>
  <c r="AI56" i="4"/>
  <c r="AH56" i="4"/>
  <c r="AI55" i="4"/>
  <c r="AH55" i="4"/>
  <c r="AI54" i="4"/>
  <c r="AH54" i="4"/>
  <c r="AI53" i="4"/>
  <c r="AH53" i="4"/>
  <c r="AI52" i="4"/>
  <c r="AH52" i="4"/>
  <c r="AI51" i="4"/>
  <c r="AH51" i="4"/>
  <c r="AI50" i="4"/>
  <c r="AH50" i="4"/>
  <c r="AI49" i="4"/>
  <c r="AH49" i="4"/>
  <c r="AI48" i="4"/>
  <c r="AH48" i="4"/>
  <c r="AI47" i="4"/>
  <c r="AH47" i="4"/>
  <c r="AI46" i="4"/>
  <c r="AH46" i="4"/>
  <c r="AI45" i="4"/>
  <c r="AH45" i="4"/>
  <c r="AI44" i="4"/>
  <c r="AH44" i="4"/>
  <c r="AI43" i="4"/>
  <c r="AH43" i="4"/>
  <c r="AI42" i="4"/>
  <c r="AH42" i="4"/>
  <c r="AI41" i="4"/>
  <c r="AH41" i="4"/>
  <c r="AI40" i="4"/>
  <c r="AH40" i="4"/>
  <c r="AI39" i="4"/>
  <c r="AH39" i="4"/>
  <c r="AI38" i="4"/>
  <c r="AH38" i="4"/>
  <c r="AI37" i="4"/>
  <c r="AH37" i="4"/>
  <c r="AI36" i="4"/>
  <c r="AH36" i="4"/>
  <c r="AI35" i="4"/>
  <c r="AH35" i="4"/>
  <c r="AI34" i="4"/>
  <c r="AH34" i="4"/>
  <c r="AI33" i="4"/>
  <c r="AH33" i="4"/>
  <c r="AI32" i="4"/>
  <c r="AH32" i="4"/>
  <c r="AI31" i="4"/>
  <c r="AH31" i="4"/>
  <c r="AI30" i="4"/>
  <c r="AH30" i="4"/>
  <c r="AI29" i="4"/>
  <c r="AH29" i="4"/>
  <c r="AI28" i="4"/>
  <c r="AH28" i="4"/>
  <c r="AI27" i="4"/>
  <c r="AH27" i="4"/>
  <c r="AI26" i="4"/>
  <c r="AH26" i="4"/>
  <c r="AI25" i="4"/>
  <c r="AH25" i="4"/>
  <c r="AI24" i="4"/>
  <c r="AH24" i="4"/>
  <c r="AI23" i="4"/>
  <c r="AH23" i="4"/>
  <c r="AI22" i="4"/>
  <c r="AH22" i="4"/>
  <c r="AI21" i="4"/>
  <c r="AH21" i="4"/>
  <c r="AI20" i="4"/>
  <c r="AH20" i="4"/>
  <c r="AI19" i="4"/>
  <c r="AH19" i="4"/>
  <c r="AI18" i="4"/>
  <c r="AH18" i="4"/>
  <c r="AI17" i="4"/>
  <c r="AH17" i="4"/>
  <c r="AI16" i="4"/>
  <c r="AH16" i="4"/>
  <c r="AI15" i="4"/>
  <c r="AH15" i="4"/>
  <c r="AI14" i="4"/>
  <c r="AH14" i="4"/>
  <c r="AI13" i="4"/>
  <c r="AH13" i="4"/>
  <c r="AI12" i="4"/>
  <c r="AH12" i="4"/>
  <c r="AI11" i="4"/>
  <c r="AH11" i="4"/>
  <c r="AF369" i="4"/>
  <c r="AE369" i="4"/>
  <c r="AF368" i="4"/>
  <c r="AE368" i="4"/>
  <c r="AF367" i="4"/>
  <c r="AE367" i="4"/>
  <c r="AF366" i="4"/>
  <c r="AE366" i="4"/>
  <c r="AF365" i="4"/>
  <c r="AE365" i="4"/>
  <c r="AF364" i="4"/>
  <c r="AE364" i="4"/>
  <c r="AF363" i="4"/>
  <c r="AE363" i="4"/>
  <c r="AF362" i="4"/>
  <c r="AE362" i="4"/>
  <c r="AF361" i="4"/>
  <c r="AE361" i="4"/>
  <c r="AF360" i="4"/>
  <c r="AE360" i="4"/>
  <c r="AF359" i="4"/>
  <c r="AE359" i="4"/>
  <c r="AF358" i="4"/>
  <c r="AE358" i="4"/>
  <c r="AF357" i="4"/>
  <c r="AE357" i="4"/>
  <c r="AF356" i="4"/>
  <c r="AE356" i="4"/>
  <c r="AF355" i="4"/>
  <c r="AE355" i="4"/>
  <c r="AF354" i="4"/>
  <c r="AE354" i="4"/>
  <c r="AF353" i="4"/>
  <c r="AE353" i="4"/>
  <c r="AF352" i="4"/>
  <c r="AE352" i="4"/>
  <c r="AF351" i="4"/>
  <c r="AE351" i="4"/>
  <c r="AF350" i="4"/>
  <c r="AE350" i="4"/>
  <c r="AF349" i="4"/>
  <c r="AE349" i="4"/>
  <c r="AF348" i="4"/>
  <c r="AE348" i="4"/>
  <c r="AF347" i="4"/>
  <c r="AE347" i="4"/>
  <c r="AF346" i="4"/>
  <c r="AE346" i="4"/>
  <c r="AF345" i="4"/>
  <c r="AE345" i="4"/>
  <c r="AF344" i="4"/>
  <c r="AE344" i="4"/>
  <c r="AF343" i="4"/>
  <c r="AE343" i="4"/>
  <c r="AF342" i="4"/>
  <c r="AE342" i="4"/>
  <c r="AF341" i="4"/>
  <c r="AE341" i="4"/>
  <c r="AF340" i="4"/>
  <c r="AE340" i="4"/>
  <c r="AF339" i="4"/>
  <c r="AE339" i="4"/>
  <c r="AF338" i="4"/>
  <c r="AE338" i="4"/>
  <c r="AF337" i="4"/>
  <c r="AE337" i="4"/>
  <c r="AF336" i="4"/>
  <c r="AE336" i="4"/>
  <c r="AF335" i="4"/>
  <c r="AE335" i="4"/>
  <c r="AF334" i="4"/>
  <c r="AE334" i="4"/>
  <c r="AF333" i="4"/>
  <c r="AE333" i="4"/>
  <c r="AF332" i="4"/>
  <c r="AE332" i="4"/>
  <c r="AF331" i="4"/>
  <c r="AE331" i="4"/>
  <c r="AF330" i="4"/>
  <c r="AE330" i="4"/>
  <c r="AF329" i="4"/>
  <c r="AE329" i="4"/>
  <c r="AF328" i="4"/>
  <c r="AE328" i="4"/>
  <c r="AF327" i="4"/>
  <c r="AE327" i="4"/>
  <c r="AF326" i="4"/>
  <c r="AE326" i="4"/>
  <c r="AF325" i="4"/>
  <c r="AE325" i="4"/>
  <c r="AF324" i="4"/>
  <c r="AE324" i="4"/>
  <c r="AF323" i="4"/>
  <c r="AE323" i="4"/>
  <c r="AF322" i="4"/>
  <c r="AE322" i="4"/>
  <c r="AF321" i="4"/>
  <c r="AE321" i="4"/>
  <c r="AF320" i="4"/>
  <c r="AE320" i="4"/>
  <c r="AF319" i="4"/>
  <c r="AE319" i="4"/>
  <c r="AF318" i="4"/>
  <c r="AE318" i="4"/>
  <c r="AF317" i="4"/>
  <c r="AE317" i="4"/>
  <c r="AF316" i="4"/>
  <c r="AE316" i="4"/>
  <c r="AF315" i="4"/>
  <c r="AE315" i="4"/>
  <c r="AF314" i="4"/>
  <c r="AE314" i="4"/>
  <c r="AF313" i="4"/>
  <c r="AE313" i="4"/>
  <c r="AF312" i="4"/>
  <c r="AE312" i="4"/>
  <c r="AF311" i="4"/>
  <c r="AE311" i="4"/>
  <c r="AF310" i="4"/>
  <c r="AE310" i="4"/>
  <c r="AF309" i="4"/>
  <c r="AE309" i="4"/>
  <c r="AF308" i="4"/>
  <c r="AE308" i="4"/>
  <c r="AF307" i="4"/>
  <c r="AE307" i="4"/>
  <c r="AF306" i="4"/>
  <c r="AE306" i="4"/>
  <c r="AF305" i="4"/>
  <c r="AE305" i="4"/>
  <c r="AF304" i="4"/>
  <c r="AE304" i="4"/>
  <c r="AF303" i="4"/>
  <c r="AE303" i="4"/>
  <c r="AF302" i="4"/>
  <c r="AE302" i="4"/>
  <c r="AF301" i="4"/>
  <c r="AE301" i="4"/>
  <c r="AF300" i="4"/>
  <c r="AE300" i="4"/>
  <c r="AF299" i="4"/>
  <c r="AE299" i="4"/>
  <c r="AF298" i="4"/>
  <c r="AE298" i="4"/>
  <c r="AF297" i="4"/>
  <c r="AE297" i="4"/>
  <c r="AF296" i="4"/>
  <c r="AE296" i="4"/>
  <c r="AF295" i="4"/>
  <c r="AE295" i="4"/>
  <c r="AF294" i="4"/>
  <c r="AE294" i="4"/>
  <c r="AF293" i="4"/>
  <c r="AE293" i="4"/>
  <c r="AF292" i="4"/>
  <c r="AE292" i="4"/>
  <c r="AF291" i="4"/>
  <c r="AE291" i="4"/>
  <c r="AF290" i="4"/>
  <c r="AE290" i="4"/>
  <c r="AF289" i="4"/>
  <c r="AE289" i="4"/>
  <c r="AF288" i="4"/>
  <c r="AE288" i="4"/>
  <c r="AF287" i="4"/>
  <c r="AE287" i="4"/>
  <c r="AF286" i="4"/>
  <c r="AE286" i="4"/>
  <c r="AF285" i="4"/>
  <c r="AE285" i="4"/>
  <c r="AF284" i="4"/>
  <c r="AE284" i="4"/>
  <c r="AF283" i="4"/>
  <c r="AE283" i="4"/>
  <c r="AF282" i="4"/>
  <c r="AE282" i="4"/>
  <c r="AF281" i="4"/>
  <c r="AE281" i="4"/>
  <c r="AF280" i="4"/>
  <c r="AE280" i="4"/>
  <c r="AF279" i="4"/>
  <c r="AE279" i="4"/>
  <c r="AF278" i="4"/>
  <c r="AE278" i="4"/>
  <c r="AF277" i="4"/>
  <c r="AE277" i="4"/>
  <c r="AF276" i="4"/>
  <c r="AE276" i="4"/>
  <c r="AF275" i="4"/>
  <c r="AE275" i="4"/>
  <c r="AF274" i="4"/>
  <c r="AE274" i="4"/>
  <c r="AF273" i="4"/>
  <c r="AE273" i="4"/>
  <c r="AF272" i="4"/>
  <c r="AE272" i="4"/>
  <c r="AF271" i="4"/>
  <c r="AE271" i="4"/>
  <c r="AF270" i="4"/>
  <c r="AE270" i="4"/>
  <c r="AF269" i="4"/>
  <c r="AE269" i="4"/>
  <c r="AF268" i="4"/>
  <c r="AE268" i="4"/>
  <c r="AF267" i="4"/>
  <c r="AE267" i="4"/>
  <c r="AF266" i="4"/>
  <c r="AE266" i="4"/>
  <c r="AF265" i="4"/>
  <c r="AE265" i="4"/>
  <c r="AF264" i="4"/>
  <c r="AE264" i="4"/>
  <c r="AF263" i="4"/>
  <c r="AE263" i="4"/>
  <c r="AF262" i="4"/>
  <c r="AE262" i="4"/>
  <c r="AF261" i="4"/>
  <c r="AE261" i="4"/>
  <c r="AF260" i="4"/>
  <c r="AE260" i="4"/>
  <c r="AF259" i="4"/>
  <c r="AE259" i="4"/>
  <c r="AF258" i="4"/>
  <c r="AE258" i="4"/>
  <c r="AF257" i="4"/>
  <c r="AE257" i="4"/>
  <c r="AF256" i="4"/>
  <c r="AE256" i="4"/>
  <c r="AF255" i="4"/>
  <c r="AE255" i="4"/>
  <c r="AF254" i="4"/>
  <c r="AE254" i="4"/>
  <c r="AF253" i="4"/>
  <c r="AE253" i="4"/>
  <c r="AF252" i="4"/>
  <c r="AE252" i="4"/>
  <c r="AF251" i="4"/>
  <c r="AE251" i="4"/>
  <c r="AF250" i="4"/>
  <c r="AE250" i="4"/>
  <c r="AF249" i="4"/>
  <c r="AE249" i="4"/>
  <c r="AF248" i="4"/>
  <c r="AE248" i="4"/>
  <c r="AF247" i="4"/>
  <c r="AE247" i="4"/>
  <c r="AF246" i="4"/>
  <c r="AE246" i="4"/>
  <c r="AF245" i="4"/>
  <c r="AE245" i="4"/>
  <c r="AF244" i="4"/>
  <c r="AE244" i="4"/>
  <c r="AF243" i="4"/>
  <c r="AE243" i="4"/>
  <c r="AF242" i="4"/>
  <c r="AE242" i="4"/>
  <c r="AF241" i="4"/>
  <c r="AE241" i="4"/>
  <c r="AF240" i="4"/>
  <c r="AE240" i="4"/>
  <c r="AF239" i="4"/>
  <c r="AE239" i="4"/>
  <c r="AF238" i="4"/>
  <c r="AE238" i="4"/>
  <c r="AF237" i="4"/>
  <c r="AE237" i="4"/>
  <c r="AF236" i="4"/>
  <c r="AE236" i="4"/>
  <c r="AF235" i="4"/>
  <c r="AE235" i="4"/>
  <c r="AF234" i="4"/>
  <c r="AE234" i="4"/>
  <c r="AF233" i="4"/>
  <c r="AE233" i="4"/>
  <c r="AF232" i="4"/>
  <c r="AE232" i="4"/>
  <c r="AF231" i="4"/>
  <c r="AE231" i="4"/>
  <c r="AF230" i="4"/>
  <c r="AE230" i="4"/>
  <c r="AF229" i="4"/>
  <c r="AE229" i="4"/>
  <c r="AF228" i="4"/>
  <c r="AE228" i="4"/>
  <c r="AF227" i="4"/>
  <c r="AE227" i="4"/>
  <c r="AF226" i="4"/>
  <c r="AE226" i="4"/>
  <c r="AF225" i="4"/>
  <c r="AE225" i="4"/>
  <c r="AF224" i="4"/>
  <c r="AE224" i="4"/>
  <c r="AF223" i="4"/>
  <c r="AE223" i="4"/>
  <c r="AF222" i="4"/>
  <c r="AE222" i="4"/>
  <c r="AF221" i="4"/>
  <c r="AE221" i="4"/>
  <c r="AF220" i="4"/>
  <c r="AE220" i="4"/>
  <c r="AF219" i="4"/>
  <c r="AE219" i="4"/>
  <c r="AF218" i="4"/>
  <c r="AE218" i="4"/>
  <c r="AF217" i="4"/>
  <c r="AE217" i="4"/>
  <c r="AF216" i="4"/>
  <c r="AE216" i="4"/>
  <c r="AF215" i="4"/>
  <c r="AE215" i="4"/>
  <c r="AF214" i="4"/>
  <c r="AE214" i="4"/>
  <c r="AF213" i="4"/>
  <c r="AE213" i="4"/>
  <c r="AF212" i="4"/>
  <c r="AE212" i="4"/>
  <c r="AF211" i="4"/>
  <c r="AE211" i="4"/>
  <c r="AF210" i="4"/>
  <c r="AE210" i="4"/>
  <c r="AF209" i="4"/>
  <c r="AE209" i="4"/>
  <c r="AF208" i="4"/>
  <c r="AE208" i="4"/>
  <c r="AF207" i="4"/>
  <c r="AE207" i="4"/>
  <c r="AF206" i="4"/>
  <c r="AE206" i="4"/>
  <c r="AF205" i="4"/>
  <c r="AE205" i="4"/>
  <c r="AF204" i="4"/>
  <c r="AE204" i="4"/>
  <c r="AF203" i="4"/>
  <c r="AE203" i="4"/>
  <c r="AF202" i="4"/>
  <c r="AE202" i="4"/>
  <c r="AF201" i="4"/>
  <c r="AE201" i="4"/>
  <c r="AF200" i="4"/>
  <c r="AE200" i="4"/>
  <c r="AF199" i="4"/>
  <c r="AE199" i="4"/>
  <c r="AF198" i="4"/>
  <c r="AE198" i="4"/>
  <c r="AF197" i="4"/>
  <c r="AE197" i="4"/>
  <c r="AF196" i="4"/>
  <c r="AE196" i="4"/>
  <c r="AF195" i="4"/>
  <c r="AE195" i="4"/>
  <c r="AF194" i="4"/>
  <c r="AE194" i="4"/>
  <c r="AF193" i="4"/>
  <c r="AE193" i="4"/>
  <c r="AF192" i="4"/>
  <c r="AE192" i="4"/>
  <c r="AF191" i="4"/>
  <c r="AE191" i="4"/>
  <c r="AF190" i="4"/>
  <c r="AE190" i="4"/>
  <c r="AF189" i="4"/>
  <c r="AE189" i="4"/>
  <c r="AF188" i="4"/>
  <c r="AE188" i="4"/>
  <c r="AF187" i="4"/>
  <c r="AE187" i="4"/>
  <c r="AF186" i="4"/>
  <c r="AE186" i="4"/>
  <c r="AF185" i="4"/>
  <c r="AE185" i="4"/>
  <c r="AF184" i="4"/>
  <c r="AE184" i="4"/>
  <c r="AF183" i="4"/>
  <c r="AE183" i="4"/>
  <c r="AF182" i="4"/>
  <c r="AE182" i="4"/>
  <c r="AF181" i="4"/>
  <c r="AE181" i="4"/>
  <c r="AF180" i="4"/>
  <c r="AE180" i="4"/>
  <c r="AF179" i="4"/>
  <c r="AE179" i="4"/>
  <c r="AF178" i="4"/>
  <c r="AE178" i="4"/>
  <c r="AF177" i="4"/>
  <c r="AE177" i="4"/>
  <c r="AF176" i="4"/>
  <c r="AE176" i="4"/>
  <c r="AF175" i="4"/>
  <c r="AE175" i="4"/>
  <c r="AF174" i="4"/>
  <c r="AE174" i="4"/>
  <c r="AF173" i="4"/>
  <c r="AE173" i="4"/>
  <c r="AF172" i="4"/>
  <c r="AE172" i="4"/>
  <c r="AF171" i="4"/>
  <c r="AE171" i="4"/>
  <c r="AF170" i="4"/>
  <c r="AE170" i="4"/>
  <c r="AF169" i="4"/>
  <c r="AE169" i="4"/>
  <c r="AF168" i="4"/>
  <c r="AE168" i="4"/>
  <c r="AF167" i="4"/>
  <c r="AE167" i="4"/>
  <c r="AF166" i="4"/>
  <c r="AE166" i="4"/>
  <c r="AF165" i="4"/>
  <c r="AE165" i="4"/>
  <c r="AF164" i="4"/>
  <c r="AE164" i="4"/>
  <c r="AF163" i="4"/>
  <c r="AE163" i="4"/>
  <c r="AF162" i="4"/>
  <c r="AE162" i="4"/>
  <c r="AF161" i="4"/>
  <c r="AE161" i="4"/>
  <c r="AF160" i="4"/>
  <c r="AE160" i="4"/>
  <c r="AF159" i="4"/>
  <c r="AE159" i="4"/>
  <c r="AF158" i="4"/>
  <c r="AE158" i="4"/>
  <c r="AF157" i="4"/>
  <c r="AE157" i="4"/>
  <c r="AF156" i="4"/>
  <c r="AE156" i="4"/>
  <c r="AF155" i="4"/>
  <c r="AE155" i="4"/>
  <c r="AF154" i="4"/>
  <c r="AE154" i="4"/>
  <c r="AF153" i="4"/>
  <c r="AE153" i="4"/>
  <c r="AF152" i="4"/>
  <c r="AE152" i="4"/>
  <c r="AF151" i="4"/>
  <c r="AE151" i="4"/>
  <c r="AF150" i="4"/>
  <c r="AE150" i="4"/>
  <c r="AF149" i="4"/>
  <c r="AE149" i="4"/>
  <c r="AF148" i="4"/>
  <c r="AE148" i="4"/>
  <c r="AF147" i="4"/>
  <c r="AE147" i="4"/>
  <c r="AF146" i="4"/>
  <c r="AE146" i="4"/>
  <c r="AF145" i="4"/>
  <c r="AE145" i="4"/>
  <c r="AF144" i="4"/>
  <c r="AE144" i="4"/>
  <c r="AF143" i="4"/>
  <c r="AE143" i="4"/>
  <c r="AF142" i="4"/>
  <c r="AE142" i="4"/>
  <c r="AF141" i="4"/>
  <c r="AE141" i="4"/>
  <c r="AF140" i="4"/>
  <c r="AE140" i="4"/>
  <c r="AF139" i="4"/>
  <c r="AE139" i="4"/>
  <c r="AF138" i="4"/>
  <c r="AE138" i="4"/>
  <c r="AF137" i="4"/>
  <c r="AE137" i="4"/>
  <c r="AF136" i="4"/>
  <c r="AE136" i="4"/>
  <c r="AF135" i="4"/>
  <c r="AE135" i="4"/>
  <c r="AF134" i="4"/>
  <c r="AE134" i="4"/>
  <c r="AF133" i="4"/>
  <c r="AE133" i="4"/>
  <c r="AF132" i="4"/>
  <c r="AE132" i="4"/>
  <c r="AF131" i="4"/>
  <c r="AE131" i="4"/>
  <c r="AF130" i="4"/>
  <c r="AE130" i="4"/>
  <c r="AF129" i="4"/>
  <c r="AE129" i="4"/>
  <c r="AF128" i="4"/>
  <c r="AE128" i="4"/>
  <c r="AF127" i="4"/>
  <c r="AE127" i="4"/>
  <c r="AF126" i="4"/>
  <c r="AE126" i="4"/>
  <c r="AF125" i="4"/>
  <c r="AE125" i="4"/>
  <c r="AF124" i="4"/>
  <c r="AE124" i="4"/>
  <c r="AF123" i="4"/>
  <c r="AE123" i="4"/>
  <c r="AF122" i="4"/>
  <c r="AE122" i="4"/>
  <c r="AF121" i="4"/>
  <c r="AE121" i="4"/>
  <c r="AF120" i="4"/>
  <c r="AE120" i="4"/>
  <c r="AF119" i="4"/>
  <c r="AE119" i="4"/>
  <c r="AF118" i="4"/>
  <c r="AE118" i="4"/>
  <c r="AF117" i="4"/>
  <c r="AE117" i="4"/>
  <c r="AF116" i="4"/>
  <c r="AE116" i="4"/>
  <c r="AF115" i="4"/>
  <c r="AE115" i="4"/>
  <c r="AF114" i="4"/>
  <c r="AE114" i="4"/>
  <c r="AF113" i="4"/>
  <c r="AE113" i="4"/>
  <c r="AF112" i="4"/>
  <c r="AE112" i="4"/>
  <c r="AF111" i="4"/>
  <c r="AE111" i="4"/>
  <c r="AF110" i="4"/>
  <c r="AE110" i="4"/>
  <c r="AF109" i="4"/>
  <c r="AE109" i="4"/>
  <c r="AF108" i="4"/>
  <c r="AE108" i="4"/>
  <c r="AF107" i="4"/>
  <c r="AE107" i="4"/>
  <c r="AF106" i="4"/>
  <c r="AE106" i="4"/>
  <c r="AF105" i="4"/>
  <c r="AE105" i="4"/>
  <c r="AF104" i="4"/>
  <c r="AE104" i="4"/>
  <c r="AF103" i="4"/>
  <c r="AE103" i="4"/>
  <c r="AF102" i="4"/>
  <c r="AE102" i="4"/>
  <c r="AF101" i="4"/>
  <c r="AE101" i="4"/>
  <c r="AF100" i="4"/>
  <c r="AE100" i="4"/>
  <c r="AF99" i="4"/>
  <c r="AE99" i="4"/>
  <c r="AF98" i="4"/>
  <c r="AE98" i="4"/>
  <c r="AF97" i="4"/>
  <c r="AE97" i="4"/>
  <c r="AF96" i="4"/>
  <c r="AE96" i="4"/>
  <c r="AF95" i="4"/>
  <c r="AE95" i="4"/>
  <c r="AF94" i="4"/>
  <c r="AE94" i="4"/>
  <c r="AF93" i="4"/>
  <c r="AE93" i="4"/>
  <c r="AF92" i="4"/>
  <c r="AE92" i="4"/>
  <c r="AF91" i="4"/>
  <c r="AE91" i="4"/>
  <c r="AF90" i="4"/>
  <c r="AE90" i="4"/>
  <c r="AF89" i="4"/>
  <c r="AE89" i="4"/>
  <c r="AF88" i="4"/>
  <c r="AE88" i="4"/>
  <c r="AF87" i="4"/>
  <c r="AE87" i="4"/>
  <c r="AF86" i="4"/>
  <c r="AE86" i="4"/>
  <c r="AF85" i="4"/>
  <c r="AE85" i="4"/>
  <c r="AF84" i="4"/>
  <c r="AE84" i="4"/>
  <c r="AF83" i="4"/>
  <c r="AE83" i="4"/>
  <c r="AF82" i="4"/>
  <c r="AE82" i="4"/>
  <c r="AF81" i="4"/>
  <c r="AE81" i="4"/>
  <c r="AF80" i="4"/>
  <c r="AE80" i="4"/>
  <c r="AF79" i="4"/>
  <c r="AE79" i="4"/>
  <c r="AF78" i="4"/>
  <c r="AE78" i="4"/>
  <c r="AF77" i="4"/>
  <c r="AE77" i="4"/>
  <c r="AF76" i="4"/>
  <c r="AE76" i="4"/>
  <c r="AF75" i="4"/>
  <c r="AE75" i="4"/>
  <c r="AF74" i="4"/>
  <c r="AE74" i="4"/>
  <c r="AF73" i="4"/>
  <c r="AE73" i="4"/>
  <c r="AF72" i="4"/>
  <c r="AE72" i="4"/>
  <c r="AF71" i="4"/>
  <c r="AE71" i="4"/>
  <c r="AF70" i="4"/>
  <c r="AE70" i="4"/>
  <c r="AF69" i="4"/>
  <c r="AE69" i="4"/>
  <c r="AF68" i="4"/>
  <c r="AE68" i="4"/>
  <c r="AF67" i="4"/>
  <c r="AE67" i="4"/>
  <c r="AF66" i="4"/>
  <c r="AE66" i="4"/>
  <c r="AF65" i="4"/>
  <c r="AE65" i="4"/>
  <c r="AF64" i="4"/>
  <c r="AE64" i="4"/>
  <c r="AF63" i="4"/>
  <c r="AE63" i="4"/>
  <c r="AF62" i="4"/>
  <c r="AE62" i="4"/>
  <c r="AF61" i="4"/>
  <c r="AE61" i="4"/>
  <c r="AF60" i="4"/>
  <c r="AE60" i="4"/>
  <c r="AF59" i="4"/>
  <c r="AE59" i="4"/>
  <c r="AF58" i="4"/>
  <c r="AE58" i="4"/>
  <c r="AF57" i="4"/>
  <c r="AE57" i="4"/>
  <c r="AF56" i="4"/>
  <c r="AE56" i="4"/>
  <c r="AF55" i="4"/>
  <c r="AE55" i="4"/>
  <c r="AF54" i="4"/>
  <c r="AE54" i="4"/>
  <c r="AF53" i="4"/>
  <c r="AE53" i="4"/>
  <c r="AF52" i="4"/>
  <c r="AE52" i="4"/>
  <c r="AF51" i="4"/>
  <c r="AE51" i="4"/>
  <c r="AF50" i="4"/>
  <c r="AE50" i="4"/>
  <c r="AF49" i="4"/>
  <c r="AE49" i="4"/>
  <c r="AF48" i="4"/>
  <c r="AE48" i="4"/>
  <c r="AF47" i="4"/>
  <c r="AE47" i="4"/>
  <c r="AF46" i="4"/>
  <c r="AE46" i="4"/>
  <c r="AF45" i="4"/>
  <c r="AE45" i="4"/>
  <c r="AF44" i="4"/>
  <c r="AE44" i="4"/>
  <c r="AF43" i="4"/>
  <c r="AE43" i="4"/>
  <c r="AF42" i="4"/>
  <c r="AE42" i="4"/>
  <c r="AF41" i="4"/>
  <c r="AE41" i="4"/>
  <c r="AF40" i="4"/>
  <c r="AE40" i="4"/>
  <c r="AF39" i="4"/>
  <c r="AE39" i="4"/>
  <c r="AF38" i="4"/>
  <c r="AE38" i="4"/>
  <c r="AF37" i="4"/>
  <c r="AE37" i="4"/>
  <c r="AF36" i="4"/>
  <c r="AE36" i="4"/>
  <c r="AF35" i="4"/>
  <c r="AE35" i="4"/>
  <c r="AF34" i="4"/>
  <c r="AE34" i="4"/>
  <c r="AF33" i="4"/>
  <c r="AE33" i="4"/>
  <c r="AF32" i="4"/>
  <c r="AE32" i="4"/>
  <c r="AF31" i="4"/>
  <c r="AE31" i="4"/>
  <c r="AF30" i="4"/>
  <c r="AE30" i="4"/>
  <c r="AF29" i="4"/>
  <c r="AE29" i="4"/>
  <c r="AF28" i="4"/>
  <c r="AE28" i="4"/>
  <c r="AF27" i="4"/>
  <c r="AE27" i="4"/>
  <c r="AF26" i="4"/>
  <c r="AE26" i="4"/>
  <c r="AF25" i="4"/>
  <c r="AE25" i="4"/>
  <c r="AF24" i="4"/>
  <c r="AE24" i="4"/>
  <c r="AF23" i="4"/>
  <c r="AE23" i="4"/>
  <c r="AF22" i="4"/>
  <c r="AE22" i="4"/>
  <c r="AF21" i="4"/>
  <c r="AE21" i="4"/>
  <c r="AF20" i="4"/>
  <c r="AE20" i="4"/>
  <c r="AF19" i="4"/>
  <c r="AE19" i="4"/>
  <c r="AF18" i="4"/>
  <c r="AE18" i="4"/>
  <c r="AF17" i="4"/>
  <c r="AE17" i="4"/>
  <c r="AF16" i="4"/>
  <c r="AE16" i="4"/>
  <c r="AF15" i="4"/>
  <c r="AE15" i="4"/>
  <c r="AF14" i="4"/>
  <c r="AE14" i="4"/>
  <c r="AF13" i="4"/>
  <c r="AE13" i="4"/>
  <c r="AF12" i="4"/>
  <c r="AE12" i="4"/>
  <c r="AF11" i="4"/>
  <c r="AE11" i="4"/>
  <c r="AD369" i="4"/>
  <c r="AC369" i="4"/>
  <c r="AD368" i="4"/>
  <c r="AC368" i="4"/>
  <c r="AD367" i="4"/>
  <c r="AC367" i="4"/>
  <c r="AD366" i="4"/>
  <c r="AC366" i="4"/>
  <c r="AD365" i="4"/>
  <c r="AC365" i="4"/>
  <c r="AD364" i="4"/>
  <c r="AC364" i="4"/>
  <c r="AD363" i="4"/>
  <c r="AC363" i="4"/>
  <c r="AD362" i="4"/>
  <c r="AC362" i="4"/>
  <c r="AD361" i="4"/>
  <c r="AC361" i="4"/>
  <c r="AD360" i="4"/>
  <c r="AC360" i="4"/>
  <c r="AD359" i="4"/>
  <c r="AC359" i="4"/>
  <c r="AD358" i="4"/>
  <c r="AC358" i="4"/>
  <c r="AD357" i="4"/>
  <c r="AC357" i="4"/>
  <c r="AD356" i="4"/>
  <c r="AC356" i="4"/>
  <c r="AD355" i="4"/>
  <c r="AC355" i="4"/>
  <c r="AD354" i="4"/>
  <c r="AC354" i="4"/>
  <c r="AD353" i="4"/>
  <c r="AC353" i="4"/>
  <c r="AD352" i="4"/>
  <c r="AC352" i="4"/>
  <c r="AD351" i="4"/>
  <c r="AC351" i="4"/>
  <c r="AD350" i="4"/>
  <c r="AC350" i="4"/>
  <c r="AD349" i="4"/>
  <c r="AC349" i="4"/>
  <c r="AD348" i="4"/>
  <c r="AC348" i="4"/>
  <c r="AD347" i="4"/>
  <c r="AC347" i="4"/>
  <c r="AD346" i="4"/>
  <c r="AC346" i="4"/>
  <c r="AD345" i="4"/>
  <c r="AC345" i="4"/>
  <c r="AD344" i="4"/>
  <c r="AC344" i="4"/>
  <c r="AD343" i="4"/>
  <c r="AC343" i="4"/>
  <c r="AD342" i="4"/>
  <c r="AC342" i="4"/>
  <c r="AD341" i="4"/>
  <c r="AC341" i="4"/>
  <c r="AD340" i="4"/>
  <c r="AC340" i="4"/>
  <c r="AD339" i="4"/>
  <c r="AC339" i="4"/>
  <c r="AD338" i="4"/>
  <c r="AC338" i="4"/>
  <c r="AD337" i="4"/>
  <c r="AC337" i="4"/>
  <c r="AD336" i="4"/>
  <c r="AC336" i="4"/>
  <c r="AD335" i="4"/>
  <c r="AC335" i="4"/>
  <c r="AD334" i="4"/>
  <c r="AC334" i="4"/>
  <c r="AD333" i="4"/>
  <c r="AC333" i="4"/>
  <c r="AD332" i="4"/>
  <c r="AC332" i="4"/>
  <c r="AD331" i="4"/>
  <c r="AC331" i="4"/>
  <c r="AD330" i="4"/>
  <c r="AC330" i="4"/>
  <c r="AD329" i="4"/>
  <c r="AC329" i="4"/>
  <c r="AD328" i="4"/>
  <c r="AC328" i="4"/>
  <c r="AD327" i="4"/>
  <c r="AC327" i="4"/>
  <c r="AD326" i="4"/>
  <c r="AC326" i="4"/>
  <c r="AD325" i="4"/>
  <c r="AC325" i="4"/>
  <c r="AD324" i="4"/>
  <c r="AC324" i="4"/>
  <c r="AD323" i="4"/>
  <c r="AC323" i="4"/>
  <c r="AD322" i="4"/>
  <c r="AC322" i="4"/>
  <c r="AD321" i="4"/>
  <c r="AC321" i="4"/>
  <c r="AD320" i="4"/>
  <c r="AC320" i="4"/>
  <c r="AD319" i="4"/>
  <c r="AC319" i="4"/>
  <c r="AD318" i="4"/>
  <c r="AC318" i="4"/>
  <c r="AD317" i="4"/>
  <c r="AC317" i="4"/>
  <c r="AD316" i="4"/>
  <c r="AC316" i="4"/>
  <c r="AD315" i="4"/>
  <c r="AC315" i="4"/>
  <c r="AD314" i="4"/>
  <c r="AC314" i="4"/>
  <c r="AD313" i="4"/>
  <c r="AC313" i="4"/>
  <c r="AD312" i="4"/>
  <c r="AC312" i="4"/>
  <c r="AD311" i="4"/>
  <c r="AC311" i="4"/>
  <c r="AD310" i="4"/>
  <c r="AC310" i="4"/>
  <c r="AD309" i="4"/>
  <c r="AC309" i="4"/>
  <c r="AD308" i="4"/>
  <c r="AC308" i="4"/>
  <c r="AD307" i="4"/>
  <c r="AC307" i="4"/>
  <c r="AD306" i="4"/>
  <c r="AC306" i="4"/>
  <c r="AD305" i="4"/>
  <c r="AC305" i="4"/>
  <c r="AD304" i="4"/>
  <c r="AC304" i="4"/>
  <c r="AD303" i="4"/>
  <c r="AC303" i="4"/>
  <c r="AD302" i="4"/>
  <c r="AC302" i="4"/>
  <c r="AD301" i="4"/>
  <c r="AC301" i="4"/>
  <c r="AD300" i="4"/>
  <c r="AC300" i="4"/>
  <c r="AD299" i="4"/>
  <c r="AC299" i="4"/>
  <c r="AD298" i="4"/>
  <c r="AC298" i="4"/>
  <c r="AD297" i="4"/>
  <c r="AC297" i="4"/>
  <c r="AD296" i="4"/>
  <c r="AC296" i="4"/>
  <c r="AD295" i="4"/>
  <c r="AC295" i="4"/>
  <c r="AD294" i="4"/>
  <c r="AC294" i="4"/>
  <c r="AD293" i="4"/>
  <c r="AC293" i="4"/>
  <c r="AD292" i="4"/>
  <c r="AC292" i="4"/>
  <c r="AD291" i="4"/>
  <c r="AC291" i="4"/>
  <c r="AD290" i="4"/>
  <c r="AC290" i="4"/>
  <c r="AD289" i="4"/>
  <c r="AC289" i="4"/>
  <c r="AD288" i="4"/>
  <c r="AC288" i="4"/>
  <c r="AD287" i="4"/>
  <c r="AC287" i="4"/>
  <c r="AD286" i="4"/>
  <c r="AC286" i="4"/>
  <c r="AD285" i="4"/>
  <c r="AC285" i="4"/>
  <c r="AD284" i="4"/>
  <c r="AC284" i="4"/>
  <c r="AD283" i="4"/>
  <c r="AC283" i="4"/>
  <c r="AD282" i="4"/>
  <c r="AC282" i="4"/>
  <c r="AD281" i="4"/>
  <c r="AC281" i="4"/>
  <c r="AD280" i="4"/>
  <c r="AC280" i="4"/>
  <c r="AD279" i="4"/>
  <c r="AC279" i="4"/>
  <c r="AD278" i="4"/>
  <c r="AC278" i="4"/>
  <c r="AD277" i="4"/>
  <c r="AC277" i="4"/>
  <c r="AD276" i="4"/>
  <c r="AC276" i="4"/>
  <c r="AD275" i="4"/>
  <c r="AC275" i="4"/>
  <c r="AD274" i="4"/>
  <c r="AC274" i="4"/>
  <c r="AD273" i="4"/>
  <c r="AC273" i="4"/>
  <c r="AD272" i="4"/>
  <c r="AC272" i="4"/>
  <c r="AD271" i="4"/>
  <c r="AC271" i="4"/>
  <c r="AD270" i="4"/>
  <c r="AC270" i="4"/>
  <c r="AD269" i="4"/>
  <c r="AC269" i="4"/>
  <c r="AD268" i="4"/>
  <c r="AC268" i="4"/>
  <c r="AD267" i="4"/>
  <c r="AC267" i="4"/>
  <c r="AD266" i="4"/>
  <c r="AC266" i="4"/>
  <c r="AD265" i="4"/>
  <c r="AC265" i="4"/>
  <c r="AD264" i="4"/>
  <c r="AC264" i="4"/>
  <c r="AD263" i="4"/>
  <c r="AC263" i="4"/>
  <c r="AD262" i="4"/>
  <c r="AC262" i="4"/>
  <c r="AD261" i="4"/>
  <c r="AC261" i="4"/>
  <c r="AD260" i="4"/>
  <c r="AC260" i="4"/>
  <c r="AD259" i="4"/>
  <c r="AC259" i="4"/>
  <c r="AD258" i="4"/>
  <c r="AC258" i="4"/>
  <c r="AD257" i="4"/>
  <c r="AC257" i="4"/>
  <c r="AD256" i="4"/>
  <c r="AC256" i="4"/>
  <c r="AD255" i="4"/>
  <c r="AC255" i="4"/>
  <c r="AD254" i="4"/>
  <c r="AC254" i="4"/>
  <c r="AD253" i="4"/>
  <c r="AC253" i="4"/>
  <c r="AD252" i="4"/>
  <c r="AC252" i="4"/>
  <c r="AD251" i="4"/>
  <c r="AC251" i="4"/>
  <c r="AD250" i="4"/>
  <c r="AC250" i="4"/>
  <c r="AD249" i="4"/>
  <c r="AC249" i="4"/>
  <c r="AD248" i="4"/>
  <c r="AC248" i="4"/>
  <c r="AD247" i="4"/>
  <c r="AC247" i="4"/>
  <c r="AD246" i="4"/>
  <c r="AC246" i="4"/>
  <c r="AD245" i="4"/>
  <c r="AC245" i="4"/>
  <c r="AD244" i="4"/>
  <c r="AC244" i="4"/>
  <c r="AD243" i="4"/>
  <c r="AC243" i="4"/>
  <c r="AD242" i="4"/>
  <c r="AC242" i="4"/>
  <c r="AD241" i="4"/>
  <c r="AC241" i="4"/>
  <c r="AD240" i="4"/>
  <c r="AC240" i="4"/>
  <c r="AD239" i="4"/>
  <c r="AC239" i="4"/>
  <c r="AD238" i="4"/>
  <c r="AC238" i="4"/>
  <c r="AD237" i="4"/>
  <c r="AC237" i="4"/>
  <c r="AD236" i="4"/>
  <c r="AC236" i="4"/>
  <c r="AD235" i="4"/>
  <c r="AC235" i="4"/>
  <c r="AD234" i="4"/>
  <c r="AC234" i="4"/>
  <c r="AD233" i="4"/>
  <c r="AC233" i="4"/>
  <c r="AD232" i="4"/>
  <c r="AC232" i="4"/>
  <c r="AD231" i="4"/>
  <c r="AC231" i="4"/>
  <c r="AD230" i="4"/>
  <c r="AC230" i="4"/>
  <c r="AD229" i="4"/>
  <c r="AC229" i="4"/>
  <c r="AD228" i="4"/>
  <c r="AC228" i="4"/>
  <c r="AD227" i="4"/>
  <c r="AC227" i="4"/>
  <c r="AD226" i="4"/>
  <c r="AC226" i="4"/>
  <c r="AD225" i="4"/>
  <c r="AC225" i="4"/>
  <c r="AD224" i="4"/>
  <c r="AC224" i="4"/>
  <c r="AD223" i="4"/>
  <c r="AC223" i="4"/>
  <c r="AD222" i="4"/>
  <c r="AC222" i="4"/>
  <c r="AD221" i="4"/>
  <c r="AC221" i="4"/>
  <c r="AD220" i="4"/>
  <c r="AC220" i="4"/>
  <c r="AD219" i="4"/>
  <c r="AC219" i="4"/>
  <c r="AD218" i="4"/>
  <c r="AC218" i="4"/>
  <c r="AD217" i="4"/>
  <c r="AC217" i="4"/>
  <c r="AD216" i="4"/>
  <c r="AC216" i="4"/>
  <c r="AD215" i="4"/>
  <c r="AC215" i="4"/>
  <c r="AD214" i="4"/>
  <c r="AC214" i="4"/>
  <c r="AD213" i="4"/>
  <c r="AC213" i="4"/>
  <c r="AD212" i="4"/>
  <c r="AC212" i="4"/>
  <c r="AD211" i="4"/>
  <c r="AC211" i="4"/>
  <c r="AD210" i="4"/>
  <c r="AC210" i="4"/>
  <c r="AD209" i="4"/>
  <c r="AC209" i="4"/>
  <c r="AD208" i="4"/>
  <c r="AC208" i="4"/>
  <c r="AD207" i="4"/>
  <c r="AC207" i="4"/>
  <c r="AD206" i="4"/>
  <c r="AC206" i="4"/>
  <c r="AD205" i="4"/>
  <c r="AC205" i="4"/>
  <c r="AD204" i="4"/>
  <c r="AC204" i="4"/>
  <c r="AD203" i="4"/>
  <c r="AC203" i="4"/>
  <c r="AD202" i="4"/>
  <c r="AC202" i="4"/>
  <c r="AD201" i="4"/>
  <c r="AC201" i="4"/>
  <c r="AD200" i="4"/>
  <c r="AC200" i="4"/>
  <c r="AD199" i="4"/>
  <c r="AC199" i="4"/>
  <c r="AD198" i="4"/>
  <c r="AC198" i="4"/>
  <c r="AD197" i="4"/>
  <c r="AC197" i="4"/>
  <c r="AD196" i="4"/>
  <c r="AC196" i="4"/>
  <c r="AD195" i="4"/>
  <c r="AC195" i="4"/>
  <c r="AD194" i="4"/>
  <c r="AC194" i="4"/>
  <c r="AD193" i="4"/>
  <c r="AC193" i="4"/>
  <c r="AD192" i="4"/>
  <c r="AC192" i="4"/>
  <c r="AD191" i="4"/>
  <c r="AC191" i="4"/>
  <c r="AD190" i="4"/>
  <c r="AC190" i="4"/>
  <c r="AD189" i="4"/>
  <c r="AC189" i="4"/>
  <c r="AD188" i="4"/>
  <c r="AC188" i="4"/>
  <c r="AD187" i="4"/>
  <c r="AC187" i="4"/>
  <c r="AD186" i="4"/>
  <c r="AC186" i="4"/>
  <c r="AD185" i="4"/>
  <c r="AC185" i="4"/>
  <c r="AD184" i="4"/>
  <c r="AC184" i="4"/>
  <c r="AD183" i="4"/>
  <c r="AC183" i="4"/>
  <c r="AD182" i="4"/>
  <c r="AC182" i="4"/>
  <c r="AD181" i="4"/>
  <c r="AC181" i="4"/>
  <c r="AD180" i="4"/>
  <c r="AC180" i="4"/>
  <c r="AD179" i="4"/>
  <c r="AC179" i="4"/>
  <c r="AD178" i="4"/>
  <c r="AC178" i="4"/>
  <c r="AD177" i="4"/>
  <c r="AC177" i="4"/>
  <c r="AD176" i="4"/>
  <c r="AC176" i="4"/>
  <c r="AD175" i="4"/>
  <c r="AC175" i="4"/>
  <c r="AD174" i="4"/>
  <c r="AC174" i="4"/>
  <c r="AD173" i="4"/>
  <c r="AC173" i="4"/>
  <c r="AD172" i="4"/>
  <c r="AC172" i="4"/>
  <c r="AD171" i="4"/>
  <c r="AC171" i="4"/>
  <c r="AD170" i="4"/>
  <c r="AC170" i="4"/>
  <c r="AD169" i="4"/>
  <c r="AC169" i="4"/>
  <c r="AD168" i="4"/>
  <c r="AC168" i="4"/>
  <c r="AD167" i="4"/>
  <c r="AC167" i="4"/>
  <c r="AD166" i="4"/>
  <c r="AC166" i="4"/>
  <c r="AD165" i="4"/>
  <c r="AC165" i="4"/>
  <c r="AD164" i="4"/>
  <c r="AC164" i="4"/>
  <c r="AD163" i="4"/>
  <c r="AC163" i="4"/>
  <c r="AD162" i="4"/>
  <c r="AC162" i="4"/>
  <c r="AD161" i="4"/>
  <c r="AC161" i="4"/>
  <c r="AD160" i="4"/>
  <c r="AC160" i="4"/>
  <c r="AD159" i="4"/>
  <c r="AC159" i="4"/>
  <c r="AD158" i="4"/>
  <c r="AC158" i="4"/>
  <c r="AD157" i="4"/>
  <c r="AC157" i="4"/>
  <c r="AD156" i="4"/>
  <c r="AC156" i="4"/>
  <c r="AD155" i="4"/>
  <c r="AC155" i="4"/>
  <c r="AD154" i="4"/>
  <c r="AC154" i="4"/>
  <c r="AD153" i="4"/>
  <c r="AC153" i="4"/>
  <c r="AD152" i="4"/>
  <c r="AC152" i="4"/>
  <c r="AD151" i="4"/>
  <c r="AC151" i="4"/>
  <c r="AD150" i="4"/>
  <c r="AC150" i="4"/>
  <c r="AD149" i="4"/>
  <c r="AC149" i="4"/>
  <c r="AD148" i="4"/>
  <c r="AC148" i="4"/>
  <c r="AD147" i="4"/>
  <c r="AC147" i="4"/>
  <c r="AD146" i="4"/>
  <c r="AC146" i="4"/>
  <c r="AD145" i="4"/>
  <c r="AC145" i="4"/>
  <c r="AD144" i="4"/>
  <c r="AC144" i="4"/>
  <c r="AD143" i="4"/>
  <c r="AC143" i="4"/>
  <c r="AD142" i="4"/>
  <c r="AC142" i="4"/>
  <c r="AD141" i="4"/>
  <c r="AC141" i="4"/>
  <c r="AD140" i="4"/>
  <c r="AC140" i="4"/>
  <c r="AD139" i="4"/>
  <c r="AC139" i="4"/>
  <c r="AD138" i="4"/>
  <c r="AC138" i="4"/>
  <c r="AD137" i="4"/>
  <c r="AC137" i="4"/>
  <c r="AD136" i="4"/>
  <c r="AC136" i="4"/>
  <c r="AD135" i="4"/>
  <c r="AC135" i="4"/>
  <c r="AD134" i="4"/>
  <c r="AC134" i="4"/>
  <c r="AD133" i="4"/>
  <c r="AC133" i="4"/>
  <c r="AD132" i="4"/>
  <c r="AC132" i="4"/>
  <c r="AD131" i="4"/>
  <c r="AC131" i="4"/>
  <c r="AD130" i="4"/>
  <c r="AC130" i="4"/>
  <c r="AD129" i="4"/>
  <c r="AC129" i="4"/>
  <c r="AD128" i="4"/>
  <c r="AC128" i="4"/>
  <c r="AD127" i="4"/>
  <c r="AC127" i="4"/>
  <c r="AD126" i="4"/>
  <c r="AC126" i="4"/>
  <c r="AD125" i="4"/>
  <c r="AC125" i="4"/>
  <c r="AD124" i="4"/>
  <c r="AC124" i="4"/>
  <c r="AD123" i="4"/>
  <c r="AC123" i="4"/>
  <c r="AD122" i="4"/>
  <c r="AC122" i="4"/>
  <c r="AD121" i="4"/>
  <c r="AC121" i="4"/>
  <c r="AD120" i="4"/>
  <c r="AC120" i="4"/>
  <c r="AD119" i="4"/>
  <c r="AC119" i="4"/>
  <c r="AD118" i="4"/>
  <c r="AC118" i="4"/>
  <c r="AD117" i="4"/>
  <c r="AC117" i="4"/>
  <c r="AD116" i="4"/>
  <c r="AC116" i="4"/>
  <c r="AD115" i="4"/>
  <c r="AC115" i="4"/>
  <c r="AD114" i="4"/>
  <c r="AC114" i="4"/>
  <c r="AD113" i="4"/>
  <c r="AC113" i="4"/>
  <c r="AD112" i="4"/>
  <c r="AC112" i="4"/>
  <c r="AD111" i="4"/>
  <c r="AC111" i="4"/>
  <c r="AD110" i="4"/>
  <c r="AC110" i="4"/>
  <c r="AD109" i="4"/>
  <c r="AC109" i="4"/>
  <c r="AD108" i="4"/>
  <c r="AC108" i="4"/>
  <c r="AD107" i="4"/>
  <c r="AC107" i="4"/>
  <c r="AD106" i="4"/>
  <c r="AC106" i="4"/>
  <c r="AD105" i="4"/>
  <c r="AC105" i="4"/>
  <c r="AD104" i="4"/>
  <c r="AC104" i="4"/>
  <c r="AD103" i="4"/>
  <c r="AC103" i="4"/>
  <c r="AD102" i="4"/>
  <c r="AC102" i="4"/>
  <c r="AD101" i="4"/>
  <c r="AC101" i="4"/>
  <c r="AD100" i="4"/>
  <c r="AC100" i="4"/>
  <c r="AD99" i="4"/>
  <c r="AC99" i="4"/>
  <c r="AD98" i="4"/>
  <c r="AC98" i="4"/>
  <c r="AD97" i="4"/>
  <c r="AC97" i="4"/>
  <c r="AD96" i="4"/>
  <c r="AC96" i="4"/>
  <c r="AD95" i="4"/>
  <c r="AC95" i="4"/>
  <c r="AD94" i="4"/>
  <c r="AC94" i="4"/>
  <c r="AD93" i="4"/>
  <c r="AC93" i="4"/>
  <c r="AD92" i="4"/>
  <c r="AC92" i="4"/>
  <c r="AD91" i="4"/>
  <c r="AC91" i="4"/>
  <c r="AD90" i="4"/>
  <c r="AC90" i="4"/>
  <c r="AD89" i="4"/>
  <c r="AC89" i="4"/>
  <c r="AD88" i="4"/>
  <c r="AC88" i="4"/>
  <c r="AD87" i="4"/>
  <c r="AC87" i="4"/>
  <c r="AD86" i="4"/>
  <c r="AC86" i="4"/>
  <c r="AD85" i="4"/>
  <c r="AC85" i="4"/>
  <c r="AD84" i="4"/>
  <c r="AC84" i="4"/>
  <c r="AD83" i="4"/>
  <c r="AC83" i="4"/>
  <c r="AD82" i="4"/>
  <c r="AC82" i="4"/>
  <c r="AD81" i="4"/>
  <c r="AC81" i="4"/>
  <c r="AD80" i="4"/>
  <c r="AC80" i="4"/>
  <c r="AD79" i="4"/>
  <c r="AC79" i="4"/>
  <c r="AD78" i="4"/>
  <c r="AC78" i="4"/>
  <c r="AD77" i="4"/>
  <c r="AC77" i="4"/>
  <c r="AD76" i="4"/>
  <c r="AC76" i="4"/>
  <c r="AD75" i="4"/>
  <c r="AC75" i="4"/>
  <c r="AD74" i="4"/>
  <c r="AC74" i="4"/>
  <c r="AD73" i="4"/>
  <c r="AC73" i="4"/>
  <c r="AD72" i="4"/>
  <c r="AC72" i="4"/>
  <c r="AD71" i="4"/>
  <c r="AC71" i="4"/>
  <c r="AD70" i="4"/>
  <c r="AC70" i="4"/>
  <c r="AD69" i="4"/>
  <c r="AC69" i="4"/>
  <c r="AD68" i="4"/>
  <c r="AC68" i="4"/>
  <c r="AD67" i="4"/>
  <c r="AC67" i="4"/>
  <c r="AD66" i="4"/>
  <c r="AC66" i="4"/>
  <c r="AD65" i="4"/>
  <c r="AC65" i="4"/>
  <c r="AD64" i="4"/>
  <c r="AC64" i="4"/>
  <c r="AD63" i="4"/>
  <c r="AC63" i="4"/>
  <c r="AD62" i="4"/>
  <c r="AC62" i="4"/>
  <c r="AD61" i="4"/>
  <c r="AC61" i="4"/>
  <c r="AD60" i="4"/>
  <c r="AC60" i="4"/>
  <c r="AD59" i="4"/>
  <c r="AC59" i="4"/>
  <c r="AD58" i="4"/>
  <c r="AC58" i="4"/>
  <c r="AD57" i="4"/>
  <c r="AC57" i="4"/>
  <c r="AD56" i="4"/>
  <c r="AC56" i="4"/>
  <c r="AD55" i="4"/>
  <c r="AC55" i="4"/>
  <c r="AD54" i="4"/>
  <c r="AC54" i="4"/>
  <c r="AD53" i="4"/>
  <c r="AC53" i="4"/>
  <c r="AD52" i="4"/>
  <c r="AC52" i="4"/>
  <c r="AD51" i="4"/>
  <c r="AC51" i="4"/>
  <c r="AD50" i="4"/>
  <c r="AC50" i="4"/>
  <c r="AD49" i="4"/>
  <c r="AC49" i="4"/>
  <c r="AD48" i="4"/>
  <c r="AC48" i="4"/>
  <c r="AD47" i="4"/>
  <c r="AC47" i="4"/>
  <c r="AD46" i="4"/>
  <c r="AC46" i="4"/>
  <c r="AD45" i="4"/>
  <c r="AC45" i="4"/>
  <c r="AD44" i="4"/>
  <c r="AC44" i="4"/>
  <c r="AD43" i="4"/>
  <c r="AC43" i="4"/>
  <c r="AD42" i="4"/>
  <c r="AC42" i="4"/>
  <c r="AD41" i="4"/>
  <c r="AC41" i="4"/>
  <c r="AD40" i="4"/>
  <c r="AC40" i="4"/>
  <c r="AD39" i="4"/>
  <c r="AC39" i="4"/>
  <c r="AD38" i="4"/>
  <c r="AC38" i="4"/>
  <c r="AD37" i="4"/>
  <c r="AC37" i="4"/>
  <c r="AD36" i="4"/>
  <c r="AC36" i="4"/>
  <c r="AD35" i="4"/>
  <c r="AC35" i="4"/>
  <c r="AD34" i="4"/>
  <c r="AC34" i="4"/>
  <c r="AD33" i="4"/>
  <c r="AC33" i="4"/>
  <c r="AD32" i="4"/>
  <c r="AC32" i="4"/>
  <c r="AD31" i="4"/>
  <c r="AC31" i="4"/>
  <c r="AD30" i="4"/>
  <c r="AC30" i="4"/>
  <c r="AD29" i="4"/>
  <c r="AC29" i="4"/>
  <c r="AD28" i="4"/>
  <c r="AC28" i="4"/>
  <c r="AD27" i="4"/>
  <c r="AC27" i="4"/>
  <c r="AD26" i="4"/>
  <c r="AC26" i="4"/>
  <c r="AD25" i="4"/>
  <c r="AC25" i="4"/>
  <c r="AD24" i="4"/>
  <c r="AC24" i="4"/>
  <c r="AD23" i="4"/>
  <c r="AC23" i="4"/>
  <c r="AD22" i="4"/>
  <c r="AC22" i="4"/>
  <c r="AD21" i="4"/>
  <c r="AC21" i="4"/>
  <c r="AD20" i="4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B369" i="4"/>
  <c r="AA369" i="4"/>
  <c r="AB368" i="4"/>
  <c r="AA368" i="4"/>
  <c r="AB367" i="4"/>
  <c r="AA367" i="4"/>
  <c r="AB366" i="4"/>
  <c r="AA366" i="4"/>
  <c r="AB365" i="4"/>
  <c r="AA365" i="4"/>
  <c r="AB364" i="4"/>
  <c r="AA364" i="4"/>
  <c r="AB363" i="4"/>
  <c r="AA363" i="4"/>
  <c r="AB362" i="4"/>
  <c r="AA362" i="4"/>
  <c r="AB361" i="4"/>
  <c r="AA361" i="4"/>
  <c r="AB360" i="4"/>
  <c r="AA360" i="4"/>
  <c r="AB359" i="4"/>
  <c r="AA359" i="4"/>
  <c r="AB358" i="4"/>
  <c r="AA358" i="4"/>
  <c r="AB357" i="4"/>
  <c r="AA357" i="4"/>
  <c r="AB356" i="4"/>
  <c r="AA356" i="4"/>
  <c r="AB355" i="4"/>
  <c r="AA355" i="4"/>
  <c r="AB354" i="4"/>
  <c r="AA354" i="4"/>
  <c r="AB353" i="4"/>
  <c r="AA353" i="4"/>
  <c r="AB352" i="4"/>
  <c r="AA352" i="4"/>
  <c r="AB351" i="4"/>
  <c r="AA351" i="4"/>
  <c r="AB350" i="4"/>
  <c r="AA350" i="4"/>
  <c r="AB349" i="4"/>
  <c r="AA349" i="4"/>
  <c r="AB348" i="4"/>
  <c r="AA348" i="4"/>
  <c r="AB347" i="4"/>
  <c r="AA347" i="4"/>
  <c r="AB346" i="4"/>
  <c r="AA346" i="4"/>
  <c r="AB345" i="4"/>
  <c r="AA345" i="4"/>
  <c r="AB344" i="4"/>
  <c r="AA344" i="4"/>
  <c r="AB343" i="4"/>
  <c r="AA343" i="4"/>
  <c r="AB342" i="4"/>
  <c r="AA342" i="4"/>
  <c r="AB341" i="4"/>
  <c r="AA341" i="4"/>
  <c r="AB340" i="4"/>
  <c r="AA340" i="4"/>
  <c r="AB339" i="4"/>
  <c r="AA339" i="4"/>
  <c r="AB338" i="4"/>
  <c r="AA338" i="4"/>
  <c r="AB337" i="4"/>
  <c r="AA337" i="4"/>
  <c r="AB336" i="4"/>
  <c r="AA336" i="4"/>
  <c r="AB335" i="4"/>
  <c r="AA335" i="4"/>
  <c r="AB334" i="4"/>
  <c r="AA334" i="4"/>
  <c r="AB333" i="4"/>
  <c r="AA333" i="4"/>
  <c r="AB332" i="4"/>
  <c r="AA332" i="4"/>
  <c r="AB331" i="4"/>
  <c r="AA331" i="4"/>
  <c r="AB330" i="4"/>
  <c r="AA330" i="4"/>
  <c r="AB329" i="4"/>
  <c r="AA329" i="4"/>
  <c r="AB328" i="4"/>
  <c r="AA328" i="4"/>
  <c r="AB327" i="4"/>
  <c r="AA327" i="4"/>
  <c r="AB326" i="4"/>
  <c r="AA326" i="4"/>
  <c r="AB325" i="4"/>
  <c r="AA325" i="4"/>
  <c r="AB324" i="4"/>
  <c r="AA324" i="4"/>
  <c r="AB323" i="4"/>
  <c r="AA323" i="4"/>
  <c r="AB322" i="4"/>
  <c r="AA322" i="4"/>
  <c r="AB321" i="4"/>
  <c r="AA321" i="4"/>
  <c r="AB320" i="4"/>
  <c r="AA320" i="4"/>
  <c r="AB319" i="4"/>
  <c r="AA319" i="4"/>
  <c r="AB318" i="4"/>
  <c r="AA318" i="4"/>
  <c r="AB317" i="4"/>
  <c r="AA317" i="4"/>
  <c r="AB316" i="4"/>
  <c r="AA316" i="4"/>
  <c r="AB315" i="4"/>
  <c r="AA315" i="4"/>
  <c r="AB314" i="4"/>
  <c r="AA314" i="4"/>
  <c r="AB313" i="4"/>
  <c r="AA313" i="4"/>
  <c r="AB312" i="4"/>
  <c r="AA312" i="4"/>
  <c r="AB311" i="4"/>
  <c r="AA311" i="4"/>
  <c r="AB310" i="4"/>
  <c r="AA310" i="4"/>
  <c r="AB309" i="4"/>
  <c r="AA309" i="4"/>
  <c r="AB308" i="4"/>
  <c r="AA308" i="4"/>
  <c r="AB307" i="4"/>
  <c r="AA307" i="4"/>
  <c r="AB306" i="4"/>
  <c r="AA306" i="4"/>
  <c r="AB305" i="4"/>
  <c r="AA305" i="4"/>
  <c r="AB304" i="4"/>
  <c r="AA304" i="4"/>
  <c r="AB303" i="4"/>
  <c r="AA303" i="4"/>
  <c r="AB302" i="4"/>
  <c r="AA302" i="4"/>
  <c r="AB301" i="4"/>
  <c r="AA301" i="4"/>
  <c r="AB300" i="4"/>
  <c r="AA300" i="4"/>
  <c r="AB299" i="4"/>
  <c r="AA299" i="4"/>
  <c r="AB298" i="4"/>
  <c r="AA298" i="4"/>
  <c r="AB297" i="4"/>
  <c r="AA297" i="4"/>
  <c r="AB296" i="4"/>
  <c r="AA296" i="4"/>
  <c r="AB295" i="4"/>
  <c r="AA295" i="4"/>
  <c r="AB294" i="4"/>
  <c r="AA294" i="4"/>
  <c r="AB293" i="4"/>
  <c r="AA293" i="4"/>
  <c r="AB292" i="4"/>
  <c r="AA292" i="4"/>
  <c r="AB291" i="4"/>
  <c r="AA291" i="4"/>
  <c r="AB290" i="4"/>
  <c r="AA290" i="4"/>
  <c r="AB289" i="4"/>
  <c r="AA289" i="4"/>
  <c r="AB288" i="4"/>
  <c r="AA288" i="4"/>
  <c r="AB287" i="4"/>
  <c r="AA287" i="4"/>
  <c r="AB286" i="4"/>
  <c r="AA286" i="4"/>
  <c r="AB285" i="4"/>
  <c r="AA285" i="4"/>
  <c r="AB284" i="4"/>
  <c r="AA284" i="4"/>
  <c r="AB283" i="4"/>
  <c r="AA283" i="4"/>
  <c r="AB282" i="4"/>
  <c r="AA282" i="4"/>
  <c r="AB281" i="4"/>
  <c r="AA281" i="4"/>
  <c r="AB280" i="4"/>
  <c r="AA280" i="4"/>
  <c r="AB279" i="4"/>
  <c r="AA279" i="4"/>
  <c r="AB278" i="4"/>
  <c r="AA278" i="4"/>
  <c r="AB277" i="4"/>
  <c r="AA277" i="4"/>
  <c r="AB276" i="4"/>
  <c r="AA276" i="4"/>
  <c r="AB275" i="4"/>
  <c r="AA275" i="4"/>
  <c r="AB274" i="4"/>
  <c r="AA274" i="4"/>
  <c r="AB273" i="4"/>
  <c r="AA273" i="4"/>
  <c r="AB272" i="4"/>
  <c r="AA272" i="4"/>
  <c r="AB271" i="4"/>
  <c r="AA271" i="4"/>
  <c r="AB270" i="4"/>
  <c r="AA270" i="4"/>
  <c r="AB269" i="4"/>
  <c r="AA269" i="4"/>
  <c r="AB268" i="4"/>
  <c r="AA268" i="4"/>
  <c r="AB267" i="4"/>
  <c r="AA267" i="4"/>
  <c r="AB266" i="4"/>
  <c r="AA266" i="4"/>
  <c r="AB265" i="4"/>
  <c r="AA265" i="4"/>
  <c r="AB264" i="4"/>
  <c r="AA264" i="4"/>
  <c r="AB263" i="4"/>
  <c r="AA263" i="4"/>
  <c r="AB262" i="4"/>
  <c r="AA262" i="4"/>
  <c r="AB261" i="4"/>
  <c r="AA261" i="4"/>
  <c r="AB260" i="4"/>
  <c r="AA260" i="4"/>
  <c r="AB259" i="4"/>
  <c r="AA259" i="4"/>
  <c r="AB258" i="4"/>
  <c r="AA258" i="4"/>
  <c r="AB257" i="4"/>
  <c r="AA257" i="4"/>
  <c r="AB256" i="4"/>
  <c r="AA256" i="4"/>
  <c r="AB255" i="4"/>
  <c r="AA255" i="4"/>
  <c r="AB254" i="4"/>
  <c r="AA254" i="4"/>
  <c r="AB253" i="4"/>
  <c r="AA253" i="4"/>
  <c r="AB252" i="4"/>
  <c r="AA252" i="4"/>
  <c r="AB251" i="4"/>
  <c r="AA251" i="4"/>
  <c r="AB250" i="4"/>
  <c r="AA250" i="4"/>
  <c r="AB249" i="4"/>
  <c r="AA249" i="4"/>
  <c r="AB248" i="4"/>
  <c r="AA248" i="4"/>
  <c r="AB247" i="4"/>
  <c r="AA247" i="4"/>
  <c r="AB246" i="4"/>
  <c r="AA246" i="4"/>
  <c r="AB245" i="4"/>
  <c r="AA245" i="4"/>
  <c r="AB244" i="4"/>
  <c r="AA244" i="4"/>
  <c r="AB243" i="4"/>
  <c r="AA243" i="4"/>
  <c r="AB242" i="4"/>
  <c r="AA242" i="4"/>
  <c r="AB241" i="4"/>
  <c r="AA241" i="4"/>
  <c r="AB240" i="4"/>
  <c r="AA240" i="4"/>
  <c r="AB239" i="4"/>
  <c r="AA239" i="4"/>
  <c r="AB238" i="4"/>
  <c r="AA238" i="4"/>
  <c r="AB237" i="4"/>
  <c r="AA237" i="4"/>
  <c r="AB236" i="4"/>
  <c r="AA236" i="4"/>
  <c r="AB235" i="4"/>
  <c r="AA235" i="4"/>
  <c r="AB234" i="4"/>
  <c r="AA234" i="4"/>
  <c r="AB233" i="4"/>
  <c r="AA233" i="4"/>
  <c r="AB232" i="4"/>
  <c r="AA232" i="4"/>
  <c r="AB231" i="4"/>
  <c r="AA231" i="4"/>
  <c r="AB230" i="4"/>
  <c r="AA230" i="4"/>
  <c r="AB229" i="4"/>
  <c r="AA229" i="4"/>
  <c r="AB228" i="4"/>
  <c r="AA228" i="4"/>
  <c r="AB227" i="4"/>
  <c r="AA227" i="4"/>
  <c r="AB226" i="4"/>
  <c r="AA226" i="4"/>
  <c r="AB225" i="4"/>
  <c r="AA225" i="4"/>
  <c r="AB224" i="4"/>
  <c r="AA224" i="4"/>
  <c r="AB223" i="4"/>
  <c r="AA223" i="4"/>
  <c r="AB222" i="4"/>
  <c r="AA222" i="4"/>
  <c r="AB221" i="4"/>
  <c r="AA221" i="4"/>
  <c r="AB220" i="4"/>
  <c r="AA220" i="4"/>
  <c r="AB219" i="4"/>
  <c r="AA219" i="4"/>
  <c r="AB218" i="4"/>
  <c r="AA218" i="4"/>
  <c r="AB217" i="4"/>
  <c r="AA217" i="4"/>
  <c r="AB216" i="4"/>
  <c r="AA216" i="4"/>
  <c r="AB215" i="4"/>
  <c r="AA215" i="4"/>
  <c r="AB214" i="4"/>
  <c r="AA214" i="4"/>
  <c r="AB213" i="4"/>
  <c r="AA213" i="4"/>
  <c r="AB212" i="4"/>
  <c r="AA212" i="4"/>
  <c r="AB211" i="4"/>
  <c r="AA211" i="4"/>
  <c r="AB210" i="4"/>
  <c r="AA210" i="4"/>
  <c r="AB209" i="4"/>
  <c r="AA209" i="4"/>
  <c r="AB208" i="4"/>
  <c r="AA208" i="4"/>
  <c r="AB207" i="4"/>
  <c r="AA207" i="4"/>
  <c r="AB206" i="4"/>
  <c r="AA206" i="4"/>
  <c r="AB205" i="4"/>
  <c r="AA205" i="4"/>
  <c r="AB204" i="4"/>
  <c r="AA204" i="4"/>
  <c r="AB203" i="4"/>
  <c r="AA203" i="4"/>
  <c r="AB202" i="4"/>
  <c r="AA202" i="4"/>
  <c r="AB201" i="4"/>
  <c r="AA201" i="4"/>
  <c r="AB200" i="4"/>
  <c r="AA200" i="4"/>
  <c r="AB199" i="4"/>
  <c r="AA199" i="4"/>
  <c r="AB198" i="4"/>
  <c r="AA198" i="4"/>
  <c r="AB197" i="4"/>
  <c r="AA197" i="4"/>
  <c r="AB196" i="4"/>
  <c r="AA196" i="4"/>
  <c r="AB195" i="4"/>
  <c r="AA195" i="4"/>
  <c r="AB194" i="4"/>
  <c r="AA194" i="4"/>
  <c r="AB193" i="4"/>
  <c r="AA193" i="4"/>
  <c r="AB192" i="4"/>
  <c r="AA192" i="4"/>
  <c r="AB191" i="4"/>
  <c r="AA191" i="4"/>
  <c r="AB190" i="4"/>
  <c r="AA190" i="4"/>
  <c r="AB189" i="4"/>
  <c r="AA189" i="4"/>
  <c r="AB188" i="4"/>
  <c r="AA188" i="4"/>
  <c r="AB187" i="4"/>
  <c r="AA187" i="4"/>
  <c r="AB186" i="4"/>
  <c r="AA186" i="4"/>
  <c r="AB185" i="4"/>
  <c r="AA185" i="4"/>
  <c r="AB184" i="4"/>
  <c r="AA184" i="4"/>
  <c r="AB183" i="4"/>
  <c r="AA183" i="4"/>
  <c r="AB182" i="4"/>
  <c r="AA182" i="4"/>
  <c r="AB181" i="4"/>
  <c r="AA181" i="4"/>
  <c r="AB180" i="4"/>
  <c r="AA180" i="4"/>
  <c r="AB179" i="4"/>
  <c r="AA179" i="4"/>
  <c r="AB178" i="4"/>
  <c r="AA178" i="4"/>
  <c r="AB177" i="4"/>
  <c r="AA177" i="4"/>
  <c r="AB176" i="4"/>
  <c r="AA176" i="4"/>
  <c r="AB175" i="4"/>
  <c r="AA175" i="4"/>
  <c r="AB174" i="4"/>
  <c r="AA174" i="4"/>
  <c r="AB173" i="4"/>
  <c r="AA173" i="4"/>
  <c r="AB172" i="4"/>
  <c r="AA172" i="4"/>
  <c r="AB171" i="4"/>
  <c r="AA171" i="4"/>
  <c r="AB170" i="4"/>
  <c r="AA170" i="4"/>
  <c r="AB169" i="4"/>
  <c r="AA169" i="4"/>
  <c r="AB168" i="4"/>
  <c r="AA168" i="4"/>
  <c r="AB167" i="4"/>
  <c r="AA167" i="4"/>
  <c r="AB166" i="4"/>
  <c r="AA166" i="4"/>
  <c r="AB165" i="4"/>
  <c r="AA165" i="4"/>
  <c r="AB164" i="4"/>
  <c r="AA164" i="4"/>
  <c r="AB163" i="4"/>
  <c r="AA163" i="4"/>
  <c r="AB162" i="4"/>
  <c r="AA162" i="4"/>
  <c r="AB161" i="4"/>
  <c r="AA161" i="4"/>
  <c r="AB160" i="4"/>
  <c r="AA160" i="4"/>
  <c r="AB159" i="4"/>
  <c r="AA159" i="4"/>
  <c r="AB158" i="4"/>
  <c r="AA158" i="4"/>
  <c r="AB157" i="4"/>
  <c r="AA157" i="4"/>
  <c r="AB156" i="4"/>
  <c r="AA156" i="4"/>
  <c r="AB155" i="4"/>
  <c r="AA155" i="4"/>
  <c r="AB154" i="4"/>
  <c r="AA154" i="4"/>
  <c r="AB153" i="4"/>
  <c r="AA153" i="4"/>
  <c r="AB152" i="4"/>
  <c r="AA152" i="4"/>
  <c r="AB151" i="4"/>
  <c r="AA151" i="4"/>
  <c r="AB150" i="4"/>
  <c r="AA150" i="4"/>
  <c r="AB149" i="4"/>
  <c r="AA149" i="4"/>
  <c r="AB148" i="4"/>
  <c r="AA148" i="4"/>
  <c r="AB147" i="4"/>
  <c r="AA147" i="4"/>
  <c r="AB146" i="4"/>
  <c r="AA146" i="4"/>
  <c r="AB145" i="4"/>
  <c r="AA145" i="4"/>
  <c r="AB144" i="4"/>
  <c r="AA144" i="4"/>
  <c r="AB143" i="4"/>
  <c r="AA143" i="4"/>
  <c r="AB142" i="4"/>
  <c r="AA142" i="4"/>
  <c r="AB141" i="4"/>
  <c r="AA141" i="4"/>
  <c r="AB140" i="4"/>
  <c r="AA140" i="4"/>
  <c r="AB139" i="4"/>
  <c r="AA139" i="4"/>
  <c r="AB138" i="4"/>
  <c r="AA138" i="4"/>
  <c r="AB137" i="4"/>
  <c r="AA137" i="4"/>
  <c r="AB136" i="4"/>
  <c r="AA136" i="4"/>
  <c r="AB135" i="4"/>
  <c r="AA135" i="4"/>
  <c r="AB134" i="4"/>
  <c r="AA134" i="4"/>
  <c r="AB133" i="4"/>
  <c r="AA133" i="4"/>
  <c r="AB132" i="4"/>
  <c r="AA132" i="4"/>
  <c r="AB131" i="4"/>
  <c r="AA131" i="4"/>
  <c r="AB130" i="4"/>
  <c r="AA130" i="4"/>
  <c r="AB129" i="4"/>
  <c r="AA129" i="4"/>
  <c r="AB128" i="4"/>
  <c r="AA128" i="4"/>
  <c r="AB127" i="4"/>
  <c r="AA127" i="4"/>
  <c r="AB126" i="4"/>
  <c r="AA126" i="4"/>
  <c r="AB125" i="4"/>
  <c r="AA125" i="4"/>
  <c r="AB124" i="4"/>
  <c r="AA124" i="4"/>
  <c r="AB123" i="4"/>
  <c r="AA123" i="4"/>
  <c r="AB122" i="4"/>
  <c r="AA122" i="4"/>
  <c r="AB121" i="4"/>
  <c r="AA121" i="4"/>
  <c r="AB120" i="4"/>
  <c r="AA120" i="4"/>
  <c r="AB119" i="4"/>
  <c r="AA119" i="4"/>
  <c r="AB118" i="4"/>
  <c r="AA118" i="4"/>
  <c r="AB117" i="4"/>
  <c r="AA117" i="4"/>
  <c r="AB116" i="4"/>
  <c r="AA116" i="4"/>
  <c r="AB115" i="4"/>
  <c r="AA115" i="4"/>
  <c r="AB114" i="4"/>
  <c r="AA114" i="4"/>
  <c r="AB113" i="4"/>
  <c r="AA113" i="4"/>
  <c r="AB112" i="4"/>
  <c r="AA112" i="4"/>
  <c r="AB111" i="4"/>
  <c r="AA111" i="4"/>
  <c r="AB110" i="4"/>
  <c r="AA110" i="4"/>
  <c r="AB109" i="4"/>
  <c r="AA109" i="4"/>
  <c r="AB108" i="4"/>
  <c r="AA108" i="4"/>
  <c r="AB107" i="4"/>
  <c r="AA107" i="4"/>
  <c r="AB106" i="4"/>
  <c r="AA106" i="4"/>
  <c r="AB105" i="4"/>
  <c r="AA105" i="4"/>
  <c r="AB104" i="4"/>
  <c r="AA104" i="4"/>
  <c r="AB103" i="4"/>
  <c r="AA103" i="4"/>
  <c r="AB102" i="4"/>
  <c r="AA102" i="4"/>
  <c r="AB101" i="4"/>
  <c r="AA101" i="4"/>
  <c r="AB100" i="4"/>
  <c r="AA100" i="4"/>
  <c r="AB99" i="4"/>
  <c r="AA99" i="4"/>
  <c r="AB98" i="4"/>
  <c r="AA98" i="4"/>
  <c r="AB97" i="4"/>
  <c r="AA97" i="4"/>
  <c r="AB96" i="4"/>
  <c r="AA96" i="4"/>
  <c r="AB95" i="4"/>
  <c r="AA95" i="4"/>
  <c r="AB94" i="4"/>
  <c r="AA94" i="4"/>
  <c r="AB93" i="4"/>
  <c r="AA93" i="4"/>
  <c r="AB92" i="4"/>
  <c r="AA92" i="4"/>
  <c r="AB91" i="4"/>
  <c r="AA91" i="4"/>
  <c r="AB90" i="4"/>
  <c r="AA90" i="4"/>
  <c r="AB89" i="4"/>
  <c r="AA89" i="4"/>
  <c r="AB88" i="4"/>
  <c r="AA88" i="4"/>
  <c r="AB87" i="4"/>
  <c r="AA87" i="4"/>
  <c r="AB86" i="4"/>
  <c r="AA86" i="4"/>
  <c r="AB85" i="4"/>
  <c r="AA85" i="4"/>
  <c r="AB84" i="4"/>
  <c r="AA84" i="4"/>
  <c r="AB83" i="4"/>
  <c r="AA83" i="4"/>
  <c r="AB82" i="4"/>
  <c r="AA82" i="4"/>
  <c r="AB81" i="4"/>
  <c r="AA81" i="4"/>
  <c r="AB80" i="4"/>
  <c r="AA80" i="4"/>
  <c r="AB79" i="4"/>
  <c r="AA79" i="4"/>
  <c r="AB78" i="4"/>
  <c r="AA78" i="4"/>
  <c r="AB77" i="4"/>
  <c r="AA77" i="4"/>
  <c r="AB76" i="4"/>
  <c r="AA76" i="4"/>
  <c r="AB75" i="4"/>
  <c r="AA75" i="4"/>
  <c r="AB74" i="4"/>
  <c r="AA74" i="4"/>
  <c r="AB73" i="4"/>
  <c r="AA73" i="4"/>
  <c r="AB72" i="4"/>
  <c r="AA72" i="4"/>
  <c r="AB71" i="4"/>
  <c r="AA71" i="4"/>
  <c r="AB70" i="4"/>
  <c r="AA70" i="4"/>
  <c r="AB69" i="4"/>
  <c r="AA69" i="4"/>
  <c r="AB68" i="4"/>
  <c r="AA68" i="4"/>
  <c r="AB67" i="4"/>
  <c r="AA67" i="4"/>
  <c r="AB66" i="4"/>
  <c r="AA66" i="4"/>
  <c r="AB65" i="4"/>
  <c r="AA65" i="4"/>
  <c r="AB64" i="4"/>
  <c r="AA64" i="4"/>
  <c r="AB63" i="4"/>
  <c r="AA63" i="4"/>
  <c r="AB62" i="4"/>
  <c r="AA62" i="4"/>
  <c r="AB61" i="4"/>
  <c r="AA61" i="4"/>
  <c r="AB60" i="4"/>
  <c r="AA60" i="4"/>
  <c r="AB59" i="4"/>
  <c r="AA59" i="4"/>
  <c r="AB58" i="4"/>
  <c r="AA58" i="4"/>
  <c r="AB57" i="4"/>
  <c r="AA57" i="4"/>
  <c r="AB56" i="4"/>
  <c r="AA56" i="4"/>
  <c r="AB55" i="4"/>
  <c r="AA55" i="4"/>
  <c r="AB54" i="4"/>
  <c r="AA54" i="4"/>
  <c r="AB53" i="4"/>
  <c r="AA53" i="4"/>
  <c r="AB52" i="4"/>
  <c r="AA52" i="4"/>
  <c r="AB51" i="4"/>
  <c r="AA51" i="4"/>
  <c r="AB50" i="4"/>
  <c r="AA50" i="4"/>
  <c r="AB49" i="4"/>
  <c r="AA49" i="4"/>
  <c r="AB48" i="4"/>
  <c r="AA48" i="4"/>
  <c r="AB47" i="4"/>
  <c r="AA47" i="4"/>
  <c r="AB46" i="4"/>
  <c r="AA46" i="4"/>
  <c r="AB45" i="4"/>
  <c r="AA45" i="4"/>
  <c r="AB44" i="4"/>
  <c r="AA44" i="4"/>
  <c r="AB43" i="4"/>
  <c r="AA43" i="4"/>
  <c r="AB42" i="4"/>
  <c r="AA42" i="4"/>
  <c r="AB41" i="4"/>
  <c r="AA41" i="4"/>
  <c r="AB40" i="4"/>
  <c r="AA40" i="4"/>
  <c r="AB39" i="4"/>
  <c r="AA39" i="4"/>
  <c r="AB38" i="4"/>
  <c r="AA38" i="4"/>
  <c r="AB37" i="4"/>
  <c r="AA37" i="4"/>
  <c r="AB36" i="4"/>
  <c r="AA36" i="4"/>
  <c r="AB35" i="4"/>
  <c r="AA35" i="4"/>
  <c r="AB34" i="4"/>
  <c r="AA34" i="4"/>
  <c r="AB33" i="4"/>
  <c r="AA33" i="4"/>
  <c r="AB32" i="4"/>
  <c r="AA32" i="4"/>
  <c r="AB31" i="4"/>
  <c r="AA31" i="4"/>
  <c r="AB30" i="4"/>
  <c r="AA30" i="4"/>
  <c r="AB29" i="4"/>
  <c r="AA29" i="4"/>
  <c r="AB28" i="4"/>
  <c r="AA28" i="4"/>
  <c r="AB27" i="4"/>
  <c r="AA27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Z369" i="4"/>
  <c r="Y369" i="4"/>
  <c r="Z368" i="4"/>
  <c r="Y368" i="4"/>
  <c r="Z367" i="4"/>
  <c r="Y367" i="4"/>
  <c r="Z366" i="4"/>
  <c r="Y366" i="4"/>
  <c r="Z365" i="4"/>
  <c r="Y365" i="4"/>
  <c r="Z364" i="4"/>
  <c r="Y364" i="4"/>
  <c r="Z363" i="4"/>
  <c r="Y363" i="4"/>
  <c r="Z362" i="4"/>
  <c r="Y362" i="4"/>
  <c r="Z361" i="4"/>
  <c r="Y361" i="4"/>
  <c r="Z360" i="4"/>
  <c r="Y360" i="4"/>
  <c r="Z359" i="4"/>
  <c r="Y359" i="4"/>
  <c r="Z358" i="4"/>
  <c r="Y358" i="4"/>
  <c r="Z357" i="4"/>
  <c r="Y357" i="4"/>
  <c r="Z356" i="4"/>
  <c r="Y356" i="4"/>
  <c r="Z355" i="4"/>
  <c r="Y355" i="4"/>
  <c r="Z354" i="4"/>
  <c r="Y354" i="4"/>
  <c r="Z353" i="4"/>
  <c r="Y353" i="4"/>
  <c r="Z352" i="4"/>
  <c r="Y352" i="4"/>
  <c r="Z351" i="4"/>
  <c r="Y351" i="4"/>
  <c r="Z350" i="4"/>
  <c r="Y350" i="4"/>
  <c r="Z349" i="4"/>
  <c r="Y349" i="4"/>
  <c r="Z348" i="4"/>
  <c r="Y348" i="4"/>
  <c r="Z347" i="4"/>
  <c r="Y347" i="4"/>
  <c r="Z346" i="4"/>
  <c r="Y346" i="4"/>
  <c r="Z345" i="4"/>
  <c r="Y345" i="4"/>
  <c r="Z344" i="4"/>
  <c r="Y344" i="4"/>
  <c r="Z343" i="4"/>
  <c r="Y343" i="4"/>
  <c r="Z342" i="4"/>
  <c r="Y342" i="4"/>
  <c r="Z341" i="4"/>
  <c r="Y341" i="4"/>
  <c r="Z340" i="4"/>
  <c r="Y340" i="4"/>
  <c r="Z339" i="4"/>
  <c r="Y339" i="4"/>
  <c r="Z338" i="4"/>
  <c r="Y338" i="4"/>
  <c r="Z337" i="4"/>
  <c r="Y337" i="4"/>
  <c r="Z336" i="4"/>
  <c r="Y336" i="4"/>
  <c r="Z335" i="4"/>
  <c r="Y335" i="4"/>
  <c r="Z334" i="4"/>
  <c r="Y334" i="4"/>
  <c r="Z333" i="4"/>
  <c r="Y333" i="4"/>
  <c r="Z332" i="4"/>
  <c r="Y332" i="4"/>
  <c r="Z331" i="4"/>
  <c r="Y331" i="4"/>
  <c r="Z330" i="4"/>
  <c r="Y330" i="4"/>
  <c r="Z329" i="4"/>
  <c r="Y329" i="4"/>
  <c r="Z328" i="4"/>
  <c r="Y328" i="4"/>
  <c r="Z327" i="4"/>
  <c r="Y327" i="4"/>
  <c r="Z326" i="4"/>
  <c r="Y32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X369" i="4"/>
  <c r="W369" i="4"/>
  <c r="X368" i="4"/>
  <c r="W368" i="4"/>
  <c r="X367" i="4"/>
  <c r="W367" i="4"/>
  <c r="X366" i="4"/>
  <c r="W366" i="4"/>
  <c r="X365" i="4"/>
  <c r="W365" i="4"/>
  <c r="X364" i="4"/>
  <c r="W364" i="4"/>
  <c r="X363" i="4"/>
  <c r="W363" i="4"/>
  <c r="X362" i="4"/>
  <c r="W362" i="4"/>
  <c r="X361" i="4"/>
  <c r="W361" i="4"/>
  <c r="X360" i="4"/>
  <c r="W360" i="4"/>
  <c r="X359" i="4"/>
  <c r="W359" i="4"/>
  <c r="X358" i="4"/>
  <c r="W358" i="4"/>
  <c r="X357" i="4"/>
  <c r="W357" i="4"/>
  <c r="X356" i="4"/>
  <c r="W356" i="4"/>
  <c r="X355" i="4"/>
  <c r="W355" i="4"/>
  <c r="X354" i="4"/>
  <c r="W354" i="4"/>
  <c r="X353" i="4"/>
  <c r="W353" i="4"/>
  <c r="X352" i="4"/>
  <c r="W352" i="4"/>
  <c r="X351" i="4"/>
  <c r="W351" i="4"/>
  <c r="X350" i="4"/>
  <c r="W350" i="4"/>
  <c r="X349" i="4"/>
  <c r="W349" i="4"/>
  <c r="X348" i="4"/>
  <c r="W348" i="4"/>
  <c r="X347" i="4"/>
  <c r="W347" i="4"/>
  <c r="X346" i="4"/>
  <c r="W346" i="4"/>
  <c r="X345" i="4"/>
  <c r="W345" i="4"/>
  <c r="X344" i="4"/>
  <c r="W344" i="4"/>
  <c r="X343" i="4"/>
  <c r="W343" i="4"/>
  <c r="X342" i="4"/>
  <c r="W342" i="4"/>
  <c r="X341" i="4"/>
  <c r="W341" i="4"/>
  <c r="X340" i="4"/>
  <c r="W340" i="4"/>
  <c r="X339" i="4"/>
  <c r="W339" i="4"/>
  <c r="X338" i="4"/>
  <c r="W338" i="4"/>
  <c r="X337" i="4"/>
  <c r="W337" i="4"/>
  <c r="X336" i="4"/>
  <c r="W336" i="4"/>
  <c r="X335" i="4"/>
  <c r="W335" i="4"/>
  <c r="X334" i="4"/>
  <c r="W334" i="4"/>
  <c r="X333" i="4"/>
  <c r="W333" i="4"/>
  <c r="X332" i="4"/>
  <c r="W332" i="4"/>
  <c r="X331" i="4"/>
  <c r="W331" i="4"/>
  <c r="X330" i="4"/>
  <c r="W330" i="4"/>
  <c r="X329" i="4"/>
  <c r="W329" i="4"/>
  <c r="X328" i="4"/>
  <c r="W328" i="4"/>
  <c r="X327" i="4"/>
  <c r="W327" i="4"/>
  <c r="X326" i="4"/>
  <c r="W326" i="4"/>
  <c r="X325" i="4"/>
  <c r="W325" i="4"/>
  <c r="X324" i="4"/>
  <c r="W324" i="4"/>
  <c r="X323" i="4"/>
  <c r="W323" i="4"/>
  <c r="X322" i="4"/>
  <c r="W322" i="4"/>
  <c r="X321" i="4"/>
  <c r="W321" i="4"/>
  <c r="X320" i="4"/>
  <c r="W320" i="4"/>
  <c r="X319" i="4"/>
  <c r="W319" i="4"/>
  <c r="X318" i="4"/>
  <c r="W318" i="4"/>
  <c r="X317" i="4"/>
  <c r="W317" i="4"/>
  <c r="X316" i="4"/>
  <c r="W316" i="4"/>
  <c r="X315" i="4"/>
  <c r="W315" i="4"/>
  <c r="X314" i="4"/>
  <c r="W314" i="4"/>
  <c r="X313" i="4"/>
  <c r="W313" i="4"/>
  <c r="X312" i="4"/>
  <c r="W312" i="4"/>
  <c r="X311" i="4"/>
  <c r="W311" i="4"/>
  <c r="X310" i="4"/>
  <c r="W310" i="4"/>
  <c r="X309" i="4"/>
  <c r="W309" i="4"/>
  <c r="X308" i="4"/>
  <c r="W308" i="4"/>
  <c r="X307" i="4"/>
  <c r="W307" i="4"/>
  <c r="X306" i="4"/>
  <c r="W306" i="4"/>
  <c r="X305" i="4"/>
  <c r="W305" i="4"/>
  <c r="X304" i="4"/>
  <c r="W304" i="4"/>
  <c r="X303" i="4"/>
  <c r="W303" i="4"/>
  <c r="X302" i="4"/>
  <c r="W302" i="4"/>
  <c r="X301" i="4"/>
  <c r="W301" i="4"/>
  <c r="X300" i="4"/>
  <c r="W300" i="4"/>
  <c r="X299" i="4"/>
  <c r="W299" i="4"/>
  <c r="X298" i="4"/>
  <c r="W298" i="4"/>
  <c r="X297" i="4"/>
  <c r="W297" i="4"/>
  <c r="X296" i="4"/>
  <c r="W296" i="4"/>
  <c r="X295" i="4"/>
  <c r="W295" i="4"/>
  <c r="X294" i="4"/>
  <c r="W294" i="4"/>
  <c r="X293" i="4"/>
  <c r="W293" i="4"/>
  <c r="X292" i="4"/>
  <c r="W292" i="4"/>
  <c r="X291" i="4"/>
  <c r="W291" i="4"/>
  <c r="X290" i="4"/>
  <c r="W290" i="4"/>
  <c r="X289" i="4"/>
  <c r="W289" i="4"/>
  <c r="X288" i="4"/>
  <c r="W288" i="4"/>
  <c r="X287" i="4"/>
  <c r="W287" i="4"/>
  <c r="X286" i="4"/>
  <c r="W286" i="4"/>
  <c r="X285" i="4"/>
  <c r="W285" i="4"/>
  <c r="X284" i="4"/>
  <c r="W284" i="4"/>
  <c r="X283" i="4"/>
  <c r="W283" i="4"/>
  <c r="X282" i="4"/>
  <c r="W282" i="4"/>
  <c r="X281" i="4"/>
  <c r="W281" i="4"/>
  <c r="X280" i="4"/>
  <c r="W280" i="4"/>
  <c r="X279" i="4"/>
  <c r="W279" i="4"/>
  <c r="X278" i="4"/>
  <c r="W278" i="4"/>
  <c r="X277" i="4"/>
  <c r="W277" i="4"/>
  <c r="X276" i="4"/>
  <c r="W276" i="4"/>
  <c r="X275" i="4"/>
  <c r="W275" i="4"/>
  <c r="X274" i="4"/>
  <c r="W274" i="4"/>
  <c r="X273" i="4"/>
  <c r="W273" i="4"/>
  <c r="X272" i="4"/>
  <c r="W272" i="4"/>
  <c r="X271" i="4"/>
  <c r="W271" i="4"/>
  <c r="X270" i="4"/>
  <c r="W270" i="4"/>
  <c r="X269" i="4"/>
  <c r="W269" i="4"/>
  <c r="X268" i="4"/>
  <c r="W268" i="4"/>
  <c r="X267" i="4"/>
  <c r="W267" i="4"/>
  <c r="X266" i="4"/>
  <c r="W266" i="4"/>
  <c r="X265" i="4"/>
  <c r="W265" i="4"/>
  <c r="X264" i="4"/>
  <c r="W264" i="4"/>
  <c r="X263" i="4"/>
  <c r="W263" i="4"/>
  <c r="X262" i="4"/>
  <c r="W262" i="4"/>
  <c r="X261" i="4"/>
  <c r="W261" i="4"/>
  <c r="X260" i="4"/>
  <c r="W260" i="4"/>
  <c r="X259" i="4"/>
  <c r="W259" i="4"/>
  <c r="X258" i="4"/>
  <c r="W258" i="4"/>
  <c r="X257" i="4"/>
  <c r="W257" i="4"/>
  <c r="X256" i="4"/>
  <c r="W256" i="4"/>
  <c r="X255" i="4"/>
  <c r="W255" i="4"/>
  <c r="X254" i="4"/>
  <c r="W254" i="4"/>
  <c r="X253" i="4"/>
  <c r="W253" i="4"/>
  <c r="X252" i="4"/>
  <c r="W252" i="4"/>
  <c r="X251" i="4"/>
  <c r="W251" i="4"/>
  <c r="X250" i="4"/>
  <c r="W250" i="4"/>
  <c r="X249" i="4"/>
  <c r="W249" i="4"/>
  <c r="X248" i="4"/>
  <c r="W248" i="4"/>
  <c r="X247" i="4"/>
  <c r="W247" i="4"/>
  <c r="X246" i="4"/>
  <c r="W246" i="4"/>
  <c r="X245" i="4"/>
  <c r="W245" i="4"/>
  <c r="X244" i="4"/>
  <c r="W244" i="4"/>
  <c r="X243" i="4"/>
  <c r="W243" i="4"/>
  <c r="X242" i="4"/>
  <c r="W242" i="4"/>
  <c r="X241" i="4"/>
  <c r="W241" i="4"/>
  <c r="X240" i="4"/>
  <c r="W240" i="4"/>
  <c r="X239" i="4"/>
  <c r="W239" i="4"/>
  <c r="X238" i="4"/>
  <c r="W238" i="4"/>
  <c r="X237" i="4"/>
  <c r="W237" i="4"/>
  <c r="X236" i="4"/>
  <c r="W236" i="4"/>
  <c r="X235" i="4"/>
  <c r="W235" i="4"/>
  <c r="X234" i="4"/>
  <c r="W234" i="4"/>
  <c r="X233" i="4"/>
  <c r="W233" i="4"/>
  <c r="X232" i="4"/>
  <c r="W232" i="4"/>
  <c r="X231" i="4"/>
  <c r="W231" i="4"/>
  <c r="X230" i="4"/>
  <c r="W230" i="4"/>
  <c r="X229" i="4"/>
  <c r="W229" i="4"/>
  <c r="X228" i="4"/>
  <c r="W228" i="4"/>
  <c r="X227" i="4"/>
  <c r="W227" i="4"/>
  <c r="X226" i="4"/>
  <c r="W226" i="4"/>
  <c r="X225" i="4"/>
  <c r="W225" i="4"/>
  <c r="X224" i="4"/>
  <c r="W224" i="4"/>
  <c r="X223" i="4"/>
  <c r="W223" i="4"/>
  <c r="X222" i="4"/>
  <c r="W222" i="4"/>
  <c r="X221" i="4"/>
  <c r="W221" i="4"/>
  <c r="X220" i="4"/>
  <c r="W220" i="4"/>
  <c r="X219" i="4"/>
  <c r="W219" i="4"/>
  <c r="X218" i="4"/>
  <c r="W218" i="4"/>
  <c r="X217" i="4"/>
  <c r="W217" i="4"/>
  <c r="X216" i="4"/>
  <c r="W216" i="4"/>
  <c r="X215" i="4"/>
  <c r="W215" i="4"/>
  <c r="X214" i="4"/>
  <c r="W214" i="4"/>
  <c r="X213" i="4"/>
  <c r="W213" i="4"/>
  <c r="X212" i="4"/>
  <c r="W212" i="4"/>
  <c r="X211" i="4"/>
  <c r="W211" i="4"/>
  <c r="X210" i="4"/>
  <c r="W210" i="4"/>
  <c r="X209" i="4"/>
  <c r="W209" i="4"/>
  <c r="X208" i="4"/>
  <c r="W208" i="4"/>
  <c r="X207" i="4"/>
  <c r="W207" i="4"/>
  <c r="X206" i="4"/>
  <c r="W206" i="4"/>
  <c r="X205" i="4"/>
  <c r="W205" i="4"/>
  <c r="X204" i="4"/>
  <c r="W204" i="4"/>
  <c r="X203" i="4"/>
  <c r="W203" i="4"/>
  <c r="X202" i="4"/>
  <c r="W202" i="4"/>
  <c r="X201" i="4"/>
  <c r="W201" i="4"/>
  <c r="X200" i="4"/>
  <c r="W200" i="4"/>
  <c r="X199" i="4"/>
  <c r="W199" i="4"/>
  <c r="X198" i="4"/>
  <c r="W198" i="4"/>
  <c r="X197" i="4"/>
  <c r="W197" i="4"/>
  <c r="X196" i="4"/>
  <c r="W196" i="4"/>
  <c r="X195" i="4"/>
  <c r="W195" i="4"/>
  <c r="X194" i="4"/>
  <c r="W194" i="4"/>
  <c r="X193" i="4"/>
  <c r="W193" i="4"/>
  <c r="X192" i="4"/>
  <c r="W192" i="4"/>
  <c r="X191" i="4"/>
  <c r="W191" i="4"/>
  <c r="X190" i="4"/>
  <c r="W190" i="4"/>
  <c r="X189" i="4"/>
  <c r="W189" i="4"/>
  <c r="X188" i="4"/>
  <c r="W188" i="4"/>
  <c r="X187" i="4"/>
  <c r="W187" i="4"/>
  <c r="X186" i="4"/>
  <c r="W186" i="4"/>
  <c r="X185" i="4"/>
  <c r="W185" i="4"/>
  <c r="X184" i="4"/>
  <c r="W184" i="4"/>
  <c r="X183" i="4"/>
  <c r="W183" i="4"/>
  <c r="X182" i="4"/>
  <c r="W182" i="4"/>
  <c r="X181" i="4"/>
  <c r="W181" i="4"/>
  <c r="X180" i="4"/>
  <c r="W180" i="4"/>
  <c r="X179" i="4"/>
  <c r="W179" i="4"/>
  <c r="X178" i="4"/>
  <c r="W178" i="4"/>
  <c r="X177" i="4"/>
  <c r="W177" i="4"/>
  <c r="X176" i="4"/>
  <c r="W176" i="4"/>
  <c r="X175" i="4"/>
  <c r="W175" i="4"/>
  <c r="X174" i="4"/>
  <c r="W174" i="4"/>
  <c r="X173" i="4"/>
  <c r="W173" i="4"/>
  <c r="X172" i="4"/>
  <c r="W172" i="4"/>
  <c r="X171" i="4"/>
  <c r="W171" i="4"/>
  <c r="X170" i="4"/>
  <c r="W170" i="4"/>
  <c r="X169" i="4"/>
  <c r="W169" i="4"/>
  <c r="X168" i="4"/>
  <c r="W168" i="4"/>
  <c r="X167" i="4"/>
  <c r="W167" i="4"/>
  <c r="X166" i="4"/>
  <c r="W166" i="4"/>
  <c r="X165" i="4"/>
  <c r="W165" i="4"/>
  <c r="X164" i="4"/>
  <c r="W164" i="4"/>
  <c r="X163" i="4"/>
  <c r="W163" i="4"/>
  <c r="X162" i="4"/>
  <c r="W162" i="4"/>
  <c r="X161" i="4"/>
  <c r="W161" i="4"/>
  <c r="X160" i="4"/>
  <c r="W160" i="4"/>
  <c r="X159" i="4"/>
  <c r="W159" i="4"/>
  <c r="X158" i="4"/>
  <c r="W158" i="4"/>
  <c r="X157" i="4"/>
  <c r="W157" i="4"/>
  <c r="X156" i="4"/>
  <c r="W156" i="4"/>
  <c r="X155" i="4"/>
  <c r="W155" i="4"/>
  <c r="X154" i="4"/>
  <c r="W154" i="4"/>
  <c r="X153" i="4"/>
  <c r="W153" i="4"/>
  <c r="X152" i="4"/>
  <c r="W152" i="4"/>
  <c r="X151" i="4"/>
  <c r="W151" i="4"/>
  <c r="X150" i="4"/>
  <c r="W150" i="4"/>
  <c r="X149" i="4"/>
  <c r="W149" i="4"/>
  <c r="X148" i="4"/>
  <c r="W148" i="4"/>
  <c r="X147" i="4"/>
  <c r="W147" i="4"/>
  <c r="X146" i="4"/>
  <c r="W146" i="4"/>
  <c r="X145" i="4"/>
  <c r="W145" i="4"/>
  <c r="X144" i="4"/>
  <c r="W144" i="4"/>
  <c r="X143" i="4"/>
  <c r="W143" i="4"/>
  <c r="X142" i="4"/>
  <c r="W142" i="4"/>
  <c r="X141" i="4"/>
  <c r="W141" i="4"/>
  <c r="X140" i="4"/>
  <c r="W140" i="4"/>
  <c r="X139" i="4"/>
  <c r="W139" i="4"/>
  <c r="X138" i="4"/>
  <c r="W138" i="4"/>
  <c r="X137" i="4"/>
  <c r="W137" i="4"/>
  <c r="X136" i="4"/>
  <c r="W136" i="4"/>
  <c r="X135" i="4"/>
  <c r="W135" i="4"/>
  <c r="X134" i="4"/>
  <c r="W134" i="4"/>
  <c r="X133" i="4"/>
  <c r="W133" i="4"/>
  <c r="X132" i="4"/>
  <c r="W132" i="4"/>
  <c r="X131" i="4"/>
  <c r="W131" i="4"/>
  <c r="X130" i="4"/>
  <c r="W130" i="4"/>
  <c r="X129" i="4"/>
  <c r="W129" i="4"/>
  <c r="X128" i="4"/>
  <c r="W128" i="4"/>
  <c r="X127" i="4"/>
  <c r="W127" i="4"/>
  <c r="X126" i="4"/>
  <c r="W126" i="4"/>
  <c r="X125" i="4"/>
  <c r="W125" i="4"/>
  <c r="X124" i="4"/>
  <c r="W124" i="4"/>
  <c r="X123" i="4"/>
  <c r="W123" i="4"/>
  <c r="X122" i="4"/>
  <c r="W122" i="4"/>
  <c r="X121" i="4"/>
  <c r="W121" i="4"/>
  <c r="X120" i="4"/>
  <c r="W120" i="4"/>
  <c r="X119" i="4"/>
  <c r="W119" i="4"/>
  <c r="X118" i="4"/>
  <c r="W118" i="4"/>
  <c r="X117" i="4"/>
  <c r="W117" i="4"/>
  <c r="X116" i="4"/>
  <c r="W116" i="4"/>
  <c r="X115" i="4"/>
  <c r="W115" i="4"/>
  <c r="X114" i="4"/>
  <c r="W114" i="4"/>
  <c r="X113" i="4"/>
  <c r="W113" i="4"/>
  <c r="X112" i="4"/>
  <c r="W112" i="4"/>
  <c r="X111" i="4"/>
  <c r="W111" i="4"/>
  <c r="X110" i="4"/>
  <c r="W110" i="4"/>
  <c r="X109" i="4"/>
  <c r="W109" i="4"/>
  <c r="X108" i="4"/>
  <c r="W108" i="4"/>
  <c r="X107" i="4"/>
  <c r="W107" i="4"/>
  <c r="X106" i="4"/>
  <c r="W106" i="4"/>
  <c r="X105" i="4"/>
  <c r="W105" i="4"/>
  <c r="X104" i="4"/>
  <c r="W104" i="4"/>
  <c r="X103" i="4"/>
  <c r="W103" i="4"/>
  <c r="X102" i="4"/>
  <c r="W102" i="4"/>
  <c r="X101" i="4"/>
  <c r="W101" i="4"/>
  <c r="X100" i="4"/>
  <c r="W100" i="4"/>
  <c r="X99" i="4"/>
  <c r="W99" i="4"/>
  <c r="X98" i="4"/>
  <c r="W98" i="4"/>
  <c r="X97" i="4"/>
  <c r="W97" i="4"/>
  <c r="X96" i="4"/>
  <c r="W96" i="4"/>
  <c r="X95" i="4"/>
  <c r="W95" i="4"/>
  <c r="X94" i="4"/>
  <c r="W94" i="4"/>
  <c r="X93" i="4"/>
  <c r="W93" i="4"/>
  <c r="X92" i="4"/>
  <c r="W92" i="4"/>
  <c r="X91" i="4"/>
  <c r="W91" i="4"/>
  <c r="X90" i="4"/>
  <c r="W90" i="4"/>
  <c r="X89" i="4"/>
  <c r="W89" i="4"/>
  <c r="X88" i="4"/>
  <c r="W88" i="4"/>
  <c r="X87" i="4"/>
  <c r="W87" i="4"/>
  <c r="X86" i="4"/>
  <c r="W86" i="4"/>
  <c r="X85" i="4"/>
  <c r="W85" i="4"/>
  <c r="X84" i="4"/>
  <c r="W84" i="4"/>
  <c r="X83" i="4"/>
  <c r="W83" i="4"/>
  <c r="X82" i="4"/>
  <c r="W82" i="4"/>
  <c r="X81" i="4"/>
  <c r="W81" i="4"/>
  <c r="X80" i="4"/>
  <c r="W80" i="4"/>
  <c r="X79" i="4"/>
  <c r="W79" i="4"/>
  <c r="X78" i="4"/>
  <c r="W78" i="4"/>
  <c r="X77" i="4"/>
  <c r="W77" i="4"/>
  <c r="X76" i="4"/>
  <c r="W76" i="4"/>
  <c r="X75" i="4"/>
  <c r="W75" i="4"/>
  <c r="X74" i="4"/>
  <c r="W74" i="4"/>
  <c r="X73" i="4"/>
  <c r="W73" i="4"/>
  <c r="X72" i="4"/>
  <c r="W72" i="4"/>
  <c r="X71" i="4"/>
  <c r="W71" i="4"/>
  <c r="X70" i="4"/>
  <c r="W70" i="4"/>
  <c r="X69" i="4"/>
  <c r="W69" i="4"/>
  <c r="X68" i="4"/>
  <c r="W68" i="4"/>
  <c r="X67" i="4"/>
  <c r="W67" i="4"/>
  <c r="X66" i="4"/>
  <c r="W66" i="4"/>
  <c r="X65" i="4"/>
  <c r="W65" i="4"/>
  <c r="X64" i="4"/>
  <c r="W64" i="4"/>
  <c r="X63" i="4"/>
  <c r="W63" i="4"/>
  <c r="X62" i="4"/>
  <c r="W62" i="4"/>
  <c r="X61" i="4"/>
  <c r="W61" i="4"/>
  <c r="X60" i="4"/>
  <c r="W60" i="4"/>
  <c r="X59" i="4"/>
  <c r="W59" i="4"/>
  <c r="X58" i="4"/>
  <c r="W58" i="4"/>
  <c r="X57" i="4"/>
  <c r="W57" i="4"/>
  <c r="X56" i="4"/>
  <c r="W56" i="4"/>
  <c r="X55" i="4"/>
  <c r="W55" i="4"/>
  <c r="X54" i="4"/>
  <c r="W54" i="4"/>
  <c r="X53" i="4"/>
  <c r="W53" i="4"/>
  <c r="X52" i="4"/>
  <c r="W52" i="4"/>
  <c r="X51" i="4"/>
  <c r="W51" i="4"/>
  <c r="X50" i="4"/>
  <c r="W50" i="4"/>
  <c r="X49" i="4"/>
  <c r="W49" i="4"/>
  <c r="X48" i="4"/>
  <c r="W48" i="4"/>
  <c r="X47" i="4"/>
  <c r="W47" i="4"/>
  <c r="X46" i="4"/>
  <c r="W46" i="4"/>
  <c r="X45" i="4"/>
  <c r="W45" i="4"/>
  <c r="X44" i="4"/>
  <c r="W44" i="4"/>
  <c r="X43" i="4"/>
  <c r="W43" i="4"/>
  <c r="X42" i="4"/>
  <c r="W42" i="4"/>
  <c r="X41" i="4"/>
  <c r="W41" i="4"/>
  <c r="X40" i="4"/>
  <c r="W40" i="4"/>
  <c r="X39" i="4"/>
  <c r="W39" i="4"/>
  <c r="X38" i="4"/>
  <c r="W38" i="4"/>
  <c r="X37" i="4"/>
  <c r="W37" i="4"/>
  <c r="X36" i="4"/>
  <c r="W36" i="4"/>
  <c r="X35" i="4"/>
  <c r="W35" i="4"/>
  <c r="X34" i="4"/>
  <c r="W34" i="4"/>
  <c r="X33" i="4"/>
  <c r="W33" i="4"/>
  <c r="X32" i="4"/>
  <c r="W32" i="4"/>
  <c r="X31" i="4"/>
  <c r="W31" i="4"/>
  <c r="X30" i="4"/>
  <c r="W30" i="4"/>
  <c r="X29" i="4"/>
  <c r="W29" i="4"/>
  <c r="X28" i="4"/>
  <c r="W28" i="4"/>
  <c r="X27" i="4"/>
  <c r="W27" i="4"/>
  <c r="X26" i="4"/>
  <c r="W26" i="4"/>
  <c r="X25" i="4"/>
  <c r="W25" i="4"/>
  <c r="X24" i="4"/>
  <c r="W24" i="4"/>
  <c r="X23" i="4"/>
  <c r="W23" i="4"/>
  <c r="X22" i="4"/>
  <c r="W22" i="4"/>
  <c r="X21" i="4"/>
  <c r="W21" i="4"/>
  <c r="X20" i="4"/>
  <c r="W20" i="4"/>
  <c r="X19" i="4"/>
  <c r="W19" i="4"/>
  <c r="X18" i="4"/>
  <c r="W18" i="4"/>
  <c r="X17" i="4"/>
  <c r="W17" i="4"/>
  <c r="X16" i="4"/>
  <c r="W16" i="4"/>
  <c r="X15" i="4"/>
  <c r="W15" i="4"/>
  <c r="X14" i="4"/>
  <c r="W14" i="4"/>
  <c r="X13" i="4"/>
  <c r="W13" i="4"/>
  <c r="X12" i="4"/>
  <c r="W12" i="4"/>
  <c r="X11" i="4"/>
  <c r="W11" i="4"/>
  <c r="V369" i="4"/>
  <c r="U369" i="4"/>
  <c r="V368" i="4"/>
  <c r="U368" i="4"/>
  <c r="V367" i="4"/>
  <c r="U367" i="4"/>
  <c r="V366" i="4"/>
  <c r="U366" i="4"/>
  <c r="V365" i="4"/>
  <c r="U365" i="4"/>
  <c r="V364" i="4"/>
  <c r="U364" i="4"/>
  <c r="V363" i="4"/>
  <c r="U363" i="4"/>
  <c r="V362" i="4"/>
  <c r="U362" i="4"/>
  <c r="V361" i="4"/>
  <c r="U361" i="4"/>
  <c r="V360" i="4"/>
  <c r="U360" i="4"/>
  <c r="V359" i="4"/>
  <c r="U359" i="4"/>
  <c r="V358" i="4"/>
  <c r="U358" i="4"/>
  <c r="V357" i="4"/>
  <c r="U357" i="4"/>
  <c r="V356" i="4"/>
  <c r="U356" i="4"/>
  <c r="V355" i="4"/>
  <c r="U355" i="4"/>
  <c r="V354" i="4"/>
  <c r="U354" i="4"/>
  <c r="V353" i="4"/>
  <c r="U353" i="4"/>
  <c r="V352" i="4"/>
  <c r="U352" i="4"/>
  <c r="V351" i="4"/>
  <c r="U351" i="4"/>
  <c r="V350" i="4"/>
  <c r="U350" i="4"/>
  <c r="V349" i="4"/>
  <c r="U349" i="4"/>
  <c r="V348" i="4"/>
  <c r="U348" i="4"/>
  <c r="V347" i="4"/>
  <c r="U347" i="4"/>
  <c r="V346" i="4"/>
  <c r="U346" i="4"/>
  <c r="V345" i="4"/>
  <c r="U345" i="4"/>
  <c r="V344" i="4"/>
  <c r="U344" i="4"/>
  <c r="V343" i="4"/>
  <c r="U343" i="4"/>
  <c r="V342" i="4"/>
  <c r="U342" i="4"/>
  <c r="V341" i="4"/>
  <c r="U341" i="4"/>
  <c r="V340" i="4"/>
  <c r="U340" i="4"/>
  <c r="V339" i="4"/>
  <c r="U339" i="4"/>
  <c r="V338" i="4"/>
  <c r="U338" i="4"/>
  <c r="V337" i="4"/>
  <c r="U337" i="4"/>
  <c r="V336" i="4"/>
  <c r="U336" i="4"/>
  <c r="V335" i="4"/>
  <c r="U335" i="4"/>
  <c r="V334" i="4"/>
  <c r="U334" i="4"/>
  <c r="V333" i="4"/>
  <c r="U333" i="4"/>
  <c r="V332" i="4"/>
  <c r="U332" i="4"/>
  <c r="V331" i="4"/>
  <c r="U331" i="4"/>
  <c r="V330" i="4"/>
  <c r="U330" i="4"/>
  <c r="V329" i="4"/>
  <c r="U329" i="4"/>
  <c r="V328" i="4"/>
  <c r="U328" i="4"/>
  <c r="V327" i="4"/>
  <c r="U327" i="4"/>
  <c r="V326" i="4"/>
  <c r="U326" i="4"/>
  <c r="V325" i="4"/>
  <c r="U325" i="4"/>
  <c r="V324" i="4"/>
  <c r="U324" i="4"/>
  <c r="V323" i="4"/>
  <c r="U323" i="4"/>
  <c r="V322" i="4"/>
  <c r="U322" i="4"/>
  <c r="V321" i="4"/>
  <c r="U321" i="4"/>
  <c r="V320" i="4"/>
  <c r="U320" i="4"/>
  <c r="V319" i="4"/>
  <c r="U319" i="4"/>
  <c r="V318" i="4"/>
  <c r="U318" i="4"/>
  <c r="V317" i="4"/>
  <c r="U317" i="4"/>
  <c r="V316" i="4"/>
  <c r="U316" i="4"/>
  <c r="V315" i="4"/>
  <c r="U315" i="4"/>
  <c r="V314" i="4"/>
  <c r="U314" i="4"/>
  <c r="V313" i="4"/>
  <c r="U313" i="4"/>
  <c r="V312" i="4"/>
  <c r="U312" i="4"/>
  <c r="V311" i="4"/>
  <c r="U311" i="4"/>
  <c r="V310" i="4"/>
  <c r="U310" i="4"/>
  <c r="V309" i="4"/>
  <c r="U309" i="4"/>
  <c r="V308" i="4"/>
  <c r="U308" i="4"/>
  <c r="V307" i="4"/>
  <c r="U307" i="4"/>
  <c r="V306" i="4"/>
  <c r="U306" i="4"/>
  <c r="V305" i="4"/>
  <c r="U305" i="4"/>
  <c r="V304" i="4"/>
  <c r="U304" i="4"/>
  <c r="V303" i="4"/>
  <c r="U303" i="4"/>
  <c r="V302" i="4"/>
  <c r="U302" i="4"/>
  <c r="V301" i="4"/>
  <c r="U301" i="4"/>
  <c r="V300" i="4"/>
  <c r="U300" i="4"/>
  <c r="V299" i="4"/>
  <c r="U299" i="4"/>
  <c r="V298" i="4"/>
  <c r="U298" i="4"/>
  <c r="V297" i="4"/>
  <c r="U297" i="4"/>
  <c r="V296" i="4"/>
  <c r="U296" i="4"/>
  <c r="V295" i="4"/>
  <c r="U295" i="4"/>
  <c r="V294" i="4"/>
  <c r="U294" i="4"/>
  <c r="V293" i="4"/>
  <c r="U293" i="4"/>
  <c r="V292" i="4"/>
  <c r="U292" i="4"/>
  <c r="V291" i="4"/>
  <c r="U291" i="4"/>
  <c r="V290" i="4"/>
  <c r="U290" i="4"/>
  <c r="V289" i="4"/>
  <c r="U289" i="4"/>
  <c r="V288" i="4"/>
  <c r="U288" i="4"/>
  <c r="V287" i="4"/>
  <c r="U287" i="4"/>
  <c r="V286" i="4"/>
  <c r="U286" i="4"/>
  <c r="V285" i="4"/>
  <c r="U285" i="4"/>
  <c r="V284" i="4"/>
  <c r="U284" i="4"/>
  <c r="V283" i="4"/>
  <c r="U283" i="4"/>
  <c r="V282" i="4"/>
  <c r="U282" i="4"/>
  <c r="V281" i="4"/>
  <c r="U281" i="4"/>
  <c r="V280" i="4"/>
  <c r="U280" i="4"/>
  <c r="V279" i="4"/>
  <c r="U279" i="4"/>
  <c r="V278" i="4"/>
  <c r="U278" i="4"/>
  <c r="V277" i="4"/>
  <c r="U277" i="4"/>
  <c r="V276" i="4"/>
  <c r="U276" i="4"/>
  <c r="V275" i="4"/>
  <c r="U275" i="4"/>
  <c r="V274" i="4"/>
  <c r="U274" i="4"/>
  <c r="V273" i="4"/>
  <c r="U273" i="4"/>
  <c r="V272" i="4"/>
  <c r="U272" i="4"/>
  <c r="V271" i="4"/>
  <c r="U271" i="4"/>
  <c r="V270" i="4"/>
  <c r="U270" i="4"/>
  <c r="V269" i="4"/>
  <c r="U269" i="4"/>
  <c r="V268" i="4"/>
  <c r="U268" i="4"/>
  <c r="V267" i="4"/>
  <c r="U267" i="4"/>
  <c r="V266" i="4"/>
  <c r="U266" i="4"/>
  <c r="V265" i="4"/>
  <c r="U265" i="4"/>
  <c r="V264" i="4"/>
  <c r="U264" i="4"/>
  <c r="V263" i="4"/>
  <c r="U263" i="4"/>
  <c r="V262" i="4"/>
  <c r="U262" i="4"/>
  <c r="V261" i="4"/>
  <c r="U261" i="4"/>
  <c r="V260" i="4"/>
  <c r="U260" i="4"/>
  <c r="V259" i="4"/>
  <c r="U259" i="4"/>
  <c r="V258" i="4"/>
  <c r="U258" i="4"/>
  <c r="V257" i="4"/>
  <c r="U257" i="4"/>
  <c r="V256" i="4"/>
  <c r="U256" i="4"/>
  <c r="V255" i="4"/>
  <c r="U255" i="4"/>
  <c r="V254" i="4"/>
  <c r="U254" i="4"/>
  <c r="V253" i="4"/>
  <c r="U253" i="4"/>
  <c r="V252" i="4"/>
  <c r="U252" i="4"/>
  <c r="V251" i="4"/>
  <c r="U251" i="4"/>
  <c r="V250" i="4"/>
  <c r="U250" i="4"/>
  <c r="V249" i="4"/>
  <c r="U249" i="4"/>
  <c r="V248" i="4"/>
  <c r="U248" i="4"/>
  <c r="V247" i="4"/>
  <c r="U247" i="4"/>
  <c r="V246" i="4"/>
  <c r="U246" i="4"/>
  <c r="V245" i="4"/>
  <c r="U245" i="4"/>
  <c r="V244" i="4"/>
  <c r="U244" i="4"/>
  <c r="V243" i="4"/>
  <c r="U243" i="4"/>
  <c r="V242" i="4"/>
  <c r="U242" i="4"/>
  <c r="V241" i="4"/>
  <c r="U241" i="4"/>
  <c r="V240" i="4"/>
  <c r="U240" i="4"/>
  <c r="V239" i="4"/>
  <c r="U239" i="4"/>
  <c r="V238" i="4"/>
  <c r="U238" i="4"/>
  <c r="V237" i="4"/>
  <c r="U237" i="4"/>
  <c r="V236" i="4"/>
  <c r="U236" i="4"/>
  <c r="V235" i="4"/>
  <c r="U235" i="4"/>
  <c r="V234" i="4"/>
  <c r="U234" i="4"/>
  <c r="V233" i="4"/>
  <c r="U233" i="4"/>
  <c r="V232" i="4"/>
  <c r="U232" i="4"/>
  <c r="V231" i="4"/>
  <c r="U231" i="4"/>
  <c r="V230" i="4"/>
  <c r="U230" i="4"/>
  <c r="V229" i="4"/>
  <c r="U229" i="4"/>
  <c r="V228" i="4"/>
  <c r="U228" i="4"/>
  <c r="V227" i="4"/>
  <c r="U227" i="4"/>
  <c r="V226" i="4"/>
  <c r="U226" i="4"/>
  <c r="V225" i="4"/>
  <c r="U225" i="4"/>
  <c r="V224" i="4"/>
  <c r="U224" i="4"/>
  <c r="V223" i="4"/>
  <c r="U223" i="4"/>
  <c r="V222" i="4"/>
  <c r="U222" i="4"/>
  <c r="V221" i="4"/>
  <c r="U221" i="4"/>
  <c r="V220" i="4"/>
  <c r="U220" i="4"/>
  <c r="V219" i="4"/>
  <c r="U219" i="4"/>
  <c r="V218" i="4"/>
  <c r="U218" i="4"/>
  <c r="V217" i="4"/>
  <c r="U217" i="4"/>
  <c r="V216" i="4"/>
  <c r="U216" i="4"/>
  <c r="V215" i="4"/>
  <c r="U215" i="4"/>
  <c r="V214" i="4"/>
  <c r="U214" i="4"/>
  <c r="V213" i="4"/>
  <c r="U213" i="4"/>
  <c r="V212" i="4"/>
  <c r="U212" i="4"/>
  <c r="V211" i="4"/>
  <c r="U211" i="4"/>
  <c r="V210" i="4"/>
  <c r="U210" i="4"/>
  <c r="V209" i="4"/>
  <c r="U209" i="4"/>
  <c r="V208" i="4"/>
  <c r="U208" i="4"/>
  <c r="V207" i="4"/>
  <c r="U207" i="4"/>
  <c r="V206" i="4"/>
  <c r="U206" i="4"/>
  <c r="V205" i="4"/>
  <c r="U205" i="4"/>
  <c r="V204" i="4"/>
  <c r="U204" i="4"/>
  <c r="V203" i="4"/>
  <c r="U203" i="4"/>
  <c r="V202" i="4"/>
  <c r="U202" i="4"/>
  <c r="V201" i="4"/>
  <c r="U201" i="4"/>
  <c r="V200" i="4"/>
  <c r="U200" i="4"/>
  <c r="V199" i="4"/>
  <c r="U199" i="4"/>
  <c r="V198" i="4"/>
  <c r="U198" i="4"/>
  <c r="V197" i="4"/>
  <c r="U197" i="4"/>
  <c r="V196" i="4"/>
  <c r="U196" i="4"/>
  <c r="V195" i="4"/>
  <c r="U195" i="4"/>
  <c r="V194" i="4"/>
  <c r="U194" i="4"/>
  <c r="V193" i="4"/>
  <c r="U193" i="4"/>
  <c r="V192" i="4"/>
  <c r="U192" i="4"/>
  <c r="V191" i="4"/>
  <c r="U191" i="4"/>
  <c r="V190" i="4"/>
  <c r="U190" i="4"/>
  <c r="V189" i="4"/>
  <c r="U189" i="4"/>
  <c r="V188" i="4"/>
  <c r="U188" i="4"/>
  <c r="V187" i="4"/>
  <c r="U187" i="4"/>
  <c r="V186" i="4"/>
  <c r="U186" i="4"/>
  <c r="V185" i="4"/>
  <c r="U185" i="4"/>
  <c r="V184" i="4"/>
  <c r="U184" i="4"/>
  <c r="V183" i="4"/>
  <c r="U183" i="4"/>
  <c r="V182" i="4"/>
  <c r="U182" i="4"/>
  <c r="V181" i="4"/>
  <c r="U181" i="4"/>
  <c r="V180" i="4"/>
  <c r="U180" i="4"/>
  <c r="V179" i="4"/>
  <c r="U179" i="4"/>
  <c r="V178" i="4"/>
  <c r="U178" i="4"/>
  <c r="V177" i="4"/>
  <c r="U177" i="4"/>
  <c r="V176" i="4"/>
  <c r="U176" i="4"/>
  <c r="V175" i="4"/>
  <c r="U175" i="4"/>
  <c r="V174" i="4"/>
  <c r="U174" i="4"/>
  <c r="V173" i="4"/>
  <c r="U173" i="4"/>
  <c r="V172" i="4"/>
  <c r="U172" i="4"/>
  <c r="V171" i="4"/>
  <c r="U171" i="4"/>
  <c r="V170" i="4"/>
  <c r="U170" i="4"/>
  <c r="V169" i="4"/>
  <c r="U169" i="4"/>
  <c r="V168" i="4"/>
  <c r="U168" i="4"/>
  <c r="V167" i="4"/>
  <c r="U167" i="4"/>
  <c r="V166" i="4"/>
  <c r="U166" i="4"/>
  <c r="V165" i="4"/>
  <c r="U165" i="4"/>
  <c r="V164" i="4"/>
  <c r="U164" i="4"/>
  <c r="V163" i="4"/>
  <c r="U163" i="4"/>
  <c r="V162" i="4"/>
  <c r="U162" i="4"/>
  <c r="V161" i="4"/>
  <c r="U161" i="4"/>
  <c r="V160" i="4"/>
  <c r="U160" i="4"/>
  <c r="V159" i="4"/>
  <c r="U159" i="4"/>
  <c r="V158" i="4"/>
  <c r="U158" i="4"/>
  <c r="V157" i="4"/>
  <c r="U157" i="4"/>
  <c r="V156" i="4"/>
  <c r="U156" i="4"/>
  <c r="V155" i="4"/>
  <c r="U155" i="4"/>
  <c r="V154" i="4"/>
  <c r="U154" i="4"/>
  <c r="V153" i="4"/>
  <c r="U153" i="4"/>
  <c r="V152" i="4"/>
  <c r="U152" i="4"/>
  <c r="V151" i="4"/>
  <c r="U151" i="4"/>
  <c r="V150" i="4"/>
  <c r="U150" i="4"/>
  <c r="V149" i="4"/>
  <c r="U149" i="4"/>
  <c r="V148" i="4"/>
  <c r="U148" i="4"/>
  <c r="V147" i="4"/>
  <c r="U147" i="4"/>
  <c r="V146" i="4"/>
  <c r="U146" i="4"/>
  <c r="V145" i="4"/>
  <c r="U145" i="4"/>
  <c r="V144" i="4"/>
  <c r="U144" i="4"/>
  <c r="V143" i="4"/>
  <c r="U143" i="4"/>
  <c r="V142" i="4"/>
  <c r="U142" i="4"/>
  <c r="V141" i="4"/>
  <c r="U141" i="4"/>
  <c r="V140" i="4"/>
  <c r="U140" i="4"/>
  <c r="V139" i="4"/>
  <c r="U139" i="4"/>
  <c r="V138" i="4"/>
  <c r="U138" i="4"/>
  <c r="V137" i="4"/>
  <c r="U137" i="4"/>
  <c r="V136" i="4"/>
  <c r="U136" i="4"/>
  <c r="V135" i="4"/>
  <c r="U135" i="4"/>
  <c r="V134" i="4"/>
  <c r="U134" i="4"/>
  <c r="V133" i="4"/>
  <c r="U133" i="4"/>
  <c r="V132" i="4"/>
  <c r="U132" i="4"/>
  <c r="V131" i="4"/>
  <c r="U131" i="4"/>
  <c r="V130" i="4"/>
  <c r="U130" i="4"/>
  <c r="V129" i="4"/>
  <c r="U129" i="4"/>
  <c r="V128" i="4"/>
  <c r="U128" i="4"/>
  <c r="V127" i="4"/>
  <c r="U127" i="4"/>
  <c r="V126" i="4"/>
  <c r="U126" i="4"/>
  <c r="V125" i="4"/>
  <c r="U125" i="4"/>
  <c r="V124" i="4"/>
  <c r="U124" i="4"/>
  <c r="V123" i="4"/>
  <c r="U123" i="4"/>
  <c r="V122" i="4"/>
  <c r="U122" i="4"/>
  <c r="V121" i="4"/>
  <c r="U121" i="4"/>
  <c r="V120" i="4"/>
  <c r="U120" i="4"/>
  <c r="V119" i="4"/>
  <c r="U119" i="4"/>
  <c r="V118" i="4"/>
  <c r="U118" i="4"/>
  <c r="V117" i="4"/>
  <c r="U117" i="4"/>
  <c r="V116" i="4"/>
  <c r="U116" i="4"/>
  <c r="V115" i="4"/>
  <c r="U115" i="4"/>
  <c r="V114" i="4"/>
  <c r="U114" i="4"/>
  <c r="V113" i="4"/>
  <c r="U113" i="4"/>
  <c r="V112" i="4"/>
  <c r="U112" i="4"/>
  <c r="V111" i="4"/>
  <c r="U111" i="4"/>
  <c r="V110" i="4"/>
  <c r="U110" i="4"/>
  <c r="V109" i="4"/>
  <c r="U109" i="4"/>
  <c r="V108" i="4"/>
  <c r="U108" i="4"/>
  <c r="V107" i="4"/>
  <c r="U107" i="4"/>
  <c r="V106" i="4"/>
  <c r="U106" i="4"/>
  <c r="V105" i="4"/>
  <c r="U105" i="4"/>
  <c r="V104" i="4"/>
  <c r="U104" i="4"/>
  <c r="V103" i="4"/>
  <c r="U103" i="4"/>
  <c r="V102" i="4"/>
  <c r="U102" i="4"/>
  <c r="V101" i="4"/>
  <c r="U101" i="4"/>
  <c r="V100" i="4"/>
  <c r="U100" i="4"/>
  <c r="V99" i="4"/>
  <c r="U99" i="4"/>
  <c r="V98" i="4"/>
  <c r="U98" i="4"/>
  <c r="V97" i="4"/>
  <c r="U97" i="4"/>
  <c r="V96" i="4"/>
  <c r="U96" i="4"/>
  <c r="V95" i="4"/>
  <c r="U95" i="4"/>
  <c r="V94" i="4"/>
  <c r="U94" i="4"/>
  <c r="V93" i="4"/>
  <c r="U93" i="4"/>
  <c r="V92" i="4"/>
  <c r="U92" i="4"/>
  <c r="V91" i="4"/>
  <c r="U91" i="4"/>
  <c r="V90" i="4"/>
  <c r="U90" i="4"/>
  <c r="V89" i="4"/>
  <c r="U89" i="4"/>
  <c r="V88" i="4"/>
  <c r="U88" i="4"/>
  <c r="V87" i="4"/>
  <c r="U87" i="4"/>
  <c r="V86" i="4"/>
  <c r="U86" i="4"/>
  <c r="V85" i="4"/>
  <c r="U85" i="4"/>
  <c r="V84" i="4"/>
  <c r="U84" i="4"/>
  <c r="V83" i="4"/>
  <c r="U83" i="4"/>
  <c r="V82" i="4"/>
  <c r="U82" i="4"/>
  <c r="V81" i="4"/>
  <c r="U81" i="4"/>
  <c r="V80" i="4"/>
  <c r="U80" i="4"/>
  <c r="V79" i="4"/>
  <c r="U79" i="4"/>
  <c r="V78" i="4"/>
  <c r="U78" i="4"/>
  <c r="V77" i="4"/>
  <c r="U77" i="4"/>
  <c r="V76" i="4"/>
  <c r="U76" i="4"/>
  <c r="V75" i="4"/>
  <c r="U75" i="4"/>
  <c r="V74" i="4"/>
  <c r="U74" i="4"/>
  <c r="V73" i="4"/>
  <c r="U73" i="4"/>
  <c r="V72" i="4"/>
  <c r="U72" i="4"/>
  <c r="V71" i="4"/>
  <c r="U71" i="4"/>
  <c r="V70" i="4"/>
  <c r="U70" i="4"/>
  <c r="V69" i="4"/>
  <c r="U69" i="4"/>
  <c r="V68" i="4"/>
  <c r="U68" i="4"/>
  <c r="V67" i="4"/>
  <c r="U67" i="4"/>
  <c r="V66" i="4"/>
  <c r="U66" i="4"/>
  <c r="V65" i="4"/>
  <c r="U65" i="4"/>
  <c r="V64" i="4"/>
  <c r="U64" i="4"/>
  <c r="V63" i="4"/>
  <c r="U63" i="4"/>
  <c r="V62" i="4"/>
  <c r="U62" i="4"/>
  <c r="V61" i="4"/>
  <c r="U61" i="4"/>
  <c r="V60" i="4"/>
  <c r="U60" i="4"/>
  <c r="V59" i="4"/>
  <c r="U59" i="4"/>
  <c r="V58" i="4"/>
  <c r="U58" i="4"/>
  <c r="V57" i="4"/>
  <c r="U57" i="4"/>
  <c r="V56" i="4"/>
  <c r="U56" i="4"/>
  <c r="V55" i="4"/>
  <c r="U55" i="4"/>
  <c r="V54" i="4"/>
  <c r="U54" i="4"/>
  <c r="V53" i="4"/>
  <c r="U53" i="4"/>
  <c r="V52" i="4"/>
  <c r="U52" i="4"/>
  <c r="V51" i="4"/>
  <c r="U51" i="4"/>
  <c r="V50" i="4"/>
  <c r="U50" i="4"/>
  <c r="V49" i="4"/>
  <c r="U49" i="4"/>
  <c r="V48" i="4"/>
  <c r="U48" i="4"/>
  <c r="V47" i="4"/>
  <c r="U47" i="4"/>
  <c r="V46" i="4"/>
  <c r="U46" i="4"/>
  <c r="V45" i="4"/>
  <c r="U45" i="4"/>
  <c r="V44" i="4"/>
  <c r="U44" i="4"/>
  <c r="V43" i="4"/>
  <c r="U43" i="4"/>
  <c r="V42" i="4"/>
  <c r="U42" i="4"/>
  <c r="V41" i="4"/>
  <c r="U41" i="4"/>
  <c r="V40" i="4"/>
  <c r="U40" i="4"/>
  <c r="V39" i="4"/>
  <c r="U39" i="4"/>
  <c r="V38" i="4"/>
  <c r="U38" i="4"/>
  <c r="V37" i="4"/>
  <c r="U37" i="4"/>
  <c r="V36" i="4"/>
  <c r="U36" i="4"/>
  <c r="V35" i="4"/>
  <c r="U35" i="4"/>
  <c r="V34" i="4"/>
  <c r="U34" i="4"/>
  <c r="V33" i="4"/>
  <c r="U33" i="4"/>
  <c r="V32" i="4"/>
  <c r="U32" i="4"/>
  <c r="V31" i="4"/>
  <c r="U31" i="4"/>
  <c r="V30" i="4"/>
  <c r="U30" i="4"/>
  <c r="V29" i="4"/>
  <c r="U29" i="4"/>
  <c r="V28" i="4"/>
  <c r="U28" i="4"/>
  <c r="V27" i="4"/>
  <c r="U27" i="4"/>
  <c r="V26" i="4"/>
  <c r="U26" i="4"/>
  <c r="V25" i="4"/>
  <c r="U25" i="4"/>
  <c r="V24" i="4"/>
  <c r="U24" i="4"/>
  <c r="V23" i="4"/>
  <c r="U23" i="4"/>
  <c r="V22" i="4"/>
  <c r="U22" i="4"/>
  <c r="V21" i="4"/>
  <c r="U21" i="4"/>
  <c r="V20" i="4"/>
  <c r="U20" i="4"/>
  <c r="V19" i="4"/>
  <c r="U19" i="4"/>
  <c r="V18" i="4"/>
  <c r="U18" i="4"/>
  <c r="V17" i="4"/>
  <c r="U17" i="4"/>
  <c r="V16" i="4"/>
  <c r="U16" i="4"/>
  <c r="V15" i="4"/>
  <c r="U15" i="4"/>
  <c r="V14" i="4"/>
  <c r="U14" i="4"/>
  <c r="V13" i="4"/>
  <c r="U13" i="4"/>
  <c r="V12" i="4"/>
  <c r="U12" i="4"/>
  <c r="V11" i="4"/>
  <c r="U11" i="4"/>
  <c r="S369" i="4"/>
  <c r="R369" i="4"/>
  <c r="S368" i="4"/>
  <c r="R368" i="4"/>
  <c r="S367" i="4"/>
  <c r="R367" i="4"/>
  <c r="S366" i="4"/>
  <c r="R366" i="4"/>
  <c r="S365" i="4"/>
  <c r="R365" i="4"/>
  <c r="S364" i="4"/>
  <c r="R364" i="4"/>
  <c r="S363" i="4"/>
  <c r="R363" i="4"/>
  <c r="S362" i="4"/>
  <c r="R362" i="4"/>
  <c r="S361" i="4"/>
  <c r="R361" i="4"/>
  <c r="S360" i="4"/>
  <c r="R360" i="4"/>
  <c r="S359" i="4"/>
  <c r="R359" i="4"/>
  <c r="S358" i="4"/>
  <c r="R358" i="4"/>
  <c r="S357" i="4"/>
  <c r="R357" i="4"/>
  <c r="S356" i="4"/>
  <c r="R356" i="4"/>
  <c r="S355" i="4"/>
  <c r="R355" i="4"/>
  <c r="S354" i="4"/>
  <c r="R354" i="4"/>
  <c r="S353" i="4"/>
  <c r="R353" i="4"/>
  <c r="S352" i="4"/>
  <c r="R352" i="4"/>
  <c r="S351" i="4"/>
  <c r="R351" i="4"/>
  <c r="S350" i="4"/>
  <c r="R350" i="4"/>
  <c r="S349" i="4"/>
  <c r="R349" i="4"/>
  <c r="S348" i="4"/>
  <c r="R348" i="4"/>
  <c r="S347" i="4"/>
  <c r="R347" i="4"/>
  <c r="S346" i="4"/>
  <c r="R346" i="4"/>
  <c r="S345" i="4"/>
  <c r="R345" i="4"/>
  <c r="S344" i="4"/>
  <c r="R344" i="4"/>
  <c r="S343" i="4"/>
  <c r="R343" i="4"/>
  <c r="S342" i="4"/>
  <c r="R342" i="4"/>
  <c r="S341" i="4"/>
  <c r="R341" i="4"/>
  <c r="S340" i="4"/>
  <c r="R340" i="4"/>
  <c r="S339" i="4"/>
  <c r="R339" i="4"/>
  <c r="S338" i="4"/>
  <c r="R338" i="4"/>
  <c r="S337" i="4"/>
  <c r="R337" i="4"/>
  <c r="S336" i="4"/>
  <c r="R336" i="4"/>
  <c r="S335" i="4"/>
  <c r="R335" i="4"/>
  <c r="S334" i="4"/>
  <c r="R334" i="4"/>
  <c r="S333" i="4"/>
  <c r="R333" i="4"/>
  <c r="S332" i="4"/>
  <c r="R332" i="4"/>
  <c r="S331" i="4"/>
  <c r="R331" i="4"/>
  <c r="S330" i="4"/>
  <c r="R330" i="4"/>
  <c r="S329" i="4"/>
  <c r="R329" i="4"/>
  <c r="S328" i="4"/>
  <c r="R328" i="4"/>
  <c r="S327" i="4"/>
  <c r="R327" i="4"/>
  <c r="S326" i="4"/>
  <c r="R326" i="4"/>
  <c r="S325" i="4"/>
  <c r="R325" i="4"/>
  <c r="S324" i="4"/>
  <c r="R324" i="4"/>
  <c r="S323" i="4"/>
  <c r="R323" i="4"/>
  <c r="S322" i="4"/>
  <c r="R322" i="4"/>
  <c r="S321" i="4"/>
  <c r="R321" i="4"/>
  <c r="S320" i="4"/>
  <c r="R320" i="4"/>
  <c r="S319" i="4"/>
  <c r="R319" i="4"/>
  <c r="S318" i="4"/>
  <c r="R318" i="4"/>
  <c r="S317" i="4"/>
  <c r="R317" i="4"/>
  <c r="S316" i="4"/>
  <c r="R316" i="4"/>
  <c r="S315" i="4"/>
  <c r="R315" i="4"/>
  <c r="S314" i="4"/>
  <c r="R314" i="4"/>
  <c r="S313" i="4"/>
  <c r="R313" i="4"/>
  <c r="S312" i="4"/>
  <c r="R312" i="4"/>
  <c r="S311" i="4"/>
  <c r="R311" i="4"/>
  <c r="S310" i="4"/>
  <c r="R310" i="4"/>
  <c r="S309" i="4"/>
  <c r="R309" i="4"/>
  <c r="S308" i="4"/>
  <c r="R308" i="4"/>
  <c r="S307" i="4"/>
  <c r="R307" i="4"/>
  <c r="S306" i="4"/>
  <c r="R306" i="4"/>
  <c r="S305" i="4"/>
  <c r="R305" i="4"/>
  <c r="S304" i="4"/>
  <c r="R304" i="4"/>
  <c r="S303" i="4"/>
  <c r="R303" i="4"/>
  <c r="S302" i="4"/>
  <c r="R302" i="4"/>
  <c r="S301" i="4"/>
  <c r="R301" i="4"/>
  <c r="S300" i="4"/>
  <c r="R300" i="4"/>
  <c r="S299" i="4"/>
  <c r="R299" i="4"/>
  <c r="S298" i="4"/>
  <c r="R298" i="4"/>
  <c r="S297" i="4"/>
  <c r="R297" i="4"/>
  <c r="S296" i="4"/>
  <c r="R296" i="4"/>
  <c r="S295" i="4"/>
  <c r="R295" i="4"/>
  <c r="S294" i="4"/>
  <c r="R294" i="4"/>
  <c r="S293" i="4"/>
  <c r="R293" i="4"/>
  <c r="S292" i="4"/>
  <c r="R292" i="4"/>
  <c r="S291" i="4"/>
  <c r="R291" i="4"/>
  <c r="S290" i="4"/>
  <c r="R290" i="4"/>
  <c r="S289" i="4"/>
  <c r="R289" i="4"/>
  <c r="S288" i="4"/>
  <c r="R288" i="4"/>
  <c r="S287" i="4"/>
  <c r="R287" i="4"/>
  <c r="S286" i="4"/>
  <c r="R286" i="4"/>
  <c r="S285" i="4"/>
  <c r="R285" i="4"/>
  <c r="S284" i="4"/>
  <c r="R284" i="4"/>
  <c r="S283" i="4"/>
  <c r="R283" i="4"/>
  <c r="S282" i="4"/>
  <c r="R282" i="4"/>
  <c r="S281" i="4"/>
  <c r="R281" i="4"/>
  <c r="S280" i="4"/>
  <c r="R280" i="4"/>
  <c r="S279" i="4"/>
  <c r="R279" i="4"/>
  <c r="S278" i="4"/>
  <c r="R278" i="4"/>
  <c r="S277" i="4"/>
  <c r="R277" i="4"/>
  <c r="S276" i="4"/>
  <c r="R276" i="4"/>
  <c r="S275" i="4"/>
  <c r="R275" i="4"/>
  <c r="S274" i="4"/>
  <c r="R274" i="4"/>
  <c r="S273" i="4"/>
  <c r="R273" i="4"/>
  <c r="S272" i="4"/>
  <c r="R272" i="4"/>
  <c r="S271" i="4"/>
  <c r="R271" i="4"/>
  <c r="S270" i="4"/>
  <c r="R270" i="4"/>
  <c r="S269" i="4"/>
  <c r="R269" i="4"/>
  <c r="S268" i="4"/>
  <c r="R268" i="4"/>
  <c r="S267" i="4"/>
  <c r="R267" i="4"/>
  <c r="S266" i="4"/>
  <c r="R266" i="4"/>
  <c r="S265" i="4"/>
  <c r="R265" i="4"/>
  <c r="S264" i="4"/>
  <c r="R264" i="4"/>
  <c r="S263" i="4"/>
  <c r="R263" i="4"/>
  <c r="S262" i="4"/>
  <c r="R262" i="4"/>
  <c r="S261" i="4"/>
  <c r="R261" i="4"/>
  <c r="S260" i="4"/>
  <c r="R260" i="4"/>
  <c r="S259" i="4"/>
  <c r="R259" i="4"/>
  <c r="S258" i="4"/>
  <c r="R258" i="4"/>
  <c r="S257" i="4"/>
  <c r="R257" i="4"/>
  <c r="S256" i="4"/>
  <c r="R256" i="4"/>
  <c r="S255" i="4"/>
  <c r="R255" i="4"/>
  <c r="S254" i="4"/>
  <c r="R254" i="4"/>
  <c r="S253" i="4"/>
  <c r="R253" i="4"/>
  <c r="S252" i="4"/>
  <c r="R252" i="4"/>
  <c r="S251" i="4"/>
  <c r="R251" i="4"/>
  <c r="S250" i="4"/>
  <c r="R250" i="4"/>
  <c r="S249" i="4"/>
  <c r="R249" i="4"/>
  <c r="S248" i="4"/>
  <c r="R248" i="4"/>
  <c r="S247" i="4"/>
  <c r="R247" i="4"/>
  <c r="S246" i="4"/>
  <c r="R246" i="4"/>
  <c r="S245" i="4"/>
  <c r="R245" i="4"/>
  <c r="S244" i="4"/>
  <c r="R244" i="4"/>
  <c r="S243" i="4"/>
  <c r="R243" i="4"/>
  <c r="S242" i="4"/>
  <c r="R242" i="4"/>
  <c r="S241" i="4"/>
  <c r="R241" i="4"/>
  <c r="S240" i="4"/>
  <c r="R240" i="4"/>
  <c r="S239" i="4"/>
  <c r="R239" i="4"/>
  <c r="S238" i="4"/>
  <c r="R238" i="4"/>
  <c r="S237" i="4"/>
  <c r="R237" i="4"/>
  <c r="S236" i="4"/>
  <c r="R236" i="4"/>
  <c r="S235" i="4"/>
  <c r="R235" i="4"/>
  <c r="S234" i="4"/>
  <c r="R234" i="4"/>
  <c r="S233" i="4"/>
  <c r="R233" i="4"/>
  <c r="S232" i="4"/>
  <c r="R232" i="4"/>
  <c r="S231" i="4"/>
  <c r="R231" i="4"/>
  <c r="S230" i="4"/>
  <c r="R230" i="4"/>
  <c r="S229" i="4"/>
  <c r="R229" i="4"/>
  <c r="S228" i="4"/>
  <c r="R228" i="4"/>
  <c r="S227" i="4"/>
  <c r="R227" i="4"/>
  <c r="S226" i="4"/>
  <c r="R226" i="4"/>
  <c r="S225" i="4"/>
  <c r="R225" i="4"/>
  <c r="S224" i="4"/>
  <c r="R224" i="4"/>
  <c r="S223" i="4"/>
  <c r="R223" i="4"/>
  <c r="S222" i="4"/>
  <c r="R222" i="4"/>
  <c r="S221" i="4"/>
  <c r="R221" i="4"/>
  <c r="S220" i="4"/>
  <c r="R220" i="4"/>
  <c r="S219" i="4"/>
  <c r="R219" i="4"/>
  <c r="S218" i="4"/>
  <c r="R218" i="4"/>
  <c r="S217" i="4"/>
  <c r="R217" i="4"/>
  <c r="S216" i="4"/>
  <c r="R216" i="4"/>
  <c r="S215" i="4"/>
  <c r="R215" i="4"/>
  <c r="S214" i="4"/>
  <c r="R214" i="4"/>
  <c r="S213" i="4"/>
  <c r="R213" i="4"/>
  <c r="S212" i="4"/>
  <c r="R212" i="4"/>
  <c r="S211" i="4"/>
  <c r="R211" i="4"/>
  <c r="S210" i="4"/>
  <c r="R210" i="4"/>
  <c r="S209" i="4"/>
  <c r="R209" i="4"/>
  <c r="S208" i="4"/>
  <c r="R208" i="4"/>
  <c r="S207" i="4"/>
  <c r="R207" i="4"/>
  <c r="S206" i="4"/>
  <c r="R206" i="4"/>
  <c r="S205" i="4"/>
  <c r="R205" i="4"/>
  <c r="S204" i="4"/>
  <c r="R204" i="4"/>
  <c r="S203" i="4"/>
  <c r="R203" i="4"/>
  <c r="S202" i="4"/>
  <c r="R202" i="4"/>
  <c r="S201" i="4"/>
  <c r="R201" i="4"/>
  <c r="S200" i="4"/>
  <c r="R200" i="4"/>
  <c r="S199" i="4"/>
  <c r="R199" i="4"/>
  <c r="S198" i="4"/>
  <c r="R198" i="4"/>
  <c r="S197" i="4"/>
  <c r="R197" i="4"/>
  <c r="S196" i="4"/>
  <c r="R196" i="4"/>
  <c r="S195" i="4"/>
  <c r="R195" i="4"/>
  <c r="S194" i="4"/>
  <c r="R194" i="4"/>
  <c r="S193" i="4"/>
  <c r="R193" i="4"/>
  <c r="S192" i="4"/>
  <c r="R192" i="4"/>
  <c r="S191" i="4"/>
  <c r="R191" i="4"/>
  <c r="S190" i="4"/>
  <c r="R190" i="4"/>
  <c r="S189" i="4"/>
  <c r="R189" i="4"/>
  <c r="S188" i="4"/>
  <c r="R188" i="4"/>
  <c r="S187" i="4"/>
  <c r="R187" i="4"/>
  <c r="S186" i="4"/>
  <c r="R186" i="4"/>
  <c r="S185" i="4"/>
  <c r="R185" i="4"/>
  <c r="S184" i="4"/>
  <c r="R184" i="4"/>
  <c r="S183" i="4"/>
  <c r="R183" i="4"/>
  <c r="S182" i="4"/>
  <c r="R182" i="4"/>
  <c r="S181" i="4"/>
  <c r="R181" i="4"/>
  <c r="S180" i="4"/>
  <c r="R180" i="4"/>
  <c r="S179" i="4"/>
  <c r="R179" i="4"/>
  <c r="S178" i="4"/>
  <c r="R178" i="4"/>
  <c r="S177" i="4"/>
  <c r="R177" i="4"/>
  <c r="S176" i="4"/>
  <c r="R176" i="4"/>
  <c r="S175" i="4"/>
  <c r="R175" i="4"/>
  <c r="S174" i="4"/>
  <c r="R174" i="4"/>
  <c r="S173" i="4"/>
  <c r="R173" i="4"/>
  <c r="S172" i="4"/>
  <c r="R172" i="4"/>
  <c r="S171" i="4"/>
  <c r="R171" i="4"/>
  <c r="S170" i="4"/>
  <c r="R170" i="4"/>
  <c r="S169" i="4"/>
  <c r="R169" i="4"/>
  <c r="S168" i="4"/>
  <c r="R168" i="4"/>
  <c r="S167" i="4"/>
  <c r="R167" i="4"/>
  <c r="S166" i="4"/>
  <c r="R166" i="4"/>
  <c r="S165" i="4"/>
  <c r="R165" i="4"/>
  <c r="S164" i="4"/>
  <c r="R164" i="4"/>
  <c r="S163" i="4"/>
  <c r="R163" i="4"/>
  <c r="S162" i="4"/>
  <c r="R162" i="4"/>
  <c r="S161" i="4"/>
  <c r="R161" i="4"/>
  <c r="S160" i="4"/>
  <c r="R160" i="4"/>
  <c r="S159" i="4"/>
  <c r="R159" i="4"/>
  <c r="S158" i="4"/>
  <c r="R158" i="4"/>
  <c r="S157" i="4"/>
  <c r="R157" i="4"/>
  <c r="S156" i="4"/>
  <c r="R156" i="4"/>
  <c r="S155" i="4"/>
  <c r="R155" i="4"/>
  <c r="S154" i="4"/>
  <c r="R154" i="4"/>
  <c r="S153" i="4"/>
  <c r="R153" i="4"/>
  <c r="S152" i="4"/>
  <c r="R152" i="4"/>
  <c r="S151" i="4"/>
  <c r="R151" i="4"/>
  <c r="S150" i="4"/>
  <c r="R150" i="4"/>
  <c r="S149" i="4"/>
  <c r="R149" i="4"/>
  <c r="S148" i="4"/>
  <c r="R148" i="4"/>
  <c r="S147" i="4"/>
  <c r="R147" i="4"/>
  <c r="S146" i="4"/>
  <c r="R146" i="4"/>
  <c r="S145" i="4"/>
  <c r="R145" i="4"/>
  <c r="S144" i="4"/>
  <c r="R144" i="4"/>
  <c r="S143" i="4"/>
  <c r="R143" i="4"/>
  <c r="S142" i="4"/>
  <c r="R142" i="4"/>
  <c r="S141" i="4"/>
  <c r="R141" i="4"/>
  <c r="S140" i="4"/>
  <c r="R140" i="4"/>
  <c r="S139" i="4"/>
  <c r="R139" i="4"/>
  <c r="S138" i="4"/>
  <c r="R138" i="4"/>
  <c r="S137" i="4"/>
  <c r="R137" i="4"/>
  <c r="S136" i="4"/>
  <c r="R136" i="4"/>
  <c r="S135" i="4"/>
  <c r="R135" i="4"/>
  <c r="S134" i="4"/>
  <c r="R134" i="4"/>
  <c r="S133" i="4"/>
  <c r="R133" i="4"/>
  <c r="S132" i="4"/>
  <c r="R132" i="4"/>
  <c r="S131" i="4"/>
  <c r="R131" i="4"/>
  <c r="S130" i="4"/>
  <c r="R130" i="4"/>
  <c r="S129" i="4"/>
  <c r="R129" i="4"/>
  <c r="S128" i="4"/>
  <c r="R128" i="4"/>
  <c r="S127" i="4"/>
  <c r="R127" i="4"/>
  <c r="S126" i="4"/>
  <c r="R126" i="4"/>
  <c r="S125" i="4"/>
  <c r="R125" i="4"/>
  <c r="S124" i="4"/>
  <c r="R124" i="4"/>
  <c r="S123" i="4"/>
  <c r="R123" i="4"/>
  <c r="S122" i="4"/>
  <c r="R122" i="4"/>
  <c r="S121" i="4"/>
  <c r="R121" i="4"/>
  <c r="S120" i="4"/>
  <c r="R120" i="4"/>
  <c r="S119" i="4"/>
  <c r="R119" i="4"/>
  <c r="S118" i="4"/>
  <c r="R118" i="4"/>
  <c r="S117" i="4"/>
  <c r="R117" i="4"/>
  <c r="S116" i="4"/>
  <c r="R116" i="4"/>
  <c r="S115" i="4"/>
  <c r="R115" i="4"/>
  <c r="S114" i="4"/>
  <c r="R114" i="4"/>
  <c r="S113" i="4"/>
  <c r="R113" i="4"/>
  <c r="S112" i="4"/>
  <c r="R112" i="4"/>
  <c r="S111" i="4"/>
  <c r="R111" i="4"/>
  <c r="S110" i="4"/>
  <c r="R110" i="4"/>
  <c r="S109" i="4"/>
  <c r="R109" i="4"/>
  <c r="S108" i="4"/>
  <c r="R108" i="4"/>
  <c r="S107" i="4"/>
  <c r="R107" i="4"/>
  <c r="S106" i="4"/>
  <c r="R106" i="4"/>
  <c r="S105" i="4"/>
  <c r="R105" i="4"/>
  <c r="S104" i="4"/>
  <c r="R104" i="4"/>
  <c r="S103" i="4"/>
  <c r="R103" i="4"/>
  <c r="S102" i="4"/>
  <c r="R102" i="4"/>
  <c r="S101" i="4"/>
  <c r="R101" i="4"/>
  <c r="S100" i="4"/>
  <c r="R100" i="4"/>
  <c r="S99" i="4"/>
  <c r="R99" i="4"/>
  <c r="S98" i="4"/>
  <c r="R98" i="4"/>
  <c r="S97" i="4"/>
  <c r="R97" i="4"/>
  <c r="S96" i="4"/>
  <c r="R96" i="4"/>
  <c r="S95" i="4"/>
  <c r="R95" i="4"/>
  <c r="S94" i="4"/>
  <c r="R94" i="4"/>
  <c r="S93" i="4"/>
  <c r="R93" i="4"/>
  <c r="S92" i="4"/>
  <c r="R92" i="4"/>
  <c r="S91" i="4"/>
  <c r="R91" i="4"/>
  <c r="S90" i="4"/>
  <c r="R90" i="4"/>
  <c r="S89" i="4"/>
  <c r="R89" i="4"/>
  <c r="S88" i="4"/>
  <c r="R88" i="4"/>
  <c r="S87" i="4"/>
  <c r="R87" i="4"/>
  <c r="S86" i="4"/>
  <c r="R86" i="4"/>
  <c r="S85" i="4"/>
  <c r="R85" i="4"/>
  <c r="S84" i="4"/>
  <c r="R84" i="4"/>
  <c r="S83" i="4"/>
  <c r="R83" i="4"/>
  <c r="S82" i="4"/>
  <c r="R82" i="4"/>
  <c r="S81" i="4"/>
  <c r="R81" i="4"/>
  <c r="S80" i="4"/>
  <c r="R80" i="4"/>
  <c r="S79" i="4"/>
  <c r="R79" i="4"/>
  <c r="S78" i="4"/>
  <c r="R78" i="4"/>
  <c r="S77" i="4"/>
  <c r="R77" i="4"/>
  <c r="S76" i="4"/>
  <c r="R76" i="4"/>
  <c r="S75" i="4"/>
  <c r="R75" i="4"/>
  <c r="S74" i="4"/>
  <c r="R74" i="4"/>
  <c r="S73" i="4"/>
  <c r="R73" i="4"/>
  <c r="S72" i="4"/>
  <c r="R72" i="4"/>
  <c r="S71" i="4"/>
  <c r="R71" i="4"/>
  <c r="S70" i="4"/>
  <c r="R70" i="4"/>
  <c r="S69" i="4"/>
  <c r="R69" i="4"/>
  <c r="S68" i="4"/>
  <c r="R68" i="4"/>
  <c r="S67" i="4"/>
  <c r="R67" i="4"/>
  <c r="S66" i="4"/>
  <c r="R66" i="4"/>
  <c r="S65" i="4"/>
  <c r="R65" i="4"/>
  <c r="S64" i="4"/>
  <c r="R64" i="4"/>
  <c r="S63" i="4"/>
  <c r="R63" i="4"/>
  <c r="S62" i="4"/>
  <c r="R62" i="4"/>
  <c r="S61" i="4"/>
  <c r="R61" i="4"/>
  <c r="S60" i="4"/>
  <c r="R60" i="4"/>
  <c r="S59" i="4"/>
  <c r="R59" i="4"/>
  <c r="S58" i="4"/>
  <c r="R58" i="4"/>
  <c r="S57" i="4"/>
  <c r="R57" i="4"/>
  <c r="S56" i="4"/>
  <c r="R56" i="4"/>
  <c r="S55" i="4"/>
  <c r="R55" i="4"/>
  <c r="S54" i="4"/>
  <c r="R54" i="4"/>
  <c r="S53" i="4"/>
  <c r="R53" i="4"/>
  <c r="S52" i="4"/>
  <c r="R52" i="4"/>
  <c r="S51" i="4"/>
  <c r="R51" i="4"/>
  <c r="S50" i="4"/>
  <c r="R50" i="4"/>
  <c r="S49" i="4"/>
  <c r="R49" i="4"/>
  <c r="S48" i="4"/>
  <c r="R48" i="4"/>
  <c r="S47" i="4"/>
  <c r="R47" i="4"/>
  <c r="S46" i="4"/>
  <c r="R46" i="4"/>
  <c r="S45" i="4"/>
  <c r="R45" i="4"/>
  <c r="S44" i="4"/>
  <c r="R44" i="4"/>
  <c r="S43" i="4"/>
  <c r="R43" i="4"/>
  <c r="S42" i="4"/>
  <c r="R42" i="4"/>
  <c r="S41" i="4"/>
  <c r="R41" i="4"/>
  <c r="S40" i="4"/>
  <c r="R40" i="4"/>
  <c r="S39" i="4"/>
  <c r="R39" i="4"/>
  <c r="S38" i="4"/>
  <c r="R38" i="4"/>
  <c r="S37" i="4"/>
  <c r="R37" i="4"/>
  <c r="S36" i="4"/>
  <c r="R36" i="4"/>
  <c r="S35" i="4"/>
  <c r="R35" i="4"/>
  <c r="S34" i="4"/>
  <c r="R34" i="4"/>
  <c r="S33" i="4"/>
  <c r="R33" i="4"/>
  <c r="S32" i="4"/>
  <c r="R32" i="4"/>
  <c r="S31" i="4"/>
  <c r="R31" i="4"/>
  <c r="S30" i="4"/>
  <c r="R30" i="4"/>
  <c r="S29" i="4"/>
  <c r="R29" i="4"/>
  <c r="S28" i="4"/>
  <c r="R28" i="4"/>
  <c r="S27" i="4"/>
  <c r="R27" i="4"/>
  <c r="S26" i="4"/>
  <c r="R26" i="4"/>
  <c r="S25" i="4"/>
  <c r="R25" i="4"/>
  <c r="S24" i="4"/>
  <c r="R24" i="4"/>
  <c r="S23" i="4"/>
  <c r="R23" i="4"/>
  <c r="S22" i="4"/>
  <c r="R22" i="4"/>
  <c r="S21" i="4"/>
  <c r="R21" i="4"/>
  <c r="S20" i="4"/>
  <c r="R20" i="4"/>
  <c r="S19" i="4"/>
  <c r="R19" i="4"/>
  <c r="S18" i="4"/>
  <c r="R18" i="4"/>
  <c r="S17" i="4"/>
  <c r="R17" i="4"/>
  <c r="S16" i="4"/>
  <c r="R16" i="4"/>
  <c r="S15" i="4"/>
  <c r="R15" i="4"/>
  <c r="S14" i="4"/>
  <c r="R14" i="4"/>
  <c r="S13" i="4"/>
  <c r="R13" i="4"/>
  <c r="S12" i="4"/>
  <c r="R12" i="4"/>
  <c r="S11" i="4"/>
  <c r="R11" i="4"/>
  <c r="P369" i="4"/>
  <c r="O369" i="4"/>
  <c r="P368" i="4"/>
  <c r="O368" i="4"/>
  <c r="P367" i="4"/>
  <c r="O367" i="4"/>
  <c r="P366" i="4"/>
  <c r="O366" i="4"/>
  <c r="P365" i="4"/>
  <c r="O365" i="4"/>
  <c r="P364" i="4"/>
  <c r="O364" i="4"/>
  <c r="P363" i="4"/>
  <c r="O363" i="4"/>
  <c r="P362" i="4"/>
  <c r="O362" i="4"/>
  <c r="P361" i="4"/>
  <c r="O361" i="4"/>
  <c r="P360" i="4"/>
  <c r="O360" i="4"/>
  <c r="P359" i="4"/>
  <c r="O359" i="4"/>
  <c r="P358" i="4"/>
  <c r="O358" i="4"/>
  <c r="P357" i="4"/>
  <c r="O357" i="4"/>
  <c r="P356" i="4"/>
  <c r="O356" i="4"/>
  <c r="P355" i="4"/>
  <c r="O355" i="4"/>
  <c r="P354" i="4"/>
  <c r="O354" i="4"/>
  <c r="P353" i="4"/>
  <c r="O353" i="4"/>
  <c r="P352" i="4"/>
  <c r="O352" i="4"/>
  <c r="P351" i="4"/>
  <c r="O351" i="4"/>
  <c r="P350" i="4"/>
  <c r="O350" i="4"/>
  <c r="P349" i="4"/>
  <c r="O349" i="4"/>
  <c r="P348" i="4"/>
  <c r="O348" i="4"/>
  <c r="P347" i="4"/>
  <c r="O347" i="4"/>
  <c r="P346" i="4"/>
  <c r="O346" i="4"/>
  <c r="P345" i="4"/>
  <c r="O345" i="4"/>
  <c r="P344" i="4"/>
  <c r="O344" i="4"/>
  <c r="P343" i="4"/>
  <c r="O343" i="4"/>
  <c r="P342" i="4"/>
  <c r="O342" i="4"/>
  <c r="P341" i="4"/>
  <c r="O341" i="4"/>
  <c r="P340" i="4"/>
  <c r="O340" i="4"/>
  <c r="P339" i="4"/>
  <c r="O339" i="4"/>
  <c r="P338" i="4"/>
  <c r="O338" i="4"/>
  <c r="P337" i="4"/>
  <c r="O337" i="4"/>
  <c r="P336" i="4"/>
  <c r="O336" i="4"/>
  <c r="P335" i="4"/>
  <c r="O335" i="4"/>
  <c r="P334" i="4"/>
  <c r="O334" i="4"/>
  <c r="P333" i="4"/>
  <c r="O333" i="4"/>
  <c r="P332" i="4"/>
  <c r="O332" i="4"/>
  <c r="P331" i="4"/>
  <c r="O331" i="4"/>
  <c r="P330" i="4"/>
  <c r="O330" i="4"/>
  <c r="P329" i="4"/>
  <c r="O329" i="4"/>
  <c r="P328" i="4"/>
  <c r="O328" i="4"/>
  <c r="P327" i="4"/>
  <c r="O327" i="4"/>
  <c r="P326" i="4"/>
  <c r="O326" i="4"/>
  <c r="P325" i="4"/>
  <c r="O325" i="4"/>
  <c r="P324" i="4"/>
  <c r="O324" i="4"/>
  <c r="P323" i="4"/>
  <c r="O323" i="4"/>
  <c r="P322" i="4"/>
  <c r="O322" i="4"/>
  <c r="P321" i="4"/>
  <c r="O321" i="4"/>
  <c r="P320" i="4"/>
  <c r="O320" i="4"/>
  <c r="P319" i="4"/>
  <c r="O319" i="4"/>
  <c r="P318" i="4"/>
  <c r="O318" i="4"/>
  <c r="P317" i="4"/>
  <c r="O317" i="4"/>
  <c r="P316" i="4"/>
  <c r="O316" i="4"/>
  <c r="P315" i="4"/>
  <c r="O315" i="4"/>
  <c r="P314" i="4"/>
  <c r="O314" i="4"/>
  <c r="P313" i="4"/>
  <c r="O313" i="4"/>
  <c r="P312" i="4"/>
  <c r="O312" i="4"/>
  <c r="P311" i="4"/>
  <c r="O311" i="4"/>
  <c r="P310" i="4"/>
  <c r="O310" i="4"/>
  <c r="P309" i="4"/>
  <c r="O309" i="4"/>
  <c r="P308" i="4"/>
  <c r="O308" i="4"/>
  <c r="P307" i="4"/>
  <c r="O307" i="4"/>
  <c r="P306" i="4"/>
  <c r="O306" i="4"/>
  <c r="P305" i="4"/>
  <c r="O305" i="4"/>
  <c r="P304" i="4"/>
  <c r="O304" i="4"/>
  <c r="P303" i="4"/>
  <c r="O303" i="4"/>
  <c r="P302" i="4"/>
  <c r="O302" i="4"/>
  <c r="P301" i="4"/>
  <c r="O301" i="4"/>
  <c r="P300" i="4"/>
  <c r="O300" i="4"/>
  <c r="P299" i="4"/>
  <c r="O299" i="4"/>
  <c r="P298" i="4"/>
  <c r="O298" i="4"/>
  <c r="P297" i="4"/>
  <c r="O297" i="4"/>
  <c r="P296" i="4"/>
  <c r="O296" i="4"/>
  <c r="P295" i="4"/>
  <c r="O295" i="4"/>
  <c r="P294" i="4"/>
  <c r="O294" i="4"/>
  <c r="P293" i="4"/>
  <c r="O293" i="4"/>
  <c r="P292" i="4"/>
  <c r="O292" i="4"/>
  <c r="P291" i="4"/>
  <c r="O291" i="4"/>
  <c r="P290" i="4"/>
  <c r="O290" i="4"/>
  <c r="P289" i="4"/>
  <c r="O289" i="4"/>
  <c r="P288" i="4"/>
  <c r="O288" i="4"/>
  <c r="P287" i="4"/>
  <c r="O287" i="4"/>
  <c r="P286" i="4"/>
  <c r="O286" i="4"/>
  <c r="P285" i="4"/>
  <c r="O285" i="4"/>
  <c r="P284" i="4"/>
  <c r="O284" i="4"/>
  <c r="P283" i="4"/>
  <c r="O283" i="4"/>
  <c r="P282" i="4"/>
  <c r="O282" i="4"/>
  <c r="P281" i="4"/>
  <c r="O281" i="4"/>
  <c r="P280" i="4"/>
  <c r="O280" i="4"/>
  <c r="P279" i="4"/>
  <c r="O279" i="4"/>
  <c r="P278" i="4"/>
  <c r="O278" i="4"/>
  <c r="P277" i="4"/>
  <c r="O277" i="4"/>
  <c r="P276" i="4"/>
  <c r="O276" i="4"/>
  <c r="P275" i="4"/>
  <c r="O275" i="4"/>
  <c r="P274" i="4"/>
  <c r="O274" i="4"/>
  <c r="P273" i="4"/>
  <c r="O273" i="4"/>
  <c r="P272" i="4"/>
  <c r="O272" i="4"/>
  <c r="P271" i="4"/>
  <c r="O271" i="4"/>
  <c r="P270" i="4"/>
  <c r="O270" i="4"/>
  <c r="P269" i="4"/>
  <c r="O269" i="4"/>
  <c r="P268" i="4"/>
  <c r="O268" i="4"/>
  <c r="P267" i="4"/>
  <c r="O267" i="4"/>
  <c r="P266" i="4"/>
  <c r="O266" i="4"/>
  <c r="P265" i="4"/>
  <c r="O265" i="4"/>
  <c r="P264" i="4"/>
  <c r="O264" i="4"/>
  <c r="P263" i="4"/>
  <c r="O263" i="4"/>
  <c r="P262" i="4"/>
  <c r="O262" i="4"/>
  <c r="P261" i="4"/>
  <c r="O261" i="4"/>
  <c r="P260" i="4"/>
  <c r="O260" i="4"/>
  <c r="P259" i="4"/>
  <c r="O259" i="4"/>
  <c r="P258" i="4"/>
  <c r="O258" i="4"/>
  <c r="P257" i="4"/>
  <c r="O257" i="4"/>
  <c r="P256" i="4"/>
  <c r="O256" i="4"/>
  <c r="P255" i="4"/>
  <c r="O255" i="4"/>
  <c r="P254" i="4"/>
  <c r="O254" i="4"/>
  <c r="P253" i="4"/>
  <c r="O253" i="4"/>
  <c r="P252" i="4"/>
  <c r="O252" i="4"/>
  <c r="P251" i="4"/>
  <c r="O251" i="4"/>
  <c r="P250" i="4"/>
  <c r="O250" i="4"/>
  <c r="P249" i="4"/>
  <c r="O249" i="4"/>
  <c r="P248" i="4"/>
  <c r="O248" i="4"/>
  <c r="P247" i="4"/>
  <c r="O247" i="4"/>
  <c r="P246" i="4"/>
  <c r="O246" i="4"/>
  <c r="P245" i="4"/>
  <c r="O245" i="4"/>
  <c r="P244" i="4"/>
  <c r="O244" i="4"/>
  <c r="P243" i="4"/>
  <c r="O243" i="4"/>
  <c r="P242" i="4"/>
  <c r="O242" i="4"/>
  <c r="P241" i="4"/>
  <c r="O241" i="4"/>
  <c r="P240" i="4"/>
  <c r="O240" i="4"/>
  <c r="P239" i="4"/>
  <c r="O239" i="4"/>
  <c r="P238" i="4"/>
  <c r="O238" i="4"/>
  <c r="P237" i="4"/>
  <c r="O237" i="4"/>
  <c r="P236" i="4"/>
  <c r="O236" i="4"/>
  <c r="P235" i="4"/>
  <c r="O235" i="4"/>
  <c r="P234" i="4"/>
  <c r="O234" i="4"/>
  <c r="P233" i="4"/>
  <c r="O233" i="4"/>
  <c r="P232" i="4"/>
  <c r="O232" i="4"/>
  <c r="P231" i="4"/>
  <c r="O231" i="4"/>
  <c r="P230" i="4"/>
  <c r="O230" i="4"/>
  <c r="P229" i="4"/>
  <c r="O229" i="4"/>
  <c r="P228" i="4"/>
  <c r="O228" i="4"/>
  <c r="P227" i="4"/>
  <c r="O227" i="4"/>
  <c r="P226" i="4"/>
  <c r="O226" i="4"/>
  <c r="P225" i="4"/>
  <c r="O225" i="4"/>
  <c r="P224" i="4"/>
  <c r="O224" i="4"/>
  <c r="P223" i="4"/>
  <c r="O223" i="4"/>
  <c r="P222" i="4"/>
  <c r="O222" i="4"/>
  <c r="P221" i="4"/>
  <c r="O221" i="4"/>
  <c r="P220" i="4"/>
  <c r="O220" i="4"/>
  <c r="P219" i="4"/>
  <c r="O219" i="4"/>
  <c r="P218" i="4"/>
  <c r="O218" i="4"/>
  <c r="P217" i="4"/>
  <c r="O217" i="4"/>
  <c r="P216" i="4"/>
  <c r="O216" i="4"/>
  <c r="P215" i="4"/>
  <c r="O215" i="4"/>
  <c r="P214" i="4"/>
  <c r="O214" i="4"/>
  <c r="P213" i="4"/>
  <c r="O213" i="4"/>
  <c r="P212" i="4"/>
  <c r="O212" i="4"/>
  <c r="P211" i="4"/>
  <c r="O211" i="4"/>
  <c r="P210" i="4"/>
  <c r="O210" i="4"/>
  <c r="P209" i="4"/>
  <c r="O209" i="4"/>
  <c r="P208" i="4"/>
  <c r="O208" i="4"/>
  <c r="P207" i="4"/>
  <c r="O207" i="4"/>
  <c r="P206" i="4"/>
  <c r="O206" i="4"/>
  <c r="P205" i="4"/>
  <c r="O205" i="4"/>
  <c r="P204" i="4"/>
  <c r="O204" i="4"/>
  <c r="P203" i="4"/>
  <c r="O203" i="4"/>
  <c r="P202" i="4"/>
  <c r="O202" i="4"/>
  <c r="P201" i="4"/>
  <c r="O201" i="4"/>
  <c r="P200" i="4"/>
  <c r="O200" i="4"/>
  <c r="P199" i="4"/>
  <c r="O199" i="4"/>
  <c r="P198" i="4"/>
  <c r="O198" i="4"/>
  <c r="P197" i="4"/>
  <c r="O197" i="4"/>
  <c r="P196" i="4"/>
  <c r="O196" i="4"/>
  <c r="P195" i="4"/>
  <c r="O195" i="4"/>
  <c r="P194" i="4"/>
  <c r="O194" i="4"/>
  <c r="P193" i="4"/>
  <c r="O193" i="4"/>
  <c r="P192" i="4"/>
  <c r="O192" i="4"/>
  <c r="P191" i="4"/>
  <c r="O191" i="4"/>
  <c r="P190" i="4"/>
  <c r="O190" i="4"/>
  <c r="P189" i="4"/>
  <c r="O189" i="4"/>
  <c r="P188" i="4"/>
  <c r="O188" i="4"/>
  <c r="P187" i="4"/>
  <c r="O187" i="4"/>
  <c r="P186" i="4"/>
  <c r="O186" i="4"/>
  <c r="P185" i="4"/>
  <c r="O185" i="4"/>
  <c r="P184" i="4"/>
  <c r="O184" i="4"/>
  <c r="P183" i="4"/>
  <c r="O183" i="4"/>
  <c r="P182" i="4"/>
  <c r="O182" i="4"/>
  <c r="P181" i="4"/>
  <c r="O181" i="4"/>
  <c r="P180" i="4"/>
  <c r="O180" i="4"/>
  <c r="P179" i="4"/>
  <c r="O179" i="4"/>
  <c r="P178" i="4"/>
  <c r="O178" i="4"/>
  <c r="P177" i="4"/>
  <c r="O177" i="4"/>
  <c r="P176" i="4"/>
  <c r="O176" i="4"/>
  <c r="P175" i="4"/>
  <c r="O175" i="4"/>
  <c r="P174" i="4"/>
  <c r="O174" i="4"/>
  <c r="P173" i="4"/>
  <c r="O173" i="4"/>
  <c r="P172" i="4"/>
  <c r="O172" i="4"/>
  <c r="P171" i="4"/>
  <c r="O171" i="4"/>
  <c r="P170" i="4"/>
  <c r="O170" i="4"/>
  <c r="P169" i="4"/>
  <c r="O169" i="4"/>
  <c r="P168" i="4"/>
  <c r="O168" i="4"/>
  <c r="P167" i="4"/>
  <c r="O167" i="4"/>
  <c r="P166" i="4"/>
  <c r="O166" i="4"/>
  <c r="P165" i="4"/>
  <c r="O165" i="4"/>
  <c r="P164" i="4"/>
  <c r="O164" i="4"/>
  <c r="P163" i="4"/>
  <c r="O163" i="4"/>
  <c r="P162" i="4"/>
  <c r="O162" i="4"/>
  <c r="P161" i="4"/>
  <c r="O161" i="4"/>
  <c r="P160" i="4"/>
  <c r="O160" i="4"/>
  <c r="P159" i="4"/>
  <c r="O159" i="4"/>
  <c r="P158" i="4"/>
  <c r="O158" i="4"/>
  <c r="P157" i="4"/>
  <c r="O157" i="4"/>
  <c r="P156" i="4"/>
  <c r="O156" i="4"/>
  <c r="P155" i="4"/>
  <c r="O155" i="4"/>
  <c r="P154" i="4"/>
  <c r="O154" i="4"/>
  <c r="P153" i="4"/>
  <c r="O153" i="4"/>
  <c r="P152" i="4"/>
  <c r="O152" i="4"/>
  <c r="P151" i="4"/>
  <c r="O151" i="4"/>
  <c r="P150" i="4"/>
  <c r="O150" i="4"/>
  <c r="P149" i="4"/>
  <c r="O149" i="4"/>
  <c r="P148" i="4"/>
  <c r="O148" i="4"/>
  <c r="P147" i="4"/>
  <c r="O147" i="4"/>
  <c r="P146" i="4"/>
  <c r="O146" i="4"/>
  <c r="P145" i="4"/>
  <c r="O145" i="4"/>
  <c r="P144" i="4"/>
  <c r="O144" i="4"/>
  <c r="P143" i="4"/>
  <c r="O143" i="4"/>
  <c r="P142" i="4"/>
  <c r="O142" i="4"/>
  <c r="P141" i="4"/>
  <c r="O141" i="4"/>
  <c r="P140" i="4"/>
  <c r="O140" i="4"/>
  <c r="P139" i="4"/>
  <c r="O139" i="4"/>
  <c r="P138" i="4"/>
  <c r="O138" i="4"/>
  <c r="P137" i="4"/>
  <c r="O137" i="4"/>
  <c r="P136" i="4"/>
  <c r="O136" i="4"/>
  <c r="P135" i="4"/>
  <c r="O135" i="4"/>
  <c r="P134" i="4"/>
  <c r="O134" i="4"/>
  <c r="P133" i="4"/>
  <c r="O133" i="4"/>
  <c r="P132" i="4"/>
  <c r="O132" i="4"/>
  <c r="P131" i="4"/>
  <c r="O131" i="4"/>
  <c r="P130" i="4"/>
  <c r="O130" i="4"/>
  <c r="P129" i="4"/>
  <c r="O129" i="4"/>
  <c r="P128" i="4"/>
  <c r="O128" i="4"/>
  <c r="P127" i="4"/>
  <c r="O127" i="4"/>
  <c r="P126" i="4"/>
  <c r="O126" i="4"/>
  <c r="P125" i="4"/>
  <c r="O125" i="4"/>
  <c r="P124" i="4"/>
  <c r="O124" i="4"/>
  <c r="P123" i="4"/>
  <c r="O123" i="4"/>
  <c r="P122" i="4"/>
  <c r="O122" i="4"/>
  <c r="P121" i="4"/>
  <c r="O121" i="4"/>
  <c r="P120" i="4"/>
  <c r="O120" i="4"/>
  <c r="P119" i="4"/>
  <c r="O119" i="4"/>
  <c r="P118" i="4"/>
  <c r="O118" i="4"/>
  <c r="P117" i="4"/>
  <c r="O117" i="4"/>
  <c r="P116" i="4"/>
  <c r="O116" i="4"/>
  <c r="P115" i="4"/>
  <c r="O115" i="4"/>
  <c r="P114" i="4"/>
  <c r="O114" i="4"/>
  <c r="P113" i="4"/>
  <c r="O113" i="4"/>
  <c r="P112" i="4"/>
  <c r="O112" i="4"/>
  <c r="P111" i="4"/>
  <c r="O111" i="4"/>
  <c r="P110" i="4"/>
  <c r="O110" i="4"/>
  <c r="P109" i="4"/>
  <c r="O109" i="4"/>
  <c r="P108" i="4"/>
  <c r="O108" i="4"/>
  <c r="P107" i="4"/>
  <c r="O107" i="4"/>
  <c r="P106" i="4"/>
  <c r="O106" i="4"/>
  <c r="P105" i="4"/>
  <c r="O105" i="4"/>
  <c r="P104" i="4"/>
  <c r="O104" i="4"/>
  <c r="P103" i="4"/>
  <c r="O103" i="4"/>
  <c r="P102" i="4"/>
  <c r="O102" i="4"/>
  <c r="P101" i="4"/>
  <c r="O101" i="4"/>
  <c r="P100" i="4"/>
  <c r="O100" i="4"/>
  <c r="P99" i="4"/>
  <c r="O99" i="4"/>
  <c r="P98" i="4"/>
  <c r="O98" i="4"/>
  <c r="P97" i="4"/>
  <c r="O97" i="4"/>
  <c r="P96" i="4"/>
  <c r="O96" i="4"/>
  <c r="P95" i="4"/>
  <c r="O95" i="4"/>
  <c r="P94" i="4"/>
  <c r="O94" i="4"/>
  <c r="P93" i="4"/>
  <c r="O93" i="4"/>
  <c r="P92" i="4"/>
  <c r="O92" i="4"/>
  <c r="P91" i="4"/>
  <c r="O91" i="4"/>
  <c r="P90" i="4"/>
  <c r="O90" i="4"/>
  <c r="P89" i="4"/>
  <c r="O89" i="4"/>
  <c r="P88" i="4"/>
  <c r="O88" i="4"/>
  <c r="P87" i="4"/>
  <c r="O87" i="4"/>
  <c r="P86" i="4"/>
  <c r="O86" i="4"/>
  <c r="P85" i="4"/>
  <c r="O85" i="4"/>
  <c r="P84" i="4"/>
  <c r="O84" i="4"/>
  <c r="P83" i="4"/>
  <c r="O83" i="4"/>
  <c r="P82" i="4"/>
  <c r="O82" i="4"/>
  <c r="P81" i="4"/>
  <c r="O81" i="4"/>
  <c r="P80" i="4"/>
  <c r="O80" i="4"/>
  <c r="P79" i="4"/>
  <c r="O79" i="4"/>
  <c r="P78" i="4"/>
  <c r="O78" i="4"/>
  <c r="P77" i="4"/>
  <c r="O77" i="4"/>
  <c r="P76" i="4"/>
  <c r="O76" i="4"/>
  <c r="P75" i="4"/>
  <c r="O75" i="4"/>
  <c r="P74" i="4"/>
  <c r="O74" i="4"/>
  <c r="P73" i="4"/>
  <c r="O73" i="4"/>
  <c r="P72" i="4"/>
  <c r="O72" i="4"/>
  <c r="P71" i="4"/>
  <c r="O71" i="4"/>
  <c r="P70" i="4"/>
  <c r="O70" i="4"/>
  <c r="P69" i="4"/>
  <c r="O69" i="4"/>
  <c r="P68" i="4"/>
  <c r="O68" i="4"/>
  <c r="P67" i="4"/>
  <c r="O67" i="4"/>
  <c r="P66" i="4"/>
  <c r="O66" i="4"/>
  <c r="P65" i="4"/>
  <c r="O65" i="4"/>
  <c r="P64" i="4"/>
  <c r="O64" i="4"/>
  <c r="P63" i="4"/>
  <c r="O63" i="4"/>
  <c r="P62" i="4"/>
  <c r="O62" i="4"/>
  <c r="P61" i="4"/>
  <c r="O61" i="4"/>
  <c r="P60" i="4"/>
  <c r="O60" i="4"/>
  <c r="P59" i="4"/>
  <c r="O59" i="4"/>
  <c r="P58" i="4"/>
  <c r="O58" i="4"/>
  <c r="P57" i="4"/>
  <c r="O57" i="4"/>
  <c r="P56" i="4"/>
  <c r="O56" i="4"/>
  <c r="P55" i="4"/>
  <c r="O55" i="4"/>
  <c r="P54" i="4"/>
  <c r="O54" i="4"/>
  <c r="P53" i="4"/>
  <c r="O53" i="4"/>
  <c r="P52" i="4"/>
  <c r="O52" i="4"/>
  <c r="P51" i="4"/>
  <c r="O51" i="4"/>
  <c r="P50" i="4"/>
  <c r="O50" i="4"/>
  <c r="P49" i="4"/>
  <c r="O49" i="4"/>
  <c r="P48" i="4"/>
  <c r="O48" i="4"/>
  <c r="P47" i="4"/>
  <c r="O47" i="4"/>
  <c r="P46" i="4"/>
  <c r="O46" i="4"/>
  <c r="P45" i="4"/>
  <c r="O45" i="4"/>
  <c r="P44" i="4"/>
  <c r="O44" i="4"/>
  <c r="P43" i="4"/>
  <c r="O43" i="4"/>
  <c r="P42" i="4"/>
  <c r="O42" i="4"/>
  <c r="P41" i="4"/>
  <c r="O41" i="4"/>
  <c r="P40" i="4"/>
  <c r="O40" i="4"/>
  <c r="P39" i="4"/>
  <c r="O39" i="4"/>
  <c r="P38" i="4"/>
  <c r="O38" i="4"/>
  <c r="P37" i="4"/>
  <c r="O37" i="4"/>
  <c r="P36" i="4"/>
  <c r="O36" i="4"/>
  <c r="P35" i="4"/>
  <c r="O35" i="4"/>
  <c r="P34" i="4"/>
  <c r="O34" i="4"/>
  <c r="P33" i="4"/>
  <c r="O33" i="4"/>
  <c r="P32" i="4"/>
  <c r="O32" i="4"/>
  <c r="P31" i="4"/>
  <c r="O31" i="4"/>
  <c r="P30" i="4"/>
  <c r="O30" i="4"/>
  <c r="P29" i="4"/>
  <c r="O29" i="4"/>
  <c r="P28" i="4"/>
  <c r="O28" i="4"/>
  <c r="P27" i="4"/>
  <c r="O27" i="4"/>
  <c r="P26" i="4"/>
  <c r="O26" i="4"/>
  <c r="P25" i="4"/>
  <c r="O25" i="4"/>
  <c r="P24" i="4"/>
  <c r="O24" i="4"/>
  <c r="P23" i="4"/>
  <c r="O23" i="4"/>
  <c r="P22" i="4"/>
  <c r="O22" i="4"/>
  <c r="P21" i="4"/>
  <c r="O21" i="4"/>
  <c r="P20" i="4"/>
  <c r="O20" i="4"/>
  <c r="P19" i="4"/>
  <c r="O19" i="4"/>
  <c r="P18" i="4"/>
  <c r="O18" i="4"/>
  <c r="P17" i="4"/>
  <c r="O17" i="4"/>
  <c r="P16" i="4"/>
  <c r="O16" i="4"/>
  <c r="P15" i="4"/>
  <c r="O15" i="4"/>
  <c r="P14" i="4"/>
  <c r="O14" i="4"/>
  <c r="P13" i="4"/>
  <c r="O13" i="4"/>
  <c r="P12" i="4"/>
  <c r="O12" i="4"/>
  <c r="P11" i="4"/>
  <c r="O11" i="4"/>
  <c r="M369" i="4"/>
  <c r="L369" i="4"/>
  <c r="M368" i="4"/>
  <c r="L368" i="4"/>
  <c r="M367" i="4"/>
  <c r="L367" i="4"/>
  <c r="M366" i="4"/>
  <c r="L366" i="4"/>
  <c r="M365" i="4"/>
  <c r="L365" i="4"/>
  <c r="M364" i="4"/>
  <c r="L364" i="4"/>
  <c r="M363" i="4"/>
  <c r="L363" i="4"/>
  <c r="M362" i="4"/>
  <c r="L362" i="4"/>
  <c r="M361" i="4"/>
  <c r="L361" i="4"/>
  <c r="M360" i="4"/>
  <c r="L360" i="4"/>
  <c r="M359" i="4"/>
  <c r="L359" i="4"/>
  <c r="M358" i="4"/>
  <c r="L358" i="4"/>
  <c r="M357" i="4"/>
  <c r="L357" i="4"/>
  <c r="M356" i="4"/>
  <c r="L356" i="4"/>
  <c r="M355" i="4"/>
  <c r="L355" i="4"/>
  <c r="M354" i="4"/>
  <c r="L354" i="4"/>
  <c r="M353" i="4"/>
  <c r="L353" i="4"/>
  <c r="M352" i="4"/>
  <c r="L352" i="4"/>
  <c r="M351" i="4"/>
  <c r="L351" i="4"/>
  <c r="M350" i="4"/>
  <c r="L350" i="4"/>
  <c r="M349" i="4"/>
  <c r="L349" i="4"/>
  <c r="M348" i="4"/>
  <c r="L348" i="4"/>
  <c r="M347" i="4"/>
  <c r="L347" i="4"/>
  <c r="M346" i="4"/>
  <c r="L346" i="4"/>
  <c r="M345" i="4"/>
  <c r="L345" i="4"/>
  <c r="M344" i="4"/>
  <c r="L344" i="4"/>
  <c r="M343" i="4"/>
  <c r="L343" i="4"/>
  <c r="M342" i="4"/>
  <c r="L342" i="4"/>
  <c r="M341" i="4"/>
  <c r="L341" i="4"/>
  <c r="M340" i="4"/>
  <c r="L340" i="4"/>
  <c r="M339" i="4"/>
  <c r="L339" i="4"/>
  <c r="M338" i="4"/>
  <c r="L338" i="4"/>
  <c r="M337" i="4"/>
  <c r="L337" i="4"/>
  <c r="M336" i="4"/>
  <c r="L336" i="4"/>
  <c r="M335" i="4"/>
  <c r="L335" i="4"/>
  <c r="M334" i="4"/>
  <c r="L334" i="4"/>
  <c r="M333" i="4"/>
  <c r="L333" i="4"/>
  <c r="M332" i="4"/>
  <c r="L332" i="4"/>
  <c r="M331" i="4"/>
  <c r="L331" i="4"/>
  <c r="M330" i="4"/>
  <c r="L330" i="4"/>
  <c r="M329" i="4"/>
  <c r="L329" i="4"/>
  <c r="M328" i="4"/>
  <c r="L328" i="4"/>
  <c r="M327" i="4"/>
  <c r="L327" i="4"/>
  <c r="M326" i="4"/>
  <c r="L326" i="4"/>
  <c r="M325" i="4"/>
  <c r="L325" i="4"/>
  <c r="M324" i="4"/>
  <c r="L324" i="4"/>
  <c r="M323" i="4"/>
  <c r="L323" i="4"/>
  <c r="M322" i="4"/>
  <c r="L322" i="4"/>
  <c r="M321" i="4"/>
  <c r="L321" i="4"/>
  <c r="M320" i="4"/>
  <c r="L320" i="4"/>
  <c r="M319" i="4"/>
  <c r="L319" i="4"/>
  <c r="M318" i="4"/>
  <c r="L318" i="4"/>
  <c r="M317" i="4"/>
  <c r="L317" i="4"/>
  <c r="M316" i="4"/>
  <c r="L316" i="4"/>
  <c r="M315" i="4"/>
  <c r="L315" i="4"/>
  <c r="M314" i="4"/>
  <c r="L314" i="4"/>
  <c r="M313" i="4"/>
  <c r="L313" i="4"/>
  <c r="M312" i="4"/>
  <c r="L312" i="4"/>
  <c r="M311" i="4"/>
  <c r="L311" i="4"/>
  <c r="M310" i="4"/>
  <c r="L310" i="4"/>
  <c r="M309" i="4"/>
  <c r="L309" i="4"/>
  <c r="M308" i="4"/>
  <c r="L308" i="4"/>
  <c r="M307" i="4"/>
  <c r="L307" i="4"/>
  <c r="M306" i="4"/>
  <c r="L306" i="4"/>
  <c r="M305" i="4"/>
  <c r="L305" i="4"/>
  <c r="M304" i="4"/>
  <c r="L304" i="4"/>
  <c r="M303" i="4"/>
  <c r="L303" i="4"/>
  <c r="M302" i="4"/>
  <c r="L302" i="4"/>
  <c r="M301" i="4"/>
  <c r="L301" i="4"/>
  <c r="M300" i="4"/>
  <c r="L300" i="4"/>
  <c r="M299" i="4"/>
  <c r="L299" i="4"/>
  <c r="M298" i="4"/>
  <c r="L298" i="4"/>
  <c r="M297" i="4"/>
  <c r="L297" i="4"/>
  <c r="M296" i="4"/>
  <c r="L296" i="4"/>
  <c r="M295" i="4"/>
  <c r="L295" i="4"/>
  <c r="M294" i="4"/>
  <c r="L294" i="4"/>
  <c r="M293" i="4"/>
  <c r="L293" i="4"/>
  <c r="M292" i="4"/>
  <c r="L292" i="4"/>
  <c r="M291" i="4"/>
  <c r="L291" i="4"/>
  <c r="M290" i="4"/>
  <c r="L290" i="4"/>
  <c r="M289" i="4"/>
  <c r="L289" i="4"/>
  <c r="M288" i="4"/>
  <c r="L288" i="4"/>
  <c r="M287" i="4"/>
  <c r="L287" i="4"/>
  <c r="M286" i="4"/>
  <c r="L286" i="4"/>
  <c r="M285" i="4"/>
  <c r="L285" i="4"/>
  <c r="M284" i="4"/>
  <c r="L284" i="4"/>
  <c r="M283" i="4"/>
  <c r="L283" i="4"/>
  <c r="M282" i="4"/>
  <c r="L282" i="4"/>
  <c r="M281" i="4"/>
  <c r="L281" i="4"/>
  <c r="M280" i="4"/>
  <c r="L280" i="4"/>
  <c r="M279" i="4"/>
  <c r="L279" i="4"/>
  <c r="M278" i="4"/>
  <c r="L278" i="4"/>
  <c r="M277" i="4"/>
  <c r="L277" i="4"/>
  <c r="M276" i="4"/>
  <c r="L276" i="4"/>
  <c r="M275" i="4"/>
  <c r="L275" i="4"/>
  <c r="M274" i="4"/>
  <c r="L274" i="4"/>
  <c r="M273" i="4"/>
  <c r="L273" i="4"/>
  <c r="M272" i="4"/>
  <c r="L272" i="4"/>
  <c r="M271" i="4"/>
  <c r="L271" i="4"/>
  <c r="M270" i="4"/>
  <c r="L270" i="4"/>
  <c r="M269" i="4"/>
  <c r="L269" i="4"/>
  <c r="M268" i="4"/>
  <c r="L268" i="4"/>
  <c r="M267" i="4"/>
  <c r="L267" i="4"/>
  <c r="M266" i="4"/>
  <c r="L266" i="4"/>
  <c r="M265" i="4"/>
  <c r="L265" i="4"/>
  <c r="M264" i="4"/>
  <c r="L264" i="4"/>
  <c r="M263" i="4"/>
  <c r="L263" i="4"/>
  <c r="M262" i="4"/>
  <c r="L262" i="4"/>
  <c r="M261" i="4"/>
  <c r="L261" i="4"/>
  <c r="M260" i="4"/>
  <c r="L260" i="4"/>
  <c r="M259" i="4"/>
  <c r="L259" i="4"/>
  <c r="M258" i="4"/>
  <c r="L258" i="4"/>
  <c r="M257" i="4"/>
  <c r="L257" i="4"/>
  <c r="M256" i="4"/>
  <c r="L256" i="4"/>
  <c r="M255" i="4"/>
  <c r="L255" i="4"/>
  <c r="M254" i="4"/>
  <c r="L254" i="4"/>
  <c r="M253" i="4"/>
  <c r="L253" i="4"/>
  <c r="M252" i="4"/>
  <c r="L252" i="4"/>
  <c r="M251" i="4"/>
  <c r="L251" i="4"/>
  <c r="M250" i="4"/>
  <c r="L250" i="4"/>
  <c r="M249" i="4"/>
  <c r="L249" i="4"/>
  <c r="M248" i="4"/>
  <c r="L248" i="4"/>
  <c r="M247" i="4"/>
  <c r="L247" i="4"/>
  <c r="M246" i="4"/>
  <c r="L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M221" i="4"/>
  <c r="L221" i="4"/>
  <c r="M220" i="4"/>
  <c r="L220" i="4"/>
  <c r="M219" i="4"/>
  <c r="L219" i="4"/>
  <c r="M218" i="4"/>
  <c r="L218" i="4"/>
  <c r="M217" i="4"/>
  <c r="L217" i="4"/>
  <c r="M216" i="4"/>
  <c r="L216" i="4"/>
  <c r="M215" i="4"/>
  <c r="L215" i="4"/>
  <c r="M214" i="4"/>
  <c r="L214" i="4"/>
  <c r="M213" i="4"/>
  <c r="L213" i="4"/>
  <c r="M212" i="4"/>
  <c r="L212" i="4"/>
  <c r="M211" i="4"/>
  <c r="L211" i="4"/>
  <c r="M210" i="4"/>
  <c r="L210" i="4"/>
  <c r="M209" i="4"/>
  <c r="L209" i="4"/>
  <c r="M208" i="4"/>
  <c r="L208" i="4"/>
  <c r="M207" i="4"/>
  <c r="L207" i="4"/>
  <c r="M206" i="4"/>
  <c r="L206" i="4"/>
  <c r="M205" i="4"/>
  <c r="L205" i="4"/>
  <c r="M204" i="4"/>
  <c r="L204" i="4"/>
  <c r="M203" i="4"/>
  <c r="L203" i="4"/>
  <c r="M202" i="4"/>
  <c r="L202" i="4"/>
  <c r="M201" i="4"/>
  <c r="L201" i="4"/>
  <c r="M200" i="4"/>
  <c r="L200" i="4"/>
  <c r="M199" i="4"/>
  <c r="L199" i="4"/>
  <c r="M198" i="4"/>
  <c r="L198" i="4"/>
  <c r="M197" i="4"/>
  <c r="L197" i="4"/>
  <c r="M196" i="4"/>
  <c r="L196" i="4"/>
  <c r="M195" i="4"/>
  <c r="L195" i="4"/>
  <c r="M194" i="4"/>
  <c r="L194" i="4"/>
  <c r="M193" i="4"/>
  <c r="L193" i="4"/>
  <c r="M192" i="4"/>
  <c r="L192" i="4"/>
  <c r="M191" i="4"/>
  <c r="L191" i="4"/>
  <c r="M190" i="4"/>
  <c r="L190" i="4"/>
  <c r="M189" i="4"/>
  <c r="L189" i="4"/>
  <c r="M188" i="4"/>
  <c r="L188" i="4"/>
  <c r="M187" i="4"/>
  <c r="L187" i="4"/>
  <c r="M186" i="4"/>
  <c r="L186" i="4"/>
  <c r="M185" i="4"/>
  <c r="L185" i="4"/>
  <c r="M184" i="4"/>
  <c r="L184" i="4"/>
  <c r="M183" i="4"/>
  <c r="L183" i="4"/>
  <c r="M182" i="4"/>
  <c r="L182" i="4"/>
  <c r="M181" i="4"/>
  <c r="L181" i="4"/>
  <c r="M180" i="4"/>
  <c r="L180" i="4"/>
  <c r="M179" i="4"/>
  <c r="L179" i="4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51" i="4"/>
  <c r="L151" i="4"/>
  <c r="M150" i="4"/>
  <c r="L150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M132" i="4"/>
  <c r="L132" i="4"/>
  <c r="M131" i="4"/>
  <c r="L131" i="4"/>
  <c r="M130" i="4"/>
  <c r="L130" i="4"/>
  <c r="M129" i="4"/>
  <c r="L129" i="4"/>
  <c r="M128" i="4"/>
  <c r="L128" i="4"/>
  <c r="M127" i="4"/>
  <c r="L127" i="4"/>
  <c r="M126" i="4"/>
  <c r="L126" i="4"/>
  <c r="M125" i="4"/>
  <c r="L125" i="4"/>
  <c r="M124" i="4"/>
  <c r="L124" i="4"/>
  <c r="M123" i="4"/>
  <c r="L123" i="4"/>
  <c r="M122" i="4"/>
  <c r="L122" i="4"/>
  <c r="M121" i="4"/>
  <c r="L121" i="4"/>
  <c r="M120" i="4"/>
  <c r="L120" i="4"/>
  <c r="M119" i="4"/>
  <c r="L119" i="4"/>
  <c r="M118" i="4"/>
  <c r="L118" i="4"/>
  <c r="M117" i="4"/>
  <c r="L117" i="4"/>
  <c r="M116" i="4"/>
  <c r="L116" i="4"/>
  <c r="M115" i="4"/>
  <c r="L115" i="4"/>
  <c r="M114" i="4"/>
  <c r="L114" i="4"/>
  <c r="M113" i="4"/>
  <c r="L113" i="4"/>
  <c r="M112" i="4"/>
  <c r="L112" i="4"/>
  <c r="M111" i="4"/>
  <c r="L111" i="4"/>
  <c r="M110" i="4"/>
  <c r="L110" i="4"/>
  <c r="M109" i="4"/>
  <c r="L109" i="4"/>
  <c r="M108" i="4"/>
  <c r="L108" i="4"/>
  <c r="M107" i="4"/>
  <c r="L107" i="4"/>
  <c r="M106" i="4"/>
  <c r="L106" i="4"/>
  <c r="M105" i="4"/>
  <c r="L105" i="4"/>
  <c r="M104" i="4"/>
  <c r="L104" i="4"/>
  <c r="M103" i="4"/>
  <c r="L103" i="4"/>
  <c r="M102" i="4"/>
  <c r="L102" i="4"/>
  <c r="M101" i="4"/>
  <c r="L101" i="4"/>
  <c r="M100" i="4"/>
  <c r="L100" i="4"/>
  <c r="M99" i="4"/>
  <c r="L99" i="4"/>
  <c r="M98" i="4"/>
  <c r="L98" i="4"/>
  <c r="M97" i="4"/>
  <c r="L97" i="4"/>
  <c r="M96" i="4"/>
  <c r="L96" i="4"/>
  <c r="M95" i="4"/>
  <c r="L95" i="4"/>
  <c r="M94" i="4"/>
  <c r="L94" i="4"/>
  <c r="M93" i="4"/>
  <c r="L93" i="4"/>
  <c r="M92" i="4"/>
  <c r="L92" i="4"/>
  <c r="M91" i="4"/>
  <c r="L91" i="4"/>
  <c r="M90" i="4"/>
  <c r="L90" i="4"/>
  <c r="M89" i="4"/>
  <c r="L89" i="4"/>
  <c r="M88" i="4"/>
  <c r="L88" i="4"/>
  <c r="M87" i="4"/>
  <c r="L87" i="4"/>
  <c r="M86" i="4"/>
  <c r="L86" i="4"/>
  <c r="M85" i="4"/>
  <c r="L85" i="4"/>
  <c r="M84" i="4"/>
  <c r="L84" i="4"/>
  <c r="M83" i="4"/>
  <c r="L83" i="4"/>
  <c r="M82" i="4"/>
  <c r="L82" i="4"/>
  <c r="M81" i="4"/>
  <c r="L81" i="4"/>
  <c r="M80" i="4"/>
  <c r="L80" i="4"/>
  <c r="M79" i="4"/>
  <c r="L79" i="4"/>
  <c r="M78" i="4"/>
  <c r="L78" i="4"/>
  <c r="M77" i="4"/>
  <c r="L77" i="4"/>
  <c r="M76" i="4"/>
  <c r="L76" i="4"/>
  <c r="M75" i="4"/>
  <c r="L75" i="4"/>
  <c r="M74" i="4"/>
  <c r="L74" i="4"/>
  <c r="M73" i="4"/>
  <c r="L73" i="4"/>
  <c r="M72" i="4"/>
  <c r="L72" i="4"/>
  <c r="M71" i="4"/>
  <c r="L71" i="4"/>
  <c r="M70" i="4"/>
  <c r="L70" i="4"/>
  <c r="M69" i="4"/>
  <c r="L69" i="4"/>
  <c r="M68" i="4"/>
  <c r="L68" i="4"/>
  <c r="M67" i="4"/>
  <c r="L67" i="4"/>
  <c r="M66" i="4"/>
  <c r="L66" i="4"/>
  <c r="M65" i="4"/>
  <c r="L65" i="4"/>
  <c r="M64" i="4"/>
  <c r="L64" i="4"/>
  <c r="M63" i="4"/>
  <c r="L63" i="4"/>
  <c r="M62" i="4"/>
  <c r="L62" i="4"/>
  <c r="M61" i="4"/>
  <c r="L61" i="4"/>
  <c r="M60" i="4"/>
  <c r="L60" i="4"/>
  <c r="M59" i="4"/>
  <c r="L59" i="4"/>
  <c r="M58" i="4"/>
  <c r="L58" i="4"/>
  <c r="M57" i="4"/>
  <c r="L57" i="4"/>
  <c r="M56" i="4"/>
  <c r="L56" i="4"/>
  <c r="M55" i="4"/>
  <c r="L55" i="4"/>
  <c r="M54" i="4"/>
  <c r="L54" i="4"/>
  <c r="M53" i="4"/>
  <c r="L53" i="4"/>
  <c r="M52" i="4"/>
  <c r="L52" i="4"/>
  <c r="M51" i="4"/>
  <c r="L51" i="4"/>
  <c r="M50" i="4"/>
  <c r="L50" i="4"/>
  <c r="M49" i="4"/>
  <c r="L49" i="4"/>
  <c r="M48" i="4"/>
  <c r="L48" i="4"/>
  <c r="M47" i="4"/>
  <c r="L47" i="4"/>
  <c r="M46" i="4"/>
  <c r="L46" i="4"/>
  <c r="M45" i="4"/>
  <c r="L45" i="4"/>
  <c r="M44" i="4"/>
  <c r="L44" i="4"/>
  <c r="M43" i="4"/>
  <c r="L43" i="4"/>
  <c r="M42" i="4"/>
  <c r="L42" i="4"/>
  <c r="M41" i="4"/>
  <c r="L41" i="4"/>
  <c r="M40" i="4"/>
  <c r="L40" i="4"/>
  <c r="M39" i="4"/>
  <c r="L39" i="4"/>
  <c r="M38" i="4"/>
  <c r="L38" i="4"/>
  <c r="M37" i="4"/>
  <c r="L37" i="4"/>
  <c r="M36" i="4"/>
  <c r="L36" i="4"/>
  <c r="M35" i="4"/>
  <c r="L35" i="4"/>
  <c r="M34" i="4"/>
  <c r="L34" i="4"/>
  <c r="M33" i="4"/>
  <c r="L33" i="4"/>
  <c r="M32" i="4"/>
  <c r="L32" i="4"/>
  <c r="M31" i="4"/>
  <c r="L31" i="4"/>
  <c r="M30" i="4"/>
  <c r="L30" i="4"/>
  <c r="M29" i="4"/>
  <c r="L29" i="4"/>
  <c r="M28" i="4"/>
  <c r="L28" i="4"/>
  <c r="M27" i="4"/>
  <c r="L27" i="4"/>
  <c r="M26" i="4"/>
  <c r="L26" i="4"/>
  <c r="M25" i="4"/>
  <c r="L25" i="4"/>
  <c r="M24" i="4"/>
  <c r="L24" i="4"/>
  <c r="M23" i="4"/>
  <c r="L23" i="4"/>
  <c r="M22" i="4"/>
  <c r="L22" i="4"/>
  <c r="M21" i="4"/>
  <c r="L21" i="4"/>
  <c r="M20" i="4"/>
  <c r="L20" i="4"/>
  <c r="M19" i="4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I12" i="4"/>
  <c r="J12" i="4"/>
  <c r="I13" i="4"/>
  <c r="J13" i="4"/>
  <c r="I14" i="4"/>
  <c r="J14" i="4"/>
  <c r="I15" i="4"/>
  <c r="J15" i="4"/>
  <c r="I16" i="4"/>
  <c r="J16" i="4"/>
  <c r="I17" i="4"/>
  <c r="J17" i="4"/>
  <c r="I18" i="4"/>
  <c r="J18" i="4"/>
  <c r="I19" i="4"/>
  <c r="J19" i="4"/>
  <c r="I20" i="4"/>
  <c r="J20" i="4"/>
  <c r="I21" i="4"/>
  <c r="J21" i="4"/>
  <c r="I22" i="4"/>
  <c r="J22" i="4"/>
  <c r="I23" i="4"/>
  <c r="J23" i="4"/>
  <c r="I24" i="4"/>
  <c r="J24" i="4"/>
  <c r="I25" i="4"/>
  <c r="J25" i="4"/>
  <c r="I26" i="4"/>
  <c r="J26" i="4"/>
  <c r="I27" i="4"/>
  <c r="J27" i="4"/>
  <c r="I28" i="4"/>
  <c r="J28" i="4"/>
  <c r="I29" i="4"/>
  <c r="J29" i="4"/>
  <c r="I30" i="4"/>
  <c r="J30" i="4"/>
  <c r="I31" i="4"/>
  <c r="J31" i="4"/>
  <c r="I32" i="4"/>
  <c r="J32" i="4"/>
  <c r="I33" i="4"/>
  <c r="J33" i="4"/>
  <c r="I34" i="4"/>
  <c r="J34" i="4"/>
  <c r="I35" i="4"/>
  <c r="J35" i="4"/>
  <c r="I36" i="4"/>
  <c r="J36" i="4"/>
  <c r="I37" i="4"/>
  <c r="J37" i="4"/>
  <c r="I38" i="4"/>
  <c r="J38" i="4"/>
  <c r="I39" i="4"/>
  <c r="J39" i="4"/>
  <c r="I40" i="4"/>
  <c r="J40" i="4"/>
  <c r="I41" i="4"/>
  <c r="J41" i="4"/>
  <c r="I42" i="4"/>
  <c r="J42" i="4"/>
  <c r="I43" i="4"/>
  <c r="J43" i="4"/>
  <c r="I44" i="4"/>
  <c r="J44" i="4"/>
  <c r="I45" i="4"/>
  <c r="J45" i="4"/>
  <c r="I46" i="4"/>
  <c r="J46" i="4"/>
  <c r="I47" i="4"/>
  <c r="J47" i="4"/>
  <c r="I48" i="4"/>
  <c r="J48" i="4"/>
  <c r="I49" i="4"/>
  <c r="J49" i="4"/>
  <c r="I50" i="4"/>
  <c r="J50" i="4"/>
  <c r="I51" i="4"/>
  <c r="J51" i="4"/>
  <c r="I52" i="4"/>
  <c r="J52" i="4"/>
  <c r="I53" i="4"/>
  <c r="J53" i="4"/>
  <c r="I54" i="4"/>
  <c r="J54" i="4"/>
  <c r="I55" i="4"/>
  <c r="J55" i="4"/>
  <c r="I56" i="4"/>
  <c r="J56" i="4"/>
  <c r="I57" i="4"/>
  <c r="J57" i="4"/>
  <c r="I58" i="4"/>
  <c r="J58" i="4"/>
  <c r="I59" i="4"/>
  <c r="J59" i="4"/>
  <c r="I60" i="4"/>
  <c r="J60" i="4"/>
  <c r="I61" i="4"/>
  <c r="J61" i="4"/>
  <c r="I62" i="4"/>
  <c r="J62" i="4"/>
  <c r="I63" i="4"/>
  <c r="J63" i="4"/>
  <c r="I64" i="4"/>
  <c r="J64" i="4"/>
  <c r="I65" i="4"/>
  <c r="J65" i="4"/>
  <c r="I66" i="4"/>
  <c r="J66" i="4"/>
  <c r="I67" i="4"/>
  <c r="J67" i="4"/>
  <c r="I68" i="4"/>
  <c r="J68" i="4"/>
  <c r="I69" i="4"/>
  <c r="J69" i="4"/>
  <c r="I70" i="4"/>
  <c r="J70" i="4"/>
  <c r="I71" i="4"/>
  <c r="J71" i="4"/>
  <c r="I72" i="4"/>
  <c r="J72" i="4"/>
  <c r="I73" i="4"/>
  <c r="J73" i="4"/>
  <c r="I74" i="4"/>
  <c r="J74" i="4"/>
  <c r="I75" i="4"/>
  <c r="J75" i="4"/>
  <c r="I76" i="4"/>
  <c r="J76" i="4"/>
  <c r="I77" i="4"/>
  <c r="J77" i="4"/>
  <c r="I78" i="4"/>
  <c r="J78" i="4"/>
  <c r="I79" i="4"/>
  <c r="J79" i="4"/>
  <c r="I80" i="4"/>
  <c r="J80" i="4"/>
  <c r="I81" i="4"/>
  <c r="J81" i="4"/>
  <c r="I82" i="4"/>
  <c r="J82" i="4"/>
  <c r="I83" i="4"/>
  <c r="J83" i="4"/>
  <c r="I84" i="4"/>
  <c r="J84" i="4"/>
  <c r="I85" i="4"/>
  <c r="J85" i="4"/>
  <c r="I86" i="4"/>
  <c r="J86" i="4"/>
  <c r="I87" i="4"/>
  <c r="J87" i="4"/>
  <c r="I88" i="4"/>
  <c r="J88" i="4"/>
  <c r="I89" i="4"/>
  <c r="J89" i="4"/>
  <c r="I90" i="4"/>
  <c r="J90" i="4"/>
  <c r="I91" i="4"/>
  <c r="J91" i="4"/>
  <c r="I92" i="4"/>
  <c r="J92" i="4"/>
  <c r="I93" i="4"/>
  <c r="J93" i="4"/>
  <c r="I94" i="4"/>
  <c r="J94" i="4"/>
  <c r="I95" i="4"/>
  <c r="J95" i="4"/>
  <c r="I96" i="4"/>
  <c r="J96" i="4"/>
  <c r="I97" i="4"/>
  <c r="J97" i="4"/>
  <c r="I98" i="4"/>
  <c r="J98" i="4"/>
  <c r="I99" i="4"/>
  <c r="J99" i="4"/>
  <c r="I100" i="4"/>
  <c r="J100" i="4"/>
  <c r="I101" i="4"/>
  <c r="J101" i="4"/>
  <c r="I102" i="4"/>
  <c r="J102" i="4"/>
  <c r="I103" i="4"/>
  <c r="J103" i="4"/>
  <c r="I104" i="4"/>
  <c r="J104" i="4"/>
  <c r="I105" i="4"/>
  <c r="J105" i="4"/>
  <c r="I106" i="4"/>
  <c r="J106" i="4"/>
  <c r="I107" i="4"/>
  <c r="J107" i="4"/>
  <c r="I108" i="4"/>
  <c r="J108" i="4"/>
  <c r="I109" i="4"/>
  <c r="J109" i="4"/>
  <c r="I110" i="4"/>
  <c r="J110" i="4"/>
  <c r="I111" i="4"/>
  <c r="J111" i="4"/>
  <c r="I112" i="4"/>
  <c r="J112" i="4"/>
  <c r="I113" i="4"/>
  <c r="J113" i="4"/>
  <c r="I114" i="4"/>
  <c r="J114" i="4"/>
  <c r="I115" i="4"/>
  <c r="J115" i="4"/>
  <c r="I116" i="4"/>
  <c r="J116" i="4"/>
  <c r="I117" i="4"/>
  <c r="J117" i="4"/>
  <c r="I118" i="4"/>
  <c r="J118" i="4"/>
  <c r="I119" i="4"/>
  <c r="J119" i="4"/>
  <c r="I120" i="4"/>
  <c r="J120" i="4"/>
  <c r="I121" i="4"/>
  <c r="J121" i="4"/>
  <c r="I122" i="4"/>
  <c r="J122" i="4"/>
  <c r="I123" i="4"/>
  <c r="J123" i="4"/>
  <c r="I124" i="4"/>
  <c r="J124" i="4"/>
  <c r="I125" i="4"/>
  <c r="J125" i="4"/>
  <c r="I126" i="4"/>
  <c r="J126" i="4"/>
  <c r="I127" i="4"/>
  <c r="J127" i="4"/>
  <c r="I128" i="4"/>
  <c r="J128" i="4"/>
  <c r="I129" i="4"/>
  <c r="J129" i="4"/>
  <c r="I130" i="4"/>
  <c r="J130" i="4"/>
  <c r="I131" i="4"/>
  <c r="J131" i="4"/>
  <c r="I132" i="4"/>
  <c r="J132" i="4"/>
  <c r="I133" i="4"/>
  <c r="J133" i="4"/>
  <c r="I134" i="4"/>
  <c r="J134" i="4"/>
  <c r="I135" i="4"/>
  <c r="J135" i="4"/>
  <c r="I136" i="4"/>
  <c r="J136" i="4"/>
  <c r="I137" i="4"/>
  <c r="J137" i="4"/>
  <c r="I138" i="4"/>
  <c r="J138" i="4"/>
  <c r="I139" i="4"/>
  <c r="J139" i="4"/>
  <c r="I140" i="4"/>
  <c r="J140" i="4"/>
  <c r="I141" i="4"/>
  <c r="J141" i="4"/>
  <c r="I142" i="4"/>
  <c r="J142" i="4"/>
  <c r="I143" i="4"/>
  <c r="J143" i="4"/>
  <c r="I144" i="4"/>
  <c r="J144" i="4"/>
  <c r="I145" i="4"/>
  <c r="J145" i="4"/>
  <c r="I146" i="4"/>
  <c r="J146" i="4"/>
  <c r="I147" i="4"/>
  <c r="J147" i="4"/>
  <c r="I148" i="4"/>
  <c r="J148" i="4"/>
  <c r="I149" i="4"/>
  <c r="J149" i="4"/>
  <c r="I150" i="4"/>
  <c r="J150" i="4"/>
  <c r="I151" i="4"/>
  <c r="J151" i="4"/>
  <c r="I152" i="4"/>
  <c r="J152" i="4"/>
  <c r="I153" i="4"/>
  <c r="J153" i="4"/>
  <c r="I154" i="4"/>
  <c r="J154" i="4"/>
  <c r="I155" i="4"/>
  <c r="J155" i="4"/>
  <c r="I156" i="4"/>
  <c r="J156" i="4"/>
  <c r="I157" i="4"/>
  <c r="J157" i="4"/>
  <c r="I158" i="4"/>
  <c r="J158" i="4"/>
  <c r="I159" i="4"/>
  <c r="J159" i="4"/>
  <c r="I160" i="4"/>
  <c r="J160" i="4"/>
  <c r="I161" i="4"/>
  <c r="J161" i="4"/>
  <c r="I162" i="4"/>
  <c r="J162" i="4"/>
  <c r="I163" i="4"/>
  <c r="J163" i="4"/>
  <c r="I164" i="4"/>
  <c r="J164" i="4"/>
  <c r="I165" i="4"/>
  <c r="J165" i="4"/>
  <c r="I166" i="4"/>
  <c r="J166" i="4"/>
  <c r="I167" i="4"/>
  <c r="J167" i="4"/>
  <c r="I168" i="4"/>
  <c r="J168" i="4"/>
  <c r="I169" i="4"/>
  <c r="J169" i="4"/>
  <c r="I170" i="4"/>
  <c r="J170" i="4"/>
  <c r="I171" i="4"/>
  <c r="J171" i="4"/>
  <c r="I172" i="4"/>
  <c r="J172" i="4"/>
  <c r="I173" i="4"/>
  <c r="J173" i="4"/>
  <c r="I174" i="4"/>
  <c r="J174" i="4"/>
  <c r="I175" i="4"/>
  <c r="J175" i="4"/>
  <c r="I176" i="4"/>
  <c r="J176" i="4"/>
  <c r="I177" i="4"/>
  <c r="J177" i="4"/>
  <c r="I178" i="4"/>
  <c r="J178" i="4"/>
  <c r="I179" i="4"/>
  <c r="J179" i="4"/>
  <c r="I180" i="4"/>
  <c r="J180" i="4"/>
  <c r="I181" i="4"/>
  <c r="J181" i="4"/>
  <c r="I182" i="4"/>
  <c r="J182" i="4"/>
  <c r="I183" i="4"/>
  <c r="J183" i="4"/>
  <c r="I184" i="4"/>
  <c r="J184" i="4"/>
  <c r="I185" i="4"/>
  <c r="J185" i="4"/>
  <c r="I186" i="4"/>
  <c r="J186" i="4"/>
  <c r="I187" i="4"/>
  <c r="J187" i="4"/>
  <c r="I188" i="4"/>
  <c r="J188" i="4"/>
  <c r="I189" i="4"/>
  <c r="J189" i="4"/>
  <c r="I190" i="4"/>
  <c r="J190" i="4"/>
  <c r="I191" i="4"/>
  <c r="J191" i="4"/>
  <c r="I192" i="4"/>
  <c r="J192" i="4"/>
  <c r="I193" i="4"/>
  <c r="J193" i="4"/>
  <c r="I194" i="4"/>
  <c r="J194" i="4"/>
  <c r="I195" i="4"/>
  <c r="J195" i="4"/>
  <c r="I196" i="4"/>
  <c r="J196" i="4"/>
  <c r="I197" i="4"/>
  <c r="J197" i="4"/>
  <c r="I198" i="4"/>
  <c r="J198" i="4"/>
  <c r="I199" i="4"/>
  <c r="J199" i="4"/>
  <c r="I200" i="4"/>
  <c r="J200" i="4"/>
  <c r="I201" i="4"/>
  <c r="J201" i="4"/>
  <c r="I202" i="4"/>
  <c r="J202" i="4"/>
  <c r="I203" i="4"/>
  <c r="J203" i="4"/>
  <c r="I204" i="4"/>
  <c r="J204" i="4"/>
  <c r="I205" i="4"/>
  <c r="J205" i="4"/>
  <c r="I206" i="4"/>
  <c r="J206" i="4"/>
  <c r="I207" i="4"/>
  <c r="J207" i="4"/>
  <c r="I208" i="4"/>
  <c r="J208" i="4"/>
  <c r="I209" i="4"/>
  <c r="J209" i="4"/>
  <c r="I210" i="4"/>
  <c r="J210" i="4"/>
  <c r="I211" i="4"/>
  <c r="J211" i="4"/>
  <c r="I212" i="4"/>
  <c r="J212" i="4"/>
  <c r="I213" i="4"/>
  <c r="J213" i="4"/>
  <c r="I214" i="4"/>
  <c r="J214" i="4"/>
  <c r="I215" i="4"/>
  <c r="J215" i="4"/>
  <c r="I216" i="4"/>
  <c r="J216" i="4"/>
  <c r="I217" i="4"/>
  <c r="J217" i="4"/>
  <c r="I218" i="4"/>
  <c r="J218" i="4"/>
  <c r="I219" i="4"/>
  <c r="J219" i="4"/>
  <c r="I220" i="4"/>
  <c r="J220" i="4"/>
  <c r="I221" i="4"/>
  <c r="J221" i="4"/>
  <c r="I222" i="4"/>
  <c r="J222" i="4"/>
  <c r="I223" i="4"/>
  <c r="J223" i="4"/>
  <c r="I224" i="4"/>
  <c r="J224" i="4"/>
  <c r="I225" i="4"/>
  <c r="J225" i="4"/>
  <c r="I226" i="4"/>
  <c r="J226" i="4"/>
  <c r="I227" i="4"/>
  <c r="J227" i="4"/>
  <c r="I228" i="4"/>
  <c r="J228" i="4"/>
  <c r="I229" i="4"/>
  <c r="J229" i="4"/>
  <c r="I230" i="4"/>
  <c r="J230" i="4"/>
  <c r="I231" i="4"/>
  <c r="J231" i="4"/>
  <c r="I232" i="4"/>
  <c r="J232" i="4"/>
  <c r="I233" i="4"/>
  <c r="J233" i="4"/>
  <c r="I234" i="4"/>
  <c r="J234" i="4"/>
  <c r="I235" i="4"/>
  <c r="J235" i="4"/>
  <c r="I236" i="4"/>
  <c r="J236" i="4"/>
  <c r="I237" i="4"/>
  <c r="J237" i="4"/>
  <c r="I238" i="4"/>
  <c r="J238" i="4"/>
  <c r="I239" i="4"/>
  <c r="J239" i="4"/>
  <c r="I240" i="4"/>
  <c r="J240" i="4"/>
  <c r="I241" i="4"/>
  <c r="J241" i="4"/>
  <c r="I242" i="4"/>
  <c r="J242" i="4"/>
  <c r="I243" i="4"/>
  <c r="J243" i="4"/>
  <c r="I244" i="4"/>
  <c r="J244" i="4"/>
  <c r="I245" i="4"/>
  <c r="J245" i="4"/>
  <c r="I246" i="4"/>
  <c r="J246" i="4"/>
  <c r="I247" i="4"/>
  <c r="J247" i="4"/>
  <c r="I248" i="4"/>
  <c r="J248" i="4"/>
  <c r="I249" i="4"/>
  <c r="J249" i="4"/>
  <c r="I250" i="4"/>
  <c r="J250" i="4"/>
  <c r="I251" i="4"/>
  <c r="J251" i="4"/>
  <c r="I252" i="4"/>
  <c r="J252" i="4"/>
  <c r="I253" i="4"/>
  <c r="J253" i="4"/>
  <c r="I254" i="4"/>
  <c r="J254" i="4"/>
  <c r="I255" i="4"/>
  <c r="J255" i="4"/>
  <c r="I256" i="4"/>
  <c r="J256" i="4"/>
  <c r="I257" i="4"/>
  <c r="J257" i="4"/>
  <c r="I258" i="4"/>
  <c r="J258" i="4"/>
  <c r="I259" i="4"/>
  <c r="J259" i="4"/>
  <c r="I260" i="4"/>
  <c r="J260" i="4"/>
  <c r="I261" i="4"/>
  <c r="J261" i="4"/>
  <c r="I262" i="4"/>
  <c r="J262" i="4"/>
  <c r="I263" i="4"/>
  <c r="J263" i="4"/>
  <c r="I264" i="4"/>
  <c r="J264" i="4"/>
  <c r="I265" i="4"/>
  <c r="J265" i="4"/>
  <c r="I266" i="4"/>
  <c r="J266" i="4"/>
  <c r="I267" i="4"/>
  <c r="J267" i="4"/>
  <c r="I268" i="4"/>
  <c r="J268" i="4"/>
  <c r="I269" i="4"/>
  <c r="J269" i="4"/>
  <c r="I270" i="4"/>
  <c r="J270" i="4"/>
  <c r="I271" i="4"/>
  <c r="J271" i="4"/>
  <c r="I272" i="4"/>
  <c r="J272" i="4"/>
  <c r="I273" i="4"/>
  <c r="J273" i="4"/>
  <c r="I274" i="4"/>
  <c r="J274" i="4"/>
  <c r="I275" i="4"/>
  <c r="J275" i="4"/>
  <c r="I276" i="4"/>
  <c r="J276" i="4"/>
  <c r="I277" i="4"/>
  <c r="J277" i="4"/>
  <c r="I278" i="4"/>
  <c r="J278" i="4"/>
  <c r="I279" i="4"/>
  <c r="J279" i="4"/>
  <c r="I280" i="4"/>
  <c r="J280" i="4"/>
  <c r="I281" i="4"/>
  <c r="J281" i="4"/>
  <c r="I282" i="4"/>
  <c r="J282" i="4"/>
  <c r="I283" i="4"/>
  <c r="J283" i="4"/>
  <c r="I284" i="4"/>
  <c r="J284" i="4"/>
  <c r="I285" i="4"/>
  <c r="J285" i="4"/>
  <c r="I286" i="4"/>
  <c r="J286" i="4"/>
  <c r="I287" i="4"/>
  <c r="J287" i="4"/>
  <c r="I288" i="4"/>
  <c r="J288" i="4"/>
  <c r="I289" i="4"/>
  <c r="J289" i="4"/>
  <c r="I290" i="4"/>
  <c r="J290" i="4"/>
  <c r="I291" i="4"/>
  <c r="J291" i="4"/>
  <c r="I292" i="4"/>
  <c r="J292" i="4"/>
  <c r="I293" i="4"/>
  <c r="J293" i="4"/>
  <c r="I294" i="4"/>
  <c r="J294" i="4"/>
  <c r="I295" i="4"/>
  <c r="J295" i="4"/>
  <c r="I296" i="4"/>
  <c r="J296" i="4"/>
  <c r="I297" i="4"/>
  <c r="J297" i="4"/>
  <c r="I298" i="4"/>
  <c r="J298" i="4"/>
  <c r="I299" i="4"/>
  <c r="J299" i="4"/>
  <c r="I300" i="4"/>
  <c r="J300" i="4"/>
  <c r="I301" i="4"/>
  <c r="J301" i="4"/>
  <c r="I302" i="4"/>
  <c r="J302" i="4"/>
  <c r="I303" i="4"/>
  <c r="J303" i="4"/>
  <c r="I304" i="4"/>
  <c r="J304" i="4"/>
  <c r="I305" i="4"/>
  <c r="J305" i="4"/>
  <c r="I306" i="4"/>
  <c r="J306" i="4"/>
  <c r="I307" i="4"/>
  <c r="J307" i="4"/>
  <c r="I308" i="4"/>
  <c r="J308" i="4"/>
  <c r="I309" i="4"/>
  <c r="J309" i="4"/>
  <c r="I310" i="4"/>
  <c r="J310" i="4"/>
  <c r="I311" i="4"/>
  <c r="J311" i="4"/>
  <c r="I312" i="4"/>
  <c r="J312" i="4"/>
  <c r="I313" i="4"/>
  <c r="J313" i="4"/>
  <c r="I314" i="4"/>
  <c r="J314" i="4"/>
  <c r="I315" i="4"/>
  <c r="J315" i="4"/>
  <c r="I316" i="4"/>
  <c r="J316" i="4"/>
  <c r="I317" i="4"/>
  <c r="J317" i="4"/>
  <c r="I318" i="4"/>
  <c r="J318" i="4"/>
  <c r="I319" i="4"/>
  <c r="J319" i="4"/>
  <c r="I320" i="4"/>
  <c r="J320" i="4"/>
  <c r="I321" i="4"/>
  <c r="J321" i="4"/>
  <c r="I322" i="4"/>
  <c r="J322" i="4"/>
  <c r="I323" i="4"/>
  <c r="J323" i="4"/>
  <c r="I324" i="4"/>
  <c r="J324" i="4"/>
  <c r="I325" i="4"/>
  <c r="J325" i="4"/>
  <c r="I326" i="4"/>
  <c r="J326" i="4"/>
  <c r="I327" i="4"/>
  <c r="J327" i="4"/>
  <c r="I328" i="4"/>
  <c r="J328" i="4"/>
  <c r="I329" i="4"/>
  <c r="J329" i="4"/>
  <c r="I330" i="4"/>
  <c r="J330" i="4"/>
  <c r="I331" i="4"/>
  <c r="J331" i="4"/>
  <c r="I332" i="4"/>
  <c r="J332" i="4"/>
  <c r="I333" i="4"/>
  <c r="J333" i="4"/>
  <c r="I334" i="4"/>
  <c r="J334" i="4"/>
  <c r="I335" i="4"/>
  <c r="J335" i="4"/>
  <c r="I336" i="4"/>
  <c r="J336" i="4"/>
  <c r="I337" i="4"/>
  <c r="J337" i="4"/>
  <c r="I338" i="4"/>
  <c r="J338" i="4"/>
  <c r="I339" i="4"/>
  <c r="J339" i="4"/>
  <c r="I340" i="4"/>
  <c r="J340" i="4"/>
  <c r="I341" i="4"/>
  <c r="J341" i="4"/>
  <c r="I342" i="4"/>
  <c r="J342" i="4"/>
  <c r="I343" i="4"/>
  <c r="J343" i="4"/>
  <c r="I344" i="4"/>
  <c r="J344" i="4"/>
  <c r="I345" i="4"/>
  <c r="J345" i="4"/>
  <c r="I346" i="4"/>
  <c r="J346" i="4"/>
  <c r="I347" i="4"/>
  <c r="J347" i="4"/>
  <c r="I348" i="4"/>
  <c r="J348" i="4"/>
  <c r="I349" i="4"/>
  <c r="J349" i="4"/>
  <c r="I350" i="4"/>
  <c r="J350" i="4"/>
  <c r="I351" i="4"/>
  <c r="J351" i="4"/>
  <c r="I352" i="4"/>
  <c r="J352" i="4"/>
  <c r="I353" i="4"/>
  <c r="J353" i="4"/>
  <c r="I354" i="4"/>
  <c r="J354" i="4"/>
  <c r="I355" i="4"/>
  <c r="J355" i="4"/>
  <c r="I356" i="4"/>
  <c r="J356" i="4"/>
  <c r="I357" i="4"/>
  <c r="J357" i="4"/>
  <c r="I358" i="4"/>
  <c r="J358" i="4"/>
  <c r="I359" i="4"/>
  <c r="J359" i="4"/>
  <c r="I360" i="4"/>
  <c r="J360" i="4"/>
  <c r="I361" i="4"/>
  <c r="J361" i="4"/>
  <c r="I362" i="4"/>
  <c r="J362" i="4"/>
  <c r="I363" i="4"/>
  <c r="J363" i="4"/>
  <c r="I364" i="4"/>
  <c r="J364" i="4"/>
  <c r="I365" i="4"/>
  <c r="J365" i="4"/>
  <c r="I366" i="4"/>
  <c r="J366" i="4"/>
  <c r="I367" i="4"/>
  <c r="J367" i="4"/>
  <c r="I368" i="4"/>
  <c r="J368" i="4"/>
  <c r="I369" i="4"/>
  <c r="J369" i="4"/>
  <c r="J11" i="4"/>
  <c r="I11" i="4"/>
  <c r="BA44" i="4" l="1"/>
  <c r="BA46" i="4"/>
  <c r="BA48" i="4"/>
  <c r="BA50" i="4"/>
  <c r="BA52" i="4"/>
  <c r="BA54" i="4"/>
  <c r="BA56" i="4"/>
  <c r="BA58" i="4"/>
  <c r="BA60" i="4"/>
  <c r="BA62" i="4"/>
  <c r="BA64" i="4"/>
  <c r="BA66" i="4"/>
  <c r="BA68" i="4"/>
  <c r="BA70" i="4"/>
  <c r="BA72" i="4"/>
  <c r="BA74" i="4"/>
  <c r="BA76" i="4"/>
  <c r="BA78" i="4"/>
  <c r="BA80" i="4"/>
  <c r="BA82" i="4"/>
  <c r="BB82" i="4" s="1"/>
  <c r="BA84" i="4"/>
  <c r="BA86" i="4"/>
  <c r="BA88" i="4"/>
  <c r="BA90" i="4"/>
  <c r="BA92" i="4"/>
  <c r="BA94" i="4"/>
  <c r="BA96" i="4"/>
  <c r="G368" i="4"/>
  <c r="G366" i="4"/>
  <c r="G364" i="4"/>
  <c r="AZ12" i="4"/>
  <c r="AZ14" i="4"/>
  <c r="BB14" i="4" s="1"/>
  <c r="AZ16" i="4"/>
  <c r="AZ18" i="4"/>
  <c r="AZ20" i="4"/>
  <c r="AZ22" i="4"/>
  <c r="BB22" i="4" s="1"/>
  <c r="BA12" i="4"/>
  <c r="BA14" i="4"/>
  <c r="BA16" i="4"/>
  <c r="BA18" i="4"/>
  <c r="BB18" i="4" s="1"/>
  <c r="BA20" i="4"/>
  <c r="BA22" i="4"/>
  <c r="AZ24" i="4"/>
  <c r="AZ26" i="4"/>
  <c r="BB26" i="4" s="1"/>
  <c r="AZ28" i="4"/>
  <c r="AZ30" i="4"/>
  <c r="AZ32" i="4"/>
  <c r="AZ34" i="4"/>
  <c r="AZ36" i="4"/>
  <c r="AZ38" i="4"/>
  <c r="AZ40" i="4"/>
  <c r="AZ42" i="4"/>
  <c r="AZ44" i="4"/>
  <c r="AZ46" i="4"/>
  <c r="AZ48" i="4"/>
  <c r="BB48" i="4" s="1"/>
  <c r="AZ50" i="4"/>
  <c r="AZ52" i="4"/>
  <c r="AZ54" i="4"/>
  <c r="AZ56" i="4"/>
  <c r="BB56" i="4" s="1"/>
  <c r="AZ58" i="4"/>
  <c r="AZ60" i="4"/>
  <c r="AZ62" i="4"/>
  <c r="AZ64" i="4"/>
  <c r="BB64" i="4" s="1"/>
  <c r="AZ66" i="4"/>
  <c r="AZ68" i="4"/>
  <c r="AZ70" i="4"/>
  <c r="AZ72" i="4"/>
  <c r="BB72" i="4" s="1"/>
  <c r="AZ74" i="4"/>
  <c r="AZ76" i="4"/>
  <c r="AZ78" i="4"/>
  <c r="AZ80" i="4"/>
  <c r="BB80" i="4" s="1"/>
  <c r="AZ82" i="4"/>
  <c r="AZ84" i="4"/>
  <c r="AZ86" i="4"/>
  <c r="AZ88" i="4"/>
  <c r="BB88" i="4" s="1"/>
  <c r="AZ90" i="4"/>
  <c r="AZ92" i="4"/>
  <c r="AZ94" i="4"/>
  <c r="AZ96" i="4"/>
  <c r="BB96" i="4" s="1"/>
  <c r="AZ98" i="4"/>
  <c r="AZ100" i="4"/>
  <c r="AZ102" i="4"/>
  <c r="AZ104" i="4"/>
  <c r="AZ106" i="4"/>
  <c r="AZ108" i="4"/>
  <c r="AZ110" i="4"/>
  <c r="AZ112" i="4"/>
  <c r="AZ114" i="4"/>
  <c r="AZ116" i="4"/>
  <c r="AZ118" i="4"/>
  <c r="AZ120" i="4"/>
  <c r="AZ122" i="4"/>
  <c r="AZ124" i="4"/>
  <c r="AZ126" i="4"/>
  <c r="AZ128" i="4"/>
  <c r="AZ130" i="4"/>
  <c r="AZ132" i="4"/>
  <c r="AZ134" i="4"/>
  <c r="AZ136" i="4"/>
  <c r="AZ138" i="4"/>
  <c r="AZ140" i="4"/>
  <c r="AZ142" i="4"/>
  <c r="AZ144" i="4"/>
  <c r="AZ146" i="4"/>
  <c r="AZ148" i="4"/>
  <c r="AZ150" i="4"/>
  <c r="AZ152" i="4"/>
  <c r="AZ154" i="4"/>
  <c r="AZ156" i="4"/>
  <c r="AZ158" i="4"/>
  <c r="AZ160" i="4"/>
  <c r="AZ162" i="4"/>
  <c r="AZ164" i="4"/>
  <c r="AZ166" i="4"/>
  <c r="AZ168" i="4"/>
  <c r="AZ170" i="4"/>
  <c r="AZ172" i="4"/>
  <c r="AZ174" i="4"/>
  <c r="AZ176" i="4"/>
  <c r="AZ178" i="4"/>
  <c r="AZ180" i="4"/>
  <c r="AZ182" i="4"/>
  <c r="AZ184" i="4"/>
  <c r="AZ186" i="4"/>
  <c r="AZ188" i="4"/>
  <c r="AZ190" i="4"/>
  <c r="AZ192" i="4"/>
  <c r="BA24" i="4"/>
  <c r="BA26" i="4"/>
  <c r="BA28" i="4"/>
  <c r="BA30" i="4"/>
  <c r="BA32" i="4"/>
  <c r="BA34" i="4"/>
  <c r="BA36" i="4"/>
  <c r="BA38" i="4"/>
  <c r="BB38" i="4" s="1"/>
  <c r="BA40" i="4"/>
  <c r="BA42" i="4"/>
  <c r="I370" i="4"/>
  <c r="G362" i="4"/>
  <c r="G360" i="4"/>
  <c r="G358" i="4"/>
  <c r="G356" i="4"/>
  <c r="G354" i="4"/>
  <c r="G352" i="4"/>
  <c r="G350" i="4"/>
  <c r="G348" i="4"/>
  <c r="G346" i="4"/>
  <c r="G344" i="4"/>
  <c r="G342" i="4"/>
  <c r="G340" i="4"/>
  <c r="G338" i="4"/>
  <c r="G336" i="4"/>
  <c r="G334" i="4"/>
  <c r="G332" i="4"/>
  <c r="G330" i="4"/>
  <c r="G328" i="4"/>
  <c r="G326" i="4"/>
  <c r="G324" i="4"/>
  <c r="G322" i="4"/>
  <c r="G320" i="4"/>
  <c r="G318" i="4"/>
  <c r="G316" i="4"/>
  <c r="G314" i="4"/>
  <c r="G312" i="4"/>
  <c r="G310" i="4"/>
  <c r="G308" i="4"/>
  <c r="G306" i="4"/>
  <c r="G304" i="4"/>
  <c r="G302" i="4"/>
  <c r="G300" i="4"/>
  <c r="G298" i="4"/>
  <c r="G296" i="4"/>
  <c r="G294" i="4"/>
  <c r="G292" i="4"/>
  <c r="G290" i="4"/>
  <c r="G288" i="4"/>
  <c r="G286" i="4"/>
  <c r="G284" i="4"/>
  <c r="G282" i="4"/>
  <c r="G280" i="4"/>
  <c r="G278" i="4"/>
  <c r="G276" i="4"/>
  <c r="G274" i="4"/>
  <c r="G272" i="4"/>
  <c r="G270" i="4"/>
  <c r="G268" i="4"/>
  <c r="G266" i="4"/>
  <c r="G264" i="4"/>
  <c r="G262" i="4"/>
  <c r="G260" i="4"/>
  <c r="G258" i="4"/>
  <c r="G256" i="4"/>
  <c r="G254" i="4"/>
  <c r="G252" i="4"/>
  <c r="G250" i="4"/>
  <c r="G248" i="4"/>
  <c r="G246" i="4"/>
  <c r="G244" i="4"/>
  <c r="G242" i="4"/>
  <c r="G240" i="4"/>
  <c r="G238" i="4"/>
  <c r="G236" i="4"/>
  <c r="G234" i="4"/>
  <c r="G232" i="4"/>
  <c r="G230" i="4"/>
  <c r="G228" i="4"/>
  <c r="G226" i="4"/>
  <c r="G224" i="4"/>
  <c r="G222" i="4"/>
  <c r="G220" i="4"/>
  <c r="G218" i="4"/>
  <c r="G216" i="4"/>
  <c r="G214" i="4"/>
  <c r="G212" i="4"/>
  <c r="G210" i="4"/>
  <c r="G208" i="4"/>
  <c r="G206" i="4"/>
  <c r="G204" i="4"/>
  <c r="G202" i="4"/>
  <c r="G200" i="4"/>
  <c r="G198" i="4"/>
  <c r="G196" i="4"/>
  <c r="G194" i="4"/>
  <c r="G192" i="4"/>
  <c r="G190" i="4"/>
  <c r="G188" i="4"/>
  <c r="G186" i="4"/>
  <c r="G184" i="4"/>
  <c r="G182" i="4"/>
  <c r="G180" i="4"/>
  <c r="G178" i="4"/>
  <c r="G176" i="4"/>
  <c r="G174" i="4"/>
  <c r="G172" i="4"/>
  <c r="G170" i="4"/>
  <c r="G168" i="4"/>
  <c r="G166" i="4"/>
  <c r="G164" i="4"/>
  <c r="G162" i="4"/>
  <c r="G160" i="4"/>
  <c r="G158" i="4"/>
  <c r="G156" i="4"/>
  <c r="G154" i="4"/>
  <c r="G152" i="4"/>
  <c r="G150" i="4"/>
  <c r="G148" i="4"/>
  <c r="G146" i="4"/>
  <c r="G144" i="4"/>
  <c r="G142" i="4"/>
  <c r="G140" i="4"/>
  <c r="G138" i="4"/>
  <c r="G136" i="4"/>
  <c r="G134" i="4"/>
  <c r="G132" i="4"/>
  <c r="G130" i="4"/>
  <c r="G128" i="4"/>
  <c r="G126" i="4"/>
  <c r="G124" i="4"/>
  <c r="G122" i="4"/>
  <c r="G120" i="4"/>
  <c r="G118" i="4"/>
  <c r="G116" i="4"/>
  <c r="G114" i="4"/>
  <c r="G112" i="4"/>
  <c r="G110" i="4"/>
  <c r="G108" i="4"/>
  <c r="G106" i="4"/>
  <c r="G104" i="4"/>
  <c r="G102" i="4"/>
  <c r="G100" i="4"/>
  <c r="G98" i="4"/>
  <c r="G96" i="4"/>
  <c r="G94" i="4"/>
  <c r="G92" i="4"/>
  <c r="G90" i="4"/>
  <c r="BA98" i="4"/>
  <c r="BB98" i="4" s="1"/>
  <c r="BA100" i="4"/>
  <c r="BA102" i="4"/>
  <c r="BA104" i="4"/>
  <c r="BB104" i="4" s="1"/>
  <c r="BA106" i="4"/>
  <c r="BB106" i="4" s="1"/>
  <c r="BA108" i="4"/>
  <c r="BA110" i="4"/>
  <c r="BA112" i="4"/>
  <c r="BB112" i="4" s="1"/>
  <c r="BA114" i="4"/>
  <c r="BB114" i="4" s="1"/>
  <c r="BA116" i="4"/>
  <c r="BA118" i="4"/>
  <c r="BA120" i="4"/>
  <c r="BB120" i="4" s="1"/>
  <c r="BA122" i="4"/>
  <c r="BB122" i="4" s="1"/>
  <c r="BA124" i="4"/>
  <c r="BA126" i="4"/>
  <c r="BA128" i="4"/>
  <c r="BB128" i="4" s="1"/>
  <c r="BA130" i="4"/>
  <c r="BB130" i="4" s="1"/>
  <c r="BA132" i="4"/>
  <c r="BA134" i="4"/>
  <c r="BA136" i="4"/>
  <c r="BB136" i="4" s="1"/>
  <c r="BA138" i="4"/>
  <c r="BB138" i="4" s="1"/>
  <c r="BA140" i="4"/>
  <c r="BA142" i="4"/>
  <c r="BA144" i="4"/>
  <c r="BB144" i="4" s="1"/>
  <c r="BA146" i="4"/>
  <c r="BA148" i="4"/>
  <c r="BA150" i="4"/>
  <c r="BA152" i="4"/>
  <c r="BB152" i="4" s="1"/>
  <c r="BA154" i="4"/>
  <c r="BB154" i="4" s="1"/>
  <c r="BA156" i="4"/>
  <c r="BA158" i="4"/>
  <c r="BA160" i="4"/>
  <c r="BB160" i="4" s="1"/>
  <c r="BA162" i="4"/>
  <c r="BB162" i="4" s="1"/>
  <c r="BA164" i="4"/>
  <c r="BA166" i="4"/>
  <c r="BA168" i="4"/>
  <c r="BB168" i="4" s="1"/>
  <c r="BA170" i="4"/>
  <c r="BB170" i="4" s="1"/>
  <c r="BA172" i="4"/>
  <c r="BA174" i="4"/>
  <c r="BA176" i="4"/>
  <c r="BB176" i="4" s="1"/>
  <c r="BA178" i="4"/>
  <c r="BB178" i="4" s="1"/>
  <c r="BA180" i="4"/>
  <c r="BA182" i="4"/>
  <c r="BA184" i="4"/>
  <c r="BB184" i="4" s="1"/>
  <c r="BA186" i="4"/>
  <c r="BB186" i="4" s="1"/>
  <c r="BA188" i="4"/>
  <c r="BA190" i="4"/>
  <c r="BA192" i="4"/>
  <c r="BB192" i="4" s="1"/>
  <c r="BA194" i="4"/>
  <c r="BA196" i="4"/>
  <c r="BA198" i="4"/>
  <c r="BA200" i="4"/>
  <c r="C6" i="13"/>
  <c r="D50" i="12" s="1"/>
  <c r="BA202" i="4"/>
  <c r="BA204" i="4"/>
  <c r="BA206" i="4"/>
  <c r="BA208" i="4"/>
  <c r="BA210" i="4"/>
  <c r="BA212" i="4"/>
  <c r="BA214" i="4"/>
  <c r="BA216" i="4"/>
  <c r="BA218" i="4"/>
  <c r="BA220" i="4"/>
  <c r="BA222" i="4"/>
  <c r="BA224" i="4"/>
  <c r="BA226" i="4"/>
  <c r="BA228" i="4"/>
  <c r="BA230" i="4"/>
  <c r="BA232" i="4"/>
  <c r="BA234" i="4"/>
  <c r="BA236" i="4"/>
  <c r="BA238" i="4"/>
  <c r="BA240" i="4"/>
  <c r="BA242" i="4"/>
  <c r="BA244" i="4"/>
  <c r="BA246" i="4"/>
  <c r="BA248" i="4"/>
  <c r="BA250" i="4"/>
  <c r="BA252" i="4"/>
  <c r="BA254" i="4"/>
  <c r="BA256" i="4"/>
  <c r="BA258" i="4"/>
  <c r="BA260" i="4"/>
  <c r="BA262" i="4"/>
  <c r="BA264" i="4"/>
  <c r="BA266" i="4"/>
  <c r="BA268" i="4"/>
  <c r="BA270" i="4"/>
  <c r="BA272" i="4"/>
  <c r="BA274" i="4"/>
  <c r="BA276" i="4"/>
  <c r="BA278" i="4"/>
  <c r="BA280" i="4"/>
  <c r="BA282" i="4"/>
  <c r="BA284" i="4"/>
  <c r="BA286" i="4"/>
  <c r="BA288" i="4"/>
  <c r="BA290" i="4"/>
  <c r="BA292" i="4"/>
  <c r="BA294" i="4"/>
  <c r="BA296" i="4"/>
  <c r="BA298" i="4"/>
  <c r="BA300" i="4"/>
  <c r="BA302" i="4"/>
  <c r="BA304" i="4"/>
  <c r="BA306" i="4"/>
  <c r="BA308" i="4"/>
  <c r="BA310" i="4"/>
  <c r="BA312" i="4"/>
  <c r="BA314" i="4"/>
  <c r="BA316" i="4"/>
  <c r="BA318" i="4"/>
  <c r="BA320" i="4"/>
  <c r="BA322" i="4"/>
  <c r="BA324" i="4"/>
  <c r="BA326" i="4"/>
  <c r="BA328" i="4"/>
  <c r="BA330" i="4"/>
  <c r="BA332" i="4"/>
  <c r="BA334" i="4"/>
  <c r="BA336" i="4"/>
  <c r="BA338" i="4"/>
  <c r="BA340" i="4"/>
  <c r="BA342" i="4"/>
  <c r="BA344" i="4"/>
  <c r="BA346" i="4"/>
  <c r="BA348" i="4"/>
  <c r="BA350" i="4"/>
  <c r="BA352" i="4"/>
  <c r="BA354" i="4"/>
  <c r="BA356" i="4"/>
  <c r="BA358" i="4"/>
  <c r="BA360" i="4"/>
  <c r="BA362" i="4"/>
  <c r="BA364" i="4"/>
  <c r="BA366" i="4"/>
  <c r="BA368" i="4"/>
  <c r="AO370" i="4"/>
  <c r="AZ194" i="4"/>
  <c r="AZ196" i="4"/>
  <c r="AZ198" i="4"/>
  <c r="BB198" i="4" s="1"/>
  <c r="AZ200" i="4"/>
  <c r="Z370" i="4"/>
  <c r="AD370" i="4"/>
  <c r="E390" i="4" s="1"/>
  <c r="C390" i="4" s="1"/>
  <c r="AZ202" i="4"/>
  <c r="BB202" i="4" s="1"/>
  <c r="AZ204" i="4"/>
  <c r="AZ206" i="4"/>
  <c r="AZ208" i="4"/>
  <c r="AZ210" i="4"/>
  <c r="BB210" i="4" s="1"/>
  <c r="AZ212" i="4"/>
  <c r="AZ214" i="4"/>
  <c r="AZ216" i="4"/>
  <c r="AZ218" i="4"/>
  <c r="BB218" i="4" s="1"/>
  <c r="AZ220" i="4"/>
  <c r="AZ222" i="4"/>
  <c r="AZ224" i="4"/>
  <c r="AZ226" i="4"/>
  <c r="BB226" i="4" s="1"/>
  <c r="AZ228" i="4"/>
  <c r="AZ230" i="4"/>
  <c r="AZ232" i="4"/>
  <c r="AZ234" i="4"/>
  <c r="BB234" i="4" s="1"/>
  <c r="AZ236" i="4"/>
  <c r="AZ238" i="4"/>
  <c r="AZ240" i="4"/>
  <c r="AZ242" i="4"/>
  <c r="BB242" i="4" s="1"/>
  <c r="AZ244" i="4"/>
  <c r="AZ246" i="4"/>
  <c r="AZ248" i="4"/>
  <c r="AZ250" i="4"/>
  <c r="BB250" i="4" s="1"/>
  <c r="AZ252" i="4"/>
  <c r="AZ254" i="4"/>
  <c r="AZ256" i="4"/>
  <c r="AZ258" i="4"/>
  <c r="BB258" i="4" s="1"/>
  <c r="AZ260" i="4"/>
  <c r="AZ262" i="4"/>
  <c r="AZ264" i="4"/>
  <c r="AZ266" i="4"/>
  <c r="BB266" i="4" s="1"/>
  <c r="AZ268" i="4"/>
  <c r="AZ270" i="4"/>
  <c r="AZ272" i="4"/>
  <c r="AZ274" i="4"/>
  <c r="BB274" i="4" s="1"/>
  <c r="AZ276" i="4"/>
  <c r="AZ278" i="4"/>
  <c r="AZ280" i="4"/>
  <c r="AZ282" i="4"/>
  <c r="BB282" i="4" s="1"/>
  <c r="AZ284" i="4"/>
  <c r="AZ286" i="4"/>
  <c r="AZ288" i="4"/>
  <c r="AZ290" i="4"/>
  <c r="BB290" i="4" s="1"/>
  <c r="AZ292" i="4"/>
  <c r="AZ294" i="4"/>
  <c r="AZ296" i="4"/>
  <c r="AZ298" i="4"/>
  <c r="BB298" i="4" s="1"/>
  <c r="AZ300" i="4"/>
  <c r="AZ302" i="4"/>
  <c r="AZ304" i="4"/>
  <c r="AZ306" i="4"/>
  <c r="BB306" i="4" s="1"/>
  <c r="AZ308" i="4"/>
  <c r="AZ310" i="4"/>
  <c r="AZ312" i="4"/>
  <c r="AZ314" i="4"/>
  <c r="BB314" i="4" s="1"/>
  <c r="AZ316" i="4"/>
  <c r="AZ318" i="4"/>
  <c r="AZ320" i="4"/>
  <c r="AZ322" i="4"/>
  <c r="BB322" i="4" s="1"/>
  <c r="AZ324" i="4"/>
  <c r="AZ326" i="4"/>
  <c r="AZ328" i="4"/>
  <c r="AZ330" i="4"/>
  <c r="BB330" i="4" s="1"/>
  <c r="AZ332" i="4"/>
  <c r="AZ334" i="4"/>
  <c r="AZ336" i="4"/>
  <c r="AZ338" i="4"/>
  <c r="BB338" i="4" s="1"/>
  <c r="AZ340" i="4"/>
  <c r="AZ342" i="4"/>
  <c r="AZ344" i="4"/>
  <c r="AZ346" i="4"/>
  <c r="BB346" i="4" s="1"/>
  <c r="AZ348" i="4"/>
  <c r="AZ350" i="4"/>
  <c r="AZ352" i="4"/>
  <c r="AZ354" i="4"/>
  <c r="BB354" i="4" s="1"/>
  <c r="AZ356" i="4"/>
  <c r="AZ358" i="4"/>
  <c r="AZ360" i="4"/>
  <c r="AZ362" i="4"/>
  <c r="BB362" i="4" s="1"/>
  <c r="AZ366" i="4"/>
  <c r="AZ368" i="4"/>
  <c r="AN370" i="4"/>
  <c r="AT370" i="4"/>
  <c r="V370" i="4"/>
  <c r="O370" i="4"/>
  <c r="BA13" i="4"/>
  <c r="BA15" i="4"/>
  <c r="BA17" i="4"/>
  <c r="BA19" i="4"/>
  <c r="BA21" i="4"/>
  <c r="BA23" i="4"/>
  <c r="BA25" i="4"/>
  <c r="BA27" i="4"/>
  <c r="BA29" i="4"/>
  <c r="BA31" i="4"/>
  <c r="BA33" i="4"/>
  <c r="BA35" i="4"/>
  <c r="BA37" i="4"/>
  <c r="BA39" i="4"/>
  <c r="BA41" i="4"/>
  <c r="BA43" i="4"/>
  <c r="BA45" i="4"/>
  <c r="BA47" i="4"/>
  <c r="BA49" i="4"/>
  <c r="BA51" i="4"/>
  <c r="BA53" i="4"/>
  <c r="BA55" i="4"/>
  <c r="BA57" i="4"/>
  <c r="BA59" i="4"/>
  <c r="BA61" i="4"/>
  <c r="BA63" i="4"/>
  <c r="BA65" i="4"/>
  <c r="BA67" i="4"/>
  <c r="BA69" i="4"/>
  <c r="BA71" i="4"/>
  <c r="BA73" i="4"/>
  <c r="BA75" i="4"/>
  <c r="BA77" i="4"/>
  <c r="BA79" i="4"/>
  <c r="BA81" i="4"/>
  <c r="BA83" i="4"/>
  <c r="BA85" i="4"/>
  <c r="BA87" i="4"/>
  <c r="BA89" i="4"/>
  <c r="BA91" i="4"/>
  <c r="BA93" i="4"/>
  <c r="BA95" i="4"/>
  <c r="BA97" i="4"/>
  <c r="BA99" i="4"/>
  <c r="BA101" i="4"/>
  <c r="BA103" i="4"/>
  <c r="BA105" i="4"/>
  <c r="BA107" i="4"/>
  <c r="BA109" i="4"/>
  <c r="BA111" i="4"/>
  <c r="BA113" i="4"/>
  <c r="BA115" i="4"/>
  <c r="BA117" i="4"/>
  <c r="BA119" i="4"/>
  <c r="BA121" i="4"/>
  <c r="BA123" i="4"/>
  <c r="BA125" i="4"/>
  <c r="BA127" i="4"/>
  <c r="BA129" i="4"/>
  <c r="BA131" i="4"/>
  <c r="BA133" i="4"/>
  <c r="BA135" i="4"/>
  <c r="BA137" i="4"/>
  <c r="BA139" i="4"/>
  <c r="BA141" i="4"/>
  <c r="BA143" i="4"/>
  <c r="BA145" i="4"/>
  <c r="BA147" i="4"/>
  <c r="BA149" i="4"/>
  <c r="BA151" i="4"/>
  <c r="BA153" i="4"/>
  <c r="BA155" i="4"/>
  <c r="BA157" i="4"/>
  <c r="BA159" i="4"/>
  <c r="BA161" i="4"/>
  <c r="BA163" i="4"/>
  <c r="BA165" i="4"/>
  <c r="BA167" i="4"/>
  <c r="BA169" i="4"/>
  <c r="BA171" i="4"/>
  <c r="BA173" i="4"/>
  <c r="BA175" i="4"/>
  <c r="BA177" i="4"/>
  <c r="BA179" i="4"/>
  <c r="BA181" i="4"/>
  <c r="BA183" i="4"/>
  <c r="BA185" i="4"/>
  <c r="BA187" i="4"/>
  <c r="BA189" i="4"/>
  <c r="BA191" i="4"/>
  <c r="BA193" i="4"/>
  <c r="BA195" i="4"/>
  <c r="BA197" i="4"/>
  <c r="BA199" i="4"/>
  <c r="BA201" i="4"/>
  <c r="BA203" i="4"/>
  <c r="D10" i="13"/>
  <c r="E54" i="12" s="1"/>
  <c r="D12" i="13"/>
  <c r="E56" i="12" s="1"/>
  <c r="AC370" i="4"/>
  <c r="E388" i="4" s="1"/>
  <c r="C388" i="4" s="1"/>
  <c r="D15" i="13"/>
  <c r="E59" i="12" s="1"/>
  <c r="AU370" i="4"/>
  <c r="BA205" i="4"/>
  <c r="BA207" i="4"/>
  <c r="BA209" i="4"/>
  <c r="BA211" i="4"/>
  <c r="BA213" i="4"/>
  <c r="BA215" i="4"/>
  <c r="BA217" i="4"/>
  <c r="BA219" i="4"/>
  <c r="BA221" i="4"/>
  <c r="BA223" i="4"/>
  <c r="BA225" i="4"/>
  <c r="BA227" i="4"/>
  <c r="BA229" i="4"/>
  <c r="BA231" i="4"/>
  <c r="BA233" i="4"/>
  <c r="BA235" i="4"/>
  <c r="BA237" i="4"/>
  <c r="BA239" i="4"/>
  <c r="BA241" i="4"/>
  <c r="BA243" i="4"/>
  <c r="BA245" i="4"/>
  <c r="BA247" i="4"/>
  <c r="BA249" i="4"/>
  <c r="BA251" i="4"/>
  <c r="BA253" i="4"/>
  <c r="BA255" i="4"/>
  <c r="BA257" i="4"/>
  <c r="BA259" i="4"/>
  <c r="BA261" i="4"/>
  <c r="BA263" i="4"/>
  <c r="BA265" i="4"/>
  <c r="BA267" i="4"/>
  <c r="BA269" i="4"/>
  <c r="BA271" i="4"/>
  <c r="BA273" i="4"/>
  <c r="BA275" i="4"/>
  <c r="BA277" i="4"/>
  <c r="BA279" i="4"/>
  <c r="BA281" i="4"/>
  <c r="BA283" i="4"/>
  <c r="BA285" i="4"/>
  <c r="BA287" i="4"/>
  <c r="BA289" i="4"/>
  <c r="BA291" i="4"/>
  <c r="BA293" i="4"/>
  <c r="BA295" i="4"/>
  <c r="BA297" i="4"/>
  <c r="BA299" i="4"/>
  <c r="BA301" i="4"/>
  <c r="BA303" i="4"/>
  <c r="BA305" i="4"/>
  <c r="BA307" i="4"/>
  <c r="BA309" i="4"/>
  <c r="BA311" i="4"/>
  <c r="BA313" i="4"/>
  <c r="BA315" i="4"/>
  <c r="BA317" i="4"/>
  <c r="BA319" i="4"/>
  <c r="BA321" i="4"/>
  <c r="BA323" i="4"/>
  <c r="BA325" i="4"/>
  <c r="BA327" i="4"/>
  <c r="BA329" i="4"/>
  <c r="BA331" i="4"/>
  <c r="BA333" i="4"/>
  <c r="BA335" i="4"/>
  <c r="BA337" i="4"/>
  <c r="BA339" i="4"/>
  <c r="BA341" i="4"/>
  <c r="BA343" i="4"/>
  <c r="BA345" i="4"/>
  <c r="BA347" i="4"/>
  <c r="BA349" i="4"/>
  <c r="BA351" i="4"/>
  <c r="BA353" i="4"/>
  <c r="BA355" i="4"/>
  <c r="BA357" i="4"/>
  <c r="BA359" i="4"/>
  <c r="BA361" i="4"/>
  <c r="BA363" i="4"/>
  <c r="BA365" i="4"/>
  <c r="BA367" i="4"/>
  <c r="BA369" i="4"/>
  <c r="AL370" i="4"/>
  <c r="E398" i="4" s="1"/>
  <c r="C398" i="4" s="1"/>
  <c r="AR370" i="4"/>
  <c r="D8" i="13"/>
  <c r="E52" i="12" s="1"/>
  <c r="D16" i="13"/>
  <c r="E60" i="12" s="1"/>
  <c r="C7" i="13"/>
  <c r="D51" i="12" s="1"/>
  <c r="C9" i="13"/>
  <c r="D53" i="12" s="1"/>
  <c r="C11" i="13"/>
  <c r="D55" i="12" s="1"/>
  <c r="D13" i="13"/>
  <c r="E57" i="12" s="1"/>
  <c r="C8" i="13"/>
  <c r="D52" i="12" s="1"/>
  <c r="D7" i="13"/>
  <c r="E51" i="12" s="1"/>
  <c r="D9" i="13"/>
  <c r="E53" i="12" s="1"/>
  <c r="D11" i="13"/>
  <c r="E55" i="12" s="1"/>
  <c r="D14" i="13"/>
  <c r="E58" i="12" s="1"/>
  <c r="U370" i="4"/>
  <c r="Y370" i="4"/>
  <c r="AZ364" i="4"/>
  <c r="BB364" i="4" s="1"/>
  <c r="G369" i="4"/>
  <c r="G365" i="4"/>
  <c r="G361" i="4"/>
  <c r="G357" i="4"/>
  <c r="G353" i="4"/>
  <c r="G349" i="4"/>
  <c r="G345" i="4"/>
  <c r="G341" i="4"/>
  <c r="G337" i="4"/>
  <c r="G333" i="4"/>
  <c r="G329" i="4"/>
  <c r="G323" i="4"/>
  <c r="G319" i="4"/>
  <c r="G315" i="4"/>
  <c r="G311" i="4"/>
  <c r="G307" i="4"/>
  <c r="G305" i="4"/>
  <c r="G299" i="4"/>
  <c r="G295" i="4"/>
  <c r="G291" i="4"/>
  <c r="G287" i="4"/>
  <c r="G281" i="4"/>
  <c r="G277" i="4"/>
  <c r="G273" i="4"/>
  <c r="G269" i="4"/>
  <c r="G265" i="4"/>
  <c r="G263" i="4"/>
  <c r="G259" i="4"/>
  <c r="G253" i="4"/>
  <c r="G249" i="4"/>
  <c r="G245" i="4"/>
  <c r="G241" i="4"/>
  <c r="G237" i="4"/>
  <c r="G233" i="4"/>
  <c r="G227" i="4"/>
  <c r="G223" i="4"/>
  <c r="G221" i="4"/>
  <c r="G217" i="4"/>
  <c r="G213" i="4"/>
  <c r="G209" i="4"/>
  <c r="G205" i="4"/>
  <c r="G201" i="4"/>
  <c r="G197" i="4"/>
  <c r="G193" i="4"/>
  <c r="G189" i="4"/>
  <c r="G185" i="4"/>
  <c r="G181" i="4"/>
  <c r="G175" i="4"/>
  <c r="G167" i="4"/>
  <c r="G367" i="4"/>
  <c r="G363" i="4"/>
  <c r="G359" i="4"/>
  <c r="G355" i="4"/>
  <c r="G351" i="4"/>
  <c r="G347" i="4"/>
  <c r="G343" i="4"/>
  <c r="G339" i="4"/>
  <c r="G335" i="4"/>
  <c r="G331" i="4"/>
  <c r="G327" i="4"/>
  <c r="G325" i="4"/>
  <c r="G321" i="4"/>
  <c r="G317" i="4"/>
  <c r="G313" i="4"/>
  <c r="G309" i="4"/>
  <c r="G303" i="4"/>
  <c r="G301" i="4"/>
  <c r="G297" i="4"/>
  <c r="G293" i="4"/>
  <c r="G289" i="4"/>
  <c r="G285" i="4"/>
  <c r="G283" i="4"/>
  <c r="G279" i="4"/>
  <c r="G275" i="4"/>
  <c r="G271" i="4"/>
  <c r="G267" i="4"/>
  <c r="G261" i="4"/>
  <c r="G257" i="4"/>
  <c r="G255" i="4"/>
  <c r="G251" i="4"/>
  <c r="G247" i="4"/>
  <c r="G243" i="4"/>
  <c r="G239" i="4"/>
  <c r="G235" i="4"/>
  <c r="G231" i="4"/>
  <c r="G225" i="4"/>
  <c r="G219" i="4"/>
  <c r="G215" i="4"/>
  <c r="G211" i="4"/>
  <c r="G207" i="4"/>
  <c r="G203" i="4"/>
  <c r="G199" i="4"/>
  <c r="G195" i="4"/>
  <c r="G191" i="4"/>
  <c r="G187" i="4"/>
  <c r="G183" i="4"/>
  <c r="G179" i="4"/>
  <c r="G177" i="4"/>
  <c r="G173" i="4"/>
  <c r="G171" i="4"/>
  <c r="G169" i="4"/>
  <c r="P370" i="4"/>
  <c r="E387" i="4" s="1"/>
  <c r="C387" i="4" s="1"/>
  <c r="G163" i="4"/>
  <c r="G159" i="4"/>
  <c r="G155" i="4"/>
  <c r="G151" i="4"/>
  <c r="G147" i="4"/>
  <c r="G145" i="4"/>
  <c r="G143" i="4"/>
  <c r="G141" i="4"/>
  <c r="G139" i="4"/>
  <c r="G135" i="4"/>
  <c r="G133" i="4"/>
  <c r="G131" i="4"/>
  <c r="G129" i="4"/>
  <c r="G127" i="4"/>
  <c r="G125" i="4"/>
  <c r="G123" i="4"/>
  <c r="G121" i="4"/>
  <c r="G119" i="4"/>
  <c r="G117" i="4"/>
  <c r="G115" i="4"/>
  <c r="G113" i="4"/>
  <c r="G111" i="4"/>
  <c r="G109" i="4"/>
  <c r="G107" i="4"/>
  <c r="G105" i="4"/>
  <c r="G103" i="4"/>
  <c r="G101" i="4"/>
  <c r="G99" i="4"/>
  <c r="G97" i="4"/>
  <c r="G95" i="4"/>
  <c r="G93" i="4"/>
  <c r="G91" i="4"/>
  <c r="G89" i="4"/>
  <c r="G87" i="4"/>
  <c r="G85" i="4"/>
  <c r="G83" i="4"/>
  <c r="G81" i="4"/>
  <c r="G79" i="4"/>
  <c r="G77" i="4"/>
  <c r="G75" i="4"/>
  <c r="G73" i="4"/>
  <c r="G71" i="4"/>
  <c r="G69" i="4"/>
  <c r="G67" i="4"/>
  <c r="G65" i="4"/>
  <c r="G63" i="4"/>
  <c r="G61" i="4"/>
  <c r="G59" i="4"/>
  <c r="G57" i="4"/>
  <c r="G55" i="4"/>
  <c r="G53" i="4"/>
  <c r="G51" i="4"/>
  <c r="G49" i="4"/>
  <c r="G47" i="4"/>
  <c r="G45" i="4"/>
  <c r="G43" i="4"/>
  <c r="G41" i="4"/>
  <c r="G39" i="4"/>
  <c r="G37" i="4"/>
  <c r="G35" i="4"/>
  <c r="G33" i="4"/>
  <c r="G31" i="4"/>
  <c r="G29" i="4"/>
  <c r="G27" i="4"/>
  <c r="G25" i="4"/>
  <c r="G23" i="4"/>
  <c r="G21" i="4"/>
  <c r="G19" i="4"/>
  <c r="G17" i="4"/>
  <c r="G15" i="4"/>
  <c r="G13" i="4"/>
  <c r="L370" i="4"/>
  <c r="W370" i="4"/>
  <c r="AA370" i="4"/>
  <c r="AZ13" i="4"/>
  <c r="BB13" i="4" s="1"/>
  <c r="AZ15" i="4"/>
  <c r="BB15" i="4" s="1"/>
  <c r="AZ17" i="4"/>
  <c r="AZ19" i="4"/>
  <c r="BB19" i="4" s="1"/>
  <c r="AZ21" i="4"/>
  <c r="AZ23" i="4"/>
  <c r="BB23" i="4" s="1"/>
  <c r="AZ25" i="4"/>
  <c r="BB25" i="4" s="1"/>
  <c r="AZ27" i="4"/>
  <c r="BB27" i="4" s="1"/>
  <c r="AZ29" i="4"/>
  <c r="AZ31" i="4"/>
  <c r="BB31" i="4" s="1"/>
  <c r="AZ33" i="4"/>
  <c r="AZ35" i="4"/>
  <c r="BB35" i="4" s="1"/>
  <c r="AZ37" i="4"/>
  <c r="AZ39" i="4"/>
  <c r="BB39" i="4" s="1"/>
  <c r="AZ41" i="4"/>
  <c r="AZ43" i="4"/>
  <c r="BB43" i="4" s="1"/>
  <c r="AZ45" i="4"/>
  <c r="BB45" i="4" s="1"/>
  <c r="AZ47" i="4"/>
  <c r="BB47" i="4" s="1"/>
  <c r="AZ49" i="4"/>
  <c r="BB49" i="4" s="1"/>
  <c r="AZ51" i="4"/>
  <c r="BB51" i="4" s="1"/>
  <c r="AZ53" i="4"/>
  <c r="AZ55" i="4"/>
  <c r="AZ57" i="4"/>
  <c r="AZ59" i="4"/>
  <c r="BB59" i="4" s="1"/>
  <c r="AZ61" i="4"/>
  <c r="AZ63" i="4"/>
  <c r="BB63" i="4" s="1"/>
  <c r="AZ65" i="4"/>
  <c r="BB65" i="4" s="1"/>
  <c r="AZ67" i="4"/>
  <c r="BB67" i="4" s="1"/>
  <c r="AZ69" i="4"/>
  <c r="AZ71" i="4"/>
  <c r="BB71" i="4" s="1"/>
  <c r="AZ73" i="4"/>
  <c r="AZ75" i="4"/>
  <c r="BB75" i="4" s="1"/>
  <c r="AZ77" i="4"/>
  <c r="AZ79" i="4"/>
  <c r="BB79" i="4" s="1"/>
  <c r="AZ81" i="4"/>
  <c r="AZ83" i="4"/>
  <c r="BB83" i="4" s="1"/>
  <c r="AZ85" i="4"/>
  <c r="AZ87" i="4"/>
  <c r="AZ89" i="4"/>
  <c r="AZ91" i="4"/>
  <c r="BB91" i="4" s="1"/>
  <c r="AZ93" i="4"/>
  <c r="AZ95" i="4"/>
  <c r="AZ97" i="4"/>
  <c r="AZ99" i="4"/>
  <c r="BB99" i="4" s="1"/>
  <c r="AZ101" i="4"/>
  <c r="AZ103" i="4"/>
  <c r="BB103" i="4" s="1"/>
  <c r="AZ105" i="4"/>
  <c r="AZ107" i="4"/>
  <c r="AZ109" i="4"/>
  <c r="AZ111" i="4"/>
  <c r="BB111" i="4" s="1"/>
  <c r="AZ113" i="4"/>
  <c r="AZ115" i="4"/>
  <c r="BB115" i="4" s="1"/>
  <c r="AZ117" i="4"/>
  <c r="BB117" i="4" s="1"/>
  <c r="AZ119" i="4"/>
  <c r="BB119" i="4" s="1"/>
  <c r="AZ121" i="4"/>
  <c r="AZ123" i="4"/>
  <c r="BB123" i="4" s="1"/>
  <c r="AZ125" i="4"/>
  <c r="BB125" i="4" s="1"/>
  <c r="AZ127" i="4"/>
  <c r="BB127" i="4" s="1"/>
  <c r="AZ129" i="4"/>
  <c r="AZ131" i="4"/>
  <c r="BB131" i="4" s="1"/>
  <c r="AZ133" i="4"/>
  <c r="BB133" i="4" s="1"/>
  <c r="AZ135" i="4"/>
  <c r="BB135" i="4" s="1"/>
  <c r="AZ137" i="4"/>
  <c r="AZ139" i="4"/>
  <c r="BB139" i="4" s="1"/>
  <c r="AZ141" i="4"/>
  <c r="BB141" i="4" s="1"/>
  <c r="AZ143" i="4"/>
  <c r="BB143" i="4" s="1"/>
  <c r="AZ145" i="4"/>
  <c r="BB145" i="4" s="1"/>
  <c r="AZ147" i="4"/>
  <c r="BB147" i="4" s="1"/>
  <c r="AZ149" i="4"/>
  <c r="BB149" i="4" s="1"/>
  <c r="AZ151" i="4"/>
  <c r="BB151" i="4" s="1"/>
  <c r="AZ153" i="4"/>
  <c r="AZ155" i="4"/>
  <c r="BB155" i="4" s="1"/>
  <c r="AZ157" i="4"/>
  <c r="BB157" i="4" s="1"/>
  <c r="AZ159" i="4"/>
  <c r="BB159" i="4" s="1"/>
  <c r="AZ161" i="4"/>
  <c r="AZ163" i="4"/>
  <c r="BB163" i="4" s="1"/>
  <c r="AZ165" i="4"/>
  <c r="BB165" i="4" s="1"/>
  <c r="AZ167" i="4"/>
  <c r="BB167" i="4" s="1"/>
  <c r="AZ169" i="4"/>
  <c r="BB169" i="4" s="1"/>
  <c r="AZ171" i="4"/>
  <c r="BB171" i="4" s="1"/>
  <c r="AZ173" i="4"/>
  <c r="BB173" i="4" s="1"/>
  <c r="AZ175" i="4"/>
  <c r="BB175" i="4" s="1"/>
  <c r="AZ177" i="4"/>
  <c r="AZ179" i="4"/>
  <c r="BB179" i="4" s="1"/>
  <c r="AZ181" i="4"/>
  <c r="BB181" i="4" s="1"/>
  <c r="AZ183" i="4"/>
  <c r="BB183" i="4" s="1"/>
  <c r="AZ185" i="4"/>
  <c r="AZ187" i="4"/>
  <c r="BB187" i="4" s="1"/>
  <c r="AZ189" i="4"/>
  <c r="BB189" i="4" s="1"/>
  <c r="AZ191" i="4"/>
  <c r="BB191" i="4" s="1"/>
  <c r="AZ193" i="4"/>
  <c r="BB193" i="4" s="1"/>
  <c r="AZ195" i="4"/>
  <c r="BB195" i="4" s="1"/>
  <c r="AZ197" i="4"/>
  <c r="BB197" i="4" s="1"/>
  <c r="AZ199" i="4"/>
  <c r="BB199" i="4" s="1"/>
  <c r="AZ201" i="4"/>
  <c r="BB201" i="4" s="1"/>
  <c r="AZ203" i="4"/>
  <c r="BB203" i="4" s="1"/>
  <c r="G165" i="4"/>
  <c r="G161" i="4"/>
  <c r="G157" i="4"/>
  <c r="G153" i="4"/>
  <c r="G149" i="4"/>
  <c r="G137" i="4"/>
  <c r="BB105" i="4"/>
  <c r="BB107" i="4"/>
  <c r="BB244" i="4"/>
  <c r="BB252" i="4"/>
  <c r="BB340" i="4"/>
  <c r="BB348" i="4"/>
  <c r="BB356" i="4"/>
  <c r="AZ205" i="4"/>
  <c r="AZ207" i="4"/>
  <c r="BB207" i="4" s="1"/>
  <c r="AZ209" i="4"/>
  <c r="BB209" i="4" s="1"/>
  <c r="AZ211" i="4"/>
  <c r="AZ213" i="4"/>
  <c r="AZ215" i="4"/>
  <c r="AZ217" i="4"/>
  <c r="AZ219" i="4"/>
  <c r="AZ221" i="4"/>
  <c r="AZ223" i="4"/>
  <c r="AZ225" i="4"/>
  <c r="BB225" i="4" s="1"/>
  <c r="AZ227" i="4"/>
  <c r="AZ229" i="4"/>
  <c r="AZ231" i="4"/>
  <c r="AZ233" i="4"/>
  <c r="BB233" i="4" s="1"/>
  <c r="AZ235" i="4"/>
  <c r="AZ237" i="4"/>
  <c r="AZ239" i="4"/>
  <c r="AZ241" i="4"/>
  <c r="BB241" i="4" s="1"/>
  <c r="AZ243" i="4"/>
  <c r="AZ245" i="4"/>
  <c r="AZ247" i="4"/>
  <c r="BB247" i="4" s="1"/>
  <c r="AZ249" i="4"/>
  <c r="BB249" i="4" s="1"/>
  <c r="AZ251" i="4"/>
  <c r="AZ253" i="4"/>
  <c r="AZ255" i="4"/>
  <c r="AZ257" i="4"/>
  <c r="BB257" i="4" s="1"/>
  <c r="AZ259" i="4"/>
  <c r="AZ261" i="4"/>
  <c r="AZ263" i="4"/>
  <c r="AZ265" i="4"/>
  <c r="BB265" i="4" s="1"/>
  <c r="AZ267" i="4"/>
  <c r="AZ269" i="4"/>
  <c r="AZ271" i="4"/>
  <c r="BB271" i="4" s="1"/>
  <c r="AZ273" i="4"/>
  <c r="BB273" i="4" s="1"/>
  <c r="AZ275" i="4"/>
  <c r="AZ277" i="4"/>
  <c r="AZ279" i="4"/>
  <c r="BB279" i="4" s="1"/>
  <c r="AZ281" i="4"/>
  <c r="BB281" i="4" s="1"/>
  <c r="AZ283" i="4"/>
  <c r="AZ285" i="4"/>
  <c r="AZ287" i="4"/>
  <c r="BB287" i="4" s="1"/>
  <c r="AZ289" i="4"/>
  <c r="BB289" i="4" s="1"/>
  <c r="AZ291" i="4"/>
  <c r="AZ293" i="4"/>
  <c r="AZ295" i="4"/>
  <c r="BB295" i="4" s="1"/>
  <c r="AZ297" i="4"/>
  <c r="BB297" i="4" s="1"/>
  <c r="AZ299" i="4"/>
  <c r="AZ301" i="4"/>
  <c r="AZ303" i="4"/>
  <c r="BB303" i="4" s="1"/>
  <c r="AZ305" i="4"/>
  <c r="BB305" i="4" s="1"/>
  <c r="AZ307" i="4"/>
  <c r="AZ309" i="4"/>
  <c r="AZ311" i="4"/>
  <c r="BB311" i="4" s="1"/>
  <c r="AZ313" i="4"/>
  <c r="BB313" i="4" s="1"/>
  <c r="AZ315" i="4"/>
  <c r="AZ317" i="4"/>
  <c r="AZ319" i="4"/>
  <c r="BB319" i="4" s="1"/>
  <c r="AZ321" i="4"/>
  <c r="BB321" i="4" s="1"/>
  <c r="AZ323" i="4"/>
  <c r="AZ325" i="4"/>
  <c r="AZ327" i="4"/>
  <c r="BB327" i="4" s="1"/>
  <c r="AZ329" i="4"/>
  <c r="BB329" i="4" s="1"/>
  <c r="AZ331" i="4"/>
  <c r="AZ333" i="4"/>
  <c r="AZ335" i="4"/>
  <c r="AZ337" i="4"/>
  <c r="BB337" i="4" s="1"/>
  <c r="AZ339" i="4"/>
  <c r="AZ341" i="4"/>
  <c r="AZ343" i="4"/>
  <c r="BB343" i="4" s="1"/>
  <c r="AZ345" i="4"/>
  <c r="BB345" i="4" s="1"/>
  <c r="AZ347" i="4"/>
  <c r="AZ349" i="4"/>
  <c r="AZ351" i="4"/>
  <c r="AZ353" i="4"/>
  <c r="BB353" i="4" s="1"/>
  <c r="AZ355" i="4"/>
  <c r="AZ357" i="4"/>
  <c r="AZ359" i="4"/>
  <c r="AZ361" i="4"/>
  <c r="BB361" i="4" s="1"/>
  <c r="AZ363" i="4"/>
  <c r="AZ365" i="4"/>
  <c r="AZ367" i="4"/>
  <c r="AZ369" i="4"/>
  <c r="BB369" i="4" s="1"/>
  <c r="AQ370" i="4"/>
  <c r="AW370" i="4"/>
  <c r="BB215" i="4"/>
  <c r="BB217" i="4"/>
  <c r="AX370" i="4"/>
  <c r="BB28" i="4"/>
  <c r="R370" i="4"/>
  <c r="BB50" i="4"/>
  <c r="BB52" i="4"/>
  <c r="BB54" i="4"/>
  <c r="BB60" i="4"/>
  <c r="BB66" i="4"/>
  <c r="BB68" i="4"/>
  <c r="BB76" i="4"/>
  <c r="BB78" i="4"/>
  <c r="BB84" i="4"/>
  <c r="BB86" i="4"/>
  <c r="BB92" i="4"/>
  <c r="BB102" i="4"/>
  <c r="BB110" i="4"/>
  <c r="BB116" i="4"/>
  <c r="BB124" i="4"/>
  <c r="BB126" i="4"/>
  <c r="BB132" i="4"/>
  <c r="BB134" i="4"/>
  <c r="BB140" i="4"/>
  <c r="BB142" i="4"/>
  <c r="BB146" i="4"/>
  <c r="BB148" i="4"/>
  <c r="BB150" i="4"/>
  <c r="BB156" i="4"/>
  <c r="BB158" i="4"/>
  <c r="BB164" i="4"/>
  <c r="BB166" i="4"/>
  <c r="BB172" i="4"/>
  <c r="BB180" i="4"/>
  <c r="BB182" i="4"/>
  <c r="BB188" i="4"/>
  <c r="BB190" i="4"/>
  <c r="BB228" i="4"/>
  <c r="BB236" i="4"/>
  <c r="AH370" i="4"/>
  <c r="BB36" i="4"/>
  <c r="BB44" i="4"/>
  <c r="BB46" i="4"/>
  <c r="BB62" i="4"/>
  <c r="BB100" i="4"/>
  <c r="BB108" i="4"/>
  <c r="AI370" i="4"/>
  <c r="AK370" i="4"/>
  <c r="G88" i="4"/>
  <c r="G86" i="4"/>
  <c r="G84" i="4"/>
  <c r="G82" i="4"/>
  <c r="G80" i="4"/>
  <c r="G78" i="4"/>
  <c r="G76" i="4"/>
  <c r="G74" i="4"/>
  <c r="G72" i="4"/>
  <c r="G70" i="4"/>
  <c r="G68" i="4"/>
  <c r="G66" i="4"/>
  <c r="G64" i="4"/>
  <c r="G62" i="4"/>
  <c r="G60" i="4"/>
  <c r="G58" i="4"/>
  <c r="G56" i="4"/>
  <c r="G54" i="4"/>
  <c r="G52" i="4"/>
  <c r="G50" i="4"/>
  <c r="G48" i="4"/>
  <c r="G46" i="4"/>
  <c r="G44" i="4"/>
  <c r="G42" i="4"/>
  <c r="G40" i="4"/>
  <c r="G38" i="4"/>
  <c r="G36" i="4"/>
  <c r="G34" i="4"/>
  <c r="G32" i="4"/>
  <c r="G30" i="4"/>
  <c r="G28" i="4"/>
  <c r="G26" i="4"/>
  <c r="G24" i="4"/>
  <c r="G22" i="4"/>
  <c r="G20" i="4"/>
  <c r="G18" i="4"/>
  <c r="G16" i="4"/>
  <c r="G14" i="4"/>
  <c r="G12" i="4"/>
  <c r="BB70" i="4"/>
  <c r="BB94" i="4"/>
  <c r="BB118" i="4"/>
  <c r="BB174" i="4"/>
  <c r="E399" i="4"/>
  <c r="C399" i="4" s="1"/>
  <c r="J370" i="4"/>
  <c r="E383" i="4" s="1"/>
  <c r="G11" i="4"/>
  <c r="G229" i="4"/>
  <c r="D6" i="13"/>
  <c r="AZ11" i="4"/>
  <c r="AE370" i="4"/>
  <c r="M370" i="4"/>
  <c r="E384" i="4" s="1"/>
  <c r="C384" i="4" s="1"/>
  <c r="S370" i="4"/>
  <c r="X370" i="4"/>
  <c r="AB370" i="4"/>
  <c r="AF370" i="4"/>
  <c r="BA11" i="4"/>
  <c r="BB368" i="4" l="1"/>
  <c r="BB194" i="4"/>
  <c r="BB42" i="4"/>
  <c r="BB34" i="4"/>
  <c r="BB90" i="4"/>
  <c r="BB74" i="4"/>
  <c r="BB58" i="4"/>
  <c r="AP370" i="4"/>
  <c r="BB196" i="4"/>
  <c r="BB16" i="4"/>
  <c r="BB349" i="4"/>
  <c r="BB333" i="4"/>
  <c r="BB309" i="4"/>
  <c r="BB285" i="4"/>
  <c r="BB269" i="4"/>
  <c r="AV370" i="4"/>
  <c r="BB20" i="4"/>
  <c r="BB238" i="4"/>
  <c r="BB30" i="4"/>
  <c r="BB332" i="4"/>
  <c r="BB324" i="4"/>
  <c r="BB316" i="4"/>
  <c r="BB308" i="4"/>
  <c r="BB300" i="4"/>
  <c r="BB292" i="4"/>
  <c r="BB284" i="4"/>
  <c r="BB276" i="4"/>
  <c r="BB268" i="4"/>
  <c r="BB260" i="4"/>
  <c r="BB220" i="4"/>
  <c r="BB212" i="4"/>
  <c r="BB204" i="4"/>
  <c r="BB288" i="4"/>
  <c r="BB216" i="4"/>
  <c r="BB358" i="4"/>
  <c r="BB350" i="4"/>
  <c r="BB342" i="4"/>
  <c r="BB318" i="4"/>
  <c r="BB302" i="4"/>
  <c r="BB278" i="4"/>
  <c r="BB254" i="4"/>
  <c r="BB246" i="4"/>
  <c r="BB40" i="4"/>
  <c r="BB32" i="4"/>
  <c r="BB24" i="4"/>
  <c r="BB12" i="4"/>
  <c r="BB251" i="4"/>
  <c r="BB219" i="4"/>
  <c r="BB93" i="4"/>
  <c r="BB61" i="4"/>
  <c r="BB363" i="4"/>
  <c r="BB355" i="4"/>
  <c r="BB347" i="4"/>
  <c r="BB339" i="4"/>
  <c r="BB331" i="4"/>
  <c r="BB323" i="4"/>
  <c r="BB315" i="4"/>
  <c r="BB307" i="4"/>
  <c r="BB299" i="4"/>
  <c r="BB291" i="4"/>
  <c r="BB283" i="4"/>
  <c r="BB275" i="4"/>
  <c r="BB259" i="4"/>
  <c r="BB227" i="4"/>
  <c r="BB211" i="4"/>
  <c r="BB267" i="4"/>
  <c r="BB243" i="4"/>
  <c r="BB235" i="4"/>
  <c r="BB109" i="4"/>
  <c r="BB101" i="4"/>
  <c r="BB85" i="4"/>
  <c r="BB77" i="4"/>
  <c r="BB69" i="4"/>
  <c r="BB53" i="4"/>
  <c r="BB37" i="4"/>
  <c r="BB29" i="4"/>
  <c r="BB21" i="4"/>
  <c r="BB360" i="4"/>
  <c r="BB352" i="4"/>
  <c r="BB344" i="4"/>
  <c r="BB336" i="4"/>
  <c r="BB328" i="4"/>
  <c r="BB320" i="4"/>
  <c r="BB312" i="4"/>
  <c r="BB304" i="4"/>
  <c r="BB296" i="4"/>
  <c r="BB280" i="4"/>
  <c r="BB272" i="4"/>
  <c r="BB264" i="4"/>
  <c r="BB256" i="4"/>
  <c r="BB248" i="4"/>
  <c r="BB240" i="4"/>
  <c r="BB232" i="4"/>
  <c r="BB224" i="4"/>
  <c r="BB208" i="4"/>
  <c r="BB334" i="4"/>
  <c r="BB326" i="4"/>
  <c r="BB310" i="4"/>
  <c r="BB294" i="4"/>
  <c r="BB286" i="4"/>
  <c r="BB270" i="4"/>
  <c r="BB262" i="4"/>
  <c r="BB230" i="4"/>
  <c r="BB222" i="4"/>
  <c r="BB214" i="4"/>
  <c r="BB206" i="4"/>
  <c r="BB200" i="4"/>
  <c r="E401" i="4"/>
  <c r="C401" i="4" s="1"/>
  <c r="E389" i="4"/>
  <c r="C389" i="4" s="1"/>
  <c r="BB367" i="4"/>
  <c r="BB359" i="4"/>
  <c r="BB351" i="4"/>
  <c r="BB335" i="4"/>
  <c r="BB263" i="4"/>
  <c r="BB255" i="4"/>
  <c r="BB239" i="4"/>
  <c r="BB231" i="4"/>
  <c r="BB223" i="4"/>
  <c r="BB185" i="4"/>
  <c r="BB177" i="4"/>
  <c r="BB161" i="4"/>
  <c r="BB153" i="4"/>
  <c r="BB137" i="4"/>
  <c r="BB129" i="4"/>
  <c r="BB121" i="4"/>
  <c r="BB113" i="4"/>
  <c r="BB97" i="4"/>
  <c r="BB89" i="4"/>
  <c r="BB81" i="4"/>
  <c r="BB73" i="4"/>
  <c r="BB57" i="4"/>
  <c r="BB41" i="4"/>
  <c r="BB33" i="4"/>
  <c r="BB17" i="4"/>
  <c r="BB366" i="4"/>
  <c r="AM370" i="4"/>
  <c r="AS370" i="4"/>
  <c r="BB365" i="4"/>
  <c r="BB341" i="4"/>
  <c r="BB317" i="4"/>
  <c r="BB301" i="4"/>
  <c r="BB293" i="4"/>
  <c r="BB277" i="4"/>
  <c r="BB261" i="4"/>
  <c r="BB253" i="4"/>
  <c r="BB245" i="4"/>
  <c r="BB237" i="4"/>
  <c r="BB229" i="4"/>
  <c r="BB221" i="4"/>
  <c r="BB95" i="4"/>
  <c r="BB87" i="4"/>
  <c r="BB55" i="4"/>
  <c r="AY370" i="4"/>
  <c r="E402" i="4"/>
  <c r="C402" i="4" s="1"/>
  <c r="E400" i="4"/>
  <c r="C400" i="4" s="1"/>
  <c r="G375" i="4"/>
  <c r="BB357" i="4"/>
  <c r="BB325" i="4"/>
  <c r="BB213" i="4"/>
  <c r="BB205" i="4"/>
  <c r="AJ370" i="4"/>
  <c r="AZ370" i="4"/>
  <c r="E386" i="4"/>
  <c r="C386" i="4" s="1"/>
  <c r="E397" i="4"/>
  <c r="C397" i="4" s="1"/>
  <c r="BA370" i="4"/>
  <c r="BB11" i="4"/>
  <c r="G377" i="4"/>
  <c r="G370" i="4"/>
  <c r="AG370" i="4"/>
  <c r="E396" i="4"/>
  <c r="C396" i="4" s="1"/>
  <c r="C383" i="4"/>
  <c r="E50" i="12"/>
  <c r="E61" i="12" s="1"/>
  <c r="D17" i="13"/>
  <c r="G376" i="4"/>
  <c r="E385" i="4"/>
  <c r="C385" i="4" s="1"/>
  <c r="CX164" i="1"/>
  <c r="CX163" i="1"/>
  <c r="BZ282" i="1"/>
  <c r="BZ281" i="1"/>
  <c r="BZ184" i="1"/>
  <c r="BZ183" i="1"/>
  <c r="BW282" i="1"/>
  <c r="BW281" i="1"/>
  <c r="BW184" i="1"/>
  <c r="BW183" i="1"/>
  <c r="BW181" i="1"/>
  <c r="BT282" i="1"/>
  <c r="BT281" i="1"/>
  <c r="BT184" i="1"/>
  <c r="BT183" i="1"/>
  <c r="BT181" i="1"/>
  <c r="AS282" i="1"/>
  <c r="AS281" i="1"/>
  <c r="AS184" i="1"/>
  <c r="AS183" i="1"/>
  <c r="AS181" i="1"/>
  <c r="AS164" i="1"/>
  <c r="AS163" i="1"/>
  <c r="AP164" i="1"/>
  <c r="AP163" i="1"/>
  <c r="G378" i="4" l="1"/>
  <c r="C403" i="4"/>
  <c r="E403" i="4" s="1"/>
  <c r="C391" i="4"/>
  <c r="BB370" i="4"/>
  <c r="E404" i="4"/>
  <c r="E391" i="4"/>
  <c r="E406" i="4" s="1"/>
  <c r="E407" i="4" s="1"/>
  <c r="D408" i="4" s="1"/>
  <c r="E392" i="4"/>
  <c r="EC163" i="1"/>
  <c r="F165" i="4"/>
  <c r="H165" i="4" s="1"/>
  <c r="F186" i="4"/>
  <c r="H186" i="4" s="1"/>
  <c r="EC184" i="1"/>
  <c r="F166" i="4"/>
  <c r="H166" i="4" s="1"/>
  <c r="EC164" i="1"/>
  <c r="F283" i="4"/>
  <c r="H283" i="4" s="1"/>
  <c r="EC281" i="1"/>
  <c r="F183" i="4"/>
  <c r="H183" i="4" s="1"/>
  <c r="EC181" i="1"/>
  <c r="F284" i="4"/>
  <c r="H284" i="4" s="1"/>
  <c r="EC282" i="1"/>
  <c r="F185" i="4"/>
  <c r="H185" i="4" s="1"/>
  <c r="EC183" i="1"/>
  <c r="C406" i="4" l="1"/>
  <c r="C407" i="4" s="1"/>
  <c r="C408" i="4" s="1"/>
  <c r="F392" i="4"/>
  <c r="CY163" i="1" l="1"/>
  <c r="CZ163" i="1" s="1"/>
  <c r="CY164" i="1" l="1"/>
  <c r="CZ164" i="1" s="1"/>
  <c r="AS23" i="1" l="1"/>
  <c r="F25" i="4" l="1"/>
  <c r="H25" i="4" s="1"/>
  <c r="EC23" i="1"/>
  <c r="CA291" i="1" l="1"/>
  <c r="CA179" i="1"/>
  <c r="CA58" i="1"/>
  <c r="CA75" i="1"/>
  <c r="CA346" i="1"/>
  <c r="CA309" i="1"/>
  <c r="CA225" i="1"/>
  <c r="CA114" i="1"/>
  <c r="CA193" i="1"/>
  <c r="CA360" i="1"/>
  <c r="CA38" i="1"/>
  <c r="CA318" i="1"/>
  <c r="CA32" i="1"/>
  <c r="CA149" i="1"/>
  <c r="CA136" i="1"/>
  <c r="CA159" i="1"/>
  <c r="CA321" i="1"/>
  <c r="CA139" i="1"/>
  <c r="CA199" i="1"/>
  <c r="CA35" i="1"/>
  <c r="CA31" i="1"/>
  <c r="CA152" i="1"/>
  <c r="CA111" i="1"/>
  <c r="CA215" i="1"/>
  <c r="CA341" i="1"/>
  <c r="CA87" i="1"/>
  <c r="CA180" i="1"/>
  <c r="CA40" i="1"/>
  <c r="CA134" i="1"/>
  <c r="CA29" i="1"/>
  <c r="CA322" i="1"/>
  <c r="CA252" i="1"/>
  <c r="CA93" i="1"/>
  <c r="CA320" i="1"/>
  <c r="CA216" i="1"/>
  <c r="CA333" i="1"/>
  <c r="CA303" i="1"/>
  <c r="CA255" i="1"/>
  <c r="CA116" i="1"/>
  <c r="CA167" i="1"/>
  <c r="CA44" i="1"/>
  <c r="CA73" i="1"/>
  <c r="CA234" i="1"/>
  <c r="CA99" i="1"/>
  <c r="CA173" i="1"/>
  <c r="CA142" i="1"/>
  <c r="CA243" i="1"/>
  <c r="CA187" i="1"/>
  <c r="CA284" i="1"/>
  <c r="CA41" i="1"/>
  <c r="CA76" i="1"/>
  <c r="CA206" i="1"/>
  <c r="CA267" i="1"/>
  <c r="CA18" i="1"/>
  <c r="CA331" i="1"/>
  <c r="CA343" i="1"/>
  <c r="CA272" i="1"/>
  <c r="CA160" i="1"/>
  <c r="CA88" i="1"/>
  <c r="CA169" i="1"/>
  <c r="CA102" i="1"/>
  <c r="CA146" i="1"/>
  <c r="CA353" i="1"/>
  <c r="CA52" i="1"/>
  <c r="CA204" i="1"/>
  <c r="CA283" i="1"/>
  <c r="CA295" i="1"/>
  <c r="CA9" i="1"/>
  <c r="CA62" i="1"/>
  <c r="CA192" i="1"/>
  <c r="CA247" i="1"/>
  <c r="CA205" i="1"/>
  <c r="CA170" i="1"/>
  <c r="CA244" i="1"/>
  <c r="CA266" i="1"/>
  <c r="CA189" i="1"/>
  <c r="CA131" i="1"/>
  <c r="CA327" i="1"/>
  <c r="CA330" i="1"/>
  <c r="CA186" i="1"/>
  <c r="CA185" i="1"/>
  <c r="CA133" i="1"/>
  <c r="CA351" i="1"/>
  <c r="CA325" i="1"/>
  <c r="CA233" i="1"/>
  <c r="CA366" i="1"/>
  <c r="CA273" i="1"/>
  <c r="CA177" i="1"/>
  <c r="CA305" i="1"/>
  <c r="CA209" i="1"/>
  <c r="CA21" i="1"/>
  <c r="CA56" i="1"/>
  <c r="CA201" i="1"/>
  <c r="CA246" i="1"/>
  <c r="CA89" i="1"/>
  <c r="CA86" i="1"/>
  <c r="CA210" i="1"/>
  <c r="CA188" i="1"/>
  <c r="CA198" i="1"/>
  <c r="CA72" i="1"/>
  <c r="CA157" i="1"/>
  <c r="CA70" i="1"/>
  <c r="CA154" i="1"/>
  <c r="CA253" i="1"/>
  <c r="CA224" i="1"/>
  <c r="CA268" i="1"/>
  <c r="CA183" i="1"/>
  <c r="CB183" i="1" s="1"/>
  <c r="CA344" i="1"/>
  <c r="CA83" i="1"/>
  <c r="CA101" i="1"/>
  <c r="CA150" i="1"/>
  <c r="CA324" i="1"/>
  <c r="CA19" i="1"/>
  <c r="CA280" i="1"/>
  <c r="CA214" i="1"/>
  <c r="CA47" i="1"/>
  <c r="CA213" i="1"/>
  <c r="CA94" i="1"/>
  <c r="CA345" i="1"/>
  <c r="CA119" i="1"/>
  <c r="CA96" i="1"/>
  <c r="CA220" i="1"/>
  <c r="CA265" i="1"/>
  <c r="CA296" i="1"/>
  <c r="CA259" i="1"/>
  <c r="CA78" i="1"/>
  <c r="CA16" i="1"/>
  <c r="CA286" i="1"/>
  <c r="CA195" i="1"/>
  <c r="CA254" i="1"/>
  <c r="CA200" i="1"/>
  <c r="CA349" i="1"/>
  <c r="CA219" i="1"/>
  <c r="CA361" i="1"/>
  <c r="CA277" i="1"/>
  <c r="CA141" i="1"/>
  <c r="CA120" i="1"/>
  <c r="CA248" i="1"/>
  <c r="CA298" i="1"/>
  <c r="CA13" i="1"/>
  <c r="CA317" i="1"/>
  <c r="CA105" i="1"/>
  <c r="CA97" i="1"/>
  <c r="CA30" i="1"/>
  <c r="CA339" i="1"/>
  <c r="CA312" i="1"/>
  <c r="CA130" i="1"/>
  <c r="CA257" i="1"/>
  <c r="CA191" i="1"/>
  <c r="CA228" i="1"/>
  <c r="CA90" i="1"/>
  <c r="CA275" i="1"/>
  <c r="CA138" i="1"/>
  <c r="CA143" i="1"/>
  <c r="CA171" i="1"/>
  <c r="CA288" i="1"/>
  <c r="CA39" i="1"/>
  <c r="CA190" i="1"/>
  <c r="CA240" i="1"/>
  <c r="CA323" i="1"/>
  <c r="CA12" i="1"/>
  <c r="CA109" i="1"/>
  <c r="CA340" i="1"/>
  <c r="CA313" i="1"/>
  <c r="CA67" i="1"/>
  <c r="CA236" i="1"/>
  <c r="CA227" i="1"/>
  <c r="CA63" i="1"/>
  <c r="CA356" i="1"/>
  <c r="CA281" i="1"/>
  <c r="CB281" i="1" s="1"/>
  <c r="CA261" i="1"/>
  <c r="CA355" i="1"/>
  <c r="CA117" i="1"/>
  <c r="CA354" i="1"/>
  <c r="CA359" i="1"/>
  <c r="CA168" i="1"/>
  <c r="CA27" i="1"/>
  <c r="CA357" i="1"/>
  <c r="CA178" i="1"/>
  <c r="CA51" i="1"/>
  <c r="CA151" i="1"/>
  <c r="CA126" i="1"/>
  <c r="CA57" i="1"/>
  <c r="CA137" i="1"/>
  <c r="CA74" i="1"/>
  <c r="CA347" i="1"/>
  <c r="CA264" i="1"/>
  <c r="CA50" i="1"/>
  <c r="CA304" i="1"/>
  <c r="CA77" i="1"/>
  <c r="CA91" i="1"/>
  <c r="CA308" i="1"/>
  <c r="CA207" i="1"/>
  <c r="CA287" i="1"/>
  <c r="CA106" i="1"/>
  <c r="CA176" i="1"/>
  <c r="CA184" i="1"/>
  <c r="CB184" i="1" s="1"/>
  <c r="CA104" i="1"/>
  <c r="CA79" i="1"/>
  <c r="CA110" i="1"/>
  <c r="CA262" i="1"/>
  <c r="CA326" i="1"/>
  <c r="CA328" i="1"/>
  <c r="CA100" i="1"/>
  <c r="CA365" i="1"/>
  <c r="CA108" i="1"/>
  <c r="CA302" i="1"/>
  <c r="CA362" i="1"/>
  <c r="CA364" i="1"/>
  <c r="CA144" i="1"/>
  <c r="CA123" i="1"/>
  <c r="CA11" i="1"/>
  <c r="CA297" i="1"/>
  <c r="CA260" i="1"/>
  <c r="CA249" i="1"/>
  <c r="CA122" i="1"/>
  <c r="CA332" i="1"/>
  <c r="CA14" i="1"/>
  <c r="CA125" i="1"/>
  <c r="CA269" i="1"/>
  <c r="CA132" i="1"/>
  <c r="CA338" i="1"/>
  <c r="CA258" i="1"/>
  <c r="CA289" i="1"/>
  <c r="CA147" i="1"/>
  <c r="CA37" i="1"/>
  <c r="CA290" i="1"/>
  <c r="CA129" i="1"/>
  <c r="CA95" i="1"/>
  <c r="CA342" i="1"/>
  <c r="CA25" i="1"/>
  <c r="CA274" i="1"/>
  <c r="CA348" i="1"/>
  <c r="CA194" i="1"/>
  <c r="CA218" i="1"/>
  <c r="CA69" i="1"/>
  <c r="CA223" i="1"/>
  <c r="CA107" i="1"/>
  <c r="CA230" i="1"/>
  <c r="CA335" i="1"/>
  <c r="CA24" i="1"/>
  <c r="CA311" i="1"/>
  <c r="CA164" i="1"/>
  <c r="CA113" i="1"/>
  <c r="CA68" i="1"/>
  <c r="CA121" i="1"/>
  <c r="CA22" i="1"/>
  <c r="CA118" i="1"/>
  <c r="CA49" i="1"/>
  <c r="CA65" i="1"/>
  <c r="CA270" i="1"/>
  <c r="CA239" i="1"/>
  <c r="CA55" i="1"/>
  <c r="CA10" i="1"/>
  <c r="CA299" i="1"/>
  <c r="CA42" i="1"/>
  <c r="CA80" i="1"/>
  <c r="CA162" i="1"/>
  <c r="CA135" i="1"/>
  <c r="CA279" i="1"/>
  <c r="CA20" i="1"/>
  <c r="CA276" i="1"/>
  <c r="CA278" i="1"/>
  <c r="CA34" i="1"/>
  <c r="CA156" i="1"/>
  <c r="CA251" i="1"/>
  <c r="CA54" i="1"/>
  <c r="CA271" i="1"/>
  <c r="CA127" i="1"/>
  <c r="CA174" i="1"/>
  <c r="CA103" i="1"/>
  <c r="CA319" i="1"/>
  <c r="CA336" i="1"/>
  <c r="CA140" i="1"/>
  <c r="CA212" i="1"/>
  <c r="CA301" i="1"/>
  <c r="CA182" i="1"/>
  <c r="CA211" i="1"/>
  <c r="CA221" i="1"/>
  <c r="CA26" i="1"/>
  <c r="CA235" i="1"/>
  <c r="CA84" i="1"/>
  <c r="CA222" i="1"/>
  <c r="CA294" i="1"/>
  <c r="CA307" i="1"/>
  <c r="CA217" i="1"/>
  <c r="CA256" i="1"/>
  <c r="CA202" i="1"/>
  <c r="CA82" i="1"/>
  <c r="CA263" i="1"/>
  <c r="CA237" i="1"/>
  <c r="CA23" i="1"/>
  <c r="CA115" i="1"/>
  <c r="CA124" i="1"/>
  <c r="CA17" i="1"/>
  <c r="CA28" i="1"/>
  <c r="CA292" i="1"/>
  <c r="CA43" i="1"/>
  <c r="CA306" i="1"/>
  <c r="CA285" i="1"/>
  <c r="CA172" i="1"/>
  <c r="CA229" i="1"/>
  <c r="CA158" i="1"/>
  <c r="CA315" i="1"/>
  <c r="CA92" i="1"/>
  <c r="CA48" i="1"/>
  <c r="CA203" i="1"/>
  <c r="CA161" i="1"/>
  <c r="CA282" i="1"/>
  <c r="CB282" i="1" s="1"/>
  <c r="CA61" i="1"/>
  <c r="CA238" i="1"/>
  <c r="CA33" i="1"/>
  <c r="CA155" i="1"/>
  <c r="CA148" i="1"/>
  <c r="CA112" i="1"/>
  <c r="CA250" i="1"/>
  <c r="CA232" i="1"/>
  <c r="CA310" i="1"/>
  <c r="CA367" i="1"/>
  <c r="CA363" i="1"/>
  <c r="CA85" i="1"/>
  <c r="CA337" i="1"/>
  <c r="CA329" i="1"/>
  <c r="CA165" i="1"/>
  <c r="CA352" i="1"/>
  <c r="CA153" i="1"/>
  <c r="CA53" i="1"/>
  <c r="CA350" i="1"/>
  <c r="CA245" i="1"/>
  <c r="CA293" i="1"/>
  <c r="CA358" i="1"/>
  <c r="CA145" i="1"/>
  <c r="CA197" i="1"/>
  <c r="CA241" i="1"/>
  <c r="CA64" i="1"/>
  <c r="CA334" i="1"/>
  <c r="CA196" i="1"/>
  <c r="CA98" i="1"/>
  <c r="CA231" i="1"/>
  <c r="CA81" i="1"/>
  <c r="CA128" i="1"/>
  <c r="CA166" i="1"/>
  <c r="CA300" i="1"/>
  <c r="CA15" i="1"/>
  <c r="CA226" i="1"/>
  <c r="CA316" i="1"/>
  <c r="CA175" i="1"/>
  <c r="CA71" i="1"/>
  <c r="CA181" i="1"/>
  <c r="CA163" i="1"/>
  <c r="CA60" i="1"/>
  <c r="CA36" i="1"/>
  <c r="CA59" i="1"/>
  <c r="CA314" i="1"/>
  <c r="CA242" i="1"/>
  <c r="CA46" i="1"/>
  <c r="CA45" i="1"/>
  <c r="CA208" i="1"/>
  <c r="CA66" i="1"/>
  <c r="CA371" i="1" l="1"/>
  <c r="CA373" i="1"/>
  <c r="CA368" i="1"/>
  <c r="CA372" i="1"/>
  <c r="BU346" i="1"/>
  <c r="BU291" i="1"/>
  <c r="BU179" i="1"/>
  <c r="BU58" i="1"/>
  <c r="BU75" i="1"/>
  <c r="BU330" i="1"/>
  <c r="BU185" i="1"/>
  <c r="BU133" i="1"/>
  <c r="BU351" i="1"/>
  <c r="BU325" i="1"/>
  <c r="BU233" i="1"/>
  <c r="BU366" i="1"/>
  <c r="BU273" i="1"/>
  <c r="BU177" i="1"/>
  <c r="BU305" i="1"/>
  <c r="BU209" i="1"/>
  <c r="BU21" i="1"/>
  <c r="BU360" i="1"/>
  <c r="BU225" i="1"/>
  <c r="BU302" i="1"/>
  <c r="BU201" i="1"/>
  <c r="BU38" i="1"/>
  <c r="BU318" i="1"/>
  <c r="BU32" i="1"/>
  <c r="BU149" i="1"/>
  <c r="BU136" i="1"/>
  <c r="BU159" i="1"/>
  <c r="BU321" i="1"/>
  <c r="BU139" i="1"/>
  <c r="BU199" i="1"/>
  <c r="BU35" i="1"/>
  <c r="BU31" i="1"/>
  <c r="BU152" i="1"/>
  <c r="BU111" i="1"/>
  <c r="BU215" i="1"/>
  <c r="BU341" i="1"/>
  <c r="BU87" i="1"/>
  <c r="BU180" i="1"/>
  <c r="BU40" i="1"/>
  <c r="BU134" i="1"/>
  <c r="BU29" i="1"/>
  <c r="BU322" i="1"/>
  <c r="BU252" i="1"/>
  <c r="BU93" i="1"/>
  <c r="BU320" i="1"/>
  <c r="BU216" i="1"/>
  <c r="BU333" i="1"/>
  <c r="BU303" i="1"/>
  <c r="BU255" i="1"/>
  <c r="BU116" i="1"/>
  <c r="BU167" i="1"/>
  <c r="BU44" i="1"/>
  <c r="BU73" i="1"/>
  <c r="BU234" i="1"/>
  <c r="BU99" i="1"/>
  <c r="BU173" i="1"/>
  <c r="BU142" i="1"/>
  <c r="BU243" i="1"/>
  <c r="BU187" i="1"/>
  <c r="BU284" i="1"/>
  <c r="BU41" i="1"/>
  <c r="BU76" i="1"/>
  <c r="BU206" i="1"/>
  <c r="BU267" i="1"/>
  <c r="BU18" i="1"/>
  <c r="BU331" i="1"/>
  <c r="BU343" i="1"/>
  <c r="BU272" i="1"/>
  <c r="BU160" i="1"/>
  <c r="BU88" i="1"/>
  <c r="BU169" i="1"/>
  <c r="BU102" i="1"/>
  <c r="BU146" i="1"/>
  <c r="BU353" i="1"/>
  <c r="BU52" i="1"/>
  <c r="BU204" i="1"/>
  <c r="BU283" i="1"/>
  <c r="BU295" i="1"/>
  <c r="BU9" i="1"/>
  <c r="BU62" i="1"/>
  <c r="BU192" i="1"/>
  <c r="BU247" i="1"/>
  <c r="BU205" i="1"/>
  <c r="BU170" i="1"/>
  <c r="BU244" i="1"/>
  <c r="BU266" i="1"/>
  <c r="BU189" i="1"/>
  <c r="BU131" i="1"/>
  <c r="BU327" i="1"/>
  <c r="BU56" i="1"/>
  <c r="BU246" i="1"/>
  <c r="BU309" i="1"/>
  <c r="BU362" i="1"/>
  <c r="BU367" i="1"/>
  <c r="BU364" i="1"/>
  <c r="BU363" i="1"/>
  <c r="BU85" i="1"/>
  <c r="BU356" i="1"/>
  <c r="BU210" i="1"/>
  <c r="BU157" i="1"/>
  <c r="BU224" i="1"/>
  <c r="BU83" i="1"/>
  <c r="BU19" i="1"/>
  <c r="BU213" i="1"/>
  <c r="BU119" i="1"/>
  <c r="BU265" i="1"/>
  <c r="BU16" i="1"/>
  <c r="BU200" i="1"/>
  <c r="BU277" i="1"/>
  <c r="BU298" i="1"/>
  <c r="BU97" i="1"/>
  <c r="BU312" i="1"/>
  <c r="BU191" i="1"/>
  <c r="BU138" i="1"/>
  <c r="BU288" i="1"/>
  <c r="BU323" i="1"/>
  <c r="BU313" i="1"/>
  <c r="BU63" i="1"/>
  <c r="BU82" i="1"/>
  <c r="BU168" i="1"/>
  <c r="BU64" i="1"/>
  <c r="BU263" i="1"/>
  <c r="BU27" i="1"/>
  <c r="BU237" i="1"/>
  <c r="BU357" i="1"/>
  <c r="BU334" i="1"/>
  <c r="BU23" i="1"/>
  <c r="BU178" i="1"/>
  <c r="BU196" i="1"/>
  <c r="BU115" i="1"/>
  <c r="BU51" i="1"/>
  <c r="BU124" i="1"/>
  <c r="BU98" i="1"/>
  <c r="BU151" i="1"/>
  <c r="BU231" i="1"/>
  <c r="BU17" i="1"/>
  <c r="BU126" i="1"/>
  <c r="BU28" i="1"/>
  <c r="BU81" i="1"/>
  <c r="BU57" i="1"/>
  <c r="BU292" i="1"/>
  <c r="BU137" i="1"/>
  <c r="BU43" i="1"/>
  <c r="BU74" i="1"/>
  <c r="BU128" i="1"/>
  <c r="BU306" i="1"/>
  <c r="BU347" i="1"/>
  <c r="BU166" i="1"/>
  <c r="BU285" i="1"/>
  <c r="BU264" i="1"/>
  <c r="BU172" i="1"/>
  <c r="BU300" i="1"/>
  <c r="BU50" i="1"/>
  <c r="BU229" i="1"/>
  <c r="BU15" i="1"/>
  <c r="BU158" i="1"/>
  <c r="BU304" i="1"/>
  <c r="BU226" i="1"/>
  <c r="BU315" i="1"/>
  <c r="BU77" i="1"/>
  <c r="BU92" i="1"/>
  <c r="BU316" i="1"/>
  <c r="BU91" i="1"/>
  <c r="BU48" i="1"/>
  <c r="BU175" i="1"/>
  <c r="BU203" i="1"/>
  <c r="BU308" i="1"/>
  <c r="BU71" i="1"/>
  <c r="BU161" i="1"/>
  <c r="BU207" i="1"/>
  <c r="BU282" i="1"/>
  <c r="BV282" i="1" s="1"/>
  <c r="BU181" i="1"/>
  <c r="BV181" i="1" s="1"/>
  <c r="BU287" i="1"/>
  <c r="BU61" i="1"/>
  <c r="BU106" i="1"/>
  <c r="BU163" i="1"/>
  <c r="BU176" i="1"/>
  <c r="BU60" i="1"/>
  <c r="BU238" i="1"/>
  <c r="BU184" i="1"/>
  <c r="BV184" i="1" s="1"/>
  <c r="BU36" i="1"/>
  <c r="BU33" i="1"/>
  <c r="BU104" i="1"/>
  <c r="BU59" i="1"/>
  <c r="BU155" i="1"/>
  <c r="BU79" i="1"/>
  <c r="BU110" i="1"/>
  <c r="BU314" i="1"/>
  <c r="BU148" i="1"/>
  <c r="BU262" i="1"/>
  <c r="BU242" i="1"/>
  <c r="BU112" i="1"/>
  <c r="BU326" i="1"/>
  <c r="BU250" i="1"/>
  <c r="BU46" i="1"/>
  <c r="BU328" i="1"/>
  <c r="BU232" i="1"/>
  <c r="BU100" i="1"/>
  <c r="BU45" i="1"/>
  <c r="BU365" i="1"/>
  <c r="BU310" i="1"/>
  <c r="BU208" i="1"/>
  <c r="BU108" i="1"/>
  <c r="BU186" i="1"/>
  <c r="BU253" i="1"/>
  <c r="BU324" i="1"/>
  <c r="BU345" i="1"/>
  <c r="BU78" i="1"/>
  <c r="BU248" i="1"/>
  <c r="BU257" i="1"/>
  <c r="BU171" i="1"/>
  <c r="BU227" i="1"/>
  <c r="BU355" i="1"/>
  <c r="BU117" i="1"/>
  <c r="BU114" i="1"/>
  <c r="BU188" i="1"/>
  <c r="BU70" i="1"/>
  <c r="BU268" i="1"/>
  <c r="BU101" i="1"/>
  <c r="BU280" i="1"/>
  <c r="BU96" i="1"/>
  <c r="BU296" i="1"/>
  <c r="BU286" i="1"/>
  <c r="BU349" i="1"/>
  <c r="BU141" i="1"/>
  <c r="BU13" i="1"/>
  <c r="BU130" i="1"/>
  <c r="BU228" i="1"/>
  <c r="BU143" i="1"/>
  <c r="BU39" i="1"/>
  <c r="BU12" i="1"/>
  <c r="BU67" i="1"/>
  <c r="BU337" i="1"/>
  <c r="BU329" i="1"/>
  <c r="BU165" i="1"/>
  <c r="BU352" i="1"/>
  <c r="BU153" i="1"/>
  <c r="BU53" i="1"/>
  <c r="BU350" i="1"/>
  <c r="BU245" i="1"/>
  <c r="BU293" i="1"/>
  <c r="BU358" i="1"/>
  <c r="BU145" i="1"/>
  <c r="BU197" i="1"/>
  <c r="BU241" i="1"/>
  <c r="BU86" i="1"/>
  <c r="BU344" i="1"/>
  <c r="BU47" i="1"/>
  <c r="BU220" i="1"/>
  <c r="BU254" i="1"/>
  <c r="BU361" i="1"/>
  <c r="BU339" i="1"/>
  <c r="BU275" i="1"/>
  <c r="BU340" i="1"/>
  <c r="BU354" i="1"/>
  <c r="BU359" i="1"/>
  <c r="BU193" i="1"/>
  <c r="BU89" i="1"/>
  <c r="BU198" i="1"/>
  <c r="BU154" i="1"/>
  <c r="BU183" i="1"/>
  <c r="BV183" i="1" s="1"/>
  <c r="BU150" i="1"/>
  <c r="BU214" i="1"/>
  <c r="BU94" i="1"/>
  <c r="BU259" i="1"/>
  <c r="BU195" i="1"/>
  <c r="BU219" i="1"/>
  <c r="BU120" i="1"/>
  <c r="BU317" i="1"/>
  <c r="BU30" i="1"/>
  <c r="BU90" i="1"/>
  <c r="BU190" i="1"/>
  <c r="BU109" i="1"/>
  <c r="BU236" i="1"/>
  <c r="BU144" i="1"/>
  <c r="BU123" i="1"/>
  <c r="BU11" i="1"/>
  <c r="BU297" i="1"/>
  <c r="BU260" i="1"/>
  <c r="BU249" i="1"/>
  <c r="BU122" i="1"/>
  <c r="BU332" i="1"/>
  <c r="BU14" i="1"/>
  <c r="BU125" i="1"/>
  <c r="BU269" i="1"/>
  <c r="BU132" i="1"/>
  <c r="BU338" i="1"/>
  <c r="BU258" i="1"/>
  <c r="BU289" i="1"/>
  <c r="BU147" i="1"/>
  <c r="BU37" i="1"/>
  <c r="BU290" i="1"/>
  <c r="BU129" i="1"/>
  <c r="BU95" i="1"/>
  <c r="BU342" i="1"/>
  <c r="BU25" i="1"/>
  <c r="BU274" i="1"/>
  <c r="BU348" i="1"/>
  <c r="BU194" i="1"/>
  <c r="BU218" i="1"/>
  <c r="BU69" i="1"/>
  <c r="BU223" i="1"/>
  <c r="BU107" i="1"/>
  <c r="BU230" i="1"/>
  <c r="BU335" i="1"/>
  <c r="BU24" i="1"/>
  <c r="BU311" i="1"/>
  <c r="BU164" i="1"/>
  <c r="BU113" i="1"/>
  <c r="BU68" i="1"/>
  <c r="BU121" i="1"/>
  <c r="BU22" i="1"/>
  <c r="BU118" i="1"/>
  <c r="BU49" i="1"/>
  <c r="BU65" i="1"/>
  <c r="BU270" i="1"/>
  <c r="BU239" i="1"/>
  <c r="BU55" i="1"/>
  <c r="BU10" i="1"/>
  <c r="BU299" i="1"/>
  <c r="BU42" i="1"/>
  <c r="BU80" i="1"/>
  <c r="BU162" i="1"/>
  <c r="BU135" i="1"/>
  <c r="BU279" i="1"/>
  <c r="BU20" i="1"/>
  <c r="BU276" i="1"/>
  <c r="BU278" i="1"/>
  <c r="BU34" i="1"/>
  <c r="BU156" i="1"/>
  <c r="BU251" i="1"/>
  <c r="BU54" i="1"/>
  <c r="BU271" i="1"/>
  <c r="BU127" i="1"/>
  <c r="BU174" i="1"/>
  <c r="BU103" i="1"/>
  <c r="BU319" i="1"/>
  <c r="BU336" i="1"/>
  <c r="BU140" i="1"/>
  <c r="BU212" i="1"/>
  <c r="BU301" i="1"/>
  <c r="BU182" i="1"/>
  <c r="BU211" i="1"/>
  <c r="BU221" i="1"/>
  <c r="BU26" i="1"/>
  <c r="BU235" i="1"/>
  <c r="BU84" i="1"/>
  <c r="BU222" i="1"/>
  <c r="BU294" i="1"/>
  <c r="BU307" i="1"/>
  <c r="BU217" i="1"/>
  <c r="BU256" i="1"/>
  <c r="BU202" i="1"/>
  <c r="BU72" i="1"/>
  <c r="BU105" i="1"/>
  <c r="BU240" i="1"/>
  <c r="BU281" i="1"/>
  <c r="BV281" i="1" s="1"/>
  <c r="BU261" i="1"/>
  <c r="BU66" i="1"/>
  <c r="D34" i="3" l="1"/>
  <c r="H34" i="3"/>
  <c r="CA374" i="1"/>
  <c r="BU372" i="1"/>
  <c r="BU371" i="1"/>
  <c r="BU373" i="1"/>
  <c r="BU368" i="1"/>
  <c r="N34" i="3"/>
  <c r="D34" i="12"/>
  <c r="K34" i="3"/>
  <c r="D32" i="3" l="1"/>
  <c r="H32" i="3"/>
  <c r="BU374" i="1"/>
  <c r="N32" i="3"/>
  <c r="D32" i="12"/>
  <c r="K32" i="3"/>
  <c r="BZ344" i="1" l="1"/>
  <c r="CB344" i="1" s="1"/>
  <c r="BZ343" i="1"/>
  <c r="CB343" i="1" s="1"/>
  <c r="BZ342" i="1"/>
  <c r="CB342" i="1" s="1"/>
  <c r="BZ341" i="1"/>
  <c r="CB341" i="1" s="1"/>
  <c r="BZ340" i="1"/>
  <c r="CB340" i="1" s="1"/>
  <c r="BZ131" i="1"/>
  <c r="CB131" i="1" s="1"/>
  <c r="BZ45" i="1"/>
  <c r="CB45" i="1" s="1"/>
  <c r="BZ44" i="1"/>
  <c r="CB44" i="1" s="1"/>
  <c r="BZ43" i="1"/>
  <c r="CB43" i="1" s="1"/>
  <c r="BZ42" i="1"/>
  <c r="CB42" i="1" s="1"/>
  <c r="BZ41" i="1"/>
  <c r="CB41" i="1" s="1"/>
  <c r="BW344" i="1"/>
  <c r="BW343" i="1"/>
  <c r="BW342" i="1"/>
  <c r="BW341" i="1"/>
  <c r="BW340" i="1"/>
  <c r="BW131" i="1"/>
  <c r="BW45" i="1"/>
  <c r="BW44" i="1"/>
  <c r="BW43" i="1"/>
  <c r="BW42" i="1"/>
  <c r="BW41" i="1"/>
  <c r="BT344" i="1"/>
  <c r="BV344" i="1" s="1"/>
  <c r="BT343" i="1"/>
  <c r="BV343" i="1" s="1"/>
  <c r="BT342" i="1"/>
  <c r="BV342" i="1" s="1"/>
  <c r="BT341" i="1"/>
  <c r="BV341" i="1" s="1"/>
  <c r="BT340" i="1"/>
  <c r="BV340" i="1" s="1"/>
  <c r="BT131" i="1"/>
  <c r="BV131" i="1" s="1"/>
  <c r="BT45" i="1"/>
  <c r="BV45" i="1" s="1"/>
  <c r="BT44" i="1"/>
  <c r="BV44" i="1" s="1"/>
  <c r="BT43" i="1"/>
  <c r="BV43" i="1" s="1"/>
  <c r="BT42" i="1"/>
  <c r="BV42" i="1" s="1"/>
  <c r="BT41" i="1"/>
  <c r="BV41" i="1" s="1"/>
  <c r="AS344" i="1"/>
  <c r="AS343" i="1"/>
  <c r="AS342" i="1"/>
  <c r="AS341" i="1"/>
  <c r="AS340" i="1"/>
  <c r="AS131" i="1"/>
  <c r="AS45" i="1"/>
  <c r="AS44" i="1"/>
  <c r="AS43" i="1"/>
  <c r="AS42" i="1"/>
  <c r="AS41" i="1"/>
  <c r="EC42" i="1" l="1"/>
  <c r="F44" i="4"/>
  <c r="H44" i="4" s="1"/>
  <c r="F133" i="4"/>
  <c r="H133" i="4" s="1"/>
  <c r="EC131" i="1"/>
  <c r="EC43" i="1"/>
  <c r="F45" i="4"/>
  <c r="H45" i="4" s="1"/>
  <c r="F342" i="4"/>
  <c r="H342" i="4" s="1"/>
  <c r="EC340" i="1"/>
  <c r="EC344" i="1"/>
  <c r="F346" i="4"/>
  <c r="H346" i="4" s="1"/>
  <c r="EC343" i="1"/>
  <c r="F345" i="4"/>
  <c r="H345" i="4" s="1"/>
  <c r="F46" i="4"/>
  <c r="H46" i="4" s="1"/>
  <c r="EC44" i="1"/>
  <c r="F343" i="4"/>
  <c r="H343" i="4" s="1"/>
  <c r="EC341" i="1"/>
  <c r="F43" i="4"/>
  <c r="H43" i="4" s="1"/>
  <c r="EC41" i="1"/>
  <c r="F47" i="4"/>
  <c r="H47" i="4" s="1"/>
  <c r="EC45" i="1"/>
  <c r="EC342" i="1"/>
  <c r="F344" i="4"/>
  <c r="H344" i="4" s="1"/>
  <c r="BZ85" i="1" l="1"/>
  <c r="CB85" i="1" s="1"/>
  <c r="BZ84" i="1"/>
  <c r="CB84" i="1" s="1"/>
  <c r="BZ83" i="1"/>
  <c r="CB83" i="1" s="1"/>
  <c r="BZ23" i="1"/>
  <c r="CB23" i="1" s="1"/>
  <c r="BZ13" i="1"/>
  <c r="CB13" i="1" s="1"/>
  <c r="BZ12" i="1"/>
  <c r="CB12" i="1" s="1"/>
  <c r="BW85" i="1"/>
  <c r="BW84" i="1"/>
  <c r="BW83" i="1"/>
  <c r="BW23" i="1"/>
  <c r="BW13" i="1"/>
  <c r="BW12" i="1"/>
  <c r="BT85" i="1"/>
  <c r="BV85" i="1" s="1"/>
  <c r="BT84" i="1"/>
  <c r="BV84" i="1" s="1"/>
  <c r="BT83" i="1"/>
  <c r="BV83" i="1" s="1"/>
  <c r="BT23" i="1"/>
  <c r="BV23" i="1" s="1"/>
  <c r="BT13" i="1"/>
  <c r="BV13" i="1" s="1"/>
  <c r="BT12" i="1"/>
  <c r="BV12" i="1" s="1"/>
  <c r="AS83" i="1" l="1"/>
  <c r="AS84" i="1"/>
  <c r="AS85" i="1"/>
  <c r="AS12" i="1"/>
  <c r="AS13" i="1"/>
  <c r="F15" i="4" l="1"/>
  <c r="H15" i="4" s="1"/>
  <c r="EC13" i="1"/>
  <c r="F14" i="4"/>
  <c r="H14" i="4" s="1"/>
  <c r="EC12" i="1"/>
  <c r="F87" i="4"/>
  <c r="H87" i="4" s="1"/>
  <c r="EC85" i="1"/>
  <c r="F86" i="4"/>
  <c r="H86" i="4" s="1"/>
  <c r="EC84" i="1"/>
  <c r="F85" i="4"/>
  <c r="H85" i="4" s="1"/>
  <c r="EC83" i="1"/>
  <c r="AQ364" i="1" l="1"/>
  <c r="BT78" i="1"/>
  <c r="BV78" i="1" s="1"/>
  <c r="BT66" i="1"/>
  <c r="BV66" i="1" s="1"/>
  <c r="AS78" i="1"/>
  <c r="AS6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9" i="1"/>
  <c r="CI10" i="1"/>
  <c r="CI11" i="1"/>
  <c r="CO11" i="1" s="1"/>
  <c r="CI12" i="1"/>
  <c r="CI13" i="1"/>
  <c r="CI14" i="1"/>
  <c r="CI15" i="1"/>
  <c r="CI16" i="1"/>
  <c r="CI17" i="1"/>
  <c r="CI18" i="1"/>
  <c r="CI19" i="1"/>
  <c r="CO19" i="1" s="1"/>
  <c r="CI20" i="1"/>
  <c r="CI21" i="1"/>
  <c r="CI22" i="1"/>
  <c r="CI23" i="1"/>
  <c r="CO23" i="1" s="1"/>
  <c r="CI24" i="1"/>
  <c r="CI25" i="1"/>
  <c r="CI26" i="1"/>
  <c r="CI27" i="1"/>
  <c r="CO27" i="1" s="1"/>
  <c r="CI28" i="1"/>
  <c r="CI29" i="1"/>
  <c r="CI30" i="1"/>
  <c r="CI31" i="1"/>
  <c r="CO31" i="1" s="1"/>
  <c r="CI32" i="1"/>
  <c r="CI33" i="1"/>
  <c r="CI34" i="1"/>
  <c r="CI35" i="1"/>
  <c r="CO35" i="1" s="1"/>
  <c r="CI36" i="1"/>
  <c r="CI37" i="1"/>
  <c r="CI38" i="1"/>
  <c r="CI39" i="1"/>
  <c r="CO39" i="1" s="1"/>
  <c r="CI40" i="1"/>
  <c r="CI41" i="1"/>
  <c r="CI42" i="1"/>
  <c r="CI43" i="1"/>
  <c r="CO43" i="1" s="1"/>
  <c r="CI44" i="1"/>
  <c r="CI45" i="1"/>
  <c r="CI46" i="1"/>
  <c r="CI47" i="1"/>
  <c r="CO47" i="1" s="1"/>
  <c r="CI48" i="1"/>
  <c r="CI49" i="1"/>
  <c r="CI50" i="1"/>
  <c r="CI51" i="1"/>
  <c r="CO51" i="1" s="1"/>
  <c r="CI52" i="1"/>
  <c r="CI53" i="1"/>
  <c r="CI54" i="1"/>
  <c r="CI55" i="1"/>
  <c r="CO55" i="1" s="1"/>
  <c r="CI56" i="1"/>
  <c r="CI57" i="1"/>
  <c r="CI58" i="1"/>
  <c r="CI59" i="1"/>
  <c r="CO59" i="1" s="1"/>
  <c r="CI60" i="1"/>
  <c r="CI61" i="1"/>
  <c r="CI62" i="1"/>
  <c r="CI63" i="1"/>
  <c r="CO63" i="1" s="1"/>
  <c r="CI64" i="1"/>
  <c r="CI65" i="1"/>
  <c r="CI66" i="1"/>
  <c r="CI67" i="1"/>
  <c r="CO67" i="1" s="1"/>
  <c r="CI68" i="1"/>
  <c r="CI69" i="1"/>
  <c r="CI70" i="1"/>
  <c r="CI71" i="1"/>
  <c r="CO71" i="1" s="1"/>
  <c r="CI72" i="1"/>
  <c r="CI73" i="1"/>
  <c r="CI74" i="1"/>
  <c r="CI75" i="1"/>
  <c r="CO75" i="1" s="1"/>
  <c r="CI76" i="1"/>
  <c r="CI77" i="1"/>
  <c r="CI78" i="1"/>
  <c r="CI79" i="1"/>
  <c r="CO79" i="1" s="1"/>
  <c r="CI80" i="1"/>
  <c r="CI81" i="1"/>
  <c r="CI82" i="1"/>
  <c r="CI83" i="1"/>
  <c r="CO83" i="1" s="1"/>
  <c r="CI84" i="1"/>
  <c r="CI85" i="1"/>
  <c r="CI86" i="1"/>
  <c r="CI87" i="1"/>
  <c r="CO87" i="1" s="1"/>
  <c r="CI88" i="1"/>
  <c r="CI89" i="1"/>
  <c r="CI90" i="1"/>
  <c r="CI91" i="1"/>
  <c r="CO91" i="1" s="1"/>
  <c r="CI92" i="1"/>
  <c r="CI93" i="1"/>
  <c r="CI94" i="1"/>
  <c r="CI95" i="1"/>
  <c r="CO95" i="1" s="1"/>
  <c r="CI96" i="1"/>
  <c r="CI97" i="1"/>
  <c r="CI98" i="1"/>
  <c r="CI99" i="1"/>
  <c r="CO99" i="1" s="1"/>
  <c r="CI100" i="1"/>
  <c r="CI101" i="1"/>
  <c r="CI102" i="1"/>
  <c r="CI103" i="1"/>
  <c r="CO103" i="1" s="1"/>
  <c r="CI104" i="1"/>
  <c r="CI105" i="1"/>
  <c r="CI106" i="1"/>
  <c r="CI107" i="1"/>
  <c r="CO107" i="1" s="1"/>
  <c r="CI108" i="1"/>
  <c r="CI109" i="1"/>
  <c r="CI110" i="1"/>
  <c r="CI111" i="1"/>
  <c r="CO111" i="1" s="1"/>
  <c r="CI112" i="1"/>
  <c r="CI113" i="1"/>
  <c r="CI114" i="1"/>
  <c r="CI115" i="1"/>
  <c r="CO115" i="1" s="1"/>
  <c r="CI116" i="1"/>
  <c r="CI117" i="1"/>
  <c r="CI118" i="1"/>
  <c r="CI119" i="1"/>
  <c r="CO119" i="1" s="1"/>
  <c r="CI120" i="1"/>
  <c r="CI121" i="1"/>
  <c r="CI122" i="1"/>
  <c r="CI123" i="1"/>
  <c r="CO123" i="1" s="1"/>
  <c r="CI124" i="1"/>
  <c r="CI125" i="1"/>
  <c r="CI126" i="1"/>
  <c r="CI127" i="1"/>
  <c r="CO127" i="1" s="1"/>
  <c r="CI128" i="1"/>
  <c r="CI129" i="1"/>
  <c r="CI130" i="1"/>
  <c r="CI131" i="1"/>
  <c r="CO131" i="1" s="1"/>
  <c r="CI132" i="1"/>
  <c r="CI133" i="1"/>
  <c r="CI134" i="1"/>
  <c r="CI135" i="1"/>
  <c r="CO135" i="1" s="1"/>
  <c r="CI136" i="1"/>
  <c r="CI137" i="1"/>
  <c r="CI138" i="1"/>
  <c r="CI139" i="1"/>
  <c r="CO139" i="1" s="1"/>
  <c r="CI140" i="1"/>
  <c r="CI141" i="1"/>
  <c r="CI142" i="1"/>
  <c r="CI143" i="1"/>
  <c r="CO143" i="1" s="1"/>
  <c r="CI144" i="1"/>
  <c r="CI145" i="1"/>
  <c r="CI146" i="1"/>
  <c r="CI147" i="1"/>
  <c r="CO147" i="1" s="1"/>
  <c r="CI148" i="1"/>
  <c r="CI149" i="1"/>
  <c r="CI150" i="1"/>
  <c r="CI151" i="1"/>
  <c r="CO151" i="1" s="1"/>
  <c r="CI152" i="1"/>
  <c r="CI153" i="1"/>
  <c r="CI154" i="1"/>
  <c r="CI155" i="1"/>
  <c r="CO155" i="1" s="1"/>
  <c r="CI156" i="1"/>
  <c r="CI157" i="1"/>
  <c r="CI158" i="1"/>
  <c r="CI159" i="1"/>
  <c r="CO159" i="1" s="1"/>
  <c r="CI160" i="1"/>
  <c r="CI161" i="1"/>
  <c r="CI162" i="1"/>
  <c r="CI163" i="1"/>
  <c r="CO163" i="1" s="1"/>
  <c r="CI164" i="1"/>
  <c r="CI165" i="1"/>
  <c r="CI166" i="1"/>
  <c r="CI167" i="1"/>
  <c r="CO167" i="1" s="1"/>
  <c r="CI168" i="1"/>
  <c r="CI169" i="1"/>
  <c r="CI170" i="1"/>
  <c r="CI171" i="1"/>
  <c r="CO171" i="1" s="1"/>
  <c r="CI172" i="1"/>
  <c r="CI173" i="1"/>
  <c r="CI174" i="1"/>
  <c r="CI175" i="1"/>
  <c r="CO175" i="1" s="1"/>
  <c r="CI176" i="1"/>
  <c r="CI177" i="1"/>
  <c r="CI178" i="1"/>
  <c r="CI179" i="1"/>
  <c r="CO179" i="1" s="1"/>
  <c r="CI180" i="1"/>
  <c r="CI181" i="1"/>
  <c r="CI182" i="1"/>
  <c r="CI183" i="1"/>
  <c r="CO183" i="1" s="1"/>
  <c r="CI184" i="1"/>
  <c r="CI185" i="1"/>
  <c r="CI186" i="1"/>
  <c r="CI187" i="1"/>
  <c r="CO187" i="1" s="1"/>
  <c r="CI188" i="1"/>
  <c r="CI189" i="1"/>
  <c r="CI190" i="1"/>
  <c r="CI191" i="1"/>
  <c r="CO191" i="1" s="1"/>
  <c r="CI192" i="1"/>
  <c r="CI193" i="1"/>
  <c r="CI194" i="1"/>
  <c r="CI195" i="1"/>
  <c r="CO195" i="1" s="1"/>
  <c r="CI196" i="1"/>
  <c r="CI197" i="1"/>
  <c r="CI198" i="1"/>
  <c r="CI199" i="1"/>
  <c r="CO199" i="1" s="1"/>
  <c r="CI200" i="1"/>
  <c r="CI201" i="1"/>
  <c r="CI202" i="1"/>
  <c r="CI203" i="1"/>
  <c r="CO203" i="1" s="1"/>
  <c r="CI204" i="1"/>
  <c r="CI205" i="1"/>
  <c r="CI206" i="1"/>
  <c r="CI207" i="1"/>
  <c r="CO207" i="1" s="1"/>
  <c r="CI208" i="1"/>
  <c r="CI209" i="1"/>
  <c r="CI210" i="1"/>
  <c r="CI211" i="1"/>
  <c r="CO211" i="1" s="1"/>
  <c r="CI212" i="1"/>
  <c r="CI213" i="1"/>
  <c r="CI214" i="1"/>
  <c r="CI215" i="1"/>
  <c r="CO215" i="1" s="1"/>
  <c r="CI216" i="1"/>
  <c r="CI217" i="1"/>
  <c r="CI218" i="1"/>
  <c r="CI219" i="1"/>
  <c r="CO219" i="1" s="1"/>
  <c r="CI220" i="1"/>
  <c r="CI221" i="1"/>
  <c r="CI222" i="1"/>
  <c r="CI223" i="1"/>
  <c r="CO223" i="1" s="1"/>
  <c r="CI224" i="1"/>
  <c r="CI225" i="1"/>
  <c r="CI226" i="1"/>
  <c r="CI227" i="1"/>
  <c r="CO227" i="1" s="1"/>
  <c r="CI228" i="1"/>
  <c r="CI229" i="1"/>
  <c r="CI230" i="1"/>
  <c r="CI231" i="1"/>
  <c r="CO231" i="1" s="1"/>
  <c r="CI232" i="1"/>
  <c r="CI233" i="1"/>
  <c r="CI234" i="1"/>
  <c r="CI235" i="1"/>
  <c r="CO235" i="1" s="1"/>
  <c r="CI236" i="1"/>
  <c r="CI237" i="1"/>
  <c r="CI238" i="1"/>
  <c r="CI239" i="1"/>
  <c r="CO239" i="1" s="1"/>
  <c r="CI240" i="1"/>
  <c r="CI241" i="1"/>
  <c r="CI242" i="1"/>
  <c r="CI243" i="1"/>
  <c r="CO243" i="1" s="1"/>
  <c r="CI244" i="1"/>
  <c r="CI245" i="1"/>
  <c r="CI246" i="1"/>
  <c r="CI247" i="1"/>
  <c r="CO247" i="1" s="1"/>
  <c r="CI248" i="1"/>
  <c r="CI249" i="1"/>
  <c r="CI250" i="1"/>
  <c r="CI251" i="1"/>
  <c r="CO251" i="1" s="1"/>
  <c r="CI252" i="1"/>
  <c r="CI253" i="1"/>
  <c r="CI254" i="1"/>
  <c r="CI255" i="1"/>
  <c r="CO255" i="1" s="1"/>
  <c r="CI256" i="1"/>
  <c r="CI257" i="1"/>
  <c r="CI258" i="1"/>
  <c r="CI259" i="1"/>
  <c r="CO259" i="1" s="1"/>
  <c r="CI260" i="1"/>
  <c r="CI261" i="1"/>
  <c r="CI262" i="1"/>
  <c r="CI263" i="1"/>
  <c r="CO263" i="1" s="1"/>
  <c r="CI264" i="1"/>
  <c r="CI265" i="1"/>
  <c r="CI266" i="1"/>
  <c r="CI267" i="1"/>
  <c r="CO267" i="1" s="1"/>
  <c r="CI268" i="1"/>
  <c r="CI269" i="1"/>
  <c r="CI270" i="1"/>
  <c r="CI271" i="1"/>
  <c r="CO271" i="1" s="1"/>
  <c r="CI272" i="1"/>
  <c r="CI273" i="1"/>
  <c r="CI274" i="1"/>
  <c r="CI275" i="1"/>
  <c r="CO275" i="1" s="1"/>
  <c r="CI276" i="1"/>
  <c r="CI277" i="1"/>
  <c r="CI278" i="1"/>
  <c r="CI279" i="1"/>
  <c r="CO279" i="1" s="1"/>
  <c r="CI280" i="1"/>
  <c r="CI281" i="1"/>
  <c r="CI282" i="1"/>
  <c r="CI283" i="1"/>
  <c r="CO283" i="1" s="1"/>
  <c r="CI284" i="1"/>
  <c r="CI285" i="1"/>
  <c r="CI286" i="1"/>
  <c r="CI287" i="1"/>
  <c r="CO287" i="1" s="1"/>
  <c r="CI288" i="1"/>
  <c r="CI289" i="1"/>
  <c r="CI290" i="1"/>
  <c r="CI291" i="1"/>
  <c r="CO291" i="1" s="1"/>
  <c r="CI292" i="1"/>
  <c r="CI293" i="1"/>
  <c r="CI294" i="1"/>
  <c r="CI295" i="1"/>
  <c r="CO295" i="1" s="1"/>
  <c r="CI296" i="1"/>
  <c r="CI297" i="1"/>
  <c r="CI298" i="1"/>
  <c r="CI299" i="1"/>
  <c r="CO299" i="1" s="1"/>
  <c r="CI300" i="1"/>
  <c r="CI301" i="1"/>
  <c r="CI302" i="1"/>
  <c r="CI303" i="1"/>
  <c r="CO303" i="1" s="1"/>
  <c r="CI304" i="1"/>
  <c r="CI305" i="1"/>
  <c r="CI306" i="1"/>
  <c r="CI307" i="1"/>
  <c r="CO307" i="1" s="1"/>
  <c r="CI308" i="1"/>
  <c r="CI309" i="1"/>
  <c r="CI310" i="1"/>
  <c r="CI311" i="1"/>
  <c r="CO311" i="1" s="1"/>
  <c r="CI312" i="1"/>
  <c r="CI313" i="1"/>
  <c r="CI314" i="1"/>
  <c r="CI315" i="1"/>
  <c r="CO315" i="1" s="1"/>
  <c r="CI316" i="1"/>
  <c r="CI317" i="1"/>
  <c r="CI318" i="1"/>
  <c r="CI319" i="1"/>
  <c r="CO319" i="1" s="1"/>
  <c r="CI320" i="1"/>
  <c r="CI321" i="1"/>
  <c r="CI322" i="1"/>
  <c r="CI323" i="1"/>
  <c r="CO323" i="1" s="1"/>
  <c r="CI324" i="1"/>
  <c r="CI325" i="1"/>
  <c r="CI326" i="1"/>
  <c r="CI327" i="1"/>
  <c r="CO327" i="1" s="1"/>
  <c r="CI328" i="1"/>
  <c r="CI329" i="1"/>
  <c r="CI330" i="1"/>
  <c r="CI331" i="1"/>
  <c r="CO331" i="1" s="1"/>
  <c r="CI332" i="1"/>
  <c r="CI333" i="1"/>
  <c r="CI334" i="1"/>
  <c r="CI335" i="1"/>
  <c r="CO335" i="1" s="1"/>
  <c r="CI336" i="1"/>
  <c r="CI337" i="1"/>
  <c r="CI338" i="1"/>
  <c r="CI339" i="1"/>
  <c r="CO339" i="1" s="1"/>
  <c r="CI340" i="1"/>
  <c r="CI341" i="1"/>
  <c r="CI342" i="1"/>
  <c r="CI343" i="1"/>
  <c r="CO343" i="1" s="1"/>
  <c r="CI344" i="1"/>
  <c r="CI345" i="1"/>
  <c r="CI346" i="1"/>
  <c r="CI347" i="1"/>
  <c r="CO347" i="1" s="1"/>
  <c r="CI348" i="1"/>
  <c r="CI349" i="1"/>
  <c r="CI350" i="1"/>
  <c r="CI351" i="1"/>
  <c r="CO351" i="1" s="1"/>
  <c r="CI352" i="1"/>
  <c r="CI353" i="1"/>
  <c r="CI354" i="1"/>
  <c r="CI355" i="1"/>
  <c r="CO355" i="1" s="1"/>
  <c r="CI356" i="1"/>
  <c r="CI357" i="1"/>
  <c r="CI358" i="1"/>
  <c r="CI359" i="1"/>
  <c r="CO359" i="1" s="1"/>
  <c r="CI360" i="1"/>
  <c r="CI361" i="1"/>
  <c r="CI362" i="1"/>
  <c r="CI363" i="1"/>
  <c r="CO363" i="1" s="1"/>
  <c r="CI364" i="1"/>
  <c r="CI365" i="1"/>
  <c r="CI366" i="1"/>
  <c r="CI367" i="1"/>
  <c r="CO367" i="1" s="1"/>
  <c r="CI9" i="1"/>
  <c r="CF10" i="1"/>
  <c r="CF11" i="1"/>
  <c r="CF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6" i="1"/>
  <c r="CF367" i="1"/>
  <c r="CF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9" i="1"/>
  <c r="BZ10" i="1"/>
  <c r="BZ11" i="1"/>
  <c r="CB11" i="1" s="1"/>
  <c r="BZ14" i="1"/>
  <c r="CB14" i="1" s="1"/>
  <c r="BZ15" i="1"/>
  <c r="BZ16" i="1"/>
  <c r="CB16" i="1" s="1"/>
  <c r="BZ17" i="1"/>
  <c r="CB17" i="1" s="1"/>
  <c r="BZ18" i="1"/>
  <c r="CB18" i="1" s="1"/>
  <c r="BZ19" i="1"/>
  <c r="CB19" i="1" s="1"/>
  <c r="BZ20" i="1"/>
  <c r="CB20" i="1" s="1"/>
  <c r="BZ21" i="1"/>
  <c r="CB21" i="1" s="1"/>
  <c r="BZ22" i="1"/>
  <c r="CB22" i="1" s="1"/>
  <c r="BZ24" i="1"/>
  <c r="CB24" i="1" s="1"/>
  <c r="BZ25" i="1"/>
  <c r="CB25" i="1" s="1"/>
  <c r="BZ26" i="1"/>
  <c r="CB26" i="1" s="1"/>
  <c r="BZ27" i="1"/>
  <c r="CB27" i="1" s="1"/>
  <c r="BZ28" i="1"/>
  <c r="CB28" i="1" s="1"/>
  <c r="BZ29" i="1"/>
  <c r="CB29" i="1" s="1"/>
  <c r="BZ30" i="1"/>
  <c r="CB30" i="1" s="1"/>
  <c r="BZ31" i="1"/>
  <c r="CB31" i="1" s="1"/>
  <c r="BZ32" i="1"/>
  <c r="CB32" i="1" s="1"/>
  <c r="BZ33" i="1"/>
  <c r="CB33" i="1" s="1"/>
  <c r="BZ34" i="1"/>
  <c r="CB34" i="1" s="1"/>
  <c r="BZ35" i="1"/>
  <c r="CB35" i="1" s="1"/>
  <c r="BZ36" i="1"/>
  <c r="CB36" i="1" s="1"/>
  <c r="BZ37" i="1"/>
  <c r="CB37" i="1" s="1"/>
  <c r="BZ38" i="1"/>
  <c r="CB38" i="1" s="1"/>
  <c r="BZ39" i="1"/>
  <c r="CB39" i="1" s="1"/>
  <c r="BZ40" i="1"/>
  <c r="CB40" i="1" s="1"/>
  <c r="BZ46" i="1"/>
  <c r="CB46" i="1" s="1"/>
  <c r="BZ47" i="1"/>
  <c r="CB47" i="1" s="1"/>
  <c r="BZ48" i="1"/>
  <c r="CB48" i="1" s="1"/>
  <c r="BZ49" i="1"/>
  <c r="CB49" i="1" s="1"/>
  <c r="BZ50" i="1"/>
  <c r="CB50" i="1" s="1"/>
  <c r="BZ51" i="1"/>
  <c r="CB51" i="1" s="1"/>
  <c r="BZ52" i="1"/>
  <c r="CB52" i="1" s="1"/>
  <c r="BZ53" i="1"/>
  <c r="CB53" i="1" s="1"/>
  <c r="BZ54" i="1"/>
  <c r="CB54" i="1" s="1"/>
  <c r="BZ55" i="1"/>
  <c r="CB55" i="1" s="1"/>
  <c r="BZ56" i="1"/>
  <c r="CB56" i="1" s="1"/>
  <c r="BZ57" i="1"/>
  <c r="CB57" i="1" s="1"/>
  <c r="BZ58" i="1"/>
  <c r="CB58" i="1" s="1"/>
  <c r="BZ59" i="1"/>
  <c r="CB59" i="1" s="1"/>
  <c r="BZ60" i="1"/>
  <c r="CB60" i="1" s="1"/>
  <c r="BZ61" i="1"/>
  <c r="CB61" i="1" s="1"/>
  <c r="BZ62" i="1"/>
  <c r="CB62" i="1" s="1"/>
  <c r="BZ63" i="1"/>
  <c r="CB63" i="1" s="1"/>
  <c r="BZ64" i="1"/>
  <c r="CB64" i="1" s="1"/>
  <c r="BZ65" i="1"/>
  <c r="CB65" i="1" s="1"/>
  <c r="BZ66" i="1"/>
  <c r="CB66" i="1" s="1"/>
  <c r="BZ67" i="1"/>
  <c r="CB67" i="1" s="1"/>
  <c r="BZ68" i="1"/>
  <c r="CB68" i="1" s="1"/>
  <c r="BZ69" i="1"/>
  <c r="CB69" i="1" s="1"/>
  <c r="BZ70" i="1"/>
  <c r="CB70" i="1" s="1"/>
  <c r="BZ71" i="1"/>
  <c r="CB71" i="1" s="1"/>
  <c r="BZ72" i="1"/>
  <c r="CB72" i="1" s="1"/>
  <c r="BZ73" i="1"/>
  <c r="CB73" i="1" s="1"/>
  <c r="BZ74" i="1"/>
  <c r="CB74" i="1" s="1"/>
  <c r="BZ75" i="1"/>
  <c r="CB75" i="1" s="1"/>
  <c r="BZ76" i="1"/>
  <c r="CB76" i="1" s="1"/>
  <c r="BZ77" i="1"/>
  <c r="CB77" i="1" s="1"/>
  <c r="BZ78" i="1"/>
  <c r="CB78" i="1" s="1"/>
  <c r="BZ79" i="1"/>
  <c r="CB79" i="1" s="1"/>
  <c r="BZ80" i="1"/>
  <c r="CB80" i="1" s="1"/>
  <c r="BZ81" i="1"/>
  <c r="CB81" i="1" s="1"/>
  <c r="BZ82" i="1"/>
  <c r="CB82" i="1" s="1"/>
  <c r="BZ86" i="1"/>
  <c r="CB86" i="1" s="1"/>
  <c r="BZ87" i="1"/>
  <c r="CB87" i="1" s="1"/>
  <c r="BZ88" i="1"/>
  <c r="CB88" i="1" s="1"/>
  <c r="BZ89" i="1"/>
  <c r="CB89" i="1" s="1"/>
  <c r="BZ90" i="1"/>
  <c r="CB90" i="1" s="1"/>
  <c r="BZ91" i="1"/>
  <c r="CB91" i="1" s="1"/>
  <c r="BZ92" i="1"/>
  <c r="CB92" i="1" s="1"/>
  <c r="BZ93" i="1"/>
  <c r="CB93" i="1" s="1"/>
  <c r="BZ94" i="1"/>
  <c r="CB94" i="1" s="1"/>
  <c r="BZ95" i="1"/>
  <c r="CB95" i="1" s="1"/>
  <c r="BZ96" i="1"/>
  <c r="CB96" i="1" s="1"/>
  <c r="BZ97" i="1"/>
  <c r="CB97" i="1" s="1"/>
  <c r="BZ98" i="1"/>
  <c r="CB98" i="1" s="1"/>
  <c r="BZ99" i="1"/>
  <c r="CB99" i="1" s="1"/>
  <c r="BZ100" i="1"/>
  <c r="CB100" i="1" s="1"/>
  <c r="BZ101" i="1"/>
  <c r="CB101" i="1" s="1"/>
  <c r="BZ102" i="1"/>
  <c r="CB102" i="1" s="1"/>
  <c r="BZ103" i="1"/>
  <c r="CB103" i="1" s="1"/>
  <c r="BZ104" i="1"/>
  <c r="CB104" i="1" s="1"/>
  <c r="BZ105" i="1"/>
  <c r="CB105" i="1" s="1"/>
  <c r="BZ106" i="1"/>
  <c r="CB106" i="1" s="1"/>
  <c r="BZ107" i="1"/>
  <c r="CB107" i="1" s="1"/>
  <c r="BZ108" i="1"/>
  <c r="CB108" i="1" s="1"/>
  <c r="BZ109" i="1"/>
  <c r="CB109" i="1" s="1"/>
  <c r="BZ110" i="1"/>
  <c r="CB110" i="1" s="1"/>
  <c r="BZ111" i="1"/>
  <c r="CB111" i="1" s="1"/>
  <c r="BZ112" i="1"/>
  <c r="CB112" i="1" s="1"/>
  <c r="BZ113" i="1"/>
  <c r="CB113" i="1" s="1"/>
  <c r="BZ114" i="1"/>
  <c r="CB114" i="1" s="1"/>
  <c r="BZ115" i="1"/>
  <c r="CB115" i="1" s="1"/>
  <c r="BZ116" i="1"/>
  <c r="CB116" i="1" s="1"/>
  <c r="BZ117" i="1"/>
  <c r="CB117" i="1" s="1"/>
  <c r="BZ118" i="1"/>
  <c r="CB118" i="1" s="1"/>
  <c r="BZ119" i="1"/>
  <c r="CB119" i="1" s="1"/>
  <c r="BZ120" i="1"/>
  <c r="CB120" i="1" s="1"/>
  <c r="BZ121" i="1"/>
  <c r="CB121" i="1" s="1"/>
  <c r="BZ122" i="1"/>
  <c r="CB122" i="1" s="1"/>
  <c r="BZ123" i="1"/>
  <c r="CB123" i="1" s="1"/>
  <c r="BZ124" i="1"/>
  <c r="CB124" i="1" s="1"/>
  <c r="BZ125" i="1"/>
  <c r="CB125" i="1" s="1"/>
  <c r="BZ126" i="1"/>
  <c r="CB126" i="1" s="1"/>
  <c r="BZ127" i="1"/>
  <c r="CB127" i="1" s="1"/>
  <c r="BZ128" i="1"/>
  <c r="CB128" i="1" s="1"/>
  <c r="BZ129" i="1"/>
  <c r="CB129" i="1" s="1"/>
  <c r="BZ130" i="1"/>
  <c r="CB130" i="1" s="1"/>
  <c r="BZ132" i="1"/>
  <c r="CB132" i="1" s="1"/>
  <c r="BZ133" i="1"/>
  <c r="CB133" i="1" s="1"/>
  <c r="BZ134" i="1"/>
  <c r="CB134" i="1" s="1"/>
  <c r="BZ135" i="1"/>
  <c r="CB135" i="1" s="1"/>
  <c r="BZ136" i="1"/>
  <c r="CB136" i="1" s="1"/>
  <c r="BZ137" i="1"/>
  <c r="CB137" i="1" s="1"/>
  <c r="BZ138" i="1"/>
  <c r="CB138" i="1" s="1"/>
  <c r="BZ139" i="1"/>
  <c r="CB139" i="1" s="1"/>
  <c r="BZ140" i="1"/>
  <c r="CB140" i="1" s="1"/>
  <c r="BZ141" i="1"/>
  <c r="CB141" i="1" s="1"/>
  <c r="BZ142" i="1"/>
  <c r="CB142" i="1" s="1"/>
  <c r="BZ143" i="1"/>
  <c r="CB143" i="1" s="1"/>
  <c r="BZ144" i="1"/>
  <c r="CB144" i="1" s="1"/>
  <c r="BZ145" i="1"/>
  <c r="CB145" i="1" s="1"/>
  <c r="BZ146" i="1"/>
  <c r="CB146" i="1" s="1"/>
  <c r="BZ147" i="1"/>
  <c r="CB147" i="1" s="1"/>
  <c r="BZ148" i="1"/>
  <c r="CB148" i="1" s="1"/>
  <c r="BZ149" i="1"/>
  <c r="CB149" i="1" s="1"/>
  <c r="BZ150" i="1"/>
  <c r="CB150" i="1" s="1"/>
  <c r="BZ151" i="1"/>
  <c r="CB151" i="1" s="1"/>
  <c r="BZ152" i="1"/>
  <c r="CB152" i="1" s="1"/>
  <c r="BZ153" i="1"/>
  <c r="CB153" i="1" s="1"/>
  <c r="BZ154" i="1"/>
  <c r="CB154" i="1" s="1"/>
  <c r="BZ155" i="1"/>
  <c r="CB155" i="1" s="1"/>
  <c r="BZ156" i="1"/>
  <c r="CB156" i="1" s="1"/>
  <c r="BZ157" i="1"/>
  <c r="CB157" i="1" s="1"/>
  <c r="BZ158" i="1"/>
  <c r="CB158" i="1" s="1"/>
  <c r="BZ159" i="1"/>
  <c r="CB159" i="1" s="1"/>
  <c r="BZ160" i="1"/>
  <c r="CB160" i="1" s="1"/>
  <c r="BZ161" i="1"/>
  <c r="CB161" i="1" s="1"/>
  <c r="BZ162" i="1"/>
  <c r="CB162" i="1" s="1"/>
  <c r="BZ163" i="1"/>
  <c r="CB163" i="1" s="1"/>
  <c r="BZ164" i="1"/>
  <c r="CB164" i="1" s="1"/>
  <c r="BZ165" i="1"/>
  <c r="CB165" i="1" s="1"/>
  <c r="BZ166" i="1"/>
  <c r="CB166" i="1" s="1"/>
  <c r="BZ167" i="1"/>
  <c r="CB167" i="1" s="1"/>
  <c r="BZ168" i="1"/>
  <c r="CB168" i="1" s="1"/>
  <c r="BZ169" i="1"/>
  <c r="CB169" i="1" s="1"/>
  <c r="BZ170" i="1"/>
  <c r="CB170" i="1" s="1"/>
  <c r="BZ171" i="1"/>
  <c r="CB171" i="1" s="1"/>
  <c r="BZ172" i="1"/>
  <c r="CB172" i="1" s="1"/>
  <c r="BZ173" i="1"/>
  <c r="CB173" i="1" s="1"/>
  <c r="BZ174" i="1"/>
  <c r="CB174" i="1" s="1"/>
  <c r="BZ175" i="1"/>
  <c r="CB175" i="1" s="1"/>
  <c r="BZ176" i="1"/>
  <c r="CB176" i="1" s="1"/>
  <c r="BZ177" i="1"/>
  <c r="CB177" i="1" s="1"/>
  <c r="BZ178" i="1"/>
  <c r="CB178" i="1" s="1"/>
  <c r="BZ179" i="1"/>
  <c r="CB179" i="1" s="1"/>
  <c r="BZ180" i="1"/>
  <c r="CB180" i="1" s="1"/>
  <c r="BZ181" i="1"/>
  <c r="CB181" i="1" s="1"/>
  <c r="BZ182" i="1"/>
  <c r="CB182" i="1" s="1"/>
  <c r="BZ185" i="1"/>
  <c r="CB185" i="1" s="1"/>
  <c r="BZ186" i="1"/>
  <c r="CB186" i="1" s="1"/>
  <c r="BZ187" i="1"/>
  <c r="CB187" i="1" s="1"/>
  <c r="BZ188" i="1"/>
  <c r="CB188" i="1" s="1"/>
  <c r="BZ189" i="1"/>
  <c r="CB189" i="1" s="1"/>
  <c r="BZ190" i="1"/>
  <c r="CB190" i="1" s="1"/>
  <c r="BZ191" i="1"/>
  <c r="CB191" i="1" s="1"/>
  <c r="BZ192" i="1"/>
  <c r="CB192" i="1" s="1"/>
  <c r="BZ193" i="1"/>
  <c r="CB193" i="1" s="1"/>
  <c r="BZ194" i="1"/>
  <c r="CB194" i="1" s="1"/>
  <c r="BZ195" i="1"/>
  <c r="CB195" i="1" s="1"/>
  <c r="BZ196" i="1"/>
  <c r="CB196" i="1" s="1"/>
  <c r="BZ197" i="1"/>
  <c r="CB197" i="1" s="1"/>
  <c r="BZ198" i="1"/>
  <c r="CB198" i="1" s="1"/>
  <c r="BZ199" i="1"/>
  <c r="CB199" i="1" s="1"/>
  <c r="BZ200" i="1"/>
  <c r="CB200" i="1" s="1"/>
  <c r="BZ201" i="1"/>
  <c r="CB201" i="1" s="1"/>
  <c r="BZ202" i="1"/>
  <c r="CB202" i="1" s="1"/>
  <c r="BZ203" i="1"/>
  <c r="CB203" i="1" s="1"/>
  <c r="BZ204" i="1"/>
  <c r="CB204" i="1" s="1"/>
  <c r="BZ205" i="1"/>
  <c r="CB205" i="1" s="1"/>
  <c r="BZ206" i="1"/>
  <c r="CB206" i="1" s="1"/>
  <c r="BZ207" i="1"/>
  <c r="CB207" i="1" s="1"/>
  <c r="BZ208" i="1"/>
  <c r="CB208" i="1" s="1"/>
  <c r="BZ209" i="1"/>
  <c r="CB209" i="1" s="1"/>
  <c r="BZ210" i="1"/>
  <c r="CB210" i="1" s="1"/>
  <c r="BZ211" i="1"/>
  <c r="CB211" i="1" s="1"/>
  <c r="BZ212" i="1"/>
  <c r="CB212" i="1" s="1"/>
  <c r="BZ213" i="1"/>
  <c r="CB213" i="1" s="1"/>
  <c r="BZ214" i="1"/>
  <c r="CB214" i="1" s="1"/>
  <c r="BZ215" i="1"/>
  <c r="CB215" i="1" s="1"/>
  <c r="BZ216" i="1"/>
  <c r="CB216" i="1" s="1"/>
  <c r="BZ217" i="1"/>
  <c r="CB217" i="1" s="1"/>
  <c r="BZ218" i="1"/>
  <c r="CB218" i="1" s="1"/>
  <c r="BZ219" i="1"/>
  <c r="CB219" i="1" s="1"/>
  <c r="BZ220" i="1"/>
  <c r="CB220" i="1" s="1"/>
  <c r="BZ221" i="1"/>
  <c r="CB221" i="1" s="1"/>
  <c r="BZ222" i="1"/>
  <c r="CB222" i="1" s="1"/>
  <c r="BZ223" i="1"/>
  <c r="CB223" i="1" s="1"/>
  <c r="BZ224" i="1"/>
  <c r="CB224" i="1" s="1"/>
  <c r="BZ225" i="1"/>
  <c r="CB225" i="1" s="1"/>
  <c r="BZ226" i="1"/>
  <c r="CB226" i="1" s="1"/>
  <c r="BZ227" i="1"/>
  <c r="CB227" i="1" s="1"/>
  <c r="BZ228" i="1"/>
  <c r="CB228" i="1" s="1"/>
  <c r="BZ229" i="1"/>
  <c r="CB229" i="1" s="1"/>
  <c r="BZ230" i="1"/>
  <c r="CB230" i="1" s="1"/>
  <c r="BZ231" i="1"/>
  <c r="CB231" i="1" s="1"/>
  <c r="BZ232" i="1"/>
  <c r="CB232" i="1" s="1"/>
  <c r="BZ233" i="1"/>
  <c r="CB233" i="1" s="1"/>
  <c r="BZ234" i="1"/>
  <c r="CB234" i="1" s="1"/>
  <c r="BZ235" i="1"/>
  <c r="CB235" i="1" s="1"/>
  <c r="BZ236" i="1"/>
  <c r="CB236" i="1" s="1"/>
  <c r="BZ237" i="1"/>
  <c r="CB237" i="1" s="1"/>
  <c r="BZ238" i="1"/>
  <c r="CB238" i="1" s="1"/>
  <c r="BZ239" i="1"/>
  <c r="CB239" i="1" s="1"/>
  <c r="BZ240" i="1"/>
  <c r="CB240" i="1" s="1"/>
  <c r="BZ241" i="1"/>
  <c r="CB241" i="1" s="1"/>
  <c r="BZ242" i="1"/>
  <c r="CB242" i="1" s="1"/>
  <c r="BZ243" i="1"/>
  <c r="CB243" i="1" s="1"/>
  <c r="BZ244" i="1"/>
  <c r="CB244" i="1" s="1"/>
  <c r="BZ245" i="1"/>
  <c r="CB245" i="1" s="1"/>
  <c r="BZ246" i="1"/>
  <c r="CB246" i="1" s="1"/>
  <c r="BZ247" i="1"/>
  <c r="CB247" i="1" s="1"/>
  <c r="BZ248" i="1"/>
  <c r="CB248" i="1" s="1"/>
  <c r="BZ249" i="1"/>
  <c r="CB249" i="1" s="1"/>
  <c r="BZ250" i="1"/>
  <c r="CB250" i="1" s="1"/>
  <c r="BZ251" i="1"/>
  <c r="CB251" i="1" s="1"/>
  <c r="BZ252" i="1"/>
  <c r="CB252" i="1" s="1"/>
  <c r="BZ253" i="1"/>
  <c r="CB253" i="1" s="1"/>
  <c r="BZ254" i="1"/>
  <c r="CB254" i="1" s="1"/>
  <c r="BZ255" i="1"/>
  <c r="CB255" i="1" s="1"/>
  <c r="BZ256" i="1"/>
  <c r="CB256" i="1" s="1"/>
  <c r="BZ257" i="1"/>
  <c r="CB257" i="1" s="1"/>
  <c r="BZ258" i="1"/>
  <c r="CB258" i="1" s="1"/>
  <c r="BZ259" i="1"/>
  <c r="CB259" i="1" s="1"/>
  <c r="BZ260" i="1"/>
  <c r="CB260" i="1" s="1"/>
  <c r="BZ261" i="1"/>
  <c r="CB261" i="1" s="1"/>
  <c r="BZ262" i="1"/>
  <c r="CB262" i="1" s="1"/>
  <c r="BZ263" i="1"/>
  <c r="CB263" i="1" s="1"/>
  <c r="BZ264" i="1"/>
  <c r="CB264" i="1" s="1"/>
  <c r="BZ265" i="1"/>
  <c r="CB265" i="1" s="1"/>
  <c r="BZ266" i="1"/>
  <c r="CB266" i="1" s="1"/>
  <c r="BZ267" i="1"/>
  <c r="CB267" i="1" s="1"/>
  <c r="BZ268" i="1"/>
  <c r="CB268" i="1" s="1"/>
  <c r="BZ269" i="1"/>
  <c r="CB269" i="1" s="1"/>
  <c r="BZ270" i="1"/>
  <c r="CB270" i="1" s="1"/>
  <c r="BZ271" i="1"/>
  <c r="CB271" i="1" s="1"/>
  <c r="BZ272" i="1"/>
  <c r="CB272" i="1" s="1"/>
  <c r="BZ273" i="1"/>
  <c r="CB273" i="1" s="1"/>
  <c r="BZ274" i="1"/>
  <c r="CB274" i="1" s="1"/>
  <c r="BZ275" i="1"/>
  <c r="CB275" i="1" s="1"/>
  <c r="BZ276" i="1"/>
  <c r="CB276" i="1" s="1"/>
  <c r="BZ277" i="1"/>
  <c r="CB277" i="1" s="1"/>
  <c r="BZ278" i="1"/>
  <c r="CB278" i="1" s="1"/>
  <c r="BZ279" i="1"/>
  <c r="CB279" i="1" s="1"/>
  <c r="BZ280" i="1"/>
  <c r="CB280" i="1" s="1"/>
  <c r="BZ283" i="1"/>
  <c r="CB283" i="1" s="1"/>
  <c r="BZ284" i="1"/>
  <c r="CB284" i="1" s="1"/>
  <c r="BZ285" i="1"/>
  <c r="CB285" i="1" s="1"/>
  <c r="BZ286" i="1"/>
  <c r="CB286" i="1" s="1"/>
  <c r="BZ287" i="1"/>
  <c r="CB287" i="1" s="1"/>
  <c r="BZ288" i="1"/>
  <c r="CB288" i="1" s="1"/>
  <c r="BZ289" i="1"/>
  <c r="CB289" i="1" s="1"/>
  <c r="BZ290" i="1"/>
  <c r="CB290" i="1" s="1"/>
  <c r="BZ291" i="1"/>
  <c r="CB291" i="1" s="1"/>
  <c r="BZ292" i="1"/>
  <c r="CB292" i="1" s="1"/>
  <c r="BZ293" i="1"/>
  <c r="CB293" i="1" s="1"/>
  <c r="BZ294" i="1"/>
  <c r="CB294" i="1" s="1"/>
  <c r="BZ295" i="1"/>
  <c r="CB295" i="1" s="1"/>
  <c r="BZ296" i="1"/>
  <c r="CB296" i="1" s="1"/>
  <c r="BZ297" i="1"/>
  <c r="CB297" i="1" s="1"/>
  <c r="BZ298" i="1"/>
  <c r="CB298" i="1" s="1"/>
  <c r="BZ299" i="1"/>
  <c r="CB299" i="1" s="1"/>
  <c r="BZ300" i="1"/>
  <c r="CB300" i="1" s="1"/>
  <c r="BZ301" i="1"/>
  <c r="CB301" i="1" s="1"/>
  <c r="BZ302" i="1"/>
  <c r="CB302" i="1" s="1"/>
  <c r="BZ303" i="1"/>
  <c r="CB303" i="1" s="1"/>
  <c r="BZ304" i="1"/>
  <c r="CB304" i="1" s="1"/>
  <c r="BZ305" i="1"/>
  <c r="CB305" i="1" s="1"/>
  <c r="BZ306" i="1"/>
  <c r="CB306" i="1" s="1"/>
  <c r="BZ307" i="1"/>
  <c r="CB307" i="1" s="1"/>
  <c r="BZ308" i="1"/>
  <c r="CB308" i="1" s="1"/>
  <c r="BZ309" i="1"/>
  <c r="CB309" i="1" s="1"/>
  <c r="BZ310" i="1"/>
  <c r="CB310" i="1" s="1"/>
  <c r="BZ311" i="1"/>
  <c r="CB311" i="1" s="1"/>
  <c r="BZ312" i="1"/>
  <c r="CB312" i="1" s="1"/>
  <c r="BZ313" i="1"/>
  <c r="CB313" i="1" s="1"/>
  <c r="BZ314" i="1"/>
  <c r="CB314" i="1" s="1"/>
  <c r="BZ315" i="1"/>
  <c r="CB315" i="1" s="1"/>
  <c r="BZ316" i="1"/>
  <c r="CB316" i="1" s="1"/>
  <c r="BZ317" i="1"/>
  <c r="CB317" i="1" s="1"/>
  <c r="BZ318" i="1"/>
  <c r="CB318" i="1" s="1"/>
  <c r="BZ319" i="1"/>
  <c r="CB319" i="1" s="1"/>
  <c r="BZ320" i="1"/>
  <c r="CB320" i="1" s="1"/>
  <c r="BZ321" i="1"/>
  <c r="CB321" i="1" s="1"/>
  <c r="BZ322" i="1"/>
  <c r="CB322" i="1" s="1"/>
  <c r="BZ323" i="1"/>
  <c r="CB323" i="1" s="1"/>
  <c r="BZ324" i="1"/>
  <c r="CB324" i="1" s="1"/>
  <c r="BZ325" i="1"/>
  <c r="CB325" i="1" s="1"/>
  <c r="BZ326" i="1"/>
  <c r="CB326" i="1" s="1"/>
  <c r="BZ327" i="1"/>
  <c r="CB327" i="1" s="1"/>
  <c r="BZ328" i="1"/>
  <c r="CB328" i="1" s="1"/>
  <c r="BZ329" i="1"/>
  <c r="CB329" i="1" s="1"/>
  <c r="BZ330" i="1"/>
  <c r="CB330" i="1" s="1"/>
  <c r="BZ331" i="1"/>
  <c r="CB331" i="1" s="1"/>
  <c r="BZ332" i="1"/>
  <c r="CB332" i="1" s="1"/>
  <c r="BZ333" i="1"/>
  <c r="CB333" i="1" s="1"/>
  <c r="BZ334" i="1"/>
  <c r="CB334" i="1" s="1"/>
  <c r="BZ335" i="1"/>
  <c r="CB335" i="1" s="1"/>
  <c r="BZ336" i="1"/>
  <c r="CB336" i="1" s="1"/>
  <c r="BZ337" i="1"/>
  <c r="CB337" i="1" s="1"/>
  <c r="BZ338" i="1"/>
  <c r="CB338" i="1" s="1"/>
  <c r="BZ339" i="1"/>
  <c r="CB339" i="1" s="1"/>
  <c r="BZ345" i="1"/>
  <c r="CB345" i="1" s="1"/>
  <c r="BZ346" i="1"/>
  <c r="CB346" i="1" s="1"/>
  <c r="BZ347" i="1"/>
  <c r="CB347" i="1" s="1"/>
  <c r="BZ348" i="1"/>
  <c r="CB348" i="1" s="1"/>
  <c r="BZ349" i="1"/>
  <c r="CB349" i="1" s="1"/>
  <c r="BZ350" i="1"/>
  <c r="CB350" i="1" s="1"/>
  <c r="BZ351" i="1"/>
  <c r="CB351" i="1" s="1"/>
  <c r="BZ352" i="1"/>
  <c r="CB352" i="1" s="1"/>
  <c r="BZ9" i="1"/>
  <c r="BW10" i="1"/>
  <c r="BW11" i="1"/>
  <c r="BW14" i="1"/>
  <c r="BW15" i="1"/>
  <c r="BW16" i="1"/>
  <c r="BW17" i="1"/>
  <c r="BW18" i="1"/>
  <c r="BW19" i="1"/>
  <c r="BW20" i="1"/>
  <c r="BW21" i="1"/>
  <c r="BW22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2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9" i="1"/>
  <c r="BT11" i="1"/>
  <c r="BV11" i="1" s="1"/>
  <c r="BT14" i="1"/>
  <c r="BV14" i="1" s="1"/>
  <c r="BT15" i="1"/>
  <c r="BT16" i="1"/>
  <c r="BV16" i="1" s="1"/>
  <c r="BT17" i="1"/>
  <c r="BV17" i="1" s="1"/>
  <c r="BT18" i="1"/>
  <c r="BV18" i="1" s="1"/>
  <c r="BT19" i="1"/>
  <c r="BV19" i="1" s="1"/>
  <c r="BT20" i="1"/>
  <c r="BV20" i="1" s="1"/>
  <c r="BT21" i="1"/>
  <c r="BV21" i="1" s="1"/>
  <c r="BT22" i="1"/>
  <c r="BV22" i="1" s="1"/>
  <c r="BT24" i="1"/>
  <c r="BV24" i="1" s="1"/>
  <c r="BT25" i="1"/>
  <c r="BV25" i="1" s="1"/>
  <c r="BT26" i="1"/>
  <c r="BV26" i="1" s="1"/>
  <c r="BT27" i="1"/>
  <c r="BV27" i="1" s="1"/>
  <c r="BT28" i="1"/>
  <c r="BV28" i="1" s="1"/>
  <c r="BT29" i="1"/>
  <c r="BV29" i="1" s="1"/>
  <c r="BT30" i="1"/>
  <c r="BV30" i="1" s="1"/>
  <c r="BT31" i="1"/>
  <c r="BV31" i="1" s="1"/>
  <c r="BT32" i="1"/>
  <c r="BV32" i="1" s="1"/>
  <c r="BT33" i="1"/>
  <c r="BV33" i="1" s="1"/>
  <c r="BT34" i="1"/>
  <c r="BV34" i="1" s="1"/>
  <c r="BT35" i="1"/>
  <c r="BV35" i="1" s="1"/>
  <c r="BT36" i="1"/>
  <c r="BV36" i="1" s="1"/>
  <c r="BT37" i="1"/>
  <c r="BV37" i="1" s="1"/>
  <c r="BT38" i="1"/>
  <c r="BV38" i="1" s="1"/>
  <c r="BT39" i="1"/>
  <c r="BV39" i="1" s="1"/>
  <c r="BT40" i="1"/>
  <c r="BV40" i="1" s="1"/>
  <c r="BT46" i="1"/>
  <c r="BV46" i="1" s="1"/>
  <c r="BT47" i="1"/>
  <c r="BV47" i="1" s="1"/>
  <c r="BT48" i="1"/>
  <c r="BV48" i="1" s="1"/>
  <c r="BT49" i="1"/>
  <c r="BV49" i="1" s="1"/>
  <c r="BT50" i="1"/>
  <c r="BV50" i="1" s="1"/>
  <c r="BT51" i="1"/>
  <c r="BV51" i="1" s="1"/>
  <c r="BT52" i="1"/>
  <c r="BV52" i="1" s="1"/>
  <c r="BT53" i="1"/>
  <c r="BV53" i="1" s="1"/>
  <c r="BT54" i="1"/>
  <c r="BV54" i="1" s="1"/>
  <c r="BT55" i="1"/>
  <c r="BV55" i="1" s="1"/>
  <c r="BT56" i="1"/>
  <c r="BV56" i="1" s="1"/>
  <c r="BT57" i="1"/>
  <c r="BV57" i="1" s="1"/>
  <c r="BT58" i="1"/>
  <c r="BV58" i="1" s="1"/>
  <c r="BT59" i="1"/>
  <c r="BV59" i="1" s="1"/>
  <c r="BT60" i="1"/>
  <c r="BV60" i="1" s="1"/>
  <c r="BT61" i="1"/>
  <c r="BV61" i="1" s="1"/>
  <c r="BT62" i="1"/>
  <c r="BV62" i="1" s="1"/>
  <c r="BT63" i="1"/>
  <c r="BV63" i="1" s="1"/>
  <c r="BT64" i="1"/>
  <c r="BV64" i="1" s="1"/>
  <c r="BT65" i="1"/>
  <c r="BV65" i="1" s="1"/>
  <c r="BT67" i="1"/>
  <c r="BV67" i="1" s="1"/>
  <c r="BT68" i="1"/>
  <c r="BV68" i="1" s="1"/>
  <c r="BT69" i="1"/>
  <c r="BV69" i="1" s="1"/>
  <c r="BT70" i="1"/>
  <c r="BV70" i="1" s="1"/>
  <c r="BT71" i="1"/>
  <c r="BV71" i="1" s="1"/>
  <c r="BT72" i="1"/>
  <c r="BV72" i="1" s="1"/>
  <c r="BT73" i="1"/>
  <c r="BV73" i="1" s="1"/>
  <c r="BT74" i="1"/>
  <c r="BV74" i="1" s="1"/>
  <c r="BT75" i="1"/>
  <c r="BV75" i="1" s="1"/>
  <c r="BT76" i="1"/>
  <c r="BV76" i="1" s="1"/>
  <c r="BT77" i="1"/>
  <c r="BV77" i="1" s="1"/>
  <c r="BT79" i="1"/>
  <c r="BV79" i="1" s="1"/>
  <c r="BT80" i="1"/>
  <c r="BV80" i="1" s="1"/>
  <c r="BT81" i="1"/>
  <c r="BV81" i="1" s="1"/>
  <c r="BT82" i="1"/>
  <c r="BV82" i="1" s="1"/>
  <c r="BT86" i="1"/>
  <c r="BV86" i="1" s="1"/>
  <c r="BT87" i="1"/>
  <c r="BV87" i="1" s="1"/>
  <c r="BT88" i="1"/>
  <c r="BV88" i="1" s="1"/>
  <c r="BT89" i="1"/>
  <c r="BV89" i="1" s="1"/>
  <c r="BT90" i="1"/>
  <c r="BV90" i="1" s="1"/>
  <c r="BT91" i="1"/>
  <c r="BV91" i="1" s="1"/>
  <c r="BT92" i="1"/>
  <c r="BV92" i="1" s="1"/>
  <c r="BT93" i="1"/>
  <c r="BV93" i="1" s="1"/>
  <c r="BT94" i="1"/>
  <c r="BV94" i="1" s="1"/>
  <c r="BT95" i="1"/>
  <c r="BV95" i="1" s="1"/>
  <c r="BT96" i="1"/>
  <c r="BV96" i="1" s="1"/>
  <c r="BT97" i="1"/>
  <c r="BV97" i="1" s="1"/>
  <c r="BT98" i="1"/>
  <c r="BV98" i="1" s="1"/>
  <c r="BT99" i="1"/>
  <c r="BV99" i="1" s="1"/>
  <c r="BT100" i="1"/>
  <c r="BV100" i="1" s="1"/>
  <c r="BT101" i="1"/>
  <c r="BV101" i="1" s="1"/>
  <c r="BT102" i="1"/>
  <c r="BV102" i="1" s="1"/>
  <c r="BT103" i="1"/>
  <c r="BV103" i="1" s="1"/>
  <c r="BT104" i="1"/>
  <c r="BV104" i="1" s="1"/>
  <c r="BT105" i="1"/>
  <c r="BV105" i="1" s="1"/>
  <c r="BT106" i="1"/>
  <c r="BV106" i="1" s="1"/>
  <c r="BT107" i="1"/>
  <c r="BV107" i="1" s="1"/>
  <c r="BT108" i="1"/>
  <c r="BV108" i="1" s="1"/>
  <c r="BT109" i="1"/>
  <c r="BV109" i="1" s="1"/>
  <c r="BT110" i="1"/>
  <c r="BV110" i="1" s="1"/>
  <c r="BT111" i="1"/>
  <c r="BV111" i="1" s="1"/>
  <c r="BT112" i="1"/>
  <c r="BV112" i="1" s="1"/>
  <c r="BT113" i="1"/>
  <c r="BV113" i="1" s="1"/>
  <c r="BT114" i="1"/>
  <c r="BV114" i="1" s="1"/>
  <c r="BT115" i="1"/>
  <c r="BV115" i="1" s="1"/>
  <c r="BT116" i="1"/>
  <c r="BV116" i="1" s="1"/>
  <c r="BT117" i="1"/>
  <c r="BV117" i="1" s="1"/>
  <c r="BT118" i="1"/>
  <c r="BV118" i="1" s="1"/>
  <c r="BT119" i="1"/>
  <c r="BV119" i="1" s="1"/>
  <c r="BT120" i="1"/>
  <c r="BV120" i="1" s="1"/>
  <c r="BT121" i="1"/>
  <c r="BV121" i="1" s="1"/>
  <c r="BT122" i="1"/>
  <c r="BV122" i="1" s="1"/>
  <c r="BT123" i="1"/>
  <c r="BV123" i="1" s="1"/>
  <c r="BT124" i="1"/>
  <c r="BV124" i="1" s="1"/>
  <c r="BT125" i="1"/>
  <c r="BV125" i="1" s="1"/>
  <c r="BT126" i="1"/>
  <c r="BV126" i="1" s="1"/>
  <c r="BT127" i="1"/>
  <c r="BV127" i="1" s="1"/>
  <c r="BT128" i="1"/>
  <c r="BV128" i="1" s="1"/>
  <c r="BT129" i="1"/>
  <c r="BV129" i="1" s="1"/>
  <c r="BT130" i="1"/>
  <c r="BV130" i="1" s="1"/>
  <c r="BT132" i="1"/>
  <c r="BV132" i="1" s="1"/>
  <c r="BT133" i="1"/>
  <c r="BV133" i="1" s="1"/>
  <c r="BT134" i="1"/>
  <c r="BV134" i="1" s="1"/>
  <c r="BT135" i="1"/>
  <c r="BV135" i="1" s="1"/>
  <c r="BT136" i="1"/>
  <c r="BV136" i="1" s="1"/>
  <c r="BT137" i="1"/>
  <c r="BV137" i="1" s="1"/>
  <c r="BT138" i="1"/>
  <c r="BV138" i="1" s="1"/>
  <c r="BT139" i="1"/>
  <c r="BV139" i="1" s="1"/>
  <c r="BT140" i="1"/>
  <c r="BV140" i="1" s="1"/>
  <c r="BT141" i="1"/>
  <c r="BV141" i="1" s="1"/>
  <c r="BT142" i="1"/>
  <c r="BV142" i="1" s="1"/>
  <c r="BT143" i="1"/>
  <c r="BV143" i="1" s="1"/>
  <c r="BT144" i="1"/>
  <c r="BV144" i="1" s="1"/>
  <c r="BT145" i="1"/>
  <c r="BV145" i="1" s="1"/>
  <c r="BT146" i="1"/>
  <c r="BV146" i="1" s="1"/>
  <c r="BT147" i="1"/>
  <c r="BV147" i="1" s="1"/>
  <c r="BT148" i="1"/>
  <c r="BV148" i="1" s="1"/>
  <c r="BT149" i="1"/>
  <c r="BV149" i="1" s="1"/>
  <c r="BT150" i="1"/>
  <c r="BV150" i="1" s="1"/>
  <c r="BT151" i="1"/>
  <c r="BV151" i="1" s="1"/>
  <c r="BT152" i="1"/>
  <c r="BV152" i="1" s="1"/>
  <c r="BT153" i="1"/>
  <c r="BV153" i="1" s="1"/>
  <c r="BT154" i="1"/>
  <c r="BV154" i="1" s="1"/>
  <c r="BT155" i="1"/>
  <c r="BV155" i="1" s="1"/>
  <c r="BT156" i="1"/>
  <c r="BV156" i="1" s="1"/>
  <c r="BT157" i="1"/>
  <c r="BV157" i="1" s="1"/>
  <c r="BT158" i="1"/>
  <c r="BV158" i="1" s="1"/>
  <c r="BT159" i="1"/>
  <c r="BV159" i="1" s="1"/>
  <c r="BT160" i="1"/>
  <c r="BV160" i="1" s="1"/>
  <c r="BT161" i="1"/>
  <c r="BV161" i="1" s="1"/>
  <c r="BT162" i="1"/>
  <c r="BV162" i="1" s="1"/>
  <c r="BT163" i="1"/>
  <c r="BV163" i="1" s="1"/>
  <c r="BT164" i="1"/>
  <c r="BV164" i="1" s="1"/>
  <c r="BT165" i="1"/>
  <c r="BV165" i="1" s="1"/>
  <c r="BT166" i="1"/>
  <c r="BV166" i="1" s="1"/>
  <c r="BT167" i="1"/>
  <c r="BV167" i="1" s="1"/>
  <c r="BT168" i="1"/>
  <c r="BV168" i="1" s="1"/>
  <c r="BT169" i="1"/>
  <c r="BV169" i="1" s="1"/>
  <c r="BT170" i="1"/>
  <c r="BV170" i="1" s="1"/>
  <c r="BT171" i="1"/>
  <c r="BV171" i="1" s="1"/>
  <c r="BT172" i="1"/>
  <c r="BV172" i="1" s="1"/>
  <c r="BT173" i="1"/>
  <c r="BV173" i="1" s="1"/>
  <c r="BT174" i="1"/>
  <c r="BV174" i="1" s="1"/>
  <c r="BT175" i="1"/>
  <c r="BV175" i="1" s="1"/>
  <c r="BT176" i="1"/>
  <c r="BV176" i="1" s="1"/>
  <c r="BT177" i="1"/>
  <c r="BV177" i="1" s="1"/>
  <c r="BT178" i="1"/>
  <c r="BV178" i="1" s="1"/>
  <c r="BT179" i="1"/>
  <c r="BV179" i="1" s="1"/>
  <c r="BT180" i="1"/>
  <c r="BV180" i="1" s="1"/>
  <c r="BT182" i="1"/>
  <c r="BV182" i="1" s="1"/>
  <c r="BT185" i="1"/>
  <c r="BV185" i="1" s="1"/>
  <c r="BT186" i="1"/>
  <c r="BV186" i="1" s="1"/>
  <c r="BT187" i="1"/>
  <c r="BV187" i="1" s="1"/>
  <c r="BT188" i="1"/>
  <c r="BV188" i="1" s="1"/>
  <c r="BT189" i="1"/>
  <c r="BV189" i="1" s="1"/>
  <c r="BT190" i="1"/>
  <c r="BV190" i="1" s="1"/>
  <c r="BT191" i="1"/>
  <c r="BV191" i="1" s="1"/>
  <c r="BT192" i="1"/>
  <c r="BV192" i="1" s="1"/>
  <c r="BT193" i="1"/>
  <c r="BV193" i="1" s="1"/>
  <c r="BT194" i="1"/>
  <c r="BV194" i="1" s="1"/>
  <c r="BT195" i="1"/>
  <c r="BV195" i="1" s="1"/>
  <c r="BT196" i="1"/>
  <c r="BV196" i="1" s="1"/>
  <c r="BT197" i="1"/>
  <c r="BV197" i="1" s="1"/>
  <c r="BT198" i="1"/>
  <c r="BV198" i="1" s="1"/>
  <c r="BT199" i="1"/>
  <c r="BV199" i="1" s="1"/>
  <c r="BT200" i="1"/>
  <c r="BV200" i="1" s="1"/>
  <c r="BT201" i="1"/>
  <c r="BV201" i="1" s="1"/>
  <c r="BT202" i="1"/>
  <c r="BV202" i="1" s="1"/>
  <c r="BT203" i="1"/>
  <c r="BV203" i="1" s="1"/>
  <c r="BT204" i="1"/>
  <c r="BV204" i="1" s="1"/>
  <c r="BT205" i="1"/>
  <c r="BV205" i="1" s="1"/>
  <c r="BT206" i="1"/>
  <c r="BV206" i="1" s="1"/>
  <c r="BT207" i="1"/>
  <c r="BV207" i="1" s="1"/>
  <c r="BT208" i="1"/>
  <c r="BV208" i="1" s="1"/>
  <c r="BT209" i="1"/>
  <c r="BV209" i="1" s="1"/>
  <c r="BT210" i="1"/>
  <c r="BV210" i="1" s="1"/>
  <c r="BT211" i="1"/>
  <c r="BV211" i="1" s="1"/>
  <c r="BT212" i="1"/>
  <c r="BV212" i="1" s="1"/>
  <c r="BT213" i="1"/>
  <c r="BV213" i="1" s="1"/>
  <c r="BT214" i="1"/>
  <c r="BV214" i="1" s="1"/>
  <c r="BT215" i="1"/>
  <c r="BV215" i="1" s="1"/>
  <c r="BT216" i="1"/>
  <c r="BV216" i="1" s="1"/>
  <c r="BT217" i="1"/>
  <c r="BV217" i="1" s="1"/>
  <c r="BT218" i="1"/>
  <c r="BV218" i="1" s="1"/>
  <c r="BT219" i="1"/>
  <c r="BV219" i="1" s="1"/>
  <c r="BT220" i="1"/>
  <c r="BV220" i="1" s="1"/>
  <c r="BT221" i="1"/>
  <c r="BV221" i="1" s="1"/>
  <c r="BT222" i="1"/>
  <c r="BV222" i="1" s="1"/>
  <c r="BT223" i="1"/>
  <c r="BV223" i="1" s="1"/>
  <c r="BT224" i="1"/>
  <c r="BV224" i="1" s="1"/>
  <c r="BT225" i="1"/>
  <c r="BV225" i="1" s="1"/>
  <c r="BT226" i="1"/>
  <c r="BV226" i="1" s="1"/>
  <c r="BT227" i="1"/>
  <c r="BV227" i="1" s="1"/>
  <c r="BT228" i="1"/>
  <c r="BV228" i="1" s="1"/>
  <c r="BT229" i="1"/>
  <c r="BV229" i="1" s="1"/>
  <c r="BT230" i="1"/>
  <c r="BV230" i="1" s="1"/>
  <c r="BT231" i="1"/>
  <c r="BV231" i="1" s="1"/>
  <c r="BT232" i="1"/>
  <c r="BV232" i="1" s="1"/>
  <c r="BT233" i="1"/>
  <c r="BV233" i="1" s="1"/>
  <c r="BT234" i="1"/>
  <c r="BV234" i="1" s="1"/>
  <c r="BT235" i="1"/>
  <c r="BV235" i="1" s="1"/>
  <c r="BT236" i="1"/>
  <c r="BV236" i="1" s="1"/>
  <c r="BT237" i="1"/>
  <c r="BV237" i="1" s="1"/>
  <c r="BT238" i="1"/>
  <c r="BV238" i="1" s="1"/>
  <c r="BT239" i="1"/>
  <c r="BV239" i="1" s="1"/>
  <c r="BT240" i="1"/>
  <c r="BV240" i="1" s="1"/>
  <c r="BT241" i="1"/>
  <c r="BV241" i="1" s="1"/>
  <c r="BT242" i="1"/>
  <c r="BV242" i="1" s="1"/>
  <c r="BT243" i="1"/>
  <c r="BV243" i="1" s="1"/>
  <c r="BT244" i="1"/>
  <c r="BV244" i="1" s="1"/>
  <c r="BT245" i="1"/>
  <c r="BV245" i="1" s="1"/>
  <c r="BT246" i="1"/>
  <c r="BV246" i="1" s="1"/>
  <c r="BT247" i="1"/>
  <c r="BV247" i="1" s="1"/>
  <c r="BT248" i="1"/>
  <c r="BV248" i="1" s="1"/>
  <c r="BT249" i="1"/>
  <c r="BV249" i="1" s="1"/>
  <c r="BT250" i="1"/>
  <c r="BV250" i="1" s="1"/>
  <c r="BT251" i="1"/>
  <c r="BV251" i="1" s="1"/>
  <c r="BT252" i="1"/>
  <c r="BV252" i="1" s="1"/>
  <c r="BT253" i="1"/>
  <c r="BV253" i="1" s="1"/>
  <c r="BT254" i="1"/>
  <c r="BV254" i="1" s="1"/>
  <c r="BT255" i="1"/>
  <c r="BV255" i="1" s="1"/>
  <c r="BT256" i="1"/>
  <c r="BV256" i="1" s="1"/>
  <c r="BT257" i="1"/>
  <c r="BV257" i="1" s="1"/>
  <c r="BT258" i="1"/>
  <c r="BV258" i="1" s="1"/>
  <c r="BT259" i="1"/>
  <c r="BV259" i="1" s="1"/>
  <c r="BT260" i="1"/>
  <c r="BV260" i="1" s="1"/>
  <c r="BT261" i="1"/>
  <c r="BV261" i="1" s="1"/>
  <c r="BT262" i="1"/>
  <c r="BV262" i="1" s="1"/>
  <c r="BT263" i="1"/>
  <c r="BV263" i="1" s="1"/>
  <c r="BT264" i="1"/>
  <c r="BV264" i="1" s="1"/>
  <c r="BT265" i="1"/>
  <c r="BV265" i="1" s="1"/>
  <c r="BT266" i="1"/>
  <c r="BV266" i="1" s="1"/>
  <c r="BT267" i="1"/>
  <c r="BV267" i="1" s="1"/>
  <c r="BT268" i="1"/>
  <c r="BV268" i="1" s="1"/>
  <c r="BT269" i="1"/>
  <c r="BV269" i="1" s="1"/>
  <c r="BT270" i="1"/>
  <c r="BV270" i="1" s="1"/>
  <c r="BT271" i="1"/>
  <c r="BV271" i="1" s="1"/>
  <c r="BT272" i="1"/>
  <c r="BV272" i="1" s="1"/>
  <c r="BT273" i="1"/>
  <c r="BV273" i="1" s="1"/>
  <c r="BT274" i="1"/>
  <c r="BV274" i="1" s="1"/>
  <c r="BT275" i="1"/>
  <c r="BV275" i="1" s="1"/>
  <c r="BT276" i="1"/>
  <c r="BV276" i="1" s="1"/>
  <c r="BT277" i="1"/>
  <c r="BV277" i="1" s="1"/>
  <c r="BT278" i="1"/>
  <c r="BV278" i="1" s="1"/>
  <c r="BT279" i="1"/>
  <c r="BV279" i="1" s="1"/>
  <c r="BT280" i="1"/>
  <c r="BV280" i="1" s="1"/>
  <c r="BT283" i="1"/>
  <c r="BV283" i="1" s="1"/>
  <c r="BT284" i="1"/>
  <c r="BV284" i="1" s="1"/>
  <c r="BT285" i="1"/>
  <c r="BV285" i="1" s="1"/>
  <c r="BT286" i="1"/>
  <c r="BV286" i="1" s="1"/>
  <c r="BT287" i="1"/>
  <c r="BV287" i="1" s="1"/>
  <c r="BT288" i="1"/>
  <c r="BV288" i="1" s="1"/>
  <c r="BT289" i="1"/>
  <c r="BV289" i="1" s="1"/>
  <c r="BT290" i="1"/>
  <c r="BV290" i="1" s="1"/>
  <c r="BT291" i="1"/>
  <c r="BV291" i="1" s="1"/>
  <c r="BT292" i="1"/>
  <c r="BV292" i="1" s="1"/>
  <c r="BT293" i="1"/>
  <c r="BV293" i="1" s="1"/>
  <c r="BT294" i="1"/>
  <c r="BV294" i="1" s="1"/>
  <c r="BT295" i="1"/>
  <c r="BV295" i="1" s="1"/>
  <c r="BT296" i="1"/>
  <c r="BV296" i="1" s="1"/>
  <c r="BT297" i="1"/>
  <c r="BV297" i="1" s="1"/>
  <c r="BT298" i="1"/>
  <c r="BV298" i="1" s="1"/>
  <c r="BT299" i="1"/>
  <c r="BV299" i="1" s="1"/>
  <c r="BT300" i="1"/>
  <c r="BV300" i="1" s="1"/>
  <c r="BT301" i="1"/>
  <c r="BV301" i="1" s="1"/>
  <c r="BT302" i="1"/>
  <c r="BV302" i="1" s="1"/>
  <c r="BT303" i="1"/>
  <c r="BV303" i="1" s="1"/>
  <c r="BT304" i="1"/>
  <c r="BV304" i="1" s="1"/>
  <c r="BT305" i="1"/>
  <c r="BV305" i="1" s="1"/>
  <c r="BT306" i="1"/>
  <c r="BV306" i="1" s="1"/>
  <c r="BT307" i="1"/>
  <c r="BV307" i="1" s="1"/>
  <c r="BT308" i="1"/>
  <c r="BV308" i="1" s="1"/>
  <c r="BT309" i="1"/>
  <c r="BV309" i="1" s="1"/>
  <c r="BT310" i="1"/>
  <c r="BV310" i="1" s="1"/>
  <c r="BT311" i="1"/>
  <c r="BV311" i="1" s="1"/>
  <c r="BT312" i="1"/>
  <c r="BV312" i="1" s="1"/>
  <c r="BT313" i="1"/>
  <c r="BV313" i="1" s="1"/>
  <c r="BT314" i="1"/>
  <c r="BV314" i="1" s="1"/>
  <c r="BT315" i="1"/>
  <c r="BV315" i="1" s="1"/>
  <c r="BT316" i="1"/>
  <c r="BV316" i="1" s="1"/>
  <c r="BT317" i="1"/>
  <c r="BV317" i="1" s="1"/>
  <c r="BT318" i="1"/>
  <c r="BV318" i="1" s="1"/>
  <c r="BT319" i="1"/>
  <c r="BV319" i="1" s="1"/>
  <c r="BT320" i="1"/>
  <c r="BV320" i="1" s="1"/>
  <c r="BT321" i="1"/>
  <c r="BV321" i="1" s="1"/>
  <c r="BT322" i="1"/>
  <c r="BV322" i="1" s="1"/>
  <c r="BT323" i="1"/>
  <c r="BV323" i="1" s="1"/>
  <c r="BT324" i="1"/>
  <c r="BV324" i="1" s="1"/>
  <c r="BT325" i="1"/>
  <c r="BV325" i="1" s="1"/>
  <c r="BT326" i="1"/>
  <c r="BV326" i="1" s="1"/>
  <c r="BT327" i="1"/>
  <c r="BV327" i="1" s="1"/>
  <c r="BT328" i="1"/>
  <c r="BV328" i="1" s="1"/>
  <c r="BT329" i="1"/>
  <c r="BV329" i="1" s="1"/>
  <c r="BT330" i="1"/>
  <c r="BV330" i="1" s="1"/>
  <c r="BT331" i="1"/>
  <c r="BV331" i="1" s="1"/>
  <c r="BT332" i="1"/>
  <c r="BV332" i="1" s="1"/>
  <c r="BT333" i="1"/>
  <c r="BV333" i="1" s="1"/>
  <c r="BT334" i="1"/>
  <c r="BV334" i="1" s="1"/>
  <c r="BT335" i="1"/>
  <c r="BV335" i="1" s="1"/>
  <c r="BT336" i="1"/>
  <c r="BV336" i="1" s="1"/>
  <c r="BT337" i="1"/>
  <c r="BV337" i="1" s="1"/>
  <c r="BT338" i="1"/>
  <c r="BV338" i="1" s="1"/>
  <c r="BT339" i="1"/>
  <c r="BV339" i="1" s="1"/>
  <c r="BT345" i="1"/>
  <c r="BV345" i="1" s="1"/>
  <c r="BT346" i="1"/>
  <c r="BV346" i="1" s="1"/>
  <c r="BT347" i="1"/>
  <c r="BV347" i="1" s="1"/>
  <c r="BT348" i="1"/>
  <c r="BV348" i="1" s="1"/>
  <c r="BT349" i="1"/>
  <c r="BV349" i="1" s="1"/>
  <c r="BT350" i="1"/>
  <c r="BV350" i="1" s="1"/>
  <c r="BT351" i="1"/>
  <c r="BV351" i="1" s="1"/>
  <c r="BT352" i="1"/>
  <c r="BV352" i="1" s="1"/>
  <c r="BT10" i="1"/>
  <c r="BT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9" i="1"/>
  <c r="AS10" i="1"/>
  <c r="AS11" i="1"/>
  <c r="AS14" i="1"/>
  <c r="AS15" i="1"/>
  <c r="AS16" i="1"/>
  <c r="AS17" i="1"/>
  <c r="AS18" i="1"/>
  <c r="AS19" i="1"/>
  <c r="AS20" i="1"/>
  <c r="AS21" i="1"/>
  <c r="AS22" i="1"/>
  <c r="AS24" i="1"/>
  <c r="AS25" i="1"/>
  <c r="AS26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70" i="1"/>
  <c r="AS71" i="1"/>
  <c r="AS72" i="1"/>
  <c r="AS73" i="1"/>
  <c r="AS74" i="1"/>
  <c r="AS75" i="1"/>
  <c r="AS76" i="1"/>
  <c r="AS77" i="1"/>
  <c r="AS79" i="1"/>
  <c r="AS80" i="1"/>
  <c r="AS81" i="1"/>
  <c r="AS82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2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5" i="1"/>
  <c r="AP366" i="1"/>
  <c r="AP367" i="1"/>
  <c r="AP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9" i="1"/>
  <c r="AA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9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BO181" i="1"/>
  <c r="BP181" i="1" s="1"/>
  <c r="BO218" i="1"/>
  <c r="BO244" i="1"/>
  <c r="BP244" i="1" s="1"/>
  <c r="BO268" i="1"/>
  <c r="BP268" i="1" s="1"/>
  <c r="BO281" i="1"/>
  <c r="BP281" i="1" s="1"/>
  <c r="BO296" i="1"/>
  <c r="BP296" i="1" s="1"/>
  <c r="BO307" i="1"/>
  <c r="BP307" i="1" s="1"/>
  <c r="BO323" i="1"/>
  <c r="BP323" i="1" s="1"/>
  <c r="BO327" i="1"/>
  <c r="BP327" i="1" s="1"/>
  <c r="BO344" i="1"/>
  <c r="BP344" i="1" s="1"/>
  <c r="BO348" i="1"/>
  <c r="BP348" i="1" s="1"/>
  <c r="BO353" i="1"/>
  <c r="BP353" i="1" s="1"/>
  <c r="BO363" i="1"/>
  <c r="BP363" i="1" s="1"/>
  <c r="BO364" i="1"/>
  <c r="BP364" i="1" s="1"/>
  <c r="BO367" i="1"/>
  <c r="BP367" i="1" s="1"/>
  <c r="AT12" i="1"/>
  <c r="AT24" i="1"/>
  <c r="AT28" i="1"/>
  <c r="AT30" i="1"/>
  <c r="AT41" i="1"/>
  <c r="AT45" i="1"/>
  <c r="AT49" i="1"/>
  <c r="AT75" i="1"/>
  <c r="AT83" i="1"/>
  <c r="AT87" i="1"/>
  <c r="AT90" i="1"/>
  <c r="AT93" i="1"/>
  <c r="AT97" i="1"/>
  <c r="AT101" i="1"/>
  <c r="AT105" i="1"/>
  <c r="AT109" i="1"/>
  <c r="AT118" i="1"/>
  <c r="AT124" i="1"/>
  <c r="AT128" i="1"/>
  <c r="AT131" i="1"/>
  <c r="AT134" i="1"/>
  <c r="AT142" i="1"/>
  <c r="AT146" i="1"/>
  <c r="AT150" i="1"/>
  <c r="AT178" i="1"/>
  <c r="AT181" i="1"/>
  <c r="AT188" i="1"/>
  <c r="AT192" i="1"/>
  <c r="AT196" i="1"/>
  <c r="AT199" i="1"/>
  <c r="AT203" i="1"/>
  <c r="AT207" i="1"/>
  <c r="AT211" i="1"/>
  <c r="AT214" i="1"/>
  <c r="AT218" i="1"/>
  <c r="AT222" i="1"/>
  <c r="AT226" i="1"/>
  <c r="AT240" i="1"/>
  <c r="AT244" i="1"/>
  <c r="AT248" i="1"/>
  <c r="AT256" i="1"/>
  <c r="AT262" i="1"/>
  <c r="AT266" i="1"/>
  <c r="AT273" i="1"/>
  <c r="AT277" i="1"/>
  <c r="AT283" i="1"/>
  <c r="AT286" i="1"/>
  <c r="AT290" i="1"/>
  <c r="AT294" i="1"/>
  <c r="AT298" i="1"/>
  <c r="AT302" i="1"/>
  <c r="AT305" i="1"/>
  <c r="AT309" i="1"/>
  <c r="AT313" i="1"/>
  <c r="AT317" i="1"/>
  <c r="AT321" i="1"/>
  <c r="AT325" i="1"/>
  <c r="AT329" i="1"/>
  <c r="AT333" i="1"/>
  <c r="AT337" i="1"/>
  <c r="AT341" i="1"/>
  <c r="AT345" i="1"/>
  <c r="AT349" i="1"/>
  <c r="AT353" i="1"/>
  <c r="AT361" i="1"/>
  <c r="AT365" i="1"/>
  <c r="AT367" i="1"/>
  <c r="AT363" i="1"/>
  <c r="AT359" i="1"/>
  <c r="AT355" i="1"/>
  <c r="AT351" i="1"/>
  <c r="AT347" i="1"/>
  <c r="AT343" i="1"/>
  <c r="AT331" i="1"/>
  <c r="AT327" i="1"/>
  <c r="AT323" i="1"/>
  <c r="AT319" i="1"/>
  <c r="AT315" i="1"/>
  <c r="AT311" i="1"/>
  <c r="AT307" i="1"/>
  <c r="AT300" i="1"/>
  <c r="AT296" i="1"/>
  <c r="AT292" i="1"/>
  <c r="AT288" i="1"/>
  <c r="AT284" i="1"/>
  <c r="AT281" i="1"/>
  <c r="AT275" i="1"/>
  <c r="AT271" i="1"/>
  <c r="AT268" i="1"/>
  <c r="AT264" i="1"/>
  <c r="AT258" i="1"/>
  <c r="AT254" i="1"/>
  <c r="AT250" i="1"/>
  <c r="AT246" i="1"/>
  <c r="AT242" i="1"/>
  <c r="AT238" i="1"/>
  <c r="AT234" i="1"/>
  <c r="AT231" i="1"/>
  <c r="AT224" i="1"/>
  <c r="AT220" i="1"/>
  <c r="AT216" i="1"/>
  <c r="AT213" i="1"/>
  <c r="AT209" i="1"/>
  <c r="AT201" i="1"/>
  <c r="AT197" i="1"/>
  <c r="AT194" i="1"/>
  <c r="AT187" i="1"/>
  <c r="AT185" i="1"/>
  <c r="AT184" i="1"/>
  <c r="AT182" i="1"/>
  <c r="AT179" i="1"/>
  <c r="AT177" i="1"/>
  <c r="AT175" i="1"/>
  <c r="AT173" i="1"/>
  <c r="AT171" i="1"/>
  <c r="AT169" i="1"/>
  <c r="AT167" i="1"/>
  <c r="AT165" i="1"/>
  <c r="AT163" i="1"/>
  <c r="AT161" i="1"/>
  <c r="AT159" i="1"/>
  <c r="AT157" i="1"/>
  <c r="AT155" i="1"/>
  <c r="AT153" i="1"/>
  <c r="AT151" i="1"/>
  <c r="AT149" i="1"/>
  <c r="AT145" i="1"/>
  <c r="AT143" i="1"/>
  <c r="AT141" i="1"/>
  <c r="AT139" i="1"/>
  <c r="AT137" i="1"/>
  <c r="AT133" i="1"/>
  <c r="AT130" i="1"/>
  <c r="AT129" i="1"/>
  <c r="AT127" i="1"/>
  <c r="AT125" i="1"/>
  <c r="AT123" i="1"/>
  <c r="AT121" i="1"/>
  <c r="AT119" i="1"/>
  <c r="AT117" i="1"/>
  <c r="AT115" i="1"/>
  <c r="AT114" i="1"/>
  <c r="AT112" i="1"/>
  <c r="AT110" i="1"/>
  <c r="AT108" i="1"/>
  <c r="AT106" i="1"/>
  <c r="AT104" i="1"/>
  <c r="AT102" i="1"/>
  <c r="AT100" i="1"/>
  <c r="AT98" i="1"/>
  <c r="AT96" i="1"/>
  <c r="AT94" i="1"/>
  <c r="AT92" i="1"/>
  <c r="AT91" i="1"/>
  <c r="AT88" i="1"/>
  <c r="AT86" i="1"/>
  <c r="AT84" i="1"/>
  <c r="AT82" i="1"/>
  <c r="AT80" i="1"/>
  <c r="AT79" i="1"/>
  <c r="AT78" i="1"/>
  <c r="AT76" i="1"/>
  <c r="AT72" i="1"/>
  <c r="AT70" i="1"/>
  <c r="AT67" i="1"/>
  <c r="AT66" i="1"/>
  <c r="AT63" i="1"/>
  <c r="AT61" i="1"/>
  <c r="AT60" i="1"/>
  <c r="AT58" i="1"/>
  <c r="AT56" i="1"/>
  <c r="AT54" i="1"/>
  <c r="AT51" i="1"/>
  <c r="AT47" i="1"/>
  <c r="AT43" i="1"/>
  <c r="AT39" i="1"/>
  <c r="AT35" i="1"/>
  <c r="AT32" i="1"/>
  <c r="AT26" i="1"/>
  <c r="AT22" i="1"/>
  <c r="AT19" i="1"/>
  <c r="AT15" i="1"/>
  <c r="AT14" i="1"/>
  <c r="AT10" i="1"/>
  <c r="AT335" i="1"/>
  <c r="AT339" i="1"/>
  <c r="AT55" i="1"/>
  <c r="AT57" i="1"/>
  <c r="AT59" i="1"/>
  <c r="AT62" i="1"/>
  <c r="AT64" i="1"/>
  <c r="AT65" i="1"/>
  <c r="AT68" i="1"/>
  <c r="AT69" i="1"/>
  <c r="AT71" i="1"/>
  <c r="AT73" i="1"/>
  <c r="AT156" i="1"/>
  <c r="AT158" i="1"/>
  <c r="AT160" i="1"/>
  <c r="AT162" i="1"/>
  <c r="AT164" i="1"/>
  <c r="AT166" i="1"/>
  <c r="AT168" i="1"/>
  <c r="AT170" i="1"/>
  <c r="AT172" i="1"/>
  <c r="AT174" i="1"/>
  <c r="AT176" i="1"/>
  <c r="AT190" i="1"/>
  <c r="AT237" i="1"/>
  <c r="AT11" i="1"/>
  <c r="AT13" i="1"/>
  <c r="AT16" i="1"/>
  <c r="AT20" i="1"/>
  <c r="AT21" i="1"/>
  <c r="AT23" i="1"/>
  <c r="AT25" i="1"/>
  <c r="AT27" i="1"/>
  <c r="AT29" i="1"/>
  <c r="AT31" i="1"/>
  <c r="AT34" i="1"/>
  <c r="AT36" i="1"/>
  <c r="AT38" i="1"/>
  <c r="AT40" i="1"/>
  <c r="AT42" i="1"/>
  <c r="AT44" i="1"/>
  <c r="AT46" i="1"/>
  <c r="AT48" i="1"/>
  <c r="AT50" i="1"/>
  <c r="AT52" i="1"/>
  <c r="AT77" i="1"/>
  <c r="AT81" i="1"/>
  <c r="AT85" i="1"/>
  <c r="AT89" i="1"/>
  <c r="AT99" i="1"/>
  <c r="AT107" i="1"/>
  <c r="AT111" i="1"/>
  <c r="AT116" i="1"/>
  <c r="AT120" i="1"/>
  <c r="AT122" i="1"/>
  <c r="AT126" i="1"/>
  <c r="AT132" i="1"/>
  <c r="AT136" i="1"/>
  <c r="AT140" i="1"/>
  <c r="AT144" i="1"/>
  <c r="AT148" i="1"/>
  <c r="AT152" i="1"/>
  <c r="AT191" i="1"/>
  <c r="AT193" i="1"/>
  <c r="AT195" i="1"/>
  <c r="AT198" i="1"/>
  <c r="AT200" i="1"/>
  <c r="AT204" i="1"/>
  <c r="AT206" i="1"/>
  <c r="AT208" i="1"/>
  <c r="AT210" i="1"/>
  <c r="AT212" i="1"/>
  <c r="AT215" i="1"/>
  <c r="AT217" i="1"/>
  <c r="AT219" i="1"/>
  <c r="AT221" i="1"/>
  <c r="AT223" i="1"/>
  <c r="AT225" i="1"/>
  <c r="AT227" i="1"/>
  <c r="AT229" i="1"/>
  <c r="AT230" i="1"/>
  <c r="AT232" i="1"/>
  <c r="AT233" i="1"/>
  <c r="AT235" i="1"/>
  <c r="AT328" i="1"/>
  <c r="AT330" i="1"/>
  <c r="AT332" i="1"/>
  <c r="AT334" i="1"/>
  <c r="AT336" i="1"/>
  <c r="AT338" i="1"/>
  <c r="AT180" i="1"/>
  <c r="AT183" i="1"/>
  <c r="AT186" i="1"/>
  <c r="AT239" i="1"/>
  <c r="AT241" i="1"/>
  <c r="AT243" i="1"/>
  <c r="AT245" i="1"/>
  <c r="AT247" i="1"/>
  <c r="AT249" i="1"/>
  <c r="AT251" i="1"/>
  <c r="AT253" i="1"/>
  <c r="AT255" i="1"/>
  <c r="AT257" i="1"/>
  <c r="AT259" i="1"/>
  <c r="AT261" i="1"/>
  <c r="AT263" i="1"/>
  <c r="AT269" i="1"/>
  <c r="AT270" i="1"/>
  <c r="AT272" i="1"/>
  <c r="AT274" i="1"/>
  <c r="AT276" i="1"/>
  <c r="AT278" i="1"/>
  <c r="AT279" i="1"/>
  <c r="AT280" i="1"/>
  <c r="AT282" i="1"/>
  <c r="AT285" i="1"/>
  <c r="AT287" i="1"/>
  <c r="AT289" i="1"/>
  <c r="AT291" i="1"/>
  <c r="AT293" i="1"/>
  <c r="AT295" i="1"/>
  <c r="AT297" i="1"/>
  <c r="AT299" i="1"/>
  <c r="AT301" i="1"/>
  <c r="AT303" i="1"/>
  <c r="AT304" i="1"/>
  <c r="AT306" i="1"/>
  <c r="AT308" i="1"/>
  <c r="AT310" i="1"/>
  <c r="AT312" i="1"/>
  <c r="AT314" i="1"/>
  <c r="AT316" i="1"/>
  <c r="AT318" i="1"/>
  <c r="AT320" i="1"/>
  <c r="AT322" i="1"/>
  <c r="AT340" i="1"/>
  <c r="AT342" i="1"/>
  <c r="AT344" i="1"/>
  <c r="AT346" i="1"/>
  <c r="AT348" i="1"/>
  <c r="AT350" i="1"/>
  <c r="AT352" i="1"/>
  <c r="AT354" i="1"/>
  <c r="AT356" i="1"/>
  <c r="AT358" i="1"/>
  <c r="AT360" i="1"/>
  <c r="AT362" i="1"/>
  <c r="AT364" i="1"/>
  <c r="AT366" i="1"/>
  <c r="AT74" i="1"/>
  <c r="AT326" i="1"/>
  <c r="AT324" i="1"/>
  <c r="S9" i="1"/>
  <c r="P10" i="1"/>
  <c r="S10" i="1"/>
  <c r="P11" i="1"/>
  <c r="S11" i="1"/>
  <c r="P12" i="1"/>
  <c r="S12" i="1"/>
  <c r="P13" i="1"/>
  <c r="Q13" i="1" s="1"/>
  <c r="S13" i="1"/>
  <c r="T13" i="1" s="1"/>
  <c r="P14" i="1"/>
  <c r="S14" i="1"/>
  <c r="P15" i="1"/>
  <c r="S15" i="1"/>
  <c r="P16" i="1"/>
  <c r="S16" i="1"/>
  <c r="P17" i="1"/>
  <c r="Q17" i="1" s="1"/>
  <c r="S17" i="1"/>
  <c r="T17" i="1" s="1"/>
  <c r="P18" i="1"/>
  <c r="S18" i="1"/>
  <c r="P19" i="1"/>
  <c r="S19" i="1"/>
  <c r="P20" i="1"/>
  <c r="S20" i="1"/>
  <c r="P21" i="1"/>
  <c r="Q21" i="1" s="1"/>
  <c r="S21" i="1"/>
  <c r="T21" i="1" s="1"/>
  <c r="P22" i="1"/>
  <c r="S22" i="1"/>
  <c r="P23" i="1"/>
  <c r="S23" i="1"/>
  <c r="P24" i="1"/>
  <c r="S24" i="1"/>
  <c r="P25" i="1"/>
  <c r="Q25" i="1" s="1"/>
  <c r="S25" i="1"/>
  <c r="T25" i="1" s="1"/>
  <c r="P26" i="1"/>
  <c r="S26" i="1"/>
  <c r="P27" i="1"/>
  <c r="S27" i="1"/>
  <c r="P28" i="1"/>
  <c r="S28" i="1"/>
  <c r="P29" i="1"/>
  <c r="Q29" i="1" s="1"/>
  <c r="S29" i="1"/>
  <c r="T29" i="1" s="1"/>
  <c r="P30" i="1"/>
  <c r="S30" i="1"/>
  <c r="P31" i="1"/>
  <c r="S31" i="1"/>
  <c r="P32" i="1"/>
  <c r="S32" i="1"/>
  <c r="P33" i="1"/>
  <c r="Q33" i="1" s="1"/>
  <c r="S33" i="1"/>
  <c r="T33" i="1" s="1"/>
  <c r="P34" i="1"/>
  <c r="S34" i="1"/>
  <c r="P35" i="1"/>
  <c r="S35" i="1"/>
  <c r="P36" i="1"/>
  <c r="S36" i="1"/>
  <c r="P37" i="1"/>
  <c r="Q37" i="1" s="1"/>
  <c r="S37" i="1"/>
  <c r="T37" i="1" s="1"/>
  <c r="P38" i="1"/>
  <c r="S38" i="1"/>
  <c r="P39" i="1"/>
  <c r="S39" i="1"/>
  <c r="P40" i="1"/>
  <c r="S40" i="1"/>
  <c r="P41" i="1"/>
  <c r="Q41" i="1" s="1"/>
  <c r="S41" i="1"/>
  <c r="T41" i="1" s="1"/>
  <c r="P42" i="1"/>
  <c r="S42" i="1"/>
  <c r="P43" i="1"/>
  <c r="S43" i="1"/>
  <c r="P44" i="1"/>
  <c r="S44" i="1"/>
  <c r="P45" i="1"/>
  <c r="Q45" i="1" s="1"/>
  <c r="S45" i="1"/>
  <c r="T45" i="1" s="1"/>
  <c r="P46" i="1"/>
  <c r="S46" i="1"/>
  <c r="P47" i="1"/>
  <c r="S47" i="1"/>
  <c r="P48" i="1"/>
  <c r="S48" i="1"/>
  <c r="P49" i="1"/>
  <c r="Q49" i="1" s="1"/>
  <c r="S49" i="1"/>
  <c r="T49" i="1" s="1"/>
  <c r="P50" i="1"/>
  <c r="S50" i="1"/>
  <c r="P51" i="1"/>
  <c r="S51" i="1"/>
  <c r="P52" i="1"/>
  <c r="S52" i="1"/>
  <c r="P53" i="1"/>
  <c r="Q53" i="1" s="1"/>
  <c r="S53" i="1"/>
  <c r="T53" i="1" s="1"/>
  <c r="P54" i="1"/>
  <c r="S54" i="1"/>
  <c r="P55" i="1"/>
  <c r="S55" i="1"/>
  <c r="P56" i="1"/>
  <c r="S56" i="1"/>
  <c r="P57" i="1"/>
  <c r="Q57" i="1" s="1"/>
  <c r="S57" i="1"/>
  <c r="T57" i="1" s="1"/>
  <c r="P58" i="1"/>
  <c r="S58" i="1"/>
  <c r="P59" i="1"/>
  <c r="S59" i="1"/>
  <c r="P60" i="1"/>
  <c r="S60" i="1"/>
  <c r="P61" i="1"/>
  <c r="Q61" i="1" s="1"/>
  <c r="S61" i="1"/>
  <c r="T61" i="1" s="1"/>
  <c r="P62" i="1"/>
  <c r="S62" i="1"/>
  <c r="P63" i="1"/>
  <c r="S63" i="1"/>
  <c r="P64" i="1"/>
  <c r="S64" i="1"/>
  <c r="P65" i="1"/>
  <c r="Q65" i="1" s="1"/>
  <c r="S65" i="1"/>
  <c r="T65" i="1" s="1"/>
  <c r="P66" i="1"/>
  <c r="S66" i="1"/>
  <c r="P67" i="1"/>
  <c r="S67" i="1"/>
  <c r="P68" i="1"/>
  <c r="S68" i="1"/>
  <c r="P69" i="1"/>
  <c r="Q69" i="1" s="1"/>
  <c r="S69" i="1"/>
  <c r="T69" i="1" s="1"/>
  <c r="P70" i="1"/>
  <c r="S70" i="1"/>
  <c r="P71" i="1"/>
  <c r="S71" i="1"/>
  <c r="P72" i="1"/>
  <c r="S72" i="1"/>
  <c r="P73" i="1"/>
  <c r="Q73" i="1" s="1"/>
  <c r="S73" i="1"/>
  <c r="T73" i="1" s="1"/>
  <c r="P74" i="1"/>
  <c r="S74" i="1"/>
  <c r="P75" i="1"/>
  <c r="S75" i="1"/>
  <c r="P76" i="1"/>
  <c r="S76" i="1"/>
  <c r="P77" i="1"/>
  <c r="Q77" i="1" s="1"/>
  <c r="S77" i="1"/>
  <c r="T77" i="1" s="1"/>
  <c r="P78" i="1"/>
  <c r="S78" i="1"/>
  <c r="P79" i="1"/>
  <c r="S79" i="1"/>
  <c r="P80" i="1"/>
  <c r="S80" i="1"/>
  <c r="P81" i="1"/>
  <c r="Q81" i="1" s="1"/>
  <c r="S81" i="1"/>
  <c r="T81" i="1" s="1"/>
  <c r="P82" i="1"/>
  <c r="S82" i="1"/>
  <c r="P83" i="1"/>
  <c r="P84" i="1"/>
  <c r="S84" i="1"/>
  <c r="P85" i="1"/>
  <c r="S85" i="1"/>
  <c r="P86" i="1"/>
  <c r="Q86" i="1" s="1"/>
  <c r="S86" i="1"/>
  <c r="T86" i="1" s="1"/>
  <c r="P87" i="1"/>
  <c r="S87" i="1"/>
  <c r="P88" i="1"/>
  <c r="S88" i="1"/>
  <c r="P89" i="1"/>
  <c r="S89" i="1"/>
  <c r="P90" i="1"/>
  <c r="Q90" i="1" s="1"/>
  <c r="S90" i="1"/>
  <c r="T90" i="1" s="1"/>
  <c r="P91" i="1"/>
  <c r="S91" i="1"/>
  <c r="P92" i="1"/>
  <c r="S92" i="1"/>
  <c r="P93" i="1"/>
  <c r="S93" i="1"/>
  <c r="P94" i="1"/>
  <c r="Q94" i="1" s="1"/>
  <c r="S94" i="1"/>
  <c r="T94" i="1" s="1"/>
  <c r="P95" i="1"/>
  <c r="S95" i="1"/>
  <c r="P96" i="1"/>
  <c r="S96" i="1"/>
  <c r="P97" i="1"/>
  <c r="S97" i="1"/>
  <c r="P98" i="1"/>
  <c r="Q98" i="1" s="1"/>
  <c r="S98" i="1"/>
  <c r="T98" i="1" s="1"/>
  <c r="P99" i="1"/>
  <c r="S99" i="1"/>
  <c r="P100" i="1"/>
  <c r="S100" i="1"/>
  <c r="P101" i="1"/>
  <c r="S101" i="1"/>
  <c r="P102" i="1"/>
  <c r="Q102" i="1" s="1"/>
  <c r="S102" i="1"/>
  <c r="T102" i="1" s="1"/>
  <c r="P103" i="1"/>
  <c r="S103" i="1"/>
  <c r="P104" i="1"/>
  <c r="S104" i="1"/>
  <c r="P105" i="1"/>
  <c r="S105" i="1"/>
  <c r="P106" i="1"/>
  <c r="Q106" i="1" s="1"/>
  <c r="S106" i="1"/>
  <c r="T106" i="1" s="1"/>
  <c r="P107" i="1"/>
  <c r="S107" i="1"/>
  <c r="P108" i="1"/>
  <c r="S108" i="1"/>
  <c r="P109" i="1"/>
  <c r="S109" i="1"/>
  <c r="P110" i="1"/>
  <c r="Q110" i="1" s="1"/>
  <c r="S110" i="1"/>
  <c r="T110" i="1" s="1"/>
  <c r="P111" i="1"/>
  <c r="S111" i="1"/>
  <c r="P112" i="1"/>
  <c r="S112" i="1"/>
  <c r="P113" i="1"/>
  <c r="S113" i="1"/>
  <c r="P114" i="1"/>
  <c r="Q114" i="1" s="1"/>
  <c r="S114" i="1"/>
  <c r="T114" i="1" s="1"/>
  <c r="P115" i="1"/>
  <c r="S115" i="1"/>
  <c r="P116" i="1"/>
  <c r="S116" i="1"/>
  <c r="P117" i="1"/>
  <c r="S117" i="1"/>
  <c r="P118" i="1"/>
  <c r="Q118" i="1" s="1"/>
  <c r="S118" i="1"/>
  <c r="T118" i="1" s="1"/>
  <c r="P119" i="1"/>
  <c r="S119" i="1"/>
  <c r="P120" i="1"/>
  <c r="S120" i="1"/>
  <c r="P121" i="1"/>
  <c r="S121" i="1"/>
  <c r="P122" i="1"/>
  <c r="Q122" i="1" s="1"/>
  <c r="S122" i="1"/>
  <c r="T122" i="1" s="1"/>
  <c r="P123" i="1"/>
  <c r="S123" i="1"/>
  <c r="P124" i="1"/>
  <c r="S124" i="1"/>
  <c r="P125" i="1"/>
  <c r="S125" i="1"/>
  <c r="P126" i="1"/>
  <c r="Q126" i="1" s="1"/>
  <c r="S126" i="1"/>
  <c r="T126" i="1" s="1"/>
  <c r="P127" i="1"/>
  <c r="S127" i="1"/>
  <c r="P128" i="1"/>
  <c r="S128" i="1"/>
  <c r="P129" i="1"/>
  <c r="S129" i="1"/>
  <c r="P130" i="1"/>
  <c r="Q130" i="1" s="1"/>
  <c r="S130" i="1"/>
  <c r="T130" i="1" s="1"/>
  <c r="P131" i="1"/>
  <c r="S131" i="1"/>
  <c r="P132" i="1"/>
  <c r="S132" i="1"/>
  <c r="P133" i="1"/>
  <c r="S133" i="1"/>
  <c r="P134" i="1"/>
  <c r="Q134" i="1" s="1"/>
  <c r="S134" i="1"/>
  <c r="T134" i="1" s="1"/>
  <c r="P135" i="1"/>
  <c r="S135" i="1"/>
  <c r="P136" i="1"/>
  <c r="S136" i="1"/>
  <c r="P137" i="1"/>
  <c r="S137" i="1"/>
  <c r="P138" i="1"/>
  <c r="Q138" i="1" s="1"/>
  <c r="S138" i="1"/>
  <c r="T138" i="1" s="1"/>
  <c r="P139" i="1"/>
  <c r="S139" i="1"/>
  <c r="P140" i="1"/>
  <c r="S140" i="1"/>
  <c r="P141" i="1"/>
  <c r="S141" i="1"/>
  <c r="P142" i="1"/>
  <c r="Q142" i="1" s="1"/>
  <c r="S142" i="1"/>
  <c r="T142" i="1" s="1"/>
  <c r="P143" i="1"/>
  <c r="S143" i="1"/>
  <c r="P144" i="1"/>
  <c r="S144" i="1"/>
  <c r="P145" i="1"/>
  <c r="S145" i="1"/>
  <c r="P146" i="1"/>
  <c r="Q146" i="1" s="1"/>
  <c r="S146" i="1"/>
  <c r="T146" i="1" s="1"/>
  <c r="P147" i="1"/>
  <c r="S147" i="1"/>
  <c r="P148" i="1"/>
  <c r="S148" i="1"/>
  <c r="P149" i="1"/>
  <c r="S149" i="1"/>
  <c r="S150" i="1"/>
  <c r="P151" i="1"/>
  <c r="Q151" i="1" s="1"/>
  <c r="S151" i="1"/>
  <c r="T151" i="1" s="1"/>
  <c r="P152" i="1"/>
  <c r="S152" i="1"/>
  <c r="P153" i="1"/>
  <c r="S153" i="1"/>
  <c r="P154" i="1"/>
  <c r="S154" i="1"/>
  <c r="P155" i="1"/>
  <c r="Q155" i="1" s="1"/>
  <c r="S155" i="1"/>
  <c r="T155" i="1" s="1"/>
  <c r="P156" i="1"/>
  <c r="S156" i="1"/>
  <c r="P157" i="1"/>
  <c r="S157" i="1"/>
  <c r="P158" i="1"/>
  <c r="S158" i="1"/>
  <c r="P159" i="1"/>
  <c r="Q159" i="1" s="1"/>
  <c r="S159" i="1"/>
  <c r="T159" i="1" s="1"/>
  <c r="P160" i="1"/>
  <c r="S160" i="1"/>
  <c r="P161" i="1"/>
  <c r="S161" i="1"/>
  <c r="P162" i="1"/>
  <c r="S162" i="1"/>
  <c r="P163" i="1"/>
  <c r="Q163" i="1" s="1"/>
  <c r="S163" i="1"/>
  <c r="T163" i="1" s="1"/>
  <c r="P164" i="1"/>
  <c r="S164" i="1"/>
  <c r="P165" i="1"/>
  <c r="S165" i="1"/>
  <c r="P166" i="1"/>
  <c r="S166" i="1"/>
  <c r="P167" i="1"/>
  <c r="Q167" i="1" s="1"/>
  <c r="S167" i="1"/>
  <c r="T167" i="1" s="1"/>
  <c r="P168" i="1"/>
  <c r="S168" i="1"/>
  <c r="P169" i="1"/>
  <c r="S169" i="1"/>
  <c r="P170" i="1"/>
  <c r="S170" i="1"/>
  <c r="P171" i="1"/>
  <c r="Q171" i="1" s="1"/>
  <c r="S171" i="1"/>
  <c r="T171" i="1" s="1"/>
  <c r="P172" i="1"/>
  <c r="S172" i="1"/>
  <c r="P173" i="1"/>
  <c r="S173" i="1"/>
  <c r="P174" i="1"/>
  <c r="S174" i="1"/>
  <c r="P175" i="1"/>
  <c r="Q175" i="1" s="1"/>
  <c r="S175" i="1"/>
  <c r="T175" i="1" s="1"/>
  <c r="P176" i="1"/>
  <c r="S176" i="1"/>
  <c r="P177" i="1"/>
  <c r="S177" i="1"/>
  <c r="P178" i="1"/>
  <c r="S178" i="1"/>
  <c r="P179" i="1"/>
  <c r="Q179" i="1" s="1"/>
  <c r="S179" i="1"/>
  <c r="T179" i="1" s="1"/>
  <c r="P180" i="1"/>
  <c r="S180" i="1"/>
  <c r="P181" i="1"/>
  <c r="S181" i="1"/>
  <c r="P182" i="1"/>
  <c r="S182" i="1"/>
  <c r="P183" i="1"/>
  <c r="Q183" i="1" s="1"/>
  <c r="S183" i="1"/>
  <c r="T183" i="1" s="1"/>
  <c r="P184" i="1"/>
  <c r="S184" i="1"/>
  <c r="P185" i="1"/>
  <c r="S185" i="1"/>
  <c r="P186" i="1"/>
  <c r="S186" i="1"/>
  <c r="P187" i="1"/>
  <c r="Q187" i="1" s="1"/>
  <c r="S187" i="1"/>
  <c r="T187" i="1" s="1"/>
  <c r="P188" i="1"/>
  <c r="S188" i="1"/>
  <c r="P189" i="1"/>
  <c r="S189" i="1"/>
  <c r="P190" i="1"/>
  <c r="S190" i="1"/>
  <c r="P191" i="1"/>
  <c r="Q191" i="1" s="1"/>
  <c r="S191" i="1"/>
  <c r="T191" i="1" s="1"/>
  <c r="P192" i="1"/>
  <c r="S192" i="1"/>
  <c r="P193" i="1"/>
  <c r="S193" i="1"/>
  <c r="P194" i="1"/>
  <c r="S194" i="1"/>
  <c r="P195" i="1"/>
  <c r="Q195" i="1" s="1"/>
  <c r="S195" i="1"/>
  <c r="T195" i="1" s="1"/>
  <c r="P196" i="1"/>
  <c r="S196" i="1"/>
  <c r="P197" i="1"/>
  <c r="S197" i="1"/>
  <c r="P198" i="1"/>
  <c r="S198" i="1"/>
  <c r="P199" i="1"/>
  <c r="Q199" i="1" s="1"/>
  <c r="S199" i="1"/>
  <c r="T199" i="1" s="1"/>
  <c r="P200" i="1"/>
  <c r="S200" i="1"/>
  <c r="P201" i="1"/>
  <c r="S201" i="1"/>
  <c r="P202" i="1"/>
  <c r="S202" i="1"/>
  <c r="P203" i="1"/>
  <c r="Q203" i="1" s="1"/>
  <c r="S203" i="1"/>
  <c r="T203" i="1" s="1"/>
  <c r="P204" i="1"/>
  <c r="S204" i="1"/>
  <c r="P205" i="1"/>
  <c r="S205" i="1"/>
  <c r="P206" i="1"/>
  <c r="S206" i="1"/>
  <c r="P207" i="1"/>
  <c r="Q207" i="1" s="1"/>
  <c r="S207" i="1"/>
  <c r="T207" i="1" s="1"/>
  <c r="P208" i="1"/>
  <c r="S208" i="1"/>
  <c r="P209" i="1"/>
  <c r="S209" i="1"/>
  <c r="P210" i="1"/>
  <c r="S210" i="1"/>
  <c r="P211" i="1"/>
  <c r="Q211" i="1" s="1"/>
  <c r="S211" i="1"/>
  <c r="T211" i="1" s="1"/>
  <c r="P212" i="1"/>
  <c r="S212" i="1"/>
  <c r="P213" i="1"/>
  <c r="S213" i="1"/>
  <c r="P214" i="1"/>
  <c r="S214" i="1"/>
  <c r="P215" i="1"/>
  <c r="Q215" i="1" s="1"/>
  <c r="S215" i="1"/>
  <c r="T215" i="1" s="1"/>
  <c r="P216" i="1"/>
  <c r="S216" i="1"/>
  <c r="P217" i="1"/>
  <c r="S217" i="1"/>
  <c r="P218" i="1"/>
  <c r="S218" i="1"/>
  <c r="P219" i="1"/>
  <c r="Q219" i="1" s="1"/>
  <c r="S219" i="1"/>
  <c r="T219" i="1" s="1"/>
  <c r="P220" i="1"/>
  <c r="S220" i="1"/>
  <c r="P221" i="1"/>
  <c r="S221" i="1"/>
  <c r="P222" i="1"/>
  <c r="S222" i="1"/>
  <c r="P223" i="1"/>
  <c r="Q223" i="1" s="1"/>
  <c r="S223" i="1"/>
  <c r="T223" i="1" s="1"/>
  <c r="P224" i="1"/>
  <c r="S224" i="1"/>
  <c r="P225" i="1"/>
  <c r="S225" i="1"/>
  <c r="P226" i="1"/>
  <c r="S226" i="1"/>
  <c r="P227" i="1"/>
  <c r="Q227" i="1" s="1"/>
  <c r="S227" i="1"/>
  <c r="T227" i="1" s="1"/>
  <c r="P228" i="1"/>
  <c r="S228" i="1"/>
  <c r="P229" i="1"/>
  <c r="S229" i="1"/>
  <c r="P230" i="1"/>
  <c r="S230" i="1"/>
  <c r="P231" i="1"/>
  <c r="Q231" i="1" s="1"/>
  <c r="S231" i="1"/>
  <c r="T231" i="1" s="1"/>
  <c r="P232" i="1"/>
  <c r="S232" i="1"/>
  <c r="P233" i="1"/>
  <c r="S233" i="1"/>
  <c r="P234" i="1"/>
  <c r="S234" i="1"/>
  <c r="P235" i="1"/>
  <c r="Q235" i="1" s="1"/>
  <c r="S235" i="1"/>
  <c r="T235" i="1" s="1"/>
  <c r="P236" i="1"/>
  <c r="S236" i="1"/>
  <c r="P237" i="1"/>
  <c r="S237" i="1"/>
  <c r="P238" i="1"/>
  <c r="S238" i="1"/>
  <c r="P239" i="1"/>
  <c r="Q239" i="1" s="1"/>
  <c r="S239" i="1"/>
  <c r="T239" i="1" s="1"/>
  <c r="P240" i="1"/>
  <c r="S240" i="1"/>
  <c r="P241" i="1"/>
  <c r="S241" i="1"/>
  <c r="P242" i="1"/>
  <c r="S242" i="1"/>
  <c r="P243" i="1"/>
  <c r="Q243" i="1" s="1"/>
  <c r="S243" i="1"/>
  <c r="T243" i="1" s="1"/>
  <c r="P244" i="1"/>
  <c r="S244" i="1"/>
  <c r="P245" i="1"/>
  <c r="S245" i="1"/>
  <c r="P246" i="1"/>
  <c r="S246" i="1"/>
  <c r="P247" i="1"/>
  <c r="Q247" i="1" s="1"/>
  <c r="S247" i="1"/>
  <c r="T247" i="1" s="1"/>
  <c r="P248" i="1"/>
  <c r="S248" i="1"/>
  <c r="P249" i="1"/>
  <c r="S249" i="1"/>
  <c r="P250" i="1"/>
  <c r="S250" i="1"/>
  <c r="P251" i="1"/>
  <c r="Q251" i="1" s="1"/>
  <c r="S251" i="1"/>
  <c r="T251" i="1" s="1"/>
  <c r="P252" i="1"/>
  <c r="S252" i="1"/>
  <c r="P253" i="1"/>
  <c r="S253" i="1"/>
  <c r="P254" i="1"/>
  <c r="S254" i="1"/>
  <c r="P255" i="1"/>
  <c r="Q255" i="1" s="1"/>
  <c r="S255" i="1"/>
  <c r="T255" i="1" s="1"/>
  <c r="P256" i="1"/>
  <c r="S256" i="1"/>
  <c r="P257" i="1"/>
  <c r="S257" i="1"/>
  <c r="P258" i="1"/>
  <c r="S258" i="1"/>
  <c r="P259" i="1"/>
  <c r="Q259" i="1" s="1"/>
  <c r="S259" i="1"/>
  <c r="T259" i="1" s="1"/>
  <c r="P260" i="1"/>
  <c r="S260" i="1"/>
  <c r="P261" i="1"/>
  <c r="S261" i="1"/>
  <c r="P262" i="1"/>
  <c r="S262" i="1"/>
  <c r="P263" i="1"/>
  <c r="Q263" i="1" s="1"/>
  <c r="S263" i="1"/>
  <c r="T263" i="1" s="1"/>
  <c r="P264" i="1"/>
  <c r="S264" i="1"/>
  <c r="P265" i="1"/>
  <c r="S265" i="1"/>
  <c r="P266" i="1"/>
  <c r="S266" i="1"/>
  <c r="P267" i="1"/>
  <c r="Q267" i="1" s="1"/>
  <c r="S267" i="1"/>
  <c r="T267" i="1" s="1"/>
  <c r="P268" i="1"/>
  <c r="S268" i="1"/>
  <c r="P269" i="1"/>
  <c r="S269" i="1"/>
  <c r="P270" i="1"/>
  <c r="S270" i="1"/>
  <c r="P271" i="1"/>
  <c r="Q271" i="1" s="1"/>
  <c r="S271" i="1"/>
  <c r="T271" i="1" s="1"/>
  <c r="P272" i="1"/>
  <c r="S272" i="1"/>
  <c r="P273" i="1"/>
  <c r="S273" i="1"/>
  <c r="P274" i="1"/>
  <c r="S274" i="1"/>
  <c r="P275" i="1"/>
  <c r="Q275" i="1" s="1"/>
  <c r="S275" i="1"/>
  <c r="T275" i="1" s="1"/>
  <c r="P276" i="1"/>
  <c r="S276" i="1"/>
  <c r="P277" i="1"/>
  <c r="S277" i="1"/>
  <c r="P278" i="1"/>
  <c r="S278" i="1"/>
  <c r="P279" i="1"/>
  <c r="Q279" i="1" s="1"/>
  <c r="S279" i="1"/>
  <c r="T279" i="1" s="1"/>
  <c r="P280" i="1"/>
  <c r="S280" i="1"/>
  <c r="P281" i="1"/>
  <c r="S281" i="1"/>
  <c r="P282" i="1"/>
  <c r="S282" i="1"/>
  <c r="P283" i="1"/>
  <c r="Q283" i="1" s="1"/>
  <c r="S283" i="1"/>
  <c r="T283" i="1" s="1"/>
  <c r="P284" i="1"/>
  <c r="S284" i="1"/>
  <c r="P285" i="1"/>
  <c r="S285" i="1"/>
  <c r="P286" i="1"/>
  <c r="S286" i="1"/>
  <c r="P287" i="1"/>
  <c r="Q287" i="1" s="1"/>
  <c r="S287" i="1"/>
  <c r="T287" i="1" s="1"/>
  <c r="P288" i="1"/>
  <c r="S288" i="1"/>
  <c r="P289" i="1"/>
  <c r="S289" i="1"/>
  <c r="P290" i="1"/>
  <c r="S290" i="1"/>
  <c r="P291" i="1"/>
  <c r="Q291" i="1" s="1"/>
  <c r="S291" i="1"/>
  <c r="T291" i="1" s="1"/>
  <c r="P292" i="1"/>
  <c r="S292" i="1"/>
  <c r="P293" i="1"/>
  <c r="S293" i="1"/>
  <c r="P294" i="1"/>
  <c r="S294" i="1"/>
  <c r="P295" i="1"/>
  <c r="Q295" i="1" s="1"/>
  <c r="S295" i="1"/>
  <c r="T295" i="1" s="1"/>
  <c r="P296" i="1"/>
  <c r="S296" i="1"/>
  <c r="P297" i="1"/>
  <c r="S297" i="1"/>
  <c r="P298" i="1"/>
  <c r="S298" i="1"/>
  <c r="P299" i="1"/>
  <c r="Q299" i="1" s="1"/>
  <c r="S299" i="1"/>
  <c r="T299" i="1" s="1"/>
  <c r="P300" i="1"/>
  <c r="S300" i="1"/>
  <c r="P301" i="1"/>
  <c r="S301" i="1"/>
  <c r="P302" i="1"/>
  <c r="S302" i="1"/>
  <c r="P303" i="1"/>
  <c r="Q303" i="1" s="1"/>
  <c r="S303" i="1"/>
  <c r="T303" i="1" s="1"/>
  <c r="P304" i="1"/>
  <c r="S304" i="1"/>
  <c r="P305" i="1"/>
  <c r="S305" i="1"/>
  <c r="P306" i="1"/>
  <c r="S306" i="1"/>
  <c r="P307" i="1"/>
  <c r="Q307" i="1" s="1"/>
  <c r="S307" i="1"/>
  <c r="T307" i="1" s="1"/>
  <c r="P308" i="1"/>
  <c r="S308" i="1"/>
  <c r="P309" i="1"/>
  <c r="S309" i="1"/>
  <c r="P310" i="1"/>
  <c r="S310" i="1"/>
  <c r="P311" i="1"/>
  <c r="Q311" i="1" s="1"/>
  <c r="S311" i="1"/>
  <c r="T311" i="1" s="1"/>
  <c r="P312" i="1"/>
  <c r="S312" i="1"/>
  <c r="P313" i="1"/>
  <c r="S313" i="1"/>
  <c r="P314" i="1"/>
  <c r="S314" i="1"/>
  <c r="P315" i="1"/>
  <c r="Q315" i="1" s="1"/>
  <c r="S315" i="1"/>
  <c r="T315" i="1" s="1"/>
  <c r="P316" i="1"/>
  <c r="S316" i="1"/>
  <c r="P317" i="1"/>
  <c r="S317" i="1"/>
  <c r="P318" i="1"/>
  <c r="S318" i="1"/>
  <c r="P319" i="1"/>
  <c r="Q319" i="1" s="1"/>
  <c r="S319" i="1"/>
  <c r="T319" i="1" s="1"/>
  <c r="P320" i="1"/>
  <c r="S320" i="1"/>
  <c r="P321" i="1"/>
  <c r="S321" i="1"/>
  <c r="P322" i="1"/>
  <c r="S322" i="1"/>
  <c r="P323" i="1"/>
  <c r="Q323" i="1" s="1"/>
  <c r="S323" i="1"/>
  <c r="T323" i="1" s="1"/>
  <c r="P324" i="1"/>
  <c r="S324" i="1"/>
  <c r="P325" i="1"/>
  <c r="S325" i="1"/>
  <c r="P326" i="1"/>
  <c r="S326" i="1"/>
  <c r="P327" i="1"/>
  <c r="Q327" i="1" s="1"/>
  <c r="S327" i="1"/>
  <c r="T327" i="1" s="1"/>
  <c r="P328" i="1"/>
  <c r="S328" i="1"/>
  <c r="P329" i="1"/>
  <c r="S329" i="1"/>
  <c r="P330" i="1"/>
  <c r="S330" i="1"/>
  <c r="P331" i="1"/>
  <c r="Q331" i="1" s="1"/>
  <c r="S331" i="1"/>
  <c r="T331" i="1" s="1"/>
  <c r="P332" i="1"/>
  <c r="S332" i="1"/>
  <c r="T332" i="1" s="1"/>
  <c r="P333" i="1"/>
  <c r="S333" i="1"/>
  <c r="P334" i="1"/>
  <c r="S334" i="1"/>
  <c r="P335" i="1"/>
  <c r="Q335" i="1" s="1"/>
  <c r="S335" i="1"/>
  <c r="T335" i="1" s="1"/>
  <c r="P336" i="1"/>
  <c r="S336" i="1"/>
  <c r="T336" i="1" s="1"/>
  <c r="P337" i="1"/>
  <c r="S337" i="1"/>
  <c r="P338" i="1"/>
  <c r="S338" i="1"/>
  <c r="P339" i="1"/>
  <c r="Q339" i="1" s="1"/>
  <c r="S339" i="1"/>
  <c r="T339" i="1" s="1"/>
  <c r="P340" i="1"/>
  <c r="S340" i="1"/>
  <c r="T340" i="1" s="1"/>
  <c r="P341" i="1"/>
  <c r="S341" i="1"/>
  <c r="P342" i="1"/>
  <c r="S342" i="1"/>
  <c r="P343" i="1"/>
  <c r="Q343" i="1" s="1"/>
  <c r="S343" i="1"/>
  <c r="T343" i="1" s="1"/>
  <c r="P344" i="1"/>
  <c r="S344" i="1"/>
  <c r="T344" i="1" s="1"/>
  <c r="P345" i="1"/>
  <c r="S345" i="1"/>
  <c r="P346" i="1"/>
  <c r="S346" i="1"/>
  <c r="P347" i="1"/>
  <c r="Q347" i="1" s="1"/>
  <c r="S347" i="1"/>
  <c r="T347" i="1" s="1"/>
  <c r="P348" i="1"/>
  <c r="S348" i="1"/>
  <c r="T348" i="1" s="1"/>
  <c r="P349" i="1"/>
  <c r="S349" i="1"/>
  <c r="P350" i="1"/>
  <c r="S350" i="1"/>
  <c r="P351" i="1"/>
  <c r="Q351" i="1" s="1"/>
  <c r="S351" i="1"/>
  <c r="T351" i="1" s="1"/>
  <c r="P352" i="1"/>
  <c r="S352" i="1"/>
  <c r="T352" i="1" s="1"/>
  <c r="P353" i="1"/>
  <c r="S353" i="1"/>
  <c r="P354" i="1"/>
  <c r="S354" i="1"/>
  <c r="P355" i="1"/>
  <c r="Q355" i="1" s="1"/>
  <c r="S355" i="1"/>
  <c r="T355" i="1" s="1"/>
  <c r="P356" i="1"/>
  <c r="S356" i="1"/>
  <c r="T356" i="1" s="1"/>
  <c r="P357" i="1"/>
  <c r="S357" i="1"/>
  <c r="P358" i="1"/>
  <c r="S358" i="1"/>
  <c r="P359" i="1"/>
  <c r="Q359" i="1" s="1"/>
  <c r="S359" i="1"/>
  <c r="T359" i="1" s="1"/>
  <c r="P360" i="1"/>
  <c r="S360" i="1"/>
  <c r="T360" i="1" s="1"/>
  <c r="P361" i="1"/>
  <c r="S361" i="1"/>
  <c r="P362" i="1"/>
  <c r="S362" i="1"/>
  <c r="P363" i="1"/>
  <c r="Q363" i="1" s="1"/>
  <c r="S363" i="1"/>
  <c r="T363" i="1" s="1"/>
  <c r="P364" i="1"/>
  <c r="S364" i="1"/>
  <c r="T364" i="1" s="1"/>
  <c r="P365" i="1"/>
  <c r="S365" i="1"/>
  <c r="P366" i="1"/>
  <c r="S366" i="1"/>
  <c r="P367" i="1"/>
  <c r="Q367" i="1" s="1"/>
  <c r="S367" i="1"/>
  <c r="T367" i="1" s="1"/>
  <c r="CD11" i="1"/>
  <c r="CE11" i="1" s="1"/>
  <c r="CD16" i="1"/>
  <c r="CE16" i="1" s="1"/>
  <c r="CD17" i="1"/>
  <c r="CD18" i="1"/>
  <c r="CE18" i="1" s="1"/>
  <c r="CD19" i="1"/>
  <c r="CE19" i="1" s="1"/>
  <c r="CD20" i="1"/>
  <c r="CE20" i="1" s="1"/>
  <c r="CD23" i="1"/>
  <c r="CE23" i="1" s="1"/>
  <c r="CD25" i="1"/>
  <c r="CD26" i="1"/>
  <c r="CE26" i="1" s="1"/>
  <c r="CD27" i="1"/>
  <c r="CE27" i="1" s="1"/>
  <c r="CD30" i="1"/>
  <c r="CE30" i="1" s="1"/>
  <c r="CD31" i="1"/>
  <c r="CE31" i="1" s="1"/>
  <c r="CD32" i="1"/>
  <c r="CE32" i="1" s="1"/>
  <c r="CD36" i="1"/>
  <c r="CE36" i="1" s="1"/>
  <c r="CD37" i="1"/>
  <c r="CD38" i="1"/>
  <c r="CE38" i="1" s="1"/>
  <c r="CD39" i="1"/>
  <c r="CE39" i="1" s="1"/>
  <c r="CD40" i="1"/>
  <c r="CE40" i="1" s="1"/>
  <c r="CD44" i="1"/>
  <c r="CE44" i="1" s="1"/>
  <c r="CD45" i="1"/>
  <c r="CD48" i="1"/>
  <c r="CE48" i="1" s="1"/>
  <c r="CD49" i="1"/>
  <c r="CE49" i="1" s="1"/>
  <c r="CD50" i="1"/>
  <c r="CE50" i="1" s="1"/>
  <c r="CD51" i="1"/>
  <c r="CE51" i="1" s="1"/>
  <c r="CD52" i="1"/>
  <c r="CE52" i="1" s="1"/>
  <c r="CD56" i="1"/>
  <c r="CE56" i="1" s="1"/>
  <c r="CD57" i="1"/>
  <c r="CD58" i="1"/>
  <c r="CE58" i="1" s="1"/>
  <c r="CD59" i="1"/>
  <c r="CE59" i="1" s="1"/>
  <c r="CD60" i="1"/>
  <c r="CE60" i="1" s="1"/>
  <c r="CD63" i="1"/>
  <c r="CE63" i="1" s="1"/>
  <c r="CD64" i="1"/>
  <c r="CE64" i="1" s="1"/>
  <c r="CD65" i="1"/>
  <c r="CD66" i="1"/>
  <c r="CE66" i="1" s="1"/>
  <c r="CD67" i="1"/>
  <c r="CE67" i="1" s="1"/>
  <c r="CD70" i="1"/>
  <c r="CE70" i="1" s="1"/>
  <c r="CD71" i="1"/>
  <c r="CE71" i="1" s="1"/>
  <c r="CD72" i="1"/>
  <c r="CE72" i="1" s="1"/>
  <c r="CD73" i="1"/>
  <c r="CD74" i="1"/>
  <c r="CE74" i="1" s="1"/>
  <c r="CD78" i="1"/>
  <c r="CE78" i="1" s="1"/>
  <c r="CD79" i="1"/>
  <c r="CE79" i="1" s="1"/>
  <c r="CD82" i="1"/>
  <c r="CE82" i="1" s="1"/>
  <c r="CD83" i="1"/>
  <c r="CE83" i="1" s="1"/>
  <c r="CD84" i="1"/>
  <c r="CE84" i="1" s="1"/>
  <c r="CD85" i="1"/>
  <c r="CE85" i="1" s="1"/>
  <c r="CD86" i="1"/>
  <c r="CE86" i="1" s="1"/>
  <c r="CD90" i="1"/>
  <c r="CE90" i="1" s="1"/>
  <c r="CD91" i="1"/>
  <c r="CE91" i="1" s="1"/>
  <c r="CD92" i="1"/>
  <c r="CE92" i="1" s="1"/>
  <c r="CD96" i="1"/>
  <c r="CE96" i="1" s="1"/>
  <c r="CD97" i="1"/>
  <c r="CD98" i="1"/>
  <c r="CE98" i="1" s="1"/>
  <c r="CD99" i="1"/>
  <c r="CE99" i="1" s="1"/>
  <c r="CD100" i="1"/>
  <c r="CE100" i="1" s="1"/>
  <c r="CD104" i="1"/>
  <c r="CE104" i="1" s="1"/>
  <c r="CD105" i="1"/>
  <c r="CD106" i="1"/>
  <c r="CE106" i="1" s="1"/>
  <c r="CD107" i="1"/>
  <c r="CE107" i="1" s="1"/>
  <c r="CD108" i="1"/>
  <c r="CE108" i="1" s="1"/>
  <c r="CD112" i="1"/>
  <c r="CE112" i="1" s="1"/>
  <c r="CD113" i="1"/>
  <c r="CE113" i="1" s="1"/>
  <c r="CD114" i="1"/>
  <c r="CE114" i="1" s="1"/>
  <c r="CD115" i="1"/>
  <c r="CE115" i="1" s="1"/>
  <c r="CD117" i="1"/>
  <c r="CD118" i="1"/>
  <c r="CE118" i="1" s="1"/>
  <c r="CD119" i="1"/>
  <c r="CE119" i="1" s="1"/>
  <c r="CD120" i="1"/>
  <c r="CE120" i="1" s="1"/>
  <c r="CD121" i="1"/>
  <c r="CD123" i="1"/>
  <c r="CE123" i="1" s="1"/>
  <c r="CD124" i="1"/>
  <c r="CE124" i="1" s="1"/>
  <c r="CD125" i="1"/>
  <c r="CD126" i="1"/>
  <c r="CE126" i="1" s="1"/>
  <c r="CD127" i="1"/>
  <c r="CE127" i="1" s="1"/>
  <c r="CD130" i="1"/>
  <c r="CE130" i="1" s="1"/>
  <c r="CD131" i="1"/>
  <c r="CE131" i="1" s="1"/>
  <c r="CD132" i="1"/>
  <c r="CE132" i="1" s="1"/>
  <c r="CD133" i="1"/>
  <c r="CE133" i="1" s="1"/>
  <c r="CD137" i="1"/>
  <c r="CD138" i="1"/>
  <c r="CE138" i="1" s="1"/>
  <c r="CD139" i="1"/>
  <c r="CE139" i="1" s="1"/>
  <c r="CD140" i="1"/>
  <c r="CE140" i="1" s="1"/>
  <c r="CD141" i="1"/>
  <c r="CD145" i="1"/>
  <c r="CD146" i="1"/>
  <c r="CE146" i="1" s="1"/>
  <c r="CD147" i="1"/>
  <c r="CE147" i="1" s="1"/>
  <c r="CD148" i="1"/>
  <c r="CE148" i="1" s="1"/>
  <c r="CD149" i="1"/>
  <c r="CD153" i="1"/>
  <c r="CD155" i="1"/>
  <c r="CE155" i="1" s="1"/>
  <c r="CD156" i="1"/>
  <c r="CE156" i="1" s="1"/>
  <c r="CD157" i="1"/>
  <c r="CD161" i="1"/>
  <c r="CD162" i="1"/>
  <c r="CE162" i="1" s="1"/>
  <c r="CD163" i="1"/>
  <c r="CE163" i="1" s="1"/>
  <c r="CD164" i="1"/>
  <c r="CE164" i="1" s="1"/>
  <c r="CD165" i="1"/>
  <c r="CD169" i="1"/>
  <c r="CE169" i="1" s="1"/>
  <c r="CD170" i="1"/>
  <c r="CE170" i="1" s="1"/>
  <c r="CD171" i="1"/>
  <c r="CE171" i="1" s="1"/>
  <c r="CD172" i="1"/>
  <c r="CE172" i="1" s="1"/>
  <c r="CD173" i="1"/>
  <c r="CE173" i="1" s="1"/>
  <c r="CD177" i="1"/>
  <c r="CD184" i="1"/>
  <c r="CE184" i="1" s="1"/>
  <c r="CD187" i="1"/>
  <c r="CE187" i="1" s="1"/>
  <c r="CD188" i="1"/>
  <c r="CE188" i="1" s="1"/>
  <c r="CD189" i="1"/>
  <c r="CD191" i="1"/>
  <c r="CE191" i="1" s="1"/>
  <c r="CD193" i="1"/>
  <c r="CD195" i="1"/>
  <c r="CE195" i="1" s="1"/>
  <c r="CD198" i="1"/>
  <c r="CE198" i="1" s="1"/>
  <c r="CD200" i="1"/>
  <c r="CE200" i="1" s="1"/>
  <c r="CD202" i="1"/>
  <c r="CE202" i="1" s="1"/>
  <c r="CD206" i="1"/>
  <c r="CE206" i="1" s="1"/>
  <c r="CD210" i="1"/>
  <c r="CE210" i="1" s="1"/>
  <c r="CD214" i="1"/>
  <c r="CE214" i="1" s="1"/>
  <c r="CD215" i="1"/>
  <c r="CE215" i="1" s="1"/>
  <c r="CD217" i="1"/>
  <c r="CE217" i="1" s="1"/>
  <c r="CD221" i="1"/>
  <c r="CD225" i="1"/>
  <c r="CD226" i="1"/>
  <c r="CE226" i="1" s="1"/>
  <c r="CD229" i="1"/>
  <c r="CE229" i="1" s="1"/>
  <c r="CD232" i="1"/>
  <c r="CE232" i="1" s="1"/>
  <c r="CD235" i="1"/>
  <c r="CE235" i="1" s="1"/>
  <c r="CD237" i="1"/>
  <c r="CD238" i="1"/>
  <c r="CE238" i="1" s="1"/>
  <c r="CD239" i="1"/>
  <c r="CE239" i="1" s="1"/>
  <c r="CD243" i="1"/>
  <c r="CE243" i="1" s="1"/>
  <c r="CD244" i="1"/>
  <c r="CE244" i="1" s="1"/>
  <c r="CD245" i="1"/>
  <c r="CE245" i="1" s="1"/>
  <c r="CD246" i="1"/>
  <c r="CE246" i="1" s="1"/>
  <c r="CD247" i="1"/>
  <c r="CE247" i="1" s="1"/>
  <c r="CD248" i="1"/>
  <c r="CE248" i="1" s="1"/>
  <c r="CD251" i="1"/>
  <c r="CE251" i="1" s="1"/>
  <c r="CD255" i="1"/>
  <c r="CE255" i="1" s="1"/>
  <c r="CD261" i="1"/>
  <c r="CD265" i="1"/>
  <c r="CD269" i="1"/>
  <c r="CE269" i="1" s="1"/>
  <c r="CD272" i="1"/>
  <c r="CE272" i="1" s="1"/>
  <c r="CD273" i="1"/>
  <c r="CD274" i="1"/>
  <c r="CE274" i="1" s="1"/>
  <c r="CD275" i="1"/>
  <c r="CE275" i="1" s="1"/>
  <c r="CD276" i="1"/>
  <c r="CE276" i="1" s="1"/>
  <c r="CD278" i="1"/>
  <c r="CE278" i="1" s="1"/>
  <c r="CD279" i="1"/>
  <c r="CE279" i="1" s="1"/>
  <c r="CD282" i="1"/>
  <c r="CE282" i="1" s="1"/>
  <c r="CD283" i="1"/>
  <c r="CE283" i="1" s="1"/>
  <c r="CD285" i="1"/>
  <c r="CD286" i="1"/>
  <c r="CE286" i="1" s="1"/>
  <c r="CD288" i="1"/>
  <c r="CE288" i="1" s="1"/>
  <c r="CD290" i="1"/>
  <c r="CE290" i="1" s="1"/>
  <c r="CD292" i="1"/>
  <c r="CE292" i="1" s="1"/>
  <c r="CD294" i="1"/>
  <c r="CE294" i="1" s="1"/>
  <c r="CD298" i="1"/>
  <c r="CE298" i="1" s="1"/>
  <c r="CD302" i="1"/>
  <c r="CE302" i="1" s="1"/>
  <c r="CD305" i="1"/>
  <c r="CD309" i="1"/>
  <c r="CD313" i="1"/>
  <c r="CE313" i="1" s="1"/>
  <c r="CD314" i="1"/>
  <c r="CE314" i="1" s="1"/>
  <c r="CD315" i="1"/>
  <c r="CE315" i="1" s="1"/>
  <c r="CD316" i="1"/>
  <c r="CE316" i="1" s="1"/>
  <c r="CD317" i="1"/>
  <c r="CE317" i="1" s="1"/>
  <c r="CD319" i="1"/>
  <c r="CE319" i="1" s="1"/>
  <c r="CD321" i="1"/>
  <c r="CD325" i="1"/>
  <c r="CD327" i="1"/>
  <c r="CE327" i="1" s="1"/>
  <c r="CD328" i="1"/>
  <c r="CE328" i="1" s="1"/>
  <c r="CD329" i="1"/>
  <c r="CD331" i="1"/>
  <c r="CE331" i="1" s="1"/>
  <c r="CD333" i="1"/>
  <c r="CE333" i="1" s="1"/>
  <c r="CD337" i="1"/>
  <c r="CD341" i="1"/>
  <c r="CD349" i="1"/>
  <c r="CD352" i="1"/>
  <c r="CE352" i="1" s="1"/>
  <c r="CD353" i="1"/>
  <c r="CD354" i="1"/>
  <c r="CE354" i="1" s="1"/>
  <c r="CD357" i="1"/>
  <c r="CD361" i="1"/>
  <c r="CE361" i="1" s="1"/>
  <c r="CD363" i="1"/>
  <c r="CE363" i="1" s="1"/>
  <c r="CD365" i="1"/>
  <c r="AB10" i="1"/>
  <c r="AB11" i="1"/>
  <c r="AC11" i="1" s="1"/>
  <c r="AB12" i="1"/>
  <c r="AB13" i="1"/>
  <c r="AC13" i="1" s="1"/>
  <c r="AB14" i="1"/>
  <c r="AC14" i="1" s="1"/>
  <c r="AB15" i="1"/>
  <c r="AB16" i="1"/>
  <c r="AB17" i="1"/>
  <c r="AC17" i="1" s="1"/>
  <c r="AB18" i="1"/>
  <c r="AC18" i="1" s="1"/>
  <c r="AB19" i="1"/>
  <c r="AC19" i="1" s="1"/>
  <c r="AB20" i="1"/>
  <c r="AB21" i="1"/>
  <c r="AC21" i="1" s="1"/>
  <c r="AB22" i="1"/>
  <c r="AC22" i="1" s="1"/>
  <c r="AB23" i="1"/>
  <c r="AC23" i="1" s="1"/>
  <c r="AB24" i="1"/>
  <c r="AB25" i="1"/>
  <c r="AC25" i="1" s="1"/>
  <c r="AB26" i="1"/>
  <c r="AC26" i="1" s="1"/>
  <c r="AB27" i="1"/>
  <c r="AC27" i="1" s="1"/>
  <c r="AB28" i="1"/>
  <c r="AB29" i="1"/>
  <c r="AC29" i="1" s="1"/>
  <c r="AB30" i="1"/>
  <c r="AC30" i="1" s="1"/>
  <c r="AB31" i="1"/>
  <c r="AC31" i="1" s="1"/>
  <c r="AB32" i="1"/>
  <c r="AB33" i="1"/>
  <c r="AC33" i="1" s="1"/>
  <c r="AB34" i="1"/>
  <c r="AC34" i="1" s="1"/>
  <c r="AB35" i="1"/>
  <c r="AC35" i="1" s="1"/>
  <c r="AB36" i="1"/>
  <c r="AB37" i="1"/>
  <c r="AC37" i="1" s="1"/>
  <c r="AB38" i="1"/>
  <c r="AC38" i="1" s="1"/>
  <c r="AB39" i="1"/>
  <c r="AC39" i="1" s="1"/>
  <c r="AB40" i="1"/>
  <c r="AB41" i="1"/>
  <c r="AC41" i="1" s="1"/>
  <c r="AB42" i="1"/>
  <c r="AC42" i="1" s="1"/>
  <c r="AB43" i="1"/>
  <c r="AC43" i="1" s="1"/>
  <c r="AB44" i="1"/>
  <c r="AB45" i="1"/>
  <c r="AC45" i="1" s="1"/>
  <c r="AB46" i="1"/>
  <c r="AC46" i="1" s="1"/>
  <c r="AB47" i="1"/>
  <c r="AC47" i="1" s="1"/>
  <c r="AB48" i="1"/>
  <c r="AB49" i="1"/>
  <c r="AC49" i="1" s="1"/>
  <c r="AB50" i="1"/>
  <c r="AC50" i="1" s="1"/>
  <c r="AB51" i="1"/>
  <c r="AC51" i="1" s="1"/>
  <c r="AB52" i="1"/>
  <c r="AB53" i="1"/>
  <c r="AC53" i="1" s="1"/>
  <c r="AB54" i="1"/>
  <c r="AC54" i="1" s="1"/>
  <c r="AB55" i="1"/>
  <c r="AC55" i="1" s="1"/>
  <c r="AB56" i="1"/>
  <c r="AB57" i="1"/>
  <c r="AC57" i="1" s="1"/>
  <c r="AB58" i="1"/>
  <c r="AC58" i="1" s="1"/>
  <c r="AB59" i="1"/>
  <c r="AC59" i="1" s="1"/>
  <c r="AB60" i="1"/>
  <c r="AB61" i="1"/>
  <c r="AC61" i="1" s="1"/>
  <c r="AB62" i="1"/>
  <c r="AC62" i="1" s="1"/>
  <c r="AB63" i="1"/>
  <c r="AC63" i="1" s="1"/>
  <c r="AB64" i="1"/>
  <c r="AB65" i="1"/>
  <c r="AC65" i="1" s="1"/>
  <c r="AB66" i="1"/>
  <c r="AC66" i="1" s="1"/>
  <c r="AB67" i="1"/>
  <c r="AC67" i="1" s="1"/>
  <c r="AB68" i="1"/>
  <c r="AB69" i="1"/>
  <c r="AC69" i="1" s="1"/>
  <c r="AB70" i="1"/>
  <c r="AC70" i="1" s="1"/>
  <c r="AB71" i="1"/>
  <c r="AC71" i="1" s="1"/>
  <c r="AB72" i="1"/>
  <c r="AB73" i="1"/>
  <c r="AC73" i="1" s="1"/>
  <c r="AB74" i="1"/>
  <c r="AC74" i="1" s="1"/>
  <c r="AB75" i="1"/>
  <c r="AC75" i="1" s="1"/>
  <c r="AB76" i="1"/>
  <c r="AB77" i="1"/>
  <c r="AC77" i="1" s="1"/>
  <c r="AB78" i="1"/>
  <c r="AC78" i="1" s="1"/>
  <c r="AB79" i="1"/>
  <c r="AC79" i="1" s="1"/>
  <c r="AB80" i="1"/>
  <c r="AB81" i="1"/>
  <c r="AC81" i="1" s="1"/>
  <c r="AB82" i="1"/>
  <c r="AC82" i="1" s="1"/>
  <c r="AB83" i="1"/>
  <c r="AC83" i="1" s="1"/>
  <c r="AB84" i="1"/>
  <c r="AB85" i="1"/>
  <c r="AC85" i="1" s="1"/>
  <c r="AB86" i="1"/>
  <c r="AC86" i="1" s="1"/>
  <c r="AB87" i="1"/>
  <c r="AC87" i="1" s="1"/>
  <c r="AB88" i="1"/>
  <c r="AB89" i="1"/>
  <c r="AC89" i="1" s="1"/>
  <c r="AB90" i="1"/>
  <c r="AC90" i="1" s="1"/>
  <c r="AB91" i="1"/>
  <c r="AC91" i="1" s="1"/>
  <c r="AB92" i="1"/>
  <c r="AB93" i="1"/>
  <c r="AC93" i="1" s="1"/>
  <c r="AB94" i="1"/>
  <c r="AC94" i="1" s="1"/>
  <c r="AB95" i="1"/>
  <c r="AC95" i="1" s="1"/>
  <c r="AB96" i="1"/>
  <c r="AB97" i="1"/>
  <c r="AC97" i="1" s="1"/>
  <c r="AB98" i="1"/>
  <c r="AC98" i="1" s="1"/>
  <c r="AB99" i="1"/>
  <c r="AC99" i="1" s="1"/>
  <c r="AB100" i="1"/>
  <c r="AB101" i="1"/>
  <c r="AC101" i="1" s="1"/>
  <c r="AB102" i="1"/>
  <c r="AC102" i="1" s="1"/>
  <c r="AB103" i="1"/>
  <c r="AC103" i="1" s="1"/>
  <c r="AB104" i="1"/>
  <c r="AB105" i="1"/>
  <c r="AC105" i="1" s="1"/>
  <c r="AB106" i="1"/>
  <c r="AC106" i="1" s="1"/>
  <c r="AB107" i="1"/>
  <c r="AC107" i="1" s="1"/>
  <c r="AB108" i="1"/>
  <c r="AB109" i="1"/>
  <c r="AC109" i="1" s="1"/>
  <c r="AB110" i="1"/>
  <c r="AC110" i="1" s="1"/>
  <c r="AB111" i="1"/>
  <c r="AC111" i="1" s="1"/>
  <c r="AB112" i="1"/>
  <c r="AB113" i="1"/>
  <c r="AC113" i="1" s="1"/>
  <c r="AB114" i="1"/>
  <c r="AC114" i="1" s="1"/>
  <c r="AB115" i="1"/>
  <c r="AC115" i="1" s="1"/>
  <c r="AB116" i="1"/>
  <c r="AB117" i="1"/>
  <c r="AC117" i="1" s="1"/>
  <c r="AB118" i="1"/>
  <c r="AC118" i="1" s="1"/>
  <c r="AB119" i="1"/>
  <c r="AC119" i="1" s="1"/>
  <c r="AB120" i="1"/>
  <c r="AB121" i="1"/>
  <c r="AC121" i="1" s="1"/>
  <c r="AB122" i="1"/>
  <c r="AC122" i="1" s="1"/>
  <c r="AB123" i="1"/>
  <c r="AC123" i="1" s="1"/>
  <c r="AB124" i="1"/>
  <c r="AB125" i="1"/>
  <c r="AC125" i="1" s="1"/>
  <c r="AB126" i="1"/>
  <c r="AC126" i="1" s="1"/>
  <c r="AB127" i="1"/>
  <c r="AC127" i="1" s="1"/>
  <c r="AB128" i="1"/>
  <c r="AB129" i="1"/>
  <c r="AC129" i="1" s="1"/>
  <c r="AB130" i="1"/>
  <c r="AC130" i="1" s="1"/>
  <c r="AB131" i="1"/>
  <c r="AC131" i="1" s="1"/>
  <c r="AB132" i="1"/>
  <c r="AB133" i="1"/>
  <c r="AC133" i="1" s="1"/>
  <c r="AB134" i="1"/>
  <c r="AC134" i="1" s="1"/>
  <c r="AB135" i="1"/>
  <c r="AC135" i="1" s="1"/>
  <c r="AB136" i="1"/>
  <c r="AB137" i="1"/>
  <c r="AC137" i="1" s="1"/>
  <c r="AB138" i="1"/>
  <c r="AC138" i="1" s="1"/>
  <c r="AB139" i="1"/>
  <c r="AC139" i="1" s="1"/>
  <c r="AB140" i="1"/>
  <c r="AB141" i="1"/>
  <c r="AC141" i="1" s="1"/>
  <c r="AB142" i="1"/>
  <c r="AC142" i="1" s="1"/>
  <c r="AB143" i="1"/>
  <c r="AC143" i="1" s="1"/>
  <c r="AB144" i="1"/>
  <c r="AB145" i="1"/>
  <c r="AC145" i="1" s="1"/>
  <c r="AB146" i="1"/>
  <c r="AC146" i="1" s="1"/>
  <c r="AB147" i="1"/>
  <c r="AC147" i="1" s="1"/>
  <c r="AB148" i="1"/>
  <c r="AB149" i="1"/>
  <c r="AC149" i="1" s="1"/>
  <c r="AB150" i="1"/>
  <c r="AC150" i="1" s="1"/>
  <c r="AB151" i="1"/>
  <c r="AC151" i="1" s="1"/>
  <c r="AB152" i="1"/>
  <c r="AB153" i="1"/>
  <c r="AC153" i="1" s="1"/>
  <c r="AB154" i="1"/>
  <c r="AC154" i="1" s="1"/>
  <c r="AB155" i="1"/>
  <c r="AC155" i="1" s="1"/>
  <c r="AB156" i="1"/>
  <c r="AB157" i="1"/>
  <c r="AC157" i="1" s="1"/>
  <c r="AB158" i="1"/>
  <c r="AC158" i="1" s="1"/>
  <c r="AB159" i="1"/>
  <c r="AC159" i="1" s="1"/>
  <c r="AB160" i="1"/>
  <c r="AB161" i="1"/>
  <c r="AC161" i="1" s="1"/>
  <c r="AB162" i="1"/>
  <c r="AC162" i="1" s="1"/>
  <c r="AB163" i="1"/>
  <c r="AC163" i="1" s="1"/>
  <c r="AB164" i="1"/>
  <c r="AB165" i="1"/>
  <c r="AC165" i="1" s="1"/>
  <c r="AB166" i="1"/>
  <c r="AC166" i="1" s="1"/>
  <c r="AB167" i="1"/>
  <c r="AC167" i="1" s="1"/>
  <c r="AB168" i="1"/>
  <c r="AB169" i="1"/>
  <c r="AC169" i="1" s="1"/>
  <c r="AB170" i="1"/>
  <c r="AC170" i="1" s="1"/>
  <c r="AB171" i="1"/>
  <c r="AC171" i="1" s="1"/>
  <c r="AB172" i="1"/>
  <c r="AB173" i="1"/>
  <c r="AC173" i="1" s="1"/>
  <c r="AB174" i="1"/>
  <c r="AC174" i="1" s="1"/>
  <c r="AB175" i="1"/>
  <c r="AC175" i="1" s="1"/>
  <c r="AB176" i="1"/>
  <c r="AB177" i="1"/>
  <c r="AC177" i="1" s="1"/>
  <c r="AB178" i="1"/>
  <c r="AC178" i="1" s="1"/>
  <c r="AB179" i="1"/>
  <c r="AC179" i="1" s="1"/>
  <c r="AB181" i="1"/>
  <c r="AC181" i="1" s="1"/>
  <c r="AB182" i="1"/>
  <c r="AC182" i="1" s="1"/>
  <c r="AB183" i="1"/>
  <c r="AC183" i="1" s="1"/>
  <c r="AB184" i="1"/>
  <c r="AC184" i="1" s="1"/>
  <c r="AB185" i="1"/>
  <c r="AC185" i="1" s="1"/>
  <c r="AB186" i="1"/>
  <c r="AC186" i="1" s="1"/>
  <c r="AB187" i="1"/>
  <c r="AC187" i="1" s="1"/>
  <c r="AB188" i="1"/>
  <c r="AC188" i="1" s="1"/>
  <c r="AB189" i="1"/>
  <c r="AC189" i="1" s="1"/>
  <c r="AB190" i="1"/>
  <c r="AC190" i="1" s="1"/>
  <c r="AB191" i="1"/>
  <c r="AC191" i="1" s="1"/>
  <c r="AB192" i="1"/>
  <c r="AC192" i="1" s="1"/>
  <c r="AB193" i="1"/>
  <c r="AC193" i="1" s="1"/>
  <c r="AB194" i="1"/>
  <c r="AC194" i="1" s="1"/>
  <c r="AB195" i="1"/>
  <c r="AC195" i="1" s="1"/>
  <c r="AB196" i="1"/>
  <c r="AC196" i="1" s="1"/>
  <c r="AB198" i="1"/>
  <c r="AC198" i="1" s="1"/>
  <c r="AB199" i="1"/>
  <c r="AC199" i="1" s="1"/>
  <c r="AB200" i="1"/>
  <c r="AB201" i="1"/>
  <c r="AC201" i="1" s="1"/>
  <c r="AB202" i="1"/>
  <c r="AC202" i="1" s="1"/>
  <c r="AB203" i="1"/>
  <c r="AC203" i="1" s="1"/>
  <c r="AB204" i="1"/>
  <c r="AB205" i="1"/>
  <c r="AC205" i="1" s="1"/>
  <c r="AB206" i="1"/>
  <c r="AC206" i="1" s="1"/>
  <c r="AB207" i="1"/>
  <c r="AC207" i="1" s="1"/>
  <c r="AB208" i="1"/>
  <c r="AB209" i="1"/>
  <c r="AC209" i="1" s="1"/>
  <c r="AB210" i="1"/>
  <c r="AC210" i="1" s="1"/>
  <c r="AB211" i="1"/>
  <c r="AC211" i="1" s="1"/>
  <c r="AB212" i="1"/>
  <c r="AB213" i="1"/>
  <c r="AC213" i="1" s="1"/>
  <c r="AB214" i="1"/>
  <c r="AC214" i="1" s="1"/>
  <c r="AB215" i="1"/>
  <c r="AC215" i="1" s="1"/>
  <c r="AB216" i="1"/>
  <c r="AB217" i="1"/>
  <c r="AC217" i="1" s="1"/>
  <c r="AB218" i="1"/>
  <c r="AC218" i="1" s="1"/>
  <c r="AB219" i="1"/>
  <c r="AC219" i="1" s="1"/>
  <c r="AB220" i="1"/>
  <c r="AB221" i="1"/>
  <c r="AC221" i="1" s="1"/>
  <c r="AB222" i="1"/>
  <c r="AC222" i="1" s="1"/>
  <c r="AB223" i="1"/>
  <c r="AC223" i="1" s="1"/>
  <c r="AB224" i="1"/>
  <c r="AB225" i="1"/>
  <c r="AC225" i="1" s="1"/>
  <c r="AB226" i="1"/>
  <c r="AC226" i="1" s="1"/>
  <c r="AB227" i="1"/>
  <c r="AC227" i="1" s="1"/>
  <c r="AB228" i="1"/>
  <c r="AB229" i="1"/>
  <c r="AC229" i="1" s="1"/>
  <c r="AB230" i="1"/>
  <c r="AC230" i="1" s="1"/>
  <c r="AB231" i="1"/>
  <c r="AC231" i="1" s="1"/>
  <c r="AB232" i="1"/>
  <c r="AB233" i="1"/>
  <c r="AC233" i="1" s="1"/>
  <c r="AB234" i="1"/>
  <c r="AC234" i="1" s="1"/>
  <c r="AB235" i="1"/>
  <c r="AC235" i="1" s="1"/>
  <c r="AB236" i="1"/>
  <c r="AB237" i="1"/>
  <c r="AC237" i="1" s="1"/>
  <c r="AB238" i="1"/>
  <c r="AC238" i="1" s="1"/>
  <c r="AB239" i="1"/>
  <c r="AC239" i="1" s="1"/>
  <c r="AB240" i="1"/>
  <c r="AB241" i="1"/>
  <c r="AC241" i="1" s="1"/>
  <c r="AB242" i="1"/>
  <c r="AC242" i="1" s="1"/>
  <c r="AB243" i="1"/>
  <c r="AC243" i="1" s="1"/>
  <c r="AB244" i="1"/>
  <c r="AB245" i="1"/>
  <c r="AC245" i="1" s="1"/>
  <c r="AB246" i="1"/>
  <c r="AC246" i="1" s="1"/>
  <c r="AB247" i="1"/>
  <c r="AC247" i="1" s="1"/>
  <c r="AB248" i="1"/>
  <c r="AB249" i="1"/>
  <c r="AC249" i="1" s="1"/>
  <c r="AB250" i="1"/>
  <c r="AC250" i="1" s="1"/>
  <c r="AB251" i="1"/>
  <c r="AC251" i="1" s="1"/>
  <c r="AB252" i="1"/>
  <c r="AB253" i="1"/>
  <c r="AC253" i="1" s="1"/>
  <c r="AB254" i="1"/>
  <c r="AC254" i="1" s="1"/>
  <c r="AB255" i="1"/>
  <c r="AC255" i="1" s="1"/>
  <c r="AB256" i="1"/>
  <c r="AB257" i="1"/>
  <c r="AC257" i="1" s="1"/>
  <c r="AB258" i="1"/>
  <c r="AC258" i="1" s="1"/>
  <c r="AB259" i="1"/>
  <c r="AC259" i="1" s="1"/>
  <c r="AB260" i="1"/>
  <c r="AB261" i="1"/>
  <c r="AC261" i="1" s="1"/>
  <c r="AB262" i="1"/>
  <c r="AC262" i="1" s="1"/>
  <c r="AB263" i="1"/>
  <c r="AC263" i="1" s="1"/>
  <c r="AB264" i="1"/>
  <c r="AB265" i="1"/>
  <c r="AC265" i="1" s="1"/>
  <c r="AB266" i="1"/>
  <c r="AC266" i="1" s="1"/>
  <c r="AB267" i="1"/>
  <c r="AC267" i="1" s="1"/>
  <c r="AB268" i="1"/>
  <c r="AB269" i="1"/>
  <c r="AC269" i="1" s="1"/>
  <c r="AB270" i="1"/>
  <c r="AC270" i="1" s="1"/>
  <c r="AB271" i="1"/>
  <c r="AC271" i="1" s="1"/>
  <c r="AB272" i="1"/>
  <c r="AB273" i="1"/>
  <c r="AC273" i="1" s="1"/>
  <c r="AB274" i="1"/>
  <c r="AC274" i="1" s="1"/>
  <c r="AB275" i="1"/>
  <c r="AC275" i="1" s="1"/>
  <c r="AB276" i="1"/>
  <c r="AB277" i="1"/>
  <c r="AC277" i="1" s="1"/>
  <c r="AB278" i="1"/>
  <c r="AC278" i="1" s="1"/>
  <c r="AB279" i="1"/>
  <c r="AC279" i="1" s="1"/>
  <c r="AB280" i="1"/>
  <c r="AB281" i="1"/>
  <c r="AC281" i="1" s="1"/>
  <c r="AB282" i="1"/>
  <c r="AC282" i="1" s="1"/>
  <c r="AB283" i="1"/>
  <c r="AC283" i="1" s="1"/>
  <c r="AB284" i="1"/>
  <c r="AB285" i="1"/>
  <c r="AC285" i="1" s="1"/>
  <c r="AB286" i="1"/>
  <c r="AC286" i="1" s="1"/>
  <c r="AB287" i="1"/>
  <c r="AC287" i="1" s="1"/>
  <c r="AB288" i="1"/>
  <c r="AB289" i="1"/>
  <c r="AC289" i="1" s="1"/>
  <c r="AB290" i="1"/>
  <c r="AC290" i="1" s="1"/>
  <c r="AB291" i="1"/>
  <c r="AC291" i="1" s="1"/>
  <c r="AB292" i="1"/>
  <c r="AB293" i="1"/>
  <c r="AC293" i="1" s="1"/>
  <c r="AB294" i="1"/>
  <c r="AC294" i="1" s="1"/>
  <c r="AB295" i="1"/>
  <c r="AC295" i="1" s="1"/>
  <c r="AB296" i="1"/>
  <c r="AB297" i="1"/>
  <c r="AC297" i="1" s="1"/>
  <c r="AB298" i="1"/>
  <c r="AC298" i="1" s="1"/>
  <c r="AB299" i="1"/>
  <c r="AC299" i="1" s="1"/>
  <c r="AB300" i="1"/>
  <c r="AB301" i="1"/>
  <c r="AC301" i="1" s="1"/>
  <c r="AB302" i="1"/>
  <c r="AC302" i="1" s="1"/>
  <c r="AB303" i="1"/>
  <c r="AC303" i="1" s="1"/>
  <c r="AB304" i="1"/>
  <c r="AB305" i="1"/>
  <c r="AC305" i="1" s="1"/>
  <c r="AB306" i="1"/>
  <c r="AC306" i="1" s="1"/>
  <c r="AB307" i="1"/>
  <c r="AC307" i="1" s="1"/>
  <c r="AB308" i="1"/>
  <c r="AB309" i="1"/>
  <c r="AC309" i="1" s="1"/>
  <c r="AB310" i="1"/>
  <c r="AC310" i="1" s="1"/>
  <c r="AB311" i="1"/>
  <c r="AC311" i="1" s="1"/>
  <c r="AB312" i="1"/>
  <c r="AB313" i="1"/>
  <c r="AC313" i="1" s="1"/>
  <c r="AB315" i="1"/>
  <c r="AC315" i="1" s="1"/>
  <c r="AB316" i="1"/>
  <c r="AB317" i="1"/>
  <c r="AC317" i="1" s="1"/>
  <c r="AB318" i="1"/>
  <c r="AC318" i="1" s="1"/>
  <c r="AB319" i="1"/>
  <c r="AC319" i="1" s="1"/>
  <c r="AB320" i="1"/>
  <c r="AB321" i="1"/>
  <c r="AC321" i="1" s="1"/>
  <c r="AB322" i="1"/>
  <c r="AC322" i="1" s="1"/>
  <c r="AB323" i="1"/>
  <c r="AC323" i="1" s="1"/>
  <c r="AB324" i="1"/>
  <c r="AB325" i="1"/>
  <c r="AC325" i="1" s="1"/>
  <c r="AB326" i="1"/>
  <c r="AC326" i="1" s="1"/>
  <c r="AB327" i="1"/>
  <c r="AC327" i="1" s="1"/>
  <c r="AB328" i="1"/>
  <c r="AB329" i="1"/>
  <c r="AC329" i="1" s="1"/>
  <c r="AB330" i="1"/>
  <c r="AC330" i="1" s="1"/>
  <c r="AB331" i="1"/>
  <c r="AC331" i="1" s="1"/>
  <c r="AB332" i="1"/>
  <c r="AB333" i="1"/>
  <c r="AC333" i="1" s="1"/>
  <c r="AB334" i="1"/>
  <c r="AC334" i="1" s="1"/>
  <c r="AB335" i="1"/>
  <c r="AC335" i="1" s="1"/>
  <c r="AB336" i="1"/>
  <c r="AB337" i="1"/>
  <c r="AC337" i="1" s="1"/>
  <c r="AB338" i="1"/>
  <c r="AC338" i="1" s="1"/>
  <c r="AB339" i="1"/>
  <c r="AC339" i="1" s="1"/>
  <c r="AB340" i="1"/>
  <c r="AB341" i="1"/>
  <c r="AC341" i="1" s="1"/>
  <c r="AB342" i="1"/>
  <c r="AC342" i="1" s="1"/>
  <c r="AB343" i="1"/>
  <c r="AC343" i="1" s="1"/>
  <c r="AB344" i="1"/>
  <c r="AB345" i="1"/>
  <c r="AC345" i="1" s="1"/>
  <c r="AB346" i="1"/>
  <c r="AC346" i="1" s="1"/>
  <c r="AB347" i="1"/>
  <c r="AC347" i="1" s="1"/>
  <c r="AB348" i="1"/>
  <c r="AB349" i="1"/>
  <c r="AC349" i="1" s="1"/>
  <c r="AB350" i="1"/>
  <c r="AC350" i="1" s="1"/>
  <c r="AB351" i="1"/>
  <c r="AC351" i="1" s="1"/>
  <c r="AB352" i="1"/>
  <c r="AB353" i="1"/>
  <c r="AC353" i="1" s="1"/>
  <c r="AB354" i="1"/>
  <c r="AC354" i="1" s="1"/>
  <c r="AB355" i="1"/>
  <c r="AC355" i="1" s="1"/>
  <c r="AB356" i="1"/>
  <c r="AB357" i="1"/>
  <c r="AC357" i="1" s="1"/>
  <c r="AB358" i="1"/>
  <c r="AC358" i="1" s="1"/>
  <c r="AB359" i="1"/>
  <c r="AC359" i="1" s="1"/>
  <c r="AB360" i="1"/>
  <c r="AB361" i="1"/>
  <c r="AC361" i="1" s="1"/>
  <c r="AB362" i="1"/>
  <c r="AC362" i="1" s="1"/>
  <c r="AB363" i="1"/>
  <c r="AC363" i="1" s="1"/>
  <c r="AB364" i="1"/>
  <c r="AB365" i="1"/>
  <c r="AC365" i="1" s="1"/>
  <c r="AB366" i="1"/>
  <c r="AC366" i="1" s="1"/>
  <c r="AB367" i="1"/>
  <c r="AC367" i="1" s="1"/>
  <c r="AB197" i="1"/>
  <c r="AC197" i="1" s="1"/>
  <c r="CM367" i="1"/>
  <c r="CN367" i="1" s="1"/>
  <c r="CJ367" i="1"/>
  <c r="AN367" i="1"/>
  <c r="AK367" i="1"/>
  <c r="CG367" i="1"/>
  <c r="CH367" i="1" s="1"/>
  <c r="CM366" i="1"/>
  <c r="CN366" i="1" s="1"/>
  <c r="CJ366" i="1"/>
  <c r="AN366" i="1"/>
  <c r="AK366" i="1"/>
  <c r="CG366" i="1"/>
  <c r="CH366" i="1" s="1"/>
  <c r="CM365" i="1"/>
  <c r="CN365" i="1" s="1"/>
  <c r="CJ365" i="1"/>
  <c r="AN365" i="1"/>
  <c r="AK365" i="1"/>
  <c r="AL365" i="1" s="1"/>
  <c r="CG365" i="1"/>
  <c r="CH365" i="1" s="1"/>
  <c r="CM364" i="1"/>
  <c r="CN364" i="1" s="1"/>
  <c r="CJ364" i="1"/>
  <c r="AN364" i="1"/>
  <c r="AO364" i="1" s="1"/>
  <c r="AK364" i="1"/>
  <c r="CG364" i="1"/>
  <c r="CM363" i="1"/>
  <c r="CN363" i="1" s="1"/>
  <c r="CJ363" i="1"/>
  <c r="AN363" i="1"/>
  <c r="CG363" i="1"/>
  <c r="CH363" i="1" s="1"/>
  <c r="CM362" i="1"/>
  <c r="CJ362" i="1"/>
  <c r="AN362" i="1"/>
  <c r="AO362" i="1" s="1"/>
  <c r="CG362" i="1"/>
  <c r="CH362" i="1" s="1"/>
  <c r="CM361" i="1"/>
  <c r="CN361" i="1" s="1"/>
  <c r="CJ361" i="1"/>
  <c r="AN361" i="1"/>
  <c r="CG361" i="1"/>
  <c r="CH361" i="1" s="1"/>
  <c r="CM360" i="1"/>
  <c r="CN360" i="1" s="1"/>
  <c r="CJ360" i="1"/>
  <c r="AN360" i="1"/>
  <c r="AO360" i="1" s="1"/>
  <c r="CG360" i="1"/>
  <c r="CM359" i="1"/>
  <c r="CN359" i="1" s="1"/>
  <c r="CJ359" i="1"/>
  <c r="AN359" i="1"/>
  <c r="CG359" i="1"/>
  <c r="CH359" i="1" s="1"/>
  <c r="CM358" i="1"/>
  <c r="CJ358" i="1"/>
  <c r="AN358" i="1"/>
  <c r="AO358" i="1" s="1"/>
  <c r="CG358" i="1"/>
  <c r="CH358" i="1" s="1"/>
  <c r="CM357" i="1"/>
  <c r="CN357" i="1" s="1"/>
  <c r="CJ357" i="1"/>
  <c r="AN357" i="1"/>
  <c r="CG357" i="1"/>
  <c r="CH357" i="1" s="1"/>
  <c r="CM356" i="1"/>
  <c r="CN356" i="1" s="1"/>
  <c r="CJ356" i="1"/>
  <c r="AN356" i="1"/>
  <c r="AO356" i="1" s="1"/>
  <c r="CG356" i="1"/>
  <c r="CM355" i="1"/>
  <c r="CN355" i="1" s="1"/>
  <c r="CJ355" i="1"/>
  <c r="AN355" i="1"/>
  <c r="CG355" i="1"/>
  <c r="CH355" i="1" s="1"/>
  <c r="CM354" i="1"/>
  <c r="CJ354" i="1"/>
  <c r="AN354" i="1"/>
  <c r="AO354" i="1" s="1"/>
  <c r="CG354" i="1"/>
  <c r="CH354" i="1" s="1"/>
  <c r="CM353" i="1"/>
  <c r="CN353" i="1" s="1"/>
  <c r="CJ353" i="1"/>
  <c r="AN353" i="1"/>
  <c r="CG353" i="1"/>
  <c r="CH353" i="1" s="1"/>
  <c r="CM352" i="1"/>
  <c r="CN352" i="1" s="1"/>
  <c r="CJ352" i="1"/>
  <c r="AN352" i="1"/>
  <c r="AO352" i="1" s="1"/>
  <c r="CG352" i="1"/>
  <c r="CM351" i="1"/>
  <c r="CN351" i="1" s="1"/>
  <c r="CJ351" i="1"/>
  <c r="AN351" i="1"/>
  <c r="CG351" i="1"/>
  <c r="CH351" i="1" s="1"/>
  <c r="CM350" i="1"/>
  <c r="CJ350" i="1"/>
  <c r="AN350" i="1"/>
  <c r="AO350" i="1" s="1"/>
  <c r="CG350" i="1"/>
  <c r="CH350" i="1" s="1"/>
  <c r="CM349" i="1"/>
  <c r="CN349" i="1" s="1"/>
  <c r="CJ349" i="1"/>
  <c r="AN349" i="1"/>
  <c r="CG349" i="1"/>
  <c r="CH349" i="1" s="1"/>
  <c r="CM348" i="1"/>
  <c r="CN348" i="1" s="1"/>
  <c r="CJ348" i="1"/>
  <c r="AN348" i="1"/>
  <c r="AO348" i="1" s="1"/>
  <c r="CG348" i="1"/>
  <c r="CM347" i="1"/>
  <c r="CN347" i="1" s="1"/>
  <c r="CJ347" i="1"/>
  <c r="AN347" i="1"/>
  <c r="CG347" i="1"/>
  <c r="CH347" i="1" s="1"/>
  <c r="CM346" i="1"/>
  <c r="CJ346" i="1"/>
  <c r="AN346" i="1"/>
  <c r="AO346" i="1" s="1"/>
  <c r="CG346" i="1"/>
  <c r="CH346" i="1" s="1"/>
  <c r="CM345" i="1"/>
  <c r="CN345" i="1" s="1"/>
  <c r="CJ345" i="1"/>
  <c r="AN345" i="1"/>
  <c r="CG345" i="1"/>
  <c r="CH345" i="1" s="1"/>
  <c r="CM344" i="1"/>
  <c r="CN344" i="1" s="1"/>
  <c r="CJ344" i="1"/>
  <c r="AN344" i="1"/>
  <c r="AO344" i="1" s="1"/>
  <c r="CG344" i="1"/>
  <c r="CM343" i="1"/>
  <c r="CN343" i="1" s="1"/>
  <c r="CJ343" i="1"/>
  <c r="AN343" i="1"/>
  <c r="CG343" i="1"/>
  <c r="CH343" i="1" s="1"/>
  <c r="CM342" i="1"/>
  <c r="CJ342" i="1"/>
  <c r="AN342" i="1"/>
  <c r="AO342" i="1" s="1"/>
  <c r="CG342" i="1"/>
  <c r="CH342" i="1" s="1"/>
  <c r="CM341" i="1"/>
  <c r="CN341" i="1" s="1"/>
  <c r="CJ341" i="1"/>
  <c r="AN341" i="1"/>
  <c r="CG341" i="1"/>
  <c r="CH341" i="1" s="1"/>
  <c r="CM340" i="1"/>
  <c r="CN340" i="1" s="1"/>
  <c r="CJ340" i="1"/>
  <c r="AN340" i="1"/>
  <c r="AO340" i="1" s="1"/>
  <c r="CG340" i="1"/>
  <c r="CM339" i="1"/>
  <c r="CN339" i="1" s="1"/>
  <c r="CJ339" i="1"/>
  <c r="AN339" i="1"/>
  <c r="CG339" i="1"/>
  <c r="CH339" i="1" s="1"/>
  <c r="CM338" i="1"/>
  <c r="CJ338" i="1"/>
  <c r="AN338" i="1"/>
  <c r="AO338" i="1" s="1"/>
  <c r="CG338" i="1"/>
  <c r="CH338" i="1" s="1"/>
  <c r="CM337" i="1"/>
  <c r="CN337" i="1" s="1"/>
  <c r="CJ337" i="1"/>
  <c r="AN337" i="1"/>
  <c r="CG337" i="1"/>
  <c r="CH337" i="1" s="1"/>
  <c r="CM336" i="1"/>
  <c r="CN336" i="1" s="1"/>
  <c r="CJ336" i="1"/>
  <c r="AN336" i="1"/>
  <c r="AO336" i="1" s="1"/>
  <c r="CG336" i="1"/>
  <c r="CM335" i="1"/>
  <c r="CN335" i="1" s="1"/>
  <c r="CJ335" i="1"/>
  <c r="AN335" i="1"/>
  <c r="CG335" i="1"/>
  <c r="CH335" i="1" s="1"/>
  <c r="CM334" i="1"/>
  <c r="CJ334" i="1"/>
  <c r="AN334" i="1"/>
  <c r="AO334" i="1" s="1"/>
  <c r="CG334" i="1"/>
  <c r="CH334" i="1" s="1"/>
  <c r="CM333" i="1"/>
  <c r="CN333" i="1" s="1"/>
  <c r="CJ333" i="1"/>
  <c r="AN333" i="1"/>
  <c r="CG333" i="1"/>
  <c r="CH333" i="1" s="1"/>
  <c r="CM332" i="1"/>
  <c r="CN332" i="1" s="1"/>
  <c r="CJ332" i="1"/>
  <c r="AN332" i="1"/>
  <c r="AO332" i="1" s="1"/>
  <c r="CG332" i="1"/>
  <c r="CM331" i="1"/>
  <c r="CN331" i="1" s="1"/>
  <c r="CJ331" i="1"/>
  <c r="AN331" i="1"/>
  <c r="CG331" i="1"/>
  <c r="CH331" i="1" s="1"/>
  <c r="CM330" i="1"/>
  <c r="CJ330" i="1"/>
  <c r="AN330" i="1"/>
  <c r="AO330" i="1" s="1"/>
  <c r="CG330" i="1"/>
  <c r="CH330" i="1" s="1"/>
  <c r="CM329" i="1"/>
  <c r="CN329" i="1" s="1"/>
  <c r="CJ329" i="1"/>
  <c r="CG329" i="1"/>
  <c r="CH329" i="1" s="1"/>
  <c r="CM328" i="1"/>
  <c r="CN328" i="1" s="1"/>
  <c r="CJ328" i="1"/>
  <c r="AN328" i="1"/>
  <c r="AO328" i="1" s="1"/>
  <c r="CG328" i="1"/>
  <c r="CM327" i="1"/>
  <c r="CN327" i="1" s="1"/>
  <c r="CJ327" i="1"/>
  <c r="AN327" i="1"/>
  <c r="AO327" i="1" s="1"/>
  <c r="CG327" i="1"/>
  <c r="CH327" i="1" s="1"/>
  <c r="CM326" i="1"/>
  <c r="CJ326" i="1"/>
  <c r="AN326" i="1"/>
  <c r="CG326" i="1"/>
  <c r="CH326" i="1" s="1"/>
  <c r="CM325" i="1"/>
  <c r="CN325" i="1" s="1"/>
  <c r="CJ325" i="1"/>
  <c r="AN325" i="1"/>
  <c r="AO325" i="1" s="1"/>
  <c r="CG325" i="1"/>
  <c r="CH325" i="1" s="1"/>
  <c r="CM324" i="1"/>
  <c r="CN324" i="1" s="1"/>
  <c r="CJ324" i="1"/>
  <c r="AN324" i="1"/>
  <c r="AO324" i="1" s="1"/>
  <c r="CG324" i="1"/>
  <c r="CM323" i="1"/>
  <c r="CN323" i="1" s="1"/>
  <c r="CJ323" i="1"/>
  <c r="AN323" i="1"/>
  <c r="AO323" i="1" s="1"/>
  <c r="CG323" i="1"/>
  <c r="CH323" i="1" s="1"/>
  <c r="CM322" i="1"/>
  <c r="CJ322" i="1"/>
  <c r="AN322" i="1"/>
  <c r="CG322" i="1"/>
  <c r="CH322" i="1" s="1"/>
  <c r="CM321" i="1"/>
  <c r="CN321" i="1" s="1"/>
  <c r="CJ321" i="1"/>
  <c r="AN321" i="1"/>
  <c r="AO321" i="1" s="1"/>
  <c r="CG321" i="1"/>
  <c r="CH321" i="1" s="1"/>
  <c r="CM320" i="1"/>
  <c r="CN320" i="1" s="1"/>
  <c r="CJ320" i="1"/>
  <c r="AN320" i="1"/>
  <c r="AO320" i="1" s="1"/>
  <c r="CG320" i="1"/>
  <c r="CM319" i="1"/>
  <c r="CN319" i="1" s="1"/>
  <c r="CJ319" i="1"/>
  <c r="AN319" i="1"/>
  <c r="AO319" i="1" s="1"/>
  <c r="CG319" i="1"/>
  <c r="CH319" i="1" s="1"/>
  <c r="CM318" i="1"/>
  <c r="CJ318" i="1"/>
  <c r="AN318" i="1"/>
  <c r="CG318" i="1"/>
  <c r="CH318" i="1" s="1"/>
  <c r="CM317" i="1"/>
  <c r="CN317" i="1" s="1"/>
  <c r="CJ317" i="1"/>
  <c r="AN317" i="1"/>
  <c r="AO317" i="1" s="1"/>
  <c r="CG317" i="1"/>
  <c r="CH317" i="1" s="1"/>
  <c r="CM316" i="1"/>
  <c r="CN316" i="1" s="1"/>
  <c r="CJ316" i="1"/>
  <c r="AN316" i="1"/>
  <c r="AO316" i="1" s="1"/>
  <c r="CG316" i="1"/>
  <c r="CM315" i="1"/>
  <c r="CN315" i="1" s="1"/>
  <c r="CJ315" i="1"/>
  <c r="AN315" i="1"/>
  <c r="AO315" i="1" s="1"/>
  <c r="CG315" i="1"/>
  <c r="CH315" i="1" s="1"/>
  <c r="CM314" i="1"/>
  <c r="CJ314" i="1"/>
  <c r="AN314" i="1"/>
  <c r="CG314" i="1"/>
  <c r="CH314" i="1" s="1"/>
  <c r="CM313" i="1"/>
  <c r="CN313" i="1" s="1"/>
  <c r="CJ313" i="1"/>
  <c r="AN313" i="1"/>
  <c r="AO313" i="1" s="1"/>
  <c r="CG313" i="1"/>
  <c r="CH313" i="1" s="1"/>
  <c r="AQ312" i="1"/>
  <c r="CM312" i="1"/>
  <c r="CN312" i="1" s="1"/>
  <c r="CJ312" i="1"/>
  <c r="AN312" i="1"/>
  <c r="AO312" i="1" s="1"/>
  <c r="CG312" i="1"/>
  <c r="CM311" i="1"/>
  <c r="CN311" i="1" s="1"/>
  <c r="CJ311" i="1"/>
  <c r="AN311" i="1"/>
  <c r="CG311" i="1"/>
  <c r="CH311" i="1" s="1"/>
  <c r="CM310" i="1"/>
  <c r="CJ310" i="1"/>
  <c r="AN310" i="1"/>
  <c r="AO310" i="1" s="1"/>
  <c r="CG310" i="1"/>
  <c r="CH310" i="1" s="1"/>
  <c r="CM309" i="1"/>
  <c r="CN309" i="1" s="1"/>
  <c r="CJ309" i="1"/>
  <c r="AN309" i="1"/>
  <c r="CG309" i="1"/>
  <c r="CH309" i="1" s="1"/>
  <c r="CM308" i="1"/>
  <c r="CN308" i="1" s="1"/>
  <c r="CJ308" i="1"/>
  <c r="AN308" i="1"/>
  <c r="AO308" i="1" s="1"/>
  <c r="CG308" i="1"/>
  <c r="CM307" i="1"/>
  <c r="CN307" i="1" s="1"/>
  <c r="CJ307" i="1"/>
  <c r="AN307" i="1"/>
  <c r="CG307" i="1"/>
  <c r="CH307" i="1" s="1"/>
  <c r="CM306" i="1"/>
  <c r="CJ306" i="1"/>
  <c r="AN306" i="1"/>
  <c r="AO306" i="1" s="1"/>
  <c r="CG306" i="1"/>
  <c r="CH306" i="1" s="1"/>
  <c r="CM305" i="1"/>
  <c r="CN305" i="1" s="1"/>
  <c r="CJ305" i="1"/>
  <c r="AN305" i="1"/>
  <c r="CG305" i="1"/>
  <c r="CH305" i="1" s="1"/>
  <c r="CM304" i="1"/>
  <c r="CN304" i="1" s="1"/>
  <c r="CJ304" i="1"/>
  <c r="AN304" i="1"/>
  <c r="AO304" i="1" s="1"/>
  <c r="CG304" i="1"/>
  <c r="CM303" i="1"/>
  <c r="CN303" i="1" s="1"/>
  <c r="CJ303" i="1"/>
  <c r="AN303" i="1"/>
  <c r="CG303" i="1"/>
  <c r="CH303" i="1" s="1"/>
  <c r="CM302" i="1"/>
  <c r="CJ302" i="1"/>
  <c r="AN302" i="1"/>
  <c r="AO302" i="1" s="1"/>
  <c r="CG302" i="1"/>
  <c r="CH302" i="1" s="1"/>
  <c r="CM301" i="1"/>
  <c r="CN301" i="1" s="1"/>
  <c r="CJ301" i="1"/>
  <c r="AN301" i="1"/>
  <c r="CG301" i="1"/>
  <c r="CH301" i="1" s="1"/>
  <c r="CM300" i="1"/>
  <c r="CN300" i="1" s="1"/>
  <c r="CJ300" i="1"/>
  <c r="AN300" i="1"/>
  <c r="AO300" i="1" s="1"/>
  <c r="CG300" i="1"/>
  <c r="CM299" i="1"/>
  <c r="CN299" i="1" s="1"/>
  <c r="CJ299" i="1"/>
  <c r="AN299" i="1"/>
  <c r="CG299" i="1"/>
  <c r="CH299" i="1" s="1"/>
  <c r="CM298" i="1"/>
  <c r="CJ298" i="1"/>
  <c r="AN298" i="1"/>
  <c r="AO298" i="1" s="1"/>
  <c r="CG298" i="1"/>
  <c r="CH298" i="1" s="1"/>
  <c r="CM297" i="1"/>
  <c r="CN297" i="1" s="1"/>
  <c r="CJ297" i="1"/>
  <c r="AN297" i="1"/>
  <c r="CG297" i="1"/>
  <c r="CH297" i="1" s="1"/>
  <c r="CM296" i="1"/>
  <c r="CN296" i="1" s="1"/>
  <c r="CJ296" i="1"/>
  <c r="AN296" i="1"/>
  <c r="AO296" i="1" s="1"/>
  <c r="CG296" i="1"/>
  <c r="CM295" i="1"/>
  <c r="CN295" i="1" s="1"/>
  <c r="CJ295" i="1"/>
  <c r="AN295" i="1"/>
  <c r="CG295" i="1"/>
  <c r="CH295" i="1" s="1"/>
  <c r="CM294" i="1"/>
  <c r="CJ294" i="1"/>
  <c r="AN294" i="1"/>
  <c r="AO294" i="1" s="1"/>
  <c r="CG294" i="1"/>
  <c r="CH294" i="1" s="1"/>
  <c r="CM293" i="1"/>
  <c r="CN293" i="1" s="1"/>
  <c r="CJ293" i="1"/>
  <c r="AN293" i="1"/>
  <c r="CG293" i="1"/>
  <c r="CH293" i="1" s="1"/>
  <c r="CM292" i="1"/>
  <c r="CN292" i="1" s="1"/>
  <c r="CJ292" i="1"/>
  <c r="AN292" i="1"/>
  <c r="AO292" i="1" s="1"/>
  <c r="CG292" i="1"/>
  <c r="CM291" i="1"/>
  <c r="CN291" i="1" s="1"/>
  <c r="CJ291" i="1"/>
  <c r="AN291" i="1"/>
  <c r="CG291" i="1"/>
  <c r="CH291" i="1" s="1"/>
  <c r="CM290" i="1"/>
  <c r="CJ290" i="1"/>
  <c r="AN290" i="1"/>
  <c r="AO290" i="1" s="1"/>
  <c r="CG290" i="1"/>
  <c r="CH290" i="1" s="1"/>
  <c r="CM289" i="1"/>
  <c r="CN289" i="1" s="1"/>
  <c r="CJ289" i="1"/>
  <c r="AN289" i="1"/>
  <c r="CG289" i="1"/>
  <c r="CH289" i="1" s="1"/>
  <c r="CM288" i="1"/>
  <c r="CN288" i="1" s="1"/>
  <c r="CJ288" i="1"/>
  <c r="AN288" i="1"/>
  <c r="AO288" i="1" s="1"/>
  <c r="CG288" i="1"/>
  <c r="CM287" i="1"/>
  <c r="CN287" i="1" s="1"/>
  <c r="CJ287" i="1"/>
  <c r="AN287" i="1"/>
  <c r="CG287" i="1"/>
  <c r="CH287" i="1" s="1"/>
  <c r="CM286" i="1"/>
  <c r="CJ286" i="1"/>
  <c r="AN286" i="1"/>
  <c r="AO286" i="1" s="1"/>
  <c r="CG286" i="1"/>
  <c r="CH286" i="1" s="1"/>
  <c r="CM285" i="1"/>
  <c r="CN285" i="1" s="1"/>
  <c r="CJ285" i="1"/>
  <c r="AN285" i="1"/>
  <c r="CG285" i="1"/>
  <c r="CH285" i="1" s="1"/>
  <c r="CM284" i="1"/>
  <c r="CN284" i="1" s="1"/>
  <c r="CJ284" i="1"/>
  <c r="AN284" i="1"/>
  <c r="AO284" i="1" s="1"/>
  <c r="CG284" i="1"/>
  <c r="CM283" i="1"/>
  <c r="CN283" i="1" s="1"/>
  <c r="CJ283" i="1"/>
  <c r="AN283" i="1"/>
  <c r="CG283" i="1"/>
  <c r="CH283" i="1" s="1"/>
  <c r="CM282" i="1"/>
  <c r="CJ282" i="1"/>
  <c r="AN282" i="1"/>
  <c r="AO282" i="1" s="1"/>
  <c r="CG282" i="1"/>
  <c r="CH282" i="1" s="1"/>
  <c r="CM281" i="1"/>
  <c r="CN281" i="1" s="1"/>
  <c r="CJ281" i="1"/>
  <c r="AN281" i="1"/>
  <c r="CG281" i="1"/>
  <c r="CH281" i="1" s="1"/>
  <c r="CM280" i="1"/>
  <c r="CN280" i="1" s="1"/>
  <c r="CJ280" i="1"/>
  <c r="AN280" i="1"/>
  <c r="AO280" i="1" s="1"/>
  <c r="CG280" i="1"/>
  <c r="CM279" i="1"/>
  <c r="CN279" i="1" s="1"/>
  <c r="CJ279" i="1"/>
  <c r="AN279" i="1"/>
  <c r="CG279" i="1"/>
  <c r="CH279" i="1" s="1"/>
  <c r="CM278" i="1"/>
  <c r="CJ278" i="1"/>
  <c r="AN278" i="1"/>
  <c r="AO278" i="1" s="1"/>
  <c r="CG278" i="1"/>
  <c r="CH278" i="1" s="1"/>
  <c r="CM277" i="1"/>
  <c r="CN277" i="1" s="1"/>
  <c r="CJ277" i="1"/>
  <c r="AN277" i="1"/>
  <c r="CG277" i="1"/>
  <c r="CH277" i="1" s="1"/>
  <c r="CM276" i="1"/>
  <c r="CN276" i="1" s="1"/>
  <c r="CJ276" i="1"/>
  <c r="AN276" i="1"/>
  <c r="AO276" i="1" s="1"/>
  <c r="CG276" i="1"/>
  <c r="CM275" i="1"/>
  <c r="CN275" i="1" s="1"/>
  <c r="CJ275" i="1"/>
  <c r="AN275" i="1"/>
  <c r="CG275" i="1"/>
  <c r="CH275" i="1" s="1"/>
  <c r="CM274" i="1"/>
  <c r="CJ274" i="1"/>
  <c r="AN274" i="1"/>
  <c r="AO274" i="1" s="1"/>
  <c r="CG274" i="1"/>
  <c r="CH274" i="1" s="1"/>
  <c r="CM273" i="1"/>
  <c r="CN273" i="1" s="1"/>
  <c r="CJ273" i="1"/>
  <c r="AN273" i="1"/>
  <c r="CG273" i="1"/>
  <c r="CH273" i="1" s="1"/>
  <c r="CM272" i="1"/>
  <c r="CN272" i="1" s="1"/>
  <c r="CJ272" i="1"/>
  <c r="CG272" i="1"/>
  <c r="AQ271" i="1"/>
  <c r="CM271" i="1"/>
  <c r="CN271" i="1" s="1"/>
  <c r="CJ271" i="1"/>
  <c r="AN271" i="1"/>
  <c r="CG271" i="1"/>
  <c r="CH271" i="1" s="1"/>
  <c r="CM270" i="1"/>
  <c r="CJ270" i="1"/>
  <c r="AN270" i="1"/>
  <c r="AO270" i="1" s="1"/>
  <c r="CG270" i="1"/>
  <c r="CH270" i="1" s="1"/>
  <c r="CM269" i="1"/>
  <c r="CN269" i="1" s="1"/>
  <c r="CJ269" i="1"/>
  <c r="AN269" i="1"/>
  <c r="CG269" i="1"/>
  <c r="CH269" i="1" s="1"/>
  <c r="CM268" i="1"/>
  <c r="CN268" i="1" s="1"/>
  <c r="CJ268" i="1"/>
  <c r="AN268" i="1"/>
  <c r="AO268" i="1" s="1"/>
  <c r="CG268" i="1"/>
  <c r="CM267" i="1"/>
  <c r="CN267" i="1" s="1"/>
  <c r="CJ267" i="1"/>
  <c r="AN267" i="1"/>
  <c r="CG267" i="1"/>
  <c r="CH267" i="1" s="1"/>
  <c r="CM266" i="1"/>
  <c r="CJ266" i="1"/>
  <c r="AN266" i="1"/>
  <c r="AO266" i="1" s="1"/>
  <c r="CG266" i="1"/>
  <c r="CH266" i="1" s="1"/>
  <c r="CM265" i="1"/>
  <c r="CN265" i="1" s="1"/>
  <c r="CJ265" i="1"/>
  <c r="AN265" i="1"/>
  <c r="CG265" i="1"/>
  <c r="CH265" i="1" s="1"/>
  <c r="CM264" i="1"/>
  <c r="CN264" i="1" s="1"/>
  <c r="CJ264" i="1"/>
  <c r="AN264" i="1"/>
  <c r="AO264" i="1" s="1"/>
  <c r="CG264" i="1"/>
  <c r="CM263" i="1"/>
  <c r="CN263" i="1" s="1"/>
  <c r="CJ263" i="1"/>
  <c r="AN263" i="1"/>
  <c r="CG263" i="1"/>
  <c r="CH263" i="1" s="1"/>
  <c r="CM262" i="1"/>
  <c r="CJ262" i="1"/>
  <c r="AN262" i="1"/>
  <c r="AO262" i="1" s="1"/>
  <c r="CG262" i="1"/>
  <c r="CH262" i="1" s="1"/>
  <c r="CM261" i="1"/>
  <c r="CN261" i="1" s="1"/>
  <c r="CJ261" i="1"/>
  <c r="AN261" i="1"/>
  <c r="CG261" i="1"/>
  <c r="CH261" i="1" s="1"/>
  <c r="CM260" i="1"/>
  <c r="CN260" i="1" s="1"/>
  <c r="CJ260" i="1"/>
  <c r="AN260" i="1"/>
  <c r="AO260" i="1" s="1"/>
  <c r="CG260" i="1"/>
  <c r="CM259" i="1"/>
  <c r="CN259" i="1" s="1"/>
  <c r="CJ259" i="1"/>
  <c r="AN259" i="1"/>
  <c r="CG259" i="1"/>
  <c r="CH259" i="1" s="1"/>
  <c r="CM258" i="1"/>
  <c r="CJ258" i="1"/>
  <c r="AN258" i="1"/>
  <c r="AO258" i="1" s="1"/>
  <c r="CG258" i="1"/>
  <c r="CH258" i="1" s="1"/>
  <c r="CM257" i="1"/>
  <c r="CN257" i="1" s="1"/>
  <c r="CJ257" i="1"/>
  <c r="AN257" i="1"/>
  <c r="CG257" i="1"/>
  <c r="CH257" i="1" s="1"/>
  <c r="CM256" i="1"/>
  <c r="CN256" i="1" s="1"/>
  <c r="CJ256" i="1"/>
  <c r="AN256" i="1"/>
  <c r="AO256" i="1" s="1"/>
  <c r="CG256" i="1"/>
  <c r="CM255" i="1"/>
  <c r="CN255" i="1" s="1"/>
  <c r="CJ255" i="1"/>
  <c r="AN255" i="1"/>
  <c r="CG255" i="1"/>
  <c r="CH255" i="1" s="1"/>
  <c r="CM254" i="1"/>
  <c r="CJ254" i="1"/>
  <c r="AN254" i="1"/>
  <c r="AO254" i="1" s="1"/>
  <c r="CG254" i="1"/>
  <c r="CH254" i="1" s="1"/>
  <c r="CM253" i="1"/>
  <c r="CN253" i="1" s="1"/>
  <c r="CJ253" i="1"/>
  <c r="AN253" i="1"/>
  <c r="CG253" i="1"/>
  <c r="CH253" i="1" s="1"/>
  <c r="CM252" i="1"/>
  <c r="CN252" i="1" s="1"/>
  <c r="CJ252" i="1"/>
  <c r="AN252" i="1"/>
  <c r="AO252" i="1" s="1"/>
  <c r="CG252" i="1"/>
  <c r="CM251" i="1"/>
  <c r="CN251" i="1" s="1"/>
  <c r="CJ251" i="1"/>
  <c r="AN251" i="1"/>
  <c r="CG251" i="1"/>
  <c r="CH251" i="1" s="1"/>
  <c r="CM250" i="1"/>
  <c r="CJ250" i="1"/>
  <c r="AN250" i="1"/>
  <c r="AO250" i="1" s="1"/>
  <c r="CG250" i="1"/>
  <c r="CH250" i="1" s="1"/>
  <c r="CM249" i="1"/>
  <c r="CN249" i="1" s="1"/>
  <c r="CJ249" i="1"/>
  <c r="AN249" i="1"/>
  <c r="CG249" i="1"/>
  <c r="CH249" i="1" s="1"/>
  <c r="CM248" i="1"/>
  <c r="CN248" i="1" s="1"/>
  <c r="CJ248" i="1"/>
  <c r="AN248" i="1"/>
  <c r="AO248" i="1" s="1"/>
  <c r="CG248" i="1"/>
  <c r="CM247" i="1"/>
  <c r="CN247" i="1" s="1"/>
  <c r="CJ247" i="1"/>
  <c r="AN247" i="1"/>
  <c r="CG247" i="1"/>
  <c r="CH247" i="1" s="1"/>
  <c r="CM246" i="1"/>
  <c r="CJ246" i="1"/>
  <c r="AN246" i="1"/>
  <c r="AO246" i="1" s="1"/>
  <c r="CG246" i="1"/>
  <c r="CH246" i="1" s="1"/>
  <c r="CM245" i="1"/>
  <c r="CN245" i="1" s="1"/>
  <c r="CJ245" i="1"/>
  <c r="AN245" i="1"/>
  <c r="CG245" i="1"/>
  <c r="CH245" i="1" s="1"/>
  <c r="CM244" i="1"/>
  <c r="CN244" i="1" s="1"/>
  <c r="CJ244" i="1"/>
  <c r="AN244" i="1"/>
  <c r="AO244" i="1" s="1"/>
  <c r="CG244" i="1"/>
  <c r="CM243" i="1"/>
  <c r="CN243" i="1" s="1"/>
  <c r="CJ243" i="1"/>
  <c r="AN243" i="1"/>
  <c r="CG243" i="1"/>
  <c r="CH243" i="1" s="1"/>
  <c r="CM242" i="1"/>
  <c r="CJ242" i="1"/>
  <c r="AN242" i="1"/>
  <c r="AO242" i="1" s="1"/>
  <c r="CG242" i="1"/>
  <c r="CH242" i="1" s="1"/>
  <c r="CM241" i="1"/>
  <c r="CN241" i="1" s="1"/>
  <c r="CJ241" i="1"/>
  <c r="AN241" i="1"/>
  <c r="CG241" i="1"/>
  <c r="CH241" i="1" s="1"/>
  <c r="CM240" i="1"/>
  <c r="CN240" i="1" s="1"/>
  <c r="CJ240" i="1"/>
  <c r="AN240" i="1"/>
  <c r="AO240" i="1" s="1"/>
  <c r="CG240" i="1"/>
  <c r="CM239" i="1"/>
  <c r="CN239" i="1" s="1"/>
  <c r="CJ239" i="1"/>
  <c r="AN239" i="1"/>
  <c r="CG239" i="1"/>
  <c r="CH239" i="1" s="1"/>
  <c r="AQ238" i="1"/>
  <c r="AR238" i="1" s="1"/>
  <c r="CM238" i="1"/>
  <c r="CN238" i="1" s="1"/>
  <c r="CJ238" i="1"/>
  <c r="AN238" i="1"/>
  <c r="CG238" i="1"/>
  <c r="CH238" i="1" s="1"/>
  <c r="CM237" i="1"/>
  <c r="CN237" i="1" s="1"/>
  <c r="CJ237" i="1"/>
  <c r="AN237" i="1"/>
  <c r="CG237" i="1"/>
  <c r="CH237" i="1" s="1"/>
  <c r="CM236" i="1"/>
  <c r="CN236" i="1" s="1"/>
  <c r="CJ236" i="1"/>
  <c r="AN236" i="1"/>
  <c r="AO236" i="1" s="1"/>
  <c r="CG236" i="1"/>
  <c r="CM235" i="1"/>
  <c r="CN235" i="1" s="1"/>
  <c r="CJ235" i="1"/>
  <c r="AN235" i="1"/>
  <c r="AO235" i="1" s="1"/>
  <c r="CG235" i="1"/>
  <c r="CH235" i="1" s="1"/>
  <c r="CM234" i="1"/>
  <c r="CN234" i="1" s="1"/>
  <c r="CJ234" i="1"/>
  <c r="AN234" i="1"/>
  <c r="CG234" i="1"/>
  <c r="CH234" i="1" s="1"/>
  <c r="CM233" i="1"/>
  <c r="CN233" i="1" s="1"/>
  <c r="CJ233" i="1"/>
  <c r="AN233" i="1"/>
  <c r="CG233" i="1"/>
  <c r="CH233" i="1" s="1"/>
  <c r="CM232" i="1"/>
  <c r="CN232" i="1" s="1"/>
  <c r="CJ232" i="1"/>
  <c r="AN232" i="1"/>
  <c r="AO232" i="1" s="1"/>
  <c r="CG232" i="1"/>
  <c r="CM231" i="1"/>
  <c r="CN231" i="1" s="1"/>
  <c r="CJ231" i="1"/>
  <c r="AN231" i="1"/>
  <c r="AO231" i="1" s="1"/>
  <c r="CG231" i="1"/>
  <c r="CH231" i="1" s="1"/>
  <c r="CM230" i="1"/>
  <c r="CN230" i="1" s="1"/>
  <c r="CJ230" i="1"/>
  <c r="AN230" i="1"/>
  <c r="CG230" i="1"/>
  <c r="CH230" i="1" s="1"/>
  <c r="CM229" i="1"/>
  <c r="CN229" i="1" s="1"/>
  <c r="CJ229" i="1"/>
  <c r="AN229" i="1"/>
  <c r="CG229" i="1"/>
  <c r="CH229" i="1" s="1"/>
  <c r="CM228" i="1"/>
  <c r="CN228" i="1" s="1"/>
  <c r="CJ228" i="1"/>
  <c r="AN228" i="1"/>
  <c r="AO228" i="1" s="1"/>
  <c r="CG228" i="1"/>
  <c r="CM227" i="1"/>
  <c r="CN227" i="1" s="1"/>
  <c r="CJ227" i="1"/>
  <c r="AN227" i="1"/>
  <c r="AO227" i="1" s="1"/>
  <c r="CG227" i="1"/>
  <c r="CH227" i="1" s="1"/>
  <c r="CM226" i="1"/>
  <c r="CN226" i="1" s="1"/>
  <c r="CJ226" i="1"/>
  <c r="AN226" i="1"/>
  <c r="CG226" i="1"/>
  <c r="CH226" i="1" s="1"/>
  <c r="CM225" i="1"/>
  <c r="CN225" i="1" s="1"/>
  <c r="CJ225" i="1"/>
  <c r="AN225" i="1"/>
  <c r="CG225" i="1"/>
  <c r="CH225" i="1" s="1"/>
  <c r="CM224" i="1"/>
  <c r="CN224" i="1" s="1"/>
  <c r="CJ224" i="1"/>
  <c r="AN224" i="1"/>
  <c r="AO224" i="1" s="1"/>
  <c r="CG224" i="1"/>
  <c r="CM223" i="1"/>
  <c r="CN223" i="1" s="1"/>
  <c r="CJ223" i="1"/>
  <c r="AN223" i="1"/>
  <c r="AO223" i="1" s="1"/>
  <c r="CG223" i="1"/>
  <c r="CH223" i="1" s="1"/>
  <c r="CM222" i="1"/>
  <c r="CN222" i="1" s="1"/>
  <c r="AN222" i="1"/>
  <c r="AO222" i="1" s="1"/>
  <c r="CG222" i="1"/>
  <c r="CH222" i="1" s="1"/>
  <c r="CM221" i="1"/>
  <c r="CN221" i="1" s="1"/>
  <c r="CJ221" i="1"/>
  <c r="AN221" i="1"/>
  <c r="CG221" i="1"/>
  <c r="CH221" i="1" s="1"/>
  <c r="CM220" i="1"/>
  <c r="CN220" i="1" s="1"/>
  <c r="CJ220" i="1"/>
  <c r="AN220" i="1"/>
  <c r="AO220" i="1" s="1"/>
  <c r="CG220" i="1"/>
  <c r="CM219" i="1"/>
  <c r="CN219" i="1" s="1"/>
  <c r="CJ219" i="1"/>
  <c r="AN219" i="1"/>
  <c r="CG219" i="1"/>
  <c r="CH219" i="1" s="1"/>
  <c r="CM218" i="1"/>
  <c r="CJ218" i="1"/>
  <c r="AN218" i="1"/>
  <c r="AO218" i="1" s="1"/>
  <c r="CG218" i="1"/>
  <c r="CH218" i="1" s="1"/>
  <c r="CM217" i="1"/>
  <c r="CN217" i="1" s="1"/>
  <c r="CJ217" i="1"/>
  <c r="AN217" i="1"/>
  <c r="CG217" i="1"/>
  <c r="CH217" i="1" s="1"/>
  <c r="CM216" i="1"/>
  <c r="CN216" i="1" s="1"/>
  <c r="CJ216" i="1"/>
  <c r="AN216" i="1"/>
  <c r="AO216" i="1" s="1"/>
  <c r="CG216" i="1"/>
  <c r="CM215" i="1"/>
  <c r="CN215" i="1" s="1"/>
  <c r="CJ215" i="1"/>
  <c r="AN215" i="1"/>
  <c r="CG215" i="1"/>
  <c r="CH215" i="1" s="1"/>
  <c r="CM214" i="1"/>
  <c r="CJ214" i="1"/>
  <c r="AN214" i="1"/>
  <c r="AO214" i="1" s="1"/>
  <c r="CG214" i="1"/>
  <c r="CH214" i="1" s="1"/>
  <c r="CM213" i="1"/>
  <c r="CN213" i="1" s="1"/>
  <c r="CJ213" i="1"/>
  <c r="AN213" i="1"/>
  <c r="CG213" i="1"/>
  <c r="CH213" i="1" s="1"/>
  <c r="CM212" i="1"/>
  <c r="CN212" i="1" s="1"/>
  <c r="CJ212" i="1"/>
  <c r="AN212" i="1"/>
  <c r="AO212" i="1" s="1"/>
  <c r="CG212" i="1"/>
  <c r="CM211" i="1"/>
  <c r="CN211" i="1" s="1"/>
  <c r="CJ211" i="1"/>
  <c r="AN211" i="1"/>
  <c r="CG211" i="1"/>
  <c r="CH211" i="1" s="1"/>
  <c r="CM210" i="1"/>
  <c r="CJ210" i="1"/>
  <c r="AN210" i="1"/>
  <c r="AO210" i="1" s="1"/>
  <c r="CG210" i="1"/>
  <c r="CH210" i="1" s="1"/>
  <c r="CM209" i="1"/>
  <c r="CN209" i="1" s="1"/>
  <c r="CJ209" i="1"/>
  <c r="AN209" i="1"/>
  <c r="CG209" i="1"/>
  <c r="CH209" i="1" s="1"/>
  <c r="CM208" i="1"/>
  <c r="CN208" i="1" s="1"/>
  <c r="CJ208" i="1"/>
  <c r="AN208" i="1"/>
  <c r="AO208" i="1" s="1"/>
  <c r="CG208" i="1"/>
  <c r="CM207" i="1"/>
  <c r="CN207" i="1" s="1"/>
  <c r="CJ207" i="1"/>
  <c r="AN207" i="1"/>
  <c r="CG207" i="1"/>
  <c r="CH207" i="1" s="1"/>
  <c r="CM206" i="1"/>
  <c r="CJ206" i="1"/>
  <c r="AN206" i="1"/>
  <c r="AO206" i="1" s="1"/>
  <c r="CG206" i="1"/>
  <c r="CH206" i="1" s="1"/>
  <c r="CM205" i="1"/>
  <c r="CN205" i="1" s="1"/>
  <c r="CJ205" i="1"/>
  <c r="AN205" i="1"/>
  <c r="CG205" i="1"/>
  <c r="CH205" i="1" s="1"/>
  <c r="CM204" i="1"/>
  <c r="CN204" i="1" s="1"/>
  <c r="CJ204" i="1"/>
  <c r="AN204" i="1"/>
  <c r="AO204" i="1" s="1"/>
  <c r="CG204" i="1"/>
  <c r="CM203" i="1"/>
  <c r="CN203" i="1" s="1"/>
  <c r="CJ203" i="1"/>
  <c r="AN203" i="1"/>
  <c r="CG203" i="1"/>
  <c r="CH203" i="1" s="1"/>
  <c r="CM202" i="1"/>
  <c r="CJ202" i="1"/>
  <c r="AN202" i="1"/>
  <c r="AO202" i="1" s="1"/>
  <c r="CG202" i="1"/>
  <c r="CH202" i="1" s="1"/>
  <c r="CM201" i="1"/>
  <c r="CN201" i="1" s="1"/>
  <c r="CJ201" i="1"/>
  <c r="AN201" i="1"/>
  <c r="CG201" i="1"/>
  <c r="CH201" i="1" s="1"/>
  <c r="CM200" i="1"/>
  <c r="CN200" i="1" s="1"/>
  <c r="CJ200" i="1"/>
  <c r="AN200" i="1"/>
  <c r="AO200" i="1" s="1"/>
  <c r="CG200" i="1"/>
  <c r="CM199" i="1"/>
  <c r="CN199" i="1" s="1"/>
  <c r="CJ199" i="1"/>
  <c r="AN199" i="1"/>
  <c r="CG199" i="1"/>
  <c r="CH199" i="1" s="1"/>
  <c r="CM198" i="1"/>
  <c r="CJ198" i="1"/>
  <c r="AN198" i="1"/>
  <c r="AO198" i="1" s="1"/>
  <c r="CG198" i="1"/>
  <c r="CH198" i="1" s="1"/>
  <c r="CM197" i="1"/>
  <c r="CN197" i="1" s="1"/>
  <c r="CJ197" i="1"/>
  <c r="AN197" i="1"/>
  <c r="CG197" i="1"/>
  <c r="CH197" i="1" s="1"/>
  <c r="CM196" i="1"/>
  <c r="CN196" i="1" s="1"/>
  <c r="CJ196" i="1"/>
  <c r="AN196" i="1"/>
  <c r="AO196" i="1" s="1"/>
  <c r="CG196" i="1"/>
  <c r="CM195" i="1"/>
  <c r="CN195" i="1" s="1"/>
  <c r="CJ195" i="1"/>
  <c r="AN195" i="1"/>
  <c r="CG195" i="1"/>
  <c r="CH195" i="1" s="1"/>
  <c r="CM194" i="1"/>
  <c r="CJ194" i="1"/>
  <c r="AN194" i="1"/>
  <c r="AO194" i="1" s="1"/>
  <c r="CG194" i="1"/>
  <c r="CH194" i="1" s="1"/>
  <c r="CM193" i="1"/>
  <c r="CN193" i="1" s="1"/>
  <c r="CJ193" i="1"/>
  <c r="AN193" i="1"/>
  <c r="CG193" i="1"/>
  <c r="CH193" i="1" s="1"/>
  <c r="CM192" i="1"/>
  <c r="CN192" i="1" s="1"/>
  <c r="CJ192" i="1"/>
  <c r="AN192" i="1"/>
  <c r="AO192" i="1" s="1"/>
  <c r="CG192" i="1"/>
  <c r="CM191" i="1"/>
  <c r="CN191" i="1" s="1"/>
  <c r="CJ191" i="1"/>
  <c r="AN191" i="1"/>
  <c r="AO191" i="1" s="1"/>
  <c r="CG191" i="1"/>
  <c r="CH191" i="1" s="1"/>
  <c r="CM190" i="1"/>
  <c r="CJ190" i="1"/>
  <c r="AN190" i="1"/>
  <c r="AO190" i="1" s="1"/>
  <c r="CG190" i="1"/>
  <c r="CH190" i="1" s="1"/>
  <c r="CG31" i="1"/>
  <c r="CH31" i="1" s="1"/>
  <c r="CJ11" i="1"/>
  <c r="AN12" i="1"/>
  <c r="AO12" i="1" s="1"/>
  <c r="CM12" i="1"/>
  <c r="CN12" i="1" s="1"/>
  <c r="CJ13" i="1"/>
  <c r="AN14" i="1"/>
  <c r="AO14" i="1" s="1"/>
  <c r="CM14" i="1"/>
  <c r="CJ16" i="1"/>
  <c r="AN17" i="1"/>
  <c r="CM17" i="1"/>
  <c r="CN17" i="1" s="1"/>
  <c r="CJ18" i="1"/>
  <c r="AN19" i="1"/>
  <c r="AO19" i="1" s="1"/>
  <c r="CM19" i="1"/>
  <c r="CN19" i="1" s="1"/>
  <c r="CJ20" i="1"/>
  <c r="CJ21" i="1"/>
  <c r="AN22" i="1"/>
  <c r="AO22" i="1" s="1"/>
  <c r="CM22" i="1"/>
  <c r="CJ23" i="1"/>
  <c r="AN24" i="1"/>
  <c r="AO24" i="1" s="1"/>
  <c r="CM24" i="1"/>
  <c r="CN24" i="1" s="1"/>
  <c r="CJ25" i="1"/>
  <c r="AN26" i="1"/>
  <c r="AO26" i="1" s="1"/>
  <c r="CM26" i="1"/>
  <c r="CJ27" i="1"/>
  <c r="CG29" i="1"/>
  <c r="CH29" i="1" s="1"/>
  <c r="CG30" i="1"/>
  <c r="CH30" i="1" s="1"/>
  <c r="CJ188" i="1"/>
  <c r="CM187" i="1"/>
  <c r="CN187" i="1" s="1"/>
  <c r="AN187" i="1"/>
  <c r="AO187" i="1" s="1"/>
  <c r="CJ186" i="1"/>
  <c r="CM185" i="1"/>
  <c r="CN185" i="1" s="1"/>
  <c r="AN185" i="1"/>
  <c r="CM184" i="1"/>
  <c r="CN184" i="1" s="1"/>
  <c r="AN184" i="1"/>
  <c r="AO184" i="1" s="1"/>
  <c r="CJ183" i="1"/>
  <c r="CM182" i="1"/>
  <c r="AN182" i="1"/>
  <c r="AO182" i="1" s="1"/>
  <c r="CJ181" i="1"/>
  <c r="CJ180" i="1"/>
  <c r="CM179" i="1"/>
  <c r="CN179" i="1" s="1"/>
  <c r="AN179" i="1"/>
  <c r="AO179" i="1" s="1"/>
  <c r="CG187" i="1"/>
  <c r="CH187" i="1" s="1"/>
  <c r="CG185" i="1"/>
  <c r="CH185" i="1" s="1"/>
  <c r="CG184" i="1"/>
  <c r="CG182" i="1"/>
  <c r="CH182" i="1" s="1"/>
  <c r="CG179" i="1"/>
  <c r="CH179" i="1" s="1"/>
  <c r="CM188" i="1"/>
  <c r="CN188" i="1" s="1"/>
  <c r="AN188" i="1"/>
  <c r="AO188" i="1" s="1"/>
  <c r="CJ187" i="1"/>
  <c r="CM186" i="1"/>
  <c r="CN186" i="1" s="1"/>
  <c r="AN186" i="1"/>
  <c r="AO186" i="1" s="1"/>
  <c r="CJ185" i="1"/>
  <c r="CJ184" i="1"/>
  <c r="CM183" i="1"/>
  <c r="CN183" i="1" s="1"/>
  <c r="AN183" i="1"/>
  <c r="AO183" i="1" s="1"/>
  <c r="CJ182" i="1"/>
  <c r="CM181" i="1"/>
  <c r="CN181" i="1" s="1"/>
  <c r="AN181" i="1"/>
  <c r="AO181" i="1" s="1"/>
  <c r="CM180" i="1"/>
  <c r="CN180" i="1" s="1"/>
  <c r="AN180" i="1"/>
  <c r="AO180" i="1" s="1"/>
  <c r="CJ179" i="1"/>
  <c r="CG188" i="1"/>
  <c r="CH188" i="1" s="1"/>
  <c r="CG186" i="1"/>
  <c r="CH186" i="1" s="1"/>
  <c r="CG183" i="1"/>
  <c r="CH183" i="1" s="1"/>
  <c r="CG181" i="1"/>
  <c r="CH181" i="1" s="1"/>
  <c r="CG180" i="1"/>
  <c r="CH180" i="1" s="1"/>
  <c r="CM178" i="1"/>
  <c r="AN178" i="1"/>
  <c r="AO178" i="1" s="1"/>
  <c r="CJ177" i="1"/>
  <c r="CM176" i="1"/>
  <c r="CN176" i="1" s="1"/>
  <c r="AN176" i="1"/>
  <c r="AO176" i="1" s="1"/>
  <c r="CJ175" i="1"/>
  <c r="CM174" i="1"/>
  <c r="AN174" i="1"/>
  <c r="AO174" i="1" s="1"/>
  <c r="CJ173" i="1"/>
  <c r="CM172" i="1"/>
  <c r="CN172" i="1" s="1"/>
  <c r="AN172" i="1"/>
  <c r="AO172" i="1" s="1"/>
  <c r="CG178" i="1"/>
  <c r="CH178" i="1" s="1"/>
  <c r="CG176" i="1"/>
  <c r="CG174" i="1"/>
  <c r="CH174" i="1" s="1"/>
  <c r="CG172" i="1"/>
  <c r="CG170" i="1"/>
  <c r="CH170" i="1" s="1"/>
  <c r="CG168" i="1"/>
  <c r="CJ178" i="1"/>
  <c r="CM177" i="1"/>
  <c r="CN177" i="1" s="1"/>
  <c r="AN177" i="1"/>
  <c r="AO177" i="1" s="1"/>
  <c r="CJ176" i="1"/>
  <c r="CM175" i="1"/>
  <c r="CN175" i="1" s="1"/>
  <c r="AN175" i="1"/>
  <c r="AO175" i="1" s="1"/>
  <c r="CJ174" i="1"/>
  <c r="CM173" i="1"/>
  <c r="CN173" i="1" s="1"/>
  <c r="AN173" i="1"/>
  <c r="CJ172" i="1"/>
  <c r="CG177" i="1"/>
  <c r="CH177" i="1" s="1"/>
  <c r="CG175" i="1"/>
  <c r="CH175" i="1" s="1"/>
  <c r="CG173" i="1"/>
  <c r="CH173" i="1" s="1"/>
  <c r="CG171" i="1"/>
  <c r="CH171" i="1" s="1"/>
  <c r="CG169" i="1"/>
  <c r="CH169" i="1" s="1"/>
  <c r="CM166" i="1"/>
  <c r="AN166" i="1"/>
  <c r="AO166" i="1" s="1"/>
  <c r="CJ165" i="1"/>
  <c r="CM164" i="1"/>
  <c r="CN164" i="1" s="1"/>
  <c r="AN164" i="1"/>
  <c r="AO164" i="1" s="1"/>
  <c r="CJ163" i="1"/>
  <c r="CM162" i="1"/>
  <c r="AN162" i="1"/>
  <c r="AO162" i="1" s="1"/>
  <c r="CJ161" i="1"/>
  <c r="CM160" i="1"/>
  <c r="CN160" i="1" s="1"/>
  <c r="AN160" i="1"/>
  <c r="AO160" i="1" s="1"/>
  <c r="CJ159" i="1"/>
  <c r="CM158" i="1"/>
  <c r="CM171" i="1"/>
  <c r="CN171" i="1" s="1"/>
  <c r="CM170" i="1"/>
  <c r="CM169" i="1"/>
  <c r="CN169" i="1" s="1"/>
  <c r="CM168" i="1"/>
  <c r="CN168" i="1" s="1"/>
  <c r="CM167" i="1"/>
  <c r="CN167" i="1" s="1"/>
  <c r="CG166" i="1"/>
  <c r="CH166" i="1" s="1"/>
  <c r="CG164" i="1"/>
  <c r="CH164" i="1" s="1"/>
  <c r="CG162" i="1"/>
  <c r="CH162" i="1" s="1"/>
  <c r="CG160" i="1"/>
  <c r="CG158" i="1"/>
  <c r="CH158" i="1" s="1"/>
  <c r="CJ171" i="1"/>
  <c r="CJ170" i="1"/>
  <c r="CJ169" i="1"/>
  <c r="CJ168" i="1"/>
  <c r="CJ167" i="1"/>
  <c r="CJ166" i="1"/>
  <c r="CM165" i="1"/>
  <c r="CN165" i="1" s="1"/>
  <c r="AN165" i="1"/>
  <c r="CJ164" i="1"/>
  <c r="CM163" i="1"/>
  <c r="CN163" i="1" s="1"/>
  <c r="AN163" i="1"/>
  <c r="AO163" i="1" s="1"/>
  <c r="CJ162" i="1"/>
  <c r="CM161" i="1"/>
  <c r="CN161" i="1" s="1"/>
  <c r="AN161" i="1"/>
  <c r="CJ160" i="1"/>
  <c r="CM159" i="1"/>
  <c r="CN159" i="1" s="1"/>
  <c r="AN159" i="1"/>
  <c r="AO159" i="1" s="1"/>
  <c r="CJ158" i="1"/>
  <c r="AN171" i="1"/>
  <c r="AO171" i="1" s="1"/>
  <c r="AN170" i="1"/>
  <c r="AO170" i="1" s="1"/>
  <c r="AN169" i="1"/>
  <c r="AO169" i="1" s="1"/>
  <c r="AN168" i="1"/>
  <c r="AO168" i="1" s="1"/>
  <c r="AN167" i="1"/>
  <c r="AO167" i="1" s="1"/>
  <c r="CG167" i="1"/>
  <c r="CH167" i="1" s="1"/>
  <c r="CG165" i="1"/>
  <c r="CH165" i="1" s="1"/>
  <c r="CG163" i="1"/>
  <c r="CH163" i="1" s="1"/>
  <c r="CG161" i="1"/>
  <c r="CH161" i="1" s="1"/>
  <c r="CG159" i="1"/>
  <c r="CH159" i="1" s="1"/>
  <c r="CG157" i="1"/>
  <c r="CH157" i="1" s="1"/>
  <c r="CG155" i="1"/>
  <c r="CH155" i="1" s="1"/>
  <c r="CG153" i="1"/>
  <c r="CH153" i="1" s="1"/>
  <c r="CG151" i="1"/>
  <c r="CH151" i="1" s="1"/>
  <c r="CG149" i="1"/>
  <c r="CH149" i="1" s="1"/>
  <c r="CG147" i="1"/>
  <c r="CH147" i="1" s="1"/>
  <c r="CJ157" i="1"/>
  <c r="CM156" i="1"/>
  <c r="CN156" i="1" s="1"/>
  <c r="AN156" i="1"/>
  <c r="AO156" i="1" s="1"/>
  <c r="CJ155" i="1"/>
  <c r="CM154" i="1"/>
  <c r="AN154" i="1"/>
  <c r="AO154" i="1" s="1"/>
  <c r="CJ153" i="1"/>
  <c r="CM152" i="1"/>
  <c r="CN152" i="1" s="1"/>
  <c r="AN152" i="1"/>
  <c r="AO152" i="1" s="1"/>
  <c r="CJ151" i="1"/>
  <c r="CM150" i="1"/>
  <c r="CN150" i="1" s="1"/>
  <c r="AN150" i="1"/>
  <c r="AO150" i="1" s="1"/>
  <c r="CJ149" i="1"/>
  <c r="CM148" i="1"/>
  <c r="CN148" i="1" s="1"/>
  <c r="AN148" i="1"/>
  <c r="AO148" i="1" s="1"/>
  <c r="CJ147" i="1"/>
  <c r="CM146" i="1"/>
  <c r="AN146" i="1"/>
  <c r="AO146" i="1" s="1"/>
  <c r="CJ145" i="1"/>
  <c r="CM144" i="1"/>
  <c r="CN144" i="1" s="1"/>
  <c r="AN144" i="1"/>
  <c r="AO144" i="1" s="1"/>
  <c r="CJ143" i="1"/>
  <c r="CM142" i="1"/>
  <c r="CN142" i="1" s="1"/>
  <c r="AN142" i="1"/>
  <c r="AO142" i="1" s="1"/>
  <c r="CJ141" i="1"/>
  <c r="CM140" i="1"/>
  <c r="CN140" i="1" s="1"/>
  <c r="AN140" i="1"/>
  <c r="AO140" i="1" s="1"/>
  <c r="CJ139" i="1"/>
  <c r="CM138" i="1"/>
  <c r="AN138" i="1"/>
  <c r="AO138" i="1" s="1"/>
  <c r="CG156" i="1"/>
  <c r="CH156" i="1" s="1"/>
  <c r="CG154" i="1"/>
  <c r="CH154" i="1" s="1"/>
  <c r="CG152" i="1"/>
  <c r="CG150" i="1"/>
  <c r="CH150" i="1" s="1"/>
  <c r="CG148" i="1"/>
  <c r="CH148" i="1" s="1"/>
  <c r="AN158" i="1"/>
  <c r="AO158" i="1" s="1"/>
  <c r="CM157" i="1"/>
  <c r="CN157" i="1" s="1"/>
  <c r="AN157" i="1"/>
  <c r="CJ156" i="1"/>
  <c r="CM155" i="1"/>
  <c r="CN155" i="1" s="1"/>
  <c r="AN155" i="1"/>
  <c r="AO155" i="1" s="1"/>
  <c r="CJ154" i="1"/>
  <c r="CM153" i="1"/>
  <c r="CN153" i="1" s="1"/>
  <c r="AN153" i="1"/>
  <c r="CJ152" i="1"/>
  <c r="CM151" i="1"/>
  <c r="CN151" i="1" s="1"/>
  <c r="AN151" i="1"/>
  <c r="AO151" i="1" s="1"/>
  <c r="CJ150" i="1"/>
  <c r="CM149" i="1"/>
  <c r="CN149" i="1" s="1"/>
  <c r="AN149" i="1"/>
  <c r="CJ148" i="1"/>
  <c r="CM147" i="1"/>
  <c r="CN147" i="1" s="1"/>
  <c r="AN147" i="1"/>
  <c r="AO147" i="1" s="1"/>
  <c r="CJ146" i="1"/>
  <c r="CM145" i="1"/>
  <c r="CN145" i="1" s="1"/>
  <c r="AN145" i="1"/>
  <c r="CJ144" i="1"/>
  <c r="CM143" i="1"/>
  <c r="CN143" i="1" s="1"/>
  <c r="AN143" i="1"/>
  <c r="AO143" i="1" s="1"/>
  <c r="CJ142" i="1"/>
  <c r="CM141" i="1"/>
  <c r="CN141" i="1" s="1"/>
  <c r="AN141" i="1"/>
  <c r="CJ140" i="1"/>
  <c r="CM139" i="1"/>
  <c r="CN139" i="1" s="1"/>
  <c r="AN139" i="1"/>
  <c r="AO139" i="1" s="1"/>
  <c r="CJ138" i="1"/>
  <c r="CG137" i="1"/>
  <c r="CH137" i="1" s="1"/>
  <c r="CG135" i="1"/>
  <c r="CH135" i="1" s="1"/>
  <c r="CG133" i="1"/>
  <c r="CH133" i="1" s="1"/>
  <c r="CG130" i="1"/>
  <c r="CH130" i="1" s="1"/>
  <c r="CJ137" i="1"/>
  <c r="CM136" i="1"/>
  <c r="CN136" i="1" s="1"/>
  <c r="AN136" i="1"/>
  <c r="AO136" i="1" s="1"/>
  <c r="CJ135" i="1"/>
  <c r="CM134" i="1"/>
  <c r="CN134" i="1" s="1"/>
  <c r="AN134" i="1"/>
  <c r="AO134" i="1" s="1"/>
  <c r="CJ133" i="1"/>
  <c r="CM132" i="1"/>
  <c r="CN132" i="1" s="1"/>
  <c r="AN132" i="1"/>
  <c r="AO132" i="1" s="1"/>
  <c r="CM131" i="1"/>
  <c r="CN131" i="1" s="1"/>
  <c r="AN131" i="1"/>
  <c r="AO131" i="1" s="1"/>
  <c r="CJ130" i="1"/>
  <c r="CJ129" i="1"/>
  <c r="CM128" i="1"/>
  <c r="CN128" i="1" s="1"/>
  <c r="AN128" i="1"/>
  <c r="AO128" i="1" s="1"/>
  <c r="CJ127" i="1"/>
  <c r="CM126" i="1"/>
  <c r="CN126" i="1" s="1"/>
  <c r="AN126" i="1"/>
  <c r="AO126" i="1" s="1"/>
  <c r="CJ125" i="1"/>
  <c r="CM124" i="1"/>
  <c r="CN124" i="1" s="1"/>
  <c r="AN124" i="1"/>
  <c r="AO124" i="1" s="1"/>
  <c r="CJ123" i="1"/>
  <c r="CM122" i="1"/>
  <c r="AN122" i="1"/>
  <c r="AO122" i="1" s="1"/>
  <c r="CG136" i="1"/>
  <c r="CH136" i="1" s="1"/>
  <c r="CG134" i="1"/>
  <c r="CH134" i="1" s="1"/>
  <c r="CG132" i="1"/>
  <c r="CG131" i="1"/>
  <c r="CH131" i="1" s="1"/>
  <c r="CG146" i="1"/>
  <c r="CH146" i="1" s="1"/>
  <c r="CG145" i="1"/>
  <c r="CH145" i="1" s="1"/>
  <c r="CG144" i="1"/>
  <c r="CG143" i="1"/>
  <c r="CH143" i="1" s="1"/>
  <c r="CG142" i="1"/>
  <c r="CH142" i="1" s="1"/>
  <c r="CG141" i="1"/>
  <c r="CH141" i="1" s="1"/>
  <c r="CG140" i="1"/>
  <c r="CG139" i="1"/>
  <c r="CH139" i="1" s="1"/>
  <c r="CG138" i="1"/>
  <c r="CH138" i="1" s="1"/>
  <c r="CM137" i="1"/>
  <c r="CN137" i="1" s="1"/>
  <c r="AN137" i="1"/>
  <c r="CJ136" i="1"/>
  <c r="CM135" i="1"/>
  <c r="CN135" i="1" s="1"/>
  <c r="AN135" i="1"/>
  <c r="AO135" i="1" s="1"/>
  <c r="CJ134" i="1"/>
  <c r="CM133" i="1"/>
  <c r="CN133" i="1" s="1"/>
  <c r="AN133" i="1"/>
  <c r="AO133" i="1" s="1"/>
  <c r="CJ132" i="1"/>
  <c r="CJ131" i="1"/>
  <c r="CM130" i="1"/>
  <c r="AN130" i="1"/>
  <c r="AO130" i="1" s="1"/>
  <c r="CM129" i="1"/>
  <c r="CN129" i="1" s="1"/>
  <c r="AN129" i="1"/>
  <c r="CJ128" i="1"/>
  <c r="CM127" i="1"/>
  <c r="CN127" i="1" s="1"/>
  <c r="AN127" i="1"/>
  <c r="AO127" i="1" s="1"/>
  <c r="CJ126" i="1"/>
  <c r="CM125" i="1"/>
  <c r="CN125" i="1" s="1"/>
  <c r="AN125" i="1"/>
  <c r="AO125" i="1" s="1"/>
  <c r="CJ124" i="1"/>
  <c r="CM123" i="1"/>
  <c r="CN123" i="1" s="1"/>
  <c r="AN123" i="1"/>
  <c r="AO123" i="1" s="1"/>
  <c r="CJ122" i="1"/>
  <c r="CG129" i="1"/>
  <c r="CH129" i="1" s="1"/>
  <c r="CG128" i="1"/>
  <c r="CG127" i="1"/>
  <c r="CH127" i="1" s="1"/>
  <c r="CG126" i="1"/>
  <c r="CH126" i="1" s="1"/>
  <c r="CG125" i="1"/>
  <c r="CH125" i="1" s="1"/>
  <c r="CG124" i="1"/>
  <c r="CG123" i="1"/>
  <c r="CH123" i="1" s="1"/>
  <c r="CG122" i="1"/>
  <c r="CH122" i="1" s="1"/>
  <c r="CG121" i="1"/>
  <c r="CH121" i="1" s="1"/>
  <c r="CG119" i="1"/>
  <c r="CH119" i="1" s="1"/>
  <c r="CG117" i="1"/>
  <c r="CH117" i="1" s="1"/>
  <c r="CJ121" i="1"/>
  <c r="CM120" i="1"/>
  <c r="CN120" i="1" s="1"/>
  <c r="AN120" i="1"/>
  <c r="AO120" i="1" s="1"/>
  <c r="CJ119" i="1"/>
  <c r="CM118" i="1"/>
  <c r="CN118" i="1" s="1"/>
  <c r="AN118" i="1"/>
  <c r="AO118" i="1" s="1"/>
  <c r="CJ117" i="1"/>
  <c r="CM116" i="1"/>
  <c r="CN116" i="1" s="1"/>
  <c r="AN116" i="1"/>
  <c r="AO116" i="1" s="1"/>
  <c r="CJ115" i="1"/>
  <c r="CJ114" i="1"/>
  <c r="CM113" i="1"/>
  <c r="CN113" i="1" s="1"/>
  <c r="AN113" i="1"/>
  <c r="AO113" i="1" s="1"/>
  <c r="CJ112" i="1"/>
  <c r="CM111" i="1"/>
  <c r="CN111" i="1" s="1"/>
  <c r="AN111" i="1"/>
  <c r="AO111" i="1" s="1"/>
  <c r="CJ110" i="1"/>
  <c r="CM109" i="1"/>
  <c r="CN109" i="1" s="1"/>
  <c r="AN109" i="1"/>
  <c r="CJ108" i="1"/>
  <c r="CM107" i="1"/>
  <c r="CN107" i="1" s="1"/>
  <c r="AN107" i="1"/>
  <c r="AO107" i="1" s="1"/>
  <c r="CG120" i="1"/>
  <c r="CG118" i="1"/>
  <c r="CH118" i="1" s="1"/>
  <c r="CG116" i="1"/>
  <c r="CH116" i="1" s="1"/>
  <c r="CM121" i="1"/>
  <c r="CN121" i="1" s="1"/>
  <c r="AN121" i="1"/>
  <c r="CJ120" i="1"/>
  <c r="CM119" i="1"/>
  <c r="CN119" i="1" s="1"/>
  <c r="AN119" i="1"/>
  <c r="AO119" i="1" s="1"/>
  <c r="CJ118" i="1"/>
  <c r="CM117" i="1"/>
  <c r="CN117" i="1" s="1"/>
  <c r="AN117" i="1"/>
  <c r="AO117" i="1" s="1"/>
  <c r="CJ116" i="1"/>
  <c r="CM115" i="1"/>
  <c r="CN115" i="1" s="1"/>
  <c r="AN115" i="1"/>
  <c r="AO115" i="1" s="1"/>
  <c r="CM114" i="1"/>
  <c r="CN114" i="1" s="1"/>
  <c r="AN114" i="1"/>
  <c r="AO114" i="1" s="1"/>
  <c r="CJ113" i="1"/>
  <c r="CM112" i="1"/>
  <c r="CN112" i="1" s="1"/>
  <c r="AN112" i="1"/>
  <c r="AO112" i="1" s="1"/>
  <c r="CJ111" i="1"/>
  <c r="CM110" i="1"/>
  <c r="AN110" i="1"/>
  <c r="AO110" i="1" s="1"/>
  <c r="CJ109" i="1"/>
  <c r="CM108" i="1"/>
  <c r="CN108" i="1" s="1"/>
  <c r="AN108" i="1"/>
  <c r="AO108" i="1" s="1"/>
  <c r="CJ107" i="1"/>
  <c r="CG105" i="1"/>
  <c r="CH105" i="1" s="1"/>
  <c r="CG103" i="1"/>
  <c r="CH103" i="1" s="1"/>
  <c r="CG101" i="1"/>
  <c r="CH101" i="1" s="1"/>
  <c r="CG99" i="1"/>
  <c r="CH99" i="1" s="1"/>
  <c r="CG97" i="1"/>
  <c r="CH97" i="1" s="1"/>
  <c r="CG95" i="1"/>
  <c r="CH95" i="1" s="1"/>
  <c r="CG93" i="1"/>
  <c r="CH93" i="1" s="1"/>
  <c r="CG90" i="1"/>
  <c r="CH90" i="1" s="1"/>
  <c r="CM106" i="1"/>
  <c r="CN106" i="1" s="1"/>
  <c r="AN106" i="1"/>
  <c r="AO106" i="1" s="1"/>
  <c r="CJ105" i="1"/>
  <c r="CM104" i="1"/>
  <c r="CN104" i="1" s="1"/>
  <c r="AN104" i="1"/>
  <c r="AO104" i="1" s="1"/>
  <c r="CJ103" i="1"/>
  <c r="CM102" i="1"/>
  <c r="AN102" i="1"/>
  <c r="AO102" i="1" s="1"/>
  <c r="CJ101" i="1"/>
  <c r="CM100" i="1"/>
  <c r="CN100" i="1" s="1"/>
  <c r="AN100" i="1"/>
  <c r="AO100" i="1" s="1"/>
  <c r="CJ99" i="1"/>
  <c r="CM98" i="1"/>
  <c r="CN98" i="1" s="1"/>
  <c r="AN98" i="1"/>
  <c r="AO98" i="1" s="1"/>
  <c r="CJ97" i="1"/>
  <c r="CM96" i="1"/>
  <c r="CN96" i="1" s="1"/>
  <c r="AN96" i="1"/>
  <c r="AO96" i="1" s="1"/>
  <c r="CJ95" i="1"/>
  <c r="CM94" i="1"/>
  <c r="AN94" i="1"/>
  <c r="AO94" i="1" s="1"/>
  <c r="CJ93" i="1"/>
  <c r="CM92" i="1"/>
  <c r="CN92" i="1" s="1"/>
  <c r="AN92" i="1"/>
  <c r="AO92" i="1" s="1"/>
  <c r="CM91" i="1"/>
  <c r="CN91" i="1" s="1"/>
  <c r="AN91" i="1"/>
  <c r="AO91" i="1" s="1"/>
  <c r="CJ90" i="1"/>
  <c r="CJ89" i="1"/>
  <c r="CM88" i="1"/>
  <c r="CN88" i="1" s="1"/>
  <c r="AN88" i="1"/>
  <c r="AO88" i="1" s="1"/>
  <c r="CJ87" i="1"/>
  <c r="CM86" i="1"/>
  <c r="AN86" i="1"/>
  <c r="AO86" i="1" s="1"/>
  <c r="CG106" i="1"/>
  <c r="CH106" i="1" s="1"/>
  <c r="CG104" i="1"/>
  <c r="CG102" i="1"/>
  <c r="CH102" i="1" s="1"/>
  <c r="CG100" i="1"/>
  <c r="CG98" i="1"/>
  <c r="CH98" i="1" s="1"/>
  <c r="CG96" i="1"/>
  <c r="CG94" i="1"/>
  <c r="CH94" i="1" s="1"/>
  <c r="CG92" i="1"/>
  <c r="CG91" i="1"/>
  <c r="CH91" i="1" s="1"/>
  <c r="CG115" i="1"/>
  <c r="CH115" i="1" s="1"/>
  <c r="CG114" i="1"/>
  <c r="CH114" i="1" s="1"/>
  <c r="CG113" i="1"/>
  <c r="CH113" i="1" s="1"/>
  <c r="CG112" i="1"/>
  <c r="CH112" i="1" s="1"/>
  <c r="CG111" i="1"/>
  <c r="CH111" i="1" s="1"/>
  <c r="CG110" i="1"/>
  <c r="CH110" i="1" s="1"/>
  <c r="CG109" i="1"/>
  <c r="CH109" i="1" s="1"/>
  <c r="CG108" i="1"/>
  <c r="CH108" i="1" s="1"/>
  <c r="CG107" i="1"/>
  <c r="CH107" i="1" s="1"/>
  <c r="CJ106" i="1"/>
  <c r="CM105" i="1"/>
  <c r="CN105" i="1" s="1"/>
  <c r="AN105" i="1"/>
  <c r="AO105" i="1" s="1"/>
  <c r="CJ104" i="1"/>
  <c r="CM103" i="1"/>
  <c r="CN103" i="1" s="1"/>
  <c r="AN103" i="1"/>
  <c r="AO103" i="1" s="1"/>
  <c r="CJ102" i="1"/>
  <c r="CM101" i="1"/>
  <c r="CN101" i="1" s="1"/>
  <c r="AN101" i="1"/>
  <c r="CJ100" i="1"/>
  <c r="CM99" i="1"/>
  <c r="CN99" i="1" s="1"/>
  <c r="AN99" i="1"/>
  <c r="AO99" i="1" s="1"/>
  <c r="CJ98" i="1"/>
  <c r="CM97" i="1"/>
  <c r="CN97" i="1" s="1"/>
  <c r="AN97" i="1"/>
  <c r="AO97" i="1" s="1"/>
  <c r="CJ96" i="1"/>
  <c r="CM95" i="1"/>
  <c r="CN95" i="1" s="1"/>
  <c r="AN95" i="1"/>
  <c r="AO95" i="1" s="1"/>
  <c r="CJ94" i="1"/>
  <c r="CM93" i="1"/>
  <c r="CN93" i="1" s="1"/>
  <c r="AN93" i="1"/>
  <c r="CJ92" i="1"/>
  <c r="CJ91" i="1"/>
  <c r="CM90" i="1"/>
  <c r="AN90" i="1"/>
  <c r="AO90" i="1" s="1"/>
  <c r="CM89" i="1"/>
  <c r="CN89" i="1" s="1"/>
  <c r="AN89" i="1"/>
  <c r="AO89" i="1" s="1"/>
  <c r="CJ88" i="1"/>
  <c r="CM87" i="1"/>
  <c r="CN87" i="1" s="1"/>
  <c r="AN87" i="1"/>
  <c r="AO87" i="1" s="1"/>
  <c r="CJ86" i="1"/>
  <c r="CG89" i="1"/>
  <c r="CH89" i="1" s="1"/>
  <c r="CG88" i="1"/>
  <c r="CG87" i="1"/>
  <c r="CH87" i="1" s="1"/>
  <c r="CJ85" i="1"/>
  <c r="CM84" i="1"/>
  <c r="CN84" i="1" s="1"/>
  <c r="AN84" i="1"/>
  <c r="AO84" i="1" s="1"/>
  <c r="CJ83" i="1"/>
  <c r="CM82" i="1"/>
  <c r="CN82" i="1" s="1"/>
  <c r="AN82" i="1"/>
  <c r="AO82" i="1" s="1"/>
  <c r="CJ81" i="1"/>
  <c r="CM80" i="1"/>
  <c r="CN80" i="1" s="1"/>
  <c r="AN80" i="1"/>
  <c r="AO80" i="1" s="1"/>
  <c r="CM79" i="1"/>
  <c r="CN79" i="1" s="1"/>
  <c r="AN79" i="1"/>
  <c r="AO79" i="1" s="1"/>
  <c r="CM78" i="1"/>
  <c r="AN78" i="1"/>
  <c r="AO78" i="1" s="1"/>
  <c r="CJ77" i="1"/>
  <c r="CM76" i="1"/>
  <c r="CN76" i="1" s="1"/>
  <c r="AN76" i="1"/>
  <c r="AO76" i="1" s="1"/>
  <c r="CJ75" i="1"/>
  <c r="CM74" i="1"/>
  <c r="AN74" i="1"/>
  <c r="AO74" i="1" s="1"/>
  <c r="CJ73" i="1"/>
  <c r="CM72" i="1"/>
  <c r="CN72" i="1" s="1"/>
  <c r="AN72" i="1"/>
  <c r="AO72" i="1" s="1"/>
  <c r="CJ71" i="1"/>
  <c r="CM70" i="1"/>
  <c r="AN70" i="1"/>
  <c r="AO70" i="1" s="1"/>
  <c r="CJ69" i="1"/>
  <c r="CG86" i="1"/>
  <c r="CH86" i="1" s="1"/>
  <c r="CG84" i="1"/>
  <c r="CG82" i="1"/>
  <c r="CH82" i="1" s="1"/>
  <c r="CG80" i="1"/>
  <c r="CG79" i="1"/>
  <c r="CH79" i="1" s="1"/>
  <c r="CG78" i="1"/>
  <c r="CH78" i="1" s="1"/>
  <c r="CG76" i="1"/>
  <c r="CH76" i="1" s="1"/>
  <c r="CG74" i="1"/>
  <c r="CH74" i="1" s="1"/>
  <c r="CG72" i="1"/>
  <c r="CG70" i="1"/>
  <c r="CH70" i="1" s="1"/>
  <c r="CG67" i="1"/>
  <c r="CH67" i="1" s="1"/>
  <c r="CG66" i="1"/>
  <c r="CH66" i="1" s="1"/>
  <c r="CM85" i="1"/>
  <c r="CN85" i="1" s="1"/>
  <c r="AN85" i="1"/>
  <c r="CJ84" i="1"/>
  <c r="CM83" i="1"/>
  <c r="CN83" i="1" s="1"/>
  <c r="AN83" i="1"/>
  <c r="AO83" i="1" s="1"/>
  <c r="CJ82" i="1"/>
  <c r="CM81" i="1"/>
  <c r="CN81" i="1" s="1"/>
  <c r="AN81" i="1"/>
  <c r="CJ80" i="1"/>
  <c r="CJ79" i="1"/>
  <c r="CJ78" i="1"/>
  <c r="CM77" i="1"/>
  <c r="CN77" i="1" s="1"/>
  <c r="AN77" i="1"/>
  <c r="CJ76" i="1"/>
  <c r="CM75" i="1"/>
  <c r="CN75" i="1" s="1"/>
  <c r="AN75" i="1"/>
  <c r="AO75" i="1" s="1"/>
  <c r="CJ74" i="1"/>
  <c r="CM73" i="1"/>
  <c r="CN73" i="1" s="1"/>
  <c r="AN73" i="1"/>
  <c r="AO73" i="1" s="1"/>
  <c r="CJ72" i="1"/>
  <c r="CM71" i="1"/>
  <c r="CN71" i="1" s="1"/>
  <c r="AN71" i="1"/>
  <c r="AO71" i="1" s="1"/>
  <c r="CJ70" i="1"/>
  <c r="CM69" i="1"/>
  <c r="CN69" i="1" s="1"/>
  <c r="AN69" i="1"/>
  <c r="CG85" i="1"/>
  <c r="CH85" i="1" s="1"/>
  <c r="CG83" i="1"/>
  <c r="CH83" i="1" s="1"/>
  <c r="CG81" i="1"/>
  <c r="CH81" i="1" s="1"/>
  <c r="CG77" i="1"/>
  <c r="CH77" i="1" s="1"/>
  <c r="CG75" i="1"/>
  <c r="CH75" i="1" s="1"/>
  <c r="CG73" i="1"/>
  <c r="CH73" i="1" s="1"/>
  <c r="CG71" i="1"/>
  <c r="CH71" i="1" s="1"/>
  <c r="CG69" i="1"/>
  <c r="CH69" i="1" s="1"/>
  <c r="CG68" i="1"/>
  <c r="CJ68" i="1"/>
  <c r="CJ67" i="1"/>
  <c r="CJ66" i="1"/>
  <c r="CG65" i="1"/>
  <c r="CH65" i="1" s="1"/>
  <c r="CG64" i="1"/>
  <c r="CH64" i="1" s="1"/>
  <c r="CG62" i="1"/>
  <c r="CH62" i="1" s="1"/>
  <c r="CG59" i="1"/>
  <c r="CH59" i="1" s="1"/>
  <c r="CG57" i="1"/>
  <c r="CH57" i="1" s="1"/>
  <c r="CG55" i="1"/>
  <c r="CH55" i="1" s="1"/>
  <c r="CG53" i="1"/>
  <c r="CH53" i="1" s="1"/>
  <c r="CG51" i="1"/>
  <c r="CH51" i="1" s="1"/>
  <c r="CG49" i="1"/>
  <c r="CH49" i="1" s="1"/>
  <c r="CG47" i="1"/>
  <c r="CH47" i="1" s="1"/>
  <c r="CG45" i="1"/>
  <c r="CH45" i="1" s="1"/>
  <c r="CG43" i="1"/>
  <c r="CH43" i="1" s="1"/>
  <c r="CG41" i="1"/>
  <c r="CH41" i="1" s="1"/>
  <c r="CG39" i="1"/>
  <c r="CH39" i="1" s="1"/>
  <c r="CG37" i="1"/>
  <c r="CH37" i="1" s="1"/>
  <c r="CG35" i="1"/>
  <c r="CH35" i="1" s="1"/>
  <c r="CG33" i="1"/>
  <c r="CH33" i="1" s="1"/>
  <c r="CG32" i="1"/>
  <c r="CH32" i="1" s="1"/>
  <c r="AN68" i="1"/>
  <c r="AO68" i="1" s="1"/>
  <c r="AN67" i="1"/>
  <c r="AO67" i="1" s="1"/>
  <c r="AN66" i="1"/>
  <c r="AO66" i="1" s="1"/>
  <c r="CJ65" i="1"/>
  <c r="CJ64" i="1"/>
  <c r="CM63" i="1"/>
  <c r="CN63" i="1" s="1"/>
  <c r="AN63" i="1"/>
  <c r="AO63" i="1" s="1"/>
  <c r="CJ62" i="1"/>
  <c r="CM61" i="1"/>
  <c r="CN61" i="1" s="1"/>
  <c r="AN61" i="1"/>
  <c r="CM60" i="1"/>
  <c r="CN60" i="1" s="1"/>
  <c r="AN60" i="1"/>
  <c r="AO60" i="1" s="1"/>
  <c r="CJ59" i="1"/>
  <c r="CM58" i="1"/>
  <c r="AN58" i="1"/>
  <c r="AO58" i="1" s="1"/>
  <c r="CJ57" i="1"/>
  <c r="CM56" i="1"/>
  <c r="CN56" i="1" s="1"/>
  <c r="AN56" i="1"/>
  <c r="AO56" i="1" s="1"/>
  <c r="CJ55" i="1"/>
  <c r="CM54" i="1"/>
  <c r="CN54" i="1" s="1"/>
  <c r="AN54" i="1"/>
  <c r="AO54" i="1" s="1"/>
  <c r="CJ53" i="1"/>
  <c r="CM52" i="1"/>
  <c r="CN52" i="1" s="1"/>
  <c r="AN52" i="1"/>
  <c r="AO52" i="1" s="1"/>
  <c r="CJ51" i="1"/>
  <c r="CM50" i="1"/>
  <c r="AN50" i="1"/>
  <c r="AO50" i="1" s="1"/>
  <c r="CJ49" i="1"/>
  <c r="CM48" i="1"/>
  <c r="CN48" i="1" s="1"/>
  <c r="AN48" i="1"/>
  <c r="AO48" i="1" s="1"/>
  <c r="CJ47" i="1"/>
  <c r="CM46" i="1"/>
  <c r="CN46" i="1" s="1"/>
  <c r="AN46" i="1"/>
  <c r="AO46" i="1" s="1"/>
  <c r="CJ45" i="1"/>
  <c r="CM44" i="1"/>
  <c r="CN44" i="1" s="1"/>
  <c r="AN44" i="1"/>
  <c r="AO44" i="1" s="1"/>
  <c r="CJ43" i="1"/>
  <c r="CM42" i="1"/>
  <c r="AN42" i="1"/>
  <c r="AO42" i="1" s="1"/>
  <c r="CJ41" i="1"/>
  <c r="CM40" i="1"/>
  <c r="CN40" i="1" s="1"/>
  <c r="AN40" i="1"/>
  <c r="AO40" i="1" s="1"/>
  <c r="CJ39" i="1"/>
  <c r="CM38" i="1"/>
  <c r="CN38" i="1" s="1"/>
  <c r="AN38" i="1"/>
  <c r="AO38" i="1" s="1"/>
  <c r="CJ37" i="1"/>
  <c r="CM36" i="1"/>
  <c r="CN36" i="1" s="1"/>
  <c r="AN36" i="1"/>
  <c r="AO36" i="1" s="1"/>
  <c r="CJ35" i="1"/>
  <c r="CM34" i="1"/>
  <c r="AN34" i="1"/>
  <c r="AO34" i="1" s="1"/>
  <c r="CJ33" i="1"/>
  <c r="CJ32" i="1"/>
  <c r="CM31" i="1"/>
  <c r="CN31" i="1" s="1"/>
  <c r="AN31" i="1"/>
  <c r="AO31" i="1" s="1"/>
  <c r="CJ30" i="1"/>
  <c r="CM29" i="1"/>
  <c r="CN29" i="1" s="1"/>
  <c r="AN29" i="1"/>
  <c r="CJ28" i="1"/>
  <c r="CG63" i="1"/>
  <c r="CH63" i="1" s="1"/>
  <c r="CG61" i="1"/>
  <c r="CH61" i="1" s="1"/>
  <c r="CG60" i="1"/>
  <c r="CG58" i="1"/>
  <c r="CH58" i="1" s="1"/>
  <c r="CG56" i="1"/>
  <c r="CH56" i="1" s="1"/>
  <c r="CG54" i="1"/>
  <c r="CH54" i="1" s="1"/>
  <c r="CG52" i="1"/>
  <c r="CG50" i="1"/>
  <c r="CH50" i="1" s="1"/>
  <c r="CG48" i="1"/>
  <c r="CH48" i="1" s="1"/>
  <c r="CG46" i="1"/>
  <c r="CH46" i="1" s="1"/>
  <c r="CG44" i="1"/>
  <c r="CG42" i="1"/>
  <c r="CH42" i="1" s="1"/>
  <c r="CG40" i="1"/>
  <c r="CH40" i="1" s="1"/>
  <c r="CG38" i="1"/>
  <c r="CH38" i="1" s="1"/>
  <c r="CG36" i="1"/>
  <c r="CG34" i="1"/>
  <c r="CH34" i="1" s="1"/>
  <c r="CM68" i="1"/>
  <c r="CN68" i="1" s="1"/>
  <c r="CM67" i="1"/>
  <c r="CN67" i="1" s="1"/>
  <c r="CM66" i="1"/>
  <c r="CM65" i="1"/>
  <c r="CN65" i="1" s="1"/>
  <c r="AN65" i="1"/>
  <c r="AO65" i="1" s="1"/>
  <c r="CM64" i="1"/>
  <c r="CN64" i="1" s="1"/>
  <c r="AN64" i="1"/>
  <c r="AO64" i="1" s="1"/>
  <c r="CJ63" i="1"/>
  <c r="CM62" i="1"/>
  <c r="CN62" i="1" s="1"/>
  <c r="AN62" i="1"/>
  <c r="AO62" i="1" s="1"/>
  <c r="CJ61" i="1"/>
  <c r="CJ60" i="1"/>
  <c r="CM59" i="1"/>
  <c r="CN59" i="1" s="1"/>
  <c r="AN59" i="1"/>
  <c r="AO59" i="1" s="1"/>
  <c r="CJ58" i="1"/>
  <c r="CM57" i="1"/>
  <c r="CN57" i="1" s="1"/>
  <c r="AN57" i="1"/>
  <c r="AO57" i="1" s="1"/>
  <c r="CJ56" i="1"/>
  <c r="CM55" i="1"/>
  <c r="CN55" i="1" s="1"/>
  <c r="AN55" i="1"/>
  <c r="AO55" i="1" s="1"/>
  <c r="CJ54" i="1"/>
  <c r="CM53" i="1"/>
  <c r="CN53" i="1" s="1"/>
  <c r="AN53" i="1"/>
  <c r="CJ52" i="1"/>
  <c r="CM51" i="1"/>
  <c r="CN51" i="1" s="1"/>
  <c r="AN51" i="1"/>
  <c r="AO51" i="1" s="1"/>
  <c r="CJ50" i="1"/>
  <c r="CM49" i="1"/>
  <c r="CN49" i="1" s="1"/>
  <c r="AN49" i="1"/>
  <c r="AO49" i="1" s="1"/>
  <c r="CJ48" i="1"/>
  <c r="CM47" i="1"/>
  <c r="CN47" i="1" s="1"/>
  <c r="AN47" i="1"/>
  <c r="AO47" i="1" s="1"/>
  <c r="CJ46" i="1"/>
  <c r="CM45" i="1"/>
  <c r="CN45" i="1" s="1"/>
  <c r="AN45" i="1"/>
  <c r="CJ44" i="1"/>
  <c r="CM43" i="1"/>
  <c r="CN43" i="1" s="1"/>
  <c r="AN43" i="1"/>
  <c r="AO43" i="1" s="1"/>
  <c r="CJ42" i="1"/>
  <c r="CM41" i="1"/>
  <c r="CN41" i="1" s="1"/>
  <c r="AN41" i="1"/>
  <c r="AO41" i="1" s="1"/>
  <c r="CJ40" i="1"/>
  <c r="CM39" i="1"/>
  <c r="CN39" i="1" s="1"/>
  <c r="AN39" i="1"/>
  <c r="AO39" i="1" s="1"/>
  <c r="CJ38" i="1"/>
  <c r="CM37" i="1"/>
  <c r="CN37" i="1" s="1"/>
  <c r="AN37" i="1"/>
  <c r="CJ36" i="1"/>
  <c r="CM35" i="1"/>
  <c r="CN35" i="1" s="1"/>
  <c r="AN35" i="1"/>
  <c r="AO35" i="1" s="1"/>
  <c r="CJ34" i="1"/>
  <c r="CM33" i="1"/>
  <c r="CN33" i="1" s="1"/>
  <c r="AN33" i="1"/>
  <c r="AO33" i="1" s="1"/>
  <c r="CM32" i="1"/>
  <c r="CN32" i="1" s="1"/>
  <c r="AN32" i="1"/>
  <c r="AO32" i="1" s="1"/>
  <c r="CJ31" i="1"/>
  <c r="CM30" i="1"/>
  <c r="CN30" i="1" s="1"/>
  <c r="AN30" i="1"/>
  <c r="AO30" i="1" s="1"/>
  <c r="CJ29" i="1"/>
  <c r="CM28" i="1"/>
  <c r="CN28" i="1" s="1"/>
  <c r="AN28" i="1"/>
  <c r="AO28" i="1" s="1"/>
  <c r="CG11" i="1"/>
  <c r="CH11" i="1" s="1"/>
  <c r="CG13" i="1"/>
  <c r="CH13" i="1" s="1"/>
  <c r="CG16" i="1"/>
  <c r="CG18" i="1"/>
  <c r="CH18" i="1" s="1"/>
  <c r="CG20" i="1"/>
  <c r="CG21" i="1"/>
  <c r="CH21" i="1" s="1"/>
  <c r="CG23" i="1"/>
  <c r="CH23" i="1" s="1"/>
  <c r="CG25" i="1"/>
  <c r="CH25" i="1" s="1"/>
  <c r="CG27" i="1"/>
  <c r="CH27" i="1" s="1"/>
  <c r="AQ187" i="1"/>
  <c r="AQ145" i="1"/>
  <c r="AQ121" i="1"/>
  <c r="AR121" i="1" s="1"/>
  <c r="AQ92" i="1"/>
  <c r="AR92" i="1" s="1"/>
  <c r="AQ39" i="1"/>
  <c r="AR39" i="1" s="1"/>
  <c r="AQ34" i="1"/>
  <c r="AR34" i="1" s="1"/>
  <c r="AN11" i="1"/>
  <c r="AO11" i="1" s="1"/>
  <c r="CM11" i="1"/>
  <c r="CN11" i="1" s="1"/>
  <c r="CJ12" i="1"/>
  <c r="AN13" i="1"/>
  <c r="CM13" i="1"/>
  <c r="CN13" i="1" s="1"/>
  <c r="AN16" i="1"/>
  <c r="AO16" i="1" s="1"/>
  <c r="CM16" i="1"/>
  <c r="CN16" i="1" s="1"/>
  <c r="CJ17" i="1"/>
  <c r="AN18" i="1"/>
  <c r="AO18" i="1" s="1"/>
  <c r="CM18" i="1"/>
  <c r="CJ19" i="1"/>
  <c r="AN20" i="1"/>
  <c r="AO20" i="1" s="1"/>
  <c r="CM20" i="1"/>
  <c r="CN20" i="1" s="1"/>
  <c r="AN21" i="1"/>
  <c r="CM21" i="1"/>
  <c r="CN21" i="1" s="1"/>
  <c r="CJ22" i="1"/>
  <c r="AN23" i="1"/>
  <c r="AO23" i="1" s="1"/>
  <c r="CM23" i="1"/>
  <c r="CN23" i="1" s="1"/>
  <c r="CJ24" i="1"/>
  <c r="AN25" i="1"/>
  <c r="CM25" i="1"/>
  <c r="CN25" i="1" s="1"/>
  <c r="CJ26" i="1"/>
  <c r="AN27" i="1"/>
  <c r="AO27" i="1" s="1"/>
  <c r="CM27" i="1"/>
  <c r="CN27" i="1" s="1"/>
  <c r="CG12" i="1"/>
  <c r="CH12" i="1" s="1"/>
  <c r="CG14" i="1"/>
  <c r="CH14" i="1" s="1"/>
  <c r="CG17" i="1"/>
  <c r="CH17" i="1" s="1"/>
  <c r="CG19" i="1"/>
  <c r="CH19" i="1" s="1"/>
  <c r="CG22" i="1"/>
  <c r="CH22" i="1" s="1"/>
  <c r="CG24" i="1"/>
  <c r="CG26" i="1"/>
  <c r="CH26" i="1" s="1"/>
  <c r="CG28" i="1"/>
  <c r="AB180" i="1"/>
  <c r="AC180" i="1" s="1"/>
  <c r="BL189" i="1"/>
  <c r="BM189" i="1" s="1"/>
  <c r="BI189" i="1"/>
  <c r="BJ189" i="1" s="1"/>
  <c r="BF189" i="1"/>
  <c r="BC189" i="1"/>
  <c r="BD189" i="1" s="1"/>
  <c r="AZ189" i="1"/>
  <c r="BA189" i="1" s="1"/>
  <c r="AW189" i="1"/>
  <c r="CM189" i="1"/>
  <c r="CN189" i="1" s="1"/>
  <c r="CJ189" i="1"/>
  <c r="AN189" i="1"/>
  <c r="CG189" i="1"/>
  <c r="CH189" i="1" s="1"/>
  <c r="AT265" i="1"/>
  <c r="AB9" i="1"/>
  <c r="BO11" i="1"/>
  <c r="BP11" i="1" s="1"/>
  <c r="BO12" i="1"/>
  <c r="BP12" i="1" s="1"/>
  <c r="BO13" i="1"/>
  <c r="BP13" i="1" s="1"/>
  <c r="BO14" i="1"/>
  <c r="BP14" i="1" s="1"/>
  <c r="BO15" i="1"/>
  <c r="BO16" i="1"/>
  <c r="BP16" i="1" s="1"/>
  <c r="BO17" i="1"/>
  <c r="BP17" i="1" s="1"/>
  <c r="BO19" i="1"/>
  <c r="BP19" i="1" s="1"/>
  <c r="BO20" i="1"/>
  <c r="BP20" i="1" s="1"/>
  <c r="BO21" i="1"/>
  <c r="BP21" i="1" s="1"/>
  <c r="BO22" i="1"/>
  <c r="BO23" i="1"/>
  <c r="BP23" i="1" s="1"/>
  <c r="BO24" i="1"/>
  <c r="BP24" i="1" s="1"/>
  <c r="BO25" i="1"/>
  <c r="BP25" i="1" s="1"/>
  <c r="BO26" i="1"/>
  <c r="BO27" i="1"/>
  <c r="BP27" i="1" s="1"/>
  <c r="BO28" i="1"/>
  <c r="BP28" i="1" s="1"/>
  <c r="BO29" i="1"/>
  <c r="BP29" i="1" s="1"/>
  <c r="BO30" i="1"/>
  <c r="BO31" i="1"/>
  <c r="BP31" i="1" s="1"/>
  <c r="BO32" i="1"/>
  <c r="BP32" i="1" s="1"/>
  <c r="BO33" i="1"/>
  <c r="BP33" i="1" s="1"/>
  <c r="BO34" i="1"/>
  <c r="BO35" i="1"/>
  <c r="BP35" i="1" s="1"/>
  <c r="BO36" i="1"/>
  <c r="BP36" i="1" s="1"/>
  <c r="BO37" i="1"/>
  <c r="BP37" i="1" s="1"/>
  <c r="BO38" i="1"/>
  <c r="BO39" i="1"/>
  <c r="BP39" i="1" s="1"/>
  <c r="BO40" i="1"/>
  <c r="BP40" i="1" s="1"/>
  <c r="BO41" i="1"/>
  <c r="BP41" i="1" s="1"/>
  <c r="BO42" i="1"/>
  <c r="BO43" i="1"/>
  <c r="BP43" i="1" s="1"/>
  <c r="BO44" i="1"/>
  <c r="BP44" i="1" s="1"/>
  <c r="BO45" i="1"/>
  <c r="BP45" i="1" s="1"/>
  <c r="BO46" i="1"/>
  <c r="BO47" i="1"/>
  <c r="BP47" i="1" s="1"/>
  <c r="BO48" i="1"/>
  <c r="BP48" i="1" s="1"/>
  <c r="BO49" i="1"/>
  <c r="BP49" i="1" s="1"/>
  <c r="BO50" i="1"/>
  <c r="BO51" i="1"/>
  <c r="BP51" i="1" s="1"/>
  <c r="BO52" i="1"/>
  <c r="BP52" i="1" s="1"/>
  <c r="BO53" i="1"/>
  <c r="BP53" i="1" s="1"/>
  <c r="BO54" i="1"/>
  <c r="BO55" i="1"/>
  <c r="BP55" i="1" s="1"/>
  <c r="BO56" i="1"/>
  <c r="BP56" i="1" s="1"/>
  <c r="BO57" i="1"/>
  <c r="BP57" i="1" s="1"/>
  <c r="BO58" i="1"/>
  <c r="BO59" i="1"/>
  <c r="BP59" i="1" s="1"/>
  <c r="BO60" i="1"/>
  <c r="BP60" i="1" s="1"/>
  <c r="BO61" i="1"/>
  <c r="BP61" i="1" s="1"/>
  <c r="BO62" i="1"/>
  <c r="BO63" i="1"/>
  <c r="BP63" i="1" s="1"/>
  <c r="BO64" i="1"/>
  <c r="BP64" i="1" s="1"/>
  <c r="BO65" i="1"/>
  <c r="BP65" i="1" s="1"/>
  <c r="BO66" i="1"/>
  <c r="BO67" i="1"/>
  <c r="BP67" i="1" s="1"/>
  <c r="BO68" i="1"/>
  <c r="BP68" i="1" s="1"/>
  <c r="BO69" i="1"/>
  <c r="BP69" i="1" s="1"/>
  <c r="BO70" i="1"/>
  <c r="BO71" i="1"/>
  <c r="BP71" i="1" s="1"/>
  <c r="BO72" i="1"/>
  <c r="BP72" i="1" s="1"/>
  <c r="BO73" i="1"/>
  <c r="BP73" i="1" s="1"/>
  <c r="BO74" i="1"/>
  <c r="BO75" i="1"/>
  <c r="BP75" i="1" s="1"/>
  <c r="BO76" i="1"/>
  <c r="BP76" i="1" s="1"/>
  <c r="BO77" i="1"/>
  <c r="BP77" i="1" s="1"/>
  <c r="BO78" i="1"/>
  <c r="BO79" i="1"/>
  <c r="BP79" i="1" s="1"/>
  <c r="BO80" i="1"/>
  <c r="BP80" i="1" s="1"/>
  <c r="BO81" i="1"/>
  <c r="BP81" i="1" s="1"/>
  <c r="BO82" i="1"/>
  <c r="BO83" i="1"/>
  <c r="BP83" i="1" s="1"/>
  <c r="BO84" i="1"/>
  <c r="BP84" i="1" s="1"/>
  <c r="BO85" i="1"/>
  <c r="BP85" i="1" s="1"/>
  <c r="BO86" i="1"/>
  <c r="BO87" i="1"/>
  <c r="BP87" i="1" s="1"/>
  <c r="BO88" i="1"/>
  <c r="BP88" i="1" s="1"/>
  <c r="BO89" i="1"/>
  <c r="BP89" i="1" s="1"/>
  <c r="BO90" i="1"/>
  <c r="BO91" i="1"/>
  <c r="BP91" i="1" s="1"/>
  <c r="BO92" i="1"/>
  <c r="BP92" i="1" s="1"/>
  <c r="BO93" i="1"/>
  <c r="BP93" i="1" s="1"/>
  <c r="BO94" i="1"/>
  <c r="BO95" i="1"/>
  <c r="BP95" i="1" s="1"/>
  <c r="BO96" i="1"/>
  <c r="BP96" i="1" s="1"/>
  <c r="BO97" i="1"/>
  <c r="BP97" i="1" s="1"/>
  <c r="BO98" i="1"/>
  <c r="BO99" i="1"/>
  <c r="BP99" i="1" s="1"/>
  <c r="BO100" i="1"/>
  <c r="BP100" i="1" s="1"/>
  <c r="BO101" i="1"/>
  <c r="BP101" i="1" s="1"/>
  <c r="BO102" i="1"/>
  <c r="BO103" i="1"/>
  <c r="BP103" i="1" s="1"/>
  <c r="BO104" i="1"/>
  <c r="BP104" i="1" s="1"/>
  <c r="BO105" i="1"/>
  <c r="BP105" i="1" s="1"/>
  <c r="BO106" i="1"/>
  <c r="BO107" i="1"/>
  <c r="BP107" i="1" s="1"/>
  <c r="BO108" i="1"/>
  <c r="BP108" i="1" s="1"/>
  <c r="BO109" i="1"/>
  <c r="BP109" i="1" s="1"/>
  <c r="BO110" i="1"/>
  <c r="BO111" i="1"/>
  <c r="BP111" i="1" s="1"/>
  <c r="BO112" i="1"/>
  <c r="BP112" i="1" s="1"/>
  <c r="BO113" i="1"/>
  <c r="BP113" i="1" s="1"/>
  <c r="BO114" i="1"/>
  <c r="BO115" i="1"/>
  <c r="BP115" i="1" s="1"/>
  <c r="BO116" i="1"/>
  <c r="BP116" i="1" s="1"/>
  <c r="BO117" i="1"/>
  <c r="BP117" i="1" s="1"/>
  <c r="BO118" i="1"/>
  <c r="BO119" i="1"/>
  <c r="BP119" i="1" s="1"/>
  <c r="BO120" i="1"/>
  <c r="BP120" i="1" s="1"/>
  <c r="BO121" i="1"/>
  <c r="BP121" i="1" s="1"/>
  <c r="BO122" i="1"/>
  <c r="BO123" i="1"/>
  <c r="BP123" i="1" s="1"/>
  <c r="BO124" i="1"/>
  <c r="BP124" i="1" s="1"/>
  <c r="BO125" i="1"/>
  <c r="BP125" i="1" s="1"/>
  <c r="BO126" i="1"/>
  <c r="BO127" i="1"/>
  <c r="BP127" i="1" s="1"/>
  <c r="BO128" i="1"/>
  <c r="BP128" i="1" s="1"/>
  <c r="BO129" i="1"/>
  <c r="BP129" i="1" s="1"/>
  <c r="BO130" i="1"/>
  <c r="BO131" i="1"/>
  <c r="BP131" i="1" s="1"/>
  <c r="BO132" i="1"/>
  <c r="BP132" i="1" s="1"/>
  <c r="BO133" i="1"/>
  <c r="BP133" i="1" s="1"/>
  <c r="BO134" i="1"/>
  <c r="BO135" i="1"/>
  <c r="BP135" i="1" s="1"/>
  <c r="BO136" i="1"/>
  <c r="BP136" i="1" s="1"/>
  <c r="BO137" i="1"/>
  <c r="BP137" i="1" s="1"/>
  <c r="BO138" i="1"/>
  <c r="BO140" i="1"/>
  <c r="BP140" i="1" s="1"/>
  <c r="BO141" i="1"/>
  <c r="BP141" i="1" s="1"/>
  <c r="BO142" i="1"/>
  <c r="BO143" i="1"/>
  <c r="BP143" i="1" s="1"/>
  <c r="BO144" i="1"/>
  <c r="BP144" i="1" s="1"/>
  <c r="BO145" i="1"/>
  <c r="BP145" i="1" s="1"/>
  <c r="BO146" i="1"/>
  <c r="BO147" i="1"/>
  <c r="BP147" i="1" s="1"/>
  <c r="BO148" i="1"/>
  <c r="BP148" i="1" s="1"/>
  <c r="BO149" i="1"/>
  <c r="BP149" i="1" s="1"/>
  <c r="BO150" i="1"/>
  <c r="BO151" i="1"/>
  <c r="BP151" i="1" s="1"/>
  <c r="BO152" i="1"/>
  <c r="BP152" i="1" s="1"/>
  <c r="BO153" i="1"/>
  <c r="BP153" i="1" s="1"/>
  <c r="BO154" i="1"/>
  <c r="BO156" i="1"/>
  <c r="BP156" i="1" s="1"/>
  <c r="BO157" i="1"/>
  <c r="BP157" i="1" s="1"/>
  <c r="BO158" i="1"/>
  <c r="BO159" i="1"/>
  <c r="BP159" i="1" s="1"/>
  <c r="BO160" i="1"/>
  <c r="BP160" i="1" s="1"/>
  <c r="BO161" i="1"/>
  <c r="BP161" i="1" s="1"/>
  <c r="BO162" i="1"/>
  <c r="BO163" i="1"/>
  <c r="BP163" i="1" s="1"/>
  <c r="BO164" i="1"/>
  <c r="BP164" i="1" s="1"/>
  <c r="BO165" i="1"/>
  <c r="BP165" i="1" s="1"/>
  <c r="BO166" i="1"/>
  <c r="BO167" i="1"/>
  <c r="BP167" i="1" s="1"/>
  <c r="BO168" i="1"/>
  <c r="BP168" i="1" s="1"/>
  <c r="BO169" i="1"/>
  <c r="BP169" i="1" s="1"/>
  <c r="BO170" i="1"/>
  <c r="BO171" i="1"/>
  <c r="BP171" i="1" s="1"/>
  <c r="BO172" i="1"/>
  <c r="BP172" i="1" s="1"/>
  <c r="BO173" i="1"/>
  <c r="BP173" i="1" s="1"/>
  <c r="BO174" i="1"/>
  <c r="BO176" i="1"/>
  <c r="BP176" i="1" s="1"/>
  <c r="BO177" i="1"/>
  <c r="BP177" i="1" s="1"/>
  <c r="BO178" i="1"/>
  <c r="BP178" i="1" s="1"/>
  <c r="BO180" i="1"/>
  <c r="BP180" i="1" s="1"/>
  <c r="BO183" i="1"/>
  <c r="BP183" i="1" s="1"/>
  <c r="BO184" i="1"/>
  <c r="BP184" i="1" s="1"/>
  <c r="BO186" i="1"/>
  <c r="BP186" i="1" s="1"/>
  <c r="BO187" i="1"/>
  <c r="BP187" i="1" s="1"/>
  <c r="BO190" i="1"/>
  <c r="BO191" i="1"/>
  <c r="BP191" i="1" s="1"/>
  <c r="BO192" i="1"/>
  <c r="BP192" i="1" s="1"/>
  <c r="BO194" i="1"/>
  <c r="BO195" i="1"/>
  <c r="BP195" i="1" s="1"/>
  <c r="BO196" i="1"/>
  <c r="BP196" i="1" s="1"/>
  <c r="BO197" i="1"/>
  <c r="BP197" i="1" s="1"/>
  <c r="BO198" i="1"/>
  <c r="BO199" i="1"/>
  <c r="BP199" i="1" s="1"/>
  <c r="BO201" i="1"/>
  <c r="BP201" i="1" s="1"/>
  <c r="BO202" i="1"/>
  <c r="BP202" i="1" s="1"/>
  <c r="BO203" i="1"/>
  <c r="BP203" i="1" s="1"/>
  <c r="BO205" i="1"/>
  <c r="BP205" i="1" s="1"/>
  <c r="BO206" i="1"/>
  <c r="BO207" i="1"/>
  <c r="BP207" i="1" s="1"/>
  <c r="BO209" i="1"/>
  <c r="BP209" i="1" s="1"/>
  <c r="BO210" i="1"/>
  <c r="BO211" i="1"/>
  <c r="BP211" i="1" s="1"/>
  <c r="BO213" i="1"/>
  <c r="BP213" i="1" s="1"/>
  <c r="BO214" i="1"/>
  <c r="BO216" i="1"/>
  <c r="BP216" i="1" s="1"/>
  <c r="BO217" i="1"/>
  <c r="BP217" i="1" s="1"/>
  <c r="BO219" i="1"/>
  <c r="BP219" i="1" s="1"/>
  <c r="BO220" i="1"/>
  <c r="BP220" i="1" s="1"/>
  <c r="BO221" i="1"/>
  <c r="BP221" i="1" s="1"/>
  <c r="BO223" i="1"/>
  <c r="BP223" i="1" s="1"/>
  <c r="BO224" i="1"/>
  <c r="BP224" i="1" s="1"/>
  <c r="BO225" i="1"/>
  <c r="BP225" i="1" s="1"/>
  <c r="BO227" i="1"/>
  <c r="BP227" i="1" s="1"/>
  <c r="BO228" i="1"/>
  <c r="BP228" i="1" s="1"/>
  <c r="BO229" i="1"/>
  <c r="BP229" i="1" s="1"/>
  <c r="BO230" i="1"/>
  <c r="BO231" i="1"/>
  <c r="BP231" i="1" s="1"/>
  <c r="BO232" i="1"/>
  <c r="BP232" i="1" s="1"/>
  <c r="BO233" i="1"/>
  <c r="BP233" i="1" s="1"/>
  <c r="BO234" i="1"/>
  <c r="BO235" i="1"/>
  <c r="BP235" i="1" s="1"/>
  <c r="BO237" i="1"/>
  <c r="BP237" i="1" s="1"/>
  <c r="BO238" i="1"/>
  <c r="BP238" i="1" s="1"/>
  <c r="BO239" i="1"/>
  <c r="BP239" i="1" s="1"/>
  <c r="BO241" i="1"/>
  <c r="BP241" i="1" s="1"/>
  <c r="BO242" i="1"/>
  <c r="BO243" i="1"/>
  <c r="BP243" i="1" s="1"/>
  <c r="BO246" i="1"/>
  <c r="BO247" i="1"/>
  <c r="BP247" i="1" s="1"/>
  <c r="BO250" i="1"/>
  <c r="BO251" i="1"/>
  <c r="BP251" i="1" s="1"/>
  <c r="BO252" i="1"/>
  <c r="BP252" i="1" s="1"/>
  <c r="BO254" i="1"/>
  <c r="BO255" i="1"/>
  <c r="BP255" i="1" s="1"/>
  <c r="BO256" i="1"/>
  <c r="BP256" i="1" s="1"/>
  <c r="BO258" i="1"/>
  <c r="BO260" i="1"/>
  <c r="BP260" i="1" s="1"/>
  <c r="BO261" i="1"/>
  <c r="BP261" i="1" s="1"/>
  <c r="BO262" i="1"/>
  <c r="BP262" i="1" s="1"/>
  <c r="BO265" i="1"/>
  <c r="BP265" i="1" s="1"/>
  <c r="BO266" i="1"/>
  <c r="BO269" i="1"/>
  <c r="BP269" i="1" s="1"/>
  <c r="BO272" i="1"/>
  <c r="BP272" i="1" s="1"/>
  <c r="BO273" i="1"/>
  <c r="BP273" i="1" s="1"/>
  <c r="BO276" i="1"/>
  <c r="BP276" i="1" s="1"/>
  <c r="BO277" i="1"/>
  <c r="BP277" i="1" s="1"/>
  <c r="BO279" i="1"/>
  <c r="BP279" i="1" s="1"/>
  <c r="BO282" i="1"/>
  <c r="BO283" i="1"/>
  <c r="BP283" i="1" s="1"/>
  <c r="BO286" i="1"/>
  <c r="BO287" i="1"/>
  <c r="BP287" i="1" s="1"/>
  <c r="BO290" i="1"/>
  <c r="BO291" i="1"/>
  <c r="BP291" i="1" s="1"/>
  <c r="BO294" i="1"/>
  <c r="BO295" i="1"/>
  <c r="BP295" i="1" s="1"/>
  <c r="BO298" i="1"/>
  <c r="BO299" i="1"/>
  <c r="BP299" i="1" s="1"/>
  <c r="BO302" i="1"/>
  <c r="BO303" i="1"/>
  <c r="BP303" i="1" s="1"/>
  <c r="BO305" i="1"/>
  <c r="BP305" i="1" s="1"/>
  <c r="BO306" i="1"/>
  <c r="BO309" i="1"/>
  <c r="BP309" i="1" s="1"/>
  <c r="BO310" i="1"/>
  <c r="BP310" i="1" s="1"/>
  <c r="BO313" i="1"/>
  <c r="BP313" i="1" s="1"/>
  <c r="BO314" i="1"/>
  <c r="BO317" i="1"/>
  <c r="BP317" i="1" s="1"/>
  <c r="BO318" i="1"/>
  <c r="BP318" i="1" s="1"/>
  <c r="BO322" i="1"/>
  <c r="BO326" i="1"/>
  <c r="BO330" i="1"/>
  <c r="BO334" i="1"/>
  <c r="BP334" i="1" s="1"/>
  <c r="BO338" i="1"/>
  <c r="BO341" i="1"/>
  <c r="BP341" i="1" s="1"/>
  <c r="BO342" i="1"/>
  <c r="BO346" i="1"/>
  <c r="BP346" i="1" s="1"/>
  <c r="BO350" i="1"/>
  <c r="BO354" i="1"/>
  <c r="BO358" i="1"/>
  <c r="BO362" i="1"/>
  <c r="BP362" i="1" s="1"/>
  <c r="BO366" i="1"/>
  <c r="BO10" i="1"/>
  <c r="BL367" i="1"/>
  <c r="BL11" i="1"/>
  <c r="BM11" i="1" s="1"/>
  <c r="BL12" i="1"/>
  <c r="BM12" i="1" s="1"/>
  <c r="BL13" i="1"/>
  <c r="BM13" i="1" s="1"/>
  <c r="BL14" i="1"/>
  <c r="BM14" i="1" s="1"/>
  <c r="BL15" i="1"/>
  <c r="BL16" i="1"/>
  <c r="BM16" i="1" s="1"/>
  <c r="BL17" i="1"/>
  <c r="BM17" i="1" s="1"/>
  <c r="BL18" i="1"/>
  <c r="BM18" i="1" s="1"/>
  <c r="BL19" i="1"/>
  <c r="BM19" i="1" s="1"/>
  <c r="BL20" i="1"/>
  <c r="BM20" i="1" s="1"/>
  <c r="BL21" i="1"/>
  <c r="BM21" i="1" s="1"/>
  <c r="BL22" i="1"/>
  <c r="BM22" i="1" s="1"/>
  <c r="BL23" i="1"/>
  <c r="BM23" i="1" s="1"/>
  <c r="BL24" i="1"/>
  <c r="BM24" i="1" s="1"/>
  <c r="BL25" i="1"/>
  <c r="BM25" i="1" s="1"/>
  <c r="BL26" i="1"/>
  <c r="BM26" i="1" s="1"/>
  <c r="BL27" i="1"/>
  <c r="BM27" i="1" s="1"/>
  <c r="BL28" i="1"/>
  <c r="BM28" i="1" s="1"/>
  <c r="BL29" i="1"/>
  <c r="BM29" i="1" s="1"/>
  <c r="BL30" i="1"/>
  <c r="BM30" i="1" s="1"/>
  <c r="BL31" i="1"/>
  <c r="BM31" i="1" s="1"/>
  <c r="BL32" i="1"/>
  <c r="BM32" i="1" s="1"/>
  <c r="BL33" i="1"/>
  <c r="BM33" i="1" s="1"/>
  <c r="BL34" i="1"/>
  <c r="BM34" i="1" s="1"/>
  <c r="BL35" i="1"/>
  <c r="BM35" i="1" s="1"/>
  <c r="BL36" i="1"/>
  <c r="BM36" i="1" s="1"/>
  <c r="BL37" i="1"/>
  <c r="BM37" i="1" s="1"/>
  <c r="BL38" i="1"/>
  <c r="BM38" i="1" s="1"/>
  <c r="BL39" i="1"/>
  <c r="BM39" i="1" s="1"/>
  <c r="BL40" i="1"/>
  <c r="BM40" i="1" s="1"/>
  <c r="BL41" i="1"/>
  <c r="BM41" i="1" s="1"/>
  <c r="BL42" i="1"/>
  <c r="BM42" i="1" s="1"/>
  <c r="BL43" i="1"/>
  <c r="BM43" i="1" s="1"/>
  <c r="BL44" i="1"/>
  <c r="BM44" i="1" s="1"/>
  <c r="BL45" i="1"/>
  <c r="BM45" i="1" s="1"/>
  <c r="BL46" i="1"/>
  <c r="BM46" i="1" s="1"/>
  <c r="BL47" i="1"/>
  <c r="BM47" i="1" s="1"/>
  <c r="BL48" i="1"/>
  <c r="BM48" i="1" s="1"/>
  <c r="BL49" i="1"/>
  <c r="BM49" i="1" s="1"/>
  <c r="BL50" i="1"/>
  <c r="BM50" i="1" s="1"/>
  <c r="BL51" i="1"/>
  <c r="BM51" i="1" s="1"/>
  <c r="BL52" i="1"/>
  <c r="BM52" i="1" s="1"/>
  <c r="BL53" i="1"/>
  <c r="BM53" i="1" s="1"/>
  <c r="BL54" i="1"/>
  <c r="BM54" i="1" s="1"/>
  <c r="BL55" i="1"/>
  <c r="BM55" i="1" s="1"/>
  <c r="BL56" i="1"/>
  <c r="BM56" i="1" s="1"/>
  <c r="BL57" i="1"/>
  <c r="BM57" i="1" s="1"/>
  <c r="BL58" i="1"/>
  <c r="BM58" i="1" s="1"/>
  <c r="BL59" i="1"/>
  <c r="BM59" i="1" s="1"/>
  <c r="BL60" i="1"/>
  <c r="BM60" i="1" s="1"/>
  <c r="BL61" i="1"/>
  <c r="BM61" i="1" s="1"/>
  <c r="BL62" i="1"/>
  <c r="BM62" i="1" s="1"/>
  <c r="BL63" i="1"/>
  <c r="BM63" i="1" s="1"/>
  <c r="BL64" i="1"/>
  <c r="BM64" i="1" s="1"/>
  <c r="BL65" i="1"/>
  <c r="BM65" i="1" s="1"/>
  <c r="BL66" i="1"/>
  <c r="BM66" i="1" s="1"/>
  <c r="BL67" i="1"/>
  <c r="BM67" i="1" s="1"/>
  <c r="BL68" i="1"/>
  <c r="BM68" i="1" s="1"/>
  <c r="BL69" i="1"/>
  <c r="BM69" i="1" s="1"/>
  <c r="BL70" i="1"/>
  <c r="BM70" i="1" s="1"/>
  <c r="BL71" i="1"/>
  <c r="BM71" i="1" s="1"/>
  <c r="BL72" i="1"/>
  <c r="BM72" i="1" s="1"/>
  <c r="BL73" i="1"/>
  <c r="BM73" i="1" s="1"/>
  <c r="BL74" i="1"/>
  <c r="BM74" i="1" s="1"/>
  <c r="BL75" i="1"/>
  <c r="BM75" i="1" s="1"/>
  <c r="BL76" i="1"/>
  <c r="BM76" i="1" s="1"/>
  <c r="BL77" i="1"/>
  <c r="BM77" i="1" s="1"/>
  <c r="BL78" i="1"/>
  <c r="BM78" i="1" s="1"/>
  <c r="BL79" i="1"/>
  <c r="BM79" i="1" s="1"/>
  <c r="BL80" i="1"/>
  <c r="BM80" i="1" s="1"/>
  <c r="BL81" i="1"/>
  <c r="BM81" i="1" s="1"/>
  <c r="BL82" i="1"/>
  <c r="BM82" i="1" s="1"/>
  <c r="BL83" i="1"/>
  <c r="BM83" i="1" s="1"/>
  <c r="BL84" i="1"/>
  <c r="BM84" i="1" s="1"/>
  <c r="BL85" i="1"/>
  <c r="BM85" i="1" s="1"/>
  <c r="BL86" i="1"/>
  <c r="BM86" i="1" s="1"/>
  <c r="BL87" i="1"/>
  <c r="BM87" i="1" s="1"/>
  <c r="BL88" i="1"/>
  <c r="BM88" i="1" s="1"/>
  <c r="BL89" i="1"/>
  <c r="BM89" i="1" s="1"/>
  <c r="BL90" i="1"/>
  <c r="BM90" i="1" s="1"/>
  <c r="BL91" i="1"/>
  <c r="BM91" i="1" s="1"/>
  <c r="BL92" i="1"/>
  <c r="BM92" i="1" s="1"/>
  <c r="BL93" i="1"/>
  <c r="BM93" i="1" s="1"/>
  <c r="BL94" i="1"/>
  <c r="BM94" i="1" s="1"/>
  <c r="BL95" i="1"/>
  <c r="BM95" i="1" s="1"/>
  <c r="BL96" i="1"/>
  <c r="BM96" i="1" s="1"/>
  <c r="BL97" i="1"/>
  <c r="BM97" i="1" s="1"/>
  <c r="BL98" i="1"/>
  <c r="BM98" i="1" s="1"/>
  <c r="BL99" i="1"/>
  <c r="BM99" i="1" s="1"/>
  <c r="BL100" i="1"/>
  <c r="BM100" i="1" s="1"/>
  <c r="BL101" i="1"/>
  <c r="BM101" i="1" s="1"/>
  <c r="BL102" i="1"/>
  <c r="BM102" i="1" s="1"/>
  <c r="BL103" i="1"/>
  <c r="BM103" i="1" s="1"/>
  <c r="BL104" i="1"/>
  <c r="BM104" i="1" s="1"/>
  <c r="BL105" i="1"/>
  <c r="BM105" i="1" s="1"/>
  <c r="BL106" i="1"/>
  <c r="BM106" i="1" s="1"/>
  <c r="BL107" i="1"/>
  <c r="BM107" i="1" s="1"/>
  <c r="BL108" i="1"/>
  <c r="BM108" i="1" s="1"/>
  <c r="BL109" i="1"/>
  <c r="BM109" i="1" s="1"/>
  <c r="BL110" i="1"/>
  <c r="BM110" i="1" s="1"/>
  <c r="BL111" i="1"/>
  <c r="BM111" i="1" s="1"/>
  <c r="BL112" i="1"/>
  <c r="BM112" i="1" s="1"/>
  <c r="BL113" i="1"/>
  <c r="BM113" i="1" s="1"/>
  <c r="BL114" i="1"/>
  <c r="BM114" i="1" s="1"/>
  <c r="BL115" i="1"/>
  <c r="BM115" i="1" s="1"/>
  <c r="BL116" i="1"/>
  <c r="BM116" i="1" s="1"/>
  <c r="BL117" i="1"/>
  <c r="BM117" i="1" s="1"/>
  <c r="BL118" i="1"/>
  <c r="BM118" i="1" s="1"/>
  <c r="BL119" i="1"/>
  <c r="BM119" i="1" s="1"/>
  <c r="BL120" i="1"/>
  <c r="BM120" i="1" s="1"/>
  <c r="BL121" i="1"/>
  <c r="BM121" i="1" s="1"/>
  <c r="BL122" i="1"/>
  <c r="BM122" i="1" s="1"/>
  <c r="BL123" i="1"/>
  <c r="BM123" i="1" s="1"/>
  <c r="BL124" i="1"/>
  <c r="BM124" i="1" s="1"/>
  <c r="BL125" i="1"/>
  <c r="BM125" i="1" s="1"/>
  <c r="BL126" i="1"/>
  <c r="BM126" i="1" s="1"/>
  <c r="BL127" i="1"/>
  <c r="BM127" i="1" s="1"/>
  <c r="BL128" i="1"/>
  <c r="BM128" i="1" s="1"/>
  <c r="BL129" i="1"/>
  <c r="BM129" i="1" s="1"/>
  <c r="BL130" i="1"/>
  <c r="BM130" i="1" s="1"/>
  <c r="BL131" i="1"/>
  <c r="BM131" i="1" s="1"/>
  <c r="BL132" i="1"/>
  <c r="BM132" i="1" s="1"/>
  <c r="BL133" i="1"/>
  <c r="BM133" i="1" s="1"/>
  <c r="BL134" i="1"/>
  <c r="BM134" i="1" s="1"/>
  <c r="BL135" i="1"/>
  <c r="BM135" i="1" s="1"/>
  <c r="BL136" i="1"/>
  <c r="BM136" i="1" s="1"/>
  <c r="BL137" i="1"/>
  <c r="BM137" i="1" s="1"/>
  <c r="BL138" i="1"/>
  <c r="BM138" i="1" s="1"/>
  <c r="BL139" i="1"/>
  <c r="BM139" i="1" s="1"/>
  <c r="BL140" i="1"/>
  <c r="BM140" i="1" s="1"/>
  <c r="BL141" i="1"/>
  <c r="BM141" i="1" s="1"/>
  <c r="BL142" i="1"/>
  <c r="BM142" i="1" s="1"/>
  <c r="BL143" i="1"/>
  <c r="BM143" i="1" s="1"/>
  <c r="BL144" i="1"/>
  <c r="BM144" i="1" s="1"/>
  <c r="BL145" i="1"/>
  <c r="BM145" i="1" s="1"/>
  <c r="BL146" i="1"/>
  <c r="BM146" i="1" s="1"/>
  <c r="BL147" i="1"/>
  <c r="BM147" i="1" s="1"/>
  <c r="BL148" i="1"/>
  <c r="BM148" i="1" s="1"/>
  <c r="BL149" i="1"/>
  <c r="BM149" i="1" s="1"/>
  <c r="BL150" i="1"/>
  <c r="BM150" i="1" s="1"/>
  <c r="BL151" i="1"/>
  <c r="BM151" i="1" s="1"/>
  <c r="BL152" i="1"/>
  <c r="BM152" i="1" s="1"/>
  <c r="BL153" i="1"/>
  <c r="BM153" i="1" s="1"/>
  <c r="BL154" i="1"/>
  <c r="BM154" i="1" s="1"/>
  <c r="BL155" i="1"/>
  <c r="BM155" i="1" s="1"/>
  <c r="BL156" i="1"/>
  <c r="BM156" i="1" s="1"/>
  <c r="BL157" i="1"/>
  <c r="BM157" i="1" s="1"/>
  <c r="BL158" i="1"/>
  <c r="BM158" i="1" s="1"/>
  <c r="BL159" i="1"/>
  <c r="BM159" i="1" s="1"/>
  <c r="BL160" i="1"/>
  <c r="BM160" i="1" s="1"/>
  <c r="BL161" i="1"/>
  <c r="BM161" i="1" s="1"/>
  <c r="BL162" i="1"/>
  <c r="BM162" i="1" s="1"/>
  <c r="BL163" i="1"/>
  <c r="BM163" i="1" s="1"/>
  <c r="BL164" i="1"/>
  <c r="BM164" i="1" s="1"/>
  <c r="BL165" i="1"/>
  <c r="BM165" i="1" s="1"/>
  <c r="BL166" i="1"/>
  <c r="BM166" i="1" s="1"/>
  <c r="BL167" i="1"/>
  <c r="BM167" i="1" s="1"/>
  <c r="BL168" i="1"/>
  <c r="BM168" i="1" s="1"/>
  <c r="BL169" i="1"/>
  <c r="BM169" i="1" s="1"/>
  <c r="BL170" i="1"/>
  <c r="BM170" i="1" s="1"/>
  <c r="BL171" i="1"/>
  <c r="BM171" i="1" s="1"/>
  <c r="BL172" i="1"/>
  <c r="BM172" i="1" s="1"/>
  <c r="BL173" i="1"/>
  <c r="BM173" i="1" s="1"/>
  <c r="BL174" i="1"/>
  <c r="BM174" i="1" s="1"/>
  <c r="BL175" i="1"/>
  <c r="BM175" i="1" s="1"/>
  <c r="BL176" i="1"/>
  <c r="BM176" i="1" s="1"/>
  <c r="BL177" i="1"/>
  <c r="BM177" i="1" s="1"/>
  <c r="BL178" i="1"/>
  <c r="BM178" i="1" s="1"/>
  <c r="BL179" i="1"/>
  <c r="BM179" i="1" s="1"/>
  <c r="BL180" i="1"/>
  <c r="BM180" i="1" s="1"/>
  <c r="BL181" i="1"/>
  <c r="BM181" i="1" s="1"/>
  <c r="BL182" i="1"/>
  <c r="BM182" i="1" s="1"/>
  <c r="BL183" i="1"/>
  <c r="BM183" i="1" s="1"/>
  <c r="BL184" i="1"/>
  <c r="BM184" i="1" s="1"/>
  <c r="BL185" i="1"/>
  <c r="BM185" i="1" s="1"/>
  <c r="BL186" i="1"/>
  <c r="BM186" i="1" s="1"/>
  <c r="BL187" i="1"/>
  <c r="BM187" i="1" s="1"/>
  <c r="BL188" i="1"/>
  <c r="BM188" i="1" s="1"/>
  <c r="BL190" i="1"/>
  <c r="BM190" i="1" s="1"/>
  <c r="BL191" i="1"/>
  <c r="BL192" i="1"/>
  <c r="BM192" i="1" s="1"/>
  <c r="BL193" i="1"/>
  <c r="BM193" i="1" s="1"/>
  <c r="BL194" i="1"/>
  <c r="BM194" i="1" s="1"/>
  <c r="BL195" i="1"/>
  <c r="BL196" i="1"/>
  <c r="BM196" i="1" s="1"/>
  <c r="BL197" i="1"/>
  <c r="BM197" i="1" s="1"/>
  <c r="BL198" i="1"/>
  <c r="BM198" i="1" s="1"/>
  <c r="BL199" i="1"/>
  <c r="BL200" i="1"/>
  <c r="BM200" i="1" s="1"/>
  <c r="BL201" i="1"/>
  <c r="BM201" i="1" s="1"/>
  <c r="BL202" i="1"/>
  <c r="BM202" i="1" s="1"/>
  <c r="BL203" i="1"/>
  <c r="BL204" i="1"/>
  <c r="BM204" i="1" s="1"/>
  <c r="BL205" i="1"/>
  <c r="BM205" i="1" s="1"/>
  <c r="BL206" i="1"/>
  <c r="BM206" i="1" s="1"/>
  <c r="BL207" i="1"/>
  <c r="BL208" i="1"/>
  <c r="BM208" i="1" s="1"/>
  <c r="BL209" i="1"/>
  <c r="BM209" i="1" s="1"/>
  <c r="BL210" i="1"/>
  <c r="BM210" i="1" s="1"/>
  <c r="BL211" i="1"/>
  <c r="BL212" i="1"/>
  <c r="BM212" i="1" s="1"/>
  <c r="BL213" i="1"/>
  <c r="BM213" i="1" s="1"/>
  <c r="BL214" i="1"/>
  <c r="BM214" i="1" s="1"/>
  <c r="BL215" i="1"/>
  <c r="BL216" i="1"/>
  <c r="BM216" i="1" s="1"/>
  <c r="BL217" i="1"/>
  <c r="BM217" i="1" s="1"/>
  <c r="BL218" i="1"/>
  <c r="BM218" i="1" s="1"/>
  <c r="BL219" i="1"/>
  <c r="BL220" i="1"/>
  <c r="BM220" i="1" s="1"/>
  <c r="BL221" i="1"/>
  <c r="BM221" i="1" s="1"/>
  <c r="BL222" i="1"/>
  <c r="BM222" i="1" s="1"/>
  <c r="BL223" i="1"/>
  <c r="BL224" i="1"/>
  <c r="BM224" i="1" s="1"/>
  <c r="BL225" i="1"/>
  <c r="BM225" i="1" s="1"/>
  <c r="BL226" i="1"/>
  <c r="BM226" i="1" s="1"/>
  <c r="BL227" i="1"/>
  <c r="BL228" i="1"/>
  <c r="BM228" i="1" s="1"/>
  <c r="BL229" i="1"/>
  <c r="BM229" i="1" s="1"/>
  <c r="BL230" i="1"/>
  <c r="BM230" i="1" s="1"/>
  <c r="BL231" i="1"/>
  <c r="BL232" i="1"/>
  <c r="BM232" i="1" s="1"/>
  <c r="BL233" i="1"/>
  <c r="BM233" i="1" s="1"/>
  <c r="BL234" i="1"/>
  <c r="BM234" i="1" s="1"/>
  <c r="BL235" i="1"/>
  <c r="BL236" i="1"/>
  <c r="BM236" i="1" s="1"/>
  <c r="BL237" i="1"/>
  <c r="BM237" i="1" s="1"/>
  <c r="BL238" i="1"/>
  <c r="BM238" i="1" s="1"/>
  <c r="BL239" i="1"/>
  <c r="BL240" i="1"/>
  <c r="BM240" i="1" s="1"/>
  <c r="BL241" i="1"/>
  <c r="BM241" i="1" s="1"/>
  <c r="BL242" i="1"/>
  <c r="BM242" i="1" s="1"/>
  <c r="BL243" i="1"/>
  <c r="BL244" i="1"/>
  <c r="BM244" i="1" s="1"/>
  <c r="BL245" i="1"/>
  <c r="BM245" i="1" s="1"/>
  <c r="BL246" i="1"/>
  <c r="BM246" i="1" s="1"/>
  <c r="BL247" i="1"/>
  <c r="BL248" i="1"/>
  <c r="BM248" i="1" s="1"/>
  <c r="BL249" i="1"/>
  <c r="BM249" i="1" s="1"/>
  <c r="BL250" i="1"/>
  <c r="BM250" i="1" s="1"/>
  <c r="BL251" i="1"/>
  <c r="BL252" i="1"/>
  <c r="BM252" i="1" s="1"/>
  <c r="BL253" i="1"/>
  <c r="BM253" i="1" s="1"/>
  <c r="BL254" i="1"/>
  <c r="BM254" i="1" s="1"/>
  <c r="BL255" i="1"/>
  <c r="BL256" i="1"/>
  <c r="BM256" i="1" s="1"/>
  <c r="BL257" i="1"/>
  <c r="BM257" i="1" s="1"/>
  <c r="BL258" i="1"/>
  <c r="BM258" i="1" s="1"/>
  <c r="BL259" i="1"/>
  <c r="BL260" i="1"/>
  <c r="BM260" i="1" s="1"/>
  <c r="BL261" i="1"/>
  <c r="BM261" i="1" s="1"/>
  <c r="BL262" i="1"/>
  <c r="BM262" i="1" s="1"/>
  <c r="BL263" i="1"/>
  <c r="BL264" i="1"/>
  <c r="BM264" i="1" s="1"/>
  <c r="BL265" i="1"/>
  <c r="BM265" i="1" s="1"/>
  <c r="BL266" i="1"/>
  <c r="BM266" i="1" s="1"/>
  <c r="BL267" i="1"/>
  <c r="BL268" i="1"/>
  <c r="BM268" i="1" s="1"/>
  <c r="BL269" i="1"/>
  <c r="BM269" i="1" s="1"/>
  <c r="BL270" i="1"/>
  <c r="BM270" i="1" s="1"/>
  <c r="BL271" i="1"/>
  <c r="BL272" i="1"/>
  <c r="BM272" i="1" s="1"/>
  <c r="BL273" i="1"/>
  <c r="BM273" i="1" s="1"/>
  <c r="BL274" i="1"/>
  <c r="BM274" i="1" s="1"/>
  <c r="BL275" i="1"/>
  <c r="BL276" i="1"/>
  <c r="BM276" i="1" s="1"/>
  <c r="BL277" i="1"/>
  <c r="BM277" i="1" s="1"/>
  <c r="BL278" i="1"/>
  <c r="BM278" i="1" s="1"/>
  <c r="BL279" i="1"/>
  <c r="BL280" i="1"/>
  <c r="BM280" i="1" s="1"/>
  <c r="BL281" i="1"/>
  <c r="BM281" i="1" s="1"/>
  <c r="BL282" i="1"/>
  <c r="BM282" i="1" s="1"/>
  <c r="BL283" i="1"/>
  <c r="BL284" i="1"/>
  <c r="BM284" i="1" s="1"/>
  <c r="BL285" i="1"/>
  <c r="BM285" i="1" s="1"/>
  <c r="BL286" i="1"/>
  <c r="BM286" i="1" s="1"/>
  <c r="BL287" i="1"/>
  <c r="BL288" i="1"/>
  <c r="BM288" i="1" s="1"/>
  <c r="BL289" i="1"/>
  <c r="BM289" i="1" s="1"/>
  <c r="BL290" i="1"/>
  <c r="BM290" i="1" s="1"/>
  <c r="BL291" i="1"/>
  <c r="BL292" i="1"/>
  <c r="BM292" i="1" s="1"/>
  <c r="BL293" i="1"/>
  <c r="BM293" i="1" s="1"/>
  <c r="BL294" i="1"/>
  <c r="BM294" i="1" s="1"/>
  <c r="BL295" i="1"/>
  <c r="BL296" i="1"/>
  <c r="BM296" i="1" s="1"/>
  <c r="BL297" i="1"/>
  <c r="BM297" i="1" s="1"/>
  <c r="BL298" i="1"/>
  <c r="BM298" i="1" s="1"/>
  <c r="BL299" i="1"/>
  <c r="BL300" i="1"/>
  <c r="BM300" i="1" s="1"/>
  <c r="BL301" i="1"/>
  <c r="BM301" i="1" s="1"/>
  <c r="BL302" i="1"/>
  <c r="BM302" i="1" s="1"/>
  <c r="BL303" i="1"/>
  <c r="BL304" i="1"/>
  <c r="BM304" i="1" s="1"/>
  <c r="BL305" i="1"/>
  <c r="BM305" i="1" s="1"/>
  <c r="BL306" i="1"/>
  <c r="BM306" i="1" s="1"/>
  <c r="BL307" i="1"/>
  <c r="BL308" i="1"/>
  <c r="BM308" i="1" s="1"/>
  <c r="BL309" i="1"/>
  <c r="BM309" i="1" s="1"/>
  <c r="BL310" i="1"/>
  <c r="BM310" i="1" s="1"/>
  <c r="BL311" i="1"/>
  <c r="BL312" i="1"/>
  <c r="BM312" i="1" s="1"/>
  <c r="BL313" i="1"/>
  <c r="BM313" i="1" s="1"/>
  <c r="BL314" i="1"/>
  <c r="BM314" i="1" s="1"/>
  <c r="BL315" i="1"/>
  <c r="BL316" i="1"/>
  <c r="BM316" i="1" s="1"/>
  <c r="BL317" i="1"/>
  <c r="BM317" i="1" s="1"/>
  <c r="BL318" i="1"/>
  <c r="BM318" i="1" s="1"/>
  <c r="BL319" i="1"/>
  <c r="BL320" i="1"/>
  <c r="BM320" i="1" s="1"/>
  <c r="BL321" i="1"/>
  <c r="BM321" i="1" s="1"/>
  <c r="BL322" i="1"/>
  <c r="BM322" i="1" s="1"/>
  <c r="BL323" i="1"/>
  <c r="BL324" i="1"/>
  <c r="BM324" i="1" s="1"/>
  <c r="BL325" i="1"/>
  <c r="BM325" i="1" s="1"/>
  <c r="BL326" i="1"/>
  <c r="BM326" i="1" s="1"/>
  <c r="BL327" i="1"/>
  <c r="BL328" i="1"/>
  <c r="BM328" i="1" s="1"/>
  <c r="BL329" i="1"/>
  <c r="BM329" i="1" s="1"/>
  <c r="BL330" i="1"/>
  <c r="BM330" i="1" s="1"/>
  <c r="BL331" i="1"/>
  <c r="BL332" i="1"/>
  <c r="BM332" i="1" s="1"/>
  <c r="BL333" i="1"/>
  <c r="BM333" i="1" s="1"/>
  <c r="BL334" i="1"/>
  <c r="BM334" i="1" s="1"/>
  <c r="BL335" i="1"/>
  <c r="BL336" i="1"/>
  <c r="BM336" i="1" s="1"/>
  <c r="BL337" i="1"/>
  <c r="BM337" i="1" s="1"/>
  <c r="BL338" i="1"/>
  <c r="BM338" i="1" s="1"/>
  <c r="BL339" i="1"/>
  <c r="BL340" i="1"/>
  <c r="BM340" i="1" s="1"/>
  <c r="BL341" i="1"/>
  <c r="BM341" i="1" s="1"/>
  <c r="BL342" i="1"/>
  <c r="BM342" i="1" s="1"/>
  <c r="BL343" i="1"/>
  <c r="BL344" i="1"/>
  <c r="BM344" i="1" s="1"/>
  <c r="BL345" i="1"/>
  <c r="BM345" i="1" s="1"/>
  <c r="BL346" i="1"/>
  <c r="BM346" i="1" s="1"/>
  <c r="BL347" i="1"/>
  <c r="BL348" i="1"/>
  <c r="BM348" i="1" s="1"/>
  <c r="BL349" i="1"/>
  <c r="BM349" i="1" s="1"/>
  <c r="BL350" i="1"/>
  <c r="BM350" i="1" s="1"/>
  <c r="BL351" i="1"/>
  <c r="BL352" i="1"/>
  <c r="BM352" i="1" s="1"/>
  <c r="BL353" i="1"/>
  <c r="BM353" i="1" s="1"/>
  <c r="BL354" i="1"/>
  <c r="BM354" i="1" s="1"/>
  <c r="BL355" i="1"/>
  <c r="BL356" i="1"/>
  <c r="BM356" i="1" s="1"/>
  <c r="BL357" i="1"/>
  <c r="BM357" i="1" s="1"/>
  <c r="BL358" i="1"/>
  <c r="BM358" i="1" s="1"/>
  <c r="BL359" i="1"/>
  <c r="BL360" i="1"/>
  <c r="BM360" i="1" s="1"/>
  <c r="BL361" i="1"/>
  <c r="BM361" i="1" s="1"/>
  <c r="BL362" i="1"/>
  <c r="BM362" i="1" s="1"/>
  <c r="BL363" i="1"/>
  <c r="BL364" i="1"/>
  <c r="BM364" i="1" s="1"/>
  <c r="BL365" i="1"/>
  <c r="BM365" i="1" s="1"/>
  <c r="BL366" i="1"/>
  <c r="BM366" i="1" s="1"/>
  <c r="BL10" i="1"/>
  <c r="BL9" i="1"/>
  <c r="BI11" i="1"/>
  <c r="BJ11" i="1" s="1"/>
  <c r="BI12" i="1"/>
  <c r="BI13" i="1"/>
  <c r="BJ13" i="1" s="1"/>
  <c r="BI14" i="1"/>
  <c r="BJ14" i="1" s="1"/>
  <c r="BI15" i="1"/>
  <c r="BI16" i="1"/>
  <c r="BI17" i="1"/>
  <c r="BJ17" i="1" s="1"/>
  <c r="BI18" i="1"/>
  <c r="BJ18" i="1" s="1"/>
  <c r="BI19" i="1"/>
  <c r="BJ19" i="1" s="1"/>
  <c r="BI20" i="1"/>
  <c r="BI21" i="1"/>
  <c r="BJ21" i="1" s="1"/>
  <c r="BI22" i="1"/>
  <c r="BJ22" i="1" s="1"/>
  <c r="BI23" i="1"/>
  <c r="BJ23" i="1" s="1"/>
  <c r="BI24" i="1"/>
  <c r="BI25" i="1"/>
  <c r="BJ25" i="1" s="1"/>
  <c r="BI26" i="1"/>
  <c r="BJ26" i="1" s="1"/>
  <c r="BI27" i="1"/>
  <c r="BJ27" i="1" s="1"/>
  <c r="BI28" i="1"/>
  <c r="BI29" i="1"/>
  <c r="BJ29" i="1" s="1"/>
  <c r="BI30" i="1"/>
  <c r="BJ30" i="1" s="1"/>
  <c r="BI31" i="1"/>
  <c r="BJ31" i="1" s="1"/>
  <c r="BI32" i="1"/>
  <c r="BI33" i="1"/>
  <c r="BJ33" i="1" s="1"/>
  <c r="BI34" i="1"/>
  <c r="BJ34" i="1" s="1"/>
  <c r="BI35" i="1"/>
  <c r="BJ35" i="1" s="1"/>
  <c r="BI36" i="1"/>
  <c r="BI37" i="1"/>
  <c r="BJ37" i="1" s="1"/>
  <c r="BI38" i="1"/>
  <c r="BJ38" i="1" s="1"/>
  <c r="BI39" i="1"/>
  <c r="BJ39" i="1" s="1"/>
  <c r="BI40" i="1"/>
  <c r="BI41" i="1"/>
  <c r="BJ41" i="1" s="1"/>
  <c r="BI42" i="1"/>
  <c r="BJ42" i="1" s="1"/>
  <c r="BI43" i="1"/>
  <c r="BJ43" i="1" s="1"/>
  <c r="BI44" i="1"/>
  <c r="BI45" i="1"/>
  <c r="BJ45" i="1" s="1"/>
  <c r="BI46" i="1"/>
  <c r="BJ46" i="1" s="1"/>
  <c r="BI47" i="1"/>
  <c r="BJ47" i="1" s="1"/>
  <c r="BI48" i="1"/>
  <c r="BI49" i="1"/>
  <c r="BJ49" i="1" s="1"/>
  <c r="BI50" i="1"/>
  <c r="BJ50" i="1" s="1"/>
  <c r="BI51" i="1"/>
  <c r="BJ51" i="1" s="1"/>
  <c r="BI52" i="1"/>
  <c r="BI53" i="1"/>
  <c r="BJ53" i="1" s="1"/>
  <c r="BI54" i="1"/>
  <c r="BJ54" i="1" s="1"/>
  <c r="BI55" i="1"/>
  <c r="BJ55" i="1" s="1"/>
  <c r="BI56" i="1"/>
  <c r="BI57" i="1"/>
  <c r="BJ57" i="1" s="1"/>
  <c r="BI58" i="1"/>
  <c r="BJ58" i="1" s="1"/>
  <c r="BI59" i="1"/>
  <c r="BJ59" i="1" s="1"/>
  <c r="BI60" i="1"/>
  <c r="BI61" i="1"/>
  <c r="BJ61" i="1" s="1"/>
  <c r="BI62" i="1"/>
  <c r="BJ62" i="1" s="1"/>
  <c r="BI63" i="1"/>
  <c r="BJ63" i="1" s="1"/>
  <c r="BI64" i="1"/>
  <c r="BI65" i="1"/>
  <c r="BJ65" i="1" s="1"/>
  <c r="BI66" i="1"/>
  <c r="BJ66" i="1" s="1"/>
  <c r="BI67" i="1"/>
  <c r="BJ67" i="1" s="1"/>
  <c r="BI68" i="1"/>
  <c r="BI69" i="1"/>
  <c r="BJ69" i="1" s="1"/>
  <c r="BI70" i="1"/>
  <c r="BJ70" i="1" s="1"/>
  <c r="BI71" i="1"/>
  <c r="BJ71" i="1" s="1"/>
  <c r="BI72" i="1"/>
  <c r="BI73" i="1"/>
  <c r="BJ73" i="1" s="1"/>
  <c r="BI74" i="1"/>
  <c r="BJ74" i="1" s="1"/>
  <c r="BI75" i="1"/>
  <c r="BJ75" i="1" s="1"/>
  <c r="BI76" i="1"/>
  <c r="BI77" i="1"/>
  <c r="BJ77" i="1" s="1"/>
  <c r="BI78" i="1"/>
  <c r="BJ78" i="1" s="1"/>
  <c r="BI79" i="1"/>
  <c r="BJ79" i="1" s="1"/>
  <c r="BI80" i="1"/>
  <c r="BI81" i="1"/>
  <c r="BJ81" i="1" s="1"/>
  <c r="BI82" i="1"/>
  <c r="BJ82" i="1" s="1"/>
  <c r="BI83" i="1"/>
  <c r="BJ83" i="1" s="1"/>
  <c r="BI84" i="1"/>
  <c r="BI85" i="1"/>
  <c r="BJ85" i="1" s="1"/>
  <c r="BI86" i="1"/>
  <c r="BJ86" i="1" s="1"/>
  <c r="BI87" i="1"/>
  <c r="BJ87" i="1" s="1"/>
  <c r="BI88" i="1"/>
  <c r="BI89" i="1"/>
  <c r="BJ89" i="1" s="1"/>
  <c r="BI90" i="1"/>
  <c r="BJ90" i="1" s="1"/>
  <c r="BI91" i="1"/>
  <c r="BJ91" i="1" s="1"/>
  <c r="BI92" i="1"/>
  <c r="BI93" i="1"/>
  <c r="BJ93" i="1" s="1"/>
  <c r="BI94" i="1"/>
  <c r="BJ94" i="1" s="1"/>
  <c r="BI95" i="1"/>
  <c r="BJ95" i="1" s="1"/>
  <c r="BI96" i="1"/>
  <c r="BI97" i="1"/>
  <c r="BJ97" i="1" s="1"/>
  <c r="BI98" i="1"/>
  <c r="BJ98" i="1" s="1"/>
  <c r="BI99" i="1"/>
  <c r="BJ99" i="1" s="1"/>
  <c r="BI100" i="1"/>
  <c r="BI101" i="1"/>
  <c r="BJ101" i="1" s="1"/>
  <c r="BI102" i="1"/>
  <c r="BJ102" i="1" s="1"/>
  <c r="BI103" i="1"/>
  <c r="BJ103" i="1" s="1"/>
  <c r="BI104" i="1"/>
  <c r="BI105" i="1"/>
  <c r="BJ105" i="1" s="1"/>
  <c r="BI106" i="1"/>
  <c r="BJ106" i="1" s="1"/>
  <c r="BI107" i="1"/>
  <c r="BJ107" i="1" s="1"/>
  <c r="BI108" i="1"/>
  <c r="BI109" i="1"/>
  <c r="BJ109" i="1" s="1"/>
  <c r="BI110" i="1"/>
  <c r="BJ110" i="1" s="1"/>
  <c r="BI111" i="1"/>
  <c r="BJ111" i="1" s="1"/>
  <c r="BI112" i="1"/>
  <c r="BI113" i="1"/>
  <c r="BJ113" i="1" s="1"/>
  <c r="BI114" i="1"/>
  <c r="BJ114" i="1" s="1"/>
  <c r="BI115" i="1"/>
  <c r="BJ115" i="1" s="1"/>
  <c r="BI116" i="1"/>
  <c r="BI117" i="1"/>
  <c r="BJ117" i="1" s="1"/>
  <c r="BI118" i="1"/>
  <c r="BJ118" i="1" s="1"/>
  <c r="BI119" i="1"/>
  <c r="BJ119" i="1" s="1"/>
  <c r="BI120" i="1"/>
  <c r="BI121" i="1"/>
  <c r="BJ121" i="1" s="1"/>
  <c r="BI122" i="1"/>
  <c r="BJ122" i="1" s="1"/>
  <c r="BI123" i="1"/>
  <c r="BJ123" i="1" s="1"/>
  <c r="BI124" i="1"/>
  <c r="BI125" i="1"/>
  <c r="BJ125" i="1" s="1"/>
  <c r="BI126" i="1"/>
  <c r="BJ126" i="1" s="1"/>
  <c r="BI127" i="1"/>
  <c r="BJ127" i="1" s="1"/>
  <c r="BI128" i="1"/>
  <c r="BI129" i="1"/>
  <c r="BJ129" i="1" s="1"/>
  <c r="BI130" i="1"/>
  <c r="BJ130" i="1" s="1"/>
  <c r="BI131" i="1"/>
  <c r="BJ131" i="1" s="1"/>
  <c r="BI132" i="1"/>
  <c r="BI133" i="1"/>
  <c r="BJ133" i="1" s="1"/>
  <c r="BI134" i="1"/>
  <c r="BJ134" i="1" s="1"/>
  <c r="BI135" i="1"/>
  <c r="BJ135" i="1" s="1"/>
  <c r="BI136" i="1"/>
  <c r="BI137" i="1"/>
  <c r="BJ137" i="1" s="1"/>
  <c r="BI138" i="1"/>
  <c r="BJ138" i="1" s="1"/>
  <c r="BI139" i="1"/>
  <c r="BJ139" i="1" s="1"/>
  <c r="BI140" i="1"/>
  <c r="BI141" i="1"/>
  <c r="BJ141" i="1" s="1"/>
  <c r="BI142" i="1"/>
  <c r="BJ142" i="1" s="1"/>
  <c r="BI143" i="1"/>
  <c r="BJ143" i="1" s="1"/>
  <c r="BI144" i="1"/>
  <c r="BI145" i="1"/>
  <c r="BJ145" i="1" s="1"/>
  <c r="BI146" i="1"/>
  <c r="BJ146" i="1" s="1"/>
  <c r="BI147" i="1"/>
  <c r="BJ147" i="1" s="1"/>
  <c r="BI148" i="1"/>
  <c r="BI149" i="1"/>
  <c r="BJ149" i="1" s="1"/>
  <c r="BI150" i="1"/>
  <c r="BJ150" i="1" s="1"/>
  <c r="BI151" i="1"/>
  <c r="BJ151" i="1" s="1"/>
  <c r="BI152" i="1"/>
  <c r="BI153" i="1"/>
  <c r="BJ153" i="1" s="1"/>
  <c r="BI154" i="1"/>
  <c r="BJ154" i="1" s="1"/>
  <c r="BI155" i="1"/>
  <c r="BJ155" i="1" s="1"/>
  <c r="BI156" i="1"/>
  <c r="BI157" i="1"/>
  <c r="BJ157" i="1" s="1"/>
  <c r="BI158" i="1"/>
  <c r="BJ158" i="1" s="1"/>
  <c r="BI159" i="1"/>
  <c r="BJ159" i="1" s="1"/>
  <c r="BI160" i="1"/>
  <c r="BI161" i="1"/>
  <c r="BJ161" i="1" s="1"/>
  <c r="BI162" i="1"/>
  <c r="BJ162" i="1" s="1"/>
  <c r="BI163" i="1"/>
  <c r="BJ163" i="1" s="1"/>
  <c r="BI164" i="1"/>
  <c r="BI165" i="1"/>
  <c r="BJ165" i="1" s="1"/>
  <c r="BI166" i="1"/>
  <c r="BJ166" i="1" s="1"/>
  <c r="BI167" i="1"/>
  <c r="BJ167" i="1" s="1"/>
  <c r="BI168" i="1"/>
  <c r="BI169" i="1"/>
  <c r="BJ169" i="1" s="1"/>
  <c r="BI170" i="1"/>
  <c r="BJ170" i="1" s="1"/>
  <c r="BI171" i="1"/>
  <c r="BJ171" i="1" s="1"/>
  <c r="BI172" i="1"/>
  <c r="BI173" i="1"/>
  <c r="BJ173" i="1" s="1"/>
  <c r="BI174" i="1"/>
  <c r="BJ174" i="1" s="1"/>
  <c r="BI175" i="1"/>
  <c r="BJ175" i="1" s="1"/>
  <c r="BI176" i="1"/>
  <c r="BI177" i="1"/>
  <c r="BJ177" i="1" s="1"/>
  <c r="BI178" i="1"/>
  <c r="BJ178" i="1" s="1"/>
  <c r="BI179" i="1"/>
  <c r="BJ179" i="1" s="1"/>
  <c r="BI180" i="1"/>
  <c r="BI181" i="1"/>
  <c r="BJ181" i="1" s="1"/>
  <c r="BI182" i="1"/>
  <c r="BJ182" i="1" s="1"/>
  <c r="BI183" i="1"/>
  <c r="BJ183" i="1" s="1"/>
  <c r="BI184" i="1"/>
  <c r="BI185" i="1"/>
  <c r="BJ185" i="1" s="1"/>
  <c r="BI186" i="1"/>
  <c r="BJ186" i="1" s="1"/>
  <c r="BI187" i="1"/>
  <c r="BJ187" i="1" s="1"/>
  <c r="BI188" i="1"/>
  <c r="BI190" i="1"/>
  <c r="BJ190" i="1" s="1"/>
  <c r="BI191" i="1"/>
  <c r="BJ191" i="1" s="1"/>
  <c r="BI192" i="1"/>
  <c r="BI193" i="1"/>
  <c r="BJ193" i="1" s="1"/>
  <c r="BI194" i="1"/>
  <c r="BJ194" i="1" s="1"/>
  <c r="BI195" i="1"/>
  <c r="BJ195" i="1" s="1"/>
  <c r="BI196" i="1"/>
  <c r="BI197" i="1"/>
  <c r="BJ197" i="1" s="1"/>
  <c r="BI198" i="1"/>
  <c r="BJ198" i="1" s="1"/>
  <c r="BI199" i="1"/>
  <c r="BJ199" i="1" s="1"/>
  <c r="BI200" i="1"/>
  <c r="BI201" i="1"/>
  <c r="BJ201" i="1" s="1"/>
  <c r="BI202" i="1"/>
  <c r="BJ202" i="1" s="1"/>
  <c r="BI203" i="1"/>
  <c r="BJ203" i="1" s="1"/>
  <c r="BI204" i="1"/>
  <c r="BI205" i="1"/>
  <c r="BJ205" i="1" s="1"/>
  <c r="BI206" i="1"/>
  <c r="BJ206" i="1" s="1"/>
  <c r="BI207" i="1"/>
  <c r="BJ207" i="1" s="1"/>
  <c r="BI208" i="1"/>
  <c r="BI209" i="1"/>
  <c r="BJ209" i="1" s="1"/>
  <c r="BI210" i="1"/>
  <c r="BJ210" i="1" s="1"/>
  <c r="BI211" i="1"/>
  <c r="BJ211" i="1" s="1"/>
  <c r="BI212" i="1"/>
  <c r="BI213" i="1"/>
  <c r="BJ213" i="1" s="1"/>
  <c r="BI214" i="1"/>
  <c r="BJ214" i="1" s="1"/>
  <c r="BI215" i="1"/>
  <c r="BJ215" i="1" s="1"/>
  <c r="BI216" i="1"/>
  <c r="BI217" i="1"/>
  <c r="BJ217" i="1" s="1"/>
  <c r="BI218" i="1"/>
  <c r="BJ218" i="1" s="1"/>
  <c r="BI219" i="1"/>
  <c r="BJ219" i="1" s="1"/>
  <c r="BI220" i="1"/>
  <c r="BI221" i="1"/>
  <c r="BJ221" i="1" s="1"/>
  <c r="BI222" i="1"/>
  <c r="BJ222" i="1" s="1"/>
  <c r="BI223" i="1"/>
  <c r="BJ223" i="1" s="1"/>
  <c r="BI224" i="1"/>
  <c r="BI225" i="1"/>
  <c r="BJ225" i="1" s="1"/>
  <c r="BI226" i="1"/>
  <c r="BJ226" i="1" s="1"/>
  <c r="BI227" i="1"/>
  <c r="BJ227" i="1" s="1"/>
  <c r="BI228" i="1"/>
  <c r="BI229" i="1"/>
  <c r="BJ229" i="1" s="1"/>
  <c r="BI230" i="1"/>
  <c r="BJ230" i="1" s="1"/>
  <c r="BI231" i="1"/>
  <c r="BJ231" i="1" s="1"/>
  <c r="BI232" i="1"/>
  <c r="BI233" i="1"/>
  <c r="BJ233" i="1" s="1"/>
  <c r="BI234" i="1"/>
  <c r="BJ234" i="1" s="1"/>
  <c r="BI235" i="1"/>
  <c r="BJ235" i="1" s="1"/>
  <c r="BI236" i="1"/>
  <c r="BI237" i="1"/>
  <c r="BJ237" i="1" s="1"/>
  <c r="BI238" i="1"/>
  <c r="BJ238" i="1" s="1"/>
  <c r="BI239" i="1"/>
  <c r="BJ239" i="1" s="1"/>
  <c r="BI240" i="1"/>
  <c r="BI241" i="1"/>
  <c r="BJ241" i="1" s="1"/>
  <c r="BI242" i="1"/>
  <c r="BJ242" i="1" s="1"/>
  <c r="BI243" i="1"/>
  <c r="BJ243" i="1" s="1"/>
  <c r="BI244" i="1"/>
  <c r="BI245" i="1"/>
  <c r="BJ245" i="1" s="1"/>
  <c r="BI246" i="1"/>
  <c r="BJ246" i="1" s="1"/>
  <c r="BI247" i="1"/>
  <c r="BJ247" i="1" s="1"/>
  <c r="BI248" i="1"/>
  <c r="BI249" i="1"/>
  <c r="BJ249" i="1" s="1"/>
  <c r="BI250" i="1"/>
  <c r="BJ250" i="1" s="1"/>
  <c r="BI251" i="1"/>
  <c r="BJ251" i="1" s="1"/>
  <c r="BI252" i="1"/>
  <c r="BI253" i="1"/>
  <c r="BJ253" i="1" s="1"/>
  <c r="BI254" i="1"/>
  <c r="BJ254" i="1" s="1"/>
  <c r="BI255" i="1"/>
  <c r="BJ255" i="1" s="1"/>
  <c r="BI256" i="1"/>
  <c r="BI257" i="1"/>
  <c r="BJ257" i="1" s="1"/>
  <c r="BI258" i="1"/>
  <c r="BJ258" i="1" s="1"/>
  <c r="BI259" i="1"/>
  <c r="BJ259" i="1" s="1"/>
  <c r="BI260" i="1"/>
  <c r="BI261" i="1"/>
  <c r="BJ261" i="1" s="1"/>
  <c r="BI262" i="1"/>
  <c r="BJ262" i="1" s="1"/>
  <c r="BI263" i="1"/>
  <c r="BJ263" i="1" s="1"/>
  <c r="BI264" i="1"/>
  <c r="BI265" i="1"/>
  <c r="BJ265" i="1" s="1"/>
  <c r="BI266" i="1"/>
  <c r="BJ266" i="1" s="1"/>
  <c r="BI267" i="1"/>
  <c r="BJ267" i="1" s="1"/>
  <c r="BI268" i="1"/>
  <c r="BI269" i="1"/>
  <c r="BJ269" i="1" s="1"/>
  <c r="BI270" i="1"/>
  <c r="BJ270" i="1" s="1"/>
  <c r="BI271" i="1"/>
  <c r="BJ271" i="1" s="1"/>
  <c r="BI272" i="1"/>
  <c r="BI273" i="1"/>
  <c r="BJ273" i="1" s="1"/>
  <c r="BI274" i="1"/>
  <c r="BJ274" i="1" s="1"/>
  <c r="BI275" i="1"/>
  <c r="BJ275" i="1" s="1"/>
  <c r="BI276" i="1"/>
  <c r="BI277" i="1"/>
  <c r="BJ277" i="1" s="1"/>
  <c r="BI278" i="1"/>
  <c r="BJ278" i="1" s="1"/>
  <c r="BI279" i="1"/>
  <c r="BJ279" i="1" s="1"/>
  <c r="BI280" i="1"/>
  <c r="BI281" i="1"/>
  <c r="BJ281" i="1" s="1"/>
  <c r="BI282" i="1"/>
  <c r="BJ282" i="1" s="1"/>
  <c r="BI283" i="1"/>
  <c r="BJ283" i="1" s="1"/>
  <c r="BI284" i="1"/>
  <c r="BI285" i="1"/>
  <c r="BJ285" i="1" s="1"/>
  <c r="BI286" i="1"/>
  <c r="BJ286" i="1" s="1"/>
  <c r="BI287" i="1"/>
  <c r="BJ287" i="1" s="1"/>
  <c r="BI288" i="1"/>
  <c r="BI289" i="1"/>
  <c r="BJ289" i="1" s="1"/>
  <c r="BI290" i="1"/>
  <c r="BJ290" i="1" s="1"/>
  <c r="BI291" i="1"/>
  <c r="BJ291" i="1" s="1"/>
  <c r="BI292" i="1"/>
  <c r="BI293" i="1"/>
  <c r="BJ293" i="1" s="1"/>
  <c r="BI294" i="1"/>
  <c r="BJ294" i="1" s="1"/>
  <c r="BI295" i="1"/>
  <c r="BJ295" i="1" s="1"/>
  <c r="BI296" i="1"/>
  <c r="BI297" i="1"/>
  <c r="BJ297" i="1" s="1"/>
  <c r="BI298" i="1"/>
  <c r="BJ298" i="1" s="1"/>
  <c r="BI299" i="1"/>
  <c r="BJ299" i="1" s="1"/>
  <c r="BI300" i="1"/>
  <c r="BI301" i="1"/>
  <c r="BJ301" i="1" s="1"/>
  <c r="BI302" i="1"/>
  <c r="BJ302" i="1" s="1"/>
  <c r="BI303" i="1"/>
  <c r="BJ303" i="1" s="1"/>
  <c r="BI304" i="1"/>
  <c r="BI305" i="1"/>
  <c r="BJ305" i="1" s="1"/>
  <c r="BI306" i="1"/>
  <c r="BJ306" i="1" s="1"/>
  <c r="BI307" i="1"/>
  <c r="BJ307" i="1" s="1"/>
  <c r="BI308" i="1"/>
  <c r="BI309" i="1"/>
  <c r="BJ309" i="1" s="1"/>
  <c r="BI310" i="1"/>
  <c r="BJ310" i="1" s="1"/>
  <c r="BI311" i="1"/>
  <c r="BJ311" i="1" s="1"/>
  <c r="BI312" i="1"/>
  <c r="BI313" i="1"/>
  <c r="BJ313" i="1" s="1"/>
  <c r="BI314" i="1"/>
  <c r="BJ314" i="1" s="1"/>
  <c r="BI315" i="1"/>
  <c r="BJ315" i="1" s="1"/>
  <c r="BI316" i="1"/>
  <c r="BI317" i="1"/>
  <c r="BJ317" i="1" s="1"/>
  <c r="BI318" i="1"/>
  <c r="BJ318" i="1" s="1"/>
  <c r="BI319" i="1"/>
  <c r="BJ319" i="1" s="1"/>
  <c r="BI320" i="1"/>
  <c r="BI321" i="1"/>
  <c r="BJ321" i="1" s="1"/>
  <c r="BI322" i="1"/>
  <c r="BJ322" i="1" s="1"/>
  <c r="BI323" i="1"/>
  <c r="BJ323" i="1" s="1"/>
  <c r="BI324" i="1"/>
  <c r="BI325" i="1"/>
  <c r="BJ325" i="1" s="1"/>
  <c r="BI326" i="1"/>
  <c r="BJ326" i="1" s="1"/>
  <c r="BI327" i="1"/>
  <c r="BJ327" i="1" s="1"/>
  <c r="BI328" i="1"/>
  <c r="BI329" i="1"/>
  <c r="BJ329" i="1" s="1"/>
  <c r="BI330" i="1"/>
  <c r="BJ330" i="1" s="1"/>
  <c r="BI331" i="1"/>
  <c r="BJ331" i="1" s="1"/>
  <c r="BI332" i="1"/>
  <c r="BI333" i="1"/>
  <c r="BJ333" i="1" s="1"/>
  <c r="BI334" i="1"/>
  <c r="BJ334" i="1" s="1"/>
  <c r="BI335" i="1"/>
  <c r="BJ335" i="1" s="1"/>
  <c r="BI336" i="1"/>
  <c r="BI337" i="1"/>
  <c r="BJ337" i="1" s="1"/>
  <c r="BI338" i="1"/>
  <c r="BJ338" i="1" s="1"/>
  <c r="BI339" i="1"/>
  <c r="BJ339" i="1" s="1"/>
  <c r="BI340" i="1"/>
  <c r="BI341" i="1"/>
  <c r="BJ341" i="1" s="1"/>
  <c r="BI342" i="1"/>
  <c r="BJ342" i="1" s="1"/>
  <c r="BI343" i="1"/>
  <c r="BJ343" i="1" s="1"/>
  <c r="BI344" i="1"/>
  <c r="BI345" i="1"/>
  <c r="BJ345" i="1" s="1"/>
  <c r="BI346" i="1"/>
  <c r="BJ346" i="1" s="1"/>
  <c r="BI347" i="1"/>
  <c r="BJ347" i="1" s="1"/>
  <c r="BI348" i="1"/>
  <c r="BI349" i="1"/>
  <c r="BJ349" i="1" s="1"/>
  <c r="BI350" i="1"/>
  <c r="BJ350" i="1" s="1"/>
  <c r="BI351" i="1"/>
  <c r="BJ351" i="1" s="1"/>
  <c r="BI352" i="1"/>
  <c r="BI353" i="1"/>
  <c r="BJ353" i="1" s="1"/>
  <c r="BI354" i="1"/>
  <c r="BJ354" i="1" s="1"/>
  <c r="BI355" i="1"/>
  <c r="BJ355" i="1" s="1"/>
  <c r="BI356" i="1"/>
  <c r="BI357" i="1"/>
  <c r="BJ357" i="1" s="1"/>
  <c r="BI358" i="1"/>
  <c r="BJ358" i="1" s="1"/>
  <c r="BI359" i="1"/>
  <c r="BJ359" i="1" s="1"/>
  <c r="BI360" i="1"/>
  <c r="BI361" i="1"/>
  <c r="BJ361" i="1" s="1"/>
  <c r="BI362" i="1"/>
  <c r="BJ362" i="1" s="1"/>
  <c r="BI363" i="1"/>
  <c r="BJ363" i="1" s="1"/>
  <c r="BI364" i="1"/>
  <c r="BI365" i="1"/>
  <c r="BJ365" i="1" s="1"/>
  <c r="BI366" i="1"/>
  <c r="BJ366" i="1" s="1"/>
  <c r="BI367" i="1"/>
  <c r="BJ367" i="1" s="1"/>
  <c r="BI10" i="1"/>
  <c r="BI9" i="1"/>
  <c r="BF11" i="1"/>
  <c r="BG11" i="1" s="1"/>
  <c r="BF12" i="1"/>
  <c r="BG12" i="1" s="1"/>
  <c r="BF13" i="1"/>
  <c r="BF14" i="1"/>
  <c r="BG14" i="1" s="1"/>
  <c r="BF15" i="1"/>
  <c r="BF16" i="1"/>
  <c r="BG16" i="1" s="1"/>
  <c r="BF17" i="1"/>
  <c r="BF19" i="1"/>
  <c r="BG19" i="1" s="1"/>
  <c r="BF20" i="1"/>
  <c r="BG20" i="1" s="1"/>
  <c r="BF21" i="1"/>
  <c r="BG21" i="1" s="1"/>
  <c r="BF22" i="1"/>
  <c r="BG22" i="1" s="1"/>
  <c r="BF23" i="1"/>
  <c r="BG23" i="1" s="1"/>
  <c r="BF24" i="1"/>
  <c r="BG24" i="1" s="1"/>
  <c r="BF25" i="1"/>
  <c r="BG25" i="1" s="1"/>
  <c r="BF26" i="1"/>
  <c r="BG26" i="1" s="1"/>
  <c r="BF27" i="1"/>
  <c r="BG27" i="1" s="1"/>
  <c r="BF28" i="1"/>
  <c r="BG28" i="1" s="1"/>
  <c r="BF29" i="1"/>
  <c r="BG29" i="1" s="1"/>
  <c r="BF30" i="1"/>
  <c r="BG30" i="1" s="1"/>
  <c r="BF31" i="1"/>
  <c r="BG31" i="1" s="1"/>
  <c r="BF32" i="1"/>
  <c r="BG32" i="1" s="1"/>
  <c r="BF33" i="1"/>
  <c r="BG33" i="1" s="1"/>
  <c r="BF34" i="1"/>
  <c r="BG34" i="1" s="1"/>
  <c r="BF35" i="1"/>
  <c r="BG35" i="1" s="1"/>
  <c r="BF36" i="1"/>
  <c r="BG36" i="1" s="1"/>
  <c r="BF37" i="1"/>
  <c r="BG37" i="1" s="1"/>
  <c r="BF38" i="1"/>
  <c r="BG38" i="1" s="1"/>
  <c r="BF39" i="1"/>
  <c r="BG39" i="1" s="1"/>
  <c r="BF40" i="1"/>
  <c r="BG40" i="1" s="1"/>
  <c r="BF41" i="1"/>
  <c r="BG41" i="1" s="1"/>
  <c r="BF42" i="1"/>
  <c r="BG42" i="1" s="1"/>
  <c r="BF43" i="1"/>
  <c r="BG43" i="1" s="1"/>
  <c r="BF44" i="1"/>
  <c r="BG44" i="1" s="1"/>
  <c r="BF45" i="1"/>
  <c r="BG45" i="1" s="1"/>
  <c r="BF46" i="1"/>
  <c r="BG46" i="1" s="1"/>
  <c r="BF47" i="1"/>
  <c r="BG47" i="1" s="1"/>
  <c r="BF48" i="1"/>
  <c r="BG48" i="1" s="1"/>
  <c r="BF49" i="1"/>
  <c r="BG49" i="1" s="1"/>
  <c r="BF50" i="1"/>
  <c r="BG50" i="1" s="1"/>
  <c r="BF51" i="1"/>
  <c r="BG51" i="1" s="1"/>
  <c r="BF52" i="1"/>
  <c r="BG52" i="1" s="1"/>
  <c r="BF53" i="1"/>
  <c r="BG53" i="1" s="1"/>
  <c r="BF54" i="1"/>
  <c r="BG54" i="1" s="1"/>
  <c r="BF55" i="1"/>
  <c r="BG55" i="1" s="1"/>
  <c r="BF56" i="1"/>
  <c r="BG56" i="1" s="1"/>
  <c r="BF57" i="1"/>
  <c r="BG57" i="1" s="1"/>
  <c r="BF58" i="1"/>
  <c r="BG58" i="1" s="1"/>
  <c r="BF59" i="1"/>
  <c r="BG59" i="1" s="1"/>
  <c r="BF60" i="1"/>
  <c r="BG60" i="1" s="1"/>
  <c r="BF61" i="1"/>
  <c r="BG61" i="1" s="1"/>
  <c r="BF62" i="1"/>
  <c r="BG62" i="1" s="1"/>
  <c r="BF63" i="1"/>
  <c r="BG63" i="1" s="1"/>
  <c r="BF64" i="1"/>
  <c r="BG64" i="1" s="1"/>
  <c r="BF65" i="1"/>
  <c r="BG65" i="1" s="1"/>
  <c r="BF66" i="1"/>
  <c r="BG66" i="1" s="1"/>
  <c r="BF67" i="1"/>
  <c r="BG67" i="1" s="1"/>
  <c r="BF68" i="1"/>
  <c r="BG68" i="1" s="1"/>
  <c r="BF69" i="1"/>
  <c r="BG69" i="1" s="1"/>
  <c r="BF70" i="1"/>
  <c r="BG70" i="1" s="1"/>
  <c r="BF71" i="1"/>
  <c r="BG71" i="1" s="1"/>
  <c r="BF72" i="1"/>
  <c r="BG72" i="1" s="1"/>
  <c r="BF73" i="1"/>
  <c r="BG73" i="1" s="1"/>
  <c r="BF74" i="1"/>
  <c r="BG74" i="1" s="1"/>
  <c r="BF75" i="1"/>
  <c r="BG75" i="1" s="1"/>
  <c r="BF76" i="1"/>
  <c r="BG76" i="1" s="1"/>
  <c r="BF77" i="1"/>
  <c r="BG77" i="1" s="1"/>
  <c r="BF78" i="1"/>
  <c r="BG78" i="1" s="1"/>
  <c r="BF79" i="1"/>
  <c r="BG79" i="1" s="1"/>
  <c r="BF80" i="1"/>
  <c r="BG80" i="1" s="1"/>
  <c r="BF81" i="1"/>
  <c r="BG81" i="1" s="1"/>
  <c r="BF82" i="1"/>
  <c r="BG82" i="1" s="1"/>
  <c r="BF83" i="1"/>
  <c r="BG83" i="1" s="1"/>
  <c r="BF84" i="1"/>
  <c r="BG84" i="1" s="1"/>
  <c r="BF85" i="1"/>
  <c r="BG85" i="1" s="1"/>
  <c r="BF86" i="1"/>
  <c r="BG86" i="1" s="1"/>
  <c r="BF87" i="1"/>
  <c r="BG87" i="1" s="1"/>
  <c r="BF88" i="1"/>
  <c r="BG88" i="1" s="1"/>
  <c r="BF89" i="1"/>
  <c r="BG89" i="1" s="1"/>
  <c r="BF90" i="1"/>
  <c r="BG90" i="1" s="1"/>
  <c r="BF91" i="1"/>
  <c r="BG91" i="1" s="1"/>
  <c r="BF92" i="1"/>
  <c r="BG92" i="1" s="1"/>
  <c r="BF93" i="1"/>
  <c r="BG93" i="1" s="1"/>
  <c r="BF94" i="1"/>
  <c r="BG94" i="1" s="1"/>
  <c r="BF95" i="1"/>
  <c r="BG95" i="1" s="1"/>
  <c r="BF96" i="1"/>
  <c r="BG96" i="1" s="1"/>
  <c r="BF97" i="1"/>
  <c r="BG97" i="1" s="1"/>
  <c r="BF98" i="1"/>
  <c r="BG98" i="1" s="1"/>
  <c r="BF99" i="1"/>
  <c r="BG99" i="1" s="1"/>
  <c r="BF100" i="1"/>
  <c r="BG100" i="1" s="1"/>
  <c r="BF101" i="1"/>
  <c r="BG101" i="1" s="1"/>
  <c r="BF102" i="1"/>
  <c r="BG102" i="1" s="1"/>
  <c r="BF103" i="1"/>
  <c r="BG103" i="1" s="1"/>
  <c r="BF104" i="1"/>
  <c r="BG104" i="1" s="1"/>
  <c r="BF105" i="1"/>
  <c r="BG105" i="1" s="1"/>
  <c r="BF106" i="1"/>
  <c r="BG106" i="1" s="1"/>
  <c r="BF107" i="1"/>
  <c r="BG107" i="1" s="1"/>
  <c r="BF108" i="1"/>
  <c r="BG108" i="1" s="1"/>
  <c r="BF109" i="1"/>
  <c r="BG109" i="1" s="1"/>
  <c r="BF110" i="1"/>
  <c r="BG110" i="1" s="1"/>
  <c r="BF111" i="1"/>
  <c r="BG111" i="1" s="1"/>
  <c r="BF112" i="1"/>
  <c r="BG112" i="1" s="1"/>
  <c r="BF113" i="1"/>
  <c r="BG113" i="1" s="1"/>
  <c r="BF114" i="1"/>
  <c r="BG114" i="1" s="1"/>
  <c r="BF115" i="1"/>
  <c r="BG115" i="1" s="1"/>
  <c r="BF116" i="1"/>
  <c r="BG116" i="1" s="1"/>
  <c r="BF117" i="1"/>
  <c r="BG117" i="1" s="1"/>
  <c r="BF118" i="1"/>
  <c r="BG118" i="1" s="1"/>
  <c r="BF119" i="1"/>
  <c r="BG119" i="1" s="1"/>
  <c r="BF120" i="1"/>
  <c r="BG120" i="1" s="1"/>
  <c r="BF121" i="1"/>
  <c r="BG121" i="1" s="1"/>
  <c r="BF122" i="1"/>
  <c r="BG122" i="1" s="1"/>
  <c r="BF123" i="1"/>
  <c r="BG123" i="1" s="1"/>
  <c r="BF124" i="1"/>
  <c r="BG124" i="1" s="1"/>
  <c r="BF125" i="1"/>
  <c r="BG125" i="1" s="1"/>
  <c r="BF126" i="1"/>
  <c r="BG126" i="1" s="1"/>
  <c r="BF127" i="1"/>
  <c r="BG127" i="1" s="1"/>
  <c r="BF128" i="1"/>
  <c r="BG128" i="1" s="1"/>
  <c r="BF129" i="1"/>
  <c r="BG129" i="1" s="1"/>
  <c r="BF130" i="1"/>
  <c r="BG130" i="1" s="1"/>
  <c r="BF131" i="1"/>
  <c r="BG131" i="1" s="1"/>
  <c r="BF132" i="1"/>
  <c r="BG132" i="1" s="1"/>
  <c r="BF133" i="1"/>
  <c r="BG133" i="1" s="1"/>
  <c r="BF134" i="1"/>
  <c r="BG134" i="1" s="1"/>
  <c r="BF135" i="1"/>
  <c r="BG135" i="1" s="1"/>
  <c r="BF136" i="1"/>
  <c r="BG136" i="1" s="1"/>
  <c r="BF137" i="1"/>
  <c r="BG137" i="1" s="1"/>
  <c r="BF138" i="1"/>
  <c r="BG138" i="1" s="1"/>
  <c r="BF139" i="1"/>
  <c r="BG139" i="1" s="1"/>
  <c r="BF140" i="1"/>
  <c r="BG140" i="1" s="1"/>
  <c r="BF141" i="1"/>
  <c r="BG141" i="1" s="1"/>
  <c r="BF142" i="1"/>
  <c r="BG142" i="1" s="1"/>
  <c r="BF143" i="1"/>
  <c r="BG143" i="1" s="1"/>
  <c r="BF144" i="1"/>
  <c r="BG144" i="1" s="1"/>
  <c r="BF145" i="1"/>
  <c r="BG145" i="1" s="1"/>
  <c r="BF146" i="1"/>
  <c r="BG146" i="1" s="1"/>
  <c r="BF147" i="1"/>
  <c r="BG147" i="1" s="1"/>
  <c r="BF148" i="1"/>
  <c r="BG148" i="1" s="1"/>
  <c r="BF149" i="1"/>
  <c r="BG149" i="1" s="1"/>
  <c r="BF150" i="1"/>
  <c r="BG150" i="1" s="1"/>
  <c r="BF151" i="1"/>
  <c r="BG151" i="1" s="1"/>
  <c r="BF152" i="1"/>
  <c r="BG152" i="1" s="1"/>
  <c r="BF153" i="1"/>
  <c r="BG153" i="1" s="1"/>
  <c r="BF154" i="1"/>
  <c r="BG154" i="1" s="1"/>
  <c r="BF155" i="1"/>
  <c r="BG155" i="1" s="1"/>
  <c r="BF156" i="1"/>
  <c r="BG156" i="1" s="1"/>
  <c r="BF157" i="1"/>
  <c r="BG157" i="1" s="1"/>
  <c r="BF158" i="1"/>
  <c r="BG158" i="1" s="1"/>
  <c r="BF159" i="1"/>
  <c r="BG159" i="1" s="1"/>
  <c r="BF160" i="1"/>
  <c r="BG160" i="1" s="1"/>
  <c r="BF161" i="1"/>
  <c r="BG161" i="1" s="1"/>
  <c r="BF162" i="1"/>
  <c r="BG162" i="1" s="1"/>
  <c r="BF163" i="1"/>
  <c r="BG163" i="1" s="1"/>
  <c r="BF164" i="1"/>
  <c r="BG164" i="1" s="1"/>
  <c r="BF165" i="1"/>
  <c r="BG165" i="1" s="1"/>
  <c r="BF166" i="1"/>
  <c r="BG166" i="1" s="1"/>
  <c r="BF167" i="1"/>
  <c r="BG167" i="1" s="1"/>
  <c r="BF168" i="1"/>
  <c r="BG168" i="1" s="1"/>
  <c r="BF169" i="1"/>
  <c r="BG169" i="1" s="1"/>
  <c r="BF170" i="1"/>
  <c r="BG170" i="1" s="1"/>
  <c r="BF171" i="1"/>
  <c r="BG171" i="1" s="1"/>
  <c r="BF172" i="1"/>
  <c r="BG172" i="1" s="1"/>
  <c r="BF173" i="1"/>
  <c r="BG173" i="1" s="1"/>
  <c r="BF174" i="1"/>
  <c r="BG174" i="1" s="1"/>
  <c r="BF175" i="1"/>
  <c r="BG175" i="1" s="1"/>
  <c r="BF176" i="1"/>
  <c r="BG176" i="1" s="1"/>
  <c r="BF177" i="1"/>
  <c r="BG177" i="1" s="1"/>
  <c r="BF178" i="1"/>
  <c r="BG178" i="1" s="1"/>
  <c r="BF179" i="1"/>
  <c r="BG179" i="1" s="1"/>
  <c r="BF180" i="1"/>
  <c r="BG180" i="1" s="1"/>
  <c r="BF181" i="1"/>
  <c r="BG181" i="1" s="1"/>
  <c r="BF182" i="1"/>
  <c r="BG182" i="1" s="1"/>
  <c r="BF183" i="1"/>
  <c r="BG183" i="1" s="1"/>
  <c r="BF184" i="1"/>
  <c r="BG184" i="1" s="1"/>
  <c r="BF185" i="1"/>
  <c r="BG185" i="1" s="1"/>
  <c r="BF186" i="1"/>
  <c r="BG186" i="1" s="1"/>
  <c r="BF187" i="1"/>
  <c r="BG187" i="1" s="1"/>
  <c r="BF188" i="1"/>
  <c r="BG188" i="1" s="1"/>
  <c r="BF190" i="1"/>
  <c r="BG190" i="1" s="1"/>
  <c r="BF191" i="1"/>
  <c r="BG191" i="1" s="1"/>
  <c r="BF192" i="1"/>
  <c r="BG192" i="1" s="1"/>
  <c r="BF193" i="1"/>
  <c r="BF194" i="1"/>
  <c r="BG194" i="1" s="1"/>
  <c r="BF195" i="1"/>
  <c r="BG195" i="1" s="1"/>
  <c r="BF196" i="1"/>
  <c r="BG196" i="1" s="1"/>
  <c r="BF197" i="1"/>
  <c r="BF198" i="1"/>
  <c r="BG198" i="1" s="1"/>
  <c r="BF199" i="1"/>
  <c r="BG199" i="1" s="1"/>
  <c r="BF200" i="1"/>
  <c r="BG200" i="1" s="1"/>
  <c r="BF201" i="1"/>
  <c r="BF202" i="1"/>
  <c r="BG202" i="1" s="1"/>
  <c r="BF203" i="1"/>
  <c r="BG203" i="1" s="1"/>
  <c r="BF204" i="1"/>
  <c r="BG204" i="1" s="1"/>
  <c r="BF205" i="1"/>
  <c r="BF206" i="1"/>
  <c r="BG206" i="1" s="1"/>
  <c r="BF207" i="1"/>
  <c r="BG207" i="1" s="1"/>
  <c r="BF208" i="1"/>
  <c r="BG208" i="1" s="1"/>
  <c r="BF209" i="1"/>
  <c r="BF210" i="1"/>
  <c r="BG210" i="1" s="1"/>
  <c r="BF211" i="1"/>
  <c r="BG211" i="1" s="1"/>
  <c r="BF212" i="1"/>
  <c r="BG212" i="1" s="1"/>
  <c r="BF213" i="1"/>
  <c r="BF214" i="1"/>
  <c r="BG214" i="1" s="1"/>
  <c r="BF215" i="1"/>
  <c r="BG215" i="1" s="1"/>
  <c r="BF216" i="1"/>
  <c r="BG216" i="1" s="1"/>
  <c r="BF217" i="1"/>
  <c r="BF218" i="1"/>
  <c r="BG218" i="1" s="1"/>
  <c r="BF219" i="1"/>
  <c r="BG219" i="1" s="1"/>
  <c r="BF220" i="1"/>
  <c r="BG220" i="1" s="1"/>
  <c r="BF221" i="1"/>
  <c r="BF222" i="1"/>
  <c r="BG222" i="1" s="1"/>
  <c r="BF223" i="1"/>
  <c r="BG223" i="1" s="1"/>
  <c r="BF224" i="1"/>
  <c r="BG224" i="1" s="1"/>
  <c r="BF225" i="1"/>
  <c r="BF226" i="1"/>
  <c r="BG226" i="1" s="1"/>
  <c r="BF227" i="1"/>
  <c r="BG227" i="1" s="1"/>
  <c r="BF228" i="1"/>
  <c r="BG228" i="1" s="1"/>
  <c r="BF229" i="1"/>
  <c r="BF230" i="1"/>
  <c r="BG230" i="1" s="1"/>
  <c r="BF231" i="1"/>
  <c r="BG231" i="1" s="1"/>
  <c r="BF232" i="1"/>
  <c r="BG232" i="1" s="1"/>
  <c r="BF233" i="1"/>
  <c r="BF234" i="1"/>
  <c r="BG234" i="1" s="1"/>
  <c r="BF235" i="1"/>
  <c r="BG235" i="1" s="1"/>
  <c r="BF236" i="1"/>
  <c r="BG236" i="1" s="1"/>
  <c r="BF237" i="1"/>
  <c r="BF238" i="1"/>
  <c r="BG238" i="1" s="1"/>
  <c r="BF239" i="1"/>
  <c r="BG239" i="1" s="1"/>
  <c r="BF240" i="1"/>
  <c r="BG240" i="1" s="1"/>
  <c r="BF241" i="1"/>
  <c r="BF242" i="1"/>
  <c r="BG242" i="1" s="1"/>
  <c r="BF243" i="1"/>
  <c r="BG243" i="1" s="1"/>
  <c r="BF244" i="1"/>
  <c r="BG244" i="1" s="1"/>
  <c r="BF245" i="1"/>
  <c r="BF246" i="1"/>
  <c r="BG246" i="1" s="1"/>
  <c r="BF247" i="1"/>
  <c r="BG247" i="1" s="1"/>
  <c r="BF248" i="1"/>
  <c r="BG248" i="1" s="1"/>
  <c r="BF249" i="1"/>
  <c r="BF250" i="1"/>
  <c r="BG250" i="1" s="1"/>
  <c r="BF251" i="1"/>
  <c r="BG251" i="1" s="1"/>
  <c r="BF252" i="1"/>
  <c r="BG252" i="1" s="1"/>
  <c r="BF253" i="1"/>
  <c r="BF254" i="1"/>
  <c r="BG254" i="1" s="1"/>
  <c r="BF255" i="1"/>
  <c r="BG255" i="1" s="1"/>
  <c r="BF256" i="1"/>
  <c r="BG256" i="1" s="1"/>
  <c r="BF257" i="1"/>
  <c r="BF258" i="1"/>
  <c r="BG258" i="1" s="1"/>
  <c r="BF259" i="1"/>
  <c r="BG259" i="1" s="1"/>
  <c r="BF260" i="1"/>
  <c r="BG260" i="1" s="1"/>
  <c r="BF261" i="1"/>
  <c r="BF262" i="1"/>
  <c r="BG262" i="1" s="1"/>
  <c r="BF263" i="1"/>
  <c r="BG263" i="1" s="1"/>
  <c r="BF264" i="1"/>
  <c r="BG264" i="1" s="1"/>
  <c r="BF265" i="1"/>
  <c r="BF266" i="1"/>
  <c r="BG266" i="1" s="1"/>
  <c r="BF267" i="1"/>
  <c r="BG267" i="1" s="1"/>
  <c r="BF268" i="1"/>
  <c r="BG268" i="1" s="1"/>
  <c r="BF269" i="1"/>
  <c r="BF270" i="1"/>
  <c r="BG270" i="1" s="1"/>
  <c r="BF271" i="1"/>
  <c r="BG271" i="1" s="1"/>
  <c r="BF272" i="1"/>
  <c r="BG272" i="1" s="1"/>
  <c r="BF273" i="1"/>
  <c r="BF274" i="1"/>
  <c r="BG274" i="1" s="1"/>
  <c r="BF275" i="1"/>
  <c r="BG275" i="1" s="1"/>
  <c r="BF276" i="1"/>
  <c r="BG276" i="1" s="1"/>
  <c r="BF277" i="1"/>
  <c r="BF278" i="1"/>
  <c r="BG278" i="1" s="1"/>
  <c r="BF279" i="1"/>
  <c r="BG279" i="1" s="1"/>
  <c r="BF280" i="1"/>
  <c r="BG280" i="1" s="1"/>
  <c r="BF281" i="1"/>
  <c r="BF282" i="1"/>
  <c r="BG282" i="1" s="1"/>
  <c r="BF283" i="1"/>
  <c r="BG283" i="1" s="1"/>
  <c r="BF284" i="1"/>
  <c r="BG284" i="1" s="1"/>
  <c r="BF285" i="1"/>
  <c r="BF286" i="1"/>
  <c r="BG286" i="1" s="1"/>
  <c r="BF287" i="1"/>
  <c r="BG287" i="1" s="1"/>
  <c r="BF288" i="1"/>
  <c r="BG288" i="1" s="1"/>
  <c r="BF289" i="1"/>
  <c r="BF290" i="1"/>
  <c r="BG290" i="1" s="1"/>
  <c r="BF291" i="1"/>
  <c r="BG291" i="1" s="1"/>
  <c r="BF292" i="1"/>
  <c r="BG292" i="1" s="1"/>
  <c r="BF293" i="1"/>
  <c r="BF294" i="1"/>
  <c r="BG294" i="1" s="1"/>
  <c r="BF295" i="1"/>
  <c r="BG295" i="1" s="1"/>
  <c r="BF296" i="1"/>
  <c r="BG296" i="1" s="1"/>
  <c r="BF297" i="1"/>
  <c r="BF298" i="1"/>
  <c r="BG298" i="1" s="1"/>
  <c r="BF299" i="1"/>
  <c r="BG299" i="1" s="1"/>
  <c r="BF300" i="1"/>
  <c r="BG300" i="1" s="1"/>
  <c r="BF301" i="1"/>
  <c r="BF302" i="1"/>
  <c r="BG302" i="1" s="1"/>
  <c r="BF303" i="1"/>
  <c r="BG303" i="1" s="1"/>
  <c r="BF304" i="1"/>
  <c r="BG304" i="1" s="1"/>
  <c r="BF305" i="1"/>
  <c r="BF306" i="1"/>
  <c r="BG306" i="1" s="1"/>
  <c r="BF307" i="1"/>
  <c r="BG307" i="1" s="1"/>
  <c r="BF308" i="1"/>
  <c r="BG308" i="1" s="1"/>
  <c r="BF309" i="1"/>
  <c r="BF310" i="1"/>
  <c r="BG310" i="1" s="1"/>
  <c r="BF311" i="1"/>
  <c r="BG311" i="1" s="1"/>
  <c r="BF312" i="1"/>
  <c r="BG312" i="1" s="1"/>
  <c r="BF313" i="1"/>
  <c r="BF314" i="1"/>
  <c r="BG314" i="1" s="1"/>
  <c r="BF315" i="1"/>
  <c r="BG315" i="1" s="1"/>
  <c r="BF316" i="1"/>
  <c r="BG316" i="1" s="1"/>
  <c r="BF317" i="1"/>
  <c r="BF318" i="1"/>
  <c r="BG318" i="1" s="1"/>
  <c r="BF319" i="1"/>
  <c r="BG319" i="1" s="1"/>
  <c r="BF320" i="1"/>
  <c r="BG320" i="1" s="1"/>
  <c r="BF321" i="1"/>
  <c r="BF322" i="1"/>
  <c r="BG322" i="1" s="1"/>
  <c r="BF323" i="1"/>
  <c r="BG323" i="1" s="1"/>
  <c r="BF324" i="1"/>
  <c r="BG324" i="1" s="1"/>
  <c r="BF325" i="1"/>
  <c r="BF326" i="1"/>
  <c r="BG326" i="1" s="1"/>
  <c r="BF327" i="1"/>
  <c r="BG327" i="1" s="1"/>
  <c r="BF328" i="1"/>
  <c r="BG328" i="1" s="1"/>
  <c r="BF329" i="1"/>
  <c r="BF330" i="1"/>
  <c r="BG330" i="1" s="1"/>
  <c r="BF331" i="1"/>
  <c r="BG331" i="1" s="1"/>
  <c r="BF332" i="1"/>
  <c r="BG332" i="1" s="1"/>
  <c r="BF333" i="1"/>
  <c r="BF334" i="1"/>
  <c r="BG334" i="1" s="1"/>
  <c r="BF335" i="1"/>
  <c r="BG335" i="1" s="1"/>
  <c r="BF336" i="1"/>
  <c r="BG336" i="1" s="1"/>
  <c r="BF337" i="1"/>
  <c r="BF338" i="1"/>
  <c r="BG338" i="1" s="1"/>
  <c r="BF339" i="1"/>
  <c r="BG339" i="1" s="1"/>
  <c r="BF340" i="1"/>
  <c r="BG340" i="1" s="1"/>
  <c r="BF341" i="1"/>
  <c r="BF342" i="1"/>
  <c r="BG342" i="1" s="1"/>
  <c r="BF343" i="1"/>
  <c r="BG343" i="1" s="1"/>
  <c r="BF344" i="1"/>
  <c r="BG344" i="1" s="1"/>
  <c r="BF345" i="1"/>
  <c r="BF346" i="1"/>
  <c r="BG346" i="1" s="1"/>
  <c r="BF347" i="1"/>
  <c r="BG347" i="1" s="1"/>
  <c r="BF348" i="1"/>
  <c r="BG348" i="1" s="1"/>
  <c r="BF349" i="1"/>
  <c r="BF350" i="1"/>
  <c r="BG350" i="1" s="1"/>
  <c r="BF351" i="1"/>
  <c r="BG351" i="1" s="1"/>
  <c r="BF352" i="1"/>
  <c r="BG352" i="1" s="1"/>
  <c r="BF353" i="1"/>
  <c r="BF354" i="1"/>
  <c r="BG354" i="1" s="1"/>
  <c r="BF355" i="1"/>
  <c r="BG355" i="1" s="1"/>
  <c r="BF356" i="1"/>
  <c r="BG356" i="1" s="1"/>
  <c r="BF357" i="1"/>
  <c r="BF358" i="1"/>
  <c r="BG358" i="1" s="1"/>
  <c r="BF359" i="1"/>
  <c r="BG359" i="1" s="1"/>
  <c r="BF360" i="1"/>
  <c r="BG360" i="1" s="1"/>
  <c r="BF361" i="1"/>
  <c r="BF362" i="1"/>
  <c r="BG362" i="1" s="1"/>
  <c r="BF363" i="1"/>
  <c r="BG363" i="1" s="1"/>
  <c r="BF364" i="1"/>
  <c r="BG364" i="1" s="1"/>
  <c r="BF365" i="1"/>
  <c r="BF366" i="1"/>
  <c r="BG366" i="1" s="1"/>
  <c r="BF367" i="1"/>
  <c r="BG367" i="1" s="1"/>
  <c r="BF10" i="1"/>
  <c r="BF9" i="1"/>
  <c r="BC11" i="1"/>
  <c r="BD11" i="1" s="1"/>
  <c r="BC12" i="1"/>
  <c r="BD12" i="1" s="1"/>
  <c r="BC13" i="1"/>
  <c r="BD13" i="1" s="1"/>
  <c r="BC14" i="1"/>
  <c r="BC15" i="1"/>
  <c r="BC16" i="1"/>
  <c r="BD16" i="1" s="1"/>
  <c r="BC17" i="1"/>
  <c r="BD17" i="1" s="1"/>
  <c r="BC19" i="1"/>
  <c r="BD19" i="1" s="1"/>
  <c r="BC20" i="1"/>
  <c r="BD20" i="1" s="1"/>
  <c r="BC21" i="1"/>
  <c r="BD21" i="1" s="1"/>
  <c r="BC22" i="1"/>
  <c r="BC23" i="1"/>
  <c r="BD23" i="1" s="1"/>
  <c r="BC24" i="1"/>
  <c r="BD24" i="1" s="1"/>
  <c r="BC25" i="1"/>
  <c r="BD25" i="1" s="1"/>
  <c r="BC26" i="1"/>
  <c r="BC27" i="1"/>
  <c r="BD27" i="1" s="1"/>
  <c r="BC28" i="1"/>
  <c r="BD28" i="1" s="1"/>
  <c r="BC29" i="1"/>
  <c r="BD29" i="1" s="1"/>
  <c r="BC30" i="1"/>
  <c r="BC31" i="1"/>
  <c r="BD31" i="1" s="1"/>
  <c r="BC32" i="1"/>
  <c r="BD32" i="1" s="1"/>
  <c r="BC33" i="1"/>
  <c r="BD33" i="1" s="1"/>
  <c r="BC34" i="1"/>
  <c r="BC35" i="1"/>
  <c r="BD35" i="1" s="1"/>
  <c r="BC36" i="1"/>
  <c r="BD36" i="1" s="1"/>
  <c r="BC37" i="1"/>
  <c r="BD37" i="1" s="1"/>
  <c r="BC38" i="1"/>
  <c r="BC39" i="1"/>
  <c r="BD39" i="1" s="1"/>
  <c r="BC40" i="1"/>
  <c r="BD40" i="1" s="1"/>
  <c r="BC41" i="1"/>
  <c r="BD41" i="1" s="1"/>
  <c r="BC42" i="1"/>
  <c r="BC43" i="1"/>
  <c r="BD43" i="1" s="1"/>
  <c r="BC44" i="1"/>
  <c r="BD44" i="1" s="1"/>
  <c r="BC45" i="1"/>
  <c r="BD45" i="1" s="1"/>
  <c r="BC46" i="1"/>
  <c r="BC47" i="1"/>
  <c r="BD47" i="1" s="1"/>
  <c r="BC48" i="1"/>
  <c r="BD48" i="1" s="1"/>
  <c r="BC49" i="1"/>
  <c r="BD49" i="1" s="1"/>
  <c r="BC50" i="1"/>
  <c r="BC51" i="1"/>
  <c r="BD51" i="1" s="1"/>
  <c r="BC52" i="1"/>
  <c r="BD52" i="1" s="1"/>
  <c r="BC53" i="1"/>
  <c r="BD53" i="1" s="1"/>
  <c r="BC54" i="1"/>
  <c r="BC55" i="1"/>
  <c r="BD55" i="1" s="1"/>
  <c r="BC56" i="1"/>
  <c r="BD56" i="1" s="1"/>
  <c r="BC57" i="1"/>
  <c r="BD57" i="1" s="1"/>
  <c r="BC58" i="1"/>
  <c r="BC59" i="1"/>
  <c r="BD59" i="1" s="1"/>
  <c r="BC60" i="1"/>
  <c r="BD60" i="1" s="1"/>
  <c r="BC61" i="1"/>
  <c r="BD61" i="1" s="1"/>
  <c r="BC62" i="1"/>
  <c r="BC63" i="1"/>
  <c r="BD63" i="1" s="1"/>
  <c r="BC64" i="1"/>
  <c r="BD64" i="1" s="1"/>
  <c r="BC65" i="1"/>
  <c r="BD65" i="1" s="1"/>
  <c r="BC66" i="1"/>
  <c r="BC67" i="1"/>
  <c r="BD67" i="1" s="1"/>
  <c r="BC68" i="1"/>
  <c r="BD68" i="1" s="1"/>
  <c r="BC69" i="1"/>
  <c r="BD69" i="1" s="1"/>
  <c r="BC70" i="1"/>
  <c r="BC71" i="1"/>
  <c r="BD71" i="1" s="1"/>
  <c r="BC72" i="1"/>
  <c r="BD72" i="1" s="1"/>
  <c r="BC73" i="1"/>
  <c r="BD73" i="1" s="1"/>
  <c r="BC74" i="1"/>
  <c r="BC75" i="1"/>
  <c r="BD75" i="1" s="1"/>
  <c r="BC76" i="1"/>
  <c r="BD76" i="1" s="1"/>
  <c r="BC77" i="1"/>
  <c r="BD77" i="1" s="1"/>
  <c r="BC78" i="1"/>
  <c r="BC79" i="1"/>
  <c r="BD79" i="1" s="1"/>
  <c r="BC80" i="1"/>
  <c r="BD80" i="1" s="1"/>
  <c r="BC81" i="1"/>
  <c r="BD81" i="1" s="1"/>
  <c r="BC82" i="1"/>
  <c r="BC83" i="1"/>
  <c r="BD83" i="1" s="1"/>
  <c r="BC84" i="1"/>
  <c r="BD84" i="1" s="1"/>
  <c r="BC85" i="1"/>
  <c r="BD85" i="1" s="1"/>
  <c r="BC86" i="1"/>
  <c r="BC87" i="1"/>
  <c r="BD87" i="1" s="1"/>
  <c r="BC88" i="1"/>
  <c r="BD88" i="1" s="1"/>
  <c r="BC89" i="1"/>
  <c r="BD89" i="1" s="1"/>
  <c r="BC90" i="1"/>
  <c r="BC91" i="1"/>
  <c r="BD91" i="1" s="1"/>
  <c r="BC92" i="1"/>
  <c r="BD92" i="1" s="1"/>
  <c r="BC93" i="1"/>
  <c r="BD93" i="1" s="1"/>
  <c r="BC94" i="1"/>
  <c r="BC95" i="1"/>
  <c r="BD95" i="1" s="1"/>
  <c r="BC96" i="1"/>
  <c r="BD96" i="1" s="1"/>
  <c r="BC97" i="1"/>
  <c r="BD97" i="1" s="1"/>
  <c r="BC98" i="1"/>
  <c r="BC99" i="1"/>
  <c r="BD99" i="1" s="1"/>
  <c r="BC100" i="1"/>
  <c r="BD100" i="1" s="1"/>
  <c r="BC101" i="1"/>
  <c r="BD101" i="1" s="1"/>
  <c r="BC102" i="1"/>
  <c r="BC103" i="1"/>
  <c r="BD103" i="1" s="1"/>
  <c r="BC104" i="1"/>
  <c r="BD104" i="1" s="1"/>
  <c r="BC105" i="1"/>
  <c r="BD105" i="1" s="1"/>
  <c r="BC106" i="1"/>
  <c r="BC107" i="1"/>
  <c r="BD107" i="1" s="1"/>
  <c r="BC108" i="1"/>
  <c r="BD108" i="1" s="1"/>
  <c r="BC109" i="1"/>
  <c r="BD109" i="1" s="1"/>
  <c r="BC110" i="1"/>
  <c r="BC111" i="1"/>
  <c r="BD111" i="1" s="1"/>
  <c r="BC112" i="1"/>
  <c r="BD112" i="1" s="1"/>
  <c r="BC113" i="1"/>
  <c r="BD113" i="1" s="1"/>
  <c r="BC114" i="1"/>
  <c r="BC115" i="1"/>
  <c r="BD115" i="1" s="1"/>
  <c r="BC116" i="1"/>
  <c r="BD116" i="1" s="1"/>
  <c r="BC117" i="1"/>
  <c r="BD117" i="1" s="1"/>
  <c r="BC118" i="1"/>
  <c r="BC119" i="1"/>
  <c r="BD119" i="1" s="1"/>
  <c r="BC120" i="1"/>
  <c r="BD120" i="1" s="1"/>
  <c r="BC121" i="1"/>
  <c r="BD121" i="1" s="1"/>
  <c r="BC122" i="1"/>
  <c r="BC123" i="1"/>
  <c r="BD123" i="1" s="1"/>
  <c r="BC124" i="1"/>
  <c r="BD124" i="1" s="1"/>
  <c r="BC125" i="1"/>
  <c r="BD125" i="1" s="1"/>
  <c r="BC126" i="1"/>
  <c r="BC127" i="1"/>
  <c r="BD127" i="1" s="1"/>
  <c r="BC128" i="1"/>
  <c r="BD128" i="1" s="1"/>
  <c r="BC129" i="1"/>
  <c r="BD129" i="1" s="1"/>
  <c r="BC130" i="1"/>
  <c r="BC131" i="1"/>
  <c r="BD131" i="1" s="1"/>
  <c r="BC132" i="1"/>
  <c r="BD132" i="1" s="1"/>
  <c r="BC133" i="1"/>
  <c r="BD133" i="1" s="1"/>
  <c r="BC134" i="1"/>
  <c r="BC135" i="1"/>
  <c r="BD135" i="1" s="1"/>
  <c r="BC136" i="1"/>
  <c r="BD136" i="1" s="1"/>
  <c r="BC137" i="1"/>
  <c r="BD137" i="1" s="1"/>
  <c r="BC138" i="1"/>
  <c r="BC139" i="1"/>
  <c r="BD139" i="1" s="1"/>
  <c r="BC140" i="1"/>
  <c r="BD140" i="1" s="1"/>
  <c r="BC141" i="1"/>
  <c r="BD141" i="1" s="1"/>
  <c r="BC142" i="1"/>
  <c r="BC143" i="1"/>
  <c r="BD143" i="1" s="1"/>
  <c r="BC144" i="1"/>
  <c r="BD144" i="1" s="1"/>
  <c r="BC145" i="1"/>
  <c r="BD145" i="1" s="1"/>
  <c r="BC146" i="1"/>
  <c r="BC147" i="1"/>
  <c r="BD147" i="1" s="1"/>
  <c r="BC148" i="1"/>
  <c r="BD148" i="1" s="1"/>
  <c r="BC149" i="1"/>
  <c r="BD149" i="1" s="1"/>
  <c r="BC150" i="1"/>
  <c r="BC151" i="1"/>
  <c r="BD151" i="1" s="1"/>
  <c r="BC152" i="1"/>
  <c r="BD152" i="1" s="1"/>
  <c r="BC153" i="1"/>
  <c r="BD153" i="1" s="1"/>
  <c r="BC154" i="1"/>
  <c r="BC155" i="1"/>
  <c r="BD155" i="1" s="1"/>
  <c r="BC156" i="1"/>
  <c r="BD156" i="1" s="1"/>
  <c r="BC157" i="1"/>
  <c r="BD157" i="1" s="1"/>
  <c r="BC158" i="1"/>
  <c r="BC159" i="1"/>
  <c r="BD159" i="1" s="1"/>
  <c r="BC160" i="1"/>
  <c r="BD160" i="1" s="1"/>
  <c r="BC161" i="1"/>
  <c r="BD161" i="1" s="1"/>
  <c r="BC162" i="1"/>
  <c r="BC163" i="1"/>
  <c r="BD163" i="1" s="1"/>
  <c r="BC164" i="1"/>
  <c r="BD164" i="1" s="1"/>
  <c r="BC165" i="1"/>
  <c r="BD165" i="1" s="1"/>
  <c r="BC166" i="1"/>
  <c r="BC167" i="1"/>
  <c r="BD167" i="1" s="1"/>
  <c r="BC168" i="1"/>
  <c r="BD168" i="1" s="1"/>
  <c r="BC169" i="1"/>
  <c r="BD169" i="1" s="1"/>
  <c r="BC170" i="1"/>
  <c r="BC171" i="1"/>
  <c r="BD171" i="1" s="1"/>
  <c r="BC172" i="1"/>
  <c r="BD172" i="1" s="1"/>
  <c r="BC173" i="1"/>
  <c r="BD173" i="1" s="1"/>
  <c r="BC174" i="1"/>
  <c r="BC175" i="1"/>
  <c r="BD175" i="1" s="1"/>
  <c r="BC176" i="1"/>
  <c r="BD176" i="1" s="1"/>
  <c r="BC177" i="1"/>
  <c r="BD177" i="1" s="1"/>
  <c r="BC178" i="1"/>
  <c r="BC179" i="1"/>
  <c r="BD179" i="1" s="1"/>
  <c r="BC180" i="1"/>
  <c r="BD180" i="1" s="1"/>
  <c r="BC181" i="1"/>
  <c r="BD181" i="1" s="1"/>
  <c r="BC182" i="1"/>
  <c r="BC183" i="1"/>
  <c r="BD183" i="1" s="1"/>
  <c r="BC184" i="1"/>
  <c r="BD184" i="1" s="1"/>
  <c r="BC185" i="1"/>
  <c r="BD185" i="1" s="1"/>
  <c r="BC186" i="1"/>
  <c r="BC187" i="1"/>
  <c r="BD187" i="1" s="1"/>
  <c r="BC188" i="1"/>
  <c r="BD188" i="1" s="1"/>
  <c r="BC190" i="1"/>
  <c r="BC191" i="1"/>
  <c r="BD191" i="1" s="1"/>
  <c r="BC192" i="1"/>
  <c r="BD192" i="1" s="1"/>
  <c r="BC193" i="1"/>
  <c r="BD193" i="1" s="1"/>
  <c r="BC194" i="1"/>
  <c r="BC195" i="1"/>
  <c r="BD195" i="1" s="1"/>
  <c r="BC196" i="1"/>
  <c r="BD196" i="1" s="1"/>
  <c r="BC197" i="1"/>
  <c r="BD197" i="1" s="1"/>
  <c r="BC198" i="1"/>
  <c r="BC199" i="1"/>
  <c r="BD199" i="1" s="1"/>
  <c r="BC200" i="1"/>
  <c r="BD200" i="1" s="1"/>
  <c r="BC201" i="1"/>
  <c r="BD201" i="1" s="1"/>
  <c r="BC202" i="1"/>
  <c r="BC203" i="1"/>
  <c r="BD203" i="1" s="1"/>
  <c r="BC204" i="1"/>
  <c r="BD204" i="1" s="1"/>
  <c r="BC205" i="1"/>
  <c r="BD205" i="1" s="1"/>
  <c r="BC206" i="1"/>
  <c r="BC207" i="1"/>
  <c r="BD207" i="1" s="1"/>
  <c r="BC208" i="1"/>
  <c r="BD208" i="1" s="1"/>
  <c r="BC209" i="1"/>
  <c r="BD209" i="1" s="1"/>
  <c r="BC210" i="1"/>
  <c r="BC211" i="1"/>
  <c r="BD211" i="1" s="1"/>
  <c r="BC212" i="1"/>
  <c r="BD212" i="1" s="1"/>
  <c r="BC213" i="1"/>
  <c r="BD213" i="1" s="1"/>
  <c r="BC214" i="1"/>
  <c r="BC215" i="1"/>
  <c r="BD215" i="1" s="1"/>
  <c r="BC216" i="1"/>
  <c r="BD216" i="1" s="1"/>
  <c r="BC217" i="1"/>
  <c r="BD217" i="1" s="1"/>
  <c r="BC218" i="1"/>
  <c r="BC219" i="1"/>
  <c r="BD219" i="1" s="1"/>
  <c r="BC220" i="1"/>
  <c r="BD220" i="1" s="1"/>
  <c r="BC221" i="1"/>
  <c r="BD221" i="1" s="1"/>
  <c r="BC222" i="1"/>
  <c r="BC223" i="1"/>
  <c r="BD223" i="1" s="1"/>
  <c r="BC224" i="1"/>
  <c r="BD224" i="1" s="1"/>
  <c r="BC225" i="1"/>
  <c r="BD225" i="1" s="1"/>
  <c r="BC226" i="1"/>
  <c r="BC227" i="1"/>
  <c r="BD227" i="1" s="1"/>
  <c r="BC228" i="1"/>
  <c r="BD228" i="1" s="1"/>
  <c r="BC229" i="1"/>
  <c r="BD229" i="1" s="1"/>
  <c r="BC230" i="1"/>
  <c r="BC231" i="1"/>
  <c r="BD231" i="1" s="1"/>
  <c r="BC232" i="1"/>
  <c r="BD232" i="1" s="1"/>
  <c r="BC233" i="1"/>
  <c r="BD233" i="1" s="1"/>
  <c r="BC234" i="1"/>
  <c r="BC235" i="1"/>
  <c r="BD235" i="1" s="1"/>
  <c r="BC236" i="1"/>
  <c r="BD236" i="1" s="1"/>
  <c r="BC237" i="1"/>
  <c r="BD237" i="1" s="1"/>
  <c r="BC238" i="1"/>
  <c r="BC239" i="1"/>
  <c r="BD239" i="1" s="1"/>
  <c r="BC240" i="1"/>
  <c r="BD240" i="1" s="1"/>
  <c r="BC241" i="1"/>
  <c r="BD241" i="1" s="1"/>
  <c r="BC242" i="1"/>
  <c r="BC243" i="1"/>
  <c r="BD243" i="1" s="1"/>
  <c r="BC244" i="1"/>
  <c r="BD244" i="1" s="1"/>
  <c r="BC245" i="1"/>
  <c r="BD245" i="1" s="1"/>
  <c r="BC246" i="1"/>
  <c r="BC247" i="1"/>
  <c r="BD247" i="1" s="1"/>
  <c r="BC248" i="1"/>
  <c r="BD248" i="1" s="1"/>
  <c r="BC249" i="1"/>
  <c r="BD249" i="1" s="1"/>
  <c r="BC250" i="1"/>
  <c r="BC251" i="1"/>
  <c r="BD251" i="1" s="1"/>
  <c r="BC252" i="1"/>
  <c r="BD252" i="1" s="1"/>
  <c r="BC253" i="1"/>
  <c r="BD253" i="1" s="1"/>
  <c r="BC254" i="1"/>
  <c r="BC255" i="1"/>
  <c r="BD255" i="1" s="1"/>
  <c r="BC256" i="1"/>
  <c r="BD256" i="1" s="1"/>
  <c r="BC257" i="1"/>
  <c r="BD257" i="1" s="1"/>
  <c r="BC258" i="1"/>
  <c r="BC259" i="1"/>
  <c r="BD259" i="1" s="1"/>
  <c r="BC260" i="1"/>
  <c r="BD260" i="1" s="1"/>
  <c r="BC261" i="1"/>
  <c r="BD261" i="1" s="1"/>
  <c r="BC262" i="1"/>
  <c r="BC263" i="1"/>
  <c r="BD263" i="1" s="1"/>
  <c r="BC264" i="1"/>
  <c r="BD264" i="1" s="1"/>
  <c r="BC265" i="1"/>
  <c r="BD265" i="1" s="1"/>
  <c r="BC266" i="1"/>
  <c r="BC267" i="1"/>
  <c r="BD267" i="1" s="1"/>
  <c r="BC268" i="1"/>
  <c r="BD268" i="1" s="1"/>
  <c r="BC269" i="1"/>
  <c r="BD269" i="1" s="1"/>
  <c r="BC270" i="1"/>
  <c r="BC271" i="1"/>
  <c r="BD271" i="1" s="1"/>
  <c r="BC272" i="1"/>
  <c r="BD272" i="1" s="1"/>
  <c r="BC273" i="1"/>
  <c r="BD273" i="1" s="1"/>
  <c r="BC274" i="1"/>
  <c r="BC275" i="1"/>
  <c r="BD275" i="1" s="1"/>
  <c r="BC276" i="1"/>
  <c r="BD276" i="1" s="1"/>
  <c r="BC277" i="1"/>
  <c r="BD277" i="1" s="1"/>
  <c r="BC278" i="1"/>
  <c r="BC279" i="1"/>
  <c r="BD279" i="1" s="1"/>
  <c r="BC280" i="1"/>
  <c r="BD280" i="1" s="1"/>
  <c r="BC281" i="1"/>
  <c r="BD281" i="1" s="1"/>
  <c r="BC282" i="1"/>
  <c r="BC283" i="1"/>
  <c r="BD283" i="1" s="1"/>
  <c r="BC284" i="1"/>
  <c r="BD284" i="1" s="1"/>
  <c r="BC285" i="1"/>
  <c r="BD285" i="1" s="1"/>
  <c r="BC286" i="1"/>
  <c r="BC287" i="1"/>
  <c r="BD287" i="1" s="1"/>
  <c r="BC288" i="1"/>
  <c r="BD288" i="1" s="1"/>
  <c r="BC289" i="1"/>
  <c r="BD289" i="1" s="1"/>
  <c r="BC290" i="1"/>
  <c r="BC291" i="1"/>
  <c r="BD291" i="1" s="1"/>
  <c r="BC292" i="1"/>
  <c r="BD292" i="1" s="1"/>
  <c r="BC293" i="1"/>
  <c r="BD293" i="1" s="1"/>
  <c r="BC294" i="1"/>
  <c r="BC295" i="1"/>
  <c r="BD295" i="1" s="1"/>
  <c r="BC296" i="1"/>
  <c r="BD296" i="1" s="1"/>
  <c r="BC297" i="1"/>
  <c r="BD297" i="1" s="1"/>
  <c r="BC298" i="1"/>
  <c r="BC299" i="1"/>
  <c r="BD299" i="1" s="1"/>
  <c r="BC300" i="1"/>
  <c r="BD300" i="1" s="1"/>
  <c r="BC301" i="1"/>
  <c r="BD301" i="1" s="1"/>
  <c r="BC302" i="1"/>
  <c r="BC303" i="1"/>
  <c r="BD303" i="1" s="1"/>
  <c r="BC304" i="1"/>
  <c r="BD304" i="1" s="1"/>
  <c r="BC305" i="1"/>
  <c r="BD305" i="1" s="1"/>
  <c r="BC306" i="1"/>
  <c r="BC307" i="1"/>
  <c r="BD307" i="1" s="1"/>
  <c r="BC308" i="1"/>
  <c r="BD308" i="1" s="1"/>
  <c r="BC309" i="1"/>
  <c r="BD309" i="1" s="1"/>
  <c r="BC310" i="1"/>
  <c r="BC311" i="1"/>
  <c r="BD311" i="1" s="1"/>
  <c r="BC312" i="1"/>
  <c r="BD312" i="1" s="1"/>
  <c r="BC313" i="1"/>
  <c r="BD313" i="1" s="1"/>
  <c r="BC314" i="1"/>
  <c r="BC315" i="1"/>
  <c r="BD315" i="1" s="1"/>
  <c r="BC316" i="1"/>
  <c r="BD316" i="1" s="1"/>
  <c r="BC317" i="1"/>
  <c r="BD317" i="1" s="1"/>
  <c r="BC318" i="1"/>
  <c r="BC319" i="1"/>
  <c r="BD319" i="1" s="1"/>
  <c r="BC320" i="1"/>
  <c r="BD320" i="1" s="1"/>
  <c r="BC321" i="1"/>
  <c r="BD321" i="1" s="1"/>
  <c r="BC322" i="1"/>
  <c r="BC323" i="1"/>
  <c r="BD323" i="1" s="1"/>
  <c r="BC324" i="1"/>
  <c r="BD324" i="1" s="1"/>
  <c r="BC325" i="1"/>
  <c r="BD325" i="1" s="1"/>
  <c r="BC326" i="1"/>
  <c r="BC327" i="1"/>
  <c r="BD327" i="1" s="1"/>
  <c r="BC328" i="1"/>
  <c r="BD328" i="1" s="1"/>
  <c r="BC329" i="1"/>
  <c r="BD329" i="1" s="1"/>
  <c r="BC330" i="1"/>
  <c r="BC331" i="1"/>
  <c r="BD331" i="1" s="1"/>
  <c r="BC332" i="1"/>
  <c r="BD332" i="1" s="1"/>
  <c r="BC333" i="1"/>
  <c r="BD333" i="1" s="1"/>
  <c r="BC334" i="1"/>
  <c r="BC335" i="1"/>
  <c r="BD335" i="1" s="1"/>
  <c r="BC336" i="1"/>
  <c r="BD336" i="1" s="1"/>
  <c r="BC337" i="1"/>
  <c r="BD337" i="1" s="1"/>
  <c r="BC338" i="1"/>
  <c r="BC339" i="1"/>
  <c r="BD339" i="1" s="1"/>
  <c r="BC340" i="1"/>
  <c r="BD340" i="1" s="1"/>
  <c r="BC341" i="1"/>
  <c r="BD341" i="1" s="1"/>
  <c r="BC342" i="1"/>
  <c r="BC343" i="1"/>
  <c r="BD343" i="1" s="1"/>
  <c r="BC344" i="1"/>
  <c r="BD344" i="1" s="1"/>
  <c r="BC345" i="1"/>
  <c r="BD345" i="1" s="1"/>
  <c r="BC346" i="1"/>
  <c r="BC347" i="1"/>
  <c r="BD347" i="1" s="1"/>
  <c r="BC348" i="1"/>
  <c r="BD348" i="1" s="1"/>
  <c r="BC349" i="1"/>
  <c r="BD349" i="1" s="1"/>
  <c r="BC350" i="1"/>
  <c r="BC351" i="1"/>
  <c r="BD351" i="1" s="1"/>
  <c r="BC352" i="1"/>
  <c r="BD352" i="1" s="1"/>
  <c r="BC353" i="1"/>
  <c r="BD353" i="1" s="1"/>
  <c r="BC354" i="1"/>
  <c r="BC355" i="1"/>
  <c r="BD355" i="1" s="1"/>
  <c r="BC356" i="1"/>
  <c r="BD356" i="1" s="1"/>
  <c r="BC357" i="1"/>
  <c r="BD357" i="1" s="1"/>
  <c r="BC358" i="1"/>
  <c r="BC359" i="1"/>
  <c r="BD359" i="1" s="1"/>
  <c r="BC360" i="1"/>
  <c r="BD360" i="1" s="1"/>
  <c r="BC361" i="1"/>
  <c r="BD361" i="1" s="1"/>
  <c r="BC362" i="1"/>
  <c r="BC363" i="1"/>
  <c r="BD363" i="1" s="1"/>
  <c r="BC364" i="1"/>
  <c r="BD364" i="1" s="1"/>
  <c r="BC365" i="1"/>
  <c r="BD365" i="1" s="1"/>
  <c r="BC366" i="1"/>
  <c r="BC367" i="1"/>
  <c r="BD367" i="1" s="1"/>
  <c r="BC10" i="1"/>
  <c r="BC9" i="1"/>
  <c r="AZ11" i="1"/>
  <c r="AZ12" i="1"/>
  <c r="BA12" i="1" s="1"/>
  <c r="AZ13" i="1"/>
  <c r="BA13" i="1" s="1"/>
  <c r="AZ14" i="1"/>
  <c r="BA14" i="1" s="1"/>
  <c r="AZ15" i="1"/>
  <c r="AZ16" i="1"/>
  <c r="BA16" i="1" s="1"/>
  <c r="AZ17" i="1"/>
  <c r="BA17" i="1" s="1"/>
  <c r="AZ18" i="1"/>
  <c r="BA18" i="1" s="1"/>
  <c r="AZ19" i="1"/>
  <c r="AZ20" i="1"/>
  <c r="BA20" i="1" s="1"/>
  <c r="AZ21" i="1"/>
  <c r="BA21" i="1" s="1"/>
  <c r="AZ22" i="1"/>
  <c r="BA22" i="1" s="1"/>
  <c r="AZ23" i="1"/>
  <c r="AZ24" i="1"/>
  <c r="BA24" i="1" s="1"/>
  <c r="AZ25" i="1"/>
  <c r="BA25" i="1" s="1"/>
  <c r="AZ26" i="1"/>
  <c r="BA26" i="1" s="1"/>
  <c r="AZ27" i="1"/>
  <c r="AZ28" i="1"/>
  <c r="BA28" i="1" s="1"/>
  <c r="AZ29" i="1"/>
  <c r="BA29" i="1" s="1"/>
  <c r="AZ30" i="1"/>
  <c r="BA30" i="1" s="1"/>
  <c r="AZ31" i="1"/>
  <c r="AZ32" i="1"/>
  <c r="BA32" i="1" s="1"/>
  <c r="AZ33" i="1"/>
  <c r="BA33" i="1" s="1"/>
  <c r="AZ34" i="1"/>
  <c r="BA34" i="1" s="1"/>
  <c r="AZ35" i="1"/>
  <c r="AZ36" i="1"/>
  <c r="BA36" i="1" s="1"/>
  <c r="AZ37" i="1"/>
  <c r="BA37" i="1" s="1"/>
  <c r="AZ38" i="1"/>
  <c r="BA38" i="1" s="1"/>
  <c r="AZ39" i="1"/>
  <c r="AZ40" i="1"/>
  <c r="BA40" i="1" s="1"/>
  <c r="AZ41" i="1"/>
  <c r="BA41" i="1" s="1"/>
  <c r="AZ42" i="1"/>
  <c r="BA42" i="1" s="1"/>
  <c r="AZ43" i="1"/>
  <c r="AZ44" i="1"/>
  <c r="BA44" i="1" s="1"/>
  <c r="AZ45" i="1"/>
  <c r="BA45" i="1" s="1"/>
  <c r="AZ46" i="1"/>
  <c r="BA46" i="1" s="1"/>
  <c r="AZ47" i="1"/>
  <c r="AZ48" i="1"/>
  <c r="BA48" i="1" s="1"/>
  <c r="AZ49" i="1"/>
  <c r="BA49" i="1" s="1"/>
  <c r="AZ50" i="1"/>
  <c r="BA50" i="1" s="1"/>
  <c r="AZ51" i="1"/>
  <c r="AZ52" i="1"/>
  <c r="BA52" i="1" s="1"/>
  <c r="AZ53" i="1"/>
  <c r="BA53" i="1" s="1"/>
  <c r="AZ54" i="1"/>
  <c r="BA54" i="1" s="1"/>
  <c r="AZ55" i="1"/>
  <c r="AZ56" i="1"/>
  <c r="BA56" i="1" s="1"/>
  <c r="AZ57" i="1"/>
  <c r="BA57" i="1" s="1"/>
  <c r="AZ58" i="1"/>
  <c r="BA58" i="1" s="1"/>
  <c r="AZ59" i="1"/>
  <c r="AZ60" i="1"/>
  <c r="BA60" i="1" s="1"/>
  <c r="AZ61" i="1"/>
  <c r="BA61" i="1" s="1"/>
  <c r="AZ62" i="1"/>
  <c r="BA62" i="1" s="1"/>
  <c r="AZ63" i="1"/>
  <c r="AZ64" i="1"/>
  <c r="BA64" i="1" s="1"/>
  <c r="AZ65" i="1"/>
  <c r="BA65" i="1" s="1"/>
  <c r="AZ66" i="1"/>
  <c r="BA66" i="1" s="1"/>
  <c r="AZ67" i="1"/>
  <c r="AZ68" i="1"/>
  <c r="BA68" i="1" s="1"/>
  <c r="AZ69" i="1"/>
  <c r="BA69" i="1" s="1"/>
  <c r="AZ70" i="1"/>
  <c r="BA70" i="1" s="1"/>
  <c r="AZ71" i="1"/>
  <c r="AZ72" i="1"/>
  <c r="BA72" i="1" s="1"/>
  <c r="AZ73" i="1"/>
  <c r="BA73" i="1" s="1"/>
  <c r="AZ74" i="1"/>
  <c r="BA74" i="1" s="1"/>
  <c r="AZ75" i="1"/>
  <c r="AZ76" i="1"/>
  <c r="BA76" i="1" s="1"/>
  <c r="AZ77" i="1"/>
  <c r="BA77" i="1" s="1"/>
  <c r="AZ78" i="1"/>
  <c r="BA78" i="1" s="1"/>
  <c r="AZ79" i="1"/>
  <c r="AZ80" i="1"/>
  <c r="BA80" i="1" s="1"/>
  <c r="AZ81" i="1"/>
  <c r="BA81" i="1" s="1"/>
  <c r="AZ82" i="1"/>
  <c r="BA82" i="1" s="1"/>
  <c r="AZ83" i="1"/>
  <c r="AZ84" i="1"/>
  <c r="BA84" i="1" s="1"/>
  <c r="AZ85" i="1"/>
  <c r="BA85" i="1" s="1"/>
  <c r="AZ86" i="1"/>
  <c r="BA86" i="1" s="1"/>
  <c r="AZ87" i="1"/>
  <c r="AZ88" i="1"/>
  <c r="BA88" i="1" s="1"/>
  <c r="AZ89" i="1"/>
  <c r="BA89" i="1" s="1"/>
  <c r="AZ90" i="1"/>
  <c r="BA90" i="1" s="1"/>
  <c r="AZ91" i="1"/>
  <c r="AZ92" i="1"/>
  <c r="BA92" i="1" s="1"/>
  <c r="AZ93" i="1"/>
  <c r="BA93" i="1" s="1"/>
  <c r="AZ94" i="1"/>
  <c r="BA94" i="1" s="1"/>
  <c r="AZ95" i="1"/>
  <c r="AZ96" i="1"/>
  <c r="BA96" i="1" s="1"/>
  <c r="AZ97" i="1"/>
  <c r="BA97" i="1" s="1"/>
  <c r="AZ98" i="1"/>
  <c r="BA98" i="1" s="1"/>
  <c r="AZ99" i="1"/>
  <c r="AZ100" i="1"/>
  <c r="BA100" i="1" s="1"/>
  <c r="AZ101" i="1"/>
  <c r="BA101" i="1" s="1"/>
  <c r="AZ102" i="1"/>
  <c r="BA102" i="1" s="1"/>
  <c r="AZ103" i="1"/>
  <c r="AZ104" i="1"/>
  <c r="BA104" i="1" s="1"/>
  <c r="AZ105" i="1"/>
  <c r="BA105" i="1" s="1"/>
  <c r="AZ106" i="1"/>
  <c r="BA106" i="1" s="1"/>
  <c r="AZ107" i="1"/>
  <c r="AZ108" i="1"/>
  <c r="BA108" i="1" s="1"/>
  <c r="AZ109" i="1"/>
  <c r="BA109" i="1" s="1"/>
  <c r="AZ110" i="1"/>
  <c r="BA110" i="1" s="1"/>
  <c r="AZ111" i="1"/>
  <c r="AZ112" i="1"/>
  <c r="BA112" i="1" s="1"/>
  <c r="AZ113" i="1"/>
  <c r="BA113" i="1" s="1"/>
  <c r="AZ114" i="1"/>
  <c r="BA114" i="1" s="1"/>
  <c r="AZ115" i="1"/>
  <c r="AZ116" i="1"/>
  <c r="BA116" i="1" s="1"/>
  <c r="AZ117" i="1"/>
  <c r="BA117" i="1" s="1"/>
  <c r="AZ118" i="1"/>
  <c r="BA118" i="1" s="1"/>
  <c r="AZ119" i="1"/>
  <c r="AZ120" i="1"/>
  <c r="BA120" i="1" s="1"/>
  <c r="AZ121" i="1"/>
  <c r="BA121" i="1" s="1"/>
  <c r="AZ122" i="1"/>
  <c r="BA122" i="1" s="1"/>
  <c r="AZ123" i="1"/>
  <c r="AZ124" i="1"/>
  <c r="BA124" i="1" s="1"/>
  <c r="AZ125" i="1"/>
  <c r="BA125" i="1" s="1"/>
  <c r="AZ126" i="1"/>
  <c r="BA126" i="1" s="1"/>
  <c r="AZ127" i="1"/>
  <c r="AZ128" i="1"/>
  <c r="BA128" i="1" s="1"/>
  <c r="AZ129" i="1"/>
  <c r="BA129" i="1" s="1"/>
  <c r="AZ130" i="1"/>
  <c r="BA130" i="1" s="1"/>
  <c r="AZ131" i="1"/>
  <c r="AZ132" i="1"/>
  <c r="BA132" i="1" s="1"/>
  <c r="AZ133" i="1"/>
  <c r="BA133" i="1" s="1"/>
  <c r="AZ134" i="1"/>
  <c r="BA134" i="1" s="1"/>
  <c r="AZ135" i="1"/>
  <c r="AZ136" i="1"/>
  <c r="BA136" i="1" s="1"/>
  <c r="AZ137" i="1"/>
  <c r="BA137" i="1" s="1"/>
  <c r="AZ138" i="1"/>
  <c r="BA138" i="1" s="1"/>
  <c r="AZ139" i="1"/>
  <c r="AZ140" i="1"/>
  <c r="BA140" i="1" s="1"/>
  <c r="AZ141" i="1"/>
  <c r="BA141" i="1" s="1"/>
  <c r="AZ142" i="1"/>
  <c r="BA142" i="1" s="1"/>
  <c r="AZ143" i="1"/>
  <c r="AZ144" i="1"/>
  <c r="BA144" i="1" s="1"/>
  <c r="AZ145" i="1"/>
  <c r="BA145" i="1" s="1"/>
  <c r="AZ146" i="1"/>
  <c r="BA146" i="1" s="1"/>
  <c r="AZ147" i="1"/>
  <c r="AZ148" i="1"/>
  <c r="BA148" i="1" s="1"/>
  <c r="AZ149" i="1"/>
  <c r="BA149" i="1" s="1"/>
  <c r="AZ150" i="1"/>
  <c r="BA150" i="1" s="1"/>
  <c r="AZ151" i="1"/>
  <c r="AZ152" i="1"/>
  <c r="BA152" i="1" s="1"/>
  <c r="AZ153" i="1"/>
  <c r="BA153" i="1" s="1"/>
  <c r="AZ154" i="1"/>
  <c r="BA154" i="1" s="1"/>
  <c r="AZ155" i="1"/>
  <c r="AZ156" i="1"/>
  <c r="BA156" i="1" s="1"/>
  <c r="AZ157" i="1"/>
  <c r="BA157" i="1" s="1"/>
  <c r="AZ158" i="1"/>
  <c r="BA158" i="1" s="1"/>
  <c r="AZ159" i="1"/>
  <c r="AZ160" i="1"/>
  <c r="BA160" i="1" s="1"/>
  <c r="AZ161" i="1"/>
  <c r="BA161" i="1" s="1"/>
  <c r="AZ162" i="1"/>
  <c r="BA162" i="1" s="1"/>
  <c r="AZ163" i="1"/>
  <c r="AZ164" i="1"/>
  <c r="BA164" i="1" s="1"/>
  <c r="AZ165" i="1"/>
  <c r="BA165" i="1" s="1"/>
  <c r="AZ166" i="1"/>
  <c r="BA166" i="1" s="1"/>
  <c r="AZ167" i="1"/>
  <c r="AZ168" i="1"/>
  <c r="BA168" i="1" s="1"/>
  <c r="AZ169" i="1"/>
  <c r="BA169" i="1" s="1"/>
  <c r="AZ170" i="1"/>
  <c r="BA170" i="1" s="1"/>
  <c r="AZ171" i="1"/>
  <c r="AZ172" i="1"/>
  <c r="BA172" i="1" s="1"/>
  <c r="AZ173" i="1"/>
  <c r="BA173" i="1" s="1"/>
  <c r="AZ174" i="1"/>
  <c r="BA174" i="1" s="1"/>
  <c r="AZ175" i="1"/>
  <c r="AZ176" i="1"/>
  <c r="BA176" i="1" s="1"/>
  <c r="AZ177" i="1"/>
  <c r="BA177" i="1" s="1"/>
  <c r="AZ178" i="1"/>
  <c r="BA178" i="1" s="1"/>
  <c r="AZ179" i="1"/>
  <c r="AZ180" i="1"/>
  <c r="BA180" i="1" s="1"/>
  <c r="AZ181" i="1"/>
  <c r="BA181" i="1" s="1"/>
  <c r="AZ182" i="1"/>
  <c r="BA182" i="1" s="1"/>
  <c r="AZ183" i="1"/>
  <c r="AZ184" i="1"/>
  <c r="BA184" i="1" s="1"/>
  <c r="AZ185" i="1"/>
  <c r="BA185" i="1" s="1"/>
  <c r="AZ186" i="1"/>
  <c r="BA186" i="1" s="1"/>
  <c r="AZ187" i="1"/>
  <c r="AZ188" i="1"/>
  <c r="BA188" i="1" s="1"/>
  <c r="AZ190" i="1"/>
  <c r="BA190" i="1" s="1"/>
  <c r="AZ191" i="1"/>
  <c r="BA191" i="1" s="1"/>
  <c r="AZ192" i="1"/>
  <c r="BA192" i="1" s="1"/>
  <c r="AZ193" i="1"/>
  <c r="BA193" i="1" s="1"/>
  <c r="AZ194" i="1"/>
  <c r="BA194" i="1" s="1"/>
  <c r="AZ195" i="1"/>
  <c r="BA195" i="1" s="1"/>
  <c r="AZ196" i="1"/>
  <c r="BA196" i="1" s="1"/>
  <c r="AZ197" i="1"/>
  <c r="BA197" i="1" s="1"/>
  <c r="AZ198" i="1"/>
  <c r="BA198" i="1" s="1"/>
  <c r="AZ199" i="1"/>
  <c r="BA199" i="1" s="1"/>
  <c r="AZ200" i="1"/>
  <c r="BA200" i="1" s="1"/>
  <c r="AZ201" i="1"/>
  <c r="BA201" i="1" s="1"/>
  <c r="AZ202" i="1"/>
  <c r="BA202" i="1" s="1"/>
  <c r="AZ203" i="1"/>
  <c r="BA203" i="1" s="1"/>
  <c r="AZ204" i="1"/>
  <c r="BA204" i="1" s="1"/>
  <c r="AZ205" i="1"/>
  <c r="BA205" i="1" s="1"/>
  <c r="AZ206" i="1"/>
  <c r="BA206" i="1" s="1"/>
  <c r="AZ207" i="1"/>
  <c r="BA207" i="1" s="1"/>
  <c r="AZ208" i="1"/>
  <c r="BA208" i="1" s="1"/>
  <c r="AZ209" i="1"/>
  <c r="BA209" i="1" s="1"/>
  <c r="AZ210" i="1"/>
  <c r="BA210" i="1" s="1"/>
  <c r="AZ211" i="1"/>
  <c r="BA211" i="1" s="1"/>
  <c r="AZ212" i="1"/>
  <c r="BA212" i="1" s="1"/>
  <c r="AZ213" i="1"/>
  <c r="BA213" i="1" s="1"/>
  <c r="AZ214" i="1"/>
  <c r="BA214" i="1" s="1"/>
  <c r="AZ215" i="1"/>
  <c r="BA215" i="1" s="1"/>
  <c r="AZ216" i="1"/>
  <c r="BA216" i="1" s="1"/>
  <c r="AZ217" i="1"/>
  <c r="BA217" i="1" s="1"/>
  <c r="AZ218" i="1"/>
  <c r="BA218" i="1" s="1"/>
  <c r="AZ219" i="1"/>
  <c r="BA219" i="1" s="1"/>
  <c r="AZ220" i="1"/>
  <c r="BA220" i="1" s="1"/>
  <c r="AZ221" i="1"/>
  <c r="BA221" i="1" s="1"/>
  <c r="AZ222" i="1"/>
  <c r="BA222" i="1" s="1"/>
  <c r="AZ223" i="1"/>
  <c r="BA223" i="1" s="1"/>
  <c r="AZ224" i="1"/>
  <c r="BA224" i="1" s="1"/>
  <c r="AZ225" i="1"/>
  <c r="BA225" i="1" s="1"/>
  <c r="AZ226" i="1"/>
  <c r="BA226" i="1" s="1"/>
  <c r="AZ227" i="1"/>
  <c r="BA227" i="1" s="1"/>
  <c r="AZ228" i="1"/>
  <c r="BA228" i="1" s="1"/>
  <c r="AZ229" i="1"/>
  <c r="BA229" i="1" s="1"/>
  <c r="AZ230" i="1"/>
  <c r="BA230" i="1" s="1"/>
  <c r="AZ231" i="1"/>
  <c r="BA231" i="1" s="1"/>
  <c r="AZ232" i="1"/>
  <c r="BA232" i="1" s="1"/>
  <c r="AZ233" i="1"/>
  <c r="BA233" i="1" s="1"/>
  <c r="AZ234" i="1"/>
  <c r="BA234" i="1" s="1"/>
  <c r="AZ235" i="1"/>
  <c r="BA235" i="1" s="1"/>
  <c r="AZ236" i="1"/>
  <c r="BA236" i="1" s="1"/>
  <c r="AZ237" i="1"/>
  <c r="BA237" i="1" s="1"/>
  <c r="AZ238" i="1"/>
  <c r="BA238" i="1" s="1"/>
  <c r="AZ239" i="1"/>
  <c r="BA239" i="1" s="1"/>
  <c r="AZ240" i="1"/>
  <c r="BA240" i="1" s="1"/>
  <c r="AZ241" i="1"/>
  <c r="BA241" i="1" s="1"/>
  <c r="AZ242" i="1"/>
  <c r="BA242" i="1" s="1"/>
  <c r="AZ243" i="1"/>
  <c r="BA243" i="1" s="1"/>
  <c r="AZ244" i="1"/>
  <c r="BA244" i="1" s="1"/>
  <c r="AZ245" i="1"/>
  <c r="BA245" i="1" s="1"/>
  <c r="AZ246" i="1"/>
  <c r="BA246" i="1" s="1"/>
  <c r="AZ247" i="1"/>
  <c r="BA247" i="1" s="1"/>
  <c r="AZ248" i="1"/>
  <c r="BA248" i="1" s="1"/>
  <c r="AZ249" i="1"/>
  <c r="BA249" i="1" s="1"/>
  <c r="AZ250" i="1"/>
  <c r="BA250" i="1" s="1"/>
  <c r="AZ251" i="1"/>
  <c r="BA251" i="1" s="1"/>
  <c r="AZ252" i="1"/>
  <c r="BA252" i="1" s="1"/>
  <c r="AZ253" i="1"/>
  <c r="BA253" i="1" s="1"/>
  <c r="AZ254" i="1"/>
  <c r="BA254" i="1" s="1"/>
  <c r="AZ255" i="1"/>
  <c r="BA255" i="1" s="1"/>
  <c r="AZ256" i="1"/>
  <c r="BA256" i="1" s="1"/>
  <c r="AZ257" i="1"/>
  <c r="BA257" i="1" s="1"/>
  <c r="AZ258" i="1"/>
  <c r="BA258" i="1" s="1"/>
  <c r="AZ259" i="1"/>
  <c r="BA259" i="1" s="1"/>
  <c r="AZ260" i="1"/>
  <c r="BA260" i="1" s="1"/>
  <c r="AZ261" i="1"/>
  <c r="BA261" i="1" s="1"/>
  <c r="AZ262" i="1"/>
  <c r="BA262" i="1" s="1"/>
  <c r="AZ263" i="1"/>
  <c r="BA263" i="1" s="1"/>
  <c r="AZ264" i="1"/>
  <c r="BA264" i="1" s="1"/>
  <c r="AZ265" i="1"/>
  <c r="BA265" i="1" s="1"/>
  <c r="AZ266" i="1"/>
  <c r="BA266" i="1" s="1"/>
  <c r="AZ267" i="1"/>
  <c r="BA267" i="1" s="1"/>
  <c r="AZ268" i="1"/>
  <c r="BA268" i="1" s="1"/>
  <c r="AZ269" i="1"/>
  <c r="BA269" i="1" s="1"/>
  <c r="AZ270" i="1"/>
  <c r="BA270" i="1" s="1"/>
  <c r="AZ271" i="1"/>
  <c r="BA271" i="1" s="1"/>
  <c r="AZ272" i="1"/>
  <c r="BA272" i="1" s="1"/>
  <c r="AZ273" i="1"/>
  <c r="BA273" i="1" s="1"/>
  <c r="AZ274" i="1"/>
  <c r="BA274" i="1" s="1"/>
  <c r="AZ275" i="1"/>
  <c r="BA275" i="1" s="1"/>
  <c r="AZ276" i="1"/>
  <c r="BA276" i="1" s="1"/>
  <c r="AZ277" i="1"/>
  <c r="BA277" i="1" s="1"/>
  <c r="AZ278" i="1"/>
  <c r="BA278" i="1" s="1"/>
  <c r="AZ279" i="1"/>
  <c r="BA279" i="1" s="1"/>
  <c r="AZ280" i="1"/>
  <c r="BA280" i="1" s="1"/>
  <c r="AZ281" i="1"/>
  <c r="BA281" i="1" s="1"/>
  <c r="AZ282" i="1"/>
  <c r="BA282" i="1" s="1"/>
  <c r="AZ283" i="1"/>
  <c r="BA283" i="1" s="1"/>
  <c r="AZ284" i="1"/>
  <c r="BA284" i="1" s="1"/>
  <c r="AZ285" i="1"/>
  <c r="BA285" i="1" s="1"/>
  <c r="AZ286" i="1"/>
  <c r="BA286" i="1" s="1"/>
  <c r="AZ287" i="1"/>
  <c r="BA287" i="1" s="1"/>
  <c r="AZ288" i="1"/>
  <c r="BA288" i="1" s="1"/>
  <c r="AZ289" i="1"/>
  <c r="BA289" i="1" s="1"/>
  <c r="AZ290" i="1"/>
  <c r="BA290" i="1" s="1"/>
  <c r="AZ291" i="1"/>
  <c r="BA291" i="1" s="1"/>
  <c r="AZ292" i="1"/>
  <c r="BA292" i="1" s="1"/>
  <c r="AZ293" i="1"/>
  <c r="BA293" i="1" s="1"/>
  <c r="AZ294" i="1"/>
  <c r="BA294" i="1" s="1"/>
  <c r="AZ295" i="1"/>
  <c r="BA295" i="1" s="1"/>
  <c r="AZ296" i="1"/>
  <c r="BA296" i="1" s="1"/>
  <c r="AZ297" i="1"/>
  <c r="BA297" i="1" s="1"/>
  <c r="AZ298" i="1"/>
  <c r="BA298" i="1" s="1"/>
  <c r="AZ299" i="1"/>
  <c r="BA299" i="1" s="1"/>
  <c r="AZ300" i="1"/>
  <c r="BA300" i="1" s="1"/>
  <c r="AZ301" i="1"/>
  <c r="BA301" i="1" s="1"/>
  <c r="AZ302" i="1"/>
  <c r="BA302" i="1" s="1"/>
  <c r="AZ303" i="1"/>
  <c r="BA303" i="1" s="1"/>
  <c r="AZ304" i="1"/>
  <c r="BA304" i="1" s="1"/>
  <c r="AZ305" i="1"/>
  <c r="BA305" i="1" s="1"/>
  <c r="AZ306" i="1"/>
  <c r="BA306" i="1" s="1"/>
  <c r="AZ307" i="1"/>
  <c r="BA307" i="1" s="1"/>
  <c r="AZ308" i="1"/>
  <c r="BA308" i="1" s="1"/>
  <c r="AZ309" i="1"/>
  <c r="BA309" i="1" s="1"/>
  <c r="AZ310" i="1"/>
  <c r="BA310" i="1" s="1"/>
  <c r="AZ311" i="1"/>
  <c r="BA311" i="1" s="1"/>
  <c r="AZ312" i="1"/>
  <c r="BA312" i="1" s="1"/>
  <c r="AZ313" i="1"/>
  <c r="BA313" i="1" s="1"/>
  <c r="AZ314" i="1"/>
  <c r="BA314" i="1" s="1"/>
  <c r="AZ315" i="1"/>
  <c r="BA315" i="1" s="1"/>
  <c r="AZ316" i="1"/>
  <c r="BA316" i="1" s="1"/>
  <c r="AZ317" i="1"/>
  <c r="BA317" i="1" s="1"/>
  <c r="AZ318" i="1"/>
  <c r="BA318" i="1" s="1"/>
  <c r="AZ319" i="1"/>
  <c r="BA319" i="1" s="1"/>
  <c r="AZ320" i="1"/>
  <c r="BA320" i="1" s="1"/>
  <c r="AZ321" i="1"/>
  <c r="BA321" i="1" s="1"/>
  <c r="AZ322" i="1"/>
  <c r="BA322" i="1" s="1"/>
  <c r="AZ323" i="1"/>
  <c r="BA323" i="1" s="1"/>
  <c r="AZ324" i="1"/>
  <c r="BA324" i="1" s="1"/>
  <c r="AZ325" i="1"/>
  <c r="BA325" i="1" s="1"/>
  <c r="AZ326" i="1"/>
  <c r="BA326" i="1" s="1"/>
  <c r="AZ327" i="1"/>
  <c r="BA327" i="1" s="1"/>
  <c r="AZ328" i="1"/>
  <c r="BA328" i="1" s="1"/>
  <c r="AZ329" i="1"/>
  <c r="BA329" i="1" s="1"/>
  <c r="AZ330" i="1"/>
  <c r="BA330" i="1" s="1"/>
  <c r="AZ331" i="1"/>
  <c r="BA331" i="1" s="1"/>
  <c r="AZ332" i="1"/>
  <c r="BA332" i="1" s="1"/>
  <c r="AZ333" i="1"/>
  <c r="BA333" i="1" s="1"/>
  <c r="AZ334" i="1"/>
  <c r="BA334" i="1" s="1"/>
  <c r="AZ335" i="1"/>
  <c r="BA335" i="1" s="1"/>
  <c r="AZ336" i="1"/>
  <c r="BA336" i="1" s="1"/>
  <c r="AZ337" i="1"/>
  <c r="BA337" i="1" s="1"/>
  <c r="AZ338" i="1"/>
  <c r="BA338" i="1" s="1"/>
  <c r="AZ339" i="1"/>
  <c r="BA339" i="1" s="1"/>
  <c r="AZ340" i="1"/>
  <c r="BA340" i="1" s="1"/>
  <c r="AZ341" i="1"/>
  <c r="BA341" i="1" s="1"/>
  <c r="AZ342" i="1"/>
  <c r="BA342" i="1" s="1"/>
  <c r="AZ343" i="1"/>
  <c r="BA343" i="1" s="1"/>
  <c r="AZ344" i="1"/>
  <c r="BA344" i="1" s="1"/>
  <c r="AZ345" i="1"/>
  <c r="BA345" i="1" s="1"/>
  <c r="AZ346" i="1"/>
  <c r="BA346" i="1" s="1"/>
  <c r="AZ347" i="1"/>
  <c r="BA347" i="1" s="1"/>
  <c r="AZ348" i="1"/>
  <c r="BA348" i="1" s="1"/>
  <c r="AZ349" i="1"/>
  <c r="BA349" i="1" s="1"/>
  <c r="AZ350" i="1"/>
  <c r="BA350" i="1" s="1"/>
  <c r="AZ351" i="1"/>
  <c r="BA351" i="1" s="1"/>
  <c r="AZ352" i="1"/>
  <c r="BA352" i="1" s="1"/>
  <c r="AZ353" i="1"/>
  <c r="BA353" i="1" s="1"/>
  <c r="AZ354" i="1"/>
  <c r="BA354" i="1" s="1"/>
  <c r="AZ355" i="1"/>
  <c r="BA355" i="1" s="1"/>
  <c r="AZ356" i="1"/>
  <c r="BA356" i="1" s="1"/>
  <c r="AZ357" i="1"/>
  <c r="BA357" i="1" s="1"/>
  <c r="AZ358" i="1"/>
  <c r="BA358" i="1" s="1"/>
  <c r="AZ359" i="1"/>
  <c r="BA359" i="1" s="1"/>
  <c r="AZ360" i="1"/>
  <c r="BA360" i="1" s="1"/>
  <c r="AZ361" i="1"/>
  <c r="BA361" i="1" s="1"/>
  <c r="AZ362" i="1"/>
  <c r="BA362" i="1" s="1"/>
  <c r="AZ363" i="1"/>
  <c r="BA363" i="1" s="1"/>
  <c r="AZ364" i="1"/>
  <c r="BA364" i="1" s="1"/>
  <c r="AZ365" i="1"/>
  <c r="BA365" i="1" s="1"/>
  <c r="AZ366" i="1"/>
  <c r="BA366" i="1" s="1"/>
  <c r="AZ367" i="1"/>
  <c r="BA367" i="1" s="1"/>
  <c r="AZ10" i="1"/>
  <c r="AZ9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10" i="1"/>
  <c r="AW9" i="1"/>
  <c r="AT17" i="1"/>
  <c r="AT103" i="1"/>
  <c r="AT205" i="1"/>
  <c r="BO361" i="1"/>
  <c r="BP361" i="1" s="1"/>
  <c r="BO337" i="1"/>
  <c r="BP337" i="1" s="1"/>
  <c r="BO333" i="1"/>
  <c r="BP333" i="1" s="1"/>
  <c r="BO329" i="1"/>
  <c r="BP329" i="1" s="1"/>
  <c r="BO321" i="1"/>
  <c r="BP321" i="1" s="1"/>
  <c r="BO271" i="1"/>
  <c r="BP271" i="1" s="1"/>
  <c r="BO208" i="1"/>
  <c r="BP208" i="1" s="1"/>
  <c r="BO204" i="1"/>
  <c r="BP204" i="1" s="1"/>
  <c r="BO349" i="1"/>
  <c r="BP349" i="1" s="1"/>
  <c r="BO248" i="1"/>
  <c r="BP248" i="1" s="1"/>
  <c r="BO240" i="1"/>
  <c r="BP240" i="1" s="1"/>
  <c r="BO236" i="1"/>
  <c r="BP236" i="1" s="1"/>
  <c r="BO226" i="1"/>
  <c r="BP226" i="1" s="1"/>
  <c r="BO222" i="1"/>
  <c r="BO357" i="1"/>
  <c r="BP357" i="1" s="1"/>
  <c r="BO365" i="1"/>
  <c r="BP365" i="1" s="1"/>
  <c r="BO356" i="1"/>
  <c r="BP356" i="1" s="1"/>
  <c r="BO325" i="1"/>
  <c r="BP325" i="1" s="1"/>
  <c r="BO308" i="1"/>
  <c r="BP308" i="1" s="1"/>
  <c r="BO360" i="1"/>
  <c r="BP360" i="1" s="1"/>
  <c r="BO311" i="1"/>
  <c r="BP311" i="1" s="1"/>
  <c r="BO185" i="1"/>
  <c r="BP185" i="1" s="1"/>
  <c r="BO182" i="1"/>
  <c r="BO179" i="1"/>
  <c r="BP179" i="1" s="1"/>
  <c r="BO200" i="1"/>
  <c r="BP200" i="1" s="1"/>
  <c r="BO193" i="1"/>
  <c r="BP193" i="1" s="1"/>
  <c r="BO188" i="1"/>
  <c r="BP188" i="1" s="1"/>
  <c r="BO297" i="1"/>
  <c r="BP297" i="1" s="1"/>
  <c r="AT138" i="1"/>
  <c r="AT113" i="1"/>
  <c r="BO324" i="1"/>
  <c r="BP324" i="1" s="1"/>
  <c r="BO312" i="1"/>
  <c r="BP312" i="1" s="1"/>
  <c r="BO285" i="1"/>
  <c r="BP285" i="1" s="1"/>
  <c r="BO275" i="1"/>
  <c r="BP275" i="1" s="1"/>
  <c r="BO264" i="1"/>
  <c r="BP264" i="1" s="1"/>
  <c r="BO351" i="1"/>
  <c r="BP351" i="1" s="1"/>
  <c r="BO335" i="1"/>
  <c r="BP335" i="1" s="1"/>
  <c r="AT37" i="1"/>
  <c r="BO9" i="1"/>
  <c r="BO340" i="1"/>
  <c r="BP340" i="1" s="1"/>
  <c r="BO328" i="1"/>
  <c r="BP328" i="1" s="1"/>
  <c r="BO316" i="1"/>
  <c r="BP316" i="1" s="1"/>
  <c r="BO301" i="1"/>
  <c r="BP301" i="1" s="1"/>
  <c r="BO289" i="1"/>
  <c r="BP289" i="1" s="1"/>
  <c r="BO245" i="1"/>
  <c r="BP245" i="1" s="1"/>
  <c r="BO336" i="1"/>
  <c r="BP336" i="1" s="1"/>
  <c r="BO320" i="1"/>
  <c r="BP320" i="1" s="1"/>
  <c r="BO352" i="1"/>
  <c r="BP352" i="1" s="1"/>
  <c r="BO332" i="1"/>
  <c r="BP332" i="1" s="1"/>
  <c r="BO304" i="1"/>
  <c r="BP304" i="1" s="1"/>
  <c r="BO293" i="1"/>
  <c r="BP293" i="1" s="1"/>
  <c r="BO189" i="1"/>
  <c r="BP189" i="1" s="1"/>
  <c r="BO319" i="1"/>
  <c r="BP319" i="1" s="1"/>
  <c r="BO315" i="1"/>
  <c r="BP315" i="1" s="1"/>
  <c r="BO288" i="1"/>
  <c r="BP288" i="1" s="1"/>
  <c r="BO284" i="1"/>
  <c r="BP284" i="1" s="1"/>
  <c r="BO280" i="1"/>
  <c r="BP280" i="1" s="1"/>
  <c r="BO278" i="1"/>
  <c r="BO274" i="1"/>
  <c r="BO270" i="1"/>
  <c r="BO215" i="1"/>
  <c r="BP215" i="1" s="1"/>
  <c r="BO212" i="1"/>
  <c r="BP212" i="1" s="1"/>
  <c r="BO175" i="1"/>
  <c r="BP175" i="1" s="1"/>
  <c r="BO155" i="1"/>
  <c r="BP155" i="1" s="1"/>
  <c r="BO355" i="1"/>
  <c r="BP355" i="1" s="1"/>
  <c r="BO347" i="1"/>
  <c r="BP347" i="1" s="1"/>
  <c r="BO343" i="1"/>
  <c r="BP343" i="1" s="1"/>
  <c r="BO339" i="1"/>
  <c r="BP339" i="1" s="1"/>
  <c r="BO300" i="1"/>
  <c r="BP300" i="1" s="1"/>
  <c r="BO292" i="1"/>
  <c r="BP292" i="1" s="1"/>
  <c r="BO267" i="1"/>
  <c r="BP267" i="1" s="1"/>
  <c r="BO263" i="1"/>
  <c r="BP263" i="1" s="1"/>
  <c r="BO359" i="1"/>
  <c r="BP359" i="1" s="1"/>
  <c r="BO331" i="1"/>
  <c r="BP331" i="1" s="1"/>
  <c r="BO259" i="1"/>
  <c r="BP259" i="1" s="1"/>
  <c r="BO257" i="1"/>
  <c r="BP257" i="1" s="1"/>
  <c r="BO253" i="1"/>
  <c r="BP253" i="1" s="1"/>
  <c r="BO345" i="1"/>
  <c r="BP345" i="1" s="1"/>
  <c r="BO249" i="1"/>
  <c r="BP249" i="1" s="1"/>
  <c r="BO139" i="1"/>
  <c r="BP139" i="1" s="1"/>
  <c r="AT260" i="1"/>
  <c r="AT228" i="1"/>
  <c r="AT252" i="1"/>
  <c r="AT236" i="1"/>
  <c r="AT33" i="1"/>
  <c r="AK33" i="1"/>
  <c r="AL33" i="1" s="1"/>
  <c r="AK14" i="1"/>
  <c r="AK111" i="1"/>
  <c r="AL111" i="1" s="1"/>
  <c r="AK160" i="1"/>
  <c r="AL160" i="1" s="1"/>
  <c r="AK24" i="1"/>
  <c r="AL24" i="1" s="1"/>
  <c r="AK58" i="1"/>
  <c r="AK104" i="1"/>
  <c r="AL104" i="1" s="1"/>
  <c r="AK178" i="1"/>
  <c r="AL178" i="1" s="1"/>
  <c r="AK26" i="1"/>
  <c r="AK39" i="1"/>
  <c r="AL39" i="1" s="1"/>
  <c r="AK122" i="1"/>
  <c r="AK171" i="1"/>
  <c r="AL171" i="1" s="1"/>
  <c r="AK64" i="1"/>
  <c r="AL64" i="1" s="1"/>
  <c r="AK80" i="1"/>
  <c r="AL80" i="1" s="1"/>
  <c r="AK108" i="1"/>
  <c r="AL108" i="1" s="1"/>
  <c r="AK116" i="1"/>
  <c r="AL116" i="1" s="1"/>
  <c r="AK247" i="1"/>
  <c r="AL247" i="1" s="1"/>
  <c r="AK189" i="1"/>
  <c r="AL189" i="1" s="1"/>
  <c r="AK17" i="1"/>
  <c r="AL17" i="1" s="1"/>
  <c r="AK18" i="1"/>
  <c r="AL18" i="1" s="1"/>
  <c r="AK49" i="1"/>
  <c r="AL49" i="1" s="1"/>
  <c r="AK115" i="1"/>
  <c r="AL115" i="1" s="1"/>
  <c r="AK137" i="1"/>
  <c r="AL137" i="1" s="1"/>
  <c r="AK19" i="1"/>
  <c r="AL19" i="1" s="1"/>
  <c r="AK21" i="1"/>
  <c r="AL21" i="1" s="1"/>
  <c r="AK55" i="1"/>
  <c r="AL55" i="1" s="1"/>
  <c r="AK48" i="1"/>
  <c r="AL48" i="1" s="1"/>
  <c r="AK71" i="1"/>
  <c r="AL71" i="1" s="1"/>
  <c r="AK99" i="1"/>
  <c r="AL99" i="1" s="1"/>
  <c r="AK140" i="1"/>
  <c r="AL140" i="1" s="1"/>
  <c r="AK155" i="1"/>
  <c r="AL155" i="1" s="1"/>
  <c r="AK168" i="1"/>
  <c r="AL168" i="1" s="1"/>
  <c r="AK308" i="1"/>
  <c r="AL308" i="1" s="1"/>
  <c r="AK221" i="1"/>
  <c r="AL221" i="1" s="1"/>
  <c r="AK214" i="1"/>
  <c r="AK188" i="1"/>
  <c r="AL188" i="1" s="1"/>
  <c r="AK177" i="1"/>
  <c r="AL177" i="1" s="1"/>
  <c r="AK169" i="1"/>
  <c r="AL169" i="1" s="1"/>
  <c r="AK174" i="1"/>
  <c r="AK165" i="1"/>
  <c r="AL165" i="1" s="1"/>
  <c r="AK166" i="1"/>
  <c r="AK136" i="1"/>
  <c r="AL136" i="1" s="1"/>
  <c r="AK143" i="1"/>
  <c r="AL143" i="1" s="1"/>
  <c r="AK139" i="1"/>
  <c r="AL139" i="1" s="1"/>
  <c r="AK133" i="1"/>
  <c r="AL133" i="1" s="1"/>
  <c r="AK120" i="1"/>
  <c r="AL120" i="1" s="1"/>
  <c r="AK121" i="1"/>
  <c r="AL121" i="1" s="1"/>
  <c r="AK129" i="1"/>
  <c r="AL129" i="1" s="1"/>
  <c r="AK125" i="1"/>
  <c r="AL125" i="1" s="1"/>
  <c r="AK100" i="1"/>
  <c r="AL100" i="1" s="1"/>
  <c r="AK110" i="1"/>
  <c r="AK105" i="1"/>
  <c r="AL105" i="1" s="1"/>
  <c r="AK97" i="1"/>
  <c r="AL97" i="1" s="1"/>
  <c r="AK90" i="1"/>
  <c r="AK81" i="1"/>
  <c r="AL81" i="1" s="1"/>
  <c r="AK77" i="1"/>
  <c r="AL77" i="1" s="1"/>
  <c r="AK69" i="1"/>
  <c r="AL69" i="1" s="1"/>
  <c r="AK89" i="1"/>
  <c r="AL89" i="1" s="1"/>
  <c r="AK66" i="1"/>
  <c r="AK61" i="1"/>
  <c r="AL61" i="1" s="1"/>
  <c r="AK54" i="1"/>
  <c r="AK46" i="1"/>
  <c r="AK38" i="1"/>
  <c r="AK31" i="1"/>
  <c r="AL31" i="1" s="1"/>
  <c r="AK53" i="1"/>
  <c r="AL53" i="1" s="1"/>
  <c r="AK37" i="1"/>
  <c r="AL37" i="1" s="1"/>
  <c r="AK27" i="1"/>
  <c r="AL27" i="1" s="1"/>
  <c r="AK20" i="1"/>
  <c r="AL20" i="1" s="1"/>
  <c r="AK186" i="1"/>
  <c r="AK180" i="1"/>
  <c r="AL180" i="1" s="1"/>
  <c r="AK182" i="1"/>
  <c r="AK175" i="1"/>
  <c r="AL175" i="1" s="1"/>
  <c r="AK167" i="1"/>
  <c r="AL167" i="1" s="1"/>
  <c r="AK172" i="1"/>
  <c r="AL172" i="1" s="1"/>
  <c r="AK163" i="1"/>
  <c r="AL163" i="1" s="1"/>
  <c r="AK164" i="1"/>
  <c r="AL164" i="1" s="1"/>
  <c r="AK156" i="1"/>
  <c r="AL156" i="1" s="1"/>
  <c r="AK148" i="1"/>
  <c r="AL148" i="1" s="1"/>
  <c r="AK134" i="1"/>
  <c r="AK146" i="1"/>
  <c r="AL146" i="1" s="1"/>
  <c r="AK142" i="1"/>
  <c r="AK138" i="1"/>
  <c r="AK118" i="1"/>
  <c r="AK119" i="1"/>
  <c r="AL119" i="1" s="1"/>
  <c r="AK128" i="1"/>
  <c r="AL128" i="1" s="1"/>
  <c r="AK124" i="1"/>
  <c r="AL124" i="1" s="1"/>
  <c r="AK106" i="1"/>
  <c r="AK98" i="1"/>
  <c r="AL98" i="1" s="1"/>
  <c r="AK109" i="1"/>
  <c r="AL109" i="1" s="1"/>
  <c r="AK103" i="1"/>
  <c r="AL103" i="1" s="1"/>
  <c r="AK75" i="1"/>
  <c r="AL75" i="1" s="1"/>
  <c r="AK68" i="1"/>
  <c r="AL68" i="1" s="1"/>
  <c r="AK82" i="1"/>
  <c r="AK78" i="1"/>
  <c r="AK60" i="1"/>
  <c r="AL60" i="1" s="1"/>
  <c r="AK52" i="1"/>
  <c r="AL52" i="1" s="1"/>
  <c r="AK36" i="1"/>
  <c r="AL36" i="1" s="1"/>
  <c r="AK65" i="1"/>
  <c r="AL65" i="1" s="1"/>
  <c r="AK59" i="1"/>
  <c r="AL59" i="1" s="1"/>
  <c r="AK51" i="1"/>
  <c r="AL51" i="1" s="1"/>
  <c r="AK35" i="1"/>
  <c r="AL35" i="1" s="1"/>
  <c r="AK25" i="1"/>
  <c r="AL25" i="1" s="1"/>
  <c r="AK11" i="1"/>
  <c r="AL11" i="1" s="1"/>
  <c r="AK28" i="1"/>
  <c r="AL28" i="1" s="1"/>
  <c r="AK30" i="1"/>
  <c r="AK57" i="1"/>
  <c r="AL57" i="1" s="1"/>
  <c r="AK34" i="1"/>
  <c r="AK50" i="1"/>
  <c r="AL50" i="1" s="1"/>
  <c r="AK76" i="1"/>
  <c r="AL76" i="1" s="1"/>
  <c r="AK87" i="1"/>
  <c r="AL87" i="1" s="1"/>
  <c r="AK73" i="1"/>
  <c r="AL73" i="1" s="1"/>
  <c r="AK101" i="1"/>
  <c r="AL101" i="1" s="1"/>
  <c r="AK112" i="1"/>
  <c r="AL112" i="1" s="1"/>
  <c r="AK123" i="1"/>
  <c r="AL123" i="1" s="1"/>
  <c r="AK117" i="1"/>
  <c r="AL117" i="1" s="1"/>
  <c r="AK130" i="1"/>
  <c r="AL130" i="1" s="1"/>
  <c r="AK141" i="1"/>
  <c r="AL141" i="1" s="1"/>
  <c r="AK132" i="1"/>
  <c r="AL132" i="1" s="1"/>
  <c r="AK162" i="1"/>
  <c r="AK170" i="1"/>
  <c r="AL170" i="1" s="1"/>
  <c r="AK173" i="1"/>
  <c r="AL173" i="1" s="1"/>
  <c r="AK187" i="1"/>
  <c r="AL187" i="1" s="1"/>
  <c r="AK22" i="1"/>
  <c r="AK29" i="1"/>
  <c r="AL29" i="1" s="1"/>
  <c r="AK16" i="1"/>
  <c r="AL16" i="1" s="1"/>
  <c r="AK32" i="1"/>
  <c r="AL32" i="1" s="1"/>
  <c r="AK47" i="1"/>
  <c r="AL47" i="1" s="1"/>
  <c r="AK62" i="1"/>
  <c r="AL62" i="1" s="1"/>
  <c r="AK40" i="1"/>
  <c r="AL40" i="1" s="1"/>
  <c r="AK56" i="1"/>
  <c r="AL56" i="1" s="1"/>
  <c r="AK79" i="1"/>
  <c r="AL79" i="1" s="1"/>
  <c r="AK107" i="1"/>
  <c r="AL107" i="1" s="1"/>
  <c r="AK102" i="1"/>
  <c r="AK144" i="1"/>
  <c r="AL144" i="1" s="1"/>
  <c r="AK159" i="1"/>
  <c r="AL159" i="1" s="1"/>
  <c r="AK176" i="1"/>
  <c r="AL176" i="1" s="1"/>
  <c r="AK179" i="1"/>
  <c r="AL179" i="1" s="1"/>
  <c r="AK224" i="1"/>
  <c r="AL224" i="1" s="1"/>
  <c r="AK314" i="1"/>
  <c r="AK303" i="1"/>
  <c r="AL303" i="1" s="1"/>
  <c r="AK241" i="1"/>
  <c r="AL241" i="1" s="1"/>
  <c r="AK263" i="1"/>
  <c r="AL263" i="1" s="1"/>
  <c r="AK360" i="1"/>
  <c r="AL360" i="1" s="1"/>
  <c r="AK352" i="1"/>
  <c r="AL352" i="1" s="1"/>
  <c r="AK351" i="1"/>
  <c r="AL351" i="1" s="1"/>
  <c r="AK268" i="1"/>
  <c r="AL268" i="1" s="1"/>
  <c r="AK300" i="1"/>
  <c r="AL300" i="1" s="1"/>
  <c r="AK293" i="1"/>
  <c r="AL293" i="1" s="1"/>
  <c r="AK235" i="1"/>
  <c r="AL235" i="1" s="1"/>
  <c r="AK361" i="1"/>
  <c r="AL361" i="1" s="1"/>
  <c r="AK299" i="1"/>
  <c r="AL299" i="1" s="1"/>
  <c r="AK218" i="1"/>
  <c r="AL218" i="1" s="1"/>
  <c r="AK269" i="1"/>
  <c r="AL269" i="1" s="1"/>
  <c r="AK266" i="1"/>
  <c r="AK192" i="1"/>
  <c r="AL192" i="1" s="1"/>
  <c r="AK336" i="1"/>
  <c r="AL336" i="1" s="1"/>
  <c r="AK355" i="1"/>
  <c r="AL355" i="1" s="1"/>
  <c r="AK267" i="1"/>
  <c r="AL267" i="1" s="1"/>
  <c r="AK193" i="1"/>
  <c r="AL193" i="1" s="1"/>
  <c r="AK318" i="1"/>
  <c r="AL318" i="1" s="1"/>
  <c r="AK362" i="1"/>
  <c r="AK356" i="1"/>
  <c r="AL356" i="1" s="1"/>
  <c r="AK244" i="1"/>
  <c r="AL244" i="1" s="1"/>
  <c r="AK220" i="1"/>
  <c r="AL220" i="1" s="1"/>
  <c r="AK275" i="1"/>
  <c r="AL275" i="1" s="1"/>
  <c r="AK286" i="1"/>
  <c r="AK316" i="1"/>
  <c r="AL316" i="1" s="1"/>
  <c r="AK219" i="1"/>
  <c r="AL219" i="1" s="1"/>
  <c r="AK227" i="1"/>
  <c r="AL227" i="1" s="1"/>
  <c r="AK201" i="1"/>
  <c r="AL201" i="1" s="1"/>
  <c r="AK305" i="1"/>
  <c r="AL305" i="1" s="1"/>
  <c r="AK285" i="1"/>
  <c r="AL285" i="1" s="1"/>
  <c r="AK302" i="1"/>
  <c r="AK236" i="1"/>
  <c r="AL236" i="1" s="1"/>
  <c r="AK279" i="1"/>
  <c r="AL279" i="1" s="1"/>
  <c r="AK310" i="1"/>
  <c r="AL310" i="1" s="1"/>
  <c r="AK199" i="1"/>
  <c r="AL199" i="1" s="1"/>
  <c r="AK304" i="1"/>
  <c r="AL304" i="1" s="1"/>
  <c r="AK278" i="1"/>
  <c r="AK251" i="1"/>
  <c r="AL251" i="1" s="1"/>
  <c r="AK195" i="1"/>
  <c r="AL195" i="1" s="1"/>
  <c r="AK252" i="1"/>
  <c r="AL252" i="1" s="1"/>
  <c r="AK322" i="1"/>
  <c r="AK359" i="1"/>
  <c r="AL359" i="1" s="1"/>
  <c r="AK311" i="1"/>
  <c r="AL311" i="1" s="1"/>
  <c r="AK234" i="1"/>
  <c r="AK298" i="1"/>
  <c r="AK288" i="1"/>
  <c r="AL288" i="1" s="1"/>
  <c r="AK229" i="1"/>
  <c r="AL229" i="1" s="1"/>
  <c r="AK333" i="1"/>
  <c r="AL333" i="1" s="1"/>
  <c r="AK335" i="1"/>
  <c r="AL335" i="1" s="1"/>
  <c r="AK297" i="1"/>
  <c r="AL297" i="1" s="1"/>
  <c r="AK191" i="1"/>
  <c r="AL191" i="1" s="1"/>
  <c r="AK296" i="1"/>
  <c r="AL296" i="1" s="1"/>
  <c r="AK196" i="1"/>
  <c r="AL196" i="1" s="1"/>
  <c r="AK249" i="1"/>
  <c r="AL249" i="1" s="1"/>
  <c r="AK357" i="1"/>
  <c r="AL357" i="1" s="1"/>
  <c r="AK292" i="1"/>
  <c r="AL292" i="1" s="1"/>
  <c r="AK237" i="1"/>
  <c r="AL237" i="1" s="1"/>
  <c r="AK233" i="1"/>
  <c r="AL233" i="1" s="1"/>
  <c r="AK280" i="1"/>
  <c r="AL280" i="1" s="1"/>
  <c r="AK325" i="1"/>
  <c r="AL325" i="1" s="1"/>
  <c r="AK274" i="1"/>
  <c r="AK265" i="1"/>
  <c r="AL265" i="1" s="1"/>
  <c r="AK232" i="1"/>
  <c r="AL232" i="1" s="1"/>
  <c r="AK222" i="1"/>
  <c r="AK331" i="1"/>
  <c r="AL331" i="1" s="1"/>
  <c r="AK287" i="1"/>
  <c r="AL287" i="1" s="1"/>
  <c r="AK261" i="1"/>
  <c r="AL261" i="1" s="1"/>
  <c r="AK250" i="1"/>
  <c r="AK315" i="1"/>
  <c r="AL315" i="1" s="1"/>
  <c r="AK259" i="1"/>
  <c r="AL259" i="1" s="1"/>
  <c r="AK349" i="1"/>
  <c r="AL349" i="1" s="1"/>
  <c r="AK242" i="1"/>
  <c r="AK294" i="1"/>
  <c r="AK217" i="1"/>
  <c r="AL217" i="1" s="1"/>
  <c r="AK190" i="1"/>
  <c r="AK320" i="1"/>
  <c r="AL320" i="1" s="1"/>
  <c r="AK291" i="1"/>
  <c r="AL291" i="1" s="1"/>
  <c r="AK240" i="1"/>
  <c r="AL240" i="1" s="1"/>
  <c r="AK289" i="1"/>
  <c r="AL289" i="1" s="1"/>
  <c r="AK228" i="1"/>
  <c r="AL228" i="1" s="1"/>
  <c r="AK283" i="1"/>
  <c r="AL283" i="1" s="1"/>
  <c r="AK245" i="1"/>
  <c r="AL245" i="1" s="1"/>
  <c r="AK301" i="1"/>
  <c r="AL301" i="1" s="1"/>
  <c r="AK307" i="1"/>
  <c r="AL307" i="1" s="1"/>
  <c r="AK328" i="1"/>
  <c r="AL328" i="1" s="1"/>
  <c r="AK309" i="1"/>
  <c r="AL309" i="1" s="1"/>
  <c r="AK211" i="1"/>
  <c r="AL211" i="1" s="1"/>
  <c r="AK277" i="1"/>
  <c r="AL277" i="1" s="1"/>
  <c r="AK264" i="1"/>
  <c r="AL264" i="1" s="1"/>
  <c r="AK290" i="1"/>
  <c r="AL290" i="1" s="1"/>
  <c r="AK284" i="1"/>
  <c r="AL284" i="1" s="1"/>
  <c r="AK225" i="1"/>
  <c r="AL225" i="1" s="1"/>
  <c r="AK212" i="1"/>
  <c r="AL212" i="1" s="1"/>
  <c r="AK317" i="1"/>
  <c r="AL317" i="1" s="1"/>
  <c r="AK321" i="1"/>
  <c r="AL321" i="1" s="1"/>
  <c r="AK226" i="1"/>
  <c r="AK246" i="1"/>
  <c r="AK350" i="1"/>
  <c r="AL350" i="1" s="1"/>
  <c r="AK207" i="1"/>
  <c r="AL207" i="1" s="1"/>
  <c r="AK270" i="1"/>
  <c r="AK319" i="1"/>
  <c r="AL319" i="1" s="1"/>
  <c r="AK231" i="1"/>
  <c r="AL231" i="1" s="1"/>
  <c r="AK223" i="1"/>
  <c r="AL223" i="1" s="1"/>
  <c r="AK313" i="1"/>
  <c r="AL313" i="1" s="1"/>
  <c r="AK248" i="1"/>
  <c r="AL248" i="1" s="1"/>
  <c r="AK262" i="1"/>
  <c r="AL262" i="1" s="1"/>
  <c r="AK358" i="1"/>
  <c r="AK306" i="1"/>
  <c r="AK332" i="1"/>
  <c r="AL332" i="1" s="1"/>
  <c r="AK273" i="1"/>
  <c r="AL273" i="1" s="1"/>
  <c r="AK354" i="1"/>
  <c r="AK312" i="1"/>
  <c r="AL312" i="1" s="1"/>
  <c r="AK295" i="1"/>
  <c r="AL295" i="1" s="1"/>
  <c r="AK238" i="1"/>
  <c r="AL238" i="1" s="1"/>
  <c r="AK353" i="1"/>
  <c r="AL353" i="1" s="1"/>
  <c r="AK243" i="1"/>
  <c r="AL243" i="1" s="1"/>
  <c r="AK239" i="1"/>
  <c r="AL239" i="1" s="1"/>
  <c r="AK260" i="1"/>
  <c r="AL260" i="1" s="1"/>
  <c r="AK194" i="1"/>
  <c r="AO226" i="1" l="1"/>
  <c r="AO230" i="1"/>
  <c r="AO234" i="1"/>
  <c r="AO238" i="1"/>
  <c r="AR312" i="1"/>
  <c r="AO366" i="1"/>
  <c r="AL367" i="1"/>
  <c r="AO195" i="1"/>
  <c r="AO199" i="1"/>
  <c r="AO203" i="1"/>
  <c r="AO207" i="1"/>
  <c r="AO211" i="1"/>
  <c r="AO215" i="1"/>
  <c r="AO219" i="1"/>
  <c r="AO239" i="1"/>
  <c r="AO243" i="1"/>
  <c r="AO247" i="1"/>
  <c r="AO251" i="1"/>
  <c r="AO255" i="1"/>
  <c r="AO259" i="1"/>
  <c r="AO263" i="1"/>
  <c r="AO267" i="1"/>
  <c r="AO271" i="1"/>
  <c r="AO275" i="1"/>
  <c r="AO279" i="1"/>
  <c r="AO283" i="1"/>
  <c r="AO287" i="1"/>
  <c r="AO291" i="1"/>
  <c r="AO295" i="1"/>
  <c r="AO299" i="1"/>
  <c r="AO303" i="1"/>
  <c r="AO307" i="1"/>
  <c r="AO311" i="1"/>
  <c r="AO331" i="1"/>
  <c r="AO335" i="1"/>
  <c r="AO339" i="1"/>
  <c r="AO343" i="1"/>
  <c r="AO347" i="1"/>
  <c r="AO351" i="1"/>
  <c r="AO355" i="1"/>
  <c r="AO359" i="1"/>
  <c r="AO363" i="1"/>
  <c r="AO367" i="1"/>
  <c r="Q149" i="1"/>
  <c r="Q145" i="1"/>
  <c r="Q141" i="1"/>
  <c r="Q137" i="1"/>
  <c r="Q133" i="1"/>
  <c r="Q129" i="1"/>
  <c r="T80" i="1"/>
  <c r="T76" i="1"/>
  <c r="T72" i="1"/>
  <c r="T68" i="1"/>
  <c r="T64" i="1"/>
  <c r="T60" i="1"/>
  <c r="T56" i="1"/>
  <c r="T52" i="1"/>
  <c r="T48" i="1"/>
  <c r="T44" i="1"/>
  <c r="T40" i="1"/>
  <c r="T36" i="1"/>
  <c r="T32" i="1"/>
  <c r="T28" i="1"/>
  <c r="T24" i="1"/>
  <c r="T20" i="1"/>
  <c r="T16" i="1"/>
  <c r="T12" i="1"/>
  <c r="Q125" i="1"/>
  <c r="Q121" i="1"/>
  <c r="Q117" i="1"/>
  <c r="Q113" i="1"/>
  <c r="Q109" i="1"/>
  <c r="Q105" i="1"/>
  <c r="Q101" i="1"/>
  <c r="Q97" i="1"/>
  <c r="Q93" i="1"/>
  <c r="Q89" i="1"/>
  <c r="Q85" i="1"/>
  <c r="CO285" i="1"/>
  <c r="CO281" i="1"/>
  <c r="CO277" i="1"/>
  <c r="CO273" i="1"/>
  <c r="CO269" i="1"/>
  <c r="CO265" i="1"/>
  <c r="CO261" i="1"/>
  <c r="CO257" i="1"/>
  <c r="CO253" i="1"/>
  <c r="CO249" i="1"/>
  <c r="CO245" i="1"/>
  <c r="CO241" i="1"/>
  <c r="CO237" i="1"/>
  <c r="CO233" i="1"/>
  <c r="CO229" i="1"/>
  <c r="CO225" i="1"/>
  <c r="CO221" i="1"/>
  <c r="CO217" i="1"/>
  <c r="CO213" i="1"/>
  <c r="CO209" i="1"/>
  <c r="CO205" i="1"/>
  <c r="CO201" i="1"/>
  <c r="CO197" i="1"/>
  <c r="CO193" i="1"/>
  <c r="CO189" i="1"/>
  <c r="CO185" i="1"/>
  <c r="CO181" i="1"/>
  <c r="CO177" i="1"/>
  <c r="CO173" i="1"/>
  <c r="CO169" i="1"/>
  <c r="CO165" i="1"/>
  <c r="CO161" i="1"/>
  <c r="CO157" i="1"/>
  <c r="CO153" i="1"/>
  <c r="CO149" i="1"/>
  <c r="CO145" i="1"/>
  <c r="CO141" i="1"/>
  <c r="CO137" i="1"/>
  <c r="CO133" i="1"/>
  <c r="CO129" i="1"/>
  <c r="CO125" i="1"/>
  <c r="CO121" i="1"/>
  <c r="CO117" i="1"/>
  <c r="CO113" i="1"/>
  <c r="CO109" i="1"/>
  <c r="CO105" i="1"/>
  <c r="CO101" i="1"/>
  <c r="CO97" i="1"/>
  <c r="CO93" i="1"/>
  <c r="CO89" i="1"/>
  <c r="CO85" i="1"/>
  <c r="CO81" i="1"/>
  <c r="CO77" i="1"/>
  <c r="CO73" i="1"/>
  <c r="CO69" i="1"/>
  <c r="CO65" i="1"/>
  <c r="CO61" i="1"/>
  <c r="CO57" i="1"/>
  <c r="CO53" i="1"/>
  <c r="CO49" i="1"/>
  <c r="CO45" i="1"/>
  <c r="CO41" i="1"/>
  <c r="CO37" i="1"/>
  <c r="CO33" i="1"/>
  <c r="CO29" i="1"/>
  <c r="CO25" i="1"/>
  <c r="CO21" i="1"/>
  <c r="CO17" i="1"/>
  <c r="CO13" i="1"/>
  <c r="CO365" i="1"/>
  <c r="CO361" i="1"/>
  <c r="CO357" i="1"/>
  <c r="CO353" i="1"/>
  <c r="CO349" i="1"/>
  <c r="CO345" i="1"/>
  <c r="CO341" i="1"/>
  <c r="CO337" i="1"/>
  <c r="CO333" i="1"/>
  <c r="CO329" i="1"/>
  <c r="CO325" i="1"/>
  <c r="CO321" i="1"/>
  <c r="CO317" i="1"/>
  <c r="CO313" i="1"/>
  <c r="CO309" i="1"/>
  <c r="CO305" i="1"/>
  <c r="CO301" i="1"/>
  <c r="CO297" i="1"/>
  <c r="CO293" i="1"/>
  <c r="CO289" i="1"/>
  <c r="AL364" i="1"/>
  <c r="Q365" i="1"/>
  <c r="Q361" i="1"/>
  <c r="Q357" i="1"/>
  <c r="Q353" i="1"/>
  <c r="Q349" i="1"/>
  <c r="Q345" i="1"/>
  <c r="Q341" i="1"/>
  <c r="Q337" i="1"/>
  <c r="Q333" i="1"/>
  <c r="Q329" i="1"/>
  <c r="Q325" i="1"/>
  <c r="Q321" i="1"/>
  <c r="Q317" i="1"/>
  <c r="Q313" i="1"/>
  <c r="Q309" i="1"/>
  <c r="Q305" i="1"/>
  <c r="Q301" i="1"/>
  <c r="Q297" i="1"/>
  <c r="Q293" i="1"/>
  <c r="Q289" i="1"/>
  <c r="Q285" i="1"/>
  <c r="Q281" i="1"/>
  <c r="Q277" i="1"/>
  <c r="Q273" i="1"/>
  <c r="Q269" i="1"/>
  <c r="Q265" i="1"/>
  <c r="Q261" i="1"/>
  <c r="Q257" i="1"/>
  <c r="Q253" i="1"/>
  <c r="Q249" i="1"/>
  <c r="Q245" i="1"/>
  <c r="Q241" i="1"/>
  <c r="Q237" i="1"/>
  <c r="Q233" i="1"/>
  <c r="Q229" i="1"/>
  <c r="Q225" i="1"/>
  <c r="Q221" i="1"/>
  <c r="Q217" i="1"/>
  <c r="Q213" i="1"/>
  <c r="Q209" i="1"/>
  <c r="Q205" i="1"/>
  <c r="Q201" i="1"/>
  <c r="Q197" i="1"/>
  <c r="Q193" i="1"/>
  <c r="Q189" i="1"/>
  <c r="Q185" i="1"/>
  <c r="Q181" i="1"/>
  <c r="Q177" i="1"/>
  <c r="Q173" i="1"/>
  <c r="Q169" i="1"/>
  <c r="Q165" i="1"/>
  <c r="Q161" i="1"/>
  <c r="Q157" i="1"/>
  <c r="Q153" i="1"/>
  <c r="T148" i="1"/>
  <c r="T144" i="1"/>
  <c r="T140" i="1"/>
  <c r="T136" i="1"/>
  <c r="T132" i="1"/>
  <c r="T128" i="1"/>
  <c r="T124" i="1"/>
  <c r="T120" i="1"/>
  <c r="T116" i="1"/>
  <c r="T112" i="1"/>
  <c r="T108" i="1"/>
  <c r="T104" i="1"/>
  <c r="T100" i="1"/>
  <c r="T96" i="1"/>
  <c r="T92" i="1"/>
  <c r="T88" i="1"/>
  <c r="T84" i="1"/>
  <c r="CO364" i="1"/>
  <c r="CO360" i="1"/>
  <c r="CO356" i="1"/>
  <c r="CO352" i="1"/>
  <c r="CO348" i="1"/>
  <c r="CO344" i="1"/>
  <c r="CO340" i="1"/>
  <c r="CO336" i="1"/>
  <c r="CO332" i="1"/>
  <c r="CO328" i="1"/>
  <c r="CO324" i="1"/>
  <c r="CO320" i="1"/>
  <c r="CO316" i="1"/>
  <c r="CO312" i="1"/>
  <c r="CO308" i="1"/>
  <c r="CO304" i="1"/>
  <c r="CO300" i="1"/>
  <c r="CO296" i="1"/>
  <c r="CO292" i="1"/>
  <c r="CO288" i="1"/>
  <c r="CO284" i="1"/>
  <c r="CO280" i="1"/>
  <c r="CO276" i="1"/>
  <c r="CO272" i="1"/>
  <c r="CO268" i="1"/>
  <c r="CO264" i="1"/>
  <c r="CO260" i="1"/>
  <c r="CO256" i="1"/>
  <c r="CO252" i="1"/>
  <c r="CO248" i="1"/>
  <c r="CO244" i="1"/>
  <c r="CO240" i="1"/>
  <c r="CO236" i="1"/>
  <c r="CO232" i="1"/>
  <c r="CO228" i="1"/>
  <c r="CO224" i="1"/>
  <c r="CO220" i="1"/>
  <c r="CO216" i="1"/>
  <c r="CO212" i="1"/>
  <c r="CO208" i="1"/>
  <c r="CO204" i="1"/>
  <c r="CO200" i="1"/>
  <c r="CO196" i="1"/>
  <c r="CO192" i="1"/>
  <c r="CO188" i="1"/>
  <c r="CO184" i="1"/>
  <c r="CO180" i="1"/>
  <c r="CO176" i="1"/>
  <c r="CO172" i="1"/>
  <c r="CO168" i="1"/>
  <c r="CO164" i="1"/>
  <c r="CO160" i="1"/>
  <c r="CO156" i="1"/>
  <c r="CO152" i="1"/>
  <c r="CO148" i="1"/>
  <c r="CO144" i="1"/>
  <c r="CO140" i="1"/>
  <c r="CO136" i="1"/>
  <c r="CO132" i="1"/>
  <c r="CO128" i="1"/>
  <c r="CO124" i="1"/>
  <c r="CO120" i="1"/>
  <c r="CO116" i="1"/>
  <c r="CO112" i="1"/>
  <c r="CO108" i="1"/>
  <c r="CO104" i="1"/>
  <c r="CO100" i="1"/>
  <c r="CO96" i="1"/>
  <c r="CO92" i="1"/>
  <c r="CO88" i="1"/>
  <c r="CO84" i="1"/>
  <c r="CO80" i="1"/>
  <c r="CO76" i="1"/>
  <c r="CO72" i="1"/>
  <c r="CO68" i="1"/>
  <c r="CO64" i="1"/>
  <c r="CO60" i="1"/>
  <c r="CO56" i="1"/>
  <c r="CO52" i="1"/>
  <c r="CO48" i="1"/>
  <c r="CO44" i="1"/>
  <c r="CO40" i="1"/>
  <c r="CO36" i="1"/>
  <c r="CO32" i="1"/>
  <c r="CO28" i="1"/>
  <c r="CO24" i="1"/>
  <c r="CO20" i="1"/>
  <c r="CO16" i="1"/>
  <c r="CO12" i="1"/>
  <c r="T328" i="1"/>
  <c r="T324" i="1"/>
  <c r="T320" i="1"/>
  <c r="T316" i="1"/>
  <c r="T312" i="1"/>
  <c r="T308" i="1"/>
  <c r="T304" i="1"/>
  <c r="T300" i="1"/>
  <c r="T296" i="1"/>
  <c r="T292" i="1"/>
  <c r="T288" i="1"/>
  <c r="T284" i="1"/>
  <c r="T280" i="1"/>
  <c r="T276" i="1"/>
  <c r="T272" i="1"/>
  <c r="T268" i="1"/>
  <c r="T264" i="1"/>
  <c r="T260" i="1"/>
  <c r="T256" i="1"/>
  <c r="T252" i="1"/>
  <c r="T248" i="1"/>
  <c r="T244" i="1"/>
  <c r="T240" i="1"/>
  <c r="T236" i="1"/>
  <c r="T232" i="1"/>
  <c r="T228" i="1"/>
  <c r="T224" i="1"/>
  <c r="T220" i="1"/>
  <c r="T216" i="1"/>
  <c r="T212" i="1"/>
  <c r="T208" i="1"/>
  <c r="T204" i="1"/>
  <c r="T200" i="1"/>
  <c r="T196" i="1"/>
  <c r="T192" i="1"/>
  <c r="T188" i="1"/>
  <c r="T184" i="1"/>
  <c r="T180" i="1"/>
  <c r="T176" i="1"/>
  <c r="T172" i="1"/>
  <c r="T168" i="1"/>
  <c r="T164" i="1"/>
  <c r="T160" i="1"/>
  <c r="T156" i="1"/>
  <c r="T152" i="1"/>
  <c r="Q148" i="1"/>
  <c r="Q144" i="1"/>
  <c r="Q140" i="1"/>
  <c r="Q136" i="1"/>
  <c r="Q132" i="1"/>
  <c r="Q128" i="1"/>
  <c r="Q124" i="1"/>
  <c r="Q120" i="1"/>
  <c r="Q116" i="1"/>
  <c r="Q112" i="1"/>
  <c r="Q108" i="1"/>
  <c r="Q104" i="1"/>
  <c r="Q100" i="1"/>
  <c r="Q96" i="1"/>
  <c r="Q92" i="1"/>
  <c r="Q88" i="1"/>
  <c r="Q84" i="1"/>
  <c r="T79" i="1"/>
  <c r="T75" i="1"/>
  <c r="T71" i="1"/>
  <c r="T67" i="1"/>
  <c r="T63" i="1"/>
  <c r="T59" i="1"/>
  <c r="T55" i="1"/>
  <c r="T51" i="1"/>
  <c r="T47" i="1"/>
  <c r="T43" i="1"/>
  <c r="T39" i="1"/>
  <c r="T35" i="1"/>
  <c r="T31" i="1"/>
  <c r="T27" i="1"/>
  <c r="T23" i="1"/>
  <c r="T19" i="1"/>
  <c r="T11" i="1"/>
  <c r="AO314" i="1"/>
  <c r="AO318" i="1"/>
  <c r="AO322" i="1"/>
  <c r="AO326" i="1"/>
  <c r="T366" i="1"/>
  <c r="T362" i="1"/>
  <c r="T358" i="1"/>
  <c r="T354" i="1"/>
  <c r="T350" i="1"/>
  <c r="T346" i="1"/>
  <c r="T342" i="1"/>
  <c r="T338" i="1"/>
  <c r="T334" i="1"/>
  <c r="T330" i="1"/>
  <c r="T326" i="1"/>
  <c r="T322" i="1"/>
  <c r="T318" i="1"/>
  <c r="T314" i="1"/>
  <c r="T310" i="1"/>
  <c r="T306" i="1"/>
  <c r="T302" i="1"/>
  <c r="T298" i="1"/>
  <c r="T294" i="1"/>
  <c r="T290" i="1"/>
  <c r="T286" i="1"/>
  <c r="T282" i="1"/>
  <c r="T278" i="1"/>
  <c r="T274" i="1"/>
  <c r="T270" i="1"/>
  <c r="T266" i="1"/>
  <c r="T262" i="1"/>
  <c r="T258" i="1"/>
  <c r="T254" i="1"/>
  <c r="T250" i="1"/>
  <c r="T246" i="1"/>
  <c r="T242" i="1"/>
  <c r="T238" i="1"/>
  <c r="T234" i="1"/>
  <c r="T230" i="1"/>
  <c r="T226" i="1"/>
  <c r="T222" i="1"/>
  <c r="T218" i="1"/>
  <c r="T214" i="1"/>
  <c r="T210" i="1"/>
  <c r="T206" i="1"/>
  <c r="T202" i="1"/>
  <c r="T198" i="1"/>
  <c r="T194" i="1"/>
  <c r="T190" i="1"/>
  <c r="T186" i="1"/>
  <c r="T182" i="1"/>
  <c r="T178" i="1"/>
  <c r="T174" i="1"/>
  <c r="T170" i="1"/>
  <c r="T166" i="1"/>
  <c r="T162" i="1"/>
  <c r="T158" i="1"/>
  <c r="T154" i="1"/>
  <c r="T150" i="1"/>
  <c r="AG367" i="1"/>
  <c r="AG363" i="1"/>
  <c r="AG359" i="1"/>
  <c r="AG355" i="1"/>
  <c r="AG351" i="1"/>
  <c r="AG347" i="1"/>
  <c r="AG343" i="1"/>
  <c r="Q83" i="1"/>
  <c r="Q79" i="1"/>
  <c r="Q75" i="1"/>
  <c r="Q71" i="1"/>
  <c r="Q67" i="1"/>
  <c r="Q63" i="1"/>
  <c r="Q59" i="1"/>
  <c r="Q55" i="1"/>
  <c r="Q51" i="1"/>
  <c r="Q47" i="1"/>
  <c r="Q43" i="1"/>
  <c r="Q39" i="1"/>
  <c r="Q35" i="1"/>
  <c r="Q31" i="1"/>
  <c r="Q27" i="1"/>
  <c r="Q23" i="1"/>
  <c r="Q19" i="1"/>
  <c r="Q11" i="1"/>
  <c r="Q147" i="1"/>
  <c r="Q143" i="1"/>
  <c r="Q139" i="1"/>
  <c r="Q135" i="1"/>
  <c r="Q131" i="1"/>
  <c r="Q127" i="1"/>
  <c r="Q123" i="1"/>
  <c r="Q119" i="1"/>
  <c r="Q115" i="1"/>
  <c r="Q111" i="1"/>
  <c r="Q107" i="1"/>
  <c r="Q103" i="1"/>
  <c r="Q99" i="1"/>
  <c r="Q95" i="1"/>
  <c r="Q91" i="1"/>
  <c r="Q87" i="1"/>
  <c r="T82" i="1"/>
  <c r="T78" i="1"/>
  <c r="T74" i="1"/>
  <c r="T70" i="1"/>
  <c r="T66" i="1"/>
  <c r="T62" i="1"/>
  <c r="T58" i="1"/>
  <c r="T54" i="1"/>
  <c r="T50" i="1"/>
  <c r="T46" i="1"/>
  <c r="T42" i="1"/>
  <c r="T38" i="1"/>
  <c r="T34" i="1"/>
  <c r="T30" i="1"/>
  <c r="T26" i="1"/>
  <c r="T22" i="1"/>
  <c r="T18" i="1"/>
  <c r="T14" i="1"/>
  <c r="AG339" i="1"/>
  <c r="AG335" i="1"/>
  <c r="AG331" i="1"/>
  <c r="AG327" i="1"/>
  <c r="AG323" i="1"/>
  <c r="AG319" i="1"/>
  <c r="AG315" i="1"/>
  <c r="AG311" i="1"/>
  <c r="AG307" i="1"/>
  <c r="AG303" i="1"/>
  <c r="AG299" i="1"/>
  <c r="AG295" i="1"/>
  <c r="AG291" i="1"/>
  <c r="AG287" i="1"/>
  <c r="AG283" i="1"/>
  <c r="AG279" i="1"/>
  <c r="AG275" i="1"/>
  <c r="AG271" i="1"/>
  <c r="AG267" i="1"/>
  <c r="AG263" i="1"/>
  <c r="AG259" i="1"/>
  <c r="AG255" i="1"/>
  <c r="AG251" i="1"/>
  <c r="AG247" i="1"/>
  <c r="AG243" i="1"/>
  <c r="AG239" i="1"/>
  <c r="AG235" i="1"/>
  <c r="AG231" i="1"/>
  <c r="AG227" i="1"/>
  <c r="AG223" i="1"/>
  <c r="AG219" i="1"/>
  <c r="AG215" i="1"/>
  <c r="AG211" i="1"/>
  <c r="AG207" i="1"/>
  <c r="AG203" i="1"/>
  <c r="AG199" i="1"/>
  <c r="AG195" i="1"/>
  <c r="AG191" i="1"/>
  <c r="AG187" i="1"/>
  <c r="AG183" i="1"/>
  <c r="AG179" i="1"/>
  <c r="AG175" i="1"/>
  <c r="AG171" i="1"/>
  <c r="AG167" i="1"/>
  <c r="AG163" i="1"/>
  <c r="AG159" i="1"/>
  <c r="AG155" i="1"/>
  <c r="AG151" i="1"/>
  <c r="AG147" i="1"/>
  <c r="AG143" i="1"/>
  <c r="AG139" i="1"/>
  <c r="AG135" i="1"/>
  <c r="AG131" i="1"/>
  <c r="AG127" i="1"/>
  <c r="AG123" i="1"/>
  <c r="AG119" i="1"/>
  <c r="AG115" i="1"/>
  <c r="AG111" i="1"/>
  <c r="AG107" i="1"/>
  <c r="AG103" i="1"/>
  <c r="AG99" i="1"/>
  <c r="AG95" i="1"/>
  <c r="AG91" i="1"/>
  <c r="AG87" i="1"/>
  <c r="AG83" i="1"/>
  <c r="AG79" i="1"/>
  <c r="AG75" i="1"/>
  <c r="AG71" i="1"/>
  <c r="AG67" i="1"/>
  <c r="AG63" i="1"/>
  <c r="AG59" i="1"/>
  <c r="AG55" i="1"/>
  <c r="AG51" i="1"/>
  <c r="AG47" i="1"/>
  <c r="AG43" i="1"/>
  <c r="AG39" i="1"/>
  <c r="AG35" i="1"/>
  <c r="AG31" i="1"/>
  <c r="AG27" i="1"/>
  <c r="AG23" i="1"/>
  <c r="AG11" i="1"/>
  <c r="BQ364" i="1"/>
  <c r="DY364" i="1" s="1"/>
  <c r="BQ360" i="1"/>
  <c r="DY360" i="1" s="1"/>
  <c r="BQ356" i="1"/>
  <c r="BQ352" i="1"/>
  <c r="Q364" i="1"/>
  <c r="Q360" i="1"/>
  <c r="Q356" i="1"/>
  <c r="Q352" i="1"/>
  <c r="Q348" i="1"/>
  <c r="Q344" i="1"/>
  <c r="Q340" i="1"/>
  <c r="Q336" i="1"/>
  <c r="Q332" i="1"/>
  <c r="Q328" i="1"/>
  <c r="Q324" i="1"/>
  <c r="Q320" i="1"/>
  <c r="Q316" i="1"/>
  <c r="Q312" i="1"/>
  <c r="Q308" i="1"/>
  <c r="Q304" i="1"/>
  <c r="Q300" i="1"/>
  <c r="Q296" i="1"/>
  <c r="Q292" i="1"/>
  <c r="Q288" i="1"/>
  <c r="Q284" i="1"/>
  <c r="Q280" i="1"/>
  <c r="Q276" i="1"/>
  <c r="Q272" i="1"/>
  <c r="Q268" i="1"/>
  <c r="Q264" i="1"/>
  <c r="Q260" i="1"/>
  <c r="Q256" i="1"/>
  <c r="Q252" i="1"/>
  <c r="Q248" i="1"/>
  <c r="Q244" i="1"/>
  <c r="Q240" i="1"/>
  <c r="Q236" i="1"/>
  <c r="Q232" i="1"/>
  <c r="Q228" i="1"/>
  <c r="Q224" i="1"/>
  <c r="Q220" i="1"/>
  <c r="Q216" i="1"/>
  <c r="Q212" i="1"/>
  <c r="Q208" i="1"/>
  <c r="Q204" i="1"/>
  <c r="Q200" i="1"/>
  <c r="Q196" i="1"/>
  <c r="Q192" i="1"/>
  <c r="Q188" i="1"/>
  <c r="Q184" i="1"/>
  <c r="Q180" i="1"/>
  <c r="Q176" i="1"/>
  <c r="Q172" i="1"/>
  <c r="Q168" i="1"/>
  <c r="Q164" i="1"/>
  <c r="Q160" i="1"/>
  <c r="Q156" i="1"/>
  <c r="Q152" i="1"/>
  <c r="T147" i="1"/>
  <c r="T143" i="1"/>
  <c r="T139" i="1"/>
  <c r="T135" i="1"/>
  <c r="T131" i="1"/>
  <c r="T127" i="1"/>
  <c r="T123" i="1"/>
  <c r="T119" i="1"/>
  <c r="T115" i="1"/>
  <c r="T111" i="1"/>
  <c r="T107" i="1"/>
  <c r="T103" i="1"/>
  <c r="T99" i="1"/>
  <c r="T95" i="1"/>
  <c r="T91" i="1"/>
  <c r="T87" i="1"/>
  <c r="Q80" i="1"/>
  <c r="Q76" i="1"/>
  <c r="Q72" i="1"/>
  <c r="Q68" i="1"/>
  <c r="Q64" i="1"/>
  <c r="Q60" i="1"/>
  <c r="Q56" i="1"/>
  <c r="Q52" i="1"/>
  <c r="Q48" i="1"/>
  <c r="Q44" i="1"/>
  <c r="Q40" i="1"/>
  <c r="Q36" i="1"/>
  <c r="Q32" i="1"/>
  <c r="Q28" i="1"/>
  <c r="Q24" i="1"/>
  <c r="Q20" i="1"/>
  <c r="Q16" i="1"/>
  <c r="Q12" i="1"/>
  <c r="BQ348" i="1"/>
  <c r="DY348" i="1" s="1"/>
  <c r="BQ344" i="1"/>
  <c r="H351" i="24" s="1"/>
  <c r="BQ340" i="1"/>
  <c r="BQ336" i="1"/>
  <c r="H343" i="24" s="1"/>
  <c r="BQ332" i="1"/>
  <c r="DY332" i="1" s="1"/>
  <c r="BQ328" i="1"/>
  <c r="H335" i="24" s="1"/>
  <c r="BQ324" i="1"/>
  <c r="BQ320" i="1"/>
  <c r="DY320" i="1" s="1"/>
  <c r="BQ316" i="1"/>
  <c r="DY316" i="1" s="1"/>
  <c r="BQ312" i="1"/>
  <c r="DY312" i="1" s="1"/>
  <c r="BQ308" i="1"/>
  <c r="BQ304" i="1"/>
  <c r="DY304" i="1" s="1"/>
  <c r="BQ300" i="1"/>
  <c r="DY300" i="1" s="1"/>
  <c r="BQ296" i="1"/>
  <c r="H303" i="24" s="1"/>
  <c r="BQ292" i="1"/>
  <c r="BQ288" i="1"/>
  <c r="H295" i="24" s="1"/>
  <c r="BQ284" i="1"/>
  <c r="DY284" i="1" s="1"/>
  <c r="BQ280" i="1"/>
  <c r="H287" i="24" s="1"/>
  <c r="BQ276" i="1"/>
  <c r="BQ272" i="1"/>
  <c r="H277" i="24" s="1"/>
  <c r="BQ268" i="1"/>
  <c r="H272" i="24" s="1"/>
  <c r="BQ264" i="1"/>
  <c r="DY264" i="1" s="1"/>
  <c r="BQ260" i="1"/>
  <c r="BQ256" i="1"/>
  <c r="H260" i="24" s="1"/>
  <c r="BQ252" i="1"/>
  <c r="DY252" i="1" s="1"/>
  <c r="BQ248" i="1"/>
  <c r="H252" i="24" s="1"/>
  <c r="BQ244" i="1"/>
  <c r="BQ240" i="1"/>
  <c r="H244" i="24" s="1"/>
  <c r="BQ236" i="1"/>
  <c r="H240" i="24" s="1"/>
  <c r="BQ232" i="1"/>
  <c r="H236" i="24" s="1"/>
  <c r="BQ228" i="1"/>
  <c r="BQ224" i="1"/>
  <c r="H228" i="24" s="1"/>
  <c r="BQ220" i="1"/>
  <c r="DY220" i="1" s="1"/>
  <c r="BQ216" i="1"/>
  <c r="H220" i="24" s="1"/>
  <c r="BQ212" i="1"/>
  <c r="BQ208" i="1"/>
  <c r="DY208" i="1" s="1"/>
  <c r="BQ204" i="1"/>
  <c r="DY204" i="1" s="1"/>
  <c r="BQ200" i="1"/>
  <c r="DY200" i="1" s="1"/>
  <c r="BQ196" i="1"/>
  <c r="BQ192" i="1"/>
  <c r="DY192" i="1" s="1"/>
  <c r="BQ188" i="1"/>
  <c r="DY188" i="1" s="1"/>
  <c r="BQ184" i="1"/>
  <c r="H187" i="24" s="1"/>
  <c r="BQ180" i="1"/>
  <c r="BQ176" i="1"/>
  <c r="DY176" i="1" s="1"/>
  <c r="BQ172" i="1"/>
  <c r="H175" i="24" s="1"/>
  <c r="BQ168" i="1"/>
  <c r="DY168" i="1" s="1"/>
  <c r="BQ164" i="1"/>
  <c r="BQ160" i="1"/>
  <c r="DY160" i="1" s="1"/>
  <c r="BQ156" i="1"/>
  <c r="H159" i="24" s="1"/>
  <c r="BQ152" i="1"/>
  <c r="DY152" i="1" s="1"/>
  <c r="BQ148" i="1"/>
  <c r="BQ144" i="1"/>
  <c r="H147" i="24" s="1"/>
  <c r="BQ140" i="1"/>
  <c r="H143" i="24" s="1"/>
  <c r="BQ136" i="1"/>
  <c r="H139" i="24" s="1"/>
  <c r="BQ132" i="1"/>
  <c r="BQ128" i="1"/>
  <c r="DY128" i="1" s="1"/>
  <c r="BQ124" i="1"/>
  <c r="DY124" i="1" s="1"/>
  <c r="BQ120" i="1"/>
  <c r="DY120" i="1" s="1"/>
  <c r="BQ116" i="1"/>
  <c r="BQ112" i="1"/>
  <c r="DY112" i="1" s="1"/>
  <c r="BQ108" i="1"/>
  <c r="DY108" i="1" s="1"/>
  <c r="BQ104" i="1"/>
  <c r="H105" i="24" s="1"/>
  <c r="BQ100" i="1"/>
  <c r="BQ96" i="1"/>
  <c r="H97" i="24" s="1"/>
  <c r="BQ92" i="1"/>
  <c r="H93" i="24" s="1"/>
  <c r="BQ88" i="1"/>
  <c r="DY88" i="1" s="1"/>
  <c r="BQ84" i="1"/>
  <c r="BQ80" i="1"/>
  <c r="H81" i="24" s="1"/>
  <c r="BQ76" i="1"/>
  <c r="H76" i="24" s="1"/>
  <c r="BQ72" i="1"/>
  <c r="DY72" i="1" s="1"/>
  <c r="BQ68" i="1"/>
  <c r="BQ64" i="1"/>
  <c r="H63" i="24" s="1"/>
  <c r="BQ60" i="1"/>
  <c r="DY60" i="1" s="1"/>
  <c r="BQ56" i="1"/>
  <c r="BQ52" i="1"/>
  <c r="BQ48" i="1"/>
  <c r="H47" i="24" s="1"/>
  <c r="BQ44" i="1"/>
  <c r="DY44" i="1" s="1"/>
  <c r="BQ40" i="1"/>
  <c r="DY40" i="1" s="1"/>
  <c r="BQ36" i="1"/>
  <c r="BQ32" i="1"/>
  <c r="DY32" i="1" s="1"/>
  <c r="BQ28" i="1"/>
  <c r="DY28" i="1" s="1"/>
  <c r="BQ24" i="1"/>
  <c r="H23" i="24" s="1"/>
  <c r="BQ20" i="1"/>
  <c r="BQ16" i="1"/>
  <c r="H15" i="24" s="1"/>
  <c r="BQ12" i="1"/>
  <c r="H11" i="24" s="1"/>
  <c r="AG19" i="1"/>
  <c r="AC24" i="1"/>
  <c r="AC20" i="1"/>
  <c r="AC16" i="1"/>
  <c r="AC12" i="1"/>
  <c r="AL314" i="1"/>
  <c r="AL22" i="1"/>
  <c r="AL118" i="1"/>
  <c r="BD14" i="1"/>
  <c r="BG365" i="1"/>
  <c r="BG361" i="1"/>
  <c r="BG357" i="1"/>
  <c r="BG353" i="1"/>
  <c r="BG349" i="1"/>
  <c r="BG345" i="1"/>
  <c r="BG341" i="1"/>
  <c r="BG337" i="1"/>
  <c r="BG333" i="1"/>
  <c r="BG329" i="1"/>
  <c r="BG325" i="1"/>
  <c r="BG321" i="1"/>
  <c r="BG317" i="1"/>
  <c r="BG313" i="1"/>
  <c r="BG309" i="1"/>
  <c r="BG305" i="1"/>
  <c r="BG301" i="1"/>
  <c r="BG297" i="1"/>
  <c r="BG293" i="1"/>
  <c r="BG289" i="1"/>
  <c r="BG285" i="1"/>
  <c r="BG281" i="1"/>
  <c r="BG277" i="1"/>
  <c r="BG273" i="1"/>
  <c r="BG269" i="1"/>
  <c r="BG265" i="1"/>
  <c r="BG261" i="1"/>
  <c r="BG257" i="1"/>
  <c r="BG253" i="1"/>
  <c r="BG249" i="1"/>
  <c r="BG245" i="1"/>
  <c r="BG241" i="1"/>
  <c r="BG237" i="1"/>
  <c r="BG233" i="1"/>
  <c r="BG229" i="1"/>
  <c r="BG225" i="1"/>
  <c r="BG221" i="1"/>
  <c r="BG217" i="1"/>
  <c r="BG213" i="1"/>
  <c r="BG209" i="1"/>
  <c r="BG205" i="1"/>
  <c r="BG201" i="1"/>
  <c r="BG197" i="1"/>
  <c r="BG193" i="1"/>
  <c r="AL246" i="1"/>
  <c r="AL294" i="1"/>
  <c r="AL298" i="1"/>
  <c r="AL278" i="1"/>
  <c r="AL162" i="1"/>
  <c r="AL34" i="1"/>
  <c r="AL106" i="1"/>
  <c r="AL38" i="1"/>
  <c r="AL110" i="1"/>
  <c r="AL174" i="1"/>
  <c r="AL306" i="1"/>
  <c r="AL270" i="1"/>
  <c r="AL226" i="1"/>
  <c r="AL242" i="1"/>
  <c r="AL250" i="1"/>
  <c r="AL222" i="1"/>
  <c r="AL234" i="1"/>
  <c r="AL286" i="1"/>
  <c r="AL266" i="1"/>
  <c r="AL78" i="1"/>
  <c r="AL138" i="1"/>
  <c r="AL46" i="1"/>
  <c r="AL90" i="1"/>
  <c r="AL58" i="1"/>
  <c r="AL14" i="1"/>
  <c r="BP274" i="1"/>
  <c r="BP182" i="1"/>
  <c r="BD186" i="1"/>
  <c r="BD182" i="1"/>
  <c r="BD178" i="1"/>
  <c r="BD174" i="1"/>
  <c r="BD170" i="1"/>
  <c r="BD166" i="1"/>
  <c r="BD162" i="1"/>
  <c r="BD158" i="1"/>
  <c r="BD154" i="1"/>
  <c r="BD150" i="1"/>
  <c r="BD146" i="1"/>
  <c r="BD142" i="1"/>
  <c r="BD138" i="1"/>
  <c r="BD134" i="1"/>
  <c r="BD130" i="1"/>
  <c r="BD126" i="1"/>
  <c r="BD122" i="1"/>
  <c r="BD118" i="1"/>
  <c r="BD114" i="1"/>
  <c r="BD110" i="1"/>
  <c r="BD106" i="1"/>
  <c r="BD102" i="1"/>
  <c r="BD98" i="1"/>
  <c r="BD94" i="1"/>
  <c r="BD90" i="1"/>
  <c r="BD86" i="1"/>
  <c r="BD82" i="1"/>
  <c r="BD78" i="1"/>
  <c r="BD74" i="1"/>
  <c r="BD70" i="1"/>
  <c r="BD66" i="1"/>
  <c r="BD62" i="1"/>
  <c r="BD58" i="1"/>
  <c r="BD54" i="1"/>
  <c r="BD50" i="1"/>
  <c r="BD46" i="1"/>
  <c r="BD42" i="1"/>
  <c r="BD38" i="1"/>
  <c r="BD34" i="1"/>
  <c r="BD30" i="1"/>
  <c r="BD26" i="1"/>
  <c r="BD22" i="1"/>
  <c r="BJ188" i="1"/>
  <c r="BJ184" i="1"/>
  <c r="BJ180" i="1"/>
  <c r="BJ176" i="1"/>
  <c r="BJ172" i="1"/>
  <c r="BJ168" i="1"/>
  <c r="BJ164" i="1"/>
  <c r="BJ160" i="1"/>
  <c r="BJ156" i="1"/>
  <c r="BJ152" i="1"/>
  <c r="BJ148" i="1"/>
  <c r="BJ144" i="1"/>
  <c r="BJ140" i="1"/>
  <c r="BJ136" i="1"/>
  <c r="BJ132" i="1"/>
  <c r="BJ128" i="1"/>
  <c r="BJ124" i="1"/>
  <c r="BJ120" i="1"/>
  <c r="BJ116" i="1"/>
  <c r="BJ112" i="1"/>
  <c r="BJ108" i="1"/>
  <c r="AL274" i="1"/>
  <c r="AL322" i="1"/>
  <c r="AL134" i="1"/>
  <c r="AL182" i="1"/>
  <c r="AL66" i="1"/>
  <c r="AL214" i="1"/>
  <c r="AL122" i="1"/>
  <c r="BP270" i="1"/>
  <c r="AL194" i="1"/>
  <c r="AL354" i="1"/>
  <c r="AL358" i="1"/>
  <c r="AL190" i="1"/>
  <c r="AL302" i="1"/>
  <c r="AL362" i="1"/>
  <c r="AL102" i="1"/>
  <c r="AL30" i="1"/>
  <c r="AL82" i="1"/>
  <c r="AL142" i="1"/>
  <c r="AL186" i="1"/>
  <c r="AL54" i="1"/>
  <c r="AL166" i="1"/>
  <c r="AL26" i="1"/>
  <c r="BP278" i="1"/>
  <c r="BP222" i="1"/>
  <c r="BA187" i="1"/>
  <c r="BA183" i="1"/>
  <c r="BA179" i="1"/>
  <c r="BA175" i="1"/>
  <c r="BA171" i="1"/>
  <c r="BA167" i="1"/>
  <c r="BA163" i="1"/>
  <c r="BA159" i="1"/>
  <c r="BA155" i="1"/>
  <c r="BA151" i="1"/>
  <c r="BA147" i="1"/>
  <c r="BA143" i="1"/>
  <c r="BA139" i="1"/>
  <c r="BA135" i="1"/>
  <c r="BA131" i="1"/>
  <c r="BA127" i="1"/>
  <c r="BA123" i="1"/>
  <c r="BA119" i="1"/>
  <c r="BA115" i="1"/>
  <c r="BA111" i="1"/>
  <c r="BA107" i="1"/>
  <c r="BA103" i="1"/>
  <c r="BA99" i="1"/>
  <c r="BA95" i="1"/>
  <c r="BA91" i="1"/>
  <c r="BA87" i="1"/>
  <c r="BA83" i="1"/>
  <c r="BA79" i="1"/>
  <c r="BA75" i="1"/>
  <c r="BA71" i="1"/>
  <c r="BA67" i="1"/>
  <c r="BA63" i="1"/>
  <c r="BA59" i="1"/>
  <c r="BA55" i="1"/>
  <c r="BA51" i="1"/>
  <c r="BA47" i="1"/>
  <c r="BA43" i="1"/>
  <c r="BA39" i="1"/>
  <c r="BA35" i="1"/>
  <c r="BA31" i="1"/>
  <c r="BA27" i="1"/>
  <c r="BA23" i="1"/>
  <c r="BA19" i="1"/>
  <c r="BA11" i="1"/>
  <c r="BD366" i="1"/>
  <c r="BD362" i="1"/>
  <c r="BD358" i="1"/>
  <c r="BD354" i="1"/>
  <c r="BD350" i="1"/>
  <c r="BD346" i="1"/>
  <c r="BD342" i="1"/>
  <c r="BD338" i="1"/>
  <c r="BD334" i="1"/>
  <c r="BD330" i="1"/>
  <c r="BD326" i="1"/>
  <c r="BD322" i="1"/>
  <c r="BD318" i="1"/>
  <c r="BD314" i="1"/>
  <c r="BD310" i="1"/>
  <c r="BD306" i="1"/>
  <c r="BD302" i="1"/>
  <c r="BD298" i="1"/>
  <c r="BD294" i="1"/>
  <c r="BD290" i="1"/>
  <c r="BD286" i="1"/>
  <c r="BD282" i="1"/>
  <c r="BD278" i="1"/>
  <c r="BD274" i="1"/>
  <c r="BD270" i="1"/>
  <c r="BD266" i="1"/>
  <c r="BD262" i="1"/>
  <c r="BD258" i="1"/>
  <c r="BD254" i="1"/>
  <c r="BD250" i="1"/>
  <c r="BD246" i="1"/>
  <c r="BD242" i="1"/>
  <c r="BD238" i="1"/>
  <c r="BD234" i="1"/>
  <c r="BD230" i="1"/>
  <c r="BD226" i="1"/>
  <c r="BD222" i="1"/>
  <c r="BD218" i="1"/>
  <c r="BD214" i="1"/>
  <c r="BD210" i="1"/>
  <c r="BD206" i="1"/>
  <c r="BD202" i="1"/>
  <c r="BD198" i="1"/>
  <c r="BD194" i="1"/>
  <c r="BD190" i="1"/>
  <c r="BG17" i="1"/>
  <c r="BG13" i="1"/>
  <c r="BJ364" i="1"/>
  <c r="BJ360" i="1"/>
  <c r="BJ356" i="1"/>
  <c r="BJ352" i="1"/>
  <c r="BJ348" i="1"/>
  <c r="BJ344" i="1"/>
  <c r="BJ340" i="1"/>
  <c r="BJ336" i="1"/>
  <c r="BJ332" i="1"/>
  <c r="BJ328" i="1"/>
  <c r="BJ324" i="1"/>
  <c r="BJ320" i="1"/>
  <c r="BJ316" i="1"/>
  <c r="BJ312" i="1"/>
  <c r="BJ308" i="1"/>
  <c r="BJ304" i="1"/>
  <c r="BJ300" i="1"/>
  <c r="BJ296" i="1"/>
  <c r="BJ292" i="1"/>
  <c r="BJ288" i="1"/>
  <c r="BJ284" i="1"/>
  <c r="BJ280" i="1"/>
  <c r="BJ276" i="1"/>
  <c r="BJ272" i="1"/>
  <c r="BJ268" i="1"/>
  <c r="BJ264" i="1"/>
  <c r="BJ260" i="1"/>
  <c r="BJ256" i="1"/>
  <c r="BJ252" i="1"/>
  <c r="BJ248" i="1"/>
  <c r="BJ244" i="1"/>
  <c r="BJ240" i="1"/>
  <c r="BJ236" i="1"/>
  <c r="BJ232" i="1"/>
  <c r="BJ228" i="1"/>
  <c r="BJ224" i="1"/>
  <c r="BJ220" i="1"/>
  <c r="BJ216" i="1"/>
  <c r="BJ212" i="1"/>
  <c r="BJ208" i="1"/>
  <c r="BJ204" i="1"/>
  <c r="BJ200" i="1"/>
  <c r="BJ196" i="1"/>
  <c r="BJ192" i="1"/>
  <c r="BM363" i="1"/>
  <c r="BM359" i="1"/>
  <c r="BM355" i="1"/>
  <c r="BM351" i="1"/>
  <c r="BM347" i="1"/>
  <c r="BM343" i="1"/>
  <c r="BM339" i="1"/>
  <c r="BM335" i="1"/>
  <c r="BM331" i="1"/>
  <c r="BM327" i="1"/>
  <c r="BM323" i="1"/>
  <c r="BM319" i="1"/>
  <c r="BM315" i="1"/>
  <c r="BM311" i="1"/>
  <c r="BM307" i="1"/>
  <c r="BM303" i="1"/>
  <c r="BM299" i="1"/>
  <c r="BM295" i="1"/>
  <c r="BM291" i="1"/>
  <c r="BM287" i="1"/>
  <c r="BM283" i="1"/>
  <c r="BM279" i="1"/>
  <c r="BM275" i="1"/>
  <c r="BM271" i="1"/>
  <c r="BM267" i="1"/>
  <c r="BM263" i="1"/>
  <c r="BM259" i="1"/>
  <c r="BM255" i="1"/>
  <c r="BM251" i="1"/>
  <c r="BM247" i="1"/>
  <c r="BM243" i="1"/>
  <c r="BM239" i="1"/>
  <c r="BM235" i="1"/>
  <c r="BM231" i="1"/>
  <c r="BM227" i="1"/>
  <c r="BM223" i="1"/>
  <c r="BM219" i="1"/>
  <c r="BM215" i="1"/>
  <c r="BM211" i="1"/>
  <c r="BM207" i="1"/>
  <c r="BM203" i="1"/>
  <c r="BM199" i="1"/>
  <c r="BM195" i="1"/>
  <c r="BM191" i="1"/>
  <c r="BM367" i="1"/>
  <c r="BP358" i="1"/>
  <c r="BP342" i="1"/>
  <c r="BP330" i="1"/>
  <c r="BP302" i="1"/>
  <c r="BP294" i="1"/>
  <c r="BP286" i="1"/>
  <c r="BP250" i="1"/>
  <c r="BP242" i="1"/>
  <c r="BP206" i="1"/>
  <c r="BP138" i="1"/>
  <c r="BP134" i="1"/>
  <c r="BP130" i="1"/>
  <c r="BP126" i="1"/>
  <c r="BP122" i="1"/>
  <c r="BP118" i="1"/>
  <c r="BP114" i="1"/>
  <c r="BP110" i="1"/>
  <c r="BP106" i="1"/>
  <c r="BP102" i="1"/>
  <c r="BP98" i="1"/>
  <c r="BP94" i="1"/>
  <c r="BP90" i="1"/>
  <c r="BP86" i="1"/>
  <c r="BP82" i="1"/>
  <c r="BP78" i="1"/>
  <c r="BP74" i="1"/>
  <c r="BP70" i="1"/>
  <c r="BP66" i="1"/>
  <c r="BP62" i="1"/>
  <c r="BP58" i="1"/>
  <c r="BP54" i="1"/>
  <c r="BP50" i="1"/>
  <c r="BP46" i="1"/>
  <c r="BP42" i="1"/>
  <c r="BP38" i="1"/>
  <c r="BP34" i="1"/>
  <c r="BP30" i="1"/>
  <c r="BP26" i="1"/>
  <c r="BP22" i="1"/>
  <c r="BG189" i="1"/>
  <c r="CH28" i="1"/>
  <c r="AO25" i="1"/>
  <c r="AO13" i="1"/>
  <c r="AR145" i="1"/>
  <c r="CH16" i="1"/>
  <c r="CH68" i="1"/>
  <c r="AO85" i="1"/>
  <c r="CH84" i="1"/>
  <c r="CN70" i="1"/>
  <c r="CN78" i="1"/>
  <c r="CH92" i="1"/>
  <c r="CH100" i="1"/>
  <c r="CN130" i="1"/>
  <c r="AO141" i="1"/>
  <c r="AO149" i="1"/>
  <c r="AO157" i="1"/>
  <c r="AO165" i="1"/>
  <c r="CN170" i="1"/>
  <c r="CN162" i="1"/>
  <c r="CH172" i="1"/>
  <c r="CN174" i="1"/>
  <c r="CN22" i="1"/>
  <c r="AO17" i="1"/>
  <c r="CN190" i="1"/>
  <c r="CN194" i="1"/>
  <c r="CN198" i="1"/>
  <c r="CN202" i="1"/>
  <c r="CN206" i="1"/>
  <c r="CN210" i="1"/>
  <c r="CN214" i="1"/>
  <c r="CN218" i="1"/>
  <c r="CH224" i="1"/>
  <c r="CH228" i="1"/>
  <c r="CH232" i="1"/>
  <c r="CH236" i="1"/>
  <c r="CN242" i="1"/>
  <c r="BJ104" i="1"/>
  <c r="BJ100" i="1"/>
  <c r="BJ96" i="1"/>
  <c r="BJ92" i="1"/>
  <c r="BJ88" i="1"/>
  <c r="BJ84" i="1"/>
  <c r="BJ80" i="1"/>
  <c r="BJ76" i="1"/>
  <c r="BJ72" i="1"/>
  <c r="BJ68" i="1"/>
  <c r="BJ64" i="1"/>
  <c r="BJ60" i="1"/>
  <c r="BJ56" i="1"/>
  <c r="BJ52" i="1"/>
  <c r="BJ48" i="1"/>
  <c r="BJ44" i="1"/>
  <c r="BJ40" i="1"/>
  <c r="BJ36" i="1"/>
  <c r="BJ32" i="1"/>
  <c r="BJ28" i="1"/>
  <c r="BJ24" i="1"/>
  <c r="BJ20" i="1"/>
  <c r="BJ16" i="1"/>
  <c r="BJ12" i="1"/>
  <c r="BP354" i="1"/>
  <c r="BP326" i="1"/>
  <c r="BP314" i="1"/>
  <c r="BP306" i="1"/>
  <c r="BP266" i="1"/>
  <c r="BP254" i="1"/>
  <c r="BP210" i="1"/>
  <c r="BP190" i="1"/>
  <c r="BP154" i="1"/>
  <c r="BP150" i="1"/>
  <c r="BP146" i="1"/>
  <c r="BP142" i="1"/>
  <c r="AR187" i="1"/>
  <c r="AO37" i="1"/>
  <c r="AO45" i="1"/>
  <c r="AO53" i="1"/>
  <c r="CN66" i="1"/>
  <c r="CH36" i="1"/>
  <c r="CH44" i="1"/>
  <c r="CH52" i="1"/>
  <c r="CH60" i="1"/>
  <c r="AO29" i="1"/>
  <c r="CN34" i="1"/>
  <c r="CN42" i="1"/>
  <c r="CN50" i="1"/>
  <c r="CN58" i="1"/>
  <c r="AO61" i="1"/>
  <c r="AO69" i="1"/>
  <c r="AO77" i="1"/>
  <c r="CH72" i="1"/>
  <c r="CH88" i="1"/>
  <c r="AO93" i="1"/>
  <c r="AO101" i="1"/>
  <c r="CN86" i="1"/>
  <c r="CN94" i="1"/>
  <c r="CN102" i="1"/>
  <c r="CN110" i="1"/>
  <c r="AO121" i="1"/>
  <c r="CH120" i="1"/>
  <c r="AO109" i="1"/>
  <c r="CH124" i="1"/>
  <c r="CH128" i="1"/>
  <c r="AO129" i="1"/>
  <c r="AO137" i="1"/>
  <c r="CH140" i="1"/>
  <c r="CH144" i="1"/>
  <c r="CH132" i="1"/>
  <c r="CN122" i="1"/>
  <c r="CH152" i="1"/>
  <c r="CN138" i="1"/>
  <c r="CN146" i="1"/>
  <c r="CN154" i="1"/>
  <c r="CH160" i="1"/>
  <c r="AO173" i="1"/>
  <c r="CH184" i="1"/>
  <c r="CN182" i="1"/>
  <c r="AO185" i="1"/>
  <c r="CH192" i="1"/>
  <c r="CH196" i="1"/>
  <c r="CH200" i="1"/>
  <c r="CH204" i="1"/>
  <c r="BP366" i="1"/>
  <c r="BP350" i="1"/>
  <c r="BP338" i="1"/>
  <c r="BP322" i="1"/>
  <c r="BP298" i="1"/>
  <c r="BP290" i="1"/>
  <c r="BP282" i="1"/>
  <c r="BP258" i="1"/>
  <c r="BP246" i="1"/>
  <c r="BP234" i="1"/>
  <c r="BP230" i="1"/>
  <c r="BP214" i="1"/>
  <c r="BP198" i="1"/>
  <c r="BP194" i="1"/>
  <c r="BP174" i="1"/>
  <c r="BP170" i="1"/>
  <c r="BP166" i="1"/>
  <c r="BP162" i="1"/>
  <c r="BP158" i="1"/>
  <c r="AO189" i="1"/>
  <c r="CH24" i="1"/>
  <c r="AO21" i="1"/>
  <c r="CN18" i="1"/>
  <c r="CH20" i="1"/>
  <c r="AO81" i="1"/>
  <c r="CH80" i="1"/>
  <c r="CN74" i="1"/>
  <c r="CN90" i="1"/>
  <c r="CH96" i="1"/>
  <c r="CH104" i="1"/>
  <c r="AO145" i="1"/>
  <c r="AO153" i="1"/>
  <c r="AO161" i="1"/>
  <c r="CN158" i="1"/>
  <c r="CN166" i="1"/>
  <c r="CH168" i="1"/>
  <c r="CH176" i="1"/>
  <c r="CN178" i="1"/>
  <c r="CN26" i="1"/>
  <c r="CN14" i="1"/>
  <c r="AO193" i="1"/>
  <c r="AO197" i="1"/>
  <c r="AO201" i="1"/>
  <c r="CN246" i="1"/>
  <c r="CN250" i="1"/>
  <c r="CN254" i="1"/>
  <c r="CN258" i="1"/>
  <c r="CN262" i="1"/>
  <c r="CN266" i="1"/>
  <c r="CN270" i="1"/>
  <c r="CN274" i="1"/>
  <c r="CN278" i="1"/>
  <c r="CN282" i="1"/>
  <c r="CN286" i="1"/>
  <c r="CN290" i="1"/>
  <c r="CN294" i="1"/>
  <c r="CN298" i="1"/>
  <c r="CN302" i="1"/>
  <c r="CN306" i="1"/>
  <c r="CN310" i="1"/>
  <c r="CN330" i="1"/>
  <c r="CN334" i="1"/>
  <c r="CN338" i="1"/>
  <c r="CN342" i="1"/>
  <c r="CN346" i="1"/>
  <c r="CN350" i="1"/>
  <c r="CN354" i="1"/>
  <c r="CN358" i="1"/>
  <c r="CN362" i="1"/>
  <c r="AO365" i="1"/>
  <c r="AL366" i="1"/>
  <c r="AC312" i="1"/>
  <c r="AC308" i="1"/>
  <c r="AC304" i="1"/>
  <c r="AC300" i="1"/>
  <c r="AC296" i="1"/>
  <c r="AC292" i="1"/>
  <c r="AC288" i="1"/>
  <c r="AC284" i="1"/>
  <c r="AC280" i="1"/>
  <c r="AC276" i="1"/>
  <c r="AC272" i="1"/>
  <c r="AC268" i="1"/>
  <c r="AC264" i="1"/>
  <c r="AC260" i="1"/>
  <c r="AC256" i="1"/>
  <c r="AC252" i="1"/>
  <c r="AC248" i="1"/>
  <c r="AC244" i="1"/>
  <c r="AC240" i="1"/>
  <c r="AC236" i="1"/>
  <c r="AC232" i="1"/>
  <c r="AC228" i="1"/>
  <c r="AC224" i="1"/>
  <c r="AC220" i="1"/>
  <c r="AC216" i="1"/>
  <c r="AC212" i="1"/>
  <c r="AC208" i="1"/>
  <c r="AC204" i="1"/>
  <c r="AC200" i="1"/>
  <c r="CE357" i="1"/>
  <c r="CE349" i="1"/>
  <c r="CE325" i="1"/>
  <c r="CE309" i="1"/>
  <c r="CE265" i="1"/>
  <c r="CE237" i="1"/>
  <c r="CE193" i="1"/>
  <c r="CE165" i="1"/>
  <c r="CE161" i="1"/>
  <c r="CE153" i="1"/>
  <c r="CE121" i="1"/>
  <c r="CE117" i="1"/>
  <c r="CE105" i="1"/>
  <c r="CE65" i="1"/>
  <c r="CO366" i="1"/>
  <c r="CO362" i="1"/>
  <c r="CO358" i="1"/>
  <c r="CO354" i="1"/>
  <c r="CH208" i="1"/>
  <c r="CH212" i="1"/>
  <c r="CH216" i="1"/>
  <c r="CH220" i="1"/>
  <c r="AO225" i="1"/>
  <c r="AO229" i="1"/>
  <c r="AO233" i="1"/>
  <c r="AO237" i="1"/>
  <c r="CH240" i="1"/>
  <c r="CH244" i="1"/>
  <c r="CH248" i="1"/>
  <c r="CH252" i="1"/>
  <c r="CH256" i="1"/>
  <c r="CH260" i="1"/>
  <c r="CH264" i="1"/>
  <c r="CH268" i="1"/>
  <c r="AR271" i="1"/>
  <c r="CH276" i="1"/>
  <c r="CH280" i="1"/>
  <c r="CH284" i="1"/>
  <c r="CH288" i="1"/>
  <c r="CH292" i="1"/>
  <c r="CH296" i="1"/>
  <c r="CH300" i="1"/>
  <c r="CH304" i="1"/>
  <c r="CH308" i="1"/>
  <c r="CH312" i="1"/>
  <c r="CN314" i="1"/>
  <c r="CN318" i="1"/>
  <c r="CN322" i="1"/>
  <c r="CN326" i="1"/>
  <c r="CH332" i="1"/>
  <c r="CH336" i="1"/>
  <c r="CH340" i="1"/>
  <c r="CH344" i="1"/>
  <c r="CH348" i="1"/>
  <c r="CH352" i="1"/>
  <c r="CH356" i="1"/>
  <c r="CH360" i="1"/>
  <c r="CH364" i="1"/>
  <c r="AC364" i="1"/>
  <c r="AC360" i="1"/>
  <c r="AC356" i="1"/>
  <c r="AC352" i="1"/>
  <c r="AC348" i="1"/>
  <c r="AC344" i="1"/>
  <c r="AC340" i="1"/>
  <c r="AC336" i="1"/>
  <c r="AC332" i="1"/>
  <c r="AC328" i="1"/>
  <c r="AC324" i="1"/>
  <c r="AC320" i="1"/>
  <c r="AC316" i="1"/>
  <c r="CE365" i="1"/>
  <c r="CE341" i="1"/>
  <c r="CE329" i="1"/>
  <c r="CE321" i="1"/>
  <c r="CE305" i="1"/>
  <c r="CE285" i="1"/>
  <c r="CE273" i="1"/>
  <c r="CE261" i="1"/>
  <c r="CE225" i="1"/>
  <c r="CE157" i="1"/>
  <c r="CE149" i="1"/>
  <c r="CE145" i="1"/>
  <c r="CE125" i="1"/>
  <c r="CE97" i="1"/>
  <c r="CE45" i="1"/>
  <c r="CE25" i="1"/>
  <c r="BP218" i="1"/>
  <c r="AO205" i="1"/>
  <c r="AO209" i="1"/>
  <c r="AO213" i="1"/>
  <c r="AO217" i="1"/>
  <c r="AO221" i="1"/>
  <c r="AO241" i="1"/>
  <c r="AO245" i="1"/>
  <c r="AO249" i="1"/>
  <c r="AO253" i="1"/>
  <c r="AO257" i="1"/>
  <c r="AO261" i="1"/>
  <c r="AO265" i="1"/>
  <c r="AO269" i="1"/>
  <c r="CH272" i="1"/>
  <c r="AO273" i="1"/>
  <c r="AO277" i="1"/>
  <c r="AO281" i="1"/>
  <c r="AO285" i="1"/>
  <c r="AO289" i="1"/>
  <c r="AO293" i="1"/>
  <c r="AO297" i="1"/>
  <c r="AO301" i="1"/>
  <c r="AO305" i="1"/>
  <c r="AO309" i="1"/>
  <c r="CH316" i="1"/>
  <c r="CH320" i="1"/>
  <c r="CH324" i="1"/>
  <c r="CH328" i="1"/>
  <c r="AO333" i="1"/>
  <c r="AO337" i="1"/>
  <c r="AO341" i="1"/>
  <c r="AO345" i="1"/>
  <c r="AO349" i="1"/>
  <c r="AO353" i="1"/>
  <c r="AO357" i="1"/>
  <c r="AO361" i="1"/>
  <c r="AC176" i="1"/>
  <c r="AC172" i="1"/>
  <c r="AC168" i="1"/>
  <c r="AC164" i="1"/>
  <c r="AC160" i="1"/>
  <c r="AC156" i="1"/>
  <c r="AC152" i="1"/>
  <c r="AC148" i="1"/>
  <c r="AC144" i="1"/>
  <c r="AC140" i="1"/>
  <c r="AC136" i="1"/>
  <c r="AC132" i="1"/>
  <c r="AC128" i="1"/>
  <c r="AC124" i="1"/>
  <c r="AC120" i="1"/>
  <c r="AC116" i="1"/>
  <c r="AC112" i="1"/>
  <c r="AC108" i="1"/>
  <c r="AC104" i="1"/>
  <c r="AC100" i="1"/>
  <c r="AC96" i="1"/>
  <c r="AC92" i="1"/>
  <c r="AC88" i="1"/>
  <c r="AC84" i="1"/>
  <c r="AC80" i="1"/>
  <c r="AC76" i="1"/>
  <c r="AC72" i="1"/>
  <c r="AC68" i="1"/>
  <c r="AC64" i="1"/>
  <c r="AC60" i="1"/>
  <c r="AC56" i="1"/>
  <c r="AC52" i="1"/>
  <c r="AC48" i="1"/>
  <c r="AC44" i="1"/>
  <c r="AC40" i="1"/>
  <c r="AC36" i="1"/>
  <c r="AC32" i="1"/>
  <c r="AC28" i="1"/>
  <c r="CE353" i="1"/>
  <c r="CE337" i="1"/>
  <c r="CE221" i="1"/>
  <c r="CE189" i="1"/>
  <c r="CE177" i="1"/>
  <c r="CE141" i="1"/>
  <c r="CE137" i="1"/>
  <c r="CE73" i="1"/>
  <c r="CE57" i="1"/>
  <c r="CE37" i="1"/>
  <c r="CE17" i="1"/>
  <c r="CO350" i="1"/>
  <c r="CO346" i="1"/>
  <c r="CO342" i="1"/>
  <c r="CO338" i="1"/>
  <c r="CO334" i="1"/>
  <c r="CO330" i="1"/>
  <c r="CO326" i="1"/>
  <c r="CO322" i="1"/>
  <c r="CO318" i="1"/>
  <c r="CO314" i="1"/>
  <c r="CO310" i="1"/>
  <c r="CO306" i="1"/>
  <c r="CO302" i="1"/>
  <c r="CO298" i="1"/>
  <c r="CO294" i="1"/>
  <c r="CO290" i="1"/>
  <c r="CO286" i="1"/>
  <c r="CO282" i="1"/>
  <c r="CO278" i="1"/>
  <c r="CO274" i="1"/>
  <c r="CO270" i="1"/>
  <c r="CO266" i="1"/>
  <c r="CO262" i="1"/>
  <c r="CO258" i="1"/>
  <c r="CO254" i="1"/>
  <c r="CO250" i="1"/>
  <c r="CO246" i="1"/>
  <c r="CO242" i="1"/>
  <c r="CO238" i="1"/>
  <c r="CO234" i="1"/>
  <c r="CO230" i="1"/>
  <c r="CO226" i="1"/>
  <c r="CO222" i="1"/>
  <c r="CO218" i="1"/>
  <c r="CO214" i="1"/>
  <c r="CO210" i="1"/>
  <c r="CO206" i="1"/>
  <c r="CO202" i="1"/>
  <c r="CO198" i="1"/>
  <c r="CO194" i="1"/>
  <c r="CO190" i="1"/>
  <c r="CO186" i="1"/>
  <c r="CO182" i="1"/>
  <c r="CO178" i="1"/>
  <c r="CO174" i="1"/>
  <c r="CO170" i="1"/>
  <c r="CO166" i="1"/>
  <c r="CO162" i="1"/>
  <c r="CO158" i="1"/>
  <c r="CO154" i="1"/>
  <c r="CO150" i="1"/>
  <c r="CO146" i="1"/>
  <c r="CO142" i="1"/>
  <c r="CO138" i="1"/>
  <c r="CO134" i="1"/>
  <c r="CO130" i="1"/>
  <c r="CO126" i="1"/>
  <c r="CO122" i="1"/>
  <c r="CO118" i="1"/>
  <c r="CO114" i="1"/>
  <c r="CO110" i="1"/>
  <c r="CO106" i="1"/>
  <c r="CO102" i="1"/>
  <c r="CO98" i="1"/>
  <c r="CO94" i="1"/>
  <c r="CO90" i="1"/>
  <c r="CO86" i="1"/>
  <c r="CO82" i="1"/>
  <c r="CO78" i="1"/>
  <c r="CO74" i="1"/>
  <c r="CO70" i="1"/>
  <c r="CO66" i="1"/>
  <c r="CO62" i="1"/>
  <c r="CO58" i="1"/>
  <c r="CO54" i="1"/>
  <c r="CO50" i="1"/>
  <c r="CO46" i="1"/>
  <c r="CO42" i="1"/>
  <c r="CO38" i="1"/>
  <c r="CO34" i="1"/>
  <c r="CO30" i="1"/>
  <c r="CO26" i="1"/>
  <c r="CO22" i="1"/>
  <c r="CO18" i="1"/>
  <c r="CO14" i="1"/>
  <c r="Q366" i="1"/>
  <c r="Q362" i="1"/>
  <c r="Q358" i="1"/>
  <c r="Q354" i="1"/>
  <c r="Q350" i="1"/>
  <c r="Q346" i="1"/>
  <c r="Q342" i="1"/>
  <c r="Q338" i="1"/>
  <c r="Q334" i="1"/>
  <c r="Q330" i="1"/>
  <c r="Q326" i="1"/>
  <c r="Q322" i="1"/>
  <c r="Q318" i="1"/>
  <c r="Q314" i="1"/>
  <c r="Q310" i="1"/>
  <c r="Q306" i="1"/>
  <c r="Q302" i="1"/>
  <c r="Q298" i="1"/>
  <c r="Q294" i="1"/>
  <c r="Q290" i="1"/>
  <c r="Q286" i="1"/>
  <c r="Q282" i="1"/>
  <c r="Q278" i="1"/>
  <c r="Q274" i="1"/>
  <c r="Q270" i="1"/>
  <c r="Q266" i="1"/>
  <c r="Q262" i="1"/>
  <c r="Q258" i="1"/>
  <c r="Q254" i="1"/>
  <c r="Q250" i="1"/>
  <c r="Q246" i="1"/>
  <c r="Q242" i="1"/>
  <c r="Q238" i="1"/>
  <c r="Q234" i="1"/>
  <c r="Q230" i="1"/>
  <c r="Q226" i="1"/>
  <c r="Q222" i="1"/>
  <c r="Q218" i="1"/>
  <c r="Q214" i="1"/>
  <c r="Q210" i="1"/>
  <c r="Q206" i="1"/>
  <c r="Q202" i="1"/>
  <c r="Q198" i="1"/>
  <c r="Q194" i="1"/>
  <c r="Q190" i="1"/>
  <c r="Q186" i="1"/>
  <c r="Q182" i="1"/>
  <c r="Q178" i="1"/>
  <c r="Q174" i="1"/>
  <c r="Q170" i="1"/>
  <c r="Q166" i="1"/>
  <c r="Q162" i="1"/>
  <c r="Q158" i="1"/>
  <c r="Q154" i="1"/>
  <c r="T149" i="1"/>
  <c r="T145" i="1"/>
  <c r="T141" i="1"/>
  <c r="T137" i="1"/>
  <c r="T133" i="1"/>
  <c r="T129" i="1"/>
  <c r="T125" i="1"/>
  <c r="T121" i="1"/>
  <c r="T117" i="1"/>
  <c r="T365" i="1"/>
  <c r="T361" i="1"/>
  <c r="T357" i="1"/>
  <c r="T353" i="1"/>
  <c r="T349" i="1"/>
  <c r="T345" i="1"/>
  <c r="T341" i="1"/>
  <c r="T337" i="1"/>
  <c r="T333" i="1"/>
  <c r="T329" i="1"/>
  <c r="T325" i="1"/>
  <c r="T321" i="1"/>
  <c r="T317" i="1"/>
  <c r="T313" i="1"/>
  <c r="T309" i="1"/>
  <c r="T305" i="1"/>
  <c r="T301" i="1"/>
  <c r="T297" i="1"/>
  <c r="T293" i="1"/>
  <c r="T289" i="1"/>
  <c r="T285" i="1"/>
  <c r="T281" i="1"/>
  <c r="T277" i="1"/>
  <c r="T273" i="1"/>
  <c r="T269" i="1"/>
  <c r="T265" i="1"/>
  <c r="T261" i="1"/>
  <c r="T257" i="1"/>
  <c r="T253" i="1"/>
  <c r="T249" i="1"/>
  <c r="T245" i="1"/>
  <c r="T241" i="1"/>
  <c r="T237" i="1"/>
  <c r="T233" i="1"/>
  <c r="T229" i="1"/>
  <c r="T225" i="1"/>
  <c r="T221" i="1"/>
  <c r="T217" i="1"/>
  <c r="T213" i="1"/>
  <c r="T209" i="1"/>
  <c r="T205" i="1"/>
  <c r="T201" i="1"/>
  <c r="T197" i="1"/>
  <c r="T193" i="1"/>
  <c r="T189" i="1"/>
  <c r="T185" i="1"/>
  <c r="T181" i="1"/>
  <c r="T177" i="1"/>
  <c r="T173" i="1"/>
  <c r="T169" i="1"/>
  <c r="T165" i="1"/>
  <c r="T161" i="1"/>
  <c r="T157" i="1"/>
  <c r="T153" i="1"/>
  <c r="Q82" i="1"/>
  <c r="Q78" i="1"/>
  <c r="Q74" i="1"/>
  <c r="Q70" i="1"/>
  <c r="Q66" i="1"/>
  <c r="Q62" i="1"/>
  <c r="Q58" i="1"/>
  <c r="Q54" i="1"/>
  <c r="Q50" i="1"/>
  <c r="Q46" i="1"/>
  <c r="Q42" i="1"/>
  <c r="Q38" i="1"/>
  <c r="Q34" i="1"/>
  <c r="Q30" i="1"/>
  <c r="Q26" i="1"/>
  <c r="Q22" i="1"/>
  <c r="Q18" i="1"/>
  <c r="Q14" i="1"/>
  <c r="AG364" i="1"/>
  <c r="AG360" i="1"/>
  <c r="AG356" i="1"/>
  <c r="AG352" i="1"/>
  <c r="AG348" i="1"/>
  <c r="AG344" i="1"/>
  <c r="AG340" i="1"/>
  <c r="AG336" i="1"/>
  <c r="AG332" i="1"/>
  <c r="AG328" i="1"/>
  <c r="AG324" i="1"/>
  <c r="CR324" i="1" s="1"/>
  <c r="CU324" i="1" s="1"/>
  <c r="D331" i="24" s="1"/>
  <c r="AG320" i="1"/>
  <c r="AG316" i="1"/>
  <c r="AG312" i="1"/>
  <c r="AG308" i="1"/>
  <c r="CR308" i="1" s="1"/>
  <c r="CU308" i="1" s="1"/>
  <c r="D315" i="24" s="1"/>
  <c r="AG304" i="1"/>
  <c r="AG300" i="1"/>
  <c r="AG296" i="1"/>
  <c r="AG292" i="1"/>
  <c r="CR292" i="1" s="1"/>
  <c r="CU292" i="1" s="1"/>
  <c r="D299" i="24" s="1"/>
  <c r="AG288" i="1"/>
  <c r="AG284" i="1"/>
  <c r="AG280" i="1"/>
  <c r="AG276" i="1"/>
  <c r="CR276" i="1" s="1"/>
  <c r="CU276" i="1" s="1"/>
  <c r="D281" i="24" s="1"/>
  <c r="AG272" i="1"/>
  <c r="AG268" i="1"/>
  <c r="AG264" i="1"/>
  <c r="AG260" i="1"/>
  <c r="CR260" i="1" s="1"/>
  <c r="CU260" i="1" s="1"/>
  <c r="D264" i="24" s="1"/>
  <c r="AG256" i="1"/>
  <c r="AG252" i="1"/>
  <c r="AG248" i="1"/>
  <c r="AG244" i="1"/>
  <c r="CR244" i="1" s="1"/>
  <c r="CU244" i="1" s="1"/>
  <c r="D248" i="24" s="1"/>
  <c r="AG240" i="1"/>
  <c r="AG236" i="1"/>
  <c r="AG232" i="1"/>
  <c r="AG228" i="1"/>
  <c r="CR228" i="1" s="1"/>
  <c r="CU228" i="1" s="1"/>
  <c r="D232" i="24" s="1"/>
  <c r="AG224" i="1"/>
  <c r="AG220" i="1"/>
  <c r="AG216" i="1"/>
  <c r="AG212" i="1"/>
  <c r="CR212" i="1" s="1"/>
  <c r="CU212" i="1" s="1"/>
  <c r="D216" i="24" s="1"/>
  <c r="AG208" i="1"/>
  <c r="AG204" i="1"/>
  <c r="AG200" i="1"/>
  <c r="AG196" i="1"/>
  <c r="CR196" i="1" s="1"/>
  <c r="CU196" i="1" s="1"/>
  <c r="D199" i="24" s="1"/>
  <c r="AG192" i="1"/>
  <c r="AG188" i="1"/>
  <c r="AG184" i="1"/>
  <c r="AG180" i="1"/>
  <c r="CR180" i="1" s="1"/>
  <c r="CU180" i="1" s="1"/>
  <c r="D183" i="24" s="1"/>
  <c r="AG176" i="1"/>
  <c r="AG172" i="1"/>
  <c r="AG168" i="1"/>
  <c r="AG164" i="1"/>
  <c r="CR164" i="1" s="1"/>
  <c r="CU164" i="1" s="1"/>
  <c r="D167" i="24" s="1"/>
  <c r="AG160" i="1"/>
  <c r="AG156" i="1"/>
  <c r="AG152" i="1"/>
  <c r="AG148" i="1"/>
  <c r="CR148" i="1" s="1"/>
  <c r="CU148" i="1" s="1"/>
  <c r="D151" i="24" s="1"/>
  <c r="AG144" i="1"/>
  <c r="AG140" i="1"/>
  <c r="AG136" i="1"/>
  <c r="AG132" i="1"/>
  <c r="CR132" i="1" s="1"/>
  <c r="CU132" i="1" s="1"/>
  <c r="D135" i="24" s="1"/>
  <c r="AG128" i="1"/>
  <c r="AG124" i="1"/>
  <c r="AG120" i="1"/>
  <c r="AG116" i="1"/>
  <c r="CR116" i="1" s="1"/>
  <c r="CU116" i="1" s="1"/>
  <c r="D117" i="24" s="1"/>
  <c r="AG112" i="1"/>
  <c r="AG108" i="1"/>
  <c r="AG104" i="1"/>
  <c r="AG100" i="1"/>
  <c r="CR100" i="1" s="1"/>
  <c r="CU100" i="1" s="1"/>
  <c r="D101" i="24" s="1"/>
  <c r="AG96" i="1"/>
  <c r="AG92" i="1"/>
  <c r="AG88" i="1"/>
  <c r="AG84" i="1"/>
  <c r="CR84" i="1" s="1"/>
  <c r="CU84" i="1" s="1"/>
  <c r="D85" i="24" s="1"/>
  <c r="AG80" i="1"/>
  <c r="AG76" i="1"/>
  <c r="AG72" i="1"/>
  <c r="AG68" i="1"/>
  <c r="CR68" i="1" s="1"/>
  <c r="CU68" i="1" s="1"/>
  <c r="D68" i="24" s="1"/>
  <c r="AG64" i="1"/>
  <c r="AG60" i="1"/>
  <c r="T113" i="1"/>
  <c r="T109" i="1"/>
  <c r="T105" i="1"/>
  <c r="T101" i="1"/>
  <c r="T97" i="1"/>
  <c r="T93" i="1"/>
  <c r="T89" i="1"/>
  <c r="T85" i="1"/>
  <c r="AG366" i="1"/>
  <c r="AG362" i="1"/>
  <c r="AG358" i="1"/>
  <c r="AG354" i="1"/>
  <c r="AG350" i="1"/>
  <c r="AG346" i="1"/>
  <c r="AG342" i="1"/>
  <c r="AG338" i="1"/>
  <c r="AG334" i="1"/>
  <c r="AG330" i="1"/>
  <c r="AG326" i="1"/>
  <c r="AG322" i="1"/>
  <c r="AG318" i="1"/>
  <c r="AG314" i="1"/>
  <c r="AG310" i="1"/>
  <c r="AG306" i="1"/>
  <c r="AG302" i="1"/>
  <c r="AG298" i="1"/>
  <c r="AG294" i="1"/>
  <c r="AG290" i="1"/>
  <c r="AG286" i="1"/>
  <c r="AG282" i="1"/>
  <c r="AG278" i="1"/>
  <c r="AG274" i="1"/>
  <c r="AG270" i="1"/>
  <c r="AG266" i="1"/>
  <c r="AG262" i="1"/>
  <c r="AG258" i="1"/>
  <c r="AG254" i="1"/>
  <c r="AG250" i="1"/>
  <c r="AG246" i="1"/>
  <c r="AG242" i="1"/>
  <c r="AG238" i="1"/>
  <c r="AG234" i="1"/>
  <c r="AG230" i="1"/>
  <c r="AG226" i="1"/>
  <c r="AG222" i="1"/>
  <c r="AG218" i="1"/>
  <c r="AG214" i="1"/>
  <c r="AG210" i="1"/>
  <c r="AG206" i="1"/>
  <c r="AG202" i="1"/>
  <c r="AG198" i="1"/>
  <c r="AG194" i="1"/>
  <c r="AG190" i="1"/>
  <c r="AG186" i="1"/>
  <c r="AG182" i="1"/>
  <c r="AG178" i="1"/>
  <c r="AG174" i="1"/>
  <c r="AG170" i="1"/>
  <c r="AG166" i="1"/>
  <c r="AG162" i="1"/>
  <c r="AG158" i="1"/>
  <c r="AG154" i="1"/>
  <c r="AG150" i="1"/>
  <c r="AG146" i="1"/>
  <c r="AG142" i="1"/>
  <c r="AG138" i="1"/>
  <c r="AG134" i="1"/>
  <c r="AG130" i="1"/>
  <c r="AG126" i="1"/>
  <c r="AG122" i="1"/>
  <c r="AG118" i="1"/>
  <c r="AG114" i="1"/>
  <c r="AG110" i="1"/>
  <c r="AG106" i="1"/>
  <c r="AG102" i="1"/>
  <c r="AG98" i="1"/>
  <c r="AG94" i="1"/>
  <c r="AG90" i="1"/>
  <c r="AG86" i="1"/>
  <c r="AG82" i="1"/>
  <c r="AG78" i="1"/>
  <c r="AG74" i="1"/>
  <c r="AG70" i="1"/>
  <c r="AG66" i="1"/>
  <c r="AG62" i="1"/>
  <c r="AG58" i="1"/>
  <c r="AG54" i="1"/>
  <c r="AG50" i="1"/>
  <c r="AG46" i="1"/>
  <c r="AG42" i="1"/>
  <c r="AG38" i="1"/>
  <c r="AG34" i="1"/>
  <c r="AG30" i="1"/>
  <c r="AG26" i="1"/>
  <c r="AG22" i="1"/>
  <c r="AG18" i="1"/>
  <c r="AG14" i="1"/>
  <c r="BQ367" i="1"/>
  <c r="DY367" i="1" s="1"/>
  <c r="BQ363" i="1"/>
  <c r="DY363" i="1" s="1"/>
  <c r="BQ359" i="1"/>
  <c r="BQ355" i="1"/>
  <c r="H362" i="24" s="1"/>
  <c r="AG365" i="1"/>
  <c r="AG361" i="1"/>
  <c r="AG357" i="1"/>
  <c r="AG353" i="1"/>
  <c r="AG349" i="1"/>
  <c r="AG345" i="1"/>
  <c r="AG341" i="1"/>
  <c r="AG337" i="1"/>
  <c r="AG333" i="1"/>
  <c r="AG329" i="1"/>
  <c r="AG325" i="1"/>
  <c r="AG321" i="1"/>
  <c r="AG317" i="1"/>
  <c r="AG313" i="1"/>
  <c r="AG309" i="1"/>
  <c r="AG305" i="1"/>
  <c r="AG301" i="1"/>
  <c r="AG297" i="1"/>
  <c r="AG293" i="1"/>
  <c r="AG289" i="1"/>
  <c r="AG285" i="1"/>
  <c r="AG281" i="1"/>
  <c r="AG277" i="1"/>
  <c r="AG273" i="1"/>
  <c r="AG269" i="1"/>
  <c r="AG265" i="1"/>
  <c r="AG261" i="1"/>
  <c r="AG257" i="1"/>
  <c r="AG253" i="1"/>
  <c r="AG249" i="1"/>
  <c r="AG245" i="1"/>
  <c r="AG241" i="1"/>
  <c r="AG237" i="1"/>
  <c r="AG233" i="1"/>
  <c r="AG229" i="1"/>
  <c r="AG225" i="1"/>
  <c r="AG221" i="1"/>
  <c r="AG217" i="1"/>
  <c r="AG213" i="1"/>
  <c r="AG209" i="1"/>
  <c r="AG205" i="1"/>
  <c r="AG201" i="1"/>
  <c r="AG197" i="1"/>
  <c r="AG193" i="1"/>
  <c r="AG189" i="1"/>
  <c r="AG185" i="1"/>
  <c r="AG181" i="1"/>
  <c r="AG177" i="1"/>
  <c r="AG173" i="1"/>
  <c r="AG169" i="1"/>
  <c r="AG165" i="1"/>
  <c r="AG161" i="1"/>
  <c r="AG157" i="1"/>
  <c r="AG153" i="1"/>
  <c r="AG149" i="1"/>
  <c r="AG145" i="1"/>
  <c r="AG141" i="1"/>
  <c r="AG137" i="1"/>
  <c r="AG133" i="1"/>
  <c r="AG129" i="1"/>
  <c r="AG125" i="1"/>
  <c r="AG121" i="1"/>
  <c r="AG117" i="1"/>
  <c r="AG113" i="1"/>
  <c r="AG109" i="1"/>
  <c r="AG105" i="1"/>
  <c r="AG101" i="1"/>
  <c r="AG97" i="1"/>
  <c r="AG93" i="1"/>
  <c r="AG89" i="1"/>
  <c r="AG85" i="1"/>
  <c r="AG81" i="1"/>
  <c r="AG77" i="1"/>
  <c r="AG73" i="1"/>
  <c r="AG69" i="1"/>
  <c r="AG65" i="1"/>
  <c r="AG61" i="1"/>
  <c r="AG57" i="1"/>
  <c r="AG53" i="1"/>
  <c r="AG49" i="1"/>
  <c r="AG45" i="1"/>
  <c r="AG41" i="1"/>
  <c r="AG37" i="1"/>
  <c r="AG33" i="1"/>
  <c r="AG29" i="1"/>
  <c r="AG25" i="1"/>
  <c r="AG21" i="1"/>
  <c r="AG17" i="1"/>
  <c r="AG13" i="1"/>
  <c r="BQ366" i="1"/>
  <c r="DY366" i="1" s="1"/>
  <c r="BQ362" i="1"/>
  <c r="BQ358" i="1"/>
  <c r="DY358" i="1" s="1"/>
  <c r="AG56" i="1"/>
  <c r="AG52" i="1"/>
  <c r="AG48" i="1"/>
  <c r="AG44" i="1"/>
  <c r="AG40" i="1"/>
  <c r="AG36" i="1"/>
  <c r="AG32" i="1"/>
  <c r="AG28" i="1"/>
  <c r="AG24" i="1"/>
  <c r="AG20" i="1"/>
  <c r="AG16" i="1"/>
  <c r="AG12" i="1"/>
  <c r="BQ365" i="1"/>
  <c r="H372" i="24" s="1"/>
  <c r="BQ361" i="1"/>
  <c r="DY361" i="1" s="1"/>
  <c r="BQ357" i="1"/>
  <c r="BQ353" i="1"/>
  <c r="H360" i="24" s="1"/>
  <c r="BQ349" i="1"/>
  <c r="DY349" i="1" s="1"/>
  <c r="BQ345" i="1"/>
  <c r="DY345" i="1" s="1"/>
  <c r="BQ341" i="1"/>
  <c r="BQ337" i="1"/>
  <c r="DY337" i="1" s="1"/>
  <c r="BQ333" i="1"/>
  <c r="DY333" i="1" s="1"/>
  <c r="BQ329" i="1"/>
  <c r="H336" i="24" s="1"/>
  <c r="BQ325" i="1"/>
  <c r="BQ321" i="1"/>
  <c r="H328" i="24" s="1"/>
  <c r="BQ317" i="1"/>
  <c r="BQ313" i="1"/>
  <c r="H320" i="24" s="1"/>
  <c r="BQ309" i="1"/>
  <c r="BQ305" i="1"/>
  <c r="DY305" i="1" s="1"/>
  <c r="BQ301" i="1"/>
  <c r="DY301" i="1" s="1"/>
  <c r="BQ297" i="1"/>
  <c r="DY297" i="1" s="1"/>
  <c r="BQ293" i="1"/>
  <c r="BQ289" i="1"/>
  <c r="DY289" i="1" s="1"/>
  <c r="BQ285" i="1"/>
  <c r="BQ281" i="1"/>
  <c r="DY281" i="1" s="1"/>
  <c r="BQ277" i="1"/>
  <c r="BQ273" i="1"/>
  <c r="DY273" i="1" s="1"/>
  <c r="BQ269" i="1"/>
  <c r="DY269" i="1" s="1"/>
  <c r="BQ265" i="1"/>
  <c r="DY265" i="1" s="1"/>
  <c r="BQ261" i="1"/>
  <c r="BQ257" i="1"/>
  <c r="BQ253" i="1"/>
  <c r="H257" i="24" s="1"/>
  <c r="BQ249" i="1"/>
  <c r="DY249" i="1" s="1"/>
  <c r="BQ245" i="1"/>
  <c r="BQ241" i="1"/>
  <c r="DY241" i="1" s="1"/>
  <c r="BQ237" i="1"/>
  <c r="H241" i="24" s="1"/>
  <c r="BQ233" i="1"/>
  <c r="H237" i="24" s="1"/>
  <c r="BQ229" i="1"/>
  <c r="BQ225" i="1"/>
  <c r="H229" i="24" s="1"/>
  <c r="BQ221" i="1"/>
  <c r="DY221" i="1" s="1"/>
  <c r="BQ217" i="1"/>
  <c r="DY217" i="1" s="1"/>
  <c r="BQ213" i="1"/>
  <c r="BQ209" i="1"/>
  <c r="DY209" i="1" s="1"/>
  <c r="BQ205" i="1"/>
  <c r="BQ201" i="1"/>
  <c r="H205" i="24" s="1"/>
  <c r="BQ197" i="1"/>
  <c r="BQ193" i="1"/>
  <c r="DY193" i="1" s="1"/>
  <c r="BQ189" i="1"/>
  <c r="H192" i="24" s="1"/>
  <c r="BQ185" i="1"/>
  <c r="DY185" i="1" s="1"/>
  <c r="BQ181" i="1"/>
  <c r="BQ177" i="1"/>
  <c r="H180" i="24" s="1"/>
  <c r="BQ173" i="1"/>
  <c r="H176" i="24" s="1"/>
  <c r="BQ169" i="1"/>
  <c r="DY169" i="1" s="1"/>
  <c r="BQ165" i="1"/>
  <c r="BQ161" i="1"/>
  <c r="DY161" i="1" s="1"/>
  <c r="BQ157" i="1"/>
  <c r="BQ153" i="1"/>
  <c r="DY153" i="1" s="1"/>
  <c r="BQ149" i="1"/>
  <c r="BQ145" i="1"/>
  <c r="DY145" i="1" s="1"/>
  <c r="BQ141" i="1"/>
  <c r="DY141" i="1" s="1"/>
  <c r="BQ137" i="1"/>
  <c r="DY137" i="1" s="1"/>
  <c r="BQ133" i="1"/>
  <c r="BQ129" i="1"/>
  <c r="DY129" i="1" s="1"/>
  <c r="BQ125" i="1"/>
  <c r="BQ121" i="1"/>
  <c r="H122" i="24" s="1"/>
  <c r="BQ117" i="1"/>
  <c r="BQ113" i="1"/>
  <c r="DY113" i="1" s="1"/>
  <c r="BQ109" i="1"/>
  <c r="BQ105" i="1"/>
  <c r="H106" i="24" s="1"/>
  <c r="BQ101" i="1"/>
  <c r="BQ97" i="1"/>
  <c r="H98" i="24" s="1"/>
  <c r="BQ93" i="1"/>
  <c r="DY93" i="1" s="1"/>
  <c r="BQ89" i="1"/>
  <c r="H90" i="24" s="1"/>
  <c r="BQ85" i="1"/>
  <c r="BQ81" i="1"/>
  <c r="H82" i="24" s="1"/>
  <c r="BQ77" i="1"/>
  <c r="DY77" i="1" s="1"/>
  <c r="BQ351" i="1"/>
  <c r="BQ347" i="1"/>
  <c r="BQ343" i="1"/>
  <c r="CR343" i="1" s="1"/>
  <c r="CU343" i="1" s="1"/>
  <c r="D350" i="24" s="1"/>
  <c r="BQ339" i="1"/>
  <c r="DY339" i="1" s="1"/>
  <c r="BQ335" i="1"/>
  <c r="BQ331" i="1"/>
  <c r="BQ327" i="1"/>
  <c r="CR327" i="1" s="1"/>
  <c r="CU327" i="1" s="1"/>
  <c r="D334" i="24" s="1"/>
  <c r="BQ323" i="1"/>
  <c r="CR323" i="1" s="1"/>
  <c r="CU323" i="1" s="1"/>
  <c r="D330" i="24" s="1"/>
  <c r="BQ319" i="1"/>
  <c r="BQ315" i="1"/>
  <c r="BQ311" i="1"/>
  <c r="CR311" i="1" s="1"/>
  <c r="CU311" i="1" s="1"/>
  <c r="D318" i="24" s="1"/>
  <c r="BQ307" i="1"/>
  <c r="H314" i="24" s="1"/>
  <c r="BQ303" i="1"/>
  <c r="BQ299" i="1"/>
  <c r="BQ295" i="1"/>
  <c r="CR295" i="1" s="1"/>
  <c r="CU295" i="1" s="1"/>
  <c r="D302" i="24" s="1"/>
  <c r="BQ291" i="1"/>
  <c r="H298" i="24" s="1"/>
  <c r="BQ287" i="1"/>
  <c r="BQ283" i="1"/>
  <c r="BQ279" i="1"/>
  <c r="CR279" i="1" s="1"/>
  <c r="CU279" i="1" s="1"/>
  <c r="D285" i="24" s="1"/>
  <c r="BQ275" i="1"/>
  <c r="CR275" i="1" s="1"/>
  <c r="CU275" i="1" s="1"/>
  <c r="D280" i="24" s="1"/>
  <c r="BQ271" i="1"/>
  <c r="BQ267" i="1"/>
  <c r="BQ263" i="1"/>
  <c r="CR263" i="1" s="1"/>
  <c r="CU263" i="1" s="1"/>
  <c r="D267" i="24" s="1"/>
  <c r="BQ259" i="1"/>
  <c r="H263" i="24" s="1"/>
  <c r="BQ255" i="1"/>
  <c r="BQ251" i="1"/>
  <c r="BQ247" i="1"/>
  <c r="CR247" i="1" s="1"/>
  <c r="CU247" i="1" s="1"/>
  <c r="D251" i="24" s="1"/>
  <c r="BQ243" i="1"/>
  <c r="BQ239" i="1"/>
  <c r="BQ235" i="1"/>
  <c r="BQ231" i="1"/>
  <c r="CR231" i="1" s="1"/>
  <c r="CU231" i="1" s="1"/>
  <c r="D235" i="24" s="1"/>
  <c r="BQ227" i="1"/>
  <c r="H231" i="24" s="1"/>
  <c r="BQ223" i="1"/>
  <c r="BQ219" i="1"/>
  <c r="BQ215" i="1"/>
  <c r="CR215" i="1" s="1"/>
  <c r="CU215" i="1" s="1"/>
  <c r="D219" i="24" s="1"/>
  <c r="BQ211" i="1"/>
  <c r="BQ207" i="1"/>
  <c r="BQ203" i="1"/>
  <c r="BQ199" i="1"/>
  <c r="CR199" i="1" s="1"/>
  <c r="CU199" i="1" s="1"/>
  <c r="D203" i="24" s="1"/>
  <c r="BQ195" i="1"/>
  <c r="H198" i="24" s="1"/>
  <c r="BQ191" i="1"/>
  <c r="BQ187" i="1"/>
  <c r="BQ183" i="1"/>
  <c r="CR183" i="1" s="1"/>
  <c r="CU183" i="1" s="1"/>
  <c r="D186" i="24" s="1"/>
  <c r="BQ179" i="1"/>
  <c r="CR179" i="1" s="1"/>
  <c r="CU179" i="1" s="1"/>
  <c r="D182" i="24" s="1"/>
  <c r="BQ175" i="1"/>
  <c r="BQ171" i="1"/>
  <c r="BQ167" i="1"/>
  <c r="CR167" i="1" s="1"/>
  <c r="CU167" i="1" s="1"/>
  <c r="D170" i="24" s="1"/>
  <c r="BQ163" i="1"/>
  <c r="CR163" i="1" s="1"/>
  <c r="CU163" i="1" s="1"/>
  <c r="BQ159" i="1"/>
  <c r="BQ155" i="1"/>
  <c r="BQ151" i="1"/>
  <c r="CR151" i="1" s="1"/>
  <c r="CU151" i="1" s="1"/>
  <c r="D154" i="24" s="1"/>
  <c r="BQ147" i="1"/>
  <c r="CR147" i="1" s="1"/>
  <c r="CU147" i="1" s="1"/>
  <c r="D150" i="24" s="1"/>
  <c r="BQ143" i="1"/>
  <c r="BQ139" i="1"/>
  <c r="BQ135" i="1"/>
  <c r="CR135" i="1" s="1"/>
  <c r="CU135" i="1" s="1"/>
  <c r="D138" i="24" s="1"/>
  <c r="BQ131" i="1"/>
  <c r="CR131" i="1" s="1"/>
  <c r="CU131" i="1" s="1"/>
  <c r="D133" i="24" s="1"/>
  <c r="BQ127" i="1"/>
  <c r="BQ123" i="1"/>
  <c r="BQ119" i="1"/>
  <c r="CR119" i="1" s="1"/>
  <c r="CU119" i="1" s="1"/>
  <c r="D120" i="24" s="1"/>
  <c r="BQ115" i="1"/>
  <c r="DY115" i="1" s="1"/>
  <c r="BQ111" i="1"/>
  <c r="BQ107" i="1"/>
  <c r="BQ103" i="1"/>
  <c r="CR103" i="1" s="1"/>
  <c r="CU103" i="1" s="1"/>
  <c r="D104" i="24" s="1"/>
  <c r="BQ99" i="1"/>
  <c r="CR99" i="1" s="1"/>
  <c r="CU99" i="1" s="1"/>
  <c r="D100" i="24" s="1"/>
  <c r="BQ95" i="1"/>
  <c r="BQ91" i="1"/>
  <c r="BQ87" i="1"/>
  <c r="CR87" i="1" s="1"/>
  <c r="CU87" i="1" s="1"/>
  <c r="D88" i="24" s="1"/>
  <c r="BQ83" i="1"/>
  <c r="CR83" i="1" s="1"/>
  <c r="CU83" i="1" s="1"/>
  <c r="D84" i="24" s="1"/>
  <c r="BQ79" i="1"/>
  <c r="BQ75" i="1"/>
  <c r="BQ71" i="1"/>
  <c r="CR71" i="1" s="1"/>
  <c r="CU71" i="1" s="1"/>
  <c r="D71" i="24" s="1"/>
  <c r="BQ67" i="1"/>
  <c r="CR67" i="1" s="1"/>
  <c r="CU67" i="1" s="1"/>
  <c r="D67" i="24" s="1"/>
  <c r="BQ63" i="1"/>
  <c r="BQ59" i="1"/>
  <c r="BQ55" i="1"/>
  <c r="CR55" i="1" s="1"/>
  <c r="CU55" i="1" s="1"/>
  <c r="D54" i="24" s="1"/>
  <c r="BQ51" i="1"/>
  <c r="BQ47" i="1"/>
  <c r="BQ43" i="1"/>
  <c r="BQ39" i="1"/>
  <c r="CR39" i="1" s="1"/>
  <c r="CU39" i="1" s="1"/>
  <c r="D38" i="24" s="1"/>
  <c r="BQ35" i="1"/>
  <c r="H34" i="24" s="1"/>
  <c r="BQ31" i="1"/>
  <c r="BQ27" i="1"/>
  <c r="BQ23" i="1"/>
  <c r="CR23" i="1" s="1"/>
  <c r="CU23" i="1" s="1"/>
  <c r="D22" i="24" s="1"/>
  <c r="BQ19" i="1"/>
  <c r="DY19" i="1" s="1"/>
  <c r="BQ11" i="1"/>
  <c r="BQ354" i="1"/>
  <c r="BQ350" i="1"/>
  <c r="DY350" i="1" s="1"/>
  <c r="BQ346" i="1"/>
  <c r="H353" i="24" s="1"/>
  <c r="BQ342" i="1"/>
  <c r="DY342" i="1" s="1"/>
  <c r="BQ338" i="1"/>
  <c r="BQ334" i="1"/>
  <c r="DY334" i="1" s="1"/>
  <c r="BQ330" i="1"/>
  <c r="DY330" i="1" s="1"/>
  <c r="BQ326" i="1"/>
  <c r="H333" i="24" s="1"/>
  <c r="BQ322" i="1"/>
  <c r="BQ318" i="1"/>
  <c r="H325" i="24" s="1"/>
  <c r="BQ314" i="1"/>
  <c r="H321" i="24" s="1"/>
  <c r="BQ310" i="1"/>
  <c r="H317" i="24" s="1"/>
  <c r="BQ306" i="1"/>
  <c r="BQ302" i="1"/>
  <c r="DY302" i="1" s="1"/>
  <c r="BQ298" i="1"/>
  <c r="H305" i="24" s="1"/>
  <c r="BQ294" i="1"/>
  <c r="DY294" i="1" s="1"/>
  <c r="BQ290" i="1"/>
  <c r="BQ286" i="1"/>
  <c r="H293" i="24" s="1"/>
  <c r="BQ282" i="1"/>
  <c r="BQ278" i="1"/>
  <c r="H283" i="24" s="1"/>
  <c r="BQ274" i="1"/>
  <c r="BQ270" i="1"/>
  <c r="DY270" i="1" s="1"/>
  <c r="BQ266" i="1"/>
  <c r="DY266" i="1" s="1"/>
  <c r="BQ262" i="1"/>
  <c r="DY262" i="1" s="1"/>
  <c r="BQ258" i="1"/>
  <c r="BQ254" i="1"/>
  <c r="DY254" i="1" s="1"/>
  <c r="BQ250" i="1"/>
  <c r="BQ246" i="1"/>
  <c r="DY246" i="1" s="1"/>
  <c r="BQ242" i="1"/>
  <c r="BQ238" i="1"/>
  <c r="H242" i="24" s="1"/>
  <c r="BQ234" i="1"/>
  <c r="BQ230" i="1"/>
  <c r="H234" i="24" s="1"/>
  <c r="BQ226" i="1"/>
  <c r="BQ222" i="1"/>
  <c r="DY222" i="1" s="1"/>
  <c r="BQ218" i="1"/>
  <c r="DY218" i="1" s="1"/>
  <c r="BQ214" i="1"/>
  <c r="DY214" i="1" s="1"/>
  <c r="BQ210" i="1"/>
  <c r="BQ206" i="1"/>
  <c r="DY206" i="1" s="1"/>
  <c r="BQ202" i="1"/>
  <c r="DY202" i="1" s="1"/>
  <c r="BQ198" i="1"/>
  <c r="H202" i="24" s="1"/>
  <c r="BQ194" i="1"/>
  <c r="BQ190" i="1"/>
  <c r="H193" i="24" s="1"/>
  <c r="BQ186" i="1"/>
  <c r="DY186" i="1" s="1"/>
  <c r="BQ182" i="1"/>
  <c r="H185" i="24" s="1"/>
  <c r="BQ178" i="1"/>
  <c r="DY178" i="1" s="1"/>
  <c r="BQ174" i="1"/>
  <c r="H177" i="24" s="1"/>
  <c r="BQ170" i="1"/>
  <c r="H173" i="24" s="1"/>
  <c r="BQ166" i="1"/>
  <c r="DY166" i="1" s="1"/>
  <c r="BQ162" i="1"/>
  <c r="H165" i="24" s="1"/>
  <c r="BQ158" i="1"/>
  <c r="DY158" i="1" s="1"/>
  <c r="BQ154" i="1"/>
  <c r="H157" i="24" s="1"/>
  <c r="BQ150" i="1"/>
  <c r="H153" i="24" s="1"/>
  <c r="BQ146" i="1"/>
  <c r="DY146" i="1" s="1"/>
  <c r="BQ142" i="1"/>
  <c r="H145" i="24" s="1"/>
  <c r="BQ138" i="1"/>
  <c r="H141" i="24" s="1"/>
  <c r="BQ134" i="1"/>
  <c r="H137" i="24" s="1"/>
  <c r="BQ130" i="1"/>
  <c r="BQ126" i="1"/>
  <c r="H128" i="24" s="1"/>
  <c r="BQ122" i="1"/>
  <c r="H124" i="24" s="1"/>
  <c r="BQ118" i="1"/>
  <c r="H119" i="24" s="1"/>
  <c r="BQ114" i="1"/>
  <c r="BQ110" i="1"/>
  <c r="H111" i="24" s="1"/>
  <c r="BQ106" i="1"/>
  <c r="DY106" i="1" s="1"/>
  <c r="BQ102" i="1"/>
  <c r="DY102" i="1" s="1"/>
  <c r="BQ98" i="1"/>
  <c r="BQ94" i="1"/>
  <c r="H95" i="24" s="1"/>
  <c r="BQ90" i="1"/>
  <c r="H91" i="24" s="1"/>
  <c r="BQ86" i="1"/>
  <c r="DY86" i="1" s="1"/>
  <c r="BQ82" i="1"/>
  <c r="H83" i="24" s="1"/>
  <c r="BQ78" i="1"/>
  <c r="DY78" i="1" s="1"/>
  <c r="BQ74" i="1"/>
  <c r="H74" i="24" s="1"/>
  <c r="BQ70" i="1"/>
  <c r="DY70" i="1" s="1"/>
  <c r="BQ66" i="1"/>
  <c r="BQ62" i="1"/>
  <c r="DY62" i="1" s="1"/>
  <c r="BQ58" i="1"/>
  <c r="DY58" i="1" s="1"/>
  <c r="BQ54" i="1"/>
  <c r="H53" i="24" s="1"/>
  <c r="BQ50" i="1"/>
  <c r="BQ46" i="1"/>
  <c r="H45" i="24" s="1"/>
  <c r="BQ42" i="1"/>
  <c r="BQ38" i="1"/>
  <c r="H37" i="24" s="1"/>
  <c r="BQ34" i="1"/>
  <c r="DY34" i="1" s="1"/>
  <c r="BQ30" i="1"/>
  <c r="H29" i="24" s="1"/>
  <c r="BQ26" i="1"/>
  <c r="H25" i="24" s="1"/>
  <c r="BQ22" i="1"/>
  <c r="DY22" i="1" s="1"/>
  <c r="BQ18" i="1"/>
  <c r="BQ14" i="1"/>
  <c r="DY14" i="1" s="1"/>
  <c r="BQ73" i="1"/>
  <c r="DY73" i="1" s="1"/>
  <c r="BQ69" i="1"/>
  <c r="H69" i="24" s="1"/>
  <c r="BQ65" i="1"/>
  <c r="BQ61" i="1"/>
  <c r="H60" i="24" s="1"/>
  <c r="BQ57" i="1"/>
  <c r="DY57" i="1" s="1"/>
  <c r="BQ53" i="1"/>
  <c r="DY53" i="1" s="1"/>
  <c r="BQ49" i="1"/>
  <c r="BQ45" i="1"/>
  <c r="DY45" i="1" s="1"/>
  <c r="BQ41" i="1"/>
  <c r="BQ37" i="1"/>
  <c r="H36" i="24" s="1"/>
  <c r="BQ33" i="1"/>
  <c r="BQ29" i="1"/>
  <c r="H28" i="24" s="1"/>
  <c r="BQ25" i="1"/>
  <c r="DY25" i="1" s="1"/>
  <c r="BQ21" i="1"/>
  <c r="H20" i="24" s="1"/>
  <c r="BQ17" i="1"/>
  <c r="BQ13" i="1"/>
  <c r="H12" i="24" s="1"/>
  <c r="BR367" i="1"/>
  <c r="BS367" i="1" s="1"/>
  <c r="AX367" i="1"/>
  <c r="AX359" i="1"/>
  <c r="BR359" i="1"/>
  <c r="I366" i="24" s="1"/>
  <c r="BR351" i="1"/>
  <c r="I358" i="24" s="1"/>
  <c r="AX351" i="1"/>
  <c r="BR343" i="1"/>
  <c r="AX343" i="1"/>
  <c r="BR335" i="1"/>
  <c r="DZ335" i="1" s="1"/>
  <c r="AX335" i="1"/>
  <c r="AX331" i="1"/>
  <c r="BR331" i="1"/>
  <c r="BS331" i="1" s="1"/>
  <c r="BR323" i="1"/>
  <c r="DZ323" i="1" s="1"/>
  <c r="AX323" i="1"/>
  <c r="BR315" i="1"/>
  <c r="I322" i="24" s="1"/>
  <c r="AX315" i="1"/>
  <c r="BR307" i="1"/>
  <c r="I314" i="24" s="1"/>
  <c r="AX307" i="1"/>
  <c r="BR299" i="1"/>
  <c r="AX299" i="1"/>
  <c r="BR291" i="1"/>
  <c r="I298" i="24" s="1"/>
  <c r="AX291" i="1"/>
  <c r="BR283" i="1"/>
  <c r="DZ283" i="1" s="1"/>
  <c r="AX283" i="1"/>
  <c r="BR275" i="1"/>
  <c r="BS275" i="1" s="1"/>
  <c r="AX275" i="1"/>
  <c r="BR267" i="1"/>
  <c r="BS267" i="1" s="1"/>
  <c r="AX267" i="1"/>
  <c r="AX259" i="1"/>
  <c r="BR259" i="1"/>
  <c r="DZ259" i="1" s="1"/>
  <c r="BR251" i="1"/>
  <c r="BS251" i="1" s="1"/>
  <c r="AX251" i="1"/>
  <c r="AX243" i="1"/>
  <c r="BR243" i="1"/>
  <c r="DZ243" i="1" s="1"/>
  <c r="AX235" i="1"/>
  <c r="BR235" i="1"/>
  <c r="I239" i="24" s="1"/>
  <c r="AX227" i="1"/>
  <c r="BR227" i="1"/>
  <c r="I231" i="24" s="1"/>
  <c r="AX219" i="1"/>
  <c r="BR219" i="1"/>
  <c r="BS219" i="1" s="1"/>
  <c r="BR211" i="1"/>
  <c r="I215" i="24" s="1"/>
  <c r="AX211" i="1"/>
  <c r="BR207" i="1"/>
  <c r="AX207" i="1"/>
  <c r="BR199" i="1"/>
  <c r="I203" i="24" s="1"/>
  <c r="AX199" i="1"/>
  <c r="AX191" i="1"/>
  <c r="BR191" i="1"/>
  <c r="DZ191" i="1" s="1"/>
  <c r="BR162" i="1"/>
  <c r="I165" i="24" s="1"/>
  <c r="AX162" i="1"/>
  <c r="AU228" i="1"/>
  <c r="AU37" i="1"/>
  <c r="AU113" i="1"/>
  <c r="AU17" i="1"/>
  <c r="BR366" i="1"/>
  <c r="AX366" i="1"/>
  <c r="BR362" i="1"/>
  <c r="DZ362" i="1" s="1"/>
  <c r="AX362" i="1"/>
  <c r="BR358" i="1"/>
  <c r="AX358" i="1"/>
  <c r="BR354" i="1"/>
  <c r="I361" i="24" s="1"/>
  <c r="AX354" i="1"/>
  <c r="BR350" i="1"/>
  <c r="AX350" i="1"/>
  <c r="BR346" i="1"/>
  <c r="DZ346" i="1" s="1"/>
  <c r="AX346" i="1"/>
  <c r="BR342" i="1"/>
  <c r="AX342" i="1"/>
  <c r="BR338" i="1"/>
  <c r="DZ338" i="1" s="1"/>
  <c r="AX338" i="1"/>
  <c r="BR334" i="1"/>
  <c r="AX334" i="1"/>
  <c r="BR330" i="1"/>
  <c r="DZ330" i="1" s="1"/>
  <c r="AX330" i="1"/>
  <c r="BR326" i="1"/>
  <c r="AX326" i="1"/>
  <c r="BR322" i="1"/>
  <c r="I329" i="24" s="1"/>
  <c r="AX322" i="1"/>
  <c r="BR318" i="1"/>
  <c r="AX318" i="1"/>
  <c r="BR314" i="1"/>
  <c r="I321" i="24" s="1"/>
  <c r="AX314" i="1"/>
  <c r="BR310" i="1"/>
  <c r="AX310" i="1"/>
  <c r="BR306" i="1"/>
  <c r="DZ306" i="1" s="1"/>
  <c r="AX306" i="1"/>
  <c r="AX302" i="1"/>
  <c r="BR302" i="1"/>
  <c r="DZ302" i="1" s="1"/>
  <c r="BR298" i="1"/>
  <c r="AX298" i="1"/>
  <c r="BR294" i="1"/>
  <c r="AX294" i="1"/>
  <c r="BR290" i="1"/>
  <c r="I297" i="24" s="1"/>
  <c r="AX290" i="1"/>
  <c r="BR286" i="1"/>
  <c r="AX286" i="1"/>
  <c r="BR282" i="1"/>
  <c r="DZ282" i="1" s="1"/>
  <c r="AX282" i="1"/>
  <c r="BR278" i="1"/>
  <c r="AX278" i="1"/>
  <c r="AX274" i="1"/>
  <c r="BR274" i="1"/>
  <c r="I279" i="24" s="1"/>
  <c r="AX270" i="1"/>
  <c r="BR270" i="1"/>
  <c r="BR266" i="1"/>
  <c r="DZ266" i="1" s="1"/>
  <c r="AX266" i="1"/>
  <c r="BR262" i="1"/>
  <c r="DZ262" i="1" s="1"/>
  <c r="AX262" i="1"/>
  <c r="BR258" i="1"/>
  <c r="I262" i="24" s="1"/>
  <c r="AX258" i="1"/>
  <c r="AX254" i="1"/>
  <c r="BR254" i="1"/>
  <c r="BS254" i="1" s="1"/>
  <c r="BR250" i="1"/>
  <c r="I254" i="24" s="1"/>
  <c r="AX250" i="1"/>
  <c r="BR246" i="1"/>
  <c r="DZ246" i="1" s="1"/>
  <c r="AX246" i="1"/>
  <c r="BR242" i="1"/>
  <c r="I246" i="24" s="1"/>
  <c r="AX242" i="1"/>
  <c r="AX238" i="1"/>
  <c r="BR238" i="1"/>
  <c r="BS238" i="1" s="1"/>
  <c r="BR234" i="1"/>
  <c r="DZ234" i="1" s="1"/>
  <c r="AX234" i="1"/>
  <c r="BR230" i="1"/>
  <c r="AX230" i="1"/>
  <c r="BR226" i="1"/>
  <c r="I230" i="24" s="1"/>
  <c r="AX226" i="1"/>
  <c r="BR222" i="1"/>
  <c r="AX222" i="1"/>
  <c r="BR218" i="1"/>
  <c r="BS218" i="1" s="1"/>
  <c r="AX218" i="1"/>
  <c r="BR214" i="1"/>
  <c r="DZ214" i="1" s="1"/>
  <c r="AX214" i="1"/>
  <c r="AX210" i="1"/>
  <c r="BR210" i="1"/>
  <c r="BR206" i="1"/>
  <c r="AX206" i="1"/>
  <c r="AX202" i="1"/>
  <c r="BR202" i="1"/>
  <c r="AX198" i="1"/>
  <c r="BR198" i="1"/>
  <c r="DZ198" i="1" s="1"/>
  <c r="AX194" i="1"/>
  <c r="BR194" i="1"/>
  <c r="I197" i="24" s="1"/>
  <c r="BR190" i="1"/>
  <c r="AX190" i="1"/>
  <c r="AX185" i="1"/>
  <c r="BR185" i="1"/>
  <c r="BS185" i="1" s="1"/>
  <c r="BR181" i="1"/>
  <c r="BS181" i="1" s="1"/>
  <c r="AX181" i="1"/>
  <c r="BR177" i="1"/>
  <c r="DZ177" i="1" s="1"/>
  <c r="AX177" i="1"/>
  <c r="AX173" i="1"/>
  <c r="BR173" i="1"/>
  <c r="DZ173" i="1" s="1"/>
  <c r="BR169" i="1"/>
  <c r="DZ169" i="1" s="1"/>
  <c r="AX169" i="1"/>
  <c r="BR165" i="1"/>
  <c r="I168" i="24" s="1"/>
  <c r="AX165" i="1"/>
  <c r="AX161" i="1"/>
  <c r="BR161" i="1"/>
  <c r="I164" i="24" s="1"/>
  <c r="AX157" i="1"/>
  <c r="BR157" i="1"/>
  <c r="BR153" i="1"/>
  <c r="I156" i="24" s="1"/>
  <c r="AX153" i="1"/>
  <c r="AX149" i="1"/>
  <c r="BR149" i="1"/>
  <c r="I152" i="24" s="1"/>
  <c r="BR145" i="1"/>
  <c r="I148" i="24" s="1"/>
  <c r="AX145" i="1"/>
  <c r="AX141" i="1"/>
  <c r="BR141" i="1"/>
  <c r="I144" i="24" s="1"/>
  <c r="BR137" i="1"/>
  <c r="DZ137" i="1" s="1"/>
  <c r="AX137" i="1"/>
  <c r="BR133" i="1"/>
  <c r="BS133" i="1" s="1"/>
  <c r="AX133" i="1"/>
  <c r="AX129" i="1"/>
  <c r="BR129" i="1"/>
  <c r="BR125" i="1"/>
  <c r="AX125" i="1"/>
  <c r="AX121" i="1"/>
  <c r="BR121" i="1"/>
  <c r="DZ121" i="1" s="1"/>
  <c r="AX117" i="1"/>
  <c r="BR117" i="1"/>
  <c r="BS117" i="1" s="1"/>
  <c r="BR113" i="1"/>
  <c r="AX113" i="1"/>
  <c r="AX109" i="1"/>
  <c r="BR109" i="1"/>
  <c r="I110" i="24" s="1"/>
  <c r="AX105" i="1"/>
  <c r="BR105" i="1"/>
  <c r="DZ105" i="1" s="1"/>
  <c r="BR101" i="1"/>
  <c r="DZ101" i="1" s="1"/>
  <c r="AX101" i="1"/>
  <c r="BR97" i="1"/>
  <c r="I98" i="24" s="1"/>
  <c r="AX97" i="1"/>
  <c r="BR93" i="1"/>
  <c r="AX93" i="1"/>
  <c r="AX89" i="1"/>
  <c r="BR89" i="1"/>
  <c r="I90" i="24" s="1"/>
  <c r="AX85" i="1"/>
  <c r="BR85" i="1"/>
  <c r="BR81" i="1"/>
  <c r="I82" i="24" s="1"/>
  <c r="AX81" i="1"/>
  <c r="BR77" i="1"/>
  <c r="I77" i="24" s="1"/>
  <c r="AX77" i="1"/>
  <c r="AX73" i="1"/>
  <c r="BR73" i="1"/>
  <c r="I73" i="24" s="1"/>
  <c r="BR69" i="1"/>
  <c r="I69" i="24" s="1"/>
  <c r="AX69" i="1"/>
  <c r="BR65" i="1"/>
  <c r="DZ65" i="1" s="1"/>
  <c r="AX65" i="1"/>
  <c r="AX61" i="1"/>
  <c r="BR61" i="1"/>
  <c r="I60" i="24" s="1"/>
  <c r="BR57" i="1"/>
  <c r="DZ57" i="1" s="1"/>
  <c r="AX57" i="1"/>
  <c r="BR53" i="1"/>
  <c r="AX53" i="1"/>
  <c r="BR49" i="1"/>
  <c r="I48" i="24" s="1"/>
  <c r="AX49" i="1"/>
  <c r="AX45" i="1"/>
  <c r="BR45" i="1"/>
  <c r="BS45" i="1" s="1"/>
  <c r="AX41" i="1"/>
  <c r="BR41" i="1"/>
  <c r="DZ41" i="1" s="1"/>
  <c r="AX37" i="1"/>
  <c r="BR37" i="1"/>
  <c r="BR33" i="1"/>
  <c r="AX33" i="1"/>
  <c r="AX29" i="1"/>
  <c r="BR29" i="1"/>
  <c r="DZ29" i="1" s="1"/>
  <c r="AX25" i="1"/>
  <c r="BR25" i="1"/>
  <c r="AX21" i="1"/>
  <c r="BR21" i="1"/>
  <c r="DZ21" i="1" s="1"/>
  <c r="BR17" i="1"/>
  <c r="AX17" i="1"/>
  <c r="BR13" i="1"/>
  <c r="AX13" i="1"/>
  <c r="AZ372" i="1"/>
  <c r="BA10" i="1"/>
  <c r="AZ371" i="1"/>
  <c r="BA15" i="1"/>
  <c r="BJ10" i="1"/>
  <c r="BI372" i="1"/>
  <c r="BJ15" i="1"/>
  <c r="BI371" i="1"/>
  <c r="BP15" i="1"/>
  <c r="CP26" i="1"/>
  <c r="CK26" i="1"/>
  <c r="CP40" i="1"/>
  <c r="CQ40" i="1" s="1"/>
  <c r="CK40" i="1"/>
  <c r="CK48" i="1"/>
  <c r="CP48" i="1"/>
  <c r="CK56" i="1"/>
  <c r="CP56" i="1"/>
  <c r="CQ56" i="1" s="1"/>
  <c r="CP32" i="1"/>
  <c r="CK32" i="1"/>
  <c r="CP35" i="1"/>
  <c r="CQ35" i="1" s="1"/>
  <c r="CK35" i="1"/>
  <c r="CP43" i="1"/>
  <c r="CQ43" i="1" s="1"/>
  <c r="CK43" i="1"/>
  <c r="CP51" i="1"/>
  <c r="CQ51" i="1" s="1"/>
  <c r="CK51" i="1"/>
  <c r="CP59" i="1"/>
  <c r="CQ59" i="1" s="1"/>
  <c r="CK59" i="1"/>
  <c r="CK64" i="1"/>
  <c r="CP64" i="1"/>
  <c r="CQ64" i="1" s="1"/>
  <c r="CP67" i="1"/>
  <c r="CQ67" i="1" s="1"/>
  <c r="CK67" i="1"/>
  <c r="CK72" i="1"/>
  <c r="CP72" i="1"/>
  <c r="CQ72" i="1" s="1"/>
  <c r="CK69" i="1"/>
  <c r="CP69" i="1"/>
  <c r="CQ69" i="1" s="1"/>
  <c r="CP77" i="1"/>
  <c r="CK77" i="1"/>
  <c r="CP88" i="1"/>
  <c r="CQ88" i="1" s="1"/>
  <c r="CK88" i="1"/>
  <c r="CP96" i="1"/>
  <c r="CK96" i="1"/>
  <c r="CP104" i="1"/>
  <c r="CQ104" i="1" s="1"/>
  <c r="CK104" i="1"/>
  <c r="CP87" i="1"/>
  <c r="CQ87" i="1" s="1"/>
  <c r="CK87" i="1"/>
  <c r="CP90" i="1"/>
  <c r="CK90" i="1"/>
  <c r="CP95" i="1"/>
  <c r="CQ95" i="1" s="1"/>
  <c r="CK95" i="1"/>
  <c r="CK103" i="1"/>
  <c r="CP103" i="1"/>
  <c r="CQ103" i="1" s="1"/>
  <c r="CK111" i="1"/>
  <c r="CP111" i="1"/>
  <c r="CQ111" i="1" s="1"/>
  <c r="CP116" i="1"/>
  <c r="CK116" i="1"/>
  <c r="CP112" i="1"/>
  <c r="CK112" i="1"/>
  <c r="CK115" i="1"/>
  <c r="CP115" i="1"/>
  <c r="CQ115" i="1" s="1"/>
  <c r="CP124" i="1"/>
  <c r="CQ124" i="1" s="1"/>
  <c r="CK124" i="1"/>
  <c r="CP132" i="1"/>
  <c r="CK132" i="1"/>
  <c r="CK123" i="1"/>
  <c r="CP123" i="1"/>
  <c r="CQ123" i="1" s="1"/>
  <c r="CP142" i="1"/>
  <c r="CQ142" i="1" s="1"/>
  <c r="CK142" i="1"/>
  <c r="CK150" i="1"/>
  <c r="CP150" i="1"/>
  <c r="CQ150" i="1" s="1"/>
  <c r="CP139" i="1"/>
  <c r="CQ139" i="1" s="1"/>
  <c r="CK139" i="1"/>
  <c r="CP147" i="1"/>
  <c r="CQ147" i="1" s="1"/>
  <c r="CK147" i="1"/>
  <c r="CP155" i="1"/>
  <c r="CQ155" i="1" s="1"/>
  <c r="CK155" i="1"/>
  <c r="CP158" i="1"/>
  <c r="CQ158" i="1" s="1"/>
  <c r="CK158" i="1"/>
  <c r="CK166" i="1"/>
  <c r="CP166" i="1"/>
  <c r="CP170" i="1"/>
  <c r="CQ170" i="1" s="1"/>
  <c r="CK170" i="1"/>
  <c r="CK161" i="1"/>
  <c r="CP161" i="1"/>
  <c r="CP176" i="1"/>
  <c r="CK176" i="1"/>
  <c r="CP173" i="1"/>
  <c r="CK173" i="1"/>
  <c r="CK180" i="1"/>
  <c r="CP180" i="1"/>
  <c r="CQ180" i="1" s="1"/>
  <c r="CK183" i="1"/>
  <c r="CP183" i="1"/>
  <c r="CQ183" i="1" s="1"/>
  <c r="CP188" i="1"/>
  <c r="CQ188" i="1" s="1"/>
  <c r="CK188" i="1"/>
  <c r="CP21" i="1"/>
  <c r="CQ21" i="1" s="1"/>
  <c r="CK21" i="1"/>
  <c r="CP18" i="1"/>
  <c r="CK18" i="1"/>
  <c r="CK223" i="1"/>
  <c r="CP223" i="1"/>
  <c r="CQ223" i="1" s="1"/>
  <c r="CP224" i="1"/>
  <c r="CK224" i="1"/>
  <c r="CP225" i="1"/>
  <c r="CK225" i="1"/>
  <c r="CP226" i="1"/>
  <c r="CK226" i="1"/>
  <c r="CK227" i="1"/>
  <c r="CP227" i="1"/>
  <c r="CQ227" i="1" s="1"/>
  <c r="CK228" i="1"/>
  <c r="CP228" i="1"/>
  <c r="CQ228" i="1" s="1"/>
  <c r="CK229" i="1"/>
  <c r="CP229" i="1"/>
  <c r="CQ229" i="1" s="1"/>
  <c r="CP230" i="1"/>
  <c r="CK230" i="1"/>
  <c r="CK231" i="1"/>
  <c r="CP231" i="1"/>
  <c r="CQ231" i="1" s="1"/>
  <c r="CP232" i="1"/>
  <c r="CQ232" i="1" s="1"/>
  <c r="CK232" i="1"/>
  <c r="CP233" i="1"/>
  <c r="CQ233" i="1" s="1"/>
  <c r="CK233" i="1"/>
  <c r="CP234" i="1"/>
  <c r="CQ234" i="1" s="1"/>
  <c r="CK234" i="1"/>
  <c r="CP235" i="1"/>
  <c r="CQ235" i="1" s="1"/>
  <c r="CK235" i="1"/>
  <c r="CP236" i="1"/>
  <c r="CQ236" i="1" s="1"/>
  <c r="CK236" i="1"/>
  <c r="CK237" i="1"/>
  <c r="CP237" i="1"/>
  <c r="CP238" i="1"/>
  <c r="CQ238" i="1" s="1"/>
  <c r="CK238" i="1"/>
  <c r="CP366" i="1"/>
  <c r="CK366" i="1"/>
  <c r="P372" i="1"/>
  <c r="Q10" i="1"/>
  <c r="AU74" i="1"/>
  <c r="AU360" i="1"/>
  <c r="AU352" i="1"/>
  <c r="AU344" i="1"/>
  <c r="AU320" i="1"/>
  <c r="AU312" i="1"/>
  <c r="AU304" i="1"/>
  <c r="AU297" i="1"/>
  <c r="AU289" i="1"/>
  <c r="AU280" i="1"/>
  <c r="AU274" i="1"/>
  <c r="AU263" i="1"/>
  <c r="AU255" i="1"/>
  <c r="AU247" i="1"/>
  <c r="AU239" i="1"/>
  <c r="AU338" i="1"/>
  <c r="AU330" i="1"/>
  <c r="AU232" i="1"/>
  <c r="AU225" i="1"/>
  <c r="AU217" i="1"/>
  <c r="AU208" i="1"/>
  <c r="AU198" i="1"/>
  <c r="AU152" i="1"/>
  <c r="AU136" i="1"/>
  <c r="AU120" i="1"/>
  <c r="AU99" i="1"/>
  <c r="AU77" i="1"/>
  <c r="AU46" i="1"/>
  <c r="AU38" i="1"/>
  <c r="AU29" i="1"/>
  <c r="AU21" i="1"/>
  <c r="AU11" i="1"/>
  <c r="AU174" i="1"/>
  <c r="AU166" i="1"/>
  <c r="AU158" i="1"/>
  <c r="AU69" i="1"/>
  <c r="AU62" i="1"/>
  <c r="AU339" i="1"/>
  <c r="AU15" i="1"/>
  <c r="AU32" i="1"/>
  <c r="AU47" i="1"/>
  <c r="AU58" i="1"/>
  <c r="AU66" i="1"/>
  <c r="AU76" i="1"/>
  <c r="AU82" i="1"/>
  <c r="AU91" i="1"/>
  <c r="AU98" i="1"/>
  <c r="AU106" i="1"/>
  <c r="AU114" i="1"/>
  <c r="AU121" i="1"/>
  <c r="AU129" i="1"/>
  <c r="AU139" i="1"/>
  <c r="AU149" i="1"/>
  <c r="AU157" i="1"/>
  <c r="AU165" i="1"/>
  <c r="AU173" i="1"/>
  <c r="AU182" i="1"/>
  <c r="AU194" i="1"/>
  <c r="AU213" i="1"/>
  <c r="AU231" i="1"/>
  <c r="AU246" i="1"/>
  <c r="AU264" i="1"/>
  <c r="AU281" i="1"/>
  <c r="AU296" i="1"/>
  <c r="AU315" i="1"/>
  <c r="AU331" i="1"/>
  <c r="AU355" i="1"/>
  <c r="AU365" i="1"/>
  <c r="AU345" i="1"/>
  <c r="AU329" i="1"/>
  <c r="AU313" i="1"/>
  <c r="AU298" i="1"/>
  <c r="AU283" i="1"/>
  <c r="AU262" i="1"/>
  <c r="AU240" i="1"/>
  <c r="AU214" i="1"/>
  <c r="I218" i="24"/>
  <c r="AU199" i="1"/>
  <c r="AU181" i="1"/>
  <c r="AU142" i="1"/>
  <c r="AU124" i="1"/>
  <c r="AU101" i="1"/>
  <c r="AU87" i="1"/>
  <c r="AU45" i="1"/>
  <c r="AU24" i="1"/>
  <c r="L373" i="1"/>
  <c r="M11" i="3" s="1"/>
  <c r="L368" i="1"/>
  <c r="C11" i="3" s="1"/>
  <c r="O371" i="1"/>
  <c r="R372" i="1"/>
  <c r="X373" i="1"/>
  <c r="M15" i="3" s="1"/>
  <c r="X368" i="1"/>
  <c r="C15" i="3" s="1"/>
  <c r="AD373" i="1"/>
  <c r="M17" i="3" s="1"/>
  <c r="AD368" i="1"/>
  <c r="C17" i="3" s="1"/>
  <c r="AJ371" i="1"/>
  <c r="AM372" i="1"/>
  <c r="AP371" i="1"/>
  <c r="F368" i="4"/>
  <c r="H368" i="4" s="1"/>
  <c r="EC366" i="1"/>
  <c r="EC362" i="1"/>
  <c r="F364" i="4"/>
  <c r="H364" i="4" s="1"/>
  <c r="H369" i="24"/>
  <c r="DY362" i="1"/>
  <c r="EC358" i="1"/>
  <c r="F360" i="4"/>
  <c r="H360" i="4" s="1"/>
  <c r="F356" i="4"/>
  <c r="H356" i="4" s="1"/>
  <c r="EC354" i="1"/>
  <c r="DY354" i="1"/>
  <c r="H361" i="24"/>
  <c r="F352" i="4"/>
  <c r="H352" i="4" s="1"/>
  <c r="EC350" i="1"/>
  <c r="EC346" i="1"/>
  <c r="F348" i="4"/>
  <c r="H348" i="4" s="1"/>
  <c r="F339" i="4"/>
  <c r="H339" i="4" s="1"/>
  <c r="EC337" i="1"/>
  <c r="EC333" i="1"/>
  <c r="F335" i="4"/>
  <c r="H335" i="4" s="1"/>
  <c r="EC329" i="1"/>
  <c r="F331" i="4"/>
  <c r="H331" i="4" s="1"/>
  <c r="F327" i="4"/>
  <c r="H327" i="4" s="1"/>
  <c r="EC325" i="1"/>
  <c r="DY325" i="1"/>
  <c r="F323" i="4"/>
  <c r="H323" i="4" s="1"/>
  <c r="EC321" i="1"/>
  <c r="EC317" i="1"/>
  <c r="F319" i="4"/>
  <c r="H319" i="4" s="1"/>
  <c r="EC313" i="1"/>
  <c r="F315" i="4"/>
  <c r="H315" i="4" s="1"/>
  <c r="F311" i="4"/>
  <c r="H311" i="4" s="1"/>
  <c r="EC309" i="1"/>
  <c r="DY309" i="1"/>
  <c r="F307" i="4"/>
  <c r="H307" i="4" s="1"/>
  <c r="EC305" i="1"/>
  <c r="EC301" i="1"/>
  <c r="F303" i="4"/>
  <c r="H303" i="4" s="1"/>
  <c r="EC297" i="1"/>
  <c r="F299" i="4"/>
  <c r="H299" i="4" s="1"/>
  <c r="F295" i="4"/>
  <c r="H295" i="4" s="1"/>
  <c r="EC293" i="1"/>
  <c r="DY293" i="1"/>
  <c r="EC289" i="1"/>
  <c r="F291" i="4"/>
  <c r="H291" i="4" s="1"/>
  <c r="EC285" i="1"/>
  <c r="F287" i="4"/>
  <c r="H287" i="4" s="1"/>
  <c r="F281" i="4"/>
  <c r="H281" i="4" s="1"/>
  <c r="EC279" i="1"/>
  <c r="F277" i="4"/>
  <c r="H277" i="4" s="1"/>
  <c r="EC275" i="1"/>
  <c r="F273" i="4"/>
  <c r="H273" i="4" s="1"/>
  <c r="EC271" i="1"/>
  <c r="EC267" i="1"/>
  <c r="F269" i="4"/>
  <c r="H269" i="4" s="1"/>
  <c r="H271" i="24"/>
  <c r="F265" i="4"/>
  <c r="H265" i="4" s="1"/>
  <c r="EC263" i="1"/>
  <c r="F261" i="4"/>
  <c r="H261" i="4" s="1"/>
  <c r="EC259" i="1"/>
  <c r="EC255" i="1"/>
  <c r="F257" i="4"/>
  <c r="H257" i="4" s="1"/>
  <c r="EC251" i="1"/>
  <c r="F253" i="4"/>
  <c r="H253" i="4" s="1"/>
  <c r="DY251" i="1"/>
  <c r="F249" i="4"/>
  <c r="H249" i="4" s="1"/>
  <c r="EC247" i="1"/>
  <c r="F245" i="4"/>
  <c r="H245" i="4" s="1"/>
  <c r="EC243" i="1"/>
  <c r="EC239" i="1"/>
  <c r="F241" i="4"/>
  <c r="H241" i="4" s="1"/>
  <c r="EC235" i="1"/>
  <c r="F237" i="4"/>
  <c r="H237" i="4" s="1"/>
  <c r="DY235" i="1"/>
  <c r="F233" i="4"/>
  <c r="H233" i="4" s="1"/>
  <c r="EC231" i="1"/>
  <c r="EC227" i="1"/>
  <c r="F229" i="4"/>
  <c r="H229" i="4" s="1"/>
  <c r="F225" i="4"/>
  <c r="H225" i="4" s="1"/>
  <c r="EC223" i="1"/>
  <c r="EC219" i="1"/>
  <c r="F221" i="4"/>
  <c r="H221" i="4" s="1"/>
  <c r="DY219" i="1"/>
  <c r="F217" i="4"/>
  <c r="H217" i="4" s="1"/>
  <c r="EC215" i="1"/>
  <c r="F213" i="4"/>
  <c r="H213" i="4" s="1"/>
  <c r="EC211" i="1"/>
  <c r="EC207" i="1"/>
  <c r="F209" i="4"/>
  <c r="H209" i="4" s="1"/>
  <c r="EC203" i="1"/>
  <c r="F205" i="4"/>
  <c r="H205" i="4" s="1"/>
  <c r="H207" i="24"/>
  <c r="F201" i="4"/>
  <c r="H201" i="4" s="1"/>
  <c r="EC199" i="1"/>
  <c r="F197" i="4"/>
  <c r="H197" i="4" s="1"/>
  <c r="EC195" i="1"/>
  <c r="F193" i="4"/>
  <c r="H193" i="4" s="1"/>
  <c r="EC191" i="1"/>
  <c r="F189" i="4"/>
  <c r="H189" i="4" s="1"/>
  <c r="EC187" i="1"/>
  <c r="DY187" i="1"/>
  <c r="H190" i="24"/>
  <c r="F182" i="4"/>
  <c r="H182" i="4" s="1"/>
  <c r="EC180" i="1"/>
  <c r="DY180" i="1"/>
  <c r="H183" i="24"/>
  <c r="F178" i="4"/>
  <c r="H178" i="4" s="1"/>
  <c r="EC176" i="1"/>
  <c r="F174" i="4"/>
  <c r="H174" i="4" s="1"/>
  <c r="EC172" i="1"/>
  <c r="EC168" i="1"/>
  <c r="F170" i="4"/>
  <c r="H170" i="4" s="1"/>
  <c r="H171" i="24"/>
  <c r="F164" i="4"/>
  <c r="H164" i="4" s="1"/>
  <c r="EC162" i="1"/>
  <c r="DY162" i="1"/>
  <c r="F160" i="4"/>
  <c r="H160" i="4" s="1"/>
  <c r="EC158" i="1"/>
  <c r="EC154" i="1"/>
  <c r="F156" i="4"/>
  <c r="H156" i="4" s="1"/>
  <c r="EC150" i="1"/>
  <c r="F152" i="4"/>
  <c r="H152" i="4" s="1"/>
  <c r="F148" i="4"/>
  <c r="H148" i="4" s="1"/>
  <c r="EC146" i="1"/>
  <c r="H149" i="24"/>
  <c r="F144" i="4"/>
  <c r="H144" i="4" s="1"/>
  <c r="EC142" i="1"/>
  <c r="EC138" i="1"/>
  <c r="F140" i="4"/>
  <c r="H140" i="4" s="1"/>
  <c r="EC134" i="1"/>
  <c r="F136" i="4"/>
  <c r="H136" i="4" s="1"/>
  <c r="F131" i="4"/>
  <c r="H131" i="4" s="1"/>
  <c r="EC129" i="1"/>
  <c r="F127" i="4"/>
  <c r="H127" i="4" s="1"/>
  <c r="EC125" i="1"/>
  <c r="F123" i="4"/>
  <c r="H123" i="4" s="1"/>
  <c r="EC121" i="1"/>
  <c r="F119" i="4"/>
  <c r="H119" i="4" s="1"/>
  <c r="EC117" i="1"/>
  <c r="DY117" i="1"/>
  <c r="EC113" i="1"/>
  <c r="F115" i="4"/>
  <c r="H115" i="4" s="1"/>
  <c r="EC109" i="1"/>
  <c r="F111" i="4"/>
  <c r="H111" i="4" s="1"/>
  <c r="F107" i="4"/>
  <c r="H107" i="4" s="1"/>
  <c r="EC105" i="1"/>
  <c r="F103" i="4"/>
  <c r="H103" i="4" s="1"/>
  <c r="EC101" i="1"/>
  <c r="DY101" i="1"/>
  <c r="EC97" i="1"/>
  <c r="F99" i="4"/>
  <c r="H99" i="4" s="1"/>
  <c r="EC93" i="1"/>
  <c r="F95" i="4"/>
  <c r="H95" i="4" s="1"/>
  <c r="F91" i="4"/>
  <c r="H91" i="4" s="1"/>
  <c r="EC89" i="1"/>
  <c r="F84" i="4"/>
  <c r="H84" i="4" s="1"/>
  <c r="EC82" i="1"/>
  <c r="DY82" i="1"/>
  <c r="F79" i="4"/>
  <c r="H79" i="4" s="1"/>
  <c r="EC77" i="1"/>
  <c r="EC73" i="1"/>
  <c r="F75" i="4"/>
  <c r="H75" i="4" s="1"/>
  <c r="F70" i="4"/>
  <c r="H70" i="4" s="1"/>
  <c r="EC68" i="1"/>
  <c r="DY68" i="1"/>
  <c r="H68" i="24"/>
  <c r="F66" i="4"/>
  <c r="H66" i="4" s="1"/>
  <c r="EC64" i="1"/>
  <c r="F62" i="4"/>
  <c r="H62" i="4" s="1"/>
  <c r="EC60" i="1"/>
  <c r="F58" i="4"/>
  <c r="H58" i="4" s="1"/>
  <c r="EC56" i="1"/>
  <c r="H55" i="24"/>
  <c r="F54" i="4"/>
  <c r="H54" i="4" s="1"/>
  <c r="EC52" i="1"/>
  <c r="DY52" i="1"/>
  <c r="F50" i="4"/>
  <c r="H50" i="4" s="1"/>
  <c r="EC48" i="1"/>
  <c r="F41" i="4"/>
  <c r="H41" i="4" s="1"/>
  <c r="EC39" i="1"/>
  <c r="F37" i="4"/>
  <c r="H37" i="4" s="1"/>
  <c r="EC35" i="1"/>
  <c r="F33" i="4"/>
  <c r="H33" i="4" s="1"/>
  <c r="EC31" i="1"/>
  <c r="F28" i="4"/>
  <c r="H28" i="4" s="1"/>
  <c r="EC26" i="1"/>
  <c r="EC21" i="1"/>
  <c r="F23" i="4"/>
  <c r="H23" i="4" s="1"/>
  <c r="EC17" i="1"/>
  <c r="F19" i="4"/>
  <c r="H19" i="4" s="1"/>
  <c r="DY17" i="1"/>
  <c r="F13" i="4"/>
  <c r="H13" i="4" s="1"/>
  <c r="EC11" i="1"/>
  <c r="H345" i="24"/>
  <c r="DY290" i="1"/>
  <c r="DY274" i="1"/>
  <c r="H246" i="24"/>
  <c r="H230" i="24"/>
  <c r="H214" i="24"/>
  <c r="DY130" i="1"/>
  <c r="DY50" i="1"/>
  <c r="AV372" i="1"/>
  <c r="BQ10" i="1"/>
  <c r="DY10" i="1" s="1"/>
  <c r="BB373" i="1"/>
  <c r="M26" i="3" s="1"/>
  <c r="BB368" i="1"/>
  <c r="C26" i="3" s="1"/>
  <c r="BE371" i="1"/>
  <c r="BH372" i="1"/>
  <c r="BN373" i="1"/>
  <c r="M30" i="3" s="1"/>
  <c r="BN368" i="1"/>
  <c r="C30" i="3" s="1"/>
  <c r="BV10" i="1"/>
  <c r="BT364" i="1"/>
  <c r="BV364" i="1" s="1"/>
  <c r="BT360" i="1"/>
  <c r="BV360" i="1" s="1"/>
  <c r="BT356" i="1"/>
  <c r="BV356" i="1" s="1"/>
  <c r="BZ367" i="1"/>
  <c r="CB367" i="1" s="1"/>
  <c r="BZ363" i="1"/>
  <c r="CB363" i="1" s="1"/>
  <c r="BZ359" i="1"/>
  <c r="CB359" i="1" s="1"/>
  <c r="BZ355" i="1"/>
  <c r="CB355" i="1" s="1"/>
  <c r="CB10" i="1"/>
  <c r="CF373" i="1"/>
  <c r="M36" i="3" s="1"/>
  <c r="CF368" i="1"/>
  <c r="C36" i="3" s="1"/>
  <c r="CI371" i="1"/>
  <c r="CO15" i="1"/>
  <c r="CL372" i="1"/>
  <c r="EC78" i="1"/>
  <c r="F80" i="4"/>
  <c r="H80" i="4" s="1"/>
  <c r="AU33" i="1"/>
  <c r="AU260" i="1"/>
  <c r="AU138" i="1"/>
  <c r="AW373" i="1"/>
  <c r="BR9" i="1"/>
  <c r="AW368" i="1"/>
  <c r="AX9" i="1"/>
  <c r="AX365" i="1"/>
  <c r="BR365" i="1"/>
  <c r="I372" i="24" s="1"/>
  <c r="AX361" i="1"/>
  <c r="BR361" i="1"/>
  <c r="DZ361" i="1" s="1"/>
  <c r="BR357" i="1"/>
  <c r="BS357" i="1" s="1"/>
  <c r="AX357" i="1"/>
  <c r="BR353" i="1"/>
  <c r="DZ353" i="1" s="1"/>
  <c r="AX353" i="1"/>
  <c r="BR349" i="1"/>
  <c r="I356" i="24" s="1"/>
  <c r="AX349" i="1"/>
  <c r="BR345" i="1"/>
  <c r="AX345" i="1"/>
  <c r="AX341" i="1"/>
  <c r="BR341" i="1"/>
  <c r="BR337" i="1"/>
  <c r="I344" i="24" s="1"/>
  <c r="AX337" i="1"/>
  <c r="AX333" i="1"/>
  <c r="BR333" i="1"/>
  <c r="BR329" i="1"/>
  <c r="AX329" i="1"/>
  <c r="AX325" i="1"/>
  <c r="BR325" i="1"/>
  <c r="I332" i="24" s="1"/>
  <c r="BR321" i="1"/>
  <c r="I328" i="24" s="1"/>
  <c r="AX321" i="1"/>
  <c r="AX317" i="1"/>
  <c r="BR317" i="1"/>
  <c r="AX313" i="1"/>
  <c r="BR313" i="1"/>
  <c r="BR309" i="1"/>
  <c r="DZ309" i="1" s="1"/>
  <c r="AX309" i="1"/>
  <c r="BR305" i="1"/>
  <c r="I312" i="24" s="1"/>
  <c r="AX305" i="1"/>
  <c r="AX301" i="1"/>
  <c r="BR301" i="1"/>
  <c r="DZ301" i="1" s="1"/>
  <c r="BR297" i="1"/>
  <c r="AX297" i="1"/>
  <c r="BR293" i="1"/>
  <c r="DZ293" i="1" s="1"/>
  <c r="AX293" i="1"/>
  <c r="BR289" i="1"/>
  <c r="DZ289" i="1" s="1"/>
  <c r="AX289" i="1"/>
  <c r="BR285" i="1"/>
  <c r="DZ285" i="1" s="1"/>
  <c r="AX285" i="1"/>
  <c r="BR281" i="1"/>
  <c r="AX281" i="1"/>
  <c r="BR277" i="1"/>
  <c r="I282" i="24" s="1"/>
  <c r="AX277" i="1"/>
  <c r="BR273" i="1"/>
  <c r="I278" i="24" s="1"/>
  <c r="AX273" i="1"/>
  <c r="BR269" i="1"/>
  <c r="I273" i="24" s="1"/>
  <c r="AX269" i="1"/>
  <c r="BR265" i="1"/>
  <c r="DZ265" i="1" s="1"/>
  <c r="AX265" i="1"/>
  <c r="AX261" i="1"/>
  <c r="BR261" i="1"/>
  <c r="BS261" i="1" s="1"/>
  <c r="AX257" i="1"/>
  <c r="BR257" i="1"/>
  <c r="BR253" i="1"/>
  <c r="I257" i="24" s="1"/>
  <c r="AX253" i="1"/>
  <c r="BR249" i="1"/>
  <c r="I253" i="24" s="1"/>
  <c r="AX249" i="1"/>
  <c r="BR245" i="1"/>
  <c r="DZ245" i="1" s="1"/>
  <c r="AX245" i="1"/>
  <c r="BR241" i="1"/>
  <c r="I245" i="24" s="1"/>
  <c r="AX241" i="1"/>
  <c r="AX237" i="1"/>
  <c r="BR237" i="1"/>
  <c r="BR233" i="1"/>
  <c r="DZ233" i="1" s="1"/>
  <c r="AX233" i="1"/>
  <c r="BR229" i="1"/>
  <c r="BS229" i="1" s="1"/>
  <c r="AX229" i="1"/>
  <c r="AX225" i="1"/>
  <c r="BR225" i="1"/>
  <c r="AX221" i="1"/>
  <c r="BR221" i="1"/>
  <c r="BR217" i="1"/>
  <c r="AX217" i="1"/>
  <c r="BR213" i="1"/>
  <c r="I217" i="24" s="1"/>
  <c r="AX213" i="1"/>
  <c r="BR209" i="1"/>
  <c r="DZ209" i="1" s="1"/>
  <c r="AX209" i="1"/>
  <c r="BR205" i="1"/>
  <c r="DZ205" i="1" s="1"/>
  <c r="AX205" i="1"/>
  <c r="BR201" i="1"/>
  <c r="DZ201" i="1" s="1"/>
  <c r="AX201" i="1"/>
  <c r="AX197" i="1"/>
  <c r="BR197" i="1"/>
  <c r="DZ197" i="1" s="1"/>
  <c r="BR193" i="1"/>
  <c r="DZ193" i="1" s="1"/>
  <c r="AX193" i="1"/>
  <c r="BR188" i="1"/>
  <c r="I191" i="24" s="1"/>
  <c r="AX188" i="1"/>
  <c r="AX184" i="1"/>
  <c r="BR184" i="1"/>
  <c r="I187" i="24" s="1"/>
  <c r="BR180" i="1"/>
  <c r="I183" i="24" s="1"/>
  <c r="AX180" i="1"/>
  <c r="AX176" i="1"/>
  <c r="BR176" i="1"/>
  <c r="DZ176" i="1" s="1"/>
  <c r="BR172" i="1"/>
  <c r="DZ172" i="1" s="1"/>
  <c r="AX172" i="1"/>
  <c r="BR168" i="1"/>
  <c r="I171" i="24" s="1"/>
  <c r="AX168" i="1"/>
  <c r="BR164" i="1"/>
  <c r="I167" i="24" s="1"/>
  <c r="AX164" i="1"/>
  <c r="BR160" i="1"/>
  <c r="DZ160" i="1" s="1"/>
  <c r="AX160" i="1"/>
  <c r="BR156" i="1"/>
  <c r="I159" i="24" s="1"/>
  <c r="AX156" i="1"/>
  <c r="AX152" i="1"/>
  <c r="BR152" i="1"/>
  <c r="BR148" i="1"/>
  <c r="I151" i="24" s="1"/>
  <c r="AX148" i="1"/>
  <c r="BR144" i="1"/>
  <c r="I147" i="24" s="1"/>
  <c r="AX144" i="1"/>
  <c r="AX140" i="1"/>
  <c r="BR140" i="1"/>
  <c r="I143" i="24" s="1"/>
  <c r="AX136" i="1"/>
  <c r="BR136" i="1"/>
  <c r="BR132" i="1"/>
  <c r="DZ132" i="1" s="1"/>
  <c r="AX132" i="1"/>
  <c r="BR128" i="1"/>
  <c r="I130" i="24" s="1"/>
  <c r="AX128" i="1"/>
  <c r="BR124" i="1"/>
  <c r="AX124" i="1"/>
  <c r="AX120" i="1"/>
  <c r="BR120" i="1"/>
  <c r="BR116" i="1"/>
  <c r="I117" i="24" s="1"/>
  <c r="AX116" i="1"/>
  <c r="BR112" i="1"/>
  <c r="I113" i="24" s="1"/>
  <c r="AX112" i="1"/>
  <c r="AX108" i="1"/>
  <c r="BR108" i="1"/>
  <c r="DZ108" i="1" s="1"/>
  <c r="AX104" i="1"/>
  <c r="BR104" i="1"/>
  <c r="I105" i="24" s="1"/>
  <c r="BR100" i="1"/>
  <c r="I101" i="24" s="1"/>
  <c r="AX100" i="1"/>
  <c r="BR96" i="1"/>
  <c r="DZ96" i="1" s="1"/>
  <c r="AX96" i="1"/>
  <c r="BR92" i="1"/>
  <c r="AX92" i="1"/>
  <c r="BR88" i="1"/>
  <c r="DZ88" i="1" s="1"/>
  <c r="AX88" i="1"/>
  <c r="AX84" i="1"/>
  <c r="BR84" i="1"/>
  <c r="BS84" i="1" s="1"/>
  <c r="BR80" i="1"/>
  <c r="DZ80" i="1" s="1"/>
  <c r="AX80" i="1"/>
  <c r="AX76" i="1"/>
  <c r="BR76" i="1"/>
  <c r="AX72" i="1"/>
  <c r="BR72" i="1"/>
  <c r="DZ72" i="1" s="1"/>
  <c r="BR68" i="1"/>
  <c r="I68" i="24" s="1"/>
  <c r="AX68" i="1"/>
  <c r="BR64" i="1"/>
  <c r="DZ64" i="1" s="1"/>
  <c r="AX64" i="1"/>
  <c r="BR60" i="1"/>
  <c r="I59" i="24" s="1"/>
  <c r="AX60" i="1"/>
  <c r="BR56" i="1"/>
  <c r="I55" i="24" s="1"/>
  <c r="AX56" i="1"/>
  <c r="AX52" i="1"/>
  <c r="BR52" i="1"/>
  <c r="BS52" i="1" s="1"/>
  <c r="AX48" i="1"/>
  <c r="BR48" i="1"/>
  <c r="BS48" i="1" s="1"/>
  <c r="BR44" i="1"/>
  <c r="AX44" i="1"/>
  <c r="BR40" i="1"/>
  <c r="I39" i="24" s="1"/>
  <c r="AX40" i="1"/>
  <c r="BR36" i="1"/>
  <c r="DZ36" i="1" s="1"/>
  <c r="AX36" i="1"/>
  <c r="BR32" i="1"/>
  <c r="AX32" i="1"/>
  <c r="AX28" i="1"/>
  <c r="BR28" i="1"/>
  <c r="BR24" i="1"/>
  <c r="AX24" i="1"/>
  <c r="BR20" i="1"/>
  <c r="I19" i="24" s="1"/>
  <c r="AX20" i="1"/>
  <c r="AX16" i="1"/>
  <c r="BR16" i="1"/>
  <c r="I15" i="24" s="1"/>
  <c r="AX12" i="1"/>
  <c r="BR12" i="1"/>
  <c r="I11" i="24" s="1"/>
  <c r="BC373" i="1"/>
  <c r="BD9" i="1"/>
  <c r="BD15" i="1"/>
  <c r="BL373" i="1"/>
  <c r="BL368" i="1"/>
  <c r="BM9" i="1"/>
  <c r="BM15" i="1"/>
  <c r="BL371" i="1"/>
  <c r="AB373" i="1"/>
  <c r="AC9" i="1"/>
  <c r="CK189" i="1"/>
  <c r="CP189" i="1"/>
  <c r="CK38" i="1"/>
  <c r="CP38" i="1"/>
  <c r="CP46" i="1"/>
  <c r="CQ46" i="1" s="1"/>
  <c r="CK46" i="1"/>
  <c r="CK54" i="1"/>
  <c r="CP54" i="1"/>
  <c r="CK30" i="1"/>
  <c r="CP30" i="1"/>
  <c r="CQ30" i="1" s="1"/>
  <c r="CK33" i="1"/>
  <c r="CP33" i="1"/>
  <c r="CQ33" i="1" s="1"/>
  <c r="CP41" i="1"/>
  <c r="CQ41" i="1" s="1"/>
  <c r="CK41" i="1"/>
  <c r="CP49" i="1"/>
  <c r="CQ49" i="1" s="1"/>
  <c r="CK49" i="1"/>
  <c r="CK57" i="1"/>
  <c r="CP57" i="1"/>
  <c r="CQ57" i="1" s="1"/>
  <c r="CP62" i="1"/>
  <c r="CQ62" i="1" s="1"/>
  <c r="CK62" i="1"/>
  <c r="CP65" i="1"/>
  <c r="CQ65" i="1" s="1"/>
  <c r="CK65" i="1"/>
  <c r="CK68" i="1"/>
  <c r="CP68" i="1"/>
  <c r="CQ68" i="1" s="1"/>
  <c r="CP70" i="1"/>
  <c r="CK70" i="1"/>
  <c r="CP78" i="1"/>
  <c r="CQ78" i="1" s="1"/>
  <c r="CK78" i="1"/>
  <c r="CP84" i="1"/>
  <c r="CQ84" i="1" s="1"/>
  <c r="CK84" i="1"/>
  <c r="CK75" i="1"/>
  <c r="CP75" i="1"/>
  <c r="CQ75" i="1" s="1"/>
  <c r="CP85" i="1"/>
  <c r="CQ85" i="1" s="1"/>
  <c r="CK85" i="1"/>
  <c r="CP86" i="1"/>
  <c r="CK86" i="1"/>
  <c r="CK91" i="1"/>
  <c r="CP91" i="1"/>
  <c r="CQ91" i="1" s="1"/>
  <c r="CP94" i="1"/>
  <c r="CQ94" i="1" s="1"/>
  <c r="CK94" i="1"/>
  <c r="CP102" i="1"/>
  <c r="CK102" i="1"/>
  <c r="CK93" i="1"/>
  <c r="CP93" i="1"/>
  <c r="CP101" i="1"/>
  <c r="CQ101" i="1" s="1"/>
  <c r="CK101" i="1"/>
  <c r="CK109" i="1"/>
  <c r="CP109" i="1"/>
  <c r="CP110" i="1"/>
  <c r="CQ110" i="1" s="1"/>
  <c r="CK110" i="1"/>
  <c r="CK121" i="1"/>
  <c r="CP121" i="1"/>
  <c r="CQ121" i="1" s="1"/>
  <c r="CP122" i="1"/>
  <c r="CK122" i="1"/>
  <c r="CP129" i="1"/>
  <c r="CQ129" i="1" s="1"/>
  <c r="CK129" i="1"/>
  <c r="CP137" i="1"/>
  <c r="CQ137" i="1" s="1"/>
  <c r="CK137" i="1"/>
  <c r="CK140" i="1"/>
  <c r="CP140" i="1"/>
  <c r="CQ140" i="1" s="1"/>
  <c r="CP148" i="1"/>
  <c r="CQ148" i="1" s="1"/>
  <c r="CK148" i="1"/>
  <c r="CK156" i="1"/>
  <c r="CP156" i="1"/>
  <c r="CQ156" i="1" s="1"/>
  <c r="CP145" i="1"/>
  <c r="CQ145" i="1" s="1"/>
  <c r="CK145" i="1"/>
  <c r="CK153" i="1"/>
  <c r="CP153" i="1"/>
  <c r="CQ153" i="1" s="1"/>
  <c r="CK164" i="1"/>
  <c r="CP164" i="1"/>
  <c r="CQ164" i="1" s="1"/>
  <c r="CP167" i="1"/>
  <c r="CQ167" i="1" s="1"/>
  <c r="CK167" i="1"/>
  <c r="CP171" i="1"/>
  <c r="CQ171" i="1" s="1"/>
  <c r="CK171" i="1"/>
  <c r="CP159" i="1"/>
  <c r="CQ159" i="1" s="1"/>
  <c r="CK159" i="1"/>
  <c r="CP174" i="1"/>
  <c r="CQ174" i="1" s="1"/>
  <c r="CK174" i="1"/>
  <c r="CP181" i="1"/>
  <c r="CQ181" i="1" s="1"/>
  <c r="CK181" i="1"/>
  <c r="CP186" i="1"/>
  <c r="CK186" i="1"/>
  <c r="CP23" i="1"/>
  <c r="CQ23" i="1" s="1"/>
  <c r="CK23" i="1"/>
  <c r="CP20" i="1"/>
  <c r="CQ20" i="1" s="1"/>
  <c r="CK20" i="1"/>
  <c r="CP11" i="1"/>
  <c r="CQ11" i="1" s="1"/>
  <c r="CK11" i="1"/>
  <c r="CP190" i="1"/>
  <c r="CQ190" i="1" s="1"/>
  <c r="CK190" i="1"/>
  <c r="CK191" i="1"/>
  <c r="CP191" i="1"/>
  <c r="CQ191" i="1" s="1"/>
  <c r="CK192" i="1"/>
  <c r="CP192" i="1"/>
  <c r="CK193" i="1"/>
  <c r="CP193" i="1"/>
  <c r="CQ193" i="1" s="1"/>
  <c r="CP194" i="1"/>
  <c r="CK194" i="1"/>
  <c r="CP195" i="1"/>
  <c r="CQ195" i="1" s="1"/>
  <c r="CK195" i="1"/>
  <c r="CP196" i="1"/>
  <c r="CQ196" i="1" s="1"/>
  <c r="CK196" i="1"/>
  <c r="CP197" i="1"/>
  <c r="CQ197" i="1" s="1"/>
  <c r="CK197" i="1"/>
  <c r="CK198" i="1"/>
  <c r="CP198" i="1"/>
  <c r="CP199" i="1"/>
  <c r="CQ199" i="1" s="1"/>
  <c r="CK199" i="1"/>
  <c r="CK200" i="1"/>
  <c r="CP200" i="1"/>
  <c r="CQ200" i="1" s="1"/>
  <c r="CK201" i="1"/>
  <c r="CP201" i="1"/>
  <c r="CQ201" i="1" s="1"/>
  <c r="CK202" i="1"/>
  <c r="CP202" i="1"/>
  <c r="CP203" i="1"/>
  <c r="CQ203" i="1" s="1"/>
  <c r="CK203" i="1"/>
  <c r="CK204" i="1"/>
  <c r="CP204" i="1"/>
  <c r="CQ204" i="1" s="1"/>
  <c r="CK205" i="1"/>
  <c r="CP205" i="1"/>
  <c r="CP206" i="1"/>
  <c r="CQ206" i="1" s="1"/>
  <c r="CK206" i="1"/>
  <c r="CK207" i="1"/>
  <c r="CP207" i="1"/>
  <c r="CQ207" i="1" s="1"/>
  <c r="CK208" i="1"/>
  <c r="CP208" i="1"/>
  <c r="CP209" i="1"/>
  <c r="CQ209" i="1" s="1"/>
  <c r="CK209" i="1"/>
  <c r="CP210" i="1"/>
  <c r="CK210" i="1"/>
  <c r="CP211" i="1"/>
  <c r="CQ211" i="1" s="1"/>
  <c r="CK211" i="1"/>
  <c r="CP212" i="1"/>
  <c r="CQ212" i="1" s="1"/>
  <c r="CK212" i="1"/>
  <c r="CK213" i="1"/>
  <c r="CP213" i="1"/>
  <c r="CQ213" i="1" s="1"/>
  <c r="CK214" i="1"/>
  <c r="CP214" i="1"/>
  <c r="CK215" i="1"/>
  <c r="CP215" i="1"/>
  <c r="CQ215" i="1" s="1"/>
  <c r="CK216" i="1"/>
  <c r="CP216" i="1"/>
  <c r="CQ216" i="1" s="1"/>
  <c r="CP217" i="1"/>
  <c r="CQ217" i="1" s="1"/>
  <c r="CK217" i="1"/>
  <c r="CP218" i="1"/>
  <c r="CK218" i="1"/>
  <c r="CP219" i="1"/>
  <c r="CQ219" i="1" s="1"/>
  <c r="CK219" i="1"/>
  <c r="CP220" i="1"/>
  <c r="CQ220" i="1" s="1"/>
  <c r="CK220" i="1"/>
  <c r="CP221" i="1"/>
  <c r="CK221" i="1"/>
  <c r="CK239" i="1"/>
  <c r="CP239" i="1"/>
  <c r="CQ239" i="1" s="1"/>
  <c r="CP240" i="1"/>
  <c r="CK240" i="1"/>
  <c r="CP241" i="1"/>
  <c r="CQ241" i="1" s="1"/>
  <c r="CK241" i="1"/>
  <c r="CP242" i="1"/>
  <c r="CK242" i="1"/>
  <c r="CP243" i="1"/>
  <c r="CQ243" i="1" s="1"/>
  <c r="CK243" i="1"/>
  <c r="CP244" i="1"/>
  <c r="CQ244" i="1" s="1"/>
  <c r="CK244" i="1"/>
  <c r="CP245" i="1"/>
  <c r="CQ245" i="1" s="1"/>
  <c r="CK245" i="1"/>
  <c r="CP246" i="1"/>
  <c r="CK246" i="1"/>
  <c r="CK247" i="1"/>
  <c r="CP247" i="1"/>
  <c r="CQ247" i="1" s="1"/>
  <c r="CP248" i="1"/>
  <c r="CQ248" i="1" s="1"/>
  <c r="CK248" i="1"/>
  <c r="CK249" i="1"/>
  <c r="CP249" i="1"/>
  <c r="CQ249" i="1" s="1"/>
  <c r="CP250" i="1"/>
  <c r="CK250" i="1"/>
  <c r="CK251" i="1"/>
  <c r="CP251" i="1"/>
  <c r="CQ251" i="1" s="1"/>
  <c r="CP252" i="1"/>
  <c r="CQ252" i="1" s="1"/>
  <c r="CK252" i="1"/>
  <c r="CK253" i="1"/>
  <c r="CP253" i="1"/>
  <c r="CP254" i="1"/>
  <c r="CQ254" i="1" s="1"/>
  <c r="CK254" i="1"/>
  <c r="CP255" i="1"/>
  <c r="CQ255" i="1" s="1"/>
  <c r="CK255" i="1"/>
  <c r="CP256" i="1"/>
  <c r="CK256" i="1"/>
  <c r="CP257" i="1"/>
  <c r="CQ257" i="1" s="1"/>
  <c r="CK257" i="1"/>
  <c r="CK258" i="1"/>
  <c r="CP258" i="1"/>
  <c r="CP259" i="1"/>
  <c r="CQ259" i="1" s="1"/>
  <c r="CK259" i="1"/>
  <c r="CP260" i="1"/>
  <c r="CQ260" i="1" s="1"/>
  <c r="CK260" i="1"/>
  <c r="CK261" i="1"/>
  <c r="CP261" i="1"/>
  <c r="CQ261" i="1" s="1"/>
  <c r="CP262" i="1"/>
  <c r="CK262" i="1"/>
  <c r="CP263" i="1"/>
  <c r="CQ263" i="1" s="1"/>
  <c r="CK263" i="1"/>
  <c r="CP264" i="1"/>
  <c r="CQ264" i="1" s="1"/>
  <c r="CK264" i="1"/>
  <c r="CK265" i="1"/>
  <c r="CP265" i="1"/>
  <c r="CQ265" i="1" s="1"/>
  <c r="CP266" i="1"/>
  <c r="CK266" i="1"/>
  <c r="CP267" i="1"/>
  <c r="CQ267" i="1" s="1"/>
  <c r="CK267" i="1"/>
  <c r="CP268" i="1"/>
  <c r="CQ268" i="1" s="1"/>
  <c r="CK268" i="1"/>
  <c r="CP269" i="1"/>
  <c r="CK269" i="1"/>
  <c r="CP270" i="1"/>
  <c r="CQ270" i="1" s="1"/>
  <c r="CK270" i="1"/>
  <c r="CP271" i="1"/>
  <c r="CQ271" i="1" s="1"/>
  <c r="CK271" i="1"/>
  <c r="CK272" i="1"/>
  <c r="CP272" i="1"/>
  <c r="CP273" i="1"/>
  <c r="CQ273" i="1" s="1"/>
  <c r="CK273" i="1"/>
  <c r="CP274" i="1"/>
  <c r="CK274" i="1"/>
  <c r="CK275" i="1"/>
  <c r="CP275" i="1"/>
  <c r="CQ275" i="1" s="1"/>
  <c r="CK276" i="1"/>
  <c r="CP276" i="1"/>
  <c r="CQ276" i="1" s="1"/>
  <c r="CP277" i="1"/>
  <c r="CQ277" i="1" s="1"/>
  <c r="CK277" i="1"/>
  <c r="CK278" i="1"/>
  <c r="CP278" i="1"/>
  <c r="CK279" i="1"/>
  <c r="CP279" i="1"/>
  <c r="CQ279" i="1" s="1"/>
  <c r="CP280" i="1"/>
  <c r="CQ280" i="1" s="1"/>
  <c r="CK280" i="1"/>
  <c r="CP281" i="1"/>
  <c r="CQ281" i="1" s="1"/>
  <c r="CK281" i="1"/>
  <c r="CP282" i="1"/>
  <c r="CK282" i="1"/>
  <c r="CP283" i="1"/>
  <c r="CQ283" i="1" s="1"/>
  <c r="CK283" i="1"/>
  <c r="CP284" i="1"/>
  <c r="CQ284" i="1" s="1"/>
  <c r="CK284" i="1"/>
  <c r="CK285" i="1"/>
  <c r="CP285" i="1"/>
  <c r="CK286" i="1"/>
  <c r="CP286" i="1"/>
  <c r="CQ286" i="1" s="1"/>
  <c r="CP287" i="1"/>
  <c r="CQ287" i="1" s="1"/>
  <c r="CK287" i="1"/>
  <c r="CP288" i="1"/>
  <c r="CK288" i="1"/>
  <c r="CK289" i="1"/>
  <c r="CP289" i="1"/>
  <c r="CK290" i="1"/>
  <c r="CP290" i="1"/>
  <c r="CP291" i="1"/>
  <c r="CQ291" i="1" s="1"/>
  <c r="CK291" i="1"/>
  <c r="CK292" i="1"/>
  <c r="CP292" i="1"/>
  <c r="CQ292" i="1" s="1"/>
  <c r="CP293" i="1"/>
  <c r="CQ293" i="1" s="1"/>
  <c r="CK293" i="1"/>
  <c r="CP294" i="1"/>
  <c r="CK294" i="1"/>
  <c r="CP295" i="1"/>
  <c r="CQ295" i="1" s="1"/>
  <c r="CK295" i="1"/>
  <c r="CK296" i="1"/>
  <c r="CP296" i="1"/>
  <c r="CQ296" i="1" s="1"/>
  <c r="CK297" i="1"/>
  <c r="CP297" i="1"/>
  <c r="CQ297" i="1" s="1"/>
  <c r="CK298" i="1"/>
  <c r="CP298" i="1"/>
  <c r="CP299" i="1"/>
  <c r="CQ299" i="1" s="1"/>
  <c r="CK299" i="1"/>
  <c r="CP300" i="1"/>
  <c r="CQ300" i="1" s="1"/>
  <c r="CK300" i="1"/>
  <c r="CK301" i="1"/>
  <c r="CP301" i="1"/>
  <c r="CQ301" i="1" s="1"/>
  <c r="CP302" i="1"/>
  <c r="CQ302" i="1" s="1"/>
  <c r="CK302" i="1"/>
  <c r="CP303" i="1"/>
  <c r="CQ303" i="1" s="1"/>
  <c r="CK303" i="1"/>
  <c r="CP304" i="1"/>
  <c r="CK304" i="1"/>
  <c r="CP305" i="1"/>
  <c r="CK305" i="1"/>
  <c r="CP306" i="1"/>
  <c r="CK306" i="1"/>
  <c r="CK307" i="1"/>
  <c r="CP307" i="1"/>
  <c r="CQ307" i="1" s="1"/>
  <c r="CP308" i="1"/>
  <c r="CQ308" i="1" s="1"/>
  <c r="CK308" i="1"/>
  <c r="CP309" i="1"/>
  <c r="CQ309" i="1" s="1"/>
  <c r="CK309" i="1"/>
  <c r="CP310" i="1"/>
  <c r="CK310" i="1"/>
  <c r="CK311" i="1"/>
  <c r="CP311" i="1"/>
  <c r="CQ311" i="1" s="1"/>
  <c r="CP312" i="1"/>
  <c r="CQ312" i="1" s="1"/>
  <c r="CK312" i="1"/>
  <c r="CP329" i="1"/>
  <c r="CQ329" i="1" s="1"/>
  <c r="CK329" i="1"/>
  <c r="CP330" i="1"/>
  <c r="CK330" i="1"/>
  <c r="CP331" i="1"/>
  <c r="CQ331" i="1" s="1"/>
  <c r="CK331" i="1"/>
  <c r="CP332" i="1"/>
  <c r="CQ332" i="1" s="1"/>
  <c r="CK332" i="1"/>
  <c r="CK333" i="1"/>
  <c r="CP333" i="1"/>
  <c r="CQ333" i="1" s="1"/>
  <c r="CP334" i="1"/>
  <c r="CQ334" i="1" s="1"/>
  <c r="CK334" i="1"/>
  <c r="CP335" i="1"/>
  <c r="CQ335" i="1" s="1"/>
  <c r="CK335" i="1"/>
  <c r="CP336" i="1"/>
  <c r="CK336" i="1"/>
  <c r="CP337" i="1"/>
  <c r="CK337" i="1"/>
  <c r="CP338" i="1"/>
  <c r="CK338" i="1"/>
  <c r="CP339" i="1"/>
  <c r="CQ339" i="1" s="1"/>
  <c r="CK339" i="1"/>
  <c r="CK340" i="1"/>
  <c r="CP340" i="1"/>
  <c r="CQ340" i="1" s="1"/>
  <c r="CP341" i="1"/>
  <c r="CQ341" i="1" s="1"/>
  <c r="CK341" i="1"/>
  <c r="CP342" i="1"/>
  <c r="CK342" i="1"/>
  <c r="CP343" i="1"/>
  <c r="CQ343" i="1" s="1"/>
  <c r="CK343" i="1"/>
  <c r="CP344" i="1"/>
  <c r="CQ344" i="1" s="1"/>
  <c r="CK344" i="1"/>
  <c r="CP345" i="1"/>
  <c r="CQ345" i="1" s="1"/>
  <c r="CK345" i="1"/>
  <c r="CP346" i="1"/>
  <c r="CK346" i="1"/>
  <c r="CP347" i="1"/>
  <c r="CQ347" i="1" s="1"/>
  <c r="CK347" i="1"/>
  <c r="CP348" i="1"/>
  <c r="CQ348" i="1" s="1"/>
  <c r="CK348" i="1"/>
  <c r="CK349" i="1"/>
  <c r="CP349" i="1"/>
  <c r="CQ349" i="1" s="1"/>
  <c r="CP350" i="1"/>
  <c r="CQ350" i="1" s="1"/>
  <c r="CK350" i="1"/>
  <c r="CP351" i="1"/>
  <c r="CQ351" i="1" s="1"/>
  <c r="CK351" i="1"/>
  <c r="CP352" i="1"/>
  <c r="CK352" i="1"/>
  <c r="CP353" i="1"/>
  <c r="CK353" i="1"/>
  <c r="CP354" i="1"/>
  <c r="CQ354" i="1" s="1"/>
  <c r="CK354" i="1"/>
  <c r="CP355" i="1"/>
  <c r="CQ355" i="1" s="1"/>
  <c r="CK355" i="1"/>
  <c r="CP356" i="1"/>
  <c r="CQ356" i="1" s="1"/>
  <c r="CK356" i="1"/>
  <c r="CP357" i="1"/>
  <c r="CQ357" i="1" s="1"/>
  <c r="CK357" i="1"/>
  <c r="CP358" i="1"/>
  <c r="CK358" i="1"/>
  <c r="CP359" i="1"/>
  <c r="CQ359" i="1" s="1"/>
  <c r="CK359" i="1"/>
  <c r="CK360" i="1"/>
  <c r="CP360" i="1"/>
  <c r="CQ360" i="1" s="1"/>
  <c r="CP361" i="1"/>
  <c r="CQ361" i="1" s="1"/>
  <c r="CK361" i="1"/>
  <c r="CP362" i="1"/>
  <c r="CK362" i="1"/>
  <c r="CK363" i="1"/>
  <c r="CP363" i="1"/>
  <c r="CQ363" i="1" s="1"/>
  <c r="CK367" i="1"/>
  <c r="CP367" i="1"/>
  <c r="CQ367" i="1" s="1"/>
  <c r="AB371" i="1"/>
  <c r="AC15" i="1"/>
  <c r="S371" i="1"/>
  <c r="T15" i="1"/>
  <c r="T9" i="1"/>
  <c r="AU366" i="1"/>
  <c r="DZ366" i="1"/>
  <c r="AU358" i="1"/>
  <c r="I365" i="24"/>
  <c r="DZ358" i="1"/>
  <c r="AU350" i="1"/>
  <c r="I357" i="24"/>
  <c r="AU342" i="1"/>
  <c r="DZ342" i="1"/>
  <c r="AU318" i="1"/>
  <c r="I325" i="24"/>
  <c r="DZ318" i="1"/>
  <c r="AU310" i="1"/>
  <c r="I317" i="24"/>
  <c r="AU303" i="1"/>
  <c r="AU295" i="1"/>
  <c r="AU287" i="1"/>
  <c r="AU279" i="1"/>
  <c r="AU272" i="1"/>
  <c r="AU261" i="1"/>
  <c r="DZ261" i="1"/>
  <c r="AU253" i="1"/>
  <c r="AU245" i="1"/>
  <c r="AU186" i="1"/>
  <c r="AU336" i="1"/>
  <c r="AU328" i="1"/>
  <c r="AU230" i="1"/>
  <c r="DZ230" i="1"/>
  <c r="AU223" i="1"/>
  <c r="AU215" i="1"/>
  <c r="AU206" i="1"/>
  <c r="DZ206" i="1"/>
  <c r="AU195" i="1"/>
  <c r="AU148" i="1"/>
  <c r="AU132" i="1"/>
  <c r="AU116" i="1"/>
  <c r="AU89" i="1"/>
  <c r="AU52" i="1"/>
  <c r="AU44" i="1"/>
  <c r="AU36" i="1"/>
  <c r="AU20" i="1"/>
  <c r="AU237" i="1"/>
  <c r="AU172" i="1"/>
  <c r="AU164" i="1"/>
  <c r="AU156" i="1"/>
  <c r="AU68" i="1"/>
  <c r="AU59" i="1"/>
  <c r="AU335" i="1"/>
  <c r="AU19" i="1"/>
  <c r="AU35" i="1"/>
  <c r="AU51" i="1"/>
  <c r="AU60" i="1"/>
  <c r="AU67" i="1"/>
  <c r="AU78" i="1"/>
  <c r="AU84" i="1"/>
  <c r="AU92" i="1"/>
  <c r="AU100" i="1"/>
  <c r="AU108" i="1"/>
  <c r="AU115" i="1"/>
  <c r="AU123" i="1"/>
  <c r="AU130" i="1"/>
  <c r="AU141" i="1"/>
  <c r="AU151" i="1"/>
  <c r="AU159" i="1"/>
  <c r="AU167" i="1"/>
  <c r="AU175" i="1"/>
  <c r="AU184" i="1"/>
  <c r="AU197" i="1"/>
  <c r="AU216" i="1"/>
  <c r="AU234" i="1"/>
  <c r="AU250" i="1"/>
  <c r="AU268" i="1"/>
  <c r="AU284" i="1"/>
  <c r="AU300" i="1"/>
  <c r="AU319" i="1"/>
  <c r="AU343" i="1"/>
  <c r="I350" i="24"/>
  <c r="DZ343" i="1"/>
  <c r="AU359" i="1"/>
  <c r="AU361" i="1"/>
  <c r="AU341" i="1"/>
  <c r="AU325" i="1"/>
  <c r="AU309" i="1"/>
  <c r="AU294" i="1"/>
  <c r="DZ294" i="1"/>
  <c r="AU277" i="1"/>
  <c r="AU256" i="1"/>
  <c r="AU226" i="1"/>
  <c r="AU211" i="1"/>
  <c r="AU196" i="1"/>
  <c r="AU178" i="1"/>
  <c r="AU134" i="1"/>
  <c r="AU118" i="1"/>
  <c r="AU97" i="1"/>
  <c r="AU83" i="1"/>
  <c r="AU41" i="1"/>
  <c r="AU12" i="1"/>
  <c r="I371" i="1"/>
  <c r="AG15" i="1"/>
  <c r="L371" i="1"/>
  <c r="O372" i="1"/>
  <c r="U373" i="1"/>
  <c r="M14" i="3" s="1"/>
  <c r="U368" i="1"/>
  <c r="C14" i="3" s="1"/>
  <c r="X371" i="1"/>
  <c r="AD371" i="1"/>
  <c r="AJ372" i="1"/>
  <c r="AP373" i="1"/>
  <c r="M20" i="3" s="1"/>
  <c r="AP364" i="1"/>
  <c r="AP372" i="1" s="1"/>
  <c r="EC365" i="1"/>
  <c r="F367" i="4"/>
  <c r="H367" i="4" s="1"/>
  <c r="EC361" i="1"/>
  <c r="F363" i="4"/>
  <c r="H363" i="4" s="1"/>
  <c r="F359" i="4"/>
  <c r="H359" i="4" s="1"/>
  <c r="EC357" i="1"/>
  <c r="DY357" i="1"/>
  <c r="F355" i="4"/>
  <c r="H355" i="4" s="1"/>
  <c r="EC353" i="1"/>
  <c r="EC349" i="1"/>
  <c r="F351" i="4"/>
  <c r="H351" i="4" s="1"/>
  <c r="EC345" i="1"/>
  <c r="F347" i="4"/>
  <c r="H347" i="4" s="1"/>
  <c r="F338" i="4"/>
  <c r="H338" i="4" s="1"/>
  <c r="EC336" i="1"/>
  <c r="DY336" i="1"/>
  <c r="EC332" i="1"/>
  <c r="F334" i="4"/>
  <c r="H334" i="4" s="1"/>
  <c r="EC328" i="1"/>
  <c r="F330" i="4"/>
  <c r="H330" i="4" s="1"/>
  <c r="DY328" i="1"/>
  <c r="F326" i="4"/>
  <c r="H326" i="4" s="1"/>
  <c r="EC324" i="1"/>
  <c r="DY324" i="1"/>
  <c r="EC320" i="1"/>
  <c r="F322" i="4"/>
  <c r="H322" i="4" s="1"/>
  <c r="EC316" i="1"/>
  <c r="F318" i="4"/>
  <c r="H318" i="4" s="1"/>
  <c r="EC312" i="1"/>
  <c r="F314" i="4"/>
  <c r="H314" i="4" s="1"/>
  <c r="H319" i="24"/>
  <c r="F310" i="4"/>
  <c r="H310" i="4" s="1"/>
  <c r="EC308" i="1"/>
  <c r="H315" i="24"/>
  <c r="DY308" i="1"/>
  <c r="EC304" i="1"/>
  <c r="F306" i="4"/>
  <c r="H306" i="4" s="1"/>
  <c r="EC300" i="1"/>
  <c r="F302" i="4"/>
  <c r="H302" i="4" s="1"/>
  <c r="EC296" i="1"/>
  <c r="F298" i="4"/>
  <c r="H298" i="4" s="1"/>
  <c r="F294" i="4"/>
  <c r="H294" i="4" s="1"/>
  <c r="EC292" i="1"/>
  <c r="DY292" i="1"/>
  <c r="F290" i="4"/>
  <c r="H290" i="4" s="1"/>
  <c r="EC288" i="1"/>
  <c r="F286" i="4"/>
  <c r="H286" i="4" s="1"/>
  <c r="EC284" i="1"/>
  <c r="F280" i="4"/>
  <c r="H280" i="4" s="1"/>
  <c r="EC278" i="1"/>
  <c r="F276" i="4"/>
  <c r="H276" i="4" s="1"/>
  <c r="EC274" i="1"/>
  <c r="H279" i="24"/>
  <c r="F272" i="4"/>
  <c r="H272" i="4" s="1"/>
  <c r="EC270" i="1"/>
  <c r="F268" i="4"/>
  <c r="H268" i="4" s="1"/>
  <c r="EC266" i="1"/>
  <c r="EC262" i="1"/>
  <c r="F264" i="4"/>
  <c r="H264" i="4" s="1"/>
  <c r="EC258" i="1"/>
  <c r="F260" i="4"/>
  <c r="H260" i="4" s="1"/>
  <c r="DY258" i="1"/>
  <c r="H262" i="24"/>
  <c r="F256" i="4"/>
  <c r="H256" i="4" s="1"/>
  <c r="EC254" i="1"/>
  <c r="F252" i="4"/>
  <c r="H252" i="4" s="1"/>
  <c r="EC250" i="1"/>
  <c r="EC246" i="1"/>
  <c r="F248" i="4"/>
  <c r="H248" i="4" s="1"/>
  <c r="EC242" i="1"/>
  <c r="F244" i="4"/>
  <c r="H244" i="4" s="1"/>
  <c r="DY242" i="1"/>
  <c r="F240" i="4"/>
  <c r="H240" i="4" s="1"/>
  <c r="EC238" i="1"/>
  <c r="EC234" i="1"/>
  <c r="F236" i="4"/>
  <c r="H236" i="4" s="1"/>
  <c r="F232" i="4"/>
  <c r="H232" i="4" s="1"/>
  <c r="EC230" i="1"/>
  <c r="F228" i="4"/>
  <c r="H228" i="4" s="1"/>
  <c r="EC226" i="1"/>
  <c r="DY226" i="1"/>
  <c r="F224" i="4"/>
  <c r="H224" i="4" s="1"/>
  <c r="EC222" i="1"/>
  <c r="F220" i="4"/>
  <c r="H220" i="4" s="1"/>
  <c r="EC218" i="1"/>
  <c r="F216" i="4"/>
  <c r="H216" i="4" s="1"/>
  <c r="EC214" i="1"/>
  <c r="F212" i="4"/>
  <c r="H212" i="4" s="1"/>
  <c r="EC210" i="1"/>
  <c r="DY210" i="1"/>
  <c r="F208" i="4"/>
  <c r="H208" i="4" s="1"/>
  <c r="EC206" i="1"/>
  <c r="F204" i="4"/>
  <c r="H204" i="4" s="1"/>
  <c r="EC202" i="1"/>
  <c r="F200" i="4"/>
  <c r="H200" i="4" s="1"/>
  <c r="EC198" i="1"/>
  <c r="F196" i="4"/>
  <c r="H196" i="4" s="1"/>
  <c r="EC194" i="1"/>
  <c r="DY194" i="1"/>
  <c r="H197" i="24"/>
  <c r="F192" i="4"/>
  <c r="H192" i="4" s="1"/>
  <c r="EC190" i="1"/>
  <c r="F188" i="4"/>
  <c r="H188" i="4" s="1"/>
  <c r="EC186" i="1"/>
  <c r="F181" i="4"/>
  <c r="H181" i="4" s="1"/>
  <c r="EC179" i="1"/>
  <c r="F177" i="4"/>
  <c r="H177" i="4" s="1"/>
  <c r="EC175" i="1"/>
  <c r="F173" i="4"/>
  <c r="H173" i="4" s="1"/>
  <c r="EC171" i="1"/>
  <c r="DY171" i="1"/>
  <c r="F169" i="4"/>
  <c r="H169" i="4" s="1"/>
  <c r="EC167" i="1"/>
  <c r="F163" i="4"/>
  <c r="H163" i="4" s="1"/>
  <c r="EC161" i="1"/>
  <c r="EC157" i="1"/>
  <c r="F159" i="4"/>
  <c r="H159" i="4" s="1"/>
  <c r="F155" i="4"/>
  <c r="H155" i="4" s="1"/>
  <c r="EC153" i="1"/>
  <c r="F151" i="4"/>
  <c r="H151" i="4" s="1"/>
  <c r="EC149" i="1"/>
  <c r="DY149" i="1"/>
  <c r="F147" i="4"/>
  <c r="H147" i="4" s="1"/>
  <c r="EC145" i="1"/>
  <c r="EC141" i="1"/>
  <c r="F143" i="4"/>
  <c r="H143" i="4" s="1"/>
  <c r="F139" i="4"/>
  <c r="H139" i="4" s="1"/>
  <c r="EC137" i="1"/>
  <c r="F135" i="4"/>
  <c r="H135" i="4" s="1"/>
  <c r="EC133" i="1"/>
  <c r="H136" i="24"/>
  <c r="DY133" i="1"/>
  <c r="F130" i="4"/>
  <c r="H130" i="4" s="1"/>
  <c r="EC128" i="1"/>
  <c r="EC124" i="1"/>
  <c r="F126" i="4"/>
  <c r="H126" i="4" s="1"/>
  <c r="EC120" i="1"/>
  <c r="F122" i="4"/>
  <c r="H122" i="4" s="1"/>
  <c r="F118" i="4"/>
  <c r="H118" i="4" s="1"/>
  <c r="EC116" i="1"/>
  <c r="H117" i="24"/>
  <c r="DY116" i="1"/>
  <c r="F114" i="4"/>
  <c r="H114" i="4" s="1"/>
  <c r="EC112" i="1"/>
  <c r="H113" i="24"/>
  <c r="F110" i="4"/>
  <c r="H110" i="4" s="1"/>
  <c r="EC108" i="1"/>
  <c r="EC104" i="1"/>
  <c r="F106" i="4"/>
  <c r="H106" i="4" s="1"/>
  <c r="F102" i="4"/>
  <c r="H102" i="4" s="1"/>
  <c r="EC100" i="1"/>
  <c r="H101" i="24"/>
  <c r="F98" i="4"/>
  <c r="H98" i="4" s="1"/>
  <c r="EC96" i="1"/>
  <c r="F94" i="4"/>
  <c r="H94" i="4" s="1"/>
  <c r="EC92" i="1"/>
  <c r="EC88" i="1"/>
  <c r="F90" i="4"/>
  <c r="H90" i="4" s="1"/>
  <c r="F83" i="4"/>
  <c r="H83" i="4" s="1"/>
  <c r="EC81" i="1"/>
  <c r="F78" i="4"/>
  <c r="H78" i="4" s="1"/>
  <c r="EC76" i="1"/>
  <c r="F74" i="4"/>
  <c r="H74" i="4" s="1"/>
  <c r="EC72" i="1"/>
  <c r="F69" i="4"/>
  <c r="H69" i="4" s="1"/>
  <c r="EC67" i="1"/>
  <c r="EC63" i="1"/>
  <c r="F65" i="4"/>
  <c r="H65" i="4" s="1"/>
  <c r="EC59" i="1"/>
  <c r="F61" i="4"/>
  <c r="H61" i="4" s="1"/>
  <c r="H58" i="24"/>
  <c r="DY59" i="1"/>
  <c r="F57" i="4"/>
  <c r="H57" i="4" s="1"/>
  <c r="EC55" i="1"/>
  <c r="DY55" i="1"/>
  <c r="F53" i="4"/>
  <c r="H53" i="4" s="1"/>
  <c r="EC51" i="1"/>
  <c r="EC47" i="1"/>
  <c r="F49" i="4"/>
  <c r="H49" i="4" s="1"/>
  <c r="EC38" i="1"/>
  <c r="F40" i="4"/>
  <c r="H40" i="4" s="1"/>
  <c r="F36" i="4"/>
  <c r="H36" i="4" s="1"/>
  <c r="EC34" i="1"/>
  <c r="H33" i="24"/>
  <c r="F32" i="4"/>
  <c r="H32" i="4" s="1"/>
  <c r="EC30" i="1"/>
  <c r="EC25" i="1"/>
  <c r="F27" i="4"/>
  <c r="H27" i="4" s="1"/>
  <c r="EC20" i="1"/>
  <c r="F22" i="4"/>
  <c r="H22" i="4" s="1"/>
  <c r="H19" i="24"/>
  <c r="F18" i="4"/>
  <c r="H18" i="4" s="1"/>
  <c r="EC16" i="1"/>
  <c r="EC10" i="1"/>
  <c r="F12" i="4"/>
  <c r="AS372" i="1"/>
  <c r="H364" i="24"/>
  <c r="H348" i="24"/>
  <c r="DY341" i="1"/>
  <c r="H332" i="24"/>
  <c r="H316" i="24"/>
  <c r="H300" i="24"/>
  <c r="DY261" i="1"/>
  <c r="H261" i="24"/>
  <c r="DY245" i="1"/>
  <c r="H233" i="24"/>
  <c r="H201" i="24"/>
  <c r="H184" i="24"/>
  <c r="DY181" i="1"/>
  <c r="H152" i="24"/>
  <c r="H118" i="24"/>
  <c r="H102" i="24"/>
  <c r="DY85" i="1"/>
  <c r="H86" i="24"/>
  <c r="DY65" i="1"/>
  <c r="DY49" i="1"/>
  <c r="DY29" i="1"/>
  <c r="H16" i="24"/>
  <c r="AY373" i="1"/>
  <c r="M25" i="3" s="1"/>
  <c r="AY368" i="1"/>
  <c r="C25" i="3" s="1"/>
  <c r="BB371" i="1"/>
  <c r="BE372" i="1"/>
  <c r="BK373" i="1"/>
  <c r="M29" i="3" s="1"/>
  <c r="BK368" i="1"/>
  <c r="C29" i="3" s="1"/>
  <c r="BN371" i="1"/>
  <c r="BT367" i="1"/>
  <c r="BV367" i="1" s="1"/>
  <c r="BT363" i="1"/>
  <c r="BV363" i="1" s="1"/>
  <c r="BT359" i="1"/>
  <c r="BV359" i="1" s="1"/>
  <c r="BT355" i="1"/>
  <c r="BV355" i="1" s="1"/>
  <c r="BZ366" i="1"/>
  <c r="CB366" i="1" s="1"/>
  <c r="BZ362" i="1"/>
  <c r="CB362" i="1" s="1"/>
  <c r="BZ358" i="1"/>
  <c r="CB358" i="1" s="1"/>
  <c r="BZ354" i="1"/>
  <c r="CB354" i="1" s="1"/>
  <c r="BZ371" i="1"/>
  <c r="CB15" i="1"/>
  <c r="CB371" i="1" s="1"/>
  <c r="CC373" i="1"/>
  <c r="M35" i="3" s="1"/>
  <c r="CC368" i="1"/>
  <c r="C35" i="3" s="1"/>
  <c r="CF371" i="1"/>
  <c r="CI372" i="1"/>
  <c r="CO10" i="1"/>
  <c r="AA371" i="1"/>
  <c r="AU252" i="1"/>
  <c r="AU236" i="1"/>
  <c r="AU205" i="1"/>
  <c r="AW372" i="1"/>
  <c r="AX10" i="1"/>
  <c r="BR10" i="1"/>
  <c r="DZ10" i="1" s="1"/>
  <c r="AX364" i="1"/>
  <c r="BR364" i="1"/>
  <c r="BR360" i="1"/>
  <c r="AX360" i="1"/>
  <c r="AX356" i="1"/>
  <c r="BR356" i="1"/>
  <c r="I363" i="24" s="1"/>
  <c r="AX352" i="1"/>
  <c r="BR352" i="1"/>
  <c r="BS352" i="1" s="1"/>
  <c r="BR348" i="1"/>
  <c r="AX348" i="1"/>
  <c r="BR344" i="1"/>
  <c r="AX344" i="1"/>
  <c r="BR340" i="1"/>
  <c r="DZ340" i="1" s="1"/>
  <c r="AX340" i="1"/>
  <c r="AX336" i="1"/>
  <c r="BR336" i="1"/>
  <c r="I343" i="24" s="1"/>
  <c r="BR332" i="1"/>
  <c r="DZ332" i="1" s="1"/>
  <c r="AX332" i="1"/>
  <c r="AX328" i="1"/>
  <c r="BR328" i="1"/>
  <c r="BR324" i="1"/>
  <c r="BS324" i="1" s="1"/>
  <c r="AX324" i="1"/>
  <c r="BR320" i="1"/>
  <c r="AX320" i="1"/>
  <c r="BR316" i="1"/>
  <c r="I323" i="24" s="1"/>
  <c r="AX316" i="1"/>
  <c r="BR312" i="1"/>
  <c r="AX312" i="1"/>
  <c r="AX308" i="1"/>
  <c r="BR308" i="1"/>
  <c r="DZ308" i="1" s="1"/>
  <c r="BR304" i="1"/>
  <c r="AX304" i="1"/>
  <c r="BR300" i="1"/>
  <c r="AX300" i="1"/>
  <c r="BR296" i="1"/>
  <c r="AX296" i="1"/>
  <c r="BR292" i="1"/>
  <c r="I299" i="24" s="1"/>
  <c r="AX292" i="1"/>
  <c r="AX288" i="1"/>
  <c r="BR288" i="1"/>
  <c r="DZ288" i="1" s="1"/>
  <c r="BR284" i="1"/>
  <c r="AX284" i="1"/>
  <c r="AX280" i="1"/>
  <c r="BR280" i="1"/>
  <c r="DZ280" i="1" s="1"/>
  <c r="AX276" i="1"/>
  <c r="BR276" i="1"/>
  <c r="I281" i="24" s="1"/>
  <c r="AX272" i="1"/>
  <c r="BR272" i="1"/>
  <c r="DZ272" i="1" s="1"/>
  <c r="AX268" i="1"/>
  <c r="BR268" i="1"/>
  <c r="AX264" i="1"/>
  <c r="BR264" i="1"/>
  <c r="BR260" i="1"/>
  <c r="BS260" i="1" s="1"/>
  <c r="AX260" i="1"/>
  <c r="BR256" i="1"/>
  <c r="BS256" i="1" s="1"/>
  <c r="AX256" i="1"/>
  <c r="BR252" i="1"/>
  <c r="AX252" i="1"/>
  <c r="BR248" i="1"/>
  <c r="I252" i="24" s="1"/>
  <c r="AX248" i="1"/>
  <c r="BR244" i="1"/>
  <c r="I248" i="24" s="1"/>
  <c r="AX244" i="1"/>
  <c r="BR240" i="1"/>
  <c r="BS240" i="1" s="1"/>
  <c r="AX240" i="1"/>
  <c r="BR236" i="1"/>
  <c r="I240" i="24" s="1"/>
  <c r="AX236" i="1"/>
  <c r="AX232" i="1"/>
  <c r="BR232" i="1"/>
  <c r="BR228" i="1"/>
  <c r="I232" i="24" s="1"/>
  <c r="AX228" i="1"/>
  <c r="BR224" i="1"/>
  <c r="I228" i="24" s="1"/>
  <c r="AX224" i="1"/>
  <c r="BR220" i="1"/>
  <c r="I224" i="24" s="1"/>
  <c r="AX220" i="1"/>
  <c r="AX216" i="1"/>
  <c r="BR216" i="1"/>
  <c r="BR212" i="1"/>
  <c r="I216" i="24" s="1"/>
  <c r="AX212" i="1"/>
  <c r="BR208" i="1"/>
  <c r="AX208" i="1"/>
  <c r="BR204" i="1"/>
  <c r="I208" i="24" s="1"/>
  <c r="AX204" i="1"/>
  <c r="AX200" i="1"/>
  <c r="BR200" i="1"/>
  <c r="DZ200" i="1" s="1"/>
  <c r="BR196" i="1"/>
  <c r="BS196" i="1" s="1"/>
  <c r="AX196" i="1"/>
  <c r="BR192" i="1"/>
  <c r="AX192" i="1"/>
  <c r="AX187" i="1"/>
  <c r="BR187" i="1"/>
  <c r="DZ187" i="1" s="1"/>
  <c r="AX183" i="1"/>
  <c r="BR183" i="1"/>
  <c r="I186" i="24" s="1"/>
  <c r="BR179" i="1"/>
  <c r="I182" i="24" s="1"/>
  <c r="AX179" i="1"/>
  <c r="BR175" i="1"/>
  <c r="AX175" i="1"/>
  <c r="AX171" i="1"/>
  <c r="BR171" i="1"/>
  <c r="DZ171" i="1" s="1"/>
  <c r="AX167" i="1"/>
  <c r="BR167" i="1"/>
  <c r="I170" i="24" s="1"/>
  <c r="BR163" i="1"/>
  <c r="DZ163" i="1" s="1"/>
  <c r="AX163" i="1"/>
  <c r="BR159" i="1"/>
  <c r="AX159" i="1"/>
  <c r="AX155" i="1"/>
  <c r="BR155" i="1"/>
  <c r="I158" i="24" s="1"/>
  <c r="AX151" i="1"/>
  <c r="BR151" i="1"/>
  <c r="BR147" i="1"/>
  <c r="AX147" i="1"/>
  <c r="BR143" i="1"/>
  <c r="DZ143" i="1" s="1"/>
  <c r="AX143" i="1"/>
  <c r="BR139" i="1"/>
  <c r="BS139" i="1" s="1"/>
  <c r="AX139" i="1"/>
  <c r="BR135" i="1"/>
  <c r="BS135" i="1" s="1"/>
  <c r="AX135" i="1"/>
  <c r="BR131" i="1"/>
  <c r="I133" i="24" s="1"/>
  <c r="AX131" i="1"/>
  <c r="AX127" i="1"/>
  <c r="BR127" i="1"/>
  <c r="I129" i="24" s="1"/>
  <c r="BR123" i="1"/>
  <c r="I125" i="24" s="1"/>
  <c r="AX123" i="1"/>
  <c r="BR119" i="1"/>
  <c r="DZ119" i="1" s="1"/>
  <c r="AX119" i="1"/>
  <c r="AX115" i="1"/>
  <c r="BR115" i="1"/>
  <c r="BR111" i="1"/>
  <c r="AX111" i="1"/>
  <c r="AX107" i="1"/>
  <c r="BR107" i="1"/>
  <c r="BS107" i="1" s="1"/>
  <c r="AX103" i="1"/>
  <c r="BR103" i="1"/>
  <c r="I104" i="24" s="1"/>
  <c r="AX99" i="1"/>
  <c r="BR99" i="1"/>
  <c r="AX95" i="1"/>
  <c r="BR95" i="1"/>
  <c r="BR91" i="1"/>
  <c r="AX91" i="1"/>
  <c r="AX87" i="1"/>
  <c r="BR87" i="1"/>
  <c r="AX83" i="1"/>
  <c r="BR83" i="1"/>
  <c r="BR79" i="1"/>
  <c r="AX79" i="1"/>
  <c r="BR75" i="1"/>
  <c r="DZ75" i="1" s="1"/>
  <c r="AX75" i="1"/>
  <c r="BR71" i="1"/>
  <c r="DZ71" i="1" s="1"/>
  <c r="AX71" i="1"/>
  <c r="BR67" i="1"/>
  <c r="AX67" i="1"/>
  <c r="BR63" i="1"/>
  <c r="I62" i="24" s="1"/>
  <c r="AX63" i="1"/>
  <c r="BR59" i="1"/>
  <c r="BS59" i="1" s="1"/>
  <c r="AX59" i="1"/>
  <c r="BR55" i="1"/>
  <c r="DZ55" i="1" s="1"/>
  <c r="AX55" i="1"/>
  <c r="BR51" i="1"/>
  <c r="AX51" i="1"/>
  <c r="BR47" i="1"/>
  <c r="AX47" i="1"/>
  <c r="BR43" i="1"/>
  <c r="DZ43" i="1" s="1"/>
  <c r="AX43" i="1"/>
  <c r="BR39" i="1"/>
  <c r="BS39" i="1" s="1"/>
  <c r="AX39" i="1"/>
  <c r="BR35" i="1"/>
  <c r="AX35" i="1"/>
  <c r="BR31" i="1"/>
  <c r="I30" i="24" s="1"/>
  <c r="AX31" i="1"/>
  <c r="AX27" i="1"/>
  <c r="BR27" i="1"/>
  <c r="BS27" i="1" s="1"/>
  <c r="BR23" i="1"/>
  <c r="I22" i="24" s="1"/>
  <c r="AX23" i="1"/>
  <c r="AX19" i="1"/>
  <c r="BR19" i="1"/>
  <c r="I18" i="24" s="1"/>
  <c r="BR15" i="1"/>
  <c r="AW371" i="1"/>
  <c r="AX15" i="1"/>
  <c r="BR11" i="1"/>
  <c r="AX11" i="1"/>
  <c r="BD10" i="1"/>
  <c r="BC372" i="1"/>
  <c r="BF373" i="1"/>
  <c r="BG9" i="1"/>
  <c r="BG15" i="1"/>
  <c r="BL372" i="1"/>
  <c r="BM10" i="1"/>
  <c r="AU265" i="1"/>
  <c r="CP22" i="1"/>
  <c r="CK22" i="1"/>
  <c r="CP17" i="1"/>
  <c r="CQ17" i="1" s="1"/>
  <c r="CK17" i="1"/>
  <c r="CK31" i="1"/>
  <c r="CP31" i="1"/>
  <c r="CQ31" i="1" s="1"/>
  <c r="CP36" i="1"/>
  <c r="CQ36" i="1" s="1"/>
  <c r="CK36" i="1"/>
  <c r="CP44" i="1"/>
  <c r="CQ44" i="1" s="1"/>
  <c r="CK44" i="1"/>
  <c r="CK52" i="1"/>
  <c r="CP52" i="1"/>
  <c r="CQ52" i="1" s="1"/>
  <c r="CP60" i="1"/>
  <c r="CQ60" i="1" s="1"/>
  <c r="CK60" i="1"/>
  <c r="CP63" i="1"/>
  <c r="CQ63" i="1" s="1"/>
  <c r="CK63" i="1"/>
  <c r="CP28" i="1"/>
  <c r="CQ28" i="1" s="1"/>
  <c r="CK28" i="1"/>
  <c r="CP39" i="1"/>
  <c r="CQ39" i="1" s="1"/>
  <c r="CK39" i="1"/>
  <c r="CP47" i="1"/>
  <c r="CQ47" i="1" s="1"/>
  <c r="CK47" i="1"/>
  <c r="CP55" i="1"/>
  <c r="CQ55" i="1" s="1"/>
  <c r="CK55" i="1"/>
  <c r="CP76" i="1"/>
  <c r="CQ76" i="1" s="1"/>
  <c r="CK76" i="1"/>
  <c r="CP79" i="1"/>
  <c r="CQ79" i="1" s="1"/>
  <c r="CK79" i="1"/>
  <c r="CP82" i="1"/>
  <c r="CK82" i="1"/>
  <c r="CK73" i="1"/>
  <c r="CP73" i="1"/>
  <c r="CQ73" i="1" s="1"/>
  <c r="CK83" i="1"/>
  <c r="CP83" i="1"/>
  <c r="CQ83" i="1" s="1"/>
  <c r="CP92" i="1"/>
  <c r="CQ92" i="1" s="1"/>
  <c r="CK92" i="1"/>
  <c r="CK100" i="1"/>
  <c r="CP100" i="1"/>
  <c r="CQ100" i="1" s="1"/>
  <c r="CP99" i="1"/>
  <c r="CQ99" i="1" s="1"/>
  <c r="CK99" i="1"/>
  <c r="CK107" i="1"/>
  <c r="CP107" i="1"/>
  <c r="CQ107" i="1" s="1"/>
  <c r="CP120" i="1"/>
  <c r="CQ120" i="1" s="1"/>
  <c r="CK120" i="1"/>
  <c r="CP108" i="1"/>
  <c r="CQ108" i="1" s="1"/>
  <c r="CK108" i="1"/>
  <c r="CK119" i="1"/>
  <c r="CP119" i="1"/>
  <c r="CQ119" i="1" s="1"/>
  <c r="CP128" i="1"/>
  <c r="CK128" i="1"/>
  <c r="CK136" i="1"/>
  <c r="CP136" i="1"/>
  <c r="CQ136" i="1" s="1"/>
  <c r="CP127" i="1"/>
  <c r="CQ127" i="1" s="1"/>
  <c r="CK127" i="1"/>
  <c r="CP130" i="1"/>
  <c r="CK130" i="1"/>
  <c r="CK135" i="1"/>
  <c r="CP135" i="1"/>
  <c r="CQ135" i="1" s="1"/>
  <c r="CP138" i="1"/>
  <c r="CK138" i="1"/>
  <c r="CP146" i="1"/>
  <c r="CK146" i="1"/>
  <c r="CP154" i="1"/>
  <c r="CK154" i="1"/>
  <c r="CP143" i="1"/>
  <c r="CQ143" i="1" s="1"/>
  <c r="CK143" i="1"/>
  <c r="CP151" i="1"/>
  <c r="CQ151" i="1" s="1"/>
  <c r="CK151" i="1"/>
  <c r="CP162" i="1"/>
  <c r="CK162" i="1"/>
  <c r="CK168" i="1"/>
  <c r="CP168" i="1"/>
  <c r="CQ168" i="1" s="1"/>
  <c r="CK165" i="1"/>
  <c r="CP165" i="1"/>
  <c r="CQ165" i="1" s="1"/>
  <c r="CP172" i="1"/>
  <c r="CQ172" i="1" s="1"/>
  <c r="CK172" i="1"/>
  <c r="CP177" i="1"/>
  <c r="CQ177" i="1" s="1"/>
  <c r="CK177" i="1"/>
  <c r="CP179" i="1"/>
  <c r="CQ179" i="1" s="1"/>
  <c r="CK179" i="1"/>
  <c r="CK184" i="1"/>
  <c r="CP184" i="1"/>
  <c r="CQ184" i="1" s="1"/>
  <c r="CK187" i="1"/>
  <c r="CP187" i="1"/>
  <c r="CQ187" i="1" s="1"/>
  <c r="CP25" i="1"/>
  <c r="CQ25" i="1" s="1"/>
  <c r="CK25" i="1"/>
  <c r="CP13" i="1"/>
  <c r="CK13" i="1"/>
  <c r="CP313" i="1"/>
  <c r="CQ313" i="1" s="1"/>
  <c r="CK313" i="1"/>
  <c r="CP314" i="1"/>
  <c r="CK314" i="1"/>
  <c r="CP315" i="1"/>
  <c r="CQ315" i="1" s="1"/>
  <c r="CK315" i="1"/>
  <c r="CK316" i="1"/>
  <c r="CP316" i="1"/>
  <c r="CQ316" i="1" s="1"/>
  <c r="CK317" i="1"/>
  <c r="CP317" i="1"/>
  <c r="CQ317" i="1" s="1"/>
  <c r="CP318" i="1"/>
  <c r="CQ318" i="1" s="1"/>
  <c r="CK318" i="1"/>
  <c r="CP319" i="1"/>
  <c r="CQ319" i="1" s="1"/>
  <c r="CK319" i="1"/>
  <c r="CK320" i="1"/>
  <c r="CP320" i="1"/>
  <c r="CK321" i="1"/>
  <c r="CP321" i="1"/>
  <c r="CP322" i="1"/>
  <c r="CK322" i="1"/>
  <c r="CP323" i="1"/>
  <c r="CQ323" i="1" s="1"/>
  <c r="CK323" i="1"/>
  <c r="CP324" i="1"/>
  <c r="CQ324" i="1" s="1"/>
  <c r="CK324" i="1"/>
  <c r="CP325" i="1"/>
  <c r="CQ325" i="1" s="1"/>
  <c r="CK325" i="1"/>
  <c r="CP326" i="1"/>
  <c r="CK326" i="1"/>
  <c r="CP327" i="1"/>
  <c r="CQ327" i="1" s="1"/>
  <c r="CK327" i="1"/>
  <c r="CP328" i="1"/>
  <c r="CQ328" i="1" s="1"/>
  <c r="CK328" i="1"/>
  <c r="CP364" i="1"/>
  <c r="CQ364" i="1" s="1"/>
  <c r="CK364" i="1"/>
  <c r="AC10" i="1"/>
  <c r="Q15" i="1"/>
  <c r="AU324" i="1"/>
  <c r="AU364" i="1"/>
  <c r="AU356" i="1"/>
  <c r="AU348" i="1"/>
  <c r="AU340" i="1"/>
  <c r="AU316" i="1"/>
  <c r="AU308" i="1"/>
  <c r="AU301" i="1"/>
  <c r="AU293" i="1"/>
  <c r="AU285" i="1"/>
  <c r="AU278" i="1"/>
  <c r="I283" i="24"/>
  <c r="AU270" i="1"/>
  <c r="DZ270" i="1"/>
  <c r="AU259" i="1"/>
  <c r="AU251" i="1"/>
  <c r="DZ251" i="1"/>
  <c r="I255" i="24"/>
  <c r="AU243" i="1"/>
  <c r="AU183" i="1"/>
  <c r="AU334" i="1"/>
  <c r="I341" i="24"/>
  <c r="AU235" i="1"/>
  <c r="AU229" i="1"/>
  <c r="AU221" i="1"/>
  <c r="DZ221" i="1"/>
  <c r="AU212" i="1"/>
  <c r="AU204" i="1"/>
  <c r="AU193" i="1"/>
  <c r="AU144" i="1"/>
  <c r="AU126" i="1"/>
  <c r="AU111" i="1"/>
  <c r="AU85" i="1"/>
  <c r="DZ85" i="1"/>
  <c r="AU50" i="1"/>
  <c r="AU42" i="1"/>
  <c r="AU34" i="1"/>
  <c r="AU25" i="1"/>
  <c r="AU16" i="1"/>
  <c r="AU190" i="1"/>
  <c r="DZ190" i="1"/>
  <c r="AU170" i="1"/>
  <c r="AU162" i="1"/>
  <c r="AU73" i="1"/>
  <c r="AU65" i="1"/>
  <c r="AU57" i="1"/>
  <c r="AU10" i="1"/>
  <c r="AU22" i="1"/>
  <c r="AU39" i="1"/>
  <c r="AU54" i="1"/>
  <c r="AU61" i="1"/>
  <c r="AU70" i="1"/>
  <c r="AU79" i="1"/>
  <c r="AU86" i="1"/>
  <c r="AU94" i="1"/>
  <c r="AU102" i="1"/>
  <c r="AU110" i="1"/>
  <c r="AU117" i="1"/>
  <c r="AU125" i="1"/>
  <c r="I127" i="24"/>
  <c r="AU133" i="1"/>
  <c r="DZ133" i="1"/>
  <c r="I136" i="24"/>
  <c r="AU143" i="1"/>
  <c r="AU153" i="1"/>
  <c r="AU161" i="1"/>
  <c r="AU169" i="1"/>
  <c r="AU177" i="1"/>
  <c r="AU185" i="1"/>
  <c r="AU201" i="1"/>
  <c r="AU220" i="1"/>
  <c r="AU238" i="1"/>
  <c r="AU254" i="1"/>
  <c r="I258" i="24"/>
  <c r="AU271" i="1"/>
  <c r="AU288" i="1"/>
  <c r="AU307" i="1"/>
  <c r="AU323" i="1"/>
  <c r="AU347" i="1"/>
  <c r="AU363" i="1"/>
  <c r="AU353" i="1"/>
  <c r="AU337" i="1"/>
  <c r="AU321" i="1"/>
  <c r="AU305" i="1"/>
  <c r="AU290" i="1"/>
  <c r="AU273" i="1"/>
  <c r="AU248" i="1"/>
  <c r="AU222" i="1"/>
  <c r="I226" i="24"/>
  <c r="AU207" i="1"/>
  <c r="I211" i="24"/>
  <c r="AU192" i="1"/>
  <c r="AU150" i="1"/>
  <c r="AU131" i="1"/>
  <c r="AU109" i="1"/>
  <c r="AU93" i="1"/>
  <c r="DZ93" i="1"/>
  <c r="I94" i="24"/>
  <c r="AU75" i="1"/>
  <c r="AU30" i="1"/>
  <c r="AG10" i="1"/>
  <c r="I372" i="1"/>
  <c r="L372" i="1"/>
  <c r="R373" i="1"/>
  <c r="M13" i="3" s="1"/>
  <c r="R368" i="1"/>
  <c r="C13" i="3" s="1"/>
  <c r="U371" i="1"/>
  <c r="X372" i="1"/>
  <c r="AD372" i="1"/>
  <c r="AM373" i="1"/>
  <c r="M19" i="3" s="1"/>
  <c r="AM368" i="1"/>
  <c r="C19" i="3" s="1"/>
  <c r="W19" i="3" s="1"/>
  <c r="F11" i="4"/>
  <c r="EC9" i="1"/>
  <c r="F366" i="4"/>
  <c r="H366" i="4" s="1"/>
  <c r="EC364" i="1"/>
  <c r="EC360" i="1"/>
  <c r="F362" i="4"/>
  <c r="H362" i="4" s="1"/>
  <c r="F358" i="4"/>
  <c r="H358" i="4" s="1"/>
  <c r="EC356" i="1"/>
  <c r="H363" i="24"/>
  <c r="F354" i="4"/>
  <c r="H354" i="4" s="1"/>
  <c r="EC352" i="1"/>
  <c r="H359" i="24"/>
  <c r="EC348" i="1"/>
  <c r="F350" i="4"/>
  <c r="H350" i="4" s="1"/>
  <c r="F341" i="4"/>
  <c r="H341" i="4" s="1"/>
  <c r="EC339" i="1"/>
  <c r="EC335" i="1"/>
  <c r="F337" i="4"/>
  <c r="H337" i="4" s="1"/>
  <c r="EC331" i="1"/>
  <c r="F333" i="4"/>
  <c r="H333" i="4" s="1"/>
  <c r="H338" i="24"/>
  <c r="DY331" i="1"/>
  <c r="EC327" i="1"/>
  <c r="F329" i="4"/>
  <c r="H329" i="4" s="1"/>
  <c r="F325" i="4"/>
  <c r="H325" i="4" s="1"/>
  <c r="EC323" i="1"/>
  <c r="EC319" i="1"/>
  <c r="F321" i="4"/>
  <c r="H321" i="4" s="1"/>
  <c r="EC315" i="1"/>
  <c r="F317" i="4"/>
  <c r="H317" i="4" s="1"/>
  <c r="DY315" i="1"/>
  <c r="EC311" i="1"/>
  <c r="F313" i="4"/>
  <c r="H313" i="4" s="1"/>
  <c r="F309" i="4"/>
  <c r="H309" i="4" s="1"/>
  <c r="EC307" i="1"/>
  <c r="F305" i="4"/>
  <c r="H305" i="4" s="1"/>
  <c r="EC303" i="1"/>
  <c r="EC299" i="1"/>
  <c r="F301" i="4"/>
  <c r="H301" i="4" s="1"/>
  <c r="H306" i="24"/>
  <c r="DY299" i="1"/>
  <c r="EC295" i="1"/>
  <c r="F297" i="4"/>
  <c r="H297" i="4" s="1"/>
  <c r="F293" i="4"/>
  <c r="H293" i="4" s="1"/>
  <c r="EC291" i="1"/>
  <c r="F289" i="4"/>
  <c r="H289" i="4" s="1"/>
  <c r="EC287" i="1"/>
  <c r="EC283" i="1"/>
  <c r="F285" i="4"/>
  <c r="H285" i="4" s="1"/>
  <c r="H290" i="24"/>
  <c r="DY283" i="1"/>
  <c r="EC277" i="1"/>
  <c r="F279" i="4"/>
  <c r="H279" i="4" s="1"/>
  <c r="H282" i="24"/>
  <c r="DY277" i="1"/>
  <c r="F275" i="4"/>
  <c r="H275" i="4" s="1"/>
  <c r="EC273" i="1"/>
  <c r="F271" i="4"/>
  <c r="H271" i="4" s="1"/>
  <c r="EC269" i="1"/>
  <c r="F267" i="4"/>
  <c r="H267" i="4" s="1"/>
  <c r="EC265" i="1"/>
  <c r="F263" i="4"/>
  <c r="H263" i="4" s="1"/>
  <c r="EC261" i="1"/>
  <c r="H265" i="24"/>
  <c r="F259" i="4"/>
  <c r="H259" i="4" s="1"/>
  <c r="EC257" i="1"/>
  <c r="DY257" i="1"/>
  <c r="EC253" i="1"/>
  <c r="F255" i="4"/>
  <c r="H255" i="4" s="1"/>
  <c r="EC249" i="1"/>
  <c r="F251" i="4"/>
  <c r="H251" i="4" s="1"/>
  <c r="EC245" i="1"/>
  <c r="F247" i="4"/>
  <c r="H247" i="4" s="1"/>
  <c r="H249" i="24"/>
  <c r="F243" i="4"/>
  <c r="H243" i="4" s="1"/>
  <c r="EC241" i="1"/>
  <c r="EC237" i="1"/>
  <c r="F239" i="4"/>
  <c r="H239" i="4" s="1"/>
  <c r="EC233" i="1"/>
  <c r="F235" i="4"/>
  <c r="H235" i="4" s="1"/>
  <c r="F231" i="4"/>
  <c r="H231" i="4" s="1"/>
  <c r="EC229" i="1"/>
  <c r="DY229" i="1"/>
  <c r="F227" i="4"/>
  <c r="H227" i="4" s="1"/>
  <c r="EC225" i="1"/>
  <c r="F223" i="4"/>
  <c r="H223" i="4" s="1"/>
  <c r="EC221" i="1"/>
  <c r="F219" i="4"/>
  <c r="H219" i="4" s="1"/>
  <c r="EC217" i="1"/>
  <c r="EC213" i="1"/>
  <c r="F215" i="4"/>
  <c r="H215" i="4" s="1"/>
  <c r="DY213" i="1"/>
  <c r="H217" i="24"/>
  <c r="F211" i="4"/>
  <c r="H211" i="4" s="1"/>
  <c r="EC209" i="1"/>
  <c r="F207" i="4"/>
  <c r="H207" i="4" s="1"/>
  <c r="EC205" i="1"/>
  <c r="F203" i="4"/>
  <c r="H203" i="4" s="1"/>
  <c r="EC201" i="1"/>
  <c r="F199" i="4"/>
  <c r="H199" i="4" s="1"/>
  <c r="EC197" i="1"/>
  <c r="DY197" i="1"/>
  <c r="EC193" i="1"/>
  <c r="F195" i="4"/>
  <c r="H195" i="4" s="1"/>
  <c r="H196" i="24"/>
  <c r="F191" i="4"/>
  <c r="H191" i="4" s="1"/>
  <c r="EC189" i="1"/>
  <c r="EC185" i="1"/>
  <c r="F187" i="4"/>
  <c r="H187" i="4" s="1"/>
  <c r="F180" i="4"/>
  <c r="H180" i="4" s="1"/>
  <c r="EC178" i="1"/>
  <c r="H181" i="24"/>
  <c r="EC174" i="1"/>
  <c r="F176" i="4"/>
  <c r="H176" i="4" s="1"/>
  <c r="DY174" i="1"/>
  <c r="EC170" i="1"/>
  <c r="F172" i="4"/>
  <c r="H172" i="4" s="1"/>
  <c r="EC166" i="1"/>
  <c r="F168" i="4"/>
  <c r="H168" i="4" s="1"/>
  <c r="F162" i="4"/>
  <c r="H162" i="4" s="1"/>
  <c r="EC160" i="1"/>
  <c r="H163" i="24"/>
  <c r="EC156" i="1"/>
  <c r="F158" i="4"/>
  <c r="H158" i="4" s="1"/>
  <c r="EC152" i="1"/>
  <c r="F154" i="4"/>
  <c r="H154" i="4" s="1"/>
  <c r="F150" i="4"/>
  <c r="H150" i="4" s="1"/>
  <c r="EC148" i="1"/>
  <c r="H151" i="24"/>
  <c r="F146" i="4"/>
  <c r="H146" i="4" s="1"/>
  <c r="EC144" i="1"/>
  <c r="EC140" i="1"/>
  <c r="F142" i="4"/>
  <c r="H142" i="4" s="1"/>
  <c r="EC136" i="1"/>
  <c r="F138" i="4"/>
  <c r="H138" i="4" s="1"/>
  <c r="F134" i="4"/>
  <c r="H134" i="4" s="1"/>
  <c r="EC132" i="1"/>
  <c r="H135" i="24"/>
  <c r="DY132" i="1"/>
  <c r="EC127" i="1"/>
  <c r="F129" i="4"/>
  <c r="H129" i="4" s="1"/>
  <c r="EC123" i="1"/>
  <c r="F125" i="4"/>
  <c r="H125" i="4" s="1"/>
  <c r="DY123" i="1"/>
  <c r="EC119" i="1"/>
  <c r="F121" i="4"/>
  <c r="H121" i="4" s="1"/>
  <c r="EC115" i="1"/>
  <c r="F117" i="4"/>
  <c r="H117" i="4" s="1"/>
  <c r="EC111" i="1"/>
  <c r="F113" i="4"/>
  <c r="H113" i="4" s="1"/>
  <c r="F109" i="4"/>
  <c r="H109" i="4" s="1"/>
  <c r="EC107" i="1"/>
  <c r="H108" i="24"/>
  <c r="F105" i="4"/>
  <c r="H105" i="4" s="1"/>
  <c r="EC103" i="1"/>
  <c r="EC99" i="1"/>
  <c r="F101" i="4"/>
  <c r="H101" i="4" s="1"/>
  <c r="EC95" i="1"/>
  <c r="F97" i="4"/>
  <c r="H97" i="4" s="1"/>
  <c r="F93" i="4"/>
  <c r="H93" i="4" s="1"/>
  <c r="EC91" i="1"/>
  <c r="H92" i="24"/>
  <c r="DY91" i="1"/>
  <c r="F89" i="4"/>
  <c r="H89" i="4" s="1"/>
  <c r="EC87" i="1"/>
  <c r="F82" i="4"/>
  <c r="H82" i="4" s="1"/>
  <c r="EC80" i="1"/>
  <c r="DY80" i="1"/>
  <c r="EC75" i="1"/>
  <c r="F77" i="4"/>
  <c r="H77" i="4" s="1"/>
  <c r="DY75" i="1"/>
  <c r="F73" i="4"/>
  <c r="H73" i="4" s="1"/>
  <c r="EC71" i="1"/>
  <c r="F68" i="4"/>
  <c r="H68" i="4" s="1"/>
  <c r="EC66" i="1"/>
  <c r="H66" i="24"/>
  <c r="DY66" i="1"/>
  <c r="F64" i="4"/>
  <c r="H64" i="4" s="1"/>
  <c r="EC62" i="1"/>
  <c r="EC58" i="1"/>
  <c r="F60" i="4"/>
  <c r="H60" i="4" s="1"/>
  <c r="EC54" i="1"/>
  <c r="F56" i="4"/>
  <c r="H56" i="4" s="1"/>
  <c r="EC50" i="1"/>
  <c r="F52" i="4"/>
  <c r="H52" i="4" s="1"/>
  <c r="H49" i="24"/>
  <c r="F48" i="4"/>
  <c r="H48" i="4" s="1"/>
  <c r="EC46" i="1"/>
  <c r="DY46" i="1"/>
  <c r="EC37" i="1"/>
  <c r="F39" i="4"/>
  <c r="H39" i="4" s="1"/>
  <c r="F35" i="4"/>
  <c r="H35" i="4" s="1"/>
  <c r="EC33" i="1"/>
  <c r="H32" i="24"/>
  <c r="DY33" i="1"/>
  <c r="F31" i="4"/>
  <c r="H31" i="4" s="1"/>
  <c r="EC29" i="1"/>
  <c r="EC24" i="1"/>
  <c r="F26" i="4"/>
  <c r="H26" i="4" s="1"/>
  <c r="EC19" i="1"/>
  <c r="F21" i="4"/>
  <c r="H21" i="4" s="1"/>
  <c r="F17" i="4"/>
  <c r="AS371" i="1"/>
  <c r="EC15" i="1"/>
  <c r="AV373" i="1"/>
  <c r="M24" i="3" s="1"/>
  <c r="AV368" i="1"/>
  <c r="C24" i="3" s="1"/>
  <c r="BQ9" i="1"/>
  <c r="H8" i="24" s="1"/>
  <c r="DY356" i="1"/>
  <c r="DY352" i="1"/>
  <c r="DY340" i="1"/>
  <c r="H347" i="24"/>
  <c r="H331" i="24"/>
  <c r="H299" i="24"/>
  <c r="DY276" i="1"/>
  <c r="DY256" i="1"/>
  <c r="H248" i="24"/>
  <c r="DY228" i="1"/>
  <c r="DY212" i="1"/>
  <c r="DY164" i="1"/>
  <c r="H167" i="24"/>
  <c r="DY148" i="1"/>
  <c r="H121" i="24"/>
  <c r="DY100" i="1"/>
  <c r="DY84" i="1"/>
  <c r="H85" i="24"/>
  <c r="DY56" i="1"/>
  <c r="H51" i="24"/>
  <c r="DY36" i="1"/>
  <c r="DY20" i="1"/>
  <c r="AY371" i="1"/>
  <c r="BB372" i="1"/>
  <c r="BH373" i="1"/>
  <c r="M28" i="3" s="1"/>
  <c r="BH368" i="1"/>
  <c r="C28" i="3" s="1"/>
  <c r="BK371" i="1"/>
  <c r="BN372" i="1"/>
  <c r="BT366" i="1"/>
  <c r="BV366" i="1" s="1"/>
  <c r="BT362" i="1"/>
  <c r="BV362" i="1" s="1"/>
  <c r="BT358" i="1"/>
  <c r="BV358" i="1" s="1"/>
  <c r="BT354" i="1"/>
  <c r="BV354" i="1" s="1"/>
  <c r="BW373" i="1"/>
  <c r="M33" i="3" s="1"/>
  <c r="BW368" i="1"/>
  <c r="C33" i="3" s="1"/>
  <c r="BW372" i="1"/>
  <c r="BZ365" i="1"/>
  <c r="CB365" i="1" s="1"/>
  <c r="BZ361" i="1"/>
  <c r="CB361" i="1" s="1"/>
  <c r="BZ357" i="1"/>
  <c r="CB357" i="1" s="1"/>
  <c r="BZ353" i="1"/>
  <c r="CB353" i="1" s="1"/>
  <c r="CC371" i="1"/>
  <c r="CF372" i="1"/>
  <c r="CL373" i="1"/>
  <c r="M39" i="3" s="1"/>
  <c r="CL368" i="1"/>
  <c r="C39" i="3" s="1"/>
  <c r="AA372" i="1"/>
  <c r="BO373" i="1"/>
  <c r="BP9" i="1"/>
  <c r="AU103" i="1"/>
  <c r="AX363" i="1"/>
  <c r="BR363" i="1"/>
  <c r="BR355" i="1"/>
  <c r="AX355" i="1"/>
  <c r="AX347" i="1"/>
  <c r="BR347" i="1"/>
  <c r="AX339" i="1"/>
  <c r="BR339" i="1"/>
  <c r="AX327" i="1"/>
  <c r="BR327" i="1"/>
  <c r="BS327" i="1" s="1"/>
  <c r="AX319" i="1"/>
  <c r="BR319" i="1"/>
  <c r="BR311" i="1"/>
  <c r="AX311" i="1"/>
  <c r="BR303" i="1"/>
  <c r="AX303" i="1"/>
  <c r="BR295" i="1"/>
  <c r="DZ295" i="1" s="1"/>
  <c r="AX295" i="1"/>
  <c r="BR287" i="1"/>
  <c r="AX287" i="1"/>
  <c r="BR279" i="1"/>
  <c r="AX279" i="1"/>
  <c r="BR271" i="1"/>
  <c r="AX271" i="1"/>
  <c r="BR263" i="1"/>
  <c r="AX263" i="1"/>
  <c r="AX255" i="1"/>
  <c r="BR255" i="1"/>
  <c r="AX247" i="1"/>
  <c r="BR247" i="1"/>
  <c r="BS247" i="1" s="1"/>
  <c r="BR239" i="1"/>
  <c r="AX239" i="1"/>
  <c r="AX231" i="1"/>
  <c r="BR231" i="1"/>
  <c r="AX223" i="1"/>
  <c r="BR223" i="1"/>
  <c r="BR215" i="1"/>
  <c r="I219" i="24" s="1"/>
  <c r="AX215" i="1"/>
  <c r="BR203" i="1"/>
  <c r="BS203" i="1" s="1"/>
  <c r="AX203" i="1"/>
  <c r="BR195" i="1"/>
  <c r="AX195" i="1"/>
  <c r="BR186" i="1"/>
  <c r="AX186" i="1"/>
  <c r="BR182" i="1"/>
  <c r="DZ182" i="1" s="1"/>
  <c r="AX182" i="1"/>
  <c r="BR178" i="1"/>
  <c r="BS178" i="1" s="1"/>
  <c r="AX178" i="1"/>
  <c r="BR174" i="1"/>
  <c r="I177" i="24" s="1"/>
  <c r="AX174" i="1"/>
  <c r="BR170" i="1"/>
  <c r="AX170" i="1"/>
  <c r="BR166" i="1"/>
  <c r="AX166" i="1"/>
  <c r="BR158" i="1"/>
  <c r="AX158" i="1"/>
  <c r="BR154" i="1"/>
  <c r="AX154" i="1"/>
  <c r="BR150" i="1"/>
  <c r="AX150" i="1"/>
  <c r="BR146" i="1"/>
  <c r="DZ146" i="1" s="1"/>
  <c r="AX146" i="1"/>
  <c r="BR142" i="1"/>
  <c r="AX142" i="1"/>
  <c r="BR138" i="1"/>
  <c r="DZ138" i="1" s="1"/>
  <c r="AX138" i="1"/>
  <c r="BR134" i="1"/>
  <c r="AX134" i="1"/>
  <c r="BR130" i="1"/>
  <c r="BS130" i="1" s="1"/>
  <c r="AX130" i="1"/>
  <c r="AX126" i="1"/>
  <c r="BR126" i="1"/>
  <c r="I128" i="24" s="1"/>
  <c r="BR122" i="1"/>
  <c r="AX122" i="1"/>
  <c r="BR118" i="1"/>
  <c r="AX118" i="1"/>
  <c r="BR114" i="1"/>
  <c r="I115" i="24" s="1"/>
  <c r="AX114" i="1"/>
  <c r="AX110" i="1"/>
  <c r="BR110" i="1"/>
  <c r="I111" i="24" s="1"/>
  <c r="AX106" i="1"/>
  <c r="BR106" i="1"/>
  <c r="BR102" i="1"/>
  <c r="AX102" i="1"/>
  <c r="AX98" i="1"/>
  <c r="BR98" i="1"/>
  <c r="BR94" i="1"/>
  <c r="AX94" i="1"/>
  <c r="BR90" i="1"/>
  <c r="I91" i="24" s="1"/>
  <c r="AX90" i="1"/>
  <c r="BR86" i="1"/>
  <c r="AX86" i="1"/>
  <c r="BR82" i="1"/>
  <c r="I83" i="24" s="1"/>
  <c r="AX82" i="1"/>
  <c r="BR78" i="1"/>
  <c r="AX78" i="1"/>
  <c r="BR74" i="1"/>
  <c r="AX74" i="1"/>
  <c r="BR70" i="1"/>
  <c r="AX70" i="1"/>
  <c r="AX66" i="1"/>
  <c r="BR66" i="1"/>
  <c r="BS66" i="1" s="1"/>
  <c r="BR62" i="1"/>
  <c r="AX62" i="1"/>
  <c r="BR58" i="1"/>
  <c r="DZ58" i="1" s="1"/>
  <c r="AX58" i="1"/>
  <c r="BR54" i="1"/>
  <c r="AX54" i="1"/>
  <c r="BR50" i="1"/>
  <c r="BS50" i="1" s="1"/>
  <c r="AX50" i="1"/>
  <c r="AX46" i="1"/>
  <c r="BR46" i="1"/>
  <c r="AX42" i="1"/>
  <c r="BR42" i="1"/>
  <c r="I41" i="24" s="1"/>
  <c r="AX38" i="1"/>
  <c r="BR38" i="1"/>
  <c r="DZ38" i="1" s="1"/>
  <c r="BR34" i="1"/>
  <c r="AX34" i="1"/>
  <c r="BR30" i="1"/>
  <c r="AX30" i="1"/>
  <c r="BR26" i="1"/>
  <c r="AX26" i="1"/>
  <c r="BR22" i="1"/>
  <c r="AX22" i="1"/>
  <c r="AX18" i="1"/>
  <c r="BR14" i="1"/>
  <c r="BS14" i="1" s="1"/>
  <c r="AX14" i="1"/>
  <c r="AZ368" i="1"/>
  <c r="AZ373" i="1"/>
  <c r="BA9" i="1"/>
  <c r="BG10" i="1"/>
  <c r="BF372" i="1"/>
  <c r="BI373" i="1"/>
  <c r="BJ9" i="1"/>
  <c r="BI368" i="1"/>
  <c r="BO372" i="1"/>
  <c r="BP10" i="1"/>
  <c r="BR189" i="1"/>
  <c r="AX189" i="1"/>
  <c r="CK24" i="1"/>
  <c r="CP24" i="1"/>
  <c r="CQ24" i="1" s="1"/>
  <c r="CK19" i="1"/>
  <c r="CP19" i="1"/>
  <c r="CQ19" i="1" s="1"/>
  <c r="CP12" i="1"/>
  <c r="CQ12" i="1" s="1"/>
  <c r="CK12" i="1"/>
  <c r="CK29" i="1"/>
  <c r="CP29" i="1"/>
  <c r="CP34" i="1"/>
  <c r="CK34" i="1"/>
  <c r="CK42" i="1"/>
  <c r="CP42" i="1"/>
  <c r="CK50" i="1"/>
  <c r="CP50" i="1"/>
  <c r="CP58" i="1"/>
  <c r="CQ58" i="1" s="1"/>
  <c r="CK58" i="1"/>
  <c r="CP61" i="1"/>
  <c r="CK61" i="1"/>
  <c r="CK37" i="1"/>
  <c r="CP37" i="1"/>
  <c r="CQ37" i="1" s="1"/>
  <c r="CP45" i="1"/>
  <c r="CK45" i="1"/>
  <c r="CK53" i="1"/>
  <c r="CP53" i="1"/>
  <c r="CQ53" i="1" s="1"/>
  <c r="CP66" i="1"/>
  <c r="CK66" i="1"/>
  <c r="CP74" i="1"/>
  <c r="CQ74" i="1" s="1"/>
  <c r="CK74" i="1"/>
  <c r="CP80" i="1"/>
  <c r="CK80" i="1"/>
  <c r="CP71" i="1"/>
  <c r="CQ71" i="1" s="1"/>
  <c r="CK71" i="1"/>
  <c r="CK81" i="1"/>
  <c r="CP81" i="1"/>
  <c r="CQ81" i="1" s="1"/>
  <c r="CK98" i="1"/>
  <c r="CP98" i="1"/>
  <c r="CK106" i="1"/>
  <c r="CP106" i="1"/>
  <c r="CK89" i="1"/>
  <c r="CP89" i="1"/>
  <c r="CQ89" i="1" s="1"/>
  <c r="CP97" i="1"/>
  <c r="CQ97" i="1" s="1"/>
  <c r="CK97" i="1"/>
  <c r="CP105" i="1"/>
  <c r="CQ105" i="1" s="1"/>
  <c r="CK105" i="1"/>
  <c r="CP113" i="1"/>
  <c r="CQ113" i="1" s="1"/>
  <c r="CK113" i="1"/>
  <c r="CP118" i="1"/>
  <c r="CK118" i="1"/>
  <c r="CK114" i="1"/>
  <c r="CP114" i="1"/>
  <c r="CP117" i="1"/>
  <c r="CQ117" i="1" s="1"/>
  <c r="CK117" i="1"/>
  <c r="CP126" i="1"/>
  <c r="CQ126" i="1" s="1"/>
  <c r="CK126" i="1"/>
  <c r="CK131" i="1"/>
  <c r="CP131" i="1"/>
  <c r="CQ131" i="1" s="1"/>
  <c r="CK134" i="1"/>
  <c r="CP134" i="1"/>
  <c r="CK125" i="1"/>
  <c r="CP125" i="1"/>
  <c r="CK133" i="1"/>
  <c r="CP133" i="1"/>
  <c r="CQ133" i="1" s="1"/>
  <c r="CP144" i="1"/>
  <c r="CK144" i="1"/>
  <c r="CK152" i="1"/>
  <c r="CP152" i="1"/>
  <c r="CQ152" i="1" s="1"/>
  <c r="CK141" i="1"/>
  <c r="CP141" i="1"/>
  <c r="CP149" i="1"/>
  <c r="CQ149" i="1" s="1"/>
  <c r="CK149" i="1"/>
  <c r="CP157" i="1"/>
  <c r="CK157" i="1"/>
  <c r="CP160" i="1"/>
  <c r="CK160" i="1"/>
  <c r="CK169" i="1"/>
  <c r="CP169" i="1"/>
  <c r="CQ169" i="1" s="1"/>
  <c r="CP163" i="1"/>
  <c r="CQ163" i="1" s="1"/>
  <c r="CK163" i="1"/>
  <c r="CP178" i="1"/>
  <c r="CK178" i="1"/>
  <c r="CP175" i="1"/>
  <c r="CQ175" i="1" s="1"/>
  <c r="CK175" i="1"/>
  <c r="CP182" i="1"/>
  <c r="CK182" i="1"/>
  <c r="CK185" i="1"/>
  <c r="CP185" i="1"/>
  <c r="CQ185" i="1" s="1"/>
  <c r="CK27" i="1"/>
  <c r="CP27" i="1"/>
  <c r="CQ27" i="1" s="1"/>
  <c r="CK16" i="1"/>
  <c r="CP16" i="1"/>
  <c r="CP365" i="1"/>
  <c r="CQ365" i="1" s="1"/>
  <c r="CK365" i="1"/>
  <c r="S372" i="1"/>
  <c r="T10" i="1"/>
  <c r="AU326" i="1"/>
  <c r="DZ326" i="1"/>
  <c r="AU362" i="1"/>
  <c r="AU354" i="1"/>
  <c r="AU346" i="1"/>
  <c r="AU322" i="1"/>
  <c r="AU314" i="1"/>
  <c r="AU306" i="1"/>
  <c r="AU299" i="1"/>
  <c r="DZ299" i="1"/>
  <c r="AU291" i="1"/>
  <c r="AU282" i="1"/>
  <c r="AU276" i="1"/>
  <c r="AU269" i="1"/>
  <c r="AU257" i="1"/>
  <c r="AU249" i="1"/>
  <c r="AU241" i="1"/>
  <c r="AU180" i="1"/>
  <c r="AU332" i="1"/>
  <c r="AU233" i="1"/>
  <c r="AU227" i="1"/>
  <c r="AU219" i="1"/>
  <c r="AU210" i="1"/>
  <c r="AU200" i="1"/>
  <c r="AU191" i="1"/>
  <c r="AU140" i="1"/>
  <c r="AU122" i="1"/>
  <c r="AU107" i="1"/>
  <c r="AU81" i="1"/>
  <c r="AU48" i="1"/>
  <c r="AU40" i="1"/>
  <c r="AU31" i="1"/>
  <c r="AU23" i="1"/>
  <c r="AU13" i="1"/>
  <c r="DZ13" i="1"/>
  <c r="AU176" i="1"/>
  <c r="AU168" i="1"/>
  <c r="AU160" i="1"/>
  <c r="AU71" i="1"/>
  <c r="AU64" i="1"/>
  <c r="AU55" i="1"/>
  <c r="AU14" i="1"/>
  <c r="AU26" i="1"/>
  <c r="AU43" i="1"/>
  <c r="AU56" i="1"/>
  <c r="AU63" i="1"/>
  <c r="AU72" i="1"/>
  <c r="AU80" i="1"/>
  <c r="AU88" i="1"/>
  <c r="AU96" i="1"/>
  <c r="AU104" i="1"/>
  <c r="AU112" i="1"/>
  <c r="AU119" i="1"/>
  <c r="AU127" i="1"/>
  <c r="AU137" i="1"/>
  <c r="AU145" i="1"/>
  <c r="AU155" i="1"/>
  <c r="AU163" i="1"/>
  <c r="AU171" i="1"/>
  <c r="AU179" i="1"/>
  <c r="AU187" i="1"/>
  <c r="AU209" i="1"/>
  <c r="AU224" i="1"/>
  <c r="AU242" i="1"/>
  <c r="AU258" i="1"/>
  <c r="AU275" i="1"/>
  <c r="AU292" i="1"/>
  <c r="AU311" i="1"/>
  <c r="AU327" i="1"/>
  <c r="AU351" i="1"/>
  <c r="AU367" i="1"/>
  <c r="AU349" i="1"/>
  <c r="AU333" i="1"/>
  <c r="AU317" i="1"/>
  <c r="AU302" i="1"/>
  <c r="AU286" i="1"/>
  <c r="I293" i="24"/>
  <c r="AU266" i="1"/>
  <c r="AU244" i="1"/>
  <c r="AU218" i="1"/>
  <c r="AU203" i="1"/>
  <c r="AU188" i="1"/>
  <c r="AU146" i="1"/>
  <c r="AU128" i="1"/>
  <c r="AU105" i="1"/>
  <c r="AU90" i="1"/>
  <c r="AU49" i="1"/>
  <c r="AU28" i="1"/>
  <c r="I373" i="1"/>
  <c r="M10" i="3" s="1"/>
  <c r="AG9" i="1"/>
  <c r="I368" i="1"/>
  <c r="C10" i="3" s="1"/>
  <c r="O373" i="1"/>
  <c r="M12" i="3" s="1"/>
  <c r="O368" i="1"/>
  <c r="C12" i="3" s="1"/>
  <c r="R371" i="1"/>
  <c r="U372" i="1"/>
  <c r="AA373" i="1"/>
  <c r="M16" i="3" s="1"/>
  <c r="AA368" i="1"/>
  <c r="C16" i="3" s="1"/>
  <c r="AJ373" i="1"/>
  <c r="M18" i="3" s="1"/>
  <c r="AJ368" i="1"/>
  <c r="C18" i="3" s="1"/>
  <c r="W18" i="3" s="1"/>
  <c r="AM371" i="1"/>
  <c r="F369" i="4"/>
  <c r="H369" i="4" s="1"/>
  <c r="EC367" i="1"/>
  <c r="F365" i="4"/>
  <c r="H365" i="4" s="1"/>
  <c r="EC363" i="1"/>
  <c r="F361" i="4"/>
  <c r="H361" i="4" s="1"/>
  <c r="EC359" i="1"/>
  <c r="DY359" i="1"/>
  <c r="F357" i="4"/>
  <c r="H357" i="4" s="1"/>
  <c r="EC355" i="1"/>
  <c r="F353" i="4"/>
  <c r="H353" i="4" s="1"/>
  <c r="EC351" i="1"/>
  <c r="F349" i="4"/>
  <c r="H349" i="4" s="1"/>
  <c r="EC347" i="1"/>
  <c r="H354" i="24"/>
  <c r="F340" i="4"/>
  <c r="H340" i="4" s="1"/>
  <c r="EC338" i="1"/>
  <c r="DY338" i="1"/>
  <c r="F336" i="4"/>
  <c r="H336" i="4" s="1"/>
  <c r="EC334" i="1"/>
  <c r="EC330" i="1"/>
  <c r="F332" i="4"/>
  <c r="H332" i="4" s="1"/>
  <c r="EC326" i="1"/>
  <c r="F328" i="4"/>
  <c r="H328" i="4" s="1"/>
  <c r="F324" i="4"/>
  <c r="H324" i="4" s="1"/>
  <c r="EC322" i="1"/>
  <c r="H329" i="24"/>
  <c r="DY322" i="1"/>
  <c r="F320" i="4"/>
  <c r="H320" i="4" s="1"/>
  <c r="EC318" i="1"/>
  <c r="DY318" i="1"/>
  <c r="EC314" i="1"/>
  <c r="F316" i="4"/>
  <c r="H316" i="4" s="1"/>
  <c r="EC310" i="1"/>
  <c r="F312" i="4"/>
  <c r="H312" i="4" s="1"/>
  <c r="F308" i="4"/>
  <c r="H308" i="4" s="1"/>
  <c r="EC306" i="1"/>
  <c r="H313" i="24"/>
  <c r="DY306" i="1"/>
  <c r="EC302" i="1"/>
  <c r="F304" i="4"/>
  <c r="H304" i="4" s="1"/>
  <c r="EC298" i="1"/>
  <c r="F300" i="4"/>
  <c r="H300" i="4" s="1"/>
  <c r="EC294" i="1"/>
  <c r="F296" i="4"/>
  <c r="H296" i="4" s="1"/>
  <c r="F292" i="4"/>
  <c r="H292" i="4" s="1"/>
  <c r="EC290" i="1"/>
  <c r="H297" i="24"/>
  <c r="EC286" i="1"/>
  <c r="F288" i="4"/>
  <c r="H288" i="4" s="1"/>
  <c r="DY286" i="1"/>
  <c r="EC280" i="1"/>
  <c r="F282" i="4"/>
  <c r="H282" i="4" s="1"/>
  <c r="F278" i="4"/>
  <c r="H278" i="4" s="1"/>
  <c r="EC276" i="1"/>
  <c r="H281" i="24"/>
  <c r="F274" i="4"/>
  <c r="H274" i="4" s="1"/>
  <c r="EC272" i="1"/>
  <c r="F270" i="4"/>
  <c r="H270" i="4" s="1"/>
  <c r="EC268" i="1"/>
  <c r="F266" i="4"/>
  <c r="H266" i="4" s="1"/>
  <c r="EC264" i="1"/>
  <c r="EC260" i="1"/>
  <c r="F262" i="4"/>
  <c r="H262" i="4" s="1"/>
  <c r="H264" i="24"/>
  <c r="DY260" i="1"/>
  <c r="F258" i="4"/>
  <c r="H258" i="4" s="1"/>
  <c r="EC256" i="1"/>
  <c r="F254" i="4"/>
  <c r="H254" i="4" s="1"/>
  <c r="EC252" i="1"/>
  <c r="F250" i="4"/>
  <c r="H250" i="4" s="1"/>
  <c r="EC248" i="1"/>
  <c r="EC244" i="1"/>
  <c r="F246" i="4"/>
  <c r="H246" i="4" s="1"/>
  <c r="DY244" i="1"/>
  <c r="F242" i="4"/>
  <c r="H242" i="4" s="1"/>
  <c r="EC240" i="1"/>
  <c r="F238" i="4"/>
  <c r="H238" i="4" s="1"/>
  <c r="EC236" i="1"/>
  <c r="F234" i="4"/>
  <c r="H234" i="4" s="1"/>
  <c r="EC232" i="1"/>
  <c r="EC228" i="1"/>
  <c r="F230" i="4"/>
  <c r="H230" i="4" s="1"/>
  <c r="H232" i="24"/>
  <c r="F226" i="4"/>
  <c r="H226" i="4" s="1"/>
  <c r="EC224" i="1"/>
  <c r="EC220" i="1"/>
  <c r="F222" i="4"/>
  <c r="H222" i="4" s="1"/>
  <c r="EC216" i="1"/>
  <c r="F218" i="4"/>
  <c r="H218" i="4" s="1"/>
  <c r="EC212" i="1"/>
  <c r="F214" i="4"/>
  <c r="H214" i="4" s="1"/>
  <c r="H216" i="24"/>
  <c r="F210" i="4"/>
  <c r="H210" i="4" s="1"/>
  <c r="EC208" i="1"/>
  <c r="H212" i="24"/>
  <c r="EC204" i="1"/>
  <c r="F206" i="4"/>
  <c r="H206" i="4" s="1"/>
  <c r="EC200" i="1"/>
  <c r="F202" i="4"/>
  <c r="H202" i="4" s="1"/>
  <c r="H204" i="24"/>
  <c r="F198" i="4"/>
  <c r="H198" i="4" s="1"/>
  <c r="EC196" i="1"/>
  <c r="DY196" i="1"/>
  <c r="H199" i="24"/>
  <c r="EC192" i="1"/>
  <c r="F194" i="4"/>
  <c r="H194" i="4" s="1"/>
  <c r="EC188" i="1"/>
  <c r="F190" i="4"/>
  <c r="H190" i="4" s="1"/>
  <c r="EC182" i="1"/>
  <c r="F184" i="4"/>
  <c r="H184" i="4" s="1"/>
  <c r="F179" i="4"/>
  <c r="H179" i="4" s="1"/>
  <c r="EC177" i="1"/>
  <c r="DY177" i="1"/>
  <c r="EC173" i="1"/>
  <c r="F175" i="4"/>
  <c r="H175" i="4" s="1"/>
  <c r="F171" i="4"/>
  <c r="H171" i="4" s="1"/>
  <c r="EC169" i="1"/>
  <c r="F167" i="4"/>
  <c r="H167" i="4" s="1"/>
  <c r="EC165" i="1"/>
  <c r="DY165" i="1"/>
  <c r="H168" i="24"/>
  <c r="EC159" i="1"/>
  <c r="F161" i="4"/>
  <c r="H161" i="4" s="1"/>
  <c r="F157" i="4"/>
  <c r="H157" i="4" s="1"/>
  <c r="EC155" i="1"/>
  <c r="H158" i="24"/>
  <c r="EC151" i="1"/>
  <c r="F153" i="4"/>
  <c r="H153" i="4" s="1"/>
  <c r="EC147" i="1"/>
  <c r="F149" i="4"/>
  <c r="H149" i="4" s="1"/>
  <c r="EC143" i="1"/>
  <c r="F145" i="4"/>
  <c r="H145" i="4" s="1"/>
  <c r="F141" i="4"/>
  <c r="H141" i="4" s="1"/>
  <c r="EC139" i="1"/>
  <c r="DY139" i="1"/>
  <c r="H142" i="24"/>
  <c r="EC135" i="1"/>
  <c r="F137" i="4"/>
  <c r="H137" i="4" s="1"/>
  <c r="F132" i="4"/>
  <c r="H132" i="4" s="1"/>
  <c r="EC130" i="1"/>
  <c r="H132" i="24"/>
  <c r="EC126" i="1"/>
  <c r="F128" i="4"/>
  <c r="H128" i="4" s="1"/>
  <c r="F124" i="4"/>
  <c r="H124" i="4" s="1"/>
  <c r="EC122" i="1"/>
  <c r="EC118" i="1"/>
  <c r="F120" i="4"/>
  <c r="H120" i="4" s="1"/>
  <c r="F116" i="4"/>
  <c r="H116" i="4" s="1"/>
  <c r="EC114" i="1"/>
  <c r="DY114" i="1"/>
  <c r="H115" i="24"/>
  <c r="F112" i="4"/>
  <c r="H112" i="4" s="1"/>
  <c r="EC110" i="1"/>
  <c r="F108" i="4"/>
  <c r="H108" i="4" s="1"/>
  <c r="EC106" i="1"/>
  <c r="EC102" i="1"/>
  <c r="F104" i="4"/>
  <c r="H104" i="4" s="1"/>
  <c r="F100" i="4"/>
  <c r="H100" i="4" s="1"/>
  <c r="EC98" i="1"/>
  <c r="DY98" i="1"/>
  <c r="H99" i="24"/>
  <c r="F96" i="4"/>
  <c r="H96" i="4" s="1"/>
  <c r="EC94" i="1"/>
  <c r="F92" i="4"/>
  <c r="H92" i="4" s="1"/>
  <c r="EC90" i="1"/>
  <c r="EC86" i="1"/>
  <c r="F88" i="4"/>
  <c r="H88" i="4" s="1"/>
  <c r="F81" i="4"/>
  <c r="H81" i="4" s="1"/>
  <c r="EC79" i="1"/>
  <c r="F76" i="4"/>
  <c r="H76" i="4" s="1"/>
  <c r="EC74" i="1"/>
  <c r="F72" i="4"/>
  <c r="H72" i="4" s="1"/>
  <c r="EC70" i="1"/>
  <c r="EC65" i="1"/>
  <c r="F67" i="4"/>
  <c r="H67" i="4" s="1"/>
  <c r="H65" i="24"/>
  <c r="F63" i="4"/>
  <c r="H63" i="4" s="1"/>
  <c r="EC61" i="1"/>
  <c r="F59" i="4"/>
  <c r="H59" i="4" s="1"/>
  <c r="EC57" i="1"/>
  <c r="EC53" i="1"/>
  <c r="F55" i="4"/>
  <c r="H55" i="4" s="1"/>
  <c r="F51" i="4"/>
  <c r="H51" i="4" s="1"/>
  <c r="EC49" i="1"/>
  <c r="H48" i="24"/>
  <c r="F42" i="4"/>
  <c r="H42" i="4" s="1"/>
  <c r="EC40" i="1"/>
  <c r="F38" i="4"/>
  <c r="H38" i="4" s="1"/>
  <c r="EC36" i="1"/>
  <c r="H35" i="24"/>
  <c r="F34" i="4"/>
  <c r="H34" i="4" s="1"/>
  <c r="EC32" i="1"/>
  <c r="F30" i="4"/>
  <c r="H30" i="4" s="1"/>
  <c r="EC28" i="1"/>
  <c r="F24" i="4"/>
  <c r="H24" i="4" s="1"/>
  <c r="EC22" i="1"/>
  <c r="F20" i="4"/>
  <c r="H20" i="4" s="1"/>
  <c r="EC18" i="1"/>
  <c r="DY18" i="1"/>
  <c r="H17" i="24"/>
  <c r="EC14" i="1"/>
  <c r="F16" i="4"/>
  <c r="H16" i="4" s="1"/>
  <c r="H13" i="24"/>
  <c r="H366" i="24"/>
  <c r="DY355" i="1"/>
  <c r="DY347" i="1"/>
  <c r="DY327" i="1"/>
  <c r="H322" i="24"/>
  <c r="DY267" i="1"/>
  <c r="H267" i="24"/>
  <c r="H255" i="24"/>
  <c r="H239" i="24"/>
  <c r="H223" i="24"/>
  <c r="DY203" i="1"/>
  <c r="H174" i="24"/>
  <c r="DY155" i="1"/>
  <c r="DY135" i="1"/>
  <c r="H125" i="24"/>
  <c r="DY107" i="1"/>
  <c r="H75" i="24"/>
  <c r="DY43" i="1"/>
  <c r="H42" i="24"/>
  <c r="BQ15" i="1"/>
  <c r="AV371" i="1"/>
  <c r="AY372" i="1"/>
  <c r="BE373" i="1"/>
  <c r="M27" i="3" s="1"/>
  <c r="BE368" i="1"/>
  <c r="C27" i="3" s="1"/>
  <c r="BH371" i="1"/>
  <c r="BK372" i="1"/>
  <c r="BV9" i="1"/>
  <c r="BT365" i="1"/>
  <c r="BV365" i="1" s="1"/>
  <c r="BT361" i="1"/>
  <c r="BV361" i="1" s="1"/>
  <c r="BT357" i="1"/>
  <c r="BV357" i="1" s="1"/>
  <c r="BT353" i="1"/>
  <c r="BV353" i="1" s="1"/>
  <c r="BT371" i="1"/>
  <c r="BV15" i="1"/>
  <c r="BV371" i="1" s="1"/>
  <c r="BW371" i="1"/>
  <c r="CB9" i="1"/>
  <c r="BZ364" i="1"/>
  <c r="CB364" i="1" s="1"/>
  <c r="BZ360" i="1"/>
  <c r="CB360" i="1" s="1"/>
  <c r="BZ356" i="1"/>
  <c r="CB356" i="1" s="1"/>
  <c r="CC372" i="1"/>
  <c r="CI373" i="1"/>
  <c r="M38" i="3" s="1"/>
  <c r="CI368" i="1"/>
  <c r="C38" i="3" s="1"/>
  <c r="CO9" i="1"/>
  <c r="CL371" i="1"/>
  <c r="F71" i="4"/>
  <c r="H71" i="4" s="1"/>
  <c r="EC69" i="1"/>
  <c r="AS27" i="1"/>
  <c r="AU27" i="1" s="1"/>
  <c r="AQ103" i="1"/>
  <c r="AR103" i="1" s="1"/>
  <c r="AQ320" i="1"/>
  <c r="AR320" i="1" s="1"/>
  <c r="AQ310" i="1"/>
  <c r="AR310" i="1" s="1"/>
  <c r="AQ83" i="1"/>
  <c r="AR83" i="1" s="1"/>
  <c r="AQ154" i="1"/>
  <c r="AR154" i="1" s="1"/>
  <c r="AQ26" i="1"/>
  <c r="AR26" i="1" s="1"/>
  <c r="AQ12" i="1"/>
  <c r="AR12" i="1" s="1"/>
  <c r="AQ50" i="1"/>
  <c r="AR50" i="1" s="1"/>
  <c r="AQ47" i="1"/>
  <c r="AR47" i="1" s="1"/>
  <c r="AQ72" i="1"/>
  <c r="AR72" i="1" s="1"/>
  <c r="AQ95" i="1"/>
  <c r="AR95" i="1" s="1"/>
  <c r="AQ128" i="1"/>
  <c r="AR128" i="1" s="1"/>
  <c r="AQ127" i="1"/>
  <c r="AR127" i="1" s="1"/>
  <c r="AQ159" i="1"/>
  <c r="AR159" i="1" s="1"/>
  <c r="AQ234" i="1"/>
  <c r="AR234" i="1" s="1"/>
  <c r="AQ316" i="1"/>
  <c r="AR316" i="1" s="1"/>
  <c r="AQ337" i="1"/>
  <c r="AR337" i="1" s="1"/>
  <c r="AQ347" i="1"/>
  <c r="AR347" i="1" s="1"/>
  <c r="AQ336" i="1"/>
  <c r="AR336" i="1" s="1"/>
  <c r="AQ332" i="1"/>
  <c r="AR332" i="1" s="1"/>
  <c r="AQ306" i="1"/>
  <c r="AR306" i="1" s="1"/>
  <c r="AQ293" i="1"/>
  <c r="AR293" i="1" s="1"/>
  <c r="AQ273" i="1"/>
  <c r="AR273" i="1" s="1"/>
  <c r="AQ262" i="1"/>
  <c r="AR262" i="1" s="1"/>
  <c r="AQ254" i="1"/>
  <c r="AR254" i="1" s="1"/>
  <c r="AQ243" i="1"/>
  <c r="AR243" i="1" s="1"/>
  <c r="AQ230" i="1"/>
  <c r="AR230" i="1" s="1"/>
  <c r="AQ220" i="1"/>
  <c r="AR220" i="1" s="1"/>
  <c r="AQ214" i="1"/>
  <c r="AR214" i="1" s="1"/>
  <c r="AQ212" i="1"/>
  <c r="AR212" i="1" s="1"/>
  <c r="AQ203" i="1"/>
  <c r="AR203" i="1" s="1"/>
  <c r="AQ181" i="1"/>
  <c r="AR181" i="1" s="1"/>
  <c r="AQ169" i="1"/>
  <c r="AR169" i="1" s="1"/>
  <c r="AQ149" i="1"/>
  <c r="AR149" i="1" s="1"/>
  <c r="AQ137" i="1"/>
  <c r="AR137" i="1" s="1"/>
  <c r="AQ132" i="1"/>
  <c r="AR132" i="1" s="1"/>
  <c r="AQ124" i="1"/>
  <c r="AR124" i="1" s="1"/>
  <c r="AQ116" i="1"/>
  <c r="AR116" i="1" s="1"/>
  <c r="AQ107" i="1"/>
  <c r="AR107" i="1" s="1"/>
  <c r="AQ104" i="1"/>
  <c r="AR104" i="1" s="1"/>
  <c r="AQ96" i="1"/>
  <c r="AR96" i="1" s="1"/>
  <c r="AQ82" i="1"/>
  <c r="AR82" i="1" s="1"/>
  <c r="AQ51" i="1"/>
  <c r="AR51" i="1" s="1"/>
  <c r="AQ43" i="1"/>
  <c r="AR43" i="1" s="1"/>
  <c r="AQ346" i="1"/>
  <c r="AR346" i="1" s="1"/>
  <c r="AQ321" i="1"/>
  <c r="AR321" i="1" s="1"/>
  <c r="AQ313" i="1"/>
  <c r="AR313" i="1" s="1"/>
  <c r="AQ303" i="1"/>
  <c r="AR303" i="1" s="1"/>
  <c r="AQ280" i="1"/>
  <c r="AR280" i="1" s="1"/>
  <c r="AQ269" i="1"/>
  <c r="AR269" i="1" s="1"/>
  <c r="AQ250" i="1"/>
  <c r="AR250" i="1" s="1"/>
  <c r="AQ237" i="1"/>
  <c r="AR237" i="1" s="1"/>
  <c r="AQ222" i="1"/>
  <c r="AR222" i="1" s="1"/>
  <c r="AQ190" i="1"/>
  <c r="AR190" i="1" s="1"/>
  <c r="AQ21" i="1"/>
  <c r="AR21" i="1" s="1"/>
  <c r="AQ180" i="1"/>
  <c r="AR180" i="1" s="1"/>
  <c r="AQ178" i="1"/>
  <c r="AR178" i="1" s="1"/>
  <c r="AQ168" i="1"/>
  <c r="AR168" i="1" s="1"/>
  <c r="AQ147" i="1"/>
  <c r="AR147" i="1" s="1"/>
  <c r="AQ135" i="1"/>
  <c r="AR135" i="1" s="1"/>
  <c r="AQ122" i="1"/>
  <c r="AR122" i="1" s="1"/>
  <c r="AQ105" i="1"/>
  <c r="AR105" i="1" s="1"/>
  <c r="AQ94" i="1"/>
  <c r="AR94" i="1" s="1"/>
  <c r="AQ80" i="1"/>
  <c r="AR80" i="1" s="1"/>
  <c r="AQ74" i="1"/>
  <c r="AR74" i="1" s="1"/>
  <c r="AQ41" i="1"/>
  <c r="AR41" i="1" s="1"/>
  <c r="AQ338" i="1"/>
  <c r="AR338" i="1" s="1"/>
  <c r="AQ334" i="1"/>
  <c r="AR334" i="1" s="1"/>
  <c r="AQ326" i="1"/>
  <c r="AR326" i="1" s="1"/>
  <c r="AQ279" i="1"/>
  <c r="AR279" i="1" s="1"/>
  <c r="AQ277" i="1"/>
  <c r="AR277" i="1" s="1"/>
  <c r="AQ261" i="1"/>
  <c r="AR261" i="1" s="1"/>
  <c r="AQ202" i="1"/>
  <c r="AR202" i="1" s="1"/>
  <c r="AQ75" i="1"/>
  <c r="AR75" i="1" s="1"/>
  <c r="AQ165" i="1"/>
  <c r="AR165" i="1" s="1"/>
  <c r="AQ211" i="1"/>
  <c r="AR211" i="1" s="1"/>
  <c r="AQ300" i="1"/>
  <c r="AR300" i="1" s="1"/>
  <c r="BC18" i="1"/>
  <c r="BD18" i="1" s="1"/>
  <c r="BF18" i="1"/>
  <c r="BG18" i="1" s="1"/>
  <c r="AT154" i="1"/>
  <c r="AT147" i="1"/>
  <c r="BO18" i="1"/>
  <c r="BP18" i="1" s="1"/>
  <c r="AT135" i="1"/>
  <c r="CJ222" i="1"/>
  <c r="AT95" i="1"/>
  <c r="AT202" i="1"/>
  <c r="AT53" i="1"/>
  <c r="CD54" i="1"/>
  <c r="CE54" i="1" s="1"/>
  <c r="CD201" i="1"/>
  <c r="CE201" i="1" s="1"/>
  <c r="CD190" i="1"/>
  <c r="CE190" i="1" s="1"/>
  <c r="CD69" i="1"/>
  <c r="CE69" i="1" s="1"/>
  <c r="CD178" i="1"/>
  <c r="CE178" i="1" s="1"/>
  <c r="CD280" i="1"/>
  <c r="CE280" i="1" s="1"/>
  <c r="CD345" i="1"/>
  <c r="CE345" i="1" s="1"/>
  <c r="CD68" i="1"/>
  <c r="CE68" i="1" s="1"/>
  <c r="CD12" i="1"/>
  <c r="CE12" i="1" s="1"/>
  <c r="CD28" i="1"/>
  <c r="CE28" i="1" s="1"/>
  <c r="CD304" i="1"/>
  <c r="CE304" i="1" s="1"/>
  <c r="CD101" i="1"/>
  <c r="CE101" i="1" s="1"/>
  <c r="CD330" i="1"/>
  <c r="CE330" i="1" s="1"/>
  <c r="CD277" i="1"/>
  <c r="CE277" i="1" s="1"/>
  <c r="CD318" i="1"/>
  <c r="CE318" i="1" s="1"/>
  <c r="CD180" i="1"/>
  <c r="CE180" i="1" s="1"/>
  <c r="CD135" i="1"/>
  <c r="CE135" i="1" s="1"/>
  <c r="CD94" i="1"/>
  <c r="CE94" i="1" s="1"/>
  <c r="CD55" i="1"/>
  <c r="CE55" i="1" s="1"/>
  <c r="CD53" i="1"/>
  <c r="CE53" i="1" s="1"/>
  <c r="AT9" i="1"/>
  <c r="CD300" i="1"/>
  <c r="CE300" i="1" s="1"/>
  <c r="CD228" i="1"/>
  <c r="CE228" i="1" s="1"/>
  <c r="CD348" i="1"/>
  <c r="CE348" i="1" s="1"/>
  <c r="CD347" i="1"/>
  <c r="CE347" i="1" s="1"/>
  <c r="CD344" i="1"/>
  <c r="CE344" i="1" s="1"/>
  <c r="CD342" i="1"/>
  <c r="CE342" i="1" s="1"/>
  <c r="CD264" i="1"/>
  <c r="CE264" i="1" s="1"/>
  <c r="CD249" i="1"/>
  <c r="CE249" i="1" s="1"/>
  <c r="CD236" i="1"/>
  <c r="CE236" i="1" s="1"/>
  <c r="CD179" i="1"/>
  <c r="CE179" i="1" s="1"/>
  <c r="CD152" i="1"/>
  <c r="CE152" i="1" s="1"/>
  <c r="CD128" i="1"/>
  <c r="CE128" i="1" s="1"/>
  <c r="CD122" i="1"/>
  <c r="CE122" i="1" s="1"/>
  <c r="CD95" i="1"/>
  <c r="CE95" i="1" s="1"/>
  <c r="CD93" i="1"/>
  <c r="CE93" i="1" s="1"/>
  <c r="CD75" i="1"/>
  <c r="CE75" i="1" s="1"/>
  <c r="CD250" i="1"/>
  <c r="CE250" i="1" s="1"/>
  <c r="CD224" i="1"/>
  <c r="CE224" i="1" s="1"/>
  <c r="CD213" i="1"/>
  <c r="CE213" i="1" s="1"/>
  <c r="CD346" i="1"/>
  <c r="CE346" i="1" s="1"/>
  <c r="CD289" i="1"/>
  <c r="CE289" i="1" s="1"/>
  <c r="CD281" i="1"/>
  <c r="CE281" i="1" s="1"/>
  <c r="CD263" i="1"/>
  <c r="CE263" i="1" s="1"/>
  <c r="CD260" i="1"/>
  <c r="CE260" i="1" s="1"/>
  <c r="CD227" i="1"/>
  <c r="CE227" i="1" s="1"/>
  <c r="CD223" i="1"/>
  <c r="CE223" i="1" s="1"/>
  <c r="CD212" i="1"/>
  <c r="CE212" i="1" s="1"/>
  <c r="CD204" i="1"/>
  <c r="CE204" i="1" s="1"/>
  <c r="CD343" i="1"/>
  <c r="CE343" i="1" s="1"/>
  <c r="CD301" i="1"/>
  <c r="CE301" i="1" s="1"/>
  <c r="CD299" i="1"/>
  <c r="CE299" i="1" s="1"/>
  <c r="CD291" i="1"/>
  <c r="CE291" i="1" s="1"/>
  <c r="CD284" i="1"/>
  <c r="CE284" i="1" s="1"/>
  <c r="CD262" i="1"/>
  <c r="CE262" i="1" s="1"/>
  <c r="CD222" i="1"/>
  <c r="CE222" i="1" s="1"/>
  <c r="CD211" i="1"/>
  <c r="CE211" i="1" s="1"/>
  <c r="CD160" i="1"/>
  <c r="CE160" i="1" s="1"/>
  <c r="CD332" i="1"/>
  <c r="CE332" i="1" s="1"/>
  <c r="CD320" i="1"/>
  <c r="CE320" i="1" s="1"/>
  <c r="CD303" i="1"/>
  <c r="CE303" i="1" s="1"/>
  <c r="CD259" i="1"/>
  <c r="CE259" i="1" s="1"/>
  <c r="CD194" i="1"/>
  <c r="CE194" i="1" s="1"/>
  <c r="CD62" i="1"/>
  <c r="CE62" i="1" s="1"/>
  <c r="CD231" i="1"/>
  <c r="CE231" i="1" s="1"/>
  <c r="CD203" i="1"/>
  <c r="CE203" i="1" s="1"/>
  <c r="CD197" i="1"/>
  <c r="CE197" i="1" s="1"/>
  <c r="CD196" i="1"/>
  <c r="CE196" i="1" s="1"/>
  <c r="CD183" i="1"/>
  <c r="CE183" i="1" s="1"/>
  <c r="CD159" i="1"/>
  <c r="CE159" i="1" s="1"/>
  <c r="CD150" i="1"/>
  <c r="CE150" i="1" s="1"/>
  <c r="CD144" i="1"/>
  <c r="CE144" i="1" s="1"/>
  <c r="CD116" i="1"/>
  <c r="CE116" i="1" s="1"/>
  <c r="CD77" i="1"/>
  <c r="CE77" i="1" s="1"/>
  <c r="CD46" i="1"/>
  <c r="CE46" i="1" s="1"/>
  <c r="CD33" i="1"/>
  <c r="CE33" i="1" s="1"/>
  <c r="CD205" i="1"/>
  <c r="CE205" i="1" s="1"/>
  <c r="CD182" i="1"/>
  <c r="CE182" i="1" s="1"/>
  <c r="CD176" i="1"/>
  <c r="CE176" i="1" s="1"/>
  <c r="CD167" i="1"/>
  <c r="CE167" i="1" s="1"/>
  <c r="CD158" i="1"/>
  <c r="CE158" i="1" s="1"/>
  <c r="CD143" i="1"/>
  <c r="CE143" i="1" s="1"/>
  <c r="CD110" i="1"/>
  <c r="CE110" i="1" s="1"/>
  <c r="CD81" i="1"/>
  <c r="CE81" i="1" s="1"/>
  <c r="CD230" i="1"/>
  <c r="CE230" i="1" s="1"/>
  <c r="CD216" i="1"/>
  <c r="CE216" i="1" s="1"/>
  <c r="CD181" i="1"/>
  <c r="CE181" i="1" s="1"/>
  <c r="CD142" i="1"/>
  <c r="CE142" i="1" s="1"/>
  <c r="CD35" i="1"/>
  <c r="CE35" i="1" s="1"/>
  <c r="CD21" i="1"/>
  <c r="CE21" i="1" s="1"/>
  <c r="CD111" i="1"/>
  <c r="CE111" i="1" s="1"/>
  <c r="CD109" i="1"/>
  <c r="CE109" i="1" s="1"/>
  <c r="CD103" i="1"/>
  <c r="CE103" i="1" s="1"/>
  <c r="CD88" i="1"/>
  <c r="CE88" i="1" s="1"/>
  <c r="CD80" i="1"/>
  <c r="CE80" i="1" s="1"/>
  <c r="CD42" i="1"/>
  <c r="CE42" i="1" s="1"/>
  <c r="CD34" i="1"/>
  <c r="CE34" i="1" s="1"/>
  <c r="CD22" i="1"/>
  <c r="CE22" i="1" s="1"/>
  <c r="CD14" i="1"/>
  <c r="CE14" i="1" s="1"/>
  <c r="CD129" i="1"/>
  <c r="CE129" i="1" s="1"/>
  <c r="CD24" i="1"/>
  <c r="CE24" i="1" s="1"/>
  <c r="CD136" i="1"/>
  <c r="CE136" i="1" s="1"/>
  <c r="CD76" i="1"/>
  <c r="CE76" i="1" s="1"/>
  <c r="CD61" i="1"/>
  <c r="CE61" i="1" s="1"/>
  <c r="CD29" i="1"/>
  <c r="CE29" i="1" s="1"/>
  <c r="CD338" i="1"/>
  <c r="CE338" i="1" s="1"/>
  <c r="CD326" i="1"/>
  <c r="CE326" i="1" s="1"/>
  <c r="CD312" i="1"/>
  <c r="CE312" i="1" s="1"/>
  <c r="CD295" i="1"/>
  <c r="CE295" i="1" s="1"/>
  <c r="CD271" i="1"/>
  <c r="CE271" i="1" s="1"/>
  <c r="CD256" i="1"/>
  <c r="CE256" i="1" s="1"/>
  <c r="CD242" i="1"/>
  <c r="CE242" i="1" s="1"/>
  <c r="CD233" i="1"/>
  <c r="CE233" i="1" s="1"/>
  <c r="CD192" i="1"/>
  <c r="CE192" i="1" s="1"/>
  <c r="CD350" i="1"/>
  <c r="CE350" i="1" s="1"/>
  <c r="CD335" i="1"/>
  <c r="CE335" i="1" s="1"/>
  <c r="CD323" i="1"/>
  <c r="CE323" i="1" s="1"/>
  <c r="CD311" i="1"/>
  <c r="CE311" i="1" s="1"/>
  <c r="CD308" i="1"/>
  <c r="CE308" i="1" s="1"/>
  <c r="CD306" i="1"/>
  <c r="CE306" i="1" s="1"/>
  <c r="CD270" i="1"/>
  <c r="CE270" i="1" s="1"/>
  <c r="CD268" i="1"/>
  <c r="CE268" i="1" s="1"/>
  <c r="CD266" i="1"/>
  <c r="CE266" i="1" s="1"/>
  <c r="CD253" i="1"/>
  <c r="CE253" i="1" s="1"/>
  <c r="CD241" i="1"/>
  <c r="CE241" i="1" s="1"/>
  <c r="CD220" i="1"/>
  <c r="CE220" i="1" s="1"/>
  <c r="CD209" i="1"/>
  <c r="CE209" i="1" s="1"/>
  <c r="CD186" i="1"/>
  <c r="CE186" i="1" s="1"/>
  <c r="CD47" i="1"/>
  <c r="CE47" i="1" s="1"/>
  <c r="CD340" i="1"/>
  <c r="CE340" i="1" s="1"/>
  <c r="CD310" i="1"/>
  <c r="CE310" i="1" s="1"/>
  <c r="CD297" i="1"/>
  <c r="CE297" i="1" s="1"/>
  <c r="CD287" i="1"/>
  <c r="CE287" i="1" s="1"/>
  <c r="CD258" i="1"/>
  <c r="CE258" i="1" s="1"/>
  <c r="CD240" i="1"/>
  <c r="CE240" i="1" s="1"/>
  <c r="CD219" i="1"/>
  <c r="CE219" i="1" s="1"/>
  <c r="CD208" i="1"/>
  <c r="CE208" i="1" s="1"/>
  <c r="CD185" i="1"/>
  <c r="CE185" i="1" s="1"/>
  <c r="CD166" i="1"/>
  <c r="CE166" i="1" s="1"/>
  <c r="CD102" i="1"/>
  <c r="CE102" i="1" s="1"/>
  <c r="CD41" i="1"/>
  <c r="CE41" i="1" s="1"/>
  <c r="CD351" i="1"/>
  <c r="CE351" i="1" s="1"/>
  <c r="CD339" i="1"/>
  <c r="CE339" i="1" s="1"/>
  <c r="CD336" i="1"/>
  <c r="CE336" i="1" s="1"/>
  <c r="CD334" i="1"/>
  <c r="CE334" i="1" s="1"/>
  <c r="CD324" i="1"/>
  <c r="CE324" i="1" s="1"/>
  <c r="CD322" i="1"/>
  <c r="CE322" i="1" s="1"/>
  <c r="CD307" i="1"/>
  <c r="CE307" i="1" s="1"/>
  <c r="CD296" i="1"/>
  <c r="CE296" i="1" s="1"/>
  <c r="CD293" i="1"/>
  <c r="CE293" i="1" s="1"/>
  <c r="CD267" i="1"/>
  <c r="CE267" i="1" s="1"/>
  <c r="CD257" i="1"/>
  <c r="CE257" i="1" s="1"/>
  <c r="CD254" i="1"/>
  <c r="CE254" i="1" s="1"/>
  <c r="CD252" i="1"/>
  <c r="CE252" i="1" s="1"/>
  <c r="CD234" i="1"/>
  <c r="CE234" i="1" s="1"/>
  <c r="CD218" i="1"/>
  <c r="CE218" i="1" s="1"/>
  <c r="CD207" i="1"/>
  <c r="CE207" i="1" s="1"/>
  <c r="CD199" i="1"/>
  <c r="CE199" i="1" s="1"/>
  <c r="CD168" i="1"/>
  <c r="CE168" i="1" s="1"/>
  <c r="CD151" i="1"/>
  <c r="CE151" i="1" s="1"/>
  <c r="CD134" i="1"/>
  <c r="CE134" i="1" s="1"/>
  <c r="CD89" i="1"/>
  <c r="CE89" i="1" s="1"/>
  <c r="CD43" i="1"/>
  <c r="CE43" i="1" s="1"/>
  <c r="CD174" i="1"/>
  <c r="CE174" i="1" s="1"/>
  <c r="CD175" i="1"/>
  <c r="CE175" i="1" s="1"/>
  <c r="CD154" i="1"/>
  <c r="CE154" i="1" s="1"/>
  <c r="S83" i="1"/>
  <c r="T83" i="1" s="1"/>
  <c r="P150" i="1"/>
  <c r="Q150" i="1" s="1"/>
  <c r="P9" i="1"/>
  <c r="AT267" i="1"/>
  <c r="AT189" i="1"/>
  <c r="H337" i="24" l="1"/>
  <c r="H374" i="24"/>
  <c r="DY13" i="1"/>
  <c r="DY81" i="1"/>
  <c r="DY167" i="1"/>
  <c r="CQ298" i="1"/>
  <c r="BS257" i="1"/>
  <c r="DY39" i="1"/>
  <c r="H219" i="24"/>
  <c r="CQ161" i="1"/>
  <c r="DZ49" i="1"/>
  <c r="DY30" i="1"/>
  <c r="H258" i="24"/>
  <c r="CQ225" i="1"/>
  <c r="CQ132" i="1"/>
  <c r="CQ116" i="1"/>
  <c r="CR11" i="1"/>
  <c r="CU11" i="1" s="1"/>
  <c r="D10" i="24" s="1"/>
  <c r="CR20" i="1"/>
  <c r="CU20" i="1" s="1"/>
  <c r="D19" i="24" s="1"/>
  <c r="CR36" i="1"/>
  <c r="CU36" i="1" s="1"/>
  <c r="D35" i="24" s="1"/>
  <c r="CR52" i="1"/>
  <c r="CU52" i="1" s="1"/>
  <c r="D51" i="24" s="1"/>
  <c r="H355" i="24"/>
  <c r="H109" i="24"/>
  <c r="H126" i="24"/>
  <c r="CQ141" i="1"/>
  <c r="CQ125" i="1"/>
  <c r="CQ29" i="1"/>
  <c r="DZ229" i="1"/>
  <c r="CQ352" i="1"/>
  <c r="CQ336" i="1"/>
  <c r="CQ304" i="1"/>
  <c r="CQ288" i="1"/>
  <c r="CQ256" i="1"/>
  <c r="CQ240" i="1"/>
  <c r="CQ221" i="1"/>
  <c r="DY138" i="1"/>
  <c r="DZ107" i="1"/>
  <c r="H107" i="24"/>
  <c r="H224" i="24"/>
  <c r="I222" i="24"/>
  <c r="DZ145" i="1"/>
  <c r="I89" i="24"/>
  <c r="I163" i="24"/>
  <c r="DZ354" i="1"/>
  <c r="CQ157" i="1"/>
  <c r="H225" i="24"/>
  <c r="DZ337" i="1"/>
  <c r="H339" i="24"/>
  <c r="CQ285" i="1"/>
  <c r="CQ253" i="1"/>
  <c r="CQ189" i="1"/>
  <c r="I184" i="24"/>
  <c r="CQ77" i="1"/>
  <c r="DY90" i="1"/>
  <c r="H307" i="24"/>
  <c r="DY99" i="1"/>
  <c r="DZ305" i="1"/>
  <c r="H9" i="24"/>
  <c r="DY76" i="1"/>
  <c r="DY92" i="1"/>
  <c r="H189" i="24"/>
  <c r="H323" i="24"/>
  <c r="CQ269" i="1"/>
  <c r="CQ237" i="1"/>
  <c r="DY74" i="1"/>
  <c r="DY147" i="1"/>
  <c r="DY173" i="1"/>
  <c r="H191" i="24"/>
  <c r="CQ160" i="1"/>
  <c r="CQ80" i="1"/>
  <c r="CQ45" i="1"/>
  <c r="CQ61" i="1"/>
  <c r="DY268" i="1"/>
  <c r="DZ273" i="1"/>
  <c r="CQ13" i="1"/>
  <c r="H270" i="24"/>
  <c r="CQ205" i="1"/>
  <c r="CQ109" i="1"/>
  <c r="CQ93" i="1"/>
  <c r="DY172" i="1"/>
  <c r="I266" i="24"/>
  <c r="DZ69" i="1"/>
  <c r="CQ173" i="1"/>
  <c r="H84" i="24"/>
  <c r="H27" i="24"/>
  <c r="H256" i="24"/>
  <c r="DZ128" i="1"/>
  <c r="DZ218" i="1"/>
  <c r="DZ367" i="1"/>
  <c r="I280" i="24"/>
  <c r="DZ81" i="1"/>
  <c r="I237" i="24"/>
  <c r="DY12" i="1"/>
  <c r="H43" i="24"/>
  <c r="H59" i="24"/>
  <c r="DY236" i="1"/>
  <c r="DY156" i="1"/>
  <c r="DY170" i="1"/>
  <c r="H330" i="24"/>
  <c r="CQ321" i="1"/>
  <c r="BS83" i="1"/>
  <c r="BS99" i="1"/>
  <c r="BS268" i="1"/>
  <c r="H144" i="24"/>
  <c r="H356" i="24"/>
  <c r="J356" i="24" s="1"/>
  <c r="DY179" i="1"/>
  <c r="H222" i="24"/>
  <c r="CQ289" i="1"/>
  <c r="CQ214" i="1"/>
  <c r="CQ208" i="1"/>
  <c r="CQ198" i="1"/>
  <c r="CQ192" i="1"/>
  <c r="BS28" i="1"/>
  <c r="BS76" i="1"/>
  <c r="CQ224" i="1"/>
  <c r="CQ176" i="1"/>
  <c r="CQ112" i="1"/>
  <c r="CQ96" i="1"/>
  <c r="CR12" i="1"/>
  <c r="CU12" i="1" s="1"/>
  <c r="D11" i="24" s="1"/>
  <c r="CR28" i="1"/>
  <c r="CU28" i="1" s="1"/>
  <c r="D27" i="24" s="1"/>
  <c r="CR44" i="1"/>
  <c r="CU44" i="1" s="1"/>
  <c r="D43" i="24" s="1"/>
  <c r="H182" i="24"/>
  <c r="H56" i="24"/>
  <c r="H208" i="24"/>
  <c r="DY83" i="1"/>
  <c r="H133" i="24"/>
  <c r="H166" i="24"/>
  <c r="DY323" i="1"/>
  <c r="DY314" i="1"/>
  <c r="I374" i="24"/>
  <c r="DZ275" i="1"/>
  <c r="I140" i="24"/>
  <c r="DZ112" i="1"/>
  <c r="CQ144" i="1"/>
  <c r="H291" i="24"/>
  <c r="DY140" i="1"/>
  <c r="DY237" i="1"/>
  <c r="H273" i="24"/>
  <c r="I360" i="24"/>
  <c r="CQ128" i="1"/>
  <c r="CQ22" i="1"/>
  <c r="BS252" i="1"/>
  <c r="BS300" i="1"/>
  <c r="BS348" i="1"/>
  <c r="H24" i="24"/>
  <c r="H73" i="24"/>
  <c r="H94" i="24"/>
  <c r="DY189" i="1"/>
  <c r="H340" i="24"/>
  <c r="DY67" i="1"/>
  <c r="CQ353" i="1"/>
  <c r="CQ337" i="1"/>
  <c r="CQ305" i="1"/>
  <c r="BS44" i="1"/>
  <c r="BS92" i="1"/>
  <c r="BS124" i="1"/>
  <c r="DY346" i="1"/>
  <c r="CQ48" i="1"/>
  <c r="H67" i="24"/>
  <c r="H100" i="24"/>
  <c r="DY131" i="1"/>
  <c r="DY163" i="1"/>
  <c r="H280" i="24"/>
  <c r="DY122" i="1"/>
  <c r="H150" i="24"/>
  <c r="DY298" i="1"/>
  <c r="CQ16" i="1"/>
  <c r="CQ134" i="1"/>
  <c r="BS26" i="1"/>
  <c r="BS122" i="1"/>
  <c r="BS154" i="1"/>
  <c r="BS195" i="1"/>
  <c r="H371" i="24"/>
  <c r="H57" i="24"/>
  <c r="CQ320" i="1"/>
  <c r="I269" i="24"/>
  <c r="H77" i="24"/>
  <c r="K77" i="24" s="1"/>
  <c r="DY253" i="1"/>
  <c r="DY365" i="1"/>
  <c r="H206" i="24"/>
  <c r="CQ272" i="1"/>
  <c r="H308" i="24"/>
  <c r="DH164" i="1"/>
  <c r="CQ32" i="1"/>
  <c r="CR31" i="1"/>
  <c r="CU31" i="1" s="1"/>
  <c r="D30" i="24" s="1"/>
  <c r="CR47" i="1"/>
  <c r="CU47" i="1" s="1"/>
  <c r="D46" i="24" s="1"/>
  <c r="CR63" i="1"/>
  <c r="CU63" i="1" s="1"/>
  <c r="D62" i="24" s="1"/>
  <c r="CR79" i="1"/>
  <c r="CU79" i="1" s="1"/>
  <c r="D80" i="24" s="1"/>
  <c r="CR95" i="1"/>
  <c r="CU95" i="1" s="1"/>
  <c r="D96" i="24" s="1"/>
  <c r="CR111" i="1"/>
  <c r="CU111" i="1" s="1"/>
  <c r="D112" i="24" s="1"/>
  <c r="CR127" i="1"/>
  <c r="CU127" i="1" s="1"/>
  <c r="D129" i="24" s="1"/>
  <c r="CR143" i="1"/>
  <c r="CU143" i="1" s="1"/>
  <c r="D146" i="24" s="1"/>
  <c r="CR159" i="1"/>
  <c r="CU159" i="1" s="1"/>
  <c r="D162" i="24" s="1"/>
  <c r="CR175" i="1"/>
  <c r="CU175" i="1" s="1"/>
  <c r="D178" i="24" s="1"/>
  <c r="CR191" i="1"/>
  <c r="CU191" i="1" s="1"/>
  <c r="D194" i="24" s="1"/>
  <c r="CR207" i="1"/>
  <c r="CU207" i="1" s="1"/>
  <c r="D211" i="24" s="1"/>
  <c r="CR223" i="1"/>
  <c r="CU223" i="1" s="1"/>
  <c r="D227" i="24" s="1"/>
  <c r="CR239" i="1"/>
  <c r="CU239" i="1" s="1"/>
  <c r="D243" i="24" s="1"/>
  <c r="CR255" i="1"/>
  <c r="CU255" i="1" s="1"/>
  <c r="D259" i="24" s="1"/>
  <c r="CR271" i="1"/>
  <c r="CU271" i="1" s="1"/>
  <c r="D276" i="24" s="1"/>
  <c r="CR287" i="1"/>
  <c r="CU287" i="1" s="1"/>
  <c r="D294" i="24" s="1"/>
  <c r="CR303" i="1"/>
  <c r="CU303" i="1" s="1"/>
  <c r="D310" i="24" s="1"/>
  <c r="CR319" i="1"/>
  <c r="CU319" i="1" s="1"/>
  <c r="D326" i="24" s="1"/>
  <c r="CR335" i="1"/>
  <c r="CU335" i="1" s="1"/>
  <c r="D342" i="24" s="1"/>
  <c r="CR351" i="1"/>
  <c r="CU351" i="1" s="1"/>
  <c r="D358" i="24" s="1"/>
  <c r="CR352" i="1"/>
  <c r="CU352" i="1" s="1"/>
  <c r="D359" i="24" s="1"/>
  <c r="CR60" i="1"/>
  <c r="CU60" i="1" s="1"/>
  <c r="D59" i="24" s="1"/>
  <c r="CR76" i="1"/>
  <c r="CU76" i="1" s="1"/>
  <c r="D76" i="24" s="1"/>
  <c r="CR92" i="1"/>
  <c r="CU92" i="1" s="1"/>
  <c r="D93" i="24" s="1"/>
  <c r="CR108" i="1"/>
  <c r="CU108" i="1" s="1"/>
  <c r="D109" i="24" s="1"/>
  <c r="CR124" i="1"/>
  <c r="CU124" i="1" s="1"/>
  <c r="D126" i="24" s="1"/>
  <c r="CR140" i="1"/>
  <c r="CU140" i="1" s="1"/>
  <c r="D143" i="24" s="1"/>
  <c r="CR156" i="1"/>
  <c r="CU156" i="1" s="1"/>
  <c r="D159" i="24" s="1"/>
  <c r="CR172" i="1"/>
  <c r="CU172" i="1" s="1"/>
  <c r="D175" i="24" s="1"/>
  <c r="CR188" i="1"/>
  <c r="CU188" i="1" s="1"/>
  <c r="D191" i="24" s="1"/>
  <c r="CR204" i="1"/>
  <c r="CU204" i="1" s="1"/>
  <c r="D208" i="24" s="1"/>
  <c r="CR220" i="1"/>
  <c r="CU220" i="1" s="1"/>
  <c r="D224" i="24" s="1"/>
  <c r="CR236" i="1"/>
  <c r="CU236" i="1" s="1"/>
  <c r="D240" i="24" s="1"/>
  <c r="CR252" i="1"/>
  <c r="CU252" i="1" s="1"/>
  <c r="D256" i="24" s="1"/>
  <c r="CR268" i="1"/>
  <c r="CU268" i="1" s="1"/>
  <c r="D272" i="24" s="1"/>
  <c r="CR284" i="1"/>
  <c r="CU284" i="1" s="1"/>
  <c r="D291" i="24" s="1"/>
  <c r="CR300" i="1"/>
  <c r="CU300" i="1" s="1"/>
  <c r="D307" i="24" s="1"/>
  <c r="CR316" i="1"/>
  <c r="CU316" i="1" s="1"/>
  <c r="D323" i="24" s="1"/>
  <c r="CR332" i="1"/>
  <c r="CU332" i="1" s="1"/>
  <c r="D339" i="24" s="1"/>
  <c r="CR348" i="1"/>
  <c r="CU348" i="1" s="1"/>
  <c r="D355" i="24" s="1"/>
  <c r="DZ31" i="1"/>
  <c r="DZ181" i="1"/>
  <c r="DZ77" i="1"/>
  <c r="BS17" i="1"/>
  <c r="BS33" i="1"/>
  <c r="BS49" i="1"/>
  <c r="BS354" i="1"/>
  <c r="CR340" i="1"/>
  <c r="CU340" i="1" s="1"/>
  <c r="D347" i="24" s="1"/>
  <c r="BS210" i="1"/>
  <c r="H89" i="24"/>
  <c r="DY24" i="1"/>
  <c r="BS216" i="1"/>
  <c r="BS232" i="1"/>
  <c r="DY104" i="1"/>
  <c r="H156" i="24"/>
  <c r="BS88" i="1"/>
  <c r="CR24" i="1"/>
  <c r="CU24" i="1" s="1"/>
  <c r="D23" i="24" s="1"/>
  <c r="CR40" i="1"/>
  <c r="CU40" i="1" s="1"/>
  <c r="D39" i="24" s="1"/>
  <c r="CR56" i="1"/>
  <c r="CU56" i="1" s="1"/>
  <c r="D55" i="24" s="1"/>
  <c r="H39" i="24"/>
  <c r="K39" i="24" s="1"/>
  <c r="DY159" i="1"/>
  <c r="DY216" i="1"/>
  <c r="DY232" i="1"/>
  <c r="DY248" i="1"/>
  <c r="DY280" i="1"/>
  <c r="H72" i="24"/>
  <c r="H155" i="24"/>
  <c r="DY184" i="1"/>
  <c r="DY344" i="1"/>
  <c r="H367" i="24"/>
  <c r="DY136" i="1"/>
  <c r="BS312" i="1"/>
  <c r="DY296" i="1"/>
  <c r="H10" i="24"/>
  <c r="CR72" i="1"/>
  <c r="CU72" i="1" s="1"/>
  <c r="D72" i="24" s="1"/>
  <c r="CR88" i="1"/>
  <c r="CU88" i="1" s="1"/>
  <c r="D89" i="24" s="1"/>
  <c r="CR104" i="1"/>
  <c r="CU104" i="1" s="1"/>
  <c r="D105" i="24" s="1"/>
  <c r="CR120" i="1"/>
  <c r="CU120" i="1" s="1"/>
  <c r="D121" i="24" s="1"/>
  <c r="CR136" i="1"/>
  <c r="CU136" i="1" s="1"/>
  <c r="D139" i="24" s="1"/>
  <c r="CR152" i="1"/>
  <c r="CU152" i="1" s="1"/>
  <c r="D155" i="24" s="1"/>
  <c r="CR168" i="1"/>
  <c r="CU168" i="1" s="1"/>
  <c r="D171" i="24" s="1"/>
  <c r="CR184" i="1"/>
  <c r="CU184" i="1" s="1"/>
  <c r="D187" i="24" s="1"/>
  <c r="CR200" i="1"/>
  <c r="CU200" i="1" s="1"/>
  <c r="D204" i="24" s="1"/>
  <c r="CR216" i="1"/>
  <c r="CU216" i="1" s="1"/>
  <c r="D220" i="24" s="1"/>
  <c r="CR232" i="1"/>
  <c r="CU232" i="1" s="1"/>
  <c r="D236" i="24" s="1"/>
  <c r="CR248" i="1"/>
  <c r="CU248" i="1" s="1"/>
  <c r="D252" i="24" s="1"/>
  <c r="CR264" i="1"/>
  <c r="CU264" i="1" s="1"/>
  <c r="D268" i="24" s="1"/>
  <c r="CR280" i="1"/>
  <c r="CU280" i="1" s="1"/>
  <c r="D287" i="24" s="1"/>
  <c r="CR296" i="1"/>
  <c r="CU296" i="1" s="1"/>
  <c r="D303" i="24" s="1"/>
  <c r="CR312" i="1"/>
  <c r="CU312" i="1" s="1"/>
  <c r="D319" i="24" s="1"/>
  <c r="CR328" i="1"/>
  <c r="CU328" i="1" s="1"/>
  <c r="D335" i="24" s="1"/>
  <c r="CR344" i="1"/>
  <c r="CU344" i="1" s="1"/>
  <c r="D351" i="24" s="1"/>
  <c r="DY127" i="1"/>
  <c r="DY143" i="1"/>
  <c r="H268" i="24"/>
  <c r="I188" i="24"/>
  <c r="I9" i="24"/>
  <c r="DY278" i="1"/>
  <c r="CR43" i="1"/>
  <c r="CU43" i="1" s="1"/>
  <c r="D42" i="24" s="1"/>
  <c r="CR59" i="1"/>
  <c r="CU59" i="1" s="1"/>
  <c r="D58" i="24" s="1"/>
  <c r="CR75" i="1"/>
  <c r="CU75" i="1" s="1"/>
  <c r="D75" i="24" s="1"/>
  <c r="CR91" i="1"/>
  <c r="CU91" i="1" s="1"/>
  <c r="D92" i="24" s="1"/>
  <c r="CR107" i="1"/>
  <c r="CU107" i="1" s="1"/>
  <c r="D108" i="24" s="1"/>
  <c r="CR123" i="1"/>
  <c r="CU123" i="1" s="1"/>
  <c r="D125" i="24" s="1"/>
  <c r="CR139" i="1"/>
  <c r="CU139" i="1" s="1"/>
  <c r="D142" i="24" s="1"/>
  <c r="CR155" i="1"/>
  <c r="CU155" i="1" s="1"/>
  <c r="D158" i="24" s="1"/>
  <c r="CR171" i="1"/>
  <c r="CU171" i="1" s="1"/>
  <c r="D174" i="24" s="1"/>
  <c r="CR187" i="1"/>
  <c r="CU187" i="1" s="1"/>
  <c r="D190" i="24" s="1"/>
  <c r="CR203" i="1"/>
  <c r="CU203" i="1" s="1"/>
  <c r="D207" i="24" s="1"/>
  <c r="CR219" i="1"/>
  <c r="CU219" i="1" s="1"/>
  <c r="D223" i="24" s="1"/>
  <c r="CR235" i="1"/>
  <c r="CU235" i="1" s="1"/>
  <c r="D239" i="24" s="1"/>
  <c r="CR251" i="1"/>
  <c r="CU251" i="1" s="1"/>
  <c r="D255" i="24" s="1"/>
  <c r="CR267" i="1"/>
  <c r="CU267" i="1" s="1"/>
  <c r="D271" i="24" s="1"/>
  <c r="CR283" i="1"/>
  <c r="CU283" i="1" s="1"/>
  <c r="D290" i="24" s="1"/>
  <c r="CR299" i="1"/>
  <c r="CU299" i="1" s="1"/>
  <c r="D306" i="24" s="1"/>
  <c r="CR315" i="1"/>
  <c r="CU315" i="1" s="1"/>
  <c r="D322" i="24" s="1"/>
  <c r="CR331" i="1"/>
  <c r="CU331" i="1" s="1"/>
  <c r="D338" i="24" s="1"/>
  <c r="CR347" i="1"/>
  <c r="CU347" i="1" s="1"/>
  <c r="D354" i="24" s="1"/>
  <c r="I108" i="24"/>
  <c r="DZ257" i="1"/>
  <c r="I338" i="24"/>
  <c r="H131" i="24"/>
  <c r="H285" i="24"/>
  <c r="DY247" i="1"/>
  <c r="H251" i="24"/>
  <c r="H31" i="24"/>
  <c r="DY94" i="1"/>
  <c r="H138" i="24"/>
  <c r="H195" i="24"/>
  <c r="I194" i="24"/>
  <c r="CQ106" i="1"/>
  <c r="BS279" i="1"/>
  <c r="BS311" i="1"/>
  <c r="H334" i="24"/>
  <c r="DZ117" i="1"/>
  <c r="DZ39" i="1"/>
  <c r="H44" i="24"/>
  <c r="H114" i="24"/>
  <c r="H148" i="24"/>
  <c r="H245" i="24"/>
  <c r="J245" i="24" s="1"/>
  <c r="H312" i="24"/>
  <c r="H54" i="24"/>
  <c r="H164" i="24"/>
  <c r="DY238" i="1"/>
  <c r="CQ346" i="1"/>
  <c r="CQ330" i="1"/>
  <c r="CQ282" i="1"/>
  <c r="CQ266" i="1"/>
  <c r="CQ250" i="1"/>
  <c r="BS112" i="1"/>
  <c r="BS128" i="1"/>
  <c r="BS160" i="1"/>
  <c r="BS273" i="1"/>
  <c r="BS305" i="1"/>
  <c r="BS337" i="1"/>
  <c r="BS353" i="1"/>
  <c r="H179" i="24"/>
  <c r="H203" i="24"/>
  <c r="J203" i="24" s="1"/>
  <c r="H344" i="24"/>
  <c r="CR16" i="1"/>
  <c r="CU16" i="1" s="1"/>
  <c r="D15" i="24" s="1"/>
  <c r="CR32" i="1"/>
  <c r="CU32" i="1" s="1"/>
  <c r="D31" i="24" s="1"/>
  <c r="CR48" i="1"/>
  <c r="CU48" i="1" s="1"/>
  <c r="D47" i="24" s="1"/>
  <c r="DY183" i="1"/>
  <c r="H22" i="24"/>
  <c r="K22" i="24" s="1"/>
  <c r="H154" i="24"/>
  <c r="H170" i="24"/>
  <c r="K170" i="24" s="1"/>
  <c r="H186" i="24"/>
  <c r="H350" i="24"/>
  <c r="K350" i="24" s="1"/>
  <c r="DY61" i="1"/>
  <c r="DY110" i="1"/>
  <c r="DY126" i="1"/>
  <c r="DY151" i="1"/>
  <c r="DY224" i="1"/>
  <c r="DY272" i="1"/>
  <c r="H341" i="24"/>
  <c r="DZ219" i="1"/>
  <c r="BS46" i="1"/>
  <c r="DY16" i="1"/>
  <c r="DY240" i="1"/>
  <c r="H311" i="24"/>
  <c r="DY71" i="1"/>
  <c r="H120" i="24"/>
  <c r="DY144" i="1"/>
  <c r="H213" i="24"/>
  <c r="H318" i="24"/>
  <c r="DZ238" i="1"/>
  <c r="I118" i="24"/>
  <c r="DY353" i="1"/>
  <c r="DY96" i="1"/>
  <c r="H130" i="24"/>
  <c r="J130" i="24" s="1"/>
  <c r="DY190" i="1"/>
  <c r="H226" i="24"/>
  <c r="J226" i="24" s="1"/>
  <c r="H275" i="24"/>
  <c r="DY288" i="1"/>
  <c r="H327" i="24"/>
  <c r="CQ202" i="1"/>
  <c r="H161" i="24"/>
  <c r="DY199" i="1"/>
  <c r="H235" i="24"/>
  <c r="DY263" i="1"/>
  <c r="H365" i="24"/>
  <c r="CQ366" i="1"/>
  <c r="CR64" i="1"/>
  <c r="CU64" i="1" s="1"/>
  <c r="D63" i="24" s="1"/>
  <c r="CR80" i="1"/>
  <c r="CU80" i="1" s="1"/>
  <c r="D81" i="24" s="1"/>
  <c r="CR96" i="1"/>
  <c r="CU96" i="1" s="1"/>
  <c r="D97" i="24" s="1"/>
  <c r="CR112" i="1"/>
  <c r="CU112" i="1" s="1"/>
  <c r="D113" i="24" s="1"/>
  <c r="CR128" i="1"/>
  <c r="CU128" i="1" s="1"/>
  <c r="D130" i="24" s="1"/>
  <c r="CR144" i="1"/>
  <c r="CU144" i="1" s="1"/>
  <c r="D147" i="24" s="1"/>
  <c r="CR160" i="1"/>
  <c r="CU160" i="1" s="1"/>
  <c r="D163" i="24" s="1"/>
  <c r="CR176" i="1"/>
  <c r="CU176" i="1" s="1"/>
  <c r="D179" i="24" s="1"/>
  <c r="CR192" i="1"/>
  <c r="CU192" i="1" s="1"/>
  <c r="D195" i="24" s="1"/>
  <c r="CR208" i="1"/>
  <c r="CU208" i="1" s="1"/>
  <c r="D212" i="24" s="1"/>
  <c r="CR224" i="1"/>
  <c r="CU224" i="1" s="1"/>
  <c r="D228" i="24" s="1"/>
  <c r="CR240" i="1"/>
  <c r="CU240" i="1" s="1"/>
  <c r="D244" i="24" s="1"/>
  <c r="CR256" i="1"/>
  <c r="CU256" i="1" s="1"/>
  <c r="D260" i="24" s="1"/>
  <c r="CR272" i="1"/>
  <c r="CU272" i="1" s="1"/>
  <c r="D277" i="24" s="1"/>
  <c r="CR288" i="1"/>
  <c r="CU288" i="1" s="1"/>
  <c r="D295" i="24" s="1"/>
  <c r="CR304" i="1"/>
  <c r="CU304" i="1" s="1"/>
  <c r="D311" i="24" s="1"/>
  <c r="CR320" i="1"/>
  <c r="CU320" i="1" s="1"/>
  <c r="D327" i="24" s="1"/>
  <c r="CR336" i="1"/>
  <c r="CU336" i="1" s="1"/>
  <c r="D343" i="24" s="1"/>
  <c r="DY23" i="1"/>
  <c r="H104" i="24"/>
  <c r="J104" i="24" s="1"/>
  <c r="DY311" i="1"/>
  <c r="DY343" i="1"/>
  <c r="H71" i="24"/>
  <c r="DY87" i="1"/>
  <c r="DY119" i="1"/>
  <c r="DY231" i="1"/>
  <c r="H302" i="24"/>
  <c r="H309" i="24"/>
  <c r="I223" i="24"/>
  <c r="CQ42" i="1"/>
  <c r="BS62" i="1"/>
  <c r="BS78" i="1"/>
  <c r="BS142" i="1"/>
  <c r="BS355" i="1"/>
  <c r="DY48" i="1"/>
  <c r="DY64" i="1"/>
  <c r="H61" i="24"/>
  <c r="H88" i="24"/>
  <c r="DY103" i="1"/>
  <c r="DY225" i="1"/>
  <c r="H278" i="24"/>
  <c r="DY295" i="1"/>
  <c r="DZ254" i="1"/>
  <c r="I242" i="24"/>
  <c r="K242" i="24" s="1"/>
  <c r="CQ314" i="1"/>
  <c r="CQ154" i="1"/>
  <c r="CQ138" i="1"/>
  <c r="BS103" i="1"/>
  <c r="BS151" i="1"/>
  <c r="DY97" i="1"/>
  <c r="DY321" i="1"/>
  <c r="H210" i="24"/>
  <c r="CQ218" i="1"/>
  <c r="CQ186" i="1"/>
  <c r="CQ122" i="1"/>
  <c r="H38" i="24"/>
  <c r="DY142" i="1"/>
  <c r="H357" i="24"/>
  <c r="J357" i="24" s="1"/>
  <c r="BS81" i="1"/>
  <c r="BS65" i="1"/>
  <c r="I65" i="24"/>
  <c r="BS282" i="1"/>
  <c r="I289" i="24"/>
  <c r="BS290" i="1"/>
  <c r="DZ290" i="1"/>
  <c r="BS298" i="1"/>
  <c r="I305" i="24"/>
  <c r="DY41" i="1"/>
  <c r="H40" i="24"/>
  <c r="DY42" i="1"/>
  <c r="H41" i="24"/>
  <c r="H238" i="24"/>
  <c r="DY234" i="1"/>
  <c r="H254" i="24"/>
  <c r="K254" i="24" s="1"/>
  <c r="DY250" i="1"/>
  <c r="DY282" i="1"/>
  <c r="H289" i="24"/>
  <c r="CR19" i="1"/>
  <c r="CU19" i="1" s="1"/>
  <c r="D18" i="24" s="1"/>
  <c r="H18" i="24"/>
  <c r="CR35" i="1"/>
  <c r="CU35" i="1" s="1"/>
  <c r="D34" i="24" s="1"/>
  <c r="DY35" i="1"/>
  <c r="CR51" i="1"/>
  <c r="CU51" i="1" s="1"/>
  <c r="D50" i="24" s="1"/>
  <c r="DY51" i="1"/>
  <c r="H50" i="24"/>
  <c r="CR115" i="1"/>
  <c r="CU115" i="1" s="1"/>
  <c r="D116" i="24" s="1"/>
  <c r="H116" i="24"/>
  <c r="CR195" i="1"/>
  <c r="CU195" i="1" s="1"/>
  <c r="D198" i="24" s="1"/>
  <c r="DY195" i="1"/>
  <c r="CR211" i="1"/>
  <c r="CU211" i="1" s="1"/>
  <c r="D215" i="24" s="1"/>
  <c r="H215" i="24"/>
  <c r="K215" i="24" s="1"/>
  <c r="DY211" i="1"/>
  <c r="CR227" i="1"/>
  <c r="CU227" i="1" s="1"/>
  <c r="D231" i="24" s="1"/>
  <c r="DY227" i="1"/>
  <c r="CR243" i="1"/>
  <c r="CU243" i="1" s="1"/>
  <c r="D247" i="24" s="1"/>
  <c r="H247" i="24"/>
  <c r="DY243" i="1"/>
  <c r="CR259" i="1"/>
  <c r="CU259" i="1" s="1"/>
  <c r="D263" i="24" s="1"/>
  <c r="DY259" i="1"/>
  <c r="CR291" i="1"/>
  <c r="CU291" i="1" s="1"/>
  <c r="D298" i="24" s="1"/>
  <c r="DY291" i="1"/>
  <c r="CR307" i="1"/>
  <c r="CU307" i="1" s="1"/>
  <c r="D314" i="24" s="1"/>
  <c r="DY307" i="1"/>
  <c r="CR339" i="1"/>
  <c r="CU339" i="1" s="1"/>
  <c r="D346" i="24" s="1"/>
  <c r="H346" i="24"/>
  <c r="H110" i="24"/>
  <c r="DY109" i="1"/>
  <c r="H127" i="24"/>
  <c r="DY125" i="1"/>
  <c r="DY157" i="1"/>
  <c r="H160" i="24"/>
  <c r="H209" i="24"/>
  <c r="DY205" i="1"/>
  <c r="DY285" i="1"/>
  <c r="H292" i="24"/>
  <c r="DY317" i="1"/>
  <c r="H324" i="24"/>
  <c r="BS221" i="1"/>
  <c r="BS237" i="1"/>
  <c r="I241" i="24"/>
  <c r="BS317" i="1"/>
  <c r="BS333" i="1"/>
  <c r="BS341" i="1"/>
  <c r="DZ341" i="1"/>
  <c r="DZ33" i="1"/>
  <c r="DY275" i="1"/>
  <c r="DZ79" i="1"/>
  <c r="I80" i="24"/>
  <c r="I112" i="24"/>
  <c r="DZ111" i="1"/>
  <c r="BS192" i="1"/>
  <c r="DZ192" i="1"/>
  <c r="DZ97" i="1"/>
  <c r="DY26" i="1"/>
  <c r="DY154" i="1"/>
  <c r="BS364" i="1"/>
  <c r="DZ364" i="1"/>
  <c r="CQ102" i="1"/>
  <c r="CQ70" i="1"/>
  <c r="BS253" i="1"/>
  <c r="CQ230" i="1"/>
  <c r="BS157" i="1"/>
  <c r="BS51" i="1"/>
  <c r="BS67" i="1"/>
  <c r="BS147" i="1"/>
  <c r="DZ44" i="1"/>
  <c r="DZ253" i="1"/>
  <c r="CQ278" i="1"/>
  <c r="CQ54" i="1"/>
  <c r="CQ38" i="1"/>
  <c r="H78" i="24"/>
  <c r="DY215" i="1"/>
  <c r="H296" i="24"/>
  <c r="CQ166" i="1"/>
  <c r="BS77" i="1"/>
  <c r="BS93" i="1"/>
  <c r="CQ182" i="1"/>
  <c r="CQ118" i="1"/>
  <c r="BS189" i="1"/>
  <c r="BS106" i="1"/>
  <c r="CQ326" i="1"/>
  <c r="I93" i="24"/>
  <c r="CQ362" i="1"/>
  <c r="CQ342" i="1"/>
  <c r="CQ310" i="1"/>
  <c r="CQ294" i="1"/>
  <c r="CQ262" i="1"/>
  <c r="CQ246" i="1"/>
  <c r="CQ86" i="1"/>
  <c r="DY279" i="1"/>
  <c r="CQ90" i="1"/>
  <c r="CQ26" i="1"/>
  <c r="BA372" i="1"/>
  <c r="BS25" i="1"/>
  <c r="BS41" i="1"/>
  <c r="BS129" i="1"/>
  <c r="BS202" i="1"/>
  <c r="I318" i="24"/>
  <c r="DZ103" i="1"/>
  <c r="I233" i="24"/>
  <c r="DZ92" i="1"/>
  <c r="I43" i="24"/>
  <c r="DZ26" i="1"/>
  <c r="I32" i="24"/>
  <c r="Q371" i="1"/>
  <c r="BG371" i="1"/>
  <c r="AR364" i="1"/>
  <c r="H52" i="24"/>
  <c r="DZ311" i="1"/>
  <c r="DZ48" i="1"/>
  <c r="DY201" i="1"/>
  <c r="DY287" i="1"/>
  <c r="I371" i="24"/>
  <c r="H188" i="24"/>
  <c r="H288" i="24"/>
  <c r="DY198" i="1"/>
  <c r="DY134" i="1"/>
  <c r="DY326" i="1"/>
  <c r="DZ327" i="1"/>
  <c r="I47" i="24"/>
  <c r="J47" i="24" s="1"/>
  <c r="I124" i="24"/>
  <c r="J124" i="24" s="1"/>
  <c r="DY335" i="1"/>
  <c r="H253" i="24"/>
  <c r="K253" i="24" s="1"/>
  <c r="H269" i="24"/>
  <c r="K269" i="24" s="1"/>
  <c r="DY38" i="1"/>
  <c r="H250" i="24"/>
  <c r="H368" i="24"/>
  <c r="AC371" i="1"/>
  <c r="CO371" i="1"/>
  <c r="DY310" i="1"/>
  <c r="M37" i="3"/>
  <c r="DY175" i="1"/>
  <c r="DY191" i="1"/>
  <c r="H370" i="24"/>
  <c r="H103" i="24"/>
  <c r="DY182" i="1"/>
  <c r="H301" i="24"/>
  <c r="I25" i="24"/>
  <c r="DZ122" i="1"/>
  <c r="I261" i="24"/>
  <c r="J261" i="24" s="1"/>
  <c r="CQ178" i="1"/>
  <c r="BJ373" i="1"/>
  <c r="BA373" i="1"/>
  <c r="BS363" i="1"/>
  <c r="DY37" i="1"/>
  <c r="H129" i="24"/>
  <c r="H169" i="24"/>
  <c r="DY89" i="1"/>
  <c r="DY105" i="1"/>
  <c r="H304" i="24"/>
  <c r="I131" i="24"/>
  <c r="T373" i="1"/>
  <c r="BP371" i="1"/>
  <c r="BD371" i="1"/>
  <c r="DY69" i="1"/>
  <c r="H96" i="24"/>
  <c r="H112" i="24"/>
  <c r="DY223" i="1"/>
  <c r="H342" i="24"/>
  <c r="H358" i="24"/>
  <c r="K358" i="24" s="1"/>
  <c r="DZ28" i="1"/>
  <c r="DZ333" i="1"/>
  <c r="I13" i="24"/>
  <c r="J13" i="24" s="1"/>
  <c r="DZ210" i="1"/>
  <c r="T372" i="1"/>
  <c r="CQ114" i="1"/>
  <c r="CQ50" i="1"/>
  <c r="BP372" i="1"/>
  <c r="BS166" i="1"/>
  <c r="BP373" i="1"/>
  <c r="H294" i="24"/>
  <c r="I195" i="24"/>
  <c r="K195" i="24" s="1"/>
  <c r="DZ185" i="1"/>
  <c r="I38" i="24"/>
  <c r="DZ25" i="1"/>
  <c r="I225" i="24"/>
  <c r="J225" i="24" s="1"/>
  <c r="CQ322" i="1"/>
  <c r="CQ130" i="1"/>
  <c r="BD372" i="1"/>
  <c r="BS95" i="1"/>
  <c r="CO372" i="1"/>
  <c r="H221" i="24"/>
  <c r="DY233" i="1"/>
  <c r="DY313" i="1"/>
  <c r="DY329" i="1"/>
  <c r="DY230" i="1"/>
  <c r="DZ52" i="1"/>
  <c r="CQ210" i="1"/>
  <c r="CQ194" i="1"/>
  <c r="BM371" i="1"/>
  <c r="DY11" i="1"/>
  <c r="H227" i="24"/>
  <c r="H243" i="24"/>
  <c r="I44" i="24"/>
  <c r="K44" i="24" s="1"/>
  <c r="Q372" i="1"/>
  <c r="BJ372" i="1"/>
  <c r="BS97" i="1"/>
  <c r="BS137" i="1"/>
  <c r="BS145" i="1"/>
  <c r="C37" i="3"/>
  <c r="DY31" i="1"/>
  <c r="DY47" i="1"/>
  <c r="DY303" i="1"/>
  <c r="H326" i="24"/>
  <c r="H21" i="24"/>
  <c r="H80" i="24"/>
  <c r="K80" i="24" s="1"/>
  <c r="H87" i="24"/>
  <c r="DY118" i="1"/>
  <c r="DY351" i="1"/>
  <c r="I27" i="24"/>
  <c r="I324" i="24"/>
  <c r="I340" i="24"/>
  <c r="DZ14" i="1"/>
  <c r="I214" i="24"/>
  <c r="K214" i="24" s="1"/>
  <c r="CQ66" i="1"/>
  <c r="CQ34" i="1"/>
  <c r="BS223" i="1"/>
  <c r="BS255" i="1"/>
  <c r="BS319" i="1"/>
  <c r="DY54" i="1"/>
  <c r="I24" i="24"/>
  <c r="BG373" i="1"/>
  <c r="BS31" i="1"/>
  <c r="BS79" i="1"/>
  <c r="BS111" i="1"/>
  <c r="BS175" i="1"/>
  <c r="DY21" i="1"/>
  <c r="H352" i="24"/>
  <c r="DY63" i="1"/>
  <c r="H140" i="24"/>
  <c r="H218" i="24"/>
  <c r="K218" i="24" s="1"/>
  <c r="DZ84" i="1"/>
  <c r="I51" i="24"/>
  <c r="K51" i="24" s="1"/>
  <c r="T371" i="1"/>
  <c r="CQ290" i="1"/>
  <c r="CQ258" i="1"/>
  <c r="AC373" i="1"/>
  <c r="BM373" i="1"/>
  <c r="BD373" i="1"/>
  <c r="H70" i="24"/>
  <c r="H266" i="24"/>
  <c r="H349" i="24"/>
  <c r="H30" i="24"/>
  <c r="J30" i="24" s="1"/>
  <c r="DY121" i="1"/>
  <c r="DY150" i="1"/>
  <c r="H194" i="24"/>
  <c r="DY239" i="1"/>
  <c r="H373" i="24"/>
  <c r="CQ226" i="1"/>
  <c r="CQ18" i="1"/>
  <c r="BA371" i="1"/>
  <c r="BS37" i="1"/>
  <c r="BS191" i="1"/>
  <c r="BQ371" i="1"/>
  <c r="H162" i="24"/>
  <c r="H211" i="24"/>
  <c r="K211" i="24" s="1"/>
  <c r="DY255" i="1"/>
  <c r="H276" i="24"/>
  <c r="DY79" i="1"/>
  <c r="H146" i="24"/>
  <c r="H172" i="24"/>
  <c r="DZ317" i="1"/>
  <c r="I334" i="24"/>
  <c r="CQ98" i="1"/>
  <c r="BG372" i="1"/>
  <c r="BS22" i="1"/>
  <c r="BS70" i="1"/>
  <c r="BS239" i="1"/>
  <c r="DY95" i="1"/>
  <c r="DY111" i="1"/>
  <c r="H310" i="24"/>
  <c r="DY319" i="1"/>
  <c r="CQ162" i="1"/>
  <c r="CQ146" i="1"/>
  <c r="CQ82" i="1"/>
  <c r="BM372" i="1"/>
  <c r="H46" i="24"/>
  <c r="H62" i="24"/>
  <c r="K62" i="24" s="1"/>
  <c r="H178" i="24"/>
  <c r="I40" i="24"/>
  <c r="K40" i="24" s="1"/>
  <c r="I348" i="24"/>
  <c r="J348" i="24" s="1"/>
  <c r="I85" i="24"/>
  <c r="J85" i="24" s="1"/>
  <c r="DZ237" i="1"/>
  <c r="I265" i="24"/>
  <c r="K265" i="24" s="1"/>
  <c r="CQ358" i="1"/>
  <c r="CQ338" i="1"/>
  <c r="CQ306" i="1"/>
  <c r="CQ274" i="1"/>
  <c r="CQ242" i="1"/>
  <c r="BS217" i="1"/>
  <c r="BS233" i="1"/>
  <c r="BS265" i="1"/>
  <c r="BS281" i="1"/>
  <c r="BS329" i="1"/>
  <c r="BS345" i="1"/>
  <c r="BQ372" i="1"/>
  <c r="DY207" i="1"/>
  <c r="H259" i="24"/>
  <c r="DY271" i="1"/>
  <c r="DZ298" i="1"/>
  <c r="DZ129" i="1"/>
  <c r="BJ371" i="1"/>
  <c r="BS53" i="1"/>
  <c r="BS69" i="1"/>
  <c r="BS214" i="1"/>
  <c r="BS262" i="1"/>
  <c r="BS318" i="1"/>
  <c r="BS358" i="1"/>
  <c r="BS343" i="1"/>
  <c r="D166" i="24"/>
  <c r="DH163" i="1"/>
  <c r="CR21" i="1"/>
  <c r="CU21" i="1" s="1"/>
  <c r="D20" i="24" s="1"/>
  <c r="CR37" i="1"/>
  <c r="CU37" i="1" s="1"/>
  <c r="D36" i="24" s="1"/>
  <c r="CR53" i="1"/>
  <c r="CU53" i="1" s="1"/>
  <c r="D52" i="24" s="1"/>
  <c r="CR69" i="1"/>
  <c r="CU69" i="1" s="1"/>
  <c r="D69" i="24" s="1"/>
  <c r="CR85" i="1"/>
  <c r="CU85" i="1" s="1"/>
  <c r="D86" i="24" s="1"/>
  <c r="CR101" i="1"/>
  <c r="CU101" i="1" s="1"/>
  <c r="D102" i="24" s="1"/>
  <c r="CR117" i="1"/>
  <c r="CU117" i="1" s="1"/>
  <c r="D118" i="24" s="1"/>
  <c r="CR133" i="1"/>
  <c r="CU133" i="1" s="1"/>
  <c r="D136" i="24" s="1"/>
  <c r="CR149" i="1"/>
  <c r="CU149" i="1" s="1"/>
  <c r="D152" i="24" s="1"/>
  <c r="CR165" i="1"/>
  <c r="CU165" i="1" s="1"/>
  <c r="D168" i="24" s="1"/>
  <c r="CR181" i="1"/>
  <c r="CU181" i="1" s="1"/>
  <c r="D184" i="24" s="1"/>
  <c r="CR197" i="1"/>
  <c r="CU197" i="1" s="1"/>
  <c r="D201" i="24" s="1"/>
  <c r="CR213" i="1"/>
  <c r="CU213" i="1" s="1"/>
  <c r="D217" i="24" s="1"/>
  <c r="CR229" i="1"/>
  <c r="CU229" i="1" s="1"/>
  <c r="D233" i="24" s="1"/>
  <c r="CR245" i="1"/>
  <c r="CU245" i="1" s="1"/>
  <c r="D249" i="24" s="1"/>
  <c r="CR261" i="1"/>
  <c r="CU261" i="1" s="1"/>
  <c r="D265" i="24" s="1"/>
  <c r="CR277" i="1"/>
  <c r="CU277" i="1" s="1"/>
  <c r="D282" i="24" s="1"/>
  <c r="CR293" i="1"/>
  <c r="CU293" i="1" s="1"/>
  <c r="D300" i="24" s="1"/>
  <c r="CR309" i="1"/>
  <c r="CU309" i="1" s="1"/>
  <c r="D316" i="24" s="1"/>
  <c r="CR325" i="1"/>
  <c r="CU325" i="1" s="1"/>
  <c r="D332" i="24" s="1"/>
  <c r="CR341" i="1"/>
  <c r="CU341" i="1" s="1"/>
  <c r="D348" i="24" s="1"/>
  <c r="CR18" i="1"/>
  <c r="CU18" i="1" s="1"/>
  <c r="D17" i="24" s="1"/>
  <c r="CR34" i="1"/>
  <c r="CU34" i="1" s="1"/>
  <c r="D33" i="24" s="1"/>
  <c r="CR50" i="1"/>
  <c r="CU50" i="1" s="1"/>
  <c r="D49" i="24" s="1"/>
  <c r="CR66" i="1"/>
  <c r="CU66" i="1" s="1"/>
  <c r="D66" i="24" s="1"/>
  <c r="CR82" i="1"/>
  <c r="CU82" i="1" s="1"/>
  <c r="D83" i="24" s="1"/>
  <c r="CR98" i="1"/>
  <c r="CU98" i="1" s="1"/>
  <c r="D99" i="24" s="1"/>
  <c r="CR114" i="1"/>
  <c r="CU114" i="1" s="1"/>
  <c r="D115" i="24" s="1"/>
  <c r="CR130" i="1"/>
  <c r="CU130" i="1" s="1"/>
  <c r="D132" i="24" s="1"/>
  <c r="CR146" i="1"/>
  <c r="CU146" i="1" s="1"/>
  <c r="D149" i="24" s="1"/>
  <c r="CR162" i="1"/>
  <c r="CU162" i="1" s="1"/>
  <c r="D165" i="24" s="1"/>
  <c r="CR178" i="1"/>
  <c r="CU178" i="1" s="1"/>
  <c r="D181" i="24" s="1"/>
  <c r="CR194" i="1"/>
  <c r="CU194" i="1" s="1"/>
  <c r="D197" i="24" s="1"/>
  <c r="CR210" i="1"/>
  <c r="CU210" i="1" s="1"/>
  <c r="D214" i="24" s="1"/>
  <c r="CR226" i="1"/>
  <c r="CU226" i="1" s="1"/>
  <c r="D230" i="24" s="1"/>
  <c r="CR242" i="1"/>
  <c r="CU242" i="1" s="1"/>
  <c r="D246" i="24" s="1"/>
  <c r="CR258" i="1"/>
  <c r="CU258" i="1" s="1"/>
  <c r="D262" i="24" s="1"/>
  <c r="CR274" i="1"/>
  <c r="CU274" i="1" s="1"/>
  <c r="D279" i="24" s="1"/>
  <c r="CR290" i="1"/>
  <c r="CU290" i="1" s="1"/>
  <c r="D297" i="24" s="1"/>
  <c r="CR306" i="1"/>
  <c r="CU306" i="1" s="1"/>
  <c r="D313" i="24" s="1"/>
  <c r="CR322" i="1"/>
  <c r="CU322" i="1" s="1"/>
  <c r="D329" i="24" s="1"/>
  <c r="CR338" i="1"/>
  <c r="CU338" i="1" s="1"/>
  <c r="D345" i="24" s="1"/>
  <c r="CR25" i="1"/>
  <c r="CU25" i="1" s="1"/>
  <c r="D24" i="24" s="1"/>
  <c r="CR41" i="1"/>
  <c r="CU41" i="1" s="1"/>
  <c r="D40" i="24" s="1"/>
  <c r="CR57" i="1"/>
  <c r="CU57" i="1" s="1"/>
  <c r="D56" i="24" s="1"/>
  <c r="CR73" i="1"/>
  <c r="CU73" i="1" s="1"/>
  <c r="D73" i="24" s="1"/>
  <c r="CR89" i="1"/>
  <c r="CU89" i="1" s="1"/>
  <c r="D90" i="24" s="1"/>
  <c r="CR105" i="1"/>
  <c r="CU105" i="1" s="1"/>
  <c r="D106" i="24" s="1"/>
  <c r="CR121" i="1"/>
  <c r="CU121" i="1" s="1"/>
  <c r="D122" i="24" s="1"/>
  <c r="CR137" i="1"/>
  <c r="CU137" i="1" s="1"/>
  <c r="D140" i="24" s="1"/>
  <c r="CR153" i="1"/>
  <c r="CU153" i="1" s="1"/>
  <c r="D156" i="24" s="1"/>
  <c r="CR169" i="1"/>
  <c r="CU169" i="1" s="1"/>
  <c r="D172" i="24" s="1"/>
  <c r="CR185" i="1"/>
  <c r="CU185" i="1" s="1"/>
  <c r="D188" i="24" s="1"/>
  <c r="CR201" i="1"/>
  <c r="CU201" i="1" s="1"/>
  <c r="D205" i="24" s="1"/>
  <c r="CR217" i="1"/>
  <c r="CU217" i="1" s="1"/>
  <c r="D221" i="24" s="1"/>
  <c r="CR233" i="1"/>
  <c r="CU233" i="1" s="1"/>
  <c r="D237" i="24" s="1"/>
  <c r="CR249" i="1"/>
  <c r="CU249" i="1" s="1"/>
  <c r="D253" i="24" s="1"/>
  <c r="CR265" i="1"/>
  <c r="CU265" i="1" s="1"/>
  <c r="D269" i="24" s="1"/>
  <c r="CR281" i="1"/>
  <c r="CU281" i="1" s="1"/>
  <c r="D288" i="24" s="1"/>
  <c r="CR297" i="1"/>
  <c r="CU297" i="1" s="1"/>
  <c r="D304" i="24" s="1"/>
  <c r="CR313" i="1"/>
  <c r="CU313" i="1" s="1"/>
  <c r="D320" i="24" s="1"/>
  <c r="CR329" i="1"/>
  <c r="CU329" i="1" s="1"/>
  <c r="D336" i="24" s="1"/>
  <c r="CR345" i="1"/>
  <c r="CU345" i="1" s="1"/>
  <c r="D352" i="24" s="1"/>
  <c r="CR22" i="1"/>
  <c r="CU22" i="1" s="1"/>
  <c r="D21" i="24" s="1"/>
  <c r="CR38" i="1"/>
  <c r="CU38" i="1" s="1"/>
  <c r="D37" i="24" s="1"/>
  <c r="CR54" i="1"/>
  <c r="CU54" i="1" s="1"/>
  <c r="D53" i="24" s="1"/>
  <c r="CR70" i="1"/>
  <c r="CU70" i="1" s="1"/>
  <c r="D70" i="24" s="1"/>
  <c r="CR86" i="1"/>
  <c r="CU86" i="1" s="1"/>
  <c r="D87" i="24" s="1"/>
  <c r="CR102" i="1"/>
  <c r="CU102" i="1" s="1"/>
  <c r="D103" i="24" s="1"/>
  <c r="CR118" i="1"/>
  <c r="CU118" i="1" s="1"/>
  <c r="D119" i="24" s="1"/>
  <c r="CR134" i="1"/>
  <c r="CU134" i="1" s="1"/>
  <c r="D137" i="24" s="1"/>
  <c r="CR150" i="1"/>
  <c r="CU150" i="1" s="1"/>
  <c r="D153" i="24" s="1"/>
  <c r="CR166" i="1"/>
  <c r="CU166" i="1" s="1"/>
  <c r="D169" i="24" s="1"/>
  <c r="CR182" i="1"/>
  <c r="CU182" i="1" s="1"/>
  <c r="D185" i="24" s="1"/>
  <c r="CR198" i="1"/>
  <c r="CU198" i="1" s="1"/>
  <c r="D202" i="24" s="1"/>
  <c r="CR214" i="1"/>
  <c r="CU214" i="1" s="1"/>
  <c r="D218" i="24" s="1"/>
  <c r="CR230" i="1"/>
  <c r="CU230" i="1" s="1"/>
  <c r="D234" i="24" s="1"/>
  <c r="CR246" i="1"/>
  <c r="CU246" i="1" s="1"/>
  <c r="D250" i="24" s="1"/>
  <c r="CR262" i="1"/>
  <c r="CU262" i="1" s="1"/>
  <c r="D266" i="24" s="1"/>
  <c r="CR278" i="1"/>
  <c r="CU278" i="1" s="1"/>
  <c r="D283" i="24" s="1"/>
  <c r="CR294" i="1"/>
  <c r="CU294" i="1" s="1"/>
  <c r="D301" i="24" s="1"/>
  <c r="CR310" i="1"/>
  <c r="CU310" i="1" s="1"/>
  <c r="D317" i="24" s="1"/>
  <c r="CR326" i="1"/>
  <c r="CU326" i="1" s="1"/>
  <c r="D333" i="24" s="1"/>
  <c r="CR342" i="1"/>
  <c r="CU342" i="1" s="1"/>
  <c r="D349" i="24" s="1"/>
  <c r="CR13" i="1"/>
  <c r="CU13" i="1" s="1"/>
  <c r="D12" i="24" s="1"/>
  <c r="CR29" i="1"/>
  <c r="CU29" i="1" s="1"/>
  <c r="D28" i="24" s="1"/>
  <c r="CR45" i="1"/>
  <c r="CU45" i="1" s="1"/>
  <c r="D44" i="24" s="1"/>
  <c r="CR61" i="1"/>
  <c r="CU61" i="1" s="1"/>
  <c r="D60" i="24" s="1"/>
  <c r="CR77" i="1"/>
  <c r="CU77" i="1" s="1"/>
  <c r="D77" i="24" s="1"/>
  <c r="CR93" i="1"/>
  <c r="CU93" i="1" s="1"/>
  <c r="D94" i="24" s="1"/>
  <c r="CR109" i="1"/>
  <c r="CU109" i="1" s="1"/>
  <c r="D110" i="24" s="1"/>
  <c r="CR125" i="1"/>
  <c r="CU125" i="1" s="1"/>
  <c r="D127" i="24" s="1"/>
  <c r="CR141" i="1"/>
  <c r="CU141" i="1" s="1"/>
  <c r="D144" i="24" s="1"/>
  <c r="CR157" i="1"/>
  <c r="CU157" i="1" s="1"/>
  <c r="D160" i="24" s="1"/>
  <c r="CR173" i="1"/>
  <c r="CU173" i="1" s="1"/>
  <c r="D176" i="24" s="1"/>
  <c r="CR189" i="1"/>
  <c r="CU189" i="1" s="1"/>
  <c r="D192" i="24" s="1"/>
  <c r="CR205" i="1"/>
  <c r="CU205" i="1" s="1"/>
  <c r="D209" i="24" s="1"/>
  <c r="CR221" i="1"/>
  <c r="CU221" i="1" s="1"/>
  <c r="D225" i="24" s="1"/>
  <c r="CR237" i="1"/>
  <c r="CU237" i="1" s="1"/>
  <c r="D241" i="24" s="1"/>
  <c r="CR253" i="1"/>
  <c r="CU253" i="1" s="1"/>
  <c r="D257" i="24" s="1"/>
  <c r="CR269" i="1"/>
  <c r="CU269" i="1" s="1"/>
  <c r="D273" i="24" s="1"/>
  <c r="CR285" i="1"/>
  <c r="CU285" i="1" s="1"/>
  <c r="D292" i="24" s="1"/>
  <c r="CR301" i="1"/>
  <c r="CU301" i="1" s="1"/>
  <c r="D308" i="24" s="1"/>
  <c r="CR317" i="1"/>
  <c r="CU317" i="1" s="1"/>
  <c r="D324" i="24" s="1"/>
  <c r="CR333" i="1"/>
  <c r="CU333" i="1" s="1"/>
  <c r="D340" i="24" s="1"/>
  <c r="CR349" i="1"/>
  <c r="CU349" i="1" s="1"/>
  <c r="D356" i="24" s="1"/>
  <c r="CR26" i="1"/>
  <c r="CU26" i="1" s="1"/>
  <c r="D25" i="24" s="1"/>
  <c r="CR42" i="1"/>
  <c r="CU42" i="1" s="1"/>
  <c r="D41" i="24" s="1"/>
  <c r="CR58" i="1"/>
  <c r="CU58" i="1" s="1"/>
  <c r="D57" i="24" s="1"/>
  <c r="CR74" i="1"/>
  <c r="CU74" i="1" s="1"/>
  <c r="D74" i="24" s="1"/>
  <c r="CR90" i="1"/>
  <c r="CU90" i="1" s="1"/>
  <c r="D91" i="24" s="1"/>
  <c r="CR106" i="1"/>
  <c r="CU106" i="1" s="1"/>
  <c r="D107" i="24" s="1"/>
  <c r="CR122" i="1"/>
  <c r="CU122" i="1" s="1"/>
  <c r="D124" i="24" s="1"/>
  <c r="CR138" i="1"/>
  <c r="CU138" i="1" s="1"/>
  <c r="D141" i="24" s="1"/>
  <c r="CR154" i="1"/>
  <c r="CU154" i="1" s="1"/>
  <c r="D157" i="24" s="1"/>
  <c r="CR170" i="1"/>
  <c r="CU170" i="1" s="1"/>
  <c r="D173" i="24" s="1"/>
  <c r="CR186" i="1"/>
  <c r="CU186" i="1" s="1"/>
  <c r="D189" i="24" s="1"/>
  <c r="CR202" i="1"/>
  <c r="CU202" i="1" s="1"/>
  <c r="D206" i="24" s="1"/>
  <c r="CR218" i="1"/>
  <c r="CU218" i="1" s="1"/>
  <c r="D222" i="24" s="1"/>
  <c r="CR234" i="1"/>
  <c r="CU234" i="1" s="1"/>
  <c r="D238" i="24" s="1"/>
  <c r="CR250" i="1"/>
  <c r="CU250" i="1" s="1"/>
  <c r="D254" i="24" s="1"/>
  <c r="CR266" i="1"/>
  <c r="CU266" i="1" s="1"/>
  <c r="D270" i="24" s="1"/>
  <c r="CR282" i="1"/>
  <c r="CU282" i="1" s="1"/>
  <c r="D289" i="24" s="1"/>
  <c r="CR298" i="1"/>
  <c r="CU298" i="1" s="1"/>
  <c r="D305" i="24" s="1"/>
  <c r="CR314" i="1"/>
  <c r="CU314" i="1" s="1"/>
  <c r="D321" i="24" s="1"/>
  <c r="CR330" i="1"/>
  <c r="CU330" i="1" s="1"/>
  <c r="D337" i="24" s="1"/>
  <c r="CR346" i="1"/>
  <c r="CU346" i="1" s="1"/>
  <c r="D353" i="24" s="1"/>
  <c r="CR17" i="1"/>
  <c r="CU17" i="1" s="1"/>
  <c r="D16" i="24" s="1"/>
  <c r="CR33" i="1"/>
  <c r="CU33" i="1" s="1"/>
  <c r="D32" i="24" s="1"/>
  <c r="CR49" i="1"/>
  <c r="CU49" i="1" s="1"/>
  <c r="D48" i="24" s="1"/>
  <c r="CR65" i="1"/>
  <c r="CU65" i="1" s="1"/>
  <c r="D65" i="24" s="1"/>
  <c r="CR81" i="1"/>
  <c r="CU81" i="1" s="1"/>
  <c r="D82" i="24" s="1"/>
  <c r="CR97" i="1"/>
  <c r="CU97" i="1" s="1"/>
  <c r="D98" i="24" s="1"/>
  <c r="CR113" i="1"/>
  <c r="CU113" i="1" s="1"/>
  <c r="D114" i="24" s="1"/>
  <c r="CR129" i="1"/>
  <c r="CU129" i="1" s="1"/>
  <c r="D131" i="24" s="1"/>
  <c r="CR145" i="1"/>
  <c r="CU145" i="1" s="1"/>
  <c r="D148" i="24" s="1"/>
  <c r="CR161" i="1"/>
  <c r="CU161" i="1" s="1"/>
  <c r="D164" i="24" s="1"/>
  <c r="CR177" i="1"/>
  <c r="CU177" i="1" s="1"/>
  <c r="D180" i="24" s="1"/>
  <c r="CR193" i="1"/>
  <c r="CU193" i="1" s="1"/>
  <c r="D196" i="24" s="1"/>
  <c r="CR209" i="1"/>
  <c r="CU209" i="1" s="1"/>
  <c r="D213" i="24" s="1"/>
  <c r="CR225" i="1"/>
  <c r="CU225" i="1" s="1"/>
  <c r="D229" i="24" s="1"/>
  <c r="CR241" i="1"/>
  <c r="CU241" i="1" s="1"/>
  <c r="D245" i="24" s="1"/>
  <c r="CR257" i="1"/>
  <c r="CU257" i="1" s="1"/>
  <c r="D261" i="24" s="1"/>
  <c r="CR273" i="1"/>
  <c r="CU273" i="1" s="1"/>
  <c r="D278" i="24" s="1"/>
  <c r="CR289" i="1"/>
  <c r="CU289" i="1" s="1"/>
  <c r="D296" i="24" s="1"/>
  <c r="CR305" i="1"/>
  <c r="CU305" i="1" s="1"/>
  <c r="D312" i="24" s="1"/>
  <c r="CR321" i="1"/>
  <c r="CU321" i="1" s="1"/>
  <c r="D328" i="24" s="1"/>
  <c r="CR337" i="1"/>
  <c r="CU337" i="1" s="1"/>
  <c r="D344" i="24" s="1"/>
  <c r="CR14" i="1"/>
  <c r="CU14" i="1" s="1"/>
  <c r="D13" i="24" s="1"/>
  <c r="CR30" i="1"/>
  <c r="CU30" i="1" s="1"/>
  <c r="D29" i="24" s="1"/>
  <c r="CR46" i="1"/>
  <c r="CU46" i="1" s="1"/>
  <c r="D45" i="24" s="1"/>
  <c r="CR62" i="1"/>
  <c r="CU62" i="1" s="1"/>
  <c r="D61" i="24" s="1"/>
  <c r="CR78" i="1"/>
  <c r="CU78" i="1" s="1"/>
  <c r="D78" i="24" s="1"/>
  <c r="CR94" i="1"/>
  <c r="CU94" i="1" s="1"/>
  <c r="D95" i="24" s="1"/>
  <c r="CR110" i="1"/>
  <c r="CU110" i="1" s="1"/>
  <c r="D111" i="24" s="1"/>
  <c r="CR126" i="1"/>
  <c r="CU126" i="1" s="1"/>
  <c r="D128" i="24" s="1"/>
  <c r="CR142" i="1"/>
  <c r="CU142" i="1" s="1"/>
  <c r="D145" i="24" s="1"/>
  <c r="CR158" i="1"/>
  <c r="CU158" i="1" s="1"/>
  <c r="D161" i="24" s="1"/>
  <c r="CR174" i="1"/>
  <c r="CU174" i="1" s="1"/>
  <c r="D177" i="24" s="1"/>
  <c r="CR190" i="1"/>
  <c r="CU190" i="1" s="1"/>
  <c r="D193" i="24" s="1"/>
  <c r="CR206" i="1"/>
  <c r="CU206" i="1" s="1"/>
  <c r="D210" i="24" s="1"/>
  <c r="CR222" i="1"/>
  <c r="CU222" i="1" s="1"/>
  <c r="D226" i="24" s="1"/>
  <c r="CR238" i="1"/>
  <c r="CU238" i="1" s="1"/>
  <c r="D242" i="24" s="1"/>
  <c r="CR254" i="1"/>
  <c r="CU254" i="1" s="1"/>
  <c r="D258" i="24" s="1"/>
  <c r="CR270" i="1"/>
  <c r="CU270" i="1" s="1"/>
  <c r="D275" i="24" s="1"/>
  <c r="CR286" i="1"/>
  <c r="CU286" i="1" s="1"/>
  <c r="D293" i="24" s="1"/>
  <c r="CR302" i="1"/>
  <c r="CU302" i="1" s="1"/>
  <c r="D309" i="24" s="1"/>
  <c r="CR318" i="1"/>
  <c r="CU318" i="1" s="1"/>
  <c r="D325" i="24" s="1"/>
  <c r="CR334" i="1"/>
  <c r="CU334" i="1" s="1"/>
  <c r="D341" i="24" s="1"/>
  <c r="CR350" i="1"/>
  <c r="CU350" i="1" s="1"/>
  <c r="D357" i="24" s="1"/>
  <c r="DZ45" i="1"/>
  <c r="DZ157" i="1"/>
  <c r="DZ331" i="1"/>
  <c r="I160" i="24"/>
  <c r="AT372" i="1"/>
  <c r="AT378" i="1" s="1"/>
  <c r="AP368" i="1"/>
  <c r="C20" i="3" s="1"/>
  <c r="W20" i="3" s="1"/>
  <c r="DZ203" i="1"/>
  <c r="DZ348" i="1"/>
  <c r="I331" i="24"/>
  <c r="K331" i="24" s="1"/>
  <c r="I207" i="24"/>
  <c r="K207" i="24" s="1"/>
  <c r="I355" i="24"/>
  <c r="K355" i="24" s="1"/>
  <c r="DZ324" i="1"/>
  <c r="K111" i="24"/>
  <c r="J111" i="24"/>
  <c r="J128" i="24"/>
  <c r="K128" i="24"/>
  <c r="K18" i="24"/>
  <c r="J18" i="24"/>
  <c r="K372" i="24"/>
  <c r="J372" i="24"/>
  <c r="K22" i="3"/>
  <c r="D22" i="12"/>
  <c r="J125" i="24"/>
  <c r="K125" i="24"/>
  <c r="J232" i="24"/>
  <c r="K232" i="24"/>
  <c r="K240" i="24"/>
  <c r="J240" i="24"/>
  <c r="K217" i="24"/>
  <c r="J217" i="24"/>
  <c r="K41" i="24"/>
  <c r="J41" i="24"/>
  <c r="J343" i="24"/>
  <c r="K343" i="24"/>
  <c r="K83" i="24"/>
  <c r="J83" i="24"/>
  <c r="J115" i="24"/>
  <c r="K115" i="24"/>
  <c r="J177" i="24"/>
  <c r="K177" i="24"/>
  <c r="K219" i="24"/>
  <c r="J219" i="24"/>
  <c r="C20" i="12"/>
  <c r="J20" i="3"/>
  <c r="CD356" i="1"/>
  <c r="CE356" i="1" s="1"/>
  <c r="I8" i="24"/>
  <c r="DZ9" i="1"/>
  <c r="AU9" i="1"/>
  <c r="CK222" i="1"/>
  <c r="CP222" i="1"/>
  <c r="CQ222" i="1" s="1"/>
  <c r="AU147" i="1"/>
  <c r="I150" i="24"/>
  <c r="DZ147" i="1"/>
  <c r="AQ367" i="1"/>
  <c r="AR367" i="1" s="1"/>
  <c r="CL374" i="1"/>
  <c r="G39" i="3"/>
  <c r="C35" i="12"/>
  <c r="J35" i="3"/>
  <c r="BZ368" i="1"/>
  <c r="G32" i="3"/>
  <c r="I32" i="3" s="1"/>
  <c r="BU377" i="1"/>
  <c r="C29" i="12"/>
  <c r="J29" i="3"/>
  <c r="C25" i="12"/>
  <c r="J25" i="3"/>
  <c r="M9" i="3"/>
  <c r="CR357" i="1"/>
  <c r="CU357" i="1" s="1"/>
  <c r="J246" i="24"/>
  <c r="K246" i="24"/>
  <c r="K182" i="24"/>
  <c r="J182" i="24"/>
  <c r="J148" i="24"/>
  <c r="K148" i="24"/>
  <c r="K108" i="24"/>
  <c r="J108" i="24"/>
  <c r="K261" i="24"/>
  <c r="K289" i="24"/>
  <c r="J289" i="24"/>
  <c r="K321" i="24"/>
  <c r="J321" i="24"/>
  <c r="DZ30" i="1"/>
  <c r="BS30" i="1"/>
  <c r="DZ54" i="1"/>
  <c r="BS54" i="1"/>
  <c r="I87" i="24"/>
  <c r="BS86" i="1"/>
  <c r="DZ94" i="1"/>
  <c r="BS94" i="1"/>
  <c r="I103" i="24"/>
  <c r="BS102" i="1"/>
  <c r="DZ118" i="1"/>
  <c r="BS118" i="1"/>
  <c r="DZ134" i="1"/>
  <c r="BS134" i="1"/>
  <c r="I153" i="24"/>
  <c r="J153" i="24" s="1"/>
  <c r="BS150" i="1"/>
  <c r="I161" i="24"/>
  <c r="BS158" i="1"/>
  <c r="I173" i="24"/>
  <c r="BS170" i="1"/>
  <c r="I189" i="24"/>
  <c r="BS186" i="1"/>
  <c r="I276" i="24"/>
  <c r="BS271" i="1"/>
  <c r="I294" i="24"/>
  <c r="BS287" i="1"/>
  <c r="DZ303" i="1"/>
  <c r="BS303" i="1"/>
  <c r="N30" i="3"/>
  <c r="O30" i="3" s="1"/>
  <c r="BO379" i="1"/>
  <c r="C36" i="12"/>
  <c r="J36" i="3"/>
  <c r="H14" i="24"/>
  <c r="F375" i="4"/>
  <c r="H17" i="4"/>
  <c r="H375" i="4" s="1"/>
  <c r="H11" i="4"/>
  <c r="C15" i="12"/>
  <c r="J15" i="3"/>
  <c r="C11" i="12"/>
  <c r="J11" i="3"/>
  <c r="CR366" i="1"/>
  <c r="CU366" i="1" s="1"/>
  <c r="K110" i="24"/>
  <c r="J110" i="24"/>
  <c r="DZ150" i="1"/>
  <c r="J328" i="24"/>
  <c r="K328" i="24"/>
  <c r="DZ363" i="1"/>
  <c r="K156" i="24"/>
  <c r="J156" i="24"/>
  <c r="J136" i="24"/>
  <c r="K136" i="24"/>
  <c r="I95" i="24"/>
  <c r="I70" i="24"/>
  <c r="I53" i="24"/>
  <c r="J147" i="24"/>
  <c r="K147" i="24"/>
  <c r="K208" i="24"/>
  <c r="J208" i="24"/>
  <c r="J233" i="24"/>
  <c r="K233" i="24"/>
  <c r="J341" i="24"/>
  <c r="K341" i="24"/>
  <c r="D29" i="12"/>
  <c r="BL378" i="1"/>
  <c r="K29" i="3"/>
  <c r="BS15" i="1"/>
  <c r="DZ23" i="1"/>
  <c r="BS23" i="1"/>
  <c r="I46" i="24"/>
  <c r="BS47" i="1"/>
  <c r="I54" i="24"/>
  <c r="BS55" i="1"/>
  <c r="DZ63" i="1"/>
  <c r="BS63" i="1"/>
  <c r="I71" i="24"/>
  <c r="BS71" i="1"/>
  <c r="I120" i="24"/>
  <c r="BS119" i="1"/>
  <c r="I146" i="24"/>
  <c r="BS143" i="1"/>
  <c r="DZ159" i="1"/>
  <c r="BS159" i="1"/>
  <c r="DZ208" i="1"/>
  <c r="BS208" i="1"/>
  <c r="DZ224" i="1"/>
  <c r="BS224" i="1"/>
  <c r="DZ248" i="1"/>
  <c r="BS248" i="1"/>
  <c r="I303" i="24"/>
  <c r="K303" i="24" s="1"/>
  <c r="BS296" i="1"/>
  <c r="I311" i="24"/>
  <c r="BS304" i="1"/>
  <c r="I327" i="24"/>
  <c r="BS320" i="1"/>
  <c r="DZ344" i="1"/>
  <c r="BS344" i="1"/>
  <c r="I367" i="24"/>
  <c r="BS360" i="1"/>
  <c r="AX372" i="1"/>
  <c r="G36" i="3"/>
  <c r="CF374" i="1"/>
  <c r="G34" i="3"/>
  <c r="I34" i="3" s="1"/>
  <c r="CA377" i="1"/>
  <c r="C27" i="12"/>
  <c r="J27" i="3"/>
  <c r="C18" i="12"/>
  <c r="J18" i="3"/>
  <c r="CR363" i="1"/>
  <c r="CU363" i="1" s="1"/>
  <c r="I84" i="24"/>
  <c r="I199" i="24"/>
  <c r="I260" i="24"/>
  <c r="K332" i="24"/>
  <c r="J332" i="24"/>
  <c r="DZ319" i="1"/>
  <c r="DZ300" i="1"/>
  <c r="I272" i="24"/>
  <c r="DZ216" i="1"/>
  <c r="K187" i="24"/>
  <c r="J187" i="24"/>
  <c r="J144" i="24"/>
  <c r="K144" i="24"/>
  <c r="I78" i="24"/>
  <c r="DZ51" i="1"/>
  <c r="DZ59" i="1"/>
  <c r="K241" i="24"/>
  <c r="J241" i="24"/>
  <c r="DZ27" i="1"/>
  <c r="I198" i="24"/>
  <c r="I285" i="24"/>
  <c r="K317" i="24"/>
  <c r="J317" i="24"/>
  <c r="H16" i="3"/>
  <c r="AB377" i="1"/>
  <c r="H29" i="3"/>
  <c r="BL377" i="1"/>
  <c r="BL374" i="1"/>
  <c r="N29" i="3"/>
  <c r="O29" i="3" s="1"/>
  <c r="BL379" i="1"/>
  <c r="DZ16" i="1"/>
  <c r="BS16" i="1"/>
  <c r="I72" i="24"/>
  <c r="BS72" i="1"/>
  <c r="DZ104" i="1"/>
  <c r="BS104" i="1"/>
  <c r="I121" i="24"/>
  <c r="BS120" i="1"/>
  <c r="I139" i="24"/>
  <c r="K139" i="24" s="1"/>
  <c r="BS136" i="1"/>
  <c r="DZ152" i="1"/>
  <c r="BS152" i="1"/>
  <c r="I179" i="24"/>
  <c r="BS176" i="1"/>
  <c r="DZ184" i="1"/>
  <c r="BS184" i="1"/>
  <c r="DZ225" i="1"/>
  <c r="BS225" i="1"/>
  <c r="I320" i="24"/>
  <c r="K320" i="24" s="1"/>
  <c r="BS313" i="1"/>
  <c r="I368" i="24"/>
  <c r="BS361" i="1"/>
  <c r="AX373" i="1"/>
  <c r="C39" i="12"/>
  <c r="J39" i="3"/>
  <c r="G20" i="3"/>
  <c r="AP374" i="1"/>
  <c r="G12" i="3"/>
  <c r="O374" i="1"/>
  <c r="CR360" i="1"/>
  <c r="CU360" i="1" s="1"/>
  <c r="J44" i="24"/>
  <c r="I126" i="24"/>
  <c r="K203" i="24"/>
  <c r="DZ313" i="1"/>
  <c r="J322" i="24"/>
  <c r="K322" i="24"/>
  <c r="I288" i="24"/>
  <c r="DZ139" i="1"/>
  <c r="DZ76" i="1"/>
  <c r="DZ15" i="1"/>
  <c r="J69" i="24"/>
  <c r="K69" i="24"/>
  <c r="DZ99" i="1"/>
  <c r="I229" i="24"/>
  <c r="I251" i="24"/>
  <c r="I259" i="24"/>
  <c r="K279" i="24"/>
  <c r="J279" i="24"/>
  <c r="DZ304" i="1"/>
  <c r="DZ360" i="1"/>
  <c r="BO371" i="1"/>
  <c r="D28" i="12"/>
  <c r="K28" i="3"/>
  <c r="BI378" i="1"/>
  <c r="DZ73" i="1"/>
  <c r="BS73" i="1"/>
  <c r="DZ89" i="1"/>
  <c r="BS89" i="1"/>
  <c r="I106" i="24"/>
  <c r="J106" i="24" s="1"/>
  <c r="BS105" i="1"/>
  <c r="I122" i="24"/>
  <c r="BS121" i="1"/>
  <c r="DZ161" i="1"/>
  <c r="BS161" i="1"/>
  <c r="DZ194" i="1"/>
  <c r="BS194" i="1"/>
  <c r="DZ274" i="1"/>
  <c r="BS274" i="1"/>
  <c r="DZ17" i="1"/>
  <c r="DZ235" i="1"/>
  <c r="BS235" i="1"/>
  <c r="DZ359" i="1"/>
  <c r="BS359" i="1"/>
  <c r="AU189" i="1"/>
  <c r="I192" i="24"/>
  <c r="DZ189" i="1"/>
  <c r="CD359" i="1"/>
  <c r="CE359" i="1" s="1"/>
  <c r="CD355" i="1"/>
  <c r="CE355" i="1" s="1"/>
  <c r="CD364" i="1"/>
  <c r="CE364" i="1" s="1"/>
  <c r="CD366" i="1"/>
  <c r="CE366" i="1" s="1"/>
  <c r="DZ53" i="1"/>
  <c r="AU53" i="1"/>
  <c r="I52" i="24"/>
  <c r="AU135" i="1"/>
  <c r="I138" i="24"/>
  <c r="DZ135" i="1"/>
  <c r="I157" i="24"/>
  <c r="AU154" i="1"/>
  <c r="DZ154" i="1"/>
  <c r="AQ356" i="1"/>
  <c r="AR356" i="1" s="1"/>
  <c r="CO373" i="1"/>
  <c r="CO374" i="1" s="1"/>
  <c r="CO368" i="1"/>
  <c r="BZ373" i="1"/>
  <c r="BV373" i="1"/>
  <c r="G28" i="3"/>
  <c r="BH374" i="1"/>
  <c r="G24" i="3"/>
  <c r="AV374" i="1"/>
  <c r="H26" i="24"/>
  <c r="AM374" i="1"/>
  <c r="G19" i="3"/>
  <c r="CR361" i="1"/>
  <c r="CU361" i="1" s="1"/>
  <c r="J91" i="24"/>
  <c r="K91" i="24"/>
  <c r="J358" i="24"/>
  <c r="J299" i="24"/>
  <c r="K299" i="24"/>
  <c r="J105" i="24"/>
  <c r="K105" i="24"/>
  <c r="K89" i="24"/>
  <c r="J89" i="24"/>
  <c r="J171" i="24"/>
  <c r="K171" i="24"/>
  <c r="K223" i="24"/>
  <c r="J223" i="24"/>
  <c r="J237" i="24"/>
  <c r="K237" i="24"/>
  <c r="J281" i="24"/>
  <c r="K281" i="24"/>
  <c r="N28" i="3"/>
  <c r="O28" i="3" s="1"/>
  <c r="BI379" i="1"/>
  <c r="N25" i="3"/>
  <c r="O25" i="3" s="1"/>
  <c r="AZ379" i="1"/>
  <c r="BR18" i="1"/>
  <c r="BS18" i="1" s="1"/>
  <c r="DZ42" i="1"/>
  <c r="BS42" i="1"/>
  <c r="DZ98" i="1"/>
  <c r="BS98" i="1"/>
  <c r="DZ231" i="1"/>
  <c r="BS231" i="1"/>
  <c r="I354" i="24"/>
  <c r="K354" i="24" s="1"/>
  <c r="BS347" i="1"/>
  <c r="C16" i="12"/>
  <c r="J16" i="3"/>
  <c r="CC374" i="1"/>
  <c r="G35" i="3"/>
  <c r="C30" i="12"/>
  <c r="J30" i="3"/>
  <c r="C26" i="12"/>
  <c r="J26" i="3"/>
  <c r="BQ368" i="1"/>
  <c r="BQ373" i="1"/>
  <c r="DY15" i="1"/>
  <c r="AS368" i="1"/>
  <c r="G14" i="3"/>
  <c r="U374" i="1"/>
  <c r="C10" i="12"/>
  <c r="J10" i="3"/>
  <c r="CR354" i="1"/>
  <c r="CU354" i="1" s="1"/>
  <c r="I29" i="24"/>
  <c r="K94" i="24"/>
  <c r="J94" i="24"/>
  <c r="J211" i="24"/>
  <c r="J252" i="24"/>
  <c r="K252" i="24"/>
  <c r="J360" i="24"/>
  <c r="K360" i="24"/>
  <c r="I370" i="24"/>
  <c r="J242" i="24"/>
  <c r="I21" i="24"/>
  <c r="J9" i="24"/>
  <c r="K9" i="24"/>
  <c r="K73" i="24"/>
  <c r="J73" i="24"/>
  <c r="DZ170" i="1"/>
  <c r="K15" i="24"/>
  <c r="J15" i="24"/>
  <c r="J283" i="24"/>
  <c r="K283" i="24"/>
  <c r="J269" i="24"/>
  <c r="BF371" i="1"/>
  <c r="N27" i="3"/>
  <c r="O27" i="3" s="1"/>
  <c r="BF379" i="1"/>
  <c r="I10" i="24"/>
  <c r="BS11" i="1"/>
  <c r="DZ19" i="1"/>
  <c r="BS19" i="1"/>
  <c r="DZ115" i="1"/>
  <c r="BS115" i="1"/>
  <c r="DZ155" i="1"/>
  <c r="BS155" i="1"/>
  <c r="I174" i="24"/>
  <c r="BS171" i="1"/>
  <c r="I190" i="24"/>
  <c r="J190" i="24" s="1"/>
  <c r="BS187" i="1"/>
  <c r="DZ276" i="1"/>
  <c r="BS276" i="1"/>
  <c r="I315" i="24"/>
  <c r="BS308" i="1"/>
  <c r="DZ356" i="1"/>
  <c r="BS356" i="1"/>
  <c r="D24" i="12"/>
  <c r="K24" i="3"/>
  <c r="AW378" i="1"/>
  <c r="AA374" i="1"/>
  <c r="G16" i="3"/>
  <c r="G30" i="3"/>
  <c r="BN374" i="1"/>
  <c r="G26" i="3"/>
  <c r="BB374" i="1"/>
  <c r="G17" i="3"/>
  <c r="AD374" i="1"/>
  <c r="C12" i="12"/>
  <c r="J12" i="3"/>
  <c r="AG371" i="1"/>
  <c r="CR15" i="1"/>
  <c r="CR367" i="1"/>
  <c r="CU367" i="1" s="1"/>
  <c r="I119" i="24"/>
  <c r="I181" i="24"/>
  <c r="DZ196" i="1"/>
  <c r="J230" i="24"/>
  <c r="K230" i="24"/>
  <c r="I326" i="24"/>
  <c r="DZ268" i="1"/>
  <c r="DZ151" i="1"/>
  <c r="J93" i="24"/>
  <c r="K93" i="24"/>
  <c r="K59" i="24"/>
  <c r="J59" i="24"/>
  <c r="I58" i="24"/>
  <c r="J159" i="24"/>
  <c r="K159" i="24"/>
  <c r="I26" i="24"/>
  <c r="J51" i="24"/>
  <c r="K117" i="24"/>
  <c r="J117" i="24"/>
  <c r="J151" i="24"/>
  <c r="K151" i="24"/>
  <c r="BC371" i="1"/>
  <c r="N26" i="3"/>
  <c r="BC379" i="1"/>
  <c r="I23" i="24"/>
  <c r="BS24" i="1"/>
  <c r="DZ32" i="1"/>
  <c r="BS32" i="1"/>
  <c r="DZ40" i="1"/>
  <c r="BS40" i="1"/>
  <c r="DZ56" i="1"/>
  <c r="BS56" i="1"/>
  <c r="I63" i="24"/>
  <c r="J63" i="24" s="1"/>
  <c r="BS64" i="1"/>
  <c r="I81" i="24"/>
  <c r="BS80" i="1"/>
  <c r="I97" i="24"/>
  <c r="BS96" i="1"/>
  <c r="DZ144" i="1"/>
  <c r="BS144" i="1"/>
  <c r="DZ168" i="1"/>
  <c r="BS168" i="1"/>
  <c r="I196" i="24"/>
  <c r="K196" i="24" s="1"/>
  <c r="BS193" i="1"/>
  <c r="I205" i="24"/>
  <c r="BS201" i="1"/>
  <c r="I213" i="24"/>
  <c r="BS209" i="1"/>
  <c r="DZ241" i="1"/>
  <c r="BS241" i="1"/>
  <c r="DZ249" i="1"/>
  <c r="BS249" i="1"/>
  <c r="I296" i="24"/>
  <c r="J296" i="24" s="1"/>
  <c r="BS289" i="1"/>
  <c r="DZ297" i="1"/>
  <c r="BS297" i="1"/>
  <c r="DZ321" i="1"/>
  <c r="BS321" i="1"/>
  <c r="D24" i="3"/>
  <c r="AX368" i="1"/>
  <c r="J32" i="24"/>
  <c r="K32" i="24"/>
  <c r="CB372" i="1"/>
  <c r="BV372" i="1"/>
  <c r="C28" i="12"/>
  <c r="J28" i="3"/>
  <c r="C19" i="12"/>
  <c r="J19" i="3"/>
  <c r="CR364" i="1"/>
  <c r="CU364" i="1" s="1"/>
  <c r="I244" i="24"/>
  <c r="K305" i="24"/>
  <c r="J305" i="24"/>
  <c r="DZ345" i="1"/>
  <c r="DZ281" i="1"/>
  <c r="J168" i="24"/>
  <c r="K168" i="24"/>
  <c r="I142" i="24"/>
  <c r="I99" i="24"/>
  <c r="I31" i="24"/>
  <c r="I14" i="24"/>
  <c r="DZ62" i="1"/>
  <c r="DZ166" i="1"/>
  <c r="I100" i="24"/>
  <c r="DZ136" i="1"/>
  <c r="DZ217" i="1"/>
  <c r="DZ239" i="1"/>
  <c r="DZ247" i="1"/>
  <c r="DZ320" i="1"/>
  <c r="I359" i="24"/>
  <c r="K12" i="3"/>
  <c r="P378" i="1"/>
  <c r="D12" i="12"/>
  <c r="D25" i="12"/>
  <c r="AZ378" i="1"/>
  <c r="K25" i="3"/>
  <c r="I56" i="24"/>
  <c r="BS57" i="1"/>
  <c r="I114" i="24"/>
  <c r="BS113" i="1"/>
  <c r="DZ153" i="1"/>
  <c r="BS153" i="1"/>
  <c r="I172" i="24"/>
  <c r="BS169" i="1"/>
  <c r="I180" i="24"/>
  <c r="BS177" i="1"/>
  <c r="DZ226" i="1"/>
  <c r="BS226" i="1"/>
  <c r="I238" i="24"/>
  <c r="BS234" i="1"/>
  <c r="DZ242" i="1"/>
  <c r="BS242" i="1"/>
  <c r="DZ250" i="1"/>
  <c r="BS250" i="1"/>
  <c r="DZ258" i="1"/>
  <c r="BS258" i="1"/>
  <c r="I270" i="24"/>
  <c r="K270" i="24" s="1"/>
  <c r="BS266" i="1"/>
  <c r="I313" i="24"/>
  <c r="BS306" i="1"/>
  <c r="DZ314" i="1"/>
  <c r="BS314" i="1"/>
  <c r="DZ322" i="1"/>
  <c r="BS322" i="1"/>
  <c r="I337" i="24"/>
  <c r="BS330" i="1"/>
  <c r="I345" i="24"/>
  <c r="BS338" i="1"/>
  <c r="I353" i="24"/>
  <c r="J353" i="24" s="1"/>
  <c r="BS346" i="1"/>
  <c r="I369" i="24"/>
  <c r="J369" i="24" s="1"/>
  <c r="BS362" i="1"/>
  <c r="I16" i="24"/>
  <c r="DZ37" i="1"/>
  <c r="DZ207" i="1"/>
  <c r="BS207" i="1"/>
  <c r="I290" i="24"/>
  <c r="BS283" i="1"/>
  <c r="I306" i="24"/>
  <c r="K306" i="24" s="1"/>
  <c r="BS299" i="1"/>
  <c r="DZ315" i="1"/>
  <c r="BS315" i="1"/>
  <c r="DZ267" i="1"/>
  <c r="I271" i="24"/>
  <c r="AU267" i="1"/>
  <c r="CD362" i="1"/>
  <c r="CE362" i="1" s="1"/>
  <c r="CD358" i="1"/>
  <c r="CE358" i="1" s="1"/>
  <c r="CD367" i="1"/>
  <c r="CE367" i="1" s="1"/>
  <c r="DZ202" i="1"/>
  <c r="I206" i="24"/>
  <c r="AU202" i="1"/>
  <c r="AQ360" i="1"/>
  <c r="AR360" i="1" s="1"/>
  <c r="G33" i="3"/>
  <c r="BW374" i="1"/>
  <c r="BT368" i="1"/>
  <c r="C14" i="12"/>
  <c r="J14" i="3"/>
  <c r="C9" i="3"/>
  <c r="CR365" i="1"/>
  <c r="CU365" i="1" s="1"/>
  <c r="K191" i="24"/>
  <c r="J191" i="24"/>
  <c r="K248" i="24"/>
  <c r="J248" i="24"/>
  <c r="K293" i="24"/>
  <c r="J293" i="24"/>
  <c r="K318" i="24"/>
  <c r="J318" i="24"/>
  <c r="K262" i="24"/>
  <c r="J262" i="24"/>
  <c r="J228" i="24"/>
  <c r="K228" i="24"/>
  <c r="J158" i="24"/>
  <c r="K158" i="24"/>
  <c r="K129" i="24"/>
  <c r="J129" i="24"/>
  <c r="J55" i="24"/>
  <c r="K55" i="24"/>
  <c r="K25" i="24"/>
  <c r="J25" i="24"/>
  <c r="J163" i="24"/>
  <c r="K163" i="24"/>
  <c r="J82" i="24"/>
  <c r="K82" i="24"/>
  <c r="J143" i="24"/>
  <c r="K143" i="24"/>
  <c r="J214" i="24"/>
  <c r="K183" i="24"/>
  <c r="J183" i="24"/>
  <c r="K298" i="24"/>
  <c r="J298" i="24"/>
  <c r="K329" i="24"/>
  <c r="J329" i="24"/>
  <c r="K13" i="3"/>
  <c r="D13" i="12"/>
  <c r="S378" i="1"/>
  <c r="K30" i="3"/>
  <c r="BO378" i="1"/>
  <c r="D30" i="12"/>
  <c r="BF378" i="1"/>
  <c r="K27" i="3"/>
  <c r="L27" i="3" s="1"/>
  <c r="D27" i="12"/>
  <c r="D25" i="3"/>
  <c r="BA368" i="1"/>
  <c r="DZ34" i="1"/>
  <c r="BS34" i="1"/>
  <c r="I57" i="24"/>
  <c r="J57" i="24" s="1"/>
  <c r="BS58" i="1"/>
  <c r="DZ74" i="1"/>
  <c r="BS74" i="1"/>
  <c r="DZ82" i="1"/>
  <c r="BS82" i="1"/>
  <c r="DZ90" i="1"/>
  <c r="BS90" i="1"/>
  <c r="DZ114" i="1"/>
  <c r="BS114" i="1"/>
  <c r="I141" i="24"/>
  <c r="J141" i="24" s="1"/>
  <c r="BS138" i="1"/>
  <c r="I149" i="24"/>
  <c r="BS146" i="1"/>
  <c r="DZ174" i="1"/>
  <c r="BS174" i="1"/>
  <c r="I185" i="24"/>
  <c r="BS182" i="1"/>
  <c r="DZ215" i="1"/>
  <c r="BS215" i="1"/>
  <c r="DZ263" i="1"/>
  <c r="BS263" i="1"/>
  <c r="I302" i="24"/>
  <c r="BS295" i="1"/>
  <c r="BO368" i="1"/>
  <c r="C33" i="12"/>
  <c r="J33" i="3"/>
  <c r="BK374" i="1"/>
  <c r="G29" i="3"/>
  <c r="G25" i="3"/>
  <c r="AY374" i="1"/>
  <c r="C23" i="3"/>
  <c r="AZ372" i="4" s="1"/>
  <c r="AG372" i="1"/>
  <c r="CR10" i="1"/>
  <c r="CR358" i="1"/>
  <c r="CU358" i="1" s="1"/>
  <c r="K133" i="24"/>
  <c r="J133" i="24"/>
  <c r="J297" i="24"/>
  <c r="K297" i="24"/>
  <c r="J312" i="24"/>
  <c r="K312" i="24"/>
  <c r="J258" i="24"/>
  <c r="K258" i="24"/>
  <c r="J164" i="24"/>
  <c r="K164" i="24"/>
  <c r="J118" i="24"/>
  <c r="K118" i="24"/>
  <c r="DZ102" i="1"/>
  <c r="DZ86" i="1"/>
  <c r="J60" i="24"/>
  <c r="K60" i="24"/>
  <c r="DZ22" i="1"/>
  <c r="K65" i="24"/>
  <c r="J65" i="24"/>
  <c r="I33" i="24"/>
  <c r="I49" i="24"/>
  <c r="K216" i="24"/>
  <c r="J216" i="24"/>
  <c r="K239" i="24"/>
  <c r="J239" i="24"/>
  <c r="K186" i="24"/>
  <c r="J186" i="24"/>
  <c r="K255" i="24"/>
  <c r="J255" i="24"/>
  <c r="K363" i="24"/>
  <c r="J363" i="24"/>
  <c r="P371" i="1"/>
  <c r="K26" i="3"/>
  <c r="BC378" i="1"/>
  <c r="D26" i="12"/>
  <c r="AX371" i="1"/>
  <c r="I34" i="24"/>
  <c r="BS35" i="1"/>
  <c r="I42" i="24"/>
  <c r="BS43" i="1"/>
  <c r="I75" i="24"/>
  <c r="BS75" i="1"/>
  <c r="DZ91" i="1"/>
  <c r="BS91" i="1"/>
  <c r="DZ123" i="1"/>
  <c r="BS123" i="1"/>
  <c r="DZ131" i="1"/>
  <c r="BS131" i="1"/>
  <c r="I166" i="24"/>
  <c r="K166" i="24" s="1"/>
  <c r="BS163" i="1"/>
  <c r="DZ179" i="1"/>
  <c r="BS179" i="1"/>
  <c r="DZ204" i="1"/>
  <c r="BS204" i="1"/>
  <c r="DZ212" i="1"/>
  <c r="BS212" i="1"/>
  <c r="DZ220" i="1"/>
  <c r="BS220" i="1"/>
  <c r="DZ228" i="1"/>
  <c r="BS228" i="1"/>
  <c r="DZ236" i="1"/>
  <c r="BS236" i="1"/>
  <c r="DZ244" i="1"/>
  <c r="BS244" i="1"/>
  <c r="DZ284" i="1"/>
  <c r="BS284" i="1"/>
  <c r="DZ292" i="1"/>
  <c r="BS292" i="1"/>
  <c r="DZ316" i="1"/>
  <c r="BS316" i="1"/>
  <c r="I339" i="24"/>
  <c r="J339" i="24" s="1"/>
  <c r="BS332" i="1"/>
  <c r="I347" i="24"/>
  <c r="BS340" i="1"/>
  <c r="I256" i="24"/>
  <c r="C22" i="12"/>
  <c r="J22" i="3"/>
  <c r="G15" i="3"/>
  <c r="X374" i="1"/>
  <c r="G11" i="3"/>
  <c r="L374" i="1"/>
  <c r="I374" i="1"/>
  <c r="G10" i="3"/>
  <c r="CR355" i="1"/>
  <c r="CU355" i="1" s="1"/>
  <c r="K11" i="24"/>
  <c r="J11" i="24"/>
  <c r="DZ178" i="1"/>
  <c r="J282" i="24"/>
  <c r="K282" i="24"/>
  <c r="I291" i="24"/>
  <c r="DZ175" i="1"/>
  <c r="I154" i="24"/>
  <c r="DZ130" i="1"/>
  <c r="I67" i="24"/>
  <c r="DZ35" i="1"/>
  <c r="J19" i="24"/>
  <c r="K19" i="24"/>
  <c r="J43" i="24"/>
  <c r="K43" i="24"/>
  <c r="DZ223" i="1"/>
  <c r="DZ287" i="1"/>
  <c r="I310" i="24"/>
  <c r="K365" i="24"/>
  <c r="J365" i="24"/>
  <c r="S368" i="1"/>
  <c r="H13" i="3"/>
  <c r="S377" i="1"/>
  <c r="DZ12" i="1"/>
  <c r="BS12" i="1"/>
  <c r="I109" i="24"/>
  <c r="BS108" i="1"/>
  <c r="DZ140" i="1"/>
  <c r="BS140" i="1"/>
  <c r="I201" i="24"/>
  <c r="BS197" i="1"/>
  <c r="I308" i="24"/>
  <c r="K308" i="24" s="1"/>
  <c r="BS301" i="1"/>
  <c r="DZ325" i="1"/>
  <c r="BS325" i="1"/>
  <c r="DZ365" i="1"/>
  <c r="BS365" i="1"/>
  <c r="BR373" i="1"/>
  <c r="BS9" i="1"/>
  <c r="I264" i="24"/>
  <c r="G38" i="3"/>
  <c r="CI374" i="1"/>
  <c r="BZ372" i="1"/>
  <c r="BT372" i="1"/>
  <c r="BE374" i="1"/>
  <c r="G27" i="3"/>
  <c r="C24" i="12"/>
  <c r="J24" i="3"/>
  <c r="G18" i="3"/>
  <c r="AJ374" i="1"/>
  <c r="DZ24" i="1"/>
  <c r="DZ142" i="1"/>
  <c r="J184" i="24"/>
  <c r="K184" i="24"/>
  <c r="DZ240" i="1"/>
  <c r="I336" i="24"/>
  <c r="I352" i="24"/>
  <c r="DZ355" i="1"/>
  <c r="J338" i="24"/>
  <c r="K338" i="24"/>
  <c r="DZ296" i="1"/>
  <c r="K152" i="24"/>
  <c r="J152" i="24"/>
  <c r="DZ106" i="1"/>
  <c r="I66" i="24"/>
  <c r="I61" i="24"/>
  <c r="I169" i="24"/>
  <c r="DZ11" i="1"/>
  <c r="I45" i="24"/>
  <c r="I221" i="24"/>
  <c r="I236" i="24"/>
  <c r="I243" i="24"/>
  <c r="I267" i="24"/>
  <c r="I304" i="24"/>
  <c r="DZ312" i="1"/>
  <c r="DZ352" i="1"/>
  <c r="I74" i="24"/>
  <c r="H28" i="3"/>
  <c r="BI374" i="1"/>
  <c r="BI377" i="1"/>
  <c r="I20" i="24"/>
  <c r="J20" i="24" s="1"/>
  <c r="BS21" i="1"/>
  <c r="I28" i="24"/>
  <c r="J28" i="24" s="1"/>
  <c r="BS29" i="1"/>
  <c r="DZ61" i="1"/>
  <c r="BS61" i="1"/>
  <c r="I86" i="24"/>
  <c r="K86" i="24" s="1"/>
  <c r="BS85" i="1"/>
  <c r="DZ109" i="1"/>
  <c r="BS109" i="1"/>
  <c r="DZ141" i="1"/>
  <c r="BS141" i="1"/>
  <c r="DZ149" i="1"/>
  <c r="BS149" i="1"/>
  <c r="I176" i="24"/>
  <c r="BS173" i="1"/>
  <c r="I202" i="24"/>
  <c r="K202" i="24" s="1"/>
  <c r="BS198" i="1"/>
  <c r="I275" i="24"/>
  <c r="K275" i="24" s="1"/>
  <c r="BS270" i="1"/>
  <c r="I309" i="24"/>
  <c r="BS302" i="1"/>
  <c r="I36" i="24"/>
  <c r="DZ227" i="1"/>
  <c r="BS227" i="1"/>
  <c r="I247" i="24"/>
  <c r="K247" i="24" s="1"/>
  <c r="BS243" i="1"/>
  <c r="I263" i="24"/>
  <c r="BS259" i="1"/>
  <c r="Q9" i="1"/>
  <c r="Q373" i="1" s="1"/>
  <c r="P368" i="1"/>
  <c r="P373" i="1"/>
  <c r="CD360" i="1"/>
  <c r="CE360" i="1" s="1"/>
  <c r="AU95" i="1"/>
  <c r="DZ95" i="1"/>
  <c r="I96" i="24"/>
  <c r="AT357" i="1"/>
  <c r="AQ353" i="1"/>
  <c r="AR353" i="1" s="1"/>
  <c r="AQ366" i="1"/>
  <c r="AR366" i="1" s="1"/>
  <c r="AQ362" i="1"/>
  <c r="AR362" i="1" s="1"/>
  <c r="EC27" i="1"/>
  <c r="EC368" i="1" s="1"/>
  <c r="F29" i="4"/>
  <c r="H29" i="4" s="1"/>
  <c r="DY27" i="1"/>
  <c r="CB373" i="1"/>
  <c r="BT373" i="1"/>
  <c r="G13" i="3"/>
  <c r="R374" i="1"/>
  <c r="CR9" i="1"/>
  <c r="AG368" i="1"/>
  <c r="AG373" i="1"/>
  <c r="CR353" i="1"/>
  <c r="CU353" i="1" s="1"/>
  <c r="K48" i="24"/>
  <c r="J48" i="24"/>
  <c r="J222" i="24"/>
  <c r="K222" i="24"/>
  <c r="J374" i="24"/>
  <c r="K374" i="24"/>
  <c r="K280" i="24"/>
  <c r="J280" i="24"/>
  <c r="K140" i="24"/>
  <c r="J140" i="24"/>
  <c r="J113" i="24"/>
  <c r="K113" i="24"/>
  <c r="K124" i="24"/>
  <c r="K231" i="24"/>
  <c r="J231" i="24"/>
  <c r="J273" i="24"/>
  <c r="K273" i="24"/>
  <c r="K361" i="24"/>
  <c r="J361" i="24"/>
  <c r="D28" i="3"/>
  <c r="BJ368" i="1"/>
  <c r="I37" i="24"/>
  <c r="BS38" i="1"/>
  <c r="DZ110" i="1"/>
  <c r="BS110" i="1"/>
  <c r="DZ126" i="1"/>
  <c r="BS126" i="1"/>
  <c r="DZ339" i="1"/>
  <c r="BS339" i="1"/>
  <c r="M23" i="3"/>
  <c r="G22" i="3"/>
  <c r="DY9" i="1"/>
  <c r="AS373" i="1"/>
  <c r="M22" i="3" s="1"/>
  <c r="C17" i="12"/>
  <c r="J17" i="3"/>
  <c r="CR362" i="1"/>
  <c r="CU362" i="1" s="1"/>
  <c r="J278" i="24"/>
  <c r="K278" i="24"/>
  <c r="K344" i="24"/>
  <c r="J344" i="24"/>
  <c r="DZ347" i="1"/>
  <c r="K314" i="24"/>
  <c r="J314" i="24"/>
  <c r="DZ271" i="1"/>
  <c r="K224" i="24"/>
  <c r="J224" i="24"/>
  <c r="J127" i="24"/>
  <c r="K127" i="24"/>
  <c r="DZ70" i="1"/>
  <c r="K165" i="24"/>
  <c r="J165" i="24"/>
  <c r="DZ50" i="1"/>
  <c r="J112" i="24"/>
  <c r="J323" i="24"/>
  <c r="K323" i="24"/>
  <c r="J331" i="24"/>
  <c r="BF368" i="1"/>
  <c r="H24" i="3"/>
  <c r="AW374" i="1"/>
  <c r="AW377" i="1"/>
  <c r="DZ87" i="1"/>
  <c r="BS87" i="1"/>
  <c r="DZ127" i="1"/>
  <c r="BS127" i="1"/>
  <c r="DZ167" i="1"/>
  <c r="BS167" i="1"/>
  <c r="DZ183" i="1"/>
  <c r="BS183" i="1"/>
  <c r="I204" i="24"/>
  <c r="J204" i="24" s="1"/>
  <c r="BS200" i="1"/>
  <c r="DZ264" i="1"/>
  <c r="BS264" i="1"/>
  <c r="I277" i="24"/>
  <c r="BS272" i="1"/>
  <c r="I287" i="24"/>
  <c r="BS280" i="1"/>
  <c r="I295" i="24"/>
  <c r="BS288" i="1"/>
  <c r="I335" i="24"/>
  <c r="K335" i="24" s="1"/>
  <c r="BS328" i="1"/>
  <c r="DZ336" i="1"/>
  <c r="BS336" i="1"/>
  <c r="BR372" i="1"/>
  <c r="BS10" i="1"/>
  <c r="DZ252" i="1"/>
  <c r="C38" i="12"/>
  <c r="J38" i="3"/>
  <c r="J37" i="3" s="1"/>
  <c r="F376" i="4"/>
  <c r="H12" i="4"/>
  <c r="H376" i="4" s="1"/>
  <c r="CR27" i="1"/>
  <c r="CU27" i="1" s="1"/>
  <c r="CR359" i="1"/>
  <c r="CU359" i="1" s="1"/>
  <c r="DZ83" i="1"/>
  <c r="J98" i="24"/>
  <c r="K98" i="24"/>
  <c r="I137" i="24"/>
  <c r="DZ256" i="1"/>
  <c r="K366" i="24"/>
  <c r="J366" i="24"/>
  <c r="I307" i="24"/>
  <c r="I220" i="24"/>
  <c r="I178" i="24"/>
  <c r="I162" i="24"/>
  <c r="I132" i="24"/>
  <c r="I116" i="24"/>
  <c r="K101" i="24"/>
  <c r="J101" i="24"/>
  <c r="DZ78" i="1"/>
  <c r="DZ67" i="1"/>
  <c r="I50" i="24"/>
  <c r="J68" i="24"/>
  <c r="K68" i="24"/>
  <c r="K167" i="24"/>
  <c r="J167" i="24"/>
  <c r="K90" i="24"/>
  <c r="J90" i="24"/>
  <c r="DZ195" i="1"/>
  <c r="I227" i="24"/>
  <c r="DZ328" i="1"/>
  <c r="DZ186" i="1"/>
  <c r="J257" i="24"/>
  <c r="K257" i="24"/>
  <c r="DZ279" i="1"/>
  <c r="J325" i="24"/>
  <c r="K325" i="24"/>
  <c r="S373" i="1"/>
  <c r="N16" i="3"/>
  <c r="O16" i="3" s="1"/>
  <c r="AB379" i="1"/>
  <c r="D29" i="3"/>
  <c r="BM368" i="1"/>
  <c r="BC368" i="1"/>
  <c r="DZ20" i="1"/>
  <c r="BS20" i="1"/>
  <c r="I35" i="24"/>
  <c r="K35" i="24" s="1"/>
  <c r="BS36" i="1"/>
  <c r="DZ60" i="1"/>
  <c r="BS60" i="1"/>
  <c r="DZ68" i="1"/>
  <c r="BS68" i="1"/>
  <c r="DZ100" i="1"/>
  <c r="BS100" i="1"/>
  <c r="DZ116" i="1"/>
  <c r="BS116" i="1"/>
  <c r="I135" i="24"/>
  <c r="BS132" i="1"/>
  <c r="DZ148" i="1"/>
  <c r="BS148" i="1"/>
  <c r="DZ156" i="1"/>
  <c r="BS156" i="1"/>
  <c r="DZ164" i="1"/>
  <c r="BS164" i="1"/>
  <c r="I175" i="24"/>
  <c r="BS172" i="1"/>
  <c r="DZ180" i="1"/>
  <c r="BS180" i="1"/>
  <c r="DZ188" i="1"/>
  <c r="BS188" i="1"/>
  <c r="I209" i="24"/>
  <c r="BS205" i="1"/>
  <c r="DZ213" i="1"/>
  <c r="BS213" i="1"/>
  <c r="I249" i="24"/>
  <c r="J249" i="24" s="1"/>
  <c r="BS245" i="1"/>
  <c r="DZ269" i="1"/>
  <c r="BS269" i="1"/>
  <c r="DZ277" i="1"/>
  <c r="BS277" i="1"/>
  <c r="I292" i="24"/>
  <c r="BS285" i="1"/>
  <c r="I300" i="24"/>
  <c r="BS293" i="1"/>
  <c r="I316" i="24"/>
  <c r="BS309" i="1"/>
  <c r="DZ349" i="1"/>
  <c r="BS349" i="1"/>
  <c r="N24" i="3"/>
  <c r="O24" i="3" s="1"/>
  <c r="AW379" i="1"/>
  <c r="DZ260" i="1"/>
  <c r="C13" i="12"/>
  <c r="J13" i="3"/>
  <c r="CR356" i="1"/>
  <c r="CU356" i="1" s="1"/>
  <c r="I88" i="24"/>
  <c r="DZ124" i="1"/>
  <c r="I145" i="24"/>
  <c r="DZ329" i="1"/>
  <c r="I362" i="24"/>
  <c r="I268" i="24"/>
  <c r="I235" i="24"/>
  <c r="K197" i="24"/>
  <c r="J197" i="24"/>
  <c r="I107" i="24"/>
  <c r="I92" i="24"/>
  <c r="I76" i="24"/>
  <c r="DZ66" i="1"/>
  <c r="DZ47" i="1"/>
  <c r="I346" i="24"/>
  <c r="DZ158" i="1"/>
  <c r="DZ46" i="1"/>
  <c r="DZ120" i="1"/>
  <c r="I155" i="24"/>
  <c r="I212" i="24"/>
  <c r="DZ232" i="1"/>
  <c r="DZ255" i="1"/>
  <c r="I319" i="24"/>
  <c r="I351" i="24"/>
  <c r="H25" i="3"/>
  <c r="AZ374" i="1"/>
  <c r="AZ377" i="1"/>
  <c r="I12" i="24"/>
  <c r="BS13" i="1"/>
  <c r="I102" i="24"/>
  <c r="BS101" i="1"/>
  <c r="DZ125" i="1"/>
  <c r="BS125" i="1"/>
  <c r="DZ165" i="1"/>
  <c r="BS165" i="1"/>
  <c r="I193" i="24"/>
  <c r="BS190" i="1"/>
  <c r="I210" i="24"/>
  <c r="J210" i="24" s="1"/>
  <c r="BS206" i="1"/>
  <c r="DZ222" i="1"/>
  <c r="BS222" i="1"/>
  <c r="I234" i="24"/>
  <c r="J234" i="24" s="1"/>
  <c r="BS230" i="1"/>
  <c r="I250" i="24"/>
  <c r="J250" i="24" s="1"/>
  <c r="BS246" i="1"/>
  <c r="DZ278" i="1"/>
  <c r="BS278" i="1"/>
  <c r="DZ286" i="1"/>
  <c r="BS286" i="1"/>
  <c r="I301" i="24"/>
  <c r="K301" i="24" s="1"/>
  <c r="BS294" i="1"/>
  <c r="DZ310" i="1"/>
  <c r="BS310" i="1"/>
  <c r="I333" i="24"/>
  <c r="BS326" i="1"/>
  <c r="DZ334" i="1"/>
  <c r="BS334" i="1"/>
  <c r="I349" i="24"/>
  <c r="BS342" i="1"/>
  <c r="DZ350" i="1"/>
  <c r="BS350" i="1"/>
  <c r="I373" i="24"/>
  <c r="BS366" i="1"/>
  <c r="DZ113" i="1"/>
  <c r="DZ162" i="1"/>
  <c r="BS162" i="1"/>
  <c r="DZ199" i="1"/>
  <c r="BS199" i="1"/>
  <c r="DZ211" i="1"/>
  <c r="BS211" i="1"/>
  <c r="DZ291" i="1"/>
  <c r="BS291" i="1"/>
  <c r="DZ307" i="1"/>
  <c r="BS307" i="1"/>
  <c r="I330" i="24"/>
  <c r="J330" i="24" s="1"/>
  <c r="BS323" i="1"/>
  <c r="I342" i="24"/>
  <c r="BS335" i="1"/>
  <c r="DZ351" i="1"/>
  <c r="BS351" i="1"/>
  <c r="CJ9" i="1"/>
  <c r="AQ341" i="1"/>
  <c r="AR341" i="1" s="1"/>
  <c r="AQ291" i="1"/>
  <c r="AR291" i="1" s="1"/>
  <c r="AQ240" i="1"/>
  <c r="AR240" i="1" s="1"/>
  <c r="AQ27" i="1"/>
  <c r="AR27" i="1" s="1"/>
  <c r="AQ158" i="1"/>
  <c r="AR158" i="1" s="1"/>
  <c r="AQ134" i="1"/>
  <c r="AR134" i="1" s="1"/>
  <c r="AQ106" i="1"/>
  <c r="AR106" i="1" s="1"/>
  <c r="AQ53" i="1"/>
  <c r="AR53" i="1" s="1"/>
  <c r="AQ42" i="1"/>
  <c r="AR42" i="1" s="1"/>
  <c r="AQ236" i="1"/>
  <c r="AR236" i="1" s="1"/>
  <c r="AQ177" i="1"/>
  <c r="AR177" i="1" s="1"/>
  <c r="AQ126" i="1"/>
  <c r="AR126" i="1" s="1"/>
  <c r="AQ45" i="1"/>
  <c r="AR45" i="1" s="1"/>
  <c r="AQ198" i="1"/>
  <c r="AR198" i="1" s="1"/>
  <c r="AQ206" i="1"/>
  <c r="AR206" i="1" s="1"/>
  <c r="AQ215" i="1"/>
  <c r="AR215" i="1" s="1"/>
  <c r="AQ223" i="1"/>
  <c r="AR223" i="1" s="1"/>
  <c r="AQ241" i="1"/>
  <c r="AR241" i="1" s="1"/>
  <c r="AQ255" i="1"/>
  <c r="AR255" i="1" s="1"/>
  <c r="AQ263" i="1"/>
  <c r="AR263" i="1" s="1"/>
  <c r="AQ272" i="1"/>
  <c r="AR272" i="1" s="1"/>
  <c r="AQ282" i="1"/>
  <c r="AR282" i="1" s="1"/>
  <c r="AQ292" i="1"/>
  <c r="AR292" i="1" s="1"/>
  <c r="AQ304" i="1"/>
  <c r="AR304" i="1" s="1"/>
  <c r="AQ328" i="1"/>
  <c r="AR328" i="1" s="1"/>
  <c r="AQ342" i="1"/>
  <c r="AR342" i="1" s="1"/>
  <c r="AQ58" i="1"/>
  <c r="AR58" i="1" s="1"/>
  <c r="AQ63" i="1"/>
  <c r="AR63" i="1" s="1"/>
  <c r="AQ49" i="1"/>
  <c r="AR49" i="1" s="1"/>
  <c r="AQ71" i="1"/>
  <c r="AR71" i="1" s="1"/>
  <c r="AQ89" i="1"/>
  <c r="AR89" i="1" s="1"/>
  <c r="AQ108" i="1"/>
  <c r="AR108" i="1" s="1"/>
  <c r="AQ150" i="1"/>
  <c r="AR150" i="1" s="1"/>
  <c r="AQ162" i="1"/>
  <c r="AR162" i="1" s="1"/>
  <c r="AQ173" i="1"/>
  <c r="AR173" i="1" s="1"/>
  <c r="AQ25" i="1"/>
  <c r="AR25" i="1" s="1"/>
  <c r="AQ11" i="1"/>
  <c r="AR11" i="1" s="1"/>
  <c r="AQ194" i="1"/>
  <c r="AR194" i="1" s="1"/>
  <c r="AQ233" i="1"/>
  <c r="AR233" i="1" s="1"/>
  <c r="AQ242" i="1"/>
  <c r="AR242" i="1" s="1"/>
  <c r="AQ276" i="1"/>
  <c r="AR276" i="1" s="1"/>
  <c r="AQ290" i="1"/>
  <c r="AR290" i="1" s="1"/>
  <c r="AQ309" i="1"/>
  <c r="AR309" i="1" s="1"/>
  <c r="AQ317" i="1"/>
  <c r="AR317" i="1" s="1"/>
  <c r="AQ335" i="1"/>
  <c r="AR335" i="1" s="1"/>
  <c r="AQ28" i="1"/>
  <c r="AR28" i="1" s="1"/>
  <c r="AQ65" i="1"/>
  <c r="AR65" i="1" s="1"/>
  <c r="AQ81" i="1"/>
  <c r="AR81" i="1" s="1"/>
  <c r="AQ90" i="1"/>
  <c r="AR90" i="1" s="1"/>
  <c r="AQ110" i="1"/>
  <c r="AR110" i="1" s="1"/>
  <c r="AQ123" i="1"/>
  <c r="AR123" i="1" s="1"/>
  <c r="AQ152" i="1"/>
  <c r="AR152" i="1" s="1"/>
  <c r="AQ164" i="1"/>
  <c r="AR164" i="1" s="1"/>
  <c r="AQ175" i="1"/>
  <c r="AR175" i="1" s="1"/>
  <c r="AQ199" i="1"/>
  <c r="AR199" i="1" s="1"/>
  <c r="AQ207" i="1"/>
  <c r="AR207" i="1" s="1"/>
  <c r="AQ216" i="1"/>
  <c r="AR216" i="1" s="1"/>
  <c r="AQ226" i="1"/>
  <c r="AR226" i="1" s="1"/>
  <c r="AQ247" i="1"/>
  <c r="AR247" i="1" s="1"/>
  <c r="AQ258" i="1"/>
  <c r="AR258" i="1" s="1"/>
  <c r="AQ266" i="1"/>
  <c r="AR266" i="1" s="1"/>
  <c r="AQ286" i="1"/>
  <c r="AR286" i="1" s="1"/>
  <c r="AQ297" i="1"/>
  <c r="AR297" i="1" s="1"/>
  <c r="AQ325" i="1"/>
  <c r="AR325" i="1" s="1"/>
  <c r="AQ340" i="1"/>
  <c r="AR340" i="1" s="1"/>
  <c r="AQ56" i="1"/>
  <c r="AR56" i="1" s="1"/>
  <c r="AQ308" i="1"/>
  <c r="AR308" i="1" s="1"/>
  <c r="AQ179" i="1"/>
  <c r="AR179" i="1" s="1"/>
  <c r="AQ156" i="1"/>
  <c r="AR156" i="1" s="1"/>
  <c r="AQ114" i="1"/>
  <c r="AR114" i="1" s="1"/>
  <c r="AQ85" i="1"/>
  <c r="AR85" i="1" s="1"/>
  <c r="AQ32" i="1"/>
  <c r="AR32" i="1" s="1"/>
  <c r="AQ29" i="1"/>
  <c r="AR29" i="1" s="1"/>
  <c r="AQ22" i="1"/>
  <c r="AR22" i="1" s="1"/>
  <c r="AQ183" i="1"/>
  <c r="AR183" i="1" s="1"/>
  <c r="AQ112" i="1"/>
  <c r="AR112" i="1" s="1"/>
  <c r="AQ30" i="1"/>
  <c r="AR30" i="1" s="1"/>
  <c r="AQ333" i="1"/>
  <c r="AR333" i="1" s="1"/>
  <c r="AQ275" i="1"/>
  <c r="AR275" i="1" s="1"/>
  <c r="AQ176" i="1"/>
  <c r="AR176" i="1" s="1"/>
  <c r="AQ67" i="1"/>
  <c r="AR67" i="1" s="1"/>
  <c r="AQ193" i="1"/>
  <c r="AR193" i="1" s="1"/>
  <c r="AQ17" i="1"/>
  <c r="AR17" i="1" s="1"/>
  <c r="AQ305" i="1"/>
  <c r="AR305" i="1" s="1"/>
  <c r="AQ79" i="1"/>
  <c r="AR79" i="1" s="1"/>
  <c r="AQ46" i="1"/>
  <c r="AR46" i="1" s="1"/>
  <c r="AQ330" i="1"/>
  <c r="AR330" i="1" s="1"/>
  <c r="AQ281" i="1"/>
  <c r="AR281" i="1" s="1"/>
  <c r="AQ232" i="1"/>
  <c r="AR232" i="1" s="1"/>
  <c r="AQ185" i="1"/>
  <c r="AR185" i="1" s="1"/>
  <c r="AQ143" i="1"/>
  <c r="AR143" i="1" s="1"/>
  <c r="AQ119" i="1"/>
  <c r="AR119" i="1" s="1"/>
  <c r="AQ91" i="1"/>
  <c r="AR91" i="1" s="1"/>
  <c r="AQ37" i="1"/>
  <c r="AR37" i="1" s="1"/>
  <c r="AQ31" i="1"/>
  <c r="AR31" i="1" s="1"/>
  <c r="AQ16" i="1"/>
  <c r="AR16" i="1" s="1"/>
  <c r="AQ166" i="1"/>
  <c r="AR166" i="1" s="1"/>
  <c r="AQ109" i="1"/>
  <c r="AR109" i="1" s="1"/>
  <c r="AQ61" i="1"/>
  <c r="AR61" i="1" s="1"/>
  <c r="AQ200" i="1"/>
  <c r="AR200" i="1" s="1"/>
  <c r="AQ208" i="1"/>
  <c r="AR208" i="1" s="1"/>
  <c r="AQ217" i="1"/>
  <c r="AR217" i="1" s="1"/>
  <c r="AQ225" i="1"/>
  <c r="AR225" i="1" s="1"/>
  <c r="AQ245" i="1"/>
  <c r="AR245" i="1" s="1"/>
  <c r="AQ257" i="1"/>
  <c r="AR257" i="1" s="1"/>
  <c r="AQ265" i="1"/>
  <c r="AR265" i="1" s="1"/>
  <c r="AQ274" i="1"/>
  <c r="AR274" i="1" s="1"/>
  <c r="AQ285" i="1"/>
  <c r="AR285" i="1" s="1"/>
  <c r="AQ294" i="1"/>
  <c r="AR294" i="1" s="1"/>
  <c r="AQ322" i="1"/>
  <c r="AR322" i="1" s="1"/>
  <c r="AQ331" i="1"/>
  <c r="AR331" i="1" s="1"/>
  <c r="AQ345" i="1"/>
  <c r="AR345" i="1" s="1"/>
  <c r="AQ36" i="1"/>
  <c r="AR36" i="1" s="1"/>
  <c r="AQ68" i="1"/>
  <c r="AR68" i="1" s="1"/>
  <c r="AQ64" i="1"/>
  <c r="AR64" i="1" s="1"/>
  <c r="AQ86" i="1"/>
  <c r="AR86" i="1" s="1"/>
  <c r="AQ97" i="1"/>
  <c r="AR97" i="1" s="1"/>
  <c r="AQ115" i="1"/>
  <c r="AR115" i="1" s="1"/>
  <c r="AQ129" i="1"/>
  <c r="AR129" i="1" s="1"/>
  <c r="AQ139" i="1"/>
  <c r="AR139" i="1" s="1"/>
  <c r="AQ161" i="1"/>
  <c r="AR161" i="1" s="1"/>
  <c r="AQ182" i="1"/>
  <c r="AR182" i="1" s="1"/>
  <c r="AQ23" i="1"/>
  <c r="AR23" i="1" s="1"/>
  <c r="AQ196" i="1"/>
  <c r="AR196" i="1" s="1"/>
  <c r="AQ235" i="1"/>
  <c r="AR235" i="1" s="1"/>
  <c r="AQ246" i="1"/>
  <c r="AR246" i="1" s="1"/>
  <c r="AQ301" i="1"/>
  <c r="AR301" i="1" s="1"/>
  <c r="AQ311" i="1"/>
  <c r="AR311" i="1" s="1"/>
  <c r="AQ319" i="1"/>
  <c r="AR319" i="1" s="1"/>
  <c r="AQ339" i="1"/>
  <c r="AR339" i="1" s="1"/>
  <c r="AQ35" i="1"/>
  <c r="AR35" i="1" s="1"/>
  <c r="AQ76" i="1"/>
  <c r="AR76" i="1" s="1"/>
  <c r="AQ88" i="1"/>
  <c r="AR88" i="1" s="1"/>
  <c r="AQ99" i="1"/>
  <c r="AR99" i="1" s="1"/>
  <c r="AQ117" i="1"/>
  <c r="AR117" i="1" s="1"/>
  <c r="AQ130" i="1"/>
  <c r="AR130" i="1" s="1"/>
  <c r="AQ141" i="1"/>
  <c r="AR141" i="1" s="1"/>
  <c r="AQ163" i="1"/>
  <c r="AR163" i="1" s="1"/>
  <c r="AQ184" i="1"/>
  <c r="AR184" i="1" s="1"/>
  <c r="AQ201" i="1"/>
  <c r="AR201" i="1" s="1"/>
  <c r="AQ209" i="1"/>
  <c r="AR209" i="1" s="1"/>
  <c r="AQ218" i="1"/>
  <c r="AR218" i="1" s="1"/>
  <c r="AQ228" i="1"/>
  <c r="AR228" i="1" s="1"/>
  <c r="AQ252" i="1"/>
  <c r="AR252" i="1" s="1"/>
  <c r="AQ260" i="1"/>
  <c r="AR260" i="1" s="1"/>
  <c r="AQ270" i="1"/>
  <c r="AR270" i="1" s="1"/>
  <c r="AQ288" i="1"/>
  <c r="AR288" i="1" s="1"/>
  <c r="AQ299" i="1"/>
  <c r="AR299" i="1" s="1"/>
  <c r="AQ327" i="1"/>
  <c r="AR327" i="1" s="1"/>
  <c r="AQ343" i="1"/>
  <c r="AR343" i="1" s="1"/>
  <c r="AQ348" i="1"/>
  <c r="AR348" i="1" s="1"/>
  <c r="AQ302" i="1"/>
  <c r="AR302" i="1" s="1"/>
  <c r="AQ171" i="1"/>
  <c r="AR171" i="1" s="1"/>
  <c r="AQ140" i="1"/>
  <c r="AR140" i="1" s="1"/>
  <c r="AQ111" i="1"/>
  <c r="AR111" i="1" s="1"/>
  <c r="AQ69" i="1"/>
  <c r="AR69" i="1" s="1"/>
  <c r="AQ24" i="1"/>
  <c r="AR24" i="1" s="1"/>
  <c r="AQ170" i="1"/>
  <c r="AR170" i="1" s="1"/>
  <c r="AQ93" i="1"/>
  <c r="AR93" i="1" s="1"/>
  <c r="AQ48" i="1"/>
  <c r="AR48" i="1" s="1"/>
  <c r="AQ318" i="1"/>
  <c r="AR318" i="1" s="1"/>
  <c r="AQ148" i="1"/>
  <c r="AR148" i="1" s="1"/>
  <c r="AQ136" i="1"/>
  <c r="AR136" i="1" s="1"/>
  <c r="AQ19" i="1"/>
  <c r="AR19" i="1" s="1"/>
  <c r="AQ167" i="1"/>
  <c r="AR167" i="1" s="1"/>
  <c r="AQ60" i="1"/>
  <c r="AR60" i="1" s="1"/>
  <c r="AQ59" i="1"/>
  <c r="AR59" i="1" s="1"/>
  <c r="AQ314" i="1"/>
  <c r="AR314" i="1" s="1"/>
  <c r="AQ268" i="1"/>
  <c r="AR268" i="1" s="1"/>
  <c r="AQ174" i="1"/>
  <c r="AR174" i="1" s="1"/>
  <c r="AQ146" i="1"/>
  <c r="AR146" i="1" s="1"/>
  <c r="AQ118" i="1"/>
  <c r="AR118" i="1" s="1"/>
  <c r="AQ66" i="1"/>
  <c r="AR66" i="1" s="1"/>
  <c r="AQ189" i="1"/>
  <c r="AR189" i="1" s="1"/>
  <c r="AQ18" i="1"/>
  <c r="AR18" i="1" s="1"/>
  <c r="AQ151" i="1"/>
  <c r="AR151" i="1" s="1"/>
  <c r="AQ98" i="1"/>
  <c r="AR98" i="1" s="1"/>
  <c r="AQ38" i="1"/>
  <c r="AR38" i="1" s="1"/>
  <c r="AQ210" i="1"/>
  <c r="AR210" i="1" s="1"/>
  <c r="AQ219" i="1"/>
  <c r="AR219" i="1" s="1"/>
  <c r="AQ227" i="1"/>
  <c r="AR227" i="1" s="1"/>
  <c r="AQ249" i="1"/>
  <c r="AR249" i="1" s="1"/>
  <c r="AQ259" i="1"/>
  <c r="AR259" i="1" s="1"/>
  <c r="AQ267" i="1"/>
  <c r="AR267" i="1" s="1"/>
  <c r="AQ287" i="1"/>
  <c r="AR287" i="1" s="1"/>
  <c r="AQ296" i="1"/>
  <c r="AR296" i="1" s="1"/>
  <c r="AQ324" i="1"/>
  <c r="AR324" i="1" s="1"/>
  <c r="AQ349" i="1"/>
  <c r="AR349" i="1" s="1"/>
  <c r="AQ44" i="1"/>
  <c r="AR44" i="1" s="1"/>
  <c r="AQ33" i="1"/>
  <c r="AR33" i="1" s="1"/>
  <c r="AQ120" i="1"/>
  <c r="AR120" i="1" s="1"/>
  <c r="AQ62" i="1"/>
  <c r="AR62" i="1" s="1"/>
  <c r="AQ55" i="1"/>
  <c r="AR55" i="1" s="1"/>
  <c r="AQ133" i="1"/>
  <c r="AR133" i="1" s="1"/>
  <c r="AQ160" i="1"/>
  <c r="AR160" i="1" s="1"/>
  <c r="AQ352" i="1"/>
  <c r="AR352" i="1" s="1"/>
  <c r="AQ251" i="1"/>
  <c r="AR251" i="1" s="1"/>
  <c r="AQ195" i="1"/>
  <c r="AR195" i="1" s="1"/>
  <c r="AQ101" i="1"/>
  <c r="AR101" i="1" s="1"/>
  <c r="AQ78" i="1"/>
  <c r="AR78" i="1" s="1"/>
  <c r="AQ54" i="1"/>
  <c r="AR54" i="1" s="1"/>
  <c r="AQ248" i="1"/>
  <c r="AR248" i="1" s="1"/>
  <c r="AQ20" i="1"/>
  <c r="AR20" i="1" s="1"/>
  <c r="AQ138" i="1"/>
  <c r="AR138" i="1" s="1"/>
  <c r="AQ84" i="1"/>
  <c r="AR84" i="1" s="1"/>
  <c r="AQ204" i="1"/>
  <c r="AR204" i="1" s="1"/>
  <c r="AQ213" i="1"/>
  <c r="AR213" i="1" s="1"/>
  <c r="AQ221" i="1"/>
  <c r="AR221" i="1" s="1"/>
  <c r="AQ229" i="1"/>
  <c r="AR229" i="1" s="1"/>
  <c r="AQ253" i="1"/>
  <c r="AR253" i="1" s="1"/>
  <c r="AQ289" i="1"/>
  <c r="AR289" i="1" s="1"/>
  <c r="AQ298" i="1"/>
  <c r="AR298" i="1" s="1"/>
  <c r="AQ52" i="1"/>
  <c r="AR52" i="1" s="1"/>
  <c r="AQ102" i="1"/>
  <c r="AR102" i="1" s="1"/>
  <c r="AQ113" i="1"/>
  <c r="AR113" i="1" s="1"/>
  <c r="AQ131" i="1"/>
  <c r="AR131" i="1" s="1"/>
  <c r="AQ142" i="1"/>
  <c r="AR142" i="1" s="1"/>
  <c r="AQ155" i="1"/>
  <c r="AR155" i="1" s="1"/>
  <c r="AQ188" i="1"/>
  <c r="AR188" i="1" s="1"/>
  <c r="AQ13" i="1"/>
  <c r="AR13" i="1" s="1"/>
  <c r="AQ192" i="1"/>
  <c r="AR192" i="1" s="1"/>
  <c r="AQ231" i="1"/>
  <c r="AR231" i="1" s="1"/>
  <c r="AQ239" i="1"/>
  <c r="AR239" i="1" s="1"/>
  <c r="AQ283" i="1"/>
  <c r="AR283" i="1" s="1"/>
  <c r="AQ307" i="1"/>
  <c r="AR307" i="1" s="1"/>
  <c r="AQ315" i="1"/>
  <c r="AR315" i="1" s="1"/>
  <c r="AQ329" i="1"/>
  <c r="AR329" i="1" s="1"/>
  <c r="AQ350" i="1"/>
  <c r="AR350" i="1" s="1"/>
  <c r="AQ57" i="1"/>
  <c r="AR57" i="1" s="1"/>
  <c r="AQ73" i="1"/>
  <c r="AR73" i="1" s="1"/>
  <c r="AQ144" i="1"/>
  <c r="AR144" i="1" s="1"/>
  <c r="AQ157" i="1"/>
  <c r="AR157" i="1" s="1"/>
  <c r="AQ172" i="1"/>
  <c r="AR172" i="1" s="1"/>
  <c r="AQ197" i="1"/>
  <c r="AR197" i="1" s="1"/>
  <c r="AQ205" i="1"/>
  <c r="AR205" i="1" s="1"/>
  <c r="AQ224" i="1"/>
  <c r="AR224" i="1" s="1"/>
  <c r="AQ256" i="1"/>
  <c r="AR256" i="1" s="1"/>
  <c r="AQ264" i="1"/>
  <c r="AR264" i="1" s="1"/>
  <c r="AQ278" i="1"/>
  <c r="AR278" i="1" s="1"/>
  <c r="AQ295" i="1"/>
  <c r="AR295" i="1" s="1"/>
  <c r="AQ323" i="1"/>
  <c r="AR323" i="1" s="1"/>
  <c r="AQ351" i="1"/>
  <c r="AR351" i="1" s="1"/>
  <c r="AQ186" i="1"/>
  <c r="AR186" i="1" s="1"/>
  <c r="AQ153" i="1"/>
  <c r="AR153" i="1" s="1"/>
  <c r="AQ100" i="1"/>
  <c r="AR100" i="1" s="1"/>
  <c r="AQ40" i="1"/>
  <c r="AR40" i="1" s="1"/>
  <c r="AQ14" i="1"/>
  <c r="AR14" i="1" s="1"/>
  <c r="AQ191" i="1"/>
  <c r="AR191" i="1" s="1"/>
  <c r="AQ125" i="1"/>
  <c r="AR125" i="1" s="1"/>
  <c r="AQ70" i="1"/>
  <c r="AR70" i="1" s="1"/>
  <c r="AQ344" i="1"/>
  <c r="AR344" i="1" s="1"/>
  <c r="AQ284" i="1"/>
  <c r="AR284" i="1" s="1"/>
  <c r="AQ244" i="1"/>
  <c r="AR244" i="1" s="1"/>
  <c r="AQ77" i="1"/>
  <c r="AR77" i="1" s="1"/>
  <c r="AQ87" i="1"/>
  <c r="AR87" i="1" s="1"/>
  <c r="AQ9" i="1"/>
  <c r="V277" i="1"/>
  <c r="W277" i="1" s="1"/>
  <c r="CG9" i="1"/>
  <c r="AK10" i="1"/>
  <c r="CM15" i="1"/>
  <c r="CJ15" i="1"/>
  <c r="CM9" i="1"/>
  <c r="AN9" i="1"/>
  <c r="AK9" i="1"/>
  <c r="CM10" i="1"/>
  <c r="CJ10" i="1"/>
  <c r="M123" i="1"/>
  <c r="N123" i="1" s="1"/>
  <c r="M252" i="1"/>
  <c r="N252" i="1" s="1"/>
  <c r="CX219" i="1"/>
  <c r="DH219" i="1" s="1"/>
  <c r="CX167" i="1"/>
  <c r="DH167" i="1" s="1"/>
  <c r="CX353" i="1"/>
  <c r="CX355" i="1"/>
  <c r="CX347" i="1"/>
  <c r="DH347" i="1" s="1"/>
  <c r="CX95" i="1"/>
  <c r="CX145" i="1"/>
  <c r="CX169" i="1"/>
  <c r="CX44" i="1"/>
  <c r="DH44" i="1" s="1"/>
  <c r="CX357" i="1"/>
  <c r="CX269" i="1"/>
  <c r="DH269" i="1" s="1"/>
  <c r="CX232" i="1"/>
  <c r="DH232" i="1" s="1"/>
  <c r="CX245" i="1"/>
  <c r="DH245" i="1" s="1"/>
  <c r="CX127" i="1"/>
  <c r="DH127" i="1" s="1"/>
  <c r="CX184" i="1"/>
  <c r="DH184" i="1" s="1"/>
  <c r="V20" i="1"/>
  <c r="W20" i="1" s="1"/>
  <c r="V47" i="1"/>
  <c r="W47" i="1" s="1"/>
  <c r="V52" i="1"/>
  <c r="W52" i="1" s="1"/>
  <c r="V165" i="1"/>
  <c r="W165" i="1" s="1"/>
  <c r="M25" i="1"/>
  <c r="N25" i="1" s="1"/>
  <c r="V133" i="1"/>
  <c r="W133" i="1" s="1"/>
  <c r="V69" i="1"/>
  <c r="W69" i="1" s="1"/>
  <c r="V231" i="1"/>
  <c r="W231" i="1" s="1"/>
  <c r="V168" i="1"/>
  <c r="W168" i="1" s="1"/>
  <c r="CX60" i="1"/>
  <c r="DH60" i="1" s="1"/>
  <c r="CX227" i="1"/>
  <c r="CX135" i="1"/>
  <c r="DH135" i="1" s="1"/>
  <c r="CX302" i="1"/>
  <c r="DH302" i="1" s="1"/>
  <c r="CX129" i="1"/>
  <c r="DH129" i="1" s="1"/>
  <c r="CX69" i="1"/>
  <c r="CX210" i="1"/>
  <c r="CX27" i="1"/>
  <c r="CX223" i="1"/>
  <c r="DH223" i="1" s="1"/>
  <c r="M251" i="1"/>
  <c r="N251" i="1" s="1"/>
  <c r="M168" i="1"/>
  <c r="N168" i="1" s="1"/>
  <c r="M178" i="1"/>
  <c r="N178" i="1" s="1"/>
  <c r="M122" i="1"/>
  <c r="N122" i="1" s="1"/>
  <c r="V305" i="1"/>
  <c r="W305" i="1" s="1"/>
  <c r="V166" i="1"/>
  <c r="W166" i="1" s="1"/>
  <c r="V132" i="1"/>
  <c r="W132" i="1" s="1"/>
  <c r="V31" i="1"/>
  <c r="W31" i="1" s="1"/>
  <c r="V25" i="1"/>
  <c r="W25" i="1" s="1"/>
  <c r="M177" i="1"/>
  <c r="N177" i="1" s="1"/>
  <c r="M128" i="1"/>
  <c r="N128" i="1" s="1"/>
  <c r="V223" i="1"/>
  <c r="W223" i="1" s="1"/>
  <c r="M133" i="1"/>
  <c r="N133" i="1" s="1"/>
  <c r="V128" i="1"/>
  <c r="W128" i="1" s="1"/>
  <c r="V79" i="1"/>
  <c r="W79" i="1" s="1"/>
  <c r="V123" i="1"/>
  <c r="W123" i="1" s="1"/>
  <c r="V156" i="1"/>
  <c r="W156" i="1" s="1"/>
  <c r="V89" i="1"/>
  <c r="W89" i="1" s="1"/>
  <c r="CX208" i="1"/>
  <c r="CX133" i="1"/>
  <c r="CX204" i="1"/>
  <c r="DH204" i="1" s="1"/>
  <c r="CX212" i="1"/>
  <c r="DH212" i="1" s="1"/>
  <c r="CX333" i="1"/>
  <c r="CX23" i="1"/>
  <c r="DH23" i="1" s="1"/>
  <c r="CX237" i="1"/>
  <c r="DH237" i="1" s="1"/>
  <c r="CX50" i="1"/>
  <c r="CX31" i="1"/>
  <c r="CX81" i="1"/>
  <c r="CX58" i="1"/>
  <c r="CX304" i="1"/>
  <c r="DH304" i="1" s="1"/>
  <c r="CX16" i="1"/>
  <c r="CX197" i="1"/>
  <c r="CX229" i="1"/>
  <c r="CX202" i="1"/>
  <c r="CX126" i="1"/>
  <c r="CX161" i="1"/>
  <c r="CX182" i="1"/>
  <c r="CX73" i="1"/>
  <c r="CX181" i="1"/>
  <c r="DH181" i="1" s="1"/>
  <c r="CX256" i="1"/>
  <c r="DH256" i="1" s="1"/>
  <c r="CX225" i="1"/>
  <c r="CX200" i="1"/>
  <c r="DH200" i="1" s="1"/>
  <c r="CX249" i="1"/>
  <c r="CX179" i="1"/>
  <c r="DH179" i="1" s="1"/>
  <c r="CX329" i="1"/>
  <c r="CX196" i="1"/>
  <c r="DH196" i="1" s="1"/>
  <c r="CX105" i="1"/>
  <c r="CX119" i="1"/>
  <c r="DH119" i="1" s="1"/>
  <c r="CX187" i="1"/>
  <c r="CX298" i="1"/>
  <c r="M146" i="1"/>
  <c r="N146" i="1" s="1"/>
  <c r="M115" i="1"/>
  <c r="N115" i="1" s="1"/>
  <c r="M82" i="1"/>
  <c r="N82" i="1" s="1"/>
  <c r="M28" i="1"/>
  <c r="N28" i="1" s="1"/>
  <c r="V14" i="1"/>
  <c r="W14" i="1" s="1"/>
  <c r="V176" i="1"/>
  <c r="W176" i="1" s="1"/>
  <c r="V120" i="1"/>
  <c r="W120" i="1" s="1"/>
  <c r="V29" i="1"/>
  <c r="W29" i="1" s="1"/>
  <c r="M166" i="1"/>
  <c r="N166" i="1" s="1"/>
  <c r="M76" i="1"/>
  <c r="N76" i="1" s="1"/>
  <c r="V24" i="1"/>
  <c r="W24" i="1" s="1"/>
  <c r="V155" i="1"/>
  <c r="W155" i="1" s="1"/>
  <c r="V307" i="1"/>
  <c r="W307" i="1" s="1"/>
  <c r="V122" i="1"/>
  <c r="W122" i="1" s="1"/>
  <c r="V162" i="1"/>
  <c r="W162" i="1" s="1"/>
  <c r="M26" i="1"/>
  <c r="N26" i="1" s="1"/>
  <c r="M306" i="1"/>
  <c r="N306" i="1" s="1"/>
  <c r="M305" i="1"/>
  <c r="N305" i="1" s="1"/>
  <c r="M129" i="1"/>
  <c r="N129" i="1" s="1"/>
  <c r="M30" i="1"/>
  <c r="N30" i="1" s="1"/>
  <c r="M130" i="1"/>
  <c r="N130" i="1" s="1"/>
  <c r="M279" i="1"/>
  <c r="N279" i="1" s="1"/>
  <c r="M69" i="1"/>
  <c r="N69" i="1" s="1"/>
  <c r="V119" i="1"/>
  <c r="W119" i="1" s="1"/>
  <c r="V275" i="1"/>
  <c r="W275" i="1" s="1"/>
  <c r="V170" i="1"/>
  <c r="W170" i="1" s="1"/>
  <c r="V171" i="1"/>
  <c r="W171" i="1" s="1"/>
  <c r="V118" i="1"/>
  <c r="W118" i="1" s="1"/>
  <c r="M29" i="1"/>
  <c r="N29" i="1" s="1"/>
  <c r="M87" i="1"/>
  <c r="N87" i="1" s="1"/>
  <c r="M304" i="1"/>
  <c r="N304" i="1" s="1"/>
  <c r="M162" i="1"/>
  <c r="N162" i="1" s="1"/>
  <c r="M89" i="1"/>
  <c r="N89" i="1" s="1"/>
  <c r="M223" i="1"/>
  <c r="N223" i="1" s="1"/>
  <c r="V322" i="1"/>
  <c r="W322" i="1" s="1"/>
  <c r="V159" i="1"/>
  <c r="W159" i="1" s="1"/>
  <c r="M118" i="1"/>
  <c r="N118" i="1" s="1"/>
  <c r="V60" i="1"/>
  <c r="W60" i="1" s="1"/>
  <c r="M14" i="1"/>
  <c r="N14" i="1" s="1"/>
  <c r="V160" i="1"/>
  <c r="W160" i="1" s="1"/>
  <c r="M24" i="1"/>
  <c r="N24" i="1" s="1"/>
  <c r="M117" i="1"/>
  <c r="N117" i="1" s="1"/>
  <c r="V80" i="1"/>
  <c r="W80" i="1" s="1"/>
  <c r="V251" i="1"/>
  <c r="W251" i="1" s="1"/>
  <c r="V77" i="1"/>
  <c r="W77" i="1" s="1"/>
  <c r="M175" i="1"/>
  <c r="N175" i="1" s="1"/>
  <c r="M159" i="1"/>
  <c r="N159" i="1" s="1"/>
  <c r="V146" i="1"/>
  <c r="W146" i="1" s="1"/>
  <c r="V75" i="1"/>
  <c r="W75" i="1" s="1"/>
  <c r="V115" i="1"/>
  <c r="W115" i="1" s="1"/>
  <c r="M65" i="1"/>
  <c r="N65" i="1" s="1"/>
  <c r="AT18" i="1"/>
  <c r="M66" i="1"/>
  <c r="N66" i="1" s="1"/>
  <c r="M170" i="1"/>
  <c r="N170" i="1" s="1"/>
  <c r="V65" i="1"/>
  <c r="W65" i="1" s="1"/>
  <c r="V164" i="1"/>
  <c r="W164" i="1" s="1"/>
  <c r="M20" i="1"/>
  <c r="N20" i="1" s="1"/>
  <c r="M268" i="1"/>
  <c r="N268" i="1" s="1"/>
  <c r="V27" i="1"/>
  <c r="W27" i="1" s="1"/>
  <c r="V306" i="1"/>
  <c r="W306" i="1" s="1"/>
  <c r="M176" i="1"/>
  <c r="N176" i="1" s="1"/>
  <c r="M163" i="1"/>
  <c r="N163" i="1" s="1"/>
  <c r="V268" i="1"/>
  <c r="W268" i="1" s="1"/>
  <c r="V304" i="1"/>
  <c r="W304" i="1" s="1"/>
  <c r="V169" i="1"/>
  <c r="W169" i="1" s="1"/>
  <c r="V211" i="1"/>
  <c r="W211" i="1" s="1"/>
  <c r="V178" i="1"/>
  <c r="W178" i="1" s="1"/>
  <c r="V167" i="1"/>
  <c r="W167" i="1" s="1"/>
  <c r="M119" i="1"/>
  <c r="N119" i="1" s="1"/>
  <c r="M307" i="1"/>
  <c r="N307" i="1" s="1"/>
  <c r="CX352" i="1"/>
  <c r="DH352" i="1" s="1"/>
  <c r="CX86" i="1"/>
  <c r="V252" i="1"/>
  <c r="W252" i="1" s="1"/>
  <c r="M75" i="1"/>
  <c r="N75" i="1" s="1"/>
  <c r="V130" i="1"/>
  <c r="W130" i="1" s="1"/>
  <c r="V82" i="1"/>
  <c r="W82" i="1" s="1"/>
  <c r="M211" i="1"/>
  <c r="N211" i="1" s="1"/>
  <c r="M68" i="1"/>
  <c r="N68" i="1" s="1"/>
  <c r="V129" i="1"/>
  <c r="W129" i="1" s="1"/>
  <c r="M59" i="1"/>
  <c r="N59" i="1" s="1"/>
  <c r="M120" i="1"/>
  <c r="N120" i="1" s="1"/>
  <c r="M60" i="1"/>
  <c r="N60" i="1" s="1"/>
  <c r="V163" i="1"/>
  <c r="W163" i="1" s="1"/>
  <c r="CX70" i="1"/>
  <c r="DH70" i="1" s="1"/>
  <c r="CX120" i="1"/>
  <c r="DH120" i="1" s="1"/>
  <c r="CX252" i="1"/>
  <c r="DH252" i="1" s="1"/>
  <c r="CX108" i="1"/>
  <c r="DH108" i="1" s="1"/>
  <c r="CX131" i="1"/>
  <c r="DH131" i="1" s="1"/>
  <c r="CX336" i="1"/>
  <c r="CX242" i="1"/>
  <c r="CX122" i="1"/>
  <c r="CX268" i="1"/>
  <c r="DH268" i="1" s="1"/>
  <c r="CD87" i="1"/>
  <c r="CE87" i="1" s="1"/>
  <c r="AN15" i="1"/>
  <c r="CG15" i="1"/>
  <c r="CJ14" i="1"/>
  <c r="AN10" i="1"/>
  <c r="CG10" i="1"/>
  <c r="V279" i="1"/>
  <c r="W279" i="1" s="1"/>
  <c r="V177" i="1"/>
  <c r="W177" i="1" s="1"/>
  <c r="M164" i="1"/>
  <c r="N164" i="1" s="1"/>
  <c r="M169" i="1"/>
  <c r="N169" i="1" s="1"/>
  <c r="M167" i="1"/>
  <c r="N167" i="1" s="1"/>
  <c r="M160" i="1"/>
  <c r="N160" i="1" s="1"/>
  <c r="M141" i="1"/>
  <c r="N141" i="1" s="1"/>
  <c r="M48" i="1"/>
  <c r="N48" i="1" s="1"/>
  <c r="M132" i="1"/>
  <c r="N132" i="1" s="1"/>
  <c r="V141" i="1"/>
  <c r="W141" i="1" s="1"/>
  <c r="M124" i="1"/>
  <c r="N124" i="1" s="1"/>
  <c r="M78" i="1"/>
  <c r="N78" i="1" s="1"/>
  <c r="M31" i="1"/>
  <c r="N31" i="1" s="1"/>
  <c r="M77" i="1"/>
  <c r="N77" i="1" s="1"/>
  <c r="V76" i="1"/>
  <c r="W76" i="1" s="1"/>
  <c r="V212" i="1"/>
  <c r="W212" i="1" s="1"/>
  <c r="M155" i="1"/>
  <c r="N155" i="1" s="1"/>
  <c r="M47" i="1"/>
  <c r="N47" i="1" s="1"/>
  <c r="M79" i="1"/>
  <c r="N79" i="1" s="1"/>
  <c r="M277" i="1"/>
  <c r="N277" i="1" s="1"/>
  <c r="M80" i="1"/>
  <c r="N80" i="1" s="1"/>
  <c r="V48" i="1"/>
  <c r="W48" i="1" s="1"/>
  <c r="M171" i="1"/>
  <c r="N171" i="1" s="1"/>
  <c r="V124" i="1"/>
  <c r="W124" i="1" s="1"/>
  <c r="M27" i="1"/>
  <c r="N27" i="1" s="1"/>
  <c r="M212" i="1"/>
  <c r="N212" i="1" s="1"/>
  <c r="M231" i="1"/>
  <c r="N231" i="1" s="1"/>
  <c r="V78" i="1"/>
  <c r="W78" i="1" s="1"/>
  <c r="M322" i="1"/>
  <c r="N322" i="1" s="1"/>
  <c r="V68" i="1"/>
  <c r="W68" i="1" s="1"/>
  <c r="V87" i="1"/>
  <c r="W87" i="1" s="1"/>
  <c r="M156" i="1"/>
  <c r="N156" i="1" s="1"/>
  <c r="V30" i="1"/>
  <c r="W30" i="1" s="1"/>
  <c r="V175" i="1"/>
  <c r="W175" i="1" s="1"/>
  <c r="M165" i="1"/>
  <c r="N165" i="1" s="1"/>
  <c r="M275" i="1"/>
  <c r="N275" i="1" s="1"/>
  <c r="V59" i="1"/>
  <c r="W59" i="1" s="1"/>
  <c r="V28" i="1"/>
  <c r="W28" i="1" s="1"/>
  <c r="V117" i="1"/>
  <c r="W117" i="1" s="1"/>
  <c r="AB314" i="1"/>
  <c r="CX334" i="1"/>
  <c r="CX168" i="1"/>
  <c r="DH168" i="1" s="1"/>
  <c r="CX59" i="1"/>
  <c r="CX254" i="1"/>
  <c r="CX174" i="1"/>
  <c r="DH174" i="1" s="1"/>
  <c r="CX146" i="1"/>
  <c r="CX166" i="1"/>
  <c r="CX138" i="1"/>
  <c r="DH138" i="1" s="1"/>
  <c r="CX80" i="1"/>
  <c r="CX156" i="1"/>
  <c r="CX226" i="1"/>
  <c r="DH226" i="1" s="1"/>
  <c r="CX49" i="1"/>
  <c r="DH49" i="1" s="1"/>
  <c r="CX285" i="1"/>
  <c r="CX132" i="1"/>
  <c r="DH132" i="1" s="1"/>
  <c r="CX26" i="1"/>
  <c r="DH26" i="1" s="1"/>
  <c r="CX98" i="1"/>
  <c r="DH98" i="1" s="1"/>
  <c r="CX306" i="1"/>
  <c r="CX211" i="1"/>
  <c r="DH211" i="1" s="1"/>
  <c r="CX275" i="1"/>
  <c r="DH275" i="1" s="1"/>
  <c r="CX308" i="1"/>
  <c r="DH308" i="1" s="1"/>
  <c r="CX324" i="1"/>
  <c r="DH324" i="1" s="1"/>
  <c r="CX234" i="1"/>
  <c r="CX160" i="1"/>
  <c r="DH160" i="1" s="1"/>
  <c r="CX218" i="1"/>
  <c r="DH218" i="1" s="1"/>
  <c r="CX96" i="1"/>
  <c r="DH96" i="1" s="1"/>
  <c r="CX30" i="1"/>
  <c r="CX76" i="1"/>
  <c r="DH76" i="1" s="1"/>
  <c r="CX358" i="1"/>
  <c r="CX262" i="1"/>
  <c r="DH262" i="1" s="1"/>
  <c r="CX118" i="1"/>
  <c r="CX124" i="1"/>
  <c r="DH124" i="1" s="1"/>
  <c r="CX277" i="1"/>
  <c r="CX84" i="1"/>
  <c r="DH84" i="1" s="1"/>
  <c r="CX45" i="1"/>
  <c r="DH45" i="1" s="1"/>
  <c r="CX231" i="1"/>
  <c r="DH231" i="1" s="1"/>
  <c r="CX47" i="1"/>
  <c r="DH47" i="1" s="1"/>
  <c r="CX13" i="1"/>
  <c r="CX67" i="1"/>
  <c r="DH67" i="1" s="1"/>
  <c r="CX82" i="1"/>
  <c r="CX158" i="1"/>
  <c r="DH158" i="1" s="1"/>
  <c r="CX28" i="1"/>
  <c r="DH28" i="1" s="1"/>
  <c r="CX238" i="1"/>
  <c r="DH238" i="1" s="1"/>
  <c r="CX66" i="1"/>
  <c r="CX224" i="1"/>
  <c r="DH224" i="1" s="1"/>
  <c r="CX24" i="1"/>
  <c r="DH24" i="1" s="1"/>
  <c r="CX188" i="1"/>
  <c r="DH188" i="1" s="1"/>
  <c r="CX287" i="1"/>
  <c r="CX57" i="1"/>
  <c r="CX110" i="1"/>
  <c r="DH110" i="1" s="1"/>
  <c r="CX78" i="1"/>
  <c r="DH78" i="1" s="1"/>
  <c r="CX322" i="1"/>
  <c r="CX128" i="1"/>
  <c r="DH128" i="1" s="1"/>
  <c r="CX299" i="1"/>
  <c r="DH299" i="1" s="1"/>
  <c r="CX114" i="1"/>
  <c r="CX183" i="1"/>
  <c r="DH183" i="1" s="1"/>
  <c r="CX340" i="1"/>
  <c r="DH340" i="1" s="1"/>
  <c r="CX216" i="1"/>
  <c r="J188" i="24" l="1"/>
  <c r="DH59" i="1"/>
  <c r="DH31" i="1"/>
  <c r="K188" i="24"/>
  <c r="K226" i="24"/>
  <c r="DH156" i="1"/>
  <c r="J22" i="24"/>
  <c r="DH287" i="1"/>
  <c r="DH216" i="1"/>
  <c r="DH187" i="1"/>
  <c r="DH95" i="1"/>
  <c r="J254" i="24"/>
  <c r="J340" i="24"/>
  <c r="J77" i="24"/>
  <c r="K189" i="24"/>
  <c r="J39" i="24"/>
  <c r="K356" i="24"/>
  <c r="J27" i="24"/>
  <c r="K266" i="24"/>
  <c r="K24" i="24"/>
  <c r="K371" i="24"/>
  <c r="K340" i="24"/>
  <c r="AT368" i="1"/>
  <c r="G372" i="4" s="1"/>
  <c r="J303" i="24"/>
  <c r="K85" i="24"/>
  <c r="J80" i="24"/>
  <c r="K112" i="24"/>
  <c r="J38" i="24"/>
  <c r="K120" i="24"/>
  <c r="K334" i="24"/>
  <c r="K194" i="24"/>
  <c r="K131" i="24"/>
  <c r="J196" i="24"/>
  <c r="DH82" i="1"/>
  <c r="K38" i="24"/>
  <c r="J371" i="24"/>
  <c r="DH118" i="1"/>
  <c r="DH202" i="1"/>
  <c r="DH210" i="1"/>
  <c r="K104" i="24"/>
  <c r="J309" i="24"/>
  <c r="K348" i="24"/>
  <c r="K130" i="24"/>
  <c r="J266" i="24"/>
  <c r="J24" i="24"/>
  <c r="J170" i="24"/>
  <c r="J334" i="24"/>
  <c r="J324" i="24"/>
  <c r="J131" i="24"/>
  <c r="DH30" i="1"/>
  <c r="DH146" i="1"/>
  <c r="DH73" i="1"/>
  <c r="DH285" i="1"/>
  <c r="DH329" i="1"/>
  <c r="DH182" i="1"/>
  <c r="DH229" i="1"/>
  <c r="DH227" i="1"/>
  <c r="J120" i="24"/>
  <c r="J194" i="24"/>
  <c r="K160" i="24"/>
  <c r="J218" i="24"/>
  <c r="K357" i="24"/>
  <c r="J354" i="24"/>
  <c r="J253" i="24"/>
  <c r="K13" i="24"/>
  <c r="K368" i="24"/>
  <c r="DH254" i="1"/>
  <c r="DH242" i="1"/>
  <c r="DH197" i="1"/>
  <c r="DH81" i="1"/>
  <c r="DH133" i="1"/>
  <c r="J215" i="24"/>
  <c r="J189" i="24"/>
  <c r="J350" i="24"/>
  <c r="K30" i="24"/>
  <c r="K245" i="24"/>
  <c r="J160" i="24"/>
  <c r="DH80" i="1"/>
  <c r="DH336" i="1"/>
  <c r="DH16" i="1"/>
  <c r="DH208" i="1"/>
  <c r="J62" i="24"/>
  <c r="K27" i="24"/>
  <c r="AU372" i="1"/>
  <c r="BR368" i="1"/>
  <c r="BS368" i="1" s="1"/>
  <c r="K46" i="24"/>
  <c r="I29" i="3"/>
  <c r="M55" i="3"/>
  <c r="J275" i="24"/>
  <c r="J86" i="24"/>
  <c r="J368" i="24"/>
  <c r="BQ374" i="1"/>
  <c r="DH13" i="1"/>
  <c r="DH334" i="1"/>
  <c r="DH122" i="1"/>
  <c r="DH225" i="1"/>
  <c r="DH58" i="1"/>
  <c r="BR378" i="1"/>
  <c r="J195" i="24"/>
  <c r="BZ374" i="1"/>
  <c r="CB374" i="1" s="1"/>
  <c r="J265" i="24"/>
  <c r="K225" i="24"/>
  <c r="K146" i="24"/>
  <c r="J87" i="24"/>
  <c r="K47" i="24"/>
  <c r="L30" i="3"/>
  <c r="L25" i="3"/>
  <c r="J40" i="24"/>
  <c r="J355" i="24"/>
  <c r="DH57" i="1"/>
  <c r="DH277" i="1"/>
  <c r="DH161" i="1"/>
  <c r="C37" i="12"/>
  <c r="DH322" i="1"/>
  <c r="DH66" i="1"/>
  <c r="DH166" i="1"/>
  <c r="DH249" i="1"/>
  <c r="DH333" i="1"/>
  <c r="BR379" i="1"/>
  <c r="DH105" i="1"/>
  <c r="DH126" i="1"/>
  <c r="DH169" i="1"/>
  <c r="L13" i="3"/>
  <c r="K324" i="24"/>
  <c r="K153" i="24"/>
  <c r="H375" i="24"/>
  <c r="DH86" i="1"/>
  <c r="DH298" i="1"/>
  <c r="DH50" i="1"/>
  <c r="DH145" i="1"/>
  <c r="J308" i="24"/>
  <c r="G37" i="3"/>
  <c r="J207" i="24"/>
  <c r="K87" i="24"/>
  <c r="DH114" i="1"/>
  <c r="DH234" i="1"/>
  <c r="DH306" i="1"/>
  <c r="DH69" i="1"/>
  <c r="J320" i="24"/>
  <c r="DY368" i="1"/>
  <c r="J146" i="24"/>
  <c r="K63" i="24"/>
  <c r="K296" i="24"/>
  <c r="I13" i="3"/>
  <c r="J335" i="24"/>
  <c r="AS374" i="1"/>
  <c r="K204" i="24"/>
  <c r="J23" i="3"/>
  <c r="J55" i="3" s="1"/>
  <c r="L12" i="3"/>
  <c r="L29" i="3"/>
  <c r="K106" i="24"/>
  <c r="I16" i="3"/>
  <c r="K234" i="24"/>
  <c r="D22" i="3"/>
  <c r="AU368" i="1"/>
  <c r="CG371" i="1"/>
  <c r="CH15" i="1"/>
  <c r="CH371" i="1" s="1"/>
  <c r="CP10" i="1"/>
  <c r="CJ372" i="1"/>
  <c r="CK10" i="1"/>
  <c r="CK372" i="1" s="1"/>
  <c r="CM368" i="1"/>
  <c r="CN9" i="1"/>
  <c r="CN373" i="1" s="1"/>
  <c r="CM373" i="1"/>
  <c r="CG373" i="1"/>
  <c r="CG368" i="1"/>
  <c r="CH9" i="1"/>
  <c r="CH373" i="1" s="1"/>
  <c r="AQ365" i="1"/>
  <c r="AR365" i="1" s="1"/>
  <c r="K342" i="24"/>
  <c r="J342" i="24"/>
  <c r="I25" i="3"/>
  <c r="K362" i="24"/>
  <c r="J362" i="24"/>
  <c r="K145" i="24"/>
  <c r="J145" i="24"/>
  <c r="J300" i="24"/>
  <c r="K300" i="24"/>
  <c r="K209" i="24"/>
  <c r="J209" i="24"/>
  <c r="N13" i="3"/>
  <c r="O13" i="3" s="1"/>
  <c r="S379" i="1"/>
  <c r="J132" i="24"/>
  <c r="K132" i="24"/>
  <c r="J137" i="24"/>
  <c r="K137" i="24"/>
  <c r="D366" i="24"/>
  <c r="I24" i="3"/>
  <c r="E28" i="3"/>
  <c r="F28" i="3"/>
  <c r="DZ357" i="1"/>
  <c r="AU357" i="1"/>
  <c r="AU373" i="1" s="1"/>
  <c r="I364" i="24"/>
  <c r="D12" i="3"/>
  <c r="Q368" i="1"/>
  <c r="J36" i="24"/>
  <c r="K36" i="24"/>
  <c r="J176" i="24"/>
  <c r="K176" i="24"/>
  <c r="BI380" i="1"/>
  <c r="BJ374" i="1"/>
  <c r="K236" i="24"/>
  <c r="J236" i="24"/>
  <c r="K169" i="24"/>
  <c r="J169" i="24"/>
  <c r="BS373" i="1"/>
  <c r="K67" i="24"/>
  <c r="J67" i="24"/>
  <c r="K291" i="24"/>
  <c r="J291" i="24"/>
  <c r="K347" i="24"/>
  <c r="J347" i="24"/>
  <c r="K75" i="24"/>
  <c r="J75" i="24"/>
  <c r="J34" i="24"/>
  <c r="K34" i="24"/>
  <c r="J49" i="24"/>
  <c r="K49" i="24"/>
  <c r="E27" i="12"/>
  <c r="F27" i="12"/>
  <c r="W9" i="3"/>
  <c r="F25" i="12"/>
  <c r="E25" i="12"/>
  <c r="K359" i="24"/>
  <c r="J359" i="24"/>
  <c r="J31" i="24"/>
  <c r="K31" i="24"/>
  <c r="D371" i="24"/>
  <c r="K353" i="24"/>
  <c r="E24" i="3"/>
  <c r="F24" i="3"/>
  <c r="K213" i="24"/>
  <c r="J213" i="24"/>
  <c r="K81" i="24"/>
  <c r="J81" i="24"/>
  <c r="N23" i="3"/>
  <c r="O23" i="3" s="1"/>
  <c r="O26" i="3"/>
  <c r="J26" i="24"/>
  <c r="K26" i="24"/>
  <c r="K326" i="24"/>
  <c r="J326" i="24"/>
  <c r="K181" i="24"/>
  <c r="J181" i="24"/>
  <c r="AG374" i="1"/>
  <c r="E24" i="12"/>
  <c r="F24" i="12"/>
  <c r="D23" i="12"/>
  <c r="H22" i="12" s="1"/>
  <c r="J315" i="24"/>
  <c r="K315" i="24"/>
  <c r="D361" i="24"/>
  <c r="C23" i="12"/>
  <c r="D368" i="24"/>
  <c r="I28" i="3"/>
  <c r="E28" i="12"/>
  <c r="J229" i="24"/>
  <c r="K229" i="24"/>
  <c r="D367" i="24"/>
  <c r="K179" i="24"/>
  <c r="J179" i="24"/>
  <c r="J198" i="24"/>
  <c r="K198" i="24"/>
  <c r="K272" i="24"/>
  <c r="J272" i="24"/>
  <c r="J367" i="24"/>
  <c r="K367" i="24"/>
  <c r="J327" i="24"/>
  <c r="K327" i="24"/>
  <c r="BS371" i="1"/>
  <c r="K53" i="24"/>
  <c r="J53" i="24"/>
  <c r="F370" i="4"/>
  <c r="J301" i="24"/>
  <c r="J8" i="24"/>
  <c r="K8" i="24"/>
  <c r="AC314" i="1"/>
  <c r="AC372" i="1" s="1"/>
  <c r="AB368" i="1"/>
  <c r="AB372" i="1"/>
  <c r="CG372" i="1"/>
  <c r="CH10" i="1"/>
  <c r="CH372" i="1" s="1"/>
  <c r="AO15" i="1"/>
  <c r="CN10" i="1"/>
  <c r="CN372" i="1" s="1"/>
  <c r="CM372" i="1"/>
  <c r="CK15" i="1"/>
  <c r="CK371" i="1" s="1"/>
  <c r="CJ371" i="1"/>
  <c r="CP15" i="1"/>
  <c r="K193" i="24"/>
  <c r="J193" i="24"/>
  <c r="K12" i="24"/>
  <c r="J12" i="24"/>
  <c r="K351" i="24"/>
  <c r="J351" i="24"/>
  <c r="K212" i="24"/>
  <c r="J212" i="24"/>
  <c r="J76" i="24"/>
  <c r="K76" i="24"/>
  <c r="E29" i="3"/>
  <c r="F29" i="3"/>
  <c r="K162" i="24"/>
  <c r="J162" i="24"/>
  <c r="DH27" i="1"/>
  <c r="D26" i="24"/>
  <c r="J295" i="24"/>
  <c r="K295" i="24"/>
  <c r="J277" i="24"/>
  <c r="K277" i="24"/>
  <c r="D27" i="3"/>
  <c r="BG368" i="1"/>
  <c r="D369" i="24"/>
  <c r="M32" i="3"/>
  <c r="O32" i="3" s="1"/>
  <c r="BU379" i="1"/>
  <c r="J304" i="24"/>
  <c r="K304" i="24"/>
  <c r="K221" i="24"/>
  <c r="J221" i="24"/>
  <c r="J61" i="24"/>
  <c r="K61" i="24"/>
  <c r="J201" i="24"/>
  <c r="K201" i="24"/>
  <c r="J109" i="24"/>
  <c r="K109" i="24"/>
  <c r="S374" i="1"/>
  <c r="K339" i="24"/>
  <c r="H12" i="3"/>
  <c r="I12" i="3" s="1"/>
  <c r="P377" i="1"/>
  <c r="P374" i="1"/>
  <c r="J33" i="24"/>
  <c r="K33" i="24"/>
  <c r="DH358" i="1"/>
  <c r="D365" i="24"/>
  <c r="K330" i="24"/>
  <c r="J302" i="24"/>
  <c r="K302" i="24"/>
  <c r="J35" i="24"/>
  <c r="K206" i="24"/>
  <c r="J206" i="24"/>
  <c r="J290" i="24"/>
  <c r="K290" i="24"/>
  <c r="J16" i="24"/>
  <c r="K16" i="24"/>
  <c r="J337" i="24"/>
  <c r="K337" i="24"/>
  <c r="J238" i="24"/>
  <c r="K238" i="24"/>
  <c r="J180" i="24"/>
  <c r="K180" i="24"/>
  <c r="K56" i="24"/>
  <c r="J56" i="24"/>
  <c r="F12" i="12"/>
  <c r="E12" i="12"/>
  <c r="K99" i="24"/>
  <c r="J99" i="24"/>
  <c r="BC377" i="1"/>
  <c r="BC374" i="1"/>
  <c r="H26" i="3"/>
  <c r="I26" i="3" s="1"/>
  <c r="K119" i="24"/>
  <c r="J119" i="24"/>
  <c r="H27" i="3"/>
  <c r="I27" i="3" s="1"/>
  <c r="BF377" i="1"/>
  <c r="BF374" i="1"/>
  <c r="K21" i="24"/>
  <c r="J21" i="24"/>
  <c r="J9" i="3"/>
  <c r="F372" i="4"/>
  <c r="C22" i="3"/>
  <c r="K157" i="24"/>
  <c r="J157" i="24"/>
  <c r="J52" i="24"/>
  <c r="K52" i="24"/>
  <c r="K192" i="24"/>
  <c r="J192" i="24"/>
  <c r="BO377" i="1"/>
  <c r="H30" i="3"/>
  <c r="I30" i="3" s="1"/>
  <c r="BO374" i="1"/>
  <c r="J126" i="24"/>
  <c r="K126" i="24"/>
  <c r="J247" i="24"/>
  <c r="K260" i="24"/>
  <c r="J260" i="24"/>
  <c r="J270" i="24"/>
  <c r="J70" i="24"/>
  <c r="K70" i="24"/>
  <c r="D373" i="24"/>
  <c r="J306" i="24"/>
  <c r="J276" i="24"/>
  <c r="K276" i="24"/>
  <c r="J173" i="24"/>
  <c r="K173" i="24"/>
  <c r="J166" i="24"/>
  <c r="C34" i="3"/>
  <c r="CB368" i="1"/>
  <c r="J150" i="24"/>
  <c r="K150" i="24"/>
  <c r="AT373" i="1"/>
  <c r="F22" i="12"/>
  <c r="E22" i="12"/>
  <c r="AO10" i="1"/>
  <c r="AL9" i="1"/>
  <c r="CM371" i="1"/>
  <c r="CN15" i="1"/>
  <c r="CN371" i="1" s="1"/>
  <c r="AR9" i="1"/>
  <c r="AQ359" i="1"/>
  <c r="AR359" i="1" s="1"/>
  <c r="AQ361" i="1"/>
  <c r="AR361" i="1" s="1"/>
  <c r="AQ355" i="1"/>
  <c r="AR355" i="1" s="1"/>
  <c r="CK9" i="1"/>
  <c r="CJ373" i="1"/>
  <c r="CP9" i="1"/>
  <c r="CJ368" i="1"/>
  <c r="K319" i="24"/>
  <c r="J319" i="24"/>
  <c r="K155" i="24"/>
  <c r="J155" i="24"/>
  <c r="J346" i="24"/>
  <c r="K346" i="24"/>
  <c r="J92" i="24"/>
  <c r="K92" i="24"/>
  <c r="J235" i="24"/>
  <c r="K235" i="24"/>
  <c r="J88" i="24"/>
  <c r="K88" i="24"/>
  <c r="J316" i="24"/>
  <c r="K316" i="24"/>
  <c r="J292" i="24"/>
  <c r="K292" i="24"/>
  <c r="K175" i="24"/>
  <c r="J175" i="24"/>
  <c r="K135" i="24"/>
  <c r="J135" i="24"/>
  <c r="J227" i="24"/>
  <c r="K227" i="24"/>
  <c r="K50" i="24"/>
  <c r="J50" i="24"/>
  <c r="J178" i="24"/>
  <c r="K178" i="24"/>
  <c r="J307" i="24"/>
  <c r="K307" i="24"/>
  <c r="BS372" i="1"/>
  <c r="K37" i="24"/>
  <c r="J37" i="24"/>
  <c r="CU9" i="1"/>
  <c r="CR373" i="1"/>
  <c r="CR368" i="1"/>
  <c r="J96" i="24"/>
  <c r="K96" i="24"/>
  <c r="J74" i="24"/>
  <c r="K74" i="24"/>
  <c r="K267" i="24"/>
  <c r="J267" i="24"/>
  <c r="K45" i="24"/>
  <c r="J45" i="24"/>
  <c r="J66" i="24"/>
  <c r="K66" i="24"/>
  <c r="K352" i="24"/>
  <c r="J352" i="24"/>
  <c r="C32" i="12"/>
  <c r="J32" i="3"/>
  <c r="L32" i="3" s="1"/>
  <c r="BU378" i="1"/>
  <c r="J264" i="24"/>
  <c r="K264" i="24"/>
  <c r="K310" i="24"/>
  <c r="J310" i="24"/>
  <c r="J154" i="24"/>
  <c r="K154" i="24"/>
  <c r="DH355" i="1"/>
  <c r="D362" i="24"/>
  <c r="J256" i="24"/>
  <c r="K256" i="24"/>
  <c r="J42" i="24"/>
  <c r="K42" i="24"/>
  <c r="E26" i="12"/>
  <c r="F26" i="12"/>
  <c r="CU10" i="1"/>
  <c r="CR372" i="1"/>
  <c r="K271" i="24"/>
  <c r="J271" i="24"/>
  <c r="J100" i="24"/>
  <c r="K100" i="24"/>
  <c r="J142" i="24"/>
  <c r="K142" i="24"/>
  <c r="K141" i="24"/>
  <c r="J205" i="24"/>
  <c r="K205" i="24"/>
  <c r="K97" i="24"/>
  <c r="J97" i="24"/>
  <c r="J23" i="24"/>
  <c r="K23" i="24"/>
  <c r="D374" i="24"/>
  <c r="K250" i="24"/>
  <c r="K174" i="24"/>
  <c r="J174" i="24"/>
  <c r="J10" i="24"/>
  <c r="K10" i="24"/>
  <c r="K370" i="24"/>
  <c r="J370" i="24"/>
  <c r="C9" i="12"/>
  <c r="K57" i="24"/>
  <c r="G23" i="3"/>
  <c r="G55" i="3" s="1"/>
  <c r="M34" i="3"/>
  <c r="O34" i="3" s="1"/>
  <c r="CA379" i="1"/>
  <c r="K259" i="24"/>
  <c r="J259" i="24"/>
  <c r="K190" i="24"/>
  <c r="K121" i="24"/>
  <c r="J121" i="24"/>
  <c r="J72" i="24"/>
  <c r="K72" i="24"/>
  <c r="J78" i="24"/>
  <c r="K78" i="24"/>
  <c r="K199" i="24"/>
  <c r="J199" i="24"/>
  <c r="D370" i="24"/>
  <c r="J46" i="24"/>
  <c r="J311" i="24"/>
  <c r="K311" i="24"/>
  <c r="K71" i="24"/>
  <c r="J71" i="24"/>
  <c r="K54" i="24"/>
  <c r="J54" i="24"/>
  <c r="K95" i="24"/>
  <c r="J95" i="24"/>
  <c r="H377" i="4"/>
  <c r="H378" i="4" s="1"/>
  <c r="H370" i="4"/>
  <c r="K249" i="24"/>
  <c r="D364" i="24"/>
  <c r="DH357" i="1"/>
  <c r="CK14" i="1"/>
  <c r="CP14" i="1"/>
  <c r="CQ14" i="1" s="1"/>
  <c r="AU18" i="1"/>
  <c r="AU371" i="1" s="1"/>
  <c r="I17" i="24"/>
  <c r="DZ18" i="1"/>
  <c r="AT371" i="1"/>
  <c r="AO9" i="1"/>
  <c r="AO373" i="1" s="1"/>
  <c r="AN373" i="1"/>
  <c r="AL10" i="1"/>
  <c r="AQ363" i="1"/>
  <c r="AR363" i="1" s="1"/>
  <c r="AQ358" i="1"/>
  <c r="AR358" i="1" s="1"/>
  <c r="AQ354" i="1"/>
  <c r="AR354" i="1" s="1"/>
  <c r="AQ357" i="1"/>
  <c r="AR357" i="1" s="1"/>
  <c r="J373" i="24"/>
  <c r="K373" i="24"/>
  <c r="K349" i="24"/>
  <c r="J349" i="24"/>
  <c r="J333" i="24"/>
  <c r="K333" i="24"/>
  <c r="J102" i="24"/>
  <c r="K102" i="24"/>
  <c r="AZ380" i="1"/>
  <c r="BA374" i="1"/>
  <c r="K107" i="24"/>
  <c r="J107" i="24"/>
  <c r="K268" i="24"/>
  <c r="J268" i="24"/>
  <c r="D363" i="24"/>
  <c r="D26" i="3"/>
  <c r="BD368" i="1"/>
  <c r="K116" i="24"/>
  <c r="J116" i="24"/>
  <c r="K220" i="24"/>
  <c r="J220" i="24"/>
  <c r="J287" i="24"/>
  <c r="K287" i="24"/>
  <c r="AX374" i="1"/>
  <c r="AW380" i="1"/>
  <c r="D360" i="24"/>
  <c r="DH353" i="1"/>
  <c r="P379" i="1"/>
  <c r="N12" i="3"/>
  <c r="O12" i="3" s="1"/>
  <c r="J263" i="24"/>
  <c r="K263" i="24"/>
  <c r="K243" i="24"/>
  <c r="J243" i="24"/>
  <c r="J336" i="24"/>
  <c r="K336" i="24"/>
  <c r="C34" i="12"/>
  <c r="J34" i="3"/>
  <c r="L34" i="3" s="1"/>
  <c r="CA378" i="1"/>
  <c r="D13" i="3"/>
  <c r="T368" i="1"/>
  <c r="G9" i="3"/>
  <c r="J202" i="24"/>
  <c r="D30" i="3"/>
  <c r="BP368" i="1"/>
  <c r="K185" i="24"/>
  <c r="J185" i="24"/>
  <c r="J149" i="24"/>
  <c r="K149" i="24"/>
  <c r="E25" i="3"/>
  <c r="F25" i="3"/>
  <c r="E30" i="12"/>
  <c r="F30" i="12"/>
  <c r="E13" i="12"/>
  <c r="F13" i="12"/>
  <c r="D372" i="24"/>
  <c r="K309" i="24"/>
  <c r="C32" i="3"/>
  <c r="BV368" i="1"/>
  <c r="K345" i="24"/>
  <c r="J345" i="24"/>
  <c r="K313" i="24"/>
  <c r="J313" i="24"/>
  <c r="K172" i="24"/>
  <c r="J172" i="24"/>
  <c r="J114" i="24"/>
  <c r="K114" i="24"/>
  <c r="J14" i="24"/>
  <c r="K14" i="24"/>
  <c r="J244" i="24"/>
  <c r="K244" i="24"/>
  <c r="K369" i="24"/>
  <c r="K20" i="24"/>
  <c r="K58" i="24"/>
  <c r="J58" i="24"/>
  <c r="CU15" i="1"/>
  <c r="CR371" i="1"/>
  <c r="K210" i="24"/>
  <c r="L24" i="3"/>
  <c r="K23" i="3"/>
  <c r="K29" i="24"/>
  <c r="J29" i="24"/>
  <c r="K28" i="24"/>
  <c r="L26" i="3"/>
  <c r="J138" i="24"/>
  <c r="K138" i="24"/>
  <c r="J122" i="24"/>
  <c r="K122" i="24"/>
  <c r="L28" i="3"/>
  <c r="J251" i="24"/>
  <c r="K251" i="24"/>
  <c r="J288" i="24"/>
  <c r="K288" i="24"/>
  <c r="BL380" i="1"/>
  <c r="BM374" i="1"/>
  <c r="J285" i="24"/>
  <c r="K285" i="24"/>
  <c r="K84" i="24"/>
  <c r="J84" i="24"/>
  <c r="BR371" i="1"/>
  <c r="F29" i="12"/>
  <c r="E29" i="12"/>
  <c r="F377" i="4"/>
  <c r="F378" i="4" s="1"/>
  <c r="J139" i="24"/>
  <c r="J294" i="24"/>
  <c r="K294" i="24"/>
  <c r="J161" i="24"/>
  <c r="K161" i="24"/>
  <c r="K103" i="24"/>
  <c r="J103" i="24"/>
  <c r="BT374" i="1"/>
  <c r="L22" i="3"/>
  <c r="CD10" i="1"/>
  <c r="AQ15" i="1"/>
  <c r="AQ10" i="1"/>
  <c r="CD15" i="1"/>
  <c r="CX51" i="1"/>
  <c r="DH51" i="1" s="1"/>
  <c r="CX116" i="1"/>
  <c r="DH116" i="1" s="1"/>
  <c r="CX11" i="1"/>
  <c r="DH11" i="1" s="1"/>
  <c r="CX244" i="1"/>
  <c r="DH244" i="1" s="1"/>
  <c r="CX209" i="1"/>
  <c r="DH209" i="1" s="1"/>
  <c r="CX215" i="1"/>
  <c r="DH215" i="1" s="1"/>
  <c r="CX117" i="1"/>
  <c r="DH117" i="1" s="1"/>
  <c r="CX331" i="1"/>
  <c r="DH331" i="1" s="1"/>
  <c r="CX25" i="1"/>
  <c r="DH25" i="1" s="1"/>
  <c r="CX178" i="1"/>
  <c r="DH178" i="1" s="1"/>
  <c r="CX214" i="1"/>
  <c r="DH214" i="1" s="1"/>
  <c r="CX83" i="1"/>
  <c r="DH83" i="1" s="1"/>
  <c r="CX123" i="1"/>
  <c r="DH123" i="1" s="1"/>
  <c r="CX71" i="1"/>
  <c r="DH71" i="1" s="1"/>
  <c r="CX113" i="1"/>
  <c r="DH113" i="1" s="1"/>
  <c r="CX279" i="1"/>
  <c r="DH279" i="1" s="1"/>
  <c r="CX115" i="1"/>
  <c r="DH115" i="1" s="1"/>
  <c r="CX349" i="1"/>
  <c r="DH349" i="1" s="1"/>
  <c r="CX87" i="1"/>
  <c r="DH87" i="1" s="1"/>
  <c r="CX173" i="1"/>
  <c r="DH173" i="1" s="1"/>
  <c r="CX350" i="1"/>
  <c r="DH350" i="1" s="1"/>
  <c r="CX43" i="1"/>
  <c r="DH43" i="1" s="1"/>
  <c r="CX342" i="1"/>
  <c r="DH342" i="1" s="1"/>
  <c r="CX236" i="1"/>
  <c r="DH236" i="1" s="1"/>
  <c r="CX72" i="1"/>
  <c r="DH72" i="1" s="1"/>
  <c r="CX273" i="1"/>
  <c r="DH273" i="1" s="1"/>
  <c r="CX147" i="1"/>
  <c r="DH147" i="1" s="1"/>
  <c r="CX52" i="1"/>
  <c r="DH52" i="1" s="1"/>
  <c r="CX305" i="1"/>
  <c r="DH305" i="1" s="1"/>
  <c r="CX203" i="1"/>
  <c r="DH203" i="1" s="1"/>
  <c r="CX230" i="1"/>
  <c r="DH230" i="1" s="1"/>
  <c r="CX276" i="1"/>
  <c r="DH276" i="1" s="1"/>
  <c r="CX54" i="1"/>
  <c r="DH54" i="1" s="1"/>
  <c r="CX270" i="1"/>
  <c r="DH270" i="1" s="1"/>
  <c r="CX77" i="1"/>
  <c r="DH77" i="1" s="1"/>
  <c r="CX150" i="1"/>
  <c r="DH150" i="1" s="1"/>
  <c r="CX185" i="1"/>
  <c r="DH185" i="1" s="1"/>
  <c r="CX171" i="1"/>
  <c r="DH171" i="1" s="1"/>
  <c r="CX157" i="1"/>
  <c r="DH157" i="1" s="1"/>
  <c r="CX337" i="1"/>
  <c r="DH337" i="1" s="1"/>
  <c r="CX251" i="1"/>
  <c r="DH251" i="1" s="1"/>
  <c r="CX75" i="1"/>
  <c r="DH75" i="1" s="1"/>
  <c r="CX155" i="1"/>
  <c r="DH155" i="1" s="1"/>
  <c r="CX272" i="1"/>
  <c r="DH272" i="1" s="1"/>
  <c r="CX159" i="1"/>
  <c r="DH159" i="1" s="1"/>
  <c r="CX85" i="1"/>
  <c r="DH85" i="1" s="1"/>
  <c r="CX278" i="1"/>
  <c r="DH278" i="1" s="1"/>
  <c r="CX41" i="1"/>
  <c r="DH41" i="1" s="1"/>
  <c r="CX180" i="1"/>
  <c r="DH180" i="1" s="1"/>
  <c r="CX192" i="1"/>
  <c r="DH192" i="1" s="1"/>
  <c r="CX140" i="1"/>
  <c r="DH140" i="1" s="1"/>
  <c r="CX65" i="1"/>
  <c r="DH65" i="1" s="1"/>
  <c r="CX42" i="1"/>
  <c r="DH42" i="1" s="1"/>
  <c r="CX153" i="1"/>
  <c r="DH153" i="1" s="1"/>
  <c r="CX149" i="1"/>
  <c r="DH149" i="1" s="1"/>
  <c r="CX17" i="1"/>
  <c r="DH17" i="1" s="1"/>
  <c r="CX341" i="1"/>
  <c r="DH341" i="1" s="1"/>
  <c r="CX205" i="1"/>
  <c r="DH205" i="1" s="1"/>
  <c r="CX89" i="1"/>
  <c r="DH89" i="1" s="1"/>
  <c r="CX307" i="1"/>
  <c r="DH307" i="1" s="1"/>
  <c r="CX365" i="1"/>
  <c r="DH365" i="1" s="1"/>
  <c r="CX239" i="1"/>
  <c r="DH239" i="1" s="1"/>
  <c r="CX335" i="1"/>
  <c r="DH335" i="1" s="1"/>
  <c r="CX175" i="1"/>
  <c r="DH175" i="1" s="1"/>
  <c r="CX345" i="1"/>
  <c r="DH345" i="1" s="1"/>
  <c r="CX29" i="1"/>
  <c r="DH29" i="1" s="1"/>
  <c r="CX323" i="1"/>
  <c r="DH323" i="1" s="1"/>
  <c r="CX12" i="1"/>
  <c r="DH12" i="1" s="1"/>
  <c r="CX162" i="1"/>
  <c r="DH162" i="1" s="1"/>
  <c r="CX330" i="1"/>
  <c r="DH330" i="1" s="1"/>
  <c r="CX356" i="1"/>
  <c r="DH356" i="1" s="1"/>
  <c r="CX258" i="1"/>
  <c r="DH258" i="1" s="1"/>
  <c r="CX79" i="1"/>
  <c r="DH79" i="1" s="1"/>
  <c r="CX176" i="1"/>
  <c r="DH176" i="1" s="1"/>
  <c r="CX195" i="1"/>
  <c r="DH195" i="1" s="1"/>
  <c r="CX165" i="1"/>
  <c r="DH165" i="1" s="1"/>
  <c r="CX351" i="1"/>
  <c r="DH351" i="1" s="1"/>
  <c r="CX68" i="1"/>
  <c r="DH68" i="1" s="1"/>
  <c r="CX344" i="1"/>
  <c r="DH344" i="1" s="1"/>
  <c r="CX14" i="1"/>
  <c r="DH14" i="1" s="1"/>
  <c r="CX177" i="1"/>
  <c r="DH177" i="1" s="1"/>
  <c r="CX130" i="1"/>
  <c r="DH130" i="1" s="1"/>
  <c r="CX206" i="1"/>
  <c r="DH206" i="1" s="1"/>
  <c r="CX48" i="1"/>
  <c r="DH48" i="1" s="1"/>
  <c r="CX121" i="1"/>
  <c r="DH121" i="1" s="1"/>
  <c r="CX321" i="1"/>
  <c r="DH321" i="1" s="1"/>
  <c r="CX9" i="1"/>
  <c r="CX10" i="1"/>
  <c r="CD13" i="1"/>
  <c r="CE13" i="1" s="1"/>
  <c r="V66" i="1"/>
  <c r="W66" i="1" s="1"/>
  <c r="CA380" i="1" l="1"/>
  <c r="M41" i="3"/>
  <c r="M42" i="3" s="1"/>
  <c r="CR374" i="1"/>
  <c r="CK373" i="1"/>
  <c r="DZ368" i="1"/>
  <c r="G41" i="3"/>
  <c r="G42" i="3" s="1"/>
  <c r="G45" i="3" s="1"/>
  <c r="CE10" i="1"/>
  <c r="CE372" i="1" s="1"/>
  <c r="CD372" i="1"/>
  <c r="BV374" i="1"/>
  <c r="BU380" i="1"/>
  <c r="BR374" i="1"/>
  <c r="BR377" i="1"/>
  <c r="K55" i="3"/>
  <c r="L55" i="3" s="1"/>
  <c r="L23" i="3"/>
  <c r="D14" i="24"/>
  <c r="CU371" i="1"/>
  <c r="E34" i="12"/>
  <c r="F34" i="12"/>
  <c r="F26" i="3"/>
  <c r="E26" i="3"/>
  <c r="N19" i="3"/>
  <c r="O19" i="3" s="1"/>
  <c r="AN379" i="1"/>
  <c r="I375" i="24"/>
  <c r="J17" i="24"/>
  <c r="K17" i="24"/>
  <c r="C41" i="12"/>
  <c r="DH10" i="1"/>
  <c r="D9" i="24"/>
  <c r="CU372" i="1"/>
  <c r="CU373" i="1"/>
  <c r="M61" i="3" s="1"/>
  <c r="CU368" i="1"/>
  <c r="D8" i="24"/>
  <c r="DH9" i="1"/>
  <c r="D38" i="3"/>
  <c r="CK368" i="1"/>
  <c r="AQ373" i="1"/>
  <c r="BO380" i="1"/>
  <c r="BP374" i="1"/>
  <c r="BD374" i="1"/>
  <c r="BC380" i="1"/>
  <c r="Q374" i="1"/>
  <c r="P380" i="1"/>
  <c r="T374" i="1"/>
  <c r="S380" i="1"/>
  <c r="F27" i="3"/>
  <c r="E27" i="3"/>
  <c r="K39" i="3"/>
  <c r="L39" i="3" s="1"/>
  <c r="CM378" i="1"/>
  <c r="D39" i="12"/>
  <c r="CP372" i="1"/>
  <c r="CP378" i="1" s="1"/>
  <c r="CQ10" i="1"/>
  <c r="CQ372" i="1" s="1"/>
  <c r="CE15" i="1"/>
  <c r="CE371" i="1" s="1"/>
  <c r="CD371" i="1"/>
  <c r="M47" i="3"/>
  <c r="M48" i="3" s="1"/>
  <c r="M49" i="3" s="1"/>
  <c r="M45" i="3"/>
  <c r="F30" i="3"/>
  <c r="E30" i="3"/>
  <c r="F13" i="3"/>
  <c r="E13" i="3"/>
  <c r="E32" i="12"/>
  <c r="F32" i="12"/>
  <c r="CQ9" i="1"/>
  <c r="CQ373" i="1" s="1"/>
  <c r="CP373" i="1"/>
  <c r="CP379" i="1" s="1"/>
  <c r="CP368" i="1"/>
  <c r="CQ368" i="1" s="1"/>
  <c r="W22" i="3"/>
  <c r="W41" i="3" s="1"/>
  <c r="C55" i="3"/>
  <c r="CP371" i="1"/>
  <c r="CQ15" i="1"/>
  <c r="CQ371" i="1" s="1"/>
  <c r="D36" i="12"/>
  <c r="CG378" i="1"/>
  <c r="K36" i="3"/>
  <c r="L36" i="3" s="1"/>
  <c r="E23" i="12"/>
  <c r="F23" i="12"/>
  <c r="F12" i="3"/>
  <c r="E12" i="3"/>
  <c r="H23" i="3"/>
  <c r="I23" i="3" s="1"/>
  <c r="D36" i="3"/>
  <c r="CH368" i="1"/>
  <c r="D39" i="3"/>
  <c r="CN368" i="1"/>
  <c r="AR10" i="1"/>
  <c r="AR372" i="1" s="1"/>
  <c r="AQ372" i="1"/>
  <c r="E32" i="3"/>
  <c r="F32" i="3"/>
  <c r="AT374" i="1"/>
  <c r="AT377" i="1"/>
  <c r="H22" i="3"/>
  <c r="N38" i="3"/>
  <c r="CJ379" i="1"/>
  <c r="AQ368" i="1"/>
  <c r="CM377" i="1"/>
  <c r="H39" i="3"/>
  <c r="I39" i="3" s="1"/>
  <c r="CM374" i="1"/>
  <c r="N22" i="3"/>
  <c r="AT379" i="1"/>
  <c r="E34" i="3"/>
  <c r="F34" i="3"/>
  <c r="BG374" i="1"/>
  <c r="BF380" i="1"/>
  <c r="H38" i="3"/>
  <c r="CJ377" i="1"/>
  <c r="CJ374" i="1"/>
  <c r="D16" i="12"/>
  <c r="AB378" i="1"/>
  <c r="K16" i="3"/>
  <c r="L16" i="3" s="1"/>
  <c r="AB374" i="1"/>
  <c r="C41" i="3"/>
  <c r="J364" i="24"/>
  <c r="K364" i="24"/>
  <c r="N36" i="3"/>
  <c r="O36" i="3" s="1"/>
  <c r="CG379" i="1"/>
  <c r="H36" i="3"/>
  <c r="I36" i="3" s="1"/>
  <c r="CG374" i="1"/>
  <c r="CG377" i="1"/>
  <c r="X22" i="3"/>
  <c r="E22" i="3"/>
  <c r="F22" i="3"/>
  <c r="AQ371" i="1"/>
  <c r="AR15" i="1"/>
  <c r="AR371" i="1" s="1"/>
  <c r="AR373" i="1"/>
  <c r="J41" i="3"/>
  <c r="J42" i="3" s="1"/>
  <c r="D16" i="3"/>
  <c r="E16" i="3" s="1"/>
  <c r="AC368" i="1"/>
  <c r="D23" i="3"/>
  <c r="N39" i="3"/>
  <c r="O39" i="3" s="1"/>
  <c r="CM379" i="1"/>
  <c r="CJ378" i="1"/>
  <c r="K38" i="3"/>
  <c r="D38" i="12"/>
  <c r="M52" i="1"/>
  <c r="N52" i="1" s="1"/>
  <c r="V26" i="1"/>
  <c r="W26" i="1" s="1"/>
  <c r="G47" i="3" l="1"/>
  <c r="G48" i="3" s="1"/>
  <c r="G49" i="3" s="1"/>
  <c r="D375" i="24"/>
  <c r="D37" i="12"/>
  <c r="E38" i="12"/>
  <c r="F38" i="12"/>
  <c r="J45" i="3"/>
  <c r="J47" i="3"/>
  <c r="J48" i="3" s="1"/>
  <c r="J49" i="3" s="1"/>
  <c r="AB380" i="1"/>
  <c r="AC374" i="1"/>
  <c r="CJ380" i="1"/>
  <c r="CK374" i="1"/>
  <c r="O22" i="3"/>
  <c r="N55" i="3"/>
  <c r="O55" i="3" s="1"/>
  <c r="AR368" i="1"/>
  <c r="D20" i="3"/>
  <c r="K20" i="3"/>
  <c r="L20" i="3" s="1"/>
  <c r="AQ378" i="1"/>
  <c r="D20" i="12"/>
  <c r="F36" i="12"/>
  <c r="E36" i="12"/>
  <c r="H35" i="3"/>
  <c r="I35" i="3" s="1"/>
  <c r="CD377" i="1"/>
  <c r="E39" i="12"/>
  <c r="F39" i="12"/>
  <c r="H44" i="12"/>
  <c r="J61" i="3"/>
  <c r="H42" i="12"/>
  <c r="K37" i="3"/>
  <c r="L37" i="3" s="1"/>
  <c r="L38" i="3"/>
  <c r="BA372" i="4"/>
  <c r="F23" i="3"/>
  <c r="E23" i="3"/>
  <c r="CH374" i="1"/>
  <c r="CG380" i="1"/>
  <c r="CM380" i="1"/>
  <c r="CN374" i="1"/>
  <c r="AT380" i="1"/>
  <c r="AU374" i="1"/>
  <c r="F39" i="3"/>
  <c r="E39" i="3"/>
  <c r="AQ379" i="1"/>
  <c r="N20" i="3"/>
  <c r="O20" i="3" s="1"/>
  <c r="G61" i="3"/>
  <c r="CU374" i="1"/>
  <c r="C63" i="3"/>
  <c r="H20" i="3"/>
  <c r="I20" i="3" s="1"/>
  <c r="AQ377" i="1"/>
  <c r="AQ374" i="1"/>
  <c r="D55" i="3"/>
  <c r="I38" i="3"/>
  <c r="H37" i="3"/>
  <c r="I37" i="3" s="1"/>
  <c r="N37" i="3"/>
  <c r="O37" i="3" s="1"/>
  <c r="O38" i="3"/>
  <c r="CP377" i="1"/>
  <c r="CP374" i="1"/>
  <c r="CX3" i="1"/>
  <c r="CU369" i="1" s="1"/>
  <c r="C58" i="3"/>
  <c r="K375" i="24"/>
  <c r="J375" i="24"/>
  <c r="K35" i="3"/>
  <c r="L35" i="3" s="1"/>
  <c r="CD378" i="1"/>
  <c r="D35" i="12"/>
  <c r="I53" i="5"/>
  <c r="I46" i="5"/>
  <c r="C42" i="3"/>
  <c r="F16" i="12"/>
  <c r="E16" i="12"/>
  <c r="I22" i="3"/>
  <c r="H55" i="3"/>
  <c r="I55" i="3" s="1"/>
  <c r="F36" i="3"/>
  <c r="E36" i="3"/>
  <c r="D37" i="3"/>
  <c r="F38" i="3"/>
  <c r="E38" i="3"/>
  <c r="C42" i="12"/>
  <c r="H6" i="12"/>
  <c r="BR380" i="1"/>
  <c r="BS374" i="1"/>
  <c r="E37" i="3" l="1"/>
  <c r="F37" i="3"/>
  <c r="I48" i="5"/>
  <c r="I51" i="5" s="1"/>
  <c r="CQ374" i="1"/>
  <c r="CP380" i="1"/>
  <c r="F20" i="12"/>
  <c r="E20" i="12"/>
  <c r="F35" i="12"/>
  <c r="E35" i="12"/>
  <c r="E55" i="3"/>
  <c r="F55" i="3"/>
  <c r="C45" i="3"/>
  <c r="C47" i="3"/>
  <c r="AR374" i="1"/>
  <c r="AQ380" i="1"/>
  <c r="F20" i="3"/>
  <c r="E20" i="3"/>
  <c r="X20" i="3"/>
  <c r="F37" i="12"/>
  <c r="E37" i="12"/>
  <c r="I50" i="5" l="1"/>
  <c r="AN329" i="1" l="1"/>
  <c r="AN272" i="1"/>
  <c r="AO272" i="1" l="1"/>
  <c r="AO371" i="1" s="1"/>
  <c r="AN368" i="1"/>
  <c r="AN371" i="1"/>
  <c r="AO329" i="1"/>
  <c r="AO372" i="1" s="1"/>
  <c r="AN372" i="1"/>
  <c r="D19" i="12" l="1"/>
  <c r="H19" i="3"/>
  <c r="I19" i="3" s="1"/>
  <c r="AN377" i="1"/>
  <c r="AN374" i="1"/>
  <c r="D19" i="3"/>
  <c r="AO368" i="1"/>
  <c r="AN378" i="1"/>
  <c r="K19" i="3"/>
  <c r="L19" i="3" s="1"/>
  <c r="F19" i="3" l="1"/>
  <c r="E19" i="3"/>
  <c r="X19" i="3"/>
  <c r="AO374" i="1"/>
  <c r="AN380" i="1"/>
  <c r="E19" i="12"/>
  <c r="CD9" i="1" l="1"/>
  <c r="CD368" i="1" l="1"/>
  <c r="CE9" i="1"/>
  <c r="CE373" i="1" s="1"/>
  <c r="CD373" i="1"/>
  <c r="CD379" i="1" l="1"/>
  <c r="N35" i="3"/>
  <c r="O35" i="3" s="1"/>
  <c r="CD374" i="1"/>
  <c r="D35" i="3"/>
  <c r="CE368" i="1"/>
  <c r="E35" i="3" l="1"/>
  <c r="F35" i="3"/>
  <c r="CE374" i="1"/>
  <c r="CD380" i="1"/>
  <c r="V269" i="1" l="1"/>
  <c r="W269" i="1" s="1"/>
  <c r="M269" i="1"/>
  <c r="N269" i="1" s="1"/>
  <c r="V247" i="1"/>
  <c r="W247" i="1" s="1"/>
  <c r="M189" i="1"/>
  <c r="N189" i="1" s="1"/>
  <c r="V187" i="1"/>
  <c r="W187" i="1" s="1"/>
  <c r="M187" i="1"/>
  <c r="N187" i="1" s="1"/>
  <c r="V83" i="1" l="1"/>
  <c r="W83" i="1" s="1"/>
  <c r="V85" i="1"/>
  <c r="W85" i="1" s="1"/>
  <c r="V245" i="1"/>
  <c r="W245" i="1" s="1"/>
  <c r="V181" i="1"/>
  <c r="W181" i="1" s="1"/>
  <c r="V241" i="1"/>
  <c r="W241" i="1" s="1"/>
  <c r="V42" i="1"/>
  <c r="W42" i="1" s="1"/>
  <c r="V44" i="1"/>
  <c r="W44" i="1" s="1"/>
  <c r="V116" i="1"/>
  <c r="W116" i="1" s="1"/>
  <c r="V131" i="1"/>
  <c r="W131" i="1" s="1"/>
  <c r="V12" i="1"/>
  <c r="W12" i="1" s="1"/>
  <c r="V13" i="1"/>
  <c r="W13" i="1" s="1"/>
  <c r="V23" i="1"/>
  <c r="W23" i="1" s="1"/>
  <c r="V41" i="1"/>
  <c r="W41" i="1" s="1"/>
  <c r="V121" i="1"/>
  <c r="W121" i="1" s="1"/>
  <c r="V125" i="1"/>
  <c r="W125" i="1" s="1"/>
  <c r="V350" i="1"/>
  <c r="W350" i="1" s="1"/>
  <c r="V349" i="1"/>
  <c r="W349" i="1" s="1"/>
  <c r="V346" i="1"/>
  <c r="W346" i="1" s="1"/>
  <c r="V345" i="1"/>
  <c r="W345" i="1" s="1"/>
  <c r="V352" i="1"/>
  <c r="W352" i="1" s="1"/>
  <c r="V351" i="1"/>
  <c r="W351" i="1" s="1"/>
  <c r="V347" i="1"/>
  <c r="W347" i="1" s="1"/>
  <c r="V344" i="1"/>
  <c r="W344" i="1" s="1"/>
  <c r="V340" i="1"/>
  <c r="W340" i="1" s="1"/>
  <c r="V308" i="1"/>
  <c r="W308" i="1" s="1"/>
  <c r="M338" i="1"/>
  <c r="N338" i="1" s="1"/>
  <c r="V335" i="1"/>
  <c r="W335" i="1" s="1"/>
  <c r="V334" i="1"/>
  <c r="W334" i="1" s="1"/>
  <c r="V333" i="1"/>
  <c r="W333" i="1" s="1"/>
  <c r="V330" i="1"/>
  <c r="W330" i="1" s="1"/>
  <c r="V299" i="1"/>
  <c r="W299" i="1" s="1"/>
  <c r="V338" i="1"/>
  <c r="W338" i="1" s="1"/>
  <c r="V336" i="1"/>
  <c r="W336" i="1" s="1"/>
  <c r="V289" i="1"/>
  <c r="W289" i="1" s="1"/>
  <c r="V343" i="1"/>
  <c r="W343" i="1" s="1"/>
  <c r="M350" i="1"/>
  <c r="N350" i="1" s="1"/>
  <c r="V348" i="1"/>
  <c r="W348" i="1" s="1"/>
  <c r="V342" i="1"/>
  <c r="W342" i="1" s="1"/>
  <c r="V332" i="1"/>
  <c r="W332" i="1" s="1"/>
  <c r="V284" i="1"/>
  <c r="W284" i="1" s="1"/>
  <c r="V282" i="1"/>
  <c r="W282" i="1" s="1"/>
  <c r="V339" i="1"/>
  <c r="W339" i="1" s="1"/>
  <c r="V337" i="1"/>
  <c r="W337" i="1" s="1"/>
  <c r="V331" i="1"/>
  <c r="W331" i="1" s="1"/>
  <c r="V281" i="1"/>
  <c r="W281" i="1" s="1"/>
  <c r="V249" i="1"/>
  <c r="W249" i="1" s="1"/>
  <c r="V244" i="1"/>
  <c r="W244" i="1" s="1"/>
  <c r="M242" i="1"/>
  <c r="N242" i="1" s="1"/>
  <c r="V240" i="1"/>
  <c r="W240" i="1" s="1"/>
  <c r="V185" i="1"/>
  <c r="W185" i="1" s="1"/>
  <c r="V183" i="1"/>
  <c r="W183" i="1" s="1"/>
  <c r="V341" i="1"/>
  <c r="W341" i="1" s="1"/>
  <c r="V246" i="1"/>
  <c r="W246" i="1" s="1"/>
  <c r="M244" i="1"/>
  <c r="N244" i="1" s="1"/>
  <c r="V243" i="1"/>
  <c r="W243" i="1" s="1"/>
  <c r="M240" i="1"/>
  <c r="N240" i="1" s="1"/>
  <c r="M174" i="1"/>
  <c r="N174" i="1" s="1"/>
  <c r="M308" i="1"/>
  <c r="N308" i="1" s="1"/>
  <c r="V291" i="1"/>
  <c r="W291" i="1" s="1"/>
  <c r="V250" i="1"/>
  <c r="W250" i="1" s="1"/>
  <c r="V184" i="1"/>
  <c r="W184" i="1" s="1"/>
  <c r="V179" i="1"/>
  <c r="W179" i="1" s="1"/>
  <c r="V174" i="1"/>
  <c r="W174" i="1" s="1"/>
  <c r="M173" i="1"/>
  <c r="N173" i="1" s="1"/>
  <c r="M125" i="1"/>
  <c r="N125" i="1" s="1"/>
  <c r="V248" i="1"/>
  <c r="W248" i="1" s="1"/>
  <c r="M246" i="1"/>
  <c r="N246" i="1" s="1"/>
  <c r="V242" i="1"/>
  <c r="W242" i="1" s="1"/>
  <c r="V182" i="1"/>
  <c r="W182" i="1" s="1"/>
  <c r="M179" i="1"/>
  <c r="N179" i="1" s="1"/>
  <c r="V173" i="1"/>
  <c r="W173" i="1" s="1"/>
  <c r="M131" i="1"/>
  <c r="N131" i="1" s="1"/>
  <c r="M121" i="1"/>
  <c r="N121" i="1" s="1"/>
  <c r="M116" i="1"/>
  <c r="N116" i="1" s="1"/>
  <c r="V84" i="1"/>
  <c r="W84" i="1" s="1"/>
  <c r="M41" i="1"/>
  <c r="N41" i="1" s="1"/>
  <c r="M42" i="1"/>
  <c r="N42" i="1" s="1"/>
  <c r="V43" i="1"/>
  <c r="W43" i="1" s="1"/>
  <c r="M44" i="1"/>
  <c r="N44" i="1" s="1"/>
  <c r="V45" i="1"/>
  <c r="W45" i="1" s="1"/>
  <c r="M182" i="1"/>
  <c r="N182" i="1" s="1"/>
  <c r="M248" i="1"/>
  <c r="N248" i="1" s="1"/>
  <c r="V270" i="1"/>
  <c r="W270" i="1" s="1"/>
  <c r="M336" i="1"/>
  <c r="N336" i="1" s="1"/>
  <c r="M348" i="1"/>
  <c r="N348" i="1" s="1"/>
  <c r="M249" i="1"/>
  <c r="N249" i="1" s="1"/>
  <c r="M84" i="1"/>
  <c r="N84" i="1" s="1"/>
  <c r="M247" i="1"/>
  <c r="N247" i="1" s="1"/>
  <c r="M331" i="1"/>
  <c r="N331" i="1" s="1"/>
  <c r="M43" i="1"/>
  <c r="N43" i="1" s="1"/>
  <c r="M23" i="1"/>
  <c r="N23" i="1" s="1"/>
  <c r="M45" i="1"/>
  <c r="N45" i="1" s="1"/>
  <c r="M330" i="1"/>
  <c r="N330" i="1" s="1"/>
  <c r="M342" i="1"/>
  <c r="N342" i="1" s="1"/>
  <c r="M333" i="1"/>
  <c r="N333" i="1" s="1"/>
  <c r="M299" i="1"/>
  <c r="N299" i="1" s="1"/>
  <c r="M351" i="1"/>
  <c r="N351" i="1" s="1"/>
  <c r="V353" i="1" l="1"/>
  <c r="W353" i="1" s="1"/>
  <c r="V358" i="1"/>
  <c r="W358" i="1" s="1"/>
  <c r="V354" i="1"/>
  <c r="W354" i="1" s="1"/>
  <c r="V355" i="1"/>
  <c r="W355" i="1" s="1"/>
  <c r="V357" i="1"/>
  <c r="W357" i="1" s="1"/>
  <c r="M353" i="1"/>
  <c r="N353" i="1" s="1"/>
  <c r="V356" i="1"/>
  <c r="W356" i="1" s="1"/>
  <c r="V359" i="1"/>
  <c r="W359" i="1" s="1"/>
  <c r="M357" i="1"/>
  <c r="N357" i="1" s="1"/>
  <c r="M346" i="1"/>
  <c r="N346" i="1" s="1"/>
  <c r="M241" i="1"/>
  <c r="N241" i="1" s="1"/>
  <c r="M270" i="1"/>
  <c r="N270" i="1" s="1"/>
  <c r="M85" i="1"/>
  <c r="N85" i="1" s="1"/>
  <c r="M332" i="1"/>
  <c r="N332" i="1" s="1"/>
  <c r="M282" i="1"/>
  <c r="N282" i="1" s="1"/>
  <c r="M335" i="1"/>
  <c r="N335" i="1" s="1"/>
  <c r="M334" i="1"/>
  <c r="N334" i="1" s="1"/>
  <c r="M291" i="1"/>
  <c r="N291" i="1" s="1"/>
  <c r="M341" i="1"/>
  <c r="N341" i="1" s="1"/>
  <c r="M343" i="1"/>
  <c r="N343" i="1" s="1"/>
  <c r="M344" i="1"/>
  <c r="N344" i="1" s="1"/>
  <c r="M185" i="1"/>
  <c r="N185" i="1" s="1"/>
  <c r="M284" i="1"/>
  <c r="N284" i="1" s="1"/>
  <c r="M340" i="1"/>
  <c r="N340" i="1" s="1"/>
  <c r="M337" i="1"/>
  <c r="N337" i="1" s="1"/>
  <c r="M339" i="1"/>
  <c r="N339" i="1" s="1"/>
  <c r="M245" i="1"/>
  <c r="N245" i="1" s="1"/>
  <c r="M184" i="1"/>
  <c r="N184" i="1" s="1"/>
  <c r="M243" i="1"/>
  <c r="N243" i="1" s="1"/>
  <c r="M13" i="1"/>
  <c r="N13" i="1" s="1"/>
  <c r="M12" i="1"/>
  <c r="N12" i="1" s="1"/>
  <c r="M83" i="1"/>
  <c r="N83" i="1" s="1"/>
  <c r="M181" i="1"/>
  <c r="N181" i="1" s="1"/>
  <c r="M183" i="1"/>
  <c r="N183" i="1" s="1"/>
  <c r="M250" i="1"/>
  <c r="N250" i="1" s="1"/>
  <c r="M345" i="1"/>
  <c r="N345" i="1" s="1"/>
  <c r="M289" i="1"/>
  <c r="N289" i="1" s="1"/>
  <c r="M349" i="1"/>
  <c r="N349" i="1" s="1"/>
  <c r="M352" i="1"/>
  <c r="N352" i="1" s="1"/>
  <c r="M281" i="1"/>
  <c r="N281" i="1" s="1"/>
  <c r="M347" i="1"/>
  <c r="N347" i="1" s="1"/>
  <c r="M321" i="1"/>
  <c r="N321" i="1" s="1"/>
  <c r="M317" i="1"/>
  <c r="N317" i="1" s="1"/>
  <c r="M320" i="1"/>
  <c r="N320" i="1" s="1"/>
  <c r="M319" i="1"/>
  <c r="N319" i="1" s="1"/>
  <c r="M318" i="1"/>
  <c r="N318" i="1" s="1"/>
  <c r="M273" i="1"/>
  <c r="N273" i="1" s="1"/>
  <c r="M272" i="1"/>
  <c r="N272" i="1" s="1"/>
  <c r="M274" i="1"/>
  <c r="N274" i="1" s="1"/>
  <c r="M271" i="1"/>
  <c r="N271" i="1" s="1"/>
  <c r="M208" i="1"/>
  <c r="N208" i="1" s="1"/>
  <c r="M206" i="1"/>
  <c r="N206" i="1" s="1"/>
  <c r="M253" i="1"/>
  <c r="N253" i="1" s="1"/>
  <c r="V216" i="1"/>
  <c r="W216" i="1" s="1"/>
  <c r="M215" i="1"/>
  <c r="N215" i="1" s="1"/>
  <c r="M210" i="1"/>
  <c r="N210" i="1" s="1"/>
  <c r="M205" i="1"/>
  <c r="N205" i="1" s="1"/>
  <c r="M214" i="1"/>
  <c r="N214" i="1" s="1"/>
  <c r="M209" i="1"/>
  <c r="N209" i="1" s="1"/>
  <c r="M216" i="1"/>
  <c r="N216" i="1" s="1"/>
  <c r="M213" i="1"/>
  <c r="N213" i="1" s="1"/>
  <c r="M203" i="1"/>
  <c r="N203" i="1" s="1"/>
  <c r="M200" i="1"/>
  <c r="N200" i="1" s="1"/>
  <c r="M198" i="1"/>
  <c r="N198" i="1" s="1"/>
  <c r="M204" i="1"/>
  <c r="N204" i="1" s="1"/>
  <c r="M197" i="1"/>
  <c r="N197" i="1" s="1"/>
  <c r="M161" i="1"/>
  <c r="N161" i="1" s="1"/>
  <c r="M153" i="1"/>
  <c r="N153" i="1" s="1"/>
  <c r="M150" i="1"/>
  <c r="N150" i="1" s="1"/>
  <c r="M145" i="1"/>
  <c r="N145" i="1" s="1"/>
  <c r="M202" i="1"/>
  <c r="N202" i="1" s="1"/>
  <c r="V188" i="1"/>
  <c r="W188" i="1" s="1"/>
  <c r="M158" i="1"/>
  <c r="N158" i="1" s="1"/>
  <c r="M157" i="1"/>
  <c r="N157" i="1" s="1"/>
  <c r="M152" i="1"/>
  <c r="N152" i="1" s="1"/>
  <c r="V151" i="1"/>
  <c r="W151" i="1" s="1"/>
  <c r="M149" i="1"/>
  <c r="N149" i="1" s="1"/>
  <c r="V147" i="1"/>
  <c r="W147" i="1" s="1"/>
  <c r="M148" i="1"/>
  <c r="N148" i="1" s="1"/>
  <c r="M135" i="1"/>
  <c r="N135" i="1" s="1"/>
  <c r="V197" i="1"/>
  <c r="W197" i="1" s="1"/>
  <c r="M188" i="1"/>
  <c r="N188" i="1" s="1"/>
  <c r="V157" i="1"/>
  <c r="W157" i="1" s="1"/>
  <c r="M154" i="1"/>
  <c r="N154" i="1" s="1"/>
  <c r="M151" i="1"/>
  <c r="N151" i="1" s="1"/>
  <c r="M147" i="1"/>
  <c r="N147" i="1" s="1"/>
  <c r="M93" i="1"/>
  <c r="N93" i="1" s="1"/>
  <c r="M90" i="1"/>
  <c r="N90" i="1" s="1"/>
  <c r="M74" i="1"/>
  <c r="N74" i="1" s="1"/>
  <c r="M72" i="1"/>
  <c r="N72" i="1" s="1"/>
  <c r="M70" i="1"/>
  <c r="N70" i="1" s="1"/>
  <c r="M126" i="1"/>
  <c r="N126" i="1" s="1"/>
  <c r="M92" i="1"/>
  <c r="N92" i="1" s="1"/>
  <c r="M50" i="1"/>
  <c r="N50" i="1" s="1"/>
  <c r="M96" i="1"/>
  <c r="N96" i="1" s="1"/>
  <c r="M94" i="1"/>
  <c r="N94" i="1" s="1"/>
  <c r="M91" i="1"/>
  <c r="N91" i="1" s="1"/>
  <c r="M88" i="1"/>
  <c r="N88" i="1" s="1"/>
  <c r="V74" i="1"/>
  <c r="W74" i="1" s="1"/>
  <c r="M73" i="1"/>
  <c r="N73" i="1" s="1"/>
  <c r="M71" i="1"/>
  <c r="N71" i="1" s="1"/>
  <c r="V70" i="1"/>
  <c r="W70" i="1" s="1"/>
  <c r="M127" i="1"/>
  <c r="N127" i="1" s="1"/>
  <c r="M95" i="1"/>
  <c r="N95" i="1" s="1"/>
  <c r="V92" i="1"/>
  <c r="W92" i="1" s="1"/>
  <c r="M86" i="1"/>
  <c r="N86" i="1" s="1"/>
  <c r="M81" i="1"/>
  <c r="N81" i="1" s="1"/>
  <c r="M67" i="1"/>
  <c r="N67" i="1" s="1"/>
  <c r="M49" i="1"/>
  <c r="N49" i="1" s="1"/>
  <c r="M17" i="1"/>
  <c r="N17" i="1" s="1"/>
  <c r="V51" i="1"/>
  <c r="W51" i="1" s="1"/>
  <c r="M18" i="1"/>
  <c r="N18" i="1" s="1"/>
  <c r="V17" i="1"/>
  <c r="W17" i="1" s="1"/>
  <c r="M16" i="1"/>
  <c r="N16" i="1" s="1"/>
  <c r="M51" i="1"/>
  <c r="N51" i="1" s="1"/>
  <c r="V328" i="1"/>
  <c r="W328" i="1" s="1"/>
  <c r="V325" i="1"/>
  <c r="W325" i="1" s="1"/>
  <c r="V324" i="1"/>
  <c r="W324" i="1" s="1"/>
  <c r="M328" i="1"/>
  <c r="N328" i="1" s="1"/>
  <c r="M327" i="1"/>
  <c r="N327" i="1" s="1"/>
  <c r="M326" i="1"/>
  <c r="N326" i="1" s="1"/>
  <c r="M325" i="1"/>
  <c r="N325" i="1" s="1"/>
  <c r="M324" i="1"/>
  <c r="N324" i="1" s="1"/>
  <c r="V329" i="1"/>
  <c r="W329" i="1" s="1"/>
  <c r="V327" i="1"/>
  <c r="W327" i="1" s="1"/>
  <c r="V323" i="1"/>
  <c r="W323" i="1" s="1"/>
  <c r="V312" i="1"/>
  <c r="W312" i="1" s="1"/>
  <c r="V302" i="1"/>
  <c r="W302" i="1" s="1"/>
  <c r="M329" i="1"/>
  <c r="N329" i="1" s="1"/>
  <c r="M323" i="1"/>
  <c r="N323" i="1" s="1"/>
  <c r="M315" i="1"/>
  <c r="N315" i="1" s="1"/>
  <c r="M314" i="1"/>
  <c r="N314" i="1" s="1"/>
  <c r="M313" i="1"/>
  <c r="N313" i="1" s="1"/>
  <c r="V326" i="1"/>
  <c r="W326" i="1" s="1"/>
  <c r="M316" i="1"/>
  <c r="N316" i="1" s="1"/>
  <c r="V314" i="1"/>
  <c r="W314" i="1" s="1"/>
  <c r="V313" i="1"/>
  <c r="W313" i="1" s="1"/>
  <c r="M312" i="1"/>
  <c r="N312" i="1" s="1"/>
  <c r="M302" i="1"/>
  <c r="N302" i="1" s="1"/>
  <c r="V316" i="1"/>
  <c r="W316" i="1" s="1"/>
  <c r="M311" i="1"/>
  <c r="N311" i="1" s="1"/>
  <c r="M310" i="1"/>
  <c r="N310" i="1" s="1"/>
  <c r="M309" i="1"/>
  <c r="N309" i="1" s="1"/>
  <c r="V315" i="1"/>
  <c r="W315" i="1" s="1"/>
  <c r="V300" i="1"/>
  <c r="W300" i="1" s="1"/>
  <c r="V298" i="1"/>
  <c r="W298" i="1" s="1"/>
  <c r="M296" i="1"/>
  <c r="N296" i="1" s="1"/>
  <c r="V294" i="1"/>
  <c r="W294" i="1" s="1"/>
  <c r="V311" i="1"/>
  <c r="W311" i="1" s="1"/>
  <c r="V310" i="1"/>
  <c r="W310" i="1" s="1"/>
  <c r="V309" i="1"/>
  <c r="W309" i="1" s="1"/>
  <c r="M301" i="1"/>
  <c r="N301" i="1" s="1"/>
  <c r="M297" i="1"/>
  <c r="N297" i="1" s="1"/>
  <c r="V295" i="1"/>
  <c r="W295" i="1" s="1"/>
  <c r="V297" i="1"/>
  <c r="W297" i="1" s="1"/>
  <c r="V292" i="1"/>
  <c r="W292" i="1" s="1"/>
  <c r="V290" i="1"/>
  <c r="W290" i="1" s="1"/>
  <c r="M288" i="1"/>
  <c r="N288" i="1" s="1"/>
  <c r="V286" i="1"/>
  <c r="W286" i="1" s="1"/>
  <c r="V285" i="1"/>
  <c r="W285" i="1" s="1"/>
  <c r="M298" i="1"/>
  <c r="N298" i="1" s="1"/>
  <c r="V296" i="1"/>
  <c r="W296" i="1" s="1"/>
  <c r="M294" i="1"/>
  <c r="N294" i="1" s="1"/>
  <c r="V287" i="1"/>
  <c r="W287" i="1" s="1"/>
  <c r="V283" i="1"/>
  <c r="W283" i="1" s="1"/>
  <c r="V278" i="1"/>
  <c r="W278" i="1" s="1"/>
  <c r="M300" i="1"/>
  <c r="N300" i="1" s="1"/>
  <c r="M293" i="1"/>
  <c r="N293" i="1" s="1"/>
  <c r="M290" i="1"/>
  <c r="N290" i="1" s="1"/>
  <c r="V288" i="1"/>
  <c r="W288" i="1" s="1"/>
  <c r="M286" i="1"/>
  <c r="N286" i="1" s="1"/>
  <c r="M285" i="1"/>
  <c r="N285" i="1" s="1"/>
  <c r="V301" i="1"/>
  <c r="W301" i="1" s="1"/>
  <c r="M295" i="1"/>
  <c r="N295" i="1" s="1"/>
  <c r="V293" i="1"/>
  <c r="W293" i="1" s="1"/>
  <c r="M292" i="1"/>
  <c r="N292" i="1" s="1"/>
  <c r="M287" i="1"/>
  <c r="N287" i="1" s="1"/>
  <c r="M283" i="1"/>
  <c r="N283" i="1" s="1"/>
  <c r="M278" i="1"/>
  <c r="N278" i="1" s="1"/>
  <c r="V280" i="1"/>
  <c r="W280" i="1" s="1"/>
  <c r="V266" i="1"/>
  <c r="W266" i="1" s="1"/>
  <c r="M264" i="1"/>
  <c r="N264" i="1" s="1"/>
  <c r="M263" i="1"/>
  <c r="N263" i="1" s="1"/>
  <c r="V261" i="1"/>
  <c r="W261" i="1" s="1"/>
  <c r="V259" i="1"/>
  <c r="W259" i="1" s="1"/>
  <c r="M280" i="1"/>
  <c r="N280" i="1" s="1"/>
  <c r="V267" i="1"/>
  <c r="W267" i="1" s="1"/>
  <c r="M265" i="1"/>
  <c r="N265" i="1" s="1"/>
  <c r="V263" i="1"/>
  <c r="W263" i="1" s="1"/>
  <c r="V262" i="1"/>
  <c r="W262" i="1" s="1"/>
  <c r="M258" i="1"/>
  <c r="N258" i="1" s="1"/>
  <c r="M257" i="1"/>
  <c r="N257" i="1" s="1"/>
  <c r="M256" i="1"/>
  <c r="N256" i="1" s="1"/>
  <c r="M266" i="1"/>
  <c r="N266" i="1" s="1"/>
  <c r="V264" i="1"/>
  <c r="W264" i="1" s="1"/>
  <c r="M261" i="1"/>
  <c r="N261" i="1" s="1"/>
  <c r="M260" i="1"/>
  <c r="N260" i="1" s="1"/>
  <c r="M259" i="1"/>
  <c r="N259" i="1" s="1"/>
  <c r="V256" i="1"/>
  <c r="W256" i="1" s="1"/>
  <c r="M255" i="1"/>
  <c r="N255" i="1" s="1"/>
  <c r="M267" i="1"/>
  <c r="N267" i="1" s="1"/>
  <c r="V265" i="1"/>
  <c r="W265" i="1" s="1"/>
  <c r="M262" i="1"/>
  <c r="N262" i="1" s="1"/>
  <c r="V260" i="1"/>
  <c r="W260" i="1" s="1"/>
  <c r="V258" i="1"/>
  <c r="W258" i="1" s="1"/>
  <c r="V257" i="1"/>
  <c r="W257" i="1" s="1"/>
  <c r="V255" i="1"/>
  <c r="W255" i="1" s="1"/>
  <c r="V254" i="1"/>
  <c r="W254" i="1" s="1"/>
  <c r="M238" i="1"/>
  <c r="N238" i="1" s="1"/>
  <c r="M237" i="1"/>
  <c r="N237" i="1" s="1"/>
  <c r="V235" i="1"/>
  <c r="W235" i="1" s="1"/>
  <c r="M232" i="1"/>
  <c r="N232" i="1" s="1"/>
  <c r="V229" i="1"/>
  <c r="W229" i="1" s="1"/>
  <c r="M226" i="1"/>
  <c r="N226" i="1" s="1"/>
  <c r="V224" i="1"/>
  <c r="W224" i="1" s="1"/>
  <c r="M220" i="1"/>
  <c r="N220" i="1" s="1"/>
  <c r="M218" i="1"/>
  <c r="N218" i="1" s="1"/>
  <c r="M207" i="1"/>
  <c r="N207" i="1" s="1"/>
  <c r="M254" i="1"/>
  <c r="N254" i="1" s="1"/>
  <c r="V239" i="1"/>
  <c r="W239" i="1" s="1"/>
  <c r="V238" i="1"/>
  <c r="W238" i="1" s="1"/>
  <c r="V236" i="1"/>
  <c r="W236" i="1" s="1"/>
  <c r="M234" i="1"/>
  <c r="N234" i="1" s="1"/>
  <c r="M233" i="1"/>
  <c r="N233" i="1" s="1"/>
  <c r="V230" i="1"/>
  <c r="W230" i="1" s="1"/>
  <c r="M228" i="1"/>
  <c r="N228" i="1" s="1"/>
  <c r="M227" i="1"/>
  <c r="N227" i="1" s="1"/>
  <c r="V225" i="1"/>
  <c r="W225" i="1" s="1"/>
  <c r="M222" i="1"/>
  <c r="N222" i="1" s="1"/>
  <c r="M221" i="1"/>
  <c r="N221" i="1" s="1"/>
  <c r="V219" i="1"/>
  <c r="W219" i="1" s="1"/>
  <c r="V218" i="1"/>
  <c r="W218" i="1" s="1"/>
  <c r="V217" i="1"/>
  <c r="W217" i="1" s="1"/>
  <c r="V201" i="1"/>
  <c r="W201" i="1" s="1"/>
  <c r="V199" i="1"/>
  <c r="W199" i="1" s="1"/>
  <c r="V195" i="1"/>
  <c r="W195" i="1" s="1"/>
  <c r="V237" i="1"/>
  <c r="W237" i="1" s="1"/>
  <c r="M235" i="1"/>
  <c r="N235" i="1" s="1"/>
  <c r="V232" i="1"/>
  <c r="W232" i="1" s="1"/>
  <c r="M229" i="1"/>
  <c r="N229" i="1" s="1"/>
  <c r="V226" i="1"/>
  <c r="W226" i="1" s="1"/>
  <c r="M224" i="1"/>
  <c r="N224" i="1" s="1"/>
  <c r="V220" i="1"/>
  <c r="W220" i="1" s="1"/>
  <c r="V207" i="1"/>
  <c r="W207" i="1" s="1"/>
  <c r="M239" i="1"/>
  <c r="N239" i="1" s="1"/>
  <c r="M236" i="1"/>
  <c r="N236" i="1" s="1"/>
  <c r="V234" i="1"/>
  <c r="W234" i="1" s="1"/>
  <c r="V233" i="1"/>
  <c r="W233" i="1" s="1"/>
  <c r="M230" i="1"/>
  <c r="N230" i="1" s="1"/>
  <c r="V228" i="1"/>
  <c r="W228" i="1" s="1"/>
  <c r="V227" i="1"/>
  <c r="W227" i="1" s="1"/>
  <c r="M225" i="1"/>
  <c r="N225" i="1" s="1"/>
  <c r="V222" i="1"/>
  <c r="W222" i="1" s="1"/>
  <c r="V221" i="1"/>
  <c r="W221" i="1" s="1"/>
  <c r="M219" i="1"/>
  <c r="N219" i="1" s="1"/>
  <c r="M217" i="1"/>
  <c r="N217" i="1" s="1"/>
  <c r="M201" i="1"/>
  <c r="N201" i="1" s="1"/>
  <c r="M199" i="1"/>
  <c r="N199" i="1" s="1"/>
  <c r="M195" i="1"/>
  <c r="N195" i="1" s="1"/>
  <c r="M194" i="1"/>
  <c r="N194" i="1" s="1"/>
  <c r="M190" i="1"/>
  <c r="N190" i="1" s="1"/>
  <c r="V189" i="1"/>
  <c r="W189" i="1" s="1"/>
  <c r="M172" i="1"/>
  <c r="N172" i="1" s="1"/>
  <c r="M144" i="1"/>
  <c r="N144" i="1" s="1"/>
  <c r="M143" i="1"/>
  <c r="N143" i="1" s="1"/>
  <c r="V140" i="1"/>
  <c r="W140" i="1" s="1"/>
  <c r="M138" i="1"/>
  <c r="N138" i="1" s="1"/>
  <c r="V136" i="1"/>
  <c r="W136" i="1" s="1"/>
  <c r="V134" i="1"/>
  <c r="W134" i="1" s="1"/>
  <c r="V196" i="1"/>
  <c r="W196" i="1" s="1"/>
  <c r="V194" i="1"/>
  <c r="W194" i="1" s="1"/>
  <c r="V193" i="1"/>
  <c r="W193" i="1" s="1"/>
  <c r="M192" i="1"/>
  <c r="N192" i="1" s="1"/>
  <c r="M191" i="1"/>
  <c r="N191" i="1" s="1"/>
  <c r="M186" i="1"/>
  <c r="N186" i="1" s="1"/>
  <c r="M180" i="1"/>
  <c r="N180" i="1" s="1"/>
  <c r="V172" i="1"/>
  <c r="W172" i="1" s="1"/>
  <c r="V142" i="1"/>
  <c r="W142" i="1" s="1"/>
  <c r="M139" i="1"/>
  <c r="N139" i="1" s="1"/>
  <c r="V137" i="1"/>
  <c r="W137" i="1" s="1"/>
  <c r="M114" i="1"/>
  <c r="N114" i="1" s="1"/>
  <c r="M196" i="1"/>
  <c r="N196" i="1" s="1"/>
  <c r="V191" i="1"/>
  <c r="W191" i="1" s="1"/>
  <c r="V190" i="1"/>
  <c r="W190" i="1" s="1"/>
  <c r="V144" i="1"/>
  <c r="W144" i="1" s="1"/>
  <c r="V143" i="1"/>
  <c r="W143" i="1" s="1"/>
  <c r="M140" i="1"/>
  <c r="N140" i="1" s="1"/>
  <c r="V138" i="1"/>
  <c r="W138" i="1" s="1"/>
  <c r="M136" i="1"/>
  <c r="N136" i="1" s="1"/>
  <c r="M134" i="1"/>
  <c r="N134" i="1" s="1"/>
  <c r="M193" i="1"/>
  <c r="N193" i="1" s="1"/>
  <c r="V192" i="1"/>
  <c r="W192" i="1" s="1"/>
  <c r="V186" i="1"/>
  <c r="W186" i="1" s="1"/>
  <c r="V180" i="1"/>
  <c r="W180" i="1" s="1"/>
  <c r="M142" i="1"/>
  <c r="N142" i="1" s="1"/>
  <c r="V139" i="1"/>
  <c r="W139" i="1" s="1"/>
  <c r="M137" i="1"/>
  <c r="N137" i="1" s="1"/>
  <c r="V114" i="1"/>
  <c r="W114" i="1" s="1"/>
  <c r="M111" i="1"/>
  <c r="N111" i="1" s="1"/>
  <c r="M108" i="1"/>
  <c r="N108" i="1" s="1"/>
  <c r="V107" i="1"/>
  <c r="W107" i="1" s="1"/>
  <c r="M106" i="1"/>
  <c r="N106" i="1" s="1"/>
  <c r="V105" i="1"/>
  <c r="W105" i="1" s="1"/>
  <c r="M104" i="1"/>
  <c r="N104" i="1" s="1"/>
  <c r="V103" i="1"/>
  <c r="W103" i="1" s="1"/>
  <c r="M102" i="1"/>
  <c r="N102" i="1" s="1"/>
  <c r="V101" i="1"/>
  <c r="W101" i="1" s="1"/>
  <c r="M100" i="1"/>
  <c r="N100" i="1" s="1"/>
  <c r="V99" i="1"/>
  <c r="W99" i="1" s="1"/>
  <c r="M98" i="1"/>
  <c r="N98" i="1" s="1"/>
  <c r="V97" i="1"/>
  <c r="W97" i="1" s="1"/>
  <c r="V64" i="1"/>
  <c r="W64" i="1" s="1"/>
  <c r="M63" i="1"/>
  <c r="N63" i="1" s="1"/>
  <c r="V62" i="1"/>
  <c r="W62" i="1" s="1"/>
  <c r="M61" i="1"/>
  <c r="N61" i="1" s="1"/>
  <c r="V57" i="1"/>
  <c r="W57" i="1" s="1"/>
  <c r="M56" i="1"/>
  <c r="N56" i="1" s="1"/>
  <c r="M53" i="1"/>
  <c r="N53" i="1" s="1"/>
  <c r="V113" i="1"/>
  <c r="W113" i="1" s="1"/>
  <c r="M112" i="1"/>
  <c r="N112" i="1" s="1"/>
  <c r="V110" i="1"/>
  <c r="W110" i="1" s="1"/>
  <c r="M58" i="1"/>
  <c r="N58" i="1" s="1"/>
  <c r="V55" i="1"/>
  <c r="W55" i="1" s="1"/>
  <c r="V46" i="1"/>
  <c r="W46" i="1" s="1"/>
  <c r="M113" i="1"/>
  <c r="N113" i="1" s="1"/>
  <c r="V111" i="1"/>
  <c r="W111" i="1" s="1"/>
  <c r="M109" i="1"/>
  <c r="N109" i="1" s="1"/>
  <c r="V108" i="1"/>
  <c r="W108" i="1" s="1"/>
  <c r="M107" i="1"/>
  <c r="N107" i="1" s="1"/>
  <c r="V106" i="1"/>
  <c r="W106" i="1" s="1"/>
  <c r="M105" i="1"/>
  <c r="N105" i="1" s="1"/>
  <c r="V104" i="1"/>
  <c r="W104" i="1" s="1"/>
  <c r="M103" i="1"/>
  <c r="N103" i="1" s="1"/>
  <c r="V102" i="1"/>
  <c r="W102" i="1" s="1"/>
  <c r="M101" i="1"/>
  <c r="N101" i="1" s="1"/>
  <c r="V100" i="1"/>
  <c r="W100" i="1" s="1"/>
  <c r="M99" i="1"/>
  <c r="N99" i="1" s="1"/>
  <c r="V98" i="1"/>
  <c r="W98" i="1" s="1"/>
  <c r="M97" i="1"/>
  <c r="N97" i="1" s="1"/>
  <c r="M64" i="1"/>
  <c r="N64" i="1" s="1"/>
  <c r="V63" i="1"/>
  <c r="W63" i="1" s="1"/>
  <c r="M62" i="1"/>
  <c r="N62" i="1" s="1"/>
  <c r="V61" i="1"/>
  <c r="W61" i="1" s="1"/>
  <c r="M57" i="1"/>
  <c r="N57" i="1" s="1"/>
  <c r="V56" i="1"/>
  <c r="W56" i="1" s="1"/>
  <c r="M54" i="1"/>
  <c r="N54" i="1" s="1"/>
  <c r="V53" i="1"/>
  <c r="W53" i="1" s="1"/>
  <c r="V112" i="1"/>
  <c r="W112" i="1" s="1"/>
  <c r="M110" i="1"/>
  <c r="N110" i="1" s="1"/>
  <c r="V109" i="1"/>
  <c r="W109" i="1" s="1"/>
  <c r="V58" i="1"/>
  <c r="W58" i="1" s="1"/>
  <c r="M55" i="1"/>
  <c r="N55" i="1" s="1"/>
  <c r="V54" i="1"/>
  <c r="W54" i="1" s="1"/>
  <c r="M46" i="1"/>
  <c r="N46" i="1" s="1"/>
  <c r="M40" i="1"/>
  <c r="N40" i="1" s="1"/>
  <c r="V39" i="1"/>
  <c r="W39" i="1" s="1"/>
  <c r="M38" i="1"/>
  <c r="N38" i="1" s="1"/>
  <c r="V37" i="1"/>
  <c r="W37" i="1" s="1"/>
  <c r="V34" i="1"/>
  <c r="W34" i="1" s="1"/>
  <c r="M33" i="1"/>
  <c r="N33" i="1" s="1"/>
  <c r="V32" i="1"/>
  <c r="W32" i="1" s="1"/>
  <c r="V22" i="1"/>
  <c r="W22" i="1" s="1"/>
  <c r="M19" i="1"/>
  <c r="N19" i="1" s="1"/>
  <c r="V11" i="1"/>
  <c r="W11" i="1" s="1"/>
  <c r="M36" i="1"/>
  <c r="N36" i="1" s="1"/>
  <c r="V35" i="1"/>
  <c r="W35" i="1" s="1"/>
  <c r="M21" i="1"/>
  <c r="N21" i="1" s="1"/>
  <c r="V40" i="1"/>
  <c r="W40" i="1" s="1"/>
  <c r="M39" i="1"/>
  <c r="N39" i="1" s="1"/>
  <c r="V38" i="1"/>
  <c r="W38" i="1" s="1"/>
  <c r="M37" i="1"/>
  <c r="N37" i="1" s="1"/>
  <c r="M34" i="1"/>
  <c r="N34" i="1" s="1"/>
  <c r="V33" i="1"/>
  <c r="W33" i="1" s="1"/>
  <c r="M32" i="1"/>
  <c r="N32" i="1" s="1"/>
  <c r="M22" i="1"/>
  <c r="N22" i="1" s="1"/>
  <c r="V19" i="1"/>
  <c r="W19" i="1" s="1"/>
  <c r="M11" i="1"/>
  <c r="N11" i="1" s="1"/>
  <c r="V36" i="1"/>
  <c r="W36" i="1" s="1"/>
  <c r="M35" i="1"/>
  <c r="N35" i="1" s="1"/>
  <c r="V21" i="1"/>
  <c r="W21" i="1" s="1"/>
  <c r="V360" i="1" l="1"/>
  <c r="W360" i="1" s="1"/>
  <c r="M361" i="1"/>
  <c r="N361" i="1" s="1"/>
  <c r="V361" i="1"/>
  <c r="W361" i="1" s="1"/>
  <c r="M364" i="1"/>
  <c r="N364" i="1" s="1"/>
  <c r="V364" i="1"/>
  <c r="W364" i="1" s="1"/>
  <c r="M359" i="1"/>
  <c r="N359" i="1" s="1"/>
  <c r="V363" i="1"/>
  <c r="W363" i="1" s="1"/>
  <c r="M365" i="1"/>
  <c r="N365" i="1" s="1"/>
  <c r="V362" i="1"/>
  <c r="W362" i="1" s="1"/>
  <c r="V366" i="1"/>
  <c r="W366" i="1" s="1"/>
  <c r="M366" i="1"/>
  <c r="N366" i="1" s="1"/>
  <c r="M358" i="1"/>
  <c r="N358" i="1" s="1"/>
  <c r="M360" i="1"/>
  <c r="N360" i="1" s="1"/>
  <c r="M363" i="1"/>
  <c r="N363" i="1" s="1"/>
  <c r="M367" i="1"/>
  <c r="N367" i="1" s="1"/>
  <c r="M356" i="1"/>
  <c r="N356" i="1" s="1"/>
  <c r="M354" i="1"/>
  <c r="N354" i="1" s="1"/>
  <c r="V365" i="1"/>
  <c r="W365" i="1" s="1"/>
  <c r="V367" i="1"/>
  <c r="W367" i="1" s="1"/>
  <c r="M362" i="1"/>
  <c r="N362" i="1" s="1"/>
  <c r="M355" i="1"/>
  <c r="N355" i="1" s="1"/>
  <c r="V272" i="1"/>
  <c r="W272" i="1" s="1"/>
  <c r="V202" i="1"/>
  <c r="W202" i="1" s="1"/>
  <c r="V50" i="1"/>
  <c r="W50" i="1" s="1"/>
  <c r="V72" i="1"/>
  <c r="W72" i="1" s="1"/>
  <c r="V127" i="1"/>
  <c r="W127" i="1" s="1"/>
  <c r="V81" i="1"/>
  <c r="W81" i="1" s="1"/>
  <c r="V150" i="1"/>
  <c r="W150" i="1" s="1"/>
  <c r="V215" i="1"/>
  <c r="W215" i="1" s="1"/>
  <c r="V208" i="1"/>
  <c r="W208" i="1" s="1"/>
  <c r="V213" i="1"/>
  <c r="W213" i="1" s="1"/>
  <c r="V214" i="1"/>
  <c r="W214" i="1" s="1"/>
  <c r="V317" i="1"/>
  <c r="W317" i="1" s="1"/>
  <c r="V90" i="1"/>
  <c r="W90" i="1" s="1"/>
  <c r="V49" i="1"/>
  <c r="W49" i="1" s="1"/>
  <c r="V86" i="1"/>
  <c r="W86" i="1" s="1"/>
  <c r="V71" i="1"/>
  <c r="W71" i="1" s="1"/>
  <c r="V73" i="1"/>
  <c r="W73" i="1" s="1"/>
  <c r="V149" i="1"/>
  <c r="W149" i="1" s="1"/>
  <c r="V152" i="1"/>
  <c r="W152" i="1" s="1"/>
  <c r="V158" i="1"/>
  <c r="W158" i="1" s="1"/>
  <c r="V204" i="1"/>
  <c r="W204" i="1" s="1"/>
  <c r="V145" i="1"/>
  <c r="W145" i="1" s="1"/>
  <c r="V153" i="1"/>
  <c r="W153" i="1" s="1"/>
  <c r="V161" i="1"/>
  <c r="W161" i="1" s="1"/>
  <c r="V154" i="1"/>
  <c r="W154" i="1" s="1"/>
  <c r="V206" i="1"/>
  <c r="W206" i="1" s="1"/>
  <c r="V320" i="1"/>
  <c r="W320" i="1" s="1"/>
  <c r="V321" i="1"/>
  <c r="W321" i="1" s="1"/>
  <c r="V93" i="1"/>
  <c r="W93" i="1" s="1"/>
  <c r="V91" i="1"/>
  <c r="W91" i="1" s="1"/>
  <c r="V94" i="1"/>
  <c r="W94" i="1" s="1"/>
  <c r="V126" i="1"/>
  <c r="W126" i="1" s="1"/>
  <c r="V210" i="1"/>
  <c r="W210" i="1" s="1"/>
  <c r="V209" i="1"/>
  <c r="W209" i="1" s="1"/>
  <c r="V274" i="1"/>
  <c r="W274" i="1" s="1"/>
  <c r="V273" i="1"/>
  <c r="W273" i="1" s="1"/>
  <c r="V318" i="1"/>
  <c r="W318" i="1" s="1"/>
  <c r="V67" i="1"/>
  <c r="W67" i="1" s="1"/>
  <c r="V95" i="1"/>
  <c r="W95" i="1" s="1"/>
  <c r="V96" i="1"/>
  <c r="W96" i="1" s="1"/>
  <c r="V148" i="1"/>
  <c r="W148" i="1" s="1"/>
  <c r="V203" i="1"/>
  <c r="W203" i="1" s="1"/>
  <c r="V253" i="1"/>
  <c r="W253" i="1" s="1"/>
  <c r="V271" i="1"/>
  <c r="W271" i="1" s="1"/>
  <c r="V276" i="1"/>
  <c r="W276" i="1" s="1"/>
  <c r="V319" i="1"/>
  <c r="W319" i="1" s="1"/>
  <c r="V135" i="1"/>
  <c r="W135" i="1" s="1"/>
  <c r="V16" i="1"/>
  <c r="W16" i="1" s="1"/>
  <c r="V18" i="1"/>
  <c r="W18" i="1" s="1"/>
  <c r="V88" i="1"/>
  <c r="W88" i="1" s="1"/>
  <c r="V205" i="1"/>
  <c r="W205" i="1" s="1"/>
  <c r="V198" i="1"/>
  <c r="W198" i="1" s="1"/>
  <c r="V200" i="1"/>
  <c r="W200" i="1" s="1"/>
  <c r="M15" i="1" l="1"/>
  <c r="M9" i="1"/>
  <c r="V9" i="1"/>
  <c r="V303" i="1"/>
  <c r="W303" i="1" s="1"/>
  <c r="N9" i="1" l="1"/>
  <c r="N373" i="1" s="1"/>
  <c r="M373" i="1"/>
  <c r="J363" i="1"/>
  <c r="N15" i="1"/>
  <c r="V373" i="1"/>
  <c r="W9" i="1"/>
  <c r="W373" i="1" s="1"/>
  <c r="M303" i="1"/>
  <c r="N303" i="1" s="1"/>
  <c r="M10" i="1"/>
  <c r="N14" i="3" l="1"/>
  <c r="O14" i="3" s="1"/>
  <c r="V379" i="1"/>
  <c r="N10" i="1"/>
  <c r="N372" i="1" s="1"/>
  <c r="M372" i="1"/>
  <c r="M379" i="1"/>
  <c r="N11" i="3"/>
  <c r="O11" i="3" s="1"/>
  <c r="K363" i="1"/>
  <c r="V15" i="1"/>
  <c r="V10" i="1"/>
  <c r="W15" i="1" l="1"/>
  <c r="W371" i="1" s="1"/>
  <c r="V371" i="1"/>
  <c r="K11" i="3"/>
  <c r="L11" i="3" s="1"/>
  <c r="M378" i="1"/>
  <c r="D11" i="12"/>
  <c r="W10" i="1"/>
  <c r="W372" i="1" s="1"/>
  <c r="V372" i="1"/>
  <c r="V368" i="1"/>
  <c r="M276" i="1"/>
  <c r="W368" i="1" l="1"/>
  <c r="D14" i="3"/>
  <c r="N276" i="1"/>
  <c r="N371" i="1" s="1"/>
  <c r="M371" i="1"/>
  <c r="M368" i="1"/>
  <c r="D14" i="12"/>
  <c r="K14" i="3"/>
  <c r="L14" i="3" s="1"/>
  <c r="V378" i="1"/>
  <c r="V374" i="1"/>
  <c r="V377" i="1"/>
  <c r="H14" i="3"/>
  <c r="I14" i="3" s="1"/>
  <c r="F11" i="12"/>
  <c r="E11" i="12"/>
  <c r="H11" i="3" l="1"/>
  <c r="I11" i="3" s="1"/>
  <c r="M377" i="1"/>
  <c r="M374" i="1"/>
  <c r="E14" i="12"/>
  <c r="F14" i="12"/>
  <c r="F14" i="3"/>
  <c r="E14" i="3"/>
  <c r="W374" i="1"/>
  <c r="V380" i="1"/>
  <c r="D11" i="3"/>
  <c r="N368" i="1"/>
  <c r="N374" i="1" l="1"/>
  <c r="M380" i="1"/>
  <c r="F11" i="3"/>
  <c r="E11" i="3"/>
  <c r="AK345" i="1" l="1"/>
  <c r="AL345" i="1" s="1"/>
  <c r="AK341" i="1"/>
  <c r="AL341" i="1" s="1"/>
  <c r="AK337" i="1"/>
  <c r="AL337" i="1" s="1"/>
  <c r="AK326" i="1"/>
  <c r="AL326" i="1" s="1"/>
  <c r="AK215" i="1"/>
  <c r="AL215" i="1" s="1"/>
  <c r="AK203" i="1"/>
  <c r="AL203" i="1" s="1"/>
  <c r="AK198" i="1"/>
  <c r="AL198" i="1" s="1"/>
  <c r="AK197" i="1"/>
  <c r="AL197" i="1" s="1"/>
  <c r="AK183" i="1"/>
  <c r="AL183" i="1" s="1"/>
  <c r="AK181" i="1"/>
  <c r="AL181" i="1" s="1"/>
  <c r="AK157" i="1"/>
  <c r="AL157" i="1" s="1"/>
  <c r="AK154" i="1"/>
  <c r="AL154" i="1" s="1"/>
  <c r="AK151" i="1"/>
  <c r="AL151" i="1" s="1"/>
  <c r="AK150" i="1"/>
  <c r="AL150" i="1" s="1"/>
  <c r="AK145" i="1"/>
  <c r="AL145" i="1" s="1"/>
  <c r="AK135" i="1"/>
  <c r="AL135" i="1" s="1"/>
  <c r="AK114" i="1"/>
  <c r="AL114" i="1" s="1"/>
  <c r="AK72" i="1"/>
  <c r="AL72" i="1" s="1"/>
  <c r="AK70" i="1"/>
  <c r="AL70" i="1" s="1"/>
  <c r="AK44" i="1"/>
  <c r="AL44" i="1" s="1"/>
  <c r="AK43" i="1"/>
  <c r="AL43" i="1" s="1"/>
  <c r="AK13" i="1"/>
  <c r="AL13" i="1" s="1"/>
  <c r="AK41" i="1"/>
  <c r="AL41" i="1" s="1"/>
  <c r="AK42" i="1"/>
  <c r="AL42" i="1" s="1"/>
  <c r="AK45" i="1"/>
  <c r="AL45" i="1" s="1"/>
  <c r="AK67" i="1"/>
  <c r="AL67" i="1" s="1"/>
  <c r="AK74" i="1"/>
  <c r="AL74" i="1" s="1"/>
  <c r="AK83" i="1"/>
  <c r="AL83" i="1" s="1"/>
  <c r="AK84" i="1"/>
  <c r="AL84" i="1" s="1"/>
  <c r="AK85" i="1"/>
  <c r="AL85" i="1" s="1"/>
  <c r="AK86" i="1"/>
  <c r="AL86" i="1" s="1"/>
  <c r="AK88" i="1"/>
  <c r="AL88" i="1" s="1"/>
  <c r="AK91" i="1"/>
  <c r="AL91" i="1" s="1"/>
  <c r="AK92" i="1"/>
  <c r="AL92" i="1" s="1"/>
  <c r="AK93" i="1"/>
  <c r="AL93" i="1" s="1"/>
  <c r="AK94" i="1"/>
  <c r="AL94" i="1" s="1"/>
  <c r="AK95" i="1"/>
  <c r="AL95" i="1" s="1"/>
  <c r="AK96" i="1"/>
  <c r="AL96" i="1" s="1"/>
  <c r="AK113" i="1"/>
  <c r="AL113" i="1" s="1"/>
  <c r="AK126" i="1"/>
  <c r="AL126" i="1" s="1"/>
  <c r="AK127" i="1"/>
  <c r="AL127" i="1" s="1"/>
  <c r="AK131" i="1"/>
  <c r="AL131" i="1" s="1"/>
  <c r="AK147" i="1"/>
  <c r="AL147" i="1" s="1"/>
  <c r="AK149" i="1"/>
  <c r="AL149" i="1" s="1"/>
  <c r="AK152" i="1"/>
  <c r="AL152" i="1" s="1"/>
  <c r="AK153" i="1"/>
  <c r="AL153" i="1" s="1"/>
  <c r="AK158" i="1"/>
  <c r="AL158" i="1" s="1"/>
  <c r="AK161" i="1"/>
  <c r="AL161" i="1" s="1"/>
  <c r="AK184" i="1"/>
  <c r="AL184" i="1" s="1"/>
  <c r="AK185" i="1"/>
  <c r="AL185" i="1" s="1"/>
  <c r="AK200" i="1"/>
  <c r="AL200" i="1" s="1"/>
  <c r="AK202" i="1"/>
  <c r="AL202" i="1" s="1"/>
  <c r="AK204" i="1"/>
  <c r="AL204" i="1" s="1"/>
  <c r="AK205" i="1"/>
  <c r="AL205" i="1" s="1"/>
  <c r="AK206" i="1"/>
  <c r="AL206" i="1" s="1"/>
  <c r="AK208" i="1"/>
  <c r="AL208" i="1" s="1"/>
  <c r="AK209" i="1"/>
  <c r="AL209" i="1" s="1"/>
  <c r="AK210" i="1"/>
  <c r="AL210" i="1" s="1"/>
  <c r="AK213" i="1"/>
  <c r="AL213" i="1" s="1"/>
  <c r="AK216" i="1"/>
  <c r="AL216" i="1" s="1"/>
  <c r="AK323" i="1"/>
  <c r="AL323" i="1" s="1"/>
  <c r="AK324" i="1"/>
  <c r="AL324" i="1" s="1"/>
  <c r="AK327" i="1"/>
  <c r="AL327" i="1" s="1"/>
  <c r="AK329" i="1"/>
  <c r="AL329" i="1" s="1"/>
  <c r="AK330" i="1"/>
  <c r="AL330" i="1" s="1"/>
  <c r="AK334" i="1"/>
  <c r="AL334" i="1" s="1"/>
  <c r="AK338" i="1"/>
  <c r="AL338" i="1" s="1"/>
  <c r="AK339" i="1"/>
  <c r="AL339" i="1" s="1"/>
  <c r="AK340" i="1"/>
  <c r="AL340" i="1" s="1"/>
  <c r="AK342" i="1"/>
  <c r="AL342" i="1" s="1"/>
  <c r="AK343" i="1"/>
  <c r="AL343" i="1" s="1"/>
  <c r="AK344" i="1"/>
  <c r="AL344" i="1" s="1"/>
  <c r="AK346" i="1"/>
  <c r="AL346" i="1" s="1"/>
  <c r="AK347" i="1"/>
  <c r="AL347" i="1" s="1"/>
  <c r="AK348" i="1"/>
  <c r="AL348" i="1" s="1"/>
  <c r="AK363" i="1"/>
  <c r="AL363" i="1" s="1"/>
  <c r="AK230" i="1"/>
  <c r="AL230" i="1" s="1"/>
  <c r="AK253" i="1"/>
  <c r="AL253" i="1" s="1"/>
  <c r="AK254" i="1"/>
  <c r="AL254" i="1" s="1"/>
  <c r="AK255" i="1"/>
  <c r="AL255" i="1" s="1"/>
  <c r="AK256" i="1"/>
  <c r="AL256" i="1" s="1"/>
  <c r="AK257" i="1"/>
  <c r="AL257" i="1" s="1"/>
  <c r="AK258" i="1"/>
  <c r="AL258" i="1" s="1"/>
  <c r="AK271" i="1"/>
  <c r="AL271" i="1" s="1"/>
  <c r="AK272" i="1"/>
  <c r="AL272" i="1" s="1"/>
  <c r="AK276" i="1"/>
  <c r="AL276" i="1" s="1"/>
  <c r="AK281" i="1"/>
  <c r="AL281" i="1" s="1"/>
  <c r="AK282" i="1"/>
  <c r="AL282" i="1" s="1"/>
  <c r="AK23" i="1" l="1"/>
  <c r="AL23" i="1" s="1"/>
  <c r="AK15" i="1" l="1"/>
  <c r="AK12" i="1"/>
  <c r="AK63" i="1"/>
  <c r="AL63" i="1" l="1"/>
  <c r="AL372" i="1" s="1"/>
  <c r="AK372" i="1"/>
  <c r="AL15" i="1"/>
  <c r="AL371" i="1" s="1"/>
  <c r="AK371" i="1"/>
  <c r="AL12" i="1"/>
  <c r="AL373" i="1" s="1"/>
  <c r="AK368" i="1"/>
  <c r="AK373" i="1"/>
  <c r="H18" i="3" l="1"/>
  <c r="I18" i="3" s="1"/>
  <c r="AK377" i="1"/>
  <c r="AK374" i="1"/>
  <c r="AK379" i="1"/>
  <c r="N18" i="3"/>
  <c r="O18" i="3" s="1"/>
  <c r="AL368" i="1"/>
  <c r="D18" i="3"/>
  <c r="D18" i="12"/>
  <c r="AK378" i="1"/>
  <c r="K18" i="3"/>
  <c r="L18" i="3" s="1"/>
  <c r="E18" i="12" l="1"/>
  <c r="F18" i="12"/>
  <c r="F18" i="3"/>
  <c r="E18" i="3"/>
  <c r="X18" i="3"/>
  <c r="AL374" i="1"/>
  <c r="AK380" i="1"/>
  <c r="AE47" i="1" l="1"/>
  <c r="AF47" i="1" s="1"/>
  <c r="AE162" i="1"/>
  <c r="AF162" i="1" s="1"/>
  <c r="Y60" i="1" l="1"/>
  <c r="Z60" i="1" s="1"/>
  <c r="Y141" i="1"/>
  <c r="Z141" i="1" s="1"/>
  <c r="Y212" i="1"/>
  <c r="Z212" i="1" s="1"/>
  <c r="J251" i="1"/>
  <c r="J146" i="1"/>
  <c r="J268" i="1"/>
  <c r="Y231" i="1"/>
  <c r="Z231" i="1" s="1"/>
  <c r="J132" i="1"/>
  <c r="Y28" i="1"/>
  <c r="Z28" i="1" s="1"/>
  <c r="Y159" i="1"/>
  <c r="Z159" i="1" s="1"/>
  <c r="Y29" i="1"/>
  <c r="Z29" i="1" s="1"/>
  <c r="J162" i="1"/>
  <c r="Y65" i="1"/>
  <c r="Z65" i="1" s="1"/>
  <c r="J128" i="1"/>
  <c r="J177" i="1"/>
  <c r="J277" i="1"/>
  <c r="J25" i="1"/>
  <c r="J117" i="1"/>
  <c r="J69" i="1"/>
  <c r="J168" i="1"/>
  <c r="J30" i="1"/>
  <c r="Y251" i="1"/>
  <c r="Z251" i="1" s="1"/>
  <c r="Y279" i="1"/>
  <c r="Z279" i="1" s="1"/>
  <c r="J129" i="1"/>
  <c r="Y117" i="1"/>
  <c r="Z117" i="1" s="1"/>
  <c r="J163" i="1"/>
  <c r="Y69" i="1"/>
  <c r="Z69" i="1" s="1"/>
  <c r="J59" i="1"/>
  <c r="J211" i="1"/>
  <c r="J76" i="1"/>
  <c r="J155" i="1"/>
  <c r="J176" i="1"/>
  <c r="J304" i="1"/>
  <c r="Y14" i="1"/>
  <c r="Z14" i="1" s="1"/>
  <c r="Y75" i="1"/>
  <c r="Z75" i="1" s="1"/>
  <c r="J27" i="1"/>
  <c r="J115" i="1"/>
  <c r="Y155" i="1"/>
  <c r="Z155" i="1" s="1"/>
  <c r="Y156" i="1"/>
  <c r="Z156" i="1" s="1"/>
  <c r="Y178" i="1"/>
  <c r="Z178" i="1" s="1"/>
  <c r="J80" i="1"/>
  <c r="Y78" i="1"/>
  <c r="Z78" i="1" s="1"/>
  <c r="Y59" i="1"/>
  <c r="Z59" i="1" s="1"/>
  <c r="J60" i="1"/>
  <c r="J20" i="1"/>
  <c r="Y164" i="1"/>
  <c r="Z164" i="1" s="1"/>
  <c r="Y68" i="1"/>
  <c r="Z68" i="1" s="1"/>
  <c r="J14" i="1"/>
  <c r="Y27" i="1"/>
  <c r="Z27" i="1" s="1"/>
  <c r="J47" i="1"/>
  <c r="Y89" i="1"/>
  <c r="Z89" i="1" s="1"/>
  <c r="Y123" i="1"/>
  <c r="Z123" i="1" s="1"/>
  <c r="Y146" i="1"/>
  <c r="Z146" i="1" s="1"/>
  <c r="Y31" i="1"/>
  <c r="Z31" i="1" s="1"/>
  <c r="Y132" i="1"/>
  <c r="Z132" i="1" s="1"/>
  <c r="J124" i="1"/>
  <c r="J29" i="1"/>
  <c r="Y130" i="1"/>
  <c r="Z130" i="1" s="1"/>
  <c r="Y169" i="1"/>
  <c r="Z169" i="1" s="1"/>
  <c r="J178" i="1"/>
  <c r="Y175" i="1"/>
  <c r="Z175" i="1" s="1"/>
  <c r="J275" i="1"/>
  <c r="J120" i="1"/>
  <c r="J24" i="1"/>
  <c r="J48" i="1"/>
  <c r="Y52" i="1"/>
  <c r="Z52" i="1" s="1"/>
  <c r="J166" i="1"/>
  <c r="Y133" i="1"/>
  <c r="Z133" i="1" s="1"/>
  <c r="J170" i="1"/>
  <c r="J169" i="1"/>
  <c r="J279" i="1"/>
  <c r="Y277" i="1"/>
  <c r="Z277" i="1" s="1"/>
  <c r="J307" i="1"/>
  <c r="Y166" i="1"/>
  <c r="Z166" i="1" s="1"/>
  <c r="J122" i="1"/>
  <c r="Y47" i="1"/>
  <c r="Z47" i="1" s="1"/>
  <c r="J87" i="1"/>
  <c r="J65" i="1"/>
  <c r="Y115" i="1"/>
  <c r="Z115" i="1" s="1"/>
  <c r="J118" i="1"/>
  <c r="Y171" i="1"/>
  <c r="Z171" i="1" s="1"/>
  <c r="J231" i="1"/>
  <c r="J306" i="1"/>
  <c r="J31" i="1"/>
  <c r="Y82" i="1"/>
  <c r="Z82" i="1" s="1"/>
  <c r="Y160" i="1"/>
  <c r="Z160" i="1" s="1"/>
  <c r="Y87" i="1"/>
  <c r="Z87" i="1" s="1"/>
  <c r="Y25" i="1"/>
  <c r="Z25" i="1" s="1"/>
  <c r="J133" i="1"/>
  <c r="J78" i="1"/>
  <c r="Y177" i="1"/>
  <c r="Z177" i="1" s="1"/>
  <c r="J223" i="1"/>
  <c r="Y211" i="1"/>
  <c r="Z211" i="1" s="1"/>
  <c r="Y268" i="1"/>
  <c r="Z268" i="1" s="1"/>
  <c r="J28" i="1"/>
  <c r="J167" i="1"/>
  <c r="J164" i="1"/>
  <c r="Y120" i="1"/>
  <c r="Z120" i="1" s="1"/>
  <c r="Y162" i="1"/>
  <c r="Z162" i="1" s="1"/>
  <c r="Y305" i="1"/>
  <c r="Z305" i="1" s="1"/>
  <c r="Y20" i="1"/>
  <c r="Z20" i="1" s="1"/>
  <c r="J322" i="1"/>
  <c r="J160" i="1"/>
  <c r="Y26" i="1"/>
  <c r="Z26" i="1" s="1"/>
  <c r="Y79" i="1"/>
  <c r="Z79" i="1" s="1"/>
  <c r="J68" i="1"/>
  <c r="Y119" i="1"/>
  <c r="Z119" i="1" s="1"/>
  <c r="Y167" i="1"/>
  <c r="Z167" i="1" s="1"/>
  <c r="Y124" i="1"/>
  <c r="Z124" i="1" s="1"/>
  <c r="J159" i="1"/>
  <c r="J252" i="1"/>
  <c r="Y128" i="1"/>
  <c r="Z128" i="1" s="1"/>
  <c r="J175" i="1"/>
  <c r="Y176" i="1"/>
  <c r="Z176" i="1" s="1"/>
  <c r="Y304" i="1"/>
  <c r="Z304" i="1" s="1"/>
  <c r="J52" i="1"/>
  <c r="J75" i="1"/>
  <c r="J119" i="1"/>
  <c r="Y122" i="1"/>
  <c r="Z122" i="1" s="1"/>
  <c r="Y168" i="1"/>
  <c r="Z168" i="1" s="1"/>
  <c r="Y30" i="1"/>
  <c r="Z30" i="1" s="1"/>
  <c r="J305" i="1"/>
  <c r="J26" i="1"/>
  <c r="Y163" i="1"/>
  <c r="Z163" i="1" s="1"/>
  <c r="Y118" i="1"/>
  <c r="Z118" i="1" s="1"/>
  <c r="J156" i="1"/>
  <c r="Y80" i="1"/>
  <c r="Z80" i="1" s="1"/>
  <c r="Y170" i="1"/>
  <c r="Z170" i="1" s="1"/>
  <c r="Y252" i="1"/>
  <c r="Z252" i="1" s="1"/>
  <c r="Y48" i="1"/>
  <c r="Z48" i="1" s="1"/>
  <c r="J123" i="1"/>
  <c r="J77" i="1"/>
  <c r="J66" i="1"/>
  <c r="Y307" i="1"/>
  <c r="Z307" i="1" s="1"/>
  <c r="J89" i="1"/>
  <c r="Y24" i="1"/>
  <c r="Z24" i="1" s="1"/>
  <c r="Y223" i="1"/>
  <c r="Z223" i="1" s="1"/>
  <c r="Y322" i="1"/>
  <c r="Z322" i="1" s="1"/>
  <c r="J171" i="1"/>
  <c r="J212" i="1"/>
  <c r="Y66" i="1"/>
  <c r="Z66" i="1" s="1"/>
  <c r="Y165" i="1"/>
  <c r="Z165" i="1" s="1"/>
  <c r="Y275" i="1"/>
  <c r="Z275" i="1" s="1"/>
  <c r="Y306" i="1"/>
  <c r="Z306" i="1" s="1"/>
  <c r="Y76" i="1"/>
  <c r="Z76" i="1" s="1"/>
  <c r="K212" i="1" l="1"/>
  <c r="K223" i="1"/>
  <c r="K31" i="1"/>
  <c r="K178" i="1"/>
  <c r="K60" i="1"/>
  <c r="K27" i="1"/>
  <c r="K59" i="1"/>
  <c r="K129" i="1"/>
  <c r="K168" i="1"/>
  <c r="K277" i="1"/>
  <c r="AH162" i="1"/>
  <c r="K162" i="1"/>
  <c r="K132" i="1"/>
  <c r="K251" i="1"/>
  <c r="K77" i="1"/>
  <c r="K52" i="1"/>
  <c r="K118" i="1"/>
  <c r="K24" i="1"/>
  <c r="K124" i="1"/>
  <c r="K14" i="1"/>
  <c r="K176" i="1"/>
  <c r="K171" i="1"/>
  <c r="K89" i="1"/>
  <c r="K123" i="1"/>
  <c r="K26" i="1"/>
  <c r="K252" i="1"/>
  <c r="K160" i="1"/>
  <c r="K28" i="1"/>
  <c r="K306" i="1"/>
  <c r="K122" i="1"/>
  <c r="K279" i="1"/>
  <c r="K166" i="1"/>
  <c r="K120" i="1"/>
  <c r="K155" i="1"/>
  <c r="K69" i="1"/>
  <c r="K177" i="1"/>
  <c r="K156" i="1"/>
  <c r="K119" i="1"/>
  <c r="K159" i="1"/>
  <c r="K68" i="1"/>
  <c r="K78" i="1"/>
  <c r="K231" i="1"/>
  <c r="K65" i="1"/>
  <c r="K169" i="1"/>
  <c r="K275" i="1"/>
  <c r="K47" i="1"/>
  <c r="AH47" i="1"/>
  <c r="K76" i="1"/>
  <c r="K163" i="1"/>
  <c r="K117" i="1"/>
  <c r="K128" i="1"/>
  <c r="K268" i="1"/>
  <c r="K167" i="1"/>
  <c r="K305" i="1"/>
  <c r="K322" i="1"/>
  <c r="K66" i="1"/>
  <c r="K75" i="1"/>
  <c r="K175" i="1"/>
  <c r="K164" i="1"/>
  <c r="K133" i="1"/>
  <c r="K87" i="1"/>
  <c r="K307" i="1"/>
  <c r="K170" i="1"/>
  <c r="K48" i="1"/>
  <c r="K29" i="1"/>
  <c r="K20" i="1"/>
  <c r="K80" i="1"/>
  <c r="K115" i="1"/>
  <c r="K304" i="1"/>
  <c r="K211" i="1"/>
  <c r="K30" i="1"/>
  <c r="K25" i="1"/>
  <c r="K146" i="1"/>
  <c r="AE346" i="1"/>
  <c r="AF346" i="1" s="1"/>
  <c r="AE101" i="1"/>
  <c r="AF101" i="1" s="1"/>
  <c r="AE112" i="1"/>
  <c r="AF112" i="1" s="1"/>
  <c r="AE316" i="1"/>
  <c r="AF316" i="1" s="1"/>
  <c r="AE104" i="1"/>
  <c r="AF104" i="1" s="1"/>
  <c r="AE126" i="1"/>
  <c r="AF126" i="1" s="1"/>
  <c r="AE297" i="1"/>
  <c r="AF297" i="1" s="1"/>
  <c r="AE73" i="1"/>
  <c r="AF73" i="1" s="1"/>
  <c r="AE147" i="1"/>
  <c r="AF147" i="1" s="1"/>
  <c r="AE308" i="1"/>
  <c r="AF308" i="1" s="1"/>
  <c r="AE352" i="1"/>
  <c r="AF352" i="1" s="1"/>
  <c r="AE286" i="1"/>
  <c r="AF286" i="1" s="1"/>
  <c r="AE237" i="1"/>
  <c r="AF237" i="1" s="1"/>
  <c r="AE221" i="1"/>
  <c r="AF221" i="1" s="1"/>
  <c r="AE262" i="1"/>
  <c r="AF262" i="1" s="1"/>
  <c r="AE116" i="1"/>
  <c r="AF116" i="1" s="1"/>
  <c r="AE224" i="1"/>
  <c r="AF224" i="1" s="1"/>
  <c r="AE96" i="1"/>
  <c r="AF96" i="1" s="1"/>
  <c r="AE204" i="1"/>
  <c r="AF204" i="1" s="1"/>
  <c r="AE263" i="1"/>
  <c r="AF263" i="1" s="1"/>
  <c r="AE215" i="1"/>
  <c r="AF215" i="1" s="1"/>
  <c r="AE247" i="1"/>
  <c r="AF247" i="1" s="1"/>
  <c r="AE44" i="1"/>
  <c r="AF44" i="1" s="1"/>
  <c r="AE325" i="1"/>
  <c r="AF325" i="1" s="1"/>
  <c r="AE82" i="1"/>
  <c r="AF82" i="1" s="1"/>
  <c r="AE77" i="1"/>
  <c r="AF77" i="1" s="1"/>
  <c r="AE79" i="1"/>
  <c r="AF79" i="1" s="1"/>
  <c r="AE130" i="1"/>
  <c r="AF130" i="1" s="1"/>
  <c r="AE129" i="1"/>
  <c r="AF129" i="1" s="1"/>
  <c r="AE141" i="1"/>
  <c r="AF141" i="1" s="1"/>
  <c r="AE140" i="1"/>
  <c r="AF140" i="1" s="1"/>
  <c r="AE165" i="1"/>
  <c r="AF165" i="1" s="1"/>
  <c r="AI47" i="1" l="1"/>
  <c r="AI162" i="1"/>
  <c r="AE15" i="1"/>
  <c r="AE10" i="1"/>
  <c r="J141" i="1"/>
  <c r="Y77" i="1"/>
  <c r="J130" i="1"/>
  <c r="J82" i="1"/>
  <c r="AE125" i="1"/>
  <c r="AF125" i="1" s="1"/>
  <c r="AE178" i="1"/>
  <c r="AE164" i="1"/>
  <c r="AE31" i="1"/>
  <c r="AE72" i="1"/>
  <c r="AF72" i="1" s="1"/>
  <c r="AE167" i="1"/>
  <c r="AE163" i="1"/>
  <c r="AE55" i="1"/>
  <c r="AF55" i="1" s="1"/>
  <c r="AE146" i="1"/>
  <c r="AE320" i="1"/>
  <c r="AF320" i="1" s="1"/>
  <c r="AE304" i="1"/>
  <c r="AE158" i="1"/>
  <c r="AF158" i="1" s="1"/>
  <c r="AE160" i="1"/>
  <c r="AE234" i="1"/>
  <c r="AF234" i="1" s="1"/>
  <c r="AE85" i="1"/>
  <c r="AF85" i="1" s="1"/>
  <c r="AE279" i="1"/>
  <c r="AE318" i="1"/>
  <c r="AF318" i="1" s="1"/>
  <c r="AE91" i="1"/>
  <c r="AF91" i="1" s="1"/>
  <c r="AE258" i="1"/>
  <c r="AF258" i="1" s="1"/>
  <c r="AE108" i="1"/>
  <c r="AF108" i="1" s="1"/>
  <c r="AE106" i="1"/>
  <c r="AF106" i="1" s="1"/>
  <c r="AE136" i="1"/>
  <c r="AF136" i="1" s="1"/>
  <c r="AE114" i="1"/>
  <c r="AF114" i="1" s="1"/>
  <c r="AE118" i="1"/>
  <c r="AE148" i="1"/>
  <c r="AF148" i="1" s="1"/>
  <c r="AE20" i="1"/>
  <c r="AE271" i="1"/>
  <c r="AF271" i="1" s="1"/>
  <c r="AE32" i="1"/>
  <c r="AF32" i="1" s="1"/>
  <c r="AE152" i="1"/>
  <c r="AF152" i="1" s="1"/>
  <c r="AE22" i="1"/>
  <c r="AF22" i="1" s="1"/>
  <c r="AE98" i="1"/>
  <c r="AF98" i="1" s="1"/>
  <c r="AE201" i="1"/>
  <c r="AF201" i="1" s="1"/>
  <c r="AE266" i="1"/>
  <c r="AF266" i="1" s="1"/>
  <c r="AE60" i="1"/>
  <c r="AE171" i="1"/>
  <c r="AE199" i="1"/>
  <c r="AF199" i="1" s="1"/>
  <c r="AE291" i="1"/>
  <c r="AF291" i="1" s="1"/>
  <c r="AE29" i="1"/>
  <c r="AE295" i="1"/>
  <c r="AF295" i="1" s="1"/>
  <c r="AE121" i="1"/>
  <c r="AF121" i="1" s="1"/>
  <c r="AE113" i="1"/>
  <c r="AF113" i="1" s="1"/>
  <c r="AE123" i="1"/>
  <c r="AE207" i="1"/>
  <c r="AF207" i="1" s="1"/>
  <c r="AE135" i="1"/>
  <c r="AF135" i="1" s="1"/>
  <c r="AE241" i="1"/>
  <c r="AF241" i="1" s="1"/>
  <c r="AE194" i="1"/>
  <c r="AF194" i="1" s="1"/>
  <c r="AE252" i="1"/>
  <c r="AE228" i="1"/>
  <c r="AF228" i="1" s="1"/>
  <c r="AE229" i="1"/>
  <c r="AF229" i="1" s="1"/>
  <c r="AE181" i="1"/>
  <c r="AF181" i="1" s="1"/>
  <c r="AE50" i="1"/>
  <c r="AF50" i="1" s="1"/>
  <c r="AE300" i="1"/>
  <c r="AF300" i="1" s="1"/>
  <c r="AE41" i="1"/>
  <c r="AF41" i="1" s="1"/>
  <c r="AE18" i="1"/>
  <c r="AF18" i="1" s="1"/>
  <c r="AE42" i="1"/>
  <c r="AF42" i="1" s="1"/>
  <c r="AE275" i="1"/>
  <c r="AE14" i="1"/>
  <c r="AE235" i="1"/>
  <c r="AF235" i="1" s="1"/>
  <c r="AE287" i="1"/>
  <c r="AF287" i="1" s="1"/>
  <c r="AE174" i="1"/>
  <c r="AF174" i="1" s="1"/>
  <c r="AE84" i="1"/>
  <c r="AF84" i="1" s="1"/>
  <c r="AE122" i="1"/>
  <c r="AE95" i="1"/>
  <c r="AF95" i="1" s="1"/>
  <c r="AE93" i="1"/>
  <c r="AF93" i="1" s="1"/>
  <c r="AE53" i="1"/>
  <c r="AF53" i="1" s="1"/>
  <c r="AE88" i="1"/>
  <c r="AF88" i="1" s="1"/>
  <c r="AE306" i="1"/>
  <c r="AE166" i="1"/>
  <c r="AE16" i="1"/>
  <c r="AF16" i="1" s="1"/>
  <c r="AE33" i="1"/>
  <c r="AF33" i="1" s="1"/>
  <c r="AE341" i="1"/>
  <c r="AF341" i="1" s="1"/>
  <c r="AE210" i="1"/>
  <c r="AF210" i="1" s="1"/>
  <c r="AE54" i="1"/>
  <c r="AF54" i="1" s="1"/>
  <c r="AE159" i="1"/>
  <c r="AE58" i="1"/>
  <c r="AF58" i="1" s="1"/>
  <c r="AE202" i="1"/>
  <c r="AF202" i="1" s="1"/>
  <c r="AE299" i="1"/>
  <c r="AF299" i="1" s="1"/>
  <c r="AE340" i="1"/>
  <c r="AF340" i="1" s="1"/>
  <c r="J79" i="1"/>
  <c r="AE137" i="1"/>
  <c r="AF137" i="1" s="1"/>
  <c r="AE220" i="1"/>
  <c r="AF220" i="1" s="1"/>
  <c r="AE161" i="1"/>
  <c r="AF161" i="1" s="1"/>
  <c r="AE155" i="1"/>
  <c r="AE351" i="1"/>
  <c r="AF351" i="1" s="1"/>
  <c r="AE70" i="1"/>
  <c r="AF70" i="1" s="1"/>
  <c r="AE78" i="1"/>
  <c r="AE17" i="1"/>
  <c r="AF17" i="1" s="1"/>
  <c r="AE225" i="1"/>
  <c r="AF225" i="1" s="1"/>
  <c r="AE134" i="1"/>
  <c r="AF134" i="1" s="1"/>
  <c r="AE208" i="1"/>
  <c r="AF208" i="1" s="1"/>
  <c r="AE303" i="1"/>
  <c r="AF303" i="1" s="1"/>
  <c r="AE273" i="1"/>
  <c r="AF273" i="1" s="1"/>
  <c r="AE272" i="1"/>
  <c r="AF272" i="1" s="1"/>
  <c r="AE71" i="1"/>
  <c r="AF71" i="1" s="1"/>
  <c r="AE94" i="1"/>
  <c r="AF94" i="1" s="1"/>
  <c r="AE302" i="1"/>
  <c r="AF302" i="1" s="1"/>
  <c r="AE100" i="1"/>
  <c r="AF100" i="1" s="1"/>
  <c r="AE179" i="1"/>
  <c r="AF179" i="1" s="1"/>
  <c r="AE170" i="1"/>
  <c r="AE198" i="1"/>
  <c r="AF198" i="1" s="1"/>
  <c r="AE322" i="1"/>
  <c r="AE311" i="1"/>
  <c r="AF311" i="1" s="1"/>
  <c r="AE326" i="1"/>
  <c r="AF326" i="1" s="1"/>
  <c r="AE63" i="1"/>
  <c r="AF63" i="1" s="1"/>
  <c r="AE330" i="1"/>
  <c r="AF330" i="1" s="1"/>
  <c r="AE324" i="1"/>
  <c r="AF324" i="1" s="1"/>
  <c r="AE334" i="1"/>
  <c r="AF334" i="1" s="1"/>
  <c r="AE255" i="1"/>
  <c r="AF255" i="1" s="1"/>
  <c r="AE338" i="1"/>
  <c r="AF338" i="1" s="1"/>
  <c r="AE230" i="1"/>
  <c r="AF230" i="1" s="1"/>
  <c r="AE342" i="1"/>
  <c r="AF342" i="1" s="1"/>
  <c r="AE24" i="1"/>
  <c r="AE281" i="1"/>
  <c r="AF281" i="1" s="1"/>
  <c r="AE190" i="1"/>
  <c r="AF190" i="1" s="1"/>
  <c r="AE57" i="1"/>
  <c r="AF57" i="1" s="1"/>
  <c r="AE256" i="1"/>
  <c r="AF256" i="1" s="1"/>
  <c r="AE187" i="1"/>
  <c r="AF187" i="1" s="1"/>
  <c r="AE189" i="1"/>
  <c r="AF189" i="1" s="1"/>
  <c r="AE218" i="1"/>
  <c r="AF218" i="1" s="1"/>
  <c r="AE205" i="1"/>
  <c r="AF205" i="1" s="1"/>
  <c r="AE333" i="1"/>
  <c r="AF333" i="1" s="1"/>
  <c r="AE327" i="1"/>
  <c r="AF327" i="1" s="1"/>
  <c r="AE343" i="1"/>
  <c r="AF343" i="1" s="1"/>
  <c r="AE86" i="1"/>
  <c r="AF86" i="1" s="1"/>
  <c r="AE64" i="1"/>
  <c r="AF64" i="1" s="1"/>
  <c r="AE12" i="1"/>
  <c r="AF12" i="1" s="1"/>
  <c r="AE184" i="1"/>
  <c r="AF184" i="1" s="1"/>
  <c r="AE144" i="1"/>
  <c r="AF144" i="1" s="1"/>
  <c r="AE289" i="1"/>
  <c r="AF289" i="1" s="1"/>
  <c r="AE183" i="1"/>
  <c r="AF183" i="1" s="1"/>
  <c r="AE172" i="1"/>
  <c r="AF172" i="1" s="1"/>
  <c r="AE28" i="1"/>
  <c r="AE9" i="1"/>
  <c r="AE239" i="1"/>
  <c r="AF239" i="1" s="1"/>
  <c r="AE150" i="1"/>
  <c r="AF150" i="1" s="1"/>
  <c r="AE238" i="1"/>
  <c r="AF238" i="1" s="1"/>
  <c r="AE251" i="1"/>
  <c r="AE232" i="1"/>
  <c r="AF232" i="1" s="1"/>
  <c r="AE142" i="1"/>
  <c r="AF142" i="1" s="1"/>
  <c r="AE56" i="1"/>
  <c r="AF56" i="1" s="1"/>
  <c r="AE219" i="1"/>
  <c r="AF219" i="1" s="1"/>
  <c r="AE154" i="1"/>
  <c r="AF154" i="1" s="1"/>
  <c r="AE277" i="1"/>
  <c r="AE284" i="1"/>
  <c r="AF284" i="1" s="1"/>
  <c r="AE309" i="1"/>
  <c r="AF309" i="1" s="1"/>
  <c r="AE282" i="1"/>
  <c r="AF282" i="1" s="1"/>
  <c r="AE313" i="1"/>
  <c r="AF313" i="1" s="1"/>
  <c r="AE328" i="1"/>
  <c r="AF328" i="1" s="1"/>
  <c r="AE21" i="1"/>
  <c r="AF21" i="1" s="1"/>
  <c r="AE217" i="1"/>
  <c r="AF217" i="1" s="1"/>
  <c r="AE335" i="1"/>
  <c r="AF335" i="1" s="1"/>
  <c r="AE254" i="1"/>
  <c r="AF254" i="1" s="1"/>
  <c r="AE35" i="1"/>
  <c r="AF35" i="1" s="1"/>
  <c r="AE212" i="1"/>
  <c r="AE288" i="1"/>
  <c r="AF288" i="1" s="1"/>
  <c r="AE192" i="1"/>
  <c r="AF192" i="1" s="1"/>
  <c r="AE298" i="1"/>
  <c r="AF298" i="1" s="1"/>
  <c r="AE27" i="1"/>
  <c r="AE223" i="1"/>
  <c r="AE222" i="1"/>
  <c r="AF222" i="1" s="1"/>
  <c r="Y129" i="1"/>
  <c r="AE310" i="1"/>
  <c r="AF310" i="1" s="1"/>
  <c r="AE278" i="1"/>
  <c r="AF278" i="1" s="1"/>
  <c r="AE48" i="1"/>
  <c r="AE26" i="1"/>
  <c r="AE301" i="1"/>
  <c r="AF301" i="1" s="1"/>
  <c r="AE227" i="1"/>
  <c r="AF227" i="1" s="1"/>
  <c r="AE76" i="1"/>
  <c r="AE80" i="1"/>
  <c r="AE253" i="1"/>
  <c r="AF253" i="1" s="1"/>
  <c r="AE200" i="1"/>
  <c r="AF200" i="1" s="1"/>
  <c r="AE132" i="1"/>
  <c r="AE206" i="1"/>
  <c r="AF206" i="1" s="1"/>
  <c r="AE339" i="1"/>
  <c r="AF339" i="1" s="1"/>
  <c r="AE177" i="1"/>
  <c r="AE168" i="1"/>
  <c r="AE11" i="1"/>
  <c r="AF11" i="1" s="1"/>
  <c r="AE81" i="1"/>
  <c r="AF81" i="1" s="1"/>
  <c r="AE213" i="1"/>
  <c r="AF213" i="1" s="1"/>
  <c r="AE176" i="1"/>
  <c r="AE107" i="1"/>
  <c r="AF107" i="1" s="1"/>
  <c r="AE92" i="1"/>
  <c r="AF92" i="1" s="1"/>
  <c r="AE111" i="1"/>
  <c r="AF111" i="1" s="1"/>
  <c r="AE127" i="1"/>
  <c r="AF127" i="1" s="1"/>
  <c r="AE119" i="1"/>
  <c r="AE117" i="1"/>
  <c r="AE99" i="1"/>
  <c r="AF99" i="1" s="1"/>
  <c r="AE236" i="1"/>
  <c r="AF236" i="1" s="1"/>
  <c r="AE246" i="1"/>
  <c r="AF246" i="1" s="1"/>
  <c r="AE197" i="1"/>
  <c r="AF197" i="1" s="1"/>
  <c r="AE19" i="1"/>
  <c r="AF19" i="1" s="1"/>
  <c r="AE274" i="1"/>
  <c r="AF274" i="1" s="1"/>
  <c r="AE156" i="1"/>
  <c r="AE66" i="1"/>
  <c r="AE261" i="1"/>
  <c r="AF261" i="1" s="1"/>
  <c r="AE52" i="1"/>
  <c r="AE193" i="1"/>
  <c r="AF193" i="1" s="1"/>
  <c r="AE314" i="1"/>
  <c r="AF314" i="1" s="1"/>
  <c r="AE182" i="1"/>
  <c r="AF182" i="1" s="1"/>
  <c r="AE120" i="1"/>
  <c r="AE124" i="1"/>
  <c r="AE270" i="1"/>
  <c r="AF270" i="1" s="1"/>
  <c r="AE128" i="1"/>
  <c r="AE131" i="1"/>
  <c r="AF131" i="1" s="1"/>
  <c r="AE214" i="1"/>
  <c r="AF214" i="1" s="1"/>
  <c r="AE257" i="1"/>
  <c r="AF257" i="1" s="1"/>
  <c r="AE191" i="1"/>
  <c r="AF191" i="1" s="1"/>
  <c r="AE269" i="1"/>
  <c r="AF269" i="1" s="1"/>
  <c r="AE46" i="1"/>
  <c r="AF46" i="1" s="1"/>
  <c r="AE285" i="1"/>
  <c r="AF285" i="1" s="1"/>
  <c r="AE280" i="1"/>
  <c r="AF280" i="1" s="1"/>
  <c r="AE89" i="1"/>
  <c r="AE216" i="1"/>
  <c r="AF216" i="1" s="1"/>
  <c r="AE242" i="1"/>
  <c r="AF242" i="1" s="1"/>
  <c r="AE244" i="1"/>
  <c r="AF244" i="1" s="1"/>
  <c r="AE83" i="1"/>
  <c r="AF83" i="1" s="1"/>
  <c r="AE87" i="1"/>
  <c r="AE115" i="1"/>
  <c r="AE105" i="1"/>
  <c r="AF105" i="1" s="1"/>
  <c r="AE103" i="1"/>
  <c r="AF103" i="1" s="1"/>
  <c r="AE109" i="1"/>
  <c r="AF109" i="1" s="1"/>
  <c r="AE209" i="1"/>
  <c r="AF209" i="1" s="1"/>
  <c r="AE292" i="1"/>
  <c r="AF292" i="1" s="1"/>
  <c r="AE245" i="1"/>
  <c r="AF245" i="1" s="1"/>
  <c r="AE336" i="1"/>
  <c r="AF336" i="1" s="1"/>
  <c r="AE36" i="1"/>
  <c r="AF36" i="1" s="1"/>
  <c r="AE337" i="1"/>
  <c r="AF337" i="1" s="1"/>
  <c r="AE259" i="1"/>
  <c r="AF259" i="1" s="1"/>
  <c r="AE169" i="1"/>
  <c r="AE39" i="1"/>
  <c r="AF39" i="1" s="1"/>
  <c r="AE265" i="1"/>
  <c r="AF265" i="1" s="1"/>
  <c r="AE157" i="1"/>
  <c r="AF157" i="1" s="1"/>
  <c r="AE59" i="1"/>
  <c r="AE149" i="1"/>
  <c r="AF149" i="1" s="1"/>
  <c r="AE250" i="1"/>
  <c r="AF250" i="1" s="1"/>
  <c r="AE195" i="1"/>
  <c r="AF195" i="1" s="1"/>
  <c r="J165" i="1"/>
  <c r="AE133" i="1"/>
  <c r="AE283" i="1"/>
  <c r="AF283" i="1" s="1"/>
  <c r="AE203" i="1"/>
  <c r="AF203" i="1" s="1"/>
  <c r="AE97" i="1"/>
  <c r="AF97" i="1" s="1"/>
  <c r="AE67" i="1"/>
  <c r="AF67" i="1" s="1"/>
  <c r="AE68" i="1"/>
  <c r="AE110" i="1"/>
  <c r="AF110" i="1" s="1"/>
  <c r="AE102" i="1"/>
  <c r="AF102" i="1" s="1"/>
  <c r="AE175" i="1"/>
  <c r="AE231" i="1"/>
  <c r="AE211" i="1"/>
  <c r="AE138" i="1"/>
  <c r="AF138" i="1" s="1"/>
  <c r="AE264" i="1"/>
  <c r="AF264" i="1" s="1"/>
  <c r="AE249" i="1"/>
  <c r="AF249" i="1" s="1"/>
  <c r="AE260" i="1"/>
  <c r="AF260" i="1" s="1"/>
  <c r="AE317" i="1"/>
  <c r="AF317" i="1" s="1"/>
  <c r="AE75" i="1"/>
  <c r="AE315" i="1"/>
  <c r="AF315" i="1" s="1"/>
  <c r="AE185" i="1"/>
  <c r="AF185" i="1" s="1"/>
  <c r="AE145" i="1"/>
  <c r="AF145" i="1" s="1"/>
  <c r="AE312" i="1"/>
  <c r="AF312" i="1" s="1"/>
  <c r="AE321" i="1"/>
  <c r="AF321" i="1" s="1"/>
  <c r="AE74" i="1"/>
  <c r="AF74" i="1" s="1"/>
  <c r="AE347" i="1"/>
  <c r="AF347" i="1" s="1"/>
  <c r="AE345" i="1"/>
  <c r="AF345" i="1" s="1"/>
  <c r="AE329" i="1"/>
  <c r="AF329" i="1" s="1"/>
  <c r="AE65" i="1"/>
  <c r="AE153" i="1"/>
  <c r="AF153" i="1" s="1"/>
  <c r="AE196" i="1"/>
  <c r="AF196" i="1" s="1"/>
  <c r="AE188" i="1"/>
  <c r="AF188" i="1" s="1"/>
  <c r="AE61" i="1"/>
  <c r="AF61" i="1" s="1"/>
  <c r="AE248" i="1"/>
  <c r="AF248" i="1" s="1"/>
  <c r="AE30" i="1"/>
  <c r="AE294" i="1"/>
  <c r="AF294" i="1" s="1"/>
  <c r="AE240" i="1"/>
  <c r="AF240" i="1" s="1"/>
  <c r="AE151" i="1"/>
  <c r="AF151" i="1" s="1"/>
  <c r="AE143" i="1"/>
  <c r="AF143" i="1" s="1"/>
  <c r="AE243" i="1"/>
  <c r="AF243" i="1" s="1"/>
  <c r="AE268" i="1"/>
  <c r="AE45" i="1"/>
  <c r="AF45" i="1" s="1"/>
  <c r="AE344" i="1"/>
  <c r="AF344" i="1" s="1"/>
  <c r="AE332" i="1"/>
  <c r="AF332" i="1" s="1"/>
  <c r="AE69" i="1"/>
  <c r="AE51" i="1"/>
  <c r="AF51" i="1" s="1"/>
  <c r="AE349" i="1"/>
  <c r="AF349" i="1" s="1"/>
  <c r="AE296" i="1"/>
  <c r="AF296" i="1" s="1"/>
  <c r="AE307" i="1"/>
  <c r="AE233" i="1"/>
  <c r="AF233" i="1" s="1"/>
  <c r="AE186" i="1"/>
  <c r="AF186" i="1" s="1"/>
  <c r="AE25" i="1"/>
  <c r="AE34" i="1"/>
  <c r="AF34" i="1" s="1"/>
  <c r="AE226" i="1"/>
  <c r="AF226" i="1" s="1"/>
  <c r="AE180" i="1"/>
  <c r="AF180" i="1" s="1"/>
  <c r="AE293" i="1"/>
  <c r="AF293" i="1" s="1"/>
  <c r="AE173" i="1"/>
  <c r="AF173" i="1" s="1"/>
  <c r="AE290" i="1"/>
  <c r="AF290" i="1" s="1"/>
  <c r="AE38" i="1"/>
  <c r="AF38" i="1" s="1"/>
  <c r="AE139" i="1"/>
  <c r="AF139" i="1" s="1"/>
  <c r="AE276" i="1"/>
  <c r="AF276" i="1" s="1"/>
  <c r="AE331" i="1"/>
  <c r="AF331" i="1" s="1"/>
  <c r="AE319" i="1"/>
  <c r="AF319" i="1" s="1"/>
  <c r="AE323" i="1"/>
  <c r="AF323" i="1" s="1"/>
  <c r="AE90" i="1"/>
  <c r="AF90" i="1" s="1"/>
  <c r="AE23" i="1"/>
  <c r="AF23" i="1" s="1"/>
  <c r="AE37" i="1"/>
  <c r="AF37" i="1" s="1"/>
  <c r="AE49" i="1"/>
  <c r="AF49" i="1" s="1"/>
  <c r="AE40" i="1"/>
  <c r="AF40" i="1" s="1"/>
  <c r="AE348" i="1"/>
  <c r="AF348" i="1" s="1"/>
  <c r="AE62" i="1"/>
  <c r="AF62" i="1" s="1"/>
  <c r="AE267" i="1"/>
  <c r="AF267" i="1" s="1"/>
  <c r="AE350" i="1"/>
  <c r="AF350" i="1" s="1"/>
  <c r="AE43" i="1"/>
  <c r="AF43" i="1" s="1"/>
  <c r="AE13" i="1"/>
  <c r="AF13" i="1" s="1"/>
  <c r="AE305" i="1"/>
  <c r="AF305" i="1" l="1"/>
  <c r="AH305" i="1"/>
  <c r="AE361" i="1"/>
  <c r="AF361" i="1" s="1"/>
  <c r="AE366" i="1"/>
  <c r="AF366" i="1" s="1"/>
  <c r="AF30" i="1"/>
  <c r="AH30" i="1"/>
  <c r="AE356" i="1"/>
  <c r="AF356" i="1" s="1"/>
  <c r="AH165" i="1"/>
  <c r="K165" i="1"/>
  <c r="AF59" i="1"/>
  <c r="AH59" i="1"/>
  <c r="AF169" i="1"/>
  <c r="AH169" i="1"/>
  <c r="AE360" i="1"/>
  <c r="AF360" i="1" s="1"/>
  <c r="AF115" i="1"/>
  <c r="AH115" i="1"/>
  <c r="AF128" i="1"/>
  <c r="AH128" i="1"/>
  <c r="AF176" i="1"/>
  <c r="AH176" i="1"/>
  <c r="AF168" i="1"/>
  <c r="AH168" i="1"/>
  <c r="AF132" i="1"/>
  <c r="AH132" i="1"/>
  <c r="AF80" i="1"/>
  <c r="AH80" i="1"/>
  <c r="AF26" i="1"/>
  <c r="AH26" i="1"/>
  <c r="Z129" i="1"/>
  <c r="AH129" i="1"/>
  <c r="AE358" i="1"/>
  <c r="AF358" i="1" s="1"/>
  <c r="AF277" i="1"/>
  <c r="AH277" i="1"/>
  <c r="AF28" i="1"/>
  <c r="AH28" i="1"/>
  <c r="AF322" i="1"/>
  <c r="AH322" i="1"/>
  <c r="AF14" i="1"/>
  <c r="AH14" i="1"/>
  <c r="AE354" i="1"/>
  <c r="AF354" i="1" s="1"/>
  <c r="AF60" i="1"/>
  <c r="AH60" i="1"/>
  <c r="AF20" i="1"/>
  <c r="AH20" i="1"/>
  <c r="AF167" i="1"/>
  <c r="AH167" i="1"/>
  <c r="AF178" i="1"/>
  <c r="AH178" i="1"/>
  <c r="Z77" i="1"/>
  <c r="AH77" i="1"/>
  <c r="AF75" i="1"/>
  <c r="AH75" i="1"/>
  <c r="AF211" i="1"/>
  <c r="AH211" i="1"/>
  <c r="AF87" i="1"/>
  <c r="AH87" i="1"/>
  <c r="AE359" i="1"/>
  <c r="AF359" i="1" s="1"/>
  <c r="AF177" i="1"/>
  <c r="AH177" i="1"/>
  <c r="AE355" i="1"/>
  <c r="AF355" i="1" s="1"/>
  <c r="AF76" i="1"/>
  <c r="AH76" i="1"/>
  <c r="AF48" i="1"/>
  <c r="AH48" i="1"/>
  <c r="AF24" i="1"/>
  <c r="AH24" i="1"/>
  <c r="AF166" i="1"/>
  <c r="AH166" i="1"/>
  <c r="AF275" i="1"/>
  <c r="AH275" i="1"/>
  <c r="AF160" i="1"/>
  <c r="AH160" i="1"/>
  <c r="AF146" i="1"/>
  <c r="AH146" i="1"/>
  <c r="K141" i="1"/>
  <c r="AH141" i="1"/>
  <c r="AF25" i="1"/>
  <c r="AH25" i="1"/>
  <c r="AF307" i="1"/>
  <c r="AH307" i="1"/>
  <c r="AF69" i="1"/>
  <c r="AH69" i="1"/>
  <c r="AF268" i="1"/>
  <c r="AH268" i="1"/>
  <c r="AE363" i="1"/>
  <c r="AF363" i="1" s="1"/>
  <c r="AE357" i="1"/>
  <c r="AF357" i="1" s="1"/>
  <c r="AF231" i="1"/>
  <c r="AH231" i="1"/>
  <c r="AF68" i="1"/>
  <c r="AH68" i="1"/>
  <c r="AF89" i="1"/>
  <c r="AH89" i="1"/>
  <c r="AF124" i="1"/>
  <c r="AH124" i="1"/>
  <c r="AF66" i="1"/>
  <c r="AH66" i="1"/>
  <c r="AF117" i="1"/>
  <c r="AH117" i="1"/>
  <c r="AF223" i="1"/>
  <c r="AH223" i="1"/>
  <c r="AE362" i="1"/>
  <c r="AF362" i="1" s="1"/>
  <c r="AF170" i="1"/>
  <c r="AH170" i="1"/>
  <c r="AF155" i="1"/>
  <c r="AH155" i="1"/>
  <c r="K79" i="1"/>
  <c r="AH79" i="1"/>
  <c r="AF306" i="1"/>
  <c r="AH306" i="1"/>
  <c r="AF252" i="1"/>
  <c r="AH252" i="1"/>
  <c r="AF118" i="1"/>
  <c r="AH118" i="1"/>
  <c r="AF279" i="1"/>
  <c r="AH279" i="1"/>
  <c r="AF31" i="1"/>
  <c r="AH31" i="1"/>
  <c r="K82" i="1"/>
  <c r="AH82" i="1"/>
  <c r="AF10" i="1"/>
  <c r="AE364" i="1"/>
  <c r="AF364" i="1" s="1"/>
  <c r="AF65" i="1"/>
  <c r="AH65" i="1"/>
  <c r="AF175" i="1"/>
  <c r="AH175" i="1"/>
  <c r="AF133" i="1"/>
  <c r="AH133" i="1"/>
  <c r="AE365" i="1"/>
  <c r="AF365" i="1" s="1"/>
  <c r="AF120" i="1"/>
  <c r="AH120" i="1"/>
  <c r="AF52" i="1"/>
  <c r="AH52" i="1"/>
  <c r="AF156" i="1"/>
  <c r="AH156" i="1"/>
  <c r="AF119" i="1"/>
  <c r="AH119" i="1"/>
  <c r="AF27" i="1"/>
  <c r="AH27" i="1"/>
  <c r="AF212" i="1"/>
  <c r="AH212" i="1"/>
  <c r="AE353" i="1"/>
  <c r="AF353" i="1" s="1"/>
  <c r="AF251" i="1"/>
  <c r="AH251" i="1"/>
  <c r="AE373" i="1"/>
  <c r="AF9" i="1"/>
  <c r="AE367" i="1"/>
  <c r="AF367" i="1" s="1"/>
  <c r="AF78" i="1"/>
  <c r="AH78" i="1"/>
  <c r="AF159" i="1"/>
  <c r="AH159" i="1"/>
  <c r="AF122" i="1"/>
  <c r="AH122" i="1"/>
  <c r="AF123" i="1"/>
  <c r="AH123" i="1"/>
  <c r="AF29" i="1"/>
  <c r="AH29" i="1"/>
  <c r="AF171" i="1"/>
  <c r="AH171" i="1"/>
  <c r="AF304" i="1"/>
  <c r="AH304" i="1"/>
  <c r="AF163" i="1"/>
  <c r="AH163" i="1"/>
  <c r="AF164" i="1"/>
  <c r="AH164" i="1"/>
  <c r="K130" i="1"/>
  <c r="AH130" i="1"/>
  <c r="AE371" i="1"/>
  <c r="AF15" i="1"/>
  <c r="AF371" i="1" l="1"/>
  <c r="AE368" i="1"/>
  <c r="AF368" i="1" s="1"/>
  <c r="AE377" i="1"/>
  <c r="H17" i="3"/>
  <c r="I17" i="3" s="1"/>
  <c r="AF373" i="1"/>
  <c r="AI27" i="1"/>
  <c r="AI156" i="1"/>
  <c r="AI120" i="1"/>
  <c r="AI133" i="1"/>
  <c r="AI65" i="1"/>
  <c r="AI82" i="1"/>
  <c r="AI279" i="1"/>
  <c r="AI252" i="1"/>
  <c r="AI79" i="1"/>
  <c r="AI170" i="1"/>
  <c r="AI223" i="1"/>
  <c r="AI66" i="1"/>
  <c r="AI89" i="1"/>
  <c r="AI231" i="1"/>
  <c r="AI69" i="1"/>
  <c r="AI25" i="1"/>
  <c r="AI146" i="1"/>
  <c r="AI275" i="1"/>
  <c r="AI24" i="1"/>
  <c r="AI76" i="1"/>
  <c r="AI177" i="1"/>
  <c r="AI87" i="1"/>
  <c r="AI75" i="1"/>
  <c r="AI77" i="1"/>
  <c r="AI167" i="1"/>
  <c r="AI60" i="1"/>
  <c r="AI14" i="1"/>
  <c r="AI28" i="1"/>
  <c r="AI26" i="1"/>
  <c r="AI132" i="1"/>
  <c r="AI176" i="1"/>
  <c r="AI115" i="1"/>
  <c r="AI169" i="1"/>
  <c r="AI30" i="1"/>
  <c r="AI130" i="1"/>
  <c r="AI163" i="1"/>
  <c r="AI171" i="1"/>
  <c r="AI123" i="1"/>
  <c r="AI159" i="1"/>
  <c r="N17" i="3"/>
  <c r="O17" i="3" s="1"/>
  <c r="AE379" i="1"/>
  <c r="AI165" i="1"/>
  <c r="AI251" i="1"/>
  <c r="AI212" i="1"/>
  <c r="AI119" i="1"/>
  <c r="AI52" i="1"/>
  <c r="AI175" i="1"/>
  <c r="AF372" i="1"/>
  <c r="AI31" i="1"/>
  <c r="AI118" i="1"/>
  <c r="AI306" i="1"/>
  <c r="AI155" i="1"/>
  <c r="AI117" i="1"/>
  <c r="AI124" i="1"/>
  <c r="AI68" i="1"/>
  <c r="AI268" i="1"/>
  <c r="AI307" i="1"/>
  <c r="AI141" i="1"/>
  <c r="AI160" i="1"/>
  <c r="AI166" i="1"/>
  <c r="AI48" i="1"/>
  <c r="AI211" i="1"/>
  <c r="AI178" i="1"/>
  <c r="AI20" i="1"/>
  <c r="AI322" i="1"/>
  <c r="AI277" i="1"/>
  <c r="AI129" i="1"/>
  <c r="AI80" i="1"/>
  <c r="AI168" i="1"/>
  <c r="AI128" i="1"/>
  <c r="AI59" i="1"/>
  <c r="AI305" i="1"/>
  <c r="AI164" i="1"/>
  <c r="AI304" i="1"/>
  <c r="AI29" i="1"/>
  <c r="AI122" i="1"/>
  <c r="AI78" i="1"/>
  <c r="AE372" i="1"/>
  <c r="D17" i="3" l="1"/>
  <c r="F17" i="3" s="1"/>
  <c r="K17" i="3"/>
  <c r="L17" i="3" s="1"/>
  <c r="D17" i="12"/>
  <c r="AE378" i="1"/>
  <c r="AE374" i="1"/>
  <c r="E17" i="3" l="1"/>
  <c r="AF374" i="1"/>
  <c r="AE380" i="1"/>
  <c r="F17" i="12"/>
  <c r="E17" i="12"/>
  <c r="Y192" i="1" l="1"/>
  <c r="Z192" i="1" s="1"/>
  <c r="Y81" i="1"/>
  <c r="Z81" i="1" s="1"/>
  <c r="J269" i="1" l="1"/>
  <c r="K269" i="1" l="1"/>
  <c r="J330" i="1"/>
  <c r="J187" i="1"/>
  <c r="J337" i="1"/>
  <c r="J344" i="1"/>
  <c r="J345" i="1"/>
  <c r="J282" i="1"/>
  <c r="Y348" i="1"/>
  <c r="Z348" i="1" s="1"/>
  <c r="Y332" i="1"/>
  <c r="Z332" i="1" s="1"/>
  <c r="Y333" i="1"/>
  <c r="Z333" i="1" s="1"/>
  <c r="Y246" i="1"/>
  <c r="Z246" i="1" s="1"/>
  <c r="Y179" i="1"/>
  <c r="Z179" i="1" s="1"/>
  <c r="Y85" i="1"/>
  <c r="Z85" i="1" s="1"/>
  <c r="Y308" i="1"/>
  <c r="Z308" i="1" s="1"/>
  <c r="K345" i="1" l="1"/>
  <c r="K330" i="1"/>
  <c r="K344" i="1"/>
  <c r="K337" i="1"/>
  <c r="K282" i="1"/>
  <c r="K187" i="1"/>
  <c r="J320" i="1"/>
  <c r="J346" i="1"/>
  <c r="J246" i="1"/>
  <c r="J44" i="1"/>
  <c r="J336" i="1"/>
  <c r="J116" i="1"/>
  <c r="J12" i="1"/>
  <c r="J250" i="1"/>
  <c r="J131" i="1"/>
  <c r="J41" i="1"/>
  <c r="J334" i="1"/>
  <c r="J83" i="1"/>
  <c r="J338" i="1"/>
  <c r="J358" i="1"/>
  <c r="J341" i="1"/>
  <c r="J242" i="1"/>
  <c r="J350" i="1"/>
  <c r="J347" i="1"/>
  <c r="J244" i="1"/>
  <c r="J84" i="1"/>
  <c r="J343" i="1"/>
  <c r="J185" i="1"/>
  <c r="J43" i="1"/>
  <c r="J245" i="1"/>
  <c r="J125" i="1"/>
  <c r="J241" i="1"/>
  <c r="J351" i="1"/>
  <c r="J308" i="1"/>
  <c r="J13" i="1"/>
  <c r="J291" i="1"/>
  <c r="J354" i="1"/>
  <c r="J331" i="1"/>
  <c r="J335" i="1"/>
  <c r="J289" i="1"/>
  <c r="J182" i="1"/>
  <c r="J45" i="1"/>
  <c r="Y9" i="1"/>
  <c r="J299" i="1"/>
  <c r="J23" i="1"/>
  <c r="J249" i="1"/>
  <c r="J174" i="1"/>
  <c r="J184" i="1"/>
  <c r="J243" i="1"/>
  <c r="J359" i="1"/>
  <c r="J284" i="1"/>
  <c r="J349" i="1"/>
  <c r="J42" i="1"/>
  <c r="J342" i="1"/>
  <c r="J281" i="1"/>
  <c r="J353" i="1"/>
  <c r="J333" i="1"/>
  <c r="J270" i="1"/>
  <c r="J183" i="1"/>
  <c r="J355" i="1"/>
  <c r="J240" i="1"/>
  <c r="J85" i="1"/>
  <c r="J181" i="1"/>
  <c r="J339" i="1"/>
  <c r="J173" i="1"/>
  <c r="J348" i="1"/>
  <c r="J179" i="1"/>
  <c r="J332" i="1"/>
  <c r="J357" i="1"/>
  <c r="J356" i="1"/>
  <c r="J248" i="1"/>
  <c r="J352" i="1"/>
  <c r="J340" i="1"/>
  <c r="J247" i="1"/>
  <c r="J121" i="1"/>
  <c r="Y341" i="1"/>
  <c r="Z341" i="1" s="1"/>
  <c r="Y209" i="1"/>
  <c r="Z209" i="1" s="1"/>
  <c r="Y247" i="1"/>
  <c r="Z247" i="1" s="1"/>
  <c r="Y13" i="1"/>
  <c r="Z13" i="1" s="1"/>
  <c r="Y270" i="1"/>
  <c r="Z270" i="1" s="1"/>
  <c r="Y340" i="1"/>
  <c r="Z340" i="1" s="1"/>
  <c r="Y342" i="1"/>
  <c r="Z342" i="1" s="1"/>
  <c r="Y336" i="1"/>
  <c r="Z336" i="1" s="1"/>
  <c r="Y250" i="1"/>
  <c r="Z250" i="1" s="1"/>
  <c r="Y243" i="1"/>
  <c r="Z243" i="1" s="1"/>
  <c r="Y241" i="1"/>
  <c r="Z241" i="1" s="1"/>
  <c r="Y185" i="1"/>
  <c r="Z185" i="1" s="1"/>
  <c r="Y83" i="1"/>
  <c r="Z83" i="1" s="1"/>
  <c r="Y23" i="1"/>
  <c r="Z23" i="1" s="1"/>
  <c r="Y41" i="1"/>
  <c r="Z41" i="1" s="1"/>
  <c r="Y350" i="1"/>
  <c r="Z350" i="1" s="1"/>
  <c r="Y339" i="1"/>
  <c r="Z339" i="1" s="1"/>
  <c r="Y352" i="1"/>
  <c r="Z352" i="1" s="1"/>
  <c r="Y335" i="1"/>
  <c r="Z335" i="1" s="1"/>
  <c r="Y344" i="1"/>
  <c r="Z344" i="1" s="1"/>
  <c r="Y299" i="1"/>
  <c r="Z299" i="1" s="1"/>
  <c r="Y291" i="1"/>
  <c r="Z291" i="1" s="1"/>
  <c r="Y249" i="1"/>
  <c r="Z249" i="1" s="1"/>
  <c r="Y245" i="1"/>
  <c r="Z245" i="1" s="1"/>
  <c r="Y240" i="1"/>
  <c r="Z240" i="1" s="1"/>
  <c r="Y184" i="1"/>
  <c r="Z184" i="1" s="1"/>
  <c r="Y125" i="1"/>
  <c r="Z125" i="1" s="1"/>
  <c r="Y131" i="1"/>
  <c r="Z131" i="1" s="1"/>
  <c r="Y44" i="1"/>
  <c r="Z44" i="1" s="1"/>
  <c r="Y347" i="1"/>
  <c r="Z347" i="1" s="1"/>
  <c r="Y338" i="1"/>
  <c r="Z338" i="1" s="1"/>
  <c r="Y351" i="1"/>
  <c r="Z351" i="1" s="1"/>
  <c r="Y334" i="1"/>
  <c r="Z334" i="1" s="1"/>
  <c r="Y289" i="1"/>
  <c r="Z289" i="1" s="1"/>
  <c r="Y281" i="1"/>
  <c r="Z281" i="1" s="1"/>
  <c r="Y248" i="1"/>
  <c r="Z248" i="1" s="1"/>
  <c r="Y242" i="1"/>
  <c r="Z242" i="1" s="1"/>
  <c r="Y182" i="1"/>
  <c r="Z182" i="1" s="1"/>
  <c r="Y45" i="1"/>
  <c r="Z45" i="1" s="1"/>
  <c r="Y84" i="1"/>
  <c r="Z84" i="1" s="1"/>
  <c r="Y42" i="1"/>
  <c r="Z42" i="1" s="1"/>
  <c r="Y173" i="1"/>
  <c r="Z173" i="1" s="1"/>
  <c r="Y346" i="1"/>
  <c r="Z346" i="1" s="1"/>
  <c r="Y43" i="1"/>
  <c r="Z43" i="1" s="1"/>
  <c r="Y181" i="1"/>
  <c r="Z181" i="1" s="1"/>
  <c r="Y284" i="1"/>
  <c r="Z284" i="1" s="1"/>
  <c r="Y53" i="1"/>
  <c r="Z53" i="1" s="1"/>
  <c r="Y137" i="1"/>
  <c r="Z137" i="1" s="1"/>
  <c r="Y226" i="1"/>
  <c r="Z226" i="1" s="1"/>
  <c r="Y232" i="1"/>
  <c r="Z232" i="1" s="1"/>
  <c r="Y237" i="1"/>
  <c r="Z237" i="1" s="1"/>
  <c r="Y254" i="1"/>
  <c r="Z254" i="1" s="1"/>
  <c r="Y224" i="1"/>
  <c r="Z224" i="1" s="1"/>
  <c r="Y234" i="1"/>
  <c r="Z234" i="1" s="1"/>
  <c r="Y258" i="1"/>
  <c r="Z258" i="1" s="1"/>
  <c r="Y121" i="1"/>
  <c r="Z121" i="1" s="1"/>
  <c r="Y96" i="1"/>
  <c r="Z96" i="1" s="1"/>
  <c r="Y93" i="1"/>
  <c r="Z93" i="1" s="1"/>
  <c r="Y203" i="1"/>
  <c r="Z203" i="1" s="1"/>
  <c r="Y318" i="1"/>
  <c r="Z318" i="1" s="1"/>
  <c r="Y331" i="1"/>
  <c r="Z331" i="1" s="1"/>
  <c r="Y73" i="1"/>
  <c r="Z73" i="1" s="1"/>
  <c r="Y148" i="1"/>
  <c r="Z148" i="1" s="1"/>
  <c r="Y19" i="1"/>
  <c r="Z19" i="1" s="1"/>
  <c r="Y38" i="1"/>
  <c r="Z38" i="1" s="1"/>
  <c r="Y102" i="1"/>
  <c r="Z102" i="1" s="1"/>
  <c r="Y111" i="1"/>
  <c r="Z111" i="1" s="1"/>
  <c r="Y110" i="1"/>
  <c r="Z110" i="1" s="1"/>
  <c r="Y138" i="1"/>
  <c r="Z138" i="1" s="1"/>
  <c r="Y143" i="1"/>
  <c r="Z143" i="1" s="1"/>
  <c r="Y191" i="1"/>
  <c r="Z191" i="1" s="1"/>
  <c r="Y193" i="1"/>
  <c r="Z193" i="1" s="1"/>
  <c r="Y259" i="1"/>
  <c r="Z259" i="1" s="1"/>
  <c r="Y265" i="1"/>
  <c r="Z265" i="1" s="1"/>
  <c r="Y295" i="1"/>
  <c r="Z295" i="1" s="1"/>
  <c r="Y293" i="1"/>
  <c r="Z293" i="1" s="1"/>
  <c r="Y328" i="1"/>
  <c r="Z328" i="1" s="1"/>
  <c r="Y329" i="1"/>
  <c r="Z329" i="1" s="1"/>
  <c r="Y183" i="1"/>
  <c r="Z183" i="1" s="1"/>
  <c r="Y244" i="1"/>
  <c r="Z244" i="1" s="1"/>
  <c r="Y343" i="1"/>
  <c r="Z343" i="1" s="1"/>
  <c r="Y349" i="1"/>
  <c r="Z349" i="1" s="1"/>
  <c r="Y301" i="1"/>
  <c r="Z301" i="1" s="1"/>
  <c r="Y11" i="1"/>
  <c r="Z11" i="1" s="1"/>
  <c r="Y108" i="1"/>
  <c r="Z108" i="1" s="1"/>
  <c r="Y205" i="1"/>
  <c r="Z205" i="1" s="1"/>
  <c r="Y313" i="1"/>
  <c r="Z313" i="1" s="1"/>
  <c r="Y315" i="1"/>
  <c r="Z315" i="1" s="1"/>
  <c r="Y16" i="1"/>
  <c r="Z16" i="1" s="1"/>
  <c r="Y91" i="1"/>
  <c r="Z91" i="1" s="1"/>
  <c r="Y135" i="1"/>
  <c r="Z135" i="1" s="1"/>
  <c r="Y200" i="1"/>
  <c r="Z200" i="1" s="1"/>
  <c r="Y214" i="1"/>
  <c r="Z214" i="1" s="1"/>
  <c r="Y213" i="1"/>
  <c r="Z213" i="1" s="1"/>
  <c r="Y273" i="1"/>
  <c r="Z273" i="1" s="1"/>
  <c r="Y127" i="1"/>
  <c r="Z127" i="1" s="1"/>
  <c r="Y319" i="1"/>
  <c r="Z319" i="1" s="1"/>
  <c r="Y317" i="1"/>
  <c r="Z317" i="1" s="1"/>
  <c r="Y35" i="1"/>
  <c r="Z35" i="1" s="1"/>
  <c r="Y32" i="1"/>
  <c r="Z32" i="1" s="1"/>
  <c r="Y21" i="1"/>
  <c r="Z21" i="1" s="1"/>
  <c r="Y63" i="1"/>
  <c r="Z63" i="1" s="1"/>
  <c r="Y98" i="1"/>
  <c r="Z98" i="1" s="1"/>
  <c r="Y106" i="1"/>
  <c r="Z106" i="1" s="1"/>
  <c r="Y64" i="1"/>
  <c r="Z64" i="1" s="1"/>
  <c r="Y101" i="1"/>
  <c r="Z101" i="1" s="1"/>
  <c r="Y54" i="1"/>
  <c r="Z54" i="1" s="1"/>
  <c r="Y114" i="1"/>
  <c r="Z114" i="1" s="1"/>
  <c r="Y144" i="1"/>
  <c r="Z144" i="1" s="1"/>
  <c r="Y190" i="1"/>
  <c r="Z190" i="1" s="1"/>
  <c r="Y194" i="1"/>
  <c r="Z194" i="1" s="1"/>
  <c r="Y136" i="1"/>
  <c r="Z136" i="1" s="1"/>
  <c r="Y140" i="1"/>
  <c r="Z140" i="1" s="1"/>
  <c r="Y196" i="1"/>
  <c r="Z196" i="1" s="1"/>
  <c r="Y207" i="1"/>
  <c r="Z207" i="1" s="1"/>
  <c r="Y229" i="1"/>
  <c r="Z229" i="1" s="1"/>
  <c r="Y264" i="1"/>
  <c r="Z264" i="1" s="1"/>
  <c r="Y278" i="1"/>
  <c r="Z278" i="1" s="1"/>
  <c r="Y262" i="1"/>
  <c r="Z262" i="1" s="1"/>
  <c r="Y288" i="1"/>
  <c r="Z288" i="1" s="1"/>
  <c r="Y290" i="1"/>
  <c r="Z290" i="1" s="1"/>
  <c r="Y300" i="1"/>
  <c r="Z300" i="1" s="1"/>
  <c r="Y314" i="1"/>
  <c r="Z314" i="1" s="1"/>
  <c r="Y323" i="1"/>
  <c r="Z323" i="1" s="1"/>
  <c r="Y327" i="1"/>
  <c r="Z327" i="1" s="1"/>
  <c r="Y18" i="1"/>
  <c r="Z18" i="1" s="1"/>
  <c r="Y49" i="1"/>
  <c r="Z49" i="1" s="1"/>
  <c r="Y88" i="1"/>
  <c r="Z88" i="1" s="1"/>
  <c r="Y126" i="1"/>
  <c r="Z126" i="1" s="1"/>
  <c r="Y90" i="1"/>
  <c r="Z90" i="1" s="1"/>
  <c r="Y94" i="1"/>
  <c r="Z94" i="1" s="1"/>
  <c r="Y152" i="1"/>
  <c r="Z152" i="1" s="1"/>
  <c r="Y158" i="1"/>
  <c r="Z158" i="1" s="1"/>
  <c r="Y188" i="1"/>
  <c r="Z188" i="1" s="1"/>
  <c r="Y198" i="1"/>
  <c r="Z198" i="1" s="1"/>
  <c r="Y210" i="1"/>
  <c r="Z210" i="1" s="1"/>
  <c r="Y271" i="1"/>
  <c r="Z271" i="1" s="1"/>
  <c r="Y272" i="1"/>
  <c r="Z272" i="1" s="1"/>
  <c r="Y320" i="1"/>
  <c r="Z320" i="1" s="1"/>
  <c r="Y33" i="1"/>
  <c r="Z33" i="1" s="1"/>
  <c r="Y40" i="1"/>
  <c r="Z40" i="1" s="1"/>
  <c r="Y39" i="1"/>
  <c r="Z39" i="1" s="1"/>
  <c r="Y61" i="1"/>
  <c r="Z61" i="1" s="1"/>
  <c r="Y104" i="1"/>
  <c r="Z104" i="1" s="1"/>
  <c r="Y57" i="1"/>
  <c r="Z57" i="1" s="1"/>
  <c r="Y62" i="1"/>
  <c r="Z62" i="1" s="1"/>
  <c r="Y99" i="1"/>
  <c r="Z99" i="1" s="1"/>
  <c r="Y107" i="1"/>
  <c r="Z107" i="1" s="1"/>
  <c r="Y109" i="1"/>
  <c r="Z109" i="1" s="1"/>
  <c r="Y112" i="1"/>
  <c r="Z112" i="1" s="1"/>
  <c r="Y113" i="1"/>
  <c r="Z113" i="1" s="1"/>
  <c r="Y172" i="1"/>
  <c r="Z172" i="1" s="1"/>
  <c r="Y139" i="1"/>
  <c r="Z139" i="1" s="1"/>
  <c r="Y186" i="1"/>
  <c r="Z186" i="1" s="1"/>
  <c r="Y220" i="1"/>
  <c r="Z220" i="1" s="1"/>
  <c r="Y217" i="1"/>
  <c r="Z217" i="1" s="1"/>
  <c r="Y219" i="1"/>
  <c r="Z219" i="1" s="1"/>
  <c r="Y225" i="1"/>
  <c r="Z225" i="1" s="1"/>
  <c r="Y238" i="1"/>
  <c r="Z238" i="1" s="1"/>
  <c r="Y235" i="1"/>
  <c r="Z235" i="1" s="1"/>
  <c r="Y228" i="1"/>
  <c r="Z228" i="1" s="1"/>
  <c r="Y233" i="1"/>
  <c r="Z233" i="1" s="1"/>
  <c r="Y255" i="1"/>
  <c r="Z255" i="1" s="1"/>
  <c r="Y261" i="1"/>
  <c r="Z261" i="1" s="1"/>
  <c r="Y266" i="1"/>
  <c r="Z266" i="1" s="1"/>
  <c r="Y257" i="1"/>
  <c r="Z257" i="1" s="1"/>
  <c r="Y260" i="1"/>
  <c r="Z260" i="1" s="1"/>
  <c r="Y283" i="1"/>
  <c r="Z283" i="1" s="1"/>
  <c r="Y287" i="1"/>
  <c r="Z287" i="1" s="1"/>
  <c r="Y286" i="1"/>
  <c r="Z286" i="1" s="1"/>
  <c r="Y297" i="1"/>
  <c r="Z297" i="1" s="1"/>
  <c r="Y302" i="1"/>
  <c r="Z302" i="1" s="1"/>
  <c r="Y310" i="1"/>
  <c r="Z310" i="1" s="1"/>
  <c r="Y316" i="1"/>
  <c r="Z316" i="1" s="1"/>
  <c r="Y50" i="1"/>
  <c r="Z50" i="1" s="1"/>
  <c r="Y67" i="1"/>
  <c r="Z67" i="1" s="1"/>
  <c r="Y74" i="1"/>
  <c r="Z74" i="1" s="1"/>
  <c r="Y70" i="1"/>
  <c r="Z70" i="1" s="1"/>
  <c r="Y95" i="1"/>
  <c r="Z95" i="1" s="1"/>
  <c r="Y149" i="1"/>
  <c r="Z149" i="1" s="1"/>
  <c r="Y202" i="1"/>
  <c r="Z202" i="1" s="1"/>
  <c r="Y206" i="1"/>
  <c r="Z206" i="1" s="1"/>
  <c r="Y216" i="1"/>
  <c r="Z216" i="1" s="1"/>
  <c r="Y37" i="1"/>
  <c r="Z37" i="1" s="1"/>
  <c r="Y22" i="1"/>
  <c r="Z22" i="1" s="1"/>
  <c r="Y36" i="1"/>
  <c r="Z36" i="1" s="1"/>
  <c r="Y56" i="1"/>
  <c r="Z56" i="1" s="1"/>
  <c r="Y46" i="1"/>
  <c r="Z46" i="1" s="1"/>
  <c r="Y55" i="1"/>
  <c r="Z55" i="1" s="1"/>
  <c r="Y97" i="1"/>
  <c r="Z97" i="1" s="1"/>
  <c r="Y105" i="1"/>
  <c r="Z105" i="1" s="1"/>
  <c r="Y134" i="1"/>
  <c r="Z134" i="1" s="1"/>
  <c r="Y189" i="1"/>
  <c r="Z189" i="1" s="1"/>
  <c r="Y199" i="1"/>
  <c r="Z199" i="1" s="1"/>
  <c r="Y201" i="1"/>
  <c r="Z201" i="1" s="1"/>
  <c r="Y230" i="1"/>
  <c r="Z230" i="1" s="1"/>
  <c r="Y256" i="1"/>
  <c r="Z256" i="1" s="1"/>
  <c r="Y263" i="1"/>
  <c r="Z263" i="1" s="1"/>
  <c r="Y267" i="1"/>
  <c r="Z267" i="1" s="1"/>
  <c r="Y280" i="1"/>
  <c r="Z280" i="1" s="1"/>
  <c r="Y292" i="1"/>
  <c r="Z292" i="1" s="1"/>
  <c r="Y294" i="1"/>
  <c r="Z294" i="1" s="1"/>
  <c r="Y298" i="1"/>
  <c r="Z298" i="1" s="1"/>
  <c r="Y303" i="1"/>
  <c r="Z303" i="1" s="1"/>
  <c r="Y326" i="1"/>
  <c r="Z326" i="1" s="1"/>
  <c r="Y17" i="1"/>
  <c r="Z17" i="1" s="1"/>
  <c r="Y86" i="1"/>
  <c r="Z86" i="1" s="1"/>
  <c r="Y153" i="1"/>
  <c r="Z153" i="1" s="1"/>
  <c r="Y161" i="1"/>
  <c r="Z161" i="1" s="1"/>
  <c r="Y154" i="1"/>
  <c r="Z154" i="1" s="1"/>
  <c r="Y197" i="1"/>
  <c r="Z197" i="1" s="1"/>
  <c r="Y208" i="1"/>
  <c r="Z208" i="1" s="1"/>
  <c r="Y253" i="1"/>
  <c r="Z253" i="1" s="1"/>
  <c r="Y276" i="1"/>
  <c r="Z276" i="1" s="1"/>
  <c r="Y274" i="1"/>
  <c r="Z274" i="1" s="1"/>
  <c r="Y321" i="1"/>
  <c r="Z321" i="1" s="1"/>
  <c r="Y34" i="1"/>
  <c r="Z34" i="1" s="1"/>
  <c r="Y100" i="1"/>
  <c r="Z100" i="1" s="1"/>
  <c r="Y103" i="1"/>
  <c r="Z103" i="1" s="1"/>
  <c r="Y58" i="1"/>
  <c r="Z58" i="1" s="1"/>
  <c r="Y142" i="1"/>
  <c r="Z142" i="1" s="1"/>
  <c r="Y180" i="1"/>
  <c r="Z180" i="1" s="1"/>
  <c r="Y195" i="1"/>
  <c r="Z195" i="1" s="1"/>
  <c r="Y221" i="1"/>
  <c r="Z221" i="1" s="1"/>
  <c r="Y218" i="1"/>
  <c r="Z218" i="1" s="1"/>
  <c r="Y236" i="1"/>
  <c r="Z236" i="1" s="1"/>
  <c r="Y239" i="1"/>
  <c r="Z239" i="1" s="1"/>
  <c r="Y222" i="1"/>
  <c r="Z222" i="1" s="1"/>
  <c r="Y227" i="1"/>
  <c r="Z227" i="1" s="1"/>
  <c r="Y296" i="1"/>
  <c r="Z296" i="1" s="1"/>
  <c r="Y285" i="1"/>
  <c r="Z285" i="1" s="1"/>
  <c r="Y324" i="1"/>
  <c r="Z324" i="1" s="1"/>
  <c r="Y312" i="1"/>
  <c r="Z312" i="1" s="1"/>
  <c r="Y325" i="1"/>
  <c r="Z325" i="1" s="1"/>
  <c r="Y309" i="1"/>
  <c r="Z309" i="1" s="1"/>
  <c r="Y311" i="1"/>
  <c r="Z311" i="1" s="1"/>
  <c r="Y363" i="1"/>
  <c r="Y71" i="1"/>
  <c r="Z71" i="1" s="1"/>
  <c r="Y92" i="1"/>
  <c r="Z92" i="1" s="1"/>
  <c r="Y51" i="1"/>
  <c r="Z51" i="1" s="1"/>
  <c r="Y72" i="1"/>
  <c r="Z72" i="1" s="1"/>
  <c r="Y145" i="1"/>
  <c r="Z145" i="1" s="1"/>
  <c r="Y150" i="1"/>
  <c r="Z150" i="1" s="1"/>
  <c r="Y147" i="1"/>
  <c r="Z147" i="1" s="1"/>
  <c r="Y151" i="1"/>
  <c r="Z151" i="1" s="1"/>
  <c r="Y157" i="1"/>
  <c r="Z157" i="1" s="1"/>
  <c r="Y204" i="1"/>
  <c r="Z204" i="1" s="1"/>
  <c r="Y215" i="1"/>
  <c r="Z215" i="1" s="1"/>
  <c r="Y361" i="1" l="1"/>
  <c r="Z361" i="1" s="1"/>
  <c r="Y365" i="1"/>
  <c r="Z365" i="1" s="1"/>
  <c r="Y364" i="1"/>
  <c r="Z364" i="1" s="1"/>
  <c r="K352" i="1"/>
  <c r="AH352" i="1"/>
  <c r="K332" i="1"/>
  <c r="AH332" i="1"/>
  <c r="AH339" i="1"/>
  <c r="K339" i="1"/>
  <c r="K355" i="1"/>
  <c r="K353" i="1"/>
  <c r="AH349" i="1"/>
  <c r="K349" i="1"/>
  <c r="AH184" i="1"/>
  <c r="K184" i="1"/>
  <c r="AH299" i="1"/>
  <c r="K299" i="1"/>
  <c r="K289" i="1"/>
  <c r="AH289" i="1"/>
  <c r="AH291" i="1"/>
  <c r="K291" i="1"/>
  <c r="K241" i="1"/>
  <c r="AH241" i="1"/>
  <c r="AH185" i="1"/>
  <c r="K185" i="1"/>
  <c r="AH347" i="1"/>
  <c r="K347" i="1"/>
  <c r="K358" i="1"/>
  <c r="AH41" i="1"/>
  <c r="K41" i="1"/>
  <c r="K116" i="1"/>
  <c r="K346" i="1"/>
  <c r="AH346" i="1"/>
  <c r="Y367" i="1"/>
  <c r="Z367" i="1" s="1"/>
  <c r="Y355" i="1"/>
  <c r="Z355" i="1" s="1"/>
  <c r="Y359" i="1"/>
  <c r="Z359" i="1" s="1"/>
  <c r="K121" i="1"/>
  <c r="AH121" i="1"/>
  <c r="K248" i="1"/>
  <c r="AH248" i="1"/>
  <c r="K179" i="1"/>
  <c r="AH179" i="1"/>
  <c r="K181" i="1"/>
  <c r="AH181" i="1"/>
  <c r="K183" i="1"/>
  <c r="AH183" i="1"/>
  <c r="K281" i="1"/>
  <c r="AH281" i="1"/>
  <c r="K284" i="1"/>
  <c r="AH284" i="1"/>
  <c r="K174" i="1"/>
  <c r="Z9" i="1"/>
  <c r="AH335" i="1"/>
  <c r="K335" i="1"/>
  <c r="AH13" i="1"/>
  <c r="K13" i="1"/>
  <c r="AH125" i="1"/>
  <c r="K125" i="1"/>
  <c r="AH343" i="1"/>
  <c r="K343" i="1"/>
  <c r="K350" i="1"/>
  <c r="AH350" i="1"/>
  <c r="K338" i="1"/>
  <c r="AH338" i="1"/>
  <c r="AH131" i="1"/>
  <c r="K131" i="1"/>
  <c r="K336" i="1"/>
  <c r="AH336" i="1"/>
  <c r="K320" i="1"/>
  <c r="AH320" i="1"/>
  <c r="Z363" i="1"/>
  <c r="AH363" i="1"/>
  <c r="Y360" i="1"/>
  <c r="Z360" i="1" s="1"/>
  <c r="Y345" i="1"/>
  <c r="Y358" i="1"/>
  <c r="Z358" i="1" s="1"/>
  <c r="Y337" i="1"/>
  <c r="K247" i="1"/>
  <c r="AH247" i="1"/>
  <c r="K356" i="1"/>
  <c r="K348" i="1"/>
  <c r="AH348" i="1"/>
  <c r="K85" i="1"/>
  <c r="AH85" i="1"/>
  <c r="AH270" i="1"/>
  <c r="K270" i="1"/>
  <c r="K342" i="1"/>
  <c r="AH342" i="1"/>
  <c r="AH359" i="1"/>
  <c r="K359" i="1"/>
  <c r="K249" i="1"/>
  <c r="AH249" i="1"/>
  <c r="AH45" i="1"/>
  <c r="K45" i="1"/>
  <c r="AH331" i="1"/>
  <c r="K331" i="1"/>
  <c r="AH308" i="1"/>
  <c r="K308" i="1"/>
  <c r="AH245" i="1"/>
  <c r="K245" i="1"/>
  <c r="AH84" i="1"/>
  <c r="K84" i="1"/>
  <c r="K242" i="1"/>
  <c r="AH242" i="1"/>
  <c r="K83" i="1"/>
  <c r="AH83" i="1"/>
  <c r="AH250" i="1"/>
  <c r="K250" i="1"/>
  <c r="K44" i="1"/>
  <c r="AH44" i="1"/>
  <c r="Y357" i="1"/>
  <c r="Z357" i="1" s="1"/>
  <c r="AH344" i="1"/>
  <c r="Y362" i="1"/>
  <c r="Z362" i="1" s="1"/>
  <c r="Y366" i="1"/>
  <c r="Z366" i="1" s="1"/>
  <c r="Y356" i="1"/>
  <c r="Z356" i="1" s="1"/>
  <c r="Y354" i="1"/>
  <c r="Z354" i="1" s="1"/>
  <c r="Y353" i="1"/>
  <c r="Z353" i="1" s="1"/>
  <c r="K340" i="1"/>
  <c r="AH340" i="1"/>
  <c r="K357" i="1"/>
  <c r="K173" i="1"/>
  <c r="AH173" i="1"/>
  <c r="K240" i="1"/>
  <c r="AH240" i="1"/>
  <c r="K333" i="1"/>
  <c r="AH333" i="1"/>
  <c r="AH42" i="1"/>
  <c r="K42" i="1"/>
  <c r="K243" i="1"/>
  <c r="AH243" i="1"/>
  <c r="AH23" i="1"/>
  <c r="K23" i="1"/>
  <c r="K182" i="1"/>
  <c r="AH182" i="1"/>
  <c r="K354" i="1"/>
  <c r="K351" i="1"/>
  <c r="AH351" i="1"/>
  <c r="K43" i="1"/>
  <c r="AH43" i="1"/>
  <c r="AH244" i="1"/>
  <c r="K244" i="1"/>
  <c r="AH341" i="1"/>
  <c r="K341" i="1"/>
  <c r="AH334" i="1"/>
  <c r="K334" i="1"/>
  <c r="K12" i="1"/>
  <c r="K246" i="1"/>
  <c r="AH246" i="1"/>
  <c r="J204" i="1"/>
  <c r="J215" i="1"/>
  <c r="Y187" i="1"/>
  <c r="J208" i="1"/>
  <c r="J72" i="1"/>
  <c r="J317" i="1"/>
  <c r="J158" i="1"/>
  <c r="J70" i="1"/>
  <c r="J274" i="1"/>
  <c r="J161" i="1"/>
  <c r="J321" i="1"/>
  <c r="J216" i="1"/>
  <c r="J88" i="1"/>
  <c r="J92" i="1"/>
  <c r="J81" i="1"/>
  <c r="J50" i="1"/>
  <c r="J150" i="1"/>
  <c r="J127" i="1"/>
  <c r="J145" i="1"/>
  <c r="J203" i="1"/>
  <c r="J135" i="1"/>
  <c r="J153" i="1"/>
  <c r="J86" i="1"/>
  <c r="J126" i="1"/>
  <c r="J16" i="1"/>
  <c r="Y269" i="1"/>
  <c r="J213" i="1"/>
  <c r="J210" i="1"/>
  <c r="J157" i="1"/>
  <c r="J51" i="1"/>
  <c r="J67" i="1"/>
  <c r="J206" i="1"/>
  <c r="J198" i="1"/>
  <c r="J71" i="1"/>
  <c r="J147" i="1"/>
  <c r="J18" i="1"/>
  <c r="J253" i="1"/>
  <c r="J94" i="1"/>
  <c r="J93" i="1"/>
  <c r="J202" i="1"/>
  <c r="J200" i="1"/>
  <c r="J209" i="1"/>
  <c r="J152" i="1"/>
  <c r="J96" i="1"/>
  <c r="J148" i="1"/>
  <c r="J95" i="1"/>
  <c r="J205" i="1"/>
  <c r="J74" i="1"/>
  <c r="J49" i="1"/>
  <c r="J276" i="1"/>
  <c r="J149" i="1"/>
  <c r="J154" i="1"/>
  <c r="J151" i="1"/>
  <c r="J188" i="1"/>
  <c r="J197" i="1"/>
  <c r="J17" i="1"/>
  <c r="J73" i="1"/>
  <c r="J90" i="1"/>
  <c r="J273" i="1"/>
  <c r="J214" i="1"/>
  <c r="J319" i="1"/>
  <c r="J91" i="1"/>
  <c r="J318" i="1"/>
  <c r="J139" i="1"/>
  <c r="J142" i="1"/>
  <c r="J189" i="1"/>
  <c r="J226" i="1"/>
  <c r="J367" i="1"/>
  <c r="J61" i="1"/>
  <c r="J229" i="1"/>
  <c r="J327" i="1"/>
  <c r="J191" i="1"/>
  <c r="J296" i="1"/>
  <c r="J106" i="1"/>
  <c r="J278" i="1"/>
  <c r="J38" i="1"/>
  <c r="J329" i="1"/>
  <c r="J111" i="1"/>
  <c r="J190" i="1"/>
  <c r="J316" i="1"/>
  <c r="J32" i="1"/>
  <c r="J294" i="1"/>
  <c r="J21" i="1"/>
  <c r="J104" i="1"/>
  <c r="J110" i="1"/>
  <c r="J221" i="1"/>
  <c r="J34" i="1"/>
  <c r="J112" i="1"/>
  <c r="J220" i="1"/>
  <c r="J230" i="1"/>
  <c r="J232" i="1"/>
  <c r="J365" i="1"/>
  <c r="J105" i="1"/>
  <c r="J361" i="1"/>
  <c r="J22" i="1"/>
  <c r="J238" i="1"/>
  <c r="J219" i="1"/>
  <c r="J237" i="1"/>
  <c r="J107" i="1"/>
  <c r="J114" i="1"/>
  <c r="J300" i="1"/>
  <c r="J228" i="1"/>
  <c r="J283" i="1"/>
  <c r="J172" i="1"/>
  <c r="J313" i="1"/>
  <c r="J360" i="1"/>
  <c r="J53" i="1"/>
  <c r="J256" i="1"/>
  <c r="J180" i="1"/>
  <c r="J62" i="1"/>
  <c r="J217" i="1"/>
  <c r="J264" i="1"/>
  <c r="J102" i="1"/>
  <c r="J324" i="1"/>
  <c r="J138" i="1"/>
  <c r="J303" i="1"/>
  <c r="J108" i="1"/>
  <c r="J144" i="1"/>
  <c r="J63" i="1"/>
  <c r="J196" i="1"/>
  <c r="J364" i="1"/>
  <c r="J366" i="1"/>
  <c r="J11" i="1"/>
  <c r="J58" i="1"/>
  <c r="J267" i="1"/>
  <c r="J207" i="1"/>
  <c r="J225" i="1"/>
  <c r="J64" i="1"/>
  <c r="J134" i="1"/>
  <c r="J280" i="1"/>
  <c r="J266" i="1"/>
  <c r="J257" i="1"/>
  <c r="J233" i="1"/>
  <c r="J35" i="1"/>
  <c r="J57" i="1"/>
  <c r="J265" i="1"/>
  <c r="J199" i="1"/>
  <c r="J222" i="1"/>
  <c r="J258" i="1"/>
  <c r="J234" i="1"/>
  <c r="J37" i="1"/>
  <c r="J239" i="1"/>
  <c r="J288" i="1"/>
  <c r="J98" i="1"/>
  <c r="J263" i="1"/>
  <c r="J301" i="1"/>
  <c r="J192" i="1"/>
  <c r="J227" i="1"/>
  <c r="J143" i="1"/>
  <c r="J287" i="1"/>
  <c r="J109" i="1"/>
  <c r="J259" i="1"/>
  <c r="J19" i="1"/>
  <c r="J298" i="1"/>
  <c r="J326" i="1"/>
  <c r="J103" i="1"/>
  <c r="J260" i="1"/>
  <c r="J235" i="1"/>
  <c r="J218" i="1"/>
  <c r="J310" i="1"/>
  <c r="J136" i="1"/>
  <c r="J311" i="1"/>
  <c r="J46" i="1"/>
  <c r="J297" i="1"/>
  <c r="J254" i="1"/>
  <c r="J186" i="1"/>
  <c r="J325" i="1"/>
  <c r="J36" i="1"/>
  <c r="J195" i="1"/>
  <c r="J302" i="1"/>
  <c r="J54" i="1"/>
  <c r="J315" i="1"/>
  <c r="J255" i="1"/>
  <c r="Y282" i="1"/>
  <c r="Y330" i="1"/>
  <c r="J285" i="1"/>
  <c r="J140" i="1"/>
  <c r="J137" i="1"/>
  <c r="J292" i="1"/>
  <c r="J100" i="1"/>
  <c r="J323" i="1"/>
  <c r="J262" i="1"/>
  <c r="J101" i="1"/>
  <c r="J236" i="1"/>
  <c r="J328" i="1"/>
  <c r="J312" i="1"/>
  <c r="J55" i="1"/>
  <c r="J293" i="1"/>
  <c r="J194" i="1"/>
  <c r="J113" i="1"/>
  <c r="J309" i="1"/>
  <c r="J97" i="1"/>
  <c r="J40" i="1"/>
  <c r="J261" i="1"/>
  <c r="J201" i="1"/>
  <c r="J99" i="1"/>
  <c r="J56" i="1"/>
  <c r="J314" i="1"/>
  <c r="J286" i="1"/>
  <c r="J39" i="1"/>
  <c r="J224" i="1"/>
  <c r="J33" i="1"/>
  <c r="J362" i="1"/>
  <c r="J193" i="1"/>
  <c r="J290" i="1"/>
  <c r="J295" i="1"/>
  <c r="AH354" i="1" l="1"/>
  <c r="AH357" i="1"/>
  <c r="AH362" i="1"/>
  <c r="K362" i="1"/>
  <c r="K55" i="1"/>
  <c r="AH55" i="1"/>
  <c r="K54" i="1"/>
  <c r="AH54" i="1"/>
  <c r="K325" i="1"/>
  <c r="AH325" i="1"/>
  <c r="K46" i="1"/>
  <c r="AH46" i="1"/>
  <c r="AH218" i="1"/>
  <c r="K218" i="1"/>
  <c r="K326" i="1"/>
  <c r="AH326" i="1"/>
  <c r="K109" i="1"/>
  <c r="AH109" i="1"/>
  <c r="K192" i="1"/>
  <c r="AH192" i="1"/>
  <c r="K288" i="1"/>
  <c r="AH288" i="1"/>
  <c r="AH258" i="1"/>
  <c r="K258" i="1"/>
  <c r="K57" i="1"/>
  <c r="AH57" i="1"/>
  <c r="AH266" i="1"/>
  <c r="K266" i="1"/>
  <c r="K225" i="1"/>
  <c r="AH225" i="1"/>
  <c r="AH11" i="1"/>
  <c r="K11" i="1"/>
  <c r="K63" i="1"/>
  <c r="AH63" i="1"/>
  <c r="AH138" i="1"/>
  <c r="K138" i="1"/>
  <c r="AH217" i="1"/>
  <c r="K217" i="1"/>
  <c r="AH53" i="1"/>
  <c r="K53" i="1"/>
  <c r="K283" i="1"/>
  <c r="AH283" i="1"/>
  <c r="K107" i="1"/>
  <c r="AH107" i="1"/>
  <c r="AH22" i="1"/>
  <c r="K22" i="1"/>
  <c r="K232" i="1"/>
  <c r="AH232" i="1"/>
  <c r="K34" i="1"/>
  <c r="AH34" i="1"/>
  <c r="AH21" i="1"/>
  <c r="K21" i="1"/>
  <c r="AH190" i="1"/>
  <c r="K190" i="1"/>
  <c r="K278" i="1"/>
  <c r="AH278" i="1"/>
  <c r="K327" i="1"/>
  <c r="AH327" i="1"/>
  <c r="AH226" i="1"/>
  <c r="K226" i="1"/>
  <c r="K318" i="1"/>
  <c r="AH318" i="1"/>
  <c r="K273" i="1"/>
  <c r="AH273" i="1"/>
  <c r="K197" i="1"/>
  <c r="AH197" i="1"/>
  <c r="K149" i="1"/>
  <c r="AH149" i="1"/>
  <c r="K205" i="1"/>
  <c r="AH205" i="1"/>
  <c r="K152" i="1"/>
  <c r="AH152" i="1"/>
  <c r="K93" i="1"/>
  <c r="AH93" i="1"/>
  <c r="AH147" i="1"/>
  <c r="K147" i="1"/>
  <c r="AH67" i="1"/>
  <c r="K67" i="1"/>
  <c r="AH213" i="1"/>
  <c r="K213" i="1"/>
  <c r="AH86" i="1"/>
  <c r="K86" i="1"/>
  <c r="AH145" i="1"/>
  <c r="K145" i="1"/>
  <c r="K81" i="1"/>
  <c r="AH81" i="1"/>
  <c r="AH321" i="1"/>
  <c r="K321" i="1"/>
  <c r="AH158" i="1"/>
  <c r="K158" i="1"/>
  <c r="Z187" i="1"/>
  <c r="AH187" i="1"/>
  <c r="AI43" i="1"/>
  <c r="AI240" i="1"/>
  <c r="AI357" i="1"/>
  <c r="AI250" i="1"/>
  <c r="AI245" i="1"/>
  <c r="AI331" i="1"/>
  <c r="AI343" i="1"/>
  <c r="AI13" i="1"/>
  <c r="AI284" i="1"/>
  <c r="AI183" i="1"/>
  <c r="AI179" i="1"/>
  <c r="AI121" i="1"/>
  <c r="AI346" i="1"/>
  <c r="AI241" i="1"/>
  <c r="AI289" i="1"/>
  <c r="AI352" i="1"/>
  <c r="K286" i="1"/>
  <c r="AH286" i="1"/>
  <c r="AH101" i="1"/>
  <c r="K101" i="1"/>
  <c r="AH295" i="1"/>
  <c r="K295" i="1"/>
  <c r="K33" i="1"/>
  <c r="AH33" i="1"/>
  <c r="K314" i="1"/>
  <c r="AH314" i="1"/>
  <c r="AH261" i="1"/>
  <c r="K261" i="1"/>
  <c r="AH113" i="1"/>
  <c r="K113" i="1"/>
  <c r="AH312" i="1"/>
  <c r="K312" i="1"/>
  <c r="AH262" i="1"/>
  <c r="K262" i="1"/>
  <c r="K137" i="1"/>
  <c r="AH137" i="1"/>
  <c r="Z282" i="1"/>
  <c r="AH282" i="1"/>
  <c r="AH302" i="1"/>
  <c r="K302" i="1"/>
  <c r="K186" i="1"/>
  <c r="AH186" i="1"/>
  <c r="K311" i="1"/>
  <c r="AH311" i="1"/>
  <c r="AH235" i="1"/>
  <c r="K235" i="1"/>
  <c r="K298" i="1"/>
  <c r="AH298" i="1"/>
  <c r="K287" i="1"/>
  <c r="AH287" i="1"/>
  <c r="K301" i="1"/>
  <c r="AH301" i="1"/>
  <c r="AH239" i="1"/>
  <c r="K239" i="1"/>
  <c r="AH222" i="1"/>
  <c r="K222" i="1"/>
  <c r="AH35" i="1"/>
  <c r="K35" i="1"/>
  <c r="K280" i="1"/>
  <c r="AH280" i="1"/>
  <c r="AH207" i="1"/>
  <c r="K207" i="1"/>
  <c r="K366" i="1"/>
  <c r="AH366" i="1"/>
  <c r="AH144" i="1"/>
  <c r="K144" i="1"/>
  <c r="K324" i="1"/>
  <c r="AH324" i="1"/>
  <c r="K62" i="1"/>
  <c r="AH62" i="1"/>
  <c r="K360" i="1"/>
  <c r="AH360" i="1"/>
  <c r="K228" i="1"/>
  <c r="AH228" i="1"/>
  <c r="K237" i="1"/>
  <c r="AH237" i="1"/>
  <c r="K361" i="1"/>
  <c r="AH361" i="1"/>
  <c r="AH230" i="1"/>
  <c r="K230" i="1"/>
  <c r="AH221" i="1"/>
  <c r="K221" i="1"/>
  <c r="K294" i="1"/>
  <c r="AH294" i="1"/>
  <c r="K111" i="1"/>
  <c r="AH111" i="1"/>
  <c r="AH106" i="1"/>
  <c r="K106" i="1"/>
  <c r="K229" i="1"/>
  <c r="AH229" i="1"/>
  <c r="AH189" i="1"/>
  <c r="K189" i="1"/>
  <c r="K91" i="1"/>
  <c r="AH91" i="1"/>
  <c r="K90" i="1"/>
  <c r="AH90" i="1"/>
  <c r="K188" i="1"/>
  <c r="AH188" i="1"/>
  <c r="K276" i="1"/>
  <c r="AH276" i="1"/>
  <c r="K95" i="1"/>
  <c r="AH95" i="1"/>
  <c r="K209" i="1"/>
  <c r="AH209" i="1"/>
  <c r="K94" i="1"/>
  <c r="AH94" i="1"/>
  <c r="K71" i="1"/>
  <c r="AH71" i="1"/>
  <c r="K51" i="1"/>
  <c r="AH51" i="1"/>
  <c r="Z269" i="1"/>
  <c r="AH269" i="1"/>
  <c r="K153" i="1"/>
  <c r="AH153" i="1"/>
  <c r="K127" i="1"/>
  <c r="AH127" i="1"/>
  <c r="K92" i="1"/>
  <c r="AH92" i="1"/>
  <c r="AH161" i="1"/>
  <c r="K161" i="1"/>
  <c r="AH317" i="1"/>
  <c r="K317" i="1"/>
  <c r="K215" i="1"/>
  <c r="AH215" i="1"/>
  <c r="AI341" i="1"/>
  <c r="AI354" i="1"/>
  <c r="AI23" i="1"/>
  <c r="AI42" i="1"/>
  <c r="AI44" i="1"/>
  <c r="AI83" i="1"/>
  <c r="AI348" i="1"/>
  <c r="AI247" i="1"/>
  <c r="AI320" i="1"/>
  <c r="AI350" i="1"/>
  <c r="AI41" i="1"/>
  <c r="AI347" i="1"/>
  <c r="AI184" i="1"/>
  <c r="AH353" i="1"/>
  <c r="AI339" i="1"/>
  <c r="K309" i="1"/>
  <c r="AH309" i="1"/>
  <c r="Z330" i="1"/>
  <c r="AH330" i="1"/>
  <c r="AH224" i="1"/>
  <c r="K224" i="1"/>
  <c r="AH56" i="1"/>
  <c r="K56" i="1"/>
  <c r="AH40" i="1"/>
  <c r="K40" i="1"/>
  <c r="AH194" i="1"/>
  <c r="K194" i="1"/>
  <c r="AH328" i="1"/>
  <c r="K328" i="1"/>
  <c r="AH323" i="1"/>
  <c r="K323" i="1"/>
  <c r="AH140" i="1"/>
  <c r="K140" i="1"/>
  <c r="AH255" i="1"/>
  <c r="K255" i="1"/>
  <c r="AH195" i="1"/>
  <c r="K195" i="1"/>
  <c r="AH254" i="1"/>
  <c r="K254" i="1"/>
  <c r="K136" i="1"/>
  <c r="AH136" i="1"/>
  <c r="AH260" i="1"/>
  <c r="K260" i="1"/>
  <c r="K19" i="1"/>
  <c r="AH19" i="1"/>
  <c r="K143" i="1"/>
  <c r="AH143" i="1"/>
  <c r="AH263" i="1"/>
  <c r="K263" i="1"/>
  <c r="K37" i="1"/>
  <c r="AH37" i="1"/>
  <c r="K199" i="1"/>
  <c r="AH199" i="1"/>
  <c r="K233" i="1"/>
  <c r="AH233" i="1"/>
  <c r="K134" i="1"/>
  <c r="AH134" i="1"/>
  <c r="K267" i="1"/>
  <c r="AH267" i="1"/>
  <c r="AH364" i="1"/>
  <c r="K364" i="1"/>
  <c r="AH108" i="1"/>
  <c r="K108" i="1"/>
  <c r="K102" i="1"/>
  <c r="AH102" i="1"/>
  <c r="K180" i="1"/>
  <c r="AH180" i="1"/>
  <c r="AH313" i="1"/>
  <c r="K313" i="1"/>
  <c r="AH300" i="1"/>
  <c r="K300" i="1"/>
  <c r="K219" i="1"/>
  <c r="AH219" i="1"/>
  <c r="AH105" i="1"/>
  <c r="K105" i="1"/>
  <c r="AH220" i="1"/>
  <c r="K220" i="1"/>
  <c r="AH110" i="1"/>
  <c r="K110" i="1"/>
  <c r="K32" i="1"/>
  <c r="AH32" i="1"/>
  <c r="K329" i="1"/>
  <c r="AH329" i="1"/>
  <c r="K296" i="1"/>
  <c r="AH296" i="1"/>
  <c r="K61" i="1"/>
  <c r="AH61" i="1"/>
  <c r="AH142" i="1"/>
  <c r="K142" i="1"/>
  <c r="AH319" i="1"/>
  <c r="K319" i="1"/>
  <c r="AH73" i="1"/>
  <c r="K73" i="1"/>
  <c r="AH151" i="1"/>
  <c r="K151" i="1"/>
  <c r="AH49" i="1"/>
  <c r="K49" i="1"/>
  <c r="AH148" i="1"/>
  <c r="K148" i="1"/>
  <c r="AH200" i="1"/>
  <c r="K200" i="1"/>
  <c r="AH253" i="1"/>
  <c r="K253" i="1"/>
  <c r="AH198" i="1"/>
  <c r="K198" i="1"/>
  <c r="K157" i="1"/>
  <c r="AH157" i="1"/>
  <c r="K16" i="1"/>
  <c r="AH16" i="1"/>
  <c r="K135" i="1"/>
  <c r="AH135" i="1"/>
  <c r="K150" i="1"/>
  <c r="AH150" i="1"/>
  <c r="AH88" i="1"/>
  <c r="K88" i="1"/>
  <c r="K274" i="1"/>
  <c r="AH274" i="1"/>
  <c r="K72" i="1"/>
  <c r="AH72" i="1"/>
  <c r="AH204" i="1"/>
  <c r="K204" i="1"/>
  <c r="AI246" i="1"/>
  <c r="AI351" i="1"/>
  <c r="AI182" i="1"/>
  <c r="AI243" i="1"/>
  <c r="AI333" i="1"/>
  <c r="AI173" i="1"/>
  <c r="AI340" i="1"/>
  <c r="AI344" i="1"/>
  <c r="AI84" i="1"/>
  <c r="AI308" i="1"/>
  <c r="AI45" i="1"/>
  <c r="AI359" i="1"/>
  <c r="AI270" i="1"/>
  <c r="AI131" i="1"/>
  <c r="AI125" i="1"/>
  <c r="AI335" i="1"/>
  <c r="AI281" i="1"/>
  <c r="AI181" i="1"/>
  <c r="AI248" i="1"/>
  <c r="AH355" i="1"/>
  <c r="AI332" i="1"/>
  <c r="AH201" i="1"/>
  <c r="K201" i="1"/>
  <c r="K292" i="1"/>
  <c r="AH292" i="1"/>
  <c r="AH290" i="1"/>
  <c r="K290" i="1"/>
  <c r="K193" i="1"/>
  <c r="AH193" i="1"/>
  <c r="K39" i="1"/>
  <c r="AH39" i="1"/>
  <c r="K99" i="1"/>
  <c r="AH99" i="1"/>
  <c r="K97" i="1"/>
  <c r="AH97" i="1"/>
  <c r="K293" i="1"/>
  <c r="AH293" i="1"/>
  <c r="AH236" i="1"/>
  <c r="K236" i="1"/>
  <c r="K100" i="1"/>
  <c r="AH100" i="1"/>
  <c r="K285" i="1"/>
  <c r="AH285" i="1"/>
  <c r="K315" i="1"/>
  <c r="AH315" i="1"/>
  <c r="K36" i="1"/>
  <c r="AH36" i="1"/>
  <c r="K297" i="1"/>
  <c r="AH297" i="1"/>
  <c r="K310" i="1"/>
  <c r="AH310" i="1"/>
  <c r="AH103" i="1"/>
  <c r="K103" i="1"/>
  <c r="AH259" i="1"/>
  <c r="K259" i="1"/>
  <c r="K227" i="1"/>
  <c r="AH227" i="1"/>
  <c r="AH98" i="1"/>
  <c r="K98" i="1"/>
  <c r="K234" i="1"/>
  <c r="AH234" i="1"/>
  <c r="K265" i="1"/>
  <c r="AH265" i="1"/>
  <c r="AH257" i="1"/>
  <c r="K257" i="1"/>
  <c r="K64" i="1"/>
  <c r="AH64" i="1"/>
  <c r="AH58" i="1"/>
  <c r="K58" i="1"/>
  <c r="AH196" i="1"/>
  <c r="K196" i="1"/>
  <c r="K303" i="1"/>
  <c r="AH303" i="1"/>
  <c r="K264" i="1"/>
  <c r="AH264" i="1"/>
  <c r="AH256" i="1"/>
  <c r="K256" i="1"/>
  <c r="AH172" i="1"/>
  <c r="K172" i="1"/>
  <c r="K114" i="1"/>
  <c r="AH114" i="1"/>
  <c r="K238" i="1"/>
  <c r="AH238" i="1"/>
  <c r="AH365" i="1"/>
  <c r="K365" i="1"/>
  <c r="AH112" i="1"/>
  <c r="K112" i="1"/>
  <c r="AH104" i="1"/>
  <c r="K104" i="1"/>
  <c r="K316" i="1"/>
  <c r="AH316" i="1"/>
  <c r="K38" i="1"/>
  <c r="AH38" i="1"/>
  <c r="K191" i="1"/>
  <c r="AH191" i="1"/>
  <c r="AH367" i="1"/>
  <c r="K367" i="1"/>
  <c r="AH139" i="1"/>
  <c r="K139" i="1"/>
  <c r="AH214" i="1"/>
  <c r="K214" i="1"/>
  <c r="K17" i="1"/>
  <c r="AH17" i="1"/>
  <c r="AH154" i="1"/>
  <c r="K154" i="1"/>
  <c r="K74" i="1"/>
  <c r="AH74" i="1"/>
  <c r="AH96" i="1"/>
  <c r="K96" i="1"/>
  <c r="AH202" i="1"/>
  <c r="K202" i="1"/>
  <c r="AH18" i="1"/>
  <c r="K18" i="1"/>
  <c r="AH206" i="1"/>
  <c r="K206" i="1"/>
  <c r="AH210" i="1"/>
  <c r="K210" i="1"/>
  <c r="AH126" i="1"/>
  <c r="K126" i="1"/>
  <c r="AH203" i="1"/>
  <c r="K203" i="1"/>
  <c r="AH50" i="1"/>
  <c r="K50" i="1"/>
  <c r="K216" i="1"/>
  <c r="AH216" i="1"/>
  <c r="K70" i="1"/>
  <c r="AH70" i="1"/>
  <c r="AH208" i="1"/>
  <c r="K208" i="1"/>
  <c r="AI334" i="1"/>
  <c r="AI244" i="1"/>
  <c r="AI242" i="1"/>
  <c r="AI249" i="1"/>
  <c r="AI342" i="1"/>
  <c r="AI85" i="1"/>
  <c r="AH356" i="1"/>
  <c r="Z337" i="1"/>
  <c r="AH337" i="1"/>
  <c r="Z345" i="1"/>
  <c r="AH345" i="1"/>
  <c r="AI363" i="1"/>
  <c r="AI336" i="1"/>
  <c r="AI338" i="1"/>
  <c r="AH358" i="1"/>
  <c r="AI185" i="1"/>
  <c r="AI291" i="1"/>
  <c r="AI299" i="1"/>
  <c r="AI349" i="1"/>
  <c r="J271" i="1"/>
  <c r="J272" i="1"/>
  <c r="J15" i="1"/>
  <c r="Y174" i="1"/>
  <c r="Y116" i="1"/>
  <c r="Y12" i="1"/>
  <c r="J9" i="1"/>
  <c r="AI345" i="1" l="1"/>
  <c r="AI356" i="1"/>
  <c r="AI50" i="1"/>
  <c r="AI126" i="1"/>
  <c r="AI206" i="1"/>
  <c r="AI202" i="1"/>
  <c r="AI139" i="1"/>
  <c r="AI112" i="1"/>
  <c r="AI172" i="1"/>
  <c r="AI196" i="1"/>
  <c r="AI98" i="1"/>
  <c r="AI259" i="1"/>
  <c r="AI236" i="1"/>
  <c r="AI290" i="1"/>
  <c r="AI201" i="1"/>
  <c r="AI72" i="1"/>
  <c r="AI135" i="1"/>
  <c r="AI157" i="1"/>
  <c r="AI61" i="1"/>
  <c r="AI329" i="1"/>
  <c r="AI180" i="1"/>
  <c r="AI267" i="1"/>
  <c r="AI233" i="1"/>
  <c r="AI37" i="1"/>
  <c r="AI143" i="1"/>
  <c r="AI330" i="1"/>
  <c r="AI92" i="1"/>
  <c r="AI153" i="1"/>
  <c r="AI51" i="1"/>
  <c r="AI94" i="1"/>
  <c r="AI95" i="1"/>
  <c r="AI188" i="1"/>
  <c r="AI91" i="1"/>
  <c r="AI229" i="1"/>
  <c r="AI111" i="1"/>
  <c r="AI361" i="1"/>
  <c r="AI228" i="1"/>
  <c r="AI62" i="1"/>
  <c r="AI287" i="1"/>
  <c r="AI186" i="1"/>
  <c r="AI282" i="1"/>
  <c r="AI314" i="1"/>
  <c r="AI286" i="1"/>
  <c r="AI81" i="1"/>
  <c r="AI93" i="1"/>
  <c r="AI205" i="1"/>
  <c r="AI197" i="1"/>
  <c r="AI318" i="1"/>
  <c r="AI327" i="1"/>
  <c r="AI34" i="1"/>
  <c r="AI283" i="1"/>
  <c r="AI63" i="1"/>
  <c r="AI225" i="1"/>
  <c r="AI57" i="1"/>
  <c r="AI288" i="1"/>
  <c r="AI109" i="1"/>
  <c r="AI325" i="1"/>
  <c r="AI55" i="1"/>
  <c r="J373" i="1"/>
  <c r="AH9" i="1"/>
  <c r="K9" i="1"/>
  <c r="K373" i="1" s="1"/>
  <c r="K15" i="1"/>
  <c r="J371" i="1"/>
  <c r="AI358" i="1"/>
  <c r="AI216" i="1"/>
  <c r="AI38" i="1"/>
  <c r="AI114" i="1"/>
  <c r="AI303" i="1"/>
  <c r="AI234" i="1"/>
  <c r="AI227" i="1"/>
  <c r="AI297" i="1"/>
  <c r="AI315" i="1"/>
  <c r="AI100" i="1"/>
  <c r="AI293" i="1"/>
  <c r="AI99" i="1"/>
  <c r="AI193" i="1"/>
  <c r="AI292" i="1"/>
  <c r="AI88" i="1"/>
  <c r="AI253" i="1"/>
  <c r="AI148" i="1"/>
  <c r="AI151" i="1"/>
  <c r="AI319" i="1"/>
  <c r="AI110" i="1"/>
  <c r="AI105" i="1"/>
  <c r="AI300" i="1"/>
  <c r="AI108" i="1"/>
  <c r="AI260" i="1"/>
  <c r="AI254" i="1"/>
  <c r="AI255" i="1"/>
  <c r="AI323" i="1"/>
  <c r="AI194" i="1"/>
  <c r="AI56" i="1"/>
  <c r="AI317" i="1"/>
  <c r="AI221" i="1"/>
  <c r="AI144" i="1"/>
  <c r="AI207" i="1"/>
  <c r="AI35" i="1"/>
  <c r="AI239" i="1"/>
  <c r="AI235" i="1"/>
  <c r="AI262" i="1"/>
  <c r="AI113" i="1"/>
  <c r="AI295" i="1"/>
  <c r="AI158" i="1"/>
  <c r="AI86" i="1"/>
  <c r="AI67" i="1"/>
  <c r="AI190" i="1"/>
  <c r="AI22" i="1"/>
  <c r="AI217" i="1"/>
  <c r="AI218" i="1"/>
  <c r="Z174" i="1"/>
  <c r="AH174" i="1"/>
  <c r="Z12" i="1"/>
  <c r="Y373" i="1"/>
  <c r="AH12" i="1"/>
  <c r="AH272" i="1"/>
  <c r="K272" i="1"/>
  <c r="AI337" i="1"/>
  <c r="AI208" i="1"/>
  <c r="AI203" i="1"/>
  <c r="AI210" i="1"/>
  <c r="AI18" i="1"/>
  <c r="AI96" i="1"/>
  <c r="AI154" i="1"/>
  <c r="AI214" i="1"/>
  <c r="AI367" i="1"/>
  <c r="AI104" i="1"/>
  <c r="AI365" i="1"/>
  <c r="AI256" i="1"/>
  <c r="AI58" i="1"/>
  <c r="AI257" i="1"/>
  <c r="AI103" i="1"/>
  <c r="AI274" i="1"/>
  <c r="AI150" i="1"/>
  <c r="AI16" i="1"/>
  <c r="AI296" i="1"/>
  <c r="AI32" i="1"/>
  <c r="AI219" i="1"/>
  <c r="AI102" i="1"/>
  <c r="AI134" i="1"/>
  <c r="AI199" i="1"/>
  <c r="AI19" i="1"/>
  <c r="AI136" i="1"/>
  <c r="AI309" i="1"/>
  <c r="AI353" i="1"/>
  <c r="AI215" i="1"/>
  <c r="AI127" i="1"/>
  <c r="AI269" i="1"/>
  <c r="AI71" i="1"/>
  <c r="AI209" i="1"/>
  <c r="AI276" i="1"/>
  <c r="AI90" i="1"/>
  <c r="AI294" i="1"/>
  <c r="AI237" i="1"/>
  <c r="AI360" i="1"/>
  <c r="AI324" i="1"/>
  <c r="AI366" i="1"/>
  <c r="AI280" i="1"/>
  <c r="AI301" i="1"/>
  <c r="AI298" i="1"/>
  <c r="AI311" i="1"/>
  <c r="AI137" i="1"/>
  <c r="AI33" i="1"/>
  <c r="AI187" i="1"/>
  <c r="AI152" i="1"/>
  <c r="AI149" i="1"/>
  <c r="AI273" i="1"/>
  <c r="AI278" i="1"/>
  <c r="AI232" i="1"/>
  <c r="AI107" i="1"/>
  <c r="AI192" i="1"/>
  <c r="AI326" i="1"/>
  <c r="AI46" i="1"/>
  <c r="AI54" i="1"/>
  <c r="Z116" i="1"/>
  <c r="AH116" i="1"/>
  <c r="K271" i="1"/>
  <c r="AH271" i="1"/>
  <c r="AI70" i="1"/>
  <c r="AI74" i="1"/>
  <c r="AI17" i="1"/>
  <c r="AI191" i="1"/>
  <c r="AI316" i="1"/>
  <c r="AI238" i="1"/>
  <c r="AI264" i="1"/>
  <c r="AI64" i="1"/>
  <c r="AI265" i="1"/>
  <c r="AI310" i="1"/>
  <c r="AI36" i="1"/>
  <c r="AI285" i="1"/>
  <c r="AI97" i="1"/>
  <c r="AI39" i="1"/>
  <c r="AI355" i="1"/>
  <c r="AI204" i="1"/>
  <c r="AI198" i="1"/>
  <c r="AI200" i="1"/>
  <c r="AI49" i="1"/>
  <c r="AI73" i="1"/>
  <c r="AI142" i="1"/>
  <c r="AI220" i="1"/>
  <c r="AI313" i="1"/>
  <c r="AI364" i="1"/>
  <c r="AI263" i="1"/>
  <c r="AI195" i="1"/>
  <c r="AI140" i="1"/>
  <c r="AI328" i="1"/>
  <c r="AI40" i="1"/>
  <c r="AI224" i="1"/>
  <c r="AI161" i="1"/>
  <c r="AI189" i="1"/>
  <c r="AI106" i="1"/>
  <c r="AI230" i="1"/>
  <c r="AI222" i="1"/>
  <c r="AI302" i="1"/>
  <c r="AI312" i="1"/>
  <c r="AI261" i="1"/>
  <c r="AI101" i="1"/>
  <c r="AI321" i="1"/>
  <c r="AI145" i="1"/>
  <c r="AI213" i="1"/>
  <c r="AI147" i="1"/>
  <c r="AI226" i="1"/>
  <c r="AI21" i="1"/>
  <c r="AI53" i="1"/>
  <c r="AI138" i="1"/>
  <c r="AI11" i="1"/>
  <c r="AI266" i="1"/>
  <c r="AI258" i="1"/>
  <c r="AI362" i="1"/>
  <c r="Y15" i="1"/>
  <c r="Y10" i="1"/>
  <c r="AI12" i="1" l="1"/>
  <c r="H10" i="3"/>
  <c r="J377" i="1"/>
  <c r="AH373" i="1"/>
  <c r="AH379" i="1" s="1"/>
  <c r="AI9" i="1"/>
  <c r="AI116" i="1"/>
  <c r="N15" i="3"/>
  <c r="O15" i="3" s="1"/>
  <c r="Y379" i="1"/>
  <c r="K371" i="1"/>
  <c r="N10" i="3"/>
  <c r="J379" i="1"/>
  <c r="J10" i="1"/>
  <c r="Y371" i="1"/>
  <c r="Z15" i="1"/>
  <c r="Z371" i="1" s="1"/>
  <c r="Z373" i="1"/>
  <c r="Z10" i="1"/>
  <c r="Z372" i="1" s="1"/>
  <c r="Y372" i="1"/>
  <c r="Y368" i="1"/>
  <c r="AI271" i="1"/>
  <c r="AI272" i="1"/>
  <c r="AI174" i="1"/>
  <c r="AH15" i="1"/>
  <c r="AI15" i="1" l="1"/>
  <c r="AI371" i="1" s="1"/>
  <c r="AH371" i="1"/>
  <c r="D15" i="12"/>
  <c r="K15" i="3"/>
  <c r="L15" i="3" s="1"/>
  <c r="Y378" i="1"/>
  <c r="H15" i="3"/>
  <c r="I15" i="3" s="1"/>
  <c r="Y374" i="1"/>
  <c r="Y377" i="1"/>
  <c r="N9" i="3"/>
  <c r="O10" i="3"/>
  <c r="AI373" i="1"/>
  <c r="I10" i="3"/>
  <c r="AH10" i="1"/>
  <c r="J372" i="1"/>
  <c r="K10" i="1"/>
  <c r="K372" i="1" s="1"/>
  <c r="J368" i="1"/>
  <c r="Z368" i="1"/>
  <c r="D15" i="3"/>
  <c r="AH372" i="1" l="1"/>
  <c r="AH378" i="1" s="1"/>
  <c r="AI10" i="1"/>
  <c r="AI372" i="1" s="1"/>
  <c r="AH368" i="1"/>
  <c r="AI368" i="1" s="1"/>
  <c r="D10" i="3"/>
  <c r="K368" i="1"/>
  <c r="Y380" i="1"/>
  <c r="Z374" i="1"/>
  <c r="F15" i="12"/>
  <c r="E15" i="12"/>
  <c r="F15" i="3"/>
  <c r="E15" i="3"/>
  <c r="D10" i="12"/>
  <c r="J378" i="1"/>
  <c r="K10" i="3"/>
  <c r="J374" i="1"/>
  <c r="H9" i="3"/>
  <c r="O9" i="3"/>
  <c r="AH377" i="1"/>
  <c r="AH374" i="1" l="1"/>
  <c r="AI374" i="1" s="1"/>
  <c r="E10" i="12"/>
  <c r="F10" i="12"/>
  <c r="D9" i="12"/>
  <c r="AH380" i="1"/>
  <c r="J380" i="1"/>
  <c r="K374" i="1"/>
  <c r="I9" i="3"/>
  <c r="K9" i="3"/>
  <c r="L10" i="3"/>
  <c r="E10" i="3"/>
  <c r="F10" i="3"/>
  <c r="D9" i="3"/>
  <c r="L9" i="3" l="1"/>
  <c r="E9" i="3"/>
  <c r="X9" i="3"/>
  <c r="X41" i="3" s="1"/>
  <c r="F9" i="3"/>
  <c r="F9" i="12"/>
  <c r="E9" i="12"/>
  <c r="CX103" i="1" l="1"/>
  <c r="DH103" i="1" s="1"/>
  <c r="CX282" i="1"/>
  <c r="DH282" i="1" s="1"/>
  <c r="CX143" i="1"/>
  <c r="DH143" i="1" s="1"/>
  <c r="CX315" i="1"/>
  <c r="DH315" i="1" s="1"/>
  <c r="CX313" i="1"/>
  <c r="DH313" i="1" s="1"/>
  <c r="CX247" i="1"/>
  <c r="DH247" i="1" s="1"/>
  <c r="CX263" i="1"/>
  <c r="DH263" i="1" s="1"/>
  <c r="CX363" i="1"/>
  <c r="DH363" i="1" s="1"/>
  <c r="CX311" i="1"/>
  <c r="DH311" i="1" s="1"/>
  <c r="CX319" i="1"/>
  <c r="DH319" i="1" s="1"/>
  <c r="CX101" i="1"/>
  <c r="DH101" i="1" s="1"/>
  <c r="CX46" i="1"/>
  <c r="DH46" i="1" s="1"/>
  <c r="CX107" i="1"/>
  <c r="DH107" i="1" s="1"/>
  <c r="CX255" i="1"/>
  <c r="DH255" i="1" s="1"/>
  <c r="CX137" i="1"/>
  <c r="DH137" i="1" s="1"/>
  <c r="CX88" i="1"/>
  <c r="DH88" i="1" s="1"/>
  <c r="CX274" i="1"/>
  <c r="DH274" i="1" s="1"/>
  <c r="CX233" i="1"/>
  <c r="DH233" i="1" s="1"/>
  <c r="CX359" i="1"/>
  <c r="DH359" i="1" s="1"/>
  <c r="CX325" i="1"/>
  <c r="DH325" i="1" s="1"/>
  <c r="CX207" i="1"/>
  <c r="DH207" i="1" s="1"/>
  <c r="CX151" i="1"/>
  <c r="DH151" i="1" s="1"/>
  <c r="CX111" i="1"/>
  <c r="DH111" i="1" s="1"/>
  <c r="CX364" i="1"/>
  <c r="DH364" i="1" s="1"/>
  <c r="CX261" i="1"/>
  <c r="DH261" i="1" s="1"/>
  <c r="CX93" i="1"/>
  <c r="DH93" i="1" s="1"/>
  <c r="CX109" i="1"/>
  <c r="DH109" i="1" s="1"/>
  <c r="CX139" i="1"/>
  <c r="DH139" i="1" s="1"/>
  <c r="CX267" i="1"/>
  <c r="DH267" i="1" s="1"/>
  <c r="CX243" i="1"/>
  <c r="DH243" i="1" s="1"/>
  <c r="CX201" i="1"/>
  <c r="DH201" i="1" s="1"/>
  <c r="CX292" i="1"/>
  <c r="DH292" i="1" s="1"/>
  <c r="CX90" i="1"/>
  <c r="DH90" i="1" s="1"/>
  <c r="CX339" i="1"/>
  <c r="DH339" i="1" s="1"/>
  <c r="CX296" i="1"/>
  <c r="DH296" i="1" s="1"/>
  <c r="CX257" i="1"/>
  <c r="DH257" i="1" s="1"/>
  <c r="CX240" i="1"/>
  <c r="DH240" i="1" s="1"/>
  <c r="CX348" i="1"/>
  <c r="DH348" i="1" s="1"/>
  <c r="CX293" i="1"/>
  <c r="DH293" i="1" s="1"/>
  <c r="CX62" i="1"/>
  <c r="DH62" i="1" s="1"/>
  <c r="CX338" i="1"/>
  <c r="DH338" i="1" s="1"/>
  <c r="CX314" i="1"/>
  <c r="DH314" i="1" s="1"/>
  <c r="CX346" i="1"/>
  <c r="DH346" i="1" s="1"/>
  <c r="CX295" i="1"/>
  <c r="DH295" i="1" s="1"/>
  <c r="CX246" i="1"/>
  <c r="DH246" i="1" s="1"/>
  <c r="CX136" i="1"/>
  <c r="DH136" i="1" s="1"/>
  <c r="CX112" i="1"/>
  <c r="DH112" i="1" s="1"/>
  <c r="CX100" i="1"/>
  <c r="DH100" i="1" s="1"/>
  <c r="CX228" i="1"/>
  <c r="DH228" i="1" s="1"/>
  <c r="CX55" i="1"/>
  <c r="DH55" i="1" s="1"/>
  <c r="CX213" i="1"/>
  <c r="DH213" i="1" s="1"/>
  <c r="CX35" i="1"/>
  <c r="DH35" i="1" s="1"/>
  <c r="CX106" i="1"/>
  <c r="DH106" i="1" s="1"/>
  <c r="CX148" i="1"/>
  <c r="DH148" i="1" s="1"/>
  <c r="CX33" i="1"/>
  <c r="DH33" i="1" s="1"/>
  <c r="CX199" i="1"/>
  <c r="DH199" i="1" s="1"/>
  <c r="CX64" i="1"/>
  <c r="DH64" i="1" s="1"/>
  <c r="CX297" i="1"/>
  <c r="DH297" i="1" s="1"/>
  <c r="CX260" i="1"/>
  <c r="DH260" i="1" s="1"/>
  <c r="CX360" i="1"/>
  <c r="DH360" i="1" s="1"/>
  <c r="CX271" i="1"/>
  <c r="DH271" i="1" s="1"/>
  <c r="CX264" i="1"/>
  <c r="DH264" i="1" s="1"/>
  <c r="CX32" i="1"/>
  <c r="DH32" i="1" s="1"/>
  <c r="CX310" i="1"/>
  <c r="DH310" i="1" s="1"/>
  <c r="CX142" i="1"/>
  <c r="DH142" i="1" s="1"/>
  <c r="CX318" i="1"/>
  <c r="DH318" i="1" s="1"/>
  <c r="CX186" i="1"/>
  <c r="DH186" i="1" s="1"/>
  <c r="CX91" i="1"/>
  <c r="DH91" i="1" s="1"/>
  <c r="CX37" i="1"/>
  <c r="DH37" i="1" s="1"/>
  <c r="CX320" i="1"/>
  <c r="DH320" i="1" s="1"/>
  <c r="CX18" i="1"/>
  <c r="DH18" i="1" s="1"/>
  <c r="CX301" i="1"/>
  <c r="DH301" i="1" s="1"/>
  <c r="CX328" i="1"/>
  <c r="DH328" i="1" s="1"/>
  <c r="CX20" i="1"/>
  <c r="CX194" i="1"/>
  <c r="DH194" i="1" s="1"/>
  <c r="CX283" i="1"/>
  <c r="DH283" i="1" s="1"/>
  <c r="CX354" i="1"/>
  <c r="DH354" i="1" s="1"/>
  <c r="CX326" i="1"/>
  <c r="DH326" i="1" s="1"/>
  <c r="CX332" i="1"/>
  <c r="DH332" i="1" s="1"/>
  <c r="CX291" i="1"/>
  <c r="DH291" i="1" s="1"/>
  <c r="CX303" i="1"/>
  <c r="DH303" i="1" s="1"/>
  <c r="CX362" i="1"/>
  <c r="DH362" i="1" s="1"/>
  <c r="CX92" i="1"/>
  <c r="DH92" i="1" s="1"/>
  <c r="CX172" i="1"/>
  <c r="DH172" i="1" s="1"/>
  <c r="CX312" i="1"/>
  <c r="DH312" i="1" s="1"/>
  <c r="CX366" i="1"/>
  <c r="DH366" i="1" s="1"/>
  <c r="CX74" i="1"/>
  <c r="DH74" i="1" s="1"/>
  <c r="CX152" i="1"/>
  <c r="DH152" i="1" s="1"/>
  <c r="CX220" i="1"/>
  <c r="DH220" i="1" s="1"/>
  <c r="CX281" i="1"/>
  <c r="DH281" i="1" s="1"/>
  <c r="CX316" i="1"/>
  <c r="DH316" i="1" s="1"/>
  <c r="DH20" i="1" l="1"/>
  <c r="CX222" i="1"/>
  <c r="DH222" i="1" s="1"/>
  <c r="CX53" i="1"/>
  <c r="DH53" i="1" s="1"/>
  <c r="CX94" i="1"/>
  <c r="DH94" i="1" s="1"/>
  <c r="CX289" i="1"/>
  <c r="DH289" i="1" s="1"/>
  <c r="CX61" i="1"/>
  <c r="DH61" i="1" s="1"/>
  <c r="CX280" i="1"/>
  <c r="DH280" i="1" s="1"/>
  <c r="CX221" i="1"/>
  <c r="DH221" i="1" s="1"/>
  <c r="CX191" i="1"/>
  <c r="DH191" i="1" s="1"/>
  <c r="CX241" i="1"/>
  <c r="DH241" i="1" s="1"/>
  <c r="CX290" i="1"/>
  <c r="DH290" i="1" s="1"/>
  <c r="CX39" i="1"/>
  <c r="DH39" i="1" s="1"/>
  <c r="CX248" i="1"/>
  <c r="DH248" i="1" s="1"/>
  <c r="CX265" i="1"/>
  <c r="DH265" i="1" s="1"/>
  <c r="CX317" i="1"/>
  <c r="DH317" i="1" s="1"/>
  <c r="CX367" i="1"/>
  <c r="DH367" i="1" s="1"/>
  <c r="CX361" i="1"/>
  <c r="DH361" i="1" s="1"/>
  <c r="CX286" i="1"/>
  <c r="DH286" i="1" s="1"/>
  <c r="CX34" i="1"/>
  <c r="DH34" i="1" s="1"/>
  <c r="CX63" i="1"/>
  <c r="DH63" i="1" s="1"/>
  <c r="CX235" i="1"/>
  <c r="DH235" i="1" s="1"/>
  <c r="CX97" i="1"/>
  <c r="DH97" i="1" s="1"/>
  <c r="CX21" i="1"/>
  <c r="DH21" i="1" s="1"/>
  <c r="CX259" i="1"/>
  <c r="DH259" i="1" s="1"/>
  <c r="CX343" i="1"/>
  <c r="DH343" i="1" s="1"/>
  <c r="CX253" i="1"/>
  <c r="DH253" i="1" s="1"/>
  <c r="CX217" i="1"/>
  <c r="DH217" i="1" s="1"/>
  <c r="CX154" i="1"/>
  <c r="DH154" i="1" s="1"/>
  <c r="CX104" i="1"/>
  <c r="DH104" i="1" s="1"/>
  <c r="CX144" i="1"/>
  <c r="DH144" i="1" s="1"/>
  <c r="CX193" i="1"/>
  <c r="DH193" i="1" s="1"/>
  <c r="CX134" i="1"/>
  <c r="DH134" i="1" s="1"/>
  <c r="CX141" i="1"/>
  <c r="DH141" i="1" s="1"/>
  <c r="CX170" i="1"/>
  <c r="DH170" i="1" s="1"/>
  <c r="CX190" i="1"/>
  <c r="DH190" i="1" s="1"/>
  <c r="CX56" i="1"/>
  <c r="DH56" i="1" s="1"/>
  <c r="CX198" i="1"/>
  <c r="DH198" i="1" s="1"/>
  <c r="CX294" i="1"/>
  <c r="DH294" i="1" s="1"/>
  <c r="CX102" i="1"/>
  <c r="DH102" i="1" s="1"/>
  <c r="CX250" i="1"/>
  <c r="DH250" i="1" s="1"/>
  <c r="CX266" i="1"/>
  <c r="DH266" i="1" s="1"/>
  <c r="CX22" i="1"/>
  <c r="DH22" i="1" s="1"/>
  <c r="CX19" i="1"/>
  <c r="CX38" i="1"/>
  <c r="DH38" i="1" s="1"/>
  <c r="CX99" i="1"/>
  <c r="DH99" i="1" s="1"/>
  <c r="CX40" i="1"/>
  <c r="DH40" i="1" s="1"/>
  <c r="CX327" i="1"/>
  <c r="DH327" i="1" s="1"/>
  <c r="CX284" i="1"/>
  <c r="DH284" i="1" s="1"/>
  <c r="CX300" i="1"/>
  <c r="DH300" i="1" s="1"/>
  <c r="CX36" i="1"/>
  <c r="DH36" i="1" s="1"/>
  <c r="CX288" i="1"/>
  <c r="DH288" i="1" s="1"/>
  <c r="CX309" i="1"/>
  <c r="DH309" i="1" s="1"/>
  <c r="CX15" i="1"/>
  <c r="CX189" i="1"/>
  <c r="DH189" i="1" s="1"/>
  <c r="DH19" i="1" l="1"/>
  <c r="DH372" i="1" s="1"/>
  <c r="CX372" i="1"/>
  <c r="CX371" i="1"/>
  <c r="DH15" i="1"/>
  <c r="CX125" i="1"/>
  <c r="DH125" i="1" l="1"/>
  <c r="DH373" i="1" s="1"/>
  <c r="CX373" i="1"/>
  <c r="CX374" i="1" s="1"/>
  <c r="CX375" i="1" s="1"/>
  <c r="CX368" i="1"/>
  <c r="DH371" i="1"/>
  <c r="DH368" i="1" l="1"/>
  <c r="DH374" i="1"/>
  <c r="C51" i="3"/>
  <c r="CX369" i="1"/>
  <c r="CX370" i="1"/>
  <c r="DP369" i="1" l="1"/>
  <c r="C52" i="3"/>
  <c r="CX2" i="1" l="1"/>
  <c r="C49" i="3"/>
  <c r="C48" i="3" s="1"/>
  <c r="CY3" i="1" l="1"/>
  <c r="CX4" i="1"/>
  <c r="DP371" i="1"/>
  <c r="DP372" i="1" s="1"/>
  <c r="BX233" i="1" l="1"/>
  <c r="BX244" i="1"/>
  <c r="BX225" i="1"/>
  <c r="BX56" i="1"/>
  <c r="BX42" i="1"/>
  <c r="BX360" i="1"/>
  <c r="BX178" i="1"/>
  <c r="BX206" i="1"/>
  <c r="BX278" i="1"/>
  <c r="BX175" i="1"/>
  <c r="BX289" i="1"/>
  <c r="BX72" i="1"/>
  <c r="BX168" i="1"/>
  <c r="BX218" i="1"/>
  <c r="BX36" i="1"/>
  <c r="BX292" i="1"/>
  <c r="BX62" i="1"/>
  <c r="BX74" i="1"/>
  <c r="BX115" i="1"/>
  <c r="BX313" i="1"/>
  <c r="BX88" i="1"/>
  <c r="BX27" i="1"/>
  <c r="BX133" i="1"/>
  <c r="BX356" i="1"/>
  <c r="BX30" i="1"/>
  <c r="BX243" i="1"/>
  <c r="BX359" i="1"/>
  <c r="BX216" i="1"/>
  <c r="BX123" i="1"/>
  <c r="BX224" i="1"/>
  <c r="BX22" i="1"/>
  <c r="BX15" i="1"/>
  <c r="BX361" i="1"/>
  <c r="BX319" i="1"/>
  <c r="BX163" i="1"/>
  <c r="BX126" i="1"/>
  <c r="BX252" i="1"/>
  <c r="BX35" i="1"/>
  <c r="BX65" i="1"/>
  <c r="BX251" i="1"/>
  <c r="BX186" i="1"/>
  <c r="BX81" i="1"/>
  <c r="BX222" i="1"/>
  <c r="BX348" i="1"/>
  <c r="BX50" i="1"/>
  <c r="BX264" i="1"/>
  <c r="BX119" i="1"/>
  <c r="BX112" i="1"/>
  <c r="BX235" i="1"/>
  <c r="BX95" i="1"/>
  <c r="BX306" i="1"/>
  <c r="BX263" i="1"/>
  <c r="BX25" i="1"/>
  <c r="BX151" i="1"/>
  <c r="BX92" i="1"/>
  <c r="BX131" i="1"/>
  <c r="BX343" i="1"/>
  <c r="BX260" i="1"/>
  <c r="BX352" i="1"/>
  <c r="BX365" i="1"/>
  <c r="BX39" i="1"/>
  <c r="BX100" i="1"/>
  <c r="BX99" i="1"/>
  <c r="BX79" i="1"/>
  <c r="BX41" i="1"/>
  <c r="BX64" i="1"/>
  <c r="BX345" i="1"/>
  <c r="BX117" i="1"/>
  <c r="BX322" i="1"/>
  <c r="BX304" i="1"/>
  <c r="BX268" i="1"/>
  <c r="BX54" i="1"/>
  <c r="BX111" i="1"/>
  <c r="BX203" i="1"/>
  <c r="BX23" i="1"/>
  <c r="BX267" i="1"/>
  <c r="BX317" i="1"/>
  <c r="BX38" i="1"/>
  <c r="BX75" i="1"/>
  <c r="BX200" i="1"/>
  <c r="BX51" i="1"/>
  <c r="BX116" i="1"/>
  <c r="BX129" i="1"/>
  <c r="BX300" i="1"/>
  <c r="BX329" i="1"/>
  <c r="BX265" i="1"/>
  <c r="BX71" i="1"/>
  <c r="BX205" i="1"/>
  <c r="BX342" i="1"/>
  <c r="BX164" i="1"/>
  <c r="BX207" i="1"/>
  <c r="BX150" i="1"/>
  <c r="BX241" i="1"/>
  <c r="BX114" i="1"/>
  <c r="BX346" i="1"/>
  <c r="BX341" i="1"/>
  <c r="BX166" i="1"/>
  <c r="BX309" i="1"/>
  <c r="BX253" i="1"/>
  <c r="BX276" i="1"/>
  <c r="BX362" i="1"/>
  <c r="BX179" i="1"/>
  <c r="BX128" i="1"/>
  <c r="BX106" i="1"/>
  <c r="BX364" i="1"/>
  <c r="BX110" i="1"/>
  <c r="BX211" i="1"/>
  <c r="BX246" i="1"/>
  <c r="BX240" i="1"/>
  <c r="BX67" i="1"/>
  <c r="BX296" i="1"/>
  <c r="BX69" i="1"/>
  <c r="BX295" i="1"/>
  <c r="BX302" i="1"/>
  <c r="BX176" i="1"/>
  <c r="BX320" i="1"/>
  <c r="BX280" i="1"/>
  <c r="BX351" i="1"/>
  <c r="BX290" i="1"/>
  <c r="BX84" i="1"/>
  <c r="BX80" i="1"/>
  <c r="BX143" i="1"/>
  <c r="BX308" i="1"/>
  <c r="BX192" i="1"/>
  <c r="BX121" i="1"/>
  <c r="BX281" i="1"/>
  <c r="BX160" i="1"/>
  <c r="BX330" i="1"/>
  <c r="BX159" i="1"/>
  <c r="BX210" i="1"/>
  <c r="BX220" i="1"/>
  <c r="BX136" i="1"/>
  <c r="BX156" i="1"/>
  <c r="BX282" i="1"/>
  <c r="BX155" i="1"/>
  <c r="BX275" i="1"/>
  <c r="BX60" i="1"/>
  <c r="BX331" i="1"/>
  <c r="BX270" i="1"/>
  <c r="BX162" i="1"/>
  <c r="BX231" i="1"/>
  <c r="BX299" i="1"/>
  <c r="BX169" i="1"/>
  <c r="BX297" i="1"/>
  <c r="BX48" i="1"/>
  <c r="BX140" i="1"/>
  <c r="BX91" i="1"/>
  <c r="BX152" i="1"/>
  <c r="BX149" i="1"/>
  <c r="BX232" i="1"/>
  <c r="BX358" i="1"/>
  <c r="BX204" i="1"/>
  <c r="BX333" i="1"/>
  <c r="BX324" i="1"/>
  <c r="BX157" i="1"/>
  <c r="BX214" i="1"/>
  <c r="BX55" i="1"/>
  <c r="BX134" i="1"/>
  <c r="BX312" i="1"/>
  <c r="BX217" i="1"/>
  <c r="BX89" i="1"/>
  <c r="BX191" i="1"/>
  <c r="BX334" i="1"/>
  <c r="BX21" i="1"/>
  <c r="BX250" i="1"/>
  <c r="BX70" i="1"/>
  <c r="BX96" i="1"/>
  <c r="BX105" i="1"/>
  <c r="BX141" i="1"/>
  <c r="BX45" i="1"/>
  <c r="BX170" i="1"/>
  <c r="BX40" i="1"/>
  <c r="BX242" i="1"/>
  <c r="BX238" i="1"/>
  <c r="BX288" i="1"/>
  <c r="BX197" i="1"/>
  <c r="BX180" i="1"/>
  <c r="BX87" i="1"/>
  <c r="BX209" i="1"/>
  <c r="BX85" i="1"/>
  <c r="BX357" i="1"/>
  <c r="BX274" i="1"/>
  <c r="BX47" i="1"/>
  <c r="BX229" i="1"/>
  <c r="BX344" i="1"/>
  <c r="BX367" i="1"/>
  <c r="BX52" i="1"/>
  <c r="BX328" i="1"/>
  <c r="BX248" i="1"/>
  <c r="BX132" i="1"/>
  <c r="BX199" i="1"/>
  <c r="BX310" i="1"/>
  <c r="BX325" i="1"/>
  <c r="BX340" i="1"/>
  <c r="BX305" i="1"/>
  <c r="BX49" i="1"/>
  <c r="BX215" i="1"/>
  <c r="BX188" i="1"/>
  <c r="BX294" i="1"/>
  <c r="BX307" i="1"/>
  <c r="BX239" i="1"/>
  <c r="BX187" i="1"/>
  <c r="BX335" i="1"/>
  <c r="BX145" i="1"/>
  <c r="BX76" i="1"/>
  <c r="BX33" i="1"/>
  <c r="BX196" i="1"/>
  <c r="BX321" i="1"/>
  <c r="BX254" i="1"/>
  <c r="BX237" i="1"/>
  <c r="BX285" i="1"/>
  <c r="BX247" i="1"/>
  <c r="BX234" i="1"/>
  <c r="BX323" i="1"/>
  <c r="BX249" i="1"/>
  <c r="BX311" i="1"/>
  <c r="BX18" i="1"/>
  <c r="BX135" i="1"/>
  <c r="BX146" i="1"/>
  <c r="BX339" i="1"/>
  <c r="BX29" i="1"/>
  <c r="BX337" i="1"/>
  <c r="BX107" i="1"/>
  <c r="BX293" i="1"/>
  <c r="BX183" i="1"/>
  <c r="BX124" i="1"/>
  <c r="BX363" i="1"/>
  <c r="BX28" i="1"/>
  <c r="BX14" i="1"/>
  <c r="BX230" i="1"/>
  <c r="BX212" i="1"/>
  <c r="BX228" i="1"/>
  <c r="BX172" i="1"/>
  <c r="BX189" i="1"/>
  <c r="BX103" i="1"/>
  <c r="BX98" i="1"/>
  <c r="BX272" i="1"/>
  <c r="BX32" i="1"/>
  <c r="BX125" i="1"/>
  <c r="BX144" i="1"/>
  <c r="BX130" i="1"/>
  <c r="BX316" i="1"/>
  <c r="BX261" i="1"/>
  <c r="BX94" i="1"/>
  <c r="BX256" i="1"/>
  <c r="BX223" i="1"/>
  <c r="BX221" i="1"/>
  <c r="BX273" i="1"/>
  <c r="BX153" i="1"/>
  <c r="BX326" i="1"/>
  <c r="BX259" i="1"/>
  <c r="BX338" i="1"/>
  <c r="BX208" i="1"/>
  <c r="BX236" i="1"/>
  <c r="BX66" i="1"/>
  <c r="BX277" i="1"/>
  <c r="BX245" i="1"/>
  <c r="BX102" i="1"/>
  <c r="BX332" i="1"/>
  <c r="BX147" i="1"/>
  <c r="BX174" i="1"/>
  <c r="BX19" i="1"/>
  <c r="BX68" i="1"/>
  <c r="BX286" i="1"/>
  <c r="BX181" i="1"/>
  <c r="BX257" i="1"/>
  <c r="BX173" i="1"/>
  <c r="BX86" i="1"/>
  <c r="BX165" i="1"/>
  <c r="BX109" i="1"/>
  <c r="BX118" i="1"/>
  <c r="BX58" i="1"/>
  <c r="BX202" i="1"/>
  <c r="BX347" i="1"/>
  <c r="BX127" i="1"/>
  <c r="BX73" i="1"/>
  <c r="BX226" i="1"/>
  <c r="BX194" i="1"/>
  <c r="BX43" i="1"/>
  <c r="BX82" i="1"/>
  <c r="BX190" i="1"/>
  <c r="BX182" i="1"/>
  <c r="BX59" i="1"/>
  <c r="BX193" i="1"/>
  <c r="BX161" i="1"/>
  <c r="BX137" i="1"/>
  <c r="BX349" i="1"/>
  <c r="BX139" i="1"/>
  <c r="BX184" i="1"/>
  <c r="BX83" i="1"/>
  <c r="BX142" i="1"/>
  <c r="BX336" i="1"/>
  <c r="BX12" i="1"/>
  <c r="BX271" i="1"/>
  <c r="BX63" i="1"/>
  <c r="BX353" i="1"/>
  <c r="BX350" i="1"/>
  <c r="BX158" i="1"/>
  <c r="BX148" i="1"/>
  <c r="BX314" i="1"/>
  <c r="BX97" i="1"/>
  <c r="BX78" i="1"/>
  <c r="BX279" i="1"/>
  <c r="BX219" i="1"/>
  <c r="BX93" i="1"/>
  <c r="BX113" i="1"/>
  <c r="BX90" i="1"/>
  <c r="BX258" i="1"/>
  <c r="BX327" i="1"/>
  <c r="BX138" i="1"/>
  <c r="BX104" i="1"/>
  <c r="BX122" i="1"/>
  <c r="BX44" i="1"/>
  <c r="BX177" i="1"/>
  <c r="BX366" i="1"/>
  <c r="BX26" i="1"/>
  <c r="BX283" i="1"/>
  <c r="BX227" i="1"/>
  <c r="BX315" i="1"/>
  <c r="BX108" i="1"/>
  <c r="BX291" i="1"/>
  <c r="BX185" i="1"/>
  <c r="BX318" i="1"/>
  <c r="BX269" i="1"/>
  <c r="BX198" i="1"/>
  <c r="BX213" i="1"/>
  <c r="BX262" i="1"/>
  <c r="BX11" i="1"/>
  <c r="BX53" i="1"/>
  <c r="BX303" i="1"/>
  <c r="BX355" i="1"/>
  <c r="BX171" i="1"/>
  <c r="BX46" i="1"/>
  <c r="BX120" i="1"/>
  <c r="BX284" i="1"/>
  <c r="BX20" i="1"/>
  <c r="BX101" i="1"/>
  <c r="BX154" i="1"/>
  <c r="BX24" i="1"/>
  <c r="BX61" i="1"/>
  <c r="BX298" i="1"/>
  <c r="BX57" i="1"/>
  <c r="BX77" i="1"/>
  <c r="BX201" i="1"/>
  <c r="BX37" i="1"/>
  <c r="BX266" i="1"/>
  <c r="BX354" i="1"/>
  <c r="BX16" i="1"/>
  <c r="BX287" i="1" l="1"/>
  <c r="BX9" i="1"/>
  <c r="BY77" i="1"/>
  <c r="CS77" i="1"/>
  <c r="BY298" i="1"/>
  <c r="CS298" i="1"/>
  <c r="BY20" i="1"/>
  <c r="CS20" i="1"/>
  <c r="BY355" i="1"/>
  <c r="CS355" i="1"/>
  <c r="BY53" i="1"/>
  <c r="CS53" i="1"/>
  <c r="BY262" i="1"/>
  <c r="CS262" i="1"/>
  <c r="BY198" i="1"/>
  <c r="CS198" i="1"/>
  <c r="BY318" i="1"/>
  <c r="CS318" i="1"/>
  <c r="BY291" i="1"/>
  <c r="CS291" i="1"/>
  <c r="BY315" i="1"/>
  <c r="CS315" i="1"/>
  <c r="BY283" i="1"/>
  <c r="CS283" i="1"/>
  <c r="BY177" i="1"/>
  <c r="CS177" i="1"/>
  <c r="BY279" i="1"/>
  <c r="CS279" i="1"/>
  <c r="BY182" i="1"/>
  <c r="CS182" i="1"/>
  <c r="BY118" i="1"/>
  <c r="CS118" i="1"/>
  <c r="BY19" i="1"/>
  <c r="CS19" i="1"/>
  <c r="BY147" i="1"/>
  <c r="CS147" i="1"/>
  <c r="BY102" i="1"/>
  <c r="CS102" i="1"/>
  <c r="BY66" i="1"/>
  <c r="CS66" i="1"/>
  <c r="BY208" i="1"/>
  <c r="CS208" i="1"/>
  <c r="BY259" i="1"/>
  <c r="CS259" i="1"/>
  <c r="BY153" i="1"/>
  <c r="CS153" i="1"/>
  <c r="BY221" i="1"/>
  <c r="CS221" i="1"/>
  <c r="BY144" i="1"/>
  <c r="CS144" i="1"/>
  <c r="BY32" i="1"/>
  <c r="CS32" i="1"/>
  <c r="BY98" i="1"/>
  <c r="CS98" i="1"/>
  <c r="BY189" i="1"/>
  <c r="CS189" i="1"/>
  <c r="BY228" i="1"/>
  <c r="CS228" i="1"/>
  <c r="BY14" i="1"/>
  <c r="CS14" i="1"/>
  <c r="BY124" i="1"/>
  <c r="CS124" i="1"/>
  <c r="BY293" i="1"/>
  <c r="CS293" i="1"/>
  <c r="BY337" i="1"/>
  <c r="CS337" i="1"/>
  <c r="BY146" i="1"/>
  <c r="CS146" i="1"/>
  <c r="BY18" i="1"/>
  <c r="CS18" i="1"/>
  <c r="BY249" i="1"/>
  <c r="CS249" i="1"/>
  <c r="BY234" i="1"/>
  <c r="CS234" i="1"/>
  <c r="BY285" i="1"/>
  <c r="CS285" i="1"/>
  <c r="BY254" i="1"/>
  <c r="CS254" i="1"/>
  <c r="BY196" i="1"/>
  <c r="CS196" i="1"/>
  <c r="BY307" i="1"/>
  <c r="CS307" i="1"/>
  <c r="BY188" i="1"/>
  <c r="CS188" i="1"/>
  <c r="BY49" i="1"/>
  <c r="CS49" i="1"/>
  <c r="BY248" i="1"/>
  <c r="CS248" i="1"/>
  <c r="BY274" i="1"/>
  <c r="CS274" i="1"/>
  <c r="BY85" i="1"/>
  <c r="CS85" i="1"/>
  <c r="BY170" i="1"/>
  <c r="CS170" i="1"/>
  <c r="BY217" i="1"/>
  <c r="CS217" i="1"/>
  <c r="BY134" i="1"/>
  <c r="CS134" i="1"/>
  <c r="BY214" i="1"/>
  <c r="CS214" i="1"/>
  <c r="BY324" i="1"/>
  <c r="CS324" i="1"/>
  <c r="BY204" i="1"/>
  <c r="CS204" i="1"/>
  <c r="BY232" i="1"/>
  <c r="CS232" i="1"/>
  <c r="BY152" i="1"/>
  <c r="CS152" i="1"/>
  <c r="BY140" i="1"/>
  <c r="CS140" i="1"/>
  <c r="BY169" i="1"/>
  <c r="CS169" i="1"/>
  <c r="BY162" i="1"/>
  <c r="CS162" i="1"/>
  <c r="BY331" i="1"/>
  <c r="CS331" i="1"/>
  <c r="BY136" i="1"/>
  <c r="CS136" i="1"/>
  <c r="BY210" i="1"/>
  <c r="CS210" i="1"/>
  <c r="BY160" i="1"/>
  <c r="CS160" i="1"/>
  <c r="BY121" i="1"/>
  <c r="CS121" i="1"/>
  <c r="BY308" i="1"/>
  <c r="CS308" i="1"/>
  <c r="BY302" i="1"/>
  <c r="CS302" i="1"/>
  <c r="BY211" i="1"/>
  <c r="CS211" i="1"/>
  <c r="BY364" i="1"/>
  <c r="CS364" i="1"/>
  <c r="BY341" i="1"/>
  <c r="CS341" i="1"/>
  <c r="BY114" i="1"/>
  <c r="CS114" i="1"/>
  <c r="BY150" i="1"/>
  <c r="CS150" i="1"/>
  <c r="BY129" i="1"/>
  <c r="CS129" i="1"/>
  <c r="BY51" i="1"/>
  <c r="CS51" i="1"/>
  <c r="BY322" i="1"/>
  <c r="CS322" i="1"/>
  <c r="BY79" i="1"/>
  <c r="CS79" i="1"/>
  <c r="BY100" i="1"/>
  <c r="CS100" i="1"/>
  <c r="BY365" i="1"/>
  <c r="CS365" i="1"/>
  <c r="BY260" i="1"/>
  <c r="CS260" i="1"/>
  <c r="BY131" i="1"/>
  <c r="CS131" i="1"/>
  <c r="BY151" i="1"/>
  <c r="CS151" i="1"/>
  <c r="BY306" i="1"/>
  <c r="CS306" i="1"/>
  <c r="BY235" i="1"/>
  <c r="CS235" i="1"/>
  <c r="BY251" i="1"/>
  <c r="CS251" i="1"/>
  <c r="BY252" i="1"/>
  <c r="CS252" i="1"/>
  <c r="BY15" i="1"/>
  <c r="CS15" i="1"/>
  <c r="BY224" i="1"/>
  <c r="CS224" i="1"/>
  <c r="BY30" i="1"/>
  <c r="CS30" i="1"/>
  <c r="BY27" i="1"/>
  <c r="CS27" i="1"/>
  <c r="BY115" i="1"/>
  <c r="CS115" i="1"/>
  <c r="BY62" i="1"/>
  <c r="CS62" i="1"/>
  <c r="BY36" i="1"/>
  <c r="CS36" i="1"/>
  <c r="BY175" i="1"/>
  <c r="CS175" i="1"/>
  <c r="BY206" i="1"/>
  <c r="CS206" i="1"/>
  <c r="BX34" i="1"/>
  <c r="BX31" i="1"/>
  <c r="BX195" i="1"/>
  <c r="BY16" i="1"/>
  <c r="CS16" i="1"/>
  <c r="BY266" i="1"/>
  <c r="CS266" i="1"/>
  <c r="BY201" i="1"/>
  <c r="CS201" i="1"/>
  <c r="BY24" i="1"/>
  <c r="CS24" i="1"/>
  <c r="BY101" i="1"/>
  <c r="CS101" i="1"/>
  <c r="BY120" i="1"/>
  <c r="CS120" i="1"/>
  <c r="BY366" i="1"/>
  <c r="CS366" i="1"/>
  <c r="BY122" i="1"/>
  <c r="CS122" i="1"/>
  <c r="BY138" i="1"/>
  <c r="CS138" i="1"/>
  <c r="BY258" i="1"/>
  <c r="CS258" i="1"/>
  <c r="BY113" i="1"/>
  <c r="CS113" i="1"/>
  <c r="BY219" i="1"/>
  <c r="CS219" i="1"/>
  <c r="BY97" i="1"/>
  <c r="CS97" i="1"/>
  <c r="BY148" i="1"/>
  <c r="CS148" i="1"/>
  <c r="BY350" i="1"/>
  <c r="CS350" i="1"/>
  <c r="BY63" i="1"/>
  <c r="CS63" i="1"/>
  <c r="BY12" i="1"/>
  <c r="CS12" i="1"/>
  <c r="BY142" i="1"/>
  <c r="CS142" i="1"/>
  <c r="BY184" i="1"/>
  <c r="CS184" i="1"/>
  <c r="BY349" i="1"/>
  <c r="CS349" i="1"/>
  <c r="BY161" i="1"/>
  <c r="CS161" i="1"/>
  <c r="BY82" i="1"/>
  <c r="CS82" i="1"/>
  <c r="BY194" i="1"/>
  <c r="CS194" i="1"/>
  <c r="BY73" i="1"/>
  <c r="CS73" i="1"/>
  <c r="BY347" i="1"/>
  <c r="CS347" i="1"/>
  <c r="BY58" i="1"/>
  <c r="CS58" i="1"/>
  <c r="BY165" i="1"/>
  <c r="CS165" i="1"/>
  <c r="BY173" i="1"/>
  <c r="CS173" i="1"/>
  <c r="BY181" i="1"/>
  <c r="CS181" i="1"/>
  <c r="BY277" i="1"/>
  <c r="CS277" i="1"/>
  <c r="BY256" i="1"/>
  <c r="CS256" i="1"/>
  <c r="BY261" i="1"/>
  <c r="CS261" i="1"/>
  <c r="BY230" i="1"/>
  <c r="CS230" i="1"/>
  <c r="BY363" i="1"/>
  <c r="CS363" i="1"/>
  <c r="BY339" i="1"/>
  <c r="CS339" i="1"/>
  <c r="BY76" i="1"/>
  <c r="CS76" i="1"/>
  <c r="BY335" i="1"/>
  <c r="CS335" i="1"/>
  <c r="BY239" i="1"/>
  <c r="CS239" i="1"/>
  <c r="BY340" i="1"/>
  <c r="CS340" i="1"/>
  <c r="BY310" i="1"/>
  <c r="CS310" i="1"/>
  <c r="BY52" i="1"/>
  <c r="CS52" i="1"/>
  <c r="BY344" i="1"/>
  <c r="CS344" i="1"/>
  <c r="BY87" i="1"/>
  <c r="CS87" i="1"/>
  <c r="BY197" i="1"/>
  <c r="CS197" i="1"/>
  <c r="BY238" i="1"/>
  <c r="CS238" i="1"/>
  <c r="BY40" i="1"/>
  <c r="CS40" i="1"/>
  <c r="BY141" i="1"/>
  <c r="CS141" i="1"/>
  <c r="BY96" i="1"/>
  <c r="CS96" i="1"/>
  <c r="BY250" i="1"/>
  <c r="CS250" i="1"/>
  <c r="BY334" i="1"/>
  <c r="CS334" i="1"/>
  <c r="BY297" i="1"/>
  <c r="CS297" i="1"/>
  <c r="BY231" i="1"/>
  <c r="CS231" i="1"/>
  <c r="BY155" i="1"/>
  <c r="CS155" i="1"/>
  <c r="BY330" i="1"/>
  <c r="CS330" i="1"/>
  <c r="BY80" i="1"/>
  <c r="CS80" i="1"/>
  <c r="BY290" i="1"/>
  <c r="CS290" i="1"/>
  <c r="BY280" i="1"/>
  <c r="CS280" i="1"/>
  <c r="BY69" i="1"/>
  <c r="CS69" i="1"/>
  <c r="BY67" i="1"/>
  <c r="CS67" i="1"/>
  <c r="BY246" i="1"/>
  <c r="CS246" i="1"/>
  <c r="BY128" i="1"/>
  <c r="CS128" i="1"/>
  <c r="BY362" i="1"/>
  <c r="CS362" i="1"/>
  <c r="BY253" i="1"/>
  <c r="CS253" i="1"/>
  <c r="BY164" i="1"/>
  <c r="CS164" i="1"/>
  <c r="BY205" i="1"/>
  <c r="CS205" i="1"/>
  <c r="BY265" i="1"/>
  <c r="CS265" i="1"/>
  <c r="BY300" i="1"/>
  <c r="CS300" i="1"/>
  <c r="BY75" i="1"/>
  <c r="CS75" i="1"/>
  <c r="BY317" i="1"/>
  <c r="CS317" i="1"/>
  <c r="BY23" i="1"/>
  <c r="CS23" i="1"/>
  <c r="BY111" i="1"/>
  <c r="CS111" i="1"/>
  <c r="BY304" i="1"/>
  <c r="CS304" i="1"/>
  <c r="BY345" i="1"/>
  <c r="CS345" i="1"/>
  <c r="BY41" i="1"/>
  <c r="CS41" i="1"/>
  <c r="BY263" i="1"/>
  <c r="CS263" i="1"/>
  <c r="BY119" i="1"/>
  <c r="CS119" i="1"/>
  <c r="BY50" i="1"/>
  <c r="CS50" i="1"/>
  <c r="BY222" i="1"/>
  <c r="CS222" i="1"/>
  <c r="BY186" i="1"/>
  <c r="CS186" i="1"/>
  <c r="BY35" i="1"/>
  <c r="CS35" i="1"/>
  <c r="BY163" i="1"/>
  <c r="CS163" i="1"/>
  <c r="BY361" i="1"/>
  <c r="CS361" i="1"/>
  <c r="BY216" i="1"/>
  <c r="CS216" i="1"/>
  <c r="BY243" i="1"/>
  <c r="CS243" i="1"/>
  <c r="BY133" i="1"/>
  <c r="CS133" i="1"/>
  <c r="BY313" i="1"/>
  <c r="CS313" i="1"/>
  <c r="BY168" i="1"/>
  <c r="CS168" i="1"/>
  <c r="BY289" i="1"/>
  <c r="CS289" i="1"/>
  <c r="BY360" i="1"/>
  <c r="CS360" i="1"/>
  <c r="BY56" i="1"/>
  <c r="CS56" i="1"/>
  <c r="BY244" i="1"/>
  <c r="CS244" i="1"/>
  <c r="BX10" i="1"/>
  <c r="BX13" i="1"/>
  <c r="BX17" i="1"/>
  <c r="BX301" i="1"/>
  <c r="BX167" i="1"/>
  <c r="BX255" i="1"/>
  <c r="BY57" i="1"/>
  <c r="CS57" i="1"/>
  <c r="BY61" i="1"/>
  <c r="CS61" i="1"/>
  <c r="BY284" i="1"/>
  <c r="CS284" i="1"/>
  <c r="BY171" i="1"/>
  <c r="CS171" i="1"/>
  <c r="BY303" i="1"/>
  <c r="CS303" i="1"/>
  <c r="BY11" i="1"/>
  <c r="CS11" i="1"/>
  <c r="BY213" i="1"/>
  <c r="CS213" i="1"/>
  <c r="BY269" i="1"/>
  <c r="CS269" i="1"/>
  <c r="BY185" i="1"/>
  <c r="CS185" i="1"/>
  <c r="BY108" i="1"/>
  <c r="CS108" i="1"/>
  <c r="BY227" i="1"/>
  <c r="CS227" i="1"/>
  <c r="BY44" i="1"/>
  <c r="CS44" i="1"/>
  <c r="BY59" i="1"/>
  <c r="CS59" i="1"/>
  <c r="BY190" i="1"/>
  <c r="CS190" i="1"/>
  <c r="BY109" i="1"/>
  <c r="CS109" i="1"/>
  <c r="BY68" i="1"/>
  <c r="CS68" i="1"/>
  <c r="BY174" i="1"/>
  <c r="CS174" i="1"/>
  <c r="BY332" i="1"/>
  <c r="CS332" i="1"/>
  <c r="BY245" i="1"/>
  <c r="CS245" i="1"/>
  <c r="BY236" i="1"/>
  <c r="CS236" i="1"/>
  <c r="BY338" i="1"/>
  <c r="CS338" i="1"/>
  <c r="BY326" i="1"/>
  <c r="CS326" i="1"/>
  <c r="BY273" i="1"/>
  <c r="CS273" i="1"/>
  <c r="BY130" i="1"/>
  <c r="CS130" i="1"/>
  <c r="BY125" i="1"/>
  <c r="CS125" i="1"/>
  <c r="BY272" i="1"/>
  <c r="CS272" i="1"/>
  <c r="BY103" i="1"/>
  <c r="CS103" i="1"/>
  <c r="BY172" i="1"/>
  <c r="CS172" i="1"/>
  <c r="BY183" i="1"/>
  <c r="CS183" i="1"/>
  <c r="BY107" i="1"/>
  <c r="CS107" i="1"/>
  <c r="BY135" i="1"/>
  <c r="CS135" i="1"/>
  <c r="BY311" i="1"/>
  <c r="CS311" i="1"/>
  <c r="BY323" i="1"/>
  <c r="CS323" i="1"/>
  <c r="BY247" i="1"/>
  <c r="CS247" i="1"/>
  <c r="BY237" i="1"/>
  <c r="CS237" i="1"/>
  <c r="BY321" i="1"/>
  <c r="CS321" i="1"/>
  <c r="BY33" i="1"/>
  <c r="CS33" i="1"/>
  <c r="BY294" i="1"/>
  <c r="CS294" i="1"/>
  <c r="BY215" i="1"/>
  <c r="CS215" i="1"/>
  <c r="BY132" i="1"/>
  <c r="CS132" i="1"/>
  <c r="BY328" i="1"/>
  <c r="CS328" i="1"/>
  <c r="BY47" i="1"/>
  <c r="CS47" i="1"/>
  <c r="BY357" i="1"/>
  <c r="CS357" i="1"/>
  <c r="BY209" i="1"/>
  <c r="CS209" i="1"/>
  <c r="BY45" i="1"/>
  <c r="CS45" i="1"/>
  <c r="BY89" i="1"/>
  <c r="CS89" i="1"/>
  <c r="BY312" i="1"/>
  <c r="CS312" i="1"/>
  <c r="BY55" i="1"/>
  <c r="CS55" i="1"/>
  <c r="BY157" i="1"/>
  <c r="CS157" i="1"/>
  <c r="BY333" i="1"/>
  <c r="CS333" i="1"/>
  <c r="BY358" i="1"/>
  <c r="CS358" i="1"/>
  <c r="BY149" i="1"/>
  <c r="CS149" i="1"/>
  <c r="BY91" i="1"/>
  <c r="CS91" i="1"/>
  <c r="BY299" i="1"/>
  <c r="CS299" i="1"/>
  <c r="BY270" i="1"/>
  <c r="CS270" i="1"/>
  <c r="BY275" i="1"/>
  <c r="CS275" i="1"/>
  <c r="BY156" i="1"/>
  <c r="CS156" i="1"/>
  <c r="BY220" i="1"/>
  <c r="CS220" i="1"/>
  <c r="BY281" i="1"/>
  <c r="CS281" i="1"/>
  <c r="BY192" i="1"/>
  <c r="CS192" i="1"/>
  <c r="BY143" i="1"/>
  <c r="CS143" i="1"/>
  <c r="BY176" i="1"/>
  <c r="CS176" i="1"/>
  <c r="BY295" i="1"/>
  <c r="CS295" i="1"/>
  <c r="BY110" i="1"/>
  <c r="CS110" i="1"/>
  <c r="BY106" i="1"/>
  <c r="CS106" i="1"/>
  <c r="BY166" i="1"/>
  <c r="CS166" i="1"/>
  <c r="BY346" i="1"/>
  <c r="CS346" i="1"/>
  <c r="BY241" i="1"/>
  <c r="CS241" i="1"/>
  <c r="BY207" i="1"/>
  <c r="CS207" i="1"/>
  <c r="BY116" i="1"/>
  <c r="CS116" i="1"/>
  <c r="BY200" i="1"/>
  <c r="CS200" i="1"/>
  <c r="BY268" i="1"/>
  <c r="CS268" i="1"/>
  <c r="BY99" i="1"/>
  <c r="CS99" i="1"/>
  <c r="BY39" i="1"/>
  <c r="CS39" i="1"/>
  <c r="BY352" i="1"/>
  <c r="CS352" i="1"/>
  <c r="BY343" i="1"/>
  <c r="CS343" i="1"/>
  <c r="BY92" i="1"/>
  <c r="CS92" i="1"/>
  <c r="BY95" i="1"/>
  <c r="CS95" i="1"/>
  <c r="BY112" i="1"/>
  <c r="CS112" i="1"/>
  <c r="BY126" i="1"/>
  <c r="CS126" i="1"/>
  <c r="BY22" i="1"/>
  <c r="CS22" i="1"/>
  <c r="BY356" i="1"/>
  <c r="CS356" i="1"/>
  <c r="BY88" i="1"/>
  <c r="CS88" i="1"/>
  <c r="BY74" i="1"/>
  <c r="CS74" i="1"/>
  <c r="BY292" i="1"/>
  <c r="CS292" i="1"/>
  <c r="BY218" i="1"/>
  <c r="CS218" i="1"/>
  <c r="BY278" i="1"/>
  <c r="CS278" i="1"/>
  <c r="BY354" i="1"/>
  <c r="CS354" i="1"/>
  <c r="BY37" i="1"/>
  <c r="CS37" i="1"/>
  <c r="BY154" i="1"/>
  <c r="CS154" i="1"/>
  <c r="BY46" i="1"/>
  <c r="CS46" i="1"/>
  <c r="BY26" i="1"/>
  <c r="CS26" i="1"/>
  <c r="BY104" i="1"/>
  <c r="CS104" i="1"/>
  <c r="BY327" i="1"/>
  <c r="CS327" i="1"/>
  <c r="BY90" i="1"/>
  <c r="CS90" i="1"/>
  <c r="BY93" i="1"/>
  <c r="CS93" i="1"/>
  <c r="BY78" i="1"/>
  <c r="CS78" i="1"/>
  <c r="BY314" i="1"/>
  <c r="CS314" i="1"/>
  <c r="BY158" i="1"/>
  <c r="CS158" i="1"/>
  <c r="BY353" i="1"/>
  <c r="CS353" i="1"/>
  <c r="BY271" i="1"/>
  <c r="CS271" i="1"/>
  <c r="BY336" i="1"/>
  <c r="CS336" i="1"/>
  <c r="BY83" i="1"/>
  <c r="CS83" i="1"/>
  <c r="BY139" i="1"/>
  <c r="CS139" i="1"/>
  <c r="BY137" i="1"/>
  <c r="CS137" i="1"/>
  <c r="BY193" i="1"/>
  <c r="CS193" i="1"/>
  <c r="BY43" i="1"/>
  <c r="CS43" i="1"/>
  <c r="BY226" i="1"/>
  <c r="CS226" i="1"/>
  <c r="BY127" i="1"/>
  <c r="CS127" i="1"/>
  <c r="BY202" i="1"/>
  <c r="CS202" i="1"/>
  <c r="BY86" i="1"/>
  <c r="CS86" i="1"/>
  <c r="BY257" i="1"/>
  <c r="CS257" i="1"/>
  <c r="BY286" i="1"/>
  <c r="CS286" i="1"/>
  <c r="BY223" i="1"/>
  <c r="CS223" i="1"/>
  <c r="BY94" i="1"/>
  <c r="CS94" i="1"/>
  <c r="BY316" i="1"/>
  <c r="CS316" i="1"/>
  <c r="BY212" i="1"/>
  <c r="CS212" i="1"/>
  <c r="BY28" i="1"/>
  <c r="CS28" i="1"/>
  <c r="BY29" i="1"/>
  <c r="CS29" i="1"/>
  <c r="BY145" i="1"/>
  <c r="D33" i="12"/>
  <c r="CS145" i="1"/>
  <c r="BY187" i="1"/>
  <c r="CS187" i="1"/>
  <c r="BY305" i="1"/>
  <c r="CS305" i="1"/>
  <c r="BY325" i="1"/>
  <c r="CS325" i="1"/>
  <c r="BY199" i="1"/>
  <c r="CS199" i="1"/>
  <c r="BY367" i="1"/>
  <c r="CS367" i="1"/>
  <c r="BY229" i="1"/>
  <c r="CS229" i="1"/>
  <c r="BY180" i="1"/>
  <c r="CS180" i="1"/>
  <c r="BY288" i="1"/>
  <c r="CS288" i="1"/>
  <c r="BY242" i="1"/>
  <c r="CS242" i="1"/>
  <c r="BY105" i="1"/>
  <c r="CS105" i="1"/>
  <c r="BY70" i="1"/>
  <c r="CS70" i="1"/>
  <c r="BY21" i="1"/>
  <c r="CS21" i="1"/>
  <c r="BY191" i="1"/>
  <c r="CS191" i="1"/>
  <c r="BY48" i="1"/>
  <c r="CS48" i="1"/>
  <c r="BY60" i="1"/>
  <c r="CS60" i="1"/>
  <c r="BY282" i="1"/>
  <c r="CS282" i="1"/>
  <c r="BY159" i="1"/>
  <c r="CS159" i="1"/>
  <c r="BY84" i="1"/>
  <c r="CS84" i="1"/>
  <c r="BY351" i="1"/>
  <c r="CS351" i="1"/>
  <c r="BY320" i="1"/>
  <c r="CS320" i="1"/>
  <c r="BY296" i="1"/>
  <c r="CS296" i="1"/>
  <c r="BY240" i="1"/>
  <c r="CS240" i="1"/>
  <c r="BY179" i="1"/>
  <c r="CS179" i="1"/>
  <c r="BY276" i="1"/>
  <c r="CS276" i="1"/>
  <c r="BY309" i="1"/>
  <c r="CS309" i="1"/>
  <c r="BY342" i="1"/>
  <c r="CS342" i="1"/>
  <c r="BY71" i="1"/>
  <c r="CS71" i="1"/>
  <c r="BY329" i="1"/>
  <c r="CS329" i="1"/>
  <c r="BY38" i="1"/>
  <c r="CS38" i="1"/>
  <c r="BY267" i="1"/>
  <c r="CS267" i="1"/>
  <c r="BY203" i="1"/>
  <c r="CS203" i="1"/>
  <c r="BY54" i="1"/>
  <c r="CS54" i="1"/>
  <c r="BY117" i="1"/>
  <c r="CS117" i="1"/>
  <c r="BY64" i="1"/>
  <c r="CS64" i="1"/>
  <c r="BY25" i="1"/>
  <c r="CS25" i="1"/>
  <c r="BY264" i="1"/>
  <c r="CS264" i="1"/>
  <c r="BY348" i="1"/>
  <c r="CS348" i="1"/>
  <c r="BY81" i="1"/>
  <c r="CS81" i="1"/>
  <c r="BY65" i="1"/>
  <c r="CS65" i="1"/>
  <c r="BY319" i="1"/>
  <c r="CS319" i="1"/>
  <c r="BY123" i="1"/>
  <c r="CS123" i="1"/>
  <c r="BY359" i="1"/>
  <c r="CS359" i="1"/>
  <c r="BY72" i="1"/>
  <c r="CS72" i="1"/>
  <c r="BY178" i="1"/>
  <c r="CS178" i="1"/>
  <c r="BY42" i="1"/>
  <c r="CS42" i="1"/>
  <c r="BY225" i="1"/>
  <c r="CS225" i="1"/>
  <c r="BY233" i="1"/>
  <c r="CS233" i="1"/>
  <c r="CY129" i="1" l="1"/>
  <c r="CZ129" i="1" s="1"/>
  <c r="CY26" i="1"/>
  <c r="CZ26" i="1" s="1"/>
  <c r="CY124" i="1"/>
  <c r="CZ124" i="1" s="1"/>
  <c r="CY119" i="1"/>
  <c r="CZ119" i="1" s="1"/>
  <c r="CY170" i="1"/>
  <c r="CZ170" i="1" s="1"/>
  <c r="CY130" i="1"/>
  <c r="CZ130" i="1" s="1"/>
  <c r="CY79" i="1"/>
  <c r="CZ79" i="1" s="1"/>
  <c r="CY30" i="1"/>
  <c r="CZ30" i="1" s="1"/>
  <c r="CV178" i="1"/>
  <c r="CT178" i="1"/>
  <c r="CV319" i="1"/>
  <c r="CT319" i="1"/>
  <c r="CV348" i="1"/>
  <c r="CT348" i="1"/>
  <c r="CV64" i="1"/>
  <c r="CT64" i="1"/>
  <c r="CT38" i="1"/>
  <c r="CV38" i="1"/>
  <c r="CV342" i="1"/>
  <c r="CT342" i="1"/>
  <c r="CV179" i="1"/>
  <c r="CT179" i="1"/>
  <c r="CV351" i="1"/>
  <c r="CT351" i="1"/>
  <c r="CV60" i="1"/>
  <c r="CT60" i="1"/>
  <c r="CV21" i="1"/>
  <c r="CT21" i="1"/>
  <c r="CT242" i="1"/>
  <c r="CV242" i="1"/>
  <c r="CV229" i="1"/>
  <c r="CT229" i="1"/>
  <c r="CT325" i="1"/>
  <c r="CV325" i="1"/>
  <c r="CT343" i="1"/>
  <c r="CV343" i="1"/>
  <c r="CT268" i="1"/>
  <c r="CV268" i="1"/>
  <c r="CV207" i="1"/>
  <c r="CT207" i="1"/>
  <c r="CT346" i="1"/>
  <c r="CV346" i="1"/>
  <c r="CV106" i="1"/>
  <c r="CT106" i="1"/>
  <c r="CT176" i="1"/>
  <c r="CV176" i="1"/>
  <c r="CT192" i="1"/>
  <c r="CV192" i="1"/>
  <c r="CV156" i="1"/>
  <c r="CT156" i="1"/>
  <c r="CV299" i="1"/>
  <c r="CT299" i="1"/>
  <c r="CV91" i="1"/>
  <c r="CT91" i="1"/>
  <c r="CT358" i="1"/>
  <c r="CV358" i="1"/>
  <c r="CT157" i="1"/>
  <c r="CV157" i="1"/>
  <c r="CT312" i="1"/>
  <c r="CV312" i="1"/>
  <c r="CT45" i="1"/>
  <c r="CV45" i="1"/>
  <c r="CT209" i="1"/>
  <c r="CV209" i="1"/>
  <c r="CV47" i="1"/>
  <c r="CT47" i="1"/>
  <c r="CV132" i="1"/>
  <c r="CT132" i="1"/>
  <c r="CT294" i="1"/>
  <c r="CV294" i="1"/>
  <c r="CV33" i="1"/>
  <c r="CT33" i="1"/>
  <c r="CT237" i="1"/>
  <c r="CV237" i="1"/>
  <c r="CT323" i="1"/>
  <c r="CV323" i="1"/>
  <c r="CV135" i="1"/>
  <c r="CT135" i="1"/>
  <c r="CV107" i="1"/>
  <c r="CT107" i="1"/>
  <c r="CV172" i="1"/>
  <c r="CT172" i="1"/>
  <c r="CV272" i="1"/>
  <c r="CT272" i="1"/>
  <c r="CV130" i="1"/>
  <c r="CT130" i="1"/>
  <c r="CV326" i="1"/>
  <c r="CT326" i="1"/>
  <c r="CV236" i="1"/>
  <c r="CT236" i="1"/>
  <c r="CT245" i="1"/>
  <c r="CV245" i="1"/>
  <c r="CT174" i="1"/>
  <c r="CV174" i="1"/>
  <c r="CV109" i="1"/>
  <c r="CT109" i="1"/>
  <c r="CT190" i="1"/>
  <c r="CV190" i="1"/>
  <c r="CV108" i="1"/>
  <c r="CT108" i="1"/>
  <c r="CT269" i="1"/>
  <c r="CV269" i="1"/>
  <c r="CT11" i="1"/>
  <c r="CV11" i="1"/>
  <c r="CT171" i="1"/>
  <c r="CV171" i="1"/>
  <c r="CV57" i="1"/>
  <c r="CT57" i="1"/>
  <c r="BY167" i="1"/>
  <c r="CS167" i="1"/>
  <c r="BY17" i="1"/>
  <c r="BY371" i="1" s="1"/>
  <c r="CS17" i="1"/>
  <c r="CT56" i="1"/>
  <c r="CV56" i="1"/>
  <c r="CV168" i="1"/>
  <c r="CT168" i="1"/>
  <c r="CV133" i="1"/>
  <c r="CT133" i="1"/>
  <c r="CV216" i="1"/>
  <c r="CT216" i="1"/>
  <c r="CV361" i="1"/>
  <c r="CT361" i="1"/>
  <c r="CT35" i="1"/>
  <c r="CV35" i="1"/>
  <c r="CV186" i="1"/>
  <c r="CT186" i="1"/>
  <c r="CV50" i="1"/>
  <c r="CT50" i="1"/>
  <c r="CT263" i="1"/>
  <c r="CV263" i="1"/>
  <c r="CT41" i="1"/>
  <c r="CV41" i="1"/>
  <c r="CT111" i="1"/>
  <c r="CV111" i="1"/>
  <c r="CV317" i="1"/>
  <c r="CT317" i="1"/>
  <c r="CV300" i="1"/>
  <c r="CT300" i="1"/>
  <c r="CV205" i="1"/>
  <c r="CT205" i="1"/>
  <c r="CV253" i="1"/>
  <c r="CT253" i="1"/>
  <c r="CT128" i="1"/>
  <c r="CV128" i="1"/>
  <c r="CT67" i="1"/>
  <c r="CV67" i="1"/>
  <c r="CT280" i="1"/>
  <c r="CV280" i="1"/>
  <c r="CT80" i="1"/>
  <c r="CV80" i="1"/>
  <c r="CV297" i="1"/>
  <c r="CT297" i="1"/>
  <c r="CV334" i="1"/>
  <c r="CT334" i="1"/>
  <c r="CT96" i="1"/>
  <c r="CV96" i="1"/>
  <c r="CT40" i="1"/>
  <c r="CV40" i="1"/>
  <c r="CV197" i="1"/>
  <c r="CT197" i="1"/>
  <c r="CV344" i="1"/>
  <c r="CT344" i="1"/>
  <c r="CT310" i="1"/>
  <c r="CV310" i="1"/>
  <c r="CT335" i="1"/>
  <c r="CV335" i="1"/>
  <c r="CT339" i="1"/>
  <c r="CV339" i="1"/>
  <c r="CV363" i="1"/>
  <c r="CT363" i="1"/>
  <c r="CT230" i="1"/>
  <c r="CV230" i="1"/>
  <c r="CV261" i="1"/>
  <c r="CT261" i="1"/>
  <c r="CV181" i="1"/>
  <c r="CT181" i="1"/>
  <c r="CV165" i="1"/>
  <c r="CT165" i="1"/>
  <c r="CT347" i="1"/>
  <c r="CV347" i="1"/>
  <c r="CV194" i="1"/>
  <c r="CT194" i="1"/>
  <c r="CV161" i="1"/>
  <c r="CT161" i="1"/>
  <c r="CT184" i="1"/>
  <c r="CV184" i="1"/>
  <c r="CT12" i="1"/>
  <c r="CV12" i="1"/>
  <c r="CV350" i="1"/>
  <c r="CT350" i="1"/>
  <c r="CT97" i="1"/>
  <c r="CV97" i="1"/>
  <c r="CV219" i="1"/>
  <c r="CT219" i="1"/>
  <c r="CT258" i="1"/>
  <c r="CV258" i="1"/>
  <c r="CV122" i="1"/>
  <c r="CT122" i="1"/>
  <c r="CT101" i="1"/>
  <c r="CV101" i="1"/>
  <c r="CT201" i="1"/>
  <c r="CV201" i="1"/>
  <c r="CV16" i="1"/>
  <c r="CT16" i="1"/>
  <c r="BY34" i="1"/>
  <c r="CS34" i="1"/>
  <c r="CV252" i="1"/>
  <c r="CT252" i="1"/>
  <c r="CT235" i="1"/>
  <c r="CV235" i="1"/>
  <c r="CT151" i="1"/>
  <c r="CV151" i="1"/>
  <c r="CT260" i="1"/>
  <c r="CV260" i="1"/>
  <c r="CT100" i="1"/>
  <c r="CV100" i="1"/>
  <c r="CT322" i="1"/>
  <c r="CV322" i="1"/>
  <c r="CV51" i="1"/>
  <c r="CT51" i="1"/>
  <c r="CV150" i="1"/>
  <c r="CT150" i="1"/>
  <c r="CV341" i="1"/>
  <c r="CT341" i="1"/>
  <c r="CV364" i="1"/>
  <c r="CT364" i="1"/>
  <c r="CV302" i="1"/>
  <c r="CT302" i="1"/>
  <c r="CT308" i="1"/>
  <c r="CV308" i="1"/>
  <c r="CT160" i="1"/>
  <c r="CV160" i="1"/>
  <c r="CT136" i="1"/>
  <c r="CV136" i="1"/>
  <c r="CV162" i="1"/>
  <c r="CT162" i="1"/>
  <c r="CT140" i="1"/>
  <c r="CV140" i="1"/>
  <c r="CV232" i="1"/>
  <c r="CT232" i="1"/>
  <c r="CV324" i="1"/>
  <c r="CT324" i="1"/>
  <c r="CV134" i="1"/>
  <c r="CT134" i="1"/>
  <c r="CT85" i="1"/>
  <c r="CV85" i="1"/>
  <c r="CT188" i="1"/>
  <c r="CV188" i="1"/>
  <c r="CV196" i="1"/>
  <c r="CT196" i="1"/>
  <c r="CV285" i="1"/>
  <c r="CT285" i="1"/>
  <c r="CV249" i="1"/>
  <c r="CT249" i="1"/>
  <c r="CV146" i="1"/>
  <c r="CT146" i="1"/>
  <c r="CT293" i="1"/>
  <c r="CV293" i="1"/>
  <c r="CT14" i="1"/>
  <c r="CV14" i="1"/>
  <c r="CT189" i="1"/>
  <c r="CV189" i="1"/>
  <c r="CT32" i="1"/>
  <c r="CV32" i="1"/>
  <c r="CT153" i="1"/>
  <c r="CV153" i="1"/>
  <c r="CV208" i="1"/>
  <c r="CT208" i="1"/>
  <c r="CV102" i="1"/>
  <c r="CT102" i="1"/>
  <c r="CT19" i="1"/>
  <c r="CV19" i="1"/>
  <c r="CT118" i="1"/>
  <c r="CV118" i="1"/>
  <c r="CT177" i="1"/>
  <c r="CV177" i="1"/>
  <c r="CT315" i="1"/>
  <c r="CV315" i="1"/>
  <c r="CV318" i="1"/>
  <c r="CT318" i="1"/>
  <c r="CV262" i="1"/>
  <c r="CT262" i="1"/>
  <c r="CT355" i="1"/>
  <c r="CV355" i="1"/>
  <c r="CT20" i="1"/>
  <c r="CV20" i="1"/>
  <c r="CV77" i="1"/>
  <c r="CT77" i="1"/>
  <c r="CY141" i="1"/>
  <c r="CZ141" i="1" s="1"/>
  <c r="CY155" i="1"/>
  <c r="CZ155" i="1" s="1"/>
  <c r="CY122" i="1"/>
  <c r="CZ122" i="1" s="1"/>
  <c r="CY82" i="1"/>
  <c r="CZ82" i="1" s="1"/>
  <c r="CY162" i="1"/>
  <c r="CZ162" i="1" s="1"/>
  <c r="CY251" i="1"/>
  <c r="CZ251" i="1" s="1"/>
  <c r="CY305" i="1"/>
  <c r="CZ305" i="1" s="1"/>
  <c r="CY231" i="1"/>
  <c r="CZ231" i="1" s="1"/>
  <c r="CY120" i="1"/>
  <c r="CZ120" i="1" s="1"/>
  <c r="CV225" i="1"/>
  <c r="CT225" i="1"/>
  <c r="CV65" i="1"/>
  <c r="CT65" i="1"/>
  <c r="CV203" i="1"/>
  <c r="CT203" i="1"/>
  <c r="CV329" i="1"/>
  <c r="CT329" i="1"/>
  <c r="CT309" i="1"/>
  <c r="CV309" i="1"/>
  <c r="CT240" i="1"/>
  <c r="CV240" i="1"/>
  <c r="CT282" i="1"/>
  <c r="CV282" i="1"/>
  <c r="CT48" i="1"/>
  <c r="CV48" i="1"/>
  <c r="CT105" i="1"/>
  <c r="CV105" i="1"/>
  <c r="CT180" i="1"/>
  <c r="CV180" i="1"/>
  <c r="CV187" i="1"/>
  <c r="CT187" i="1"/>
  <c r="CV112" i="1"/>
  <c r="CT112" i="1"/>
  <c r="CV39" i="1"/>
  <c r="CT39" i="1"/>
  <c r="CT116" i="1"/>
  <c r="CV116" i="1"/>
  <c r="CT270" i="1"/>
  <c r="CV270" i="1"/>
  <c r="CY59" i="1"/>
  <c r="CZ59" i="1" s="1"/>
  <c r="CY128" i="1"/>
  <c r="CZ128" i="1" s="1"/>
  <c r="CY168" i="1"/>
  <c r="CZ168" i="1" s="1"/>
  <c r="CY304" i="1"/>
  <c r="CZ304" i="1" s="1"/>
  <c r="CY307" i="1"/>
  <c r="CZ307" i="1" s="1"/>
  <c r="CY166" i="1"/>
  <c r="CZ166" i="1" s="1"/>
  <c r="CV123" i="1"/>
  <c r="CT123" i="1"/>
  <c r="CT28" i="1"/>
  <c r="CV28" i="1"/>
  <c r="CT316" i="1"/>
  <c r="CV316" i="1"/>
  <c r="CV223" i="1"/>
  <c r="CT223" i="1"/>
  <c r="CT286" i="1"/>
  <c r="CV286" i="1"/>
  <c r="CT86" i="1"/>
  <c r="CV86" i="1"/>
  <c r="CT202" i="1"/>
  <c r="CV202" i="1"/>
  <c r="CT226" i="1"/>
  <c r="CV226" i="1"/>
  <c r="CT137" i="1"/>
  <c r="CV137" i="1"/>
  <c r="CV83" i="1"/>
  <c r="CT83" i="1"/>
  <c r="CV271" i="1"/>
  <c r="CT271" i="1"/>
  <c r="CT158" i="1"/>
  <c r="CV158" i="1"/>
  <c r="CV78" i="1"/>
  <c r="CT78" i="1"/>
  <c r="CV90" i="1"/>
  <c r="CT90" i="1"/>
  <c r="CV104" i="1"/>
  <c r="CT104" i="1"/>
  <c r="CV26" i="1"/>
  <c r="CT26" i="1"/>
  <c r="CV354" i="1"/>
  <c r="CT354" i="1"/>
  <c r="CV292" i="1"/>
  <c r="CT292" i="1"/>
  <c r="BY255" i="1"/>
  <c r="CS255" i="1"/>
  <c r="BY10" i="1"/>
  <c r="BX372" i="1"/>
  <c r="CS10" i="1"/>
  <c r="CV206" i="1"/>
  <c r="CT206" i="1"/>
  <c r="CV36" i="1"/>
  <c r="CT36" i="1"/>
  <c r="CV115" i="1"/>
  <c r="CT115" i="1"/>
  <c r="CV30" i="1"/>
  <c r="CT30" i="1"/>
  <c r="CV15" i="1"/>
  <c r="CS371" i="1"/>
  <c r="CT15" i="1"/>
  <c r="BX368" i="1"/>
  <c r="BY9" i="1"/>
  <c r="BX373" i="1"/>
  <c r="CS9" i="1"/>
  <c r="CY212" i="1"/>
  <c r="CZ212" i="1" s="1"/>
  <c r="CY75" i="1"/>
  <c r="CZ75" i="1" s="1"/>
  <c r="CY28" i="1"/>
  <c r="CZ28" i="1" s="1"/>
  <c r="CY123" i="1"/>
  <c r="CZ123" i="1" s="1"/>
  <c r="CY268" i="1"/>
  <c r="CZ268" i="1" s="1"/>
  <c r="CT233" i="1"/>
  <c r="CV233" i="1"/>
  <c r="CT42" i="1"/>
  <c r="CV42" i="1"/>
  <c r="CV72" i="1"/>
  <c r="CT72" i="1"/>
  <c r="CT81" i="1"/>
  <c r="CV81" i="1"/>
  <c r="CV264" i="1"/>
  <c r="CT264" i="1"/>
  <c r="CV25" i="1"/>
  <c r="CT25" i="1"/>
  <c r="CT117" i="1"/>
  <c r="CV117" i="1"/>
  <c r="CV54" i="1"/>
  <c r="CT54" i="1"/>
  <c r="CT267" i="1"/>
  <c r="CV267" i="1"/>
  <c r="CT71" i="1"/>
  <c r="CV71" i="1"/>
  <c r="CV276" i="1"/>
  <c r="CT276" i="1"/>
  <c r="CT296" i="1"/>
  <c r="CV296" i="1"/>
  <c r="CT320" i="1"/>
  <c r="CV320" i="1"/>
  <c r="CV84" i="1"/>
  <c r="CT84" i="1"/>
  <c r="CT159" i="1"/>
  <c r="CV159" i="1"/>
  <c r="CT191" i="1"/>
  <c r="CV191" i="1"/>
  <c r="CT70" i="1"/>
  <c r="CV70" i="1"/>
  <c r="CV288" i="1"/>
  <c r="CT288" i="1"/>
  <c r="CT367" i="1"/>
  <c r="CV367" i="1"/>
  <c r="CV199" i="1"/>
  <c r="CT199" i="1"/>
  <c r="CT305" i="1"/>
  <c r="CV305" i="1"/>
  <c r="CT145" i="1"/>
  <c r="CV145" i="1"/>
  <c r="CV126" i="1"/>
  <c r="CT126" i="1"/>
  <c r="CT95" i="1"/>
  <c r="CV95" i="1"/>
  <c r="CT92" i="1"/>
  <c r="CV92" i="1"/>
  <c r="CV352" i="1"/>
  <c r="CT352" i="1"/>
  <c r="CT99" i="1"/>
  <c r="CV99" i="1"/>
  <c r="CV200" i="1"/>
  <c r="CT200" i="1"/>
  <c r="CT241" i="1"/>
  <c r="CV241" i="1"/>
  <c r="CT166" i="1"/>
  <c r="CV166" i="1"/>
  <c r="CV110" i="1"/>
  <c r="CT110" i="1"/>
  <c r="CT295" i="1"/>
  <c r="CV295" i="1"/>
  <c r="CT143" i="1"/>
  <c r="CV143" i="1"/>
  <c r="CT281" i="1"/>
  <c r="CV281" i="1"/>
  <c r="CT220" i="1"/>
  <c r="CV220" i="1"/>
  <c r="CT275" i="1"/>
  <c r="CV275" i="1"/>
  <c r="CT149" i="1"/>
  <c r="CV149" i="1"/>
  <c r="CT333" i="1"/>
  <c r="CV333" i="1"/>
  <c r="CV55" i="1"/>
  <c r="CT55" i="1"/>
  <c r="CT89" i="1"/>
  <c r="CV89" i="1"/>
  <c r="CT357" i="1"/>
  <c r="CV357" i="1"/>
  <c r="CT328" i="1"/>
  <c r="CV328" i="1"/>
  <c r="CT215" i="1"/>
  <c r="CV215" i="1"/>
  <c r="CT321" i="1"/>
  <c r="CV321" i="1"/>
  <c r="CT247" i="1"/>
  <c r="CV247" i="1"/>
  <c r="CT311" i="1"/>
  <c r="CV311" i="1"/>
  <c r="CV183" i="1"/>
  <c r="CT183" i="1"/>
  <c r="CT103" i="1"/>
  <c r="CV103" i="1"/>
  <c r="CT125" i="1"/>
  <c r="CV125" i="1"/>
  <c r="CV273" i="1"/>
  <c r="CT273" i="1"/>
  <c r="CT338" i="1"/>
  <c r="CV338" i="1"/>
  <c r="CV332" i="1"/>
  <c r="CT332" i="1"/>
  <c r="CV68" i="1"/>
  <c r="CT68" i="1"/>
  <c r="CV59" i="1"/>
  <c r="CT59" i="1"/>
  <c r="CT44" i="1"/>
  <c r="CV44" i="1"/>
  <c r="CT227" i="1"/>
  <c r="CV227" i="1"/>
  <c r="CV185" i="1"/>
  <c r="CT185" i="1"/>
  <c r="CV213" i="1"/>
  <c r="CT213" i="1"/>
  <c r="CV303" i="1"/>
  <c r="CT303" i="1"/>
  <c r="CT284" i="1"/>
  <c r="CV284" i="1"/>
  <c r="CT61" i="1"/>
  <c r="CV61" i="1"/>
  <c r="BY301" i="1"/>
  <c r="CS301" i="1"/>
  <c r="BY13" i="1"/>
  <c r="CS13" i="1"/>
  <c r="CT244" i="1"/>
  <c r="CV244" i="1"/>
  <c r="CV360" i="1"/>
  <c r="CT360" i="1"/>
  <c r="CV289" i="1"/>
  <c r="CT289" i="1"/>
  <c r="CV313" i="1"/>
  <c r="CT313" i="1"/>
  <c r="CT243" i="1"/>
  <c r="CV243" i="1"/>
  <c r="CV163" i="1"/>
  <c r="CT163" i="1"/>
  <c r="CV222" i="1"/>
  <c r="CT222" i="1"/>
  <c r="CV119" i="1"/>
  <c r="CT119" i="1"/>
  <c r="CV345" i="1"/>
  <c r="CT345" i="1"/>
  <c r="CT304" i="1"/>
  <c r="CV304" i="1"/>
  <c r="CT23" i="1"/>
  <c r="CV23" i="1"/>
  <c r="CV75" i="1"/>
  <c r="CT75" i="1"/>
  <c r="CV265" i="1"/>
  <c r="CT265" i="1"/>
  <c r="CV164" i="1"/>
  <c r="CT164" i="1"/>
  <c r="CT362" i="1"/>
  <c r="CV362" i="1"/>
  <c r="CT246" i="1"/>
  <c r="CV246" i="1"/>
  <c r="CT69" i="1"/>
  <c r="CV69" i="1"/>
  <c r="CT290" i="1"/>
  <c r="CV290" i="1"/>
  <c r="CT330" i="1"/>
  <c r="CV330" i="1"/>
  <c r="CT155" i="1"/>
  <c r="CV155" i="1"/>
  <c r="CT231" i="1"/>
  <c r="CV231" i="1"/>
  <c r="CV250" i="1"/>
  <c r="CT250" i="1"/>
  <c r="CT141" i="1"/>
  <c r="CV141" i="1"/>
  <c r="CT238" i="1"/>
  <c r="CV238" i="1"/>
  <c r="CV87" i="1"/>
  <c r="CT87" i="1"/>
  <c r="CV52" i="1"/>
  <c r="CT52" i="1"/>
  <c r="CV340" i="1"/>
  <c r="CT340" i="1"/>
  <c r="CT239" i="1"/>
  <c r="CV239" i="1"/>
  <c r="CV76" i="1"/>
  <c r="CT76" i="1"/>
  <c r="CV256" i="1"/>
  <c r="CT256" i="1"/>
  <c r="CV277" i="1"/>
  <c r="CT277" i="1"/>
  <c r="CV173" i="1"/>
  <c r="CT173" i="1"/>
  <c r="CV58" i="1"/>
  <c r="CT58" i="1"/>
  <c r="CV73" i="1"/>
  <c r="CT73" i="1"/>
  <c r="CV82" i="1"/>
  <c r="CT82" i="1"/>
  <c r="CV349" i="1"/>
  <c r="CT349" i="1"/>
  <c r="CV142" i="1"/>
  <c r="CT142" i="1"/>
  <c r="CT63" i="1"/>
  <c r="CV63" i="1"/>
  <c r="CV148" i="1"/>
  <c r="CT148" i="1"/>
  <c r="CV113" i="1"/>
  <c r="CT113" i="1"/>
  <c r="CT138" i="1"/>
  <c r="CV138" i="1"/>
  <c r="CV366" i="1"/>
  <c r="CT366" i="1"/>
  <c r="CT120" i="1"/>
  <c r="CV120" i="1"/>
  <c r="CT24" i="1"/>
  <c r="CV24" i="1"/>
  <c r="CV266" i="1"/>
  <c r="CT266" i="1"/>
  <c r="BY31" i="1"/>
  <c r="CS31" i="1"/>
  <c r="BX371" i="1"/>
  <c r="CV251" i="1"/>
  <c r="CT251" i="1"/>
  <c r="CT306" i="1"/>
  <c r="CV306" i="1"/>
  <c r="CV131" i="1"/>
  <c r="CT131" i="1"/>
  <c r="CV365" i="1"/>
  <c r="CT365" i="1"/>
  <c r="CT79" i="1"/>
  <c r="CV79" i="1"/>
  <c r="CV129" i="1"/>
  <c r="CT129" i="1"/>
  <c r="CV114" i="1"/>
  <c r="CT114" i="1"/>
  <c r="CV211" i="1"/>
  <c r="CT211" i="1"/>
  <c r="CT121" i="1"/>
  <c r="CV121" i="1"/>
  <c r="CV210" i="1"/>
  <c r="CT210" i="1"/>
  <c r="CV331" i="1"/>
  <c r="CT331" i="1"/>
  <c r="CT169" i="1"/>
  <c r="CV169" i="1"/>
  <c r="CT152" i="1"/>
  <c r="CV152" i="1"/>
  <c r="CV204" i="1"/>
  <c r="CT204" i="1"/>
  <c r="CT214" i="1"/>
  <c r="CV214" i="1"/>
  <c r="CV217" i="1"/>
  <c r="CT217" i="1"/>
  <c r="CT170" i="1"/>
  <c r="CV170" i="1"/>
  <c r="CT274" i="1"/>
  <c r="CV274" i="1"/>
  <c r="CT248" i="1"/>
  <c r="CV248" i="1"/>
  <c r="CT49" i="1"/>
  <c r="CV49" i="1"/>
  <c r="CV307" i="1"/>
  <c r="CT307" i="1"/>
  <c r="CT254" i="1"/>
  <c r="CV254" i="1"/>
  <c r="CV234" i="1"/>
  <c r="CT234" i="1"/>
  <c r="CT18" i="1"/>
  <c r="CV18" i="1"/>
  <c r="CT337" i="1"/>
  <c r="CV337" i="1"/>
  <c r="CT124" i="1"/>
  <c r="CV124" i="1"/>
  <c r="CT228" i="1"/>
  <c r="CV228" i="1"/>
  <c r="CV98" i="1"/>
  <c r="CT98" i="1"/>
  <c r="CT144" i="1"/>
  <c r="CV144" i="1"/>
  <c r="CT221" i="1"/>
  <c r="CV221" i="1"/>
  <c r="CT259" i="1"/>
  <c r="CV259" i="1"/>
  <c r="CV66" i="1"/>
  <c r="CT66" i="1"/>
  <c r="CT147" i="1"/>
  <c r="CV147" i="1"/>
  <c r="CV182" i="1"/>
  <c r="CT182" i="1"/>
  <c r="CT279" i="1"/>
  <c r="CV279" i="1"/>
  <c r="CV283" i="1"/>
  <c r="CT283" i="1"/>
  <c r="CT291" i="1"/>
  <c r="CV291" i="1"/>
  <c r="CT198" i="1"/>
  <c r="CV198" i="1"/>
  <c r="CT53" i="1"/>
  <c r="CV53" i="1"/>
  <c r="CV298" i="1"/>
  <c r="CT298" i="1"/>
  <c r="CY275" i="1"/>
  <c r="CZ275" i="1" s="1"/>
  <c r="CY322" i="1"/>
  <c r="CZ322" i="1" s="1"/>
  <c r="CT359" i="1"/>
  <c r="CV359" i="1"/>
  <c r="E33" i="12"/>
  <c r="F33" i="12"/>
  <c r="D41" i="12"/>
  <c r="CT29" i="1"/>
  <c r="CV29" i="1"/>
  <c r="CV212" i="1"/>
  <c r="CT212" i="1"/>
  <c r="CT94" i="1"/>
  <c r="CV94" i="1"/>
  <c r="CV257" i="1"/>
  <c r="CT257" i="1"/>
  <c r="CV127" i="1"/>
  <c r="CT127" i="1"/>
  <c r="CV43" i="1"/>
  <c r="CT43" i="1"/>
  <c r="CV193" i="1"/>
  <c r="CT193" i="1"/>
  <c r="CT139" i="1"/>
  <c r="CV139" i="1"/>
  <c r="CT336" i="1"/>
  <c r="CV336" i="1"/>
  <c r="CV353" i="1"/>
  <c r="CT353" i="1"/>
  <c r="CT314" i="1"/>
  <c r="CV314" i="1"/>
  <c r="CV93" i="1"/>
  <c r="CT93" i="1"/>
  <c r="CT327" i="1"/>
  <c r="CV327" i="1"/>
  <c r="CT46" i="1"/>
  <c r="CV46" i="1"/>
  <c r="CV154" i="1"/>
  <c r="CT154" i="1"/>
  <c r="CT37" i="1"/>
  <c r="CV37" i="1"/>
  <c r="CV278" i="1"/>
  <c r="CT278" i="1"/>
  <c r="CV218" i="1"/>
  <c r="CT218" i="1"/>
  <c r="CT74" i="1"/>
  <c r="CV74" i="1"/>
  <c r="CV88" i="1"/>
  <c r="CT88" i="1"/>
  <c r="CT356" i="1"/>
  <c r="CV356" i="1"/>
  <c r="CV22" i="1"/>
  <c r="CT22" i="1"/>
  <c r="BY195" i="1"/>
  <c r="CS195" i="1"/>
  <c r="CV175" i="1"/>
  <c r="CT175" i="1"/>
  <c r="CV62" i="1"/>
  <c r="CT62" i="1"/>
  <c r="CT27" i="1"/>
  <c r="CV27" i="1"/>
  <c r="CV224" i="1"/>
  <c r="CT224" i="1"/>
  <c r="BY287" i="1"/>
  <c r="CS287" i="1"/>
  <c r="CY48" i="1" l="1"/>
  <c r="CZ48" i="1" s="1"/>
  <c r="CY47" i="1"/>
  <c r="CZ47" i="1" s="1"/>
  <c r="CY156" i="1"/>
  <c r="CZ156" i="1" s="1"/>
  <c r="CY87" i="1"/>
  <c r="CZ87" i="1" s="1"/>
  <c r="CY52" i="1"/>
  <c r="CZ52" i="1" s="1"/>
  <c r="CY27" i="1"/>
  <c r="CZ27" i="1" s="1"/>
  <c r="CY76" i="1"/>
  <c r="CZ76" i="1" s="1"/>
  <c r="CY80" i="1"/>
  <c r="CZ80" i="1" s="1"/>
  <c r="CY306" i="1"/>
  <c r="CZ306" i="1" s="1"/>
  <c r="CW224" i="1"/>
  <c r="E228" i="24"/>
  <c r="CW62" i="1"/>
  <c r="E61" i="24"/>
  <c r="CW356" i="1"/>
  <c r="E363" i="24"/>
  <c r="CW74" i="1"/>
  <c r="E74" i="24"/>
  <c r="CW139" i="1"/>
  <c r="E142" i="24"/>
  <c r="D42" i="12"/>
  <c r="E41" i="12"/>
  <c r="F41" i="12"/>
  <c r="CW198" i="1"/>
  <c r="E202" i="24"/>
  <c r="CW221" i="1"/>
  <c r="E225" i="24"/>
  <c r="CW124" i="1"/>
  <c r="E126" i="24"/>
  <c r="CW18" i="1"/>
  <c r="E17" i="24"/>
  <c r="E258" i="24"/>
  <c r="CW254" i="1"/>
  <c r="E48" i="24"/>
  <c r="CW49" i="1"/>
  <c r="CW274" i="1"/>
  <c r="E279" i="24"/>
  <c r="E172" i="24"/>
  <c r="CW169" i="1"/>
  <c r="CW121" i="1"/>
  <c r="E122" i="24"/>
  <c r="CW306" i="1"/>
  <c r="E313" i="24"/>
  <c r="H33" i="3"/>
  <c r="BX377" i="1"/>
  <c r="BX374" i="1"/>
  <c r="E270" i="24"/>
  <c r="CW266" i="1"/>
  <c r="E356" i="24"/>
  <c r="CW349" i="1"/>
  <c r="E73" i="24"/>
  <c r="CW73" i="1"/>
  <c r="E176" i="24"/>
  <c r="CW173" i="1"/>
  <c r="E260" i="24"/>
  <c r="CW256" i="1"/>
  <c r="E76" i="24"/>
  <c r="CW76" i="1"/>
  <c r="E347" i="24"/>
  <c r="CW340" i="1"/>
  <c r="CW87" i="1"/>
  <c r="E88" i="24"/>
  <c r="E269" i="24"/>
  <c r="CW265" i="1"/>
  <c r="CW345" i="1"/>
  <c r="E352" i="24"/>
  <c r="CW222" i="1"/>
  <c r="E226" i="24"/>
  <c r="E166" i="24"/>
  <c r="CW163" i="1"/>
  <c r="CW289" i="1"/>
  <c r="E296" i="24"/>
  <c r="CW303" i="1"/>
  <c r="E310" i="24"/>
  <c r="E188" i="24"/>
  <c r="CW185" i="1"/>
  <c r="CW332" i="1"/>
  <c r="E339" i="24"/>
  <c r="E278" i="24"/>
  <c r="CW273" i="1"/>
  <c r="CW183" i="1"/>
  <c r="E186" i="24"/>
  <c r="CW110" i="1"/>
  <c r="E111" i="24"/>
  <c r="E128" i="24"/>
  <c r="CW126" i="1"/>
  <c r="E53" i="24"/>
  <c r="CW54" i="1"/>
  <c r="CW25" i="1"/>
  <c r="E24" i="24"/>
  <c r="BY368" i="1"/>
  <c r="D33" i="3"/>
  <c r="CS377" i="1"/>
  <c r="BY372" i="1"/>
  <c r="CW158" i="1"/>
  <c r="E161" i="24"/>
  <c r="E206" i="24"/>
  <c r="CW202" i="1"/>
  <c r="CW286" i="1"/>
  <c r="E293" i="24"/>
  <c r="CW316" i="1"/>
  <c r="E323" i="24"/>
  <c r="E275" i="24"/>
  <c r="CW270" i="1"/>
  <c r="E106" i="24"/>
  <c r="CW105" i="1"/>
  <c r="CW282" i="1"/>
  <c r="E289" i="24"/>
  <c r="E244" i="24"/>
  <c r="CW240" i="1"/>
  <c r="CW20" i="1"/>
  <c r="E19" i="24"/>
  <c r="E322" i="24"/>
  <c r="CW315" i="1"/>
  <c r="E119" i="24"/>
  <c r="CW118" i="1"/>
  <c r="CW153" i="1"/>
  <c r="E156" i="24"/>
  <c r="CW189" i="1"/>
  <c r="E192" i="24"/>
  <c r="CW293" i="1"/>
  <c r="E300" i="24"/>
  <c r="CW160" i="1"/>
  <c r="E163" i="24"/>
  <c r="CW100" i="1"/>
  <c r="E101" i="24"/>
  <c r="E154" i="24"/>
  <c r="CW151" i="1"/>
  <c r="CW201" i="1"/>
  <c r="E205" i="24"/>
  <c r="E262" i="24"/>
  <c r="CW258" i="1"/>
  <c r="CW97" i="1"/>
  <c r="E98" i="24"/>
  <c r="CW12" i="1"/>
  <c r="E11" i="24"/>
  <c r="CW347" i="1"/>
  <c r="E354" i="24"/>
  <c r="E342" i="24"/>
  <c r="CW335" i="1"/>
  <c r="E39" i="24"/>
  <c r="CW40" i="1"/>
  <c r="CW80" i="1"/>
  <c r="E81" i="24"/>
  <c r="E67" i="24"/>
  <c r="CW67" i="1"/>
  <c r="CW111" i="1"/>
  <c r="E112" i="24"/>
  <c r="CW41" i="1"/>
  <c r="E40" i="24"/>
  <c r="E34" i="24"/>
  <c r="CW35" i="1"/>
  <c r="CV167" i="1"/>
  <c r="CT167" i="1"/>
  <c r="E174" i="24"/>
  <c r="CW171" i="1"/>
  <c r="CW269" i="1"/>
  <c r="E273" i="24"/>
  <c r="CW245" i="1"/>
  <c r="E249" i="24"/>
  <c r="E330" i="24"/>
  <c r="CW323" i="1"/>
  <c r="CW209" i="1"/>
  <c r="E213" i="24"/>
  <c r="CW312" i="1"/>
  <c r="E319" i="24"/>
  <c r="CW358" i="1"/>
  <c r="E365" i="24"/>
  <c r="CW176" i="1"/>
  <c r="E179" i="24"/>
  <c r="E353" i="24"/>
  <c r="CW346" i="1"/>
  <c r="E272" i="24"/>
  <c r="CW268" i="1"/>
  <c r="E332" i="24"/>
  <c r="CW325" i="1"/>
  <c r="E246" i="24"/>
  <c r="CW242" i="1"/>
  <c r="CY169" i="1"/>
  <c r="CZ169" i="1" s="1"/>
  <c r="CY29" i="1"/>
  <c r="CZ29" i="1" s="1"/>
  <c r="CY211" i="1"/>
  <c r="CZ211" i="1" s="1"/>
  <c r="CY178" i="1"/>
  <c r="CZ178" i="1" s="1"/>
  <c r="CY159" i="1"/>
  <c r="CZ159" i="1" s="1"/>
  <c r="CY277" i="1"/>
  <c r="CZ277" i="1" s="1"/>
  <c r="CY165" i="1"/>
  <c r="CZ165" i="1" s="1"/>
  <c r="CY77" i="1"/>
  <c r="CZ77" i="1" s="1"/>
  <c r="CY14" i="1"/>
  <c r="CZ14" i="1" s="1"/>
  <c r="CY252" i="1"/>
  <c r="CZ252" i="1" s="1"/>
  <c r="CY160" i="1"/>
  <c r="CZ160" i="1" s="1"/>
  <c r="CY69" i="1"/>
  <c r="CZ69" i="1" s="1"/>
  <c r="CY176" i="1"/>
  <c r="CZ176" i="1" s="1"/>
  <c r="CV287" i="1"/>
  <c r="CT287" i="1"/>
  <c r="CW27" i="1"/>
  <c r="E26" i="24"/>
  <c r="E283" i="24"/>
  <c r="CW278" i="1"/>
  <c r="CW154" i="1"/>
  <c r="E157" i="24"/>
  <c r="E94" i="24"/>
  <c r="CW93" i="1"/>
  <c r="CW353" i="1"/>
  <c r="E360" i="24"/>
  <c r="CW43" i="1"/>
  <c r="E42" i="24"/>
  <c r="E216" i="24"/>
  <c r="CW212" i="1"/>
  <c r="E290" i="24"/>
  <c r="CW283" i="1"/>
  <c r="E185" i="24"/>
  <c r="CW182" i="1"/>
  <c r="E66" i="24"/>
  <c r="CW66" i="1"/>
  <c r="CW98" i="1"/>
  <c r="E99" i="24"/>
  <c r="CW217" i="1"/>
  <c r="E221" i="24"/>
  <c r="CW204" i="1"/>
  <c r="E208" i="24"/>
  <c r="CW129" i="1"/>
  <c r="E131" i="24"/>
  <c r="E372" i="24"/>
  <c r="CW365" i="1"/>
  <c r="CV31" i="1"/>
  <c r="CT31" i="1"/>
  <c r="E23" i="24"/>
  <c r="CW24" i="1"/>
  <c r="CW239" i="1"/>
  <c r="E243" i="24"/>
  <c r="CW238" i="1"/>
  <c r="E242" i="24"/>
  <c r="E158" i="24"/>
  <c r="CW155" i="1"/>
  <c r="CW290" i="1"/>
  <c r="E297" i="24"/>
  <c r="CW246" i="1"/>
  <c r="E250" i="24"/>
  <c r="CW304" i="1"/>
  <c r="E311" i="24"/>
  <c r="CV13" i="1"/>
  <c r="CT13" i="1"/>
  <c r="CW284" i="1"/>
  <c r="E291" i="24"/>
  <c r="CW227" i="1"/>
  <c r="E231" i="24"/>
  <c r="CW338" i="1"/>
  <c r="E345" i="24"/>
  <c r="E127" i="24"/>
  <c r="CW125" i="1"/>
  <c r="E318" i="24"/>
  <c r="CW311" i="1"/>
  <c r="E328" i="24"/>
  <c r="CW321" i="1"/>
  <c r="CW215" i="1"/>
  <c r="E219" i="24"/>
  <c r="CW357" i="1"/>
  <c r="E364" i="24"/>
  <c r="E152" i="24"/>
  <c r="CW149" i="1"/>
  <c r="E280" i="24"/>
  <c r="CW275" i="1"/>
  <c r="CW281" i="1"/>
  <c r="E288" i="24"/>
  <c r="E302" i="24"/>
  <c r="CW295" i="1"/>
  <c r="CW166" i="1"/>
  <c r="E169" i="24"/>
  <c r="E96" i="24"/>
  <c r="CW95" i="1"/>
  <c r="CW145" i="1"/>
  <c r="E148" i="24"/>
  <c r="I44" i="12"/>
  <c r="CW191" i="1"/>
  <c r="E194" i="24"/>
  <c r="E303" i="24"/>
  <c r="CW296" i="1"/>
  <c r="E271" i="24"/>
  <c r="CW267" i="1"/>
  <c r="E118" i="24"/>
  <c r="CW117" i="1"/>
  <c r="E237" i="24"/>
  <c r="CW233" i="1"/>
  <c r="CV9" i="1"/>
  <c r="CT9" i="1"/>
  <c r="CS373" i="1"/>
  <c r="CS379" i="1" s="1"/>
  <c r="CS368" i="1"/>
  <c r="CW15" i="1"/>
  <c r="E14" i="24"/>
  <c r="E116" i="24"/>
  <c r="CW115" i="1"/>
  <c r="E210" i="24"/>
  <c r="CW206" i="1"/>
  <c r="CV255" i="1"/>
  <c r="CT255" i="1"/>
  <c r="E25" i="24"/>
  <c r="CW26" i="1"/>
  <c r="CW90" i="1"/>
  <c r="E91" i="24"/>
  <c r="E84" i="24"/>
  <c r="CW83" i="1"/>
  <c r="E113" i="24"/>
  <c r="CW112" i="1"/>
  <c r="E336" i="24"/>
  <c r="CW329" i="1"/>
  <c r="E65" i="24"/>
  <c r="CW65" i="1"/>
  <c r="E229" i="24"/>
  <c r="CW225" i="1"/>
  <c r="E266" i="24"/>
  <c r="CW262" i="1"/>
  <c r="CW102" i="1"/>
  <c r="E103" i="24"/>
  <c r="E253" i="24"/>
  <c r="CW249" i="1"/>
  <c r="E199" i="24"/>
  <c r="CW196" i="1"/>
  <c r="CW134" i="1"/>
  <c r="E137" i="24"/>
  <c r="E236" i="24"/>
  <c r="CW232" i="1"/>
  <c r="CW162" i="1"/>
  <c r="E165" i="24"/>
  <c r="E309" i="24"/>
  <c r="CW302" i="1"/>
  <c r="CW341" i="1"/>
  <c r="E348" i="24"/>
  <c r="CW51" i="1"/>
  <c r="E50" i="24"/>
  <c r="CW252" i="1"/>
  <c r="E256" i="24"/>
  <c r="E164" i="24"/>
  <c r="CW161" i="1"/>
  <c r="CW181" i="1"/>
  <c r="E184" i="24"/>
  <c r="CW261" i="1"/>
  <c r="E265" i="24"/>
  <c r="E370" i="24"/>
  <c r="CW363" i="1"/>
  <c r="E351" i="24"/>
  <c r="CW344" i="1"/>
  <c r="CW334" i="1"/>
  <c r="E341" i="24"/>
  <c r="CW253" i="1"/>
  <c r="E257" i="24"/>
  <c r="E307" i="24"/>
  <c r="CW300" i="1"/>
  <c r="E49" i="24"/>
  <c r="CW50" i="1"/>
  <c r="CW216" i="1"/>
  <c r="E220" i="24"/>
  <c r="E171" i="24"/>
  <c r="CW168" i="1"/>
  <c r="E110" i="24"/>
  <c r="CW109" i="1"/>
  <c r="CW326" i="1"/>
  <c r="E333" i="24"/>
  <c r="E277" i="24"/>
  <c r="CW272" i="1"/>
  <c r="E108" i="24"/>
  <c r="CW107" i="1"/>
  <c r="E32" i="24"/>
  <c r="CW33" i="1"/>
  <c r="CW132" i="1"/>
  <c r="E135" i="24"/>
  <c r="CW299" i="1"/>
  <c r="E306" i="24"/>
  <c r="CW60" i="1"/>
  <c r="E59" i="24"/>
  <c r="E358" i="24"/>
  <c r="CW351" i="1"/>
  <c r="E349" i="24"/>
  <c r="CW342" i="1"/>
  <c r="E355" i="24"/>
  <c r="CW348" i="1"/>
  <c r="CY20" i="1"/>
  <c r="CZ20" i="1" s="1"/>
  <c r="CY146" i="1"/>
  <c r="CZ146" i="1" s="1"/>
  <c r="CY78" i="1"/>
  <c r="CZ78" i="1" s="1"/>
  <c r="CY65" i="1"/>
  <c r="CZ65" i="1" s="1"/>
  <c r="CY68" i="1"/>
  <c r="CZ68" i="1" s="1"/>
  <c r="CY175" i="1"/>
  <c r="CZ175" i="1" s="1"/>
  <c r="CY66" i="1"/>
  <c r="CZ66" i="1" s="1"/>
  <c r="CY223" i="1"/>
  <c r="CZ223" i="1" s="1"/>
  <c r="CY115" i="1"/>
  <c r="CZ115" i="1" s="1"/>
  <c r="CY25" i="1"/>
  <c r="CZ25" i="1" s="1"/>
  <c r="CY60" i="1"/>
  <c r="CZ60" i="1" s="1"/>
  <c r="CY133" i="1"/>
  <c r="CZ133" i="1" s="1"/>
  <c r="CW175" i="1"/>
  <c r="E178" i="24"/>
  <c r="E36" i="24"/>
  <c r="CW37" i="1"/>
  <c r="CW46" i="1"/>
  <c r="E45" i="24"/>
  <c r="E334" i="24"/>
  <c r="CW327" i="1"/>
  <c r="E321" i="24"/>
  <c r="CW314" i="1"/>
  <c r="CW336" i="1"/>
  <c r="E343" i="24"/>
  <c r="E95" i="24"/>
  <c r="CW94" i="1"/>
  <c r="CW29" i="1"/>
  <c r="E28" i="24"/>
  <c r="E52" i="24"/>
  <c r="CW53" i="1"/>
  <c r="E298" i="24"/>
  <c r="CW291" i="1"/>
  <c r="E285" i="24"/>
  <c r="CW279" i="1"/>
  <c r="E150" i="24"/>
  <c r="CW147" i="1"/>
  <c r="E263" i="24"/>
  <c r="CW259" i="1"/>
  <c r="CW144" i="1"/>
  <c r="E147" i="24"/>
  <c r="E232" i="24"/>
  <c r="CW228" i="1"/>
  <c r="E344" i="24"/>
  <c r="CW337" i="1"/>
  <c r="CW248" i="1"/>
  <c r="E252" i="24"/>
  <c r="CW170" i="1"/>
  <c r="E173" i="24"/>
  <c r="CW214" i="1"/>
  <c r="E218" i="24"/>
  <c r="E155" i="24"/>
  <c r="CW152" i="1"/>
  <c r="CW79" i="1"/>
  <c r="E80" i="24"/>
  <c r="E373" i="24"/>
  <c r="CW366" i="1"/>
  <c r="E114" i="24"/>
  <c r="CW113" i="1"/>
  <c r="E151" i="24"/>
  <c r="CW148" i="1"/>
  <c r="E145" i="24"/>
  <c r="CW142" i="1"/>
  <c r="E83" i="24"/>
  <c r="CW82" i="1"/>
  <c r="E57" i="24"/>
  <c r="CW58" i="1"/>
  <c r="E282" i="24"/>
  <c r="CW277" i="1"/>
  <c r="CW52" i="1"/>
  <c r="E51" i="24"/>
  <c r="E254" i="24"/>
  <c r="CW250" i="1"/>
  <c r="E167" i="24"/>
  <c r="CW164" i="1"/>
  <c r="CW75" i="1"/>
  <c r="E75" i="24"/>
  <c r="E120" i="24"/>
  <c r="CW119" i="1"/>
  <c r="E320" i="24"/>
  <c r="CW313" i="1"/>
  <c r="CW360" i="1"/>
  <c r="E367" i="24"/>
  <c r="CW213" i="1"/>
  <c r="E217" i="24"/>
  <c r="CW59" i="1"/>
  <c r="E58" i="24"/>
  <c r="E68" i="24"/>
  <c r="CW68" i="1"/>
  <c r="E54" i="24"/>
  <c r="CW55" i="1"/>
  <c r="E204" i="24"/>
  <c r="CW200" i="1"/>
  <c r="E359" i="24"/>
  <c r="CW352" i="1"/>
  <c r="E203" i="24"/>
  <c r="CW199" i="1"/>
  <c r="E295" i="24"/>
  <c r="CW288" i="1"/>
  <c r="CW84" i="1"/>
  <c r="E85" i="24"/>
  <c r="CW276" i="1"/>
  <c r="E281" i="24"/>
  <c r="E268" i="24"/>
  <c r="CW264" i="1"/>
  <c r="E72" i="24"/>
  <c r="CW72" i="1"/>
  <c r="BX379" i="1"/>
  <c r="N33" i="3"/>
  <c r="CT10" i="1"/>
  <c r="CS372" i="1"/>
  <c r="CS378" i="1" s="1"/>
  <c r="CV10" i="1"/>
  <c r="CW137" i="1"/>
  <c r="E140" i="24"/>
  <c r="E230" i="24"/>
  <c r="CW226" i="1"/>
  <c r="E87" i="24"/>
  <c r="CW86" i="1"/>
  <c r="CW28" i="1"/>
  <c r="E27" i="24"/>
  <c r="CW116" i="1"/>
  <c r="E117" i="24"/>
  <c r="CW180" i="1"/>
  <c r="E183" i="24"/>
  <c r="CW48" i="1"/>
  <c r="E47" i="24"/>
  <c r="E316" i="24"/>
  <c r="CW309" i="1"/>
  <c r="E362" i="24"/>
  <c r="CW355" i="1"/>
  <c r="CW177" i="1"/>
  <c r="E180" i="24"/>
  <c r="E18" i="24"/>
  <c r="CW19" i="1"/>
  <c r="CW32" i="1"/>
  <c r="E31" i="24"/>
  <c r="CW14" i="1"/>
  <c r="E13" i="24"/>
  <c r="E191" i="24"/>
  <c r="CW188" i="1"/>
  <c r="E86" i="24"/>
  <c r="CW85" i="1"/>
  <c r="CW140" i="1"/>
  <c r="E143" i="24"/>
  <c r="CW136" i="1"/>
  <c r="E139" i="24"/>
  <c r="CW308" i="1"/>
  <c r="E315" i="24"/>
  <c r="CW322" i="1"/>
  <c r="E329" i="24"/>
  <c r="CW260" i="1"/>
  <c r="E264" i="24"/>
  <c r="CW235" i="1"/>
  <c r="E239" i="24"/>
  <c r="CV34" i="1"/>
  <c r="CT34" i="1"/>
  <c r="E102" i="24"/>
  <c r="CW101" i="1"/>
  <c r="CW184" i="1"/>
  <c r="E187" i="24"/>
  <c r="CW230" i="1"/>
  <c r="E234" i="24"/>
  <c r="E346" i="24"/>
  <c r="CW339" i="1"/>
  <c r="CW310" i="1"/>
  <c r="E317" i="24"/>
  <c r="E97" i="24"/>
  <c r="CW96" i="1"/>
  <c r="E287" i="24"/>
  <c r="CW280" i="1"/>
  <c r="CW128" i="1"/>
  <c r="E130" i="24"/>
  <c r="E267" i="24"/>
  <c r="CW263" i="1"/>
  <c r="CW56" i="1"/>
  <c r="E55" i="24"/>
  <c r="CV17" i="1"/>
  <c r="CT17" i="1"/>
  <c r="CT371" i="1" s="1"/>
  <c r="CW11" i="1"/>
  <c r="E10" i="24"/>
  <c r="E193" i="24"/>
  <c r="CW190" i="1"/>
  <c r="CW174" i="1"/>
  <c r="E177" i="24"/>
  <c r="CW237" i="1"/>
  <c r="E241" i="24"/>
  <c r="CW294" i="1"/>
  <c r="E301" i="24"/>
  <c r="CW45" i="1"/>
  <c r="E44" i="24"/>
  <c r="E160" i="24"/>
  <c r="CW157" i="1"/>
  <c r="CW192" i="1"/>
  <c r="E195" i="24"/>
  <c r="CW343" i="1"/>
  <c r="E350" i="24"/>
  <c r="CW38" i="1"/>
  <c r="E37" i="24"/>
  <c r="CY177" i="1"/>
  <c r="CZ177" i="1" s="1"/>
  <c r="CY118" i="1"/>
  <c r="CZ118" i="1" s="1"/>
  <c r="CY31" i="1"/>
  <c r="CZ31" i="1" s="1"/>
  <c r="CY167" i="1"/>
  <c r="CZ167" i="1" s="1"/>
  <c r="CY279" i="1"/>
  <c r="CZ279" i="1" s="1"/>
  <c r="CY24" i="1"/>
  <c r="CZ24" i="1" s="1"/>
  <c r="CY171" i="1"/>
  <c r="CZ171" i="1" s="1"/>
  <c r="CY117" i="1"/>
  <c r="CZ117" i="1" s="1"/>
  <c r="CY132" i="1"/>
  <c r="CZ132" i="1" s="1"/>
  <c r="CY89" i="1"/>
  <c r="CZ89" i="1" s="1"/>
  <c r="CT195" i="1"/>
  <c r="CV195" i="1"/>
  <c r="CW22" i="1"/>
  <c r="E21" i="24"/>
  <c r="CW88" i="1"/>
  <c r="E89" i="24"/>
  <c r="E222" i="24"/>
  <c r="CW218" i="1"/>
  <c r="E196" i="24"/>
  <c r="CW193" i="1"/>
  <c r="E129" i="24"/>
  <c r="CW127" i="1"/>
  <c r="E261" i="24"/>
  <c r="CW257" i="1"/>
  <c r="E366" i="24"/>
  <c r="CW359" i="1"/>
  <c r="E305" i="24"/>
  <c r="CW298" i="1"/>
  <c r="CW234" i="1"/>
  <c r="E238" i="24"/>
  <c r="CW307" i="1"/>
  <c r="E314" i="24"/>
  <c r="CW331" i="1"/>
  <c r="E338" i="24"/>
  <c r="E214" i="24"/>
  <c r="CW210" i="1"/>
  <c r="CW211" i="1"/>
  <c r="E215" i="24"/>
  <c r="CW114" i="1"/>
  <c r="E115" i="24"/>
  <c r="E133" i="24"/>
  <c r="CW131" i="1"/>
  <c r="CW251" i="1"/>
  <c r="E255" i="24"/>
  <c r="CW120" i="1"/>
  <c r="E121" i="24"/>
  <c r="E141" i="24"/>
  <c r="CW138" i="1"/>
  <c r="E62" i="24"/>
  <c r="CW63" i="1"/>
  <c r="CW141" i="1"/>
  <c r="E144" i="24"/>
  <c r="E235" i="24"/>
  <c r="CW231" i="1"/>
  <c r="CW330" i="1"/>
  <c r="E337" i="24"/>
  <c r="E69" i="24"/>
  <c r="CW69" i="1"/>
  <c r="E369" i="24"/>
  <c r="CW362" i="1"/>
  <c r="CW23" i="1"/>
  <c r="E22" i="24"/>
  <c r="E247" i="24"/>
  <c r="CW243" i="1"/>
  <c r="CW244" i="1"/>
  <c r="E248" i="24"/>
  <c r="CV301" i="1"/>
  <c r="I42" i="12" s="1"/>
  <c r="CT301" i="1"/>
  <c r="CW61" i="1"/>
  <c r="E60" i="24"/>
  <c r="E43" i="24"/>
  <c r="CW44" i="1"/>
  <c r="E104" i="24"/>
  <c r="CW103" i="1"/>
  <c r="CW247" i="1"/>
  <c r="E251" i="24"/>
  <c r="CW328" i="1"/>
  <c r="E335" i="24"/>
  <c r="CW89" i="1"/>
  <c r="E90" i="24"/>
  <c r="E340" i="24"/>
  <c r="CW333" i="1"/>
  <c r="E224" i="24"/>
  <c r="CW220" i="1"/>
  <c r="CW143" i="1"/>
  <c r="E146" i="24"/>
  <c r="CW241" i="1"/>
  <c r="E245" i="24"/>
  <c r="E100" i="24"/>
  <c r="CW99" i="1"/>
  <c r="CW92" i="1"/>
  <c r="E93" i="24"/>
  <c r="E312" i="24"/>
  <c r="CW305" i="1"/>
  <c r="CW367" i="1"/>
  <c r="E374" i="24"/>
  <c r="E70" i="24"/>
  <c r="CW70" i="1"/>
  <c r="E162" i="24"/>
  <c r="CW159" i="1"/>
  <c r="E327" i="24"/>
  <c r="CW320" i="1"/>
  <c r="CW71" i="1"/>
  <c r="E71" i="24"/>
  <c r="CW81" i="1"/>
  <c r="E82" i="24"/>
  <c r="CW42" i="1"/>
  <c r="E41" i="24"/>
  <c r="BY373" i="1"/>
  <c r="E29" i="24"/>
  <c r="CW30" i="1"/>
  <c r="CW36" i="1"/>
  <c r="E35" i="24"/>
  <c r="BX378" i="1"/>
  <c r="K33" i="3"/>
  <c r="CW292" i="1"/>
  <c r="E299" i="24"/>
  <c r="E361" i="24"/>
  <c r="CW354" i="1"/>
  <c r="E105" i="24"/>
  <c r="CW104" i="1"/>
  <c r="E78" i="24"/>
  <c r="CW78" i="1"/>
  <c r="CW271" i="1"/>
  <c r="E276" i="24"/>
  <c r="E227" i="24"/>
  <c r="CW223" i="1"/>
  <c r="E125" i="24"/>
  <c r="CW123" i="1"/>
  <c r="CW39" i="1"/>
  <c r="E38" i="24"/>
  <c r="E190" i="24"/>
  <c r="CW187" i="1"/>
  <c r="E207" i="24"/>
  <c r="CW203" i="1"/>
  <c r="CW77" i="1"/>
  <c r="E77" i="24"/>
  <c r="CW318" i="1"/>
  <c r="E325" i="24"/>
  <c r="E212" i="24"/>
  <c r="CW208" i="1"/>
  <c r="E149" i="24"/>
  <c r="CW146" i="1"/>
  <c r="E292" i="24"/>
  <c r="CW285" i="1"/>
  <c r="E331" i="24"/>
  <c r="CW324" i="1"/>
  <c r="CW364" i="1"/>
  <c r="E371" i="24"/>
  <c r="CW150" i="1"/>
  <c r="E153" i="24"/>
  <c r="E15" i="24"/>
  <c r="CW16" i="1"/>
  <c r="CW122" i="1"/>
  <c r="E124" i="24"/>
  <c r="E223" i="24"/>
  <c r="CW219" i="1"/>
  <c r="CW350" i="1"/>
  <c r="E357" i="24"/>
  <c r="CW194" i="1"/>
  <c r="E197" i="24"/>
  <c r="CW165" i="1"/>
  <c r="E168" i="24"/>
  <c r="CW197" i="1"/>
  <c r="E201" i="24"/>
  <c r="CW297" i="1"/>
  <c r="E304" i="24"/>
  <c r="E209" i="24"/>
  <c r="CW205" i="1"/>
  <c r="CW317" i="1"/>
  <c r="E324" i="24"/>
  <c r="CW186" i="1"/>
  <c r="E189" i="24"/>
  <c r="E368" i="24"/>
  <c r="CW361" i="1"/>
  <c r="CW133" i="1"/>
  <c r="E136" i="24"/>
  <c r="E56" i="24"/>
  <c r="CW57" i="1"/>
  <c r="E109" i="24"/>
  <c r="CW108" i="1"/>
  <c r="E240" i="24"/>
  <c r="CW236" i="1"/>
  <c r="E132" i="24"/>
  <c r="CW130" i="1"/>
  <c r="E175" i="24"/>
  <c r="CW172" i="1"/>
  <c r="CW135" i="1"/>
  <c r="E138" i="24"/>
  <c r="CW47" i="1"/>
  <c r="E46" i="24"/>
  <c r="E92" i="24"/>
  <c r="CW91" i="1"/>
  <c r="CW156" i="1"/>
  <c r="E159" i="24"/>
  <c r="E107" i="24"/>
  <c r="CW106" i="1"/>
  <c r="E211" i="24"/>
  <c r="CW207" i="1"/>
  <c r="CW229" i="1"/>
  <c r="E233" i="24"/>
  <c r="CW21" i="1"/>
  <c r="E20" i="24"/>
  <c r="E182" i="24"/>
  <c r="CW179" i="1"/>
  <c r="CW64" i="1"/>
  <c r="E63" i="24"/>
  <c r="E326" i="24"/>
  <c r="CW319" i="1"/>
  <c r="CW178" i="1"/>
  <c r="E181" i="24"/>
  <c r="CT373" i="1" l="1"/>
  <c r="G240" i="24"/>
  <c r="F240" i="24"/>
  <c r="G331" i="24"/>
  <c r="F331" i="24"/>
  <c r="F207" i="24"/>
  <c r="G207" i="24"/>
  <c r="F190" i="24"/>
  <c r="G190" i="24"/>
  <c r="G125" i="24"/>
  <c r="F125" i="24"/>
  <c r="F361" i="24"/>
  <c r="G361" i="24"/>
  <c r="G29" i="24"/>
  <c r="F29" i="24"/>
  <c r="F181" i="24"/>
  <c r="G181" i="24"/>
  <c r="F63" i="24"/>
  <c r="G63" i="24"/>
  <c r="G233" i="24"/>
  <c r="F233" i="24"/>
  <c r="G138" i="24"/>
  <c r="F138" i="24"/>
  <c r="F136" i="24"/>
  <c r="G136" i="24"/>
  <c r="F189" i="24"/>
  <c r="G189" i="24"/>
  <c r="G324" i="24"/>
  <c r="F324" i="24"/>
  <c r="G304" i="24"/>
  <c r="F304" i="24"/>
  <c r="F197" i="24"/>
  <c r="G197" i="24"/>
  <c r="F371" i="24"/>
  <c r="G371" i="24"/>
  <c r="G77" i="24"/>
  <c r="F77" i="24"/>
  <c r="G38" i="24"/>
  <c r="F38" i="24"/>
  <c r="F299" i="24"/>
  <c r="G299" i="24"/>
  <c r="L33" i="3"/>
  <c r="K41" i="3"/>
  <c r="F35" i="24"/>
  <c r="G35" i="24"/>
  <c r="F107" i="24"/>
  <c r="G107" i="24"/>
  <c r="F92" i="24"/>
  <c r="G92" i="24"/>
  <c r="G132" i="24"/>
  <c r="F132" i="24"/>
  <c r="F109" i="24"/>
  <c r="G109" i="24"/>
  <c r="G223" i="24"/>
  <c r="F223" i="24"/>
  <c r="G15" i="24"/>
  <c r="F15" i="24"/>
  <c r="F292" i="24"/>
  <c r="G292" i="24"/>
  <c r="G212" i="24"/>
  <c r="F212" i="24"/>
  <c r="G227" i="24"/>
  <c r="F227" i="24"/>
  <c r="G78" i="24"/>
  <c r="F78" i="24"/>
  <c r="G327" i="24"/>
  <c r="F327" i="24"/>
  <c r="F70" i="24"/>
  <c r="G70" i="24"/>
  <c r="G312" i="24"/>
  <c r="F312" i="24"/>
  <c r="G100" i="24"/>
  <c r="F100" i="24"/>
  <c r="G104" i="24"/>
  <c r="F104" i="24"/>
  <c r="G43" i="24"/>
  <c r="F43" i="24"/>
  <c r="E308" i="24"/>
  <c r="CW301" i="1"/>
  <c r="F247" i="24"/>
  <c r="G247" i="24"/>
  <c r="F369" i="24"/>
  <c r="G369" i="24"/>
  <c r="F133" i="24"/>
  <c r="G133" i="24"/>
  <c r="G366" i="24"/>
  <c r="F366" i="24"/>
  <c r="F261" i="24"/>
  <c r="G261" i="24"/>
  <c r="F196" i="24"/>
  <c r="G196" i="24"/>
  <c r="G193" i="24"/>
  <c r="F193" i="24"/>
  <c r="E16" i="24"/>
  <c r="CW17" i="1"/>
  <c r="CW371" i="1" s="1"/>
  <c r="G267" i="24"/>
  <c r="F267" i="24"/>
  <c r="G287" i="24"/>
  <c r="F287" i="24"/>
  <c r="G102" i="24"/>
  <c r="F102" i="24"/>
  <c r="F86" i="24"/>
  <c r="G86" i="24"/>
  <c r="F18" i="24"/>
  <c r="G18" i="24"/>
  <c r="F362" i="24"/>
  <c r="G362" i="24"/>
  <c r="F87" i="24"/>
  <c r="G87" i="24"/>
  <c r="G281" i="24"/>
  <c r="F281" i="24"/>
  <c r="F58" i="24"/>
  <c r="G58" i="24"/>
  <c r="G75" i="24"/>
  <c r="F75" i="24"/>
  <c r="G173" i="24"/>
  <c r="F173" i="24"/>
  <c r="F147" i="24"/>
  <c r="G147" i="24"/>
  <c r="F45" i="24"/>
  <c r="G45" i="24"/>
  <c r="F306" i="24"/>
  <c r="G306" i="24"/>
  <c r="F257" i="24"/>
  <c r="G257" i="24"/>
  <c r="F265" i="24"/>
  <c r="G265" i="24"/>
  <c r="G256" i="24"/>
  <c r="F256" i="24"/>
  <c r="G348" i="24"/>
  <c r="F348" i="24"/>
  <c r="G165" i="24"/>
  <c r="F165" i="24"/>
  <c r="F137" i="24"/>
  <c r="G137" i="24"/>
  <c r="F91" i="24"/>
  <c r="G91" i="24"/>
  <c r="CW9" i="1"/>
  <c r="CV373" i="1"/>
  <c r="E8" i="24"/>
  <c r="CV368" i="1"/>
  <c r="G271" i="24"/>
  <c r="F271" i="24"/>
  <c r="F96" i="24"/>
  <c r="G96" i="24"/>
  <c r="G302" i="24"/>
  <c r="F302" i="24"/>
  <c r="F280" i="24"/>
  <c r="G280" i="24"/>
  <c r="F328" i="24"/>
  <c r="G328" i="24"/>
  <c r="CW31" i="1"/>
  <c r="E30" i="24"/>
  <c r="G185" i="24"/>
  <c r="F185" i="24"/>
  <c r="G216" i="24"/>
  <c r="F216" i="24"/>
  <c r="G94" i="24"/>
  <c r="F94" i="24"/>
  <c r="G246" i="24"/>
  <c r="F246" i="24"/>
  <c r="G272" i="24"/>
  <c r="F272" i="24"/>
  <c r="G174" i="24"/>
  <c r="F174" i="24"/>
  <c r="G34" i="24"/>
  <c r="F34" i="24"/>
  <c r="G342" i="24"/>
  <c r="F342" i="24"/>
  <c r="F262" i="24"/>
  <c r="G262" i="24"/>
  <c r="G119" i="24"/>
  <c r="F119" i="24"/>
  <c r="F206" i="24"/>
  <c r="G206" i="24"/>
  <c r="F186" i="24"/>
  <c r="G186" i="24"/>
  <c r="G339" i="24"/>
  <c r="F339" i="24"/>
  <c r="F310" i="24"/>
  <c r="G310" i="24"/>
  <c r="G352" i="24"/>
  <c r="F352" i="24"/>
  <c r="G88" i="24"/>
  <c r="F88" i="24"/>
  <c r="BY374" i="1"/>
  <c r="BX380" i="1"/>
  <c r="F258" i="24"/>
  <c r="G258" i="24"/>
  <c r="G142" i="24"/>
  <c r="F142" i="24"/>
  <c r="G363" i="24"/>
  <c r="F363" i="24"/>
  <c r="G61" i="24"/>
  <c r="F61" i="24"/>
  <c r="F182" i="24"/>
  <c r="G182" i="24"/>
  <c r="G211" i="24"/>
  <c r="F211" i="24"/>
  <c r="G175" i="24"/>
  <c r="F175" i="24"/>
  <c r="G56" i="24"/>
  <c r="F56" i="24"/>
  <c r="G209" i="24"/>
  <c r="F209" i="24"/>
  <c r="G149" i="24"/>
  <c r="F149" i="24"/>
  <c r="G105" i="24"/>
  <c r="F105" i="24"/>
  <c r="G20" i="24"/>
  <c r="F20" i="24"/>
  <c r="F159" i="24"/>
  <c r="G159" i="24"/>
  <c r="F46" i="24"/>
  <c r="G46" i="24"/>
  <c r="F201" i="24"/>
  <c r="G201" i="24"/>
  <c r="G168" i="24"/>
  <c r="F168" i="24"/>
  <c r="F357" i="24"/>
  <c r="G357" i="24"/>
  <c r="G124" i="24"/>
  <c r="F124" i="24"/>
  <c r="G153" i="24"/>
  <c r="F153" i="24"/>
  <c r="F325" i="24"/>
  <c r="G325" i="24"/>
  <c r="G276" i="24"/>
  <c r="F276" i="24"/>
  <c r="G82" i="24"/>
  <c r="F82" i="24"/>
  <c r="G374" i="24"/>
  <c r="F374" i="24"/>
  <c r="F93" i="24"/>
  <c r="G93" i="24"/>
  <c r="G245" i="24"/>
  <c r="F245" i="24"/>
  <c r="F335" i="24"/>
  <c r="G335" i="24"/>
  <c r="F251" i="24"/>
  <c r="G251" i="24"/>
  <c r="F60" i="24"/>
  <c r="G60" i="24"/>
  <c r="F248" i="24"/>
  <c r="G248" i="24"/>
  <c r="G22" i="24"/>
  <c r="F22" i="24"/>
  <c r="G255" i="24"/>
  <c r="F255" i="24"/>
  <c r="G115" i="24"/>
  <c r="F115" i="24"/>
  <c r="F314" i="24"/>
  <c r="G314" i="24"/>
  <c r="F21" i="24"/>
  <c r="G21" i="24"/>
  <c r="E198" i="24"/>
  <c r="CW195" i="1"/>
  <c r="G350" i="24"/>
  <c r="F350" i="24"/>
  <c r="G301" i="24"/>
  <c r="F301" i="24"/>
  <c r="G177" i="24"/>
  <c r="F177" i="24"/>
  <c r="F10" i="24"/>
  <c r="G10" i="24"/>
  <c r="G55" i="24"/>
  <c r="F55" i="24"/>
  <c r="F130" i="24"/>
  <c r="G130" i="24"/>
  <c r="F187" i="24"/>
  <c r="G187" i="24"/>
  <c r="F264" i="24"/>
  <c r="G264" i="24"/>
  <c r="F315" i="24"/>
  <c r="G315" i="24"/>
  <c r="F143" i="24"/>
  <c r="G143" i="24"/>
  <c r="F31" i="24"/>
  <c r="G31" i="24"/>
  <c r="F180" i="24"/>
  <c r="G180" i="24"/>
  <c r="G183" i="24"/>
  <c r="F183" i="24"/>
  <c r="G27" i="24"/>
  <c r="F27" i="24"/>
  <c r="CT372" i="1"/>
  <c r="F72" i="24"/>
  <c r="G72" i="24"/>
  <c r="G295" i="24"/>
  <c r="F295" i="24"/>
  <c r="F359" i="24"/>
  <c r="G359" i="24"/>
  <c r="F54" i="24"/>
  <c r="G54" i="24"/>
  <c r="F320" i="24"/>
  <c r="G320" i="24"/>
  <c r="F254" i="24"/>
  <c r="G254" i="24"/>
  <c r="G282" i="24"/>
  <c r="F282" i="24"/>
  <c r="G83" i="24"/>
  <c r="F83" i="24"/>
  <c r="F151" i="24"/>
  <c r="G151" i="24"/>
  <c r="G373" i="24"/>
  <c r="F373" i="24"/>
  <c r="F155" i="24"/>
  <c r="G155" i="24"/>
  <c r="G344" i="24"/>
  <c r="F344" i="24"/>
  <c r="F150" i="24"/>
  <c r="G150" i="24"/>
  <c r="F298" i="24"/>
  <c r="G298" i="24"/>
  <c r="G95" i="24"/>
  <c r="F95" i="24"/>
  <c r="G321" i="24"/>
  <c r="F321" i="24"/>
  <c r="G355" i="24"/>
  <c r="F355" i="24"/>
  <c r="G358" i="24"/>
  <c r="F358" i="24"/>
  <c r="G32" i="24"/>
  <c r="F32" i="24"/>
  <c r="G277" i="24"/>
  <c r="F277" i="24"/>
  <c r="G110" i="24"/>
  <c r="F110" i="24"/>
  <c r="F171" i="24"/>
  <c r="G171" i="24"/>
  <c r="G49" i="24"/>
  <c r="F49" i="24"/>
  <c r="F351" i="24"/>
  <c r="G351" i="24"/>
  <c r="F164" i="24"/>
  <c r="G164" i="24"/>
  <c r="F253" i="24"/>
  <c r="G253" i="24"/>
  <c r="F266" i="24"/>
  <c r="G266" i="24"/>
  <c r="G229" i="24"/>
  <c r="F229" i="24"/>
  <c r="G336" i="24"/>
  <c r="F336" i="24"/>
  <c r="G116" i="24"/>
  <c r="F116" i="24"/>
  <c r="CT368" i="1"/>
  <c r="O207" i="30"/>
  <c r="O208" i="30" s="1"/>
  <c r="G169" i="24"/>
  <c r="F169" i="24"/>
  <c r="G288" i="24"/>
  <c r="F288" i="24"/>
  <c r="F219" i="24"/>
  <c r="G219" i="24"/>
  <c r="G231" i="24"/>
  <c r="F231" i="24"/>
  <c r="F250" i="24"/>
  <c r="G250" i="24"/>
  <c r="F243" i="24"/>
  <c r="G243" i="24"/>
  <c r="F221" i="24"/>
  <c r="G221" i="24"/>
  <c r="G360" i="24"/>
  <c r="F360" i="24"/>
  <c r="G26" i="24"/>
  <c r="F26" i="24"/>
  <c r="G319" i="24"/>
  <c r="F319" i="24"/>
  <c r="G273" i="24"/>
  <c r="F273" i="24"/>
  <c r="G40" i="24"/>
  <c r="F40" i="24"/>
  <c r="F354" i="24"/>
  <c r="G354" i="24"/>
  <c r="G98" i="24"/>
  <c r="F98" i="24"/>
  <c r="F205" i="24"/>
  <c r="G205" i="24"/>
  <c r="F163" i="24"/>
  <c r="G163" i="24"/>
  <c r="F300" i="24"/>
  <c r="G300" i="24"/>
  <c r="G156" i="24"/>
  <c r="F156" i="24"/>
  <c r="G293" i="24"/>
  <c r="F293" i="24"/>
  <c r="G161" i="24"/>
  <c r="F161" i="24"/>
  <c r="F53" i="24"/>
  <c r="G53" i="24"/>
  <c r="F128" i="24"/>
  <c r="G128" i="24"/>
  <c r="F166" i="24"/>
  <c r="G166" i="24"/>
  <c r="F76" i="24"/>
  <c r="G76" i="24"/>
  <c r="F176" i="24"/>
  <c r="G176" i="24"/>
  <c r="F356" i="24"/>
  <c r="G356" i="24"/>
  <c r="F17" i="24"/>
  <c r="G17" i="24"/>
  <c r="G225" i="24"/>
  <c r="F225" i="24"/>
  <c r="F42" i="12"/>
  <c r="E42" i="12"/>
  <c r="G162" i="24"/>
  <c r="F162" i="24"/>
  <c r="F224" i="24"/>
  <c r="G224" i="24"/>
  <c r="F340" i="24"/>
  <c r="G340" i="24"/>
  <c r="F69" i="24"/>
  <c r="G69" i="24"/>
  <c r="F235" i="24"/>
  <c r="G235" i="24"/>
  <c r="F62" i="24"/>
  <c r="G62" i="24"/>
  <c r="G141" i="24"/>
  <c r="F141" i="24"/>
  <c r="G214" i="24"/>
  <c r="F214" i="24"/>
  <c r="F305" i="24"/>
  <c r="G305" i="24"/>
  <c r="F129" i="24"/>
  <c r="G129" i="24"/>
  <c r="F222" i="24"/>
  <c r="G222" i="24"/>
  <c r="G160" i="24"/>
  <c r="F160" i="24"/>
  <c r="F97" i="24"/>
  <c r="G97" i="24"/>
  <c r="G346" i="24"/>
  <c r="F346" i="24"/>
  <c r="CW34" i="1"/>
  <c r="E33" i="24"/>
  <c r="G191" i="24"/>
  <c r="F191" i="24"/>
  <c r="F316" i="24"/>
  <c r="G316" i="24"/>
  <c r="G230" i="24"/>
  <c r="F230" i="24"/>
  <c r="O33" i="3"/>
  <c r="N41" i="3"/>
  <c r="G85" i="24"/>
  <c r="F85" i="24"/>
  <c r="F217" i="24"/>
  <c r="G217" i="24"/>
  <c r="F367" i="24"/>
  <c r="G367" i="24"/>
  <c r="F51" i="24"/>
  <c r="G51" i="24"/>
  <c r="F80" i="24"/>
  <c r="G80" i="24"/>
  <c r="F218" i="24"/>
  <c r="G218" i="24"/>
  <c r="F252" i="24"/>
  <c r="G252" i="24"/>
  <c r="F28" i="24"/>
  <c r="G28" i="24"/>
  <c r="G343" i="24"/>
  <c r="F343" i="24"/>
  <c r="G178" i="24"/>
  <c r="F178" i="24"/>
  <c r="F59" i="24"/>
  <c r="G59" i="24"/>
  <c r="F135" i="24"/>
  <c r="G135" i="24"/>
  <c r="G333" i="24"/>
  <c r="F333" i="24"/>
  <c r="G220" i="24"/>
  <c r="F220" i="24"/>
  <c r="F341" i="24"/>
  <c r="G341" i="24"/>
  <c r="F184" i="24"/>
  <c r="G184" i="24"/>
  <c r="G50" i="24"/>
  <c r="F50" i="24"/>
  <c r="G103" i="24"/>
  <c r="F103" i="24"/>
  <c r="CV371" i="1"/>
  <c r="G237" i="24"/>
  <c r="F237" i="24"/>
  <c r="G118" i="24"/>
  <c r="F118" i="24"/>
  <c r="G303" i="24"/>
  <c r="F303" i="24"/>
  <c r="F152" i="24"/>
  <c r="G152" i="24"/>
  <c r="G318" i="24"/>
  <c r="F318" i="24"/>
  <c r="F127" i="24"/>
  <c r="G127" i="24"/>
  <c r="CW13" i="1"/>
  <c r="E12" i="24"/>
  <c r="F158" i="24"/>
  <c r="G158" i="24"/>
  <c r="G23" i="24"/>
  <c r="F23" i="24"/>
  <c r="F372" i="24"/>
  <c r="G372" i="24"/>
  <c r="G66" i="24"/>
  <c r="F66" i="24"/>
  <c r="G290" i="24"/>
  <c r="F290" i="24"/>
  <c r="F283" i="24"/>
  <c r="G283" i="24"/>
  <c r="CW287" i="1"/>
  <c r="E294" i="24"/>
  <c r="F332" i="24"/>
  <c r="G332" i="24"/>
  <c r="F353" i="24"/>
  <c r="G353" i="24"/>
  <c r="F330" i="24"/>
  <c r="G330" i="24"/>
  <c r="CW167" i="1"/>
  <c r="E170" i="24"/>
  <c r="F67" i="24"/>
  <c r="G67" i="24"/>
  <c r="G39" i="24"/>
  <c r="F39" i="24"/>
  <c r="G154" i="24"/>
  <c r="F154" i="24"/>
  <c r="G322" i="24"/>
  <c r="F322" i="24"/>
  <c r="G244" i="24"/>
  <c r="F244" i="24"/>
  <c r="G106" i="24"/>
  <c r="F106" i="24"/>
  <c r="F275" i="24"/>
  <c r="G275" i="24"/>
  <c r="CS374" i="1"/>
  <c r="F33" i="3"/>
  <c r="E33" i="3"/>
  <c r="D41" i="3"/>
  <c r="F24" i="24"/>
  <c r="G24" i="24"/>
  <c r="F111" i="24"/>
  <c r="G111" i="24"/>
  <c r="G296" i="24"/>
  <c r="F296" i="24"/>
  <c r="G226" i="24"/>
  <c r="F226" i="24"/>
  <c r="I33" i="3"/>
  <c r="H41" i="3"/>
  <c r="G172" i="24"/>
  <c r="F172" i="24"/>
  <c r="F48" i="24"/>
  <c r="G48" i="24"/>
  <c r="F74" i="24"/>
  <c r="G74" i="24"/>
  <c r="G228" i="24"/>
  <c r="F228" i="24"/>
  <c r="G326" i="24"/>
  <c r="F326" i="24"/>
  <c r="F368" i="24"/>
  <c r="G368" i="24"/>
  <c r="F41" i="24"/>
  <c r="G41" i="24"/>
  <c r="G71" i="24"/>
  <c r="F71" i="24"/>
  <c r="F146" i="24"/>
  <c r="G146" i="24"/>
  <c r="G90" i="24"/>
  <c r="F90" i="24"/>
  <c r="G337" i="24"/>
  <c r="F337" i="24"/>
  <c r="G144" i="24"/>
  <c r="F144" i="24"/>
  <c r="F121" i="24"/>
  <c r="G121" i="24"/>
  <c r="F215" i="24"/>
  <c r="G215" i="24"/>
  <c r="G338" i="24"/>
  <c r="F338" i="24"/>
  <c r="G238" i="24"/>
  <c r="F238" i="24"/>
  <c r="G89" i="24"/>
  <c r="F89" i="24"/>
  <c r="G37" i="24"/>
  <c r="F37" i="24"/>
  <c r="F195" i="24"/>
  <c r="G195" i="24"/>
  <c r="G44" i="24"/>
  <c r="F44" i="24"/>
  <c r="G241" i="24"/>
  <c r="F241" i="24"/>
  <c r="F317" i="24"/>
  <c r="G317" i="24"/>
  <c r="G234" i="24"/>
  <c r="F234" i="24"/>
  <c r="F239" i="24"/>
  <c r="G239" i="24"/>
  <c r="F329" i="24"/>
  <c r="G329" i="24"/>
  <c r="G139" i="24"/>
  <c r="F139" i="24"/>
  <c r="F13" i="24"/>
  <c r="G13" i="24"/>
  <c r="F47" i="24"/>
  <c r="G47" i="24"/>
  <c r="G117" i="24"/>
  <c r="F117" i="24"/>
  <c r="G140" i="24"/>
  <c r="F140" i="24"/>
  <c r="E9" i="24"/>
  <c r="CW10" i="1"/>
  <c r="CV372" i="1"/>
  <c r="F268" i="24"/>
  <c r="G268" i="24"/>
  <c r="F203" i="24"/>
  <c r="G203" i="24"/>
  <c r="F204" i="24"/>
  <c r="G204" i="24"/>
  <c r="G68" i="24"/>
  <c r="F68" i="24"/>
  <c r="F120" i="24"/>
  <c r="G120" i="24"/>
  <c r="F167" i="24"/>
  <c r="G167" i="24"/>
  <c r="G57" i="24"/>
  <c r="F57" i="24"/>
  <c r="G145" i="24"/>
  <c r="F145" i="24"/>
  <c r="G114" i="24"/>
  <c r="F114" i="24"/>
  <c r="F232" i="24"/>
  <c r="G232" i="24"/>
  <c r="G263" i="24"/>
  <c r="F263" i="24"/>
  <c r="F285" i="24"/>
  <c r="G285" i="24"/>
  <c r="F52" i="24"/>
  <c r="G52" i="24"/>
  <c r="G334" i="24"/>
  <c r="F334" i="24"/>
  <c r="G36" i="24"/>
  <c r="F36" i="24"/>
  <c r="F349" i="24"/>
  <c r="G349" i="24"/>
  <c r="G108" i="24"/>
  <c r="F108" i="24"/>
  <c r="F307" i="24"/>
  <c r="G307" i="24"/>
  <c r="G370" i="24"/>
  <c r="F370" i="24"/>
  <c r="F309" i="24"/>
  <c r="G309" i="24"/>
  <c r="G236" i="24"/>
  <c r="F236" i="24"/>
  <c r="F199" i="24"/>
  <c r="G199" i="24"/>
  <c r="G65" i="24"/>
  <c r="F65" i="24"/>
  <c r="F113" i="24"/>
  <c r="G113" i="24"/>
  <c r="G84" i="24"/>
  <c r="F84" i="24"/>
  <c r="G25" i="24"/>
  <c r="F25" i="24"/>
  <c r="CW255" i="1"/>
  <c r="E259" i="24"/>
  <c r="G210" i="24"/>
  <c r="F210" i="24"/>
  <c r="F14" i="24"/>
  <c r="G14" i="24"/>
  <c r="F194" i="24"/>
  <c r="G194" i="24"/>
  <c r="F148" i="24"/>
  <c r="G148" i="24"/>
  <c r="F364" i="24"/>
  <c r="G364" i="24"/>
  <c r="G345" i="24"/>
  <c r="F345" i="24"/>
  <c r="F291" i="24"/>
  <c r="G291" i="24"/>
  <c r="G311" i="24"/>
  <c r="F311" i="24"/>
  <c r="G297" i="24"/>
  <c r="F297" i="24"/>
  <c r="G242" i="24"/>
  <c r="F242" i="24"/>
  <c r="F131" i="24"/>
  <c r="G131" i="24"/>
  <c r="F208" i="24"/>
  <c r="G208" i="24"/>
  <c r="G99" i="24"/>
  <c r="F99" i="24"/>
  <c r="G42" i="24"/>
  <c r="F42" i="24"/>
  <c r="F157" i="24"/>
  <c r="G157" i="24"/>
  <c r="G179" i="24"/>
  <c r="F179" i="24"/>
  <c r="G365" i="24"/>
  <c r="F365" i="24"/>
  <c r="F213" i="24"/>
  <c r="G213" i="24"/>
  <c r="F249" i="24"/>
  <c r="G249" i="24"/>
  <c r="F112" i="24"/>
  <c r="G112" i="24"/>
  <c r="F81" i="24"/>
  <c r="G81" i="24"/>
  <c r="G11" i="24"/>
  <c r="F11" i="24"/>
  <c r="F101" i="24"/>
  <c r="G101" i="24"/>
  <c r="G192" i="24"/>
  <c r="F192" i="24"/>
  <c r="G19" i="24"/>
  <c r="F19" i="24"/>
  <c r="G289" i="24"/>
  <c r="F289" i="24"/>
  <c r="F323" i="24"/>
  <c r="G323" i="24"/>
  <c r="G278" i="24"/>
  <c r="F278" i="24"/>
  <c r="G188" i="24"/>
  <c r="F188" i="24"/>
  <c r="F269" i="24"/>
  <c r="G269" i="24"/>
  <c r="F347" i="24"/>
  <c r="G347" i="24"/>
  <c r="F260" i="24"/>
  <c r="G260" i="24"/>
  <c r="F73" i="24"/>
  <c r="G73" i="24"/>
  <c r="G270" i="24"/>
  <c r="F270" i="24"/>
  <c r="G313" i="24"/>
  <c r="F313" i="24"/>
  <c r="F122" i="24"/>
  <c r="G122" i="24"/>
  <c r="G279" i="24"/>
  <c r="F279" i="24"/>
  <c r="G126" i="24"/>
  <c r="F126" i="24"/>
  <c r="G202" i="24"/>
  <c r="F202" i="24"/>
  <c r="CV374" i="1" l="1"/>
  <c r="K61" i="3"/>
  <c r="CV378" i="1"/>
  <c r="CS380" i="1"/>
  <c r="CT374" i="1"/>
  <c r="N42" i="3"/>
  <c r="O41" i="3"/>
  <c r="F33" i="24"/>
  <c r="G33" i="24"/>
  <c r="F198" i="24"/>
  <c r="G198" i="24"/>
  <c r="CW373" i="1"/>
  <c r="CW372" i="1"/>
  <c r="F41" i="3"/>
  <c r="J46" i="5"/>
  <c r="D42" i="3"/>
  <c r="E41" i="3"/>
  <c r="J53" i="5"/>
  <c r="F12" i="24"/>
  <c r="G12" i="24"/>
  <c r="F30" i="24"/>
  <c r="G30" i="24"/>
  <c r="D58" i="3"/>
  <c r="CW368" i="1"/>
  <c r="G259" i="24"/>
  <c r="F259" i="24"/>
  <c r="F9" i="24"/>
  <c r="G9" i="24"/>
  <c r="F8" i="24"/>
  <c r="G8" i="24"/>
  <c r="E375" i="24"/>
  <c r="L41" i="3"/>
  <c r="K42" i="3"/>
  <c r="I41" i="3"/>
  <c r="H42" i="3"/>
  <c r="F170" i="24"/>
  <c r="G170" i="24"/>
  <c r="F294" i="24"/>
  <c r="G294" i="24"/>
  <c r="H61" i="3"/>
  <c r="CV377" i="1"/>
  <c r="N61" i="3"/>
  <c r="CV379" i="1"/>
  <c r="G16" i="24"/>
  <c r="F16" i="24"/>
  <c r="F308" i="24"/>
  <c r="G308" i="24"/>
  <c r="H45" i="3" l="1"/>
  <c r="I45" i="3" s="1"/>
  <c r="H47" i="3"/>
  <c r="H49" i="3" s="1"/>
  <c r="I42" i="3"/>
  <c r="F375" i="24"/>
  <c r="G375" i="24"/>
  <c r="J48" i="5"/>
  <c r="J50" i="5" s="1"/>
  <c r="K46" i="5"/>
  <c r="D63" i="3"/>
  <c r="L42" i="3"/>
  <c r="K45" i="3"/>
  <c r="L45" i="3" s="1"/>
  <c r="K47" i="3"/>
  <c r="K49" i="3" s="1"/>
  <c r="D47" i="3"/>
  <c r="D49" i="3" s="1"/>
  <c r="E42" i="3"/>
  <c r="D45" i="3"/>
  <c r="F42" i="3"/>
  <c r="O42" i="3"/>
  <c r="N45" i="3"/>
  <c r="O45" i="3" s="1"/>
  <c r="N47" i="3"/>
  <c r="N49" i="3" s="1"/>
  <c r="CV380" i="1"/>
  <c r="CW374" i="1"/>
  <c r="E45" i="3" l="1"/>
  <c r="F45" i="3"/>
  <c r="K48" i="5"/>
  <c r="J51" i="5"/>
  <c r="CY358" i="1" l="1"/>
  <c r="CZ358" i="1" s="1"/>
  <c r="CY291" i="1"/>
  <c r="CZ291" i="1" s="1"/>
  <c r="CY359" i="1"/>
  <c r="CZ359" i="1" s="1"/>
  <c r="CY182" i="1"/>
  <c r="CZ182" i="1" s="1"/>
  <c r="CY350" i="1"/>
  <c r="CZ350" i="1" s="1"/>
  <c r="CY184" i="1"/>
  <c r="CZ184" i="1" s="1"/>
  <c r="CY240" i="1"/>
  <c r="CZ240" i="1" s="1"/>
  <c r="CY243" i="1"/>
  <c r="CZ243" i="1" s="1"/>
  <c r="CY343" i="1"/>
  <c r="CZ343" i="1" s="1"/>
  <c r="CY85" i="1"/>
  <c r="CZ85" i="1" s="1"/>
  <c r="CY41" i="1"/>
  <c r="CZ41" i="1" s="1"/>
  <c r="CY337" i="1"/>
  <c r="CZ337" i="1" s="1"/>
  <c r="CY336" i="1"/>
  <c r="CZ336" i="1" s="1"/>
  <c r="CY340" i="1"/>
  <c r="CZ340" i="1" s="1"/>
  <c r="CY308" i="1"/>
  <c r="CZ308" i="1" s="1"/>
  <c r="CY334" i="1"/>
  <c r="CZ334" i="1" s="1"/>
  <c r="CY83" i="1"/>
  <c r="CZ83" i="1" s="1"/>
  <c r="CY353" i="1"/>
  <c r="CZ353" i="1" s="1"/>
  <c r="CY335" i="1"/>
  <c r="CZ335" i="1" s="1"/>
  <c r="CY320" i="1"/>
  <c r="CZ320" i="1" s="1"/>
  <c r="CY331" i="1"/>
  <c r="CZ331" i="1" s="1"/>
  <c r="CY344" i="1"/>
  <c r="CZ344" i="1" s="1"/>
  <c r="CY341" i="1"/>
  <c r="CZ341" i="1" s="1"/>
  <c r="CY242" i="1"/>
  <c r="CZ242" i="1" s="1"/>
  <c r="CY173" i="1"/>
  <c r="CZ173" i="1" s="1"/>
  <c r="CY42" i="1"/>
  <c r="CZ42" i="1" s="1"/>
  <c r="CY244" i="1"/>
  <c r="CZ244" i="1" s="1"/>
  <c r="CY84" i="1"/>
  <c r="CZ84" i="1" s="1"/>
  <c r="CY183" i="1"/>
  <c r="CZ183" i="1" s="1"/>
  <c r="CY247" i="1"/>
  <c r="CZ247" i="1" s="1"/>
  <c r="CY43" i="1"/>
  <c r="CZ43" i="1" s="1"/>
  <c r="CY346" i="1"/>
  <c r="CZ346" i="1" s="1"/>
  <c r="CY131" i="1"/>
  <c r="CZ131" i="1" s="1"/>
  <c r="CY348" i="1"/>
  <c r="CZ348" i="1" s="1"/>
  <c r="CY250" i="1"/>
  <c r="CZ250" i="1" s="1"/>
  <c r="CY185" i="1"/>
  <c r="CZ185" i="1" s="1"/>
  <c r="CY13" i="1"/>
  <c r="CZ13" i="1" s="1"/>
  <c r="CY181" i="1"/>
  <c r="CZ181" i="1" s="1"/>
  <c r="CY179" i="1"/>
  <c r="CZ179" i="1" s="1"/>
  <c r="CY332" i="1"/>
  <c r="CZ332" i="1" s="1"/>
  <c r="CY342" i="1"/>
  <c r="CZ342" i="1" s="1"/>
  <c r="CY354" i="1"/>
  <c r="CZ354" i="1" s="1"/>
  <c r="CY248" i="1"/>
  <c r="CZ248" i="1" s="1"/>
  <c r="CY357" i="1"/>
  <c r="CZ357" i="1" s="1"/>
  <c r="CY125" i="1"/>
  <c r="CZ125" i="1" s="1"/>
  <c r="CY355" i="1"/>
  <c r="CZ355" i="1" s="1"/>
  <c r="CY245" i="1"/>
  <c r="CZ245" i="1" s="1"/>
  <c r="CY246" i="1"/>
  <c r="CZ246" i="1" s="1"/>
  <c r="CY270" i="1"/>
  <c r="CZ270" i="1" s="1"/>
  <c r="CY299" i="1"/>
  <c r="CZ299" i="1" s="1"/>
  <c r="CY356" i="1"/>
  <c r="CZ356" i="1" s="1"/>
  <c r="CY333" i="1"/>
  <c r="CZ333" i="1" s="1"/>
  <c r="CY281" i="1"/>
  <c r="CZ281" i="1" s="1"/>
  <c r="CY338" i="1"/>
  <c r="CZ338" i="1" s="1"/>
  <c r="CY352" i="1"/>
  <c r="CZ352" i="1" s="1"/>
  <c r="CY45" i="1"/>
  <c r="CZ45" i="1" s="1"/>
  <c r="CY44" i="1"/>
  <c r="CZ44" i="1" s="1"/>
  <c r="CY121" i="1"/>
  <c r="CZ121" i="1" s="1"/>
  <c r="CY349" i="1"/>
  <c r="CZ349" i="1" s="1"/>
  <c r="CY284" i="1"/>
  <c r="CZ284" i="1" s="1"/>
  <c r="CY345" i="1"/>
  <c r="CZ345" i="1" s="1"/>
  <c r="CY23" i="1"/>
  <c r="CZ23" i="1" s="1"/>
  <c r="CY249" i="1"/>
  <c r="CZ249" i="1" s="1"/>
  <c r="CY339" i="1"/>
  <c r="CZ339" i="1" s="1"/>
  <c r="CY351" i="1"/>
  <c r="CZ351" i="1" s="1"/>
  <c r="CY241" i="1"/>
  <c r="CZ241" i="1" s="1"/>
  <c r="CY289" i="1"/>
  <c r="CZ289" i="1" s="1"/>
  <c r="CY347" i="1"/>
  <c r="CZ347" i="1" s="1"/>
  <c r="CY330" i="1" l="1"/>
  <c r="CZ330" i="1" s="1"/>
  <c r="CY62" i="1"/>
  <c r="CZ62" i="1" s="1"/>
  <c r="CY39" i="1"/>
  <c r="CZ39" i="1" s="1"/>
  <c r="CY104" i="1"/>
  <c r="CZ104" i="1" s="1"/>
  <c r="CY99" i="1"/>
  <c r="CZ99" i="1" s="1"/>
  <c r="CY314" i="1"/>
  <c r="CZ314" i="1" s="1"/>
  <c r="CY36" i="1"/>
  <c r="CZ36" i="1" s="1"/>
  <c r="CY286" i="1"/>
  <c r="CZ286" i="1" s="1"/>
  <c r="CY315" i="1"/>
  <c r="CZ315" i="1" s="1"/>
  <c r="CY312" i="1"/>
  <c r="CZ312" i="1" s="1"/>
  <c r="CY46" i="1"/>
  <c r="CZ46" i="1" s="1"/>
  <c r="CY237" i="1"/>
  <c r="CZ237" i="1" s="1"/>
  <c r="CY327" i="1"/>
  <c r="CZ327" i="1" s="1"/>
  <c r="CY292" i="1"/>
  <c r="CZ292" i="1" s="1"/>
  <c r="CY254" i="1"/>
  <c r="CZ254" i="1" s="1"/>
  <c r="CY35" i="1"/>
  <c r="CZ35" i="1" s="1"/>
  <c r="CY221" i="1"/>
  <c r="CZ221" i="1" s="1"/>
  <c r="CY267" i="1"/>
  <c r="CZ267" i="1" s="1"/>
  <c r="CY363" i="1"/>
  <c r="CZ363" i="1" s="1"/>
  <c r="CY194" i="1"/>
  <c r="CZ194" i="1" s="1"/>
  <c r="CY140" i="1"/>
  <c r="CZ140" i="1" s="1"/>
  <c r="CY302" i="1"/>
  <c r="CZ302" i="1" s="1"/>
  <c r="CY172" i="1"/>
  <c r="CZ172" i="1" s="1"/>
  <c r="CY64" i="1"/>
  <c r="CZ64" i="1" s="1"/>
  <c r="CY236" i="1"/>
  <c r="CZ236" i="1" s="1"/>
  <c r="CY97" i="1"/>
  <c r="CZ97" i="1" s="1"/>
  <c r="CY309" i="1"/>
  <c r="CZ309" i="1" s="1"/>
  <c r="CY108" i="1"/>
  <c r="CZ108" i="1" s="1"/>
  <c r="CY294" i="1"/>
  <c r="CZ294" i="1" s="1"/>
  <c r="CY282" i="1"/>
  <c r="CZ282" i="1" s="1"/>
  <c r="CY147" i="1"/>
  <c r="CZ147" i="1" s="1"/>
  <c r="CY321" i="1"/>
  <c r="CZ321" i="1" s="1"/>
  <c r="CY91" i="1"/>
  <c r="CZ91" i="1" s="1"/>
  <c r="CY88" i="1"/>
  <c r="CZ88" i="1" s="1"/>
  <c r="CY198" i="1"/>
  <c r="CZ198" i="1" s="1"/>
  <c r="CY148" i="1"/>
  <c r="CZ148" i="1" s="1"/>
  <c r="CY158" i="1"/>
  <c r="CZ158" i="1" s="1"/>
  <c r="CY152" i="1"/>
  <c r="CZ152" i="1" s="1"/>
  <c r="CY153" i="1"/>
  <c r="CZ153" i="1" s="1"/>
  <c r="CY17" i="1"/>
  <c r="CZ17" i="1" s="1"/>
  <c r="CY149" i="1"/>
  <c r="CZ149" i="1" s="1"/>
  <c r="CY92" i="1"/>
  <c r="CZ92" i="1" s="1"/>
  <c r="CY90" i="1"/>
  <c r="CZ90" i="1" s="1"/>
  <c r="CY18" i="1"/>
  <c r="CZ18" i="1" s="1"/>
  <c r="CY71" i="1"/>
  <c r="CZ71" i="1" s="1"/>
  <c r="CY150" i="1"/>
  <c r="CZ150" i="1" s="1"/>
  <c r="CY151" i="1"/>
  <c r="CZ151" i="1" s="1"/>
  <c r="CY197" i="1"/>
  <c r="CZ197" i="1" s="1"/>
  <c r="CY215" i="1"/>
  <c r="CZ215" i="1" s="1"/>
  <c r="CY74" i="1"/>
  <c r="CZ74" i="1" s="1"/>
  <c r="CY216" i="1"/>
  <c r="CZ216" i="1" s="1"/>
  <c r="CY234" i="1"/>
  <c r="CZ234" i="1" s="1"/>
  <c r="CY290" i="1"/>
  <c r="CZ290" i="1" s="1"/>
  <c r="CY364" i="1"/>
  <c r="CZ364" i="1" s="1"/>
  <c r="CY142" i="1"/>
  <c r="CZ142" i="1" s="1"/>
  <c r="CY53" i="1"/>
  <c r="CZ53" i="1" s="1"/>
  <c r="CY303" i="1"/>
  <c r="CZ303" i="1" s="1"/>
  <c r="CY278" i="1"/>
  <c r="CZ278" i="1" s="1"/>
  <c r="CY138" i="1"/>
  <c r="CZ138" i="1" s="1"/>
  <c r="CY201" i="1"/>
  <c r="CZ201" i="1" s="1"/>
  <c r="CY195" i="1"/>
  <c r="CZ195" i="1" s="1"/>
  <c r="CY297" i="1"/>
  <c r="CZ297" i="1" s="1"/>
  <c r="CY260" i="1"/>
  <c r="CZ260" i="1" s="1"/>
  <c r="CY323" i="1"/>
  <c r="CZ323" i="1" s="1"/>
  <c r="CY361" i="1"/>
  <c r="CZ361" i="1" s="1"/>
  <c r="CY22" i="1"/>
  <c r="CZ22" i="1" s="1"/>
  <c r="CY217" i="1"/>
  <c r="CZ217" i="1" s="1"/>
  <c r="CY100" i="1"/>
  <c r="CZ100" i="1" s="1"/>
  <c r="CY103" i="1"/>
  <c r="CZ103" i="1" s="1"/>
  <c r="CY232" i="1"/>
  <c r="CZ232" i="1" s="1"/>
  <c r="CY225" i="1"/>
  <c r="CZ225" i="1" s="1"/>
  <c r="CY362" i="1"/>
  <c r="CZ362" i="1" s="1"/>
  <c r="CY37" i="1"/>
  <c r="CZ37" i="1" s="1"/>
  <c r="CY220" i="1"/>
  <c r="CZ220" i="1" s="1"/>
  <c r="CY139" i="1"/>
  <c r="CZ139" i="1" s="1"/>
  <c r="CY113" i="1"/>
  <c r="CZ113" i="1" s="1"/>
  <c r="CY360" i="1"/>
  <c r="CZ360" i="1" s="1"/>
  <c r="CY310" i="1"/>
  <c r="CZ310" i="1" s="1"/>
  <c r="CY63" i="1"/>
  <c r="CZ63" i="1" s="1"/>
  <c r="CY186" i="1"/>
  <c r="CZ186" i="1" s="1"/>
  <c r="CY32" i="1"/>
  <c r="CZ32" i="1" s="1"/>
  <c r="CY192" i="1"/>
  <c r="CZ192" i="1" s="1"/>
  <c r="CY110" i="1"/>
  <c r="CZ110" i="1" s="1"/>
  <c r="CY230" i="1"/>
  <c r="CZ230" i="1" s="1"/>
  <c r="CY287" i="1"/>
  <c r="CZ287" i="1" s="1"/>
  <c r="CY210" i="1"/>
  <c r="CZ210" i="1" s="1"/>
  <c r="CY214" i="1"/>
  <c r="CZ214" i="1" s="1"/>
  <c r="CY209" i="1"/>
  <c r="CZ209" i="1" s="1"/>
  <c r="CY319" i="1"/>
  <c r="CZ319" i="1" s="1"/>
  <c r="CY96" i="1"/>
  <c r="CZ96" i="1" s="1"/>
  <c r="CY70" i="1"/>
  <c r="CZ70" i="1" s="1"/>
  <c r="CY126" i="1"/>
  <c r="CZ126" i="1" s="1"/>
  <c r="CY94" i="1"/>
  <c r="CZ94" i="1" s="1"/>
  <c r="CY317" i="1"/>
  <c r="CZ317" i="1" s="1"/>
  <c r="CY200" i="1"/>
  <c r="CZ200" i="1" s="1"/>
  <c r="CY203" i="1"/>
  <c r="CZ203" i="1" s="1"/>
  <c r="CY95" i="1"/>
  <c r="CZ95" i="1" s="1"/>
  <c r="CY157" i="1"/>
  <c r="CZ157" i="1" s="1"/>
  <c r="CY258" i="1"/>
  <c r="CZ258" i="1" s="1"/>
  <c r="CY38" i="1"/>
  <c r="CZ38" i="1" s="1"/>
  <c r="CY226" i="1"/>
  <c r="CZ226" i="1" s="1"/>
  <c r="CY265" i="1"/>
  <c r="CZ265" i="1" s="1"/>
  <c r="CY101" i="1"/>
  <c r="CZ101" i="1" s="1"/>
  <c r="CY180" i="1"/>
  <c r="CZ180" i="1" s="1"/>
  <c r="CY107" i="1"/>
  <c r="CZ107" i="1" s="1"/>
  <c r="CY366" i="1"/>
  <c r="CZ366" i="1" s="1"/>
  <c r="CY311" i="1"/>
  <c r="CZ311" i="1" s="1"/>
  <c r="CY328" i="1"/>
  <c r="CZ328" i="1" s="1"/>
  <c r="CY233" i="1"/>
  <c r="CZ233" i="1" s="1"/>
  <c r="CY329" i="1"/>
  <c r="CZ329" i="1" s="1"/>
  <c r="CY102" i="1"/>
  <c r="CZ102" i="1" s="1"/>
  <c r="CY136" i="1"/>
  <c r="CZ136" i="1" s="1"/>
  <c r="CY98" i="1"/>
  <c r="CZ98" i="1" s="1"/>
  <c r="CY61" i="1"/>
  <c r="CZ61" i="1" s="1"/>
  <c r="CY316" i="1"/>
  <c r="CZ316" i="1" s="1"/>
  <c r="CY114" i="1"/>
  <c r="CZ114" i="1" s="1"/>
  <c r="CY300" i="1"/>
  <c r="CZ300" i="1" s="1"/>
  <c r="CY224" i="1"/>
  <c r="CZ224" i="1" s="1"/>
  <c r="CY283" i="1"/>
  <c r="CZ283" i="1" s="1"/>
  <c r="CY259" i="1"/>
  <c r="CZ259" i="1" s="1"/>
  <c r="CY293" i="1"/>
  <c r="CZ293" i="1" s="1"/>
  <c r="CY11" i="1"/>
  <c r="CZ11" i="1" s="1"/>
  <c r="CY296" i="1"/>
  <c r="CZ296" i="1" s="1"/>
  <c r="CY143" i="1"/>
  <c r="CZ143" i="1" s="1"/>
  <c r="CY257" i="1"/>
  <c r="CZ257" i="1" s="1"/>
  <c r="CY301" i="1"/>
  <c r="CZ301" i="1" s="1"/>
  <c r="CY109" i="1"/>
  <c r="CZ109" i="1" s="1"/>
  <c r="CY21" i="1"/>
  <c r="CZ21" i="1" s="1"/>
  <c r="CY264" i="1"/>
  <c r="CZ264" i="1" s="1"/>
  <c r="CY255" i="1"/>
  <c r="CZ255" i="1" s="1"/>
  <c r="CY106" i="1"/>
  <c r="CZ106" i="1" s="1"/>
  <c r="CY325" i="1"/>
  <c r="CZ325" i="1" s="1"/>
  <c r="CY33" i="1"/>
  <c r="CZ33" i="1" s="1"/>
  <c r="CY40" i="1"/>
  <c r="CZ40" i="1" s="1"/>
  <c r="CY229" i="1"/>
  <c r="CZ229" i="1" s="1"/>
  <c r="CY261" i="1"/>
  <c r="CZ261" i="1" s="1"/>
  <c r="CY285" i="1"/>
  <c r="CZ285" i="1" s="1"/>
  <c r="CY188" i="1"/>
  <c r="CZ188" i="1" s="1"/>
  <c r="CY161" i="1"/>
  <c r="CZ161" i="1" s="1"/>
  <c r="CY269" i="1"/>
  <c r="CZ269" i="1" s="1"/>
  <c r="CY81" i="1"/>
  <c r="CZ81" i="1" s="1"/>
  <c r="CY187" i="1"/>
  <c r="CZ187" i="1" s="1"/>
  <c r="CY72" i="1"/>
  <c r="CZ72" i="1" s="1"/>
  <c r="CY145" i="1"/>
  <c r="CZ145" i="1" s="1"/>
  <c r="CY206" i="1"/>
  <c r="CZ206" i="1" s="1"/>
  <c r="CY154" i="1"/>
  <c r="CZ154" i="1" s="1"/>
  <c r="CY93" i="1"/>
  <c r="CZ93" i="1" s="1"/>
  <c r="CY202" i="1"/>
  <c r="CZ202" i="1" s="1"/>
  <c r="CY86" i="1"/>
  <c r="CZ86" i="1" s="1"/>
  <c r="CY295" i="1"/>
  <c r="CZ295" i="1" s="1"/>
  <c r="CY58" i="1"/>
  <c r="CZ58" i="1" s="1"/>
  <c r="CY207" i="1"/>
  <c r="CZ207" i="1" s="1"/>
  <c r="CY263" i="1"/>
  <c r="CZ263" i="1" s="1"/>
  <c r="CY56" i="1"/>
  <c r="CZ56" i="1" s="1"/>
  <c r="CY111" i="1"/>
  <c r="CZ111" i="1" s="1"/>
  <c r="CY288" i="1"/>
  <c r="CZ288" i="1" s="1"/>
  <c r="CY105" i="1"/>
  <c r="CZ105" i="1" s="1"/>
  <c r="CY54" i="1"/>
  <c r="CZ54" i="1" s="1"/>
  <c r="CY34" i="1"/>
  <c r="CZ34" i="1" s="1"/>
  <c r="CY144" i="1"/>
  <c r="CZ144" i="1" s="1"/>
  <c r="CY266" i="1"/>
  <c r="CZ266" i="1" s="1"/>
  <c r="CY218" i="1"/>
  <c r="CZ218" i="1" s="1"/>
  <c r="CY191" i="1"/>
  <c r="CZ191" i="1" s="1"/>
  <c r="CY238" i="1"/>
  <c r="CZ238" i="1" s="1"/>
  <c r="CY219" i="1"/>
  <c r="CZ219" i="1" s="1"/>
  <c r="CY280" i="1"/>
  <c r="CZ280" i="1" s="1"/>
  <c r="CY324" i="1"/>
  <c r="CZ324" i="1" s="1"/>
  <c r="CY313" i="1"/>
  <c r="CZ313" i="1" s="1"/>
  <c r="CY134" i="1"/>
  <c r="CZ134" i="1" s="1"/>
  <c r="CY196" i="1"/>
  <c r="CZ196" i="1" s="1"/>
  <c r="CY137" i="1"/>
  <c r="CZ137" i="1" s="1"/>
  <c r="CY365" i="1"/>
  <c r="CZ365" i="1" s="1"/>
  <c r="CY112" i="1"/>
  <c r="CZ112" i="1" s="1"/>
  <c r="CY19" i="1"/>
  <c r="CZ19" i="1" s="1"/>
  <c r="CY193" i="1"/>
  <c r="CZ193" i="1" s="1"/>
  <c r="CY326" i="1"/>
  <c r="CZ326" i="1" s="1"/>
  <c r="CY57" i="1"/>
  <c r="CZ57" i="1" s="1"/>
  <c r="CY298" i="1"/>
  <c r="CZ298" i="1" s="1"/>
  <c r="CY256" i="1"/>
  <c r="CZ256" i="1" s="1"/>
  <c r="CY55" i="1"/>
  <c r="CZ55" i="1" s="1"/>
  <c r="CY222" i="1"/>
  <c r="CZ222" i="1" s="1"/>
  <c r="CY190" i="1"/>
  <c r="CZ190" i="1" s="1"/>
  <c r="CY227" i="1"/>
  <c r="CZ227" i="1" s="1"/>
  <c r="CY367" i="1"/>
  <c r="CZ367" i="1" s="1"/>
  <c r="CY228" i="1"/>
  <c r="CZ228" i="1" s="1"/>
  <c r="CY262" i="1"/>
  <c r="CZ262" i="1" s="1"/>
  <c r="CY239" i="1"/>
  <c r="CZ239" i="1" s="1"/>
  <c r="CY199" i="1"/>
  <c r="CZ199" i="1" s="1"/>
  <c r="CY189" i="1"/>
  <c r="CZ189" i="1" s="1"/>
  <c r="CY235" i="1"/>
  <c r="CZ235" i="1" s="1"/>
  <c r="CY51" i="1"/>
  <c r="CZ51" i="1" s="1"/>
  <c r="CY213" i="1"/>
  <c r="CZ213" i="1" s="1"/>
  <c r="CY205" i="1"/>
  <c r="CZ205" i="1" s="1"/>
  <c r="CY67" i="1"/>
  <c r="CZ67" i="1" s="1"/>
  <c r="CY49" i="1"/>
  <c r="CZ49" i="1" s="1"/>
  <c r="CY16" i="1"/>
  <c r="CZ16" i="1" s="1"/>
  <c r="CY274" i="1"/>
  <c r="CZ274" i="1" s="1"/>
  <c r="CY273" i="1"/>
  <c r="CZ273" i="1" s="1"/>
  <c r="CY208" i="1"/>
  <c r="CZ208" i="1" s="1"/>
  <c r="CY127" i="1"/>
  <c r="CZ127" i="1" s="1"/>
  <c r="CY318" i="1"/>
  <c r="CZ318" i="1" s="1"/>
  <c r="CY135" i="1"/>
  <c r="CZ135" i="1" s="1"/>
  <c r="CY73" i="1"/>
  <c r="CZ73" i="1" s="1"/>
  <c r="CY204" i="1"/>
  <c r="CZ204" i="1" s="1"/>
  <c r="CY253" i="1"/>
  <c r="CZ253" i="1" s="1"/>
  <c r="CY50" i="1"/>
  <c r="CZ50" i="1" s="1"/>
  <c r="CY9" i="1"/>
  <c r="CZ9" i="1" l="1"/>
  <c r="CY271" i="1"/>
  <c r="CZ271" i="1" s="1"/>
  <c r="CY116" i="1"/>
  <c r="CZ116" i="1" s="1"/>
  <c r="CY272" i="1"/>
  <c r="CZ272" i="1" s="1"/>
  <c r="CY174" i="1"/>
  <c r="CZ174" i="1" s="1"/>
  <c r="CY12" i="1"/>
  <c r="CZ12" i="1" s="1"/>
  <c r="CY15" i="1"/>
  <c r="CY10" i="1"/>
  <c r="CZ373" i="1" l="1"/>
  <c r="CZ10" i="1"/>
  <c r="CZ372" i="1" s="1"/>
  <c r="CY372" i="1"/>
  <c r="CZ15" i="1"/>
  <c r="CY373" i="1"/>
  <c r="CY276" i="1" l="1"/>
  <c r="CZ276" i="1" l="1"/>
  <c r="CZ371" i="1" s="1"/>
  <c r="CY368" i="1"/>
  <c r="CZ368" i="1" s="1"/>
  <c r="CY371" i="1"/>
  <c r="CY374" i="1" s="1"/>
  <c r="CZ37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nachpev</author>
  </authors>
  <commentList>
    <comment ref="C40" authorId="0" shapeId="0" xr:uid="{422DB22C-BA93-46AB-98AF-418D8707CEA4}">
      <text>
        <r>
          <rPr>
            <b/>
            <sz val="9"/>
            <color indexed="81"/>
            <rFont val="Tahoma"/>
            <family val="2"/>
            <charset val="204"/>
          </rPr>
          <t xml:space="preserve">нестандартне підключення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nachpev</author>
  </authors>
  <commentList>
    <comment ref="DX98" authorId="0" shapeId="0" xr:uid="{788F5702-AADA-4C2D-95F1-A25BC3BF045A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нестандартне підключення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AC9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04"/>
          </rPr>
          <t>Двері.вікна,скління,утеплення підлоги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M9" authorId="0" shapeId="0" xr:uid="{A4CF1765-6E6B-4043-BF98-FEC6D251734B}">
      <text>
        <r>
          <rPr>
            <b/>
            <sz val="8"/>
            <color indexed="81"/>
            <rFont val="Tahoma"/>
            <family val="2"/>
            <charset val="204"/>
          </rPr>
          <t>Двері.вікна,скління,утеплення підлоги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J23" authorId="0" shapeId="0" xr:uid="{DF0A299B-DBD9-44C7-B1A7-B8565F701D8C}">
      <text>
        <r>
          <rPr>
            <b/>
            <sz val="9"/>
            <color indexed="81"/>
            <rFont val="Tahoma"/>
            <family val="2"/>
            <charset val="204"/>
          </rPr>
          <t>з 01.01.2021 додався 2-ий підїзд + 305м2</t>
        </r>
      </text>
    </comment>
    <comment ref="AQ185" authorId="0" shapeId="0" xr:uid="{91381D74-7B5F-447E-BC06-4CA28D707560}">
      <text>
        <r>
          <rPr>
            <sz val="9"/>
            <color indexed="81"/>
            <rFont val="Tahoma"/>
            <family val="2"/>
            <charset val="204"/>
          </rPr>
          <t xml:space="preserve">Підземні контейнери
</t>
        </r>
      </text>
    </comment>
    <comment ref="AQ250" authorId="0" shapeId="0" xr:uid="{43CC14F1-E87F-4E7F-A97C-6B751D7F0FF4}">
      <text>
        <r>
          <rPr>
            <b/>
            <sz val="9"/>
            <color indexed="81"/>
            <rFont val="Tahoma"/>
            <family val="2"/>
            <charset val="204"/>
          </rPr>
          <t>Підземний конт. З 01.09.2020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284" authorId="0" shapeId="0" xr:uid="{02C5C91C-4317-43BA-A68F-99332BEDB29F}">
      <text>
        <r>
          <rPr>
            <b/>
            <sz val="9"/>
            <color indexed="81"/>
            <rFont val="Tahoma"/>
            <family val="2"/>
            <charset val="204"/>
          </rPr>
          <t>з 01.03.2021, Шевченка, 110 - ОСББ, тому конт. Майд. На 112А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Y329" authorId="0" shapeId="0" xr:uid="{ADFD4F64-6CF0-48CC-A851-0B131988C555}">
      <text>
        <r>
          <rPr>
            <b/>
            <sz val="8"/>
            <color indexed="81"/>
            <rFont val="Tahoma"/>
            <family val="2"/>
            <charset val="204"/>
          </rPr>
          <t>Полісся</t>
        </r>
      </text>
    </comment>
    <comment ref="AC329" authorId="0" shapeId="0" xr:uid="{5F9EC9EB-29CA-43F8-9C4F-F524728D05F0}">
      <text>
        <r>
          <rPr>
            <b/>
            <sz val="8"/>
            <color indexed="81"/>
            <rFont val="Tahoma"/>
            <family val="2"/>
            <charset val="204"/>
          </rPr>
          <t>Полісся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Q330" authorId="0" shapeId="0" xr:uid="{09AAFD82-376E-45EF-96BC-985E8B5CFAD6}">
      <text>
        <r>
          <rPr>
            <b/>
            <sz val="9"/>
            <color indexed="81"/>
            <rFont val="Tahoma"/>
            <family val="2"/>
            <charset val="204"/>
          </rPr>
          <t>Підземні контейнери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345" authorId="0" shapeId="0" xr:uid="{C35BDB95-4F3D-4B4E-ACE5-8ED69C0B6586}">
      <text>
        <r>
          <rPr>
            <b/>
            <sz val="9"/>
            <color indexed="81"/>
            <rFont val="Tahoma"/>
            <family val="2"/>
            <charset val="204"/>
          </rPr>
          <t>Підземний конт. З 01.09.2020</t>
        </r>
      </text>
    </comment>
    <comment ref="AQ346" authorId="0" shapeId="0" xr:uid="{54345E1E-0466-4E3B-8E28-48D9B4D3008F}">
      <text>
        <r>
          <rPr>
            <b/>
            <sz val="9"/>
            <color indexed="81"/>
            <rFont val="Tahoma"/>
            <family val="2"/>
            <charset val="204"/>
          </rPr>
          <t xml:space="preserve">Підземні контейнери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347" authorId="0" shapeId="0" xr:uid="{10D38A3E-31D8-453B-8C0A-44970DB776F5}">
      <text>
        <r>
          <rPr>
            <b/>
            <sz val="9"/>
            <color indexed="81"/>
            <rFont val="Tahoma"/>
            <family val="2"/>
            <charset val="204"/>
          </rPr>
          <t>Підземний конт. З 01.09.2020</t>
        </r>
      </text>
    </comment>
    <comment ref="AQ348" authorId="0" shapeId="0" xr:uid="{B9DD0242-DEAE-487C-AE68-9EAA0100E97C}">
      <text>
        <r>
          <rPr>
            <b/>
            <sz val="9"/>
            <color indexed="81"/>
            <rFont val="Tahoma"/>
            <family val="2"/>
            <charset val="204"/>
          </rPr>
          <t>Підземні контейнери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AL193" authorId="0" shapeId="0" xr:uid="{9B717209-74A1-4697-BB20-43B1D2D5E556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підключення, відключення електроустановок рахунок від 04.11.21</t>
        </r>
      </text>
    </comment>
    <comment ref="AQ349" authorId="0" shapeId="0" xr:uid="{2A26E481-9603-4746-A263-5A02E81B2CEB}">
      <text>
        <r>
          <rPr>
            <b/>
            <sz val="9"/>
            <color indexed="81"/>
            <rFont val="Tahoma"/>
            <family val="2"/>
            <charset val="204"/>
          </rPr>
          <t>423,4 грн матеріали Кречківський, 552,5 грн послуга "ЧернігівГАЗ"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nachpev</author>
  </authors>
  <commentList>
    <comment ref="K23" authorId="0" shapeId="0" xr:uid="{00000000-0006-0000-1200-000001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L34" authorId="0" shapeId="0" xr:uid="{00000000-0006-0000-1200-000002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смотреть формулу</t>
        </r>
      </text>
    </comment>
    <comment ref="K73" authorId="0" shapeId="0" xr:uid="{00000000-0006-0000-1200-000003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L84" authorId="0" shapeId="0" xr:uid="{00000000-0006-0000-1200-000004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смотреть формулу</t>
        </r>
      </text>
    </comment>
    <comment ref="K123" authorId="0" shapeId="0" xr:uid="{00000000-0006-0000-1200-000005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L134" authorId="0" shapeId="0" xr:uid="{00000000-0006-0000-1200-000006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смотреть формулу</t>
        </r>
      </text>
    </comment>
    <comment ref="K232" authorId="0" shapeId="0" xr:uid="{00000000-0006-0000-1200-000007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K247" authorId="0" shapeId="0" xr:uid="{00000000-0006-0000-1200-000008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K262" authorId="0" shapeId="0" xr:uid="{00000000-0006-0000-1200-000009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</commentList>
</comments>
</file>

<file path=xl/sharedStrings.xml><?xml version="1.0" encoding="utf-8"?>
<sst xmlns="http://schemas.openxmlformats.org/spreadsheetml/2006/main" count="8459" uniqueCount="1848">
  <si>
    <t>КП "Деснянське" ЧМР</t>
  </si>
  <si>
    <t>Адреса</t>
  </si>
  <si>
    <t>Поверх</t>
  </si>
  <si>
    <t>Загальна площа квартир</t>
  </si>
  <si>
    <t>в т.ч площа 1 поверху для будинків з ліфтами</t>
  </si>
  <si>
    <t>Площа нежитлових приміщень</t>
  </si>
  <si>
    <t>Технічне обслуговування внутрішньобудинкових систем</t>
  </si>
  <si>
    <t>Технічне обслуговування ліфтів</t>
  </si>
  <si>
    <t>Обслуговування систем диспетчеризації</t>
  </si>
  <si>
    <t>Обслуговування димових та вентиляційних каналів</t>
  </si>
  <si>
    <t>Технічне обслуговування систем протипожежної автоматики та димовидалення (у разі їх наявності)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</si>
  <si>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ББ</t>
  </si>
  <si>
    <t>Поточний ремонт внутрішньобудинкових систем</t>
  </si>
  <si>
    <t>Поточний ремонт систем протипожежної  автоматики та димовидалення (у разі їх наявності)</t>
  </si>
  <si>
    <t>Прибирання прибудинкової території</t>
  </si>
  <si>
    <t>Прибирання приміщень загального користування (у т.ч допоміжних)</t>
  </si>
  <si>
    <t>Прибирання та вивезення снігу, посипання частини прибудинкової території, призначеної для проходу та проїзду, протиожеледними сумішами</t>
  </si>
  <si>
    <t>12. Дератизація</t>
  </si>
  <si>
    <t>13. Дезінсекція</t>
  </si>
  <si>
    <t>14. Придбання електричної енергії для освітлення місць загального користуванння, живлення ліфтів та забезпечення функціонування іншого спільного майна багатоквартирного будинку, в т.ч</t>
  </si>
  <si>
    <t>Інші роботи (послуги) понад обов'язковий перелік</t>
  </si>
  <si>
    <t>Загальна сума витрат (без урахування ПДВ)</t>
  </si>
  <si>
    <t>Загальна сума витрат (з урахуванням ПДВ)</t>
  </si>
  <si>
    <t xml:space="preserve">водопостачання </t>
  </si>
  <si>
    <t>водовідведення</t>
  </si>
  <si>
    <t>теплопостачання</t>
  </si>
  <si>
    <t>гарячого водопостачання</t>
  </si>
  <si>
    <t>зливової каналізації</t>
  </si>
  <si>
    <t>електропостачання</t>
  </si>
  <si>
    <t>газопостачання</t>
  </si>
  <si>
    <t>аварійне обслуговування</t>
  </si>
  <si>
    <t>для освітлення місць загального користування</t>
  </si>
  <si>
    <t>для живлення ліфтів</t>
  </si>
  <si>
    <t>вул.АНДРІЇВСЬКА,  17</t>
  </si>
  <si>
    <t>вул.ГАНЖІВСЬКА,  4</t>
  </si>
  <si>
    <t>вул.ГАНЖІВСЬКА,  6А</t>
  </si>
  <si>
    <t>вул.ГАНЖІВСЬКА,  7</t>
  </si>
  <si>
    <t>вул.ГЕТЬМАНА ПОЛУБОТКА,  101</t>
  </si>
  <si>
    <t>вул.ГЕТЬМАНА ПОЛУБОТКА,  103</t>
  </si>
  <si>
    <t>вул.ГЕТЬМАНА ПОЛУБОТКА,  124</t>
  </si>
  <si>
    <t>вул.ГЕТЬМАНА ПОЛУБОТКА,  124А</t>
  </si>
  <si>
    <t>вул.ГЕТЬМАНА ПОЛУБОТКА,  126</t>
  </si>
  <si>
    <t>вул.ГЕТЬМАНА ПОЛУБОТКА,  126А</t>
  </si>
  <si>
    <t>вул.ГЕТЬМАНА ПОЛУБОТКА,  126Б</t>
  </si>
  <si>
    <t>вул.ГЕТЬМАНА ПОЛУБОТКА,  128</t>
  </si>
  <si>
    <t>вул.ГЕТЬМАНА ПОЛУБОТКА,  128А</t>
  </si>
  <si>
    <t>вул.ГЕТЬМАНА ПОЛУБОТКА,  128Б</t>
  </si>
  <si>
    <t>вул.ГЕТЬМАНА ПОЛУБОТКА,  130</t>
  </si>
  <si>
    <t>вул.ГЕТЬМАНА ПОЛУБОТКА,  130А</t>
  </si>
  <si>
    <t>вул.ГЕТЬМАНА ПОЛУБОТКА,  19</t>
  </si>
  <si>
    <t>вул.ГЕТЬМАНА ПОЛУБОТКА,  97</t>
  </si>
  <si>
    <t>вул.ГЕТЬМАНА ПОЛУБОТКА,  99</t>
  </si>
  <si>
    <t>вул.ГОНЧА,  11</t>
  </si>
  <si>
    <t>вул.ГОНЧА,  22</t>
  </si>
  <si>
    <t>вул.ГОНЧА,  22А</t>
  </si>
  <si>
    <t>вул.ГОНЧА,  24</t>
  </si>
  <si>
    <t>вул.ГОНЧА,  42</t>
  </si>
  <si>
    <t>вул.ГОНЧА,  48</t>
  </si>
  <si>
    <t>вул.ГОНЧА,  50</t>
  </si>
  <si>
    <t>вул.ГОНЧА,  62А</t>
  </si>
  <si>
    <t>вул.ГОНЧА,  67</t>
  </si>
  <si>
    <t>вул.ГОНЧА,  69А</t>
  </si>
  <si>
    <t>вул.ГОНЧА,  77</t>
  </si>
  <si>
    <t>вул.ГОНЧА,  77А</t>
  </si>
  <si>
    <t>вул.ГОНЧА,  77Б</t>
  </si>
  <si>
    <t>вул.ДМИТРА ЛИЗОГУБА,  12</t>
  </si>
  <si>
    <t>вул.ДМИТРА ЛИЗОГУБА,  7</t>
  </si>
  <si>
    <t>вул.ДМИТРА ЛИЗОГУБА,  9</t>
  </si>
  <si>
    <t>вул.ЗЕЛЕНА,  17</t>
  </si>
  <si>
    <t>вул.ЗЕЛЕНА,  17А</t>
  </si>
  <si>
    <t>вул.ЗЕЛЕНА,  18</t>
  </si>
  <si>
    <t>вул.ЗЕЛЕНА,  3</t>
  </si>
  <si>
    <t>вул.ЗЕЛЕНА,  3А</t>
  </si>
  <si>
    <t>вул.ЗЕЛЕНА,  4</t>
  </si>
  <si>
    <t>вул.ЗЕЛЕНА,  4А</t>
  </si>
  <si>
    <t>вул.ЗЕЛЕНА,  5В</t>
  </si>
  <si>
    <t>вул.КИЇВСЬКА,  19</t>
  </si>
  <si>
    <t>вул.КИЇВСЬКА,  21</t>
  </si>
  <si>
    <t>вул.КИЇВСЬКА,  32</t>
  </si>
  <si>
    <t>вул.КОСТОМАРІВСЬКА,  3А</t>
  </si>
  <si>
    <t>вул.КОЦЮБИНСЬКОГО,  92</t>
  </si>
  <si>
    <t>вул.КОЦЮБИНСЬКОГО,  94</t>
  </si>
  <si>
    <t>вул.КОЧЕРГИ,  16</t>
  </si>
  <si>
    <t>вул.КОЧЕРГИ,  5</t>
  </si>
  <si>
    <t>вул.КОЧЕРГИ,  7</t>
  </si>
  <si>
    <t>вул.Кривулевська,  3А</t>
  </si>
  <si>
    <t>вул.ЛЕРМОНТОВА,  5</t>
  </si>
  <si>
    <t>вул.ЛОМОНОСОВА,  5</t>
  </si>
  <si>
    <t>вул.ЛЮБОМИРА БОДНАРУКА,  29</t>
  </si>
  <si>
    <t>вул.ЛЮБОМИРА БОДНАРУКА,  32</t>
  </si>
  <si>
    <t>вул.ЛЮБОМИРА БОДНАРУКА,  32А</t>
  </si>
  <si>
    <t>вул.ЛЮБОМИРА БОДНАРУКА,  7</t>
  </si>
  <si>
    <t>вул.МАЧЕРЕТІВСЬКА,  10</t>
  </si>
  <si>
    <t>вул.МАЧЕРЕТІВСЬКА,  12</t>
  </si>
  <si>
    <t>вул.МАЧЕРЕТІВСЬКА,  12А</t>
  </si>
  <si>
    <t>вул.МАЧЕРЕТІВСЬКА,  14</t>
  </si>
  <si>
    <t>вул.МЕНДЕЛЕЕВА,  3</t>
  </si>
  <si>
    <t>вул.МИЛОРАДОВИЧІВ,  44А</t>
  </si>
  <si>
    <t>вул.МИХАЙЛОФЕДОРІВСЬКА,  3</t>
  </si>
  <si>
    <t>вул.МСТИСЛАВСЬКА,  24</t>
  </si>
  <si>
    <t>вул.МСТИСЛАВСЬКА,  35</t>
  </si>
  <si>
    <t>вул.МСТИСЛАВСЬКА,  55</t>
  </si>
  <si>
    <t>вул.МСТИСЛАВСЬКА,  55А</t>
  </si>
  <si>
    <t>вул.МСТИСЛАВСЬКА,  59</t>
  </si>
  <si>
    <t>вул.МСТИСЛАВСЬКА,  59А</t>
  </si>
  <si>
    <t>вул.МУЗЕЙНА,  1А</t>
  </si>
  <si>
    <t>вул.МУЗЕЙНА,  1В</t>
  </si>
  <si>
    <t>вул.МУЗЕЙНА,  1Г</t>
  </si>
  <si>
    <t>вул.ОЛЕГА МІХНЮКА,  10</t>
  </si>
  <si>
    <t>вул.ОЛЕГА МІХНЮКА,  19</t>
  </si>
  <si>
    <t>вул.ОЛЕГА МІХНЮКА,  45</t>
  </si>
  <si>
    <t>вул.ОЛЕГА МІХНЮКА,  45А</t>
  </si>
  <si>
    <t>вул.ОЛЕГА МІХНЮКА,  47</t>
  </si>
  <si>
    <t>вул.ОЛЕГА МІХНЮКА,  47А</t>
  </si>
  <si>
    <t>вул.ОЛЕГА МІХНЮКА,  47Б</t>
  </si>
  <si>
    <t>вул.ОЛЕКСІЯ ФЛЬОРОВА,  32</t>
  </si>
  <si>
    <t>вул.ОЛЕКСАНДРА МОЛОДЧОГО,  38</t>
  </si>
  <si>
    <t>вул.ОЛЕКСАНДРА МОЛОДЧОГО,  5</t>
  </si>
  <si>
    <t>вул.ОЛЕКСАНДРА МОЛОДЧОГО,  7</t>
  </si>
  <si>
    <t>вул.ОЛЕКСАНДРА МОЛОДЧОГО,  74</t>
  </si>
  <si>
    <t>вул.ОСВIТИ,  83</t>
  </si>
  <si>
    <t>вул.П`ЯТНИЦЬКА,  40</t>
  </si>
  <si>
    <t>вул.П`ЯТНИЦЬКА,  75</t>
  </si>
  <si>
    <t>вул.П`ЯТНИЦЬКА,  77</t>
  </si>
  <si>
    <t>вул.П`ЯТНИЦЬКА,  82</t>
  </si>
  <si>
    <t>вул.ПРЕОБРАЖЕНСЬКА,  28</t>
  </si>
  <si>
    <t>вул.ПУШКIНА,  2</t>
  </si>
  <si>
    <t>вул.ПУШКIНА,  4</t>
  </si>
  <si>
    <t>вул.РОДИМЦЕВА,  13</t>
  </si>
  <si>
    <t>вул.С.РУСОВОЇ,  15</t>
  </si>
  <si>
    <t>вул.С.РУСОВОЇ,  23</t>
  </si>
  <si>
    <t>вул.СВЯТОМИКОЛАЇВСЬКА,  27</t>
  </si>
  <si>
    <t>вул.СВЯТОМИКОЛАЇВСЬКА,  28</t>
  </si>
  <si>
    <t>вул.СЕРЬОЖНIКОВА,  8А</t>
  </si>
  <si>
    <t>вул.ТЕРЕНТІЯ КОРЕНЯ,  12</t>
  </si>
  <si>
    <t>вул.ЧЕРНИШЕВСЬКОГО,  16</t>
  </si>
  <si>
    <t>вул.ЧЕРНИШЕВСЬКОГО,  24</t>
  </si>
  <si>
    <t>вул.ЧЕРНИШЕВСЬКОГО,  3</t>
  </si>
  <si>
    <t>вул.ЧЕРНИШЕВСЬКОГО,  30</t>
  </si>
  <si>
    <t>вул.ЧЕРНИШЕВСЬКОГО,  32</t>
  </si>
  <si>
    <t>пр-т МИРУ,  7А</t>
  </si>
  <si>
    <t>пров.АКАДЕМIКА ПАВЛОВА,  2</t>
  </si>
  <si>
    <t>пров.АКАДЕМIКА ПАВЛОВА,  2А</t>
  </si>
  <si>
    <t>пров.АКАДЕМIКА ПАВЛОВА,  4</t>
  </si>
  <si>
    <t>пров.АКАДЕМIКА ПАВЛОВА,  6</t>
  </si>
  <si>
    <t>пров.АКАДЕМIКА ПАВЛОВА,  8</t>
  </si>
  <si>
    <t>2-й провулок ТРАКТОРНИЙ,  7</t>
  </si>
  <si>
    <t>вул.ГЕРОЇВ ЧОРНОБИЛЯ,  2</t>
  </si>
  <si>
    <t>вул.ГЕРОЇВ ЧОРНОБИЛЯ,  4</t>
  </si>
  <si>
    <t>вул.ГЕТЬМАНА ПОЛУБОТКА,  26</t>
  </si>
  <si>
    <t>вул.ГЕТЬМАНА ПОЛУБОТКА,  28</t>
  </si>
  <si>
    <t>вул.ГОНЧА,  18</t>
  </si>
  <si>
    <t>вул.ЗЕЛЕНА,  5Б</t>
  </si>
  <si>
    <t>вул.КОЦЮБИНСЬКОГО,  58</t>
  </si>
  <si>
    <t>вул.КОЦЮБИНСЬКОГО,  60</t>
  </si>
  <si>
    <t>вул.КОЦЮБИНСЬКОГО,  62</t>
  </si>
  <si>
    <t>вул.КОЦЮБИНСЬКОГО,  63</t>
  </si>
  <si>
    <t>вул.КОЦЮБИНСЬКОГО,  64</t>
  </si>
  <si>
    <t>вул.КОЦЮБИНСЬКОГО,  66</t>
  </si>
  <si>
    <t>вул.КОЦЮБИНСЬКОГО,  67</t>
  </si>
  <si>
    <t>вул.КОЦЮБИНСЬКОГО,  68</t>
  </si>
  <si>
    <t>вул.КОЦЮБИНСЬКОГО,  72</t>
  </si>
  <si>
    <t>вул.КОЦЮБИНСЬКОГО,  75</t>
  </si>
  <si>
    <t>вул.КОЧЕРГИ,  4А</t>
  </si>
  <si>
    <t>вул.МСТИСЛАВСЬКА,  14</t>
  </si>
  <si>
    <t>вул.МСТИСЛАВСЬКА,  16</t>
  </si>
  <si>
    <t>вул.МСТИСЛАВСЬКА,  23</t>
  </si>
  <si>
    <t>вул.ОЛЕКСАНДРА МОЛОДЧОГО,  35а</t>
  </si>
  <si>
    <t>вул.ОЛЕКСАНДРА МОЛОДЧОГО,  7А</t>
  </si>
  <si>
    <t>вул.П`ЯТНИЦЬКА,  11</t>
  </si>
  <si>
    <t>вул.П`ЯТНИЦЬКА,  111</t>
  </si>
  <si>
    <t>вул.П`ЯТНИЦЬКА,  124</t>
  </si>
  <si>
    <t>вул.П`ЯТНИЦЬКА,  14</t>
  </si>
  <si>
    <t>вул.П`ЯТНИЦЬКА,  25</t>
  </si>
  <si>
    <t>вул.П`ЯТНИЦЬКА,  3</t>
  </si>
  <si>
    <t>вул.П`ЯТНИЦЬКА,  38</t>
  </si>
  <si>
    <t>вул.П`ЯТНИЦЬКА,  5</t>
  </si>
  <si>
    <t>вул.П`ЯТНИЦЬКА,  6</t>
  </si>
  <si>
    <t>вул.П`ЯТНИЦЬКА,  7</t>
  </si>
  <si>
    <t>вул.ПРЕОБРАЖЕНСЬКА,  22</t>
  </si>
  <si>
    <t>вул.ПРЕОБРАЖЕНСЬКА,  30</t>
  </si>
  <si>
    <t>вул.ПРЕОБРАЖЕНСЬКА,  5</t>
  </si>
  <si>
    <t>вул.ПУШКIНА,  14</t>
  </si>
  <si>
    <t>вул.РОДИМЦЕВА,  12</t>
  </si>
  <si>
    <t>вул.РОДИМЦЕВА,  14</t>
  </si>
  <si>
    <t xml:space="preserve">вул.СТАРОКАЗАРМЕНА ДIЛЬНИЦЯ,  2 А  </t>
  </si>
  <si>
    <t>вул.ЧЕРНИШЕВСЬКОГО,  25А</t>
  </si>
  <si>
    <t>вул.ШЕВЧЕНКА,  30</t>
  </si>
  <si>
    <t>вул.ШЕВЧЕНКА,  48</t>
  </si>
  <si>
    <t>пр-т ПЕРЕМОГИ,  108</t>
  </si>
  <si>
    <t>пр-т ПЕРЕМОГИ,  128</t>
  </si>
  <si>
    <t>пров.КВАРТАЛЬНИЙ,  7</t>
  </si>
  <si>
    <t>вул.ГЕТЬМАНА ПОЛУБОТКА,  10</t>
  </si>
  <si>
    <t>вул.ГЕТЬМАНА ПОЛУБОТКА,  12</t>
  </si>
  <si>
    <t>вул.ГОНЧА,  30</t>
  </si>
  <si>
    <t>вул.КОЦЮБИНСЬКОГО,  69</t>
  </si>
  <si>
    <t>вул.ПРЕОБРАЖЕНСЬКА,  4</t>
  </si>
  <si>
    <t>вул.СЕРЬОЖНIКОВА,  6</t>
  </si>
  <si>
    <t>вул.ЧЕРНИШЕВСЬКОГО,  12</t>
  </si>
  <si>
    <t>вул.ЧЕРНИШЕВСЬКОГО,  14</t>
  </si>
  <si>
    <t>пр-т МИРУ,  29</t>
  </si>
  <si>
    <t>вул.ГЕТЬМАНА ПОЛУБОТКА,  16</t>
  </si>
  <si>
    <t>вул.ГЕТЬМАНА ПОЛУБОТКА,  20</t>
  </si>
  <si>
    <t>вул.ГЕТЬМАНА ПОЛУБОТКА,  24</t>
  </si>
  <si>
    <t>вул.ГЕТЬМАНА ПОЛУБОТКА,  4</t>
  </si>
  <si>
    <t>вул.ГЕТЬМАНА ПОЛУБОТКА,  5</t>
  </si>
  <si>
    <t>вул.ГОГОЛЯ,  22</t>
  </si>
  <si>
    <t>вул.ГОНЧА,  17А</t>
  </si>
  <si>
    <t>вул.КОЦЮБИНСЬКОГО,  58A</t>
  </si>
  <si>
    <t>вул.КОЦЮБИНСЬКОГО,  69А</t>
  </si>
  <si>
    <t>вул.КОЦЮБИНСЬКОГО,  74</t>
  </si>
  <si>
    <t>вул.МСТИСЛАВСЬКА,  10</t>
  </si>
  <si>
    <t>вул.МСТИСЛАВСЬКА,  12</t>
  </si>
  <si>
    <t>вул.МСТИСЛАВСЬКА,  3</t>
  </si>
  <si>
    <t>вул.ОЛЕКСАНДРА МОЛОДЧОГО,  12А</t>
  </si>
  <si>
    <t>вул.П`ЯТНИЦЬКА,  36</t>
  </si>
  <si>
    <t>вул.ПРЕОБРАЖЕНСЬКА,  2</t>
  </si>
  <si>
    <t>вул.ПРЕОБРАЖЕНСЬКА,  6</t>
  </si>
  <si>
    <t>вул.РОДИМЦЕВА,  2</t>
  </si>
  <si>
    <t>вул.СЕРЬОЖНIКОВА,  1</t>
  </si>
  <si>
    <t>вул.СЕРЬОЖНIКОВА,  10</t>
  </si>
  <si>
    <t>вул.СЕРЬОЖНIКОВА,  2</t>
  </si>
  <si>
    <t>вул.СЕРЬОЖНIКОВА,  5</t>
  </si>
  <si>
    <t>вул.СЕРЬОЖНIКОВА,  6А</t>
  </si>
  <si>
    <t>вул.СЕРЬОЖНIКОВА,  7</t>
  </si>
  <si>
    <t>вул.ШЕВЧЕНКА,  10</t>
  </si>
  <si>
    <t>вул.ШЕВЧЕНКА,  14</t>
  </si>
  <si>
    <t>вул.ШЕВЧЕНКА,  19</t>
  </si>
  <si>
    <t>вул.ШЕВЧЕНКА,  27</t>
  </si>
  <si>
    <t>вул.ШЕВЧЕНКА,  53</t>
  </si>
  <si>
    <t>вул.ШЕВЧЕНКА,  53А</t>
  </si>
  <si>
    <t>вул.ШЕВЧЕНКА,  9</t>
  </si>
  <si>
    <t>пр-т МИРУ,  17</t>
  </si>
  <si>
    <t>пр-т МИРУ,  17А</t>
  </si>
  <si>
    <t>пр-т МИРУ,  21</t>
  </si>
  <si>
    <t>пр-т МИРУ,  27</t>
  </si>
  <si>
    <t>пр-т ПЕРЕМОГИ,  89</t>
  </si>
  <si>
    <t>пр-т ПЕРЕМОГИ,  91</t>
  </si>
  <si>
    <t>пр-т ПЕРЕМОГИ,  98</t>
  </si>
  <si>
    <t>вул.I. ШРАГА,  4</t>
  </si>
  <si>
    <t>вул.I. ШРАГА,  9</t>
  </si>
  <si>
    <t>вул.ГЕРОЇВ ЧОРНОБИЛЯ,  4А</t>
  </si>
  <si>
    <t>вул.ГЕТЬМАНА ПОЛУБОТКА,  11</t>
  </si>
  <si>
    <t>вул.ГЕТЬМАНА ПОЛУБОТКА,  30</t>
  </si>
  <si>
    <t>вул.ГЕТЬМАНА ПОЛУБОТКА,  7</t>
  </si>
  <si>
    <t>вул.ГЕТЬМАНА ПОЛУБОТКА,  8А</t>
  </si>
  <si>
    <t>вул.ГОГОЛЯ,  10</t>
  </si>
  <si>
    <t>вул.ГОГОЛЯ,  8</t>
  </si>
  <si>
    <t>вул.ГОНЧА,  12</t>
  </si>
  <si>
    <t>вул.ГОНЧА,  14</t>
  </si>
  <si>
    <t>вул.ГОНЧА,  16</t>
  </si>
  <si>
    <t>вул.ГОНЧА,  26</t>
  </si>
  <si>
    <t>вул.ГОНЧА,  41</t>
  </si>
  <si>
    <t>вул.ГОНЧА,  80</t>
  </si>
  <si>
    <t>вул.ГОНЧА,  88</t>
  </si>
  <si>
    <t>вул.КИЇВСЬКА,  5</t>
  </si>
  <si>
    <t>вул.КОЦЮБИНСЬКОГО,  76</t>
  </si>
  <si>
    <t>вул.КОЦЮБИНСЬКОГО,  78</t>
  </si>
  <si>
    <t>вул.ЛЕРМОНТОВА,  5А</t>
  </si>
  <si>
    <t>вул.ЛЮБОМИРА БОДНАРУКА,  8</t>
  </si>
  <si>
    <t>вул.МСТИСЛАВСЬКА,  20</t>
  </si>
  <si>
    <t>вул.МСТИСЛАВСЬКА,  25</t>
  </si>
  <si>
    <t>вул.МСТИСЛАВСЬКА,  38А</t>
  </si>
  <si>
    <t>вул.ОЛЕГА МІХНЮКА,  7</t>
  </si>
  <si>
    <t>вул.ОЛЕКСАНДРА МОЛОДЧОГО,  8</t>
  </si>
  <si>
    <t>вул.ОСВIТИ,  29</t>
  </si>
  <si>
    <t>вул.П`ЯТНИЦЬКА,  23</t>
  </si>
  <si>
    <t>вул.П`ЯТНИЦЬКА,  32</t>
  </si>
  <si>
    <t>вул.П`ЯТНИЦЬКА,  90</t>
  </si>
  <si>
    <t>вул.ПРЕОБРАЖЕНСЬКА,  14</t>
  </si>
  <si>
    <t>вул.ПРЕОБРАЖЕНСЬКА,  14А</t>
  </si>
  <si>
    <t>вул.ПРЕОБРАЖЕНСЬКА,  16</t>
  </si>
  <si>
    <t>вул.ПРЕОБРАЖЕНСЬКА,  18</t>
  </si>
  <si>
    <t>вул.РОДИМЦЕВА,  15</t>
  </si>
  <si>
    <t>вул.РОДИМЦЕВА,  3</t>
  </si>
  <si>
    <t>вул.РОДИМЦЕВА,  6</t>
  </si>
  <si>
    <t>вул.РОДИМЦЕВА,  7</t>
  </si>
  <si>
    <t>вул.РОДИМЦЕВА,  9</t>
  </si>
  <si>
    <t>вул.РОКОССОВСЬКОГО,  17</t>
  </si>
  <si>
    <t>вул.РОКОССОВСЬКОГО,  19</t>
  </si>
  <si>
    <t>вул.РОКОССОВСЬКОГО,  23</t>
  </si>
  <si>
    <t>вул.РОКОССОВСЬКОГО,  25</t>
  </si>
  <si>
    <t>вул.РОКОССОВСЬКОГО,  27</t>
  </si>
  <si>
    <t>вул.РОКОССОВСЬКОГО,  29</t>
  </si>
  <si>
    <t>вул.РОКОССОВСЬКОГО,  37А</t>
  </si>
  <si>
    <t>вул.РОКОССОВСЬКОГО,  39</t>
  </si>
  <si>
    <t>вул.РОКОССОВСЬКОГО,  41</t>
  </si>
  <si>
    <t>вул.РОКОССОВСЬКОГО,  45</t>
  </si>
  <si>
    <t>вул.РОКОССОВСЬКОГО,  49А</t>
  </si>
  <si>
    <t>вул.СЕРЬОЖНIКОВА,  3</t>
  </si>
  <si>
    <t>вул.СЕРЬОЖНIКОВА,  8</t>
  </si>
  <si>
    <t>вул.ФIКСЕЛЯ,  52</t>
  </si>
  <si>
    <t>вул.ШЕВЧЕНКА,  11</t>
  </si>
  <si>
    <t>вул.ШЕВЧЕНКА,  112А</t>
  </si>
  <si>
    <t>вул.ШЕВЧЕНКА,  16</t>
  </si>
  <si>
    <t>вул.ШЕВЧЕНКА,  18</t>
  </si>
  <si>
    <t>вул.ШЕВЧЕНКА,  22</t>
  </si>
  <si>
    <t>вул.ШЕВЧЕНКА,  31</t>
  </si>
  <si>
    <t>вул.ШЕВЧЕНКА,  33А</t>
  </si>
  <si>
    <t>вул.ШЕВЧЕНКА,  37</t>
  </si>
  <si>
    <t>вул.ШЕВЧЕНКА,  41</t>
  </si>
  <si>
    <t>вул.ШЕВЧЕНКА,  43</t>
  </si>
  <si>
    <t>вул.ШЕВЧЕНКА,  47</t>
  </si>
  <si>
    <t>вул.ШЕВЧЕНКА,  47А</t>
  </si>
  <si>
    <t>вул.ШЕВЧЕНКА,  51</t>
  </si>
  <si>
    <t>пр-т МИРУ,  35</t>
  </si>
  <si>
    <t>пр-т МИРУ,  35А</t>
  </si>
  <si>
    <t>пр-т МИРУ,  35Б</t>
  </si>
  <si>
    <t>пр-т МИРУ,  45</t>
  </si>
  <si>
    <t>пр-т МИРУ,  47</t>
  </si>
  <si>
    <t>пр-т МИРУ,  55</t>
  </si>
  <si>
    <t>пр-т МИРУ,  61</t>
  </si>
  <si>
    <t>пр-т МИРУ,  75Б</t>
  </si>
  <si>
    <t>пр-т ПЕРЕМОГИ,  103</t>
  </si>
  <si>
    <t>пр-т ПЕРЕМОГИ,  117</t>
  </si>
  <si>
    <t>пр-т ПЕРЕМОГИ,  119</t>
  </si>
  <si>
    <t>пр-т ПЕРЕМОГИ,  121</t>
  </si>
  <si>
    <t>пр-т ПЕРЕМОГИ,  125</t>
  </si>
  <si>
    <t>пр-т ПЕРЕМОГИ,  170</t>
  </si>
  <si>
    <t>пр-т ПЕРЕМОГИ,  174</t>
  </si>
  <si>
    <t>пр-т ПЕРЕМОГИ,  176</t>
  </si>
  <si>
    <t>пр-т ПЕРЕМОГИ,  178</t>
  </si>
  <si>
    <t>пр-т ПЕРЕМОГИ,  180</t>
  </si>
  <si>
    <t>пр-т ПЕРЕМОГИ,  182</t>
  </si>
  <si>
    <t>пр-т ПЕРЕМОГИ,  187</t>
  </si>
  <si>
    <t>пр-т ПЕРЕМОГИ,  189</t>
  </si>
  <si>
    <t>пр-т ПЕРЕМОГИ,  193</t>
  </si>
  <si>
    <t>пр-т ПЕРЕМОГИ,  195</t>
  </si>
  <si>
    <t>пр-т ПЕРЕМОГИ,  199</t>
  </si>
  <si>
    <t>пр-т ПЕРЕМОГИ,  90</t>
  </si>
  <si>
    <t>пр-т ПЕРЕМОГИ,  93</t>
  </si>
  <si>
    <t>пр-т ПЕРЕМОГИ,  94</t>
  </si>
  <si>
    <t>пр-т ПЕРЕМОГИ,  96</t>
  </si>
  <si>
    <t>вул.ГОНЧА,  17</t>
  </si>
  <si>
    <t>вул.МСТИСЛАВСЬКА,  50</t>
  </si>
  <si>
    <t>вул.МСТИСЛАВСЬКА,  58</t>
  </si>
  <si>
    <t>вул.П`ЯТНИЦЬКА,  53</t>
  </si>
  <si>
    <t>вул.П`ЯТНИЦЬКА,  63</t>
  </si>
  <si>
    <t>вул.Академiка ПАВЛОВА,  15</t>
  </si>
  <si>
    <t>вул.Академiка ПАВЛОВА,  17</t>
  </si>
  <si>
    <t>вул.ГЕРОЇВ ЧОРНОБИЛЯ,  10</t>
  </si>
  <si>
    <t>вул.ГЕТЬМАНА ПОЛУБОТКА,  120</t>
  </si>
  <si>
    <t>вул.ГЕТЬМАНА ПОЛУБОТКА,  74</t>
  </si>
  <si>
    <t>вул.ГЕТЬМАНА ПОЛУБОТКА,  76</t>
  </si>
  <si>
    <t>вул.ГЕТЬМАНА ПОЛУБОТКА,  78</t>
  </si>
  <si>
    <t>вул.ГЕТЬМАНА ПОЛУБОТКА,  80</t>
  </si>
  <si>
    <t>вул.ГЕТЬМАНА ПОЛУБОТКА,  84</t>
  </si>
  <si>
    <t>вул.ГОНЧА,  76</t>
  </si>
  <si>
    <t>вул.ГОНЧА,  78</t>
  </si>
  <si>
    <t>вул.ГОНЧА,  84</t>
  </si>
  <si>
    <t>вул.ГОНЧА,  90</t>
  </si>
  <si>
    <t>вул.ЗЕМСЬКА,  68</t>
  </si>
  <si>
    <t>вул.КИЇВСЬКА,  14</t>
  </si>
  <si>
    <t>вул.КИЇВСЬКА,  2</t>
  </si>
  <si>
    <t>вул.КИЇВСЬКА,  6</t>
  </si>
  <si>
    <t>вул.КОТЛЯРЕВСЬКОГО,  13</t>
  </si>
  <si>
    <t>вул.КОТЛЯРЕВСЬКОГО,  15</t>
  </si>
  <si>
    <t>вул.КОТЛЯРЕВСЬКОГО,  34</t>
  </si>
  <si>
    <t>вул.КОТЛЯРЕВСЬКОГО,  4</t>
  </si>
  <si>
    <t>вул.КОЦЮБИНСЬКОГО,  83</t>
  </si>
  <si>
    <t>вул.КОЦЮБИНСЬКОГО,  84</t>
  </si>
  <si>
    <t>вул.МЕНДЕЛЕЕВА,  1Б</t>
  </si>
  <si>
    <t>вул.МСТИСЛАВСЬКА,  109</t>
  </si>
  <si>
    <t>вул.МСТИСЛАВСЬКА,  38</t>
  </si>
  <si>
    <t>вул.МСТИСЛАВСЬКА,  40</t>
  </si>
  <si>
    <t>вул.МСТИСЛАВСЬКА,  42</t>
  </si>
  <si>
    <t>вул.МСТИСЛАВСЬКА,  45</t>
  </si>
  <si>
    <t>вул.МСТИСЛАВСЬКА,  52</t>
  </si>
  <si>
    <t>вул.МСТИСЛАВСЬКА,  56</t>
  </si>
  <si>
    <t>вул.МСТИСЛАВСЬКА,  79</t>
  </si>
  <si>
    <t>вул.ОСВIТИ,  10</t>
  </si>
  <si>
    <t>вул.ОСВIТИ,  6</t>
  </si>
  <si>
    <t>вул.ОСВIТИ,  8</t>
  </si>
  <si>
    <t>вул.ОСВIТИ,  86</t>
  </si>
  <si>
    <t>вул.П`ЯТНИЦЬКА,  47</t>
  </si>
  <si>
    <t>вул.П`ЯТНИЦЬКА,  49</t>
  </si>
  <si>
    <t>вул.П`ЯТНИЦЬКА,  61</t>
  </si>
  <si>
    <t>вул.П`ЯТНИЦЬКА,  68-1</t>
  </si>
  <si>
    <t>вул.П`ЯТНИЦЬКА,  68-2</t>
  </si>
  <si>
    <t>вул.П`ЯТНИЦЬКА,  68-3</t>
  </si>
  <si>
    <t>вул.П`ЯТНИЦЬКА,  70-1</t>
  </si>
  <si>
    <t>вул.П`ЯТНИЦЬКА,  70-2</t>
  </si>
  <si>
    <t>вул.П`ЯТНИЦЬКА,  70-3</t>
  </si>
  <si>
    <t>вул.П`ЯТНИЦЬКА,  92</t>
  </si>
  <si>
    <t>вул.П`ЯТНИЦЬКА,  94</t>
  </si>
  <si>
    <t>вул.ПУШКIНА,  30</t>
  </si>
  <si>
    <t>вул.С.РУСОВОЇ,  25</t>
  </si>
  <si>
    <t>вул.САВЧУКА,  11</t>
  </si>
  <si>
    <t>вул.САВЧУКА,  3</t>
  </si>
  <si>
    <t>вул.САВЧУКА,  5</t>
  </si>
  <si>
    <t>вул.САВЧУКА,  7А</t>
  </si>
  <si>
    <t>вул.САВЧУКА,  7Б</t>
  </si>
  <si>
    <t>вул.ЧАЙКОВСЬКОГО,  5</t>
  </si>
  <si>
    <t>вул.ЧЕРНИШЕВСЬКОГО,  20</t>
  </si>
  <si>
    <t>вул.ШЕВЧЕНКА,  108</t>
  </si>
  <si>
    <t>вул.ШЕВЧЕНКА,  110</t>
  </si>
  <si>
    <t>пр-т ПЕРЕМОГИ,  100</t>
  </si>
  <si>
    <t>пр-т ПЕРЕМОГИ,  102</t>
  </si>
  <si>
    <t>пр-т ПЕРЕМОГИ,  107</t>
  </si>
  <si>
    <t>пр-т ПЕРЕМОГИ,  108г</t>
  </si>
  <si>
    <t>пр-т ПЕРЕМОГИ,  115</t>
  </si>
  <si>
    <t>пр-т ПЕРЕМОГИ,  123А</t>
  </si>
  <si>
    <t>пр-т ПЕРЕМОГИ,  143</t>
  </si>
  <si>
    <t>пр-т ПЕРЕМОГИ,  149</t>
  </si>
  <si>
    <t>пр-т ПЕРЕМОГИ,  151</t>
  </si>
  <si>
    <t>пр-т ПЕРЕМОГИ,  153</t>
  </si>
  <si>
    <t>пр-т ПЕРЕМОГИ,  159</t>
  </si>
  <si>
    <t>пр-т ПЕРЕМОГИ,  162</t>
  </si>
  <si>
    <t>пр-т ПЕРЕМОГИ,  164</t>
  </si>
  <si>
    <t>пр-т ПЕРЕМОГИ,  166</t>
  </si>
  <si>
    <t>пр-т ПЕРЕМОГИ,  168</t>
  </si>
  <si>
    <t>пр-т ПЕРЕМОГИ,  92</t>
  </si>
  <si>
    <t>вул.ГОНЧА,  31</t>
  </si>
  <si>
    <t>вул.ЗЕМСЬКА,  70</t>
  </si>
  <si>
    <t>вул.ЗЕМСЬКА,  72</t>
  </si>
  <si>
    <t>вул.КОТЛЯРЕВСЬКОГО,  3</t>
  </si>
  <si>
    <t>вул.КОЦЮБИНСЬКОГО,  81</t>
  </si>
  <si>
    <t>вул.МАРТИНА НЕБАБИ,  100</t>
  </si>
  <si>
    <t>вул.МАРТИНА НЕБАБИ,  102</t>
  </si>
  <si>
    <t>вул.МСТИСЛАВСЬКА,  34</t>
  </si>
  <si>
    <t>вул.МСТИСЛАВСЬКА,  47</t>
  </si>
  <si>
    <t>вул.П`ЯТНИЦЬКА,  80</t>
  </si>
  <si>
    <t>вул.ЧАЙКОВСЬКОГО,  3</t>
  </si>
  <si>
    <t>вул.ШЕВЧЕНКА,  106</t>
  </si>
  <si>
    <t>пр-т ПЕРЕМОГИ,  147</t>
  </si>
  <si>
    <t>пр-т ПЕРЕМОГИ,  145</t>
  </si>
  <si>
    <t>пр-т ПЕРЕМОГИ,  155</t>
  </si>
  <si>
    <t>пр-т ПЕРЕМОГИ,  104</t>
  </si>
  <si>
    <t>вул.ПУШКIНА,  12</t>
  </si>
  <si>
    <t>вул.МСТИСЛАВСЬКА,  33</t>
  </si>
  <si>
    <t>Загальна площа квартир + нежитлові приміщення</t>
  </si>
  <si>
    <t xml:space="preserve">ТО систем водопостачання </t>
  </si>
  <si>
    <t>ТО систем водовідведення</t>
  </si>
  <si>
    <t>ТО систем теплопостачання</t>
  </si>
  <si>
    <t>ТО систем гарячого водопостачання</t>
  </si>
  <si>
    <t>ТО систем зливової каналізації</t>
  </si>
  <si>
    <t>ТО систем електропостачання</t>
  </si>
  <si>
    <t>ТО систем газопостачання</t>
  </si>
  <si>
    <t>Аварійне обслуговування</t>
  </si>
  <si>
    <t>кошторис</t>
  </si>
  <si>
    <t>факт</t>
  </si>
  <si>
    <t>відхилення</t>
  </si>
  <si>
    <t>РАЗОМ ТЕХНІЧНЕ ОБСЛУГОВУВАННЯ</t>
  </si>
  <si>
    <t xml:space="preserve">ТЕХНІЧНЕ ОБСЛУГОВУВАННЯ СИСТЕМ </t>
  </si>
  <si>
    <t xml:space="preserve">Поточний ремонт систем водопостачання </t>
  </si>
  <si>
    <t>Поточний ремонт систем водовідведення</t>
  </si>
  <si>
    <t>Поточний ремонт систем теплопостачання</t>
  </si>
  <si>
    <t>Поточний ремонт систем гарячого водопостачання</t>
  </si>
  <si>
    <t>Поточний ремонт систем зливової каналізації</t>
  </si>
  <si>
    <t>Поточний ремонт систем електропостачання</t>
  </si>
  <si>
    <t>Поточний ремонт систем газопостачання</t>
  </si>
  <si>
    <t>ПОТОЧНИЙ РЕМОНТ СИСТЕМ</t>
  </si>
  <si>
    <t>РАЗОМ ПОТОЧНИЙ РЕМОНТ СИСТЕМ</t>
  </si>
  <si>
    <t>Разом витрати електроенергії</t>
  </si>
  <si>
    <t>конкурс</t>
  </si>
  <si>
    <t>Примітка</t>
  </si>
  <si>
    <t>№ з/п</t>
  </si>
  <si>
    <t>№2/1</t>
  </si>
  <si>
    <t>№2/2</t>
  </si>
  <si>
    <t>№2/3</t>
  </si>
  <si>
    <t>№2/4</t>
  </si>
  <si>
    <t>№2/5</t>
  </si>
  <si>
    <t>№2/7</t>
  </si>
  <si>
    <t>№2/14</t>
  </si>
  <si>
    <t>№2/15</t>
  </si>
  <si>
    <t>№2/16</t>
  </si>
  <si>
    <t>№2/17</t>
  </si>
  <si>
    <t>№2/18</t>
  </si>
  <si>
    <t>№2/19</t>
  </si>
  <si>
    <t>№2/21</t>
  </si>
  <si>
    <t>№2/22</t>
  </si>
  <si>
    <t>№2/23</t>
  </si>
  <si>
    <t>№2/24</t>
  </si>
  <si>
    <t>№2/25</t>
  </si>
  <si>
    <t>№2/26</t>
  </si>
  <si>
    <t>№2/27</t>
  </si>
  <si>
    <t>№2/28</t>
  </si>
  <si>
    <t>№2/29</t>
  </si>
  <si>
    <t>№2/32</t>
  </si>
  <si>
    <t>№2/33</t>
  </si>
  <si>
    <t>№2/34</t>
  </si>
  <si>
    <t>№2/36</t>
  </si>
  <si>
    <t>№2/37</t>
  </si>
  <si>
    <t>№2/38</t>
  </si>
  <si>
    <t>№2/39</t>
  </si>
  <si>
    <t>№2/40</t>
  </si>
  <si>
    <t>№2/41</t>
  </si>
  <si>
    <t>№2/42</t>
  </si>
  <si>
    <t>№2/43</t>
  </si>
  <si>
    <t>№2/44</t>
  </si>
  <si>
    <t>№2/45</t>
  </si>
  <si>
    <t>№2/46</t>
  </si>
  <si>
    <t>№2/47</t>
  </si>
  <si>
    <t>№2/48</t>
  </si>
  <si>
    <t>№2/49</t>
  </si>
  <si>
    <t>№2/50</t>
  </si>
  <si>
    <t>№2/51</t>
  </si>
  <si>
    <t>№2/52</t>
  </si>
  <si>
    <t>№2/53</t>
  </si>
  <si>
    <t>№2/54</t>
  </si>
  <si>
    <t>№2/55</t>
  </si>
  <si>
    <t>№2/56</t>
  </si>
  <si>
    <t>№2/57</t>
  </si>
  <si>
    <t>№2/58</t>
  </si>
  <si>
    <t>№2/59</t>
  </si>
  <si>
    <t>№2/60</t>
  </si>
  <si>
    <t>№2/61</t>
  </si>
  <si>
    <t>№2/62</t>
  </si>
  <si>
    <t>№2/63</t>
  </si>
  <si>
    <t>№2/65</t>
  </si>
  <si>
    <t>№2/66</t>
  </si>
  <si>
    <t>№2/67</t>
  </si>
  <si>
    <t>№2/68</t>
  </si>
  <si>
    <t>№2/69</t>
  </si>
  <si>
    <t>№2/70</t>
  </si>
  <si>
    <t>№2/75</t>
  </si>
  <si>
    <t>№2/78</t>
  </si>
  <si>
    <t>№2/79</t>
  </si>
  <si>
    <t>№2/81</t>
  </si>
  <si>
    <t>№2/82</t>
  </si>
  <si>
    <t>№2/83</t>
  </si>
  <si>
    <t>№2/84</t>
  </si>
  <si>
    <t>№2/85</t>
  </si>
  <si>
    <t>№2/86</t>
  </si>
  <si>
    <t>№2/87</t>
  </si>
  <si>
    <t>№2/88</t>
  </si>
  <si>
    <t>№2/89</t>
  </si>
  <si>
    <t>№2/91</t>
  </si>
  <si>
    <t>№2/94</t>
  </si>
  <si>
    <t>№2/95</t>
  </si>
  <si>
    <t>№2/97</t>
  </si>
  <si>
    <t>№2/98</t>
  </si>
  <si>
    <t>№2/99</t>
  </si>
  <si>
    <t>№2/100</t>
  </si>
  <si>
    <t>№2/101</t>
  </si>
  <si>
    <t>№2/102</t>
  </si>
  <si>
    <t>№2/104</t>
  </si>
  <si>
    <t>№2/105</t>
  </si>
  <si>
    <t>№2/106</t>
  </si>
  <si>
    <t>№2/107</t>
  </si>
  <si>
    <t>№2/110</t>
  </si>
  <si>
    <t>№2/111</t>
  </si>
  <si>
    <t>№2/113</t>
  </si>
  <si>
    <t>№2/114</t>
  </si>
  <si>
    <t>№2/115</t>
  </si>
  <si>
    <t>№2/116</t>
  </si>
  <si>
    <t>№2/117</t>
  </si>
  <si>
    <t>№2/118</t>
  </si>
  <si>
    <t>№2/119</t>
  </si>
  <si>
    <t>№2/120</t>
  </si>
  <si>
    <t>№2/121</t>
  </si>
  <si>
    <t>№2/122</t>
  </si>
  <si>
    <t>№2/123</t>
  </si>
  <si>
    <t>№2/124</t>
  </si>
  <si>
    <t>№2/125</t>
  </si>
  <si>
    <t>№2/126</t>
  </si>
  <si>
    <t>№2/127</t>
  </si>
  <si>
    <t>№2/128</t>
  </si>
  <si>
    <t>№2/129</t>
  </si>
  <si>
    <t>№2/130</t>
  </si>
  <si>
    <t>№2/131</t>
  </si>
  <si>
    <t>№2/132</t>
  </si>
  <si>
    <t>№2/133</t>
  </si>
  <si>
    <t>№2/135</t>
  </si>
  <si>
    <t>№2/136</t>
  </si>
  <si>
    <t>№2/138</t>
  </si>
  <si>
    <t>№2/142</t>
  </si>
  <si>
    <t>№2/143</t>
  </si>
  <si>
    <t>№2/144</t>
  </si>
  <si>
    <t>№2/145</t>
  </si>
  <si>
    <t>№2/146</t>
  </si>
  <si>
    <t>№2/147</t>
  </si>
  <si>
    <t>№2/149</t>
  </si>
  <si>
    <t>№2/150</t>
  </si>
  <si>
    <t>№2/151</t>
  </si>
  <si>
    <t>№2/153</t>
  </si>
  <si>
    <t>№2/154</t>
  </si>
  <si>
    <t>№2/155</t>
  </si>
  <si>
    <t>№2/156</t>
  </si>
  <si>
    <t>№2/157</t>
  </si>
  <si>
    <t>№2/158</t>
  </si>
  <si>
    <t>№2/160</t>
  </si>
  <si>
    <t>№2/161</t>
  </si>
  <si>
    <t>№2/162</t>
  </si>
  <si>
    <t>№2/163</t>
  </si>
  <si>
    <t>№2/164</t>
  </si>
  <si>
    <t>№2/165</t>
  </si>
  <si>
    <t>№2/166</t>
  </si>
  <si>
    <t>№2/167</t>
  </si>
  <si>
    <t>№2/168</t>
  </si>
  <si>
    <t>№2/169</t>
  </si>
  <si>
    <t>№2/170</t>
  </si>
  <si>
    <t>№2/171</t>
  </si>
  <si>
    <t>№2/172</t>
  </si>
  <si>
    <t>№2/173</t>
  </si>
  <si>
    <t>№2/174</t>
  </si>
  <si>
    <t>№2/177</t>
  </si>
  <si>
    <t>№2/178</t>
  </si>
  <si>
    <t>№2/179</t>
  </si>
  <si>
    <t>№2/180</t>
  </si>
  <si>
    <t>№2/181</t>
  </si>
  <si>
    <t>№2/182</t>
  </si>
  <si>
    <t>№2/183</t>
  </si>
  <si>
    <t>№2/184</t>
  </si>
  <si>
    <t>№2/185</t>
  </si>
  <si>
    <t>№2/186</t>
  </si>
  <si>
    <t>№2/187</t>
  </si>
  <si>
    <t>№2/188</t>
  </si>
  <si>
    <t>№2/190</t>
  </si>
  <si>
    <t>№2/191</t>
  </si>
  <si>
    <t>№2/192</t>
  </si>
  <si>
    <t>№2/193</t>
  </si>
  <si>
    <t>№2/195</t>
  </si>
  <si>
    <t>№2/11</t>
  </si>
  <si>
    <t>№2/12</t>
  </si>
  <si>
    <t>№2/13</t>
  </si>
  <si>
    <t>№2/196</t>
  </si>
  <si>
    <t>№2/197</t>
  </si>
  <si>
    <t>№2/198</t>
  </si>
  <si>
    <t>№2/199</t>
  </si>
  <si>
    <t>№2/200</t>
  </si>
  <si>
    <t>№2/201</t>
  </si>
  <si>
    <t>№2/202</t>
  </si>
  <si>
    <t>№2/203</t>
  </si>
  <si>
    <t>№2/204</t>
  </si>
  <si>
    <t>№2/206</t>
  </si>
  <si>
    <t>№2/207</t>
  </si>
  <si>
    <t>№2/208</t>
  </si>
  <si>
    <t>№2/209</t>
  </si>
  <si>
    <t>№2/210</t>
  </si>
  <si>
    <t>№2/211</t>
  </si>
  <si>
    <t>№2/212</t>
  </si>
  <si>
    <t>№2/214</t>
  </si>
  <si>
    <t>№2/215</t>
  </si>
  <si>
    <t>№2/216</t>
  </si>
  <si>
    <t>№2/217</t>
  </si>
  <si>
    <t>№2/219</t>
  </si>
  <si>
    <t>№2/220</t>
  </si>
  <si>
    <t>№2/221</t>
  </si>
  <si>
    <t>№2/222</t>
  </si>
  <si>
    <t>№2/224</t>
  </si>
  <si>
    <t>№2/225</t>
  </si>
  <si>
    <t>№2/226</t>
  </si>
  <si>
    <t>№2/227</t>
  </si>
  <si>
    <t>№2/228</t>
  </si>
  <si>
    <t>№2/229</t>
  </si>
  <si>
    <t>№2/230</t>
  </si>
  <si>
    <t>№2/231</t>
  </si>
  <si>
    <t>№2/232</t>
  </si>
  <si>
    <t>№2/233</t>
  </si>
  <si>
    <t>№2/234</t>
  </si>
  <si>
    <t>№2/235</t>
  </si>
  <si>
    <t>№2/236</t>
  </si>
  <si>
    <t>№2/237</t>
  </si>
  <si>
    <t>№2/238</t>
  </si>
  <si>
    <t>№2/239</t>
  </si>
  <si>
    <t>№2/240</t>
  </si>
  <si>
    <t>№2/241</t>
  </si>
  <si>
    <t>№2/242</t>
  </si>
  <si>
    <t>№2/243</t>
  </si>
  <si>
    <t>№2/244</t>
  </si>
  <si>
    <t>№2/245</t>
  </si>
  <si>
    <t>№2/250</t>
  </si>
  <si>
    <t>№2/251</t>
  </si>
  <si>
    <t>№2/252</t>
  </si>
  <si>
    <t>№2/254</t>
  </si>
  <si>
    <t>№2/255</t>
  </si>
  <si>
    <t>№2/256</t>
  </si>
  <si>
    <t>№2/257</t>
  </si>
  <si>
    <t>№2/258</t>
  </si>
  <si>
    <t>№2/259</t>
  </si>
  <si>
    <t>№2/260</t>
  </si>
  <si>
    <t>№2/261</t>
  </si>
  <si>
    <t>№2/262</t>
  </si>
  <si>
    <t>№2/263</t>
  </si>
  <si>
    <t>№2/264</t>
  </si>
  <si>
    <t>№2/265</t>
  </si>
  <si>
    <t>№2/266</t>
  </si>
  <si>
    <t>№2/267</t>
  </si>
  <si>
    <t>№2/268</t>
  </si>
  <si>
    <t>№2/271</t>
  </si>
  <si>
    <t>№2/272</t>
  </si>
  <si>
    <t>№2/273</t>
  </si>
  <si>
    <t>№2/275</t>
  </si>
  <si>
    <t>№2/276</t>
  </si>
  <si>
    <t>№2/277</t>
  </si>
  <si>
    <t>№2/278</t>
  </si>
  <si>
    <t>№2/279</t>
  </si>
  <si>
    <t>№2/280</t>
  </si>
  <si>
    <t>№2/281</t>
  </si>
  <si>
    <t>№2/282</t>
  </si>
  <si>
    <t>№2/283</t>
  </si>
  <si>
    <t>№2/284</t>
  </si>
  <si>
    <t>№2/285</t>
  </si>
  <si>
    <t>№2/286</t>
  </si>
  <si>
    <t>№2/287</t>
  </si>
  <si>
    <t>№2/288</t>
  </si>
  <si>
    <t>№2/289</t>
  </si>
  <si>
    <t>№2/290</t>
  </si>
  <si>
    <t>№2/291</t>
  </si>
  <si>
    <t>№2/292</t>
  </si>
  <si>
    <t>№2/294</t>
  </si>
  <si>
    <t>№2/295</t>
  </si>
  <si>
    <t>№2/296</t>
  </si>
  <si>
    <t>№2/299</t>
  </si>
  <si>
    <t>№2/300</t>
  </si>
  <si>
    <t>№2/301</t>
  </si>
  <si>
    <t>№2/302</t>
  </si>
  <si>
    <t>№2/303</t>
  </si>
  <si>
    <t>№2/307</t>
  </si>
  <si>
    <t>№2/308</t>
  </si>
  <si>
    <t>№2/309</t>
  </si>
  <si>
    <t>№2/310</t>
  </si>
  <si>
    <t>№2/311</t>
  </si>
  <si>
    <t>№2/312</t>
  </si>
  <si>
    <t>№2/313</t>
  </si>
  <si>
    <t>№2/314</t>
  </si>
  <si>
    <t>№2/315</t>
  </si>
  <si>
    <t>№2/316</t>
  </si>
  <si>
    <t>№2/317</t>
  </si>
  <si>
    <t>№2/318</t>
  </si>
  <si>
    <t>№2/319</t>
  </si>
  <si>
    <t>№2/320</t>
  </si>
  <si>
    <t>№2/321</t>
  </si>
  <si>
    <t>№2/322</t>
  </si>
  <si>
    <t>№2/323</t>
  </si>
  <si>
    <t>№2/324</t>
  </si>
  <si>
    <t>№2/325</t>
  </si>
  <si>
    <t>№2/326</t>
  </si>
  <si>
    <t>№2/328</t>
  </si>
  <si>
    <t>№2/330</t>
  </si>
  <si>
    <t>№2/331</t>
  </si>
  <si>
    <t>№2/332</t>
  </si>
  <si>
    <t>№2/333</t>
  </si>
  <si>
    <t>№2/334</t>
  </si>
  <si>
    <t>№2/335</t>
  </si>
  <si>
    <t>№2/336</t>
  </si>
  <si>
    <t>№2/338</t>
  </si>
  <si>
    <t>№2/339</t>
  </si>
  <si>
    <t>№2/340</t>
  </si>
  <si>
    <t>№2/341</t>
  </si>
  <si>
    <t>№2/342</t>
  </si>
  <si>
    <t>№2/343</t>
  </si>
  <si>
    <t>№2/344</t>
  </si>
  <si>
    <t>№2/345</t>
  </si>
  <si>
    <t>№2/346</t>
  </si>
  <si>
    <t>№2/347</t>
  </si>
  <si>
    <t>№2/348</t>
  </si>
  <si>
    <t>№2/349</t>
  </si>
  <si>
    <t>№2/350</t>
  </si>
  <si>
    <t>№2/351</t>
  </si>
  <si>
    <t>№2/352</t>
  </si>
  <si>
    <t>№2/353</t>
  </si>
  <si>
    <t>№2/354</t>
  </si>
  <si>
    <t>№2/356</t>
  </si>
  <si>
    <t>№2/357</t>
  </si>
  <si>
    <t>№2/358</t>
  </si>
  <si>
    <t>№2/360</t>
  </si>
  <si>
    <t>№2/361</t>
  </si>
  <si>
    <t>№2/362</t>
  </si>
  <si>
    <t>№2/363</t>
  </si>
  <si>
    <t>№2/364</t>
  </si>
  <si>
    <t>№2/366</t>
  </si>
  <si>
    <t>№2/367</t>
  </si>
  <si>
    <t>№2/368</t>
  </si>
  <si>
    <t>№2/369</t>
  </si>
  <si>
    <t>№2/370</t>
  </si>
  <si>
    <t>№2/371</t>
  </si>
  <si>
    <t>№2/372</t>
  </si>
  <si>
    <t>№2/373</t>
  </si>
  <si>
    <t>№2/374</t>
  </si>
  <si>
    <t>№2/375</t>
  </si>
  <si>
    <t>№2/376</t>
  </si>
  <si>
    <t>№2/377</t>
  </si>
  <si>
    <t>№2/378</t>
  </si>
  <si>
    <t>№2/379</t>
  </si>
  <si>
    <t>№2/380</t>
  </si>
  <si>
    <t>№2/381</t>
  </si>
  <si>
    <t>№2/382</t>
  </si>
  <si>
    <t>№2/383</t>
  </si>
  <si>
    <t>№2/384</t>
  </si>
  <si>
    <t>№2/385</t>
  </si>
  <si>
    <t>№2/388</t>
  </si>
  <si>
    <t>№2/389</t>
  </si>
  <si>
    <t>№2/390</t>
  </si>
  <si>
    <t>№2/391</t>
  </si>
  <si>
    <t>№2/392</t>
  </si>
  <si>
    <t>№2/393</t>
  </si>
  <si>
    <t>№2/394</t>
  </si>
  <si>
    <t>№2/395</t>
  </si>
  <si>
    <t>№2/396</t>
  </si>
  <si>
    <t>№2/397</t>
  </si>
  <si>
    <t>№2/398</t>
  </si>
  <si>
    <t>№2/399</t>
  </si>
  <si>
    <t>№2/400</t>
  </si>
  <si>
    <t>№2/401</t>
  </si>
  <si>
    <t>№2/402</t>
  </si>
  <si>
    <t>№2/403</t>
  </si>
  <si>
    <t>№2/404</t>
  </si>
  <si>
    <t>№2/405</t>
  </si>
  <si>
    <t>№2/406</t>
  </si>
  <si>
    <t>№2/407</t>
  </si>
  <si>
    <t>№2/408</t>
  </si>
  <si>
    <t>№2/409</t>
  </si>
  <si>
    <t>№2/410</t>
  </si>
  <si>
    <t>№2/411</t>
  </si>
  <si>
    <t>№2/412</t>
  </si>
  <si>
    <t>№2/413</t>
  </si>
  <si>
    <t>№2/414</t>
  </si>
  <si>
    <t>№2/415</t>
  </si>
  <si>
    <t>№2/416</t>
  </si>
  <si>
    <t>№2/417</t>
  </si>
  <si>
    <t>№2/418</t>
  </si>
  <si>
    <t>№2/420</t>
  </si>
  <si>
    <t>№2/421</t>
  </si>
  <si>
    <t>№2/422</t>
  </si>
  <si>
    <t>№2/423</t>
  </si>
  <si>
    <t>№2/424</t>
  </si>
  <si>
    <t>№2/425</t>
  </si>
  <si>
    <t>№2/426</t>
  </si>
  <si>
    <t>№2/427</t>
  </si>
  <si>
    <t>№ договору</t>
  </si>
  <si>
    <t>протокол зборів</t>
  </si>
  <si>
    <t>№77</t>
  </si>
  <si>
    <t>Разом за договорами управління</t>
  </si>
  <si>
    <t>В.В.Пригара</t>
  </si>
  <si>
    <t>М.В.Гречко</t>
  </si>
  <si>
    <t>пн</t>
  </si>
  <si>
    <t>Складова витрат на утримання будинку та прибудинкової території та поточний ремонт спільного майна будинку (далі-витрати)</t>
  </si>
  <si>
    <t>Загальна площа, м2</t>
  </si>
  <si>
    <t>1.</t>
  </si>
  <si>
    <t>Обов'язковий перелік робіт (послуг)</t>
  </si>
  <si>
    <t>1.1.</t>
  </si>
  <si>
    <t>1.1.1.</t>
  </si>
  <si>
    <t>1.1.2.</t>
  </si>
  <si>
    <t>1.1.3.</t>
  </si>
  <si>
    <t>1.1.4.</t>
  </si>
  <si>
    <t>1.1.5.</t>
  </si>
  <si>
    <t>1.1.6.</t>
  </si>
  <si>
    <t>1.1.7.</t>
  </si>
  <si>
    <t>1.1.8.</t>
  </si>
  <si>
    <t>1.2.</t>
  </si>
  <si>
    <t>1.3.</t>
  </si>
  <si>
    <t>1.4.</t>
  </si>
  <si>
    <t>1.5.</t>
  </si>
  <si>
    <t>1.6.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</si>
  <si>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багатоквартирного будинку</t>
  </si>
  <si>
    <t>1.7.</t>
  </si>
  <si>
    <t>1.7.1.</t>
  </si>
  <si>
    <t>1.7.2.</t>
  </si>
  <si>
    <t>1.7.3.</t>
  </si>
  <si>
    <t>1.7.4.</t>
  </si>
  <si>
    <t>1.7.5.</t>
  </si>
  <si>
    <t>1.7.6.</t>
  </si>
  <si>
    <t>1.7.7.</t>
  </si>
  <si>
    <t>1.8.</t>
  </si>
  <si>
    <t>1.9.</t>
  </si>
  <si>
    <t>1.10.</t>
  </si>
  <si>
    <t>1.11.</t>
  </si>
  <si>
    <t>1.12.</t>
  </si>
  <si>
    <t>1.13.</t>
  </si>
  <si>
    <t>1.14.</t>
  </si>
  <si>
    <t>14. Придбання електричної енергії для освітлення місць загального користуванння, живлення ліфтів та забезпечення функціонування іншого спільного майна багатоквартирного будинку</t>
  </si>
  <si>
    <t>1.14.1.</t>
  </si>
  <si>
    <t>1.14.2.</t>
  </si>
  <si>
    <t>2.</t>
  </si>
  <si>
    <t>3.</t>
  </si>
  <si>
    <t>4.</t>
  </si>
  <si>
    <t>5.</t>
  </si>
  <si>
    <t>6.</t>
  </si>
  <si>
    <t>плановий кошторис</t>
  </si>
  <si>
    <t>% виконання кошторису</t>
  </si>
  <si>
    <t>Середня ціна, грн/м2</t>
  </si>
  <si>
    <t>Начальник підприємства</t>
  </si>
  <si>
    <t>Головний економіст</t>
  </si>
  <si>
    <t>Статті витрат</t>
  </si>
  <si>
    <t>Загальновиробничі витрати</t>
  </si>
  <si>
    <t>Адміністративні витрати</t>
  </si>
  <si>
    <t>Разом накладні витрати</t>
  </si>
  <si>
    <t xml:space="preserve">Зарплата </t>
  </si>
  <si>
    <t>Нарахування на з/т (22%)</t>
  </si>
  <si>
    <t xml:space="preserve">Матеріали </t>
  </si>
  <si>
    <t>ПММ (транспорт)</t>
  </si>
  <si>
    <t>Запасні частини (транспорт)</t>
  </si>
  <si>
    <t>Амортизація</t>
  </si>
  <si>
    <t>7.</t>
  </si>
  <si>
    <t>Навчання</t>
  </si>
  <si>
    <t>8.</t>
  </si>
  <si>
    <t>Податок на землю</t>
  </si>
  <si>
    <t>9.</t>
  </si>
  <si>
    <t>Утримання приміщень, в т.ч</t>
  </si>
  <si>
    <t>9.1</t>
  </si>
  <si>
    <t>освітлення</t>
  </si>
  <si>
    <t>9.2</t>
  </si>
  <si>
    <t>опалення</t>
  </si>
  <si>
    <t>9.3</t>
  </si>
  <si>
    <t>водопостачання</t>
  </si>
  <si>
    <t>10.</t>
  </si>
  <si>
    <t>Послуги зв'язку</t>
  </si>
  <si>
    <t>11.</t>
  </si>
  <si>
    <t>Аудит</t>
  </si>
  <si>
    <t>12.</t>
  </si>
  <si>
    <t>РКО</t>
  </si>
  <si>
    <t>13.</t>
  </si>
  <si>
    <t>Платежі банкам</t>
  </si>
  <si>
    <t>Підписка</t>
  </si>
  <si>
    <t>14.</t>
  </si>
  <si>
    <t>Службові відрядження</t>
  </si>
  <si>
    <t>15.</t>
  </si>
  <si>
    <t>Ремонт комп.техніки, обслуговування ПК</t>
  </si>
  <si>
    <t>16.</t>
  </si>
  <si>
    <t>17.</t>
  </si>
  <si>
    <t>Call-центр</t>
  </si>
  <si>
    <t>19.</t>
  </si>
  <si>
    <t>Прибирання адмін.будівлі</t>
  </si>
  <si>
    <t>20.</t>
  </si>
  <si>
    <t>Утримання легкового транспорту</t>
  </si>
  <si>
    <t>22.</t>
  </si>
  <si>
    <t>23.</t>
  </si>
  <si>
    <t>Інші послуги (ТО, страховка транс.засобів)</t>
  </si>
  <si>
    <t>24.</t>
  </si>
  <si>
    <t>Інші витрати</t>
  </si>
  <si>
    <t>Разом витрати</t>
  </si>
  <si>
    <t>Відношення частини накладних витрат на сторонні послуги</t>
  </si>
  <si>
    <t>Разом накладні витрати для тарифу, в т.ч</t>
  </si>
  <si>
    <t>зі зняттям</t>
  </si>
  <si>
    <t>ТО ліфтів</t>
  </si>
  <si>
    <t>ОДС</t>
  </si>
  <si>
    <t>ДВК</t>
  </si>
  <si>
    <t>ПЗ (програма Софтпроект, 1с, АСТ, інші)</t>
  </si>
  <si>
    <t>Поточний ремонт конструктивних елементів</t>
  </si>
  <si>
    <t>обсяг, м2</t>
  </si>
  <si>
    <t>сума, грн</t>
  </si>
  <si>
    <t>ремонт покрівлі</t>
  </si>
  <si>
    <t>ремонт під'їздів</t>
  </si>
  <si>
    <t>од.</t>
  </si>
  <si>
    <t>ремонт стиків</t>
  </si>
  <si>
    <t>п.м</t>
  </si>
  <si>
    <t>декоративні огорожі</t>
  </si>
  <si>
    <t>м2</t>
  </si>
  <si>
    <t>підготовка до зими</t>
  </si>
  <si>
    <t>виконавець</t>
  </si>
  <si>
    <t>ремонт ліфтів</t>
  </si>
  <si>
    <t>ремонт машинних приміщень ліфтів</t>
  </si>
  <si>
    <t>інші види робіт</t>
  </si>
  <si>
    <t>КОШТОРИС</t>
  </si>
  <si>
    <t>ФАКТ</t>
  </si>
  <si>
    <t>Поточний ремонт внутрішньобудинкових систем, грн</t>
  </si>
  <si>
    <t>РАЗОМ</t>
  </si>
  <si>
    <t>Відхилення</t>
  </si>
  <si>
    <t>в тому числі факт за видами робіт</t>
  </si>
  <si>
    <t>зарплата</t>
  </si>
  <si>
    <t>ЄСВ</t>
  </si>
  <si>
    <t>матеріали</t>
  </si>
  <si>
    <t>послуги</t>
  </si>
  <si>
    <t>загальнов.</t>
  </si>
  <si>
    <t>адмін.</t>
  </si>
  <si>
    <t>Разом</t>
  </si>
  <si>
    <t>вода</t>
  </si>
  <si>
    <t>Дератизація</t>
  </si>
  <si>
    <t>послуга</t>
  </si>
  <si>
    <t>адмін</t>
  </si>
  <si>
    <t>Дезінсекція</t>
  </si>
  <si>
    <t>зняття</t>
  </si>
  <si>
    <t>Електроенергія МЗК</t>
  </si>
  <si>
    <t>Електроенергія ліфти</t>
  </si>
  <si>
    <t>коеф.загальновироб.витрат до ФОПу</t>
  </si>
  <si>
    <t>коеф.адмін.витрат до прямих+загальн.</t>
  </si>
  <si>
    <t>інші</t>
  </si>
  <si>
    <t>ТО теплопостачання</t>
  </si>
  <si>
    <t>Площа, м2</t>
  </si>
  <si>
    <t>ТО гарячого водопостачання</t>
  </si>
  <si>
    <t>грн/м2</t>
  </si>
  <si>
    <t>Разом ТО</t>
  </si>
  <si>
    <t>Прибирання приміщень загального користування (з прибиранням підвалів, покрівлі)</t>
  </si>
  <si>
    <t>дворове/спортивне обладнання</t>
  </si>
  <si>
    <t>ОТКЕ</t>
  </si>
  <si>
    <t>Технова</t>
  </si>
  <si>
    <t>Зарплата в тарифі</t>
  </si>
  <si>
    <t>ХВП</t>
  </si>
  <si>
    <t>ВВ</t>
  </si>
  <si>
    <t>ЗК</t>
  </si>
  <si>
    <t>ЕН</t>
  </si>
  <si>
    <t>ж.5</t>
  </si>
  <si>
    <t>єсв</t>
  </si>
  <si>
    <t>журнал 5</t>
  </si>
  <si>
    <t>інструмент</t>
  </si>
  <si>
    <t>Фактична зарплата</t>
  </si>
  <si>
    <t>Матеріали</t>
  </si>
  <si>
    <t>Вода</t>
  </si>
  <si>
    <t>Матеріали стаття 01</t>
  </si>
  <si>
    <t>площа підвалів для дератизації</t>
  </si>
  <si>
    <t>конт.майд.</t>
  </si>
  <si>
    <t>приб.приб.території (без.конт.майд.)</t>
  </si>
  <si>
    <t>приб.сходових кліток</t>
  </si>
  <si>
    <t>приб.підвалів і покрівлі</t>
  </si>
  <si>
    <t>01 стаття</t>
  </si>
  <si>
    <t>02 стаття</t>
  </si>
  <si>
    <t>16 стаття</t>
  </si>
  <si>
    <t>рах. 201</t>
  </si>
  <si>
    <t>рах. 22/1, 22/2</t>
  </si>
  <si>
    <t>рах. 203</t>
  </si>
  <si>
    <t>рах. 132</t>
  </si>
  <si>
    <t>двірники</t>
  </si>
  <si>
    <t>покрівельники</t>
  </si>
  <si>
    <t>дільниця 1</t>
  </si>
  <si>
    <t>дільниця 2</t>
  </si>
  <si>
    <t>дільниця 3</t>
  </si>
  <si>
    <t>аморт.</t>
  </si>
  <si>
    <t>(для ДВК)</t>
  </si>
  <si>
    <t>Загальна кошторисна вартість з ПДВ</t>
  </si>
  <si>
    <t>Планова винагорода управителю, грн з ПДВ</t>
  </si>
  <si>
    <t>кошторис витрат</t>
  </si>
  <si>
    <t>план</t>
  </si>
  <si>
    <t>дільниця №1</t>
  </si>
  <si>
    <t>дільниця №2</t>
  </si>
  <si>
    <t>дільниця №3</t>
  </si>
  <si>
    <t>ТО водопостачання 06/1</t>
  </si>
  <si>
    <t>ТО водовідведення 06/2</t>
  </si>
  <si>
    <t>ТО зливової каналізації 06/3</t>
  </si>
  <si>
    <t>ТО електропостачання 05/1</t>
  </si>
  <si>
    <t>ТО газопостачання 06/4</t>
  </si>
  <si>
    <t>водопостачання 04/1</t>
  </si>
  <si>
    <t>водовідведення 04/2</t>
  </si>
  <si>
    <t>теплопостачання 07/4</t>
  </si>
  <si>
    <t>гарячого водопостачання 07/3</t>
  </si>
  <si>
    <t>зливової каналізації 04/3</t>
  </si>
  <si>
    <t>електропостачання 05/2</t>
  </si>
  <si>
    <t>площа для аварійки</t>
  </si>
  <si>
    <t>обсяг прямих витрат</t>
  </si>
  <si>
    <t>обсяг накладних витрат</t>
  </si>
  <si>
    <t>прямі</t>
  </si>
  <si>
    <t>накладні</t>
  </si>
  <si>
    <t>% виконання</t>
  </si>
  <si>
    <t>Покрівля</t>
  </si>
  <si>
    <t>власні</t>
  </si>
  <si>
    <t>підрядні</t>
  </si>
  <si>
    <t>Під'їзди</t>
  </si>
  <si>
    <t>Прибудинкове обладнання</t>
  </si>
  <si>
    <t xml:space="preserve">Стикі </t>
  </si>
  <si>
    <t>Підготовка до зими</t>
  </si>
  <si>
    <t>Цоколь, ганки, вимощення</t>
  </si>
  <si>
    <t>Конструктивні елементи</t>
  </si>
  <si>
    <t>Мережі</t>
  </si>
  <si>
    <t>гаряче водопостачання</t>
  </si>
  <si>
    <t>зливова каналізація</t>
  </si>
  <si>
    <t>разом</t>
  </si>
  <si>
    <t>З/п косарів</t>
  </si>
  <si>
    <t>Д1</t>
  </si>
  <si>
    <t>Д2</t>
  </si>
  <si>
    <t>Д3</t>
  </si>
  <si>
    <t>Витрати, грн</t>
  </si>
  <si>
    <t>Технічне обслуговування систем ППА та димовидалення (у разі їх наявності)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</si>
  <si>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багатоквартирного будинку*</t>
  </si>
  <si>
    <t>* Поточний ремонт конструктивних елементів по видах робіт:</t>
  </si>
  <si>
    <t>Обсяг робіт</t>
  </si>
  <si>
    <t>Сума, грн</t>
  </si>
  <si>
    <t>покрівля</t>
  </si>
  <si>
    <t>під'їзди</t>
  </si>
  <si>
    <t>стикі</t>
  </si>
  <si>
    <t>ліфти</t>
  </si>
  <si>
    <t>маш.приміщення ліфтів</t>
  </si>
  <si>
    <t>ганки, фасад, цоколь, вимощення</t>
  </si>
  <si>
    <t>дворове/дитяче обладнання</t>
  </si>
  <si>
    <t>Разом по будинку</t>
  </si>
  <si>
    <t>Інші види робіт</t>
  </si>
  <si>
    <t>Питомі витрати, грн/м2</t>
  </si>
  <si>
    <t>% винагороди</t>
  </si>
  <si>
    <t>Середня ціна на управління, грн/м2 (квартири+нежитлові)</t>
  </si>
  <si>
    <t xml:space="preserve">№ </t>
  </si>
  <si>
    <t>дільниці</t>
  </si>
  <si>
    <t>1 дільниця</t>
  </si>
  <si>
    <t>2 дільниця</t>
  </si>
  <si>
    <t>3 дільниця</t>
  </si>
  <si>
    <t>Січень</t>
  </si>
  <si>
    <t>нарах</t>
  </si>
  <si>
    <t>виконано</t>
  </si>
  <si>
    <t>Лютий</t>
  </si>
  <si>
    <t>Січень-серпень</t>
  </si>
  <si>
    <t>Яйця,мило,перчатки,уайт-спирт,обрізки,пензлі, рах. 132/2</t>
  </si>
  <si>
    <t>9 місяців 2019</t>
  </si>
  <si>
    <t>коеф.!!!</t>
  </si>
  <si>
    <t xml:space="preserve">Звіт про виконання кошторисів на утримання будинків та прибудинкової території за </t>
  </si>
  <si>
    <t xml:space="preserve">Звіт про виконання кошторисів на утримання будинку та прибудинкової території за </t>
  </si>
  <si>
    <t xml:space="preserve">Звіт про виконання кошторису на утримання будинків та прибудинкової території за </t>
  </si>
  <si>
    <t>Звіт про виконання поточного ремонту конструктивних елементів і внутрішньобудинкових систем за</t>
  </si>
  <si>
    <t>Звіт про виконання поточного ремонту за</t>
  </si>
  <si>
    <t xml:space="preserve">Звіт про виконання планового кошторису накладних витрат за </t>
  </si>
  <si>
    <t>Фактичні витрати - прибирання, дератизація, дезінсекція, ТО ліфтів і ОДС, ДВК, електроенергія</t>
  </si>
  <si>
    <t>Фактичні витрати  - технічне обслуговування внутрішньобудинкових систем</t>
  </si>
  <si>
    <t>для квартир, що не користуються ліфтами</t>
  </si>
  <si>
    <t>для квартир, що користуються ліфтами</t>
  </si>
  <si>
    <t>для нежитлових приміщень</t>
  </si>
  <si>
    <t>квартири</t>
  </si>
  <si>
    <t>нежитлові</t>
  </si>
  <si>
    <t>вул.КИЇВСЬКА,  13</t>
  </si>
  <si>
    <t>вул.П`ЯТНИЦЬКА,  13</t>
  </si>
  <si>
    <t>з врахуванням 2016-2017-2018-2019 рр</t>
  </si>
  <si>
    <t>Результат виконання тарифу станом на 01.03.2020 року ("-" - борг підприємства; "+" - борг населення)</t>
  </si>
  <si>
    <t>Залишок коштів станом на 01.03.2020 року</t>
  </si>
  <si>
    <t>ДЗ</t>
  </si>
  <si>
    <t>населення</t>
  </si>
  <si>
    <t>нежитлові приміщення</t>
  </si>
  <si>
    <t>Код</t>
  </si>
  <si>
    <t>ID софтпроект</t>
  </si>
  <si>
    <t>вул.ПУШКIНА, 12</t>
  </si>
  <si>
    <t>винагорода</t>
  </si>
  <si>
    <t>кошторис+винагорода</t>
  </si>
  <si>
    <t>№2/223</t>
  </si>
  <si>
    <t>Вибір адреси</t>
  </si>
  <si>
    <t>Загальне виконання, грн з ПДВ</t>
  </si>
  <si>
    <t>відх</t>
  </si>
  <si>
    <t>% вик.</t>
  </si>
  <si>
    <t>в тому числі виконання ПР</t>
  </si>
  <si>
    <t>Прострочена ДЗ (населення+нежитлові)</t>
  </si>
  <si>
    <t>Наявність коштів по будинку</t>
  </si>
  <si>
    <t>ПЕВ</t>
  </si>
  <si>
    <t>сально на кінець                - борг підприємства</t>
  </si>
  <si>
    <t>Для звіту ВТВ</t>
  </si>
  <si>
    <t>Поточний ремонт, грн з ПДВ</t>
  </si>
  <si>
    <t>Код об'єкта</t>
  </si>
  <si>
    <t>ремонт цоколю, вимощення, ганків, стін, фасаду, пандус, асфальт</t>
  </si>
  <si>
    <t>зимове прибирання</t>
  </si>
  <si>
    <t>всі прямі витрати з прибирання</t>
  </si>
  <si>
    <t>послуги розвезення та навантаження піску</t>
  </si>
  <si>
    <t>рах. 207</t>
  </si>
  <si>
    <t>дивитися % зимового прибирання</t>
  </si>
  <si>
    <t>код</t>
  </si>
  <si>
    <t>планові нарахування</t>
  </si>
  <si>
    <t>КП "Десняняське"</t>
  </si>
  <si>
    <t>Зведена відомість вартості кошторисної послуг з управління багатоквартирним будинком з 01.06.2021 року</t>
  </si>
  <si>
    <t>Загальна S житл.прим.</t>
  </si>
  <si>
    <t>Площа першого поверху у будинках з ліфтами</t>
  </si>
  <si>
    <t>Нежитлових приміщень S з окр.входом</t>
  </si>
  <si>
    <t>Загальна площа квартир і нежитлових приміщень</t>
  </si>
  <si>
    <t>ТО хвп</t>
  </si>
  <si>
    <t>ТО вв</t>
  </si>
  <si>
    <t>ТО тп</t>
  </si>
  <si>
    <t>ТО гвп</t>
  </si>
  <si>
    <t>ТО злив</t>
  </si>
  <si>
    <t>ТО електр</t>
  </si>
  <si>
    <t>ТО газ</t>
  </si>
  <si>
    <t>аварійне обсл.</t>
  </si>
  <si>
    <t>ТО ліфт</t>
  </si>
  <si>
    <t>ТО одс</t>
  </si>
  <si>
    <t>ТО ДВК</t>
  </si>
  <si>
    <t>ПР конструктивних елементів</t>
  </si>
  <si>
    <t>ПР хвп</t>
  </si>
  <si>
    <t>ПР вв</t>
  </si>
  <si>
    <t>ПР тп</t>
  </si>
  <si>
    <t>ПР гвп</t>
  </si>
  <si>
    <t>ПР злив</t>
  </si>
  <si>
    <t>ПР елект</t>
  </si>
  <si>
    <t>ПР газ</t>
  </si>
  <si>
    <t>Прибирання МЗК</t>
  </si>
  <si>
    <t>Прибирання прибуд.тер.взимку</t>
  </si>
  <si>
    <t>Енергопостачання ліфтів</t>
  </si>
  <si>
    <t>Винагорода</t>
  </si>
  <si>
    <t>Додаток</t>
  </si>
  <si>
    <t>Перелік багатоквартирних будинків, управителем яких призначено комунальне підприємство "Деснянське" Чернігівської міської ради відповідно до рішення виконавчого комітету Чернігівської міської ради 15 лютого 2019 року №58</t>
  </si>
  <si>
    <t>КОД БУДИНКУ</t>
  </si>
  <si>
    <t>Номер та дата договору</t>
  </si>
  <si>
    <t>Адреса житлового будинку</t>
  </si>
  <si>
    <t>Поверховість будинку</t>
  </si>
  <si>
    <t>Ціна послуги з управління багатоквартирним будинком з 01.06.2021 року, грн/м2</t>
  </si>
  <si>
    <t xml:space="preserve">для квартир першого поверху </t>
  </si>
  <si>
    <t>для квартир другого і вище поверхів</t>
  </si>
  <si>
    <t>з 01.06.2021</t>
  </si>
  <si>
    <t>№2/1 від 20.02.2019</t>
  </si>
  <si>
    <t>№2/2 від 20.02.2019</t>
  </si>
  <si>
    <t>№2/3 від 20.02.2019</t>
  </si>
  <si>
    <t>№2/4 від 20.02.2019</t>
  </si>
  <si>
    <t>№2/5 від 20.02.2019</t>
  </si>
  <si>
    <t>№2/7 від 20.02.2019</t>
  </si>
  <si>
    <t>№2/8 від 20.02.2019</t>
  </si>
  <si>
    <t>№2/9 від 20.02.2019</t>
  </si>
  <si>
    <t>№2/10 від 20.02.2019</t>
  </si>
  <si>
    <t>№2/14 від 20.02.2019</t>
  </si>
  <si>
    <t>№2/15 від 20.02.2019</t>
  </si>
  <si>
    <t>№2/16 від 20.02.2019</t>
  </si>
  <si>
    <t>№2/17 від 20.02.2019</t>
  </si>
  <si>
    <t>№2/18 від 20.02.2019</t>
  </si>
  <si>
    <t>№2/19 від 20.02.2019</t>
  </si>
  <si>
    <t>№2/21 від 20.02.2019</t>
  </si>
  <si>
    <t>№2/22 від 20.02.2019</t>
  </si>
  <si>
    <t>№2/23 від 20.02.2019</t>
  </si>
  <si>
    <t>№2/24 від 20.02.2019</t>
  </si>
  <si>
    <t>№2/25 від 20.02.2019</t>
  </si>
  <si>
    <t>№2/26 від 20.02.2019</t>
  </si>
  <si>
    <t>№2/27 від 20.02.2019</t>
  </si>
  <si>
    <t>№2/28 від 20.02.2019</t>
  </si>
  <si>
    <t>№2/29 від 20.02.2019</t>
  </si>
  <si>
    <t>№2/30 від 20.02.2019</t>
  </si>
  <si>
    <t>№2/31 від 20.02.2019</t>
  </si>
  <si>
    <t>№2/32 від 20.02.2019</t>
  </si>
  <si>
    <t>№2/33 від 20.02.2019</t>
  </si>
  <si>
    <t>№2/34 від 20.02.2019</t>
  </si>
  <si>
    <t>№2/35 від 20.02.2019</t>
  </si>
  <si>
    <t>№2/36 від 20.02.2019</t>
  </si>
  <si>
    <t>№2/37 від 20.02.2019</t>
  </si>
  <si>
    <t>№2/38 від 20.02.2019</t>
  </si>
  <si>
    <t>№2/39 від 20.02.2019</t>
  </si>
  <si>
    <t>№2/40 від 20.02.2019</t>
  </si>
  <si>
    <t>№2/41 від 20.02.2019</t>
  </si>
  <si>
    <t>№2/42 від 20.02.2019</t>
  </si>
  <si>
    <t>№2/43 від 20.02.2019</t>
  </si>
  <si>
    <t>№2/44 від 20.02.2019</t>
  </si>
  <si>
    <t>№2/45 від 20.02.2019</t>
  </si>
  <si>
    <t>№2/46 від 20.02.2019</t>
  </si>
  <si>
    <t>№2/47 від 20.02.2019</t>
  </si>
  <si>
    <t>№2/48 від 20.02.2019</t>
  </si>
  <si>
    <t>№2/49 від 20.02.2019</t>
  </si>
  <si>
    <t>№2/50 від 20.02.2019</t>
  </si>
  <si>
    <t>№2/51 від 20.02.2019</t>
  </si>
  <si>
    <t>№2/52 від 20.02.2019</t>
  </si>
  <si>
    <t>№2/53 від 20.02.2019</t>
  </si>
  <si>
    <t>№2/54 від 20.02.2019</t>
  </si>
  <si>
    <t>№2/55 від 20.02.2019</t>
  </si>
  <si>
    <t>№2/56 від 20.02.2019</t>
  </si>
  <si>
    <t>№2/57 від 20.02.2019</t>
  </si>
  <si>
    <t>№2/58 від 20.02.2019</t>
  </si>
  <si>
    <t>№2/59 від 20.02.2019</t>
  </si>
  <si>
    <t>№2/60 від 20.02.2019</t>
  </si>
  <si>
    <t>№2/61 від 20.02.2019</t>
  </si>
  <si>
    <t>№2/62 від 20.02.2019</t>
  </si>
  <si>
    <t>№2/63 від 20.02.2019</t>
  </si>
  <si>
    <t>№2/64 від 20.02.2019</t>
  </si>
  <si>
    <t>№2/65 від 20.02.2019</t>
  </si>
  <si>
    <t>№2/66 від 20.02.2019</t>
  </si>
  <si>
    <t>№2/67 від 20.02.2019</t>
  </si>
  <si>
    <t>№2/68 від 20.02.2019</t>
  </si>
  <si>
    <t>№2/69 від 20.02.2019</t>
  </si>
  <si>
    <t>№2/70 від 20.02.2019</t>
  </si>
  <si>
    <t>№2/71 від 20.02.2019</t>
  </si>
  <si>
    <t>№2/73 від 20.02.2019</t>
  </si>
  <si>
    <t>№2/75 від 20.02.2019</t>
  </si>
  <si>
    <t>№2/77 від 20.02.2019</t>
  </si>
  <si>
    <t>№2/78 від 20.02.2019</t>
  </si>
  <si>
    <t>№2/79 від 20.02.2019</t>
  </si>
  <si>
    <t>№2/80 від 20.02.2019</t>
  </si>
  <si>
    <t>№2/81 від 20.02.2019</t>
  </si>
  <si>
    <t>№2/82 від 20.02.2019</t>
  </si>
  <si>
    <t>№2/83 від 20.02.2019</t>
  </si>
  <si>
    <t>№2/84 від 20.02.2019</t>
  </si>
  <si>
    <t>№2/85 від 20.02.2019</t>
  </si>
  <si>
    <t>№2/86 від 20.02.2019</t>
  </si>
  <si>
    <t>№2/87 від 20.02.2019</t>
  </si>
  <si>
    <t>№2/88 від 20.02.2019</t>
  </si>
  <si>
    <t>№2/89 від 20.02.2019</t>
  </si>
  <si>
    <t>№2/91 від 20.02.2019</t>
  </si>
  <si>
    <t>№2/92 від 20.02.2019</t>
  </si>
  <si>
    <t>№2/93 від 20.02.2019</t>
  </si>
  <si>
    <t>№2/94 від 20.02.2019</t>
  </si>
  <si>
    <t>№2/95 від 20.02.2019</t>
  </si>
  <si>
    <t>№2/96 від 20.02.2019</t>
  </si>
  <si>
    <t>№2/97 від 20.02.2019</t>
  </si>
  <si>
    <t>№2/98 від 20.02.2019</t>
  </si>
  <si>
    <t>№2/99 від 20.02.2019</t>
  </si>
  <si>
    <t>№2/100 від 20.02.2019</t>
  </si>
  <si>
    <t>№2/101 від 20.02.2019</t>
  </si>
  <si>
    <t>№2/102 від 20.02.2019</t>
  </si>
  <si>
    <t>№2/104 від 20.02.2019</t>
  </si>
  <si>
    <t>№2/105 від 20.02.2019</t>
  </si>
  <si>
    <t>№2/106 від 20.02.2019</t>
  </si>
  <si>
    <t>№2/107 від 20.02.2019</t>
  </si>
  <si>
    <t>№2/109 від 20.02.2019</t>
  </si>
  <si>
    <t>№2/110 від 20.02.2019</t>
  </si>
  <si>
    <t>№2/111 від 20.02.2019</t>
  </si>
  <si>
    <t>№2/112 від 20.02.2019</t>
  </si>
  <si>
    <t>№2/113 від 20.02.2019</t>
  </si>
  <si>
    <t>№2/114 від 20.02.2019</t>
  </si>
  <si>
    <t>№2/115 від 20.02.2019</t>
  </si>
  <si>
    <t>№2/116 від 20.02.2019</t>
  </si>
  <si>
    <t>№2/117 від 20.02.2019</t>
  </si>
  <si>
    <t>№2/118 від 20.02.2019</t>
  </si>
  <si>
    <t>№2/119 від 20.02.2019</t>
  </si>
  <si>
    <t>№2/120 від 20.02.2019</t>
  </si>
  <si>
    <t>№2/121 від 20.02.2019</t>
  </si>
  <si>
    <t>№2/122 від 20.02.2019</t>
  </si>
  <si>
    <t>№2/123 від 20.02.2019</t>
  </si>
  <si>
    <t>№2/124 від 20.02.2019</t>
  </si>
  <si>
    <t>№2/125 від 20.02.2019</t>
  </si>
  <si>
    <t>№2/126 від 20.02.2019</t>
  </si>
  <si>
    <t>№2/127 від 20.02.2019</t>
  </si>
  <si>
    <t>№2/128 від 20.02.2019</t>
  </si>
  <si>
    <t>№2/129 від 20.02.2019</t>
  </si>
  <si>
    <t>№2/130 від 20.02.2019</t>
  </si>
  <si>
    <t>№2/131 від 20.02.2019</t>
  </si>
  <si>
    <t>№2/132 від 20.02.2019</t>
  </si>
  <si>
    <t>№2/133 від 20.02.2019</t>
  </si>
  <si>
    <t>№2/135 від 20.02.2019</t>
  </si>
  <si>
    <t>№2/136 від 20.02.2019</t>
  </si>
  <si>
    <t>№2/138 від 20.02.2019</t>
  </si>
  <si>
    <t>№2/139 від 20.02.2019</t>
  </si>
  <si>
    <t>№2/141 від 20.02.2019</t>
  </si>
  <si>
    <t>№2/142 від 20.02.2019</t>
  </si>
  <si>
    <t>№2/143 від 20.02.2019</t>
  </si>
  <si>
    <t>№2/144 від 20.02.2019</t>
  </si>
  <si>
    <t>№2/145 від 20.02.2019</t>
  </si>
  <si>
    <t>№2/146 від 20.02.2019</t>
  </si>
  <si>
    <t>№2/147 від 20.02.2019</t>
  </si>
  <si>
    <t>№2/148 від 20.02.2019</t>
  </si>
  <si>
    <t>№2/149 від 20.02.2019</t>
  </si>
  <si>
    <t>№2/150 від 20.02.2019</t>
  </si>
  <si>
    <t>№2/151 від 20.02.2019</t>
  </si>
  <si>
    <t>№2/153 від 20.02.2019</t>
  </si>
  <si>
    <t>№2/154 від 20.02.2019</t>
  </si>
  <si>
    <t>№2/155 від 20.02.2019</t>
  </si>
  <si>
    <t>№2/156 від 20.02.2019</t>
  </si>
  <si>
    <t>№2/157 від 20.02.2019</t>
  </si>
  <si>
    <t>№2/158 від 20.02.2019</t>
  </si>
  <si>
    <t>№2/159 від 20.02.2019</t>
  </si>
  <si>
    <t>№2/160 від 20.02.2019</t>
  </si>
  <si>
    <t>№2/161 від 20.02.2019</t>
  </si>
  <si>
    <t>№2/162 від 20.02.2019</t>
  </si>
  <si>
    <t>№2/163 від 20.02.2019</t>
  </si>
  <si>
    <t>№2/164 від 20.02.2019</t>
  </si>
  <si>
    <t>№2/165 від 20.02.2019</t>
  </si>
  <si>
    <t>№2/166 від 20.02.2019</t>
  </si>
  <si>
    <t>№2/167 від 20.02.2019</t>
  </si>
  <si>
    <t>№2/168 від 20.02.2019</t>
  </si>
  <si>
    <t>№2/169 від 20.02.2019</t>
  </si>
  <si>
    <t>№2/170 від 20.02.2019</t>
  </si>
  <si>
    <t>№2/171 від 20.02.2019</t>
  </si>
  <si>
    <t>№2/172 від 20.02.2019</t>
  </si>
  <si>
    <t>№2/173 від 20.02.2019</t>
  </si>
  <si>
    <t>№2/174 від 20.02.2019</t>
  </si>
  <si>
    <t>№77 від 01.04.2019</t>
  </si>
  <si>
    <t>№2/177 від 20.02.2019</t>
  </si>
  <si>
    <t>№2/178 від 20.02.2019</t>
  </si>
  <si>
    <t>№2/179 від 20.02.2019</t>
  </si>
  <si>
    <t>№2/180 від 20.02.2019</t>
  </si>
  <si>
    <t>№2/181 від 20.02.2019</t>
  </si>
  <si>
    <t>№2/182 від 20.02.2019</t>
  </si>
  <si>
    <t>№2/183 від 20.02.2019</t>
  </si>
  <si>
    <t>№2/184 від 20.02.2019</t>
  </si>
  <si>
    <t>№2/185 від 20.02.2019</t>
  </si>
  <si>
    <t>№2/186 від 20.02.2019</t>
  </si>
  <si>
    <t>№2/187 від 20.02.2019</t>
  </si>
  <si>
    <t>№2/188 від 20.02.2019</t>
  </si>
  <si>
    <t>№2/190 від 20.02.2019</t>
  </si>
  <si>
    <t>№2/191 від 20.02.2019</t>
  </si>
  <si>
    <t>№2/192 від 20.02.2019</t>
  </si>
  <si>
    <t>№2/193 від 20.02.2019</t>
  </si>
  <si>
    <t>№2/195 від 20.02.2019</t>
  </si>
  <si>
    <t>№2/11 від 20.02.2019</t>
  </si>
  <si>
    <t>№2/12 від 20.02.2019</t>
  </si>
  <si>
    <t>№2/13 від 20.02.2019</t>
  </si>
  <si>
    <t>№2/196 від 20.02.2019</t>
  </si>
  <si>
    <t>№2/197 від 20.02.2019</t>
  </si>
  <si>
    <t>№2/198 від 20.02.2019</t>
  </si>
  <si>
    <t>№2/199 від 20.02.2019</t>
  </si>
  <si>
    <t>№2/200 від 20.02.2019</t>
  </si>
  <si>
    <t>№2/201 від 20.02.2019</t>
  </si>
  <si>
    <t>№2/202 від 20.02.2019</t>
  </si>
  <si>
    <t>№2/203 від 20.02.2019</t>
  </si>
  <si>
    <t>№2/204 від 20.02.2019</t>
  </si>
  <si>
    <t>№2/206 від 20.02.2019</t>
  </si>
  <si>
    <t>№2/207 від 20.02.2019</t>
  </si>
  <si>
    <t>№2/208 від 20.02.2019</t>
  </si>
  <si>
    <t>№2/209 від 20.02.2019</t>
  </si>
  <si>
    <t>№2/210 від 20.02.2019</t>
  </si>
  <si>
    <t>№2/211 від 20.02.2019</t>
  </si>
  <si>
    <t>№2/212 від 20.02.2019</t>
  </si>
  <si>
    <t>№2/213 від 20.02.2019</t>
  </si>
  <si>
    <t>№2/214 від 20.02.2019</t>
  </si>
  <si>
    <t>№2/215 від 20.02.2019</t>
  </si>
  <si>
    <t>№2/216 від 20.02.2019</t>
  </si>
  <si>
    <t>№2/217 від 20.02.2019</t>
  </si>
  <si>
    <t>№2/218 від 20.02.2019</t>
  </si>
  <si>
    <t>№2/219 від 20.02.2019</t>
  </si>
  <si>
    <t>№2/220 від 20.02.2019</t>
  </si>
  <si>
    <t>№2/221 від 20.02.2019</t>
  </si>
  <si>
    <t>№2/222 від 20.02.2019</t>
  </si>
  <si>
    <t>№2/223 від 20.02.2019</t>
  </si>
  <si>
    <t>№2/224 від 20.02.2019</t>
  </si>
  <si>
    <t>№2/225 від 20.02.2019</t>
  </si>
  <si>
    <t>№2/226 від 20.02.2019</t>
  </si>
  <si>
    <t>№2/227 від 20.02.2019</t>
  </si>
  <si>
    <t>№2/228 від 20.02.2019</t>
  </si>
  <si>
    <t>№2/229 від 20.02.2019</t>
  </si>
  <si>
    <t>№2/230 від 20.02.2019</t>
  </si>
  <si>
    <t>№2/231 від 20.02.2019</t>
  </si>
  <si>
    <t>№2/232 від 20.02.2019</t>
  </si>
  <si>
    <t>№2/233 від 20.02.2019</t>
  </si>
  <si>
    <t>№2/234 від 20.02.2019</t>
  </si>
  <si>
    <t>№2/235 від 20.02.2019</t>
  </si>
  <si>
    <t>№2/236 від 20.02.2019</t>
  </si>
  <si>
    <t>№2/237 від 20.02.2019</t>
  </si>
  <si>
    <t>№2/238 від 20.02.2019</t>
  </si>
  <si>
    <t>№2/239 від 20.02.2019</t>
  </si>
  <si>
    <t>№2/240 від 20.02.2019</t>
  </si>
  <si>
    <t>№2/241 від 20.02.2019</t>
  </si>
  <si>
    <t>№2/242 від 20.02.2019</t>
  </si>
  <si>
    <t>№2/243 від 20.02.2019</t>
  </si>
  <si>
    <t>№2/244 від 20.02.2019</t>
  </si>
  <si>
    <t>№2/245 від 20.02.2019</t>
  </si>
  <si>
    <t>№2/250 від 20.02.2019</t>
  </si>
  <si>
    <t>№2/251 від 20.02.2019</t>
  </si>
  <si>
    <t>№2/252 від 20.02.2019</t>
  </si>
  <si>
    <t>№2/253 від 20.02.2019</t>
  </si>
  <si>
    <t>№2/254 від 20.02.2019</t>
  </si>
  <si>
    <t>№2/255 від 20.02.2019</t>
  </si>
  <si>
    <t>№2/256 від 20.02.2019</t>
  </si>
  <si>
    <t>№2/257 від 20.02.2019</t>
  </si>
  <si>
    <t>№2/258 від 20.02.2019</t>
  </si>
  <si>
    <t>№2/259 від 20.02.2019</t>
  </si>
  <si>
    <t>№2/260 від 20.02.2019</t>
  </si>
  <si>
    <t>№2/261 від 20.02.2019</t>
  </si>
  <si>
    <t>№2/262 від 20.02.2019</t>
  </si>
  <si>
    <t>№2/263 від 20.02.2019</t>
  </si>
  <si>
    <t>№2/264 від 20.02.2019</t>
  </si>
  <si>
    <t>№2/265 від 20.02.2019</t>
  </si>
  <si>
    <t>№2/266 від 20.02.2019</t>
  </si>
  <si>
    <t>№2/267 від 20.02.2019</t>
  </si>
  <si>
    <t>№2/359 від 20.02.2019</t>
  </si>
  <si>
    <t>№2/360 від 20.02.2019</t>
  </si>
  <si>
    <t>№2/361 від 20.02.2019</t>
  </si>
  <si>
    <t>№2/362 від 20.02.2019</t>
  </si>
  <si>
    <t>№2/363 від 20.02.2019</t>
  </si>
  <si>
    <t>№2/364 від 20.02.2019</t>
  </si>
  <si>
    <t>№2/366 від 20.02.2019</t>
  </si>
  <si>
    <t>№2/367 від 20.02.2019</t>
  </si>
  <si>
    <t>№2/368 від 20.02.2019</t>
  </si>
  <si>
    <t>№2/369 від 20.02.2019</t>
  </si>
  <si>
    <t>№2/370 від 20.02.2019</t>
  </si>
  <si>
    <t>№2/371 від 20.02.2019</t>
  </si>
  <si>
    <t>№2/372 від 20.02.2019</t>
  </si>
  <si>
    <t>№2/373 від 20.02.2019</t>
  </si>
  <si>
    <t>№2/374 від 20.02.2019</t>
  </si>
  <si>
    <t>№2/375 від 20.02.2019</t>
  </si>
  <si>
    <t>№2/376 від 20.02.2019</t>
  </si>
  <si>
    <t>№2/377 від 20.02.2019</t>
  </si>
  <si>
    <t>№2/378 від 20.02.2019</t>
  </si>
  <si>
    <t>№2/379 від 20.02.2019</t>
  </si>
  <si>
    <t>№2/380 від 20.02.2019</t>
  </si>
  <si>
    <t>№2/381 від 20.02.2019</t>
  </si>
  <si>
    <t>№2/382 від 20.02.2019</t>
  </si>
  <si>
    <t>№2/383 від 20.02.2019</t>
  </si>
  <si>
    <t>№2/384 від 20.02.2019</t>
  </si>
  <si>
    <t>№2/385 від 20.02.2019</t>
  </si>
  <si>
    <t>№2/388 від 20.02.2019</t>
  </si>
  <si>
    <t>№2/389 від 20.02.2019</t>
  </si>
  <si>
    <t>№2/390 від 20.02.2019</t>
  </si>
  <si>
    <t>№2/391 від 20.02.2019</t>
  </si>
  <si>
    <t>№2/392 від 20.02.2019</t>
  </si>
  <si>
    <t>№2/393 від 20.02.2019</t>
  </si>
  <si>
    <t>№2/394 від 20.02.2019</t>
  </si>
  <si>
    <t>№2/395 від 20.02.2019</t>
  </si>
  <si>
    <t>№2/396 від 20.02.2019</t>
  </si>
  <si>
    <t>№2/397 від 20.02.2019</t>
  </si>
  <si>
    <t>№2/398 від 20.02.2019</t>
  </si>
  <si>
    <t>№2/399 від 20.02.2019</t>
  </si>
  <si>
    <t>№2/400 від 20.02.2019</t>
  </si>
  <si>
    <t>№2/401 від 20.02.2019</t>
  </si>
  <si>
    <t>№2/402 від 20.02.2019</t>
  </si>
  <si>
    <t>№2/403 від 20.02.2019</t>
  </si>
  <si>
    <t>№2/404 від 20.02.2019</t>
  </si>
  <si>
    <t>№2/405 від 20.02.2019</t>
  </si>
  <si>
    <t>№2/406 від 20.02.2019</t>
  </si>
  <si>
    <t>№2/407 від 20.02.2019</t>
  </si>
  <si>
    <t>№2/408 від 20.02.2019</t>
  </si>
  <si>
    <t>№2/409 від 20.02.2019</t>
  </si>
  <si>
    <t>№2/410 від 20.02.2019</t>
  </si>
  <si>
    <t>№2/411 від 20.02.2019</t>
  </si>
  <si>
    <t>№2/412 від 20.02.2019</t>
  </si>
  <si>
    <t>№2/413 від 20.02.2019</t>
  </si>
  <si>
    <t>№2/414 від 20.02.2019</t>
  </si>
  <si>
    <t>№2/415 від 20.02.2019</t>
  </si>
  <si>
    <t>№2/416 від 20.02.2019</t>
  </si>
  <si>
    <t>№2/417 від 20.02.2019</t>
  </si>
  <si>
    <t>№2/418 від 20.02.2019</t>
  </si>
  <si>
    <t>№2/420 від 20.02.2019</t>
  </si>
  <si>
    <t>№2/421 від 20.02.2019</t>
  </si>
  <si>
    <t>№2/422 від 20.02.2019</t>
  </si>
  <si>
    <t>№2/423 від 20.02.2019</t>
  </si>
  <si>
    <t>№2/424 від 20.02.2019</t>
  </si>
  <si>
    <t>№2/425 від 20.02.2019</t>
  </si>
  <si>
    <t>№2/426 від 20.02.2019</t>
  </si>
  <si>
    <t>№2/427 від 20.02.2019</t>
  </si>
  <si>
    <t>№78 від 20.02.2020</t>
  </si>
  <si>
    <t>№2/268 від 20.02.2019</t>
  </si>
  <si>
    <t>№2/269 від 20.02.2019</t>
  </si>
  <si>
    <t>№2/271 від 20.02.2019</t>
  </si>
  <si>
    <t>№2/272 від 20.02.2019</t>
  </si>
  <si>
    <t>№2/273 від 20.02.2019</t>
  </si>
  <si>
    <t>№2/274 від 20.02.2019</t>
  </si>
  <si>
    <t>№2/275 від 20.02.2019</t>
  </si>
  <si>
    <t>№2/276 від 20.02.2019</t>
  </si>
  <si>
    <t>№2/277 від 20.02.2019</t>
  </si>
  <si>
    <t>№2/278 від 20.02.2019</t>
  </si>
  <si>
    <t>№2/279 від 20.02.2019</t>
  </si>
  <si>
    <t>№2/280 від 20.02.2019</t>
  </si>
  <si>
    <t>№2/281 від 20.02.2019</t>
  </si>
  <si>
    <t>№2/282 від 20.02.2019</t>
  </si>
  <si>
    <t>№2/283 від 20.02.2019</t>
  </si>
  <si>
    <t>№2/284 від 20.02.2019</t>
  </si>
  <si>
    <t>№2/285 від 20.02.2019</t>
  </si>
  <si>
    <t>№2/286 від 20.02.2019</t>
  </si>
  <si>
    <t>№2/287 від 20.02.2019</t>
  </si>
  <si>
    <t>№2/288 від 20.02.2019</t>
  </si>
  <si>
    <t>№2/289 від 20.02.2019</t>
  </si>
  <si>
    <t>№2/290 від 20.02.2019</t>
  </si>
  <si>
    <t>№2/291 від 20.02.2019</t>
  </si>
  <si>
    <t>№2/292 від 20.02.2019</t>
  </si>
  <si>
    <t>№2/294 від 20.02.2019</t>
  </si>
  <si>
    <t>№2/295 від 20.02.2019</t>
  </si>
  <si>
    <t>№2/296 від 20.02.2019</t>
  </si>
  <si>
    <t>№2/299 від 20.02.2019</t>
  </si>
  <si>
    <t>№2/300 від 20.02.2019</t>
  </si>
  <si>
    <t>№2/301 від 20.02.2019</t>
  </si>
  <si>
    <t>№2/302 від 20.02.2019</t>
  </si>
  <si>
    <t>№2/303 від 20.02.2019</t>
  </si>
  <si>
    <t>№2/304 від 20.02.2019</t>
  </si>
  <si>
    <t>№2/305 від 20.02.2019</t>
  </si>
  <si>
    <t>№2/307 від 20.02.2019</t>
  </si>
  <si>
    <t>№2/308 від 20.02.2019</t>
  </si>
  <si>
    <t>№2/309 від 20.02.2019</t>
  </si>
  <si>
    <t>№2/310 від 20.02.2019</t>
  </si>
  <si>
    <t>№2/311 від 20.02.2019</t>
  </si>
  <si>
    <t>№2/312 від 20.02.2019</t>
  </si>
  <si>
    <t>№2/313 від 20.02.2019</t>
  </si>
  <si>
    <t>№2/314 від 20.02.2019</t>
  </si>
  <si>
    <t>№2/315 від 20.02.2019</t>
  </si>
  <si>
    <t>№2/316 від 20.02.2019</t>
  </si>
  <si>
    <t>№2/317 від 20.02.2019</t>
  </si>
  <si>
    <t>№2/318 від 20.02.2019</t>
  </si>
  <si>
    <t>№2/319 від 20.02.2019</t>
  </si>
  <si>
    <t>№2/320 від 20.02.2019</t>
  </si>
  <si>
    <t>№2/321 від 20.02.2019</t>
  </si>
  <si>
    <t>№2/322 від 20.02.2019</t>
  </si>
  <si>
    <t>№2/323 від 20.02.2019</t>
  </si>
  <si>
    <t>№2/324 від 20.02.2019</t>
  </si>
  <si>
    <t>№2/325 від 20.02.2019</t>
  </si>
  <si>
    <t>№2/326 від 20.02.2019</t>
  </si>
  <si>
    <t>№2/328 від 20.02.2019</t>
  </si>
  <si>
    <t>№2/330 від 20.02.2019</t>
  </si>
  <si>
    <t>№2/331 від 20.02.2019</t>
  </si>
  <si>
    <t>№2/332 від 20.02.2019</t>
  </si>
  <si>
    <t>№2/333 від 20.02.2019</t>
  </si>
  <si>
    <t>№2/334 від 20.02.2019</t>
  </si>
  <si>
    <t>№2/335 від 20.02.2019</t>
  </si>
  <si>
    <t>№2/336 від 20.02.2019</t>
  </si>
  <si>
    <t>№2/338 від 20.02.2019</t>
  </si>
  <si>
    <t>№2/339 від 20.02.2019</t>
  </si>
  <si>
    <t>№2/340 від 20.02.2019</t>
  </si>
  <si>
    <t>№2/341 від 20.02.2019</t>
  </si>
  <si>
    <t>№2/342 від 20.02.2019</t>
  </si>
  <si>
    <t>№2/343 від 20.02.2019</t>
  </si>
  <si>
    <t>№2/344 від 20.02.2019</t>
  </si>
  <si>
    <t>№2/345 від 20.02.2019</t>
  </si>
  <si>
    <t>№2/346 від 20.02.2019</t>
  </si>
  <si>
    <t>№2/347 від 20.02.2019</t>
  </si>
  <si>
    <t>№2/348 від 20.02.2019</t>
  </si>
  <si>
    <t>№2/349 від 20.02.2019</t>
  </si>
  <si>
    <t>№2/350 від 20.02.2019</t>
  </si>
  <si>
    <t>№2/351 від 20.02.2019</t>
  </si>
  <si>
    <t>№2/352 від 20.02.2019</t>
  </si>
  <si>
    <t>№2/353 від 20.02.2019</t>
  </si>
  <si>
    <t>№2/354 від 20.02.2019</t>
  </si>
  <si>
    <t>№2/356 від 20.02.2019</t>
  </si>
  <si>
    <t>№2/357 від 20.02.2019</t>
  </si>
  <si>
    <t>№2/358 від 20.02.2019</t>
  </si>
  <si>
    <t>Середня ціна на послугу по управителю</t>
  </si>
  <si>
    <t>Сальдокон</t>
  </si>
  <si>
    <t>Нарахування квартири ОІВ</t>
  </si>
  <si>
    <t>Нарахування нежитл. ОІВ</t>
  </si>
  <si>
    <t>РІК</t>
  </si>
  <si>
    <t>РОЗРАХУНОК</t>
  </si>
  <si>
    <t>ТО мереж ХВП</t>
  </si>
  <si>
    <t>ТО мереж ВВ</t>
  </si>
  <si>
    <t>ТО мереж зливової каналізації</t>
  </si>
  <si>
    <t>ТО електричних мереж</t>
  </si>
  <si>
    <t>ТО мереж ЦО</t>
  </si>
  <si>
    <t>ТО мереж ГВП</t>
  </si>
  <si>
    <t xml:space="preserve">ТО газових мереж </t>
  </si>
  <si>
    <t>Вартість аварійного обслуговування</t>
  </si>
  <si>
    <t>Разом ТО мереж</t>
  </si>
  <si>
    <t>у тому числі</t>
  </si>
  <si>
    <t>ТО МЕРЕЖ</t>
  </si>
  <si>
    <t>Адмінстративні витрати</t>
  </si>
  <si>
    <t>Повна собівартість послуги</t>
  </si>
  <si>
    <t>вартість послуги</t>
  </si>
  <si>
    <t>послуги підрядників</t>
  </si>
  <si>
    <t>№ дільниці</t>
  </si>
  <si>
    <t>кількість робітників</t>
  </si>
  <si>
    <t>ДОЖФ №1</t>
  </si>
  <si>
    <t>ДОЖФ №2</t>
  </si>
  <si>
    <t>ДОЖФ №3</t>
  </si>
  <si>
    <t>В.о начальника підприємства</t>
  </si>
  <si>
    <t xml:space="preserve"> </t>
  </si>
  <si>
    <t xml:space="preserve">прибирання конт.майд. Перенесено на ПР </t>
  </si>
  <si>
    <t>ТО газ (помилково) перенесено на ПР</t>
  </si>
  <si>
    <r>
      <t xml:space="preserve">Фактична заробітна плата тимчасово переведених працівників на посаду робітника з благоустрою </t>
    </r>
    <r>
      <rPr>
        <b/>
        <u/>
        <sz val="11"/>
        <color theme="1"/>
        <rFont val="Times New Roman"/>
        <family val="1"/>
        <charset val="204"/>
      </rPr>
      <t>(покос трави)</t>
    </r>
  </si>
  <si>
    <t>ЗАТВЕРДЖЕНИЙ КОШТОРИС</t>
  </si>
  <si>
    <t>КОРИГУВАННЯ КОШТОРИСУ</t>
  </si>
  <si>
    <t xml:space="preserve">Технічне обслуговування </t>
  </si>
  <si>
    <t>ХВП, ВВ, ЗК</t>
  </si>
  <si>
    <t>ГВП</t>
  </si>
  <si>
    <t>ЦО</t>
  </si>
  <si>
    <t>електромережі</t>
  </si>
  <si>
    <t>підрядні організації</t>
  </si>
  <si>
    <t>Поточний ремонт конструктивів</t>
  </si>
  <si>
    <t>Поточний ремонт мереж</t>
  </si>
  <si>
    <t>газові мережі</t>
  </si>
  <si>
    <t>Прибирання місць загального користування</t>
  </si>
  <si>
    <t>Електроенергія ліфт</t>
  </si>
  <si>
    <t>Разом прямі витрати</t>
  </si>
  <si>
    <t xml:space="preserve">Загальновиробничі витрати </t>
  </si>
  <si>
    <t>Розподілена сума витрат на аварійне обслуговування</t>
  </si>
  <si>
    <t>факт 1</t>
  </si>
  <si>
    <t>факт 2</t>
  </si>
  <si>
    <t>факт 3</t>
  </si>
  <si>
    <t>кошторис 1</t>
  </si>
  <si>
    <t>кошторис 2</t>
  </si>
  <si>
    <t>кошторис 3</t>
  </si>
  <si>
    <t>основна</t>
  </si>
  <si>
    <t>резерв</t>
  </si>
  <si>
    <t>вся</t>
  </si>
  <si>
    <t>коеф.1</t>
  </si>
  <si>
    <t>коеф.2</t>
  </si>
  <si>
    <t>коеф.3</t>
  </si>
  <si>
    <t>Коефіцієнт розподілу фактичної зарплати</t>
  </si>
  <si>
    <t>Розподіл транспортних витрат</t>
  </si>
  <si>
    <t>Розподіл витрат обліково-інформаційного відділу</t>
  </si>
  <si>
    <t>Виробнича собівартість</t>
  </si>
  <si>
    <t xml:space="preserve">Розподіл інших загальновиробничих витрат </t>
  </si>
  <si>
    <t>Розподіл накладних витрат на інші послуги</t>
  </si>
  <si>
    <t>Загальновиробничі витрати дільниці</t>
  </si>
  <si>
    <t>Послуги</t>
  </si>
  <si>
    <t>Фактичні витрати з утримання будинків і прибудинкової території</t>
  </si>
  <si>
    <t>Технічне обслуговування внутрішньобудинкових мереж</t>
  </si>
  <si>
    <t>Поточний ремонт внутрішньобудинкових мереж</t>
  </si>
  <si>
    <t>Прибирання прибудинкової території, місць загального користування</t>
  </si>
  <si>
    <t>ПММ</t>
  </si>
  <si>
    <t>Транспорт</t>
  </si>
  <si>
    <t>АУП</t>
  </si>
  <si>
    <t>на час покосу ПММ</t>
  </si>
  <si>
    <t>грн без ПДВ/місяць</t>
  </si>
  <si>
    <t>Планова сума матеріальних витрат у складі Кошторисів на утримання будинків і прибудинкових територій з 01.06.2021 року</t>
  </si>
  <si>
    <t>без ПММ на час покосу</t>
  </si>
  <si>
    <t>Марина ГРЕЧКО</t>
  </si>
  <si>
    <t xml:space="preserve">Разом витрати на матеріали </t>
  </si>
  <si>
    <t>Загальновиробничі витрати дільниць</t>
  </si>
  <si>
    <t>Зняття по Преобр,22 ?</t>
  </si>
  <si>
    <t>вул.ГОНЧА,  62</t>
  </si>
  <si>
    <t>вул.ГОНЧА,  63</t>
  </si>
  <si>
    <t>вул.ГОНЧА,  69</t>
  </si>
  <si>
    <t>вул.ЗЕЛЕНА,  15</t>
  </si>
  <si>
    <t>вул.КИЇВСЬКА,  25</t>
  </si>
  <si>
    <t>вул.МСТИСЛАВСЬКА,  32</t>
  </si>
  <si>
    <t>вул.МСТИСЛАВСЬКА,  32А</t>
  </si>
  <si>
    <t>вул.МСТИСЛАВСЬКА,  55Б</t>
  </si>
  <si>
    <t>вул.МСТИСЛАВСЬКА,  59Б</t>
  </si>
  <si>
    <t>вул.С.РУСОВОЇ,  8</t>
  </si>
  <si>
    <t>вул.С.РУСОВОЇ,  9</t>
  </si>
  <si>
    <t>вул.С.РУСОВОЇ,  13</t>
  </si>
  <si>
    <t>пров.СТРИЖЕНСЬКИЙ,  1А</t>
  </si>
  <si>
    <t>вул.СВЯТОМИКОЛАЇВСЬКА,  29</t>
  </si>
  <si>
    <t>вул.ЧЕРНИШЕВСЬКОГО,  25</t>
  </si>
  <si>
    <t>вул.ЛЮБОМИРА БОДНАРУКА,  5</t>
  </si>
  <si>
    <t>вул.КОЧЕРГИ,  14</t>
  </si>
  <si>
    <t>вул.ОЛЕКСАНДРА МОЛОДЧОГО,  34</t>
  </si>
  <si>
    <t>вул.Академiка ПАВЛОВА,  9</t>
  </si>
  <si>
    <t>через амортиз.</t>
  </si>
  <si>
    <t>адмін.витрати</t>
  </si>
  <si>
    <t>на витрати</t>
  </si>
  <si>
    <t>БЛАНК</t>
  </si>
  <si>
    <t>інші загальновиробничі витрати</t>
  </si>
  <si>
    <t>витрати ОІВ</t>
  </si>
  <si>
    <t>транспортні витрати</t>
  </si>
  <si>
    <t>інші послуги</t>
  </si>
  <si>
    <t>ДОЖФ 1</t>
  </si>
  <si>
    <t>ДОЖФ 2</t>
  </si>
  <si>
    <t>ДОЖФ 3</t>
  </si>
  <si>
    <t>податок на землю</t>
  </si>
  <si>
    <t>адмін.витрати (без розподілу на авар.обл)</t>
  </si>
  <si>
    <t>відношення накладних витрат на 23/6, 23/7</t>
  </si>
  <si>
    <t>всього витрати, без ПДВ</t>
  </si>
  <si>
    <t>побудинковий звіт</t>
  </si>
  <si>
    <t>Прострочена заборгованість населення</t>
  </si>
  <si>
    <t>Прострочена заборгованість нежитлові приміщення</t>
  </si>
  <si>
    <t>Прострочена заборгованість нежитлові приміщення станом на</t>
  </si>
  <si>
    <t>ремонт паркана</t>
  </si>
  <si>
    <t>грн</t>
  </si>
  <si>
    <t>(загальний 27 без податку на землю)</t>
  </si>
  <si>
    <t>зняття Преображенська, 22</t>
  </si>
  <si>
    <t>ПАРКАН амортизація</t>
  </si>
  <si>
    <t>новий паркан</t>
  </si>
  <si>
    <t>із звіту з нарастаючим!!!</t>
  </si>
  <si>
    <t>спеціальна вставка</t>
  </si>
  <si>
    <t>рах.2</t>
  </si>
  <si>
    <t>рах.1</t>
  </si>
  <si>
    <t>формула</t>
  </si>
  <si>
    <t>01.03.2022-28.02.2023</t>
  </si>
  <si>
    <t>Разом планові нарахування - формула!</t>
  </si>
  <si>
    <t>ОІВ</t>
  </si>
  <si>
    <t>Річний кошторис, грн з ПДВ (01.03.2022-28.02.2023 рр)</t>
  </si>
  <si>
    <t>Нараховано</t>
  </si>
  <si>
    <t>Площа c 1C</t>
  </si>
  <si>
    <t>Сальдо на початок                 - борг підприємства</t>
  </si>
  <si>
    <t>Оплата</t>
  </si>
  <si>
    <t>на 01.06.2022 року</t>
  </si>
  <si>
    <t>КОМПЕНСАЦІЯ</t>
  </si>
  <si>
    <t>ЖКГ</t>
  </si>
  <si>
    <t>Провайдери</t>
  </si>
  <si>
    <t>Компенсація з бюджету міста (управління ЖКГ)</t>
  </si>
  <si>
    <t>Наявність коштів по будинку (за період надання послуги з управління) на</t>
  </si>
  <si>
    <t>Додаткові кошти від надання права доступу до елементів інфраструктури будинку, грн з ПДВ</t>
  </si>
  <si>
    <t>Результат виконання послуги з управління станом на 01.03.2022 року ("-" - борг підприємства; "+" - борг населення)</t>
  </si>
  <si>
    <t>Дохід від провайдерів</t>
  </si>
  <si>
    <t>прострочена ДЗ</t>
  </si>
  <si>
    <t>Довідково:</t>
  </si>
  <si>
    <t>наявність коштів станом на 01.03.2019 *</t>
  </si>
  <si>
    <t>*результат виконання тарифу з утримання будинків</t>
  </si>
  <si>
    <t>Результат виконання послуги з управління станом на 01.03.2019 року ("-" - борг підприємства; "+" - борг населення)</t>
  </si>
  <si>
    <t>ПММ і талони на вивезення листя з прибудинкових територій</t>
  </si>
  <si>
    <t xml:space="preserve">зарплата </t>
  </si>
  <si>
    <t>м-ли</t>
  </si>
  <si>
    <t>Прострочена заборгованість населення станом на</t>
  </si>
  <si>
    <t>2023 РОКУ</t>
  </si>
  <si>
    <t>6/1.</t>
  </si>
  <si>
    <t>6/2.</t>
  </si>
  <si>
    <t>6/3.</t>
  </si>
  <si>
    <t>05/1.</t>
  </si>
  <si>
    <t>Результат виконання послуги з управління станом на 01.03.2023 року ("-" - борг підприємства; "+" - борг населення)</t>
  </si>
  <si>
    <t>Виконання по будинку станом на 01.03.2023 року (за період надання послуги з управління) "-" - борг підприємства; "+" - борг населення</t>
  </si>
  <si>
    <t>Кількість будинків</t>
  </si>
  <si>
    <t>1 поверхові</t>
  </si>
  <si>
    <t>2 поверхові</t>
  </si>
  <si>
    <t>3 поверхові</t>
  </si>
  <si>
    <t>4 поверхові</t>
  </si>
  <si>
    <t>5 поверхові</t>
  </si>
  <si>
    <t>6 поверхові</t>
  </si>
  <si>
    <t>8 поверхові</t>
  </si>
  <si>
    <t>9 поверхові</t>
  </si>
  <si>
    <t>10 поверхові</t>
  </si>
  <si>
    <t>14 поверхові</t>
  </si>
  <si>
    <t>16 поверхові</t>
  </si>
  <si>
    <t>Нова адреса</t>
  </si>
  <si>
    <t>Стара адреса</t>
  </si>
  <si>
    <t>вул.БАТУРИНСЬКА,  5</t>
  </si>
  <si>
    <t>вул.БАТУРИНСЬКА,  5А</t>
  </si>
  <si>
    <t>вул.ВАСИЛЯ ТАРНОВСЬКОГО,  12</t>
  </si>
  <si>
    <t>вул.ПУШКІНА,  12</t>
  </si>
  <si>
    <t>вул.ВАСИЛЯ ТАРНОВСЬКОГО,  14</t>
  </si>
  <si>
    <t>вул.ПУШКІНА,  14</t>
  </si>
  <si>
    <t>вул.ВАСИЛЯ ТАРНОВСЬКОГО,  30</t>
  </si>
  <si>
    <t>вул.ПУШКІНА,  30</t>
  </si>
  <si>
    <t>вул.ВАСИЛЯ ТАРНОВСЬКОГО,  4</t>
  </si>
  <si>
    <t>вул.ПУШКІНА,  4</t>
  </si>
  <si>
    <t>вул.ВОЗДВИЖЕНСЬКА,  12</t>
  </si>
  <si>
    <t>вул.ВОЗДВИЖЕНСЬКА,  14</t>
  </si>
  <si>
    <t>вул.ВОЗДВИЖЕНСЬКА,  15</t>
  </si>
  <si>
    <t>вул.ВОЗДВИЖЕНСЬКА,  2</t>
  </si>
  <si>
    <t>вул.ВОЗДВИЖЕНСЬКА,  3</t>
  </si>
  <si>
    <t>вул.ВОЗДВИЖЕНСЬКА,  6</t>
  </si>
  <si>
    <t>вул.ВОЗДВИЖЕНСЬКА,  7</t>
  </si>
  <si>
    <t>вул.ВОЗДВИЖЕНСЬКА,  9</t>
  </si>
  <si>
    <t>вул.ПРОСПЕКТ ЛЕВКА ЛУК'ЯНЕНКА,  17</t>
  </si>
  <si>
    <t>вул.ПРОСПЕКТ ЛЕВКА ЛУК'ЯНЕНКА,  19</t>
  </si>
  <si>
    <t>вул.ПРОСПЕКТ ЛЕВКА ЛУК'ЯНЕНКА,  23</t>
  </si>
  <si>
    <t>вул.ПРОСПЕКТ ЛЕВКА ЛУК'ЯНЕНКА,  25</t>
  </si>
  <si>
    <t>вул.ПРОСПЕКТ ЛЕВКА ЛУК'ЯНЕНКА,  27</t>
  </si>
  <si>
    <t>вул.ПРОСПЕКТ ЛЕВКА ЛУК'ЯНЕНКА,  29</t>
  </si>
  <si>
    <t>вул.ПРОСПЕКТ ЛЕВКА ЛУК'ЯНЕНКА,  37А</t>
  </si>
  <si>
    <t>вул.ПРОСПЕКТ ЛЕВКА ЛУК'ЯНЕНКА,  39</t>
  </si>
  <si>
    <t>вул.ПРОСПЕКТ ЛЕВКА ЛУК'ЯНЕНКА,  41</t>
  </si>
  <si>
    <t>вул.ПРОСПЕКТ ЛЕВКА ЛУК'ЯНЕНКА,  45</t>
  </si>
  <si>
    <t>вул.ПРОСПЕКТ ЛЕВКА ЛУК'ЯНЕНКА,  49А</t>
  </si>
  <si>
    <t>вул.БОРИСОГЛІБСЬКА,  1</t>
  </si>
  <si>
    <t>вул.БОРИСОГЛІБСЬКА,  10</t>
  </si>
  <si>
    <t>вул.БОРИСОГЛІБСЬКА,  2</t>
  </si>
  <si>
    <t>вул.БОРИСОГЛІБСЬКА,  3</t>
  </si>
  <si>
    <t>вул.БОРИСОГЛІБСЬКА,  5</t>
  </si>
  <si>
    <t>вул.БОРИСОГЛІБСЬКА,  6</t>
  </si>
  <si>
    <t>вул.БОРИСОГЛІБСЬКА,  6А</t>
  </si>
  <si>
    <t>вул.БОРИСОГЛІБСЬКА,  7</t>
  </si>
  <si>
    <t>вул.БОРИСОГЛІБСЬКА,  8</t>
  </si>
  <si>
    <t>вул.БОРИСОГЛІБСЬКА,  8А</t>
  </si>
  <si>
    <t>вул.МИКОЛИ ЛЕОНТОВИЧА,  3</t>
  </si>
  <si>
    <t>вул.МИКОЛИ ЛЕОНТОВИЧА,  5</t>
  </si>
  <si>
    <t>вул.ВАСИЛЯ СТУСА,  12</t>
  </si>
  <si>
    <t>вул.ВАСИЛЯ СТУСА,  14</t>
  </si>
  <si>
    <t>вул.ВАСИЛЯ СТУСА,  16</t>
  </si>
  <si>
    <t>вул.ВАСИЛЯ СТУСА,  20</t>
  </si>
  <si>
    <t>вул.ВАСИЛЯ СТУСА,  24</t>
  </si>
  <si>
    <t>вул.ВАСИЛЯ СТУСА,  25А</t>
  </si>
  <si>
    <t>вул.ВАСИЛЯ СТУСА,  30</t>
  </si>
  <si>
    <t>1поверх</t>
  </si>
  <si>
    <t>без 1 п</t>
  </si>
  <si>
    <t>без одноповерхових</t>
  </si>
  <si>
    <t>за особливо важливе завдання 19.08.2023</t>
  </si>
  <si>
    <t>поточний ремонт, грн з ПДВ</t>
  </si>
  <si>
    <t>ЗМІНИ ПЛАНОВИХ КОШТОРИСІВ - де були заварені сміттєпроводи</t>
  </si>
  <si>
    <t>заварені сміттєпроводи</t>
  </si>
  <si>
    <t>,</t>
  </si>
  <si>
    <t xml:space="preserve">єсв </t>
  </si>
  <si>
    <t>Ремонт ліфтів, машинних приміщень</t>
  </si>
  <si>
    <t>в т.ч. за інтенсивність праці по прибирання снігу порівельниками</t>
  </si>
  <si>
    <t xml:space="preserve">Розвезення та навантаження ПСС </t>
  </si>
  <si>
    <t>АТП-2528</t>
  </si>
  <si>
    <t>в т.ч. матеріали д/прибирання, посипання снігу</t>
  </si>
  <si>
    <t>Коплате</t>
  </si>
  <si>
    <t>Ремонт приміщення, техніки</t>
  </si>
  <si>
    <t>2024 РОКУ</t>
  </si>
  <si>
    <t>Формула  СУММЕСЛИ('[ПР січень 2024.xlsx]мережі сорт'!$A$5:$D$30;A11;'[ПР січень 2024.xlsx]мережі сорт'!$D$5:$D$30)</t>
  </si>
  <si>
    <t>+3697,5 талони.</t>
  </si>
  <si>
    <t>8559,59парканчик</t>
  </si>
  <si>
    <t>+4201,48 АТС за інтенсивність праці по прибиранню снігу</t>
  </si>
  <si>
    <t>в т.ч. з\п за Федай Ю.А.(суспільно-корисні роботи) ДВС</t>
  </si>
  <si>
    <t>вул.Борисоглібська, буд.6а</t>
  </si>
  <si>
    <r>
      <rPr>
        <b/>
        <sz val="11"/>
        <color theme="1"/>
        <rFont val="Times New Roman"/>
        <family val="1"/>
        <charset val="204"/>
      </rPr>
      <t>Залишок коштів по будинку станом на 01.01.2024 року</t>
    </r>
    <r>
      <rPr>
        <sz val="11"/>
        <color theme="1"/>
        <rFont val="Times New Roman"/>
        <family val="1"/>
        <charset val="204"/>
      </rPr>
      <t xml:space="preserve"> (за період надання послуги з управління) "-" - борг підприємства; "+" - борг населення</t>
    </r>
  </si>
  <si>
    <t>Станом на 01.01.2024</t>
  </si>
  <si>
    <t>рік</t>
  </si>
  <si>
    <t>підготовка до зими (ремонт дверей, вікон, утеплення, інші)</t>
  </si>
  <si>
    <t>ПР під'їзду</t>
  </si>
  <si>
    <t>лютий</t>
  </si>
  <si>
    <t>ПР ел.мережі</t>
  </si>
  <si>
    <t>березень</t>
  </si>
  <si>
    <t>жовтень</t>
  </si>
  <si>
    <t>травень</t>
  </si>
  <si>
    <t>червень</t>
  </si>
  <si>
    <t>ПР покрівлі</t>
  </si>
  <si>
    <t>серпень</t>
  </si>
  <si>
    <t>ПР газові мережі (фарбування)</t>
  </si>
  <si>
    <t>м3</t>
  </si>
  <si>
    <t>ПР систем ТП</t>
  </si>
  <si>
    <t>квітень</t>
  </si>
  <si>
    <t>ПР дверей</t>
  </si>
  <si>
    <t>грудень</t>
  </si>
  <si>
    <t>* види робіт з поточного ремонту/місяць/кількість</t>
  </si>
  <si>
    <t>Обсяг</t>
  </si>
  <si>
    <t>грн без ПДВ</t>
  </si>
  <si>
    <t>Поточний ремонт внутрішньобудинкових систем*</t>
  </si>
  <si>
    <t>під'їзд №4</t>
  </si>
  <si>
    <t>заміна освітлювальної арматури у 4 під'їзді</t>
  </si>
  <si>
    <t>прокладання проводів при схованій проводці в порожнинах перекриттів і перегородок, м</t>
  </si>
  <si>
    <t>прокладання кабелю перерізом до 6 мм2 на скобах, м</t>
  </si>
  <si>
    <t>заміна патронів, шт</t>
  </si>
  <si>
    <t>заміна автовимикачiв 1 полюсних на струм 25 А до 100 А в електрощитовій</t>
  </si>
  <si>
    <t>заміна освітлювальної арматури у 1,4 під'їздах (патрони)</t>
  </si>
  <si>
    <t>заміна освітлювальної арматури у 2,3 під'їздах (патрони)</t>
  </si>
  <si>
    <t>подрібнення гілок</t>
  </si>
  <si>
    <t>заміна вентилів, шт</t>
  </si>
  <si>
    <t>встановлення замка на дверях у під'їзді №3, шт</t>
  </si>
  <si>
    <t>інші (ремонт контейнерів для сміття, встановлення кодових замків)</t>
  </si>
  <si>
    <t>Віктор ПРИГАРА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</si>
</sst>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\ _₽_-;\-* #,##0.00\ _₽_-;_-* &quot;-&quot;??\ _₽_-;_-@_-"/>
    <numFmt numFmtId="165" formatCode="_-* #,##0.00\ _₴_-;\-* #,##0.00\ _₴_-;_-* &quot;-&quot;??\ _₴_-;_-@_-"/>
    <numFmt numFmtId="166" formatCode="0.0%"/>
    <numFmt numFmtId="167" formatCode="#,##0.0000"/>
    <numFmt numFmtId="168" formatCode="0.0000"/>
    <numFmt numFmtId="169" formatCode="#,##0.000"/>
    <numFmt numFmtId="170" formatCode="#,##0.0"/>
    <numFmt numFmtId="171" formatCode="_-* #,##0\ _₴_-;\-* #,##0\ _₴_-;_-* &quot;-&quot;??\ _₴_-;_-@_-"/>
    <numFmt numFmtId="172" formatCode="0.00000"/>
    <numFmt numFmtId="173" formatCode="0.0"/>
    <numFmt numFmtId="174" formatCode="#,##0.000000000"/>
    <numFmt numFmtId="175" formatCode="#,##0.000000000000"/>
    <numFmt numFmtId="176" formatCode="#,##0.00000000"/>
  </numFmts>
  <fonts count="15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11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Calibri"/>
      <family val="2"/>
      <charset val="1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1"/>
      <scheme val="minor"/>
    </font>
    <font>
      <sz val="14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Calibri"/>
      <family val="2"/>
      <charset val="1"/>
      <scheme val="minor"/>
    </font>
    <font>
      <b/>
      <sz val="7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9"/>
      <name val="Times New Roman"/>
      <family val="1"/>
      <charset val="204"/>
    </font>
    <font>
      <sz val="12"/>
      <name val="Times New Roman"/>
      <family val="1"/>
      <charset val="204"/>
    </font>
    <font>
      <i/>
      <sz val="11"/>
      <color theme="1"/>
      <name val="Calibri"/>
      <family val="2"/>
      <charset val="1"/>
      <scheme val="minor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color theme="1"/>
      <name val="Calibri"/>
      <family val="2"/>
      <charset val="1"/>
      <scheme val="minor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Calibri"/>
      <family val="2"/>
      <charset val="1"/>
      <scheme val="minor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color theme="1"/>
      <name val="Calibri"/>
      <family val="2"/>
      <charset val="1"/>
      <scheme val="minor"/>
    </font>
    <font>
      <b/>
      <i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7"/>
      <color theme="1"/>
      <name val="Times New Roman"/>
      <family val="1"/>
      <charset val="204"/>
    </font>
    <font>
      <sz val="7"/>
      <color theme="1"/>
      <name val="Calibri"/>
      <family val="2"/>
      <charset val="1"/>
      <scheme val="minor"/>
    </font>
    <font>
      <b/>
      <sz val="7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b/>
      <i/>
      <sz val="11"/>
      <color rgb="FF7030A0"/>
      <name val="Times New Roman"/>
      <family val="1"/>
      <charset val="204"/>
    </font>
    <font>
      <b/>
      <i/>
      <sz val="9"/>
      <color rgb="FF7030A0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9"/>
      <color rgb="FF00B05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8"/>
      <color rgb="FF7030A0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i/>
      <sz val="8"/>
      <color theme="1"/>
      <name val="Times New Roman"/>
      <family val="1"/>
      <charset val="204"/>
    </font>
    <font>
      <b/>
      <sz val="11"/>
      <color rgb="FFFFFF00"/>
      <name val="Times New Roman"/>
      <family val="1"/>
      <charset val="204"/>
    </font>
    <font>
      <sz val="11"/>
      <color rgb="FFFF0066"/>
      <name val="Times New Roman"/>
      <family val="1"/>
      <charset val="204"/>
    </font>
    <font>
      <b/>
      <i/>
      <sz val="20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i/>
      <sz val="11"/>
      <color rgb="FF9900FF"/>
      <name val="Times New Roman"/>
      <family val="1"/>
      <charset val="204"/>
    </font>
    <font>
      <b/>
      <sz val="9"/>
      <color rgb="FFFF0066"/>
      <name val="Times New Roman"/>
      <family val="1"/>
      <charset val="204"/>
    </font>
    <font>
      <b/>
      <sz val="11"/>
      <color rgb="FFFF0066"/>
      <name val="Times New Roman"/>
      <family val="1"/>
      <charset val="204"/>
    </font>
    <font>
      <b/>
      <sz val="9"/>
      <color rgb="FFFF0066"/>
      <name val="Arial"/>
      <family val="2"/>
      <charset val="204"/>
    </font>
    <font>
      <b/>
      <sz val="14"/>
      <color rgb="FF00B0F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b/>
      <i/>
      <sz val="11"/>
      <color rgb="FFFF0000"/>
      <name val="Calibri"/>
      <family val="2"/>
      <charset val="1"/>
      <scheme val="minor"/>
    </font>
    <font>
      <b/>
      <i/>
      <sz val="16"/>
      <color rgb="FF9900FF"/>
      <name val="Times New Roman"/>
      <family val="1"/>
      <charset val="204"/>
    </font>
    <font>
      <b/>
      <i/>
      <sz val="9"/>
      <color theme="1"/>
      <name val="Calibri"/>
      <family val="2"/>
      <charset val="1"/>
      <scheme val="minor"/>
    </font>
    <font>
      <i/>
      <sz val="9"/>
      <color theme="1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i/>
      <sz val="9"/>
      <color rgb="FFFF0000"/>
      <name val="Calibri"/>
      <family val="2"/>
      <charset val="1"/>
      <scheme val="minor"/>
    </font>
    <font>
      <i/>
      <sz val="9"/>
      <color rgb="FF7030A0"/>
      <name val="Times New Roman"/>
      <family val="1"/>
      <charset val="204"/>
    </font>
    <font>
      <b/>
      <i/>
      <sz val="9"/>
      <color rgb="FF7030A0"/>
      <name val="Calibri"/>
      <family val="2"/>
      <charset val="1"/>
      <scheme val="minor"/>
    </font>
    <font>
      <b/>
      <sz val="7"/>
      <color rgb="FF00B0F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color theme="9" tint="-0.249977111117893"/>
      <name val="Times New Roman"/>
      <family val="1"/>
      <charset val="204"/>
    </font>
    <font>
      <sz val="11"/>
      <color theme="9" tint="-0.249977111117893"/>
      <name val="Times New Roman"/>
      <family val="1"/>
      <charset val="204"/>
    </font>
    <font>
      <b/>
      <sz val="11"/>
      <color theme="8" tint="-0.249977111117893"/>
      <name val="Times New Roman"/>
      <family val="1"/>
      <charset val="204"/>
    </font>
    <font>
      <sz val="11"/>
      <color theme="8" tint="-0.249977111117893"/>
      <name val="Times New Roman"/>
      <family val="1"/>
      <charset val="204"/>
    </font>
    <font>
      <b/>
      <sz val="11"/>
      <color theme="6" tint="0.3999755851924192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name val="Calibri"/>
      <family val="2"/>
      <charset val="1"/>
      <scheme val="minor"/>
    </font>
    <font>
      <sz val="18"/>
      <color rgb="FFFF0000"/>
      <name val="Times New Roman"/>
      <family val="1"/>
      <charset val="204"/>
    </font>
    <font>
      <b/>
      <sz val="8"/>
      <color indexed="63"/>
      <name val="Times New Roman"/>
      <family val="1"/>
      <charset val="204"/>
    </font>
    <font>
      <sz val="10"/>
      <color indexed="59"/>
      <name val="Times New Roman"/>
      <family val="1"/>
      <charset val="204"/>
    </font>
    <font>
      <b/>
      <sz val="10"/>
      <color indexed="63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indexed="58"/>
      <name val="Times New Roman"/>
      <family val="1"/>
      <charset val="204"/>
    </font>
    <font>
      <b/>
      <sz val="10"/>
      <color indexed="58"/>
      <name val="Times New Roman"/>
      <family val="1"/>
      <charset val="204"/>
    </font>
    <font>
      <sz val="9"/>
      <color theme="1"/>
      <name val="Times New Roman"/>
      <family val="2"/>
      <charset val="204"/>
    </font>
    <font>
      <b/>
      <sz val="9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1"/>
      <scheme val="minor"/>
    </font>
    <font>
      <sz val="10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11"/>
      <color rgb="FFFF0000"/>
      <name val="Calibri"/>
      <family val="2"/>
      <charset val="1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1"/>
      <scheme val="minor"/>
    </font>
    <font>
      <b/>
      <sz val="16"/>
      <color theme="1"/>
      <name val="Calibri"/>
      <family val="2"/>
      <charset val="1"/>
      <scheme val="minor"/>
    </font>
    <font>
      <sz val="16"/>
      <color theme="1"/>
      <name val="Calibri"/>
      <family val="2"/>
      <charset val="1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0070C0"/>
      <name val="Times New Roman"/>
      <family val="1"/>
      <charset val="204"/>
    </font>
    <font>
      <b/>
      <sz val="9"/>
      <color rgb="FF9900FF"/>
      <name val="Times New Roman"/>
      <family val="1"/>
      <charset val="204"/>
    </font>
    <font>
      <sz val="11"/>
      <color rgb="FFFF0066"/>
      <name val="Calibri"/>
      <family val="2"/>
      <charset val="1"/>
      <scheme val="minor"/>
    </font>
    <font>
      <sz val="14"/>
      <color rgb="FFFF0000"/>
      <name val="Times New Roman"/>
      <family val="1"/>
      <charset val="204"/>
    </font>
    <font>
      <b/>
      <i/>
      <sz val="14"/>
      <color rgb="FF7030A0"/>
      <name val="Times New Roman"/>
      <family val="1"/>
      <charset val="204"/>
    </font>
    <font>
      <b/>
      <sz val="12"/>
      <color rgb="FF00B050"/>
      <name val="Times New Roman"/>
      <family val="1"/>
      <charset val="204"/>
    </font>
    <font>
      <sz val="11"/>
      <color rgb="FF0000FF"/>
      <name val="Calibri"/>
      <family val="2"/>
      <charset val="1"/>
      <scheme val="minor"/>
    </font>
    <font>
      <i/>
      <sz val="11"/>
      <color rgb="FF7030A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rgb="FF00B050"/>
      <name val="Times New Roman"/>
      <family val="1"/>
      <charset val="204"/>
    </font>
    <font>
      <b/>
      <sz val="14"/>
      <color rgb="FF00B050"/>
      <name val="Times New Roman"/>
      <family val="1"/>
      <charset val="204"/>
    </font>
    <font>
      <sz val="11"/>
      <color rgb="FF00B050"/>
      <name val="Calibri"/>
      <family val="2"/>
      <charset val="1"/>
      <scheme val="minor"/>
    </font>
    <font>
      <b/>
      <i/>
      <sz val="12"/>
      <color rgb="FFFF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i/>
      <sz val="14"/>
      <color rgb="FF7030A0"/>
      <name val="Times New Roman"/>
      <family val="1"/>
      <charset val="204"/>
    </font>
    <font>
      <i/>
      <sz val="14"/>
      <color rgb="FF7030A0"/>
      <name val="Calibri"/>
      <family val="2"/>
      <charset val="204"/>
      <scheme val="minor"/>
    </font>
    <font>
      <sz val="9"/>
      <color rgb="FF00B05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b/>
      <sz val="12"/>
      <color rgb="FF9900FF"/>
      <name val="Times New Roman"/>
      <family val="1"/>
      <charset val="204"/>
    </font>
    <font>
      <sz val="11"/>
      <color rgb="FF7030A0"/>
      <name val="Calibri"/>
      <family val="2"/>
      <charset val="1"/>
      <scheme val="minor"/>
    </font>
    <font>
      <b/>
      <sz val="11"/>
      <color rgb="FF9900FF"/>
      <name val="Times New Roman"/>
      <family val="1"/>
      <charset val="204"/>
    </font>
    <font>
      <sz val="10"/>
      <color theme="1"/>
      <name val="Times New Roman"/>
      <family val="2"/>
      <charset val="204"/>
    </font>
    <font>
      <b/>
      <sz val="12"/>
      <color rgb="FF7030A0"/>
      <name val="Times New Roman"/>
      <family val="1"/>
      <charset val="204"/>
    </font>
    <font>
      <b/>
      <u/>
      <sz val="14"/>
      <color rgb="FFFF0000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8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26" fillId="0" borderId="0"/>
    <xf numFmtId="0" fontId="11" fillId="0" borderId="0"/>
    <xf numFmtId="165" fontId="45" fillId="0" borderId="0" applyFont="0" applyFill="0" applyBorder="0" applyAlignment="0" applyProtection="0"/>
  </cellStyleXfs>
  <cellXfs count="1442">
    <xf numFmtId="0" fontId="0" fillId="0" borderId="0" xfId="0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3" fontId="5" fillId="0" borderId="10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8" fillId="0" borderId="10" xfId="0" applyFont="1" applyBorder="1" applyAlignment="1">
      <alignment vertical="center"/>
    </xf>
    <xf numFmtId="3" fontId="5" fillId="0" borderId="0" xfId="0" applyNumberFormat="1" applyFont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27" fillId="0" borderId="10" xfId="0" applyFont="1" applyBorder="1" applyAlignment="1">
      <alignment vertical="center"/>
    </xf>
    <xf numFmtId="4" fontId="27" fillId="0" borderId="0" xfId="0" applyNumberFormat="1" applyFont="1" applyAlignment="1">
      <alignment horizontal="center" vertical="center"/>
    </xf>
    <xf numFmtId="4" fontId="35" fillId="0" borderId="0" xfId="0" applyNumberFormat="1" applyFont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3" fontId="27" fillId="0" borderId="10" xfId="0" applyNumberFormat="1" applyFont="1" applyBorder="1" applyAlignment="1">
      <alignment horizontal="center" vertical="center"/>
    </xf>
    <xf numFmtId="3" fontId="35" fillId="0" borderId="10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3" fontId="23" fillId="0" borderId="10" xfId="0" applyNumberFormat="1" applyFont="1" applyBorder="1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5" fillId="0" borderId="10" xfId="0" applyFont="1" applyBorder="1" applyAlignment="1">
      <alignment horizontal="center" vertical="center"/>
    </xf>
    <xf numFmtId="4" fontId="5" fillId="0" borderId="10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vertical="center"/>
    </xf>
    <xf numFmtId="0" fontId="40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3" fontId="5" fillId="0" borderId="13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4" fontId="7" fillId="0" borderId="19" xfId="1" applyNumberFormat="1" applyFont="1" applyBorder="1" applyAlignment="1">
      <alignment horizontal="center" vertical="center" wrapText="1"/>
    </xf>
    <xf numFmtId="4" fontId="40" fillId="0" borderId="52" xfId="0" applyNumberFormat="1" applyFont="1" applyBorder="1" applyAlignment="1">
      <alignment horizontal="center" vertical="center"/>
    </xf>
    <xf numFmtId="3" fontId="5" fillId="0" borderId="28" xfId="0" applyNumberFormat="1" applyFont="1" applyBorder="1" applyAlignment="1">
      <alignment horizontal="center" vertical="center"/>
    </xf>
    <xf numFmtId="3" fontId="5" fillId="0" borderId="16" xfId="0" applyNumberFormat="1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2" fontId="9" fillId="0" borderId="9" xfId="1" applyNumberFormat="1" applyFont="1" applyBorder="1" applyAlignment="1">
      <alignment horizontal="left" vertical="center" wrapText="1"/>
    </xf>
    <xf numFmtId="4" fontId="5" fillId="0" borderId="8" xfId="0" applyNumberFormat="1" applyFont="1" applyBorder="1" applyAlignment="1">
      <alignment horizontal="center" vertical="center"/>
    </xf>
    <xf numFmtId="2" fontId="13" fillId="0" borderId="9" xfId="1" applyNumberFormat="1" applyFont="1" applyBorder="1" applyAlignment="1">
      <alignment horizontal="left" vertical="center" wrapText="1"/>
    </xf>
    <xf numFmtId="0" fontId="21" fillId="0" borderId="51" xfId="0" applyFont="1" applyBorder="1" applyAlignment="1">
      <alignment horizontal="center" vertical="center"/>
    </xf>
    <xf numFmtId="2" fontId="9" fillId="0" borderId="25" xfId="1" applyNumberFormat="1" applyFont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/>
    </xf>
    <xf numFmtId="0" fontId="7" fillId="0" borderId="50" xfId="0" applyFont="1" applyBorder="1" applyAlignment="1">
      <alignment vertical="center"/>
    </xf>
    <xf numFmtId="0" fontId="7" fillId="0" borderId="43" xfId="0" applyFont="1" applyBorder="1" applyAlignment="1">
      <alignment vertical="center"/>
    </xf>
    <xf numFmtId="3" fontId="6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6" fillId="0" borderId="10" xfId="0" applyNumberFormat="1" applyFont="1" applyBorder="1" applyAlignment="1">
      <alignment horizontal="center" vertical="center"/>
    </xf>
    <xf numFmtId="3" fontId="5" fillId="0" borderId="20" xfId="0" applyNumberFormat="1" applyFont="1" applyBorder="1" applyAlignment="1">
      <alignment horizontal="center" vertical="center"/>
    </xf>
    <xf numFmtId="3" fontId="7" fillId="0" borderId="28" xfId="0" applyNumberFormat="1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/>
    </xf>
    <xf numFmtId="3" fontId="5" fillId="0" borderId="58" xfId="0" applyNumberFormat="1" applyFont="1" applyBorder="1" applyAlignment="1">
      <alignment horizontal="center" vertical="center"/>
    </xf>
    <xf numFmtId="3" fontId="5" fillId="0" borderId="48" xfId="0" applyNumberFormat="1" applyFont="1" applyBorder="1" applyAlignment="1">
      <alignment horizontal="center" vertical="center"/>
    </xf>
    <xf numFmtId="3" fontId="7" fillId="0" borderId="37" xfId="0" applyNumberFormat="1" applyFont="1" applyBorder="1" applyAlignment="1">
      <alignment horizontal="center" vertical="center"/>
    </xf>
    <xf numFmtId="3" fontId="7" fillId="0" borderId="21" xfId="0" applyNumberFormat="1" applyFont="1" applyBorder="1" applyAlignment="1">
      <alignment horizontal="center" vertical="center"/>
    </xf>
    <xf numFmtId="3" fontId="7" fillId="0" borderId="13" xfId="0" applyNumberFormat="1" applyFont="1" applyBorder="1" applyAlignment="1">
      <alignment horizontal="center" vertical="center"/>
    </xf>
    <xf numFmtId="3" fontId="7" fillId="0" borderId="48" xfId="0" applyNumberFormat="1" applyFont="1" applyBorder="1" applyAlignment="1">
      <alignment horizontal="center" vertical="center"/>
    </xf>
    <xf numFmtId="3" fontId="7" fillId="0" borderId="40" xfId="0" applyNumberFormat="1" applyFont="1" applyBorder="1" applyAlignment="1">
      <alignment horizontal="center" vertical="center"/>
    </xf>
    <xf numFmtId="3" fontId="7" fillId="0" borderId="50" xfId="0" applyNumberFormat="1" applyFont="1" applyBorder="1" applyAlignment="1">
      <alignment horizontal="center" vertical="center"/>
    </xf>
    <xf numFmtId="3" fontId="7" fillId="0" borderId="43" xfId="0" applyNumberFormat="1" applyFont="1" applyBorder="1" applyAlignment="1">
      <alignment horizontal="center" vertical="center"/>
    </xf>
    <xf numFmtId="3" fontId="7" fillId="0" borderId="52" xfId="0" applyNumberFormat="1" applyFont="1" applyBorder="1" applyAlignment="1">
      <alignment horizontal="center" vertical="center"/>
    </xf>
    <xf numFmtId="3" fontId="7" fillId="0" borderId="53" xfId="0" applyNumberFormat="1" applyFont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5" fillId="0" borderId="50" xfId="0" applyNumberFormat="1" applyFont="1" applyBorder="1" applyAlignment="1">
      <alignment horizontal="center" vertical="center"/>
    </xf>
    <xf numFmtId="3" fontId="5" fillId="0" borderId="40" xfId="0" applyNumberFormat="1" applyFont="1" applyBorder="1" applyAlignment="1">
      <alignment horizontal="center" vertical="center"/>
    </xf>
    <xf numFmtId="3" fontId="5" fillId="0" borderId="42" xfId="0" applyNumberFormat="1" applyFont="1" applyBorder="1" applyAlignment="1">
      <alignment horizontal="center" vertical="center"/>
    </xf>
    <xf numFmtId="3" fontId="5" fillId="0" borderId="39" xfId="0" applyNumberFormat="1" applyFont="1" applyBorder="1" applyAlignment="1">
      <alignment horizontal="center" vertical="center"/>
    </xf>
    <xf numFmtId="3" fontId="5" fillId="0" borderId="49" xfId="0" applyNumberFormat="1" applyFont="1" applyBorder="1" applyAlignment="1">
      <alignment horizontal="center" vertical="center"/>
    </xf>
    <xf numFmtId="3" fontId="5" fillId="0" borderId="54" xfId="0" applyNumberFormat="1" applyFont="1" applyBorder="1" applyAlignment="1">
      <alignment horizontal="center" vertical="center"/>
    </xf>
    <xf numFmtId="3" fontId="5" fillId="0" borderId="37" xfId="0" applyNumberFormat="1" applyFont="1" applyBorder="1" applyAlignment="1">
      <alignment horizontal="center" vertical="center"/>
    </xf>
    <xf numFmtId="3" fontId="5" fillId="0" borderId="15" xfId="0" applyNumberFormat="1" applyFont="1" applyBorder="1" applyAlignment="1">
      <alignment horizontal="center" vertical="center"/>
    </xf>
    <xf numFmtId="3" fontId="5" fillId="0" borderId="32" xfId="0" applyNumberFormat="1" applyFont="1" applyBorder="1" applyAlignment="1">
      <alignment horizontal="center" vertical="center"/>
    </xf>
    <xf numFmtId="3" fontId="7" fillId="0" borderId="24" xfId="0" applyNumberFormat="1" applyFont="1" applyBorder="1" applyAlignment="1">
      <alignment horizontal="center" vertical="center"/>
    </xf>
    <xf numFmtId="0" fontId="42" fillId="0" borderId="10" xfId="0" applyFont="1" applyBorder="1" applyAlignment="1">
      <alignment horizontal="left" vertical="center"/>
    </xf>
    <xf numFmtId="2" fontId="42" fillId="0" borderId="0" xfId="0" applyNumberFormat="1" applyFont="1" applyAlignment="1">
      <alignment horizontal="center" vertical="center"/>
    </xf>
    <xf numFmtId="3" fontId="5" fillId="0" borderId="50" xfId="0" applyNumberFormat="1" applyFont="1" applyBorder="1" applyAlignment="1">
      <alignment horizontal="center" vertical="center" wrapText="1"/>
    </xf>
    <xf numFmtId="3" fontId="10" fillId="0" borderId="43" xfId="0" applyNumberFormat="1" applyFont="1" applyBorder="1" applyAlignment="1">
      <alignment horizontal="center" vertical="center" wrapText="1"/>
    </xf>
    <xf numFmtId="3" fontId="10" fillId="0" borderId="40" xfId="0" applyNumberFormat="1" applyFont="1" applyBorder="1" applyAlignment="1">
      <alignment horizontal="center" vertical="center" wrapText="1"/>
    </xf>
    <xf numFmtId="2" fontId="9" fillId="0" borderId="28" xfId="1" applyNumberFormat="1" applyFont="1" applyBorder="1" applyAlignment="1">
      <alignment horizontal="left" vertical="center" wrapText="1"/>
    </xf>
    <xf numFmtId="3" fontId="7" fillId="0" borderId="15" xfId="0" applyNumberFormat="1" applyFont="1" applyBorder="1" applyAlignment="1">
      <alignment horizontal="center" vertical="center"/>
    </xf>
    <xf numFmtId="3" fontId="7" fillId="0" borderId="54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vertical="center" wrapText="1"/>
    </xf>
    <xf numFmtId="3" fontId="7" fillId="0" borderId="49" xfId="0" applyNumberFormat="1" applyFont="1" applyBorder="1" applyAlignment="1">
      <alignment horizontal="center" vertical="center"/>
    </xf>
    <xf numFmtId="3" fontId="7" fillId="0" borderId="55" xfId="0" applyNumberFormat="1" applyFont="1" applyBorder="1" applyAlignment="1">
      <alignment horizontal="center" vertical="center" wrapText="1"/>
    </xf>
    <xf numFmtId="3" fontId="10" fillId="0" borderId="17" xfId="0" applyNumberFormat="1" applyFont="1" applyBorder="1" applyAlignment="1">
      <alignment horizontal="center" vertical="center" wrapText="1"/>
    </xf>
    <xf numFmtId="3" fontId="10" fillId="0" borderId="22" xfId="0" applyNumberFormat="1" applyFont="1" applyBorder="1" applyAlignment="1">
      <alignment horizontal="center" vertical="center" wrapText="1"/>
    </xf>
    <xf numFmtId="3" fontId="5" fillId="0" borderId="63" xfId="0" applyNumberFormat="1" applyFont="1" applyBorder="1" applyAlignment="1">
      <alignment horizontal="center" vertical="center" wrapText="1"/>
    </xf>
    <xf numFmtId="3" fontId="10" fillId="0" borderId="64" xfId="0" applyNumberFormat="1" applyFont="1" applyBorder="1" applyAlignment="1">
      <alignment horizontal="center" vertical="center" wrapText="1"/>
    </xf>
    <xf numFmtId="3" fontId="10" fillId="0" borderId="65" xfId="0" applyNumberFormat="1" applyFont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center" vertical="center" wrapText="1"/>
    </xf>
    <xf numFmtId="3" fontId="10" fillId="0" borderId="62" xfId="0" applyNumberFormat="1" applyFont="1" applyBorder="1" applyAlignment="1">
      <alignment horizontal="center" vertical="center" wrapText="1"/>
    </xf>
    <xf numFmtId="3" fontId="7" fillId="0" borderId="63" xfId="0" applyNumberFormat="1" applyFont="1" applyBorder="1" applyAlignment="1">
      <alignment horizontal="center" vertical="center" wrapText="1"/>
    </xf>
    <xf numFmtId="3" fontId="10" fillId="0" borderId="18" xfId="0" applyNumberFormat="1" applyFont="1" applyBorder="1" applyAlignment="1">
      <alignment horizontal="center" vertical="center" wrapText="1"/>
    </xf>
    <xf numFmtId="3" fontId="5" fillId="0" borderId="55" xfId="0" applyNumberFormat="1" applyFont="1" applyBorder="1" applyAlignment="1">
      <alignment horizontal="center" vertical="center" wrapText="1"/>
    </xf>
    <xf numFmtId="3" fontId="7" fillId="0" borderId="29" xfId="0" applyNumberFormat="1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vertical="center"/>
    </xf>
    <xf numFmtId="4" fontId="43" fillId="0" borderId="0" xfId="0" applyNumberFormat="1" applyFont="1" applyAlignment="1">
      <alignment horizontal="center" vertical="center"/>
    </xf>
    <xf numFmtId="4" fontId="7" fillId="0" borderId="10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4" fontId="5" fillId="4" borderId="0" xfId="0" applyNumberFormat="1" applyFont="1" applyFill="1" applyAlignment="1">
      <alignment horizontal="center" vertical="center"/>
    </xf>
    <xf numFmtId="4" fontId="5" fillId="5" borderId="0" xfId="0" applyNumberFormat="1" applyFont="1" applyFill="1" applyAlignment="1">
      <alignment horizontal="center" vertical="center"/>
    </xf>
    <xf numFmtId="167" fontId="5" fillId="0" borderId="10" xfId="0" applyNumberFormat="1" applyFont="1" applyBorder="1" applyAlignment="1">
      <alignment horizontal="center" vertical="center"/>
    </xf>
    <xf numFmtId="167" fontId="43" fillId="0" borderId="0" xfId="0" applyNumberFormat="1" applyFont="1" applyAlignment="1">
      <alignment horizontal="center" vertical="center"/>
    </xf>
    <xf numFmtId="4" fontId="7" fillId="0" borderId="40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4" fontId="7" fillId="0" borderId="43" xfId="0" applyNumberFormat="1" applyFont="1" applyBorder="1" applyAlignment="1">
      <alignment horizontal="center" vertical="center"/>
    </xf>
    <xf numFmtId="0" fontId="43" fillId="0" borderId="16" xfId="0" applyFont="1" applyBorder="1" applyAlignment="1">
      <alignment vertical="center"/>
    </xf>
    <xf numFmtId="4" fontId="43" fillId="0" borderId="19" xfId="0" applyNumberFormat="1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4" fontId="43" fillId="0" borderId="10" xfId="0" applyNumberFormat="1" applyFont="1" applyBorder="1" applyAlignment="1">
      <alignment horizontal="center" vertical="center"/>
    </xf>
    <xf numFmtId="168" fontId="42" fillId="0" borderId="10" xfId="0" applyNumberFormat="1" applyFont="1" applyBorder="1" applyAlignment="1">
      <alignment horizontal="center" vertical="center"/>
    </xf>
    <xf numFmtId="2" fontId="19" fillId="0" borderId="1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7" fillId="0" borderId="0" xfId="0" applyNumberFormat="1" applyFont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44" xfId="0" applyFont="1" applyBorder="1" applyAlignment="1">
      <alignment vertical="center"/>
    </xf>
    <xf numFmtId="0" fontId="5" fillId="0" borderId="45" xfId="0" applyFont="1" applyBorder="1" applyAlignment="1">
      <alignment vertical="center"/>
    </xf>
    <xf numFmtId="0" fontId="7" fillId="0" borderId="24" xfId="0" applyFont="1" applyBorder="1" applyAlignment="1">
      <alignment vertical="center"/>
    </xf>
    <xf numFmtId="0" fontId="7" fillId="0" borderId="53" xfId="0" applyFont="1" applyBorder="1" applyAlignment="1">
      <alignment vertical="center"/>
    </xf>
    <xf numFmtId="4" fontId="40" fillId="0" borderId="5" xfId="0" applyNumberFormat="1" applyFont="1" applyBorder="1" applyAlignment="1">
      <alignment horizontal="center" vertical="center"/>
    </xf>
    <xf numFmtId="4" fontId="40" fillId="0" borderId="40" xfId="0" applyNumberFormat="1" applyFont="1" applyBorder="1" applyAlignment="1">
      <alignment horizontal="center" vertical="center"/>
    </xf>
    <xf numFmtId="4" fontId="40" fillId="0" borderId="6" xfId="0" applyNumberFormat="1" applyFont="1" applyBorder="1" applyAlignment="1">
      <alignment horizontal="center" vertical="center"/>
    </xf>
    <xf numFmtId="4" fontId="40" fillId="0" borderId="24" xfId="0" applyNumberFormat="1" applyFont="1" applyBorder="1" applyAlignment="1">
      <alignment horizontal="center" vertical="center"/>
    </xf>
    <xf numFmtId="0" fontId="5" fillId="0" borderId="58" xfId="0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4" fontId="40" fillId="0" borderId="0" xfId="7" applyNumberFormat="1" applyFont="1" applyAlignment="1">
      <alignment horizontal="center" vertical="center"/>
    </xf>
    <xf numFmtId="0" fontId="42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4" fontId="5" fillId="0" borderId="9" xfId="0" applyNumberFormat="1" applyFon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2" fontId="5" fillId="0" borderId="20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4" fontId="5" fillId="0" borderId="9" xfId="7" applyNumberFormat="1" applyFont="1" applyFill="1" applyBorder="1" applyAlignment="1">
      <alignment horizontal="center" vertical="center"/>
    </xf>
    <xf numFmtId="4" fontId="43" fillId="0" borderId="11" xfId="0" applyNumberFormat="1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/>
    </xf>
    <xf numFmtId="4" fontId="7" fillId="0" borderId="21" xfId="0" applyNumberFormat="1" applyFont="1" applyBorder="1" applyAlignment="1">
      <alignment horizontal="center" vertical="center"/>
    </xf>
    <xf numFmtId="4" fontId="7" fillId="0" borderId="50" xfId="0" applyNumberFormat="1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165" fontId="5" fillId="0" borderId="0" xfId="7" applyFont="1" applyFill="1" applyAlignment="1">
      <alignment vertical="center"/>
    </xf>
    <xf numFmtId="4" fontId="5" fillId="0" borderId="20" xfId="0" applyNumberFormat="1" applyFont="1" applyBorder="1" applyAlignment="1">
      <alignment horizontal="center" vertical="center"/>
    </xf>
    <xf numFmtId="168" fontId="42" fillId="6" borderId="10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5" fillId="0" borderId="0" xfId="0" applyFont="1"/>
    <xf numFmtId="0" fontId="7" fillId="0" borderId="0" xfId="0" applyFont="1"/>
    <xf numFmtId="3" fontId="9" fillId="0" borderId="64" xfId="0" applyNumberFormat="1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3" fontId="7" fillId="0" borderId="58" xfId="0" applyNumberFormat="1" applyFont="1" applyBorder="1" applyAlignment="1">
      <alignment horizontal="center" vertical="center"/>
    </xf>
    <xf numFmtId="3" fontId="5" fillId="0" borderId="43" xfId="0" applyNumberFormat="1" applyFont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center" vertical="center" wrapText="1"/>
    </xf>
    <xf numFmtId="0" fontId="27" fillId="0" borderId="8" xfId="0" applyFont="1" applyBorder="1" applyAlignment="1">
      <alignment vertical="center"/>
    </xf>
    <xf numFmtId="0" fontId="23" fillId="0" borderId="8" xfId="0" applyFont="1" applyBorder="1" applyAlignment="1">
      <alignment horizontal="right" vertical="center"/>
    </xf>
    <xf numFmtId="0" fontId="35" fillId="0" borderId="8" xfId="0" applyFont="1" applyBorder="1" applyAlignment="1">
      <alignment vertical="center"/>
    </xf>
    <xf numFmtId="3" fontId="27" fillId="0" borderId="9" xfId="0" applyNumberFormat="1" applyFont="1" applyBorder="1" applyAlignment="1">
      <alignment horizontal="center" vertical="center"/>
    </xf>
    <xf numFmtId="3" fontId="35" fillId="0" borderId="9" xfId="0" applyNumberFormat="1" applyFont="1" applyBorder="1" applyAlignment="1">
      <alignment horizontal="center" vertical="center"/>
    </xf>
    <xf numFmtId="3" fontId="27" fillId="0" borderId="11" xfId="0" applyNumberFormat="1" applyFont="1" applyBorder="1" applyAlignment="1">
      <alignment horizontal="center" vertical="center"/>
    </xf>
    <xf numFmtId="3" fontId="27" fillId="0" borderId="20" xfId="0" applyNumberFormat="1" applyFont="1" applyBorder="1" applyAlignment="1">
      <alignment horizontal="center" vertical="center"/>
    </xf>
    <xf numFmtId="3" fontId="23" fillId="0" borderId="11" xfId="0" applyNumberFormat="1" applyFont="1" applyBorder="1" applyAlignment="1">
      <alignment horizontal="right" vertical="center"/>
    </xf>
    <xf numFmtId="3" fontId="23" fillId="0" borderId="20" xfId="0" applyNumberFormat="1" applyFont="1" applyBorder="1" applyAlignment="1">
      <alignment horizontal="right" vertical="center"/>
    </xf>
    <xf numFmtId="3" fontId="35" fillId="0" borderId="11" xfId="0" applyNumberFormat="1" applyFont="1" applyBorder="1" applyAlignment="1">
      <alignment horizontal="center" vertical="center"/>
    </xf>
    <xf numFmtId="3" fontId="35" fillId="0" borderId="20" xfId="0" applyNumberFormat="1" applyFont="1" applyBorder="1" applyAlignment="1">
      <alignment horizontal="center" vertical="center"/>
    </xf>
    <xf numFmtId="3" fontId="27" fillId="0" borderId="9" xfId="0" applyNumberFormat="1" applyFont="1" applyBorder="1" applyAlignment="1">
      <alignment horizontal="right" vertical="center"/>
    </xf>
    <xf numFmtId="49" fontId="27" fillId="0" borderId="11" xfId="0" applyNumberFormat="1" applyFont="1" applyBorder="1" applyAlignment="1">
      <alignment vertical="center"/>
    </xf>
    <xf numFmtId="49" fontId="23" fillId="0" borderId="11" xfId="0" applyNumberFormat="1" applyFont="1" applyBorder="1" applyAlignment="1">
      <alignment horizontal="right" vertical="center"/>
    </xf>
    <xf numFmtId="49" fontId="35" fillId="0" borderId="11" xfId="0" applyNumberFormat="1" applyFont="1" applyBorder="1" applyAlignment="1">
      <alignment vertical="center"/>
    </xf>
    <xf numFmtId="49" fontId="27" fillId="0" borderId="15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3" fontId="27" fillId="0" borderId="15" xfId="0" applyNumberFormat="1" applyFont="1" applyBorder="1" applyAlignment="1">
      <alignment horizontal="center" vertical="center"/>
    </xf>
    <xf numFmtId="3" fontId="27" fillId="0" borderId="16" xfId="0" applyNumberFormat="1" applyFont="1" applyBorder="1" applyAlignment="1">
      <alignment horizontal="center" vertical="center"/>
    </xf>
    <xf numFmtId="3" fontId="27" fillId="0" borderId="58" xfId="0" applyNumberFormat="1" applyFont="1" applyBorder="1" applyAlignment="1">
      <alignment horizontal="center" vertical="center"/>
    </xf>
    <xf numFmtId="3" fontId="27" fillId="0" borderId="28" xfId="0" applyNumberFormat="1" applyFont="1" applyBorder="1" applyAlignment="1">
      <alignment horizontal="center" vertical="center"/>
    </xf>
    <xf numFmtId="0" fontId="35" fillId="11" borderId="55" xfId="0" applyFont="1" applyFill="1" applyBorder="1" applyAlignment="1">
      <alignment horizontal="center" vertical="center" wrapText="1"/>
    </xf>
    <xf numFmtId="0" fontId="35" fillId="11" borderId="17" xfId="0" applyFont="1" applyFill="1" applyBorder="1" applyAlignment="1">
      <alignment horizontal="center" vertical="center" wrapText="1"/>
    </xf>
    <xf numFmtId="0" fontId="35" fillId="11" borderId="22" xfId="0" applyFont="1" applyFill="1" applyBorder="1" applyAlignment="1">
      <alignment horizontal="center" vertical="center" wrapText="1"/>
    </xf>
    <xf numFmtId="0" fontId="35" fillId="11" borderId="29" xfId="0" applyFont="1" applyFill="1" applyBorder="1" applyAlignment="1">
      <alignment horizontal="center" vertical="center" wrapText="1"/>
    </xf>
    <xf numFmtId="49" fontId="36" fillId="0" borderId="21" xfId="0" applyNumberFormat="1" applyFont="1" applyBorder="1" applyAlignment="1">
      <alignment vertical="center"/>
    </xf>
    <xf numFmtId="0" fontId="36" fillId="0" borderId="12" xfId="0" applyFont="1" applyBorder="1" applyAlignment="1">
      <alignment vertical="center" wrapText="1"/>
    </xf>
    <xf numFmtId="3" fontId="36" fillId="0" borderId="21" xfId="0" applyNumberFormat="1" applyFont="1" applyBorder="1" applyAlignment="1">
      <alignment horizontal="center" vertical="center"/>
    </xf>
    <xf numFmtId="3" fontId="36" fillId="0" borderId="13" xfId="0" applyNumberFormat="1" applyFont="1" applyBorder="1" applyAlignment="1">
      <alignment horizontal="center" vertical="center"/>
    </xf>
    <xf numFmtId="3" fontId="27" fillId="0" borderId="48" xfId="0" applyNumberFormat="1" applyFont="1" applyBorder="1" applyAlignment="1">
      <alignment horizontal="center" vertical="center"/>
    </xf>
    <xf numFmtId="3" fontId="36" fillId="0" borderId="25" xfId="0" applyNumberFormat="1" applyFont="1" applyBorder="1" applyAlignment="1">
      <alignment horizontal="center" vertical="center"/>
    </xf>
    <xf numFmtId="0" fontId="35" fillId="11" borderId="50" xfId="0" applyFont="1" applyFill="1" applyBorder="1" applyAlignment="1">
      <alignment vertical="center"/>
    </xf>
    <xf numFmtId="0" fontId="35" fillId="11" borderId="52" xfId="0" applyFont="1" applyFill="1" applyBorder="1" applyAlignment="1">
      <alignment vertical="center"/>
    </xf>
    <xf numFmtId="3" fontId="35" fillId="11" borderId="50" xfId="0" applyNumberFormat="1" applyFont="1" applyFill="1" applyBorder="1" applyAlignment="1">
      <alignment horizontal="center" vertical="center"/>
    </xf>
    <xf numFmtId="3" fontId="35" fillId="11" borderId="43" xfId="0" applyNumberFormat="1" applyFont="1" applyFill="1" applyBorder="1" applyAlignment="1">
      <alignment horizontal="center" vertical="center"/>
    </xf>
    <xf numFmtId="3" fontId="35" fillId="11" borderId="40" xfId="0" applyNumberFormat="1" applyFont="1" applyFill="1" applyBorder="1" applyAlignment="1">
      <alignment horizontal="center" vertical="center"/>
    </xf>
    <xf numFmtId="3" fontId="35" fillId="11" borderId="53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vertical="center"/>
    </xf>
    <xf numFmtId="4" fontId="5" fillId="0" borderId="48" xfId="0" applyNumberFormat="1" applyFont="1" applyBorder="1" applyAlignment="1">
      <alignment horizontal="center" vertical="center"/>
    </xf>
    <xf numFmtId="0" fontId="43" fillId="0" borderId="58" xfId="0" applyFont="1" applyBorder="1" applyAlignment="1">
      <alignment vertical="center"/>
    </xf>
    <xf numFmtId="4" fontId="7" fillId="0" borderId="52" xfId="0" applyNumberFormat="1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4" fontId="7" fillId="0" borderId="53" xfId="0" applyNumberFormat="1" applyFont="1" applyBorder="1" applyAlignment="1">
      <alignment horizontal="center" vertical="center"/>
    </xf>
    <xf numFmtId="4" fontId="43" fillId="0" borderId="28" xfId="0" applyNumberFormat="1" applyFont="1" applyBorder="1" applyAlignment="1">
      <alignment vertical="center"/>
    </xf>
    <xf numFmtId="0" fontId="43" fillId="0" borderId="15" xfId="0" applyFont="1" applyBorder="1" applyAlignment="1">
      <alignment horizontal="center" vertical="center"/>
    </xf>
    <xf numFmtId="0" fontId="43" fillId="0" borderId="58" xfId="0" applyFont="1" applyBorder="1" applyAlignment="1">
      <alignment horizontal="center" vertical="center"/>
    </xf>
    <xf numFmtId="4" fontId="5" fillId="0" borderId="12" xfId="0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43" fillId="0" borderId="28" xfId="0" applyFont="1" applyBorder="1" applyAlignment="1">
      <alignment horizontal="center" vertical="center"/>
    </xf>
    <xf numFmtId="2" fontId="5" fillId="0" borderId="48" xfId="0" applyNumberFormat="1" applyFont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4" fontId="7" fillId="7" borderId="52" xfId="0" applyNumberFormat="1" applyFont="1" applyFill="1" applyBorder="1" applyAlignment="1">
      <alignment horizontal="center" vertical="center"/>
    </xf>
    <xf numFmtId="4" fontId="5" fillId="0" borderId="11" xfId="0" applyNumberFormat="1" applyFont="1" applyBorder="1" applyAlignment="1">
      <alignment horizontal="center" vertical="center"/>
    </xf>
    <xf numFmtId="4" fontId="7" fillId="7" borderId="40" xfId="0" applyNumberFormat="1" applyFont="1" applyFill="1" applyBorder="1" applyAlignment="1">
      <alignment horizontal="center" vertical="center"/>
    </xf>
    <xf numFmtId="4" fontId="7" fillId="0" borderId="0" xfId="7" applyNumberFormat="1" applyFont="1" applyAlignment="1">
      <alignment horizontal="center" vertical="center"/>
    </xf>
    <xf numFmtId="0" fontId="49" fillId="0" borderId="10" xfId="0" applyFont="1" applyBorder="1" applyAlignment="1">
      <alignment horizontal="left" vertical="center"/>
    </xf>
    <xf numFmtId="2" fontId="40" fillId="2" borderId="11" xfId="1" applyNumberFormat="1" applyFont="1" applyFill="1" applyBorder="1" applyAlignment="1">
      <alignment horizontal="left" vertical="center" wrapText="1"/>
    </xf>
    <xf numFmtId="2" fontId="40" fillId="8" borderId="11" xfId="1" applyNumberFormat="1" applyFont="1" applyFill="1" applyBorder="1" applyAlignment="1">
      <alignment horizontal="left" vertical="center" wrapText="1"/>
    </xf>
    <xf numFmtId="2" fontId="47" fillId="2" borderId="11" xfId="1" applyNumberFormat="1" applyFont="1" applyFill="1" applyBorder="1" applyAlignment="1">
      <alignment horizontal="left" vertical="center" wrapText="1"/>
    </xf>
    <xf numFmtId="2" fontId="40" fillId="2" borderId="21" xfId="1" applyNumberFormat="1" applyFont="1" applyFill="1" applyBorder="1" applyAlignment="1">
      <alignment horizontal="left" vertical="center" wrapText="1"/>
    </xf>
    <xf numFmtId="0" fontId="40" fillId="0" borderId="50" xfId="0" applyFont="1" applyBorder="1" applyAlignment="1">
      <alignment vertical="center"/>
    </xf>
    <xf numFmtId="0" fontId="47" fillId="0" borderId="15" xfId="0" applyFont="1" applyBorder="1" applyAlignment="1">
      <alignment vertical="center"/>
    </xf>
    <xf numFmtId="0" fontId="55" fillId="0" borderId="30" xfId="0" applyFont="1" applyBorder="1" applyAlignment="1">
      <alignment vertical="center"/>
    </xf>
    <xf numFmtId="0" fontId="5" fillId="0" borderId="26" xfId="0" applyFont="1" applyBorder="1" applyAlignment="1">
      <alignment vertical="center"/>
    </xf>
    <xf numFmtId="0" fontId="5" fillId="0" borderId="26" xfId="0" applyFont="1" applyBorder="1" applyAlignment="1">
      <alignment horizontal="center" vertical="center"/>
    </xf>
    <xf numFmtId="4" fontId="5" fillId="0" borderId="26" xfId="0" applyNumberFormat="1" applyFont="1" applyBorder="1" applyAlignment="1">
      <alignment horizontal="center" vertical="center"/>
    </xf>
    <xf numFmtId="4" fontId="5" fillId="0" borderId="26" xfId="0" applyNumberFormat="1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5" fillId="0" borderId="36" xfId="0" applyFont="1" applyBorder="1" applyAlignment="1">
      <alignment vertical="center"/>
    </xf>
    <xf numFmtId="0" fontId="55" fillId="0" borderId="68" xfId="0" applyFont="1" applyBorder="1" applyAlignment="1">
      <alignment vertical="center"/>
    </xf>
    <xf numFmtId="0" fontId="5" fillId="0" borderId="71" xfId="0" applyFont="1" applyBorder="1" applyAlignment="1">
      <alignment vertical="center"/>
    </xf>
    <xf numFmtId="0" fontId="5" fillId="0" borderId="71" xfId="0" applyFont="1" applyBorder="1" applyAlignment="1">
      <alignment horizontal="center" vertical="center"/>
    </xf>
    <xf numFmtId="4" fontId="5" fillId="0" borderId="71" xfId="0" applyNumberFormat="1" applyFont="1" applyBorder="1" applyAlignment="1">
      <alignment vertical="center"/>
    </xf>
    <xf numFmtId="4" fontId="7" fillId="0" borderId="27" xfId="1" applyNumberFormat="1" applyFont="1" applyBorder="1" applyAlignment="1">
      <alignment horizontal="center" vertical="center" wrapText="1"/>
    </xf>
    <xf numFmtId="1" fontId="7" fillId="2" borderId="20" xfId="1" applyNumberFormat="1" applyFont="1" applyFill="1" applyBorder="1" applyAlignment="1">
      <alignment horizontal="left" vertical="center" wrapText="1"/>
    </xf>
    <xf numFmtId="1" fontId="7" fillId="8" borderId="20" xfId="1" applyNumberFormat="1" applyFont="1" applyFill="1" applyBorder="1" applyAlignment="1">
      <alignment horizontal="left" vertical="center" wrapText="1"/>
    </xf>
    <xf numFmtId="1" fontId="43" fillId="2" borderId="20" xfId="1" applyNumberFormat="1" applyFont="1" applyFill="1" applyBorder="1" applyAlignment="1">
      <alignment horizontal="left" vertical="center" wrapText="1"/>
    </xf>
    <xf numFmtId="1" fontId="7" fillId="2" borderId="48" xfId="1" applyNumberFormat="1" applyFont="1" applyFill="1" applyBorder="1" applyAlignment="1">
      <alignment horizontal="left" vertical="center" wrapText="1"/>
    </xf>
    <xf numFmtId="0" fontId="7" fillId="0" borderId="40" xfId="0" applyFont="1" applyBorder="1" applyAlignment="1">
      <alignment vertical="center"/>
    </xf>
    <xf numFmtId="4" fontId="42" fillId="7" borderId="38" xfId="0" applyNumberFormat="1" applyFont="1" applyFill="1" applyBorder="1" applyAlignment="1">
      <alignment vertical="center"/>
    </xf>
    <xf numFmtId="0" fontId="5" fillId="0" borderId="10" xfId="0" applyFont="1" applyBorder="1" applyAlignment="1">
      <alignment horizontal="center"/>
    </xf>
    <xf numFmtId="4" fontId="5" fillId="4" borderId="11" xfId="0" applyNumberFormat="1" applyFont="1" applyFill="1" applyBorder="1" applyAlignment="1">
      <alignment horizontal="center"/>
    </xf>
    <xf numFmtId="4" fontId="5" fillId="0" borderId="11" xfId="0" applyNumberFormat="1" applyFont="1" applyBorder="1" applyAlignment="1">
      <alignment horizontal="center"/>
    </xf>
    <xf numFmtId="0" fontId="5" fillId="0" borderId="10" xfId="0" applyFont="1" applyBorder="1"/>
    <xf numFmtId="9" fontId="27" fillId="0" borderId="0" xfId="0" applyNumberFormat="1" applyFont="1" applyAlignment="1">
      <alignment vertical="center"/>
    </xf>
    <xf numFmtId="9" fontId="5" fillId="0" borderId="10" xfId="0" applyNumberFormat="1" applyFont="1" applyBorder="1" applyAlignment="1">
      <alignment horizontal="center" vertical="center"/>
    </xf>
    <xf numFmtId="9" fontId="7" fillId="0" borderId="10" xfId="0" applyNumberFormat="1" applyFont="1" applyBorder="1" applyAlignment="1">
      <alignment horizontal="center" vertical="center"/>
    </xf>
    <xf numFmtId="9" fontId="35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4" fontId="43" fillId="0" borderId="0" xfId="0" applyNumberFormat="1" applyFont="1" applyAlignment="1">
      <alignment vertical="center"/>
    </xf>
    <xf numFmtId="2" fontId="60" fillId="0" borderId="33" xfId="0" applyNumberFormat="1" applyFont="1" applyBorder="1" applyAlignment="1">
      <alignment vertical="center"/>
    </xf>
    <xf numFmtId="4" fontId="60" fillId="0" borderId="10" xfId="0" applyNumberFormat="1" applyFont="1" applyBorder="1" applyAlignment="1">
      <alignment horizontal="center" vertical="center"/>
    </xf>
    <xf numFmtId="4" fontId="62" fillId="0" borderId="0" xfId="0" applyNumberFormat="1" applyFont="1" applyAlignment="1">
      <alignment horizontal="right" vertical="center"/>
    </xf>
    <xf numFmtId="4" fontId="7" fillId="0" borderId="7" xfId="0" applyNumberFormat="1" applyFont="1" applyBorder="1" applyAlignment="1">
      <alignment horizontal="center" vertical="center"/>
    </xf>
    <xf numFmtId="2" fontId="40" fillId="2" borderId="11" xfId="1" applyNumberFormat="1" applyFont="1" applyFill="1" applyBorder="1" applyAlignment="1">
      <alignment horizontal="left" vertical="center"/>
    </xf>
    <xf numFmtId="0" fontId="64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" fontId="42" fillId="0" borderId="0" xfId="0" applyNumberFormat="1" applyFont="1" applyAlignment="1">
      <alignment horizontal="center" vertical="center"/>
    </xf>
    <xf numFmtId="3" fontId="5" fillId="0" borderId="45" xfId="0" applyNumberFormat="1" applyFont="1" applyBorder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0" fontId="30" fillId="0" borderId="15" xfId="0" applyFont="1" applyBorder="1" applyAlignment="1">
      <alignment vertical="center" wrapText="1"/>
    </xf>
    <xf numFmtId="0" fontId="25" fillId="0" borderId="11" xfId="0" applyFont="1" applyBorder="1" applyAlignment="1">
      <alignment vertical="center"/>
    </xf>
    <xf numFmtId="16" fontId="25" fillId="0" borderId="11" xfId="0" applyNumberFormat="1" applyFont="1" applyBorder="1" applyAlignment="1">
      <alignment vertical="center"/>
    </xf>
    <xf numFmtId="166" fontId="7" fillId="0" borderId="20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vertical="center"/>
    </xf>
    <xf numFmtId="3" fontId="19" fillId="0" borderId="10" xfId="0" applyNumberFormat="1" applyFont="1" applyBorder="1" applyAlignment="1">
      <alignment horizontal="center" vertical="center"/>
    </xf>
    <xf numFmtId="166" fontId="5" fillId="0" borderId="20" xfId="0" applyNumberFormat="1" applyFont="1" applyBorder="1" applyAlignment="1">
      <alignment horizontal="center" vertical="center"/>
    </xf>
    <xf numFmtId="0" fontId="32" fillId="0" borderId="11" xfId="0" applyFont="1" applyBorder="1" applyAlignment="1">
      <alignment vertical="center"/>
    </xf>
    <xf numFmtId="0" fontId="40" fillId="0" borderId="10" xfId="0" applyFont="1" applyBorder="1" applyAlignment="1">
      <alignment vertical="center"/>
    </xf>
    <xf numFmtId="3" fontId="40" fillId="0" borderId="10" xfId="0" applyNumberFormat="1" applyFont="1" applyBorder="1" applyAlignment="1">
      <alignment horizontal="center" vertical="center"/>
    </xf>
    <xf numFmtId="3" fontId="8" fillId="0" borderId="0" xfId="0" applyNumberFormat="1" applyFont="1"/>
    <xf numFmtId="0" fontId="8" fillId="0" borderId="0" xfId="0" applyFont="1"/>
    <xf numFmtId="0" fontId="7" fillId="0" borderId="10" xfId="0" applyFont="1" applyBorder="1"/>
    <xf numFmtId="3" fontId="7" fillId="0" borderId="10" xfId="0" applyNumberFormat="1" applyFont="1" applyBorder="1" applyAlignment="1">
      <alignment horizontal="center"/>
    </xf>
    <xf numFmtId="3" fontId="43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center" vertical="center" wrapText="1"/>
    </xf>
    <xf numFmtId="165" fontId="5" fillId="0" borderId="0" xfId="0" applyNumberFormat="1" applyFont="1" applyAlignment="1">
      <alignment vertical="center"/>
    </xf>
    <xf numFmtId="0" fontId="6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4" fontId="49" fillId="0" borderId="0" xfId="0" applyNumberFormat="1" applyFont="1" applyAlignment="1">
      <alignment vertical="center"/>
    </xf>
    <xf numFmtId="165" fontId="7" fillId="0" borderId="0" xfId="7" applyFont="1" applyFill="1" applyAlignment="1">
      <alignment vertical="center"/>
    </xf>
    <xf numFmtId="0" fontId="42" fillId="0" borderId="0" xfId="0" applyFont="1" applyAlignment="1">
      <alignment horizontal="center" vertical="center"/>
    </xf>
    <xf numFmtId="4" fontId="47" fillId="0" borderId="0" xfId="7" applyNumberFormat="1" applyFont="1" applyAlignment="1">
      <alignment horizontal="center" vertical="center"/>
    </xf>
    <xf numFmtId="0" fontId="73" fillId="0" borderId="10" xfId="0" applyFont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4" fontId="5" fillId="4" borderId="0" xfId="0" applyNumberFormat="1" applyFont="1" applyFill="1" applyAlignment="1">
      <alignment vertical="center"/>
    </xf>
    <xf numFmtId="165" fontId="42" fillId="0" borderId="0" xfId="0" applyNumberFormat="1" applyFont="1" applyAlignment="1">
      <alignment vertical="center"/>
    </xf>
    <xf numFmtId="165" fontId="72" fillId="0" borderId="0" xfId="0" applyNumberFormat="1" applyFont="1" applyAlignment="1">
      <alignment vertical="center"/>
    </xf>
    <xf numFmtId="165" fontId="43" fillId="0" borderId="0" xfId="0" applyNumberFormat="1" applyFont="1" applyAlignment="1">
      <alignment vertical="center"/>
    </xf>
    <xf numFmtId="4" fontId="71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4" fontId="7" fillId="0" borderId="5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3" fontId="5" fillId="0" borderId="29" xfId="0" applyNumberFormat="1" applyFont="1" applyBorder="1" applyAlignment="1">
      <alignment horizontal="center" vertical="center" wrapText="1"/>
    </xf>
    <xf numFmtId="4" fontId="42" fillId="0" borderId="52" xfId="0" applyNumberFormat="1" applyFont="1" applyBorder="1" applyAlignment="1">
      <alignment horizontal="center" vertical="center"/>
    </xf>
    <xf numFmtId="4" fontId="42" fillId="0" borderId="53" xfId="0" applyNumberFormat="1" applyFont="1" applyBorder="1" applyAlignment="1">
      <alignment horizontal="center" vertical="center"/>
    </xf>
    <xf numFmtId="4" fontId="43" fillId="0" borderId="50" xfId="0" applyNumberFormat="1" applyFont="1" applyBorder="1" applyAlignment="1">
      <alignment horizontal="center" vertical="center"/>
    </xf>
    <xf numFmtId="2" fontId="9" fillId="0" borderId="10" xfId="1" applyNumberFormat="1" applyFont="1" applyBorder="1" applyAlignment="1">
      <alignment horizontal="left" vertical="center" wrapText="1"/>
    </xf>
    <xf numFmtId="2" fontId="13" fillId="0" borderId="10" xfId="1" applyNumberFormat="1" applyFont="1" applyBorder="1" applyAlignment="1">
      <alignment horizontal="left" vertical="center" wrapText="1"/>
    </xf>
    <xf numFmtId="0" fontId="7" fillId="0" borderId="10" xfId="0" applyFont="1" applyBorder="1" applyAlignment="1">
      <alignment horizontal="center" vertical="center" wrapText="1"/>
    </xf>
    <xf numFmtId="167" fontId="5" fillId="0" borderId="0" xfId="0" applyNumberFormat="1" applyFont="1" applyAlignment="1">
      <alignment vertical="center"/>
    </xf>
    <xf numFmtId="167" fontId="7" fillId="0" borderId="0" xfId="0" applyNumberFormat="1" applyFont="1" applyAlignment="1">
      <alignment vertical="center"/>
    </xf>
    <xf numFmtId="167" fontId="5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7" fillId="0" borderId="10" xfId="0" applyNumberFormat="1" applyFont="1" applyBorder="1" applyAlignment="1">
      <alignment vertical="center"/>
    </xf>
    <xf numFmtId="3" fontId="57" fillId="0" borderId="10" xfId="0" applyNumberFormat="1" applyFont="1" applyBorder="1" applyAlignment="1">
      <alignment horizontal="center" vertical="center"/>
    </xf>
    <xf numFmtId="168" fontId="7" fillId="0" borderId="10" xfId="0" applyNumberFormat="1" applyFont="1" applyBorder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70" fontId="7" fillId="0" borderId="40" xfId="0" applyNumberFormat="1" applyFont="1" applyBorder="1" applyAlignment="1">
      <alignment vertical="center"/>
    </xf>
    <xf numFmtId="170" fontId="5" fillId="0" borderId="10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3" fontId="13" fillId="0" borderId="0" xfId="0" applyNumberFormat="1" applyFont="1" applyAlignment="1">
      <alignment horizontal="right" vertical="center"/>
    </xf>
    <xf numFmtId="3" fontId="5" fillId="0" borderId="33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1" fontId="9" fillId="0" borderId="16" xfId="1" applyNumberFormat="1" applyFont="1" applyBorder="1" applyAlignment="1">
      <alignment horizontal="center" vertical="center" wrapText="1"/>
    </xf>
    <xf numFmtId="1" fontId="9" fillId="4" borderId="16" xfId="1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1" fontId="78" fillId="0" borderId="16" xfId="1" applyNumberFormat="1" applyFont="1" applyBorder="1" applyAlignment="1">
      <alignment horizontal="center" vertical="center" wrapText="1"/>
    </xf>
    <xf numFmtId="0" fontId="79" fillId="0" borderId="43" xfId="0" applyFont="1" applyBorder="1" applyAlignment="1">
      <alignment horizontal="center" vertical="center"/>
    </xf>
    <xf numFmtId="0" fontId="79" fillId="0" borderId="10" xfId="0" applyFont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4" fontId="82" fillId="0" borderId="0" xfId="0" applyNumberFormat="1" applyFont="1" applyAlignment="1">
      <alignment horizontal="center" vertical="center"/>
    </xf>
    <xf numFmtId="2" fontId="5" fillId="16" borderId="10" xfId="0" applyNumberFormat="1" applyFont="1" applyFill="1" applyBorder="1" applyAlignment="1">
      <alignment horizontal="center" vertical="center"/>
    </xf>
    <xf numFmtId="2" fontId="5" fillId="16" borderId="13" xfId="0" applyNumberFormat="1" applyFont="1" applyFill="1" applyBorder="1" applyAlignment="1">
      <alignment horizontal="center" vertical="center"/>
    </xf>
    <xf numFmtId="4" fontId="7" fillId="16" borderId="43" xfId="0" applyNumberFormat="1" applyFont="1" applyFill="1" applyBorder="1" applyAlignment="1">
      <alignment horizontal="center" vertical="center"/>
    </xf>
    <xf numFmtId="0" fontId="43" fillId="0" borderId="71" xfId="0" applyFont="1" applyBorder="1" applyAlignment="1">
      <alignment horizontal="center" vertical="center"/>
    </xf>
    <xf numFmtId="4" fontId="43" fillId="0" borderId="71" xfId="0" applyNumberFormat="1" applyFont="1" applyBorder="1" applyAlignment="1">
      <alignment horizontal="center" vertical="center"/>
    </xf>
    <xf numFmtId="4" fontId="5" fillId="0" borderId="70" xfId="0" applyNumberFormat="1" applyFont="1" applyBorder="1" applyAlignment="1">
      <alignment vertical="center"/>
    </xf>
    <xf numFmtId="166" fontId="5" fillId="0" borderId="10" xfId="0" applyNumberFormat="1" applyFont="1" applyBorder="1" applyAlignment="1">
      <alignment horizontal="center" vertical="center"/>
    </xf>
    <xf numFmtId="166" fontId="7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10" fillId="0" borderId="0" xfId="0" applyNumberFormat="1" applyFont="1" applyAlignment="1">
      <alignment vertical="center"/>
    </xf>
    <xf numFmtId="3" fontId="10" fillId="17" borderId="10" xfId="0" applyNumberFormat="1" applyFont="1" applyFill="1" applyBorder="1" applyAlignment="1">
      <alignment horizontal="center" vertical="center"/>
    </xf>
    <xf numFmtId="3" fontId="10" fillId="3" borderId="10" xfId="0" applyNumberFormat="1" applyFont="1" applyFill="1" applyBorder="1" applyAlignment="1">
      <alignment horizontal="center" vertical="center"/>
    </xf>
    <xf numFmtId="0" fontId="87" fillId="0" borderId="0" xfId="0" applyFont="1" applyAlignment="1">
      <alignment vertical="center"/>
    </xf>
    <xf numFmtId="14" fontId="5" fillId="0" borderId="0" xfId="0" applyNumberFormat="1" applyFont="1" applyAlignment="1">
      <alignment horizontal="left" vertical="center"/>
    </xf>
    <xf numFmtId="0" fontId="92" fillId="0" borderId="0" xfId="0" applyFont="1" applyAlignment="1">
      <alignment horizontal="center" vertical="center"/>
    </xf>
    <xf numFmtId="2" fontId="9" fillId="0" borderId="16" xfId="1" applyNumberFormat="1" applyFont="1" applyBorder="1" applyAlignment="1">
      <alignment horizontal="left" vertical="center" wrapText="1"/>
    </xf>
    <xf numFmtId="3" fontId="10" fillId="3" borderId="16" xfId="0" applyNumberFormat="1" applyFont="1" applyFill="1" applyBorder="1" applyAlignment="1">
      <alignment horizontal="center" vertical="center"/>
    </xf>
    <xf numFmtId="3" fontId="10" fillId="17" borderId="16" xfId="0" applyNumberFormat="1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3" fontId="10" fillId="17" borderId="17" xfId="0" applyNumberFormat="1" applyFont="1" applyFill="1" applyBorder="1" applyAlignment="1">
      <alignment horizontal="center" vertical="center"/>
    </xf>
    <xf numFmtId="3" fontId="10" fillId="17" borderId="29" xfId="0" applyNumberFormat="1" applyFont="1" applyFill="1" applyBorder="1" applyAlignment="1">
      <alignment horizontal="center" vertical="center"/>
    </xf>
    <xf numFmtId="3" fontId="10" fillId="17" borderId="28" xfId="0" applyNumberFormat="1" applyFont="1" applyFill="1" applyBorder="1" applyAlignment="1">
      <alignment horizontal="center" vertical="center"/>
    </xf>
    <xf numFmtId="3" fontId="10" fillId="17" borderId="9" xfId="0" applyNumberFormat="1" applyFont="1" applyFill="1" applyBorder="1" applyAlignment="1">
      <alignment horizontal="center" vertical="center"/>
    </xf>
    <xf numFmtId="0" fontId="10" fillId="3" borderId="55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3" fontId="10" fillId="3" borderId="15" xfId="0" applyNumberFormat="1" applyFont="1" applyFill="1" applyBorder="1" applyAlignment="1">
      <alignment horizontal="center" vertical="center"/>
    </xf>
    <xf numFmtId="9" fontId="10" fillId="3" borderId="58" xfId="0" applyNumberFormat="1" applyFont="1" applyFill="1" applyBorder="1" applyAlignment="1">
      <alignment horizontal="center" vertical="center"/>
    </xf>
    <xf numFmtId="3" fontId="10" fillId="3" borderId="11" xfId="0" applyNumberFormat="1" applyFont="1" applyFill="1" applyBorder="1" applyAlignment="1">
      <alignment horizontal="center" vertical="center"/>
    </xf>
    <xf numFmtId="9" fontId="10" fillId="3" borderId="20" xfId="0" applyNumberFormat="1" applyFont="1" applyFill="1" applyBorder="1" applyAlignment="1">
      <alignment horizontal="center" vertical="center"/>
    </xf>
    <xf numFmtId="0" fontId="10" fillId="17" borderId="18" xfId="0" applyFont="1" applyFill="1" applyBorder="1" applyAlignment="1">
      <alignment horizontal="center" vertical="center"/>
    </xf>
    <xf numFmtId="9" fontId="10" fillId="17" borderId="19" xfId="0" applyNumberFormat="1" applyFont="1" applyFill="1" applyBorder="1" applyAlignment="1">
      <alignment horizontal="center" vertical="center"/>
    </xf>
    <xf numFmtId="9" fontId="10" fillId="17" borderId="8" xfId="0" applyNumberFormat="1" applyFont="1" applyFill="1" applyBorder="1" applyAlignment="1">
      <alignment horizontal="center" vertical="center"/>
    </xf>
    <xf numFmtId="3" fontId="88" fillId="6" borderId="46" xfId="0" applyNumberFormat="1" applyFont="1" applyFill="1" applyBorder="1" applyAlignment="1">
      <alignment horizontal="center" vertical="center"/>
    </xf>
    <xf numFmtId="3" fontId="88" fillId="6" borderId="45" xfId="0" applyNumberFormat="1" applyFont="1" applyFill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1" fontId="21" fillId="0" borderId="58" xfId="1" applyNumberFormat="1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1" fontId="21" fillId="0" borderId="20" xfId="1" applyNumberFormat="1" applyFont="1" applyBorder="1" applyAlignment="1">
      <alignment horizontal="left" vertical="center" wrapText="1"/>
    </xf>
    <xf numFmtId="1" fontId="54" fillId="0" borderId="20" xfId="1" applyNumberFormat="1" applyFont="1" applyBorder="1" applyAlignment="1">
      <alignment horizontal="left" vertical="center" wrapText="1"/>
    </xf>
    <xf numFmtId="3" fontId="90" fillId="16" borderId="33" xfId="0" applyNumberFormat="1" applyFont="1" applyFill="1" applyBorder="1" applyAlignment="1">
      <alignment horizontal="center" vertical="center"/>
    </xf>
    <xf numFmtId="3" fontId="90" fillId="16" borderId="41" xfId="0" applyNumberFormat="1" applyFont="1" applyFill="1" applyBorder="1" applyAlignment="1">
      <alignment horizontal="center" vertical="center"/>
    </xf>
    <xf numFmtId="3" fontId="61" fillId="16" borderId="41" xfId="0" applyNumberFormat="1" applyFont="1" applyFill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2" fontId="9" fillId="0" borderId="13" xfId="1" applyNumberFormat="1" applyFont="1" applyBorder="1" applyAlignment="1">
      <alignment horizontal="left" vertical="center" wrapText="1"/>
    </xf>
    <xf numFmtId="1" fontId="21" fillId="0" borderId="48" xfId="1" applyNumberFormat="1" applyFont="1" applyBorder="1" applyAlignment="1">
      <alignment horizontal="left" vertical="center" wrapText="1"/>
    </xf>
    <xf numFmtId="3" fontId="10" fillId="3" borderId="21" xfId="0" applyNumberFormat="1" applyFont="1" applyFill="1" applyBorder="1" applyAlignment="1">
      <alignment horizontal="center" vertical="center"/>
    </xf>
    <xf numFmtId="3" fontId="10" fillId="3" borderId="13" xfId="0" applyNumberFormat="1" applyFont="1" applyFill="1" applyBorder="1" applyAlignment="1">
      <alignment horizontal="center" vertical="center"/>
    </xf>
    <xf numFmtId="9" fontId="10" fillId="3" borderId="48" xfId="0" applyNumberFormat="1" applyFont="1" applyFill="1" applyBorder="1" applyAlignment="1">
      <alignment horizontal="center" vertical="center"/>
    </xf>
    <xf numFmtId="3" fontId="10" fillId="17" borderId="25" xfId="0" applyNumberFormat="1" applyFont="1" applyFill="1" applyBorder="1" applyAlignment="1">
      <alignment horizontal="center" vertical="center"/>
    </xf>
    <xf numFmtId="3" fontId="10" fillId="17" borderId="13" xfId="0" applyNumberFormat="1" applyFont="1" applyFill="1" applyBorder="1" applyAlignment="1">
      <alignment horizontal="center" vertical="center"/>
    </xf>
    <xf numFmtId="9" fontId="10" fillId="17" borderId="12" xfId="0" applyNumberFormat="1" applyFont="1" applyFill="1" applyBorder="1" applyAlignment="1">
      <alignment horizontal="center" vertical="center"/>
    </xf>
    <xf numFmtId="3" fontId="88" fillId="6" borderId="57" xfId="0" applyNumberFormat="1" applyFont="1" applyFill="1" applyBorder="1" applyAlignment="1">
      <alignment horizontal="center" vertical="center"/>
    </xf>
    <xf numFmtId="3" fontId="90" fillId="16" borderId="77" xfId="0" applyNumberFormat="1" applyFont="1" applyFill="1" applyBorder="1" applyAlignment="1">
      <alignment horizontal="center" vertical="center"/>
    </xf>
    <xf numFmtId="0" fontId="21" fillId="0" borderId="40" xfId="0" applyFont="1" applyBorder="1" applyAlignment="1">
      <alignment vertical="center"/>
    </xf>
    <xf numFmtId="3" fontId="9" fillId="3" borderId="50" xfId="0" applyNumberFormat="1" applyFont="1" applyFill="1" applyBorder="1" applyAlignment="1">
      <alignment horizontal="center" vertical="center"/>
    </xf>
    <xf numFmtId="3" fontId="9" fillId="3" borderId="43" xfId="0" applyNumberFormat="1" applyFont="1" applyFill="1" applyBorder="1" applyAlignment="1">
      <alignment horizontal="center" vertical="center"/>
    </xf>
    <xf numFmtId="9" fontId="9" fillId="3" borderId="40" xfId="0" applyNumberFormat="1" applyFont="1" applyFill="1" applyBorder="1" applyAlignment="1">
      <alignment horizontal="center" vertical="center"/>
    </xf>
    <xf numFmtId="3" fontId="9" fillId="17" borderId="53" xfId="0" applyNumberFormat="1" applyFont="1" applyFill="1" applyBorder="1" applyAlignment="1">
      <alignment horizontal="center" vertical="center"/>
    </xf>
    <xf numFmtId="3" fontId="9" fillId="17" borderId="43" xfId="0" applyNumberFormat="1" applyFont="1" applyFill="1" applyBorder="1" applyAlignment="1">
      <alignment horizontal="center" vertical="center"/>
    </xf>
    <xf numFmtId="9" fontId="9" fillId="17" borderId="52" xfId="0" applyNumberFormat="1" applyFont="1" applyFill="1" applyBorder="1" applyAlignment="1">
      <alignment horizontal="center" vertical="center"/>
    </xf>
    <xf numFmtId="3" fontId="83" fillId="6" borderId="24" xfId="0" applyNumberFormat="1" applyFont="1" applyFill="1" applyBorder="1" applyAlignment="1">
      <alignment horizontal="center" vertical="center"/>
    </xf>
    <xf numFmtId="3" fontId="61" fillId="16" borderId="7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79" fillId="0" borderId="0" xfId="0" applyFont="1" applyAlignment="1">
      <alignment horizontal="center" vertical="center"/>
    </xf>
    <xf numFmtId="0" fontId="79" fillId="0" borderId="0" xfId="0" applyFont="1" applyAlignment="1">
      <alignment horizontal="left" vertical="center"/>
    </xf>
    <xf numFmtId="4" fontId="43" fillId="0" borderId="0" xfId="7" applyNumberFormat="1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5" fillId="0" borderId="0" xfId="0" applyFont="1" applyAlignment="1">
      <alignment vertical="center"/>
    </xf>
    <xf numFmtId="4" fontId="96" fillId="0" borderId="11" xfId="0" applyNumberFormat="1" applyFont="1" applyBorder="1" applyAlignment="1">
      <alignment horizontal="center" vertical="center"/>
    </xf>
    <xf numFmtId="4" fontId="97" fillId="0" borderId="11" xfId="0" applyNumberFormat="1" applyFont="1" applyBorder="1" applyAlignment="1">
      <alignment horizontal="center" vertical="center"/>
    </xf>
    <xf numFmtId="4" fontId="98" fillId="0" borderId="11" xfId="0" applyNumberFormat="1" applyFont="1" applyBorder="1" applyAlignment="1">
      <alignment horizontal="center" vertical="center"/>
    </xf>
    <xf numFmtId="14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49" fontId="74" fillId="0" borderId="0" xfId="0" applyNumberFormat="1" applyFont="1" applyAlignment="1">
      <alignment vertical="center" wrapText="1"/>
    </xf>
    <xf numFmtId="2" fontId="57" fillId="0" borderId="0" xfId="0" applyNumberFormat="1" applyFont="1" applyAlignment="1">
      <alignment horizontal="center" vertical="center"/>
    </xf>
    <xf numFmtId="4" fontId="40" fillId="10" borderId="0" xfId="7" applyNumberFormat="1" applyFont="1" applyFill="1" applyAlignment="1">
      <alignment horizontal="center" vertical="center"/>
    </xf>
    <xf numFmtId="4" fontId="40" fillId="9" borderId="0" xfId="7" applyNumberFormat="1" applyFont="1" applyFill="1" applyAlignment="1">
      <alignment horizontal="center" vertical="center"/>
    </xf>
    <xf numFmtId="166" fontId="27" fillId="0" borderId="0" xfId="0" applyNumberFormat="1" applyFont="1" applyAlignment="1">
      <alignment vertical="center"/>
    </xf>
    <xf numFmtId="2" fontId="5" fillId="9" borderId="1" xfId="0" applyNumberFormat="1" applyFont="1" applyFill="1" applyBorder="1" applyAlignment="1">
      <alignment vertical="center"/>
    </xf>
    <xf numFmtId="0" fontId="46" fillId="0" borderId="0" xfId="0" applyFont="1" applyAlignment="1">
      <alignment horizontal="center" vertical="center"/>
    </xf>
    <xf numFmtId="165" fontId="43" fillId="0" borderId="0" xfId="7" applyFont="1" applyAlignment="1">
      <alignment horizontal="center" vertical="center"/>
    </xf>
    <xf numFmtId="165" fontId="74" fillId="0" borderId="0" xfId="7" applyFont="1" applyFill="1" applyBorder="1" applyAlignment="1">
      <alignment vertical="center" wrapText="1"/>
    </xf>
    <xf numFmtId="165" fontId="43" fillId="0" borderId="0" xfId="7" applyFont="1" applyFill="1" applyAlignment="1">
      <alignment horizontal="center" vertical="center"/>
    </xf>
    <xf numFmtId="165" fontId="42" fillId="0" borderId="0" xfId="7" applyFont="1" applyAlignment="1">
      <alignment vertical="center"/>
    </xf>
    <xf numFmtId="171" fontId="94" fillId="0" borderId="0" xfId="7" applyNumberFormat="1" applyFont="1" applyFill="1" applyAlignment="1">
      <alignment horizontal="center" vertical="center"/>
    </xf>
    <xf numFmtId="2" fontId="7" fillId="0" borderId="10" xfId="0" applyNumberFormat="1" applyFont="1" applyBorder="1" applyAlignment="1">
      <alignment horizontal="center" vertical="center"/>
    </xf>
    <xf numFmtId="14" fontId="57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2" fontId="58" fillId="0" borderId="0" xfId="0" applyNumberFormat="1" applyFont="1" applyAlignment="1">
      <alignment vertical="center"/>
    </xf>
    <xf numFmtId="4" fontId="57" fillId="0" borderId="0" xfId="0" applyNumberFormat="1" applyFont="1" applyAlignment="1">
      <alignment vertical="center"/>
    </xf>
    <xf numFmtId="10" fontId="58" fillId="0" borderId="0" xfId="0" applyNumberFormat="1" applyFont="1" applyAlignment="1">
      <alignment vertical="center"/>
    </xf>
    <xf numFmtId="3" fontId="5" fillId="4" borderId="0" xfId="0" applyNumberFormat="1" applyFont="1" applyFill="1" applyAlignment="1">
      <alignment horizontal="center" vertical="center"/>
    </xf>
    <xf numFmtId="3" fontId="5" fillId="0" borderId="10" xfId="0" applyNumberFormat="1" applyFont="1" applyBorder="1" applyAlignment="1">
      <alignment horizontal="center" vertical="center" wrapText="1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7" fillId="0" borderId="0" xfId="0" applyNumberFormat="1" applyFont="1" applyAlignment="1">
      <alignment horizontal="left" vertical="center"/>
    </xf>
    <xf numFmtId="0" fontId="80" fillId="0" borderId="76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58" fillId="0" borderId="0" xfId="0" applyFont="1" applyAlignment="1">
      <alignment horizontal="center" vertical="center"/>
    </xf>
    <xf numFmtId="2" fontId="7" fillId="0" borderId="0" xfId="7" applyNumberFormat="1" applyFont="1" applyFill="1" applyAlignment="1">
      <alignment vertical="center"/>
    </xf>
    <xf numFmtId="4" fontId="43" fillId="0" borderId="53" xfId="7" applyNumberFormat="1" applyFont="1" applyFill="1" applyBorder="1" applyAlignment="1">
      <alignment horizontal="center" vertical="center"/>
    </xf>
    <xf numFmtId="2" fontId="40" fillId="8" borderId="11" xfId="1" applyNumberFormat="1" applyFont="1" applyFill="1" applyBorder="1" applyAlignment="1">
      <alignment horizontal="left" vertical="center"/>
    </xf>
    <xf numFmtId="2" fontId="47" fillId="2" borderId="11" xfId="1" applyNumberFormat="1" applyFont="1" applyFill="1" applyBorder="1" applyAlignment="1">
      <alignment horizontal="left" vertical="center"/>
    </xf>
    <xf numFmtId="2" fontId="40" fillId="2" borderId="21" xfId="1" applyNumberFormat="1" applyFont="1" applyFill="1" applyBorder="1" applyAlignment="1">
      <alignment horizontal="left" vertical="center"/>
    </xf>
    <xf numFmtId="0" fontId="48" fillId="0" borderId="45" xfId="0" applyFont="1" applyBorder="1" applyAlignment="1">
      <alignment vertical="center"/>
    </xf>
    <xf numFmtId="2" fontId="43" fillId="0" borderId="0" xfId="0" applyNumberFormat="1" applyFont="1" applyAlignment="1">
      <alignment horizontal="center" vertical="center"/>
    </xf>
    <xf numFmtId="10" fontId="57" fillId="4" borderId="0" xfId="0" applyNumberFormat="1" applyFont="1" applyFill="1" applyAlignment="1">
      <alignment vertical="center"/>
    </xf>
    <xf numFmtId="3" fontId="101" fillId="0" borderId="0" xfId="0" applyNumberFormat="1" applyFont="1" applyAlignment="1">
      <alignment horizontal="center" vertical="center"/>
    </xf>
    <xf numFmtId="1" fontId="78" fillId="0" borderId="10" xfId="1" applyNumberFormat="1" applyFont="1" applyBorder="1" applyAlignment="1">
      <alignment horizontal="center" vertical="center" wrapText="1"/>
    </xf>
    <xf numFmtId="0" fontId="80" fillId="0" borderId="10" xfId="0" applyFont="1" applyBorder="1" applyAlignment="1">
      <alignment horizontal="center" vertical="center" wrapText="1"/>
    </xf>
    <xf numFmtId="3" fontId="7" fillId="4" borderId="0" xfId="0" applyNumberFormat="1" applyFont="1" applyFill="1" applyAlignment="1">
      <alignment horizontal="center" vertical="center"/>
    </xf>
    <xf numFmtId="3" fontId="5" fillId="4" borderId="0" xfId="0" applyNumberFormat="1" applyFont="1" applyFill="1" applyAlignment="1">
      <alignment horizontal="right" vertical="center"/>
    </xf>
    <xf numFmtId="3" fontId="43" fillId="4" borderId="0" xfId="0" applyNumberFormat="1" applyFont="1" applyFill="1" applyAlignment="1">
      <alignment horizontal="left" vertical="center"/>
    </xf>
    <xf numFmtId="169" fontId="5" fillId="4" borderId="0" xfId="0" applyNumberFormat="1" applyFont="1" applyFill="1" applyAlignment="1">
      <alignment horizontal="center" vertical="center"/>
    </xf>
    <xf numFmtId="0" fontId="59" fillId="0" borderId="0" xfId="0" applyFont="1" applyAlignment="1">
      <alignment vertical="center" wrapText="1"/>
    </xf>
    <xf numFmtId="172" fontId="42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4" fontId="42" fillId="0" borderId="50" xfId="0" applyNumberFormat="1" applyFont="1" applyBorder="1" applyAlignment="1">
      <alignment vertical="center"/>
    </xf>
    <xf numFmtId="4" fontId="42" fillId="0" borderId="43" xfId="0" applyNumberFormat="1" applyFont="1" applyBorder="1" applyAlignment="1">
      <alignment vertical="center"/>
    </xf>
    <xf numFmtId="4" fontId="42" fillId="0" borderId="50" xfId="0" applyNumberFormat="1" applyFont="1" applyBorder="1" applyAlignment="1">
      <alignment horizontal="center" vertical="center"/>
    </xf>
    <xf numFmtId="4" fontId="42" fillId="0" borderId="43" xfId="0" applyNumberFormat="1" applyFont="1" applyBorder="1" applyAlignment="1">
      <alignment horizontal="center" vertical="center"/>
    </xf>
    <xf numFmtId="4" fontId="42" fillId="0" borderId="40" xfId="0" applyNumberFormat="1" applyFont="1" applyBorder="1" applyAlignment="1">
      <alignment horizontal="center" vertical="center"/>
    </xf>
    <xf numFmtId="4" fontId="42" fillId="0" borderId="40" xfId="0" applyNumberFormat="1" applyFont="1" applyBorder="1" applyAlignment="1">
      <alignment vertical="center"/>
    </xf>
    <xf numFmtId="4" fontId="42" fillId="0" borderId="52" xfId="0" applyNumberFormat="1" applyFont="1" applyBorder="1" applyAlignment="1">
      <alignment vertical="center"/>
    </xf>
    <xf numFmtId="4" fontId="42" fillId="0" borderId="0" xfId="0" applyNumberFormat="1" applyFont="1" applyAlignment="1">
      <alignment vertical="center"/>
    </xf>
    <xf numFmtId="4" fontId="43" fillId="0" borderId="5" xfId="7" applyNumberFormat="1" applyFont="1" applyBorder="1" applyAlignment="1">
      <alignment horizontal="center" vertical="center"/>
    </xf>
    <xf numFmtId="4" fontId="42" fillId="0" borderId="6" xfId="0" applyNumberFormat="1" applyFont="1" applyBorder="1" applyAlignment="1">
      <alignment vertical="center"/>
    </xf>
    <xf numFmtId="4" fontId="43" fillId="0" borderId="24" xfId="0" applyNumberFormat="1" applyFont="1" applyBorder="1" applyAlignment="1">
      <alignment vertical="center"/>
    </xf>
    <xf numFmtId="4" fontId="60" fillId="0" borderId="6" xfId="0" applyNumberFormat="1" applyFont="1" applyBorder="1" applyAlignment="1">
      <alignment vertical="center"/>
    </xf>
    <xf numFmtId="4" fontId="42" fillId="0" borderId="53" xfId="0" applyNumberFormat="1" applyFont="1" applyBorder="1" applyAlignment="1">
      <alignment vertical="center"/>
    </xf>
    <xf numFmtId="4" fontId="42" fillId="8" borderId="24" xfId="0" applyNumberFormat="1" applyFont="1" applyFill="1" applyBorder="1" applyAlignment="1">
      <alignment vertical="center"/>
    </xf>
    <xf numFmtId="4" fontId="42" fillId="0" borderId="7" xfId="0" applyNumberFormat="1" applyFont="1" applyBorder="1" applyAlignment="1">
      <alignment vertical="center"/>
    </xf>
    <xf numFmtId="4" fontId="42" fillId="0" borderId="24" xfId="0" applyNumberFormat="1" applyFont="1" applyBorder="1" applyAlignment="1">
      <alignment vertical="center"/>
    </xf>
    <xf numFmtId="4" fontId="58" fillId="0" borderId="40" xfId="0" applyNumberFormat="1" applyFont="1" applyBorder="1" applyAlignment="1">
      <alignment vertical="center"/>
    </xf>
    <xf numFmtId="3" fontId="0" fillId="0" borderId="10" xfId="0" applyNumberFormat="1" applyBorder="1" applyAlignment="1">
      <alignment horizontal="center" vertical="center" wrapText="1"/>
    </xf>
    <xf numFmtId="3" fontId="7" fillId="0" borderId="10" xfId="0" applyNumberFormat="1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6" fillId="0" borderId="0" xfId="0" applyFont="1" applyAlignment="1">
      <alignment horizontal="left" vertical="center"/>
    </xf>
    <xf numFmtId="0" fontId="102" fillId="0" borderId="10" xfId="1" applyFont="1" applyBorder="1" applyAlignment="1">
      <alignment horizontal="center" vertical="center" wrapText="1"/>
    </xf>
    <xf numFmtId="0" fontId="103" fillId="0" borderId="10" xfId="1" applyFont="1" applyBorder="1" applyAlignment="1">
      <alignment horizontal="left" vertical="center" wrapText="1"/>
    </xf>
    <xf numFmtId="4" fontId="104" fillId="0" borderId="10" xfId="1" applyNumberFormat="1" applyFont="1" applyBorder="1" applyAlignment="1">
      <alignment horizontal="center" vertical="center" wrapText="1"/>
    </xf>
    <xf numFmtId="0" fontId="105" fillId="0" borderId="10" xfId="1" applyFont="1" applyBorder="1" applyAlignment="1">
      <alignment horizontal="center" vertical="center" wrapText="1"/>
    </xf>
    <xf numFmtId="0" fontId="27" fillId="0" borderId="10" xfId="1" applyFont="1" applyBorder="1" applyAlignment="1">
      <alignment horizontal="left" vertical="center" wrapText="1"/>
    </xf>
    <xf numFmtId="4" fontId="27" fillId="0" borderId="79" xfId="1" applyNumberFormat="1" applyFont="1" applyBorder="1" applyAlignment="1">
      <alignment horizontal="center" vertical="center" wrapText="1"/>
    </xf>
    <xf numFmtId="0" fontId="27" fillId="0" borderId="79" xfId="1" applyFont="1" applyBorder="1" applyAlignment="1">
      <alignment horizontal="right" vertical="center" wrapText="1"/>
    </xf>
    <xf numFmtId="4" fontId="27" fillId="0" borderId="10" xfId="1" applyNumberFormat="1" applyFont="1" applyBorder="1" applyAlignment="1">
      <alignment horizontal="center" vertical="center" wrapText="1"/>
    </xf>
    <xf numFmtId="4" fontId="0" fillId="0" borderId="10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0" fontId="27" fillId="0" borderId="79" xfId="1" applyFont="1" applyBorder="1" applyAlignment="1">
      <alignment horizontal="center" vertical="center" wrapText="1"/>
    </xf>
    <xf numFmtId="0" fontId="106" fillId="0" borderId="10" xfId="1" applyFont="1" applyBorder="1" applyAlignment="1">
      <alignment horizontal="center" vertical="center" wrapText="1"/>
    </xf>
    <xf numFmtId="0" fontId="107" fillId="0" borderId="10" xfId="1" applyFont="1" applyBorder="1" applyAlignment="1">
      <alignment horizontal="center" vertical="center" wrapText="1"/>
    </xf>
    <xf numFmtId="4" fontId="107" fillId="0" borderId="10" xfId="1" applyNumberFormat="1" applyFont="1" applyBorder="1" applyAlignment="1">
      <alignment horizontal="center" vertical="center" wrapText="1"/>
    </xf>
    <xf numFmtId="4" fontId="7" fillId="0" borderId="10" xfId="0" applyNumberFormat="1" applyFont="1" applyBorder="1" applyAlignment="1">
      <alignment vertical="center"/>
    </xf>
    <xf numFmtId="4" fontId="55" fillId="0" borderId="0" xfId="0" applyNumberFormat="1" applyFont="1" applyAlignment="1">
      <alignment horizontal="center" vertical="center"/>
    </xf>
    <xf numFmtId="4" fontId="55" fillId="0" borderId="0" xfId="0" applyNumberFormat="1" applyFont="1" applyAlignment="1">
      <alignment vertical="center"/>
    </xf>
    <xf numFmtId="4" fontId="5" fillId="0" borderId="15" xfId="0" applyNumberFormat="1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40" fillId="0" borderId="10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109" fillId="0" borderId="10" xfId="0" applyFont="1" applyBorder="1" applyAlignment="1">
      <alignment horizontal="center" vertical="center"/>
    </xf>
    <xf numFmtId="0" fontId="35" fillId="0" borderId="79" xfId="1" applyFont="1" applyBorder="1" applyAlignment="1">
      <alignment horizontal="center" vertical="center" wrapText="1"/>
    </xf>
    <xf numFmtId="0" fontId="108" fillId="0" borderId="10" xfId="0" applyFont="1" applyBorder="1" applyAlignment="1">
      <alignment vertical="center"/>
    </xf>
    <xf numFmtId="0" fontId="27" fillId="0" borderId="10" xfId="1" applyFont="1" applyBorder="1" applyAlignment="1">
      <alignment horizontal="center" vertical="center" wrapText="1"/>
    </xf>
    <xf numFmtId="168" fontId="0" fillId="0" borderId="10" xfId="0" applyNumberFormat="1" applyBorder="1" applyAlignment="1">
      <alignment horizontal="center" vertical="center"/>
    </xf>
    <xf numFmtId="0" fontId="35" fillId="0" borderId="10" xfId="1" applyFont="1" applyBorder="1" applyAlignment="1">
      <alignment horizontal="center" vertical="center" wrapText="1"/>
    </xf>
    <xf numFmtId="0" fontId="7" fillId="16" borderId="10" xfId="0" applyFont="1" applyFill="1" applyBorder="1" applyAlignment="1">
      <alignment horizontal="center" vertical="center"/>
    </xf>
    <xf numFmtId="0" fontId="109" fillId="16" borderId="10" xfId="0" applyFont="1" applyFill="1" applyBorder="1" applyAlignment="1">
      <alignment vertical="center"/>
    </xf>
    <xf numFmtId="0" fontId="0" fillId="16" borderId="10" xfId="0" applyFill="1" applyBorder="1" applyAlignment="1">
      <alignment vertical="center"/>
    </xf>
    <xf numFmtId="168" fontId="7" fillId="16" borderId="1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4" fontId="108" fillId="0" borderId="0" xfId="0" applyNumberFormat="1" applyFont="1" applyAlignment="1">
      <alignment horizontal="left" vertical="center"/>
    </xf>
    <xf numFmtId="0" fontId="110" fillId="0" borderId="0" xfId="0" applyFont="1" applyAlignment="1">
      <alignment vertical="center"/>
    </xf>
    <xf numFmtId="0" fontId="110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27" fillId="0" borderId="10" xfId="0" applyFont="1" applyBorder="1" applyAlignment="1">
      <alignment horizontal="center" vertical="center" wrapText="1"/>
    </xf>
    <xf numFmtId="4" fontId="111" fillId="0" borderId="0" xfId="0" applyNumberFormat="1" applyFont="1" applyAlignment="1">
      <alignment horizontal="center"/>
    </xf>
    <xf numFmtId="4" fontId="7" fillId="0" borderId="16" xfId="1" applyNumberFormat="1" applyFont="1" applyBorder="1" applyAlignment="1">
      <alignment horizontal="center" vertical="center" wrapText="1"/>
    </xf>
    <xf numFmtId="4" fontId="7" fillId="0" borderId="39" xfId="1" applyNumberFormat="1" applyFont="1" applyBorder="1" applyAlignment="1">
      <alignment horizontal="center" vertical="center" wrapText="1"/>
    </xf>
    <xf numFmtId="4" fontId="5" fillId="0" borderId="10" xfId="0" applyNumberFormat="1" applyFont="1" applyBorder="1" applyAlignment="1">
      <alignment vertical="center"/>
    </xf>
    <xf numFmtId="4" fontId="7" fillId="0" borderId="50" xfId="0" applyNumberFormat="1" applyFont="1" applyBorder="1" applyAlignment="1">
      <alignment vertical="center"/>
    </xf>
    <xf numFmtId="4" fontId="5" fillId="0" borderId="49" xfId="0" applyNumberFormat="1" applyFont="1" applyBorder="1" applyAlignment="1">
      <alignment horizontal="center" vertical="center"/>
    </xf>
    <xf numFmtId="4" fontId="5" fillId="0" borderId="13" xfId="0" applyNumberFormat="1" applyFont="1" applyBorder="1" applyAlignment="1">
      <alignment horizontal="center" vertical="center"/>
    </xf>
    <xf numFmtId="4" fontId="7" fillId="0" borderId="43" xfId="0" applyNumberFormat="1" applyFont="1" applyBorder="1" applyAlignment="1">
      <alignment vertical="center"/>
    </xf>
    <xf numFmtId="4" fontId="5" fillId="0" borderId="34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 vertical="center"/>
    </xf>
    <xf numFmtId="3" fontId="7" fillId="14" borderId="10" xfId="0" applyNumberFormat="1" applyFont="1" applyFill="1" applyBorder="1" applyAlignment="1">
      <alignment horizontal="center" vertical="center"/>
    </xf>
    <xf numFmtId="49" fontId="35" fillId="0" borderId="10" xfId="1" applyNumberFormat="1" applyFont="1" applyBorder="1" applyAlignment="1">
      <alignment horizontal="center" vertical="center" wrapText="1"/>
    </xf>
    <xf numFmtId="2" fontId="27" fillId="0" borderId="10" xfId="1" applyNumberFormat="1" applyFont="1" applyBorder="1" applyAlignment="1">
      <alignment horizontal="center" vertical="center"/>
    </xf>
    <xf numFmtId="170" fontId="35" fillId="0" borderId="10" xfId="1" applyNumberFormat="1" applyFont="1" applyBorder="1" applyAlignment="1">
      <alignment horizontal="center" vertical="center" wrapText="1"/>
    </xf>
    <xf numFmtId="173" fontId="35" fillId="0" borderId="10" xfId="0" applyNumberFormat="1" applyFont="1" applyBorder="1" applyAlignment="1">
      <alignment horizontal="center" vertical="center"/>
    </xf>
    <xf numFmtId="164" fontId="2" fillId="0" borderId="10" xfId="7" applyNumberFormat="1" applyFont="1" applyFill="1" applyBorder="1" applyAlignment="1">
      <alignment horizontal="center" vertical="center"/>
    </xf>
    <xf numFmtId="164" fontId="35" fillId="0" borderId="10" xfId="0" applyNumberFormat="1" applyFont="1" applyBorder="1" applyAlignment="1">
      <alignment horizontal="center" vertical="center"/>
    </xf>
    <xf numFmtId="2" fontId="113" fillId="0" borderId="10" xfId="1" applyNumberFormat="1" applyFont="1" applyBorder="1" applyAlignment="1">
      <alignment horizontal="center" vertical="center"/>
    </xf>
    <xf numFmtId="2" fontId="27" fillId="0" borderId="10" xfId="0" applyNumberFormat="1" applyFont="1" applyBorder="1" applyAlignment="1">
      <alignment horizontal="center" vertical="center"/>
    </xf>
    <xf numFmtId="0" fontId="114" fillId="0" borderId="10" xfId="1" applyFont="1" applyBorder="1" applyAlignment="1">
      <alignment horizontal="left" vertical="center" wrapText="1"/>
    </xf>
    <xf numFmtId="167" fontId="27" fillId="0" borderId="0" xfId="0" applyNumberFormat="1" applyFont="1" applyAlignment="1">
      <alignment vertical="center"/>
    </xf>
    <xf numFmtId="0" fontId="35" fillId="0" borderId="10" xfId="0" applyFont="1" applyBorder="1" applyAlignment="1">
      <alignment horizontal="center" vertical="center" wrapText="1"/>
    </xf>
    <xf numFmtId="4" fontId="35" fillId="0" borderId="13" xfId="1" applyNumberFormat="1" applyFont="1" applyBorder="1" applyAlignment="1">
      <alignment horizontal="center" vertical="center" wrapText="1"/>
    </xf>
    <xf numFmtId="4" fontId="35" fillId="0" borderId="13" xfId="0" applyNumberFormat="1" applyFont="1" applyBorder="1" applyAlignment="1">
      <alignment horizontal="center" vertical="center" wrapText="1"/>
    </xf>
    <xf numFmtId="4" fontId="115" fillId="0" borderId="13" xfId="0" applyNumberFormat="1" applyFont="1" applyBorder="1" applyAlignment="1">
      <alignment horizontal="center" vertical="center"/>
    </xf>
    <xf numFmtId="167" fontId="27" fillId="0" borderId="10" xfId="0" applyNumberFormat="1" applyFont="1" applyBorder="1" applyAlignment="1">
      <alignment horizontal="center" vertical="center"/>
    </xf>
    <xf numFmtId="2" fontId="35" fillId="0" borderId="10" xfId="0" applyNumberFormat="1" applyFont="1" applyBorder="1" applyAlignment="1">
      <alignment horizontal="center" vertical="center"/>
    </xf>
    <xf numFmtId="2" fontId="23" fillId="0" borderId="10" xfId="1" applyNumberFormat="1" applyFont="1" applyBorder="1" applyAlignment="1">
      <alignment horizontal="center" vertical="center"/>
    </xf>
    <xf numFmtId="4" fontId="35" fillId="0" borderId="10" xfId="0" applyNumberFormat="1" applyFont="1" applyBorder="1" applyAlignment="1">
      <alignment horizontal="center" vertical="center"/>
    </xf>
    <xf numFmtId="4" fontId="68" fillId="0" borderId="10" xfId="0" applyNumberFormat="1" applyFont="1" applyBorder="1" applyAlignment="1">
      <alignment horizontal="center" vertical="center"/>
    </xf>
    <xf numFmtId="4" fontId="27" fillId="0" borderId="10" xfId="0" applyNumberFormat="1" applyFont="1" applyBorder="1" applyAlignment="1">
      <alignment vertical="center"/>
    </xf>
    <xf numFmtId="4" fontId="115" fillId="0" borderId="10" xfId="0" applyNumberFormat="1" applyFont="1" applyBorder="1" applyAlignment="1">
      <alignment vertical="center"/>
    </xf>
    <xf numFmtId="2" fontId="27" fillId="0" borderId="0" xfId="0" applyNumberFormat="1" applyFont="1" applyAlignment="1">
      <alignment vertical="center"/>
    </xf>
    <xf numFmtId="4" fontId="35" fillId="0" borderId="10" xfId="1" applyNumberFormat="1" applyFont="1" applyBorder="1" applyAlignment="1">
      <alignment horizontal="center" vertical="center" wrapText="1"/>
    </xf>
    <xf numFmtId="0" fontId="47" fillId="0" borderId="10" xfId="1" applyFont="1" applyBorder="1" applyAlignment="1">
      <alignment horizontal="center" vertical="center" wrapText="1"/>
    </xf>
    <xf numFmtId="0" fontId="35" fillId="0" borderId="10" xfId="1" applyFont="1" applyBorder="1" applyAlignment="1">
      <alignment horizontal="left" vertical="center" wrapText="1"/>
    </xf>
    <xf numFmtId="4" fontId="35" fillId="0" borderId="0" xfId="0" applyNumberFormat="1" applyFont="1" applyAlignment="1">
      <alignment vertical="center"/>
    </xf>
    <xf numFmtId="4" fontId="28" fillId="0" borderId="0" xfId="0" applyNumberFormat="1" applyFont="1" applyAlignment="1">
      <alignment horizontal="center" vertical="center"/>
    </xf>
    <xf numFmtId="3" fontId="35" fillId="0" borderId="0" xfId="0" applyNumberFormat="1" applyFont="1" applyAlignment="1">
      <alignment vertical="center"/>
    </xf>
    <xf numFmtId="0" fontId="47" fillId="0" borderId="0" xfId="0" applyFont="1" applyAlignment="1">
      <alignment vertical="center"/>
    </xf>
    <xf numFmtId="167" fontId="47" fillId="0" borderId="0" xfId="0" applyNumberFormat="1" applyFont="1" applyAlignment="1">
      <alignment vertical="center"/>
    </xf>
    <xf numFmtId="167" fontId="116" fillId="0" borderId="0" xfId="0" applyNumberFormat="1" applyFont="1" applyAlignment="1">
      <alignment horizontal="center" vertical="center"/>
    </xf>
    <xf numFmtId="4" fontId="27" fillId="0" borderId="0" xfId="0" applyNumberFormat="1" applyFont="1" applyAlignment="1">
      <alignment vertical="center"/>
    </xf>
    <xf numFmtId="4" fontId="115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174" fontId="35" fillId="0" borderId="0" xfId="0" applyNumberFormat="1" applyFont="1" applyAlignment="1">
      <alignment vertical="center"/>
    </xf>
    <xf numFmtId="4" fontId="47" fillId="0" borderId="0" xfId="0" applyNumberFormat="1" applyFont="1" applyAlignment="1">
      <alignment vertical="center"/>
    </xf>
    <xf numFmtId="167" fontId="117" fillId="0" borderId="0" xfId="0" applyNumberFormat="1" applyFont="1" applyAlignment="1">
      <alignment horizontal="center" vertical="center"/>
    </xf>
    <xf numFmtId="4" fontId="118" fillId="0" borderId="0" xfId="0" applyNumberFormat="1" applyFont="1" applyAlignment="1">
      <alignment vertical="center"/>
    </xf>
    <xf numFmtId="175" fontId="47" fillId="0" borderId="0" xfId="0" applyNumberFormat="1" applyFont="1" applyAlignment="1">
      <alignment vertical="center"/>
    </xf>
    <xf numFmtId="4" fontId="69" fillId="0" borderId="0" xfId="0" applyNumberFormat="1" applyFont="1" applyAlignment="1">
      <alignment horizontal="center" vertical="center"/>
    </xf>
    <xf numFmtId="0" fontId="27" fillId="0" borderId="0" xfId="1" applyFont="1" applyAlignment="1">
      <alignment horizontal="center" vertical="center" wrapText="1"/>
    </xf>
    <xf numFmtId="2" fontId="47" fillId="0" borderId="10" xfId="0" applyNumberFormat="1" applyFont="1" applyBorder="1" applyAlignment="1">
      <alignment horizontal="center" vertical="center"/>
    </xf>
    <xf numFmtId="2" fontId="119" fillId="0" borderId="10" xfId="1" applyNumberFormat="1" applyFont="1" applyBorder="1" applyAlignment="1">
      <alignment horizontal="center" vertical="center"/>
    </xf>
    <xf numFmtId="4" fontId="47" fillId="0" borderId="10" xfId="0" applyNumberFormat="1" applyFont="1" applyBorder="1" applyAlignment="1">
      <alignment horizontal="center" vertical="center"/>
    </xf>
    <xf numFmtId="4" fontId="69" fillId="0" borderId="10" xfId="0" applyNumberFormat="1" applyFont="1" applyBorder="1" applyAlignment="1">
      <alignment horizontal="center" vertical="center"/>
    </xf>
    <xf numFmtId="4" fontId="118" fillId="0" borderId="10" xfId="0" applyNumberFormat="1" applyFont="1" applyBorder="1" applyAlignment="1">
      <alignment vertical="center"/>
    </xf>
    <xf numFmtId="1" fontId="78" fillId="0" borderId="42" xfId="1" applyNumberFormat="1" applyFont="1" applyBorder="1" applyAlignment="1">
      <alignment horizontal="center" vertical="center" wrapText="1"/>
    </xf>
    <xf numFmtId="0" fontId="0" fillId="0" borderId="10" xfId="0" applyBorder="1"/>
    <xf numFmtId="4" fontId="0" fillId="0" borderId="10" xfId="0" applyNumberFormat="1" applyBorder="1"/>
    <xf numFmtId="3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horizontal="left" vertical="center"/>
    </xf>
    <xf numFmtId="2" fontId="69" fillId="0" borderId="0" xfId="0" applyNumberFormat="1" applyFont="1" applyAlignment="1">
      <alignment vertical="center"/>
    </xf>
    <xf numFmtId="0" fontId="59" fillId="0" borderId="0" xfId="0" applyFont="1" applyAlignment="1">
      <alignment vertical="center"/>
    </xf>
    <xf numFmtId="169" fontId="0" fillId="0" borderId="10" xfId="0" applyNumberFormat="1" applyBorder="1" applyAlignment="1">
      <alignment vertical="center"/>
    </xf>
    <xf numFmtId="2" fontId="5" fillId="0" borderId="45" xfId="0" applyNumberFormat="1" applyFont="1" applyBorder="1" applyAlignment="1">
      <alignment horizontal="center" vertical="center"/>
    </xf>
    <xf numFmtId="4" fontId="40" fillId="0" borderId="69" xfId="0" applyNumberFormat="1" applyFont="1" applyBorder="1" applyAlignment="1">
      <alignment horizontal="center" vertical="center"/>
    </xf>
    <xf numFmtId="4" fontId="27" fillId="4" borderId="10" xfId="1" applyNumberFormat="1" applyFont="1" applyFill="1" applyBorder="1" applyAlignment="1">
      <alignment horizontal="center" vertical="center" wrapText="1"/>
    </xf>
    <xf numFmtId="4" fontId="0" fillId="4" borderId="10" xfId="0" applyNumberFormat="1" applyFill="1" applyBorder="1" applyAlignment="1">
      <alignment vertical="center"/>
    </xf>
    <xf numFmtId="4" fontId="0" fillId="4" borderId="10" xfId="0" applyNumberFormat="1" applyFill="1" applyBorder="1" applyAlignment="1">
      <alignment horizontal="center" vertical="center"/>
    </xf>
    <xf numFmtId="4" fontId="7" fillId="4" borderId="10" xfId="0" applyNumberFormat="1" applyFont="1" applyFill="1" applyBorder="1" applyAlignment="1">
      <alignment horizontal="center" vertical="center"/>
    </xf>
    <xf numFmtId="4" fontId="104" fillId="4" borderId="10" xfId="1" applyNumberFormat="1" applyFont="1" applyFill="1" applyBorder="1" applyAlignment="1">
      <alignment horizontal="center" vertical="center" wrapText="1"/>
    </xf>
    <xf numFmtId="4" fontId="104" fillId="15" borderId="10" xfId="1" applyNumberFormat="1" applyFont="1" applyFill="1" applyBorder="1" applyAlignment="1">
      <alignment horizontal="center" vertical="center" wrapText="1"/>
    </xf>
    <xf numFmtId="4" fontId="0" fillId="15" borderId="10" xfId="0" applyNumberFormat="1" applyFill="1" applyBorder="1" applyAlignment="1">
      <alignment horizontal="center" vertical="center"/>
    </xf>
    <xf numFmtId="4" fontId="7" fillId="15" borderId="10" xfId="0" applyNumberFormat="1" applyFont="1" applyFill="1" applyBorder="1" applyAlignment="1">
      <alignment horizontal="center" vertical="center"/>
    </xf>
    <xf numFmtId="4" fontId="121" fillId="0" borderId="10" xfId="0" applyNumberFormat="1" applyFont="1" applyBorder="1" applyAlignment="1">
      <alignment vertical="center"/>
    </xf>
    <xf numFmtId="4" fontId="47" fillId="0" borderId="10" xfId="1" applyNumberFormat="1" applyFont="1" applyBorder="1" applyAlignment="1">
      <alignment horizontal="center" vertical="center" wrapText="1"/>
    </xf>
    <xf numFmtId="4" fontId="43" fillId="0" borderId="10" xfId="0" applyNumberFormat="1" applyFont="1" applyBorder="1" applyAlignment="1">
      <alignment vertical="center"/>
    </xf>
    <xf numFmtId="4" fontId="5" fillId="0" borderId="0" xfId="0" applyNumberFormat="1" applyFont="1" applyAlignment="1">
      <alignment vertical="center" wrapText="1"/>
    </xf>
    <xf numFmtId="4" fontId="5" fillId="0" borderId="27" xfId="0" applyNumberFormat="1" applyFont="1" applyBorder="1" applyAlignment="1">
      <alignment vertical="center" wrapText="1"/>
    </xf>
    <xf numFmtId="4" fontId="5" fillId="15" borderId="10" xfId="0" applyNumberFormat="1" applyFont="1" applyFill="1" applyBorder="1" applyAlignment="1">
      <alignment vertical="center"/>
    </xf>
    <xf numFmtId="4" fontId="7" fillId="15" borderId="10" xfId="0" applyNumberFormat="1" applyFont="1" applyFill="1" applyBorder="1" applyAlignment="1">
      <alignment vertical="center"/>
    </xf>
    <xf numFmtId="4" fontId="5" fillId="19" borderId="10" xfId="0" applyNumberFormat="1" applyFont="1" applyFill="1" applyBorder="1" applyAlignment="1">
      <alignment vertical="center"/>
    </xf>
    <xf numFmtId="3" fontId="111" fillId="0" borderId="10" xfId="0" applyNumberFormat="1" applyFont="1" applyBorder="1" applyAlignment="1">
      <alignment horizontal="center"/>
    </xf>
    <xf numFmtId="0" fontId="111" fillId="0" borderId="0" xfId="0" applyFont="1"/>
    <xf numFmtId="0" fontId="122" fillId="0" borderId="0" xfId="0" applyFont="1"/>
    <xf numFmtId="4" fontId="7" fillId="20" borderId="10" xfId="0" applyNumberFormat="1" applyFont="1" applyFill="1" applyBorder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7" fillId="0" borderId="0" xfId="7" applyNumberFormat="1" applyFont="1" applyFill="1" applyBorder="1" applyAlignment="1">
      <alignment horizontal="center" vertical="center"/>
    </xf>
    <xf numFmtId="1" fontId="123" fillId="0" borderId="0" xfId="0" applyNumberFormat="1" applyFont="1"/>
    <xf numFmtId="3" fontId="0" fillId="0" borderId="10" xfId="0" applyNumberFormat="1" applyBorder="1" applyAlignment="1">
      <alignment horizontal="center"/>
    </xf>
    <xf numFmtId="3" fontId="4" fillId="0" borderId="10" xfId="0" applyNumberFormat="1" applyFont="1" applyBorder="1" applyAlignment="1">
      <alignment horizontal="center"/>
    </xf>
    <xf numFmtId="3" fontId="0" fillId="0" borderId="0" xfId="0" applyNumberFormat="1"/>
    <xf numFmtId="3" fontId="0" fillId="0" borderId="20" xfId="0" applyNumberFormat="1" applyBorder="1" applyAlignment="1">
      <alignment horizontal="center"/>
    </xf>
    <xf numFmtId="3" fontId="4" fillId="0" borderId="20" xfId="0" applyNumberFormat="1" applyFont="1" applyBorder="1" applyAlignment="1">
      <alignment horizontal="center"/>
    </xf>
    <xf numFmtId="0" fontId="0" fillId="0" borderId="20" xfId="0" applyBorder="1"/>
    <xf numFmtId="0" fontId="0" fillId="0" borderId="16" xfId="0" applyBorder="1" applyAlignment="1">
      <alignment horizontal="center"/>
    </xf>
    <xf numFmtId="0" fontId="0" fillId="0" borderId="58" xfId="0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111" fillId="0" borderId="32" xfId="0" applyFont="1" applyBorder="1"/>
    <xf numFmtId="0" fontId="0" fillId="0" borderId="47" xfId="0" applyBorder="1"/>
    <xf numFmtId="0" fontId="111" fillId="0" borderId="47" xfId="0" applyFont="1" applyBorder="1"/>
    <xf numFmtId="0" fontId="122" fillId="0" borderId="47" xfId="0" applyFont="1" applyBorder="1"/>
    <xf numFmtId="0" fontId="3" fillId="0" borderId="47" xfId="0" applyFont="1" applyBorder="1"/>
    <xf numFmtId="0" fontId="4" fillId="0" borderId="29" xfId="0" applyFont="1" applyBorder="1" applyAlignment="1">
      <alignment horizontal="center"/>
    </xf>
    <xf numFmtId="0" fontId="0" fillId="0" borderId="28" xfId="0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9" xfId="0" applyBorder="1"/>
    <xf numFmtId="0" fontId="4" fillId="0" borderId="5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0" fontId="4" fillId="0" borderId="38" xfId="0" applyFont="1" applyBorder="1"/>
    <xf numFmtId="0" fontId="0" fillId="0" borderId="11" xfId="0" applyBorder="1"/>
    <xf numFmtId="0" fontId="4" fillId="0" borderId="18" xfId="0" applyFont="1" applyBorder="1" applyAlignment="1">
      <alignment horizontal="center"/>
    </xf>
    <xf numFmtId="0" fontId="0" fillId="0" borderId="19" xfId="0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0" fontId="0" fillId="0" borderId="8" xfId="0" applyBorder="1"/>
    <xf numFmtId="3" fontId="124" fillId="0" borderId="9" xfId="0" applyNumberFormat="1" applyFont="1" applyBorder="1" applyAlignment="1">
      <alignment horizontal="center"/>
    </xf>
    <xf numFmtId="0" fontId="3" fillId="0" borderId="80" xfId="0" applyFont="1" applyBorder="1"/>
    <xf numFmtId="0" fontId="0" fillId="0" borderId="21" xfId="0" applyBorder="1"/>
    <xf numFmtId="0" fontId="0" fillId="0" borderId="13" xfId="0" applyBorder="1"/>
    <xf numFmtId="0" fontId="0" fillId="0" borderId="48" xfId="0" applyBorder="1"/>
    <xf numFmtId="3" fontId="0" fillId="0" borderId="21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48" xfId="0" applyNumberFormat="1" applyBorder="1" applyAlignment="1">
      <alignment horizontal="center"/>
    </xf>
    <xf numFmtId="0" fontId="111" fillId="0" borderId="0" xfId="0" applyFont="1" applyAlignment="1">
      <alignment horizontal="center"/>
    </xf>
    <xf numFmtId="9" fontId="111" fillId="0" borderId="24" xfId="0" applyNumberFormat="1" applyFont="1" applyBorder="1" applyAlignment="1">
      <alignment horizontal="center"/>
    </xf>
    <xf numFmtId="3" fontId="4" fillId="16" borderId="43" xfId="0" applyNumberFormat="1" applyFont="1" applyFill="1" applyBorder="1" applyAlignment="1">
      <alignment horizontal="center"/>
    </xf>
    <xf numFmtId="3" fontId="111" fillId="16" borderId="40" xfId="0" applyNumberFormat="1" applyFont="1" applyFill="1" applyBorder="1" applyAlignment="1">
      <alignment horizontal="center"/>
    </xf>
    <xf numFmtId="0" fontId="111" fillId="16" borderId="5" xfId="0" applyFont="1" applyFill="1" applyBorder="1"/>
    <xf numFmtId="3" fontId="0" fillId="0" borderId="25" xfId="0" applyNumberFormat="1" applyBorder="1" applyAlignment="1">
      <alignment horizontal="center"/>
    </xf>
    <xf numFmtId="3" fontId="4" fillId="16" borderId="53" xfId="0" applyNumberFormat="1" applyFont="1" applyFill="1" applyBorder="1" applyAlignment="1">
      <alignment horizontal="center"/>
    </xf>
    <xf numFmtId="3" fontId="4" fillId="16" borderId="50" xfId="0" applyNumberFormat="1" applyFont="1" applyFill="1" applyBorder="1" applyAlignment="1">
      <alignment horizontal="center"/>
    </xf>
    <xf numFmtId="0" fontId="127" fillId="0" borderId="0" xfId="0" applyFont="1"/>
    <xf numFmtId="3" fontId="0" fillId="0" borderId="47" xfId="0" applyNumberFormat="1" applyBorder="1" applyAlignment="1">
      <alignment horizontal="center"/>
    </xf>
    <xf numFmtId="3" fontId="4" fillId="0" borderId="47" xfId="0" applyNumberFormat="1" applyFont="1" applyBorder="1" applyAlignment="1">
      <alignment horizontal="center"/>
    </xf>
    <xf numFmtId="3" fontId="111" fillId="0" borderId="47" xfId="0" applyNumberFormat="1" applyFont="1" applyBorder="1" applyAlignment="1">
      <alignment horizontal="center"/>
    </xf>
    <xf numFmtId="3" fontId="111" fillId="0" borderId="20" xfId="0" applyNumberFormat="1" applyFont="1" applyBorder="1" applyAlignment="1">
      <alignment horizontal="center"/>
    </xf>
    <xf numFmtId="3" fontId="111" fillId="0" borderId="8" xfId="0" applyNumberFormat="1" applyFont="1" applyBorder="1" applyAlignment="1">
      <alignment horizontal="center"/>
    </xf>
    <xf numFmtId="3" fontId="123" fillId="0" borderId="0" xfId="0" applyNumberFormat="1" applyFont="1"/>
    <xf numFmtId="0" fontId="5" fillId="0" borderId="10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3" fontId="5" fillId="0" borderId="10" xfId="0" applyNumberFormat="1" applyFont="1" applyBorder="1" applyAlignment="1">
      <alignment vertical="center"/>
    </xf>
    <xf numFmtId="3" fontId="7" fillId="0" borderId="10" xfId="0" applyNumberFormat="1" applyFont="1" applyBorder="1" applyAlignment="1">
      <alignment vertical="center"/>
    </xf>
    <xf numFmtId="0" fontId="12" fillId="0" borderId="0" xfId="0" applyFont="1" applyAlignment="1">
      <alignment horizontal="right" vertical="center"/>
    </xf>
    <xf numFmtId="0" fontId="7" fillId="0" borderId="10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 wrapText="1"/>
    </xf>
    <xf numFmtId="3" fontId="0" fillId="0" borderId="12" xfId="0" applyNumberFormat="1" applyBorder="1" applyAlignment="1">
      <alignment horizontal="center"/>
    </xf>
    <xf numFmtId="3" fontId="123" fillId="0" borderId="0" xfId="0" applyNumberFormat="1" applyFont="1" applyAlignment="1">
      <alignment horizontal="center"/>
    </xf>
    <xf numFmtId="3" fontId="111" fillId="0" borderId="11" xfId="0" applyNumberFormat="1" applyFont="1" applyBorder="1" applyAlignment="1">
      <alignment horizontal="center"/>
    </xf>
    <xf numFmtId="3" fontId="111" fillId="0" borderId="9" xfId="0" applyNumberFormat="1" applyFont="1" applyBorder="1" applyAlignment="1">
      <alignment horizontal="center"/>
    </xf>
    <xf numFmtId="3" fontId="128" fillId="0" borderId="10" xfId="0" applyNumberFormat="1" applyFont="1" applyBorder="1" applyAlignment="1">
      <alignment horizontal="center"/>
    </xf>
    <xf numFmtId="3" fontId="111" fillId="16" borderId="5" xfId="0" applyNumberFormat="1" applyFont="1" applyFill="1" applyBorder="1" applyAlignment="1">
      <alignment horizontal="center"/>
    </xf>
    <xf numFmtId="3" fontId="111" fillId="16" borderId="43" xfId="0" applyNumberFormat="1" applyFont="1" applyFill="1" applyBorder="1" applyAlignment="1">
      <alignment horizontal="center"/>
    </xf>
    <xf numFmtId="3" fontId="111" fillId="16" borderId="50" xfId="0" applyNumberFormat="1" applyFont="1" applyFill="1" applyBorder="1" applyAlignment="1">
      <alignment horizontal="center"/>
    </xf>
    <xf numFmtId="0" fontId="128" fillId="0" borderId="47" xfId="0" applyFont="1" applyBorder="1"/>
    <xf numFmtId="3" fontId="128" fillId="0" borderId="9" xfId="0" applyNumberFormat="1" applyFont="1" applyBorder="1" applyAlignment="1">
      <alignment horizontal="center"/>
    </xf>
    <xf numFmtId="3" fontId="128" fillId="0" borderId="20" xfId="0" applyNumberFormat="1" applyFont="1" applyBorder="1" applyAlignment="1">
      <alignment horizontal="center"/>
    </xf>
    <xf numFmtId="3" fontId="128" fillId="0" borderId="11" xfId="0" applyNumberFormat="1" applyFont="1" applyBorder="1" applyAlignment="1">
      <alignment horizontal="center"/>
    </xf>
    <xf numFmtId="3" fontId="5" fillId="0" borderId="11" xfId="0" applyNumberFormat="1" applyFont="1" applyBorder="1" applyAlignment="1">
      <alignment horizontal="center" vertical="center"/>
    </xf>
    <xf numFmtId="3" fontId="7" fillId="0" borderId="11" xfId="0" applyNumberFormat="1" applyFont="1" applyBorder="1" applyAlignment="1">
      <alignment horizontal="center" vertical="center"/>
    </xf>
    <xf numFmtId="0" fontId="72" fillId="18" borderId="0" xfId="0" applyFont="1" applyFill="1" applyAlignment="1">
      <alignment horizontal="left" vertical="center"/>
    </xf>
    <xf numFmtId="4" fontId="5" fillId="18" borderId="0" xfId="0" applyNumberFormat="1" applyFont="1" applyFill="1" applyAlignment="1">
      <alignment horizontal="left" vertical="center"/>
    </xf>
    <xf numFmtId="0" fontId="43" fillId="18" borderId="0" xfId="0" applyFont="1" applyFill="1" applyAlignment="1">
      <alignment horizontal="left" vertical="center"/>
    </xf>
    <xf numFmtId="2" fontId="72" fillId="18" borderId="20" xfId="0" applyNumberFormat="1" applyFont="1" applyFill="1" applyBorder="1" applyAlignment="1">
      <alignment horizontal="center" vertical="center"/>
    </xf>
    <xf numFmtId="0" fontId="72" fillId="0" borderId="0" xfId="0" applyFont="1" applyAlignment="1">
      <alignment vertical="center" wrapText="1"/>
    </xf>
    <xf numFmtId="4" fontId="43" fillId="20" borderId="0" xfId="7" applyNumberFormat="1" applyFont="1" applyFill="1" applyAlignment="1">
      <alignment horizontal="center" vertical="center"/>
    </xf>
    <xf numFmtId="167" fontId="43" fillId="0" borderId="0" xfId="7" applyNumberFormat="1" applyFont="1" applyFill="1" applyBorder="1" applyAlignment="1">
      <alignment horizontal="center" vertical="center"/>
    </xf>
    <xf numFmtId="165" fontId="129" fillId="0" borderId="47" xfId="7" applyFont="1" applyBorder="1" applyAlignment="1">
      <alignment horizontal="center" vertical="center"/>
    </xf>
    <xf numFmtId="4" fontId="57" fillId="0" borderId="0" xfId="7" applyNumberFormat="1" applyFon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4" fontId="42" fillId="0" borderId="10" xfId="0" applyNumberFormat="1" applyFont="1" applyBorder="1" applyAlignment="1">
      <alignment horizontal="center" vertical="center"/>
    </xf>
    <xf numFmtId="4" fontId="47" fillId="0" borderId="52" xfId="0" applyNumberFormat="1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4" borderId="56" xfId="0" applyFont="1" applyFill="1" applyBorder="1" applyAlignment="1">
      <alignment horizontal="center" vertical="center" wrapText="1"/>
    </xf>
    <xf numFmtId="2" fontId="9" fillId="4" borderId="25" xfId="1" applyNumberFormat="1" applyFont="1" applyFill="1" applyBorder="1" applyAlignment="1">
      <alignment horizontal="left" vertical="center" wrapText="1"/>
    </xf>
    <xf numFmtId="0" fontId="79" fillId="0" borderId="64" xfId="0" applyFont="1" applyBorder="1" applyAlignment="1">
      <alignment horizontal="center" vertical="center"/>
    </xf>
    <xf numFmtId="4" fontId="111" fillId="0" borderId="10" xfId="0" applyNumberFormat="1" applyFont="1" applyBorder="1" applyAlignment="1">
      <alignment horizontal="center"/>
    </xf>
    <xf numFmtId="4" fontId="111" fillId="0" borderId="16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111" fillId="0" borderId="10" xfId="0" applyFont="1" applyBorder="1" applyAlignment="1">
      <alignment horizontal="center"/>
    </xf>
    <xf numFmtId="3" fontId="81" fillId="0" borderId="0" xfId="0" applyNumberFormat="1" applyFon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/>
    </xf>
    <xf numFmtId="165" fontId="72" fillId="0" borderId="0" xfId="7" applyFont="1" applyFill="1" applyBorder="1" applyAlignment="1">
      <alignment vertical="center"/>
    </xf>
    <xf numFmtId="4" fontId="48" fillId="0" borderId="0" xfId="7" applyNumberFormat="1" applyFont="1" applyAlignment="1">
      <alignment horizontal="center" vertical="center"/>
    </xf>
    <xf numFmtId="0" fontId="48" fillId="0" borderId="11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8" borderId="10" xfId="0" applyNumberFormat="1" applyFill="1" applyBorder="1" applyAlignment="1">
      <alignment horizontal="center"/>
    </xf>
    <xf numFmtId="3" fontId="4" fillId="8" borderId="10" xfId="0" applyNumberFormat="1" applyFont="1" applyFill="1" applyBorder="1" applyAlignment="1">
      <alignment horizontal="center"/>
    </xf>
    <xf numFmtId="3" fontId="111" fillId="8" borderId="9" xfId="0" applyNumberFormat="1" applyFont="1" applyFill="1" applyBorder="1" applyAlignment="1">
      <alignment horizontal="center"/>
    </xf>
    <xf numFmtId="3" fontId="0" fillId="8" borderId="9" xfId="0" applyNumberFormat="1" applyFill="1" applyBorder="1" applyAlignment="1">
      <alignment horizontal="center"/>
    </xf>
    <xf numFmtId="9" fontId="111" fillId="0" borderId="0" xfId="0" applyNumberFormat="1" applyFont="1" applyAlignment="1">
      <alignment horizontal="center"/>
    </xf>
    <xf numFmtId="0" fontId="111" fillId="0" borderId="10" xfId="0" applyFont="1" applyBorder="1"/>
    <xf numFmtId="3" fontId="131" fillId="0" borderId="0" xfId="0" applyNumberFormat="1" applyFont="1"/>
    <xf numFmtId="3" fontId="131" fillId="0" borderId="11" xfId="0" applyNumberFormat="1" applyFont="1" applyBorder="1" applyAlignment="1">
      <alignment horizontal="center"/>
    </xf>
    <xf numFmtId="4" fontId="7" fillId="21" borderId="11" xfId="0" applyNumberFormat="1" applyFont="1" applyFill="1" applyBorder="1" applyAlignment="1">
      <alignment horizontal="center" vertical="center" wrapText="1"/>
    </xf>
    <xf numFmtId="4" fontId="7" fillId="21" borderId="10" xfId="0" applyNumberFormat="1" applyFont="1" applyFill="1" applyBorder="1" applyAlignment="1">
      <alignment horizontal="center" vertical="center" wrapText="1"/>
    </xf>
    <xf numFmtId="4" fontId="0" fillId="21" borderId="10" xfId="0" applyNumberFormat="1" applyFill="1" applyBorder="1" applyAlignment="1">
      <alignment horizontal="center"/>
    </xf>
    <xf numFmtId="4" fontId="7" fillId="21" borderId="50" xfId="0" applyNumberFormat="1" applyFont="1" applyFill="1" applyBorder="1" applyAlignment="1">
      <alignment horizontal="center" vertical="center"/>
    </xf>
    <xf numFmtId="4" fontId="7" fillId="21" borderId="43" xfId="0" applyNumberFormat="1" applyFont="1" applyFill="1" applyBorder="1" applyAlignment="1">
      <alignment horizontal="center" vertical="center"/>
    </xf>
    <xf numFmtId="4" fontId="7" fillId="21" borderId="40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0" fillId="0" borderId="42" xfId="0" applyBorder="1" applyAlignment="1">
      <alignment horizontal="left"/>
    </xf>
    <xf numFmtId="0" fontId="0" fillId="4" borderId="0" xfId="0" applyFill="1"/>
    <xf numFmtId="4" fontId="0" fillId="0" borderId="0" xfId="0" applyNumberFormat="1"/>
    <xf numFmtId="168" fontId="5" fillId="0" borderId="0" xfId="0" applyNumberFormat="1" applyFont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/>
    </xf>
    <xf numFmtId="2" fontId="5" fillId="0" borderId="1" xfId="0" applyNumberFormat="1" applyFont="1" applyBorder="1" applyAlignment="1">
      <alignment vertical="center"/>
    </xf>
    <xf numFmtId="2" fontId="5" fillId="0" borderId="28" xfId="0" applyNumberFormat="1" applyFont="1" applyBorder="1" applyAlignment="1">
      <alignment vertical="center"/>
    </xf>
    <xf numFmtId="2" fontId="5" fillId="0" borderId="19" xfId="0" applyNumberFormat="1" applyFont="1" applyBorder="1" applyAlignment="1">
      <alignment vertical="center"/>
    </xf>
    <xf numFmtId="2" fontId="5" fillId="8" borderId="46" xfId="0" applyNumberFormat="1" applyFont="1" applyFill="1" applyBorder="1" applyAlignment="1">
      <alignment vertical="center"/>
    </xf>
    <xf numFmtId="2" fontId="5" fillId="0" borderId="44" xfId="0" applyNumberFormat="1" applyFont="1" applyBorder="1" applyAlignment="1">
      <alignment vertical="center"/>
    </xf>
    <xf numFmtId="0" fontId="82" fillId="0" borderId="0" xfId="0" applyFont="1" applyAlignment="1">
      <alignment vertical="center"/>
    </xf>
    <xf numFmtId="9" fontId="5" fillId="0" borderId="0" xfId="0" applyNumberFormat="1" applyFont="1" applyAlignment="1">
      <alignment horizontal="center" vertical="center"/>
    </xf>
    <xf numFmtId="168" fontId="42" fillId="4" borderId="0" xfId="0" applyNumberFormat="1" applyFont="1" applyFill="1" applyAlignment="1">
      <alignment horizontal="center" vertical="center"/>
    </xf>
    <xf numFmtId="2" fontId="5" fillId="4" borderId="10" xfId="0" applyNumberFormat="1" applyFont="1" applyFill="1" applyBorder="1" applyAlignment="1">
      <alignment horizontal="center" vertical="center"/>
    </xf>
    <xf numFmtId="0" fontId="55" fillId="0" borderId="0" xfId="0" applyFont="1"/>
    <xf numFmtId="4" fontId="111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0" fillId="18" borderId="0" xfId="0" applyFill="1"/>
    <xf numFmtId="2" fontId="5" fillId="10" borderId="1" xfId="0" applyNumberFormat="1" applyFont="1" applyFill="1" applyBorder="1" applyAlignment="1">
      <alignment vertical="center"/>
    </xf>
    <xf numFmtId="2" fontId="5" fillId="4" borderId="1" xfId="0" applyNumberFormat="1" applyFont="1" applyFill="1" applyBorder="1" applyAlignment="1">
      <alignment vertical="center"/>
    </xf>
    <xf numFmtId="2" fontId="7" fillId="0" borderId="0" xfId="0" applyNumberFormat="1" applyFont="1" applyAlignment="1">
      <alignment vertical="center"/>
    </xf>
    <xf numFmtId="49" fontId="132" fillId="0" borderId="0" xfId="0" applyNumberFormat="1" applyFont="1" applyAlignment="1">
      <alignment vertical="center"/>
    </xf>
    <xf numFmtId="172" fontId="5" fillId="0" borderId="0" xfId="0" applyNumberFormat="1" applyFont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" fontId="33" fillId="0" borderId="0" xfId="0" applyNumberFormat="1" applyFont="1" applyAlignment="1">
      <alignment vertical="center"/>
    </xf>
    <xf numFmtId="0" fontId="43" fillId="0" borderId="10" xfId="0" applyFont="1" applyBorder="1" applyAlignment="1">
      <alignment horizontal="center" vertical="center" wrapText="1"/>
    </xf>
    <xf numFmtId="4" fontId="0" fillId="0" borderId="10" xfId="0" applyNumberFormat="1" applyBorder="1" applyAlignment="1">
      <alignment horizontal="center"/>
    </xf>
    <xf numFmtId="4" fontId="5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3" fontId="7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79" fillId="0" borderId="10" xfId="0" applyNumberFormat="1" applyFont="1" applyBorder="1" applyAlignment="1">
      <alignment horizontal="center" vertical="center"/>
    </xf>
    <xf numFmtId="3" fontId="136" fillId="0" borderId="0" xfId="0" applyNumberFormat="1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6" fillId="0" borderId="10" xfId="0" applyFont="1" applyBorder="1" applyAlignment="1">
      <alignment horizontal="center" vertical="center" wrapText="1"/>
    </xf>
    <xf numFmtId="3" fontId="60" fillId="0" borderId="10" xfId="0" applyNumberFormat="1" applyFont="1" applyBorder="1" applyAlignment="1">
      <alignment horizontal="center" vertical="center" wrapText="1"/>
    </xf>
    <xf numFmtId="3" fontId="136" fillId="0" borderId="10" xfId="0" applyNumberFormat="1" applyFont="1" applyBorder="1" applyAlignment="1">
      <alignment horizontal="center" vertical="center"/>
    </xf>
    <xf numFmtId="3" fontId="60" fillId="0" borderId="10" xfId="0" applyNumberFormat="1" applyFont="1" applyBorder="1" applyAlignment="1">
      <alignment horizontal="center" vertical="center"/>
    </xf>
    <xf numFmtId="3" fontId="136" fillId="0" borderId="16" xfId="0" applyNumberFormat="1" applyFont="1" applyBorder="1" applyAlignment="1">
      <alignment horizontal="center" vertical="center"/>
    </xf>
    <xf numFmtId="3" fontId="7" fillId="14" borderId="45" xfId="0" applyNumberFormat="1" applyFont="1" applyFill="1" applyBorder="1" applyAlignment="1">
      <alignment horizontal="center" vertical="center"/>
    </xf>
    <xf numFmtId="3" fontId="7" fillId="14" borderId="57" xfId="0" applyNumberFormat="1" applyFont="1" applyFill="1" applyBorder="1" applyAlignment="1">
      <alignment horizontal="center" vertical="center"/>
    </xf>
    <xf numFmtId="3" fontId="28" fillId="14" borderId="24" xfId="0" applyNumberFormat="1" applyFont="1" applyFill="1" applyBorder="1" applyAlignment="1">
      <alignment horizontal="center" vertical="center"/>
    </xf>
    <xf numFmtId="3" fontId="7" fillId="14" borderId="46" xfId="0" applyNumberFormat="1" applyFont="1" applyFill="1" applyBorder="1" applyAlignment="1">
      <alignment horizontal="center" vertical="center"/>
    </xf>
    <xf numFmtId="0" fontId="43" fillId="4" borderId="10" xfId="0" applyFont="1" applyFill="1" applyBorder="1" applyAlignment="1">
      <alignment horizontal="center" vertical="center" wrapText="1"/>
    </xf>
    <xf numFmtId="4" fontId="33" fillId="0" borderId="10" xfId="0" applyNumberFormat="1" applyFont="1" applyBorder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4" fontId="95" fillId="0" borderId="0" xfId="0" applyNumberFormat="1" applyFont="1" applyAlignment="1">
      <alignment vertical="center"/>
    </xf>
    <xf numFmtId="3" fontId="58" fillId="0" borderId="10" xfId="0" applyNumberFormat="1" applyFont="1" applyBorder="1" applyAlignment="1">
      <alignment horizontal="center" vertical="center"/>
    </xf>
    <xf numFmtId="165" fontId="42" fillId="0" borderId="0" xfId="7" applyFont="1" applyFill="1" applyAlignment="1">
      <alignment horizontal="center" vertical="center"/>
    </xf>
    <xf numFmtId="3" fontId="35" fillId="0" borderId="26" xfId="0" applyNumberFormat="1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117" fillId="0" borderId="30" xfId="0" applyFont="1" applyBorder="1" applyAlignment="1">
      <alignment vertical="center"/>
    </xf>
    <xf numFmtId="0" fontId="132" fillId="0" borderId="26" xfId="0" applyFont="1" applyBorder="1" applyAlignment="1">
      <alignment vertical="center"/>
    </xf>
    <xf numFmtId="0" fontId="132" fillId="0" borderId="31" xfId="0" applyFont="1" applyBorder="1" applyAlignment="1">
      <alignment vertical="center"/>
    </xf>
    <xf numFmtId="0" fontId="117" fillId="0" borderId="68" xfId="0" applyFont="1" applyBorder="1" applyAlignment="1">
      <alignment vertical="center"/>
    </xf>
    <xf numFmtId="0" fontId="132" fillId="0" borderId="71" xfId="0" applyFont="1" applyBorder="1" applyAlignment="1">
      <alignment vertical="center"/>
    </xf>
    <xf numFmtId="0" fontId="132" fillId="0" borderId="70" xfId="0" applyFont="1" applyBorder="1" applyAlignment="1">
      <alignment vertical="center"/>
    </xf>
    <xf numFmtId="0" fontId="42" fillId="0" borderId="10" xfId="0" applyFont="1" applyBorder="1" applyAlignment="1">
      <alignment horizontal="center" vertical="center"/>
    </xf>
    <xf numFmtId="4" fontId="5" fillId="6" borderId="0" xfId="0" applyNumberFormat="1" applyFont="1" applyFill="1" applyAlignment="1">
      <alignment vertical="center"/>
    </xf>
    <xf numFmtId="0" fontId="82" fillId="0" borderId="0" xfId="0" applyFont="1" applyAlignment="1">
      <alignment horizontal="center" vertical="center"/>
    </xf>
    <xf numFmtId="3" fontId="43" fillId="0" borderId="9" xfId="0" applyNumberFormat="1" applyFont="1" applyBorder="1" applyAlignment="1">
      <alignment horizontal="center" vertical="center" wrapText="1"/>
    </xf>
    <xf numFmtId="3" fontId="137" fillId="0" borderId="9" xfId="0" applyNumberFormat="1" applyFont="1" applyBorder="1" applyAlignment="1">
      <alignment horizontal="center" vertical="center" wrapText="1"/>
    </xf>
    <xf numFmtId="4" fontId="43" fillId="0" borderId="28" xfId="0" applyNumberFormat="1" applyFont="1" applyBorder="1" applyAlignment="1">
      <alignment horizontal="center" vertical="center"/>
    </xf>
    <xf numFmtId="4" fontId="43" fillId="0" borderId="6" xfId="0" applyNumberFormat="1" applyFont="1" applyBorder="1" applyAlignment="1">
      <alignment horizontal="center" vertical="center"/>
    </xf>
    <xf numFmtId="3" fontId="60" fillId="0" borderId="0" xfId="0" applyNumberFormat="1" applyFont="1" applyAlignment="1">
      <alignment horizontal="center" vertical="center"/>
    </xf>
    <xf numFmtId="3" fontId="136" fillId="22" borderId="33" xfId="0" applyNumberFormat="1" applyFont="1" applyFill="1" applyBorder="1" applyAlignment="1">
      <alignment horizontal="center" vertical="center"/>
    </xf>
    <xf numFmtId="3" fontId="60" fillId="22" borderId="6" xfId="0" applyNumberFormat="1" applyFont="1" applyFill="1" applyBorder="1" applyAlignment="1">
      <alignment horizontal="center" vertical="center"/>
    </xf>
    <xf numFmtId="2" fontId="5" fillId="0" borderId="0" xfId="0" applyNumberFormat="1" applyFont="1" applyAlignment="1">
      <alignment vertical="center"/>
    </xf>
    <xf numFmtId="165" fontId="43" fillId="0" borderId="0" xfId="7" applyFont="1" applyFill="1" applyBorder="1" applyAlignment="1">
      <alignment vertical="center"/>
    </xf>
    <xf numFmtId="4" fontId="48" fillId="0" borderId="0" xfId="0" applyNumberFormat="1" applyFont="1" applyAlignment="1">
      <alignment vertical="center"/>
    </xf>
    <xf numFmtId="4" fontId="7" fillId="23" borderId="7" xfId="0" applyNumberFormat="1" applyFont="1" applyFill="1" applyBorder="1" applyAlignment="1">
      <alignment horizontal="center" vertical="center"/>
    </xf>
    <xf numFmtId="2" fontId="48" fillId="0" borderId="0" xfId="0" applyNumberFormat="1" applyFont="1" applyAlignment="1">
      <alignment vertical="center"/>
    </xf>
    <xf numFmtId="49" fontId="147" fillId="0" borderId="0" xfId="0" applyNumberFormat="1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27" xfId="0" applyFont="1" applyBorder="1" applyAlignment="1">
      <alignment vertical="center" wrapText="1"/>
    </xf>
    <xf numFmtId="3" fontId="43" fillId="0" borderId="0" xfId="0" applyNumberFormat="1" applyFont="1" applyAlignment="1">
      <alignment vertical="center"/>
    </xf>
    <xf numFmtId="3" fontId="58" fillId="0" borderId="0" xfId="0" applyNumberFormat="1" applyFont="1" applyAlignment="1">
      <alignment horizontal="center" vertical="center"/>
    </xf>
    <xf numFmtId="3" fontId="57" fillId="0" borderId="6" xfId="0" applyNumberFormat="1" applyFont="1" applyBorder="1" applyAlignment="1">
      <alignment horizontal="center" vertical="center"/>
    </xf>
    <xf numFmtId="4" fontId="5" fillId="0" borderId="16" xfId="0" applyNumberFormat="1" applyFont="1" applyBorder="1" applyAlignment="1">
      <alignment horizontal="center" vertical="center"/>
    </xf>
    <xf numFmtId="2" fontId="93" fillId="15" borderId="33" xfId="0" applyNumberFormat="1" applyFont="1" applyFill="1" applyBorder="1" applyAlignment="1">
      <alignment vertical="center"/>
    </xf>
    <xf numFmtId="0" fontId="135" fillId="24" borderId="0" xfId="0" applyFont="1" applyFill="1" applyAlignment="1">
      <alignment horizontal="center" vertical="center"/>
    </xf>
    <xf numFmtId="2" fontId="7" fillId="0" borderId="9" xfId="7" applyNumberFormat="1" applyFont="1" applyFill="1" applyBorder="1" applyAlignment="1">
      <alignment horizontal="center" vertical="center"/>
    </xf>
    <xf numFmtId="4" fontId="40" fillId="2" borderId="24" xfId="0" applyNumberFormat="1" applyFont="1" applyFill="1" applyBorder="1" applyAlignment="1">
      <alignment horizontal="center" vertical="center"/>
    </xf>
    <xf numFmtId="49" fontId="146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166" fontId="27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left" vertical="center"/>
    </xf>
    <xf numFmtId="3" fontId="57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left" vertical="center"/>
    </xf>
    <xf numFmtId="3" fontId="150" fillId="0" borderId="0" xfId="0" applyNumberFormat="1" applyFont="1" applyAlignment="1">
      <alignment horizontal="center" vertical="center"/>
    </xf>
    <xf numFmtId="3" fontId="136" fillId="0" borderId="45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 wrapText="1"/>
    </xf>
    <xf numFmtId="4" fontId="33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center"/>
    </xf>
    <xf numFmtId="0" fontId="33" fillId="0" borderId="10" xfId="0" applyFont="1" applyBorder="1" applyAlignment="1">
      <alignment horizontal="left" vertical="center"/>
    </xf>
    <xf numFmtId="4" fontId="24" fillId="0" borderId="10" xfId="0" applyNumberFormat="1" applyFont="1" applyBorder="1" applyAlignment="1">
      <alignment vertical="center"/>
    </xf>
    <xf numFmtId="3" fontId="5" fillId="0" borderId="34" xfId="0" applyNumberFormat="1" applyFont="1" applyBorder="1" applyAlignment="1">
      <alignment horizontal="center" vertical="center"/>
    </xf>
    <xf numFmtId="0" fontId="7" fillId="0" borderId="7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 wrapText="1"/>
    </xf>
    <xf numFmtId="0" fontId="5" fillId="0" borderId="65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vertical="center"/>
    </xf>
    <xf numFmtId="0" fontId="5" fillId="0" borderId="55" xfId="0" applyFont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0" fontId="31" fillId="0" borderId="19" xfId="0" applyFont="1" applyBorder="1" applyAlignment="1">
      <alignment horizontal="right" vertical="center" wrapText="1"/>
    </xf>
    <xf numFmtId="0" fontId="28" fillId="0" borderId="8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25" fillId="0" borderId="8" xfId="0" applyFont="1" applyBorder="1" applyAlignment="1">
      <alignment vertical="center" wrapText="1"/>
    </xf>
    <xf numFmtId="3" fontId="7" fillId="0" borderId="47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0" fontId="23" fillId="0" borderId="8" xfId="0" applyFont="1" applyBorder="1" applyAlignment="1">
      <alignment vertical="center"/>
    </xf>
    <xf numFmtId="3" fontId="5" fillId="0" borderId="47" xfId="0" applyNumberFormat="1" applyFont="1" applyBorder="1" applyAlignment="1">
      <alignment horizontal="center" vertical="center"/>
    </xf>
    <xf numFmtId="3" fontId="5" fillId="0" borderId="9" xfId="0" applyNumberFormat="1" applyFont="1" applyBorder="1" applyAlignment="1">
      <alignment horizontal="center" vertical="center"/>
    </xf>
    <xf numFmtId="3" fontId="42" fillId="0" borderId="47" xfId="0" applyNumberFormat="1" applyFont="1" applyBorder="1" applyAlignment="1">
      <alignment horizontal="center" vertical="center"/>
    </xf>
    <xf numFmtId="16" fontId="23" fillId="0" borderId="8" xfId="0" applyNumberFormat="1" applyFont="1" applyBorder="1" applyAlignment="1">
      <alignment vertical="center"/>
    </xf>
    <xf numFmtId="0" fontId="25" fillId="0" borderId="8" xfId="0" applyFont="1" applyBorder="1" applyAlignment="1">
      <alignment vertical="center"/>
    </xf>
    <xf numFmtId="0" fontId="32" fillId="0" borderId="8" xfId="0" applyFont="1" applyBorder="1" applyAlignment="1">
      <alignment vertical="center" wrapText="1"/>
    </xf>
    <xf numFmtId="0" fontId="23" fillId="0" borderId="8" xfId="0" applyFont="1" applyBorder="1" applyAlignment="1">
      <alignment vertical="center" wrapText="1"/>
    </xf>
    <xf numFmtId="0" fontId="33" fillId="0" borderId="8" xfId="0" applyFont="1" applyBorder="1" applyAlignment="1">
      <alignment vertical="center" wrapText="1"/>
    </xf>
    <xf numFmtId="0" fontId="24" fillId="0" borderId="8" xfId="0" applyFont="1" applyBorder="1" applyAlignment="1">
      <alignment vertical="center" wrapText="1"/>
    </xf>
    <xf numFmtId="0" fontId="145" fillId="0" borderId="11" xfId="0" applyFont="1" applyBorder="1" applyAlignment="1">
      <alignment vertical="center"/>
    </xf>
    <xf numFmtId="0" fontId="134" fillId="0" borderId="8" xfId="0" applyFont="1" applyBorder="1" applyAlignment="1">
      <alignment vertical="center" wrapText="1"/>
    </xf>
    <xf numFmtId="3" fontId="48" fillId="0" borderId="11" xfId="0" applyNumberFormat="1" applyFont="1" applyBorder="1" applyAlignment="1">
      <alignment horizontal="center" vertical="center"/>
    </xf>
    <xf numFmtId="3" fontId="48" fillId="0" borderId="10" xfId="0" applyNumberFormat="1" applyFont="1" applyBorder="1" applyAlignment="1">
      <alignment horizontal="center" vertical="center"/>
    </xf>
    <xf numFmtId="166" fontId="48" fillId="0" borderId="20" xfId="0" applyNumberFormat="1" applyFont="1" applyBorder="1" applyAlignment="1">
      <alignment horizontal="center" vertical="center"/>
    </xf>
    <xf numFmtId="3" fontId="48" fillId="0" borderId="9" xfId="0" applyNumberFormat="1" applyFont="1" applyBorder="1" applyAlignment="1">
      <alignment horizontal="center" vertical="center"/>
    </xf>
    <xf numFmtId="3" fontId="48" fillId="0" borderId="8" xfId="0" applyNumberFormat="1" applyFont="1" applyBorder="1" applyAlignment="1">
      <alignment horizontal="center" vertical="center"/>
    </xf>
    <xf numFmtId="3" fontId="48" fillId="0" borderId="20" xfId="0" applyNumberFormat="1" applyFont="1" applyBorder="1" applyAlignment="1">
      <alignment horizontal="center" vertical="center"/>
    </xf>
    <xf numFmtId="0" fontId="138" fillId="0" borderId="0" xfId="0" applyFont="1" applyAlignment="1">
      <alignment vertical="center"/>
    </xf>
    <xf numFmtId="3" fontId="138" fillId="0" borderId="10" xfId="0" applyNumberFormat="1" applyFont="1" applyBorder="1" applyAlignment="1">
      <alignment horizontal="center" vertical="center"/>
    </xf>
    <xf numFmtId="0" fontId="83" fillId="0" borderId="21" xfId="0" applyFont="1" applyBorder="1" applyAlignment="1">
      <alignment vertical="center"/>
    </xf>
    <xf numFmtId="0" fontId="141" fillId="0" borderId="12" xfId="0" applyFont="1" applyBorder="1" applyAlignment="1">
      <alignment vertical="center" wrapText="1"/>
    </xf>
    <xf numFmtId="3" fontId="69" fillId="0" borderId="21" xfId="0" applyNumberFormat="1" applyFont="1" applyBorder="1" applyAlignment="1">
      <alignment horizontal="center" vertical="center"/>
    </xf>
    <xf numFmtId="3" fontId="69" fillId="0" borderId="13" xfId="0" applyNumberFormat="1" applyFont="1" applyBorder="1" applyAlignment="1">
      <alignment horizontal="center" vertical="center"/>
    </xf>
    <xf numFmtId="166" fontId="69" fillId="0" borderId="48" xfId="0" applyNumberFormat="1" applyFont="1" applyBorder="1" applyAlignment="1">
      <alignment horizontal="center" vertical="center"/>
    </xf>
    <xf numFmtId="3" fontId="69" fillId="0" borderId="25" xfId="0" applyNumberFormat="1" applyFont="1" applyBorder="1" applyAlignment="1">
      <alignment horizontal="center" vertical="center"/>
    </xf>
    <xf numFmtId="3" fontId="69" fillId="0" borderId="12" xfId="0" applyNumberFormat="1" applyFont="1" applyBorder="1" applyAlignment="1">
      <alignment horizontal="center" vertical="center"/>
    </xf>
    <xf numFmtId="3" fontId="69" fillId="0" borderId="48" xfId="0" applyNumberFormat="1" applyFont="1" applyBorder="1" applyAlignment="1">
      <alignment horizontal="center" vertical="center"/>
    </xf>
    <xf numFmtId="0" fontId="142" fillId="0" borderId="0" xfId="0" applyFont="1" applyAlignment="1">
      <alignment vertical="center"/>
    </xf>
    <xf numFmtId="3" fontId="142" fillId="0" borderId="10" xfId="0" applyNumberFormat="1" applyFont="1" applyBorder="1" applyAlignment="1">
      <alignment horizontal="center" vertical="center"/>
    </xf>
    <xf numFmtId="0" fontId="146" fillId="0" borderId="50" xfId="0" applyFont="1" applyBorder="1" applyAlignment="1">
      <alignment vertical="center"/>
    </xf>
    <xf numFmtId="0" fontId="146" fillId="0" borderId="52" xfId="0" applyFont="1" applyBorder="1" applyAlignment="1">
      <alignment vertical="center"/>
    </xf>
    <xf numFmtId="3" fontId="146" fillId="0" borderId="5" xfId="0" applyNumberFormat="1" applyFont="1" applyBorder="1" applyAlignment="1">
      <alignment horizontal="center" vertical="center"/>
    </xf>
    <xf numFmtId="3" fontId="146" fillId="0" borderId="43" xfId="0" applyNumberFormat="1" applyFont="1" applyBorder="1" applyAlignment="1">
      <alignment horizontal="center" vertical="center"/>
    </xf>
    <xf numFmtId="166" fontId="146" fillId="0" borderId="40" xfId="0" applyNumberFormat="1" applyFont="1" applyBorder="1" applyAlignment="1">
      <alignment horizontal="center" vertical="center"/>
    </xf>
    <xf numFmtId="3" fontId="146" fillId="0" borderId="40" xfId="0" applyNumberFormat="1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169" fontId="12" fillId="0" borderId="11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center"/>
    </xf>
    <xf numFmtId="169" fontId="12" fillId="0" borderId="9" xfId="0" applyNumberFormat="1" applyFont="1" applyBorder="1" applyAlignment="1">
      <alignment horizontal="center" vertical="center"/>
    </xf>
    <xf numFmtId="169" fontId="12" fillId="0" borderId="8" xfId="0" applyNumberFormat="1" applyFont="1" applyBorder="1" applyAlignment="1">
      <alignment horizontal="center" vertical="center"/>
    </xf>
    <xf numFmtId="169" fontId="12" fillId="0" borderId="20" xfId="0" applyNumberFormat="1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169" fontId="69" fillId="0" borderId="11" xfId="0" applyNumberFormat="1" applyFont="1" applyBorder="1" applyAlignment="1">
      <alignment horizontal="center" vertical="center"/>
    </xf>
    <xf numFmtId="169" fontId="69" fillId="0" borderId="10" xfId="0" applyNumberFormat="1" applyFont="1" applyBorder="1" applyAlignment="1">
      <alignment horizontal="center" vertical="center"/>
    </xf>
    <xf numFmtId="0" fontId="69" fillId="0" borderId="10" xfId="0" applyFont="1" applyBorder="1" applyAlignment="1">
      <alignment vertical="center"/>
    </xf>
    <xf numFmtId="0" fontId="69" fillId="0" borderId="20" xfId="0" applyFont="1" applyBorder="1" applyAlignment="1">
      <alignment vertical="center"/>
    </xf>
    <xf numFmtId="4" fontId="69" fillId="0" borderId="9" xfId="0" applyNumberFormat="1" applyFont="1" applyBorder="1" applyAlignment="1">
      <alignment horizontal="center" vertical="center"/>
    </xf>
    <xf numFmtId="2" fontId="69" fillId="0" borderId="10" xfId="0" applyNumberFormat="1" applyFont="1" applyBorder="1" applyAlignment="1">
      <alignment horizontal="center" vertical="center"/>
    </xf>
    <xf numFmtId="4" fontId="69" fillId="0" borderId="11" xfId="0" applyNumberFormat="1" applyFont="1" applyBorder="1" applyAlignment="1">
      <alignment horizontal="center" vertical="center"/>
    </xf>
    <xf numFmtId="3" fontId="69" fillId="0" borderId="10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5" fillId="0" borderId="55" xfId="0" applyFont="1" applyBorder="1" applyAlignment="1">
      <alignment vertical="center"/>
    </xf>
    <xf numFmtId="166" fontId="7" fillId="0" borderId="55" xfId="0" applyNumberFormat="1" applyFont="1" applyBorder="1" applyAlignment="1">
      <alignment horizontal="center" vertical="center" wrapText="1"/>
    </xf>
    <xf numFmtId="166" fontId="7" fillId="0" borderId="17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vertical="center"/>
    </xf>
    <xf numFmtId="166" fontId="5" fillId="0" borderId="29" xfId="0" applyNumberFormat="1" applyFont="1" applyBorder="1" applyAlignment="1">
      <alignment horizontal="center" vertical="center" wrapText="1"/>
    </xf>
    <xf numFmtId="166" fontId="5" fillId="0" borderId="17" xfId="0" applyNumberFormat="1" applyFont="1" applyBorder="1" applyAlignment="1">
      <alignment horizontal="center" vertical="center" wrapText="1"/>
    </xf>
    <xf numFmtId="166" fontId="5" fillId="0" borderId="55" xfId="0" applyNumberFormat="1" applyFont="1" applyBorder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 wrapText="1"/>
    </xf>
    <xf numFmtId="169" fontId="0" fillId="0" borderId="0" xfId="0" applyNumberFormat="1" applyAlignment="1">
      <alignment vertical="center" wrapText="1"/>
    </xf>
    <xf numFmtId="0" fontId="16" fillId="0" borderId="10" xfId="0" applyFont="1" applyBorder="1" applyAlignment="1">
      <alignment vertical="center"/>
    </xf>
    <xf numFmtId="3" fontId="16" fillId="0" borderId="10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vertical="center"/>
    </xf>
    <xf numFmtId="0" fontId="5" fillId="0" borderId="46" xfId="0" applyFont="1" applyBorder="1" applyAlignment="1">
      <alignment vertical="center"/>
    </xf>
    <xf numFmtId="4" fontId="7" fillId="5" borderId="11" xfId="0" applyNumberFormat="1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2" fontId="7" fillId="5" borderId="10" xfId="0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 wrapText="1"/>
    </xf>
    <xf numFmtId="4" fontId="7" fillId="17" borderId="43" xfId="0" applyNumberFormat="1" applyFont="1" applyFill="1" applyBorder="1" applyAlignment="1">
      <alignment horizontal="center" vertical="center"/>
    </xf>
    <xf numFmtId="4" fontId="43" fillId="4" borderId="0" xfId="0" applyNumberFormat="1" applyFont="1" applyFill="1" applyAlignment="1">
      <alignment vertical="center"/>
    </xf>
    <xf numFmtId="3" fontId="6" fillId="4" borderId="0" xfId="0" applyNumberFormat="1" applyFont="1" applyFill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170" fontId="5" fillId="4" borderId="0" xfId="0" applyNumberFormat="1" applyFont="1" applyFill="1" applyAlignment="1">
      <alignment horizontal="center" vertical="center"/>
    </xf>
    <xf numFmtId="3" fontId="10" fillId="14" borderId="0" xfId="0" applyNumberFormat="1" applyFont="1" applyFill="1" applyAlignment="1">
      <alignment horizontal="center" vertical="center" wrapText="1"/>
    </xf>
    <xf numFmtId="49" fontId="43" fillId="0" borderId="0" xfId="7" applyNumberFormat="1" applyFont="1" applyFill="1" applyBorder="1" applyAlignment="1">
      <alignment vertical="center"/>
    </xf>
    <xf numFmtId="3" fontId="153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4" fontId="7" fillId="19" borderId="27" xfId="1" applyNumberFormat="1" applyFont="1" applyFill="1" applyBorder="1" applyAlignment="1">
      <alignment horizontal="center" vertical="center" wrapText="1"/>
    </xf>
    <xf numFmtId="1" fontId="7" fillId="19" borderId="20" xfId="1" applyNumberFormat="1" applyFont="1" applyFill="1" applyBorder="1" applyAlignment="1">
      <alignment horizontal="left" vertical="center" wrapText="1"/>
    </xf>
    <xf numFmtId="0" fontId="99" fillId="0" borderId="10" xfId="0" applyFont="1" applyBorder="1" applyAlignment="1">
      <alignment horizontal="center" vertical="center" wrapText="1"/>
    </xf>
    <xf numFmtId="2" fontId="99" fillId="0" borderId="10" xfId="0" applyNumberFormat="1" applyFont="1" applyBorder="1" applyAlignment="1">
      <alignment horizontal="center" vertical="center" wrapText="1"/>
    </xf>
    <xf numFmtId="2" fontId="55" fillId="0" borderId="0" xfId="0" applyNumberFormat="1" applyFont="1"/>
    <xf numFmtId="0" fontId="40" fillId="0" borderId="0" xfId="0" applyFont="1"/>
    <xf numFmtId="2" fontId="40" fillId="0" borderId="0" xfId="0" applyNumberFormat="1" applyFont="1"/>
    <xf numFmtId="4" fontId="135" fillId="24" borderId="0" xfId="0" applyNumberFormat="1" applyFont="1" applyFill="1" applyAlignment="1">
      <alignment horizontal="center" vertical="center"/>
    </xf>
    <xf numFmtId="0" fontId="138" fillId="17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center" vertical="center" wrapText="1"/>
    </xf>
    <xf numFmtId="0" fontId="138" fillId="17" borderId="27" xfId="0" applyFont="1" applyFill="1" applyBorder="1" applyAlignment="1">
      <alignment horizontal="center" vertical="center" wrapText="1"/>
    </xf>
    <xf numFmtId="0" fontId="140" fillId="17" borderId="10" xfId="0" applyFont="1" applyFill="1" applyBorder="1" applyAlignment="1">
      <alignment horizontal="center"/>
    </xf>
    <xf numFmtId="4" fontId="48" fillId="17" borderId="10" xfId="0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0" fontId="85" fillId="0" borderId="0" xfId="0" applyFont="1" applyAlignment="1">
      <alignment vertical="center"/>
    </xf>
    <xf numFmtId="14" fontId="5" fillId="0" borderId="0" xfId="0" applyNumberFormat="1" applyFont="1" applyAlignment="1">
      <alignment vertical="center"/>
    </xf>
    <xf numFmtId="3" fontId="5" fillId="0" borderId="17" xfId="0" applyNumberFormat="1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right" vertical="center" wrapText="1"/>
    </xf>
    <xf numFmtId="4" fontId="19" fillId="0" borderId="16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vertical="center"/>
    </xf>
    <xf numFmtId="0" fontId="25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vertical="center"/>
    </xf>
    <xf numFmtId="16" fontId="23" fillId="0" borderId="10" xfId="0" applyNumberFormat="1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center" vertical="center"/>
    </xf>
    <xf numFmtId="0" fontId="67" fillId="0" borderId="11" xfId="0" applyFont="1" applyBorder="1" applyAlignment="1">
      <alignment vertical="center"/>
    </xf>
    <xf numFmtId="0" fontId="67" fillId="0" borderId="10" xfId="0" applyFont="1" applyBorder="1" applyAlignment="1">
      <alignment vertical="center" wrapText="1"/>
    </xf>
    <xf numFmtId="3" fontId="44" fillId="0" borderId="10" xfId="0" applyNumberFormat="1" applyFont="1" applyBorder="1" applyAlignment="1">
      <alignment horizontal="center" vertical="center"/>
    </xf>
    <xf numFmtId="166" fontId="39" fillId="0" borderId="20" xfId="0" applyNumberFormat="1" applyFont="1" applyBorder="1" applyAlignment="1">
      <alignment horizontal="center" vertical="center"/>
    </xf>
    <xf numFmtId="0" fontId="39" fillId="0" borderId="0" xfId="0" applyFont="1" applyAlignment="1">
      <alignment vertical="center"/>
    </xf>
    <xf numFmtId="3" fontId="39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vertical="center" wrapText="1"/>
    </xf>
    <xf numFmtId="0" fontId="23" fillId="0" borderId="21" xfId="0" applyFont="1" applyBorder="1" applyAlignment="1">
      <alignment vertical="center"/>
    </xf>
    <xf numFmtId="0" fontId="33" fillId="0" borderId="13" xfId="0" applyFont="1" applyBorder="1" applyAlignment="1">
      <alignment vertical="center" wrapText="1"/>
    </xf>
    <xf numFmtId="166" fontId="7" fillId="0" borderId="48" xfId="0" applyNumberFormat="1" applyFont="1" applyBorder="1" applyAlignment="1">
      <alignment horizontal="center" vertical="center"/>
    </xf>
    <xf numFmtId="0" fontId="25" fillId="0" borderId="50" xfId="0" applyFont="1" applyBorder="1" applyAlignment="1">
      <alignment vertical="center"/>
    </xf>
    <xf numFmtId="0" fontId="24" fillId="0" borderId="43" xfId="0" applyFont="1" applyBorder="1" applyAlignment="1">
      <alignment vertical="center" wrapText="1"/>
    </xf>
    <xf numFmtId="166" fontId="7" fillId="0" borderId="40" xfId="0" applyNumberFormat="1" applyFont="1" applyBorder="1" applyAlignment="1">
      <alignment horizontal="center" vertical="center"/>
    </xf>
    <xf numFmtId="14" fontId="12" fillId="0" borderId="4" xfId="0" applyNumberFormat="1" applyFont="1" applyBorder="1" applyAlignment="1">
      <alignment horizontal="center" vertical="center"/>
    </xf>
    <xf numFmtId="3" fontId="68" fillId="0" borderId="2" xfId="0" applyNumberFormat="1" applyFont="1" applyBorder="1" applyAlignment="1">
      <alignment horizontal="center" vertical="center"/>
    </xf>
    <xf numFmtId="14" fontId="12" fillId="0" borderId="71" xfId="0" applyNumberFormat="1" applyFont="1" applyBorder="1" applyAlignment="1">
      <alignment horizontal="center" vertical="center"/>
    </xf>
    <xf numFmtId="3" fontId="68" fillId="0" borderId="17" xfId="0" applyNumberFormat="1" applyFont="1" applyBorder="1" applyAlignment="1">
      <alignment horizontal="center" vertical="center"/>
    </xf>
    <xf numFmtId="14" fontId="69" fillId="0" borderId="43" xfId="0" applyNumberFormat="1" applyFont="1" applyBorder="1" applyAlignment="1">
      <alignment horizontal="center" vertical="center"/>
    </xf>
    <xf numFmtId="3" fontId="69" fillId="0" borderId="43" xfId="0" applyNumberFormat="1" applyFont="1" applyBorder="1" applyAlignment="1">
      <alignment horizontal="center" vertical="center"/>
    </xf>
    <xf numFmtId="3" fontId="83" fillId="0" borderId="40" xfId="0" applyNumberFormat="1" applyFont="1" applyBorder="1" applyAlignment="1">
      <alignment horizontal="center" vertical="center"/>
    </xf>
    <xf numFmtId="0" fontId="83" fillId="0" borderId="50" xfId="0" applyFont="1" applyBorder="1" applyAlignment="1">
      <alignment horizontal="right" vertical="center" wrapText="1"/>
    </xf>
    <xf numFmtId="0" fontId="84" fillId="0" borderId="43" xfId="0" applyFont="1" applyBorder="1" applyAlignment="1">
      <alignment vertical="center" wrapText="1"/>
    </xf>
    <xf numFmtId="3" fontId="69" fillId="0" borderId="17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 wrapText="1"/>
    </xf>
    <xf numFmtId="0" fontId="84" fillId="0" borderId="0" xfId="0" applyFont="1" applyAlignment="1">
      <alignment vertical="center" wrapText="1"/>
    </xf>
    <xf numFmtId="14" fontId="69" fillId="0" borderId="0" xfId="0" applyNumberFormat="1" applyFont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3" fontId="83" fillId="0" borderId="0" xfId="0" applyNumberFormat="1" applyFont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55" fillId="0" borderId="10" xfId="0" applyFont="1" applyBorder="1" applyAlignment="1">
      <alignment vertical="center"/>
    </xf>
    <xf numFmtId="1" fontId="5" fillId="0" borderId="0" xfId="0" applyNumberFormat="1" applyFont="1" applyAlignment="1">
      <alignment vertical="center"/>
    </xf>
    <xf numFmtId="0" fontId="148" fillId="0" borderId="10" xfId="0" applyFont="1" applyBorder="1" applyAlignment="1">
      <alignment vertical="center"/>
    </xf>
    <xf numFmtId="3" fontId="148" fillId="0" borderId="10" xfId="0" applyNumberFormat="1" applyFont="1" applyBorder="1" applyAlignment="1">
      <alignment horizontal="center" vertical="center"/>
    </xf>
    <xf numFmtId="3" fontId="83" fillId="0" borderId="10" xfId="0" applyNumberFormat="1" applyFont="1" applyBorder="1" applyAlignment="1">
      <alignment horizontal="center" vertical="center"/>
    </xf>
    <xf numFmtId="0" fontId="148" fillId="0" borderId="0" xfId="0" applyFont="1" applyAlignment="1">
      <alignment vertical="center"/>
    </xf>
    <xf numFmtId="3" fontId="148" fillId="0" borderId="0" xfId="0" applyNumberFormat="1" applyFont="1" applyAlignment="1">
      <alignment horizontal="center" vertical="center"/>
    </xf>
    <xf numFmtId="170" fontId="5" fillId="17" borderId="10" xfId="0" applyNumberFormat="1" applyFont="1" applyFill="1" applyBorder="1" applyAlignment="1">
      <alignment horizontal="center" vertical="center"/>
    </xf>
    <xf numFmtId="4" fontId="7" fillId="17" borderId="20" xfId="0" applyNumberFormat="1" applyFont="1" applyFill="1" applyBorder="1" applyAlignment="1">
      <alignment horizontal="center" vertical="center"/>
    </xf>
    <xf numFmtId="4" fontId="42" fillId="0" borderId="10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2" fontId="7" fillId="9" borderId="24" xfId="0" applyNumberFormat="1" applyFont="1" applyFill="1" applyBorder="1" applyAlignment="1">
      <alignment horizontal="right"/>
    </xf>
    <xf numFmtId="4" fontId="27" fillId="4" borderId="70" xfId="0" applyNumberFormat="1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/>
    </xf>
    <xf numFmtId="0" fontId="99" fillId="0" borderId="10" xfId="0" applyFont="1" applyBorder="1" applyAlignment="1">
      <alignment vertical="center" wrapText="1"/>
    </xf>
    <xf numFmtId="0" fontId="99" fillId="0" borderId="10" xfId="0" applyFont="1" applyBorder="1" applyAlignment="1">
      <alignment horizontal="right" vertical="center" wrapText="1"/>
    </xf>
    <xf numFmtId="4" fontId="33" fillId="0" borderId="10" xfId="0" applyNumberFormat="1" applyFont="1" applyBorder="1" applyAlignment="1">
      <alignment horizontal="center"/>
    </xf>
    <xf numFmtId="0" fontId="33" fillId="4" borderId="10" xfId="0" applyFont="1" applyFill="1" applyBorder="1" applyAlignment="1">
      <alignment horizontal="center" vertical="center"/>
    </xf>
    <xf numFmtId="0" fontId="33" fillId="4" borderId="10" xfId="0" applyFont="1" applyFill="1" applyBorder="1" applyAlignment="1">
      <alignment horizontal="left" vertical="center"/>
    </xf>
    <xf numFmtId="4" fontId="33" fillId="4" borderId="10" xfId="0" applyNumberFormat="1" applyFont="1" applyFill="1" applyBorder="1" applyAlignment="1">
      <alignment horizontal="center"/>
    </xf>
    <xf numFmtId="4" fontId="33" fillId="4" borderId="10" xfId="0" applyNumberFormat="1" applyFont="1" applyFill="1" applyBorder="1" applyAlignment="1">
      <alignment horizontal="center" vertical="center"/>
    </xf>
    <xf numFmtId="0" fontId="137" fillId="0" borderId="0" xfId="0" applyFont="1" applyAlignment="1">
      <alignment vertical="center"/>
    </xf>
    <xf numFmtId="3" fontId="43" fillId="0" borderId="11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3" fontId="39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5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justify" vertical="center"/>
    </xf>
    <xf numFmtId="0" fontId="1" fillId="0" borderId="0" xfId="0" applyFont="1" applyAlignment="1">
      <alignment vertical="center"/>
    </xf>
    <xf numFmtId="3" fontId="76" fillId="0" borderId="0" xfId="0" applyNumberFormat="1" applyFont="1" applyAlignment="1">
      <alignment horizontal="center" vertical="center"/>
    </xf>
    <xf numFmtId="0" fontId="10" fillId="0" borderId="10" xfId="0" applyFont="1" applyBorder="1" applyAlignment="1">
      <alignment vertical="center" wrapText="1"/>
    </xf>
    <xf numFmtId="3" fontId="41" fillId="0" borderId="73" xfId="0" applyNumberFormat="1" applyFont="1" applyBorder="1" applyAlignment="1">
      <alignment horizontal="center" vertical="center" wrapText="1"/>
    </xf>
    <xf numFmtId="3" fontId="44" fillId="0" borderId="44" xfId="0" applyNumberFormat="1" applyFont="1" applyBorder="1" applyAlignment="1">
      <alignment horizontal="center" vertical="center" wrapText="1"/>
    </xf>
    <xf numFmtId="3" fontId="9" fillId="0" borderId="73" xfId="0" applyNumberFormat="1" applyFont="1" applyBorder="1" applyAlignment="1">
      <alignment horizontal="center" vertical="center" wrapText="1"/>
    </xf>
    <xf numFmtId="3" fontId="9" fillId="0" borderId="44" xfId="0" applyNumberFormat="1" applyFont="1" applyBorder="1" applyAlignment="1">
      <alignment horizontal="center" vertical="center" wrapText="1"/>
    </xf>
    <xf numFmtId="3" fontId="10" fillId="0" borderId="55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center" vertical="center"/>
    </xf>
    <xf numFmtId="3" fontId="39" fillId="0" borderId="22" xfId="0" applyNumberFormat="1" applyFont="1" applyBorder="1" applyAlignment="1">
      <alignment horizontal="center" vertical="center" wrapText="1"/>
    </xf>
    <xf numFmtId="3" fontId="10" fillId="0" borderId="29" xfId="0" applyNumberFormat="1" applyFont="1" applyBorder="1" applyAlignment="1">
      <alignment horizontal="center" vertical="center"/>
    </xf>
    <xf numFmtId="3" fontId="55" fillId="0" borderId="18" xfId="0" applyNumberFormat="1" applyFont="1" applyBorder="1" applyAlignment="1">
      <alignment horizontal="center" vertical="center" wrapText="1"/>
    </xf>
    <xf numFmtId="3" fontId="10" fillId="0" borderId="18" xfId="0" applyNumberFormat="1" applyFont="1" applyBorder="1" applyAlignment="1">
      <alignment horizontal="center" vertical="center"/>
    </xf>
    <xf numFmtId="3" fontId="10" fillId="0" borderId="74" xfId="0" applyNumberFormat="1" applyFont="1" applyBorder="1" applyAlignment="1">
      <alignment horizontal="center" vertical="center"/>
    </xf>
    <xf numFmtId="3" fontId="10" fillId="0" borderId="59" xfId="0" applyNumberFormat="1" applyFont="1" applyBorder="1" applyAlignment="1">
      <alignment horizontal="center" vertical="center"/>
    </xf>
    <xf numFmtId="3" fontId="10" fillId="0" borderId="22" xfId="0" applyNumberFormat="1" applyFont="1" applyBorder="1" applyAlignment="1">
      <alignment horizontal="center" vertical="center"/>
    </xf>
    <xf numFmtId="3" fontId="10" fillId="0" borderId="21" xfId="0" applyNumberFormat="1" applyFont="1" applyBorder="1" applyAlignment="1">
      <alignment horizontal="center" vertical="center"/>
    </xf>
    <xf numFmtId="176" fontId="151" fillId="0" borderId="10" xfId="0" applyNumberFormat="1" applyFont="1" applyBorder="1" applyAlignment="1">
      <alignment vertical="center"/>
    </xf>
    <xf numFmtId="1" fontId="9" fillId="0" borderId="16" xfId="1" applyNumberFormat="1" applyFont="1" applyBorder="1" applyAlignment="1">
      <alignment horizontal="left" vertical="center" wrapText="1"/>
    </xf>
    <xf numFmtId="1" fontId="21" fillId="0" borderId="16" xfId="1" applyNumberFormat="1" applyFont="1" applyBorder="1" applyAlignment="1">
      <alignment horizontal="left" vertical="center" wrapText="1"/>
    </xf>
    <xf numFmtId="4" fontId="7" fillId="0" borderId="58" xfId="1" applyNumberFormat="1" applyFont="1" applyBorder="1" applyAlignment="1">
      <alignment horizontal="center" vertical="center" wrapText="1"/>
    </xf>
    <xf numFmtId="3" fontId="5" fillId="0" borderId="46" xfId="0" applyNumberFormat="1" applyFont="1" applyBorder="1" applyAlignment="1">
      <alignment horizontal="center" vertical="center"/>
    </xf>
    <xf numFmtId="3" fontId="39" fillId="0" borderId="58" xfId="0" applyNumberFormat="1" applyFont="1" applyBorder="1" applyAlignment="1">
      <alignment horizontal="center" vertical="center"/>
    </xf>
    <xf numFmtId="3" fontId="10" fillId="0" borderId="58" xfId="0" applyNumberFormat="1" applyFont="1" applyBorder="1" applyAlignment="1">
      <alignment horizontal="center" vertical="center"/>
    </xf>
    <xf numFmtId="3" fontId="55" fillId="0" borderId="19" xfId="0" applyNumberFormat="1" applyFont="1" applyBorder="1" applyAlignment="1">
      <alignment horizontal="center" vertical="center"/>
    </xf>
    <xf numFmtId="3" fontId="3" fillId="0" borderId="16" xfId="0" applyNumberFormat="1" applyFont="1" applyBorder="1" applyAlignment="1">
      <alignment horizontal="center" vertical="center"/>
    </xf>
    <xf numFmtId="3" fontId="5" fillId="0" borderId="27" xfId="0" applyNumberFormat="1" applyFont="1" applyBorder="1" applyAlignment="1">
      <alignment horizontal="center" vertical="center"/>
    </xf>
    <xf numFmtId="1" fontId="9" fillId="0" borderId="10" xfId="1" applyNumberFormat="1" applyFont="1" applyBorder="1" applyAlignment="1">
      <alignment horizontal="left" vertical="center" wrapText="1"/>
    </xf>
    <xf numFmtId="1" fontId="21" fillId="0" borderId="10" xfId="1" applyNumberFormat="1" applyFont="1" applyBorder="1" applyAlignment="1">
      <alignment horizontal="left" vertical="center" wrapText="1"/>
    </xf>
    <xf numFmtId="3" fontId="39" fillId="0" borderId="20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/>
    </xf>
    <xf numFmtId="3" fontId="55" fillId="0" borderId="8" xfId="0" applyNumberFormat="1" applyFont="1" applyBorder="1" applyAlignment="1">
      <alignment horizontal="center" vertical="center"/>
    </xf>
    <xf numFmtId="3" fontId="9" fillId="0" borderId="8" xfId="0" applyNumberFormat="1" applyFont="1" applyBorder="1" applyAlignment="1">
      <alignment horizontal="center" vertical="center"/>
    </xf>
    <xf numFmtId="3" fontId="44" fillId="0" borderId="20" xfId="0" applyNumberFormat="1" applyFont="1" applyBorder="1" applyAlignment="1">
      <alignment horizontal="center" vertical="center"/>
    </xf>
    <xf numFmtId="3" fontId="39" fillId="0" borderId="8" xfId="0" applyNumberFormat="1" applyFont="1" applyBorder="1" applyAlignment="1">
      <alignment horizontal="center" vertical="center"/>
    </xf>
    <xf numFmtId="2" fontId="5" fillId="0" borderId="16" xfId="0" applyNumberFormat="1" applyFont="1" applyBorder="1" applyAlignment="1">
      <alignment horizontal="center" vertical="center"/>
    </xf>
    <xf numFmtId="3" fontId="44" fillId="0" borderId="20" xfId="0" applyNumberFormat="1" applyFont="1" applyBorder="1" applyAlignment="1">
      <alignment horizontal="center" vertical="center" wrapText="1"/>
    </xf>
    <xf numFmtId="3" fontId="55" fillId="0" borderId="10" xfId="0" applyNumberFormat="1" applyFont="1" applyBorder="1" applyAlignment="1">
      <alignment horizontal="center" vertical="center" wrapText="1"/>
    </xf>
    <xf numFmtId="3" fontId="13" fillId="0" borderId="20" xfId="0" applyNumberFormat="1" applyFont="1" applyBorder="1" applyAlignment="1">
      <alignment horizontal="center" vertical="center"/>
    </xf>
    <xf numFmtId="3" fontId="40" fillId="0" borderId="8" xfId="0" applyNumberFormat="1" applyFont="1" applyBorder="1" applyAlignment="1">
      <alignment horizontal="center" vertical="center"/>
    </xf>
    <xf numFmtId="3" fontId="47" fillId="0" borderId="8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3" fontId="44" fillId="0" borderId="8" xfId="0" applyNumberFormat="1" applyFont="1" applyBorder="1" applyAlignment="1">
      <alignment horizontal="center" vertical="center" wrapText="1"/>
    </xf>
    <xf numFmtId="3" fontId="40" fillId="0" borderId="20" xfId="0" applyNumberFormat="1" applyFont="1" applyBorder="1" applyAlignment="1">
      <alignment horizontal="center" vertical="center"/>
    </xf>
    <xf numFmtId="3" fontId="9" fillId="0" borderId="20" xfId="0" applyNumberFormat="1" applyFont="1" applyBorder="1" applyAlignment="1">
      <alignment horizontal="center" vertical="center" wrapText="1"/>
    </xf>
    <xf numFmtId="3" fontId="43" fillId="0" borderId="10" xfId="0" applyNumberFormat="1" applyFont="1" applyBorder="1" applyAlignment="1">
      <alignment horizontal="center" vertical="center" wrapText="1"/>
    </xf>
    <xf numFmtId="3" fontId="39" fillId="0" borderId="10" xfId="0" applyNumberFormat="1" applyFont="1" applyBorder="1" applyAlignment="1">
      <alignment horizontal="center" vertical="center" wrapText="1"/>
    </xf>
    <xf numFmtId="1" fontId="13" fillId="0" borderId="10" xfId="1" applyNumberFormat="1" applyFont="1" applyBorder="1" applyAlignment="1">
      <alignment horizontal="left" vertical="center" wrapText="1"/>
    </xf>
    <xf numFmtId="1" fontId="54" fillId="0" borderId="10" xfId="1" applyNumberFormat="1" applyFont="1" applyBorder="1" applyAlignment="1">
      <alignment horizontal="left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3" fontId="9" fillId="0" borderId="2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 wrapText="1"/>
    </xf>
    <xf numFmtId="1" fontId="9" fillId="0" borderId="13" xfId="1" applyNumberFormat="1" applyFont="1" applyBorder="1" applyAlignment="1">
      <alignment horizontal="left" vertical="center" wrapText="1"/>
    </xf>
    <xf numFmtId="1" fontId="21" fillId="0" borderId="13" xfId="1" applyNumberFormat="1" applyFont="1" applyBorder="1" applyAlignment="1">
      <alignment horizontal="left" vertical="center" wrapText="1"/>
    </xf>
    <xf numFmtId="3" fontId="5" fillId="0" borderId="51" xfId="0" applyNumberFormat="1" applyFont="1" applyBorder="1" applyAlignment="1">
      <alignment horizontal="center" vertical="center"/>
    </xf>
    <xf numFmtId="3" fontId="39" fillId="0" borderId="48" xfId="0" applyNumberFormat="1" applyFont="1" applyBorder="1" applyAlignment="1">
      <alignment horizontal="center" vertical="center"/>
    </xf>
    <xf numFmtId="3" fontId="10" fillId="0" borderId="48" xfId="0" applyNumberFormat="1" applyFont="1" applyBorder="1" applyAlignment="1">
      <alignment horizontal="center" vertical="center"/>
    </xf>
    <xf numFmtId="3" fontId="55" fillId="0" borderId="12" xfId="0" applyNumberFormat="1" applyFont="1" applyBorder="1" applyAlignment="1">
      <alignment horizontal="center" vertical="center"/>
    </xf>
    <xf numFmtId="0" fontId="40" fillId="0" borderId="50" xfId="0" applyFont="1" applyBorder="1" applyAlignment="1">
      <alignment horizontal="center" vertical="center"/>
    </xf>
    <xf numFmtId="0" fontId="40" fillId="0" borderId="43" xfId="0" applyFont="1" applyBorder="1" applyAlignment="1">
      <alignment vertical="center"/>
    </xf>
    <xf numFmtId="0" fontId="21" fillId="0" borderId="43" xfId="0" applyFont="1" applyBorder="1" applyAlignment="1">
      <alignment vertical="center"/>
    </xf>
    <xf numFmtId="3" fontId="40" fillId="0" borderId="24" xfId="0" applyNumberFormat="1" applyFont="1" applyBorder="1" applyAlignment="1">
      <alignment horizontal="center" vertical="center"/>
    </xf>
    <xf numFmtId="3" fontId="56" fillId="0" borderId="24" xfId="0" applyNumberFormat="1" applyFont="1" applyBorder="1" applyAlignment="1">
      <alignment horizontal="center" vertical="center"/>
    </xf>
    <xf numFmtId="3" fontId="40" fillId="0" borderId="5" xfId="0" applyNumberFormat="1" applyFont="1" applyBorder="1" applyAlignment="1">
      <alignment horizontal="center" vertical="center"/>
    </xf>
    <xf numFmtId="3" fontId="56" fillId="0" borderId="43" xfId="0" applyNumberFormat="1" applyFont="1" applyBorder="1" applyAlignment="1">
      <alignment horizontal="center" vertical="center"/>
    </xf>
    <xf numFmtId="3" fontId="40" fillId="0" borderId="43" xfId="0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40" fillId="0" borderId="10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6" fillId="0" borderId="10" xfId="0" applyFont="1" applyBorder="1" applyAlignment="1">
      <alignment vertical="center" wrapText="1"/>
    </xf>
    <xf numFmtId="0" fontId="21" fillId="0" borderId="10" xfId="0" applyFont="1" applyBorder="1" applyAlignment="1">
      <alignment vertical="center"/>
    </xf>
    <xf numFmtId="0" fontId="16" fillId="0" borderId="0" xfId="0" applyFont="1" applyAlignment="1">
      <alignment vertical="center" wrapText="1"/>
    </xf>
    <xf numFmtId="17" fontId="7" fillId="0" borderId="0" xfId="0" applyNumberFormat="1" applyFont="1" applyAlignment="1">
      <alignment horizontal="right" vertical="center"/>
    </xf>
    <xf numFmtId="3" fontId="5" fillId="0" borderId="0" xfId="0" applyNumberFormat="1" applyFont="1" applyAlignment="1">
      <alignment horizontal="left" vertical="center"/>
    </xf>
    <xf numFmtId="0" fontId="40" fillId="0" borderId="10" xfId="0" applyFont="1" applyBorder="1" applyAlignment="1">
      <alignment horizontal="left" vertical="center" wrapText="1"/>
    </xf>
    <xf numFmtId="0" fontId="55" fillId="0" borderId="10" xfId="0" applyFont="1" applyBorder="1" applyAlignment="1">
      <alignment horizontal="center" vertical="center"/>
    </xf>
    <xf numFmtId="3" fontId="55" fillId="0" borderId="10" xfId="0" applyNumberFormat="1" applyFont="1" applyBorder="1" applyAlignment="1">
      <alignment horizontal="center" vertical="center"/>
    </xf>
    <xf numFmtId="3" fontId="55" fillId="0" borderId="0" xfId="0" applyNumberFormat="1" applyFont="1" applyAlignment="1">
      <alignment horizontal="right" vertical="center"/>
    </xf>
    <xf numFmtId="3" fontId="55" fillId="0" borderId="0" xfId="0" applyNumberFormat="1" applyFont="1" applyAlignment="1">
      <alignment vertical="center"/>
    </xf>
    <xf numFmtId="0" fontId="9" fillId="0" borderId="10" xfId="0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/>
    </xf>
    <xf numFmtId="166" fontId="5" fillId="0" borderId="0" xfId="0" applyNumberFormat="1" applyFont="1" applyAlignment="1">
      <alignment vertical="center"/>
    </xf>
    <xf numFmtId="3" fontId="12" fillId="0" borderId="0" xfId="0" applyNumberFormat="1" applyFont="1" applyAlignment="1">
      <alignment horizontal="right" vertical="center"/>
    </xf>
    <xf numFmtId="3" fontId="40" fillId="0" borderId="40" xfId="0" applyNumberFormat="1" applyFont="1" applyBorder="1" applyAlignment="1">
      <alignment horizontal="center" vertical="center"/>
    </xf>
    <xf numFmtId="0" fontId="82" fillId="0" borderId="0" xfId="0" applyFont="1" applyAlignment="1">
      <alignment horizontal="right" vertical="center"/>
    </xf>
    <xf numFmtId="0" fontId="82" fillId="0" borderId="0" xfId="0" applyFont="1" applyAlignment="1">
      <alignment horizontal="left" vertical="center"/>
    </xf>
    <xf numFmtId="0" fontId="7" fillId="25" borderId="10" xfId="0" applyFont="1" applyFill="1" applyBorder="1" applyAlignment="1">
      <alignment horizontal="left" vertical="center" wrapText="1"/>
    </xf>
    <xf numFmtId="173" fontId="7" fillId="25" borderId="10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/>
    </xf>
    <xf numFmtId="173" fontId="7" fillId="0" borderId="10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center"/>
    </xf>
    <xf numFmtId="173" fontId="5" fillId="0" borderId="10" xfId="0" applyNumberFormat="1" applyFont="1" applyBorder="1" applyAlignment="1">
      <alignment horizontal="center" vertical="center"/>
    </xf>
    <xf numFmtId="4" fontId="7" fillId="25" borderId="10" xfId="0" applyNumberFormat="1" applyFont="1" applyFill="1" applyBorder="1" applyAlignment="1">
      <alignment horizontal="center" vertical="center"/>
    </xf>
    <xf numFmtId="0" fontId="5" fillId="0" borderId="10" xfId="0" applyFont="1" applyBorder="1" applyAlignment="1">
      <alignment horizontal="left" vertical="center" wrapText="1"/>
    </xf>
    <xf numFmtId="0" fontId="23" fillId="0" borderId="1" xfId="0" applyFont="1" applyBorder="1" applyAlignment="1">
      <alignment vertical="center" wrapText="1"/>
    </xf>
    <xf numFmtId="0" fontId="0" fillId="0" borderId="55" xfId="0" applyBorder="1" applyAlignment="1">
      <alignment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0" fontId="34" fillId="0" borderId="27" xfId="0" applyFont="1" applyBorder="1" applyAlignment="1">
      <alignment vertical="center" wrapText="1"/>
    </xf>
    <xf numFmtId="0" fontId="34" fillId="0" borderId="28" xfId="0" applyFont="1" applyBorder="1" applyAlignment="1">
      <alignment vertical="center" wrapText="1"/>
    </xf>
    <xf numFmtId="4" fontId="7" fillId="0" borderId="47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vertical="center" wrapText="1"/>
    </xf>
    <xf numFmtId="0" fontId="7" fillId="0" borderId="73" xfId="0" applyFont="1" applyBorder="1" applyAlignment="1">
      <alignment horizontal="center" vertical="center" wrapText="1"/>
    </xf>
    <xf numFmtId="0" fontId="4" fillId="0" borderId="73" xfId="0" applyFont="1" applyBorder="1" applyAlignment="1">
      <alignment vertical="center" wrapText="1"/>
    </xf>
    <xf numFmtId="0" fontId="4" fillId="0" borderId="35" xfId="0" applyFont="1" applyBorder="1" applyAlignment="1">
      <alignment vertical="center" wrapText="1"/>
    </xf>
    <xf numFmtId="3" fontId="5" fillId="0" borderId="27" xfId="0" applyNumberFormat="1" applyFont="1" applyBorder="1" applyAlignment="1">
      <alignment horizontal="center" vertical="center" wrapText="1"/>
    </xf>
    <xf numFmtId="0" fontId="0" fillId="0" borderId="27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169" fontId="7" fillId="0" borderId="14" xfId="0" applyNumberFormat="1" applyFont="1" applyBorder="1" applyAlignment="1">
      <alignment horizontal="center" vertical="center" wrapText="1"/>
    </xf>
    <xf numFmtId="169" fontId="4" fillId="0" borderId="9" xfId="0" applyNumberFormat="1" applyFont="1" applyBorder="1" applyAlignment="1">
      <alignment vertical="center" wrapText="1"/>
    </xf>
    <xf numFmtId="0" fontId="7" fillId="0" borderId="34" xfId="0" applyFont="1" applyBorder="1" applyAlignment="1">
      <alignment horizontal="center" vertical="center" wrapText="1"/>
    </xf>
    <xf numFmtId="3" fontId="5" fillId="0" borderId="32" xfId="0" applyNumberFormat="1" applyFont="1" applyBorder="1" applyAlignment="1">
      <alignment horizontal="center" vertical="center" wrapText="1"/>
    </xf>
    <xf numFmtId="169" fontId="7" fillId="0" borderId="47" xfId="0" applyNumberFormat="1" applyFont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19" fillId="0" borderId="3" xfId="0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4" fontId="5" fillId="0" borderId="13" xfId="0" applyNumberFormat="1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9" fillId="0" borderId="2" xfId="0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62" fillId="0" borderId="34" xfId="0" applyFont="1" applyBorder="1" applyAlignment="1">
      <alignment horizontal="right" vertical="center" wrapText="1"/>
    </xf>
    <xf numFmtId="0" fontId="62" fillId="0" borderId="4" xfId="0" applyFont="1" applyBorder="1" applyAlignment="1">
      <alignment horizontal="right" vertical="center" wrapText="1"/>
    </xf>
    <xf numFmtId="0" fontId="83" fillId="0" borderId="5" xfId="0" applyFont="1" applyBorder="1" applyAlignment="1">
      <alignment horizontal="right" vertical="center" wrapText="1"/>
    </xf>
    <xf numFmtId="0" fontId="83" fillId="0" borderId="53" xfId="0" applyFont="1" applyBorder="1" applyAlignment="1">
      <alignment horizontal="right" vertical="center" wrapText="1"/>
    </xf>
    <xf numFmtId="0" fontId="62" fillId="0" borderId="81" xfId="0" applyFont="1" applyBorder="1" applyAlignment="1">
      <alignment horizontal="right" vertical="center" wrapText="1"/>
    </xf>
    <xf numFmtId="0" fontId="62" fillId="0" borderId="29" xfId="0" applyFont="1" applyBorder="1" applyAlignment="1">
      <alignment horizontal="right" vertical="center" wrapText="1"/>
    </xf>
    <xf numFmtId="3" fontId="12" fillId="0" borderId="61" xfId="0" applyNumberFormat="1" applyFont="1" applyBorder="1" applyAlignment="1">
      <alignment horizontal="center" vertical="center" wrapText="1"/>
    </xf>
    <xf numFmtId="3" fontId="12" fillId="0" borderId="65" xfId="0" applyNumberFormat="1" applyFont="1" applyBorder="1" applyAlignment="1">
      <alignment horizontal="center" vertical="center" wrapText="1"/>
    </xf>
    <xf numFmtId="4" fontId="8" fillId="0" borderId="30" xfId="0" applyNumberFormat="1" applyFont="1" applyBorder="1" applyAlignment="1">
      <alignment horizontal="center" vertical="center" wrapText="1"/>
    </xf>
    <xf numFmtId="3" fontId="18" fillId="0" borderId="26" xfId="0" applyNumberFormat="1" applyFont="1" applyBorder="1" applyAlignment="1">
      <alignment horizontal="center" vertical="center" wrapText="1"/>
    </xf>
    <xf numFmtId="3" fontId="18" fillId="0" borderId="31" xfId="0" applyNumberFormat="1" applyFont="1" applyBorder="1" applyAlignment="1">
      <alignment horizontal="center" vertical="center" wrapText="1"/>
    </xf>
    <xf numFmtId="4" fontId="18" fillId="0" borderId="27" xfId="0" applyNumberFormat="1" applyFont="1" applyBorder="1" applyAlignment="1">
      <alignment horizontal="center" vertical="center" wrapText="1"/>
    </xf>
    <xf numFmtId="3" fontId="18" fillId="0" borderId="27" xfId="0" applyNumberFormat="1" applyFont="1" applyBorder="1" applyAlignment="1">
      <alignment horizontal="center" vertical="center" wrapText="1"/>
    </xf>
    <xf numFmtId="3" fontId="18" fillId="0" borderId="33" xfId="0" applyNumberFormat="1" applyFont="1" applyBorder="1" applyAlignment="1">
      <alignment horizontal="center" vertical="center" wrapText="1"/>
    </xf>
    <xf numFmtId="3" fontId="8" fillId="0" borderId="26" xfId="0" applyNumberFormat="1" applyFont="1" applyBorder="1" applyAlignment="1">
      <alignment horizontal="center" vertical="center" wrapText="1"/>
    </xf>
    <xf numFmtId="3" fontId="9" fillId="0" borderId="36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8" fillId="0" borderId="30" xfId="0" applyNumberFormat="1" applyFont="1" applyBorder="1" applyAlignment="1">
      <alignment horizontal="center" vertical="center" wrapText="1"/>
    </xf>
    <xf numFmtId="3" fontId="15" fillId="0" borderId="26" xfId="0" applyNumberFormat="1" applyFont="1" applyBorder="1" applyAlignment="1">
      <alignment horizontal="center" vertical="center" wrapText="1"/>
    </xf>
    <xf numFmtId="3" fontId="15" fillId="0" borderId="31" xfId="0" applyNumberFormat="1" applyFont="1" applyBorder="1" applyAlignment="1">
      <alignment horizontal="center" vertical="center" wrapText="1"/>
    </xf>
    <xf numFmtId="3" fontId="15" fillId="0" borderId="36" xfId="0" applyNumberFormat="1" applyFont="1" applyBorder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 wrapText="1"/>
    </xf>
    <xf numFmtId="3" fontId="15" fillId="0" borderId="38" xfId="0" applyNumberFormat="1" applyFont="1" applyBorder="1" applyAlignment="1">
      <alignment horizontal="center" vertical="center" wrapText="1"/>
    </xf>
    <xf numFmtId="3" fontId="16" fillId="0" borderId="5" xfId="0" applyNumberFormat="1" applyFont="1" applyBorder="1" applyAlignment="1">
      <alignment horizontal="center" vertical="center" wrapText="1"/>
    </xf>
    <xf numFmtId="3" fontId="17" fillId="0" borderId="6" xfId="0" applyNumberFormat="1" applyFont="1" applyBorder="1" applyAlignment="1">
      <alignment horizontal="center" vertical="center" wrapText="1"/>
    </xf>
    <xf numFmtId="3" fontId="17" fillId="0" borderId="7" xfId="0" applyNumberFormat="1" applyFont="1" applyBorder="1" applyAlignment="1">
      <alignment horizontal="center" vertical="center" wrapText="1"/>
    </xf>
    <xf numFmtId="3" fontId="9" fillId="0" borderId="30" xfId="0" applyNumberFormat="1" applyFont="1" applyBorder="1" applyAlignment="1">
      <alignment horizontal="center" vertical="center" wrapText="1"/>
    </xf>
    <xf numFmtId="3" fontId="4" fillId="0" borderId="26" xfId="0" applyNumberFormat="1" applyFont="1" applyBorder="1" applyAlignment="1">
      <alignment horizontal="center" vertical="center" wrapText="1"/>
    </xf>
    <xf numFmtId="3" fontId="4" fillId="0" borderId="31" xfId="0" applyNumberFormat="1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3" fontId="7" fillId="0" borderId="23" xfId="0" applyNumberFormat="1" applyFont="1" applyBorder="1" applyAlignment="1">
      <alignment horizontal="center" vertical="center" wrapText="1"/>
    </xf>
    <xf numFmtId="3" fontId="14" fillId="0" borderId="6" xfId="0" applyNumberFormat="1" applyFon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3" fontId="7" fillId="0" borderId="26" xfId="0" applyNumberFormat="1" applyFont="1" applyBorder="1" applyAlignment="1">
      <alignment horizontal="center" vertical="center" wrapText="1"/>
    </xf>
    <xf numFmtId="3" fontId="7" fillId="0" borderId="31" xfId="0" applyNumberFormat="1" applyFont="1" applyBorder="1" applyAlignment="1">
      <alignment horizontal="center" vertical="center" wrapText="1"/>
    </xf>
    <xf numFmtId="3" fontId="15" fillId="0" borderId="32" xfId="0" applyNumberFormat="1" applyFont="1" applyBorder="1" applyAlignment="1">
      <alignment horizontal="center" vertical="center" wrapText="1"/>
    </xf>
    <xf numFmtId="3" fontId="15" fillId="0" borderId="27" xfId="0" applyNumberFormat="1" applyFont="1" applyBorder="1" applyAlignment="1">
      <alignment horizontal="center" vertical="center" wrapText="1"/>
    </xf>
    <xf numFmtId="3" fontId="15" fillId="0" borderId="33" xfId="0" applyNumberFormat="1" applyFont="1" applyBorder="1" applyAlignment="1">
      <alignment horizontal="center" vertical="center" wrapText="1"/>
    </xf>
    <xf numFmtId="3" fontId="16" fillId="0" borderId="30" xfId="0" applyNumberFormat="1" applyFont="1" applyBorder="1" applyAlignment="1">
      <alignment horizontal="center" vertical="center" wrapText="1"/>
    </xf>
    <xf numFmtId="3" fontId="17" fillId="0" borderId="26" xfId="0" applyNumberFormat="1" applyFont="1" applyBorder="1" applyAlignment="1">
      <alignment horizontal="center" vertical="center" wrapText="1"/>
    </xf>
    <xf numFmtId="3" fontId="17" fillId="0" borderId="32" xfId="0" applyNumberFormat="1" applyFont="1" applyBorder="1" applyAlignment="1">
      <alignment horizontal="center" vertical="center" wrapText="1"/>
    </xf>
    <xf numFmtId="3" fontId="17" fillId="0" borderId="27" xfId="0" applyNumberFormat="1" applyFont="1" applyBorder="1" applyAlignment="1">
      <alignment horizontal="center" vertical="center" wrapText="1"/>
    </xf>
    <xf numFmtId="3" fontId="18" fillId="0" borderId="32" xfId="0" applyNumberFormat="1" applyFon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 wrapText="1"/>
    </xf>
    <xf numFmtId="3" fontId="0" fillId="0" borderId="27" xfId="0" applyNumberFormat="1" applyBorder="1" applyAlignment="1">
      <alignment horizontal="center" vertical="center" wrapText="1"/>
    </xf>
    <xf numFmtId="3" fontId="0" fillId="0" borderId="33" xfId="0" applyNumberFormat="1" applyBorder="1" applyAlignment="1">
      <alignment horizontal="center" vertical="center" wrapText="1"/>
    </xf>
    <xf numFmtId="4" fontId="5" fillId="0" borderId="3" xfId="0" applyNumberFormat="1" applyFont="1" applyBorder="1" applyAlignment="1">
      <alignment horizontal="center" vertical="center" wrapText="1"/>
    </xf>
    <xf numFmtId="4" fontId="5" fillId="0" borderId="8" xfId="0" applyNumberFormat="1" applyFont="1" applyBorder="1" applyAlignment="1">
      <alignment horizontal="center" vertical="center" wrapText="1"/>
    </xf>
    <xf numFmtId="4" fontId="5" fillId="0" borderId="18" xfId="0" applyNumberFormat="1" applyFont="1" applyBorder="1" applyAlignment="1">
      <alignment horizontal="center" vertical="center" wrapText="1"/>
    </xf>
    <xf numFmtId="3" fontId="9" fillId="0" borderId="5" xfId="0" applyNumberFormat="1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3" fontId="7" fillId="0" borderId="7" xfId="0" applyNumberFormat="1" applyFont="1" applyBorder="1" applyAlignment="1">
      <alignment horizontal="center" vertical="center" wrapText="1"/>
    </xf>
    <xf numFmtId="3" fontId="14" fillId="0" borderId="30" xfId="0" applyNumberFormat="1" applyFont="1" applyBorder="1" applyAlignment="1">
      <alignment horizontal="center" vertical="center" wrapText="1"/>
    </xf>
    <xf numFmtId="3" fontId="14" fillId="0" borderId="26" xfId="0" applyNumberFormat="1" applyFont="1" applyBorder="1" applyAlignment="1">
      <alignment horizontal="center" vertical="center" wrapText="1"/>
    </xf>
    <xf numFmtId="3" fontId="14" fillId="0" borderId="31" xfId="0" applyNumberFormat="1" applyFont="1" applyBorder="1" applyAlignment="1">
      <alignment horizontal="center" vertical="center" wrapText="1"/>
    </xf>
    <xf numFmtId="3" fontId="20" fillId="0" borderId="26" xfId="0" applyNumberFormat="1" applyFont="1" applyBorder="1" applyAlignment="1">
      <alignment horizontal="center" vertical="center" wrapText="1"/>
    </xf>
    <xf numFmtId="3" fontId="20" fillId="0" borderId="31" xfId="0" applyNumberFormat="1" applyFont="1" applyBorder="1" applyAlignment="1">
      <alignment horizontal="center" vertical="center" wrapText="1"/>
    </xf>
    <xf numFmtId="3" fontId="20" fillId="0" borderId="32" xfId="0" applyNumberFormat="1" applyFont="1" applyBorder="1" applyAlignment="1">
      <alignment horizontal="center" vertical="center" wrapText="1"/>
    </xf>
    <xf numFmtId="3" fontId="20" fillId="0" borderId="27" xfId="0" applyNumberFormat="1" applyFont="1" applyBorder="1" applyAlignment="1">
      <alignment horizontal="center" vertical="center" wrapText="1"/>
    </xf>
    <xf numFmtId="3" fontId="20" fillId="0" borderId="33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55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 wrapText="1"/>
    </xf>
    <xf numFmtId="0" fontId="73" fillId="0" borderId="17" xfId="0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3" fontId="5" fillId="0" borderId="31" xfId="0" applyNumberFormat="1" applyFont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5" fillId="0" borderId="38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5" fillId="0" borderId="5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5" fillId="0" borderId="11" xfId="0" applyNumberFormat="1" applyFont="1" applyBorder="1" applyAlignment="1">
      <alignment horizontal="center" vertical="center" wrapText="1"/>
    </xf>
    <xf numFmtId="4" fontId="5" fillId="0" borderId="55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170" fontId="5" fillId="0" borderId="23" xfId="0" applyNumberFormat="1" applyFont="1" applyBorder="1" applyAlignment="1">
      <alignment horizontal="center" vertical="center" wrapText="1"/>
    </xf>
    <xf numFmtId="170" fontId="5" fillId="0" borderId="20" xfId="0" applyNumberFormat="1" applyFont="1" applyBorder="1" applyAlignment="1">
      <alignment horizontal="center" vertical="center" wrapText="1"/>
    </xf>
    <xf numFmtId="170" fontId="5" fillId="0" borderId="22" xfId="0" applyNumberFormat="1" applyFont="1" applyBorder="1" applyAlignment="1">
      <alignment horizontal="center" vertical="center" wrapText="1"/>
    </xf>
    <xf numFmtId="3" fontId="58" fillId="0" borderId="73" xfId="0" applyNumberFormat="1" applyFont="1" applyBorder="1" applyAlignment="1">
      <alignment horizontal="center" vertical="center" wrapText="1"/>
    </xf>
    <xf numFmtId="3" fontId="149" fillId="0" borderId="14" xfId="0" applyNumberFormat="1" applyFont="1" applyBorder="1" applyAlignment="1">
      <alignment horizontal="center" vertical="center" wrapText="1"/>
    </xf>
    <xf numFmtId="3" fontId="149" fillId="0" borderId="74" xfId="0" applyNumberFormat="1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143" fillId="22" borderId="73" xfId="0" applyNumberFormat="1" applyFont="1" applyFill="1" applyBorder="1" applyAlignment="1">
      <alignment horizontal="center" vertical="center" wrapText="1"/>
    </xf>
    <xf numFmtId="3" fontId="144" fillId="22" borderId="14" xfId="0" applyNumberFormat="1" applyFont="1" applyFill="1" applyBorder="1" applyAlignment="1">
      <alignment horizontal="center" vertical="center" wrapText="1"/>
    </xf>
    <xf numFmtId="3" fontId="144" fillId="22" borderId="74" xfId="0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3" fontId="5" fillId="0" borderId="35" xfId="0" applyNumberFormat="1" applyFont="1" applyBorder="1" applyAlignment="1">
      <alignment horizontal="center" vertical="center" wrapText="1"/>
    </xf>
    <xf numFmtId="3" fontId="0" fillId="0" borderId="41" xfId="0" applyNumberFormat="1" applyBorder="1" applyAlignment="1">
      <alignment horizontal="center" vertical="center" wrapText="1"/>
    </xf>
    <xf numFmtId="3" fontId="0" fillId="0" borderId="75" xfId="0" applyNumberFormat="1" applyBorder="1" applyAlignment="1">
      <alignment horizontal="center" vertical="center" wrapText="1"/>
    </xf>
    <xf numFmtId="0" fontId="7" fillId="21" borderId="11" xfId="0" applyFont="1" applyFill="1" applyBorder="1" applyAlignment="1">
      <alignment horizontal="center" vertical="center" wrapText="1"/>
    </xf>
    <xf numFmtId="0" fontId="0" fillId="21" borderId="10" xfId="0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0" fillId="21" borderId="2" xfId="0" applyFill="1" applyBorder="1" applyAlignment="1">
      <alignment horizontal="center" vertical="center" wrapText="1"/>
    </xf>
    <xf numFmtId="0" fontId="7" fillId="21" borderId="2" xfId="0" applyFont="1" applyFill="1" applyBorder="1" applyAlignment="1">
      <alignment horizontal="center" vertical="center" wrapText="1"/>
    </xf>
    <xf numFmtId="3" fontId="28" fillId="14" borderId="44" xfId="0" applyNumberFormat="1" applyFont="1" applyFill="1" applyBorder="1" applyAlignment="1">
      <alignment horizontal="center" vertical="center" wrapText="1"/>
    </xf>
    <xf numFmtId="3" fontId="112" fillId="14" borderId="45" xfId="0" applyNumberFormat="1" applyFont="1" applyFill="1" applyBorder="1" applyAlignment="1">
      <alignment horizontal="center" vertical="center" wrapText="1"/>
    </xf>
    <xf numFmtId="3" fontId="112" fillId="14" borderId="59" xfId="0" applyNumberFormat="1" applyFont="1" applyFill="1" applyBorder="1" applyAlignment="1">
      <alignment horizontal="center" vertical="center" wrapText="1"/>
    </xf>
    <xf numFmtId="0" fontId="7" fillId="21" borderId="23" xfId="0" applyFont="1" applyFill="1" applyBorder="1" applyAlignment="1">
      <alignment horizontal="center" vertical="center" wrapText="1"/>
    </xf>
    <xf numFmtId="0" fontId="0" fillId="21" borderId="20" xfId="0" applyFill="1" applyBorder="1" applyAlignment="1">
      <alignment horizontal="center" vertical="center" wrapText="1"/>
    </xf>
    <xf numFmtId="3" fontId="5" fillId="0" borderId="10" xfId="0" applyNumberFormat="1" applyFont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 wrapText="1"/>
    </xf>
    <xf numFmtId="4" fontId="7" fillId="0" borderId="10" xfId="0" applyNumberFormat="1" applyFont="1" applyBorder="1" applyAlignment="1">
      <alignment horizontal="center" vertical="center" wrapText="1"/>
    </xf>
    <xf numFmtId="0" fontId="111" fillId="0" borderId="10" xfId="0" applyFont="1" applyBorder="1" applyAlignment="1">
      <alignment vertical="center" wrapText="1"/>
    </xf>
    <xf numFmtId="0" fontId="52" fillId="0" borderId="2" xfId="0" applyFont="1" applyBorder="1" applyAlignment="1">
      <alignment vertical="center" wrapText="1"/>
    </xf>
    <xf numFmtId="0" fontId="52" fillId="0" borderId="10" xfId="0" applyFont="1" applyBorder="1" applyAlignment="1">
      <alignment vertical="center" wrapText="1"/>
    </xf>
    <xf numFmtId="0" fontId="53" fillId="0" borderId="17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38" fillId="0" borderId="17" xfId="0" applyFont="1" applyBorder="1" applyAlignment="1">
      <alignment vertical="center" wrapText="1"/>
    </xf>
    <xf numFmtId="3" fontId="41" fillId="0" borderId="23" xfId="0" applyNumberFormat="1" applyFont="1" applyBorder="1" applyAlignment="1">
      <alignment horizontal="center" vertical="center" wrapText="1"/>
    </xf>
    <xf numFmtId="3" fontId="7" fillId="0" borderId="44" xfId="0" applyNumberFormat="1" applyFont="1" applyBorder="1" applyAlignment="1">
      <alignment horizontal="center" vertical="center" wrapText="1"/>
    </xf>
    <xf numFmtId="3" fontId="4" fillId="0" borderId="45" xfId="0" applyNumberFormat="1" applyFont="1" applyBorder="1" applyAlignment="1">
      <alignment horizontal="center" vertical="center" wrapText="1"/>
    </xf>
    <xf numFmtId="3" fontId="4" fillId="0" borderId="59" xfId="0" applyNumberFormat="1" applyFont="1" applyBorder="1" applyAlignment="1">
      <alignment horizontal="center" vertical="center" wrapText="1"/>
    </xf>
    <xf numFmtId="4" fontId="5" fillId="0" borderId="23" xfId="0" applyNumberFormat="1" applyFont="1" applyBorder="1" applyAlignment="1">
      <alignment horizontal="center" vertical="center" wrapText="1"/>
    </xf>
    <xf numFmtId="4" fontId="5" fillId="0" borderId="20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3" fontId="7" fillId="0" borderId="46" xfId="0" applyNumberFormat="1" applyFont="1" applyBorder="1" applyAlignment="1">
      <alignment horizontal="center" vertical="center" wrapText="1"/>
    </xf>
    <xf numFmtId="3" fontId="8" fillId="0" borderId="50" xfId="0" applyNumberFormat="1" applyFont="1" applyBorder="1" applyAlignment="1">
      <alignment horizontal="center" vertical="center" wrapText="1"/>
    </xf>
    <xf numFmtId="3" fontId="20" fillId="0" borderId="43" xfId="0" applyNumberFormat="1" applyFont="1" applyBorder="1" applyAlignment="1">
      <alignment vertical="center" wrapText="1"/>
    </xf>
    <xf numFmtId="3" fontId="20" fillId="0" borderId="52" xfId="0" applyNumberFormat="1" applyFont="1" applyBorder="1" applyAlignment="1">
      <alignment vertical="center" wrapText="1"/>
    </xf>
    <xf numFmtId="3" fontId="7" fillId="0" borderId="37" xfId="0" applyNumberFormat="1" applyFont="1" applyBorder="1" applyAlignment="1">
      <alignment horizontal="center" vertical="center" wrapText="1"/>
    </xf>
    <xf numFmtId="3" fontId="4" fillId="0" borderId="42" xfId="0" applyNumberFormat="1" applyFont="1" applyBorder="1" applyAlignment="1">
      <alignment horizontal="center" vertical="center" wrapText="1"/>
    </xf>
    <xf numFmtId="3" fontId="4" fillId="0" borderId="39" xfId="0" applyNumberFormat="1" applyFont="1" applyBorder="1" applyAlignment="1">
      <alignment horizontal="center" vertical="center" wrapText="1"/>
    </xf>
    <xf numFmtId="3" fontId="41" fillId="0" borderId="2" xfId="0" applyNumberFormat="1" applyFont="1" applyBorder="1" applyAlignment="1">
      <alignment horizontal="center" vertical="center" wrapText="1"/>
    </xf>
    <xf numFmtId="3" fontId="9" fillId="0" borderId="4" xfId="0" applyNumberFormat="1" applyFont="1" applyBorder="1" applyAlignment="1">
      <alignment horizontal="center" vertical="center" wrapText="1"/>
    </xf>
    <xf numFmtId="3" fontId="41" fillId="0" borderId="3" xfId="0" applyNumberFormat="1" applyFont="1" applyBorder="1" applyAlignment="1">
      <alignment horizontal="center" vertical="center" wrapText="1"/>
    </xf>
    <xf numFmtId="3" fontId="8" fillId="0" borderId="60" xfId="0" applyNumberFormat="1" applyFont="1" applyBorder="1" applyAlignment="1">
      <alignment horizontal="center" vertical="center" wrapText="1"/>
    </xf>
    <xf numFmtId="3" fontId="20" fillId="0" borderId="56" xfId="0" applyNumberFormat="1" applyFont="1" applyBorder="1" applyAlignment="1">
      <alignment horizontal="center" vertical="center" wrapText="1"/>
    </xf>
    <xf numFmtId="3" fontId="20" fillId="0" borderId="61" xfId="0" applyNumberFormat="1" applyFont="1" applyBorder="1" applyAlignment="1">
      <alignment horizontal="center" vertical="center" wrapText="1"/>
    </xf>
    <xf numFmtId="3" fontId="7" fillId="0" borderId="30" xfId="0" applyNumberFormat="1" applyFont="1" applyBorder="1" applyAlignment="1">
      <alignment horizontal="center" vertical="center" wrapText="1"/>
    </xf>
    <xf numFmtId="3" fontId="7" fillId="0" borderId="78" xfId="0" applyNumberFormat="1" applyFont="1" applyBorder="1" applyAlignment="1">
      <alignment horizontal="center" vertical="center" wrapText="1"/>
    </xf>
    <xf numFmtId="3" fontId="7" fillId="0" borderId="32" xfId="0" applyNumberFormat="1" applyFont="1" applyBorder="1" applyAlignment="1">
      <alignment horizontal="center" vertical="center" wrapText="1"/>
    </xf>
    <xf numFmtId="3" fontId="7" fillId="0" borderId="27" xfId="0" applyNumberFormat="1" applyFont="1" applyBorder="1" applyAlignment="1">
      <alignment horizontal="center" vertical="center" wrapText="1"/>
    </xf>
    <xf numFmtId="3" fontId="7" fillId="0" borderId="28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wrapText="1"/>
    </xf>
    <xf numFmtId="0" fontId="35" fillId="11" borderId="1" xfId="0" applyFont="1" applyFill="1" applyBorder="1" applyAlignment="1">
      <alignment horizontal="center" vertical="center" wrapText="1"/>
    </xf>
    <xf numFmtId="0" fontId="0" fillId="11" borderId="2" xfId="0" applyFill="1" applyBorder="1" applyAlignment="1">
      <alignment horizontal="center" vertical="center" wrapText="1"/>
    </xf>
    <xf numFmtId="0" fontId="0" fillId="11" borderId="23" xfId="0" applyFill="1" applyBorder="1" applyAlignment="1">
      <alignment horizontal="center" vertical="center" wrapText="1"/>
    </xf>
    <xf numFmtId="0" fontId="35" fillId="11" borderId="4" xfId="0" applyFont="1" applyFill="1" applyBorder="1" applyAlignment="1">
      <alignment horizontal="center" vertical="center" wrapText="1"/>
    </xf>
    <xf numFmtId="0" fontId="0" fillId="11" borderId="2" xfId="0" applyFill="1" applyBorder="1" applyAlignment="1">
      <alignment vertical="center" wrapText="1"/>
    </xf>
    <xf numFmtId="0" fontId="0" fillId="11" borderId="23" xfId="0" applyFill="1" applyBorder="1" applyAlignment="1">
      <alignment vertical="center" wrapText="1"/>
    </xf>
    <xf numFmtId="0" fontId="35" fillId="11" borderId="72" xfId="0" applyFont="1" applyFill="1" applyBorder="1" applyAlignment="1">
      <alignment vertical="center" wrapText="1"/>
    </xf>
    <xf numFmtId="0" fontId="0" fillId="11" borderId="62" xfId="0" applyFill="1" applyBorder="1" applyAlignment="1">
      <alignment vertical="center" wrapText="1"/>
    </xf>
    <xf numFmtId="0" fontId="35" fillId="11" borderId="60" xfId="0" applyFont="1" applyFill="1" applyBorder="1" applyAlignment="1">
      <alignment vertical="center" wrapText="1"/>
    </xf>
    <xf numFmtId="0" fontId="0" fillId="11" borderId="63" xfId="0" applyFill="1" applyBorder="1" applyAlignment="1">
      <alignment vertical="center" wrapText="1"/>
    </xf>
    <xf numFmtId="0" fontId="16" fillId="0" borderId="44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76" fillId="13" borderId="0" xfId="0" applyFont="1" applyFill="1" applyAlignment="1">
      <alignment horizontal="center" vertical="center"/>
    </xf>
    <xf numFmtId="0" fontId="76" fillId="13" borderId="71" xfId="0" applyFont="1" applyFill="1" applyBorder="1" applyAlignment="1">
      <alignment horizontal="center" vertical="center"/>
    </xf>
    <xf numFmtId="3" fontId="27" fillId="4" borderId="51" xfId="0" applyNumberFormat="1" applyFont="1" applyFill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4" fontId="35" fillId="0" borderId="5" xfId="0" applyNumberFormat="1" applyFont="1" applyBorder="1" applyAlignment="1">
      <alignment horizontal="center" vertical="center" wrapText="1"/>
    </xf>
    <xf numFmtId="4" fontId="35" fillId="0" borderId="6" xfId="0" applyNumberFormat="1" applyFont="1" applyBorder="1" applyAlignment="1">
      <alignment horizontal="center" vertical="center" wrapText="1"/>
    </xf>
    <xf numFmtId="4" fontId="56" fillId="0" borderId="6" xfId="0" applyNumberFormat="1" applyFont="1" applyBorder="1" applyAlignment="1">
      <alignment horizontal="center" vertical="center" wrapText="1"/>
    </xf>
    <xf numFmtId="4" fontId="35" fillId="0" borderId="7" xfId="0" applyNumberFormat="1" applyFont="1" applyBorder="1" applyAlignment="1">
      <alignment horizontal="center" vertical="center" wrapText="1"/>
    </xf>
    <xf numFmtId="4" fontId="118" fillId="0" borderId="67" xfId="0" applyNumberFormat="1" applyFont="1" applyBorder="1" applyAlignment="1">
      <alignment horizontal="center" vertical="center" wrapText="1"/>
    </xf>
    <xf numFmtId="4" fontId="118" fillId="0" borderId="69" xfId="0" applyNumberFormat="1" applyFont="1" applyBorder="1" applyAlignment="1">
      <alignment horizontal="center" vertical="center" wrapText="1"/>
    </xf>
    <xf numFmtId="0" fontId="7" fillId="0" borderId="69" xfId="0" applyFont="1" applyBorder="1" applyAlignment="1">
      <alignment horizontal="center" vertical="center" wrapText="1"/>
    </xf>
    <xf numFmtId="3" fontId="35" fillId="0" borderId="5" xfId="0" applyNumberFormat="1" applyFont="1" applyBorder="1" applyAlignment="1">
      <alignment horizontal="center" vertical="center"/>
    </xf>
    <xf numFmtId="3" fontId="35" fillId="0" borderId="6" xfId="0" applyNumberFormat="1" applyFont="1" applyBorder="1" applyAlignment="1">
      <alignment horizontal="center" vertical="center"/>
    </xf>
    <xf numFmtId="3" fontId="35" fillId="0" borderId="7" xfId="0" applyNumberFormat="1" applyFont="1" applyBorder="1" applyAlignment="1">
      <alignment horizontal="center" vertical="center"/>
    </xf>
    <xf numFmtId="3" fontId="69" fillId="4" borderId="67" xfId="0" applyNumberFormat="1" applyFont="1" applyFill="1" applyBorder="1" applyAlignment="1">
      <alignment horizontal="center" vertical="center" wrapText="1"/>
    </xf>
    <xf numFmtId="3" fontId="69" fillId="4" borderId="69" xfId="0" applyNumberFormat="1" applyFont="1" applyFill="1" applyBorder="1" applyAlignment="1">
      <alignment horizontal="center" vertical="center" wrapText="1"/>
    </xf>
    <xf numFmtId="4" fontId="27" fillId="4" borderId="30" xfId="0" applyNumberFormat="1" applyFont="1" applyFill="1" applyBorder="1" applyAlignment="1">
      <alignment horizontal="center" vertical="center" wrapText="1"/>
    </xf>
    <xf numFmtId="4" fontId="27" fillId="4" borderId="68" xfId="0" applyNumberFormat="1" applyFont="1" applyFill="1" applyBorder="1" applyAlignment="1">
      <alignment horizontal="center" vertical="center" wrapText="1"/>
    </xf>
    <xf numFmtId="4" fontId="27" fillId="4" borderId="67" xfId="0" applyNumberFormat="1" applyFont="1" applyFill="1" applyBorder="1" applyAlignment="1">
      <alignment horizontal="center" vertical="center" wrapText="1"/>
    </xf>
    <xf numFmtId="4" fontId="27" fillId="4" borderId="69" xfId="0" applyNumberFormat="1" applyFont="1" applyFill="1" applyBorder="1" applyAlignment="1">
      <alignment horizontal="center" vertical="center" wrapText="1"/>
    </xf>
    <xf numFmtId="4" fontId="27" fillId="4" borderId="6" xfId="0" applyNumberFormat="1" applyFont="1" applyFill="1" applyBorder="1" applyAlignment="1">
      <alignment horizontal="center" vertical="center" wrapText="1"/>
    </xf>
    <xf numFmtId="4" fontId="27" fillId="4" borderId="7" xfId="0" applyNumberFormat="1" applyFont="1" applyFill="1" applyBorder="1" applyAlignment="1">
      <alignment horizontal="center" vertical="center" wrapText="1"/>
    </xf>
    <xf numFmtId="4" fontId="48" fillId="0" borderId="10" xfId="0" applyNumberFormat="1" applyFont="1" applyBorder="1" applyAlignment="1">
      <alignment horizontal="center" vertical="center"/>
    </xf>
    <xf numFmtId="4" fontId="47" fillId="0" borderId="67" xfId="0" applyNumberFormat="1" applyFont="1" applyBorder="1" applyAlignment="1">
      <alignment horizontal="center" vertical="center" wrapText="1"/>
    </xf>
    <xf numFmtId="4" fontId="47" fillId="0" borderId="69" xfId="0" applyNumberFormat="1" applyFont="1" applyBorder="1" applyAlignment="1">
      <alignment horizontal="center" vertical="center" wrapText="1"/>
    </xf>
    <xf numFmtId="3" fontId="27" fillId="4" borderId="51" xfId="0" applyNumberFormat="1" applyFont="1" applyFill="1" applyBorder="1" applyAlignment="1">
      <alignment horizontal="center" vertical="center"/>
    </xf>
    <xf numFmtId="3" fontId="27" fillId="4" borderId="31" xfId="0" applyNumberFormat="1" applyFont="1" applyFill="1" applyBorder="1" applyAlignment="1">
      <alignment horizontal="center" vertical="center" wrapText="1"/>
    </xf>
    <xf numFmtId="3" fontId="27" fillId="4" borderId="70" xfId="0" applyNumberFormat="1" applyFont="1" applyFill="1" applyBorder="1" applyAlignment="1">
      <alignment horizontal="center" vertical="center" wrapText="1"/>
    </xf>
    <xf numFmtId="3" fontId="27" fillId="4" borderId="26" xfId="0" applyNumberFormat="1" applyFont="1" applyFill="1" applyBorder="1" applyAlignment="1">
      <alignment horizontal="center" vertical="center" wrapText="1"/>
    </xf>
    <xf numFmtId="3" fontId="27" fillId="4" borderId="71" xfId="0" applyNumberFormat="1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/>
    </xf>
    <xf numFmtId="0" fontId="27" fillId="4" borderId="70" xfId="0" applyFont="1" applyFill="1" applyBorder="1" applyAlignment="1">
      <alignment horizontal="center" vertical="center"/>
    </xf>
    <xf numFmtId="0" fontId="152" fillId="0" borderId="71" xfId="0" applyFont="1" applyBorder="1" applyAlignment="1">
      <alignment horizontal="center" vertical="center"/>
    </xf>
    <xf numFmtId="0" fontId="133" fillId="0" borderId="5" xfId="0" applyFont="1" applyBorder="1" applyAlignment="1">
      <alignment horizontal="center" vertical="center"/>
    </xf>
    <xf numFmtId="0" fontId="133" fillId="0" borderId="6" xfId="0" applyFont="1" applyBorder="1" applyAlignment="1">
      <alignment horizontal="center" vertical="center"/>
    </xf>
    <xf numFmtId="0" fontId="133" fillId="0" borderId="7" xfId="0" applyFont="1" applyBorder="1" applyAlignment="1">
      <alignment horizontal="center" vertical="center"/>
    </xf>
    <xf numFmtId="3" fontId="27" fillId="0" borderId="67" xfId="0" applyNumberFormat="1" applyFont="1" applyBorder="1" applyAlignment="1">
      <alignment horizontal="center" vertical="center" wrapText="1"/>
    </xf>
    <xf numFmtId="3" fontId="27" fillId="0" borderId="69" xfId="0" applyNumberFormat="1" applyFont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vertical="center"/>
    </xf>
    <xf numFmtId="0" fontId="5" fillId="0" borderId="59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165" fontId="47" fillId="4" borderId="67" xfId="7" applyFont="1" applyFill="1" applyBorder="1" applyAlignment="1">
      <alignment horizontal="center" vertical="center"/>
    </xf>
    <xf numFmtId="165" fontId="47" fillId="4" borderId="46" xfId="7" applyFont="1" applyFill="1" applyBorder="1" applyAlignment="1">
      <alignment horizontal="center" vertical="center"/>
    </xf>
    <xf numFmtId="0" fontId="130" fillId="0" borderId="5" xfId="0" applyFont="1" applyBorder="1" applyAlignment="1">
      <alignment horizontal="center" vertical="center" wrapText="1"/>
    </xf>
    <xf numFmtId="0" fontId="130" fillId="0" borderId="6" xfId="0" applyFont="1" applyBorder="1" applyAlignment="1">
      <alignment horizontal="center" vertical="center" wrapText="1"/>
    </xf>
    <xf numFmtId="0" fontId="130" fillId="0" borderId="7" xfId="0" applyFont="1" applyBorder="1" applyAlignment="1">
      <alignment horizontal="center" vertical="center" wrapText="1"/>
    </xf>
    <xf numFmtId="167" fontId="7" fillId="0" borderId="8" xfId="0" applyNumberFormat="1" applyFont="1" applyBorder="1" applyAlignment="1">
      <alignment horizontal="center" vertical="center" wrapText="1"/>
    </xf>
    <xf numFmtId="167" fontId="7" fillId="0" borderId="14" xfId="0" applyNumberFormat="1" applyFont="1" applyBorder="1" applyAlignment="1">
      <alignment horizontal="center" vertical="center" wrapText="1"/>
    </xf>
    <xf numFmtId="167" fontId="7" fillId="0" borderId="9" xfId="0" applyNumberFormat="1" applyFont="1" applyBorder="1" applyAlignment="1">
      <alignment horizontal="center" vertical="center" wrapText="1"/>
    </xf>
    <xf numFmtId="4" fontId="7" fillId="0" borderId="8" xfId="0" applyNumberFormat="1" applyFont="1" applyBorder="1" applyAlignment="1">
      <alignment horizontal="center" vertical="center" wrapText="1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9" xfId="0" applyNumberFormat="1" applyFont="1" applyBorder="1" applyAlignment="1">
      <alignment horizontal="center" vertical="center" wrapText="1"/>
    </xf>
    <xf numFmtId="4" fontId="7" fillId="0" borderId="4" xfId="0" applyNumberFormat="1" applyFont="1" applyBorder="1" applyAlignment="1">
      <alignment horizontal="center" vertical="center" wrapText="1"/>
    </xf>
    <xf numFmtId="4" fontId="7" fillId="0" borderId="23" xfId="0" applyNumberFormat="1" applyFont="1" applyBorder="1" applyAlignment="1">
      <alignment horizontal="center" vertical="center" wrapText="1"/>
    </xf>
    <xf numFmtId="4" fontId="7" fillId="0" borderId="20" xfId="0" applyNumberFormat="1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55" fillId="0" borderId="1" xfId="0" applyFont="1" applyBorder="1" applyAlignment="1">
      <alignment vertical="center"/>
    </xf>
    <xf numFmtId="0" fontId="55" fillId="0" borderId="11" xfId="0" applyFont="1" applyBorder="1" applyAlignment="1">
      <alignment vertical="center"/>
    </xf>
    <xf numFmtId="0" fontId="5" fillId="0" borderId="23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5" fillId="0" borderId="7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2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109" fillId="0" borderId="13" xfId="0" applyFont="1" applyBorder="1" applyAlignment="1">
      <alignment vertical="center" wrapText="1"/>
    </xf>
    <xf numFmtId="0" fontId="108" fillId="0" borderId="16" xfId="0" applyFont="1" applyBorder="1" applyAlignment="1">
      <alignment vertical="center" wrapText="1"/>
    </xf>
    <xf numFmtId="0" fontId="7" fillId="0" borderId="13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9" fillId="0" borderId="13" xfId="0" applyFont="1" applyBorder="1" applyAlignment="1">
      <alignment vertical="center" textRotation="90" wrapText="1"/>
    </xf>
    <xf numFmtId="0" fontId="10" fillId="0" borderId="16" xfId="0" applyFont="1" applyBorder="1" applyAlignment="1">
      <alignment vertical="center" textRotation="90" wrapText="1"/>
    </xf>
    <xf numFmtId="0" fontId="40" fillId="0" borderId="8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61" fillId="16" borderId="35" xfId="0" applyFont="1" applyFill="1" applyBorder="1" applyAlignment="1">
      <alignment horizontal="center" vertical="center" wrapText="1"/>
    </xf>
    <xf numFmtId="0" fontId="91" fillId="16" borderId="75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2" fillId="0" borderId="23" xfId="0" applyFont="1" applyBorder="1" applyAlignment="1">
      <alignment vertical="center" wrapText="1"/>
    </xf>
    <xf numFmtId="0" fontId="52" fillId="0" borderId="22" xfId="0" applyFont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 wrapText="1"/>
    </xf>
    <xf numFmtId="0" fontId="41" fillId="3" borderId="23" xfId="0" applyFont="1" applyFill="1" applyBorder="1" applyAlignment="1">
      <alignment horizontal="center" vertical="center" wrapText="1"/>
    </xf>
    <xf numFmtId="0" fontId="62" fillId="17" borderId="4" xfId="0" applyFont="1" applyFill="1" applyBorder="1" applyAlignment="1">
      <alignment horizontal="center" vertical="center" wrapText="1"/>
    </xf>
    <xf numFmtId="0" fontId="86" fillId="17" borderId="2" xfId="0" applyFont="1" applyFill="1" applyBorder="1" applyAlignment="1">
      <alignment horizontal="center" vertical="center" wrapText="1"/>
    </xf>
    <xf numFmtId="0" fontId="86" fillId="17" borderId="3" xfId="0" applyFont="1" applyFill="1" applyBorder="1" applyAlignment="1">
      <alignment horizontal="center" vertical="center" wrapText="1"/>
    </xf>
    <xf numFmtId="0" fontId="88" fillId="6" borderId="44" xfId="0" applyFont="1" applyFill="1" applyBorder="1" applyAlignment="1">
      <alignment horizontal="center" vertical="center" wrapText="1"/>
    </xf>
    <xf numFmtId="0" fontId="89" fillId="6" borderId="59" xfId="0" applyFont="1" applyFill="1" applyBorder="1" applyAlignment="1">
      <alignment horizontal="center" vertical="center" wrapText="1"/>
    </xf>
    <xf numFmtId="0" fontId="44" fillId="15" borderId="10" xfId="0" applyFont="1" applyFill="1" applyBorder="1" applyAlignment="1">
      <alignment horizontal="center" vertical="center" wrapText="1"/>
    </xf>
    <xf numFmtId="0" fontId="0" fillId="15" borderId="10" xfId="0" applyFill="1" applyBorder="1" applyAlignment="1">
      <alignment horizontal="center" vertical="center" wrapText="1"/>
    </xf>
    <xf numFmtId="0" fontId="44" fillId="4" borderId="10" xfId="0" applyFont="1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4" fontId="35" fillId="0" borderId="13" xfId="0" applyNumberFormat="1" applyFont="1" applyBorder="1" applyAlignment="1">
      <alignment horizontal="center" vertical="center" wrapText="1"/>
    </xf>
    <xf numFmtId="4" fontId="28" fillId="0" borderId="16" xfId="0" applyNumberFormat="1" applyFont="1" applyBorder="1" applyAlignment="1">
      <alignment horizontal="center" vertical="center" wrapText="1"/>
    </xf>
    <xf numFmtId="4" fontId="68" fillId="0" borderId="10" xfId="0" applyNumberFormat="1" applyFont="1" applyBorder="1" applyAlignment="1">
      <alignment horizontal="center" vertical="center" wrapText="1"/>
    </xf>
    <xf numFmtId="4" fontId="115" fillId="0" borderId="10" xfId="0" applyNumberFormat="1" applyFont="1" applyBorder="1" applyAlignment="1">
      <alignment horizontal="center" vertical="center" wrapText="1"/>
    </xf>
    <xf numFmtId="0" fontId="0" fillId="0" borderId="67" xfId="0" applyBorder="1" applyAlignment="1">
      <alignment vertical="center" wrapText="1" shrinkToFit="1"/>
    </xf>
    <xf numFmtId="0" fontId="0" fillId="0" borderId="36" xfId="0" applyBorder="1" applyAlignment="1">
      <alignment vertical="center" wrapText="1" shrinkToFit="1"/>
    </xf>
    <xf numFmtId="0" fontId="0" fillId="0" borderId="68" xfId="0" applyBorder="1" applyAlignment="1">
      <alignment vertical="center" wrapText="1" shrinkToFit="1"/>
    </xf>
    <xf numFmtId="0" fontId="125" fillId="0" borderId="6" xfId="0" applyFont="1" applyBorder="1" applyAlignment="1">
      <alignment horizontal="center" wrapText="1"/>
    </xf>
    <xf numFmtId="0" fontId="126" fillId="0" borderId="6" xfId="0" applyFont="1" applyBorder="1" applyAlignment="1">
      <alignment horizontal="center" wrapText="1"/>
    </xf>
    <xf numFmtId="0" fontId="126" fillId="0" borderId="7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20" xfId="0" applyFont="1" applyBorder="1" applyAlignment="1">
      <alignment horizontal="center" wrapText="1"/>
    </xf>
    <xf numFmtId="0" fontId="0" fillId="0" borderId="51" xfId="0" applyBorder="1" applyAlignment="1">
      <alignment vertical="center" wrapText="1" shrinkToFit="1"/>
    </xf>
    <xf numFmtId="0" fontId="0" fillId="0" borderId="69" xfId="0" applyBorder="1" applyAlignment="1">
      <alignment vertical="center" wrapText="1" shrinkToFit="1"/>
    </xf>
    <xf numFmtId="0" fontId="125" fillId="0" borderId="5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</cellXfs>
  <cellStyles count="8">
    <cellStyle name="Обычный" xfId="0" builtinId="0"/>
    <cellStyle name="Обычный 10" xfId="5" xr:uid="{00000000-0005-0000-0000-000001000000}"/>
    <cellStyle name="Обычный 2" xfId="1" xr:uid="{00000000-0005-0000-0000-000002000000}"/>
    <cellStyle name="Обычный 2 8" xfId="6" xr:uid="{00000000-0005-0000-0000-000003000000}"/>
    <cellStyle name="Обычный 3" xfId="2" xr:uid="{00000000-0005-0000-0000-000004000000}"/>
    <cellStyle name="Обычный 3 6" xfId="3" xr:uid="{00000000-0005-0000-0000-000005000000}"/>
    <cellStyle name="Обычный 9" xfId="4" xr:uid="{00000000-0005-0000-0000-000006000000}"/>
    <cellStyle name="Финансовый" xfId="7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0066"/>
      <color rgb="FFFFFF66"/>
      <color rgb="FF66FFFF"/>
      <color rgb="FF99FFCC"/>
      <color rgb="FFFFCCCC"/>
      <color rgb="FF9900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</xdr:row>
          <xdr:rowOff>99060</xdr:rowOff>
        </xdr:from>
        <xdr:to>
          <xdr:col>11</xdr:col>
          <xdr:colOff>289560</xdr:colOff>
          <xdr:row>3</xdr:row>
          <xdr:rowOff>30480</xdr:rowOff>
        </xdr:to>
        <xdr:sp macro="" textlink="">
          <xdr:nvSpPr>
            <xdr:cNvPr id="9217" name="ComboBox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47625</xdr:colOff>
      <xdr:row>43</xdr:row>
      <xdr:rowOff>9525</xdr:rowOff>
    </xdr:from>
    <xdr:to>
      <xdr:col>4</xdr:col>
      <xdr:colOff>200025</xdr:colOff>
      <xdr:row>44</xdr:row>
      <xdr:rowOff>161925</xdr:rowOff>
    </xdr:to>
    <xdr:sp macro="" textlink="">
      <xdr:nvSpPr>
        <xdr:cNvPr id="2" name="Правая фигурная скобк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191250" y="9886950"/>
          <a:ext cx="152400" cy="3429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uk-UA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3%20&#1088;&#1110;&#1082;\&#1052;&#1110;&#1089;&#1103;&#1095;&#1085;&#1110;%20&#1079;&#1074;&#1110;&#1090;&#1080;%202023\&#1057;&#1110;&#1095;&#1077;&#1085;&#1100;%202023%20-%20&#1051;&#1102;&#1090;&#1080;&#1081;%202023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3%20&#1088;&#1110;&#1082;\&#1052;&#1110;&#1089;&#1103;&#1095;&#1085;&#1110;%20&#1079;&#1074;&#1110;&#1090;&#1080;%202023\&#1057;&#1110;&#1095;&#1077;&#1085;&#1100;%202023%20-%20&#1051;&#1102;&#1090;&#1080;&#1081;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3%20&#1088;&#1110;&#1082;\&#1052;&#1110;&#1089;&#1103;&#1095;&#1085;&#1110;%20&#1079;&#1074;&#1110;&#1090;&#1080;%202023\&#1055;&#1110;&#1076;&#1089;&#1091;&#1084;&#1082;&#1086;&#1074;&#1080;&#1081;%20&#1079;&#1074;&#1110;&#1090;%2001.03.23-01.03.24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3%20&#1088;&#1110;&#1082;\&#1052;&#1110;&#1089;&#1103;&#1095;&#1085;&#1110;%20&#1079;&#1074;&#1110;&#1090;&#1080;%202023\&#1055;&#1110;&#1076;&#1089;&#1091;&#1084;&#1082;&#1086;&#1074;&#1080;&#1081;%20&#1079;&#1074;&#1110;&#1090;%2001.03.23-01.03.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57;&#1110;&#1095;&#1077;&#1085;&#1100;%202024%20-%20&#1051;&#1102;&#1090;&#1080;&#1081;%202024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57;&#1110;&#1095;&#1077;&#1085;&#1100;%202024%20-%20&#1051;&#1102;&#1090;&#1080;&#1081;%202024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3%20&#1088;&#1110;&#1082;\&#1052;&#1110;&#1089;&#1103;&#1095;&#1085;&#1110;%20&#1079;&#1074;&#1110;&#1090;&#1080;%202023\&#1043;&#1088;&#1091;&#1076;&#1077;&#1085;&#1100;%202023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3%20&#1088;&#1110;&#1082;\&#1052;&#1110;&#1089;&#1103;&#1095;&#1085;&#1110;%20&#1079;&#1074;&#1110;&#1090;&#1080;%202023\&#1043;&#1088;&#1091;&#1076;&#1077;&#1085;&#1100;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3%20&#1088;&#1110;&#1082;\&#1052;&#1110;&#1089;&#1103;&#1095;&#1085;&#1110;%20&#1079;&#1074;&#1110;&#1090;&#1080;%202023\&#1057;&#1110;&#1095;&#1077;&#1085;&#1100;%202024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3%20&#1088;&#1110;&#1082;\&#1052;&#1110;&#1089;&#1103;&#1095;&#1085;&#1110;%20&#1079;&#1074;&#1110;&#1090;&#1080;%202023\&#1057;&#1110;&#1095;&#1077;&#1085;&#1100;%202024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3%20&#1088;&#1110;&#1082;\&#1052;&#1110;&#1089;&#1103;&#1095;&#1085;&#1110;%20&#1079;&#1074;&#1110;&#1090;&#1080;%202023\&#1051;&#1102;&#1090;&#1080;&#1081;%202024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3%20&#1088;&#1110;&#1082;\&#1052;&#1110;&#1089;&#1103;&#1095;&#1085;&#1110;%20&#1079;&#1074;&#1110;&#1090;&#1080;%202023\&#1051;&#1102;&#1090;&#1080;&#1081;%202024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&#1055;&#1045;&#1042;\&#1043;&#1088;&#1077;&#1095;&#1082;&#1086;\&#1057;&#1110;&#1095;&#1077;&#1085;&#1100;%202024%20&#8212;%20&#1082;&#1086;&#1087;&#1080;&#1103;.xlsx" TargetMode="External"/><Relationship Id="rId1" Type="http://schemas.openxmlformats.org/officeDocument/2006/relationships/externalLinkPath" Target="file:///Y:\&#1055;&#1045;&#1042;\&#1043;&#1088;&#1077;&#1095;&#1082;&#1086;\&#1057;&#1110;&#1095;&#1077;&#1085;&#1100;%202024%20&#8212;%20&#1082;&#1086;&#1087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Лист2"/>
      <sheetName val="ДЗ нас "/>
      <sheetName val="ДЗ нежит"/>
      <sheetName val="поточний ремонт"/>
      <sheetName val="ПР будинок"/>
      <sheetName val="накладні витрати"/>
      <sheetName val="первичка 1"/>
      <sheetName val="первичка 2"/>
      <sheetName val="Лист4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  <sheetName val="паркан аморт"/>
      <sheetName val="Лист1"/>
    </sheetNames>
    <sheetDataSet>
      <sheetData sheetId="0"/>
      <sheetData sheetId="1"/>
      <sheetData sheetId="2"/>
      <sheetData sheetId="3">
        <row r="9">
          <cell r="I9">
            <v>351.19381183098398</v>
          </cell>
          <cell r="J9">
            <v>349.11739475624773</v>
          </cell>
          <cell r="L9">
            <v>57.108400686931418</v>
          </cell>
          <cell r="M9">
            <v>60.577472818045095</v>
          </cell>
          <cell r="O9">
            <v>110.78</v>
          </cell>
          <cell r="P9">
            <v>110.78</v>
          </cell>
          <cell r="R9">
            <v>0</v>
          </cell>
          <cell r="S9">
            <v>0</v>
          </cell>
          <cell r="U9">
            <v>0</v>
          </cell>
          <cell r="V9">
            <v>0</v>
          </cell>
          <cell r="X9">
            <v>74.281131288571572</v>
          </cell>
          <cell r="Y9">
            <v>55.572569427558676</v>
          </cell>
          <cell r="AA9">
            <v>0</v>
          </cell>
          <cell r="AB9">
            <v>0</v>
          </cell>
          <cell r="AD9">
            <v>265.67166592974343</v>
          </cell>
          <cell r="AE9">
            <v>248.32929072851567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252.53803810497325</v>
          </cell>
          <cell r="AQ9">
            <v>0</v>
          </cell>
          <cell r="AS9">
            <v>1071.8596995211831</v>
          </cell>
          <cell r="AT9">
            <v>0</v>
          </cell>
          <cell r="AV9">
            <v>65.647448675769112</v>
          </cell>
          <cell r="AW9">
            <v>0</v>
          </cell>
          <cell r="AY9">
            <v>73.651218393822916</v>
          </cell>
          <cell r="AZ9">
            <v>0</v>
          </cell>
          <cell r="BB9">
            <v>43.544938300567878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26.345569159282459</v>
          </cell>
          <cell r="BL9">
            <v>0</v>
          </cell>
          <cell r="BN9">
            <v>0</v>
          </cell>
          <cell r="BO9">
            <v>0</v>
          </cell>
          <cell r="BT9">
            <v>684.93316134050997</v>
          </cell>
          <cell r="BU9">
            <v>477.98001643136223</v>
          </cell>
          <cell r="BW9">
            <v>354.88780966588178</v>
          </cell>
          <cell r="BX9">
            <v>1546.7219122189181</v>
          </cell>
          <cell r="BZ9">
            <v>109.5189842624678</v>
          </cell>
          <cell r="CA9">
            <v>1285.75071310572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X9">
            <v>4.5747407172711974E-2</v>
          </cell>
          <cell r="CY9">
            <v>-711.39524338364117</v>
          </cell>
        </row>
        <row r="10">
          <cell r="I10">
            <v>1175.1168727202646</v>
          </cell>
          <cell r="J10">
            <v>1441.3543802088136</v>
          </cell>
          <cell r="L10">
            <v>277.25497855505745</v>
          </cell>
          <cell r="M10">
            <v>339.40801745138543</v>
          </cell>
          <cell r="O10">
            <v>405.28</v>
          </cell>
          <cell r="P10">
            <v>405.26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  <cell r="X10">
            <v>789.36594858569674</v>
          </cell>
          <cell r="Y10">
            <v>663.91372676978165</v>
          </cell>
          <cell r="AA10">
            <v>0</v>
          </cell>
          <cell r="AB10">
            <v>0</v>
          </cell>
          <cell r="AD10">
            <v>1311.7538505281082</v>
          </cell>
          <cell r="AE10">
            <v>1226.2796242571637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710.2632321702373</v>
          </cell>
          <cell r="AQ10">
            <v>1981.2340569704752</v>
          </cell>
          <cell r="AS10">
            <v>4484.602370255906</v>
          </cell>
          <cell r="AT10">
            <v>884</v>
          </cell>
          <cell r="AV10">
            <v>212.61335910407598</v>
          </cell>
          <cell r="AW10">
            <v>864</v>
          </cell>
          <cell r="AY10">
            <v>357.35999522309328</v>
          </cell>
          <cell r="AZ10">
            <v>0</v>
          </cell>
          <cell r="BB10">
            <v>242.54952035302418</v>
          </cell>
          <cell r="BC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K10">
            <v>108.30800270624789</v>
          </cell>
          <cell r="BL10">
            <v>0</v>
          </cell>
          <cell r="BN10">
            <v>67.149090736659304</v>
          </cell>
          <cell r="BO10">
            <v>0</v>
          </cell>
          <cell r="BT10">
            <v>2462.018433176389</v>
          </cell>
          <cell r="BU10">
            <v>2481.1068313279329</v>
          </cell>
          <cell r="BW10">
            <v>2405.289666019376</v>
          </cell>
          <cell r="BX10">
            <v>2487.5969388459171</v>
          </cell>
          <cell r="BZ10">
            <v>1536.232840287282</v>
          </cell>
          <cell r="CA10">
            <v>2340.4879857006049</v>
          </cell>
          <cell r="CC10">
            <v>191.97050346017346</v>
          </cell>
          <cell r="CD10">
            <v>191.18265250087939</v>
          </cell>
          <cell r="CF10">
            <v>23.632732433544081</v>
          </cell>
          <cell r="CG10">
            <v>0</v>
          </cell>
          <cell r="CI10">
            <v>268.28452753975392</v>
          </cell>
          <cell r="CJ10">
            <v>147.57485579080236</v>
          </cell>
          <cell r="CL10">
            <v>0</v>
          </cell>
          <cell r="CM10">
            <v>0</v>
          </cell>
          <cell r="CX10">
            <v>393.32489137413722</v>
          </cell>
          <cell r="CY10">
            <v>2284.1011162114964</v>
          </cell>
        </row>
        <row r="11">
          <cell r="I11">
            <v>1741.171546975178</v>
          </cell>
          <cell r="J11">
            <v>2140.6308395559076</v>
          </cell>
          <cell r="L11">
            <v>329.38184827529136</v>
          </cell>
          <cell r="M11">
            <v>403.22058850192172</v>
          </cell>
          <cell r="O11">
            <v>650.04</v>
          </cell>
          <cell r="P11">
            <v>650.24</v>
          </cell>
          <cell r="R11">
            <v>0</v>
          </cell>
          <cell r="S11">
            <v>0</v>
          </cell>
          <cell r="U11">
            <v>118.22581795543685</v>
          </cell>
          <cell r="V11">
            <v>384.27830963480176</v>
          </cell>
          <cell r="X11">
            <v>1121.9174967746451</v>
          </cell>
          <cell r="Y11">
            <v>956.38132007961917</v>
          </cell>
          <cell r="AA11">
            <v>0</v>
          </cell>
          <cell r="AB11">
            <v>0</v>
          </cell>
          <cell r="AD11">
            <v>1999.4358360133112</v>
          </cell>
          <cell r="AE11">
            <v>1868.4735453160022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852.31587860428476</v>
          </cell>
          <cell r="AQ11">
            <v>3676.9876117515569</v>
          </cell>
          <cell r="AS11">
            <v>8205.6088792881528</v>
          </cell>
          <cell r="AT11">
            <v>951.80427374040744</v>
          </cell>
          <cell r="AV11">
            <v>289.4167974824482</v>
          </cell>
          <cell r="AW11">
            <v>0</v>
          </cell>
          <cell r="AY11">
            <v>424.54339453418447</v>
          </cell>
          <cell r="AZ11">
            <v>0</v>
          </cell>
          <cell r="BB11">
            <v>334.69292906585082</v>
          </cell>
          <cell r="BC11">
            <v>0</v>
          </cell>
          <cell r="BE11">
            <v>0</v>
          </cell>
          <cell r="BF11">
            <v>0</v>
          </cell>
          <cell r="BH11">
            <v>119.94714023874553</v>
          </cell>
          <cell r="BI11">
            <v>0</v>
          </cell>
          <cell r="BK11">
            <v>159.06063071437234</v>
          </cell>
          <cell r="BL11">
            <v>5212</v>
          </cell>
          <cell r="BN11">
            <v>0</v>
          </cell>
          <cell r="BO11">
            <v>0</v>
          </cell>
          <cell r="BT11">
            <v>4471.7402756929214</v>
          </cell>
          <cell r="BU11">
            <v>3729.2495838844966</v>
          </cell>
          <cell r="BW11">
            <v>2740.7748392235353</v>
          </cell>
          <cell r="BX11">
            <v>2736.6442282018984</v>
          </cell>
          <cell r="BZ11">
            <v>1923.4887250634042</v>
          </cell>
          <cell r="CA11">
            <v>3867.9804325995278</v>
          </cell>
          <cell r="CC11">
            <v>281.63190561253742</v>
          </cell>
          <cell r="CD11">
            <v>280.47608238446168</v>
          </cell>
          <cell r="CF11">
            <v>34.670594440937371</v>
          </cell>
          <cell r="CG11">
            <v>0</v>
          </cell>
          <cell r="CI11">
            <v>1553.5545897069471</v>
          </cell>
          <cell r="CJ11">
            <v>823.25143411381225</v>
          </cell>
          <cell r="CL11">
            <v>0</v>
          </cell>
          <cell r="CM11">
            <v>0</v>
          </cell>
          <cell r="CX11">
            <v>1544.58704920538</v>
          </cell>
          <cell r="CY11">
            <v>1148.5881002826991</v>
          </cell>
        </row>
        <row r="12">
          <cell r="I12">
            <v>3690.6182841072077</v>
          </cell>
          <cell r="J12">
            <v>3708.9601266505824</v>
          </cell>
          <cell r="L12">
            <v>691.46079665397417</v>
          </cell>
          <cell r="M12">
            <v>787.09715813251194</v>
          </cell>
          <cell r="O12">
            <v>1315.5</v>
          </cell>
          <cell r="P12">
            <v>1315.6</v>
          </cell>
          <cell r="R12">
            <v>317.12</v>
          </cell>
          <cell r="S12">
            <v>316.95999999999998</v>
          </cell>
          <cell r="U12">
            <v>195.03873136964788</v>
          </cell>
          <cell r="V12">
            <v>201.92197088951781</v>
          </cell>
          <cell r="X12">
            <v>2075.5296592115569</v>
          </cell>
          <cell r="Y12">
            <v>2100.4864545246201</v>
          </cell>
          <cell r="AA12">
            <v>0</v>
          </cell>
          <cell r="AB12">
            <v>0</v>
          </cell>
          <cell r="AD12">
            <v>4343.9669086856302</v>
          </cell>
          <cell r="AE12">
            <v>4060.4037227941189</v>
          </cell>
          <cell r="AJ12">
            <v>10369.642644772852</v>
          </cell>
          <cell r="AK12">
            <v>10327.063223264895</v>
          </cell>
          <cell r="AM12">
            <v>0</v>
          </cell>
          <cell r="AN12">
            <v>0</v>
          </cell>
          <cell r="AP12">
            <v>828.64043753194358</v>
          </cell>
          <cell r="AQ12">
            <v>0</v>
          </cell>
          <cell r="AS12">
            <v>23649.783105325576</v>
          </cell>
          <cell r="AT12">
            <v>912</v>
          </cell>
          <cell r="AV12">
            <v>195.1868202376665</v>
          </cell>
          <cell r="AW12">
            <v>0</v>
          </cell>
          <cell r="AY12">
            <v>274.23891701150251</v>
          </cell>
          <cell r="AZ12">
            <v>0</v>
          </cell>
          <cell r="BB12">
            <v>331.11315353246988</v>
          </cell>
          <cell r="BC12">
            <v>0</v>
          </cell>
          <cell r="BE12">
            <v>107.70574273720977</v>
          </cell>
          <cell r="BF12">
            <v>0</v>
          </cell>
          <cell r="BH12">
            <v>59.365087276649547</v>
          </cell>
          <cell r="BI12">
            <v>76</v>
          </cell>
          <cell r="BK12">
            <v>139.77564606445563</v>
          </cell>
          <cell r="BL12">
            <v>0</v>
          </cell>
          <cell r="BN12">
            <v>0</v>
          </cell>
          <cell r="BO12">
            <v>0</v>
          </cell>
          <cell r="BT12">
            <v>8210.50479603438</v>
          </cell>
          <cell r="BU12">
            <v>4118.8675887622912</v>
          </cell>
          <cell r="BW12">
            <v>9199.5616633053905</v>
          </cell>
          <cell r="BX12">
            <v>11776.874927196968</v>
          </cell>
          <cell r="BZ12">
            <v>1174.5728391613313</v>
          </cell>
          <cell r="CA12">
            <v>4294.1537929252381</v>
          </cell>
          <cell r="CC12">
            <v>362.61639787918875</v>
          </cell>
          <cell r="CD12">
            <v>361.12821260189094</v>
          </cell>
          <cell r="CF12">
            <v>44.640276254066798</v>
          </cell>
          <cell r="CG12">
            <v>0</v>
          </cell>
          <cell r="CI12">
            <v>2330.3318845604208</v>
          </cell>
          <cell r="CJ12">
            <v>1571.9875747455908</v>
          </cell>
          <cell r="CL12">
            <v>3500.1772081349295</v>
          </cell>
          <cell r="CM12">
            <v>2359.5352711826772</v>
          </cell>
          <cell r="CX12">
            <v>1320.7508001823153</v>
          </cell>
          <cell r="CY12">
            <v>31462.41197159492</v>
          </cell>
        </row>
        <row r="13">
          <cell r="I13">
            <v>3637.0548092005447</v>
          </cell>
          <cell r="J13">
            <v>3658.1186061339372</v>
          </cell>
          <cell r="L13">
            <v>683.02839453546585</v>
          </cell>
          <cell r="M13">
            <v>838.00265643100408</v>
          </cell>
          <cell r="O13">
            <v>1382.42</v>
          </cell>
          <cell r="P13">
            <v>1382.28</v>
          </cell>
          <cell r="R13">
            <v>322.08</v>
          </cell>
          <cell r="S13">
            <v>322.14</v>
          </cell>
          <cell r="U13">
            <v>195.03873136964788</v>
          </cell>
          <cell r="V13">
            <v>201.92197088951781</v>
          </cell>
          <cell r="X13">
            <v>2385.2813197332594</v>
          </cell>
          <cell r="Y13">
            <v>2891.4430668641962</v>
          </cell>
          <cell r="AA13">
            <v>0</v>
          </cell>
          <cell r="AB13">
            <v>0</v>
          </cell>
          <cell r="AD13">
            <v>4501.0253272861037</v>
          </cell>
          <cell r="AE13">
            <v>4207.2780985002719</v>
          </cell>
          <cell r="AJ13">
            <v>10369.642644772852</v>
          </cell>
          <cell r="AK13">
            <v>10327.063223264895</v>
          </cell>
          <cell r="AM13">
            <v>0</v>
          </cell>
          <cell r="AN13">
            <v>0</v>
          </cell>
          <cell r="AP13">
            <v>836.53225122272397</v>
          </cell>
          <cell r="AQ13">
            <v>0</v>
          </cell>
          <cell r="AS13">
            <v>23655.905738538444</v>
          </cell>
          <cell r="AT13">
            <v>46430.214350629707</v>
          </cell>
          <cell r="AV13">
            <v>191.60637661083345</v>
          </cell>
          <cell r="AW13">
            <v>0</v>
          </cell>
          <cell r="AY13">
            <v>270.99918794267313</v>
          </cell>
          <cell r="AZ13">
            <v>2325</v>
          </cell>
          <cell r="BB13">
            <v>347.5643962397636</v>
          </cell>
          <cell r="BC13">
            <v>0</v>
          </cell>
          <cell r="BE13">
            <v>108.73858583039781</v>
          </cell>
          <cell r="BF13">
            <v>0</v>
          </cell>
          <cell r="BH13">
            <v>59.365087276649547</v>
          </cell>
          <cell r="BI13">
            <v>76</v>
          </cell>
          <cell r="BK13">
            <v>136.28317344284591</v>
          </cell>
          <cell r="BL13">
            <v>21610</v>
          </cell>
          <cell r="BN13">
            <v>0</v>
          </cell>
          <cell r="BO13">
            <v>0</v>
          </cell>
          <cell r="BT13">
            <v>8574.9266840098862</v>
          </cell>
          <cell r="BU13">
            <v>4418.4184325844753</v>
          </cell>
          <cell r="BW13">
            <v>9291.8807730131321</v>
          </cell>
          <cell r="BX13">
            <v>11848.121306243298</v>
          </cell>
          <cell r="BZ13">
            <v>1295.7322026423385</v>
          </cell>
          <cell r="CA13">
            <v>4681.5080108604552</v>
          </cell>
          <cell r="CC13">
            <v>446.54221553082732</v>
          </cell>
          <cell r="CD13">
            <v>444.70959694343981</v>
          </cell>
          <cell r="CF13">
            <v>54.972053048302612</v>
          </cell>
          <cell r="CG13">
            <v>0</v>
          </cell>
          <cell r="CI13">
            <v>1653.3813906519715</v>
          </cell>
          <cell r="CJ13">
            <v>1371.6149481193816</v>
          </cell>
          <cell r="CL13">
            <v>2480.0720859779581</v>
          </cell>
          <cell r="CM13">
            <v>2056.6459843726693</v>
          </cell>
          <cell r="CX13">
            <v>2189.7118853480351</v>
          </cell>
          <cell r="CY13">
            <v>-53262.776302204693</v>
          </cell>
        </row>
        <row r="14"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175.38922277043503</v>
          </cell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P14">
            <v>71.02632321702373</v>
          </cell>
          <cell r="AQ14">
            <v>0</v>
          </cell>
          <cell r="AS14">
            <v>626.69242284976622</v>
          </cell>
          <cell r="AT14">
            <v>0</v>
          </cell>
          <cell r="AV14">
            <v>0</v>
          </cell>
          <cell r="AW14">
            <v>0</v>
          </cell>
          <cell r="AY14">
            <v>0</v>
          </cell>
          <cell r="AZ14">
            <v>0</v>
          </cell>
          <cell r="BB14">
            <v>0</v>
          </cell>
          <cell r="BC14">
            <v>0</v>
          </cell>
          <cell r="BE14">
            <v>0</v>
          </cell>
          <cell r="BF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N14">
            <v>0</v>
          </cell>
          <cell r="BO14">
            <v>0</v>
          </cell>
          <cell r="BT14">
            <v>0</v>
          </cell>
          <cell r="BU14">
            <v>0</v>
          </cell>
          <cell r="BW14">
            <v>0</v>
          </cell>
          <cell r="BX14">
            <v>1.0552696200374068</v>
          </cell>
          <cell r="BZ14">
            <v>0</v>
          </cell>
          <cell r="CA14">
            <v>0</v>
          </cell>
          <cell r="CC14">
            <v>0</v>
          </cell>
          <cell r="CD14">
            <v>0</v>
          </cell>
          <cell r="CF14">
            <v>0</v>
          </cell>
          <cell r="CG14">
            <v>0</v>
          </cell>
          <cell r="CI14">
            <v>0</v>
          </cell>
          <cell r="CJ14">
            <v>0</v>
          </cell>
          <cell r="CL14">
            <v>0</v>
          </cell>
          <cell r="CM14">
            <v>0</v>
          </cell>
          <cell r="CX14">
            <v>37.697504719852191</v>
          </cell>
          <cell r="CY14">
            <v>663.22660913143307</v>
          </cell>
        </row>
        <row r="15">
          <cell r="I15">
            <v>2539.5135045074321</v>
          </cell>
          <cell r="J15">
            <v>2477.3813421799573</v>
          </cell>
          <cell r="L15">
            <v>380.28171978113971</v>
          </cell>
          <cell r="M15">
            <v>380.4622425949641</v>
          </cell>
          <cell r="O15">
            <v>1105.18</v>
          </cell>
          <cell r="P15">
            <v>1105.2</v>
          </cell>
          <cell r="R15">
            <v>219.88</v>
          </cell>
          <cell r="S15">
            <v>219.92</v>
          </cell>
          <cell r="U15">
            <v>130.00964065633656</v>
          </cell>
          <cell r="V15">
            <v>97.011718100981597</v>
          </cell>
          <cell r="X15">
            <v>922.900498752364</v>
          </cell>
          <cell r="Y15">
            <v>444.33861816713062</v>
          </cell>
          <cell r="AA15">
            <v>0</v>
          </cell>
          <cell r="AB15">
            <v>0</v>
          </cell>
          <cell r="AD15">
            <v>2966.9995008902729</v>
          </cell>
          <cell r="AE15">
            <v>2773.2529349235674</v>
          </cell>
          <cell r="AJ15">
            <v>9601.5110639297945</v>
          </cell>
          <cell r="AK15">
            <v>9562.0840704872098</v>
          </cell>
          <cell r="AM15">
            <v>0</v>
          </cell>
          <cell r="AN15">
            <v>0</v>
          </cell>
          <cell r="AP15">
            <v>560.31877204540945</v>
          </cell>
          <cell r="AQ15">
            <v>0</v>
          </cell>
          <cell r="AS15">
            <v>10225.707110585236</v>
          </cell>
          <cell r="AT15">
            <v>9660</v>
          </cell>
          <cell r="AV15">
            <v>189.77948309198482</v>
          </cell>
          <cell r="AW15">
            <v>1112</v>
          </cell>
          <cell r="AY15">
            <v>228.47399419187306</v>
          </cell>
          <cell r="AZ15">
            <v>0</v>
          </cell>
          <cell r="BB15">
            <v>224.81280975438688</v>
          </cell>
          <cell r="BC15">
            <v>0</v>
          </cell>
          <cell r="BE15">
            <v>105.43188534218436</v>
          </cell>
          <cell r="BF15">
            <v>0</v>
          </cell>
          <cell r="BH15">
            <v>65.961235315382794</v>
          </cell>
          <cell r="BI15">
            <v>0</v>
          </cell>
          <cell r="BK15">
            <v>117.84882201386395</v>
          </cell>
          <cell r="BL15">
            <v>596</v>
          </cell>
          <cell r="BN15">
            <v>53.862315927238761</v>
          </cell>
          <cell r="BO15">
            <v>0</v>
          </cell>
          <cell r="BT15">
            <v>11359.058791014731</v>
          </cell>
          <cell r="BU15">
            <v>8642.9799135334597</v>
          </cell>
          <cell r="BW15">
            <v>6745.5553781553781</v>
          </cell>
          <cell r="BX15">
            <v>9611.9119854844212</v>
          </cell>
          <cell r="BZ15">
            <v>2157.0593379467</v>
          </cell>
          <cell r="CA15">
            <v>8998.9858454857203</v>
          </cell>
          <cell r="CC15">
            <v>283.34767875377997</v>
          </cell>
          <cell r="CD15">
            <v>282.1848139568649</v>
          </cell>
          <cell r="CF15">
            <v>34.881816513249433</v>
          </cell>
          <cell r="CG15">
            <v>0</v>
          </cell>
          <cell r="CI15">
            <v>2140.0370452589677</v>
          </cell>
          <cell r="CJ15">
            <v>1165.0173841726496</v>
          </cell>
          <cell r="CL15">
            <v>2249.2226087925883</v>
          </cell>
          <cell r="CM15">
            <v>1745.9726839204259</v>
          </cell>
          <cell r="CX15">
            <v>979.97798413565033</v>
          </cell>
          <cell r="CY15">
            <v>-4140.5042636088292</v>
          </cell>
        </row>
        <row r="16">
          <cell r="I16">
            <v>175.87277271292075</v>
          </cell>
          <cell r="J16">
            <v>176.27235764222328</v>
          </cell>
          <cell r="L16">
            <v>70.86718398443351</v>
          </cell>
          <cell r="M16">
            <v>70.901860019318292</v>
          </cell>
          <cell r="O16">
            <v>109.36</v>
          </cell>
          <cell r="P16">
            <v>109.34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>
            <v>98.891409429387878</v>
          </cell>
          <cell r="Y16">
            <v>56.886781640729055</v>
          </cell>
          <cell r="AA16">
            <v>0</v>
          </cell>
          <cell r="AB16">
            <v>0</v>
          </cell>
          <cell r="AD16">
            <v>292.13193673438764</v>
          </cell>
          <cell r="AE16">
            <v>273.06230190005482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189.40352857872995</v>
          </cell>
          <cell r="AQ16">
            <v>494.97910158194037</v>
          </cell>
          <cell r="AS16">
            <v>879.2372180236606</v>
          </cell>
          <cell r="AT16">
            <v>18.889621474222558</v>
          </cell>
          <cell r="AV16">
            <v>67.696308299723157</v>
          </cell>
          <cell r="AW16">
            <v>0</v>
          </cell>
          <cell r="AY16">
            <v>91.335669119949301</v>
          </cell>
          <cell r="AZ16">
            <v>0</v>
          </cell>
          <cell r="BB16">
            <v>31.502063628871475</v>
          </cell>
          <cell r="BC16">
            <v>0</v>
          </cell>
          <cell r="BE16">
            <v>0</v>
          </cell>
          <cell r="BF16">
            <v>0</v>
          </cell>
          <cell r="BH16">
            <v>0</v>
          </cell>
          <cell r="BI16">
            <v>377</v>
          </cell>
          <cell r="BK16">
            <v>19.771277081972755</v>
          </cell>
          <cell r="BL16">
            <v>0</v>
          </cell>
          <cell r="BN16">
            <v>27.907064838681809</v>
          </cell>
          <cell r="BO16">
            <v>0</v>
          </cell>
          <cell r="BT16">
            <v>1101.9723394183075</v>
          </cell>
          <cell r="BU16">
            <v>966.62341998274712</v>
          </cell>
          <cell r="BW16">
            <v>619.92379792893234</v>
          </cell>
          <cell r="BX16">
            <v>1606.4122946990324</v>
          </cell>
          <cell r="BZ16">
            <v>300.36379342842406</v>
          </cell>
          <cell r="CA16">
            <v>910.72930068718404</v>
          </cell>
          <cell r="CC16">
            <v>0</v>
          </cell>
          <cell r="CD16">
            <v>0</v>
          </cell>
          <cell r="CF16">
            <v>0</v>
          </cell>
          <cell r="CG16">
            <v>0</v>
          </cell>
          <cell r="CI16">
            <v>218.37112706724159</v>
          </cell>
          <cell r="CJ16">
            <v>45.049927995128229</v>
          </cell>
          <cell r="CL16">
            <v>0</v>
          </cell>
          <cell r="CM16">
            <v>0</v>
          </cell>
          <cell r="CX16">
            <v>3.1011669250801788E-2</v>
          </cell>
          <cell r="CY16">
            <v>-973.81636114709545</v>
          </cell>
        </row>
        <row r="17">
          <cell r="I17">
            <v>175.87277271292075</v>
          </cell>
          <cell r="J17">
            <v>176.0075029880405</v>
          </cell>
          <cell r="L17">
            <v>70.86718398443351</v>
          </cell>
          <cell r="M17">
            <v>70.901860019318292</v>
          </cell>
          <cell r="O17">
            <v>107.16</v>
          </cell>
          <cell r="P17">
            <v>107.18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>
            <v>98.891409429387878</v>
          </cell>
          <cell r="Y17">
            <v>56.883680811108292</v>
          </cell>
          <cell r="AA17">
            <v>0</v>
          </cell>
          <cell r="AB17">
            <v>0</v>
          </cell>
          <cell r="AD17">
            <v>287.8561052011836</v>
          </cell>
          <cell r="AE17">
            <v>269.06558584755726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189.40352857872995</v>
          </cell>
          <cell r="AQ17">
            <v>494.97910158194037</v>
          </cell>
          <cell r="AS17">
            <v>848.99000114935666</v>
          </cell>
          <cell r="AT17">
            <v>18.889621474222558</v>
          </cell>
          <cell r="AV17">
            <v>67.696308299723157</v>
          </cell>
          <cell r="AW17">
            <v>0</v>
          </cell>
          <cell r="AY17">
            <v>91.335669119949301</v>
          </cell>
          <cell r="AZ17">
            <v>0</v>
          </cell>
          <cell r="BB17">
            <v>30.616109573468009</v>
          </cell>
          <cell r="BC17">
            <v>0</v>
          </cell>
          <cell r="BE17">
            <v>0</v>
          </cell>
          <cell r="BF17">
            <v>0</v>
          </cell>
          <cell r="BH17">
            <v>0</v>
          </cell>
          <cell r="BI17">
            <v>750</v>
          </cell>
          <cell r="BK17">
            <v>19.771277081972755</v>
          </cell>
          <cell r="BL17">
            <v>0</v>
          </cell>
          <cell r="BN17">
            <v>27.240307228761459</v>
          </cell>
          <cell r="BO17">
            <v>0</v>
          </cell>
          <cell r="BT17">
            <v>888.46755129148744</v>
          </cell>
          <cell r="BU17">
            <v>908.76949041699538</v>
          </cell>
          <cell r="BW17">
            <v>631.88048155811032</v>
          </cell>
          <cell r="BX17">
            <v>1618.7247454981853</v>
          </cell>
          <cell r="BZ17">
            <v>345.48841878418835</v>
          </cell>
          <cell r="CA17">
            <v>905.5725282514619</v>
          </cell>
          <cell r="CC17">
            <v>0</v>
          </cell>
          <cell r="CD17">
            <v>0</v>
          </cell>
          <cell r="CF17">
            <v>0</v>
          </cell>
          <cell r="CG17">
            <v>0</v>
          </cell>
          <cell r="CI17">
            <v>308.83916542367018</v>
          </cell>
          <cell r="CJ17">
            <v>147.55935401853515</v>
          </cell>
          <cell r="CL17">
            <v>0</v>
          </cell>
          <cell r="CM17">
            <v>0</v>
          </cell>
          <cell r="CX17">
            <v>125.68845269918893</v>
          </cell>
          <cell r="CY17">
            <v>-1475.3001650888368</v>
          </cell>
        </row>
        <row r="18">
          <cell r="I18">
            <v>2739.4930041117791</v>
          </cell>
          <cell r="J18">
            <v>2677.017505185594</v>
          </cell>
          <cell r="L18">
            <v>569.15627999259948</v>
          </cell>
          <cell r="M18">
            <v>569.43518892341854</v>
          </cell>
          <cell r="O18">
            <v>1280.7</v>
          </cell>
          <cell r="P18">
            <v>1280.3800000000001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>
            <v>2359.2676634497793</v>
          </cell>
          <cell r="Y18">
            <v>1370.8059339563147</v>
          </cell>
          <cell r="AA18">
            <v>0</v>
          </cell>
          <cell r="AB18">
            <v>0</v>
          </cell>
          <cell r="AD18">
            <v>3485.301546573487</v>
          </cell>
          <cell r="AE18">
            <v>3257.6873654682327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2604.2985179575371</v>
          </cell>
          <cell r="AQ18">
            <v>7071.1300225991481</v>
          </cell>
          <cell r="AS18">
            <v>7400.7728820642214</v>
          </cell>
          <cell r="AT18">
            <v>534.92797481861362</v>
          </cell>
          <cell r="AV18">
            <v>472.55756514456755</v>
          </cell>
          <cell r="AW18">
            <v>556</v>
          </cell>
          <cell r="AY18">
            <v>733.55039105992546</v>
          </cell>
          <cell r="AZ18">
            <v>0</v>
          </cell>
          <cell r="BB18">
            <v>441.34166583337264</v>
          </cell>
          <cell r="BC18">
            <v>780</v>
          </cell>
          <cell r="BE18">
            <v>0</v>
          </cell>
          <cell r="BF18">
            <v>0</v>
          </cell>
          <cell r="BH18">
            <v>0</v>
          </cell>
          <cell r="BI18">
            <v>625</v>
          </cell>
          <cell r="BK18">
            <v>331.20826457246949</v>
          </cell>
          <cell r="BL18">
            <v>0</v>
          </cell>
          <cell r="BN18">
            <v>160.2534325618756</v>
          </cell>
          <cell r="BO18">
            <v>0</v>
          </cell>
          <cell r="BT18">
            <v>12700.329515779938</v>
          </cell>
          <cell r="BU18">
            <v>11401.212036371717</v>
          </cell>
          <cell r="BW18">
            <v>4328.9121256616163</v>
          </cell>
          <cell r="BX18">
            <v>8368.380158692813</v>
          </cell>
          <cell r="BZ18">
            <v>6309.1240987888905</v>
          </cell>
          <cell r="CA18">
            <v>10964.151665222642</v>
          </cell>
          <cell r="CC18">
            <v>301.73096240995085</v>
          </cell>
          <cell r="CD18">
            <v>300.49265223261301</v>
          </cell>
          <cell r="CF18">
            <v>37.144910145164403</v>
          </cell>
          <cell r="CG18">
            <v>0</v>
          </cell>
          <cell r="CI18">
            <v>1725.1319038312085</v>
          </cell>
          <cell r="CJ18">
            <v>1130.8758231720899</v>
          </cell>
          <cell r="CL18">
            <v>0</v>
          </cell>
          <cell r="CM18">
            <v>0</v>
          </cell>
          <cell r="CX18">
            <v>2587.0103240739554</v>
          </cell>
          <cell r="CY18">
            <v>-901.65559197183393</v>
          </cell>
        </row>
        <row r="19">
          <cell r="I19">
            <v>621.03896781351762</v>
          </cell>
          <cell r="J19">
            <v>755.88460780756054</v>
          </cell>
          <cell r="L19">
            <v>126.49526282106204</v>
          </cell>
          <cell r="M19">
            <v>154.85264403465024</v>
          </cell>
          <cell r="O19">
            <v>170.88</v>
          </cell>
          <cell r="P19">
            <v>170.88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>
            <v>376.00662446244172</v>
          </cell>
          <cell r="Y19">
            <v>322.89761388181415</v>
          </cell>
          <cell r="AA19">
            <v>0</v>
          </cell>
          <cell r="AB19">
            <v>0</v>
          </cell>
          <cell r="AD19">
            <v>536.83064899376529</v>
          </cell>
          <cell r="AE19">
            <v>501.7877003910699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497.18426251916611</v>
          </cell>
          <cell r="AQ19">
            <v>0</v>
          </cell>
          <cell r="AS19">
            <v>1617.6290010005876</v>
          </cell>
          <cell r="AT19">
            <v>0</v>
          </cell>
          <cell r="AV19">
            <v>103.78450226731735</v>
          </cell>
          <cell r="AW19">
            <v>0</v>
          </cell>
          <cell r="AY19">
            <v>163.00578644091831</v>
          </cell>
          <cell r="AZ19">
            <v>0</v>
          </cell>
          <cell r="BB19">
            <v>71.428492411828188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K19">
            <v>39.526483889459712</v>
          </cell>
          <cell r="BL19">
            <v>0</v>
          </cell>
          <cell r="BN19">
            <v>0</v>
          </cell>
          <cell r="BO19">
            <v>0</v>
          </cell>
          <cell r="BT19">
            <v>1446.2540173647089</v>
          </cell>
          <cell r="BU19">
            <v>1325.1427060209473</v>
          </cell>
          <cell r="BW19">
            <v>925.15193998895006</v>
          </cell>
          <cell r="BX19">
            <v>1696.2005626539512</v>
          </cell>
          <cell r="BZ19">
            <v>620.65129044285891</v>
          </cell>
          <cell r="CA19">
            <v>1235.6289338055544</v>
          </cell>
          <cell r="CC19">
            <v>75.984239112172844</v>
          </cell>
          <cell r="CD19">
            <v>75.672398206425697</v>
          </cell>
          <cell r="CF19">
            <v>9.3541203452485515</v>
          </cell>
          <cell r="CG19">
            <v>0</v>
          </cell>
          <cell r="CI19">
            <v>290.12164024647802</v>
          </cell>
          <cell r="CJ19">
            <v>150.68370737086801</v>
          </cell>
          <cell r="CL19">
            <v>0</v>
          </cell>
          <cell r="CM19">
            <v>0</v>
          </cell>
          <cell r="CX19">
            <v>-5.2736144576556399E-2</v>
          </cell>
          <cell r="CY19">
            <v>1561.9829509925926</v>
          </cell>
        </row>
        <row r="20"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D20">
            <v>0</v>
          </cell>
          <cell r="AE20">
            <v>171.12605898110434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78.91813690780414</v>
          </cell>
          <cell r="AQ20">
            <v>0</v>
          </cell>
          <cell r="AS20">
            <v>464.34536742130445</v>
          </cell>
          <cell r="AT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B20">
            <v>0</v>
          </cell>
          <cell r="BC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T20">
            <v>15.951340502798338</v>
          </cell>
          <cell r="BU20">
            <v>28.204252774367522</v>
          </cell>
          <cell r="BW20">
            <v>0</v>
          </cell>
          <cell r="BX20">
            <v>1.0296193140433338</v>
          </cell>
          <cell r="BZ20">
            <v>0</v>
          </cell>
          <cell r="CA20">
            <v>31.766649514525085</v>
          </cell>
          <cell r="CC20">
            <v>0</v>
          </cell>
          <cell r="CD20">
            <v>0</v>
          </cell>
          <cell r="CF20">
            <v>0</v>
          </cell>
          <cell r="CG20">
            <v>0</v>
          </cell>
          <cell r="CI20">
            <v>0</v>
          </cell>
          <cell r="CJ20">
            <v>0</v>
          </cell>
          <cell r="CL20">
            <v>0</v>
          </cell>
          <cell r="CM20">
            <v>0</v>
          </cell>
          <cell r="CX20">
            <v>16.782186201711738</v>
          </cell>
          <cell r="CY20">
            <v>409.28810329915177</v>
          </cell>
        </row>
        <row r="21">
          <cell r="I21">
            <v>1451.5629398755198</v>
          </cell>
          <cell r="J21">
            <v>1799.9171491853617</v>
          </cell>
          <cell r="L21">
            <v>282.92637332764753</v>
          </cell>
          <cell r="M21">
            <v>346.35072858744189</v>
          </cell>
          <cell r="O21">
            <v>618.74</v>
          </cell>
          <cell r="P21">
            <v>618.74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883.51669266117415</v>
          </cell>
          <cell r="Y21">
            <v>745.21023272126786</v>
          </cell>
          <cell r="AA21">
            <v>0</v>
          </cell>
          <cell r="AB21">
            <v>0</v>
          </cell>
          <cell r="AD21">
            <v>2100.5735045453639</v>
          </cell>
          <cell r="AE21">
            <v>2044.4362650180401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1278.4738179064273</v>
          </cell>
          <cell r="AQ21">
            <v>0</v>
          </cell>
          <cell r="AS21">
            <v>5217.8459568311582</v>
          </cell>
          <cell r="AT21">
            <v>437</v>
          </cell>
          <cell r="AV21">
            <v>235.07044024849569</v>
          </cell>
          <cell r="AW21">
            <v>0</v>
          </cell>
          <cell r="AY21">
            <v>364.66296549106636</v>
          </cell>
          <cell r="AZ21">
            <v>0</v>
          </cell>
          <cell r="BB21">
            <v>335.41627860193557</v>
          </cell>
          <cell r="BC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K21">
            <v>113.60653295778928</v>
          </cell>
          <cell r="BL21">
            <v>130</v>
          </cell>
          <cell r="BN21">
            <v>0</v>
          </cell>
          <cell r="BO21">
            <v>0</v>
          </cell>
          <cell r="BT21">
            <v>4347.4199743444433</v>
          </cell>
          <cell r="BU21">
            <v>3917.0691208970165</v>
          </cell>
          <cell r="BW21">
            <v>1956.9435953144853</v>
          </cell>
          <cell r="BX21">
            <v>3608.7685342023692</v>
          </cell>
          <cell r="BZ21">
            <v>1920.5993200533412</v>
          </cell>
          <cell r="CA21">
            <v>3438.1649553053066</v>
          </cell>
          <cell r="CC21">
            <v>231.72741824725227</v>
          </cell>
          <cell r="CD21">
            <v>230.77640407856407</v>
          </cell>
          <cell r="CF21">
            <v>28.527049594832192</v>
          </cell>
          <cell r="CG21">
            <v>0</v>
          </cell>
          <cell r="CI21">
            <v>620.79791837687242</v>
          </cell>
          <cell r="CJ21">
            <v>633.79750899701617</v>
          </cell>
          <cell r="CL21">
            <v>0</v>
          </cell>
          <cell r="CM21">
            <v>0</v>
          </cell>
          <cell r="CX21">
            <v>2349.987065946636</v>
          </cell>
          <cell r="CY21">
            <v>7195.8029212091424</v>
          </cell>
        </row>
        <row r="22">
          <cell r="I22">
            <v>980.11058656366777</v>
          </cell>
          <cell r="J22">
            <v>1196.6120738138975</v>
          </cell>
          <cell r="L22">
            <v>197.11639363741926</v>
          </cell>
          <cell r="M22">
            <v>241.30449052884876</v>
          </cell>
          <cell r="O22">
            <v>349.12</v>
          </cell>
          <cell r="P22">
            <v>349.12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>
            <v>704.04373794736694</v>
          </cell>
          <cell r="Y22">
            <v>615.16994780435994</v>
          </cell>
          <cell r="AA22">
            <v>0</v>
          </cell>
          <cell r="AB22">
            <v>0</v>
          </cell>
          <cell r="AD22">
            <v>1047.2437854982186</v>
          </cell>
          <cell r="AE22">
            <v>978.6159090342926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P22">
            <v>686.58779109789612</v>
          </cell>
          <cell r="AQ22">
            <v>0</v>
          </cell>
          <cell r="AS22">
            <v>3708.0836556568615</v>
          </cell>
          <cell r="AT22">
            <v>0</v>
          </cell>
          <cell r="AV22">
            <v>164.42305467854635</v>
          </cell>
          <cell r="AW22">
            <v>0</v>
          </cell>
          <cell r="AY22">
            <v>254.07927931943252</v>
          </cell>
          <cell r="AZ22">
            <v>1750</v>
          </cell>
          <cell r="BB22">
            <v>149.22429345480151</v>
          </cell>
          <cell r="BC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K22">
            <v>87.33759704525356</v>
          </cell>
          <cell r="BL22">
            <v>0</v>
          </cell>
          <cell r="BN22">
            <v>0</v>
          </cell>
          <cell r="BO22">
            <v>0</v>
          </cell>
          <cell r="BT22">
            <v>2297.3567290374276</v>
          </cell>
          <cell r="BU22">
            <v>1888.8725930217029</v>
          </cell>
          <cell r="BW22">
            <v>2251.4238286090226</v>
          </cell>
          <cell r="BX22">
            <v>3681.7526143654718</v>
          </cell>
          <cell r="BZ22">
            <v>817.64122088344482</v>
          </cell>
          <cell r="CA22">
            <v>1784.0803487606447</v>
          </cell>
          <cell r="CC22">
            <v>327.95778042608794</v>
          </cell>
          <cell r="CD22">
            <v>326.61183483934701</v>
          </cell>
          <cell r="CF22">
            <v>40.373590393363102</v>
          </cell>
          <cell r="CG22">
            <v>0</v>
          </cell>
          <cell r="CI22">
            <v>586.48245555202027</v>
          </cell>
          <cell r="CJ22">
            <v>310.73014028388968</v>
          </cell>
          <cell r="CL22">
            <v>0</v>
          </cell>
          <cell r="CM22">
            <v>0</v>
          </cell>
          <cell r="CX22">
            <v>259.55306423900765</v>
          </cell>
          <cell r="CY22">
            <v>2090.4360570570552</v>
          </cell>
        </row>
        <row r="23">
          <cell r="I23">
            <v>1986.8518445396794</v>
          </cell>
          <cell r="J23">
            <v>1980.0310770449923</v>
          </cell>
          <cell r="L23">
            <v>306.30279651169889</v>
          </cell>
          <cell r="M23">
            <v>378.53924560320951</v>
          </cell>
          <cell r="O23">
            <v>612.38</v>
          </cell>
          <cell r="P23">
            <v>612.58000000000004</v>
          </cell>
          <cell r="R23">
            <v>142.96</v>
          </cell>
          <cell r="S23">
            <v>142.78</v>
          </cell>
          <cell r="U23">
            <v>130.00964065633656</v>
          </cell>
          <cell r="V23">
            <v>89.569932287279713</v>
          </cell>
          <cell r="X23">
            <v>1250.523613259714</v>
          </cell>
          <cell r="Y23">
            <v>1214.650334172798</v>
          </cell>
          <cell r="AA23">
            <v>0</v>
          </cell>
          <cell r="AB23">
            <v>0</v>
          </cell>
          <cell r="AD23">
            <v>2909.4895667686783</v>
          </cell>
          <cell r="AE23">
            <v>2721.1029507731459</v>
          </cell>
          <cell r="AJ23">
            <v>6098.459378714083</v>
          </cell>
          <cell r="AK23">
            <v>5724.2507675505894</v>
          </cell>
          <cell r="AM23">
            <v>0</v>
          </cell>
          <cell r="AN23">
            <v>909.26710970970282</v>
          </cell>
          <cell r="AP23">
            <v>426.15793930214238</v>
          </cell>
          <cell r="AQ23">
            <v>0</v>
          </cell>
          <cell r="AS23">
            <v>12832.580826908254</v>
          </cell>
          <cell r="AT23">
            <v>14189</v>
          </cell>
          <cell r="AV23">
            <v>177.51800880001062</v>
          </cell>
          <cell r="AW23">
            <v>0</v>
          </cell>
          <cell r="AY23">
            <v>200.43331245737406</v>
          </cell>
          <cell r="AZ23">
            <v>0</v>
          </cell>
          <cell r="BB23">
            <v>170.68014774308622</v>
          </cell>
          <cell r="BC23">
            <v>0</v>
          </cell>
          <cell r="BE23">
            <v>101.1739894233076</v>
          </cell>
          <cell r="BF23">
            <v>0</v>
          </cell>
          <cell r="BH23">
            <v>65.961235315382794</v>
          </cell>
          <cell r="BI23">
            <v>0</v>
          </cell>
          <cell r="BK23">
            <v>208.54056051817184</v>
          </cell>
          <cell r="BL23">
            <v>0</v>
          </cell>
          <cell r="BN23">
            <v>0</v>
          </cell>
          <cell r="BO23">
            <v>0</v>
          </cell>
          <cell r="BT23">
            <v>9261.253440929102</v>
          </cell>
          <cell r="BU23">
            <v>4484.6204889668725</v>
          </cell>
          <cell r="BW23">
            <v>4004.0829469997734</v>
          </cell>
          <cell r="BX23">
            <v>6936.377912081236</v>
          </cell>
          <cell r="BZ23">
            <v>864.93761305377711</v>
          </cell>
          <cell r="CA23">
            <v>4355.6997830842747</v>
          </cell>
          <cell r="CC23">
            <v>299.03474747371246</v>
          </cell>
          <cell r="CD23">
            <v>297.80750261883668</v>
          </cell>
          <cell r="CF23">
            <v>36.812989745816871</v>
          </cell>
          <cell r="CG23">
            <v>0</v>
          </cell>
          <cell r="CI23">
            <v>1591.9255163201908</v>
          </cell>
          <cell r="CJ23">
            <v>1856.320896514746</v>
          </cell>
          <cell r="CL23">
            <v>1977.8184937233023</v>
          </cell>
          <cell r="CM23">
            <v>2162.3490049978691</v>
          </cell>
          <cell r="CX23">
            <v>500.27366900367633</v>
          </cell>
          <cell r="CY23">
            <v>-2378.5964064866639</v>
          </cell>
        </row>
        <row r="24"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175.45583470464331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P24">
            <v>78.91813690780414</v>
          </cell>
          <cell r="AQ24">
            <v>0</v>
          </cell>
          <cell r="AS24">
            <v>510.56207864335602</v>
          </cell>
          <cell r="AT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T24">
            <v>27.914845879897086</v>
          </cell>
          <cell r="BU24">
            <v>70.744000457692522</v>
          </cell>
          <cell r="BW24">
            <v>0</v>
          </cell>
          <cell r="BX24">
            <v>1.0556704060685642</v>
          </cell>
          <cell r="BZ24">
            <v>0</v>
          </cell>
          <cell r="CA24">
            <v>79.679468404045195</v>
          </cell>
          <cell r="CC24">
            <v>0</v>
          </cell>
          <cell r="CD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X24">
            <v>18.505926282731366</v>
          </cell>
          <cell r="CY24">
            <v>367.05803123306049</v>
          </cell>
        </row>
        <row r="25">
          <cell r="I25">
            <v>0</v>
          </cell>
          <cell r="J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D25">
            <v>0</v>
          </cell>
          <cell r="AE25">
            <v>198.90323554596242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P25">
            <v>78.91813690780414</v>
          </cell>
          <cell r="AQ25">
            <v>0</v>
          </cell>
          <cell r="AS25">
            <v>574.69669133791456</v>
          </cell>
          <cell r="AT25">
            <v>0</v>
          </cell>
          <cell r="AV25">
            <v>0</v>
          </cell>
          <cell r="AW25">
            <v>0</v>
          </cell>
          <cell r="AY25">
            <v>0</v>
          </cell>
          <cell r="AZ25">
            <v>0</v>
          </cell>
          <cell r="BB25">
            <v>0</v>
          </cell>
          <cell r="BC25">
            <v>0</v>
          </cell>
          <cell r="BE25">
            <v>0</v>
          </cell>
          <cell r="BF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N25">
            <v>0</v>
          </cell>
          <cell r="BO25">
            <v>0</v>
          </cell>
          <cell r="BT25">
            <v>35.890516131296266</v>
          </cell>
          <cell r="BU25">
            <v>88.435556965491202</v>
          </cell>
          <cell r="BW25">
            <v>0</v>
          </cell>
          <cell r="BX25">
            <v>1.1967470890359655</v>
          </cell>
          <cell r="BZ25">
            <v>0</v>
          </cell>
          <cell r="CA25">
            <v>99.605593710240584</v>
          </cell>
          <cell r="CC25">
            <v>0</v>
          </cell>
          <cell r="CD25">
            <v>0</v>
          </cell>
          <cell r="CF25">
            <v>0</v>
          </cell>
          <cell r="CG25">
            <v>0</v>
          </cell>
          <cell r="CI25">
            <v>0</v>
          </cell>
          <cell r="CJ25">
            <v>0</v>
          </cell>
          <cell r="CL25">
            <v>0</v>
          </cell>
          <cell r="CM25">
            <v>0</v>
          </cell>
          <cell r="CX25">
            <v>12.433586747582012</v>
          </cell>
          <cell r="CY25">
            <v>374.07064002712389</v>
          </cell>
        </row>
        <row r="26"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198.77001167754582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94.701764289364974</v>
          </cell>
          <cell r="AQ26">
            <v>0</v>
          </cell>
          <cell r="AS26">
            <v>570.43433432923587</v>
          </cell>
          <cell r="AT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B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K26">
            <v>0</v>
          </cell>
          <cell r="BL26">
            <v>0</v>
          </cell>
          <cell r="BN26">
            <v>0</v>
          </cell>
          <cell r="BO26">
            <v>0</v>
          </cell>
          <cell r="BT26">
            <v>27.914845879897086</v>
          </cell>
          <cell r="BU26">
            <v>75.166889584642178</v>
          </cell>
          <cell r="BW26">
            <v>0</v>
          </cell>
          <cell r="BX26">
            <v>1.1959455169736501</v>
          </cell>
          <cell r="BZ26">
            <v>0</v>
          </cell>
          <cell r="CA26">
            <v>84.660999730594042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0</v>
          </cell>
          <cell r="CJ26">
            <v>0</v>
          </cell>
          <cell r="CL26">
            <v>0</v>
          </cell>
          <cell r="CM26">
            <v>0</v>
          </cell>
          <cell r="CX26">
            <v>12.478866601802451</v>
          </cell>
          <cell r="CY26">
            <v>412.38738418829314</v>
          </cell>
        </row>
        <row r="27"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157.97795084126409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78.91813690780414</v>
          </cell>
          <cell r="AQ27">
            <v>0</v>
          </cell>
          <cell r="AS27">
            <v>550.12377861382879</v>
          </cell>
          <cell r="AT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T27">
            <v>15.951340502798338</v>
          </cell>
          <cell r="BU27">
            <v>44.228891269496742</v>
          </cell>
          <cell r="BW27">
            <v>0</v>
          </cell>
          <cell r="BX27">
            <v>0.95047461415646051</v>
          </cell>
          <cell r="BZ27">
            <v>0</v>
          </cell>
          <cell r="CA27">
            <v>49.815313265488506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6.2391750590640456</v>
          </cell>
          <cell r="CJ27">
            <v>94.747114862345441</v>
          </cell>
          <cell r="CL27">
            <v>0</v>
          </cell>
          <cell r="CM27">
            <v>0</v>
          </cell>
          <cell r="CX27">
            <v>38.281082699805665</v>
          </cell>
          <cell r="CY27">
            <v>402.49630617669851</v>
          </cell>
        </row>
        <row r="28">
          <cell r="I28">
            <v>0</v>
          </cell>
          <cell r="J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210.29387629558047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P28">
            <v>86.809950598584564</v>
          </cell>
          <cell r="AQ28">
            <v>0</v>
          </cell>
          <cell r="AS28">
            <v>601.82121739763295</v>
          </cell>
          <cell r="AT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N28">
            <v>0</v>
          </cell>
          <cell r="BO28">
            <v>0</v>
          </cell>
          <cell r="BT28">
            <v>23.927010754197507</v>
          </cell>
          <cell r="BU28">
            <v>57.475333076843498</v>
          </cell>
          <cell r="BW28">
            <v>0</v>
          </cell>
          <cell r="BX28">
            <v>1.2652815003638789</v>
          </cell>
          <cell r="BZ28">
            <v>0</v>
          </cell>
          <cell r="CA28">
            <v>64.73487442439864</v>
          </cell>
          <cell r="CC28">
            <v>0</v>
          </cell>
          <cell r="CD28">
            <v>0</v>
          </cell>
          <cell r="CF28">
            <v>0</v>
          </cell>
          <cell r="CG28">
            <v>0</v>
          </cell>
          <cell r="CI28">
            <v>0</v>
          </cell>
          <cell r="CJ28">
            <v>0</v>
          </cell>
          <cell r="CL28">
            <v>0</v>
          </cell>
          <cell r="CM28">
            <v>0</v>
          </cell>
          <cell r="CX28">
            <v>21.370185499502099</v>
          </cell>
          <cell r="CY28">
            <v>475.91676164337628</v>
          </cell>
        </row>
        <row r="29"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159.87036407019116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P29">
            <v>94.701764289364974</v>
          </cell>
          <cell r="AQ29">
            <v>0</v>
          </cell>
          <cell r="AS29">
            <v>528.83181241499767</v>
          </cell>
          <cell r="AT29">
            <v>790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T29">
            <v>15.951340502798338</v>
          </cell>
          <cell r="BU29">
            <v>40.850604097153273</v>
          </cell>
          <cell r="BW29">
            <v>0</v>
          </cell>
          <cell r="BX29">
            <v>0.96188881728144859</v>
          </cell>
          <cell r="BZ29">
            <v>0</v>
          </cell>
          <cell r="CA29">
            <v>46.010324513551701</v>
          </cell>
          <cell r="CC29">
            <v>0</v>
          </cell>
          <cell r="CD29">
            <v>0</v>
          </cell>
          <cell r="CF29">
            <v>0</v>
          </cell>
          <cell r="CG29">
            <v>0</v>
          </cell>
          <cell r="CI29">
            <v>62.391750590640456</v>
          </cell>
          <cell r="CJ29">
            <v>21.748526191161076</v>
          </cell>
          <cell r="CL29">
            <v>0</v>
          </cell>
          <cell r="CM29">
            <v>0</v>
          </cell>
          <cell r="CX29">
            <v>0.68799864263849031</v>
          </cell>
          <cell r="CY29">
            <v>-428.39004922720619</v>
          </cell>
        </row>
        <row r="30"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90.291615834196762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47.350882144682487</v>
          </cell>
          <cell r="AQ30">
            <v>0</v>
          </cell>
          <cell r="AS30">
            <v>346.58547648362503</v>
          </cell>
          <cell r="AT30">
            <v>0</v>
          </cell>
          <cell r="AV30">
            <v>0</v>
          </cell>
          <cell r="AW30">
            <v>0</v>
          </cell>
          <cell r="AY30">
            <v>0</v>
          </cell>
          <cell r="AZ30">
            <v>0</v>
          </cell>
          <cell r="BB30">
            <v>0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K30">
            <v>0</v>
          </cell>
          <cell r="BL30">
            <v>0</v>
          </cell>
          <cell r="BN30">
            <v>0</v>
          </cell>
          <cell r="BO30">
            <v>0</v>
          </cell>
          <cell r="BT30">
            <v>11.963505377098754</v>
          </cell>
          <cell r="BU30">
            <v>27.226327540268091</v>
          </cell>
          <cell r="BW30">
            <v>0</v>
          </cell>
          <cell r="BX30">
            <v>0.54326429398198472</v>
          </cell>
          <cell r="BZ30">
            <v>0</v>
          </cell>
          <cell r="CA30">
            <v>30.665205402122325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18.717525177192133</v>
          </cell>
          <cell r="CJ30">
            <v>0</v>
          </cell>
          <cell r="CL30">
            <v>0</v>
          </cell>
          <cell r="CM30">
            <v>0</v>
          </cell>
          <cell r="CX30">
            <v>7.2591329808818728</v>
          </cell>
          <cell r="CY30">
            <v>338.32830431531693</v>
          </cell>
        </row>
        <row r="31"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153.14083674486523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78.91813690780414</v>
          </cell>
          <cell r="AQ31">
            <v>0</v>
          </cell>
          <cell r="AS31">
            <v>533.71609377250206</v>
          </cell>
          <cell r="AT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T31">
            <v>27.914845879897086</v>
          </cell>
          <cell r="BU31">
            <v>54.452655080536182</v>
          </cell>
          <cell r="BW31">
            <v>0</v>
          </cell>
          <cell r="BX31">
            <v>0.92140708563083873</v>
          </cell>
          <cell r="BZ31">
            <v>0</v>
          </cell>
          <cell r="CA31">
            <v>61.33041080424465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I31">
            <v>46.793812942980331</v>
          </cell>
          <cell r="CJ31">
            <v>32.618655480803682</v>
          </cell>
          <cell r="CL31">
            <v>0</v>
          </cell>
          <cell r="CM31">
            <v>0</v>
          </cell>
          <cell r="CX31">
            <v>20.608532596179657</v>
          </cell>
          <cell r="CY31">
            <v>482.4632417647033</v>
          </cell>
        </row>
        <row r="32">
          <cell r="I32">
            <v>1404.8915285558232</v>
          </cell>
          <cell r="J32">
            <v>1723.544523463984</v>
          </cell>
          <cell r="L32">
            <v>228.97416816351449</v>
          </cell>
          <cell r="M32">
            <v>280.30441569313098</v>
          </cell>
          <cell r="O32">
            <v>547.20000000000005</v>
          </cell>
          <cell r="P32">
            <v>547.20000000000005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>
            <v>802.53212698495156</v>
          </cell>
          <cell r="Y32">
            <v>674.96850100299264</v>
          </cell>
          <cell r="AA32">
            <v>0</v>
          </cell>
          <cell r="AB32">
            <v>0</v>
          </cell>
          <cell r="AD32">
            <v>1544.7154052288406</v>
          </cell>
          <cell r="AE32">
            <v>1443.8802858989554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1018.0439661106735</v>
          </cell>
          <cell r="AQ32">
            <v>0</v>
          </cell>
          <cell r="AS32">
            <v>3240.9237804053437</v>
          </cell>
          <cell r="AT32">
            <v>55.226220300531338</v>
          </cell>
          <cell r="AV32">
            <v>232.70143930527138</v>
          </cell>
          <cell r="AW32">
            <v>0</v>
          </cell>
          <cell r="AY32">
            <v>295.12930774881175</v>
          </cell>
          <cell r="AZ32">
            <v>0</v>
          </cell>
          <cell r="BB32">
            <v>285.7634610185147</v>
          </cell>
          <cell r="BC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K32">
            <v>103.83367027199259</v>
          </cell>
          <cell r="BL32">
            <v>0</v>
          </cell>
          <cell r="BN32">
            <v>0</v>
          </cell>
          <cell r="BO32">
            <v>0</v>
          </cell>
          <cell r="BT32">
            <v>4265.4749211737553</v>
          </cell>
          <cell r="BU32">
            <v>3353.7505593579772</v>
          </cell>
          <cell r="BW32">
            <v>2268.4796377658272</v>
          </cell>
          <cell r="BX32">
            <v>3798.9808103152395</v>
          </cell>
          <cell r="BZ32">
            <v>1226.8934002743631</v>
          </cell>
          <cell r="CA32">
            <v>3097.2859193551853</v>
          </cell>
          <cell r="CC32">
            <v>223.05050836153961</v>
          </cell>
          <cell r="CD32">
            <v>222.13510441241095</v>
          </cell>
          <cell r="CF32">
            <v>27.458869400568325</v>
          </cell>
          <cell r="CG32">
            <v>0</v>
          </cell>
          <cell r="CI32">
            <v>489.77524213652754</v>
          </cell>
          <cell r="CJ32">
            <v>220.63235119660217</v>
          </cell>
          <cell r="CL32">
            <v>0</v>
          </cell>
          <cell r="CM32">
            <v>0</v>
          </cell>
          <cell r="CX32">
            <v>545.95028051242116</v>
          </cell>
          <cell r="CY32">
            <v>3891.4695708035879</v>
          </cell>
        </row>
        <row r="33">
          <cell r="I33">
            <v>1092.2517325889678</v>
          </cell>
          <cell r="J33">
            <v>1349.6468616902985</v>
          </cell>
          <cell r="L33">
            <v>157.0219321963082</v>
          </cell>
          <cell r="M33">
            <v>192.22254136698888</v>
          </cell>
          <cell r="O33">
            <v>538.36</v>
          </cell>
          <cell r="P33">
            <v>538.36</v>
          </cell>
          <cell r="R33">
            <v>133.74</v>
          </cell>
          <cell r="S33">
            <v>133.74</v>
          </cell>
          <cell r="U33">
            <v>0</v>
          </cell>
          <cell r="V33">
            <v>0</v>
          </cell>
          <cell r="X33">
            <v>761.05043981804761</v>
          </cell>
          <cell r="Y33">
            <v>633.23262430711452</v>
          </cell>
          <cell r="AA33">
            <v>0</v>
          </cell>
          <cell r="AB33">
            <v>0</v>
          </cell>
          <cell r="AD33">
            <v>1650.1645372235407</v>
          </cell>
          <cell r="AE33">
            <v>1552.3694211737136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252.53803810497325</v>
          </cell>
          <cell r="AQ33">
            <v>0</v>
          </cell>
          <cell r="AS33">
            <v>4387.3632503741846</v>
          </cell>
          <cell r="AT33">
            <v>0</v>
          </cell>
          <cell r="AV33">
            <v>184.08752228194177</v>
          </cell>
          <cell r="AW33">
            <v>0</v>
          </cell>
          <cell r="AY33">
            <v>202.33697172952878</v>
          </cell>
          <cell r="AZ33">
            <v>0</v>
          </cell>
          <cell r="BB33">
            <v>278.42593120908015</v>
          </cell>
          <cell r="BC33">
            <v>0</v>
          </cell>
          <cell r="BE33">
            <v>166.3792122642065</v>
          </cell>
          <cell r="BF33">
            <v>0</v>
          </cell>
          <cell r="BH33">
            <v>0</v>
          </cell>
          <cell r="BI33">
            <v>0</v>
          </cell>
          <cell r="BK33">
            <v>99.57945223095534</v>
          </cell>
          <cell r="BL33">
            <v>0</v>
          </cell>
          <cell r="BN33">
            <v>0</v>
          </cell>
          <cell r="BO33">
            <v>0</v>
          </cell>
          <cell r="BT33">
            <v>7227.9308855987092</v>
          </cell>
          <cell r="BU33">
            <v>5805.2326634140927</v>
          </cell>
          <cell r="BW33">
            <v>3758.0864221511893</v>
          </cell>
          <cell r="BX33">
            <v>5486.3794663862745</v>
          </cell>
          <cell r="BZ33">
            <v>2305.6537305012353</v>
          </cell>
          <cell r="CA33">
            <v>5309.2884052919926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474.17730448886743</v>
          </cell>
          <cell r="CJ33">
            <v>450.50961446612723</v>
          </cell>
          <cell r="CL33">
            <v>0</v>
          </cell>
          <cell r="CM33">
            <v>0</v>
          </cell>
          <cell r="CX33">
            <v>580.52316468592107</v>
          </cell>
          <cell r="CY33">
            <v>3242.3220822840813</v>
          </cell>
        </row>
        <row r="34">
          <cell r="I34">
            <v>1639.0758812242188</v>
          </cell>
          <cell r="J34">
            <v>2023.4180352397575</v>
          </cell>
          <cell r="L34">
            <v>323.26680624618496</v>
          </cell>
          <cell r="M34">
            <v>395.73453475521728</v>
          </cell>
          <cell r="O34">
            <v>762.1</v>
          </cell>
          <cell r="P34">
            <v>762.1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>
            <v>1358.3859075355863</v>
          </cell>
          <cell r="Y34">
            <v>1191.7721091878118</v>
          </cell>
          <cell r="AA34">
            <v>0</v>
          </cell>
          <cell r="AB34">
            <v>0</v>
          </cell>
          <cell r="AD34">
            <v>2318.4485003197747</v>
          </cell>
          <cell r="AE34">
            <v>2166.7643696561699</v>
          </cell>
          <cell r="AJ34">
            <v>0</v>
          </cell>
          <cell r="AK34">
            <v>0</v>
          </cell>
          <cell r="AM34">
            <v>0</v>
          </cell>
          <cell r="AN34">
            <v>0</v>
          </cell>
          <cell r="AP34">
            <v>1207.4474946894034</v>
          </cell>
          <cell r="AQ34">
            <v>3466.7360691346021</v>
          </cell>
          <cell r="AS34">
            <v>4323.9715266595067</v>
          </cell>
          <cell r="AT34">
            <v>897</v>
          </cell>
          <cell r="AV34">
            <v>277.79676139153776</v>
          </cell>
          <cell r="AW34">
            <v>0</v>
          </cell>
          <cell r="AY34">
            <v>416.66744932240522</v>
          </cell>
          <cell r="AZ34">
            <v>0</v>
          </cell>
          <cell r="BB34">
            <v>404.66261151588901</v>
          </cell>
          <cell r="BC34">
            <v>0</v>
          </cell>
          <cell r="BE34">
            <v>0</v>
          </cell>
          <cell r="BF34">
            <v>0</v>
          </cell>
          <cell r="BH34">
            <v>0</v>
          </cell>
          <cell r="BI34">
            <v>0</v>
          </cell>
          <cell r="BK34">
            <v>182.40649484309614</v>
          </cell>
          <cell r="BL34">
            <v>0</v>
          </cell>
          <cell r="BN34">
            <v>0</v>
          </cell>
          <cell r="BO34">
            <v>0</v>
          </cell>
          <cell r="BT34">
            <v>6821.3572378848621</v>
          </cell>
          <cell r="BU34">
            <v>5799.1208084784312</v>
          </cell>
          <cell r="BW34">
            <v>4435.9907341832659</v>
          </cell>
          <cell r="BX34">
            <v>7050.6653991015764</v>
          </cell>
          <cell r="BZ34">
            <v>2860.879907325454</v>
          </cell>
          <cell r="CA34">
            <v>5725.8159987925692</v>
          </cell>
          <cell r="CC34">
            <v>169.12620963677182</v>
          </cell>
          <cell r="CD34">
            <v>168.43211213688301</v>
          </cell>
          <cell r="CF34">
            <v>20.820461413617743</v>
          </cell>
          <cell r="CG34">
            <v>0</v>
          </cell>
          <cell r="CI34">
            <v>386.82885366197075</v>
          </cell>
          <cell r="CJ34">
            <v>200.38192768956969</v>
          </cell>
          <cell r="CL34">
            <v>0</v>
          </cell>
          <cell r="CM34">
            <v>0</v>
          </cell>
          <cell r="CX34">
            <v>-10.499405424248835</v>
          </cell>
          <cell r="CY34">
            <v>-2336.9496370071065</v>
          </cell>
        </row>
        <row r="35">
          <cell r="I35">
            <v>754.72357126679117</v>
          </cell>
          <cell r="J35">
            <v>917.70155475085232</v>
          </cell>
          <cell r="L35">
            <v>138.23324054312235</v>
          </cell>
          <cell r="M35">
            <v>169.22103751622794</v>
          </cell>
          <cell r="O35">
            <v>209.56</v>
          </cell>
          <cell r="P35">
            <v>209.56</v>
          </cell>
          <cell r="R35">
            <v>51.74</v>
          </cell>
          <cell r="S35">
            <v>51.74</v>
          </cell>
          <cell r="U35">
            <v>0</v>
          </cell>
          <cell r="V35">
            <v>0</v>
          </cell>
          <cell r="X35">
            <v>275.97152374268182</v>
          </cell>
          <cell r="Y35">
            <v>222.14801641602642</v>
          </cell>
          <cell r="AA35">
            <v>0</v>
          </cell>
          <cell r="AB35">
            <v>0</v>
          </cell>
          <cell r="AD35">
            <v>658.83437540785349</v>
          </cell>
          <cell r="AE35">
            <v>614.56170500570965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126.26901905248663</v>
          </cell>
          <cell r="AQ35">
            <v>0</v>
          </cell>
          <cell r="AS35">
            <v>1612.6337968136643</v>
          </cell>
          <cell r="AT35">
            <v>0</v>
          </cell>
          <cell r="AV35">
            <v>136.67164351341606</v>
          </cell>
          <cell r="AW35">
            <v>0</v>
          </cell>
          <cell r="AY35">
            <v>178.18470192067068</v>
          </cell>
          <cell r="AZ35">
            <v>0</v>
          </cell>
          <cell r="BB35">
            <v>92.228281868088715</v>
          </cell>
          <cell r="BC35">
            <v>0</v>
          </cell>
          <cell r="BE35">
            <v>61.697166401660027</v>
          </cell>
          <cell r="BF35">
            <v>0</v>
          </cell>
          <cell r="BH35">
            <v>0</v>
          </cell>
          <cell r="BI35">
            <v>0</v>
          </cell>
          <cell r="BK35">
            <v>29.632726397869654</v>
          </cell>
          <cell r="BL35">
            <v>0</v>
          </cell>
          <cell r="BN35">
            <v>59.090917443770564</v>
          </cell>
          <cell r="BO35">
            <v>0</v>
          </cell>
          <cell r="BT35">
            <v>2217.985281707286</v>
          </cell>
          <cell r="BU35">
            <v>1867.2014278960194</v>
          </cell>
          <cell r="BW35">
            <v>1211.3714592213919</v>
          </cell>
          <cell r="BX35">
            <v>2570.30249473515</v>
          </cell>
          <cell r="BZ35">
            <v>761.99191271804148</v>
          </cell>
          <cell r="CA35">
            <v>1712.2252840356591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436.74225413448318</v>
          </cell>
          <cell r="CJ35">
            <v>226.79424797657143</v>
          </cell>
          <cell r="CL35">
            <v>0</v>
          </cell>
          <cell r="CM35">
            <v>0</v>
          </cell>
          <cell r="CX35">
            <v>250.74575341606578</v>
          </cell>
          <cell r="CY35">
            <v>793.27307800134031</v>
          </cell>
        </row>
        <row r="36">
          <cell r="I36">
            <v>725.91388676437407</v>
          </cell>
          <cell r="J36">
            <v>879.52250810224109</v>
          </cell>
          <cell r="L36">
            <v>138.23324054312235</v>
          </cell>
          <cell r="M36">
            <v>169.22103751622794</v>
          </cell>
          <cell r="O36">
            <v>198.6</v>
          </cell>
          <cell r="P36">
            <v>198.6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275.97152374268182</v>
          </cell>
          <cell r="Y36">
            <v>222.03604969863471</v>
          </cell>
          <cell r="AA36">
            <v>0</v>
          </cell>
          <cell r="AB36">
            <v>0</v>
          </cell>
          <cell r="AD36">
            <v>647.9310049981832</v>
          </cell>
          <cell r="AE36">
            <v>605.66987277404678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307.78073394043616</v>
          </cell>
          <cell r="AQ36">
            <v>707.58359177516968</v>
          </cell>
          <cell r="AS36">
            <v>2178.8177220652046</v>
          </cell>
          <cell r="AT36">
            <v>353</v>
          </cell>
          <cell r="AV36">
            <v>134.92297425237206</v>
          </cell>
          <cell r="AW36">
            <v>0</v>
          </cell>
          <cell r="AY36">
            <v>178.18470192067068</v>
          </cell>
          <cell r="AZ36">
            <v>0</v>
          </cell>
          <cell r="BB36">
            <v>105.77277688990097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29.632726397869654</v>
          </cell>
          <cell r="BL36">
            <v>0</v>
          </cell>
          <cell r="BN36">
            <v>0</v>
          </cell>
          <cell r="BO36">
            <v>0</v>
          </cell>
          <cell r="BT36">
            <v>2782.7782267533348</v>
          </cell>
          <cell r="BU36">
            <v>1935.591649998531</v>
          </cell>
          <cell r="BW36">
            <v>1133.3408699124648</v>
          </cell>
          <cell r="BX36">
            <v>2462.0223122330622</v>
          </cell>
          <cell r="BZ36">
            <v>430.90234740318891</v>
          </cell>
          <cell r="CA36">
            <v>1768.6106990852061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180.9360767128573</v>
          </cell>
          <cell r="CJ36">
            <v>0</v>
          </cell>
          <cell r="CL36">
            <v>0</v>
          </cell>
          <cell r="CM36">
            <v>0</v>
          </cell>
          <cell r="CX36">
            <v>1.3774252440070995</v>
          </cell>
          <cell r="CY36">
            <v>178.81073458025821</v>
          </cell>
        </row>
        <row r="37">
          <cell r="I37">
            <v>1018.6981411229349</v>
          </cell>
          <cell r="J37">
            <v>1256.5423077283954</v>
          </cell>
          <cell r="L37">
            <v>174.77607321260498</v>
          </cell>
          <cell r="M37">
            <v>213.95624579290464</v>
          </cell>
          <cell r="O37">
            <v>474.54</v>
          </cell>
          <cell r="P37">
            <v>474.54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>
            <v>534.8229636829783</v>
          </cell>
          <cell r="Y37">
            <v>432.67434006649046</v>
          </cell>
          <cell r="AA37">
            <v>0</v>
          </cell>
          <cell r="AB37">
            <v>0</v>
          </cell>
          <cell r="AD37">
            <v>1330.5675092742056</v>
          </cell>
          <cell r="AE37">
            <v>1243.7114236030354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875.99131967662606</v>
          </cell>
          <cell r="AQ37">
            <v>2547.300930390611</v>
          </cell>
          <cell r="AS37">
            <v>3816.6006608944781</v>
          </cell>
          <cell r="AT37">
            <v>0</v>
          </cell>
          <cell r="AV37">
            <v>169.22371489358517</v>
          </cell>
          <cell r="AW37">
            <v>0</v>
          </cell>
          <cell r="AY37">
            <v>225.284932994836</v>
          </cell>
          <cell r="AZ37">
            <v>0</v>
          </cell>
          <cell r="BB37">
            <v>197.05114053367473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65.725572763423372</v>
          </cell>
          <cell r="BL37">
            <v>0</v>
          </cell>
          <cell r="BN37">
            <v>0</v>
          </cell>
          <cell r="BO37">
            <v>0</v>
          </cell>
          <cell r="BT37">
            <v>2470.0777213196375</v>
          </cell>
          <cell r="BU37">
            <v>2105.2860852334156</v>
          </cell>
          <cell r="BW37">
            <v>1421.4723490536485</v>
          </cell>
          <cell r="BX37">
            <v>1416.3205562274993</v>
          </cell>
          <cell r="BZ37">
            <v>1171.8608259426294</v>
          </cell>
          <cell r="CA37">
            <v>2101.9774780882608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374.35050354384265</v>
          </cell>
          <cell r="CJ37">
            <v>181.75568794777246</v>
          </cell>
          <cell r="CL37">
            <v>0</v>
          </cell>
          <cell r="CM37">
            <v>0</v>
          </cell>
          <cell r="CX37">
            <v>515.62788530907346</v>
          </cell>
          <cell r="CY37">
            <v>3332.0019339059345</v>
          </cell>
        </row>
        <row r="38">
          <cell r="I38">
            <v>739.26346231697892</v>
          </cell>
          <cell r="J38">
            <v>905.66125461896513</v>
          </cell>
          <cell r="L38">
            <v>150.26564882224523</v>
          </cell>
          <cell r="M38">
            <v>183.95165940490421</v>
          </cell>
          <cell r="O38">
            <v>264.62</v>
          </cell>
          <cell r="P38">
            <v>264.62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>
            <v>490.57790749522491</v>
          </cell>
          <cell r="Y38">
            <v>393.12100546862393</v>
          </cell>
          <cell r="AA38">
            <v>0</v>
          </cell>
          <cell r="AB38">
            <v>0</v>
          </cell>
          <cell r="AD38">
            <v>835.78966340950194</v>
          </cell>
          <cell r="AE38">
            <v>780.68475435230596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426.15793930214238</v>
          </cell>
          <cell r="AQ38">
            <v>0</v>
          </cell>
          <cell r="AS38">
            <v>2208.9486094834106</v>
          </cell>
          <cell r="AT38">
            <v>0</v>
          </cell>
          <cell r="AV38">
            <v>134.16117568240614</v>
          </cell>
          <cell r="AW38">
            <v>0</v>
          </cell>
          <cell r="AY38">
            <v>193.62587533250806</v>
          </cell>
          <cell r="AZ38">
            <v>0</v>
          </cell>
          <cell r="BB38">
            <v>134.29499378403258</v>
          </cell>
          <cell r="BC38">
            <v>0</v>
          </cell>
          <cell r="BE38">
            <v>0</v>
          </cell>
          <cell r="BF38">
            <v>0</v>
          </cell>
          <cell r="BH38">
            <v>0</v>
          </cell>
          <cell r="BI38">
            <v>0</v>
          </cell>
          <cell r="BK38">
            <v>57.335008608429149</v>
          </cell>
          <cell r="BL38">
            <v>0</v>
          </cell>
          <cell r="BN38">
            <v>0</v>
          </cell>
          <cell r="BO38">
            <v>0</v>
          </cell>
          <cell r="BT38">
            <v>3483.0594556997635</v>
          </cell>
          <cell r="BU38">
            <v>2687.3202999108034</v>
          </cell>
          <cell r="BW38">
            <v>1340.796661716583</v>
          </cell>
          <cell r="BX38">
            <v>2319.4113818341511</v>
          </cell>
          <cell r="BZ38">
            <v>1062.8919321674925</v>
          </cell>
          <cell r="CA38">
            <v>2566.5138549255921</v>
          </cell>
          <cell r="CC38">
            <v>48.041647954793149</v>
          </cell>
          <cell r="CD38">
            <v>47.844484027288509</v>
          </cell>
          <cell r="CF38">
            <v>5.9142180247377931</v>
          </cell>
          <cell r="CG38">
            <v>0</v>
          </cell>
          <cell r="CI38">
            <v>461.69895437073933</v>
          </cell>
          <cell r="CJ38">
            <v>456.7324848836808</v>
          </cell>
          <cell r="CL38">
            <v>0</v>
          </cell>
          <cell r="CM38">
            <v>0</v>
          </cell>
          <cell r="CX38">
            <v>340.3882149948131</v>
          </cell>
          <cell r="CY38">
            <v>2058.2865846884206</v>
          </cell>
        </row>
        <row r="39">
          <cell r="I39">
            <v>866.85730196865711</v>
          </cell>
          <cell r="J39">
            <v>1065.5160499967881</v>
          </cell>
          <cell r="L39">
            <v>155.14830105407276</v>
          </cell>
          <cell r="M39">
            <v>189.92842812203111</v>
          </cell>
          <cell r="O39">
            <v>341.66</v>
          </cell>
          <cell r="P39">
            <v>341.66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>
            <v>494.95930459311847</v>
          </cell>
          <cell r="Y39">
            <v>411.82753269843306</v>
          </cell>
          <cell r="AA39">
            <v>0</v>
          </cell>
          <cell r="AB39">
            <v>0</v>
          </cell>
          <cell r="AD39">
            <v>1032.1144682565648</v>
          </cell>
          <cell r="AE39">
            <v>964.74064313870508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P39">
            <v>639.23690895321363</v>
          </cell>
          <cell r="AQ39">
            <v>1556.5897840023224</v>
          </cell>
          <cell r="AS39">
            <v>2184.8415673809905</v>
          </cell>
          <cell r="AT39">
            <v>43.392030236131767</v>
          </cell>
          <cell r="AV39">
            <v>146.92028080228897</v>
          </cell>
          <cell r="AW39">
            <v>0</v>
          </cell>
          <cell r="AY39">
            <v>199.98679498901538</v>
          </cell>
          <cell r="AZ39">
            <v>0</v>
          </cell>
          <cell r="BB39">
            <v>191.36245860498491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K39">
            <v>60.056140153587386</v>
          </cell>
          <cell r="BL39">
            <v>0</v>
          </cell>
          <cell r="BN39">
            <v>0</v>
          </cell>
          <cell r="BO39">
            <v>0</v>
          </cell>
          <cell r="BT39">
            <v>4579.0736492066962</v>
          </cell>
          <cell r="BU39">
            <v>3983.5005073156949</v>
          </cell>
          <cell r="BW39">
            <v>1496.5194226195499</v>
          </cell>
          <cell r="BX39">
            <v>2482.596911563719</v>
          </cell>
          <cell r="BZ39">
            <v>2056.5181750025595</v>
          </cell>
          <cell r="CA39">
            <v>3677.4106629469752</v>
          </cell>
          <cell r="CC39">
            <v>150.9880364293499</v>
          </cell>
          <cell r="CD39">
            <v>150.36837837147817</v>
          </cell>
          <cell r="CF39">
            <v>18.587542363461637</v>
          </cell>
          <cell r="CG39">
            <v>0</v>
          </cell>
          <cell r="CI39">
            <v>414.90514142775902</v>
          </cell>
          <cell r="CJ39">
            <v>0</v>
          </cell>
          <cell r="CL39">
            <v>0</v>
          </cell>
          <cell r="CM39">
            <v>0</v>
          </cell>
          <cell r="CX39">
            <v>5.740743296155415E-2</v>
          </cell>
          <cell r="CY39">
            <v>194.7028859292659</v>
          </cell>
        </row>
        <row r="40">
          <cell r="I40">
            <v>1018.6978960509853</v>
          </cell>
          <cell r="J40">
            <v>1267.7879735440097</v>
          </cell>
          <cell r="L40">
            <v>174.77607321260498</v>
          </cell>
          <cell r="M40">
            <v>213.95624579290464</v>
          </cell>
          <cell r="O40">
            <v>448.74</v>
          </cell>
          <cell r="P40">
            <v>448.74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>
            <v>595.03968650449883</v>
          </cell>
          <cell r="Y40">
            <v>522.47391739324382</v>
          </cell>
          <cell r="AA40">
            <v>0</v>
          </cell>
          <cell r="AB40">
            <v>0</v>
          </cell>
          <cell r="AD40">
            <v>1508.9409480677004</v>
          </cell>
          <cell r="AE40">
            <v>1410.0310914994125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875.99131967662606</v>
          </cell>
          <cell r="AQ40">
            <v>0</v>
          </cell>
          <cell r="AS40">
            <v>2320.279880842194</v>
          </cell>
          <cell r="AT40">
            <v>59.170950321997864</v>
          </cell>
          <cell r="AV40">
            <v>169.22371489358517</v>
          </cell>
          <cell r="AW40">
            <v>0</v>
          </cell>
          <cell r="AY40">
            <v>225.284932994836</v>
          </cell>
          <cell r="AZ40">
            <v>0</v>
          </cell>
          <cell r="BB40">
            <v>274.70400539597944</v>
          </cell>
          <cell r="BC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K40">
            <v>70.037170653702944</v>
          </cell>
          <cell r="BL40">
            <v>0</v>
          </cell>
          <cell r="BN40">
            <v>0</v>
          </cell>
          <cell r="BO40">
            <v>0</v>
          </cell>
          <cell r="BT40">
            <v>3708.3464369723051</v>
          </cell>
          <cell r="BU40">
            <v>3369.3346338823121</v>
          </cell>
          <cell r="BW40">
            <v>1655.3174169644992</v>
          </cell>
          <cell r="BX40">
            <v>2748.4250338359225</v>
          </cell>
          <cell r="BZ40">
            <v>1901.983641235742</v>
          </cell>
          <cell r="CA40">
            <v>3198.0319339941157</v>
          </cell>
          <cell r="CC40">
            <v>0</v>
          </cell>
          <cell r="CD40">
            <v>0</v>
          </cell>
          <cell r="CF40">
            <v>0</v>
          </cell>
          <cell r="CG40">
            <v>0</v>
          </cell>
          <cell r="CI40">
            <v>514.73194237278358</v>
          </cell>
          <cell r="CJ40">
            <v>521.95636097599004</v>
          </cell>
          <cell r="CL40">
            <v>0</v>
          </cell>
          <cell r="CM40">
            <v>0</v>
          </cell>
          <cell r="CX40">
            <v>-10.634079005649255</v>
          </cell>
          <cell r="CY40">
            <v>2031.9902305121113</v>
          </cell>
        </row>
        <row r="41">
          <cell r="I41">
            <v>1250.1361702082252</v>
          </cell>
          <cell r="J41">
            <v>1256.5350517072479</v>
          </cell>
          <cell r="L41">
            <v>230.05995536213632</v>
          </cell>
          <cell r="M41">
            <v>297.66465754043082</v>
          </cell>
          <cell r="O41">
            <v>481.94</v>
          </cell>
          <cell r="P41">
            <v>482</v>
          </cell>
          <cell r="R41">
            <v>121.18</v>
          </cell>
          <cell r="S41">
            <v>121.06</v>
          </cell>
          <cell r="U41">
            <v>65.029090713311319</v>
          </cell>
          <cell r="V41">
            <v>44.801949445173271</v>
          </cell>
          <cell r="X41">
            <v>639.57049507040438</v>
          </cell>
          <cell r="Y41">
            <v>2882.9828871256741</v>
          </cell>
          <cell r="AA41">
            <v>0</v>
          </cell>
          <cell r="AB41">
            <v>0</v>
          </cell>
          <cell r="AD41">
            <v>1578.045512030166</v>
          </cell>
          <cell r="AE41">
            <v>1474.4880162922009</v>
          </cell>
          <cell r="AJ41">
            <v>3456.5475482576176</v>
          </cell>
          <cell r="AK41">
            <v>3442.3618048613394</v>
          </cell>
          <cell r="AM41">
            <v>0</v>
          </cell>
          <cell r="AN41">
            <v>0</v>
          </cell>
          <cell r="AP41">
            <v>276.21347917731453</v>
          </cell>
          <cell r="AQ41">
            <v>1462.3394230020174</v>
          </cell>
          <cell r="AS41">
            <v>6396.0179222916759</v>
          </cell>
          <cell r="AT41">
            <v>75.242907495172915</v>
          </cell>
          <cell r="AV41">
            <v>44.924807561176856</v>
          </cell>
          <cell r="AW41">
            <v>3129</v>
          </cell>
          <cell r="AY41">
            <v>60.844215905779357</v>
          </cell>
          <cell r="AZ41">
            <v>0</v>
          </cell>
          <cell r="BB41">
            <v>76.6936654717761</v>
          </cell>
          <cell r="BC41">
            <v>0</v>
          </cell>
          <cell r="BE41">
            <v>30.092783099948647</v>
          </cell>
          <cell r="BF41">
            <v>0</v>
          </cell>
          <cell r="BH41">
            <v>13.192247063076561</v>
          </cell>
          <cell r="BI41">
            <v>0</v>
          </cell>
          <cell r="BK41">
            <v>34.861306109848641</v>
          </cell>
          <cell r="BL41">
            <v>0</v>
          </cell>
          <cell r="BN41">
            <v>0</v>
          </cell>
          <cell r="BO41">
            <v>0</v>
          </cell>
          <cell r="BT41">
            <v>5510.2796930000077</v>
          </cell>
          <cell r="BU41">
            <v>3846.8391012406369</v>
          </cell>
          <cell r="BW41">
            <v>3636.5813903507978</v>
          </cell>
          <cell r="BX41">
            <v>5144.5908794051593</v>
          </cell>
          <cell r="BZ41">
            <v>411.15697653478429</v>
          </cell>
          <cell r="CA41">
            <v>3543.7731221801509</v>
          </cell>
          <cell r="CC41">
            <v>122.2120697462238</v>
          </cell>
          <cell r="CD41">
            <v>121.71050885717372</v>
          </cell>
          <cell r="CF41">
            <v>15.045046464970735</v>
          </cell>
          <cell r="CG41">
            <v>0</v>
          </cell>
          <cell r="CI41">
            <v>761.17935720581352</v>
          </cell>
          <cell r="CJ41">
            <v>1042.2254976461913</v>
          </cell>
          <cell r="CL41">
            <v>948.35460897773487</v>
          </cell>
          <cell r="CM41">
            <v>543.76896115918885</v>
          </cell>
          <cell r="CX41">
            <v>797.38999127665738</v>
          </cell>
          <cell r="CY41">
            <v>-2504.081721549308</v>
          </cell>
        </row>
        <row r="42">
          <cell r="I42">
            <v>2651.857488636876</v>
          </cell>
          <cell r="J42">
            <v>2809.3462249140803</v>
          </cell>
          <cell r="L42">
            <v>687.17092668746682</v>
          </cell>
          <cell r="M42">
            <v>782.54600084825461</v>
          </cell>
          <cell r="O42">
            <v>1294.46</v>
          </cell>
          <cell r="P42">
            <v>1294.7</v>
          </cell>
          <cell r="R42">
            <v>315.64</v>
          </cell>
          <cell r="S42">
            <v>315.48</v>
          </cell>
          <cell r="U42">
            <v>195.03873136964788</v>
          </cell>
          <cell r="V42">
            <v>179.10579134993122</v>
          </cell>
          <cell r="X42">
            <v>2053.8089537204951</v>
          </cell>
          <cell r="Y42">
            <v>4675.5314325858026</v>
          </cell>
          <cell r="AA42">
            <v>0</v>
          </cell>
          <cell r="AB42">
            <v>0</v>
          </cell>
          <cell r="AD42">
            <v>4242.5441847180309</v>
          </cell>
          <cell r="AE42">
            <v>3965.6016180288761</v>
          </cell>
          <cell r="AJ42">
            <v>14402.266595894693</v>
          </cell>
          <cell r="AK42">
            <v>14343.137201390375</v>
          </cell>
          <cell r="AM42">
            <v>0</v>
          </cell>
          <cell r="AN42">
            <v>0</v>
          </cell>
          <cell r="AP42">
            <v>828.64043753194358</v>
          </cell>
          <cell r="AQ42">
            <v>613.23911287181375</v>
          </cell>
          <cell r="AS42">
            <v>18213.04239474616</v>
          </cell>
          <cell r="AT42">
            <v>146.58616759769606</v>
          </cell>
          <cell r="AV42">
            <v>81.224311988646505</v>
          </cell>
          <cell r="AW42">
            <v>3740</v>
          </cell>
          <cell r="AY42">
            <v>181.73049913413948</v>
          </cell>
          <cell r="AZ42">
            <v>0</v>
          </cell>
          <cell r="BB42">
            <v>211.62743048370936</v>
          </cell>
          <cell r="BC42">
            <v>0</v>
          </cell>
          <cell r="BE42">
            <v>71.036897363237614</v>
          </cell>
          <cell r="BF42">
            <v>0</v>
          </cell>
          <cell r="BH42">
            <v>39.576724851099698</v>
          </cell>
          <cell r="BI42">
            <v>0</v>
          </cell>
          <cell r="BK42">
            <v>48.871603317094689</v>
          </cell>
          <cell r="BL42">
            <v>0</v>
          </cell>
          <cell r="BN42">
            <v>0</v>
          </cell>
          <cell r="BO42">
            <v>0</v>
          </cell>
          <cell r="BT42">
            <v>10687.576099554291</v>
          </cell>
          <cell r="BU42">
            <v>7379.803334406809</v>
          </cell>
          <cell r="BW42">
            <v>11170.059922599505</v>
          </cell>
          <cell r="BX42">
            <v>15810.287587070481</v>
          </cell>
          <cell r="BZ42">
            <v>1017.0725209018348</v>
          </cell>
          <cell r="CA42">
            <v>7090.5896570064097</v>
          </cell>
          <cell r="CC42">
            <v>366.65581807457136</v>
          </cell>
          <cell r="CD42">
            <v>365.15105493234864</v>
          </cell>
          <cell r="CF42">
            <v>45.137553361452916</v>
          </cell>
          <cell r="CG42">
            <v>0</v>
          </cell>
          <cell r="CI42">
            <v>3858.9297740311113</v>
          </cell>
          <cell r="CJ42">
            <v>806.20597317490217</v>
          </cell>
          <cell r="CL42">
            <v>1808.11293211676</v>
          </cell>
          <cell r="CM42">
            <v>1837.6161144601281</v>
          </cell>
          <cell r="CX42">
            <v>895.08183870067296</v>
          </cell>
          <cell r="CY42">
            <v>10875.667275234518</v>
          </cell>
        </row>
        <row r="43">
          <cell r="I43">
            <v>1743.9826197680936</v>
          </cell>
          <cell r="J43">
            <v>1792.9094751793464</v>
          </cell>
          <cell r="L43">
            <v>256.3944898366467</v>
          </cell>
          <cell r="M43">
            <v>325.59934707828586</v>
          </cell>
          <cell r="O43">
            <v>833.48</v>
          </cell>
          <cell r="P43">
            <v>833.42</v>
          </cell>
          <cell r="R43">
            <v>213.26</v>
          </cell>
          <cell r="S43">
            <v>213.5</v>
          </cell>
          <cell r="U43">
            <v>130.00964065633656</v>
          </cell>
          <cell r="V43">
            <v>89.569932287279713</v>
          </cell>
          <cell r="X43">
            <v>1502.8490254426088</v>
          </cell>
          <cell r="Y43">
            <v>1425.290940124436</v>
          </cell>
          <cell r="AA43">
            <v>0</v>
          </cell>
          <cell r="AB43">
            <v>0</v>
          </cell>
          <cell r="AD43">
            <v>2749.8228909329519</v>
          </cell>
          <cell r="AE43">
            <v>2570.3213993282916</v>
          </cell>
          <cell r="AJ43">
            <v>9601.5110639297945</v>
          </cell>
          <cell r="AK43">
            <v>9562.0873980778088</v>
          </cell>
          <cell r="AM43">
            <v>0</v>
          </cell>
          <cell r="AN43">
            <v>0</v>
          </cell>
          <cell r="AP43">
            <v>552.42695835462905</v>
          </cell>
          <cell r="AQ43">
            <v>3019.0233249073908</v>
          </cell>
          <cell r="AS43">
            <v>11470.045882700299</v>
          </cell>
          <cell r="AT43">
            <v>0</v>
          </cell>
          <cell r="AV43">
            <v>53.40841260932612</v>
          </cell>
          <cell r="AW43">
            <v>3906</v>
          </cell>
          <cell r="AY43">
            <v>69.151720215382937</v>
          </cell>
          <cell r="AZ43">
            <v>0</v>
          </cell>
          <cell r="BB43">
            <v>137.42866535911875</v>
          </cell>
          <cell r="BC43">
            <v>0</v>
          </cell>
          <cell r="BE43">
            <v>51.28841910229302</v>
          </cell>
          <cell r="BF43">
            <v>0</v>
          </cell>
          <cell r="BH43">
            <v>26.384494126153122</v>
          </cell>
          <cell r="BI43">
            <v>0</v>
          </cell>
          <cell r="BK43">
            <v>44.991929303447613</v>
          </cell>
          <cell r="BL43">
            <v>0</v>
          </cell>
          <cell r="BN43">
            <v>0</v>
          </cell>
          <cell r="BO43">
            <v>0</v>
          </cell>
          <cell r="BT43">
            <v>6497.9047189565645</v>
          </cell>
          <cell r="BU43">
            <v>4569.7253112758217</v>
          </cell>
          <cell r="BW43">
            <v>7699.4429803204403</v>
          </cell>
          <cell r="BX43">
            <v>10795.24376914106</v>
          </cell>
          <cell r="BZ43">
            <v>670.83506697780592</v>
          </cell>
          <cell r="CA43">
            <v>4880.8595303732754</v>
          </cell>
          <cell r="CC43">
            <v>198.00022049939747</v>
          </cell>
          <cell r="CD43">
            <v>197.1876234553248</v>
          </cell>
          <cell r="CF43">
            <v>24.37502714481219</v>
          </cell>
          <cell r="CG43">
            <v>0</v>
          </cell>
          <cell r="CI43">
            <v>109.18556353362079</v>
          </cell>
          <cell r="CJ43">
            <v>158.43568401708467</v>
          </cell>
          <cell r="CL43">
            <v>789.8795624775081</v>
          </cell>
          <cell r="CM43">
            <v>461.3518405656888</v>
          </cell>
          <cell r="CX43">
            <v>544.74877730332082</v>
          </cell>
          <cell r="CY43">
            <v>1295.3893090266902</v>
          </cell>
        </row>
        <row r="44">
          <cell r="I44">
            <v>4353.7176469955293</v>
          </cell>
          <cell r="J44">
            <v>4390.0870456830999</v>
          </cell>
          <cell r="L44">
            <v>710.84243395378007</v>
          </cell>
          <cell r="M44">
            <v>807.65583414070852</v>
          </cell>
          <cell r="O44">
            <v>2088.58</v>
          </cell>
          <cell r="P44">
            <v>2088.2600000000002</v>
          </cell>
          <cell r="R44">
            <v>493.3</v>
          </cell>
          <cell r="S44">
            <v>492.7</v>
          </cell>
          <cell r="U44">
            <v>195.03873136964788</v>
          </cell>
          <cell r="V44">
            <v>134.37188173245298</v>
          </cell>
          <cell r="X44">
            <v>2756.495322043857</v>
          </cell>
          <cell r="Y44">
            <v>2669.6097489557342</v>
          </cell>
          <cell r="AA44">
            <v>0</v>
          </cell>
          <cell r="AB44">
            <v>0</v>
          </cell>
          <cell r="AD44">
            <v>6975.8338603892607</v>
          </cell>
          <cell r="AE44">
            <v>6520.4690486208438</v>
          </cell>
          <cell r="AJ44">
            <v>9264.4841968999954</v>
          </cell>
          <cell r="AK44">
            <v>9226.44369635576</v>
          </cell>
          <cell r="AM44">
            <v>0</v>
          </cell>
          <cell r="AN44">
            <v>0</v>
          </cell>
          <cell r="AP44">
            <v>1270.582004215647</v>
          </cell>
          <cell r="AQ44">
            <v>7311.2578981291826</v>
          </cell>
          <cell r="AS44">
            <v>27808.449636342415</v>
          </cell>
          <cell r="AT44">
            <v>36878</v>
          </cell>
          <cell r="AV44">
            <v>355.3379711336587</v>
          </cell>
          <cell r="AW44">
            <v>0</v>
          </cell>
          <cell r="AY44">
            <v>469.58280172270531</v>
          </cell>
          <cell r="AZ44">
            <v>0</v>
          </cell>
          <cell r="BB44">
            <v>919.72733484503044</v>
          </cell>
          <cell r="BC44">
            <v>0</v>
          </cell>
          <cell r="BE44">
            <v>270.25810971215151</v>
          </cell>
          <cell r="BF44">
            <v>0</v>
          </cell>
          <cell r="BH44">
            <v>98.941812127749259</v>
          </cell>
          <cell r="BI44">
            <v>0</v>
          </cell>
          <cell r="BK44">
            <v>275.07006865002995</v>
          </cell>
          <cell r="BL44">
            <v>5719</v>
          </cell>
          <cell r="BN44">
            <v>0</v>
          </cell>
          <cell r="BO44">
            <v>0</v>
          </cell>
          <cell r="BT44">
            <v>18207.294446422617</v>
          </cell>
          <cell r="BU44">
            <v>9658.1594962099061</v>
          </cell>
          <cell r="BW44">
            <v>11845.719334125222</v>
          </cell>
          <cell r="BX44">
            <v>14941.910015316862</v>
          </cell>
          <cell r="BZ44">
            <v>1233.4709296043527</v>
          </cell>
          <cell r="CA44">
            <v>8999.6876504136362</v>
          </cell>
          <cell r="CC44">
            <v>387.77943654775538</v>
          </cell>
          <cell r="CD44">
            <v>386.18798163373492</v>
          </cell>
          <cell r="CF44">
            <v>47.737998817432</v>
          </cell>
          <cell r="CG44">
            <v>0</v>
          </cell>
          <cell r="CI44">
            <v>7134.4966800397351</v>
          </cell>
          <cell r="CJ44">
            <v>1826.7366841071253</v>
          </cell>
          <cell r="CL44">
            <v>3210.0555678884512</v>
          </cell>
          <cell r="CM44">
            <v>3241.9199927612581</v>
          </cell>
          <cell r="CX44">
            <v>3014.4744113835477</v>
          </cell>
          <cell r="CY44">
            <v>-14889.118368872369</v>
          </cell>
        </row>
        <row r="45">
          <cell r="I45">
            <v>2906.2925569482009</v>
          </cell>
          <cell r="J45">
            <v>2930.8966290189815</v>
          </cell>
          <cell r="L45">
            <v>475.65393657303974</v>
          </cell>
          <cell r="M45">
            <v>558.17917794964023</v>
          </cell>
          <cell r="O45">
            <v>1413.28</v>
          </cell>
          <cell r="P45">
            <v>1413.52</v>
          </cell>
          <cell r="R45">
            <v>333.6</v>
          </cell>
          <cell r="S45">
            <v>333.62</v>
          </cell>
          <cell r="U45">
            <v>130.00964065633656</v>
          </cell>
          <cell r="V45">
            <v>89.569932287279713</v>
          </cell>
          <cell r="X45">
            <v>1691.0760126715447</v>
          </cell>
          <cell r="Y45">
            <v>1617.7584452227745</v>
          </cell>
          <cell r="AA45">
            <v>0</v>
          </cell>
          <cell r="AB45">
            <v>0</v>
          </cell>
          <cell r="AD45">
            <v>4690.5159280659282</v>
          </cell>
          <cell r="AE45">
            <v>4383.7842264196524</v>
          </cell>
          <cell r="AJ45">
            <v>4702.7782007695241</v>
          </cell>
          <cell r="AK45">
            <v>4683.4779007232091</v>
          </cell>
          <cell r="AM45">
            <v>0</v>
          </cell>
          <cell r="AN45">
            <v>0</v>
          </cell>
          <cell r="AP45">
            <v>852.31587860428476</v>
          </cell>
          <cell r="AQ45">
            <v>4764.3961846194761</v>
          </cell>
          <cell r="AS45">
            <v>21999.051572664823</v>
          </cell>
          <cell r="AT45">
            <v>31.197179141198113</v>
          </cell>
          <cell r="AV45">
            <v>237.6327308728423</v>
          </cell>
          <cell r="AW45">
            <v>0</v>
          </cell>
          <cell r="AY45">
            <v>313.4952251884107</v>
          </cell>
          <cell r="AZ45">
            <v>0</v>
          </cell>
          <cell r="BB45">
            <v>608.83264751210118</v>
          </cell>
          <cell r="BC45">
            <v>0</v>
          </cell>
          <cell r="BE45">
            <v>185.8924655995005</v>
          </cell>
          <cell r="BF45">
            <v>0</v>
          </cell>
          <cell r="BH45">
            <v>65.961235315382794</v>
          </cell>
          <cell r="BI45">
            <v>0</v>
          </cell>
          <cell r="BK45">
            <v>224.10163676469494</v>
          </cell>
          <cell r="BL45">
            <v>0</v>
          </cell>
          <cell r="BN45">
            <v>0</v>
          </cell>
          <cell r="BO45">
            <v>0</v>
          </cell>
          <cell r="BT45">
            <v>15117.309041736185</v>
          </cell>
          <cell r="BU45">
            <v>10269.879803288763</v>
          </cell>
          <cell r="BW45">
            <v>7578.5546224775535</v>
          </cell>
          <cell r="BX45">
            <v>11816.732512039143</v>
          </cell>
          <cell r="BZ45">
            <v>1060.3522026423384</v>
          </cell>
          <cell r="CA45">
            <v>9556.095014192395</v>
          </cell>
          <cell r="CC45">
            <v>375.52391411030817</v>
          </cell>
          <cell r="CD45">
            <v>373.98275611656953</v>
          </cell>
          <cell r="CF45">
            <v>46.229269729488692</v>
          </cell>
          <cell r="CG45">
            <v>0</v>
          </cell>
          <cell r="CI45">
            <v>3372.2741194241162</v>
          </cell>
          <cell r="CJ45">
            <v>3479.6691130492</v>
          </cell>
          <cell r="CL45">
            <v>1285.2700621671934</v>
          </cell>
          <cell r="CM45">
            <v>1046.9812689241508</v>
          </cell>
          <cell r="CX45">
            <v>1232.8765194074513</v>
          </cell>
          <cell r="CY45">
            <v>16012.391828409083</v>
          </cell>
        </row>
        <row r="46">
          <cell r="I46">
            <v>1926.546003696857</v>
          </cell>
          <cell r="J46">
            <v>2376.635088157499</v>
          </cell>
          <cell r="L46">
            <v>340.52688035073152</v>
          </cell>
          <cell r="M46">
            <v>416.86452516930206</v>
          </cell>
          <cell r="O46">
            <v>751.9</v>
          </cell>
          <cell r="P46">
            <v>751.9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>
            <v>1196.982628269664</v>
          </cell>
          <cell r="Y46">
            <v>1014.0112125855178</v>
          </cell>
          <cell r="AA46">
            <v>0</v>
          </cell>
          <cell r="AB46">
            <v>0</v>
          </cell>
          <cell r="AD46">
            <v>2456.3013089502729</v>
          </cell>
          <cell r="AE46">
            <v>2296.3018342336582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1680.9563161362285</v>
          </cell>
          <cell r="AQ46">
            <v>4811.5684240711544</v>
          </cell>
          <cell r="AS46">
            <v>7215.6825472452292</v>
          </cell>
          <cell r="AT46">
            <v>0</v>
          </cell>
          <cell r="AV46">
            <v>312.08924497789428</v>
          </cell>
          <cell r="AW46">
            <v>0</v>
          </cell>
          <cell r="AY46">
            <v>438.88707713804558</v>
          </cell>
          <cell r="AZ46">
            <v>0</v>
          </cell>
          <cell r="BB46">
            <v>418.3787489409853</v>
          </cell>
          <cell r="BC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166.257356798828</v>
          </cell>
          <cell r="BL46">
            <v>0</v>
          </cell>
          <cell r="BN46">
            <v>0</v>
          </cell>
          <cell r="BO46">
            <v>0</v>
          </cell>
          <cell r="BT46">
            <v>6613.7108670434091</v>
          </cell>
          <cell r="BU46">
            <v>5957.1119386163364</v>
          </cell>
          <cell r="BW46">
            <v>5107.9566969305752</v>
          </cell>
          <cell r="BX46">
            <v>6313.1066298903033</v>
          </cell>
          <cell r="BZ46">
            <v>3432.9468113931639</v>
          </cell>
          <cell r="CA46">
            <v>4892.7862115315911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917.15873368241455</v>
          </cell>
          <cell r="CJ46">
            <v>671.08615928256734</v>
          </cell>
          <cell r="CL46">
            <v>0</v>
          </cell>
          <cell r="CM46">
            <v>0</v>
          </cell>
          <cell r="CX46">
            <v>11.422534134835587</v>
          </cell>
          <cell r="CY46">
            <v>4181.3135717544865</v>
          </cell>
        </row>
        <row r="47"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94.701764289364974</v>
          </cell>
          <cell r="AQ47">
            <v>0</v>
          </cell>
          <cell r="AS47">
            <v>6.5640000000000001</v>
          </cell>
          <cell r="AT47">
            <v>0</v>
          </cell>
          <cell r="AV47">
            <v>0</v>
          </cell>
          <cell r="AW47">
            <v>0</v>
          </cell>
          <cell r="AY47">
            <v>0</v>
          </cell>
          <cell r="AZ47">
            <v>0</v>
          </cell>
          <cell r="BB47">
            <v>0</v>
          </cell>
          <cell r="BC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K47">
            <v>0</v>
          </cell>
          <cell r="BL47">
            <v>0</v>
          </cell>
          <cell r="BN47">
            <v>0</v>
          </cell>
          <cell r="BO47">
            <v>0</v>
          </cell>
          <cell r="BT47">
            <v>27.914845879897086</v>
          </cell>
          <cell r="BU47">
            <v>47.940562044374097</v>
          </cell>
          <cell r="BW47">
            <v>0</v>
          </cell>
          <cell r="BX47">
            <v>0.97871948808634524</v>
          </cell>
          <cell r="BZ47">
            <v>0</v>
          </cell>
          <cell r="CA47">
            <v>53.995794328471717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0</v>
          </cell>
          <cell r="CJ47">
            <v>0</v>
          </cell>
          <cell r="CL47">
            <v>0</v>
          </cell>
          <cell r="CM47">
            <v>0</v>
          </cell>
          <cell r="CX47">
            <v>11.963267796885532</v>
          </cell>
          <cell r="CY47">
            <v>43.481908966881406</v>
          </cell>
        </row>
        <row r="48"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215.62283103224388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78.91813690780414</v>
          </cell>
          <cell r="AQ48">
            <v>0</v>
          </cell>
          <cell r="AS48">
            <v>612.2526097829134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K48">
            <v>0</v>
          </cell>
          <cell r="BL48">
            <v>0</v>
          </cell>
          <cell r="BN48">
            <v>0</v>
          </cell>
          <cell r="BO48">
            <v>0</v>
          </cell>
          <cell r="BT48">
            <v>15.951340502798338</v>
          </cell>
          <cell r="BU48">
            <v>25.381604939580541</v>
          </cell>
          <cell r="BW48">
            <v>0</v>
          </cell>
          <cell r="BX48">
            <v>1.2973443828564699</v>
          </cell>
          <cell r="BZ48">
            <v>0</v>
          </cell>
          <cell r="CA48">
            <v>28.587481280998936</v>
          </cell>
          <cell r="CC48">
            <v>0</v>
          </cell>
          <cell r="CD48">
            <v>0</v>
          </cell>
          <cell r="CF48">
            <v>0</v>
          </cell>
          <cell r="CG48">
            <v>0</v>
          </cell>
          <cell r="CI48">
            <v>0</v>
          </cell>
          <cell r="CJ48">
            <v>0</v>
          </cell>
          <cell r="CL48">
            <v>0</v>
          </cell>
          <cell r="CM48">
            <v>0</v>
          </cell>
          <cell r="CX48">
            <v>21.233495367780961</v>
          </cell>
          <cell r="CY48">
            <v>544.71288603718403</v>
          </cell>
        </row>
        <row r="49">
          <cell r="I49">
            <v>1278.6362450629172</v>
          </cell>
          <cell r="J49">
            <v>1243.7296856174275</v>
          </cell>
          <cell r="L49">
            <v>294.46879922751515</v>
          </cell>
          <cell r="M49">
            <v>342.49433224964844</v>
          </cell>
          <cell r="O49">
            <v>552.96</v>
          </cell>
          <cell r="P49">
            <v>552.96</v>
          </cell>
          <cell r="R49">
            <v>108.48</v>
          </cell>
          <cell r="S49">
            <v>108.48</v>
          </cell>
          <cell r="U49">
            <v>88.645113504097054</v>
          </cell>
          <cell r="V49">
            <v>33.499267546060508</v>
          </cell>
          <cell r="X49">
            <v>967.70110311905819</v>
          </cell>
          <cell r="Y49">
            <v>538.46101895054971</v>
          </cell>
          <cell r="AA49">
            <v>0</v>
          </cell>
          <cell r="AB49">
            <v>0</v>
          </cell>
          <cell r="AD49">
            <v>1560.6072457605824</v>
          </cell>
          <cell r="AE49">
            <v>1458.6834967990321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236.75441072341243</v>
          </cell>
          <cell r="AQ49">
            <v>0</v>
          </cell>
          <cell r="AS49">
            <v>4876.9028539962819</v>
          </cell>
          <cell r="AT49">
            <v>623</v>
          </cell>
          <cell r="AV49">
            <v>240.97600204603114</v>
          </cell>
          <cell r="AW49">
            <v>0</v>
          </cell>
          <cell r="AY49">
            <v>351.66292323452029</v>
          </cell>
          <cell r="AZ49">
            <v>0</v>
          </cell>
          <cell r="BB49">
            <v>193.26395990750746</v>
          </cell>
          <cell r="BC49">
            <v>0</v>
          </cell>
          <cell r="BE49">
            <v>107.54409784126776</v>
          </cell>
          <cell r="BF49">
            <v>0</v>
          </cell>
          <cell r="BH49">
            <v>89.960355179059135</v>
          </cell>
          <cell r="BI49">
            <v>0</v>
          </cell>
          <cell r="BK49">
            <v>130.2465264345808</v>
          </cell>
          <cell r="BL49">
            <v>0</v>
          </cell>
          <cell r="BN49">
            <v>118.34437622421669</v>
          </cell>
          <cell r="BO49">
            <v>0</v>
          </cell>
          <cell r="BT49">
            <v>6348.3673242622444</v>
          </cell>
          <cell r="BU49">
            <v>4117.2724533893197</v>
          </cell>
          <cell r="BW49">
            <v>2934.5000493459806</v>
          </cell>
          <cell r="BX49">
            <v>3045.7604723830773</v>
          </cell>
          <cell r="BZ49">
            <v>822.31395306956858</v>
          </cell>
          <cell r="CA49">
            <v>5008.8382761940711</v>
          </cell>
          <cell r="CC49">
            <v>101.18159324356435</v>
          </cell>
          <cell r="CD49">
            <v>100.76634186971785</v>
          </cell>
          <cell r="CF49">
            <v>12.456067350060005</v>
          </cell>
          <cell r="CG49">
            <v>0</v>
          </cell>
          <cell r="CI49">
            <v>692.54843155610899</v>
          </cell>
          <cell r="CJ49">
            <v>293.59166871137626</v>
          </cell>
          <cell r="CL49">
            <v>0</v>
          </cell>
          <cell r="CM49">
            <v>0</v>
          </cell>
          <cell r="CX49">
            <v>1324.6942826937084</v>
          </cell>
          <cell r="CY49">
            <v>6893.8755835476622</v>
          </cell>
        </row>
        <row r="50">
          <cell r="I50">
            <v>924.36445027596199</v>
          </cell>
          <cell r="J50">
            <v>885.62564311856136</v>
          </cell>
          <cell r="L50">
            <v>226.46199146776917</v>
          </cell>
          <cell r="M50">
            <v>226.57017481469006</v>
          </cell>
          <cell r="O50">
            <v>283.3</v>
          </cell>
          <cell r="P50">
            <v>283.3</v>
          </cell>
          <cell r="R50">
            <v>55.46</v>
          </cell>
          <cell r="S50">
            <v>55.46</v>
          </cell>
          <cell r="U50">
            <v>0</v>
          </cell>
          <cell r="V50">
            <v>0</v>
          </cell>
          <cell r="X50">
            <v>475.34409908085331</v>
          </cell>
          <cell r="Y50">
            <v>281.7343783192016</v>
          </cell>
          <cell r="AA50">
            <v>0</v>
          </cell>
          <cell r="AB50">
            <v>0</v>
          </cell>
          <cell r="AD50">
            <v>836.01058137205086</v>
          </cell>
          <cell r="AE50">
            <v>781.43792258432472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284.10529286809492</v>
          </cell>
          <cell r="AQ50">
            <v>990.6170284852376</v>
          </cell>
          <cell r="AS50">
            <v>2348.1552161167724</v>
          </cell>
          <cell r="AT50">
            <v>0</v>
          </cell>
          <cell r="AV50">
            <v>135.60864137130488</v>
          </cell>
          <cell r="AW50">
            <v>0</v>
          </cell>
          <cell r="AY50">
            <v>264.84451108914089</v>
          </cell>
          <cell r="AZ50">
            <v>0</v>
          </cell>
          <cell r="BB50">
            <v>78.612730666321482</v>
          </cell>
          <cell r="BC50">
            <v>0</v>
          </cell>
          <cell r="BE50">
            <v>80.855039196896257</v>
          </cell>
          <cell r="BF50">
            <v>0</v>
          </cell>
          <cell r="BH50">
            <v>0</v>
          </cell>
          <cell r="BI50">
            <v>0</v>
          </cell>
          <cell r="BK50">
            <v>63.909261025478145</v>
          </cell>
          <cell r="BL50">
            <v>0</v>
          </cell>
          <cell r="BN50">
            <v>54.529073537159114</v>
          </cell>
          <cell r="BO50">
            <v>0</v>
          </cell>
          <cell r="BT50">
            <v>3083.8504256899096</v>
          </cell>
          <cell r="BU50">
            <v>2528.7192942557558</v>
          </cell>
          <cell r="BW50">
            <v>1315.9470971797632</v>
          </cell>
          <cell r="BX50">
            <v>2683.9420860257487</v>
          </cell>
          <cell r="BZ50">
            <v>1125.2717252530938</v>
          </cell>
          <cell r="CA50">
            <v>3587.8002838767884</v>
          </cell>
          <cell r="CC50">
            <v>99.759952640820472</v>
          </cell>
          <cell r="CD50">
            <v>99.350535709726643</v>
          </cell>
          <cell r="CF50">
            <v>12.281054775858582</v>
          </cell>
          <cell r="CG50">
            <v>0</v>
          </cell>
          <cell r="CI50">
            <v>271.40411506928592</v>
          </cell>
          <cell r="CJ50">
            <v>85.438128797384763</v>
          </cell>
          <cell r="CL50">
            <v>0</v>
          </cell>
          <cell r="CM50">
            <v>0</v>
          </cell>
          <cell r="CX50">
            <v>-0.13031041184149217</v>
          </cell>
          <cell r="CY50">
            <v>-564.03457118490314</v>
          </cell>
        </row>
        <row r="51">
          <cell r="I51">
            <v>1774.4772626132697</v>
          </cell>
          <cell r="J51">
            <v>1718.5051780221327</v>
          </cell>
          <cell r="L51">
            <v>334.70831114493518</v>
          </cell>
          <cell r="M51">
            <v>334.87190254078865</v>
          </cell>
          <cell r="O51">
            <v>687.92</v>
          </cell>
          <cell r="P51">
            <v>687.92</v>
          </cell>
          <cell r="R51">
            <v>148.96</v>
          </cell>
          <cell r="S51">
            <v>148.96</v>
          </cell>
          <cell r="U51">
            <v>118.22581795543685</v>
          </cell>
          <cell r="V51">
            <v>44.678110998583477</v>
          </cell>
          <cell r="X51">
            <v>1252.3001528107757</v>
          </cell>
          <cell r="Y51">
            <v>705.7565098468076</v>
          </cell>
          <cell r="AA51">
            <v>0</v>
          </cell>
          <cell r="AB51">
            <v>0</v>
          </cell>
          <cell r="AD51">
            <v>1954.8389131219933</v>
          </cell>
          <cell r="AE51">
            <v>1827.2319672676806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473.50882144682487</v>
          </cell>
          <cell r="AQ51">
            <v>0</v>
          </cell>
          <cell r="AS51">
            <v>9576.3677377268014</v>
          </cell>
          <cell r="AT51">
            <v>0</v>
          </cell>
          <cell r="AV51">
            <v>296.97430937581089</v>
          </cell>
          <cell r="AW51">
            <v>0</v>
          </cell>
          <cell r="AY51">
            <v>431.42874836421191</v>
          </cell>
          <cell r="AZ51">
            <v>0</v>
          </cell>
          <cell r="BB51">
            <v>225.25790184519559</v>
          </cell>
          <cell r="BC51">
            <v>0</v>
          </cell>
          <cell r="BE51">
            <v>134.01654655351942</v>
          </cell>
          <cell r="BF51">
            <v>0</v>
          </cell>
          <cell r="BH51">
            <v>119.94714023874553</v>
          </cell>
          <cell r="BI51">
            <v>0</v>
          </cell>
          <cell r="BK51">
            <v>185.68589968581432</v>
          </cell>
          <cell r="BL51">
            <v>0</v>
          </cell>
          <cell r="BN51">
            <v>39.854603062339315</v>
          </cell>
          <cell r="BO51">
            <v>0</v>
          </cell>
          <cell r="BT51">
            <v>2638.5371036827164</v>
          </cell>
          <cell r="BU51">
            <v>2501.1356580295947</v>
          </cell>
          <cell r="BW51">
            <v>2944.2932400040918</v>
          </cell>
          <cell r="BX51">
            <v>3056.5849857382254</v>
          </cell>
          <cell r="BZ51">
            <v>1298.3904522151083</v>
          </cell>
          <cell r="CA51">
            <v>2293.8511110149611</v>
          </cell>
          <cell r="CC51">
            <v>243.39467560770206</v>
          </cell>
          <cell r="CD51">
            <v>242.39577877090557</v>
          </cell>
          <cell r="CF51">
            <v>29.963359686554227</v>
          </cell>
          <cell r="CG51">
            <v>0</v>
          </cell>
          <cell r="CI51">
            <v>1060.6597600408875</v>
          </cell>
          <cell r="CJ51">
            <v>484.67494485083012</v>
          </cell>
          <cell r="CL51">
            <v>0</v>
          </cell>
          <cell r="CM51">
            <v>0</v>
          </cell>
          <cell r="CX51">
            <v>1558.2470913807228</v>
          </cell>
          <cell r="CY51">
            <v>15866.020623503389</v>
          </cell>
        </row>
        <row r="52">
          <cell r="I52">
            <v>0</v>
          </cell>
          <cell r="J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166.39661165231553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94.701764289364974</v>
          </cell>
          <cell r="AQ52">
            <v>0</v>
          </cell>
          <cell r="AS52">
            <v>541.63964571106783</v>
          </cell>
          <cell r="AT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B52">
            <v>0</v>
          </cell>
          <cell r="BC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K52">
            <v>0</v>
          </cell>
          <cell r="BL52">
            <v>0</v>
          </cell>
          <cell r="BN52">
            <v>0</v>
          </cell>
          <cell r="BO52">
            <v>0</v>
          </cell>
          <cell r="BT52">
            <v>0</v>
          </cell>
          <cell r="BU52">
            <v>0</v>
          </cell>
          <cell r="BW52">
            <v>0</v>
          </cell>
          <cell r="BX52">
            <v>1.0011635058311592</v>
          </cell>
          <cell r="BZ52">
            <v>0</v>
          </cell>
          <cell r="CA52">
            <v>0</v>
          </cell>
          <cell r="CC52">
            <v>0</v>
          </cell>
          <cell r="CD52">
            <v>0</v>
          </cell>
          <cell r="CF52">
            <v>0</v>
          </cell>
          <cell r="CG52">
            <v>0</v>
          </cell>
          <cell r="CI52">
            <v>0</v>
          </cell>
          <cell r="CJ52">
            <v>0</v>
          </cell>
          <cell r="CL52">
            <v>0</v>
          </cell>
          <cell r="CM52">
            <v>0</v>
          </cell>
          <cell r="CX52">
            <v>19.130307999480692</v>
          </cell>
          <cell r="CY52">
            <v>581.86266981022391</v>
          </cell>
        </row>
        <row r="53">
          <cell r="I53">
            <v>1104.1718947595289</v>
          </cell>
          <cell r="J53">
            <v>1379.7027410552751</v>
          </cell>
          <cell r="L53">
            <v>206.28899752640388</v>
          </cell>
          <cell r="M53">
            <v>252.53357114890525</v>
          </cell>
          <cell r="O53">
            <v>716.7</v>
          </cell>
          <cell r="P53">
            <v>716.7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>
            <v>887.98203486775833</v>
          </cell>
          <cell r="Y53">
            <v>760.56868170765506</v>
          </cell>
          <cell r="AA53">
            <v>0</v>
          </cell>
          <cell r="AB53">
            <v>0</v>
          </cell>
          <cell r="AD53">
            <v>2058.8556415530697</v>
          </cell>
          <cell r="AE53">
            <v>1924.1924164075967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228.86259703263201</v>
          </cell>
          <cell r="AQ53">
            <v>0</v>
          </cell>
          <cell r="AS53">
            <v>3968.7186887636053</v>
          </cell>
          <cell r="AT53">
            <v>3127.1156803434646</v>
          </cell>
          <cell r="AV53">
            <v>199.30110444818735</v>
          </cell>
          <cell r="AW53">
            <v>0</v>
          </cell>
          <cell r="AY53">
            <v>265.86888590663347</v>
          </cell>
          <cell r="AZ53">
            <v>0</v>
          </cell>
          <cell r="BB53">
            <v>339.09608183163061</v>
          </cell>
          <cell r="BC53">
            <v>0</v>
          </cell>
          <cell r="BE53">
            <v>0</v>
          </cell>
          <cell r="BF53">
            <v>0</v>
          </cell>
          <cell r="BH53">
            <v>0</v>
          </cell>
          <cell r="BI53">
            <v>0</v>
          </cell>
          <cell r="BK53">
            <v>122.47344089241105</v>
          </cell>
          <cell r="BL53">
            <v>0</v>
          </cell>
          <cell r="BN53">
            <v>0</v>
          </cell>
          <cell r="BO53">
            <v>0</v>
          </cell>
          <cell r="BT53">
            <v>5000.3184534389857</v>
          </cell>
          <cell r="BU53">
            <v>3982.5123901552806</v>
          </cell>
          <cell r="BW53">
            <v>2778.9371192187477</v>
          </cell>
          <cell r="BX53">
            <v>3643.627397195869</v>
          </cell>
          <cell r="BZ53">
            <v>1892.1901414312354</v>
          </cell>
          <cell r="CA53">
            <v>4667.9553594009612</v>
          </cell>
          <cell r="CC53">
            <v>0</v>
          </cell>
          <cell r="CD53">
            <v>0</v>
          </cell>
          <cell r="CF53">
            <v>0</v>
          </cell>
          <cell r="CG53">
            <v>0</v>
          </cell>
          <cell r="CI53">
            <v>483.53606707746354</v>
          </cell>
          <cell r="CJ53">
            <v>320.00088864392455</v>
          </cell>
          <cell r="CL53">
            <v>0</v>
          </cell>
          <cell r="CM53">
            <v>0</v>
          </cell>
          <cell r="CX53">
            <v>1217.0786215020526</v>
          </cell>
          <cell r="CY53">
            <v>591.14904872927946</v>
          </cell>
        </row>
        <row r="54">
          <cell r="I54">
            <v>2010.5870585823509</v>
          </cell>
          <cell r="J54">
            <v>2584.3964987126383</v>
          </cell>
          <cell r="L54">
            <v>380.72022052671252</v>
          </cell>
          <cell r="M54">
            <v>476.10124048054263</v>
          </cell>
          <cell r="O54">
            <v>807.92</v>
          </cell>
          <cell r="P54">
            <v>807.92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>
            <v>1243.2842644426239</v>
          </cell>
          <cell r="Y54">
            <v>1088.6576558806023</v>
          </cell>
          <cell r="AA54">
            <v>0</v>
          </cell>
          <cell r="AB54">
            <v>0</v>
          </cell>
          <cell r="AD54">
            <v>2294.3399368583928</v>
          </cell>
          <cell r="AE54">
            <v>2144.3662201224979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1894.0352857872995</v>
          </cell>
          <cell r="AQ54">
            <v>5448.3936566688062</v>
          </cell>
          <cell r="AS54">
            <v>4952.8335367596737</v>
          </cell>
          <cell r="AT54">
            <v>55587</v>
          </cell>
          <cell r="AV54">
            <v>318.0902693443374</v>
          </cell>
          <cell r="AW54">
            <v>0</v>
          </cell>
          <cell r="AY54">
            <v>490.73628415417375</v>
          </cell>
          <cell r="AZ54">
            <v>0</v>
          </cell>
          <cell r="BB54">
            <v>365.88444988692856</v>
          </cell>
          <cell r="BC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K54">
            <v>174.62873904711446</v>
          </cell>
          <cell r="BL54">
            <v>127</v>
          </cell>
          <cell r="BN54">
            <v>0</v>
          </cell>
          <cell r="BO54">
            <v>0</v>
          </cell>
          <cell r="BT54">
            <v>6121.5088890601883</v>
          </cell>
          <cell r="BU54">
            <v>5184.015628580848</v>
          </cell>
          <cell r="BW54">
            <v>3159.8576901785882</v>
          </cell>
          <cell r="BX54">
            <v>4000.9303903109999</v>
          </cell>
          <cell r="BZ54">
            <v>2681.7669477046475</v>
          </cell>
          <cell r="CA54">
            <v>6073.0705941287588</v>
          </cell>
          <cell r="CC54">
            <v>328.59506759283516</v>
          </cell>
          <cell r="CD54">
            <v>327.24650656623965</v>
          </cell>
          <cell r="CF54">
            <v>40.452044305936148</v>
          </cell>
          <cell r="CG54">
            <v>0</v>
          </cell>
          <cell r="CI54">
            <v>745.58141955815336</v>
          </cell>
          <cell r="CJ54">
            <v>220.57654481644019</v>
          </cell>
          <cell r="CL54">
            <v>0</v>
          </cell>
          <cell r="CM54">
            <v>0</v>
          </cell>
          <cell r="CX54">
            <v>1169.6134754520535</v>
          </cell>
          <cell r="CY54">
            <v>-66101.00992352204</v>
          </cell>
        </row>
        <row r="55">
          <cell r="I55">
            <v>899.77845885533634</v>
          </cell>
          <cell r="J55">
            <v>1113.8987800365348</v>
          </cell>
          <cell r="L55">
            <v>194.94628967187373</v>
          </cell>
          <cell r="M55">
            <v>238.64814887679239</v>
          </cell>
          <cell r="O55">
            <v>390.32</v>
          </cell>
          <cell r="P55">
            <v>390.32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548.47906295308962</v>
          </cell>
          <cell r="Y55">
            <v>453.12226659306123</v>
          </cell>
          <cell r="AA55">
            <v>0</v>
          </cell>
          <cell r="AB55">
            <v>0</v>
          </cell>
          <cell r="AD55">
            <v>1333.8456467829953</v>
          </cell>
          <cell r="AE55">
            <v>1246.6389047676237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875.99131967662606</v>
          </cell>
          <cell r="AQ55">
            <v>1979.9164063277615</v>
          </cell>
          <cell r="AS55">
            <v>3203.0702278670028</v>
          </cell>
          <cell r="AT55">
            <v>0</v>
          </cell>
          <cell r="AV55">
            <v>141.19134888296281</v>
          </cell>
          <cell r="AW55">
            <v>0</v>
          </cell>
          <cell r="AY55">
            <v>251.26294537068739</v>
          </cell>
          <cell r="AZ55">
            <v>0</v>
          </cell>
          <cell r="BB55">
            <v>238.9164663369109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K55">
            <v>70.039395863319015</v>
          </cell>
          <cell r="BL55">
            <v>0</v>
          </cell>
          <cell r="BN55">
            <v>0</v>
          </cell>
          <cell r="BO55">
            <v>0</v>
          </cell>
          <cell r="BT55">
            <v>1850.3408731043698</v>
          </cell>
          <cell r="BU55">
            <v>1769.2702112639461</v>
          </cell>
          <cell r="BW55">
            <v>1334.3614911240522</v>
          </cell>
          <cell r="BX55">
            <v>1925.9187913344169</v>
          </cell>
          <cell r="BZ55">
            <v>1080.2244591477311</v>
          </cell>
          <cell r="CA55">
            <v>2414.005725830908</v>
          </cell>
          <cell r="CC55">
            <v>86.965187216125557</v>
          </cell>
          <cell r="CD55">
            <v>86.608280269805931</v>
          </cell>
          <cell r="CF55">
            <v>10.705941608045761</v>
          </cell>
          <cell r="CG55">
            <v>0</v>
          </cell>
          <cell r="CI55">
            <v>720.62471932189726</v>
          </cell>
          <cell r="CJ55">
            <v>574.77583429257106</v>
          </cell>
          <cell r="CL55">
            <v>0</v>
          </cell>
          <cell r="CM55">
            <v>0</v>
          </cell>
          <cell r="CX55">
            <v>790.26339946037115</v>
          </cell>
          <cell r="CY55">
            <v>2035.7919804878948</v>
          </cell>
        </row>
        <row r="56">
          <cell r="I56">
            <v>1346.766002270316</v>
          </cell>
          <cell r="J56">
            <v>1686.3552670484621</v>
          </cell>
          <cell r="L56">
            <v>269.61123728666183</v>
          </cell>
          <cell r="M56">
            <v>330.05045026800508</v>
          </cell>
          <cell r="O56">
            <v>925.9</v>
          </cell>
          <cell r="P56">
            <v>925.9</v>
          </cell>
          <cell r="R56">
            <v>194.12</v>
          </cell>
          <cell r="S56">
            <v>194.12</v>
          </cell>
          <cell r="U56">
            <v>67.987120313120343</v>
          </cell>
          <cell r="V56">
            <v>220.98406546555111</v>
          </cell>
          <cell r="X56">
            <v>665.50686720275428</v>
          </cell>
          <cell r="Y56">
            <v>565.00393597050072</v>
          </cell>
          <cell r="AA56">
            <v>0</v>
          </cell>
          <cell r="AB56">
            <v>0</v>
          </cell>
          <cell r="AD56">
            <v>2586.8780775884347</v>
          </cell>
          <cell r="AE56">
            <v>2418.0132117610297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205.18715596029077</v>
          </cell>
          <cell r="AQ56">
            <v>0</v>
          </cell>
          <cell r="AS56">
            <v>7932.9238123057485</v>
          </cell>
          <cell r="AT56">
            <v>0</v>
          </cell>
          <cell r="AV56">
            <v>254.36667126777695</v>
          </cell>
          <cell r="AW56">
            <v>0</v>
          </cell>
          <cell r="AY56">
            <v>347.50294893846012</v>
          </cell>
          <cell r="AZ56">
            <v>0</v>
          </cell>
          <cell r="BB56">
            <v>428.65127600087555</v>
          </cell>
          <cell r="BC56">
            <v>0</v>
          </cell>
          <cell r="BE56">
            <v>164.11543594438629</v>
          </cell>
          <cell r="BF56">
            <v>0</v>
          </cell>
          <cell r="BH56">
            <v>68.97925660788097</v>
          </cell>
          <cell r="BI56">
            <v>0</v>
          </cell>
          <cell r="BK56">
            <v>73.753166691452407</v>
          </cell>
          <cell r="BL56">
            <v>0</v>
          </cell>
          <cell r="BN56">
            <v>0</v>
          </cell>
          <cell r="BO56">
            <v>0</v>
          </cell>
          <cell r="BT56">
            <v>2284.608499797233</v>
          </cell>
          <cell r="BU56">
            <v>2297.975604379993</v>
          </cell>
          <cell r="BW56">
            <v>2641.5643180941433</v>
          </cell>
          <cell r="BX56">
            <v>3530.7166745326003</v>
          </cell>
          <cell r="BZ56">
            <v>1436.8101838578243</v>
          </cell>
          <cell r="CA56">
            <v>2910.6534198324771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411.78555389822696</v>
          </cell>
          <cell r="CJ56">
            <v>411.67532272816118</v>
          </cell>
          <cell r="CL56">
            <v>0</v>
          </cell>
          <cell r="CM56">
            <v>0</v>
          </cell>
          <cell r="CX56">
            <v>669.5188991692994</v>
          </cell>
          <cell r="CY56">
            <v>8848.2024576158692</v>
          </cell>
        </row>
        <row r="57">
          <cell r="I57">
            <v>778.91177143626908</v>
          </cell>
          <cell r="J57">
            <v>960.28818670329611</v>
          </cell>
          <cell r="L57">
            <v>119.14799437597647</v>
          </cell>
          <cell r="M57">
            <v>145.85730525836843</v>
          </cell>
          <cell r="O57">
            <v>336.02</v>
          </cell>
          <cell r="P57">
            <v>336.02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494.95930459311847</v>
          </cell>
          <cell r="Y57">
            <v>639.04417101272782</v>
          </cell>
          <cell r="AA57">
            <v>0</v>
          </cell>
          <cell r="AB57">
            <v>0</v>
          </cell>
          <cell r="AD57">
            <v>1047.0798786227788</v>
          </cell>
          <cell r="AE57">
            <v>978.62664846570169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1010.152152419893</v>
          </cell>
          <cell r="AQ57">
            <v>0</v>
          </cell>
          <cell r="AS57">
            <v>2572.1818483559537</v>
          </cell>
          <cell r="AT57">
            <v>0</v>
          </cell>
          <cell r="AV57">
            <v>124.57062080146615</v>
          </cell>
          <cell r="AW57">
            <v>0</v>
          </cell>
          <cell r="AY57">
            <v>153.61481567386699</v>
          </cell>
          <cell r="AZ57">
            <v>0</v>
          </cell>
          <cell r="BB57">
            <v>187.39808963912321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60.056140153587386</v>
          </cell>
          <cell r="BL57">
            <v>1506</v>
          </cell>
          <cell r="BN57">
            <v>0</v>
          </cell>
          <cell r="BO57">
            <v>0</v>
          </cell>
          <cell r="BT57">
            <v>3640.4352898710845</v>
          </cell>
          <cell r="BU57">
            <v>2876.5637950534092</v>
          </cell>
          <cell r="BW57">
            <v>1221.3599418250965</v>
          </cell>
          <cell r="BX57">
            <v>1791.1438379139104</v>
          </cell>
          <cell r="BZ57">
            <v>1030.4528251461522</v>
          </cell>
          <cell r="CA57">
            <v>3286.4066584724992</v>
          </cell>
          <cell r="CC57">
            <v>162.94942632829839</v>
          </cell>
          <cell r="CD57">
            <v>162.28067847623163</v>
          </cell>
          <cell r="CF57">
            <v>20.060061953294309</v>
          </cell>
          <cell r="CG57">
            <v>0</v>
          </cell>
          <cell r="CI57">
            <v>639.51544355406463</v>
          </cell>
          <cell r="CJ57">
            <v>1074.89375879825</v>
          </cell>
          <cell r="CL57">
            <v>0</v>
          </cell>
          <cell r="CM57">
            <v>0</v>
          </cell>
          <cell r="CX57">
            <v>-3.2987257000258978</v>
          </cell>
          <cell r="CY57">
            <v>-193.21004818527308</v>
          </cell>
        </row>
        <row r="58">
          <cell r="I58">
            <v>242.61489492325532</v>
          </cell>
          <cell r="J58">
            <v>295.86650974164206</v>
          </cell>
          <cell r="L58">
            <v>47.738284400156573</v>
          </cell>
          <cell r="M58">
            <v>58.439516345240321</v>
          </cell>
          <cell r="O58">
            <v>64.08</v>
          </cell>
          <cell r="P58">
            <v>64.08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>
            <v>160.71800817894464</v>
          </cell>
          <cell r="Y58">
            <v>130.29406572034392</v>
          </cell>
          <cell r="AA58">
            <v>0</v>
          </cell>
          <cell r="AB58">
            <v>0</v>
          </cell>
          <cell r="AD58">
            <v>180.65388227787005</v>
          </cell>
          <cell r="AE58">
            <v>168.86125321802234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94.701764289364974</v>
          </cell>
          <cell r="AQ58">
            <v>282.84520090396592</v>
          </cell>
          <cell r="AS58">
            <v>840.80559216705501</v>
          </cell>
          <cell r="AT58">
            <v>0</v>
          </cell>
          <cell r="AV58">
            <v>51.794461945442009</v>
          </cell>
          <cell r="AW58">
            <v>0</v>
          </cell>
          <cell r="AY58">
            <v>61.550813104250835</v>
          </cell>
          <cell r="AZ58">
            <v>0</v>
          </cell>
          <cell r="BB58">
            <v>12.103661341664061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13.131198850039331</v>
          </cell>
          <cell r="BL58">
            <v>0</v>
          </cell>
          <cell r="BN58">
            <v>0</v>
          </cell>
          <cell r="BO58">
            <v>0</v>
          </cell>
          <cell r="BT58">
            <v>0</v>
          </cell>
          <cell r="BU58">
            <v>0</v>
          </cell>
          <cell r="BW58">
            <v>31.459001284102019</v>
          </cell>
          <cell r="BX58">
            <v>192.07830665761122</v>
          </cell>
          <cell r="BZ58">
            <v>0</v>
          </cell>
          <cell r="CA58">
            <v>0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40.554637883916286</v>
          </cell>
          <cell r="CJ58">
            <v>3.1067846770966563</v>
          </cell>
          <cell r="CL58">
            <v>0</v>
          </cell>
          <cell r="CM58">
            <v>0</v>
          </cell>
          <cell r="CX58">
            <v>33.132559224727174</v>
          </cell>
          <cell r="CY58">
            <v>808.73403528329334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133.62354002183542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P59">
            <v>94.701764289364974</v>
          </cell>
          <cell r="AQ59">
            <v>0</v>
          </cell>
          <cell r="AS59">
            <v>449.68071273131363</v>
          </cell>
          <cell r="AT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N59">
            <v>0</v>
          </cell>
          <cell r="BO59">
            <v>0</v>
          </cell>
          <cell r="BT59">
            <v>27.914845879897086</v>
          </cell>
          <cell r="BU59">
            <v>52.785737067866712</v>
          </cell>
          <cell r="BW59">
            <v>0</v>
          </cell>
          <cell r="BX59">
            <v>0.80397677850172355</v>
          </cell>
          <cell r="BZ59">
            <v>0</v>
          </cell>
          <cell r="CA59">
            <v>62.531283177601587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I59">
            <v>0</v>
          </cell>
          <cell r="CJ59">
            <v>0</v>
          </cell>
          <cell r="CL59">
            <v>0</v>
          </cell>
          <cell r="CM59">
            <v>0</v>
          </cell>
          <cell r="CX59">
            <v>17.183212519309336</v>
          </cell>
          <cell r="CY59">
            <v>404.24655554503357</v>
          </cell>
        </row>
        <row r="60"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55.820800866549391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47.350882144682487</v>
          </cell>
          <cell r="AQ60">
            <v>0</v>
          </cell>
          <cell r="AS60">
            <v>190.93821728022763</v>
          </cell>
          <cell r="AT60">
            <v>0</v>
          </cell>
          <cell r="AV60">
            <v>0</v>
          </cell>
          <cell r="AW60">
            <v>0</v>
          </cell>
          <cell r="AY60">
            <v>0</v>
          </cell>
          <cell r="AZ60">
            <v>0</v>
          </cell>
          <cell r="BB60">
            <v>0</v>
          </cell>
          <cell r="BC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K60">
            <v>0</v>
          </cell>
          <cell r="BL60">
            <v>0</v>
          </cell>
          <cell r="BN60">
            <v>0</v>
          </cell>
          <cell r="BO60">
            <v>0</v>
          </cell>
          <cell r="BT60">
            <v>11.963505377098754</v>
          </cell>
          <cell r="BU60">
            <v>26.381755747182225</v>
          </cell>
          <cell r="BW60">
            <v>0</v>
          </cell>
          <cell r="BX60">
            <v>0.33585869410989244</v>
          </cell>
          <cell r="BZ60">
            <v>0</v>
          </cell>
          <cell r="CA60">
            <v>31.265056705287574</v>
          </cell>
          <cell r="CC60">
            <v>0</v>
          </cell>
          <cell r="CD60">
            <v>0</v>
          </cell>
          <cell r="CF60">
            <v>0</v>
          </cell>
          <cell r="CG60">
            <v>0</v>
          </cell>
          <cell r="CI60">
            <v>0</v>
          </cell>
          <cell r="CJ60">
            <v>0</v>
          </cell>
          <cell r="CL60">
            <v>0</v>
          </cell>
          <cell r="CM60">
            <v>0</v>
          </cell>
          <cell r="CX60">
            <v>7.4968742375893953</v>
          </cell>
          <cell r="CY60">
            <v>171.23583358424514</v>
          </cell>
        </row>
        <row r="61">
          <cell r="I61">
            <v>1042.9318580776642</v>
          </cell>
          <cell r="J61">
            <v>1286.302977921669</v>
          </cell>
          <cell r="L61">
            <v>194.40384537113721</v>
          </cell>
          <cell r="M61">
            <v>237.98406346377828</v>
          </cell>
          <cell r="O61">
            <v>399.14</v>
          </cell>
          <cell r="P61">
            <v>399.14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>
            <v>516.65099587113502</v>
          </cell>
          <cell r="Y61">
            <v>424.22647758194591</v>
          </cell>
          <cell r="AA61">
            <v>0</v>
          </cell>
          <cell r="AB61">
            <v>0</v>
          </cell>
          <cell r="AD61">
            <v>1350.307598185831</v>
          </cell>
          <cell r="AE61">
            <v>1262.0262615697393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781.28955538726109</v>
          </cell>
          <cell r="AQ61">
            <v>1910.4756977929583</v>
          </cell>
          <cell r="AS61">
            <v>3798.1378183901502</v>
          </cell>
          <cell r="AT61">
            <v>36.516929341575825</v>
          </cell>
          <cell r="AV61">
            <v>172.97663207927951</v>
          </cell>
          <cell r="AW61">
            <v>0</v>
          </cell>
          <cell r="AY61">
            <v>250.58315269130659</v>
          </cell>
          <cell r="AZ61">
            <v>0</v>
          </cell>
          <cell r="BB61">
            <v>245.82574354996487</v>
          </cell>
          <cell r="BC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K61">
            <v>65.725579801306026</v>
          </cell>
          <cell r="BL61">
            <v>0</v>
          </cell>
          <cell r="BN61">
            <v>0</v>
          </cell>
          <cell r="BO61">
            <v>0</v>
          </cell>
          <cell r="BT61">
            <v>1555.6207516672716</v>
          </cell>
          <cell r="BU61">
            <v>1492.0219339027701</v>
          </cell>
          <cell r="BW61">
            <v>1299.4342977627225</v>
          </cell>
          <cell r="BX61">
            <v>1857.3178518432314</v>
          </cell>
          <cell r="BZ61">
            <v>870.46063115447839</v>
          </cell>
          <cell r="CA61">
            <v>2146.7522506599075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486.65565460699548</v>
          </cell>
          <cell r="CJ61">
            <v>34.177731802516661</v>
          </cell>
          <cell r="CL61">
            <v>0</v>
          </cell>
          <cell r="CM61">
            <v>0</v>
          </cell>
          <cell r="CX61">
            <v>543.80706248419847</v>
          </cell>
          <cell r="CY61">
            <v>2875.6493889438889</v>
          </cell>
        </row>
        <row r="62">
          <cell r="I62">
            <v>599.7820158470247</v>
          </cell>
          <cell r="J62">
            <v>732.70736222440007</v>
          </cell>
          <cell r="L62">
            <v>133.00565640834853</v>
          </cell>
          <cell r="M62">
            <v>162.82166899081938</v>
          </cell>
          <cell r="O62">
            <v>189.66</v>
          </cell>
          <cell r="P62">
            <v>189.66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>
            <v>391.21773853144077</v>
          </cell>
          <cell r="Y62">
            <v>305.35824994697515</v>
          </cell>
          <cell r="AA62">
            <v>0</v>
          </cell>
          <cell r="AB62">
            <v>0</v>
          </cell>
          <cell r="AD62">
            <v>603.9612040650685</v>
          </cell>
          <cell r="AE62">
            <v>564.5361424152818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402.48249822980114</v>
          </cell>
          <cell r="AQ62">
            <v>1132.1337468402714</v>
          </cell>
          <cell r="AS62">
            <v>1683.3915846033244</v>
          </cell>
          <cell r="AT62">
            <v>49.365478554352499</v>
          </cell>
          <cell r="AV62">
            <v>105.50314275515966</v>
          </cell>
          <cell r="AW62">
            <v>0</v>
          </cell>
          <cell r="AY62">
            <v>171.45470659650391</v>
          </cell>
          <cell r="AZ62">
            <v>0</v>
          </cell>
          <cell r="BB62">
            <v>87.527632979009326</v>
          </cell>
          <cell r="BC62">
            <v>0</v>
          </cell>
          <cell r="BE62">
            <v>0</v>
          </cell>
          <cell r="BF62">
            <v>0</v>
          </cell>
          <cell r="BH62">
            <v>0</v>
          </cell>
          <cell r="BI62">
            <v>0</v>
          </cell>
          <cell r="BK62">
            <v>41.778843913608405</v>
          </cell>
          <cell r="BL62">
            <v>0</v>
          </cell>
          <cell r="BN62">
            <v>0</v>
          </cell>
          <cell r="BO62">
            <v>0</v>
          </cell>
          <cell r="BT62">
            <v>2170.9213886355342</v>
          </cell>
          <cell r="BU62">
            <v>1791.2359030544362</v>
          </cell>
          <cell r="BW62">
            <v>1077.1597071967265</v>
          </cell>
          <cell r="BX62">
            <v>1532.201079955094</v>
          </cell>
          <cell r="BZ62">
            <v>566.34955270334569</v>
          </cell>
          <cell r="CA62">
            <v>1732.7065773838949</v>
          </cell>
          <cell r="CC62">
            <v>136.28140950441323</v>
          </cell>
          <cell r="CD62">
            <v>135.72210775087967</v>
          </cell>
          <cell r="CF62">
            <v>16.777067457929661</v>
          </cell>
          <cell r="CG62">
            <v>0</v>
          </cell>
          <cell r="CI62">
            <v>308.83916542367018</v>
          </cell>
          <cell r="CJ62">
            <v>256.32265400403014</v>
          </cell>
          <cell r="CL62">
            <v>0</v>
          </cell>
          <cell r="CM62">
            <v>0</v>
          </cell>
          <cell r="CX62">
            <v>0.10802217890886823</v>
          </cell>
          <cell r="CY62">
            <v>121.69483465547819</v>
          </cell>
        </row>
        <row r="63">
          <cell r="I63">
            <v>1368.0478903158062</v>
          </cell>
          <cell r="J63">
            <v>1697.474001602614</v>
          </cell>
          <cell r="L63">
            <v>215.01852599342138</v>
          </cell>
          <cell r="M63">
            <v>263.21930915831388</v>
          </cell>
          <cell r="O63">
            <v>672.92</v>
          </cell>
          <cell r="P63">
            <v>672.92</v>
          </cell>
          <cell r="R63">
            <v>145.9</v>
          </cell>
          <cell r="S63">
            <v>145.9</v>
          </cell>
          <cell r="U63">
            <v>69.466216803674769</v>
          </cell>
          <cell r="V63">
            <v>225.79155057357619</v>
          </cell>
          <cell r="X63">
            <v>576.55334155569881</v>
          </cell>
          <cell r="Y63">
            <v>451.11882190305113</v>
          </cell>
          <cell r="AA63">
            <v>0</v>
          </cell>
          <cell r="AB63">
            <v>0</v>
          </cell>
          <cell r="AD63">
            <v>1921.5586910218888</v>
          </cell>
          <cell r="AE63">
            <v>1796.124193992408</v>
          </cell>
          <cell r="AJ63">
            <v>3553.2101961369735</v>
          </cell>
          <cell r="AK63">
            <v>3538.6277472130914</v>
          </cell>
          <cell r="AM63">
            <v>0</v>
          </cell>
          <cell r="AN63">
            <v>0</v>
          </cell>
          <cell r="AP63">
            <v>307.78073394043616</v>
          </cell>
          <cell r="AQ63">
            <v>0</v>
          </cell>
          <cell r="AS63">
            <v>6555.680786383632</v>
          </cell>
          <cell r="AT63">
            <v>0</v>
          </cell>
          <cell r="AV63">
            <v>106.72721825659063</v>
          </cell>
          <cell r="AW63">
            <v>463</v>
          </cell>
          <cell r="AY63">
            <v>142.40885198567582</v>
          </cell>
          <cell r="AZ63">
            <v>2144</v>
          </cell>
          <cell r="BB63">
            <v>152.44260063250758</v>
          </cell>
          <cell r="BC63">
            <v>0</v>
          </cell>
          <cell r="BE63">
            <v>86.385768771972465</v>
          </cell>
          <cell r="BF63">
            <v>0</v>
          </cell>
          <cell r="BH63">
            <v>35.219944932571877</v>
          </cell>
          <cell r="BI63">
            <v>0</v>
          </cell>
          <cell r="BK63">
            <v>103.56430512559632</v>
          </cell>
          <cell r="BL63">
            <v>0</v>
          </cell>
          <cell r="BN63">
            <v>0</v>
          </cell>
          <cell r="BO63">
            <v>0</v>
          </cell>
          <cell r="BT63">
            <v>5875.9117312974586</v>
          </cell>
          <cell r="BU63">
            <v>4190.6308107261975</v>
          </cell>
          <cell r="BW63">
            <v>4463.2329351666622</v>
          </cell>
          <cell r="BX63">
            <v>5554.0606468829765</v>
          </cell>
          <cell r="BZ63">
            <v>1081.9920435125903</v>
          </cell>
          <cell r="CA63">
            <v>3900.4926167920798</v>
          </cell>
          <cell r="CC63">
            <v>140.69339758189423</v>
          </cell>
          <cell r="CD63">
            <v>140.11598893705923</v>
          </cell>
          <cell r="CF63">
            <v>17.320209929589254</v>
          </cell>
          <cell r="CG63">
            <v>0</v>
          </cell>
          <cell r="CI63">
            <v>1606.5875777089918</v>
          </cell>
          <cell r="CJ63">
            <v>714.59147927676531</v>
          </cell>
          <cell r="CL63">
            <v>471.05771695933538</v>
          </cell>
          <cell r="CM63">
            <v>2128.080329464718</v>
          </cell>
          <cell r="CX63">
            <v>177.90317918443907</v>
          </cell>
          <cell r="CY63">
            <v>2150.1430041725744</v>
          </cell>
        </row>
        <row r="64">
          <cell r="I64">
            <v>910.76891337889401</v>
          </cell>
          <cell r="J64">
            <v>1130.8980846600477</v>
          </cell>
          <cell r="L64">
            <v>194.40384537113721</v>
          </cell>
          <cell r="M64">
            <v>237.98406346377828</v>
          </cell>
          <cell r="O64">
            <v>442.66</v>
          </cell>
          <cell r="P64">
            <v>442.66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>
            <v>564.40132585881236</v>
          </cell>
          <cell r="Y64">
            <v>459.57121207521152</v>
          </cell>
          <cell r="AA64">
            <v>0</v>
          </cell>
          <cell r="AB64">
            <v>0</v>
          </cell>
          <cell r="AD64">
            <v>1326.3629415998882</v>
          </cell>
          <cell r="AE64">
            <v>1292.2715236408808</v>
          </cell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P64">
            <v>536.64333097306826</v>
          </cell>
          <cell r="AQ64">
            <v>0</v>
          </cell>
          <cell r="AS64">
            <v>3781.5843644521588</v>
          </cell>
          <cell r="AT64">
            <v>0</v>
          </cell>
          <cell r="AV64">
            <v>149.96382133002803</v>
          </cell>
          <cell r="AW64">
            <v>0</v>
          </cell>
          <cell r="AY64">
            <v>250.58315269130659</v>
          </cell>
          <cell r="AZ64">
            <v>0</v>
          </cell>
          <cell r="BB64">
            <v>189.22455054922412</v>
          </cell>
          <cell r="BC64">
            <v>1396</v>
          </cell>
          <cell r="BE64">
            <v>0</v>
          </cell>
          <cell r="BF64">
            <v>0</v>
          </cell>
          <cell r="BH64">
            <v>0</v>
          </cell>
          <cell r="BI64">
            <v>639</v>
          </cell>
          <cell r="BK64">
            <v>69.694329510959818</v>
          </cell>
          <cell r="BL64">
            <v>0</v>
          </cell>
          <cell r="BN64">
            <v>0</v>
          </cell>
          <cell r="BO64">
            <v>0</v>
          </cell>
          <cell r="BT64">
            <v>4252.7385324115112</v>
          </cell>
          <cell r="BU64">
            <v>3238.7940827535535</v>
          </cell>
          <cell r="BW64">
            <v>1277.0347140781084</v>
          </cell>
          <cell r="BX64">
            <v>2925.5429740083373</v>
          </cell>
          <cell r="BZ64">
            <v>1055.0056852432697</v>
          </cell>
          <cell r="CA64">
            <v>3662.0687306909008</v>
          </cell>
          <cell r="CC64">
            <v>131.86942142693221</v>
          </cell>
          <cell r="CD64">
            <v>131.32822656470012</v>
          </cell>
          <cell r="CF64">
            <v>16.233924986270065</v>
          </cell>
          <cell r="CG64">
            <v>0</v>
          </cell>
          <cell r="CI64">
            <v>745.58141955815336</v>
          </cell>
          <cell r="CJ64">
            <v>512.6401407506379</v>
          </cell>
          <cell r="CL64">
            <v>0</v>
          </cell>
          <cell r="CM64">
            <v>0</v>
          </cell>
          <cell r="CX64">
            <v>1139.0148718963355</v>
          </cell>
          <cell r="CY64">
            <v>930.2091536703465</v>
          </cell>
        </row>
        <row r="65"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200.30208616433652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63.134509526243313</v>
          </cell>
          <cell r="AQ65">
            <v>0</v>
          </cell>
          <cell r="AS65">
            <v>674.80434284954276</v>
          </cell>
          <cell r="AT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T65">
            <v>0</v>
          </cell>
          <cell r="BU65">
            <v>0</v>
          </cell>
          <cell r="BW65">
            <v>0</v>
          </cell>
          <cell r="BX65">
            <v>1.2051635956902704</v>
          </cell>
          <cell r="BZ65">
            <v>0</v>
          </cell>
          <cell r="CA65">
            <v>0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0</v>
          </cell>
          <cell r="CJ65">
            <v>0</v>
          </cell>
          <cell r="CL65">
            <v>0</v>
          </cell>
          <cell r="CM65">
            <v>0</v>
          </cell>
          <cell r="CX65">
            <v>22.173377149056819</v>
          </cell>
          <cell r="CY65">
            <v>665.89130028796785</v>
          </cell>
        </row>
        <row r="66"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195.50602690133945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94.701764289364974</v>
          </cell>
          <cell r="AQ66">
            <v>0</v>
          </cell>
          <cell r="AS66">
            <v>729.82033441028</v>
          </cell>
          <cell r="AT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B66">
            <v>0</v>
          </cell>
          <cell r="BC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K66">
            <v>0</v>
          </cell>
          <cell r="BL66">
            <v>0</v>
          </cell>
          <cell r="BN66">
            <v>0</v>
          </cell>
          <cell r="BO66">
            <v>0</v>
          </cell>
          <cell r="BT66">
            <v>0</v>
          </cell>
          <cell r="BU66">
            <v>0</v>
          </cell>
          <cell r="BW66">
            <v>0</v>
          </cell>
          <cell r="BX66">
            <v>1.1763070014469383</v>
          </cell>
          <cell r="BZ66">
            <v>0</v>
          </cell>
          <cell r="CA66">
            <v>0</v>
          </cell>
          <cell r="CC66">
            <v>0</v>
          </cell>
          <cell r="CD66">
            <v>0</v>
          </cell>
          <cell r="CF66">
            <v>0</v>
          </cell>
          <cell r="CG66">
            <v>0</v>
          </cell>
          <cell r="CI66">
            <v>0</v>
          </cell>
          <cell r="CJ66">
            <v>0</v>
          </cell>
          <cell r="CL66">
            <v>0</v>
          </cell>
          <cell r="CM66">
            <v>0</v>
          </cell>
          <cell r="CX66">
            <v>14.813481560426112</v>
          </cell>
          <cell r="CY66">
            <v>768.22119931665634</v>
          </cell>
        </row>
        <row r="67">
          <cell r="I67">
            <v>2347.6975260114577</v>
          </cell>
          <cell r="J67">
            <v>2452.1517567822057</v>
          </cell>
          <cell r="L67">
            <v>392.40867719068791</v>
          </cell>
          <cell r="M67">
            <v>446.22832916475681</v>
          </cell>
          <cell r="O67">
            <v>2124.54</v>
          </cell>
          <cell r="P67">
            <v>2124.54</v>
          </cell>
          <cell r="R67">
            <v>461.52</v>
          </cell>
          <cell r="S67">
            <v>461.52</v>
          </cell>
          <cell r="U67">
            <v>384.16124015837795</v>
          </cell>
          <cell r="V67">
            <v>171.99005745665846</v>
          </cell>
          <cell r="X67">
            <v>3318.3688345038936</v>
          </cell>
          <cell r="Y67">
            <v>1931.7293865112204</v>
          </cell>
          <cell r="AA67">
            <v>0</v>
          </cell>
          <cell r="AB67">
            <v>0</v>
          </cell>
          <cell r="AD67">
            <v>6016.8432377363724</v>
          </cell>
          <cell r="AE67">
            <v>5623.1564034625626</v>
          </cell>
          <cell r="AJ67">
            <v>17507.437174486666</v>
          </cell>
          <cell r="AK67">
            <v>17435.558549030691</v>
          </cell>
          <cell r="AM67">
            <v>263.07035981182185</v>
          </cell>
          <cell r="AN67">
            <v>0</v>
          </cell>
          <cell r="AP67">
            <v>1104.8539167092581</v>
          </cell>
          <cell r="AQ67">
            <v>5798.3266185313014</v>
          </cell>
          <cell r="AS67">
            <v>27894.71780304578</v>
          </cell>
          <cell r="AT67">
            <v>1959.4170610280939</v>
          </cell>
          <cell r="AV67">
            <v>79.668368280872841</v>
          </cell>
          <cell r="AW67">
            <v>0</v>
          </cell>
          <cell r="AY67">
            <v>107.26776403088104</v>
          </cell>
          <cell r="AZ67">
            <v>0</v>
          </cell>
          <cell r="BB67">
            <v>219.57380665742699</v>
          </cell>
          <cell r="BC67">
            <v>0</v>
          </cell>
          <cell r="BE67">
            <v>90.336393042483721</v>
          </cell>
          <cell r="BF67">
            <v>0</v>
          </cell>
          <cell r="BH67">
            <v>77.955933001127377</v>
          </cell>
          <cell r="BI67">
            <v>0</v>
          </cell>
          <cell r="BK67">
            <v>123.81884893767143</v>
          </cell>
          <cell r="BL67">
            <v>3022</v>
          </cell>
          <cell r="BN67">
            <v>232.74222385317006</v>
          </cell>
          <cell r="BO67">
            <v>0</v>
          </cell>
          <cell r="BT67">
            <v>16382.728790387599</v>
          </cell>
          <cell r="BU67">
            <v>13710.897820483267</v>
          </cell>
          <cell r="BW67">
            <v>14646.095343258816</v>
          </cell>
          <cell r="BX67">
            <v>16634.727424042689</v>
          </cell>
          <cell r="BZ67">
            <v>649.19522610755416</v>
          </cell>
          <cell r="CA67">
            <v>13650.762913276059</v>
          </cell>
          <cell r="CC67">
            <v>708.61430733319889</v>
          </cell>
          <cell r="CD67">
            <v>705.70613940250564</v>
          </cell>
          <cell r="CF67">
            <v>87.234715864882446</v>
          </cell>
          <cell r="CG67">
            <v>0</v>
          </cell>
          <cell r="CI67">
            <v>2870.0205271694608</v>
          </cell>
          <cell r="CJ67">
            <v>1756.843846661553</v>
          </cell>
          <cell r="CL67">
            <v>2657.8885751612834</v>
          </cell>
          <cell r="CM67">
            <v>2429.4715135905972</v>
          </cell>
          <cell r="CX67">
            <v>2247.8684887111449</v>
          </cell>
          <cell r="CY67">
            <v>14768.346616691029</v>
          </cell>
        </row>
        <row r="68"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116.50427293030418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118.37720536170622</v>
          </cell>
          <cell r="AQ68">
            <v>0</v>
          </cell>
          <cell r="AS68">
            <v>543.55058287898601</v>
          </cell>
          <cell r="AT68">
            <v>0</v>
          </cell>
          <cell r="AV68">
            <v>0</v>
          </cell>
          <cell r="AW68">
            <v>0</v>
          </cell>
          <cell r="AY68">
            <v>0</v>
          </cell>
          <cell r="AZ68">
            <v>0</v>
          </cell>
          <cell r="BB68">
            <v>0</v>
          </cell>
          <cell r="BC68">
            <v>0</v>
          </cell>
          <cell r="BE68">
            <v>0</v>
          </cell>
          <cell r="BF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N68">
            <v>0</v>
          </cell>
          <cell r="BO68">
            <v>0</v>
          </cell>
          <cell r="BT68">
            <v>0</v>
          </cell>
          <cell r="BU68">
            <v>0</v>
          </cell>
          <cell r="BW68">
            <v>0</v>
          </cell>
          <cell r="BX68">
            <v>0.70097476849427443</v>
          </cell>
          <cell r="BZ68">
            <v>0</v>
          </cell>
          <cell r="CA68">
            <v>0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0</v>
          </cell>
          <cell r="CJ68">
            <v>0</v>
          </cell>
          <cell r="CL68">
            <v>0</v>
          </cell>
          <cell r="CM68">
            <v>0</v>
          </cell>
          <cell r="CX68">
            <v>11.90665411116936</v>
          </cell>
          <cell r="CY68">
            <v>665.57370276144184</v>
          </cell>
        </row>
        <row r="69"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91.191737931152886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P69">
            <v>55.242695835462904</v>
          </cell>
          <cell r="AQ69">
            <v>0</v>
          </cell>
          <cell r="AS69">
            <v>339.49057757246862</v>
          </cell>
          <cell r="AT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H69">
            <v>0</v>
          </cell>
          <cell r="BI69">
            <v>0</v>
          </cell>
          <cell r="BK69">
            <v>0</v>
          </cell>
          <cell r="BL69">
            <v>0</v>
          </cell>
          <cell r="BN69">
            <v>0</v>
          </cell>
          <cell r="BO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0.54867607665446627</v>
          </cell>
          <cell r="BZ69">
            <v>0</v>
          </cell>
          <cell r="CA69">
            <v>0</v>
          </cell>
          <cell r="CC69">
            <v>0</v>
          </cell>
          <cell r="CD69">
            <v>0</v>
          </cell>
          <cell r="CF69">
            <v>0</v>
          </cell>
          <cell r="CG69">
            <v>0</v>
          </cell>
          <cell r="CI69">
            <v>0</v>
          </cell>
          <cell r="CJ69">
            <v>0</v>
          </cell>
          <cell r="CL69">
            <v>0</v>
          </cell>
          <cell r="CM69">
            <v>0</v>
          </cell>
          <cell r="CX69">
            <v>11.860071910482247</v>
          </cell>
          <cell r="CY69">
            <v>375.45150319063123</v>
          </cell>
        </row>
        <row r="70">
          <cell r="I70">
            <v>3198.5741164837109</v>
          </cell>
          <cell r="J70">
            <v>3201.4071742287679</v>
          </cell>
          <cell r="L70">
            <v>527.33756749000668</v>
          </cell>
          <cell r="M70">
            <v>581.22310231218535</v>
          </cell>
          <cell r="O70">
            <v>1900.94</v>
          </cell>
          <cell r="P70">
            <v>1900.94</v>
          </cell>
          <cell r="R70">
            <v>411.2</v>
          </cell>
          <cell r="S70">
            <v>411.2</v>
          </cell>
          <cell r="U70">
            <v>576.24186023756681</v>
          </cell>
          <cell r="V70">
            <v>271.39226908843898</v>
          </cell>
          <cell r="X70">
            <v>2627.0034835670463</v>
          </cell>
          <cell r="Y70">
            <v>3763.8917964515817</v>
          </cell>
          <cell r="AA70">
            <v>0</v>
          </cell>
          <cell r="AB70">
            <v>0</v>
          </cell>
          <cell r="AD70">
            <v>5426.3865349303405</v>
          </cell>
          <cell r="AE70">
            <v>5071.2432225797529</v>
          </cell>
          <cell r="AJ70">
            <v>10940.504879909146</v>
          </cell>
          <cell r="AK70">
            <v>10895.584846248195</v>
          </cell>
          <cell r="AM70">
            <v>526.14071962364369</v>
          </cell>
          <cell r="AN70">
            <v>0</v>
          </cell>
          <cell r="AP70">
            <v>923.34220182130855</v>
          </cell>
          <cell r="AQ70">
            <v>4714.086681732766</v>
          </cell>
          <cell r="AS70">
            <v>20978.873295414356</v>
          </cell>
          <cell r="AT70">
            <v>8606.4473002146642</v>
          </cell>
          <cell r="AV70">
            <v>261.46872234701635</v>
          </cell>
          <cell r="AW70">
            <v>0</v>
          </cell>
          <cell r="AY70">
            <v>351.30774901844745</v>
          </cell>
          <cell r="AZ70">
            <v>0</v>
          </cell>
          <cell r="BB70">
            <v>483.70917241723362</v>
          </cell>
          <cell r="BC70">
            <v>0</v>
          </cell>
          <cell r="BE70">
            <v>185.6386927230358</v>
          </cell>
          <cell r="BF70">
            <v>0</v>
          </cell>
          <cell r="BH70">
            <v>292.3226339843186</v>
          </cell>
          <cell r="BI70">
            <v>0</v>
          </cell>
          <cell r="BK70">
            <v>235.82173208405922</v>
          </cell>
          <cell r="BL70">
            <v>6776</v>
          </cell>
          <cell r="BN70">
            <v>142.02289427059736</v>
          </cell>
          <cell r="BO70">
            <v>0</v>
          </cell>
          <cell r="BT70">
            <v>13789.566830533042</v>
          </cell>
          <cell r="BU70">
            <v>9109.6702473901169</v>
          </cell>
          <cell r="BW70">
            <v>10503.156030901628</v>
          </cell>
          <cell r="BX70">
            <v>11848.339300327869</v>
          </cell>
          <cell r="BZ70">
            <v>1731.1872696201444</v>
          </cell>
          <cell r="CA70">
            <v>8535.0272365566725</v>
          </cell>
          <cell r="CC70">
            <v>457.18000900653158</v>
          </cell>
          <cell r="CD70">
            <v>455.30373269233945</v>
          </cell>
          <cell r="CF70">
            <v>56.281629896637412</v>
          </cell>
          <cell r="CG70">
            <v>0</v>
          </cell>
          <cell r="CI70">
            <v>2738.9978509291154</v>
          </cell>
          <cell r="CJ70">
            <v>2249.2759354160221</v>
          </cell>
          <cell r="CL70">
            <v>4108.4967763936729</v>
          </cell>
          <cell r="CM70">
            <v>3375.4672954625812</v>
          </cell>
          <cell r="CX70">
            <v>1732.6368156768876</v>
          </cell>
          <cell r="CY70">
            <v>3661.2798311576698</v>
          </cell>
        </row>
        <row r="71">
          <cell r="I71">
            <v>1344.3932896630999</v>
          </cell>
          <cell r="J71">
            <v>1316.9714795760256</v>
          </cell>
          <cell r="L71">
            <v>286.23374612549731</v>
          </cell>
          <cell r="M71">
            <v>313.18463480954085</v>
          </cell>
          <cell r="O71">
            <v>638.55999999999995</v>
          </cell>
          <cell r="P71">
            <v>638.55999999999995</v>
          </cell>
          <cell r="R71">
            <v>133.26</v>
          </cell>
          <cell r="S71">
            <v>133.26</v>
          </cell>
          <cell r="U71">
            <v>88.645113504097054</v>
          </cell>
          <cell r="V71">
            <v>33.499267546060508</v>
          </cell>
          <cell r="X71">
            <v>895.69712760030052</v>
          </cell>
          <cell r="Y71">
            <v>487.05161870775783</v>
          </cell>
          <cell r="AA71">
            <v>0</v>
          </cell>
          <cell r="AB71">
            <v>0</v>
          </cell>
          <cell r="AD71">
            <v>1774.3774432631174</v>
          </cell>
          <cell r="AE71">
            <v>1659.3876566021049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P71">
            <v>355.13161608511865</v>
          </cell>
          <cell r="AQ71">
            <v>0</v>
          </cell>
          <cell r="AS71">
            <v>4098.2820626538005</v>
          </cell>
          <cell r="AT71">
            <v>0</v>
          </cell>
          <cell r="AV71">
            <v>242.09477570878985</v>
          </cell>
          <cell r="AW71">
            <v>0</v>
          </cell>
          <cell r="AY71">
            <v>341.29746007718495</v>
          </cell>
          <cell r="AZ71">
            <v>0</v>
          </cell>
          <cell r="BB71">
            <v>97.993438091568279</v>
          </cell>
          <cell r="BC71">
            <v>0</v>
          </cell>
          <cell r="BE71">
            <v>114.75461373279184</v>
          </cell>
          <cell r="BF71">
            <v>0</v>
          </cell>
          <cell r="BH71">
            <v>89.960355179059135</v>
          </cell>
          <cell r="BI71">
            <v>0</v>
          </cell>
          <cell r="BK71">
            <v>122.56982730821436</v>
          </cell>
          <cell r="BL71">
            <v>0</v>
          </cell>
          <cell r="BN71">
            <v>122.29074143818023</v>
          </cell>
          <cell r="BO71">
            <v>0</v>
          </cell>
          <cell r="BT71">
            <v>8812.6475364995222</v>
          </cell>
          <cell r="BU71">
            <v>5831.1781815566346</v>
          </cell>
          <cell r="BW71">
            <v>3764.0620259892066</v>
          </cell>
          <cell r="BX71">
            <v>3903.0108771165014</v>
          </cell>
          <cell r="BZ71">
            <v>2077.424723544173</v>
          </cell>
          <cell r="CA71">
            <v>6967.1780355406736</v>
          </cell>
          <cell r="CC71">
            <v>247.85568577493282</v>
          </cell>
          <cell r="CD71">
            <v>246.83848085915378</v>
          </cell>
          <cell r="CF71">
            <v>30.512537074565593</v>
          </cell>
          <cell r="CG71">
            <v>0</v>
          </cell>
          <cell r="CI71">
            <v>798.61440756019783</v>
          </cell>
          <cell r="CJ71">
            <v>719.2253032795561</v>
          </cell>
          <cell r="CL71">
            <v>0</v>
          </cell>
          <cell r="CM71">
            <v>0</v>
          </cell>
          <cell r="CX71">
            <v>31.509767751897016</v>
          </cell>
          <cell r="CY71">
            <v>5104.2853572871936</v>
          </cell>
        </row>
        <row r="72">
          <cell r="I72">
            <v>5217.213045238298</v>
          </cell>
          <cell r="J72">
            <v>5183.0431505193174</v>
          </cell>
          <cell r="L72">
            <v>888.72599853759777</v>
          </cell>
          <cell r="M72">
            <v>915.97379546090599</v>
          </cell>
          <cell r="O72">
            <v>2878.24</v>
          </cell>
          <cell r="P72">
            <v>2878.24</v>
          </cell>
          <cell r="R72">
            <v>624.70000000000005</v>
          </cell>
          <cell r="S72">
            <v>624.70000000000005</v>
          </cell>
          <cell r="U72">
            <v>960.40301870529493</v>
          </cell>
          <cell r="V72">
            <v>410.82048521905563</v>
          </cell>
          <cell r="X72">
            <v>4855.2149582976526</v>
          </cell>
          <cell r="Y72">
            <v>2810.2780609432311</v>
          </cell>
          <cell r="AA72">
            <v>0</v>
          </cell>
          <cell r="AB72">
            <v>0</v>
          </cell>
          <cell r="AD72">
            <v>8108.081176767575</v>
          </cell>
          <cell r="AE72">
            <v>7578.8232039917457</v>
          </cell>
          <cell r="AJ72">
            <v>21125.935881063131</v>
          </cell>
          <cell r="AK72">
            <v>21039.215734846519</v>
          </cell>
          <cell r="AM72">
            <v>263.07035981182185</v>
          </cell>
          <cell r="AN72">
            <v>0</v>
          </cell>
          <cell r="AP72">
            <v>1436.3100917220356</v>
          </cell>
          <cell r="AQ72">
            <v>8302.1572803235722</v>
          </cell>
          <cell r="AS72">
            <v>32711.222227285507</v>
          </cell>
          <cell r="AT72">
            <v>3437.5246272137383</v>
          </cell>
          <cell r="AV72">
            <v>172.64896221065933</v>
          </cell>
          <cell r="AW72">
            <v>0</v>
          </cell>
          <cell r="AY72">
            <v>236.7462978235489</v>
          </cell>
          <cell r="AZ72">
            <v>0</v>
          </cell>
          <cell r="BB72">
            <v>184.64634567058175</v>
          </cell>
          <cell r="BC72">
            <v>0</v>
          </cell>
          <cell r="BE72">
            <v>115.32993121019737</v>
          </cell>
          <cell r="BF72">
            <v>0</v>
          </cell>
          <cell r="BH72">
            <v>194.87527844079784</v>
          </cell>
          <cell r="BI72">
            <v>0</v>
          </cell>
          <cell r="BK72">
            <v>235.39234830930431</v>
          </cell>
          <cell r="BL72">
            <v>2374</v>
          </cell>
          <cell r="BN72">
            <v>228.84431771884292</v>
          </cell>
          <cell r="BO72">
            <v>0</v>
          </cell>
          <cell r="BT72">
            <v>29334.669546950514</v>
          </cell>
          <cell r="BU72">
            <v>27125.203450856468</v>
          </cell>
          <cell r="BW72">
            <v>17312.470647145135</v>
          </cell>
          <cell r="BX72">
            <v>24854.468368353875</v>
          </cell>
          <cell r="BZ72">
            <v>3245.976130537771</v>
          </cell>
          <cell r="CA72">
            <v>20112.213192754269</v>
          </cell>
          <cell r="CC72">
            <v>528.26203914372547</v>
          </cell>
          <cell r="CD72">
            <v>526.09404069189895</v>
          </cell>
          <cell r="CF72">
            <v>65.032258606708638</v>
          </cell>
          <cell r="CG72">
            <v>0</v>
          </cell>
          <cell r="CI72">
            <v>5066.2101479600042</v>
          </cell>
          <cell r="CJ72">
            <v>4057.4390858070587</v>
          </cell>
          <cell r="CL72">
            <v>2685.9648629270714</v>
          </cell>
          <cell r="CM72">
            <v>3296.2458363738433</v>
          </cell>
          <cell r="CX72">
            <v>3326.196953499486</v>
          </cell>
          <cell r="CY72">
            <v>7105.8916239733953</v>
          </cell>
        </row>
        <row r="73">
          <cell r="I73">
            <v>1344.4919233260202</v>
          </cell>
          <cell r="J73">
            <v>1316.7049140945976</v>
          </cell>
          <cell r="L73">
            <v>286.23374612549731</v>
          </cell>
          <cell r="M73">
            <v>313.18463480954085</v>
          </cell>
          <cell r="O73">
            <v>639.96</v>
          </cell>
          <cell r="P73">
            <v>639.96</v>
          </cell>
          <cell r="R73">
            <v>135.58000000000001</v>
          </cell>
          <cell r="S73">
            <v>135.58000000000001</v>
          </cell>
          <cell r="U73">
            <v>88.645113504097054</v>
          </cell>
          <cell r="V73">
            <v>60.313411365953975</v>
          </cell>
          <cell r="X73">
            <v>895.69712760030052</v>
          </cell>
          <cell r="Y73">
            <v>602.13946919525176</v>
          </cell>
          <cell r="AA73">
            <v>0</v>
          </cell>
          <cell r="AB73">
            <v>0</v>
          </cell>
          <cell r="AD73">
            <v>1768.3413944154113</v>
          </cell>
          <cell r="AE73">
            <v>1652.8880352732294</v>
          </cell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P73">
            <v>355.13161608511865</v>
          </cell>
          <cell r="AQ73">
            <v>0</v>
          </cell>
          <cell r="AS73">
            <v>7397.8271065027866</v>
          </cell>
          <cell r="AT73">
            <v>0</v>
          </cell>
          <cell r="AV73">
            <v>257.18257003536439</v>
          </cell>
          <cell r="AW73">
            <v>2224</v>
          </cell>
          <cell r="AY73">
            <v>341.29746007718495</v>
          </cell>
          <cell r="AZ73">
            <v>0</v>
          </cell>
          <cell r="BB73">
            <v>238.21117418178792</v>
          </cell>
          <cell r="BC73">
            <v>0</v>
          </cell>
          <cell r="BE73">
            <v>117.71760222739266</v>
          </cell>
          <cell r="BF73">
            <v>0</v>
          </cell>
          <cell r="BH73">
            <v>89.960355179059135</v>
          </cell>
          <cell r="BI73">
            <v>3148</v>
          </cell>
          <cell r="BK73">
            <v>122.56982730821436</v>
          </cell>
          <cell r="BL73">
            <v>496</v>
          </cell>
          <cell r="BN73">
            <v>122.29074143818023</v>
          </cell>
          <cell r="BO73">
            <v>0</v>
          </cell>
          <cell r="BT73">
            <v>7237.1423175673672</v>
          </cell>
          <cell r="BU73">
            <v>4895.7111234728582</v>
          </cell>
          <cell r="BW73">
            <v>3468.9014645131238</v>
          </cell>
          <cell r="BX73">
            <v>5713.0723596282169</v>
          </cell>
          <cell r="BZ73">
            <v>294.30183583542453</v>
          </cell>
          <cell r="CA73">
            <v>5730.1115226920101</v>
          </cell>
          <cell r="CC73">
            <v>264.86635091810956</v>
          </cell>
          <cell r="CD73">
            <v>263.77933387697942</v>
          </cell>
          <cell r="CF73">
            <v>32.606653048630918</v>
          </cell>
          <cell r="CG73">
            <v>0</v>
          </cell>
          <cell r="CI73">
            <v>814.21234520785777</v>
          </cell>
          <cell r="CJ73">
            <v>507.9618783340145</v>
          </cell>
          <cell r="CL73">
            <v>0</v>
          </cell>
          <cell r="CM73">
            <v>0</v>
          </cell>
          <cell r="CX73">
            <v>630.49752988368346</v>
          </cell>
          <cell r="CY73">
            <v>-1032.9880192911824</v>
          </cell>
        </row>
        <row r="74">
          <cell r="I74">
            <v>5236.4195015732439</v>
          </cell>
          <cell r="J74">
            <v>5203.5490794437192</v>
          </cell>
          <cell r="L74">
            <v>888.72599853759777</v>
          </cell>
          <cell r="M74">
            <v>969.60219409419756</v>
          </cell>
          <cell r="O74">
            <v>2768.78</v>
          </cell>
          <cell r="P74">
            <v>2768.78</v>
          </cell>
          <cell r="R74">
            <v>626.34</v>
          </cell>
          <cell r="S74">
            <v>626.34</v>
          </cell>
          <cell r="U74">
            <v>960.40301870529493</v>
          </cell>
          <cell r="V74">
            <v>440.50853328877554</v>
          </cell>
          <cell r="X74">
            <v>4855.2149582976526</v>
          </cell>
          <cell r="Y74">
            <v>5855.3404653721273</v>
          </cell>
          <cell r="AA74">
            <v>0</v>
          </cell>
          <cell r="AB74">
            <v>0</v>
          </cell>
          <cell r="AD74">
            <v>8164.3083614292082</v>
          </cell>
          <cell r="AE74">
            <v>7633.8310678780344</v>
          </cell>
          <cell r="AJ74">
            <v>23908.429695261148</v>
          </cell>
          <cell r="AK74">
            <v>23810.266835747774</v>
          </cell>
          <cell r="AM74">
            <v>0</v>
          </cell>
          <cell r="AN74">
            <v>0</v>
          </cell>
          <cell r="AP74">
            <v>1452.0937191035962</v>
          </cell>
          <cell r="AQ74">
            <v>0</v>
          </cell>
          <cell r="AS74">
            <v>32883.1927937488</v>
          </cell>
          <cell r="AT74">
            <v>22691</v>
          </cell>
          <cell r="AV74">
            <v>432.21338540871011</v>
          </cell>
          <cell r="AW74">
            <v>1450</v>
          </cell>
          <cell r="AY74">
            <v>591.86574455887205</v>
          </cell>
          <cell r="AZ74">
            <v>2430</v>
          </cell>
          <cell r="BB74">
            <v>690.27183197185354</v>
          </cell>
          <cell r="BC74">
            <v>0</v>
          </cell>
          <cell r="BE74">
            <v>289.88286770503936</v>
          </cell>
          <cell r="BF74">
            <v>0</v>
          </cell>
          <cell r="BH74">
            <v>487.18819610199455</v>
          </cell>
          <cell r="BI74">
            <v>0</v>
          </cell>
          <cell r="BK74">
            <v>588.48087077326079</v>
          </cell>
          <cell r="BL74">
            <v>616</v>
          </cell>
          <cell r="BN74">
            <v>232.74222385317006</v>
          </cell>
          <cell r="BO74">
            <v>0</v>
          </cell>
          <cell r="BT74">
            <v>24406.647181947399</v>
          </cell>
          <cell r="BU74">
            <v>17985.530733073323</v>
          </cell>
          <cell r="BW74">
            <v>17054.735181625801</v>
          </cell>
          <cell r="BX74">
            <v>24934.147457035131</v>
          </cell>
          <cell r="BZ74">
            <v>4544.3665827528803</v>
          </cell>
          <cell r="CA74">
            <v>17730.047860972027</v>
          </cell>
          <cell r="CC74">
            <v>378.74466540686927</v>
          </cell>
          <cell r="CD74">
            <v>377.19028938248061</v>
          </cell>
          <cell r="CF74">
            <v>46.625763733800198</v>
          </cell>
          <cell r="CG74">
            <v>0</v>
          </cell>
          <cell r="CI74">
            <v>5240.9070496137983</v>
          </cell>
          <cell r="CJ74">
            <v>3509.1758165954843</v>
          </cell>
          <cell r="CL74">
            <v>2314.733946912761</v>
          </cell>
          <cell r="CM74">
            <v>2266.3668682202497</v>
          </cell>
          <cell r="CX74">
            <v>906.26375317267957</v>
          </cell>
          <cell r="CY74">
            <v>-1798.9726413240132</v>
          </cell>
        </row>
        <row r="75"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143.88177788991251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P75">
            <v>78.91813690780414</v>
          </cell>
          <cell r="AQ75">
            <v>0</v>
          </cell>
          <cell r="AS75">
            <v>568.91798965145097</v>
          </cell>
          <cell r="AT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T75">
            <v>0</v>
          </cell>
          <cell r="BU75">
            <v>0</v>
          </cell>
          <cell r="BW75">
            <v>0</v>
          </cell>
          <cell r="BX75">
            <v>0.86569782729996148</v>
          </cell>
          <cell r="BZ75">
            <v>0</v>
          </cell>
          <cell r="CA75">
            <v>0</v>
          </cell>
          <cell r="CC75">
            <v>0</v>
          </cell>
          <cell r="CD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L75">
            <v>0</v>
          </cell>
          <cell r="CM75">
            <v>0</v>
          </cell>
          <cell r="CX75">
            <v>11.636648128893853</v>
          </cell>
          <cell r="CY75">
            <v>615.34302913934494</v>
          </cell>
        </row>
        <row r="76"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144.41467336357886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P76">
            <v>63.134509526243313</v>
          </cell>
          <cell r="AQ76">
            <v>0</v>
          </cell>
          <cell r="AS76">
            <v>483.41008641630623</v>
          </cell>
          <cell r="AT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T76">
            <v>0</v>
          </cell>
          <cell r="BU76">
            <v>0</v>
          </cell>
          <cell r="BW76">
            <v>0</v>
          </cell>
          <cell r="BX76">
            <v>0.86890411554922053</v>
          </cell>
          <cell r="BZ76">
            <v>0</v>
          </cell>
          <cell r="CA76">
            <v>0</v>
          </cell>
          <cell r="CC76">
            <v>0</v>
          </cell>
          <cell r="CD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X76">
            <v>29.486484868940579</v>
          </cell>
          <cell r="CY76">
            <v>510.99970702504629</v>
          </cell>
        </row>
        <row r="77">
          <cell r="I77">
            <v>0</v>
          </cell>
          <cell r="J77">
            <v>0</v>
          </cell>
          <cell r="L77">
            <v>0</v>
          </cell>
          <cell r="M77">
            <v>0</v>
          </cell>
          <cell r="O77">
            <v>44.9</v>
          </cell>
          <cell r="P77">
            <v>44.9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143.0158227452047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63.134509526243313</v>
          </cell>
          <cell r="AQ77">
            <v>0</v>
          </cell>
          <cell r="AS77">
            <v>494.22706795266049</v>
          </cell>
          <cell r="AT77">
            <v>0</v>
          </cell>
          <cell r="AV77">
            <v>0</v>
          </cell>
          <cell r="AW77">
            <v>0</v>
          </cell>
          <cell r="AY77">
            <v>0</v>
          </cell>
          <cell r="AZ77">
            <v>0</v>
          </cell>
          <cell r="BB77">
            <v>16.764476281060535</v>
          </cell>
          <cell r="BC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N77">
            <v>0</v>
          </cell>
          <cell r="BO77">
            <v>0</v>
          </cell>
          <cell r="BT77">
            <v>0</v>
          </cell>
          <cell r="BU77">
            <v>0</v>
          </cell>
          <cell r="BW77">
            <v>0</v>
          </cell>
          <cell r="BX77">
            <v>0.86048760889491538</v>
          </cell>
          <cell r="BZ77">
            <v>0</v>
          </cell>
          <cell r="CA77">
            <v>0</v>
          </cell>
          <cell r="CC77">
            <v>0</v>
          </cell>
          <cell r="CD77">
            <v>0</v>
          </cell>
          <cell r="CF77">
            <v>0</v>
          </cell>
          <cell r="CG77">
            <v>0</v>
          </cell>
          <cell r="CI77">
            <v>0</v>
          </cell>
          <cell r="CJ77">
            <v>0</v>
          </cell>
          <cell r="CL77">
            <v>0</v>
          </cell>
          <cell r="CM77">
            <v>0</v>
          </cell>
          <cell r="CX77">
            <v>18.568735488042876</v>
          </cell>
          <cell r="CY77">
            <v>534.86842757508043</v>
          </cell>
        </row>
        <row r="78"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D78">
            <v>0</v>
          </cell>
          <cell r="AE78">
            <v>264.98227428058885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110.48539167092581</v>
          </cell>
          <cell r="AQ78">
            <v>0</v>
          </cell>
          <cell r="AS78">
            <v>1075.2062017177741</v>
          </cell>
          <cell r="AT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B78">
            <v>0</v>
          </cell>
          <cell r="BC78">
            <v>0</v>
          </cell>
          <cell r="BE78">
            <v>0</v>
          </cell>
          <cell r="BF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N78">
            <v>0</v>
          </cell>
          <cell r="BO78">
            <v>0</v>
          </cell>
          <cell r="BT78">
            <v>0</v>
          </cell>
          <cell r="BU78">
            <v>0</v>
          </cell>
          <cell r="BW78">
            <v>0</v>
          </cell>
          <cell r="BX78">
            <v>1.5943268319440955</v>
          </cell>
          <cell r="BZ78">
            <v>0</v>
          </cell>
          <cell r="CA78">
            <v>0</v>
          </cell>
          <cell r="CC78">
            <v>0</v>
          </cell>
          <cell r="CD78">
            <v>0</v>
          </cell>
          <cell r="CF78">
            <v>0</v>
          </cell>
          <cell r="CG78">
            <v>0</v>
          </cell>
          <cell r="CI78">
            <v>0</v>
          </cell>
          <cell r="CJ78">
            <v>0</v>
          </cell>
          <cell r="CL78">
            <v>0</v>
          </cell>
          <cell r="CM78">
            <v>0</v>
          </cell>
          <cell r="CX78">
            <v>35.570087933560217</v>
          </cell>
          <cell r="CY78">
            <v>1138.5080786649605</v>
          </cell>
        </row>
        <row r="79">
          <cell r="I79">
            <v>0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D79">
            <v>0</v>
          </cell>
          <cell r="AE79">
            <v>163.59891041556719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102.59357798014538</v>
          </cell>
          <cell r="AQ79">
            <v>0</v>
          </cell>
          <cell r="AS79">
            <v>625.77037335856789</v>
          </cell>
          <cell r="AT79">
            <v>0</v>
          </cell>
          <cell r="AV79">
            <v>0</v>
          </cell>
          <cell r="AW79">
            <v>0</v>
          </cell>
          <cell r="AY79">
            <v>0</v>
          </cell>
          <cell r="AZ79">
            <v>0</v>
          </cell>
          <cell r="BB79">
            <v>0</v>
          </cell>
          <cell r="BC79">
            <v>0</v>
          </cell>
          <cell r="BE79">
            <v>0</v>
          </cell>
          <cell r="BF79">
            <v>0</v>
          </cell>
          <cell r="BH79">
            <v>0</v>
          </cell>
          <cell r="BI79">
            <v>0</v>
          </cell>
          <cell r="BK79">
            <v>0</v>
          </cell>
          <cell r="BL79">
            <v>0</v>
          </cell>
          <cell r="BN79">
            <v>0</v>
          </cell>
          <cell r="BO79">
            <v>0</v>
          </cell>
          <cell r="BT79">
            <v>51.841856634094597</v>
          </cell>
          <cell r="BU79">
            <v>102.61547285993289</v>
          </cell>
          <cell r="BW79">
            <v>0</v>
          </cell>
          <cell r="BX79">
            <v>0.98433049252254867</v>
          </cell>
          <cell r="BZ79">
            <v>0</v>
          </cell>
          <cell r="CA79">
            <v>115.57653334008064</v>
          </cell>
          <cell r="CC79">
            <v>0</v>
          </cell>
          <cell r="CD79">
            <v>0</v>
          </cell>
          <cell r="CF79">
            <v>0</v>
          </cell>
          <cell r="CG79">
            <v>0</v>
          </cell>
          <cell r="CI79">
            <v>0</v>
          </cell>
          <cell r="CJ79">
            <v>0</v>
          </cell>
          <cell r="CL79">
            <v>0</v>
          </cell>
          <cell r="CM79">
            <v>0</v>
          </cell>
          <cell r="CX79">
            <v>14.013030432630558</v>
          </cell>
          <cell r="CY79">
            <v>490.92970347027608</v>
          </cell>
        </row>
        <row r="80"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203.00200550333608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78.91813690780414</v>
          </cell>
          <cell r="AQ80">
            <v>0</v>
          </cell>
          <cell r="AS80">
            <v>475.69300020619374</v>
          </cell>
          <cell r="AT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N80">
            <v>0</v>
          </cell>
          <cell r="BO80">
            <v>0</v>
          </cell>
          <cell r="BT80">
            <v>207.36742653637839</v>
          </cell>
          <cell r="BU80">
            <v>234.54647716934628</v>
          </cell>
          <cell r="BW80">
            <v>0</v>
          </cell>
          <cell r="BX80">
            <v>1.2196924025754894</v>
          </cell>
          <cell r="BZ80">
            <v>0</v>
          </cell>
          <cell r="CA80">
            <v>264.17135723150767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0</v>
          </cell>
          <cell r="CJ80">
            <v>0</v>
          </cell>
          <cell r="CL80">
            <v>0</v>
          </cell>
          <cell r="CM80">
            <v>0</v>
          </cell>
          <cell r="CX80">
            <v>164.70572361954839</v>
          </cell>
          <cell r="CY80">
            <v>235.55256123188133</v>
          </cell>
        </row>
        <row r="81">
          <cell r="I81">
            <v>180.05647189063268</v>
          </cell>
          <cell r="J81">
            <v>171.21240691081636</v>
          </cell>
          <cell r="L81">
            <v>33.781743632914562</v>
          </cell>
          <cell r="M81">
            <v>33.798033481720964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X81">
            <v>4.8420164802125161</v>
          </cell>
          <cell r="Y81">
            <v>3.0115238992771696</v>
          </cell>
          <cell r="AA81">
            <v>0</v>
          </cell>
          <cell r="AB81">
            <v>0</v>
          </cell>
          <cell r="AD81">
            <v>122.2887818496351</v>
          </cell>
          <cell r="AE81">
            <v>114.3060791014305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78.91813690780414</v>
          </cell>
          <cell r="AQ81">
            <v>0</v>
          </cell>
          <cell r="AS81">
            <v>522.37939601726362</v>
          </cell>
          <cell r="AT81">
            <v>0</v>
          </cell>
          <cell r="AV81">
            <v>33.712620806155606</v>
          </cell>
          <cell r="AW81">
            <v>0</v>
          </cell>
          <cell r="AY81">
            <v>43.555645366403205</v>
          </cell>
          <cell r="AZ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N81">
            <v>9.891756720169731</v>
          </cell>
          <cell r="BO81">
            <v>0</v>
          </cell>
          <cell r="BT81">
            <v>15.951340502798338</v>
          </cell>
          <cell r="BU81">
            <v>175.9154142703853</v>
          </cell>
          <cell r="BW81">
            <v>23.666404635746474</v>
          </cell>
          <cell r="BX81">
            <v>452.64915235212789</v>
          </cell>
          <cell r="BZ81">
            <v>13.118661564740098</v>
          </cell>
          <cell r="CA81">
            <v>198.13477612881485</v>
          </cell>
          <cell r="CC81">
            <v>0</v>
          </cell>
          <cell r="CD81">
            <v>0</v>
          </cell>
          <cell r="CF81">
            <v>0</v>
          </cell>
          <cell r="CG81">
            <v>0</v>
          </cell>
          <cell r="CI81">
            <v>3.1195875295320227E-4</v>
          </cell>
          <cell r="CJ81">
            <v>0</v>
          </cell>
          <cell r="CL81">
            <v>0</v>
          </cell>
          <cell r="CM81">
            <v>0</v>
          </cell>
          <cell r="CX81">
            <v>32.464054000125316</v>
          </cell>
          <cell r="CY81">
            <v>-47.77286337348761</v>
          </cell>
        </row>
        <row r="82"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D82">
            <v>0</v>
          </cell>
          <cell r="AE82">
            <v>100.98369225977194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47.350882144682487</v>
          </cell>
          <cell r="AQ82">
            <v>0</v>
          </cell>
          <cell r="AS82">
            <v>259.94663363461746</v>
          </cell>
          <cell r="AT82">
            <v>0</v>
          </cell>
          <cell r="AV82">
            <v>0</v>
          </cell>
          <cell r="AW82">
            <v>0</v>
          </cell>
          <cell r="AY82">
            <v>0</v>
          </cell>
          <cell r="AZ82">
            <v>0</v>
          </cell>
          <cell r="BB82">
            <v>0</v>
          </cell>
          <cell r="BC82">
            <v>0</v>
          </cell>
          <cell r="BE82">
            <v>0</v>
          </cell>
          <cell r="BF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N82">
            <v>0</v>
          </cell>
          <cell r="BO82">
            <v>0</v>
          </cell>
          <cell r="BT82">
            <v>91.720207891090439</v>
          </cell>
          <cell r="BU82">
            <v>190.56206720837437</v>
          </cell>
          <cell r="BW82">
            <v>0</v>
          </cell>
          <cell r="BX82">
            <v>0.60759162323460258</v>
          </cell>
          <cell r="BZ82">
            <v>0</v>
          </cell>
          <cell r="CA82">
            <v>214.63140499411983</v>
          </cell>
          <cell r="CC82">
            <v>0</v>
          </cell>
          <cell r="CD82">
            <v>0</v>
          </cell>
          <cell r="CF82">
            <v>0</v>
          </cell>
          <cell r="CG82">
            <v>0</v>
          </cell>
          <cell r="CI82">
            <v>0</v>
          </cell>
          <cell r="CJ82">
            <v>0</v>
          </cell>
          <cell r="CL82">
            <v>0</v>
          </cell>
          <cell r="CM82">
            <v>0</v>
          </cell>
          <cell r="CX82">
            <v>11.958731595531503</v>
          </cell>
          <cell r="CY82">
            <v>-117.36170730260091</v>
          </cell>
        </row>
        <row r="83">
          <cell r="I83">
            <v>2624.201831481359</v>
          </cell>
          <cell r="J83">
            <v>2640.3224367984158</v>
          </cell>
          <cell r="L83">
            <v>468.2074626304846</v>
          </cell>
          <cell r="M83">
            <v>550.28004289305579</v>
          </cell>
          <cell r="O83">
            <v>1079.48</v>
          </cell>
          <cell r="P83">
            <v>1079.3800000000001</v>
          </cell>
          <cell r="R83">
            <v>257.26</v>
          </cell>
          <cell r="S83">
            <v>257.44</v>
          </cell>
          <cell r="U83">
            <v>130.00964065633656</v>
          </cell>
          <cell r="V83">
            <v>89.569932287279713</v>
          </cell>
          <cell r="X83">
            <v>1636.4362498778764</v>
          </cell>
          <cell r="Y83">
            <v>1660.7762214959084</v>
          </cell>
          <cell r="AA83">
            <v>0</v>
          </cell>
          <cell r="AB83">
            <v>0</v>
          </cell>
          <cell r="AD83">
            <v>3597.2570688845462</v>
          </cell>
          <cell r="AE83">
            <v>3362.1297123959707</v>
          </cell>
          <cell r="AJ83">
            <v>6913.0950965152351</v>
          </cell>
          <cell r="AK83">
            <v>6884.704745994155</v>
          </cell>
          <cell r="AM83">
            <v>0</v>
          </cell>
          <cell r="AN83">
            <v>0</v>
          </cell>
          <cell r="AP83">
            <v>639.23690895321363</v>
          </cell>
          <cell r="AQ83">
            <v>0</v>
          </cell>
          <cell r="AS83">
            <v>18881.948881576231</v>
          </cell>
          <cell r="AT83">
            <v>941.54949657441148</v>
          </cell>
          <cell r="AV83">
            <v>181.86362735840896</v>
          </cell>
          <cell r="AW83">
            <v>0</v>
          </cell>
          <cell r="AY83">
            <v>247.51007217452394</v>
          </cell>
          <cell r="AZ83">
            <v>0</v>
          </cell>
          <cell r="BB83">
            <v>186.3722322641847</v>
          </cell>
          <cell r="BC83">
            <v>0</v>
          </cell>
          <cell r="BE83">
            <v>117.22675514518498</v>
          </cell>
          <cell r="BF83">
            <v>0</v>
          </cell>
          <cell r="BH83">
            <v>52.768988252306244</v>
          </cell>
          <cell r="BI83">
            <v>51</v>
          </cell>
          <cell r="BK83">
            <v>124.71493816741945</v>
          </cell>
          <cell r="BL83">
            <v>2878</v>
          </cell>
          <cell r="BN83">
            <v>0</v>
          </cell>
          <cell r="BO83">
            <v>0</v>
          </cell>
          <cell r="BT83">
            <v>6311.2730490459644</v>
          </cell>
          <cell r="BU83">
            <v>3283.1151742114162</v>
          </cell>
          <cell r="BW83">
            <v>7288.5770829861058</v>
          </cell>
          <cell r="BX83">
            <v>9732.8892161893527</v>
          </cell>
          <cell r="BZ83">
            <v>962.89443045881319</v>
          </cell>
          <cell r="CA83">
            <v>3436.8591730104881</v>
          </cell>
          <cell r="CC83">
            <v>317.95727411713102</v>
          </cell>
          <cell r="CD83">
            <v>316.65237081734006</v>
          </cell>
          <cell r="CF83">
            <v>39.142467457601356</v>
          </cell>
          <cell r="CG83">
            <v>0</v>
          </cell>
          <cell r="CI83">
            <v>2620.4535248068992</v>
          </cell>
          <cell r="CJ83">
            <v>1526.966583392028</v>
          </cell>
          <cell r="CL83">
            <v>1166.7257360449762</v>
          </cell>
          <cell r="CM83">
            <v>978.61650425575704</v>
          </cell>
          <cell r="CX83">
            <v>662.56401737424312</v>
          </cell>
          <cell r="CY83">
            <v>20071.798067621312</v>
          </cell>
        </row>
        <row r="84">
          <cell r="I84">
            <v>1426.7025312298838</v>
          </cell>
          <cell r="J84">
            <v>1716.0399290659429</v>
          </cell>
          <cell r="L84">
            <v>253.38653072550332</v>
          </cell>
          <cell r="M84">
            <v>268.77984053464218</v>
          </cell>
          <cell r="O84">
            <v>572.74</v>
          </cell>
          <cell r="P84">
            <v>572.9</v>
          </cell>
          <cell r="R84">
            <v>138.22</v>
          </cell>
          <cell r="S84">
            <v>138.12</v>
          </cell>
          <cell r="U84">
            <v>44.32263844269842</v>
          </cell>
          <cell r="V84">
            <v>30.535976157096869</v>
          </cell>
          <cell r="X84">
            <v>551.29715865472485</v>
          </cell>
          <cell r="Y84">
            <v>483.30080522777735</v>
          </cell>
          <cell r="AA84">
            <v>0</v>
          </cell>
          <cell r="AB84">
            <v>0</v>
          </cell>
          <cell r="AD84">
            <v>1856.7798432938478</v>
          </cell>
          <cell r="AE84">
            <v>1735.5739457970699</v>
          </cell>
          <cell r="AJ84">
            <v>3456.5475482576176</v>
          </cell>
          <cell r="AK84">
            <v>3442.3584772707404</v>
          </cell>
          <cell r="AM84">
            <v>0</v>
          </cell>
          <cell r="AN84">
            <v>0</v>
          </cell>
          <cell r="AP84">
            <v>315.67254763121656</v>
          </cell>
          <cell r="AQ84">
            <v>0</v>
          </cell>
          <cell r="AS84">
            <v>8088.1051498008674</v>
          </cell>
          <cell r="AT84">
            <v>191</v>
          </cell>
          <cell r="AV84">
            <v>120.80412032157389</v>
          </cell>
          <cell r="AW84">
            <v>3162</v>
          </cell>
          <cell r="AY84">
            <v>167.13409673834016</v>
          </cell>
          <cell r="AZ84">
            <v>0</v>
          </cell>
          <cell r="BB84">
            <v>227.91988548368033</v>
          </cell>
          <cell r="BC84">
            <v>0</v>
          </cell>
          <cell r="BE84">
            <v>78.705552175750455</v>
          </cell>
          <cell r="BF84">
            <v>0</v>
          </cell>
          <cell r="BH84">
            <v>22.490068372102311</v>
          </cell>
          <cell r="BI84">
            <v>24</v>
          </cell>
          <cell r="BK84">
            <v>48.034030076738333</v>
          </cell>
          <cell r="BL84">
            <v>0</v>
          </cell>
          <cell r="BN84">
            <v>0</v>
          </cell>
          <cell r="BO84">
            <v>0</v>
          </cell>
          <cell r="BT84">
            <v>3117.5987474900976</v>
          </cell>
          <cell r="BU84">
            <v>1459.4601072374248</v>
          </cell>
          <cell r="BW84">
            <v>3322.2959011682083</v>
          </cell>
          <cell r="BX84">
            <v>4017.8803214331137</v>
          </cell>
          <cell r="BZ84">
            <v>436.01745392402893</v>
          </cell>
          <cell r="CA84">
            <v>1409.8890284989959</v>
          </cell>
          <cell r="CC84">
            <v>149.86052836510476</v>
          </cell>
          <cell r="CD84">
            <v>149.24549762389896</v>
          </cell>
          <cell r="CF84">
            <v>18.448739287370852</v>
          </cell>
          <cell r="CG84">
            <v>0</v>
          </cell>
          <cell r="CI84">
            <v>452.34019178214317</v>
          </cell>
          <cell r="CJ84">
            <v>211.26032459108814</v>
          </cell>
          <cell r="CL84">
            <v>655.11338120172479</v>
          </cell>
          <cell r="CM84">
            <v>546.78480210565112</v>
          </cell>
          <cell r="CX84">
            <v>-1.363973307867127</v>
          </cell>
          <cell r="CY84">
            <v>7152.3251333478674</v>
          </cell>
        </row>
        <row r="85">
          <cell r="I85">
            <v>2570.6085682782468</v>
          </cell>
          <cell r="J85">
            <v>2589.8771380036142</v>
          </cell>
          <cell r="L85">
            <v>496.56402804018524</v>
          </cell>
          <cell r="M85">
            <v>526.73106546191366</v>
          </cell>
          <cell r="O85">
            <v>997.88</v>
          </cell>
          <cell r="P85">
            <v>997.6</v>
          </cell>
          <cell r="R85">
            <v>251.96</v>
          </cell>
          <cell r="S85">
            <v>251.74</v>
          </cell>
          <cell r="U85">
            <v>138.88381114641354</v>
          </cell>
          <cell r="V85">
            <v>144.20019177083978</v>
          </cell>
          <cell r="X85">
            <v>1085.9097597306229</v>
          </cell>
          <cell r="Y85">
            <v>1042.0647095948934</v>
          </cell>
          <cell r="AA85">
            <v>0</v>
          </cell>
          <cell r="AB85">
            <v>0</v>
          </cell>
          <cell r="AD85">
            <v>3322.1073097228668</v>
          </cell>
          <cell r="AE85">
            <v>3105.2485369879869</v>
          </cell>
          <cell r="AJ85">
            <v>5954.2675865454994</v>
          </cell>
          <cell r="AK85">
            <v>5929.8122841693767</v>
          </cell>
          <cell r="AM85">
            <v>0</v>
          </cell>
          <cell r="AN85">
            <v>0</v>
          </cell>
          <cell r="AP85">
            <v>631.34509526243312</v>
          </cell>
          <cell r="AQ85">
            <v>0</v>
          </cell>
          <cell r="AS85">
            <v>15031.684612411525</v>
          </cell>
          <cell r="AT85">
            <v>981</v>
          </cell>
          <cell r="AV85">
            <v>205.94082565918421</v>
          </cell>
          <cell r="AW85">
            <v>0</v>
          </cell>
          <cell r="AY85">
            <v>327.66924542790565</v>
          </cell>
          <cell r="AZ85">
            <v>0</v>
          </cell>
          <cell r="BB85">
            <v>427.11349242364076</v>
          </cell>
          <cell r="BC85">
            <v>0</v>
          </cell>
          <cell r="BE85">
            <v>142.59912413250379</v>
          </cell>
          <cell r="BF85">
            <v>0</v>
          </cell>
          <cell r="BH85">
            <v>70.464078559636903</v>
          </cell>
          <cell r="BI85">
            <v>0</v>
          </cell>
          <cell r="BK85">
            <v>133.9978264959357</v>
          </cell>
          <cell r="BL85">
            <v>0</v>
          </cell>
          <cell r="BN85">
            <v>0</v>
          </cell>
          <cell r="BO85">
            <v>0</v>
          </cell>
          <cell r="BT85">
            <v>6266.3320480143602</v>
          </cell>
          <cell r="BU85">
            <v>2899.1136726556251</v>
          </cell>
          <cell r="BW85">
            <v>6942.4981817021162</v>
          </cell>
          <cell r="BX85">
            <v>8077.5951305112339</v>
          </cell>
          <cell r="BZ85">
            <v>986.97411219931678</v>
          </cell>
          <cell r="CA85">
            <v>2943.6363905882063</v>
          </cell>
          <cell r="CC85">
            <v>259.91511985338093</v>
          </cell>
          <cell r="CD85">
            <v>258.8484227680446</v>
          </cell>
          <cell r="CF85">
            <v>31.997126497101817</v>
          </cell>
          <cell r="CG85">
            <v>0</v>
          </cell>
          <cell r="CI85">
            <v>985.78965933211919</v>
          </cell>
          <cell r="CJ85">
            <v>633.77580651584208</v>
          </cell>
          <cell r="CL85">
            <v>1310.2267624034496</v>
          </cell>
          <cell r="CM85">
            <v>955.32440351515027</v>
          </cell>
          <cell r="CX85">
            <v>-2.9340486061410047</v>
          </cell>
          <cell r="CY85">
            <v>20680.458696948732</v>
          </cell>
        </row>
        <row r="86">
          <cell r="I86">
            <v>2153.8903249409314</v>
          </cell>
          <cell r="J86">
            <v>2139.6846938970075</v>
          </cell>
          <cell r="L86">
            <v>363.90338522543288</v>
          </cell>
          <cell r="M86">
            <v>364.08129790017381</v>
          </cell>
          <cell r="O86">
            <v>1200.52</v>
          </cell>
          <cell r="P86">
            <v>1200.52</v>
          </cell>
          <cell r="R86">
            <v>260.92</v>
          </cell>
          <cell r="S86">
            <v>260.92</v>
          </cell>
          <cell r="U86">
            <v>130.00964065633656</v>
          </cell>
          <cell r="V86">
            <v>73.071367537410026</v>
          </cell>
          <cell r="X86">
            <v>1728.5388552515153</v>
          </cell>
          <cell r="Y86">
            <v>4448.7279628567212</v>
          </cell>
          <cell r="AA86">
            <v>0</v>
          </cell>
          <cell r="AB86">
            <v>0</v>
          </cell>
          <cell r="AD86">
            <v>3360.269106156713</v>
          </cell>
          <cell r="AE86">
            <v>3140.7142260430378</v>
          </cell>
          <cell r="AJ86">
            <v>9506.1630993664548</v>
          </cell>
          <cell r="AK86">
            <v>9467.1296343573958</v>
          </cell>
          <cell r="AM86">
            <v>0</v>
          </cell>
          <cell r="AN86">
            <v>0</v>
          </cell>
          <cell r="AP86">
            <v>583.99421311775063</v>
          </cell>
          <cell r="AQ86">
            <v>0</v>
          </cell>
          <cell r="AS86">
            <v>15405.051077608774</v>
          </cell>
          <cell r="AT86">
            <v>55006</v>
          </cell>
          <cell r="AV86">
            <v>72.267726688588141</v>
          </cell>
          <cell r="AW86">
            <v>0</v>
          </cell>
          <cell r="AY86">
            <v>96.860280139450751</v>
          </cell>
          <cell r="AZ86">
            <v>0</v>
          </cell>
          <cell r="BB86">
            <v>78.98502057400087</v>
          </cell>
          <cell r="BC86">
            <v>0</v>
          </cell>
          <cell r="BE86">
            <v>54.362571797023676</v>
          </cell>
          <cell r="BF86">
            <v>0</v>
          </cell>
          <cell r="BH86">
            <v>26.384494126153122</v>
          </cell>
          <cell r="BI86">
            <v>0</v>
          </cell>
          <cell r="BK86">
            <v>83.05021167631331</v>
          </cell>
          <cell r="BL86">
            <v>496</v>
          </cell>
          <cell r="BN86">
            <v>94.161478523291592</v>
          </cell>
          <cell r="BO86">
            <v>0</v>
          </cell>
          <cell r="BT86">
            <v>11930.409499728048</v>
          </cell>
          <cell r="BU86">
            <v>9274.6342981371126</v>
          </cell>
          <cell r="BW86">
            <v>6918.4548581166655</v>
          </cell>
          <cell r="BX86">
            <v>10276.438684646451</v>
          </cell>
          <cell r="BZ86">
            <v>2596.7809044302167</v>
          </cell>
          <cell r="CA86">
            <v>8355.7566268129885</v>
          </cell>
          <cell r="CC86">
            <v>330.0167081955791</v>
          </cell>
          <cell r="CD86">
            <v>328.66231272623088</v>
          </cell>
          <cell r="CF86">
            <v>40.62705688013758</v>
          </cell>
          <cell r="CG86">
            <v>0</v>
          </cell>
          <cell r="CI86">
            <v>4074.1813135688208</v>
          </cell>
          <cell r="CJ86">
            <v>2474.5111070708808</v>
          </cell>
          <cell r="CL86">
            <v>1065.6511000881387</v>
          </cell>
          <cell r="CM86">
            <v>1380.9466701170008</v>
          </cell>
          <cell r="CX86">
            <v>744.6964877723949</v>
          </cell>
          <cell r="CY86">
            <v>-55094.118658522886</v>
          </cell>
        </row>
        <row r="87">
          <cell r="I87">
            <v>24.995415117984283</v>
          </cell>
          <cell r="J87">
            <v>22.892887146352315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172.19184992843697</v>
          </cell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P87">
            <v>94.701764289364974</v>
          </cell>
          <cell r="AQ87">
            <v>0</v>
          </cell>
          <cell r="AS87">
            <v>451.01894199054971</v>
          </cell>
          <cell r="AT87">
            <v>0</v>
          </cell>
          <cell r="AV87">
            <v>4.1838094870111275</v>
          </cell>
          <cell r="AW87">
            <v>0</v>
          </cell>
          <cell r="AY87">
            <v>0</v>
          </cell>
          <cell r="AZ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T87">
            <v>119.63505377098753</v>
          </cell>
          <cell r="BU87">
            <v>102.61547285993289</v>
          </cell>
          <cell r="BW87">
            <v>0</v>
          </cell>
          <cell r="BX87">
            <v>1.036031890541852</v>
          </cell>
          <cell r="BZ87">
            <v>0</v>
          </cell>
          <cell r="CA87">
            <v>115.57653334008064</v>
          </cell>
          <cell r="CC87">
            <v>0</v>
          </cell>
          <cell r="CD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X87">
            <v>37.498018412922988</v>
          </cell>
          <cell r="CY87">
            <v>373.76466980158648</v>
          </cell>
        </row>
        <row r="88">
          <cell r="I88">
            <v>4130.388322134093</v>
          </cell>
          <cell r="J88">
            <v>4131.2749060123115</v>
          </cell>
          <cell r="L88">
            <v>686.77639203578588</v>
          </cell>
          <cell r="M88">
            <v>687.11155367364404</v>
          </cell>
          <cell r="O88">
            <v>2516.1</v>
          </cell>
          <cell r="P88">
            <v>2516.1</v>
          </cell>
          <cell r="R88">
            <v>523.84</v>
          </cell>
          <cell r="S88">
            <v>523.84</v>
          </cell>
          <cell r="U88">
            <v>768.32239862610584</v>
          </cell>
          <cell r="V88">
            <v>317.16597109342342</v>
          </cell>
          <cell r="X88">
            <v>3607.1769392430233</v>
          </cell>
          <cell r="Y88">
            <v>2104.5239778706882</v>
          </cell>
          <cell r="AA88">
            <v>0</v>
          </cell>
          <cell r="AB88">
            <v>0</v>
          </cell>
          <cell r="AD88">
            <v>6939.5320506723583</v>
          </cell>
          <cell r="AE88">
            <v>6485.8877572424208</v>
          </cell>
          <cell r="AJ88">
            <v>12606.097227462427</v>
          </cell>
          <cell r="AK88">
            <v>12554.336022004012</v>
          </cell>
          <cell r="AM88">
            <v>1052.2814392472874</v>
          </cell>
          <cell r="AN88">
            <v>786.06645561892788</v>
          </cell>
          <cell r="AP88">
            <v>1183.7720536170623</v>
          </cell>
          <cell r="AQ88">
            <v>0</v>
          </cell>
          <cell r="AS88">
            <v>29765.741970449177</v>
          </cell>
          <cell r="AT88">
            <v>11223.642958466045</v>
          </cell>
          <cell r="AV88">
            <v>202.06990605035185</v>
          </cell>
          <cell r="AW88">
            <v>385</v>
          </cell>
          <cell r="AY88">
            <v>274.72892540618346</v>
          </cell>
          <cell r="AZ88">
            <v>2671</v>
          </cell>
          <cell r="BB88">
            <v>341.18561558757222</v>
          </cell>
          <cell r="BC88">
            <v>0</v>
          </cell>
          <cell r="BE88">
            <v>142.08269596907468</v>
          </cell>
          <cell r="BF88">
            <v>0</v>
          </cell>
          <cell r="BH88">
            <v>233.85323677229661</v>
          </cell>
          <cell r="BI88">
            <v>0</v>
          </cell>
          <cell r="BK88">
            <v>267.81638294522492</v>
          </cell>
          <cell r="BL88">
            <v>0</v>
          </cell>
          <cell r="BN88">
            <v>187.38255906188371</v>
          </cell>
          <cell r="BO88">
            <v>0</v>
          </cell>
          <cell r="BT88">
            <v>21559.947714302514</v>
          </cell>
          <cell r="BU88">
            <v>17557.248515364554</v>
          </cell>
          <cell r="BW88">
            <v>14346.243679882051</v>
          </cell>
          <cell r="BX88">
            <v>17361.956080204418</v>
          </cell>
          <cell r="BZ88">
            <v>5193.5618088604333</v>
          </cell>
          <cell r="CA88">
            <v>18530.837519817123</v>
          </cell>
          <cell r="CC88">
            <v>497.08399006285975</v>
          </cell>
          <cell r="CD88">
            <v>495.04394697623007</v>
          </cell>
          <cell r="CF88">
            <v>61.194051806980845</v>
          </cell>
          <cell r="CG88">
            <v>0</v>
          </cell>
          <cell r="CI88">
            <v>3846.4514239129835</v>
          </cell>
          <cell r="CJ88">
            <v>2508.5978951427633</v>
          </cell>
          <cell r="CL88">
            <v>5764.9977545751781</v>
          </cell>
          <cell r="CM88">
            <v>3762.1198881819996</v>
          </cell>
          <cell r="CX88">
            <v>3467.2657535805192</v>
          </cell>
          <cell r="CY88">
            <v>17983.515862797736</v>
          </cell>
        </row>
        <row r="89"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166.62544849632363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118.37720536170622</v>
          </cell>
          <cell r="AQ89">
            <v>0</v>
          </cell>
          <cell r="AS89">
            <v>496.33189943305825</v>
          </cell>
          <cell r="AT89">
            <v>0</v>
          </cell>
          <cell r="AV89">
            <v>0</v>
          </cell>
          <cell r="AW89">
            <v>0</v>
          </cell>
          <cell r="AY89">
            <v>0</v>
          </cell>
          <cell r="AZ89">
            <v>0</v>
          </cell>
          <cell r="BB89">
            <v>0</v>
          </cell>
          <cell r="BC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K89">
            <v>0</v>
          </cell>
          <cell r="BL89">
            <v>0</v>
          </cell>
          <cell r="BN89">
            <v>0</v>
          </cell>
          <cell r="BO89">
            <v>0</v>
          </cell>
          <cell r="BT89">
            <v>247.24577779337423</v>
          </cell>
          <cell r="BU89">
            <v>322.49307151778777</v>
          </cell>
          <cell r="BW89">
            <v>0</v>
          </cell>
          <cell r="BX89">
            <v>1.0025604006809259</v>
          </cell>
          <cell r="BZ89">
            <v>0</v>
          </cell>
          <cell r="CA89">
            <v>363.2262288855469</v>
          </cell>
          <cell r="CC89">
            <v>0</v>
          </cell>
          <cell r="CD89">
            <v>0</v>
          </cell>
          <cell r="CF89">
            <v>0</v>
          </cell>
          <cell r="CG89">
            <v>0</v>
          </cell>
          <cell r="CI89">
            <v>0</v>
          </cell>
          <cell r="CJ89">
            <v>0</v>
          </cell>
          <cell r="CL89">
            <v>0</v>
          </cell>
          <cell r="CM89">
            <v>0</v>
          </cell>
          <cell r="CX89">
            <v>23.734140894233406</v>
          </cell>
          <cell r="CY89">
            <v>34.063228839592909</v>
          </cell>
        </row>
        <row r="90">
          <cell r="I90">
            <v>1033.2350606552918</v>
          </cell>
          <cell r="J90">
            <v>1010.9238769108604</v>
          </cell>
          <cell r="L90">
            <v>195.14396545096372</v>
          </cell>
          <cell r="M90">
            <v>195.23915107616037</v>
          </cell>
          <cell r="O90">
            <v>468.48</v>
          </cell>
          <cell r="P90">
            <v>468.48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X90">
            <v>525.29805736846345</v>
          </cell>
          <cell r="Y90">
            <v>318.48519238586061</v>
          </cell>
          <cell r="AA90">
            <v>0</v>
          </cell>
          <cell r="AB90">
            <v>0</v>
          </cell>
          <cell r="AD90">
            <v>1353.3505649602944</v>
          </cell>
          <cell r="AE90">
            <v>1265.1712603402186</v>
          </cell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P90">
            <v>899.66676074896725</v>
          </cell>
          <cell r="AQ90">
            <v>2404.1842076837106</v>
          </cell>
          <cell r="AS90">
            <v>2729.1030731621481</v>
          </cell>
          <cell r="AT90">
            <v>42.017010057220574</v>
          </cell>
          <cell r="AV90">
            <v>186.05208943515458</v>
          </cell>
          <cell r="AW90">
            <v>0</v>
          </cell>
          <cell r="AY90">
            <v>251.52520330277241</v>
          </cell>
          <cell r="AZ90">
            <v>0</v>
          </cell>
          <cell r="BB90">
            <v>75.295688921806018</v>
          </cell>
          <cell r="BC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1126</v>
          </cell>
          <cell r="BK90">
            <v>70.178787536868555</v>
          </cell>
          <cell r="BL90">
            <v>0</v>
          </cell>
          <cell r="BN90">
            <v>78.880070559382432</v>
          </cell>
          <cell r="BO90">
            <v>0</v>
          </cell>
          <cell r="BT90">
            <v>2852.316725013673</v>
          </cell>
          <cell r="BU90">
            <v>2549.6848289425643</v>
          </cell>
          <cell r="BW90">
            <v>1353.912359438375</v>
          </cell>
          <cell r="BX90">
            <v>1439.1054482282548</v>
          </cell>
          <cell r="BZ90">
            <v>1494.0013266074004</v>
          </cell>
          <cell r="CA90">
            <v>2661.9314976365808</v>
          </cell>
          <cell r="CC90">
            <v>116.67257360449764</v>
          </cell>
          <cell r="CD90">
            <v>116.19374692341495</v>
          </cell>
          <cell r="CF90">
            <v>14.363100917220356</v>
          </cell>
          <cell r="CG90">
            <v>0</v>
          </cell>
          <cell r="CI90">
            <v>283.88246518741403</v>
          </cell>
          <cell r="CJ90">
            <v>195.72330085115141</v>
          </cell>
          <cell r="CL90">
            <v>0</v>
          </cell>
          <cell r="CM90">
            <v>0</v>
          </cell>
          <cell r="CX90">
            <v>339.87055255517043</v>
          </cell>
          <cell r="CY90">
            <v>565.73257475680384</v>
          </cell>
        </row>
        <row r="91">
          <cell r="I91">
            <v>4082.3238039077446</v>
          </cell>
          <cell r="J91">
            <v>4069.9425673346004</v>
          </cell>
          <cell r="L91">
            <v>686.77639203578588</v>
          </cell>
          <cell r="M91">
            <v>782.8685191404652</v>
          </cell>
          <cell r="O91">
            <v>2343.16</v>
          </cell>
          <cell r="P91">
            <v>2343.16</v>
          </cell>
          <cell r="R91">
            <v>499.44</v>
          </cell>
          <cell r="S91">
            <v>499.44</v>
          </cell>
          <cell r="U91">
            <v>768.32239862610584</v>
          </cell>
          <cell r="V91">
            <v>317.16597109342342</v>
          </cell>
          <cell r="X91">
            <v>3607.1769392430233</v>
          </cell>
          <cell r="Y91">
            <v>2088.1290399917225</v>
          </cell>
          <cell r="AA91">
            <v>0</v>
          </cell>
          <cell r="AB91">
            <v>0</v>
          </cell>
          <cell r="AD91">
            <v>6611.6114040050534</v>
          </cell>
          <cell r="AE91">
            <v>6201.9202207273247</v>
          </cell>
          <cell r="AJ91">
            <v>15284.040293884987</v>
          </cell>
          <cell r="AK91">
            <v>14449.903870109985</v>
          </cell>
          <cell r="AM91">
            <v>0</v>
          </cell>
          <cell r="AN91">
            <v>524.04800106883954</v>
          </cell>
          <cell r="AP91">
            <v>1144.31298516316</v>
          </cell>
          <cell r="AQ91">
            <v>0</v>
          </cell>
          <cell r="AS91">
            <v>27570.666558880832</v>
          </cell>
          <cell r="AT91">
            <v>24262</v>
          </cell>
          <cell r="AV91">
            <v>134.13685304925804</v>
          </cell>
          <cell r="AW91">
            <v>0</v>
          </cell>
          <cell r="AY91">
            <v>183.15261693745566</v>
          </cell>
          <cell r="AZ91">
            <v>0</v>
          </cell>
          <cell r="BB91">
            <v>212.78673471802713</v>
          </cell>
          <cell r="BC91">
            <v>0</v>
          </cell>
          <cell r="BE91">
            <v>90.737144763417078</v>
          </cell>
          <cell r="BF91">
            <v>0</v>
          </cell>
          <cell r="BH91">
            <v>155.90215784819776</v>
          </cell>
          <cell r="BI91">
            <v>0</v>
          </cell>
          <cell r="BK91">
            <v>178.54425529681663</v>
          </cell>
          <cell r="BL91">
            <v>0</v>
          </cell>
          <cell r="BN91">
            <v>187.38255906188371</v>
          </cell>
          <cell r="BO91">
            <v>0</v>
          </cell>
          <cell r="BT91">
            <v>21047.631113071988</v>
          </cell>
          <cell r="BU91">
            <v>15021.262328272687</v>
          </cell>
          <cell r="BW91">
            <v>12661.634291593467</v>
          </cell>
          <cell r="BX91">
            <v>14469.09946221525</v>
          </cell>
          <cell r="BZ91">
            <v>2596.7809044302167</v>
          </cell>
          <cell r="CA91">
            <v>14793.822414923139</v>
          </cell>
          <cell r="CC91">
            <v>431.78656651614085</v>
          </cell>
          <cell r="CD91">
            <v>430.01450542077259</v>
          </cell>
          <cell r="CF91">
            <v>53.155543226418857</v>
          </cell>
          <cell r="CG91">
            <v>0</v>
          </cell>
          <cell r="CI91">
            <v>5977.1297065833551</v>
          </cell>
          <cell r="CJ91">
            <v>3723.4984874498364</v>
          </cell>
          <cell r="CL91">
            <v>2420.7999229168495</v>
          </cell>
          <cell r="CM91">
            <v>1429.1064831436793</v>
          </cell>
          <cell r="CX91">
            <v>3783.8706250878167</v>
          </cell>
          <cell r="CY91">
            <v>8012.6817549299521</v>
          </cell>
        </row>
        <row r="92">
          <cell r="I92">
            <v>1651.4394993166454</v>
          </cell>
          <cell r="J92">
            <v>1645.9949150200505</v>
          </cell>
          <cell r="L92">
            <v>330.57166071972682</v>
          </cell>
          <cell r="M92">
            <v>330.72732617222721</v>
          </cell>
          <cell r="O92">
            <v>1051.1199999999999</v>
          </cell>
          <cell r="P92">
            <v>1051.1199999999999</v>
          </cell>
          <cell r="R92">
            <v>192.42</v>
          </cell>
          <cell r="S92">
            <v>192.42</v>
          </cell>
          <cell r="U92">
            <v>130.00964065633656</v>
          </cell>
          <cell r="V92">
            <v>49.13101697383847</v>
          </cell>
          <cell r="X92">
            <v>1341.8762766724853</v>
          </cell>
          <cell r="Y92">
            <v>725.4708504060859</v>
          </cell>
          <cell r="AA92">
            <v>0</v>
          </cell>
          <cell r="AB92">
            <v>0</v>
          </cell>
          <cell r="AD92">
            <v>2691.8853736580372</v>
          </cell>
          <cell r="AE92">
            <v>2516.1829802930733</v>
          </cell>
          <cell r="AJ92">
            <v>9601.5110639297945</v>
          </cell>
          <cell r="AK92">
            <v>9220.6954589804554</v>
          </cell>
          <cell r="AM92">
            <v>0</v>
          </cell>
          <cell r="AN92">
            <v>0</v>
          </cell>
          <cell r="AP92">
            <v>560.31877204540945</v>
          </cell>
          <cell r="AQ92">
            <v>0</v>
          </cell>
          <cell r="AS92">
            <v>10208.813653126617</v>
          </cell>
          <cell r="AT92">
            <v>0</v>
          </cell>
          <cell r="AV92">
            <v>137.83775051620293</v>
          </cell>
          <cell r="AW92">
            <v>0</v>
          </cell>
          <cell r="AY92">
            <v>196.28665419193635</v>
          </cell>
          <cell r="AZ92">
            <v>0</v>
          </cell>
          <cell r="BB92">
            <v>213.70317684306562</v>
          </cell>
          <cell r="BC92">
            <v>0</v>
          </cell>
          <cell r="BE92">
            <v>94.011752103766042</v>
          </cell>
          <cell r="BF92">
            <v>0</v>
          </cell>
          <cell r="BH92">
            <v>65.961235315382794</v>
          </cell>
          <cell r="BI92">
            <v>0</v>
          </cell>
          <cell r="BK92">
            <v>143.43543095359502</v>
          </cell>
          <cell r="BL92">
            <v>0</v>
          </cell>
          <cell r="BN92">
            <v>65.148817906898302</v>
          </cell>
          <cell r="BO92">
            <v>0</v>
          </cell>
          <cell r="BT92">
            <v>7049.1017358049348</v>
          </cell>
          <cell r="BU92">
            <v>4470.4512235208203</v>
          </cell>
          <cell r="BW92">
            <v>6792.2801346467168</v>
          </cell>
          <cell r="BX92">
            <v>4539.4573222659401</v>
          </cell>
          <cell r="BZ92">
            <v>1255.1107704746041</v>
          </cell>
          <cell r="CA92">
            <v>1548.4293944429237</v>
          </cell>
          <cell r="CC92">
            <v>202.3631864871287</v>
          </cell>
          <cell r="CD92">
            <v>201.5326837394357</v>
          </cell>
          <cell r="CF92">
            <v>24.91213470012001</v>
          </cell>
          <cell r="CG92">
            <v>0</v>
          </cell>
          <cell r="CI92">
            <v>2508.1483737437461</v>
          </cell>
          <cell r="CJ92">
            <v>863.70887616552909</v>
          </cell>
          <cell r="CL92">
            <v>1297.7484122853211</v>
          </cell>
          <cell r="CM92">
            <v>1090.5124252054607</v>
          </cell>
          <cell r="CX92">
            <v>1433.6613926818536</v>
          </cell>
          <cell r="CY92">
            <v>24665.878632176995</v>
          </cell>
        </row>
        <row r="93">
          <cell r="I93">
            <v>2620.0810761823745</v>
          </cell>
          <cell r="J93">
            <v>2565.4213747672111</v>
          </cell>
          <cell r="L93">
            <v>403.26262802571125</v>
          </cell>
          <cell r="M93">
            <v>403.45477340150705</v>
          </cell>
          <cell r="O93">
            <v>1217.44</v>
          </cell>
          <cell r="P93">
            <v>1217.44</v>
          </cell>
          <cell r="R93">
            <v>235.52</v>
          </cell>
          <cell r="S93">
            <v>235.52</v>
          </cell>
          <cell r="U93">
            <v>130.00964065633656</v>
          </cell>
          <cell r="V93">
            <v>49.13101697383847</v>
          </cell>
          <cell r="X93">
            <v>1098.0597491529893</v>
          </cell>
          <cell r="Y93">
            <v>2796.8783285551808</v>
          </cell>
          <cell r="AA93">
            <v>0</v>
          </cell>
          <cell r="AB93">
            <v>0</v>
          </cell>
          <cell r="AD93">
            <v>3315.8788484561665</v>
          </cell>
          <cell r="AE93">
            <v>3099.4847377570045</v>
          </cell>
          <cell r="AJ93">
            <v>6913.0950965152351</v>
          </cell>
          <cell r="AK93">
            <v>6884.704745994155</v>
          </cell>
          <cell r="AM93">
            <v>0</v>
          </cell>
          <cell r="AN93">
            <v>0</v>
          </cell>
          <cell r="AP93">
            <v>552.42695835462905</v>
          </cell>
          <cell r="AQ93">
            <v>3160.4772979937238</v>
          </cell>
          <cell r="AS93">
            <v>11575.811840161983</v>
          </cell>
          <cell r="AT93">
            <v>11.834190064399573</v>
          </cell>
          <cell r="AV93">
            <v>204.42021713237085</v>
          </cell>
          <cell r="AW93">
            <v>0</v>
          </cell>
          <cell r="AY93">
            <v>247.01192583841049</v>
          </cell>
          <cell r="AZ93">
            <v>0</v>
          </cell>
          <cell r="BB93">
            <v>242.23676703378922</v>
          </cell>
          <cell r="BC93">
            <v>0</v>
          </cell>
          <cell r="BE93">
            <v>112.20924174271603</v>
          </cell>
          <cell r="BF93">
            <v>0</v>
          </cell>
          <cell r="BH93">
            <v>65.961235315382794</v>
          </cell>
          <cell r="BI93">
            <v>0</v>
          </cell>
          <cell r="BK93">
            <v>125.7136219185039</v>
          </cell>
          <cell r="BL93">
            <v>596</v>
          </cell>
          <cell r="BN93">
            <v>65.815575516818669</v>
          </cell>
          <cell r="BO93">
            <v>0</v>
          </cell>
          <cell r="BT93">
            <v>9311.9724774132319</v>
          </cell>
          <cell r="BU93">
            <v>2829.2573433801886</v>
          </cell>
          <cell r="BW93">
            <v>6866.0125003594403</v>
          </cell>
          <cell r="BX93">
            <v>7473.8731482766161</v>
          </cell>
          <cell r="BZ93">
            <v>995.43268003158312</v>
          </cell>
          <cell r="CA93">
            <v>5625.9453695250013</v>
          </cell>
          <cell r="CC93">
            <v>174.86179413749713</v>
          </cell>
          <cell r="CD93">
            <v>174.14415767891643</v>
          </cell>
          <cell r="CF93">
            <v>21.526546626775215</v>
          </cell>
          <cell r="CG93">
            <v>0</v>
          </cell>
          <cell r="CI93">
            <v>1478.6844889981785</v>
          </cell>
          <cell r="CJ93">
            <v>1292.4224256722089</v>
          </cell>
          <cell r="CL93">
            <v>2214.9071459677357</v>
          </cell>
          <cell r="CM93">
            <v>1935.5268538312171</v>
          </cell>
          <cell r="CX93">
            <v>905.93753335456859</v>
          </cell>
          <cell r="CY93">
            <v>12710.141083354596</v>
          </cell>
        </row>
        <row r="94">
          <cell r="I94">
            <v>2857.7819032408252</v>
          </cell>
          <cell r="J94">
            <v>2789.8580576960762</v>
          </cell>
          <cell r="L94">
            <v>440.94085064255063</v>
          </cell>
          <cell r="M94">
            <v>441.15068227747031</v>
          </cell>
          <cell r="O94">
            <v>1312.32</v>
          </cell>
          <cell r="P94">
            <v>1312.32</v>
          </cell>
          <cell r="R94">
            <v>252.12</v>
          </cell>
          <cell r="S94">
            <v>252.12</v>
          </cell>
          <cell r="U94">
            <v>138.88381114641354</v>
          </cell>
          <cell r="V94">
            <v>52.484670009595362</v>
          </cell>
          <cell r="X94">
            <v>1203.003071162668</v>
          </cell>
          <cell r="Y94">
            <v>3058.9828237180545</v>
          </cell>
          <cell r="AA94">
            <v>0</v>
          </cell>
          <cell r="AB94">
            <v>0</v>
          </cell>
          <cell r="AD94">
            <v>3456.7603710893509</v>
          </cell>
          <cell r="AE94">
            <v>3231.1117866745562</v>
          </cell>
          <cell r="AJ94">
            <v>7106.4203922739471</v>
          </cell>
          <cell r="AK94">
            <v>5945.4283176501503</v>
          </cell>
          <cell r="AM94">
            <v>0</v>
          </cell>
          <cell r="AN94">
            <v>262.02400053441977</v>
          </cell>
          <cell r="AP94">
            <v>623.45328157165284</v>
          </cell>
          <cell r="AQ94">
            <v>330.20567616174588</v>
          </cell>
          <cell r="AS94">
            <v>11968.06806260582</v>
          </cell>
          <cell r="AT94">
            <v>2717.4531543344319</v>
          </cell>
          <cell r="AV94">
            <v>224.64054342263609</v>
          </cell>
          <cell r="AW94">
            <v>0</v>
          </cell>
          <cell r="AY94">
            <v>267.27344362970138</v>
          </cell>
          <cell r="AZ94">
            <v>5075</v>
          </cell>
          <cell r="BB94">
            <v>249.74705045300354</v>
          </cell>
          <cell r="BC94">
            <v>0</v>
          </cell>
          <cell r="BE94">
            <v>116.76510375432694</v>
          </cell>
          <cell r="BF94">
            <v>0</v>
          </cell>
          <cell r="BH94">
            <v>70.464078559636903</v>
          </cell>
          <cell r="BI94">
            <v>0</v>
          </cell>
          <cell r="BK94">
            <v>129.27437902784081</v>
          </cell>
          <cell r="BL94">
            <v>0</v>
          </cell>
          <cell r="BN94">
            <v>53.862315927238761</v>
          </cell>
          <cell r="BO94">
            <v>0</v>
          </cell>
          <cell r="BT94">
            <v>12613.798963913558</v>
          </cell>
          <cell r="BU94">
            <v>3804.6749943413679</v>
          </cell>
          <cell r="BW94">
            <v>7645.8973383343236</v>
          </cell>
          <cell r="BX94">
            <v>6091.7736482075252</v>
          </cell>
          <cell r="BZ94">
            <v>1731.1872696201444</v>
          </cell>
          <cell r="CA94">
            <v>7736.4049290196281</v>
          </cell>
          <cell r="CC94">
            <v>128.83005186244532</v>
          </cell>
          <cell r="CD94">
            <v>128.30133063644305</v>
          </cell>
          <cell r="CF94">
            <v>15.859760172460122</v>
          </cell>
          <cell r="CG94">
            <v>0</v>
          </cell>
          <cell r="CI94">
            <v>2801.3896015197561</v>
          </cell>
          <cell r="CJ94">
            <v>4198.6722242595915</v>
          </cell>
          <cell r="CL94">
            <v>1896.7092179554697</v>
          </cell>
          <cell r="CM94">
            <v>1685.4105350209886</v>
          </cell>
          <cell r="CX94">
            <v>1031.618965737056</v>
          </cell>
          <cell r="CY94">
            <v>10862.107803349532</v>
          </cell>
        </row>
        <row r="95">
          <cell r="I95">
            <v>4023.6856361617752</v>
          </cell>
          <cell r="J95">
            <v>4029.7626531634405</v>
          </cell>
          <cell r="L95">
            <v>667.14870156790357</v>
          </cell>
          <cell r="M95">
            <v>667.47415611784118</v>
          </cell>
          <cell r="O95">
            <v>2264.6</v>
          </cell>
          <cell r="P95">
            <v>2264.6</v>
          </cell>
          <cell r="R95">
            <v>492.76</v>
          </cell>
          <cell r="S95">
            <v>492.76</v>
          </cell>
          <cell r="U95">
            <v>768.32239862610584</v>
          </cell>
          <cell r="V95">
            <v>338.23252840067312</v>
          </cell>
          <cell r="X95">
            <v>3258.6646951280009</v>
          </cell>
          <cell r="Y95">
            <v>1861.1316130627724</v>
          </cell>
          <cell r="AA95">
            <v>0</v>
          </cell>
          <cell r="AB95">
            <v>0</v>
          </cell>
          <cell r="AD95">
            <v>6808.3637920054362</v>
          </cell>
          <cell r="AE95">
            <v>6364.2931729251877</v>
          </cell>
          <cell r="AJ95">
            <v>13826.19019303047</v>
          </cell>
          <cell r="AK95">
            <v>13769.421700535637</v>
          </cell>
          <cell r="AM95">
            <v>0</v>
          </cell>
          <cell r="AN95">
            <v>0</v>
          </cell>
          <cell r="AP95">
            <v>1207.4474946894034</v>
          </cell>
          <cell r="AQ95">
            <v>6981.3973209452906</v>
          </cell>
          <cell r="AS95">
            <v>30389.077925700603</v>
          </cell>
          <cell r="AT95">
            <v>7476.4531543344319</v>
          </cell>
          <cell r="AV95">
            <v>323.33608540472653</v>
          </cell>
          <cell r="AW95">
            <v>0</v>
          </cell>
          <cell r="AY95">
            <v>445.23247334072875</v>
          </cell>
          <cell r="AZ95">
            <v>2912</v>
          </cell>
          <cell r="BB95">
            <v>707.69677335411563</v>
          </cell>
          <cell r="BC95">
            <v>0</v>
          </cell>
          <cell r="BE95">
            <v>259.54606438313925</v>
          </cell>
          <cell r="BF95">
            <v>770</v>
          </cell>
          <cell r="BH95">
            <v>389.75539462049437</v>
          </cell>
          <cell r="BI95">
            <v>0</v>
          </cell>
          <cell r="BK95">
            <v>305.88578314824531</v>
          </cell>
          <cell r="BL95">
            <v>0</v>
          </cell>
          <cell r="BN95">
            <v>186.43229164545758</v>
          </cell>
          <cell r="BO95">
            <v>0</v>
          </cell>
          <cell r="BT95">
            <v>22681.584756530261</v>
          </cell>
          <cell r="BU95">
            <v>17499.232120006251</v>
          </cell>
          <cell r="BW95">
            <v>16335.184019151573</v>
          </cell>
          <cell r="BX95">
            <v>22678.498641828322</v>
          </cell>
          <cell r="BZ95">
            <v>5193.5618088604333</v>
          </cell>
          <cell r="CA95">
            <v>16799.000825117924</v>
          </cell>
          <cell r="CC95">
            <v>322.56535055361115</v>
          </cell>
          <cell r="CD95">
            <v>321.24153561179429</v>
          </cell>
          <cell r="CF95">
            <v>39.70974959466804</v>
          </cell>
          <cell r="CG95">
            <v>0</v>
          </cell>
          <cell r="CI95">
            <v>3013.5215535279335</v>
          </cell>
          <cell r="CJ95">
            <v>2198.0351739993594</v>
          </cell>
          <cell r="CL95">
            <v>4517.1627427623689</v>
          </cell>
          <cell r="CM95">
            <v>3297.8286820796993</v>
          </cell>
          <cell r="CX95">
            <v>2148.7371794550563</v>
          </cell>
          <cell r="CY95">
            <v>11396.024066245678</v>
          </cell>
        </row>
        <row r="96">
          <cell r="I96">
            <v>3271.0078238234873</v>
          </cell>
          <cell r="J96">
            <v>3262.133009150868</v>
          </cell>
          <cell r="L96">
            <v>657.63704750276531</v>
          </cell>
          <cell r="M96">
            <v>657.95149850912276</v>
          </cell>
          <cell r="O96">
            <v>2083.2800000000002</v>
          </cell>
          <cell r="P96">
            <v>2083.2800000000002</v>
          </cell>
          <cell r="R96">
            <v>387.22</v>
          </cell>
          <cell r="S96">
            <v>387.22</v>
          </cell>
          <cell r="U96">
            <v>384.16124015837795</v>
          </cell>
          <cell r="V96">
            <v>259.06201146042838</v>
          </cell>
          <cell r="X96">
            <v>2922.4912750502126</v>
          </cell>
          <cell r="Y96">
            <v>1782.0002045586841</v>
          </cell>
          <cell r="AA96">
            <v>0</v>
          </cell>
          <cell r="AB96">
            <v>0</v>
          </cell>
          <cell r="AD96">
            <v>5350.0843212203154</v>
          </cell>
          <cell r="AE96">
            <v>5001.0015003139815</v>
          </cell>
          <cell r="AJ96">
            <v>9928.131878271799</v>
          </cell>
          <cell r="AK96">
            <v>9887.3422348601089</v>
          </cell>
          <cell r="AM96">
            <v>1052.2814392472874</v>
          </cell>
          <cell r="AN96">
            <v>786.06645561892788</v>
          </cell>
          <cell r="AP96">
            <v>1128.5293577815992</v>
          </cell>
          <cell r="AQ96">
            <v>0</v>
          </cell>
          <cell r="AS96">
            <v>20843.791893704052</v>
          </cell>
          <cell r="AT96">
            <v>3902.306682502317</v>
          </cell>
          <cell r="AV96">
            <v>269.67725713302559</v>
          </cell>
          <cell r="AW96">
            <v>489</v>
          </cell>
          <cell r="AY96">
            <v>410.25288405390029</v>
          </cell>
          <cell r="AZ96">
            <v>0</v>
          </cell>
          <cell r="BB96">
            <v>461.00414588991288</v>
          </cell>
          <cell r="BC96">
            <v>0</v>
          </cell>
          <cell r="BE96">
            <v>184.90845320217682</v>
          </cell>
          <cell r="BF96">
            <v>0</v>
          </cell>
          <cell r="BH96">
            <v>194.88983250281842</v>
          </cell>
          <cell r="BI96">
            <v>0</v>
          </cell>
          <cell r="BK96">
            <v>320.53124901133737</v>
          </cell>
          <cell r="BL96">
            <v>0</v>
          </cell>
          <cell r="BN96">
            <v>127.01222515318118</v>
          </cell>
          <cell r="BO96">
            <v>0</v>
          </cell>
          <cell r="BT96">
            <v>17586.937373999514</v>
          </cell>
          <cell r="BU96">
            <v>10437.09169089094</v>
          </cell>
          <cell r="BW96">
            <v>11826.962656217722</v>
          </cell>
          <cell r="BX96">
            <v>12584.27101178281</v>
          </cell>
          <cell r="BZ96">
            <v>2163.9840870251805</v>
          </cell>
          <cell r="CA96">
            <v>12458.507951606352</v>
          </cell>
          <cell r="CC96">
            <v>331.38932670857315</v>
          </cell>
          <cell r="CD96">
            <v>330.02929798415335</v>
          </cell>
          <cell r="CF96">
            <v>40.796034537987225</v>
          </cell>
          <cell r="CG96">
            <v>0</v>
          </cell>
          <cell r="CI96">
            <v>2080.7648821978587</v>
          </cell>
          <cell r="CJ96">
            <v>1494.3871990676348</v>
          </cell>
          <cell r="CL96">
            <v>2345.9298222080811</v>
          </cell>
          <cell r="CM96">
            <v>2233.7626810602287</v>
          </cell>
          <cell r="CX96">
            <v>1558.272192078628</v>
          </cell>
          <cell r="CY96">
            <v>23540.163884760143</v>
          </cell>
        </row>
        <row r="97">
          <cell r="I97">
            <v>330.06110514782131</v>
          </cell>
          <cell r="J97">
            <v>401.84213364464244</v>
          </cell>
          <cell r="L97">
            <v>58.340708793560438</v>
          </cell>
          <cell r="M97">
            <v>71.41936759960673</v>
          </cell>
          <cell r="O97">
            <v>119.56</v>
          </cell>
          <cell r="P97">
            <v>119.56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X97">
            <v>161.59822986475291</v>
          </cell>
          <cell r="Y97">
            <v>131.31290894270859</v>
          </cell>
          <cell r="AA97">
            <v>0</v>
          </cell>
          <cell r="AB97">
            <v>0</v>
          </cell>
          <cell r="AD97">
            <v>361.2365006968534</v>
          </cell>
          <cell r="AE97">
            <v>338.05556610708612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118.37720536170622</v>
          </cell>
          <cell r="AQ97">
            <v>0</v>
          </cell>
          <cell r="AS97">
            <v>1204.8740076873394</v>
          </cell>
          <cell r="AT97">
            <v>0</v>
          </cell>
          <cell r="AV97">
            <v>65.57164767213348</v>
          </cell>
          <cell r="AW97">
            <v>0</v>
          </cell>
          <cell r="AY97">
            <v>75.166243949094962</v>
          </cell>
          <cell r="AZ97">
            <v>0</v>
          </cell>
          <cell r="BB97">
            <v>45.844143371333203</v>
          </cell>
          <cell r="BC97">
            <v>0</v>
          </cell>
          <cell r="BE97">
            <v>0</v>
          </cell>
          <cell r="BF97">
            <v>0</v>
          </cell>
          <cell r="BH97">
            <v>0</v>
          </cell>
          <cell r="BI97">
            <v>0</v>
          </cell>
          <cell r="BK97">
            <v>13.268307429658046</v>
          </cell>
          <cell r="BL97">
            <v>0</v>
          </cell>
          <cell r="BN97">
            <v>0</v>
          </cell>
          <cell r="BO97">
            <v>0</v>
          </cell>
          <cell r="BT97">
            <v>1444.4003781775982</v>
          </cell>
          <cell r="BU97">
            <v>978.83709628652048</v>
          </cell>
          <cell r="BW97">
            <v>605.00518935875584</v>
          </cell>
          <cell r="BX97">
            <v>578.75235208261552</v>
          </cell>
          <cell r="BZ97">
            <v>160.4043365250414</v>
          </cell>
          <cell r="CA97">
            <v>1576.8826728226495</v>
          </cell>
          <cell r="CC97">
            <v>0</v>
          </cell>
          <cell r="CD97">
            <v>0</v>
          </cell>
          <cell r="CF97">
            <v>0</v>
          </cell>
          <cell r="CG97">
            <v>0</v>
          </cell>
          <cell r="CI97">
            <v>87.348450826896624</v>
          </cell>
          <cell r="CJ97">
            <v>0</v>
          </cell>
          <cell r="CL97">
            <v>0</v>
          </cell>
          <cell r="CM97">
            <v>0</v>
          </cell>
          <cell r="CX97">
            <v>151.75225416494504</v>
          </cell>
          <cell r="CY97">
            <v>937.02548301700563</v>
          </cell>
        </row>
        <row r="98">
          <cell r="I98">
            <v>1513.5616404527182</v>
          </cell>
          <cell r="J98">
            <v>1839.6088499791676</v>
          </cell>
          <cell r="L98">
            <v>157.0219321963082</v>
          </cell>
          <cell r="M98">
            <v>192.22254136698888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X98">
            <v>411.18317022109903</v>
          </cell>
          <cell r="Y98">
            <v>415.19529586133945</v>
          </cell>
          <cell r="AA98">
            <v>0</v>
          </cell>
          <cell r="AB98">
            <v>0</v>
          </cell>
          <cell r="AD98">
            <v>1728.789952733274</v>
          </cell>
          <cell r="AE98">
            <v>1615.938911958976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P98">
            <v>165.7280875063887</v>
          </cell>
          <cell r="AQ98">
            <v>778.34195095268672</v>
          </cell>
          <cell r="AS98">
            <v>8133.8892895917461</v>
          </cell>
          <cell r="AT98">
            <v>0</v>
          </cell>
          <cell r="AV98">
            <v>278.28634321365632</v>
          </cell>
          <cell r="AW98">
            <v>0</v>
          </cell>
          <cell r="AY98">
            <v>202.33697172952878</v>
          </cell>
          <cell r="AZ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H98">
            <v>0</v>
          </cell>
          <cell r="BI98">
            <v>0</v>
          </cell>
          <cell r="BK98">
            <v>121.16066476790479</v>
          </cell>
          <cell r="BL98">
            <v>0</v>
          </cell>
          <cell r="BN98">
            <v>0</v>
          </cell>
          <cell r="BO98">
            <v>0</v>
          </cell>
          <cell r="BT98">
            <v>3186.0731314985942</v>
          </cell>
          <cell r="BU98">
            <v>3030.1641116998303</v>
          </cell>
          <cell r="BW98">
            <v>1633.1344934402202</v>
          </cell>
          <cell r="BX98">
            <v>1662.6442542846175</v>
          </cell>
          <cell r="BZ98">
            <v>1778.7949195346985</v>
          </cell>
          <cell r="CA98">
            <v>2811.3276816986395</v>
          </cell>
          <cell r="CC98">
            <v>14.755649014686469</v>
          </cell>
          <cell r="CD98">
            <v>14.695091522667186</v>
          </cell>
          <cell r="CF98">
            <v>1.816509821883751</v>
          </cell>
          <cell r="CG98">
            <v>0</v>
          </cell>
          <cell r="CI98">
            <v>1288.3896496967252</v>
          </cell>
          <cell r="CJ98">
            <v>918.08225854640068</v>
          </cell>
          <cell r="CL98">
            <v>0</v>
          </cell>
          <cell r="CM98">
            <v>0</v>
          </cell>
          <cell r="CX98">
            <v>371.09311349668496</v>
          </cell>
          <cell r="CY98">
            <v>9175.1348625544269</v>
          </cell>
        </row>
        <row r="99">
          <cell r="I99">
            <v>327.36131952487551</v>
          </cell>
          <cell r="J99">
            <v>397.50668564421221</v>
          </cell>
          <cell r="L99">
            <v>57.552129634097753</v>
          </cell>
          <cell r="M99">
            <v>70.453425180677129</v>
          </cell>
          <cell r="O99">
            <v>107.68</v>
          </cell>
          <cell r="P99">
            <v>107.68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>
            <v>161.30494762421137</v>
          </cell>
          <cell r="Y99">
            <v>130.99688600743139</v>
          </cell>
          <cell r="AA99">
            <v>0</v>
          </cell>
          <cell r="AB99">
            <v>0</v>
          </cell>
          <cell r="AD99">
            <v>322.1839060269233</v>
          </cell>
          <cell r="AE99">
            <v>301.14230447001739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165.7280875063887</v>
          </cell>
          <cell r="AQ99">
            <v>0</v>
          </cell>
          <cell r="AS99">
            <v>789.04142677796767</v>
          </cell>
          <cell r="AT99">
            <v>0</v>
          </cell>
          <cell r="AV99">
            <v>61.647099991546234</v>
          </cell>
          <cell r="AW99">
            <v>0</v>
          </cell>
          <cell r="AY99">
            <v>74.22419333762916</v>
          </cell>
          <cell r="AZ99">
            <v>0</v>
          </cell>
          <cell r="BB99">
            <v>37.481307210205827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13.206444555034306</v>
          </cell>
          <cell r="BL99">
            <v>0</v>
          </cell>
          <cell r="BN99">
            <v>0</v>
          </cell>
          <cell r="BO99">
            <v>0</v>
          </cell>
          <cell r="BT99">
            <v>1430.8327142327882</v>
          </cell>
          <cell r="BU99">
            <v>985.81230053690558</v>
          </cell>
          <cell r="BW99">
            <v>703.97638279258308</v>
          </cell>
          <cell r="BX99">
            <v>689.76661015280661</v>
          </cell>
          <cell r="BZ99">
            <v>164.86706174168074</v>
          </cell>
          <cell r="CA99">
            <v>897.55256903265672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9.3587625885960666</v>
          </cell>
          <cell r="CJ99">
            <v>0</v>
          </cell>
          <cell r="CL99">
            <v>0</v>
          </cell>
          <cell r="CM99">
            <v>0</v>
          </cell>
          <cell r="CX99">
            <v>-0.33494025343406975</v>
          </cell>
          <cell r="CY99">
            <v>1014.3070627703512</v>
          </cell>
        </row>
        <row r="100">
          <cell r="I100">
            <v>168.94704540147532</v>
          </cell>
          <cell r="J100">
            <v>209.29690985933252</v>
          </cell>
          <cell r="L100">
            <v>68.154554027501604</v>
          </cell>
          <cell r="M100">
            <v>83.433276435043538</v>
          </cell>
          <cell r="O100">
            <v>88.36</v>
          </cell>
          <cell r="P100">
            <v>88.36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>
            <v>70.863556614904908</v>
          </cell>
          <cell r="Y100">
            <v>56.28883105923385</v>
          </cell>
          <cell r="AA100">
            <v>0</v>
          </cell>
          <cell r="AB100">
            <v>0</v>
          </cell>
          <cell r="AD100">
            <v>270.09002518072089</v>
          </cell>
          <cell r="AE100">
            <v>252.32600678101323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189.40352857872995</v>
          </cell>
          <cell r="AQ100">
            <v>0</v>
          </cell>
          <cell r="AS100">
            <v>991.5081372774448</v>
          </cell>
          <cell r="AT100">
            <v>0</v>
          </cell>
          <cell r="AV100">
            <v>62.624915751524455</v>
          </cell>
          <cell r="AW100">
            <v>0</v>
          </cell>
          <cell r="AY100">
            <v>87.83954249182338</v>
          </cell>
          <cell r="AZ100">
            <v>0</v>
          </cell>
          <cell r="BB100">
            <v>26.929707894682178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9.8614252960765771</v>
          </cell>
          <cell r="BL100">
            <v>0</v>
          </cell>
          <cell r="BN100">
            <v>0</v>
          </cell>
          <cell r="BO100">
            <v>0</v>
          </cell>
          <cell r="BT100">
            <v>1082.1947738192671</v>
          </cell>
          <cell r="BU100">
            <v>782.11588473451627</v>
          </cell>
          <cell r="BW100">
            <v>567.40725476558691</v>
          </cell>
          <cell r="BX100">
            <v>551.08939329282725</v>
          </cell>
          <cell r="BZ100">
            <v>162.63569913336102</v>
          </cell>
          <cell r="CA100">
            <v>664.93073100219067</v>
          </cell>
          <cell r="CC100">
            <v>50.982973339780486</v>
          </cell>
          <cell r="CD100">
            <v>50.77373815140821</v>
          </cell>
          <cell r="CF100">
            <v>6.2763130058441892</v>
          </cell>
          <cell r="CG100">
            <v>0</v>
          </cell>
          <cell r="CI100">
            <v>74.870100708768533</v>
          </cell>
          <cell r="CJ100">
            <v>37.284516479613316</v>
          </cell>
          <cell r="CL100">
            <v>0</v>
          </cell>
          <cell r="CM100">
            <v>0</v>
          </cell>
          <cell r="CX100">
            <v>117.14053605500976</v>
          </cell>
          <cell r="CY100">
            <v>1560.8008546457854</v>
          </cell>
        </row>
        <row r="101">
          <cell r="I101">
            <v>346.56585113153938</v>
          </cell>
          <cell r="J101">
            <v>427.45297005172449</v>
          </cell>
          <cell r="L101">
            <v>122.64920349237109</v>
          </cell>
          <cell r="M101">
            <v>150.14367474236849</v>
          </cell>
          <cell r="O101">
            <v>172.14</v>
          </cell>
          <cell r="P101">
            <v>172.14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>
            <v>140.13469421323308</v>
          </cell>
          <cell r="Y101">
            <v>112.92442104505224</v>
          </cell>
          <cell r="AA101">
            <v>0</v>
          </cell>
          <cell r="AB101">
            <v>0</v>
          </cell>
          <cell r="AD101">
            <v>546.0949506490407</v>
          </cell>
          <cell r="AE101">
            <v>510.44725183814796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331.45617501277741</v>
          </cell>
          <cell r="AQ101">
            <v>848.53560271189781</v>
          </cell>
          <cell r="AS101">
            <v>2219.4063426828725</v>
          </cell>
          <cell r="AT101">
            <v>0</v>
          </cell>
          <cell r="AV101">
            <v>129.83068955272117</v>
          </cell>
          <cell r="AW101">
            <v>0</v>
          </cell>
          <cell r="AY101">
            <v>158.10153368374478</v>
          </cell>
          <cell r="AZ101">
            <v>0</v>
          </cell>
          <cell r="BB101">
            <v>64.119955629500566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29.632723159187076</v>
          </cell>
          <cell r="BL101">
            <v>0</v>
          </cell>
          <cell r="BN101">
            <v>0</v>
          </cell>
          <cell r="BO101">
            <v>0</v>
          </cell>
          <cell r="BT101">
            <v>1969.7298490373375</v>
          </cell>
          <cell r="BU101">
            <v>1498.3958947813992</v>
          </cell>
          <cell r="BW101">
            <v>1203.5908831379625</v>
          </cell>
          <cell r="BX101">
            <v>1174.4758408388448</v>
          </cell>
          <cell r="BZ101">
            <v>512.65422165548318</v>
          </cell>
          <cell r="CA101">
            <v>1427.7077088565761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224.61030212630564</v>
          </cell>
          <cell r="CJ101">
            <v>146.03231469284111</v>
          </cell>
          <cell r="CL101">
            <v>0</v>
          </cell>
          <cell r="CM101">
            <v>0</v>
          </cell>
          <cell r="CX101">
            <v>147.0791498031067</v>
          </cell>
          <cell r="CY101">
            <v>2190.0331845293763</v>
          </cell>
        </row>
        <row r="102">
          <cell r="I102">
            <v>724.59658715271075</v>
          </cell>
          <cell r="J102">
            <v>877.35320659061404</v>
          </cell>
          <cell r="L102">
            <v>147.20816865301694</v>
          </cell>
          <cell r="M102">
            <v>180.20863253155204</v>
          </cell>
          <cell r="O102">
            <v>225.72</v>
          </cell>
          <cell r="P102">
            <v>225.72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>
            <v>280.26938842646615</v>
          </cell>
          <cell r="Y102">
            <v>225.42196898004849</v>
          </cell>
          <cell r="AA102">
            <v>0</v>
          </cell>
          <cell r="AB102">
            <v>0</v>
          </cell>
          <cell r="AD102">
            <v>708.93286820522724</v>
          </cell>
          <cell r="AE102">
            <v>662.65552150409712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307.78073394043616</v>
          </cell>
          <cell r="AQ102">
            <v>0</v>
          </cell>
          <cell r="AS102">
            <v>1793.3115562584599</v>
          </cell>
          <cell r="AT102">
            <v>0</v>
          </cell>
          <cell r="AV102">
            <v>136.87399555182537</v>
          </cell>
          <cell r="AW102">
            <v>0</v>
          </cell>
          <cell r="AY102">
            <v>189.71213226643653</v>
          </cell>
          <cell r="AZ102">
            <v>0</v>
          </cell>
          <cell r="BB102">
            <v>102.89263852286297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29.632723159187076</v>
          </cell>
          <cell r="BL102">
            <v>0</v>
          </cell>
          <cell r="BN102">
            <v>0</v>
          </cell>
          <cell r="BO102">
            <v>0</v>
          </cell>
          <cell r="BT102">
            <v>3029.5982338546637</v>
          </cell>
          <cell r="BU102">
            <v>2186.7443778127699</v>
          </cell>
          <cell r="BW102">
            <v>1255.6181088844019</v>
          </cell>
          <cell r="BX102">
            <v>1208.2006477517539</v>
          </cell>
          <cell r="BZ102">
            <v>432.15278574993789</v>
          </cell>
          <cell r="CA102">
            <v>1982.5143919859991</v>
          </cell>
          <cell r="CC102">
            <v>95.593075012088406</v>
          </cell>
          <cell r="CD102">
            <v>95.200759033890421</v>
          </cell>
          <cell r="CF102">
            <v>11.768086885957853</v>
          </cell>
          <cell r="CG102">
            <v>0</v>
          </cell>
          <cell r="CI102">
            <v>152.85978894706909</v>
          </cell>
          <cell r="CJ102">
            <v>80.783635764904432</v>
          </cell>
          <cell r="CL102">
            <v>0</v>
          </cell>
          <cell r="CM102">
            <v>0</v>
          </cell>
          <cell r="CX102">
            <v>288.774954235103</v>
          </cell>
          <cell r="CY102">
            <v>2568.4362296532472</v>
          </cell>
        </row>
        <row r="103">
          <cell r="I103">
            <v>546.64403299877335</v>
          </cell>
          <cell r="J103">
            <v>657.86715244671973</v>
          </cell>
          <cell r="L103">
            <v>123.19172948375747</v>
          </cell>
          <cell r="M103">
            <v>150.80776015538257</v>
          </cell>
          <cell r="O103">
            <v>137.58000000000001</v>
          </cell>
          <cell r="P103">
            <v>137.58000000000001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>
            <v>201.19626340407379</v>
          </cell>
          <cell r="Y103">
            <v>166.70420291990433</v>
          </cell>
          <cell r="AA103">
            <v>0</v>
          </cell>
          <cell r="AB103">
            <v>0</v>
          </cell>
          <cell r="AD103">
            <v>426.37879410521663</v>
          </cell>
          <cell r="AE103">
            <v>398.54586356163679</v>
          </cell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P103">
            <v>205.18715596029077</v>
          </cell>
          <cell r="AQ103">
            <v>0</v>
          </cell>
          <cell r="AS103">
            <v>1410.7793571771711</v>
          </cell>
          <cell r="AT103">
            <v>0</v>
          </cell>
          <cell r="AV103">
            <v>104.73648131794</v>
          </cell>
          <cell r="AW103">
            <v>0</v>
          </cell>
          <cell r="AY103">
            <v>158.78132636312557</v>
          </cell>
          <cell r="AZ103">
            <v>0</v>
          </cell>
          <cell r="BB103">
            <v>39.003700583199688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K103">
            <v>19.771301113804686</v>
          </cell>
          <cell r="BL103">
            <v>0</v>
          </cell>
          <cell r="BN103">
            <v>0</v>
          </cell>
          <cell r="BO103">
            <v>0</v>
          </cell>
          <cell r="BT103">
            <v>1428.8055632265434</v>
          </cell>
          <cell r="BU103">
            <v>1159.1595787482113</v>
          </cell>
          <cell r="BW103">
            <v>879.35993904153167</v>
          </cell>
          <cell r="BX103">
            <v>855.58588630341319</v>
          </cell>
          <cell r="BZ103">
            <v>500.35197375187818</v>
          </cell>
          <cell r="CA103">
            <v>1110.6882510062308</v>
          </cell>
          <cell r="CC103">
            <v>78.435343599662289</v>
          </cell>
          <cell r="CD103">
            <v>78.113443309858781</v>
          </cell>
          <cell r="CF103">
            <v>9.6558661628372136</v>
          </cell>
          <cell r="CG103">
            <v>0</v>
          </cell>
          <cell r="CI103">
            <v>230.84947718536966</v>
          </cell>
          <cell r="CJ103">
            <v>248.5582759399997</v>
          </cell>
          <cell r="CL103">
            <v>0</v>
          </cell>
          <cell r="CM103">
            <v>0</v>
          </cell>
          <cell r="CX103">
            <v>-9.9665702100537601E-3</v>
          </cell>
          <cell r="CY103">
            <v>1844.5075027303706</v>
          </cell>
        </row>
        <row r="104">
          <cell r="I104">
            <v>348.13551215027348</v>
          </cell>
          <cell r="J104">
            <v>420.71811231043921</v>
          </cell>
          <cell r="L104">
            <v>118.30907725192991</v>
          </cell>
          <cell r="M104">
            <v>144.83099143825572</v>
          </cell>
          <cell r="O104">
            <v>112.08</v>
          </cell>
          <cell r="P104">
            <v>112.08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>
            <v>201.19626340407379</v>
          </cell>
          <cell r="Y104">
            <v>166.60634337272941</v>
          </cell>
          <cell r="AA104">
            <v>0</v>
          </cell>
          <cell r="AB104">
            <v>0</v>
          </cell>
          <cell r="AD104">
            <v>331.8045269766323</v>
          </cell>
          <cell r="AE104">
            <v>310.14516567381145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142.05264643404746</v>
          </cell>
          <cell r="AQ104">
            <v>141.42260045198296</v>
          </cell>
          <cell r="AS104">
            <v>1231.8455391580062</v>
          </cell>
          <cell r="AT104">
            <v>0</v>
          </cell>
          <cell r="AV104">
            <v>74.37925463325017</v>
          </cell>
          <cell r="AW104">
            <v>0</v>
          </cell>
          <cell r="AY104">
            <v>152.46894747690439</v>
          </cell>
          <cell r="AZ104">
            <v>0</v>
          </cell>
          <cell r="BB104">
            <v>37.303148170468859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19.771301113804686</v>
          </cell>
          <cell r="BL104">
            <v>0</v>
          </cell>
          <cell r="BN104">
            <v>0</v>
          </cell>
          <cell r="BO104">
            <v>0</v>
          </cell>
          <cell r="BT104">
            <v>1296.7527311018016</v>
          </cell>
          <cell r="BU104">
            <v>980.22816390306355</v>
          </cell>
          <cell r="BW104">
            <v>368.3796602903484</v>
          </cell>
          <cell r="BX104">
            <v>334.52953108305741</v>
          </cell>
          <cell r="BZ104">
            <v>275.36500722255391</v>
          </cell>
          <cell r="CA104">
            <v>894.55554078407624</v>
          </cell>
          <cell r="CC104">
            <v>30.393695644869137</v>
          </cell>
          <cell r="CD104">
            <v>30.268959282570279</v>
          </cell>
          <cell r="CF104">
            <v>3.7416481380994209</v>
          </cell>
          <cell r="CG104">
            <v>0</v>
          </cell>
          <cell r="CI104">
            <v>102.94638847455674</v>
          </cell>
          <cell r="CJ104">
            <v>62.137760444902085</v>
          </cell>
          <cell r="CL104">
            <v>0</v>
          </cell>
          <cell r="CM104">
            <v>0</v>
          </cell>
          <cell r="CX104">
            <v>145.4495828300569</v>
          </cell>
          <cell r="CY104">
            <v>1644.7321975061345</v>
          </cell>
        </row>
        <row r="105">
          <cell r="I105">
            <v>159.15974780912475</v>
          </cell>
          <cell r="J105">
            <v>199.68444699196709</v>
          </cell>
          <cell r="L105">
            <v>98.68122340274779</v>
          </cell>
          <cell r="M105">
            <v>120.80317376738213</v>
          </cell>
          <cell r="O105">
            <v>111.26</v>
          </cell>
          <cell r="P105">
            <v>111.26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>
            <v>98.891409429387878</v>
          </cell>
          <cell r="Y105">
            <v>82.202196643113368</v>
          </cell>
          <cell r="AA105">
            <v>0</v>
          </cell>
          <cell r="AB105">
            <v>0</v>
          </cell>
          <cell r="AD105">
            <v>338.64585742975873</v>
          </cell>
          <cell r="AE105">
            <v>316.53991135780757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189.40352857872995</v>
          </cell>
          <cell r="AQ105">
            <v>0</v>
          </cell>
          <cell r="AS105">
            <v>1159.589904724319</v>
          </cell>
          <cell r="AT105">
            <v>0</v>
          </cell>
          <cell r="AV105">
            <v>103.00123221737752</v>
          </cell>
          <cell r="AW105">
            <v>0</v>
          </cell>
          <cell r="AY105">
            <v>127.17072778043382</v>
          </cell>
          <cell r="AZ105">
            <v>0</v>
          </cell>
          <cell r="BB105">
            <v>36.881382527661664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19.771277081972755</v>
          </cell>
          <cell r="BL105">
            <v>0</v>
          </cell>
          <cell r="BN105">
            <v>0</v>
          </cell>
          <cell r="BO105">
            <v>0</v>
          </cell>
          <cell r="BT105">
            <v>1282.5886538623627</v>
          </cell>
          <cell r="BU105">
            <v>1014.4392314783909</v>
          </cell>
          <cell r="BW105">
            <v>494.3183874156116</v>
          </cell>
          <cell r="BX105">
            <v>448.5623756705503</v>
          </cell>
          <cell r="BZ105">
            <v>424.88204479117491</v>
          </cell>
          <cell r="CA105">
            <v>964.71270873637047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49.913400472512365</v>
          </cell>
          <cell r="CJ105">
            <v>29.517038061129437</v>
          </cell>
          <cell r="CL105">
            <v>0</v>
          </cell>
          <cell r="CM105">
            <v>0</v>
          </cell>
          <cell r="CX105">
            <v>140.76946697219046</v>
          </cell>
          <cell r="CY105">
            <v>1828.494700751947</v>
          </cell>
        </row>
        <row r="106">
          <cell r="I106">
            <v>760.6743199595129</v>
          </cell>
          <cell r="J106">
            <v>1044.7342599095277</v>
          </cell>
          <cell r="L106">
            <v>162.7921240131183</v>
          </cell>
          <cell r="M106">
            <v>199.28599530541146</v>
          </cell>
          <cell r="O106">
            <v>222.82</v>
          </cell>
          <cell r="P106">
            <v>222.82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X106">
            <v>352.33651879988565</v>
          </cell>
          <cell r="Y106">
            <v>269.4664444379618</v>
          </cell>
          <cell r="AA106">
            <v>0</v>
          </cell>
          <cell r="AB106">
            <v>0</v>
          </cell>
          <cell r="AD106">
            <v>789.60355646500989</v>
          </cell>
          <cell r="AE106">
            <v>737.99189712338784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P106">
            <v>568.21058573618984</v>
          </cell>
          <cell r="AQ106">
            <v>0</v>
          </cell>
          <cell r="AS106">
            <v>1909.0894452390098</v>
          </cell>
          <cell r="AT106">
            <v>0</v>
          </cell>
          <cell r="AV106">
            <v>128.09725591400303</v>
          </cell>
          <cell r="AW106">
            <v>0</v>
          </cell>
          <cell r="AY106">
            <v>209.79530050336243</v>
          </cell>
          <cell r="AZ106">
            <v>0</v>
          </cell>
          <cell r="BB106">
            <v>132.3516939143727</v>
          </cell>
          <cell r="BC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K106">
            <v>35.916195899513809</v>
          </cell>
          <cell r="BL106">
            <v>0</v>
          </cell>
          <cell r="BN106">
            <v>0</v>
          </cell>
          <cell r="BO106">
            <v>0</v>
          </cell>
          <cell r="BT106">
            <v>2632.4025855748146</v>
          </cell>
          <cell r="BU106">
            <v>2187.7331577301034</v>
          </cell>
          <cell r="BW106">
            <v>1247.34724859518</v>
          </cell>
          <cell r="BX106">
            <v>1126.7687344696267</v>
          </cell>
          <cell r="BZ106">
            <v>979.06410663350448</v>
          </cell>
          <cell r="CA106">
            <v>1839.048866404388</v>
          </cell>
          <cell r="CC106">
            <v>43.139438979814258</v>
          </cell>
          <cell r="CD106">
            <v>42.962393820422335</v>
          </cell>
          <cell r="CF106">
            <v>5.3107263895604673</v>
          </cell>
          <cell r="CG106">
            <v>0</v>
          </cell>
          <cell r="CI106">
            <v>340.03504071899044</v>
          </cell>
          <cell r="CJ106">
            <v>104.07987031144918</v>
          </cell>
          <cell r="CL106">
            <v>0</v>
          </cell>
          <cell r="CM106">
            <v>0</v>
          </cell>
          <cell r="CX106">
            <v>-2.4033720030129189</v>
          </cell>
          <cell r="CY106">
            <v>3290.5100565852663</v>
          </cell>
        </row>
        <row r="107">
          <cell r="I107">
            <v>891.33220340056687</v>
          </cell>
          <cell r="J107">
            <v>1094.0243475146299</v>
          </cell>
          <cell r="L107">
            <v>155.93696190418538</v>
          </cell>
          <cell r="M107">
            <v>190.89437054096067</v>
          </cell>
          <cell r="O107">
            <v>354.9</v>
          </cell>
          <cell r="P107">
            <v>354.9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X107">
            <v>488.88020781717967</v>
          </cell>
          <cell r="Y107">
            <v>1633.3375252496012</v>
          </cell>
          <cell r="AA107">
            <v>0</v>
          </cell>
          <cell r="AB107">
            <v>0</v>
          </cell>
          <cell r="AD107">
            <v>1049.431585966041</v>
          </cell>
          <cell r="AE107">
            <v>980.9273431513202</v>
          </cell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P107">
            <v>710.2632321702373</v>
          </cell>
          <cell r="AQ107">
            <v>0</v>
          </cell>
          <cell r="AS107">
            <v>3154.2915281237479</v>
          </cell>
          <cell r="AT107">
            <v>58782</v>
          </cell>
          <cell r="AV107">
            <v>149.27602959383947</v>
          </cell>
          <cell r="AW107">
            <v>0</v>
          </cell>
          <cell r="AY107">
            <v>200.97730468011736</v>
          </cell>
          <cell r="AZ107">
            <v>0</v>
          </cell>
          <cell r="BB107">
            <v>166.70191689660794</v>
          </cell>
          <cell r="BC107">
            <v>0</v>
          </cell>
          <cell r="BE107">
            <v>0</v>
          </cell>
          <cell r="BF107">
            <v>0</v>
          </cell>
          <cell r="BH107">
            <v>0</v>
          </cell>
          <cell r="BI107">
            <v>0</v>
          </cell>
          <cell r="BK107">
            <v>60.485387360254336</v>
          </cell>
          <cell r="BL107">
            <v>0</v>
          </cell>
          <cell r="BN107">
            <v>0</v>
          </cell>
          <cell r="BO107">
            <v>0</v>
          </cell>
          <cell r="BT107">
            <v>2997.3921988985448</v>
          </cell>
          <cell r="BU107">
            <v>2501.889584832215</v>
          </cell>
          <cell r="BW107">
            <v>1468.0397114384098</v>
          </cell>
          <cell r="BX107">
            <v>1361.2318541799104</v>
          </cell>
          <cell r="BZ107">
            <v>1268.9627243679831</v>
          </cell>
          <cell r="CA107">
            <v>2804.6285069763235</v>
          </cell>
          <cell r="CC107">
            <v>61.277612187236159</v>
          </cell>
          <cell r="CD107">
            <v>61.026127585827176</v>
          </cell>
          <cell r="CF107">
            <v>7.5436454397165722</v>
          </cell>
          <cell r="CG107">
            <v>0</v>
          </cell>
          <cell r="CI107">
            <v>505.37317978418764</v>
          </cell>
          <cell r="CJ107">
            <v>236.12803687715964</v>
          </cell>
          <cell r="CL107">
            <v>0</v>
          </cell>
          <cell r="CM107">
            <v>0</v>
          </cell>
          <cell r="CX107">
            <v>246.38148396537508</v>
          </cell>
          <cell r="CY107">
            <v>-67325.525236289541</v>
          </cell>
        </row>
        <row r="108">
          <cell r="I108">
            <v>300.08934464309783</v>
          </cell>
          <cell r="J108">
            <v>365.1109117679847</v>
          </cell>
          <cell r="L108">
            <v>115.00538053332554</v>
          </cell>
          <cell r="M108">
            <v>140.78610755898805</v>
          </cell>
          <cell r="O108">
            <v>113.52</v>
          </cell>
          <cell r="P108">
            <v>113.52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X108">
            <v>201.19626340407379</v>
          </cell>
          <cell r="Y108">
            <v>166.63348416864264</v>
          </cell>
          <cell r="AA108">
            <v>0</v>
          </cell>
          <cell r="AB108">
            <v>0</v>
          </cell>
          <cell r="AD108">
            <v>355.44987535525053</v>
          </cell>
          <cell r="AE108">
            <v>332.24700544412298</v>
          </cell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P108">
            <v>189.40352857872995</v>
          </cell>
          <cell r="AQ108">
            <v>0</v>
          </cell>
          <cell r="AS108">
            <v>1675.5731975947206</v>
          </cell>
          <cell r="AT108">
            <v>0</v>
          </cell>
          <cell r="AV108">
            <v>66.793785964930606</v>
          </cell>
          <cell r="AW108">
            <v>0</v>
          </cell>
          <cell r="AY108">
            <v>148.24448739911162</v>
          </cell>
          <cell r="AZ108">
            <v>0</v>
          </cell>
          <cell r="BB108">
            <v>27.646517586814632</v>
          </cell>
          <cell r="BC108">
            <v>0</v>
          </cell>
          <cell r="BE108">
            <v>0</v>
          </cell>
          <cell r="BF108">
            <v>0</v>
          </cell>
          <cell r="BH108">
            <v>0</v>
          </cell>
          <cell r="BI108">
            <v>0</v>
          </cell>
          <cell r="BK108">
            <v>19.771301113804686</v>
          </cell>
          <cell r="BL108">
            <v>0</v>
          </cell>
          <cell r="BN108">
            <v>0</v>
          </cell>
          <cell r="BO108">
            <v>0</v>
          </cell>
          <cell r="BT108">
            <v>1210.4882451360165</v>
          </cell>
          <cell r="BU108">
            <v>927.02544456239582</v>
          </cell>
          <cell r="BW108">
            <v>497.30085947542415</v>
          </cell>
          <cell r="BX108">
            <v>383.44518933761265</v>
          </cell>
          <cell r="BZ108">
            <v>328.76229849560036</v>
          </cell>
          <cell r="CA108">
            <v>608.2461166622054</v>
          </cell>
          <cell r="CC108">
            <v>62.258053982231942</v>
          </cell>
          <cell r="CD108">
            <v>62.002545627200412</v>
          </cell>
          <cell r="CF108">
            <v>7.6643437667520375</v>
          </cell>
          <cell r="CG108">
            <v>0</v>
          </cell>
          <cell r="CI108">
            <v>68.630925649704494</v>
          </cell>
          <cell r="CJ108">
            <v>0</v>
          </cell>
          <cell r="CL108">
            <v>0</v>
          </cell>
          <cell r="CM108">
            <v>0</v>
          </cell>
          <cell r="CX108">
            <v>2.1909584494096634E-2</v>
          </cell>
          <cell r="CY108">
            <v>2746.5598338450172</v>
          </cell>
        </row>
        <row r="109">
          <cell r="I109">
            <v>857.25440056378432</v>
          </cell>
          <cell r="J109">
            <v>1053.7010838418096</v>
          </cell>
          <cell r="L109">
            <v>155.14830105407276</v>
          </cell>
          <cell r="M109">
            <v>189.92842812203111</v>
          </cell>
          <cell r="O109">
            <v>360.64</v>
          </cell>
          <cell r="P109">
            <v>360.64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X109">
            <v>499.51451257606567</v>
          </cell>
          <cell r="Y109">
            <v>422.58971115229969</v>
          </cell>
          <cell r="AA109">
            <v>0</v>
          </cell>
          <cell r="AB109">
            <v>0</v>
          </cell>
          <cell r="AD109">
            <v>1056.287169190945</v>
          </cell>
          <cell r="AE109">
            <v>987.49292359655806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P109">
            <v>662.91235002555482</v>
          </cell>
          <cell r="AQ109">
            <v>0</v>
          </cell>
          <cell r="AS109">
            <v>2509.6770077695455</v>
          </cell>
          <cell r="AT109">
            <v>79</v>
          </cell>
          <cell r="AV109">
            <v>146.35357130536974</v>
          </cell>
          <cell r="AW109">
            <v>0</v>
          </cell>
          <cell r="AY109">
            <v>199.98679498901538</v>
          </cell>
          <cell r="AZ109">
            <v>0</v>
          </cell>
          <cell r="BB109">
            <v>164.52396800690619</v>
          </cell>
          <cell r="BC109">
            <v>0</v>
          </cell>
          <cell r="BE109">
            <v>0</v>
          </cell>
          <cell r="BF109">
            <v>0</v>
          </cell>
          <cell r="BH109">
            <v>0</v>
          </cell>
          <cell r="BI109">
            <v>331</v>
          </cell>
          <cell r="BK109">
            <v>60.056147680914883</v>
          </cell>
          <cell r="BL109">
            <v>0</v>
          </cell>
          <cell r="BN109">
            <v>0</v>
          </cell>
          <cell r="BO109">
            <v>0</v>
          </cell>
          <cell r="BT109">
            <v>4199.3962536786403</v>
          </cell>
          <cell r="BU109">
            <v>3071.8533811928905</v>
          </cell>
          <cell r="BW109">
            <v>1574.8162209483044</v>
          </cell>
          <cell r="BX109">
            <v>1451.1830503105543</v>
          </cell>
          <cell r="BZ109">
            <v>970.06340627333043</v>
          </cell>
          <cell r="CA109">
            <v>2555.636112507686</v>
          </cell>
          <cell r="CC109">
            <v>55.394961417261491</v>
          </cell>
          <cell r="CD109">
            <v>55.167619337587766</v>
          </cell>
          <cell r="CF109">
            <v>6.8194554775037819</v>
          </cell>
          <cell r="CG109">
            <v>0</v>
          </cell>
          <cell r="CI109">
            <v>396.18761625056686</v>
          </cell>
          <cell r="CJ109">
            <v>127.36783724611809</v>
          </cell>
          <cell r="CL109">
            <v>0</v>
          </cell>
          <cell r="CM109">
            <v>0</v>
          </cell>
          <cell r="CX109">
            <v>421.94143535066178</v>
          </cell>
          <cell r="CY109">
            <v>4249.3078232309581</v>
          </cell>
        </row>
        <row r="110">
          <cell r="I110">
            <v>260.88601082753377</v>
          </cell>
          <cell r="J110">
            <v>324.15418576955653</v>
          </cell>
          <cell r="L110">
            <v>91.382414037298403</v>
          </cell>
          <cell r="M110">
            <v>111.86820639228341</v>
          </cell>
          <cell r="O110">
            <v>140.86000000000001</v>
          </cell>
          <cell r="P110">
            <v>140.86000000000001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>
            <v>148.75225375508055</v>
          </cell>
          <cell r="Y110">
            <v>128.61529694713678</v>
          </cell>
          <cell r="AA110">
            <v>0</v>
          </cell>
          <cell r="AB110">
            <v>0</v>
          </cell>
          <cell r="AD110">
            <v>446.32554820761339</v>
          </cell>
          <cell r="AE110">
            <v>417.19054394653801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P110">
            <v>284.10529286809492</v>
          </cell>
          <cell r="AQ110">
            <v>0</v>
          </cell>
          <cell r="AS110">
            <v>1590.6280479295372</v>
          </cell>
          <cell r="AT110">
            <v>0</v>
          </cell>
          <cell r="AV110">
            <v>94.800233592295626</v>
          </cell>
          <cell r="AW110">
            <v>0</v>
          </cell>
          <cell r="AY110">
            <v>117.77975701338245</v>
          </cell>
          <cell r="AZ110">
            <v>0</v>
          </cell>
          <cell r="BB110">
            <v>49.688136637059898</v>
          </cell>
          <cell r="BC110">
            <v>642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K110">
            <v>34.837121188239912</v>
          </cell>
          <cell r="BL110">
            <v>0</v>
          </cell>
          <cell r="BN110">
            <v>0</v>
          </cell>
          <cell r="BO110">
            <v>0</v>
          </cell>
          <cell r="BT110">
            <v>1417.6693052805904</v>
          </cell>
          <cell r="BU110">
            <v>1005.5145194504141</v>
          </cell>
          <cell r="BW110">
            <v>728.20209298592124</v>
          </cell>
          <cell r="BX110">
            <v>695.38331548131146</v>
          </cell>
          <cell r="BZ110">
            <v>314.65361339547968</v>
          </cell>
          <cell r="CA110">
            <v>954.20206265659556</v>
          </cell>
          <cell r="CC110">
            <v>0</v>
          </cell>
          <cell r="CD110">
            <v>0</v>
          </cell>
          <cell r="CF110">
            <v>0</v>
          </cell>
          <cell r="CG110">
            <v>0</v>
          </cell>
          <cell r="CI110">
            <v>233.96906471490172</v>
          </cell>
          <cell r="CJ110">
            <v>144.4629038562833</v>
          </cell>
          <cell r="CL110">
            <v>0</v>
          </cell>
          <cell r="CM110">
            <v>0</v>
          </cell>
          <cell r="CX110">
            <v>178.633329080365</v>
          </cell>
          <cell r="CY110">
            <v>1846.9787585998579</v>
          </cell>
        </row>
        <row r="111">
          <cell r="I111">
            <v>1521.5377372849632</v>
          </cell>
          <cell r="J111">
            <v>1874.4084432040531</v>
          </cell>
          <cell r="L111">
            <v>287.85748463911119</v>
          </cell>
          <cell r="M111">
            <v>411.88537077551837</v>
          </cell>
          <cell r="O111">
            <v>613.84</v>
          </cell>
          <cell r="P111">
            <v>613.84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X111">
            <v>840.39745932189419</v>
          </cell>
          <cell r="Y111">
            <v>771.13037775148132</v>
          </cell>
          <cell r="AA111">
            <v>0</v>
          </cell>
          <cell r="AB111">
            <v>0</v>
          </cell>
          <cell r="AD111">
            <v>1879.163821370171</v>
          </cell>
          <cell r="AE111">
            <v>1756.4796708557706</v>
          </cell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P111">
            <v>1396.8510232681333</v>
          </cell>
          <cell r="AQ111">
            <v>0</v>
          </cell>
          <cell r="AS111">
            <v>3460.1383067985284</v>
          </cell>
          <cell r="AT111">
            <v>59089</v>
          </cell>
          <cell r="AV111">
            <v>244.42904331491323</v>
          </cell>
          <cell r="AW111">
            <v>0</v>
          </cell>
          <cell r="AY111">
            <v>370.97542606793741</v>
          </cell>
          <cell r="AZ111">
            <v>0</v>
          </cell>
          <cell r="BB111">
            <v>313.66672284506978</v>
          </cell>
          <cell r="BC111">
            <v>0</v>
          </cell>
          <cell r="BE111">
            <v>0</v>
          </cell>
          <cell r="BF111">
            <v>0</v>
          </cell>
          <cell r="BH111">
            <v>0</v>
          </cell>
          <cell r="BI111">
            <v>1120</v>
          </cell>
          <cell r="BK111">
            <v>108.30269141259552</v>
          </cell>
          <cell r="BL111">
            <v>0</v>
          </cell>
          <cell r="BN111">
            <v>0</v>
          </cell>
          <cell r="BO111">
            <v>0</v>
          </cell>
          <cell r="BT111">
            <v>9573.6108824041603</v>
          </cell>
          <cell r="BU111">
            <v>8588.6531088156717</v>
          </cell>
          <cell r="BW111">
            <v>2111.3290914545732</v>
          </cell>
          <cell r="BX111">
            <v>2162.3525492740691</v>
          </cell>
          <cell r="BZ111">
            <v>3747.6875761386782</v>
          </cell>
          <cell r="CA111">
            <v>7979.8892403711643</v>
          </cell>
          <cell r="CC111">
            <v>127.94765424694911</v>
          </cell>
          <cell r="CD111">
            <v>127.42255439920717</v>
          </cell>
          <cell r="CF111">
            <v>15.751131678128205</v>
          </cell>
          <cell r="CG111">
            <v>0</v>
          </cell>
          <cell r="CI111">
            <v>455.45977931167528</v>
          </cell>
          <cell r="CJ111">
            <v>110.29447311712698</v>
          </cell>
          <cell r="CL111">
            <v>0</v>
          </cell>
          <cell r="CM111">
            <v>0</v>
          </cell>
          <cell r="CX111">
            <v>-0.77499786896805745</v>
          </cell>
          <cell r="CY111">
            <v>-69044.46694627688</v>
          </cell>
        </row>
        <row r="112">
          <cell r="I112">
            <v>1028.3012875997574</v>
          </cell>
          <cell r="J112">
            <v>1268.7143785917249</v>
          </cell>
          <cell r="L112">
            <v>194.40384537113721</v>
          </cell>
          <cell r="M112">
            <v>491.44670835468071</v>
          </cell>
          <cell r="O112">
            <v>410.92</v>
          </cell>
          <cell r="P112">
            <v>410.92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>
            <v>550.78456529862183</v>
          </cell>
          <cell r="Y112">
            <v>470.28451404755424</v>
          </cell>
          <cell r="AA112">
            <v>0</v>
          </cell>
          <cell r="AB112">
            <v>0</v>
          </cell>
          <cell r="AD112">
            <v>1285.8138058933368</v>
          </cell>
          <cell r="AE112">
            <v>1260.8306906945668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P112">
            <v>875.99131967662606</v>
          </cell>
          <cell r="AQ112">
            <v>0</v>
          </cell>
          <cell r="AS112">
            <v>3341.9574334431359</v>
          </cell>
          <cell r="AT112">
            <v>23.668380128799146</v>
          </cell>
          <cell r="AV112">
            <v>169.7904243905044</v>
          </cell>
          <cell r="AW112">
            <v>0</v>
          </cell>
          <cell r="AY112">
            <v>250.58315269130659</v>
          </cell>
          <cell r="AZ112">
            <v>0</v>
          </cell>
          <cell r="BB112">
            <v>240.66409739837528</v>
          </cell>
          <cell r="BC112">
            <v>1825</v>
          </cell>
          <cell r="BE112">
            <v>0</v>
          </cell>
          <cell r="BF112">
            <v>0</v>
          </cell>
          <cell r="BH112">
            <v>0</v>
          </cell>
          <cell r="BI112">
            <v>510</v>
          </cell>
          <cell r="BK112">
            <v>69.694344771707904</v>
          </cell>
          <cell r="BL112">
            <v>0</v>
          </cell>
          <cell r="BN112">
            <v>0</v>
          </cell>
          <cell r="BO112">
            <v>0</v>
          </cell>
          <cell r="BT112">
            <v>3455.0817141006105</v>
          </cell>
          <cell r="BU112">
            <v>2804.5021638474755</v>
          </cell>
          <cell r="BW112">
            <v>1363.9111632721911</v>
          </cell>
          <cell r="BX112">
            <v>1392.1429008408604</v>
          </cell>
          <cell r="BZ112">
            <v>1131.0820208956234</v>
          </cell>
          <cell r="CA112">
            <v>3263.0962390022669</v>
          </cell>
          <cell r="CC112">
            <v>102.94638847455676</v>
          </cell>
          <cell r="CD112">
            <v>102.52389434418964</v>
          </cell>
          <cell r="CF112">
            <v>12.673324338723843</v>
          </cell>
          <cell r="CG112">
            <v>0</v>
          </cell>
          <cell r="CI112">
            <v>152.85978894706909</v>
          </cell>
          <cell r="CJ112">
            <v>83.886286636063161</v>
          </cell>
          <cell r="CL112">
            <v>0</v>
          </cell>
          <cell r="CM112">
            <v>0</v>
          </cell>
          <cell r="CX112">
            <v>1148.289588124062</v>
          </cell>
          <cell r="CY112">
            <v>2024.8206122141846</v>
          </cell>
        </row>
        <row r="113">
          <cell r="I113">
            <v>1361.8448029045849</v>
          </cell>
          <cell r="J113">
            <v>1691.8805677322425</v>
          </cell>
          <cell r="L113">
            <v>212.65082793943571</v>
          </cell>
          <cell r="M113">
            <v>260.32148190152509</v>
          </cell>
          <cell r="O113">
            <v>680.24</v>
          </cell>
          <cell r="P113">
            <v>680.24</v>
          </cell>
          <cell r="R113">
            <v>140</v>
          </cell>
          <cell r="S113">
            <v>140</v>
          </cell>
          <cell r="U113">
            <v>69.466216803674769</v>
          </cell>
          <cell r="V113">
            <v>225.79155057357619</v>
          </cell>
          <cell r="X113">
            <v>613.49460952912648</v>
          </cell>
          <cell r="Y113">
            <v>488.96416580362688</v>
          </cell>
          <cell r="AA113">
            <v>0</v>
          </cell>
          <cell r="AB113">
            <v>0</v>
          </cell>
          <cell r="AD113">
            <v>1955.6228155697472</v>
          </cell>
          <cell r="AE113">
            <v>1866.846690202568</v>
          </cell>
          <cell r="AJ113">
            <v>2977.1337932727497</v>
          </cell>
          <cell r="AK113">
            <v>2964.9122463583508</v>
          </cell>
          <cell r="AM113">
            <v>0</v>
          </cell>
          <cell r="AN113">
            <v>0</v>
          </cell>
          <cell r="AP113">
            <v>315.67254763121656</v>
          </cell>
          <cell r="AQ113">
            <v>0</v>
          </cell>
          <cell r="AS113">
            <v>6587.9296288171709</v>
          </cell>
          <cell r="AT113">
            <v>0</v>
          </cell>
          <cell r="AV113">
            <v>105.27399646775474</v>
          </cell>
          <cell r="AW113">
            <v>0</v>
          </cell>
          <cell r="AY113">
            <v>140.84536735076762</v>
          </cell>
          <cell r="AZ113">
            <v>0</v>
          </cell>
          <cell r="BB113">
            <v>172.52999303886682</v>
          </cell>
          <cell r="BC113">
            <v>0</v>
          </cell>
          <cell r="BE113">
            <v>62.030552270349432</v>
          </cell>
          <cell r="BF113">
            <v>0</v>
          </cell>
          <cell r="BH113">
            <v>35.219944932571877</v>
          </cell>
          <cell r="BI113">
            <v>0</v>
          </cell>
          <cell r="BK113">
            <v>86.679575327637068</v>
          </cell>
          <cell r="BL113">
            <v>0</v>
          </cell>
          <cell r="BN113">
            <v>0</v>
          </cell>
          <cell r="BO113">
            <v>0</v>
          </cell>
          <cell r="BT113">
            <v>6476.0075387296292</v>
          </cell>
          <cell r="BU113">
            <v>4403.6280192090653</v>
          </cell>
          <cell r="BW113">
            <v>5022.9104068925235</v>
          </cell>
          <cell r="BX113">
            <v>5754.7229281688906</v>
          </cell>
          <cell r="BZ113">
            <v>640.53928975945348</v>
          </cell>
          <cell r="CA113">
            <v>4019.0935374709215</v>
          </cell>
          <cell r="CC113">
            <v>105.88771385954409</v>
          </cell>
          <cell r="CD113">
            <v>105.45314846830937</v>
          </cell>
          <cell r="CF113">
            <v>13.03541931983024</v>
          </cell>
          <cell r="CG113">
            <v>0</v>
          </cell>
          <cell r="CI113">
            <v>1054.4205849818234</v>
          </cell>
          <cell r="CJ113">
            <v>689.72996769960082</v>
          </cell>
          <cell r="CL113">
            <v>770.53811979440957</v>
          </cell>
          <cell r="CM113">
            <v>644.65730377181387</v>
          </cell>
          <cell r="CX113">
            <v>2048.5515057685552</v>
          </cell>
          <cell r="CY113">
            <v>8845.0300711674099</v>
          </cell>
        </row>
        <row r="114">
          <cell r="I114">
            <v>2622.508365388338</v>
          </cell>
          <cell r="J114">
            <v>3230.0101602448785</v>
          </cell>
          <cell r="L114">
            <v>399.85531451454284</v>
          </cell>
          <cell r="M114">
            <v>489.49132079257083</v>
          </cell>
          <cell r="O114">
            <v>1035.8800000000001</v>
          </cell>
          <cell r="P114">
            <v>1035.8800000000001</v>
          </cell>
          <cell r="R114">
            <v>231.38</v>
          </cell>
          <cell r="S114">
            <v>231.38</v>
          </cell>
          <cell r="U114">
            <v>130.00964065633656</v>
          </cell>
          <cell r="V114">
            <v>422.57794099540138</v>
          </cell>
          <cell r="X114">
            <v>1135.7802883136044</v>
          </cell>
          <cell r="Y114">
            <v>915.96311270471995</v>
          </cell>
          <cell r="AA114">
            <v>0</v>
          </cell>
          <cell r="AB114">
            <v>0</v>
          </cell>
          <cell r="AD114">
            <v>3031.6358209005407</v>
          </cell>
          <cell r="AE114">
            <v>2833.7382931549855</v>
          </cell>
          <cell r="AJ114">
            <v>6139.7493479442464</v>
          </cell>
          <cell r="AK114">
            <v>6114.5461422860863</v>
          </cell>
          <cell r="AM114">
            <v>0</v>
          </cell>
          <cell r="AN114">
            <v>0</v>
          </cell>
          <cell r="AP114">
            <v>568.21058573618984</v>
          </cell>
          <cell r="AQ114">
            <v>0</v>
          </cell>
          <cell r="AS114">
            <v>11118.535947054592</v>
          </cell>
          <cell r="AT114">
            <v>1021</v>
          </cell>
          <cell r="AV114">
            <v>208.68357540627463</v>
          </cell>
          <cell r="AW114">
            <v>0</v>
          </cell>
          <cell r="AY114">
            <v>265.33664916087628</v>
          </cell>
          <cell r="AZ114">
            <v>1254</v>
          </cell>
          <cell r="BB114">
            <v>274.04768569408526</v>
          </cell>
          <cell r="BC114">
            <v>0</v>
          </cell>
          <cell r="BE114">
            <v>114.36755956189184</v>
          </cell>
          <cell r="BF114">
            <v>0</v>
          </cell>
          <cell r="BH114">
            <v>65.961235315382794</v>
          </cell>
          <cell r="BI114">
            <v>0</v>
          </cell>
          <cell r="BK114">
            <v>173.06738905400283</v>
          </cell>
          <cell r="BL114">
            <v>0</v>
          </cell>
          <cell r="BN114">
            <v>0</v>
          </cell>
          <cell r="BO114">
            <v>0</v>
          </cell>
          <cell r="BT114">
            <v>8414.2274508281298</v>
          </cell>
          <cell r="BU114">
            <v>5960.952956856464</v>
          </cell>
          <cell r="BW114">
            <v>6302.0773372596695</v>
          </cell>
          <cell r="BX114">
            <v>7212.2665902551726</v>
          </cell>
          <cell r="BZ114">
            <v>1493.1490200473745</v>
          </cell>
          <cell r="CA114">
            <v>5588.2077700610535</v>
          </cell>
          <cell r="CC114">
            <v>137.26185129940902</v>
          </cell>
          <cell r="CD114">
            <v>136.69852579225289</v>
          </cell>
          <cell r="CF114">
            <v>16.897765784965124</v>
          </cell>
          <cell r="CG114">
            <v>0</v>
          </cell>
          <cell r="CI114">
            <v>2177.4720956133515</v>
          </cell>
          <cell r="CJ114">
            <v>1259.8275395755481</v>
          </cell>
          <cell r="CL114">
            <v>1079.3772852180796</v>
          </cell>
          <cell r="CM114">
            <v>1096.6939575636352</v>
          </cell>
          <cell r="CX114">
            <v>849.03334709774936</v>
          </cell>
          <cell r="CY114">
            <v>10847.718827660672</v>
          </cell>
        </row>
        <row r="115"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X115">
            <v>0</v>
          </cell>
          <cell r="Y115">
            <v>0</v>
          </cell>
          <cell r="AA115">
            <v>0</v>
          </cell>
          <cell r="AB115">
            <v>0</v>
          </cell>
          <cell r="AD115">
            <v>0</v>
          </cell>
          <cell r="AE115">
            <v>86.662126404988982</v>
          </cell>
          <cell r="AJ115">
            <v>0</v>
          </cell>
          <cell r="AK115">
            <v>0</v>
          </cell>
          <cell r="AM115">
            <v>0</v>
          </cell>
          <cell r="AN115">
            <v>0</v>
          </cell>
          <cell r="AP115">
            <v>47.350882144682487</v>
          </cell>
          <cell r="AQ115">
            <v>0</v>
          </cell>
          <cell r="AS115">
            <v>292.81710297192973</v>
          </cell>
          <cell r="AT115">
            <v>0</v>
          </cell>
          <cell r="AV115">
            <v>0</v>
          </cell>
          <cell r="AW115">
            <v>0</v>
          </cell>
          <cell r="AY115">
            <v>0</v>
          </cell>
          <cell r="AZ115">
            <v>0</v>
          </cell>
          <cell r="BB115">
            <v>0</v>
          </cell>
          <cell r="BC115">
            <v>0</v>
          </cell>
          <cell r="BE115">
            <v>0</v>
          </cell>
          <cell r="BF115">
            <v>0</v>
          </cell>
          <cell r="BH115">
            <v>0</v>
          </cell>
          <cell r="BI115">
            <v>0</v>
          </cell>
          <cell r="BK115">
            <v>0</v>
          </cell>
          <cell r="BL115">
            <v>0</v>
          </cell>
          <cell r="BN115">
            <v>0</v>
          </cell>
          <cell r="BO115">
            <v>0</v>
          </cell>
          <cell r="BT115">
            <v>31.902681005596676</v>
          </cell>
          <cell r="BU115">
            <v>28.270929494874302</v>
          </cell>
          <cell r="BW115">
            <v>0</v>
          </cell>
          <cell r="BX115">
            <v>0.52142262653576377</v>
          </cell>
          <cell r="BZ115">
            <v>0</v>
          </cell>
          <cell r="CA115">
            <v>33.488298682723787</v>
          </cell>
          <cell r="CC115">
            <v>0</v>
          </cell>
          <cell r="CD115">
            <v>0</v>
          </cell>
          <cell r="CF115">
            <v>0</v>
          </cell>
          <cell r="CG115">
            <v>0</v>
          </cell>
          <cell r="CI115">
            <v>0</v>
          </cell>
          <cell r="CJ115">
            <v>0</v>
          </cell>
          <cell r="CL115">
            <v>0</v>
          </cell>
          <cell r="CM115">
            <v>0</v>
          </cell>
          <cell r="CX115">
            <v>11.135200653349386</v>
          </cell>
          <cell r="CY115">
            <v>278.88866734905264</v>
          </cell>
        </row>
        <row r="116">
          <cell r="I116">
            <v>349.70859153849744</v>
          </cell>
          <cell r="J116">
            <v>347.68138107801144</v>
          </cell>
          <cell r="L116">
            <v>69.979726090100854</v>
          </cell>
          <cell r="M116">
            <v>74.230944670816911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X116">
            <v>112.40342435690623</v>
          </cell>
          <cell r="Y116">
            <v>108.90556406706345</v>
          </cell>
          <cell r="AA116">
            <v>0</v>
          </cell>
          <cell r="AB116">
            <v>0</v>
          </cell>
          <cell r="AD116">
            <v>266.17051294195056</v>
          </cell>
          <cell r="AE116">
            <v>248.79557426797373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P116">
            <v>252.53803810497325</v>
          </cell>
          <cell r="AQ116">
            <v>0</v>
          </cell>
          <cell r="AS116">
            <v>792.72739894583151</v>
          </cell>
          <cell r="AT116">
            <v>0</v>
          </cell>
          <cell r="AV116">
            <v>65.283353780054597</v>
          </cell>
          <cell r="AW116">
            <v>0</v>
          </cell>
          <cell r="AY116">
            <v>90.238260002622894</v>
          </cell>
          <cell r="AZ116">
            <v>0</v>
          </cell>
          <cell r="BB116">
            <v>0</v>
          </cell>
          <cell r="BC116">
            <v>0</v>
          </cell>
          <cell r="BE116">
            <v>0</v>
          </cell>
          <cell r="BF116">
            <v>0</v>
          </cell>
          <cell r="BH116">
            <v>0</v>
          </cell>
          <cell r="BI116">
            <v>0</v>
          </cell>
          <cell r="BK116">
            <v>15.221714027152627</v>
          </cell>
          <cell r="BL116">
            <v>0</v>
          </cell>
          <cell r="BN116">
            <v>0</v>
          </cell>
          <cell r="BO116">
            <v>0</v>
          </cell>
          <cell r="BT116">
            <v>55.829691759794173</v>
          </cell>
          <cell r="BU116">
            <v>81.678982620804277</v>
          </cell>
          <cell r="BW116">
            <v>58.384948082713876</v>
          </cell>
          <cell r="BX116">
            <v>683.48342101369349</v>
          </cell>
          <cell r="BZ116">
            <v>45.915315476590322</v>
          </cell>
          <cell r="CA116">
            <v>91.995616206366975</v>
          </cell>
          <cell r="CC116">
            <v>50.73786289103154</v>
          </cell>
          <cell r="CD116">
            <v>50.529633641064905</v>
          </cell>
          <cell r="CF116">
            <v>6.2461384240853226</v>
          </cell>
          <cell r="CG116">
            <v>0</v>
          </cell>
          <cell r="CI116">
            <v>3.1195875295320228</v>
          </cell>
          <cell r="CJ116">
            <v>0</v>
          </cell>
          <cell r="CL116">
            <v>0</v>
          </cell>
          <cell r="CM116">
            <v>0</v>
          </cell>
          <cell r="CX116">
            <v>67.054523257795154</v>
          </cell>
          <cell r="CY116">
            <v>723.69865892104588</v>
          </cell>
        </row>
        <row r="117"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115.73823568690881</v>
          </cell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P117">
            <v>31.567254763121657</v>
          </cell>
          <cell r="AQ117">
            <v>0</v>
          </cell>
          <cell r="AS117">
            <v>414.86545717728092</v>
          </cell>
          <cell r="AT117">
            <v>0</v>
          </cell>
          <cell r="AV117">
            <v>0</v>
          </cell>
          <cell r="AW117">
            <v>0</v>
          </cell>
          <cell r="AY117">
            <v>0</v>
          </cell>
          <cell r="AZ117">
            <v>0</v>
          </cell>
          <cell r="BB117">
            <v>0</v>
          </cell>
          <cell r="BC117">
            <v>0</v>
          </cell>
          <cell r="BE117">
            <v>0</v>
          </cell>
          <cell r="BF117">
            <v>0</v>
          </cell>
          <cell r="BH117">
            <v>0</v>
          </cell>
          <cell r="BI117">
            <v>0</v>
          </cell>
          <cell r="BK117">
            <v>0</v>
          </cell>
          <cell r="BL117">
            <v>0</v>
          </cell>
          <cell r="BN117">
            <v>0</v>
          </cell>
          <cell r="BO117">
            <v>0</v>
          </cell>
          <cell r="BT117">
            <v>15.951340502798338</v>
          </cell>
          <cell r="BU117">
            <v>40.850604097153273</v>
          </cell>
          <cell r="BW117">
            <v>0</v>
          </cell>
          <cell r="BX117">
            <v>0.6963657291359644</v>
          </cell>
          <cell r="BZ117">
            <v>0</v>
          </cell>
          <cell r="CA117">
            <v>46.010324513551701</v>
          </cell>
          <cell r="CC117">
            <v>0</v>
          </cell>
          <cell r="CD117">
            <v>0</v>
          </cell>
          <cell r="CF117">
            <v>0</v>
          </cell>
          <cell r="CG117">
            <v>0</v>
          </cell>
          <cell r="CI117">
            <v>0</v>
          </cell>
          <cell r="CJ117">
            <v>0</v>
          </cell>
          <cell r="CL117">
            <v>0</v>
          </cell>
          <cell r="CM117">
            <v>0</v>
          </cell>
          <cell r="CX117">
            <v>8.3391370681589478</v>
          </cell>
          <cell r="CY117">
            <v>319.2453639679004</v>
          </cell>
        </row>
        <row r="118"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125.49688404842371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P118">
            <v>23.675441072341243</v>
          </cell>
          <cell r="AQ118">
            <v>0</v>
          </cell>
          <cell r="AS118">
            <v>350.11210501028825</v>
          </cell>
          <cell r="AT118">
            <v>0</v>
          </cell>
          <cell r="AV118">
            <v>0</v>
          </cell>
          <cell r="AW118">
            <v>0</v>
          </cell>
          <cell r="AY118">
            <v>0</v>
          </cell>
          <cell r="AZ118">
            <v>0</v>
          </cell>
          <cell r="BB118">
            <v>0</v>
          </cell>
          <cell r="BC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K118">
            <v>0</v>
          </cell>
          <cell r="BL118">
            <v>0</v>
          </cell>
          <cell r="BN118">
            <v>0</v>
          </cell>
          <cell r="BO118">
            <v>0</v>
          </cell>
          <cell r="BT118">
            <v>31.902681005596676</v>
          </cell>
          <cell r="BU118">
            <v>36.294361529190041</v>
          </cell>
          <cell r="BW118">
            <v>0</v>
          </cell>
          <cell r="BX118">
            <v>0.75508088270052198</v>
          </cell>
          <cell r="BZ118">
            <v>0</v>
          </cell>
          <cell r="CA118">
            <v>40.878596262584288</v>
          </cell>
          <cell r="CC118">
            <v>0</v>
          </cell>
          <cell r="CD118">
            <v>0</v>
          </cell>
          <cell r="CF118">
            <v>0</v>
          </cell>
          <cell r="CG118">
            <v>0</v>
          </cell>
          <cell r="CI118">
            <v>0</v>
          </cell>
          <cell r="CJ118">
            <v>0</v>
          </cell>
          <cell r="CL118">
            <v>0</v>
          </cell>
          <cell r="CM118">
            <v>0</v>
          </cell>
          <cell r="CX118">
            <v>12.171727494128618</v>
          </cell>
          <cell r="CY118">
            <v>254.89009273252174</v>
          </cell>
        </row>
        <row r="119"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130.22460940692412</v>
          </cell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P119">
            <v>47.350882144682487</v>
          </cell>
          <cell r="AQ119">
            <v>0</v>
          </cell>
          <cell r="AS119">
            <v>378.03119724461283</v>
          </cell>
          <cell r="AT119">
            <v>0</v>
          </cell>
          <cell r="AV119">
            <v>0</v>
          </cell>
          <cell r="AW119">
            <v>0</v>
          </cell>
          <cell r="AY119">
            <v>0</v>
          </cell>
          <cell r="AZ119">
            <v>0</v>
          </cell>
          <cell r="BB119">
            <v>0</v>
          </cell>
          <cell r="BC119">
            <v>0</v>
          </cell>
          <cell r="BE119">
            <v>0</v>
          </cell>
          <cell r="BF119">
            <v>0</v>
          </cell>
          <cell r="BH119">
            <v>0</v>
          </cell>
          <cell r="BI119">
            <v>0</v>
          </cell>
          <cell r="BK119">
            <v>0</v>
          </cell>
          <cell r="BL119">
            <v>0</v>
          </cell>
          <cell r="BN119">
            <v>0</v>
          </cell>
          <cell r="BO119">
            <v>0</v>
          </cell>
          <cell r="BT119">
            <v>35.890516131296266</v>
          </cell>
          <cell r="BU119">
            <v>26.959620658240979</v>
          </cell>
          <cell r="BW119">
            <v>0</v>
          </cell>
          <cell r="BX119">
            <v>0.78353434840898295</v>
          </cell>
          <cell r="BZ119">
            <v>0</v>
          </cell>
          <cell r="CA119">
            <v>31.939773098144659</v>
          </cell>
          <cell r="CC119">
            <v>0</v>
          </cell>
          <cell r="CD119">
            <v>0</v>
          </cell>
          <cell r="CF119">
            <v>0</v>
          </cell>
          <cell r="CG119">
            <v>0</v>
          </cell>
          <cell r="CI119">
            <v>0</v>
          </cell>
          <cell r="CJ119">
            <v>0</v>
          </cell>
          <cell r="CL119">
            <v>0</v>
          </cell>
          <cell r="CM119">
            <v>0</v>
          </cell>
          <cell r="CX119">
            <v>13.25288537529002</v>
          </cell>
          <cell r="CY119">
            <v>338.89095498593747</v>
          </cell>
        </row>
        <row r="120"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130.79253281798299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63.134509526243313</v>
          </cell>
          <cell r="AQ120">
            <v>0</v>
          </cell>
          <cell r="AS120">
            <v>461.54235661714711</v>
          </cell>
          <cell r="AT120">
            <v>0</v>
          </cell>
          <cell r="AV120">
            <v>0</v>
          </cell>
          <cell r="AW120">
            <v>0</v>
          </cell>
          <cell r="AY120">
            <v>0</v>
          </cell>
          <cell r="AZ120">
            <v>0</v>
          </cell>
          <cell r="BB120">
            <v>0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0</v>
          </cell>
          <cell r="BL120">
            <v>0</v>
          </cell>
          <cell r="BN120">
            <v>0</v>
          </cell>
          <cell r="BO120">
            <v>0</v>
          </cell>
          <cell r="BT120">
            <v>39.878351256995849</v>
          </cell>
          <cell r="BU120">
            <v>43.473221770419904</v>
          </cell>
          <cell r="BW120">
            <v>0</v>
          </cell>
          <cell r="BX120">
            <v>0.78694337217753441</v>
          </cell>
          <cell r="BZ120">
            <v>0</v>
          </cell>
          <cell r="CA120">
            <v>48.964197360450015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0</v>
          </cell>
          <cell r="CJ120">
            <v>0</v>
          </cell>
          <cell r="CL120">
            <v>0</v>
          </cell>
          <cell r="CM120">
            <v>0</v>
          </cell>
          <cell r="CX120">
            <v>16.953739119536522</v>
          </cell>
          <cell r="CY120">
            <v>425.59972561476349</v>
          </cell>
        </row>
        <row r="121">
          <cell r="I121">
            <v>1830.4126028444532</v>
          </cell>
          <cell r="J121">
            <v>1838.4677818256539</v>
          </cell>
          <cell r="L121">
            <v>372.23739875297053</v>
          </cell>
          <cell r="M121">
            <v>394.85212852383791</v>
          </cell>
          <cell r="O121">
            <v>781.62</v>
          </cell>
          <cell r="P121">
            <v>781.76</v>
          </cell>
          <cell r="R121">
            <v>0</v>
          </cell>
          <cell r="S121">
            <v>0</v>
          </cell>
          <cell r="U121">
            <v>118.22581795543685</v>
          </cell>
          <cell r="V121">
            <v>81.451914154302898</v>
          </cell>
          <cell r="X121">
            <v>1148.6259876199663</v>
          </cell>
          <cell r="Y121">
            <v>1099.386296202297</v>
          </cell>
          <cell r="AA121">
            <v>0</v>
          </cell>
          <cell r="AB121">
            <v>0</v>
          </cell>
          <cell r="AD121">
            <v>2263.1976305248904</v>
          </cell>
          <cell r="AE121">
            <v>2115.4378897203901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1657.2808750638872</v>
          </cell>
          <cell r="AQ121">
            <v>0</v>
          </cell>
          <cell r="AS121">
            <v>6739.0552952929311</v>
          </cell>
          <cell r="AT121">
            <v>0</v>
          </cell>
          <cell r="AV121">
            <v>293.41770088640146</v>
          </cell>
          <cell r="AW121">
            <v>0</v>
          </cell>
          <cell r="AY121">
            <v>479.78182875221421</v>
          </cell>
          <cell r="AZ121">
            <v>0</v>
          </cell>
          <cell r="BB121">
            <v>298.87887909621088</v>
          </cell>
          <cell r="BC121">
            <v>0</v>
          </cell>
          <cell r="BE121">
            <v>0</v>
          </cell>
          <cell r="BF121">
            <v>0</v>
          </cell>
          <cell r="BH121">
            <v>119.94714023874553</v>
          </cell>
          <cell r="BI121">
            <v>0</v>
          </cell>
          <cell r="BK121">
            <v>216.37577436144372</v>
          </cell>
          <cell r="BL121">
            <v>0</v>
          </cell>
          <cell r="BN121">
            <v>0</v>
          </cell>
          <cell r="BO121">
            <v>0</v>
          </cell>
          <cell r="BT121">
            <v>5925.0570718561357</v>
          </cell>
          <cell r="BU121">
            <v>2785.4498905108931</v>
          </cell>
          <cell r="BW121">
            <v>2993.9524813163084</v>
          </cell>
          <cell r="BX121">
            <v>1920.7459000326912</v>
          </cell>
          <cell r="BZ121">
            <v>1046.6787700960404</v>
          </cell>
          <cell r="CA121">
            <v>3459.9279276458751</v>
          </cell>
          <cell r="CC121">
            <v>309.13329796216897</v>
          </cell>
          <cell r="CD121">
            <v>307.86460844498095</v>
          </cell>
          <cell r="CF121">
            <v>38.056182514282163</v>
          </cell>
          <cell r="CG121">
            <v>0</v>
          </cell>
          <cell r="CI121">
            <v>1229.1174866356168</v>
          </cell>
          <cell r="CJ121">
            <v>138.24313379318312</v>
          </cell>
          <cell r="CL121">
            <v>0</v>
          </cell>
          <cell r="CM121">
            <v>0</v>
          </cell>
          <cell r="CX121">
            <v>667.77733387587796</v>
          </cell>
          <cell r="CY121">
            <v>16192.735034975074</v>
          </cell>
        </row>
        <row r="122"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121.16710832488467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55.242695835462904</v>
          </cell>
          <cell r="AQ122">
            <v>0</v>
          </cell>
          <cell r="AS122">
            <v>425.94940385534807</v>
          </cell>
          <cell r="AT122">
            <v>0</v>
          </cell>
          <cell r="AV122">
            <v>0</v>
          </cell>
          <cell r="AW122">
            <v>0</v>
          </cell>
          <cell r="AY122">
            <v>0</v>
          </cell>
          <cell r="AZ122">
            <v>0</v>
          </cell>
          <cell r="BB122">
            <v>0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0</v>
          </cell>
          <cell r="BL122">
            <v>0</v>
          </cell>
          <cell r="BN122">
            <v>0</v>
          </cell>
          <cell r="BO122">
            <v>0</v>
          </cell>
          <cell r="BT122">
            <v>0</v>
          </cell>
          <cell r="BU122">
            <v>0</v>
          </cell>
          <cell r="BW122">
            <v>0</v>
          </cell>
          <cell r="BX122">
            <v>0.72902979067529161</v>
          </cell>
          <cell r="BZ122">
            <v>0</v>
          </cell>
          <cell r="CA122">
            <v>0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0</v>
          </cell>
          <cell r="CJ122">
            <v>0</v>
          </cell>
          <cell r="CL122">
            <v>0</v>
          </cell>
          <cell r="CM122">
            <v>0</v>
          </cell>
          <cell r="CX122">
            <v>14.429480371026898</v>
          </cell>
          <cell r="CY122">
            <v>445.58463426132806</v>
          </cell>
        </row>
        <row r="123"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73.406351497538708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23.675441072341243</v>
          </cell>
          <cell r="AQ123">
            <v>0</v>
          </cell>
          <cell r="AS123">
            <v>276.90006966302394</v>
          </cell>
          <cell r="AT123">
            <v>0</v>
          </cell>
          <cell r="AV123">
            <v>0</v>
          </cell>
          <cell r="AW123">
            <v>0</v>
          </cell>
          <cell r="AY123">
            <v>0</v>
          </cell>
          <cell r="AZ123">
            <v>0</v>
          </cell>
          <cell r="BB123">
            <v>0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0</v>
          </cell>
          <cell r="BL123">
            <v>0</v>
          </cell>
          <cell r="BN123">
            <v>0</v>
          </cell>
          <cell r="BO123">
            <v>0</v>
          </cell>
          <cell r="BT123">
            <v>0</v>
          </cell>
          <cell r="BU123">
            <v>0</v>
          </cell>
          <cell r="BW123">
            <v>0</v>
          </cell>
          <cell r="BX123">
            <v>0.44166620633544335</v>
          </cell>
          <cell r="BZ123">
            <v>0</v>
          </cell>
          <cell r="CA123">
            <v>0</v>
          </cell>
          <cell r="CC123">
            <v>0</v>
          </cell>
          <cell r="CD123">
            <v>0</v>
          </cell>
          <cell r="CF123">
            <v>0</v>
          </cell>
          <cell r="CG123">
            <v>0</v>
          </cell>
          <cell r="CI123">
            <v>0</v>
          </cell>
          <cell r="CJ123">
            <v>0</v>
          </cell>
          <cell r="CL123">
            <v>0</v>
          </cell>
          <cell r="CM123">
            <v>0</v>
          </cell>
          <cell r="CX123">
            <v>7.2293871175618278</v>
          </cell>
          <cell r="CY123">
            <v>279.30237875535101</v>
          </cell>
        </row>
        <row r="124"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66.74515807670943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31.567254763121657</v>
          </cell>
          <cell r="AQ124">
            <v>0</v>
          </cell>
          <cell r="AS124">
            <v>263.16086733937976</v>
          </cell>
          <cell r="AT124">
            <v>0</v>
          </cell>
          <cell r="AV124">
            <v>0</v>
          </cell>
          <cell r="AW124">
            <v>0</v>
          </cell>
          <cell r="AY124">
            <v>0</v>
          </cell>
          <cell r="AZ124">
            <v>0</v>
          </cell>
          <cell r="BB124">
            <v>0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0</v>
          </cell>
          <cell r="BL124">
            <v>0</v>
          </cell>
          <cell r="BN124">
            <v>0</v>
          </cell>
          <cell r="BO124">
            <v>0</v>
          </cell>
          <cell r="BT124">
            <v>0</v>
          </cell>
          <cell r="BU124">
            <v>0</v>
          </cell>
          <cell r="BW124">
            <v>0</v>
          </cell>
          <cell r="BX124">
            <v>0.40158760321970433</v>
          </cell>
          <cell r="BZ124">
            <v>0</v>
          </cell>
          <cell r="CA124">
            <v>0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0</v>
          </cell>
          <cell r="CJ124">
            <v>0</v>
          </cell>
          <cell r="CL124">
            <v>0</v>
          </cell>
          <cell r="CM124">
            <v>0</v>
          </cell>
          <cell r="CX124">
            <v>8.8462534769982994</v>
          </cell>
          <cell r="CY124">
            <v>281.94390518408505</v>
          </cell>
        </row>
        <row r="125">
          <cell r="I125">
            <v>1892.1726710408768</v>
          </cell>
          <cell r="J125">
            <v>1900.1882788594646</v>
          </cell>
          <cell r="L125">
            <v>380.42374770340246</v>
          </cell>
          <cell r="M125">
            <v>403.53594587081159</v>
          </cell>
          <cell r="O125">
            <v>747.88</v>
          </cell>
          <cell r="P125">
            <v>747.62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>
            <v>1255.2804053373438</v>
          </cell>
          <cell r="Y125">
            <v>1196.0050866515255</v>
          </cell>
          <cell r="AA125">
            <v>0</v>
          </cell>
          <cell r="AB125">
            <v>0</v>
          </cell>
          <cell r="AD125">
            <v>2408.7540623010441</v>
          </cell>
          <cell r="AE125">
            <v>2111.2203036529972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1609.9299929192046</v>
          </cell>
          <cell r="AQ125">
            <v>0</v>
          </cell>
          <cell r="AS125">
            <v>7027.2795505622944</v>
          </cell>
          <cell r="AT125">
            <v>39.447300214665248</v>
          </cell>
          <cell r="AV125">
            <v>310.69298550910793</v>
          </cell>
          <cell r="AW125">
            <v>0</v>
          </cell>
          <cell r="AY125">
            <v>490.31866771622811</v>
          </cell>
          <cell r="AZ125">
            <v>0</v>
          </cell>
          <cell r="BB125">
            <v>298.96762202027503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259.81939144057162</v>
          </cell>
          <cell r="BL125">
            <v>0</v>
          </cell>
          <cell r="BN125">
            <v>0</v>
          </cell>
          <cell r="BO125">
            <v>0</v>
          </cell>
          <cell r="BT125">
            <v>4093.4756552240938</v>
          </cell>
          <cell r="BU125">
            <v>2695.4142888225188</v>
          </cell>
          <cell r="BW125">
            <v>2875.7520705027341</v>
          </cell>
          <cell r="BX125">
            <v>2559.7133119772857</v>
          </cell>
          <cell r="BZ125">
            <v>869.57683897204879</v>
          </cell>
          <cell r="CA125">
            <v>3203.0645786083119</v>
          </cell>
          <cell r="CC125">
            <v>285.06345189502264</v>
          </cell>
          <cell r="CD125">
            <v>283.89354552926807</v>
          </cell>
          <cell r="CF125">
            <v>35.093038585561501</v>
          </cell>
          <cell r="CG125">
            <v>0</v>
          </cell>
          <cell r="CI125">
            <v>670.71131884938472</v>
          </cell>
          <cell r="CJ125">
            <v>220.56827720456434</v>
          </cell>
          <cell r="CL125">
            <v>0</v>
          </cell>
          <cell r="CM125">
            <v>0</v>
          </cell>
          <cell r="CX125">
            <v>-1091.2097646950278</v>
          </cell>
          <cell r="CY125">
            <v>11089.414899130308</v>
          </cell>
        </row>
        <row r="126">
          <cell r="I126">
            <v>4233.0872346783917</v>
          </cell>
          <cell r="J126">
            <v>4131.464320450772</v>
          </cell>
          <cell r="L126">
            <v>653.2997804350706</v>
          </cell>
          <cell r="M126">
            <v>653.60956136110599</v>
          </cell>
          <cell r="O126">
            <v>1790.94</v>
          </cell>
          <cell r="P126">
            <v>1790.9</v>
          </cell>
          <cell r="R126">
            <v>366.96</v>
          </cell>
          <cell r="S126">
            <v>367.42</v>
          </cell>
          <cell r="U126">
            <v>208.3500279500883</v>
          </cell>
          <cell r="V126">
            <v>78.736320717270132</v>
          </cell>
          <cell r="X126">
            <v>1777.3378454003325</v>
          </cell>
          <cell r="Y126">
            <v>989.40345058054822</v>
          </cell>
          <cell r="AA126">
            <v>0</v>
          </cell>
          <cell r="AB126">
            <v>0</v>
          </cell>
          <cell r="AD126">
            <v>5067.8865664147379</v>
          </cell>
          <cell r="AE126">
            <v>4737.1087344049174</v>
          </cell>
          <cell r="AJ126">
            <v>10659.630588410922</v>
          </cell>
          <cell r="AK126">
            <v>9484.0560648632418</v>
          </cell>
          <cell r="AM126">
            <v>0</v>
          </cell>
          <cell r="AN126">
            <v>262.02400053441977</v>
          </cell>
          <cell r="AP126">
            <v>947.01764289364974</v>
          </cell>
          <cell r="AQ126">
            <v>0</v>
          </cell>
          <cell r="AS126">
            <v>17451.15737203055</v>
          </cell>
          <cell r="AT126">
            <v>2082</v>
          </cell>
          <cell r="AV126">
            <v>328.46265580426922</v>
          </cell>
          <cell r="AW126">
            <v>489</v>
          </cell>
          <cell r="AY126">
            <v>392.18005276187682</v>
          </cell>
          <cell r="AZ126">
            <v>0</v>
          </cell>
          <cell r="BB126">
            <v>372.00327676087647</v>
          </cell>
          <cell r="BC126">
            <v>0</v>
          </cell>
          <cell r="BE126">
            <v>189.47734017193309</v>
          </cell>
          <cell r="BF126">
            <v>0</v>
          </cell>
          <cell r="BH126">
            <v>105.68402349220877</v>
          </cell>
          <cell r="BI126">
            <v>0</v>
          </cell>
          <cell r="BK126">
            <v>220.07829963175874</v>
          </cell>
          <cell r="BL126">
            <v>0</v>
          </cell>
          <cell r="BN126">
            <v>79.769107936159529</v>
          </cell>
          <cell r="BO126">
            <v>0</v>
          </cell>
          <cell r="BT126">
            <v>16876.157167809484</v>
          </cell>
          <cell r="BU126">
            <v>8287.0776590901332</v>
          </cell>
          <cell r="BW126">
            <v>12533.585930717967</v>
          </cell>
          <cell r="BX126">
            <v>14752.867387027873</v>
          </cell>
          <cell r="BZ126">
            <v>3029.5777218352528</v>
          </cell>
          <cell r="CA126">
            <v>12351.557185330614</v>
          </cell>
          <cell r="CC126">
            <v>296.68168716572262</v>
          </cell>
          <cell r="CD126">
            <v>295.46409931954094</v>
          </cell>
          <cell r="CF126">
            <v>36.523313760931757</v>
          </cell>
          <cell r="CG126">
            <v>0</v>
          </cell>
          <cell r="CI126">
            <v>2991.6844408212096</v>
          </cell>
          <cell r="CJ126">
            <v>1843.8689549707319</v>
          </cell>
          <cell r="CL126">
            <v>2695.3236255156671</v>
          </cell>
          <cell r="CM126">
            <v>1864.0728731609627</v>
          </cell>
          <cell r="CX126">
            <v>2500.953157121141</v>
          </cell>
          <cell r="CY126">
            <v>25111.623265825452</v>
          </cell>
        </row>
        <row r="127">
          <cell r="I127">
            <v>4776.7343170700387</v>
          </cell>
          <cell r="J127">
            <v>4716.0819696134658</v>
          </cell>
          <cell r="L127">
            <v>719.57122720494851</v>
          </cell>
          <cell r="M127">
            <v>719.92278325808843</v>
          </cell>
          <cell r="O127">
            <v>2454.42</v>
          </cell>
          <cell r="P127">
            <v>2454.56</v>
          </cell>
          <cell r="R127">
            <v>501.14</v>
          </cell>
          <cell r="S127">
            <v>501.64</v>
          </cell>
          <cell r="U127">
            <v>208.3500279500883</v>
          </cell>
          <cell r="V127">
            <v>126.61702184441324</v>
          </cell>
          <cell r="X127">
            <v>1852.0601884178236</v>
          </cell>
          <cell r="Y127">
            <v>3259.4496877949305</v>
          </cell>
          <cell r="AA127">
            <v>0</v>
          </cell>
          <cell r="AB127">
            <v>0</v>
          </cell>
          <cell r="AD127">
            <v>6748.0460618437055</v>
          </cell>
          <cell r="AE127">
            <v>6309.1565088731277</v>
          </cell>
          <cell r="AJ127">
            <v>7894.1608090169193</v>
          </cell>
          <cell r="AK127">
            <v>7861.759680440734</v>
          </cell>
          <cell r="AM127">
            <v>0</v>
          </cell>
          <cell r="AN127">
            <v>0</v>
          </cell>
          <cell r="AP127">
            <v>986.47671134755183</v>
          </cell>
          <cell r="AQ127">
            <v>0</v>
          </cell>
          <cell r="AS127">
            <v>21730.434584412214</v>
          </cell>
          <cell r="AT127">
            <v>1533</v>
          </cell>
          <cell r="AV127">
            <v>369.47411731187549</v>
          </cell>
          <cell r="AW127">
            <v>834</v>
          </cell>
          <cell r="AY127">
            <v>475.19115838972868</v>
          </cell>
          <cell r="AZ127">
            <v>0</v>
          </cell>
          <cell r="BB127">
            <v>655.87603860784714</v>
          </cell>
          <cell r="BC127">
            <v>0</v>
          </cell>
          <cell r="BE127">
            <v>238.48745367779139</v>
          </cell>
          <cell r="BF127">
            <v>0</v>
          </cell>
          <cell r="BH127">
            <v>105.68402349220877</v>
          </cell>
          <cell r="BI127">
            <v>0</v>
          </cell>
          <cell r="BK127">
            <v>223.64458815826015</v>
          </cell>
          <cell r="BL127">
            <v>0</v>
          </cell>
          <cell r="BN127">
            <v>81.769380765920587</v>
          </cell>
          <cell r="BO127">
            <v>0</v>
          </cell>
          <cell r="BT127">
            <v>17587.448211511677</v>
          </cell>
          <cell r="BU127">
            <v>19946.635915361119</v>
          </cell>
          <cell r="BW127">
            <v>13238.40311574012</v>
          </cell>
          <cell r="BX127">
            <v>19343.125569820291</v>
          </cell>
          <cell r="BZ127">
            <v>4327.9681740503611</v>
          </cell>
          <cell r="CA127">
            <v>14686.935358489882</v>
          </cell>
          <cell r="CC127">
            <v>214.12848802707805</v>
          </cell>
          <cell r="CD127">
            <v>213.24970023591447</v>
          </cell>
          <cell r="CF127">
            <v>26.360514624545594</v>
          </cell>
          <cell r="CG127">
            <v>0</v>
          </cell>
          <cell r="CI127">
            <v>3272.4473184790918</v>
          </cell>
          <cell r="CJ127">
            <v>1637.3437326279136</v>
          </cell>
          <cell r="CL127">
            <v>3303.6431937744119</v>
          </cell>
          <cell r="CM127">
            <v>2699.8124196207459</v>
          </cell>
          <cell r="CX127">
            <v>55.316355350936647</v>
          </cell>
          <cell r="CY127">
            <v>6233.6715824232451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160.60137337619403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63.134509526243313</v>
          </cell>
          <cell r="AQ128">
            <v>0</v>
          </cell>
          <cell r="AS128">
            <v>569.25774224742077</v>
          </cell>
          <cell r="AT128">
            <v>0</v>
          </cell>
          <cell r="AV128">
            <v>0</v>
          </cell>
          <cell r="AW128">
            <v>0</v>
          </cell>
          <cell r="AY128">
            <v>0</v>
          </cell>
          <cell r="AZ128">
            <v>0</v>
          </cell>
          <cell r="BB128">
            <v>0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0</v>
          </cell>
          <cell r="BL128">
            <v>0</v>
          </cell>
          <cell r="BN128">
            <v>0</v>
          </cell>
          <cell r="BO128">
            <v>0</v>
          </cell>
          <cell r="BT128">
            <v>31.902681005596676</v>
          </cell>
          <cell r="BU128">
            <v>62.564989408860967</v>
          </cell>
          <cell r="BW128">
            <v>0</v>
          </cell>
          <cell r="BX128">
            <v>0.96629512112046623</v>
          </cell>
          <cell r="BZ128">
            <v>0</v>
          </cell>
          <cell r="CA128">
            <v>74.118437590669004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0</v>
          </cell>
          <cell r="CJ128">
            <v>0</v>
          </cell>
          <cell r="CL128">
            <v>0</v>
          </cell>
          <cell r="CM128">
            <v>0</v>
          </cell>
          <cell r="CX128">
            <v>11.98608066488714</v>
          </cell>
          <cell r="CY128">
            <v>451.23868540378663</v>
          </cell>
        </row>
        <row r="129"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D129">
            <v>0</v>
          </cell>
          <cell r="AE129">
            <v>125.82994371946518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63.134509526243313</v>
          </cell>
          <cell r="AQ129">
            <v>0</v>
          </cell>
          <cell r="AS129">
            <v>381.67647174255643</v>
          </cell>
          <cell r="AT129">
            <v>0</v>
          </cell>
          <cell r="AV129">
            <v>0</v>
          </cell>
          <cell r="AW129">
            <v>0</v>
          </cell>
          <cell r="AY129">
            <v>0</v>
          </cell>
          <cell r="AZ129">
            <v>0</v>
          </cell>
          <cell r="BB129">
            <v>0</v>
          </cell>
          <cell r="BC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K129">
            <v>0</v>
          </cell>
          <cell r="BL129">
            <v>0</v>
          </cell>
          <cell r="BN129">
            <v>0</v>
          </cell>
          <cell r="BO129">
            <v>0</v>
          </cell>
          <cell r="BT129">
            <v>15.951340502798338</v>
          </cell>
          <cell r="BU129">
            <v>26.804041643725167</v>
          </cell>
          <cell r="BW129">
            <v>0</v>
          </cell>
          <cell r="BX129">
            <v>0.75708481285630902</v>
          </cell>
          <cell r="BZ129">
            <v>0</v>
          </cell>
          <cell r="CA129">
            <v>31.764543352989676</v>
          </cell>
          <cell r="CC129">
            <v>0</v>
          </cell>
          <cell r="CD129">
            <v>0</v>
          </cell>
          <cell r="CF129">
            <v>0</v>
          </cell>
          <cell r="CG129">
            <v>0</v>
          </cell>
          <cell r="CI129">
            <v>0</v>
          </cell>
          <cell r="CJ129">
            <v>0</v>
          </cell>
          <cell r="CL129">
            <v>0</v>
          </cell>
          <cell r="CM129">
            <v>0</v>
          </cell>
          <cell r="CX129">
            <v>13.785213874082274</v>
          </cell>
          <cell r="CY129">
            <v>344.51326376515647</v>
          </cell>
        </row>
        <row r="130"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94.655558509984104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63.134509526243313</v>
          </cell>
          <cell r="AQ130">
            <v>0</v>
          </cell>
          <cell r="AS130">
            <v>309.06574070629631</v>
          </cell>
          <cell r="AT130">
            <v>0</v>
          </cell>
          <cell r="AV130">
            <v>0</v>
          </cell>
          <cell r="AW130">
            <v>0</v>
          </cell>
          <cell r="AY130">
            <v>0</v>
          </cell>
          <cell r="AZ130">
            <v>0</v>
          </cell>
          <cell r="BB130">
            <v>0</v>
          </cell>
          <cell r="BC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K130">
            <v>0</v>
          </cell>
          <cell r="BL130">
            <v>0</v>
          </cell>
          <cell r="BN130">
            <v>0</v>
          </cell>
          <cell r="BO130">
            <v>0</v>
          </cell>
          <cell r="BT130">
            <v>0</v>
          </cell>
          <cell r="BU130">
            <v>0</v>
          </cell>
          <cell r="BW130">
            <v>0</v>
          </cell>
          <cell r="BX130">
            <v>0.56951695027465044</v>
          </cell>
          <cell r="BZ130">
            <v>0</v>
          </cell>
          <cell r="CA130">
            <v>0</v>
          </cell>
          <cell r="CC130">
            <v>0</v>
          </cell>
          <cell r="CD130">
            <v>0</v>
          </cell>
          <cell r="CF130">
            <v>0</v>
          </cell>
          <cell r="CG130">
            <v>0</v>
          </cell>
          <cell r="CI130">
            <v>0</v>
          </cell>
          <cell r="CJ130">
            <v>0</v>
          </cell>
          <cell r="CL130">
            <v>0</v>
          </cell>
          <cell r="CM130">
            <v>0</v>
          </cell>
          <cell r="CX130">
            <v>-3.0027904756479984E-4</v>
          </cell>
          <cell r="CY130">
            <v>332.36990944768945</v>
          </cell>
        </row>
        <row r="131">
          <cell r="I131">
            <v>1430.0344742090283</v>
          </cell>
          <cell r="J131">
            <v>1444.8532713170662</v>
          </cell>
          <cell r="L131">
            <v>231.48993924785538</v>
          </cell>
          <cell r="M131">
            <v>245.55324473912236</v>
          </cell>
          <cell r="O131">
            <v>820.06</v>
          </cell>
          <cell r="P131">
            <v>820.22</v>
          </cell>
          <cell r="R131">
            <v>194.64</v>
          </cell>
          <cell r="S131">
            <v>194.56</v>
          </cell>
          <cell r="U131">
            <v>65.029090713311319</v>
          </cell>
          <cell r="V131">
            <v>44.801949445173271</v>
          </cell>
          <cell r="X131">
            <v>654.25699934816919</v>
          </cell>
          <cell r="Y131">
            <v>580.50709431301186</v>
          </cell>
          <cell r="AA131">
            <v>0</v>
          </cell>
          <cell r="AB131">
            <v>0</v>
          </cell>
          <cell r="AD131">
            <v>2718.7162165288923</v>
          </cell>
          <cell r="AE131">
            <v>2542.6461350885529</v>
          </cell>
          <cell r="AJ131">
            <v>2496.4053549718647</v>
          </cell>
          <cell r="AK131">
            <v>2486.1545092240235</v>
          </cell>
          <cell r="AM131">
            <v>0</v>
          </cell>
          <cell r="AN131">
            <v>0</v>
          </cell>
          <cell r="AP131">
            <v>355.13161608511865</v>
          </cell>
          <cell r="AQ131">
            <v>0</v>
          </cell>
          <cell r="AS131">
            <v>7879.6081610338397</v>
          </cell>
          <cell r="AT131">
            <v>0</v>
          </cell>
          <cell r="AV131">
            <v>124.99549231576577</v>
          </cell>
          <cell r="AW131">
            <v>0</v>
          </cell>
          <cell r="AY131">
            <v>153.02341104794502</v>
          </cell>
          <cell r="AZ131">
            <v>0</v>
          </cell>
          <cell r="BB131">
            <v>335.89607452838891</v>
          </cell>
          <cell r="BC131">
            <v>0</v>
          </cell>
          <cell r="BE131">
            <v>111.59307533867725</v>
          </cell>
          <cell r="BF131">
            <v>0</v>
          </cell>
          <cell r="BH131">
            <v>32.980617657691397</v>
          </cell>
          <cell r="BI131">
            <v>0</v>
          </cell>
          <cell r="BK131">
            <v>43.380793390018312</v>
          </cell>
          <cell r="BL131">
            <v>0</v>
          </cell>
          <cell r="BN131">
            <v>0</v>
          </cell>
          <cell r="BO131">
            <v>0</v>
          </cell>
          <cell r="BT131">
            <v>5076.3461212406182</v>
          </cell>
          <cell r="BU131">
            <v>1891.0448865233541</v>
          </cell>
          <cell r="BW131">
            <v>5207.3786003992145</v>
          </cell>
          <cell r="BX131">
            <v>3681.5462877090476</v>
          </cell>
          <cell r="BZ131">
            <v>281.31793131327345</v>
          </cell>
          <cell r="CA131">
            <v>2813.6133212085106</v>
          </cell>
          <cell r="CC131">
            <v>224.76628150278225</v>
          </cell>
          <cell r="CD131">
            <v>223.84383598481409</v>
          </cell>
          <cell r="CF131">
            <v>27.670091472880394</v>
          </cell>
          <cell r="CG131">
            <v>0</v>
          </cell>
          <cell r="CI131">
            <v>586.48245555202027</v>
          </cell>
          <cell r="CJ131">
            <v>256.30095152285605</v>
          </cell>
          <cell r="CL131">
            <v>567.76493037482805</v>
          </cell>
          <cell r="CM131">
            <v>281.16866380892759</v>
          </cell>
          <cell r="CX131">
            <v>572.55872607338097</v>
          </cell>
          <cell r="CY131">
            <v>15107.14301893865</v>
          </cell>
        </row>
        <row r="132"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D132">
            <v>0</v>
          </cell>
          <cell r="AE132">
            <v>143.14904661362129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47.350882144682487</v>
          </cell>
          <cell r="AQ132">
            <v>0</v>
          </cell>
          <cell r="AS132">
            <v>363.18261367780133</v>
          </cell>
          <cell r="AT132">
            <v>0</v>
          </cell>
          <cell r="AV132">
            <v>0</v>
          </cell>
          <cell r="AW132">
            <v>0</v>
          </cell>
          <cell r="AY132">
            <v>0</v>
          </cell>
          <cell r="AZ132">
            <v>0</v>
          </cell>
          <cell r="BB132">
            <v>0</v>
          </cell>
          <cell r="BC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N132">
            <v>0</v>
          </cell>
          <cell r="BO132">
            <v>0</v>
          </cell>
          <cell r="BT132">
            <v>0</v>
          </cell>
          <cell r="BU132">
            <v>0</v>
          </cell>
          <cell r="BW132">
            <v>0</v>
          </cell>
          <cell r="BX132">
            <v>0.86128918095723028</v>
          </cell>
          <cell r="BZ132">
            <v>0</v>
          </cell>
          <cell r="CA132">
            <v>0</v>
          </cell>
          <cell r="CC132">
            <v>0</v>
          </cell>
          <cell r="CD132">
            <v>0</v>
          </cell>
          <cell r="CF132">
            <v>0</v>
          </cell>
          <cell r="CG132">
            <v>0</v>
          </cell>
          <cell r="CI132">
            <v>0</v>
          </cell>
          <cell r="CJ132">
            <v>0</v>
          </cell>
          <cell r="CL132">
            <v>0</v>
          </cell>
          <cell r="CM132">
            <v>0</v>
          </cell>
          <cell r="CX132">
            <v>9.8198050130194474</v>
          </cell>
          <cell r="CY132">
            <v>329.64759704650578</v>
          </cell>
        </row>
        <row r="133"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28.1</v>
          </cell>
          <cell r="P133">
            <v>28.08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125.29659701153236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11.837720536170622</v>
          </cell>
          <cell r="AQ133">
            <v>0</v>
          </cell>
          <cell r="AS133">
            <v>376.0473934711996</v>
          </cell>
          <cell r="AT133">
            <v>0</v>
          </cell>
          <cell r="AV133">
            <v>0</v>
          </cell>
          <cell r="AW133">
            <v>0</v>
          </cell>
          <cell r="AY133">
            <v>0</v>
          </cell>
          <cell r="AZ133">
            <v>0</v>
          </cell>
          <cell r="BB133">
            <v>10.841388784924442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N133">
            <v>0</v>
          </cell>
          <cell r="BO133">
            <v>0</v>
          </cell>
          <cell r="BT133">
            <v>0</v>
          </cell>
          <cell r="BU133">
            <v>0</v>
          </cell>
          <cell r="BW133">
            <v>0</v>
          </cell>
          <cell r="BX133">
            <v>0.75335062234732297</v>
          </cell>
          <cell r="BZ133">
            <v>0</v>
          </cell>
          <cell r="CA133">
            <v>0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0</v>
          </cell>
          <cell r="CJ133">
            <v>0</v>
          </cell>
          <cell r="CL133">
            <v>0</v>
          </cell>
          <cell r="CM133">
            <v>0</v>
          </cell>
          <cell r="CX133">
            <v>47.988196649246333</v>
          </cell>
          <cell r="CY133">
            <v>375.22406283934436</v>
          </cell>
        </row>
        <row r="134">
          <cell r="I134">
            <v>865.13584529854973</v>
          </cell>
          <cell r="J134">
            <v>1064.0465797030593</v>
          </cell>
          <cell r="L134">
            <v>151.89314510575448</v>
          </cell>
          <cell r="M134">
            <v>185.9439156439465</v>
          </cell>
          <cell r="O134">
            <v>355.74</v>
          </cell>
          <cell r="P134">
            <v>355.74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X134">
            <v>501.10049208695614</v>
          </cell>
          <cell r="Y134">
            <v>417.77923615301131</v>
          </cell>
          <cell r="AA134">
            <v>0</v>
          </cell>
          <cell r="AB134">
            <v>0</v>
          </cell>
          <cell r="AD134">
            <v>1058.6958876213164</v>
          </cell>
          <cell r="AE134">
            <v>989.25383492735682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733.9386732425786</v>
          </cell>
          <cell r="AQ134">
            <v>2122.5625395194074</v>
          </cell>
          <cell r="AS134">
            <v>2437.5860038463184</v>
          </cell>
          <cell r="AT134">
            <v>1527.4757038852297</v>
          </cell>
          <cell r="AV134">
            <v>143.40667600346097</v>
          </cell>
          <cell r="AW134">
            <v>0</v>
          </cell>
          <cell r="AY134">
            <v>195.76233491122258</v>
          </cell>
          <cell r="AZ134">
            <v>0</v>
          </cell>
          <cell r="BB134">
            <v>195.83071739750042</v>
          </cell>
          <cell r="BC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K134">
            <v>58.242111861801746</v>
          </cell>
          <cell r="BL134">
            <v>0</v>
          </cell>
          <cell r="BN134">
            <v>0</v>
          </cell>
          <cell r="BO134">
            <v>0</v>
          </cell>
          <cell r="BT134">
            <v>4523.2235593910427</v>
          </cell>
          <cell r="BU134">
            <v>3579.5876771427706</v>
          </cell>
          <cell r="BW134">
            <v>1590.6871427887886</v>
          </cell>
          <cell r="BX134">
            <v>1466.3952753171416</v>
          </cell>
          <cell r="BZ134">
            <v>1152.8566188084644</v>
          </cell>
          <cell r="CA134">
            <v>3592.030110609905</v>
          </cell>
          <cell r="CC134">
            <v>98.534400397075743</v>
          </cell>
          <cell r="CD134">
            <v>98.130013158010087</v>
          </cell>
          <cell r="CF134">
            <v>12.13018186706425</v>
          </cell>
          <cell r="CG134">
            <v>0</v>
          </cell>
          <cell r="CI134">
            <v>271.40411506928592</v>
          </cell>
          <cell r="CJ134">
            <v>287.35226307007093</v>
          </cell>
          <cell r="CL134">
            <v>0</v>
          </cell>
          <cell r="CM134">
            <v>0</v>
          </cell>
          <cell r="CX134">
            <v>253.0185131633807</v>
          </cell>
          <cell r="CY134">
            <v>-1355.1365789558931</v>
          </cell>
        </row>
        <row r="135">
          <cell r="I135">
            <v>1901.7003311699566</v>
          </cell>
          <cell r="J135">
            <v>1890.3639101399772</v>
          </cell>
          <cell r="L135">
            <v>324.64784090836838</v>
          </cell>
          <cell r="M135">
            <v>324.80650278856803</v>
          </cell>
          <cell r="O135">
            <v>991.6</v>
          </cell>
          <cell r="P135">
            <v>991.6</v>
          </cell>
          <cell r="R135">
            <v>199.04</v>
          </cell>
          <cell r="S135">
            <v>199.04</v>
          </cell>
          <cell r="U135">
            <v>130.00964065633656</v>
          </cell>
          <cell r="V135">
            <v>49.13101697383847</v>
          </cell>
          <cell r="X135">
            <v>1492.6457810054089</v>
          </cell>
          <cell r="Y135">
            <v>850.60195622901301</v>
          </cell>
          <cell r="AA135">
            <v>0</v>
          </cell>
          <cell r="AB135">
            <v>0</v>
          </cell>
          <cell r="AD135">
            <v>2867.8002093199393</v>
          </cell>
          <cell r="AE135">
            <v>2680.5974564101198</v>
          </cell>
          <cell r="AJ135">
            <v>6913.0950965152351</v>
          </cell>
          <cell r="AK135">
            <v>6884.704745994155</v>
          </cell>
          <cell r="AM135">
            <v>0</v>
          </cell>
          <cell r="AN135">
            <v>0</v>
          </cell>
          <cell r="AP135">
            <v>552.42695835462905</v>
          </cell>
          <cell r="AQ135">
            <v>3017.0154763089699</v>
          </cell>
          <cell r="AS135">
            <v>12409.802417133933</v>
          </cell>
          <cell r="AT135">
            <v>5881.5499808682798</v>
          </cell>
          <cell r="AV135">
            <v>161.43598939048366</v>
          </cell>
          <cell r="AW135">
            <v>0</v>
          </cell>
          <cell r="AY135">
            <v>216.85252149748126</v>
          </cell>
          <cell r="AZ135">
            <v>0</v>
          </cell>
          <cell r="BB135">
            <v>245.14168481353812</v>
          </cell>
          <cell r="BC135">
            <v>0</v>
          </cell>
          <cell r="BE135">
            <v>99.504095214135731</v>
          </cell>
          <cell r="BF135">
            <v>0</v>
          </cell>
          <cell r="BH135">
            <v>65.961235315382794</v>
          </cell>
          <cell r="BI135">
            <v>0</v>
          </cell>
          <cell r="BK135">
            <v>143.99064936730142</v>
          </cell>
          <cell r="BL135">
            <v>0</v>
          </cell>
          <cell r="BN135">
            <v>65.815575516818669</v>
          </cell>
          <cell r="BO135">
            <v>0</v>
          </cell>
          <cell r="BT135">
            <v>8208.7246994349371</v>
          </cell>
          <cell r="BU135">
            <v>5871.1712155496107</v>
          </cell>
          <cell r="BW135">
            <v>8106.6637301468609</v>
          </cell>
          <cell r="BX135">
            <v>9248.465293271267</v>
          </cell>
          <cell r="BZ135">
            <v>1081.9920435125903</v>
          </cell>
          <cell r="CA135">
            <v>5245.1852462603947</v>
          </cell>
          <cell r="CC135">
            <v>187.90167001094099</v>
          </cell>
          <cell r="CD135">
            <v>187.13051762918047</v>
          </cell>
          <cell r="CF135">
            <v>23.131834376346898</v>
          </cell>
          <cell r="CG135">
            <v>0</v>
          </cell>
          <cell r="CI135">
            <v>1060.6597600408875</v>
          </cell>
          <cell r="CJ135">
            <v>1037.6567810869228</v>
          </cell>
          <cell r="CL135">
            <v>1157.3669734563805</v>
          </cell>
          <cell r="CM135">
            <v>751.83982495442183</v>
          </cell>
          <cell r="CX135">
            <v>1458.507115410539</v>
          </cell>
          <cell r="CY135">
            <v>5654.9680906423418</v>
          </cell>
        </row>
        <row r="136">
          <cell r="I136">
            <v>855.53261713107736</v>
          </cell>
          <cell r="J136">
            <v>1052.5218916443423</v>
          </cell>
          <cell r="L136">
            <v>151.89314510575448</v>
          </cell>
          <cell r="M136">
            <v>185.9439156439465</v>
          </cell>
          <cell r="O136">
            <v>355.74</v>
          </cell>
          <cell r="P136">
            <v>355.74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501.10049208695614</v>
          </cell>
          <cell r="Y136">
            <v>437.63680471291525</v>
          </cell>
          <cell r="AA136">
            <v>0</v>
          </cell>
          <cell r="AB136">
            <v>0</v>
          </cell>
          <cell r="AD136">
            <v>1058.2683044679961</v>
          </cell>
          <cell r="AE136">
            <v>989.18722299314857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710.2632321702373</v>
          </cell>
          <cell r="AQ136">
            <v>1768.9589794379242</v>
          </cell>
          <cell r="AS136">
            <v>3067.072911326195</v>
          </cell>
          <cell r="AT136">
            <v>0</v>
          </cell>
          <cell r="AV136">
            <v>142.83996650654154</v>
          </cell>
          <cell r="AW136">
            <v>0</v>
          </cell>
          <cell r="AY136">
            <v>195.76233491122258</v>
          </cell>
          <cell r="AZ136">
            <v>0</v>
          </cell>
          <cell r="BB136">
            <v>185.89456253896032</v>
          </cell>
          <cell r="BC136">
            <v>0</v>
          </cell>
          <cell r="BE136">
            <v>0</v>
          </cell>
          <cell r="BF136">
            <v>0</v>
          </cell>
          <cell r="BH136">
            <v>0</v>
          </cell>
          <cell r="BI136">
            <v>0</v>
          </cell>
          <cell r="BK136">
            <v>58.242111861801746</v>
          </cell>
          <cell r="BL136">
            <v>0</v>
          </cell>
          <cell r="BN136">
            <v>0</v>
          </cell>
          <cell r="BO136">
            <v>0</v>
          </cell>
          <cell r="BT136">
            <v>1729.1826723157401</v>
          </cell>
          <cell r="BU136">
            <v>1631.1950008213184</v>
          </cell>
          <cell r="BW136">
            <v>1345.5072202328861</v>
          </cell>
          <cell r="BX136">
            <v>1234.5590656022591</v>
          </cell>
          <cell r="BZ136">
            <v>1030.5202036674464</v>
          </cell>
          <cell r="CA136">
            <v>2089.3188295364344</v>
          </cell>
          <cell r="CC136">
            <v>102.94638847455676</v>
          </cell>
          <cell r="CD136">
            <v>102.52389434418964</v>
          </cell>
          <cell r="CF136">
            <v>12.673324338723843</v>
          </cell>
          <cell r="CG136">
            <v>0</v>
          </cell>
          <cell r="CI136">
            <v>489.77524213652754</v>
          </cell>
          <cell r="CJ136">
            <v>208.17524239516558</v>
          </cell>
          <cell r="CL136">
            <v>0</v>
          </cell>
          <cell r="CM136">
            <v>0</v>
          </cell>
          <cell r="CX136">
            <v>359.88232487285131</v>
          </cell>
          <cell r="CY136">
            <v>2684.826983442028</v>
          </cell>
        </row>
        <row r="137">
          <cell r="I137">
            <v>542.49523897892993</v>
          </cell>
          <cell r="J137">
            <v>659.22221145365427</v>
          </cell>
          <cell r="L137">
            <v>115.89283842765819</v>
          </cell>
          <cell r="M137">
            <v>141.87279278028387</v>
          </cell>
          <cell r="O137">
            <v>169.16</v>
          </cell>
          <cell r="P137">
            <v>169.16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337.02213023549615</v>
          </cell>
          <cell r="Y137">
            <v>293.53353420760902</v>
          </cell>
          <cell r="AA137">
            <v>0</v>
          </cell>
          <cell r="AB137">
            <v>0</v>
          </cell>
          <cell r="AD137">
            <v>530.63069327061942</v>
          </cell>
          <cell r="AE137">
            <v>495.99246211494835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260.42985179575368</v>
          </cell>
          <cell r="AQ137">
            <v>636.40170203392336</v>
          </cell>
          <cell r="AS137">
            <v>1508.1134669330793</v>
          </cell>
          <cell r="AT137">
            <v>0</v>
          </cell>
          <cell r="AV137">
            <v>95.899640838670678</v>
          </cell>
          <cell r="AW137">
            <v>0</v>
          </cell>
          <cell r="AY137">
            <v>149.39035559607422</v>
          </cell>
          <cell r="AZ137">
            <v>0</v>
          </cell>
          <cell r="BB137">
            <v>75.981484148226926</v>
          </cell>
          <cell r="BC137">
            <v>0</v>
          </cell>
          <cell r="BE137">
            <v>0</v>
          </cell>
          <cell r="BF137">
            <v>0</v>
          </cell>
          <cell r="BH137">
            <v>0</v>
          </cell>
          <cell r="BI137">
            <v>0</v>
          </cell>
          <cell r="BK137">
            <v>40.779527065714653</v>
          </cell>
          <cell r="BL137">
            <v>0</v>
          </cell>
          <cell r="BN137">
            <v>0</v>
          </cell>
          <cell r="BO137">
            <v>0</v>
          </cell>
          <cell r="BT137">
            <v>1493.6013114539403</v>
          </cell>
          <cell r="BU137">
            <v>1440.9180260547932</v>
          </cell>
          <cell r="BW137">
            <v>836.432635961188</v>
          </cell>
          <cell r="BX137">
            <v>818.72055136960466</v>
          </cell>
          <cell r="BZ137">
            <v>815.63176666774837</v>
          </cell>
          <cell r="CA137">
            <v>1341.7129512110948</v>
          </cell>
          <cell r="CC137">
            <v>51.473194237278378</v>
          </cell>
          <cell r="CD137">
            <v>51.261947172094821</v>
          </cell>
          <cell r="CF137">
            <v>6.3366621693619214</v>
          </cell>
          <cell r="CG137">
            <v>0</v>
          </cell>
          <cell r="CI137">
            <v>140.38143882894101</v>
          </cell>
          <cell r="CJ137">
            <v>212.81836746131665</v>
          </cell>
          <cell r="CL137">
            <v>0</v>
          </cell>
          <cell r="CM137">
            <v>0</v>
          </cell>
          <cell r="CX137">
            <v>-2.2683930415951181E-2</v>
          </cell>
          <cell r="CY137">
            <v>1089.6225449688141</v>
          </cell>
        </row>
        <row r="138">
          <cell r="I138">
            <v>351.57862051750493</v>
          </cell>
          <cell r="J138">
            <v>426.03099098143525</v>
          </cell>
          <cell r="L138">
            <v>55.924551659938601</v>
          </cell>
          <cell r="M138">
            <v>68.461168941634838</v>
          </cell>
          <cell r="O138">
            <v>94.72</v>
          </cell>
          <cell r="P138">
            <v>94.72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>
            <v>160.71800817894464</v>
          </cell>
          <cell r="Y138">
            <v>130.42877567720586</v>
          </cell>
          <cell r="AA138">
            <v>0</v>
          </cell>
          <cell r="AB138">
            <v>0</v>
          </cell>
          <cell r="AD138">
            <v>301.37485923199699</v>
          </cell>
          <cell r="AE138">
            <v>281.70186976687035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189.40352857872995</v>
          </cell>
          <cell r="AQ138">
            <v>282.84520090396592</v>
          </cell>
          <cell r="AS138">
            <v>1015.0315248158872</v>
          </cell>
          <cell r="AT138">
            <v>0</v>
          </cell>
          <cell r="AV138">
            <v>59.085306560631935</v>
          </cell>
          <cell r="AW138">
            <v>0</v>
          </cell>
          <cell r="AY138">
            <v>72.08773375891468</v>
          </cell>
          <cell r="AZ138">
            <v>0</v>
          </cell>
          <cell r="BB138">
            <v>44.209091793188861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13.131198850039331</v>
          </cell>
          <cell r="BL138">
            <v>0</v>
          </cell>
          <cell r="BN138">
            <v>0</v>
          </cell>
          <cell r="BO138">
            <v>0</v>
          </cell>
          <cell r="BT138">
            <v>1100.0539151582304</v>
          </cell>
          <cell r="BU138">
            <v>793.72642906374313</v>
          </cell>
          <cell r="BW138">
            <v>546.9711536846462</v>
          </cell>
          <cell r="BX138">
            <v>534.70424907570964</v>
          </cell>
          <cell r="BZ138">
            <v>151.74840017694066</v>
          </cell>
          <cell r="CA138">
            <v>847.15482607921035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124.78350118128091</v>
          </cell>
          <cell r="CJ138">
            <v>46.609004316841208</v>
          </cell>
          <cell r="CL138">
            <v>0</v>
          </cell>
          <cell r="CM138">
            <v>0</v>
          </cell>
          <cell r="CX138">
            <v>-2.5672976250461943E-2</v>
          </cell>
          <cell r="CY138">
            <v>929.30098223206005</v>
          </cell>
        </row>
        <row r="139">
          <cell r="I139">
            <v>1865.3122688848102</v>
          </cell>
          <cell r="J139">
            <v>2303.4955327545181</v>
          </cell>
          <cell r="L139">
            <v>380.52254474762248</v>
          </cell>
          <cell r="M139">
            <v>475.85975487581015</v>
          </cell>
          <cell r="O139">
            <v>820.52</v>
          </cell>
          <cell r="P139">
            <v>820.52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>
            <v>1250.9767379709051</v>
          </cell>
          <cell r="Y139">
            <v>1064.1560708025931</v>
          </cell>
          <cell r="AA139">
            <v>0</v>
          </cell>
          <cell r="AB139">
            <v>0</v>
          </cell>
          <cell r="AD139">
            <v>2477.2956417783043</v>
          </cell>
          <cell r="AE139">
            <v>2397.7235795156757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1538.9036697021809</v>
          </cell>
          <cell r="AQ139">
            <v>0</v>
          </cell>
          <cell r="AS139">
            <v>5434.9303082525867</v>
          </cell>
          <cell r="AT139">
            <v>0</v>
          </cell>
          <cell r="AV139">
            <v>309.24744506594914</v>
          </cell>
          <cell r="AW139">
            <v>0</v>
          </cell>
          <cell r="AY139">
            <v>490.42556714245251</v>
          </cell>
          <cell r="AZ139">
            <v>0</v>
          </cell>
          <cell r="BB139">
            <v>430.839921178493</v>
          </cell>
          <cell r="BC139">
            <v>1472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174.4186197559111</v>
          </cell>
          <cell r="BL139">
            <v>0</v>
          </cell>
          <cell r="BN139">
            <v>0</v>
          </cell>
          <cell r="BO139">
            <v>0</v>
          </cell>
          <cell r="BT139">
            <v>4635.9429891762629</v>
          </cell>
          <cell r="BU139">
            <v>4354.5996184608839</v>
          </cell>
          <cell r="BW139">
            <v>3429.2911878663831</v>
          </cell>
          <cell r="BX139">
            <v>3536.7908990703431</v>
          </cell>
          <cell r="BZ139">
            <v>2525.226801110196</v>
          </cell>
          <cell r="CA139">
            <v>4763.4999680084966</v>
          </cell>
          <cell r="CC139">
            <v>146.57604835186891</v>
          </cell>
          <cell r="CD139">
            <v>145.97449718529862</v>
          </cell>
          <cell r="CF139">
            <v>18.044399891802041</v>
          </cell>
          <cell r="CG139">
            <v>0</v>
          </cell>
          <cell r="CI139">
            <v>807.97317014879377</v>
          </cell>
          <cell r="CJ139">
            <v>242.33953932838401</v>
          </cell>
          <cell r="CL139">
            <v>0</v>
          </cell>
          <cell r="CM139">
            <v>0</v>
          </cell>
          <cell r="CX139">
            <v>1570.9832147705783</v>
          </cell>
          <cell r="CY139">
            <v>7762.3686479975986</v>
          </cell>
        </row>
        <row r="140">
          <cell r="I140">
            <v>139.34490585054729</v>
          </cell>
          <cell r="J140">
            <v>172.95665146292703</v>
          </cell>
          <cell r="L140">
            <v>46.89928558546012</v>
          </cell>
          <cell r="M140">
            <v>57.413202525127637</v>
          </cell>
          <cell r="O140">
            <v>76.86</v>
          </cell>
          <cell r="P140">
            <v>76.86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>
            <v>80.04788026260654</v>
          </cell>
          <cell r="Y140">
            <v>65.066315249178714</v>
          </cell>
          <cell r="AA140">
            <v>0</v>
          </cell>
          <cell r="AB140">
            <v>0</v>
          </cell>
          <cell r="AD140">
            <v>241.7982732026876</v>
          </cell>
          <cell r="AE140">
            <v>226.01429276873759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P140">
            <v>94.701764289364974</v>
          </cell>
          <cell r="AQ140">
            <v>0</v>
          </cell>
          <cell r="AS140">
            <v>765.14678073392361</v>
          </cell>
          <cell r="AT140">
            <v>0</v>
          </cell>
          <cell r="AV140">
            <v>47.059309791594281</v>
          </cell>
          <cell r="AW140">
            <v>0</v>
          </cell>
          <cell r="AY140">
            <v>60.404944907288225</v>
          </cell>
          <cell r="AZ140">
            <v>0</v>
          </cell>
          <cell r="BB140">
            <v>29.899082143124652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K140">
            <v>9.782104083393186</v>
          </cell>
          <cell r="BL140">
            <v>0</v>
          </cell>
          <cell r="BN140">
            <v>0</v>
          </cell>
          <cell r="BO140">
            <v>0</v>
          </cell>
          <cell r="BT140">
            <v>587.58115212519897</v>
          </cell>
          <cell r="BU140">
            <v>568.70627806346317</v>
          </cell>
          <cell r="BW140">
            <v>419.41787323172497</v>
          </cell>
          <cell r="BX140">
            <v>391.90940045602048</v>
          </cell>
          <cell r="BZ140">
            <v>361.08730275838911</v>
          </cell>
          <cell r="CA140">
            <v>530.53160005662744</v>
          </cell>
          <cell r="CC140">
            <v>0</v>
          </cell>
          <cell r="CD140">
            <v>0</v>
          </cell>
          <cell r="CF140">
            <v>0</v>
          </cell>
          <cell r="CG140">
            <v>0</v>
          </cell>
          <cell r="CI140">
            <v>3.1195875295320228</v>
          </cell>
          <cell r="CJ140">
            <v>0</v>
          </cell>
          <cell r="CL140">
            <v>0</v>
          </cell>
          <cell r="CM140">
            <v>0</v>
          </cell>
          <cell r="CX140">
            <v>88.879704206196948</v>
          </cell>
          <cell r="CY140">
            <v>1137.3107113015012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84.86</v>
          </cell>
          <cell r="P141">
            <v>84.86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332.99305910725587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P141">
            <v>23.675441072341243</v>
          </cell>
          <cell r="AQ141">
            <v>141.51671835503393</v>
          </cell>
          <cell r="AS141">
            <v>520.50321866540708</v>
          </cell>
          <cell r="AT141">
            <v>0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B141">
            <v>37.508628877400184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T141">
            <v>55.829691759794173</v>
          </cell>
          <cell r="BU141">
            <v>59.586762559558174</v>
          </cell>
          <cell r="BW141">
            <v>0</v>
          </cell>
          <cell r="BX141">
            <v>2.0035293697557908</v>
          </cell>
          <cell r="BZ141">
            <v>0</v>
          </cell>
          <cell r="CA141">
            <v>67.112992394359154</v>
          </cell>
          <cell r="CC141">
            <v>0</v>
          </cell>
          <cell r="CD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X141">
            <v>1014.4276235500689</v>
          </cell>
          <cell r="CY141">
            <v>1055.5923258568446</v>
          </cell>
        </row>
        <row r="142">
          <cell r="I142">
            <v>1009.1308553746552</v>
          </cell>
          <cell r="J142">
            <v>1275.8570380466119</v>
          </cell>
          <cell r="L142">
            <v>200.42000866537376</v>
          </cell>
          <cell r="M142">
            <v>260.0144854537528</v>
          </cell>
          <cell r="O142">
            <v>675.9</v>
          </cell>
          <cell r="P142">
            <v>675.9</v>
          </cell>
          <cell r="R142">
            <v>199.6</v>
          </cell>
          <cell r="S142">
            <v>199.6</v>
          </cell>
          <cell r="U142">
            <v>0</v>
          </cell>
          <cell r="V142">
            <v>0</v>
          </cell>
          <cell r="X142">
            <v>899.10558157150649</v>
          </cell>
          <cell r="Y142">
            <v>754.32547100076988</v>
          </cell>
          <cell r="AA142">
            <v>0</v>
          </cell>
          <cell r="AB142">
            <v>0</v>
          </cell>
          <cell r="AD142">
            <v>2350.4816048893617</v>
          </cell>
          <cell r="AE142">
            <v>2191.6833144367847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284.10529286809492</v>
          </cell>
          <cell r="AQ142">
            <v>1037.7892679369156</v>
          </cell>
          <cell r="AS142">
            <v>6661.8589022123697</v>
          </cell>
          <cell r="AT142">
            <v>0</v>
          </cell>
          <cell r="AV142">
            <v>187.4391067611696</v>
          </cell>
          <cell r="AW142">
            <v>0</v>
          </cell>
          <cell r="AY142">
            <v>258.30373939722529</v>
          </cell>
          <cell r="AZ142">
            <v>0</v>
          </cell>
          <cell r="BB142">
            <v>417.52689610795557</v>
          </cell>
          <cell r="BC142">
            <v>0</v>
          </cell>
          <cell r="BE142">
            <v>234.92107816430971</v>
          </cell>
          <cell r="BF142">
            <v>0</v>
          </cell>
          <cell r="BH142">
            <v>0</v>
          </cell>
          <cell r="BI142">
            <v>0</v>
          </cell>
          <cell r="BK142">
            <v>120.7391811804537</v>
          </cell>
          <cell r="BL142">
            <v>0</v>
          </cell>
          <cell r="BN142">
            <v>0</v>
          </cell>
          <cell r="BO142">
            <v>0</v>
          </cell>
          <cell r="BT142">
            <v>6308.2688282534582</v>
          </cell>
          <cell r="BU142">
            <v>5575.8655612995626</v>
          </cell>
          <cell r="BW142">
            <v>2577.0798472638176</v>
          </cell>
          <cell r="BX142">
            <v>2836.3935274062233</v>
          </cell>
          <cell r="BZ142">
            <v>2752.2272518727541</v>
          </cell>
          <cell r="CA142">
            <v>5282.3030556514186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567.76493037482805</v>
          </cell>
          <cell r="CJ142">
            <v>301.3219428764188</v>
          </cell>
          <cell r="CL142">
            <v>0</v>
          </cell>
          <cell r="CM142">
            <v>0</v>
          </cell>
          <cell r="CX142">
            <v>550.65227405120095</v>
          </cell>
          <cell r="CY142">
            <v>6927.2356030698502</v>
          </cell>
        </row>
        <row r="143">
          <cell r="I143">
            <v>1316.1161092304196</v>
          </cell>
          <cell r="J143">
            <v>1614.5532209554992</v>
          </cell>
          <cell r="L143">
            <v>242.04325103642387</v>
          </cell>
          <cell r="M143">
            <v>355.0279730157535</v>
          </cell>
          <cell r="O143">
            <v>475.2</v>
          </cell>
          <cell r="P143">
            <v>475.2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>
            <v>678.7348856284442</v>
          </cell>
          <cell r="Y143">
            <v>588.74316832850343</v>
          </cell>
          <cell r="AA143">
            <v>0</v>
          </cell>
          <cell r="AB143">
            <v>0</v>
          </cell>
          <cell r="AD143">
            <v>1458.2010805403459</v>
          </cell>
          <cell r="AE143">
            <v>1363.013397770088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1112.7457304000384</v>
          </cell>
          <cell r="AQ143">
            <v>3325.6428813432976</v>
          </cell>
          <cell r="AS143">
            <v>4338.0403342556865</v>
          </cell>
          <cell r="AT143">
            <v>0</v>
          </cell>
          <cell r="AV143">
            <v>209.68610314611877</v>
          </cell>
          <cell r="AW143">
            <v>0</v>
          </cell>
          <cell r="AY143">
            <v>311.97860728969681</v>
          </cell>
          <cell r="AZ143">
            <v>0</v>
          </cell>
          <cell r="BB143">
            <v>235.70928345887529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86.524571442710084</v>
          </cell>
          <cell r="BL143">
            <v>0</v>
          </cell>
          <cell r="BN143">
            <v>0</v>
          </cell>
          <cell r="BO143">
            <v>0</v>
          </cell>
          <cell r="BT143">
            <v>2123.3113174156992</v>
          </cell>
          <cell r="BU143">
            <v>1975.3542146735624</v>
          </cell>
          <cell r="BW143">
            <v>1851.3847795805198</v>
          </cell>
          <cell r="BX143">
            <v>1830.165282666519</v>
          </cell>
          <cell r="BZ143">
            <v>1217.2371132488631</v>
          </cell>
          <cell r="CA143">
            <v>1917.4032371233623</v>
          </cell>
          <cell r="CC143">
            <v>334.62478463205923</v>
          </cell>
          <cell r="CD143">
            <v>333.25147752068506</v>
          </cell>
          <cell r="CF143">
            <v>41.194339017204264</v>
          </cell>
          <cell r="CG143">
            <v>0</v>
          </cell>
          <cell r="CI143">
            <v>552.16699272716801</v>
          </cell>
          <cell r="CJ143">
            <v>394.57198850612019</v>
          </cell>
          <cell r="CL143">
            <v>0</v>
          </cell>
          <cell r="CM143">
            <v>0</v>
          </cell>
          <cell r="CX143">
            <v>295.56086033967586</v>
          </cell>
          <cell r="CY143">
            <v>3189.92778971593</v>
          </cell>
        </row>
        <row r="144">
          <cell r="I144">
            <v>1068.5265618407543</v>
          </cell>
          <cell r="J144">
            <v>1337.8057626777977</v>
          </cell>
          <cell r="L144">
            <v>214.22921161810962</v>
          </cell>
          <cell r="M144">
            <v>272.29412552803501</v>
          </cell>
          <cell r="O144">
            <v>600.14</v>
          </cell>
          <cell r="P144">
            <v>600.14</v>
          </cell>
          <cell r="R144">
            <v>177.32</v>
          </cell>
          <cell r="S144">
            <v>177.32</v>
          </cell>
          <cell r="U144">
            <v>0</v>
          </cell>
          <cell r="V144">
            <v>0</v>
          </cell>
          <cell r="X144">
            <v>882.13503577038978</v>
          </cell>
          <cell r="Y144">
            <v>738.2456862432756</v>
          </cell>
          <cell r="AA144">
            <v>0</v>
          </cell>
          <cell r="AB144">
            <v>0</v>
          </cell>
          <cell r="AD144">
            <v>2006.840150951643</v>
          </cell>
          <cell r="AE144">
            <v>1880.5000270465794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260.42985179575368</v>
          </cell>
          <cell r="AQ144">
            <v>0</v>
          </cell>
          <cell r="AS144">
            <v>6034.821116901755</v>
          </cell>
          <cell r="AT144">
            <v>33.541475839669644</v>
          </cell>
          <cell r="AV144">
            <v>185.03472901469073</v>
          </cell>
          <cell r="AW144">
            <v>0</v>
          </cell>
          <cell r="AY144">
            <v>276.14354862921226</v>
          </cell>
          <cell r="AZ144">
            <v>0</v>
          </cell>
          <cell r="BB144">
            <v>370.93148431507529</v>
          </cell>
          <cell r="BC144">
            <v>0</v>
          </cell>
          <cell r="BE144">
            <v>213.4689416535854</v>
          </cell>
          <cell r="BF144">
            <v>0</v>
          </cell>
          <cell r="BH144">
            <v>0</v>
          </cell>
          <cell r="BI144">
            <v>0</v>
          </cell>
          <cell r="BK144">
            <v>118.21256501765102</v>
          </cell>
          <cell r="BL144">
            <v>0</v>
          </cell>
          <cell r="BN144">
            <v>0</v>
          </cell>
          <cell r="BO144">
            <v>0</v>
          </cell>
          <cell r="BT144">
            <v>5231.556439532781</v>
          </cell>
          <cell r="BU144">
            <v>4436.152683000716</v>
          </cell>
          <cell r="BW144">
            <v>3479.5450299323425</v>
          </cell>
          <cell r="BX144">
            <v>3588.1807539309452</v>
          </cell>
          <cell r="BZ144">
            <v>2034.3988130776456</v>
          </cell>
          <cell r="CA144">
            <v>4103.5944264834043</v>
          </cell>
          <cell r="CC144">
            <v>286.28900413876733</v>
          </cell>
          <cell r="CD144">
            <v>285.11406808098457</v>
          </cell>
          <cell r="CF144">
            <v>35.243911494355835</v>
          </cell>
          <cell r="CG144">
            <v>0</v>
          </cell>
          <cell r="CI144">
            <v>96.707213415492689</v>
          </cell>
          <cell r="CJ144">
            <v>10.874263095580538</v>
          </cell>
          <cell r="CL144">
            <v>0</v>
          </cell>
          <cell r="CM144">
            <v>0</v>
          </cell>
          <cell r="CX144">
            <v>1211.6516690799945</v>
          </cell>
          <cell r="CY144">
            <v>8541.5040736876181</v>
          </cell>
        </row>
        <row r="145">
          <cell r="I145">
            <v>4212.8469126046803</v>
          </cell>
          <cell r="J145">
            <v>4105.9134722540102</v>
          </cell>
          <cell r="L145">
            <v>653.74375445418661</v>
          </cell>
          <cell r="M145">
            <v>654.05362311488045</v>
          </cell>
          <cell r="O145">
            <v>1733.54</v>
          </cell>
          <cell r="P145">
            <v>1733.54</v>
          </cell>
          <cell r="R145">
            <v>364.22</v>
          </cell>
          <cell r="S145">
            <v>364.22</v>
          </cell>
          <cell r="U145">
            <v>208.3500279500883</v>
          </cell>
          <cell r="V145">
            <v>78.736320717270132</v>
          </cell>
          <cell r="X145">
            <v>1862.1635498189644</v>
          </cell>
          <cell r="Y145">
            <v>1011.6537246552322</v>
          </cell>
          <cell r="AA145">
            <v>0</v>
          </cell>
          <cell r="AB145">
            <v>0</v>
          </cell>
          <cell r="AD145">
            <v>4932.7417844219362</v>
          </cell>
          <cell r="AE145">
            <v>4611.6673697403185</v>
          </cell>
          <cell r="AJ145">
            <v>8931.4013798182496</v>
          </cell>
          <cell r="AK145">
            <v>8894.7245305277265</v>
          </cell>
          <cell r="AM145">
            <v>0</v>
          </cell>
          <cell r="AN145">
            <v>0</v>
          </cell>
          <cell r="AP145">
            <v>931.23401551208894</v>
          </cell>
          <cell r="AQ145">
            <v>330.20567616174588</v>
          </cell>
          <cell r="AS145">
            <v>17154.831197693347</v>
          </cell>
          <cell r="AT145">
            <v>9863</v>
          </cell>
          <cell r="AV145">
            <v>327.89594630734996</v>
          </cell>
          <cell r="AW145">
            <v>0</v>
          </cell>
          <cell r="AY145">
            <v>390.07398117832253</v>
          </cell>
          <cell r="AZ145">
            <v>0</v>
          </cell>
          <cell r="BB145">
            <v>422.98261503208329</v>
          </cell>
          <cell r="BC145">
            <v>0</v>
          </cell>
          <cell r="BE145">
            <v>179.97352815066915</v>
          </cell>
          <cell r="BF145">
            <v>0</v>
          </cell>
          <cell r="BH145">
            <v>105.68402349220877</v>
          </cell>
          <cell r="BI145">
            <v>0</v>
          </cell>
          <cell r="BK145">
            <v>220.07829817605759</v>
          </cell>
          <cell r="BL145">
            <v>0</v>
          </cell>
          <cell r="BN145">
            <v>118.34437622421669</v>
          </cell>
          <cell r="BO145">
            <v>0</v>
          </cell>
          <cell r="BT145">
            <v>15467.810670251904</v>
          </cell>
          <cell r="BU145">
            <v>11220.713099857727</v>
          </cell>
          <cell r="BW145">
            <v>11472.75782530564</v>
          </cell>
          <cell r="BX145">
            <v>16036.426294667546</v>
          </cell>
          <cell r="BZ145">
            <v>2813.1793131327345</v>
          </cell>
          <cell r="CA145">
            <v>10240.774837565796</v>
          </cell>
          <cell r="CC145">
            <v>262.26818016137076</v>
          </cell>
          <cell r="CD145">
            <v>261.19182606734034</v>
          </cell>
          <cell r="CF145">
            <v>32.286802481986932</v>
          </cell>
          <cell r="CG145">
            <v>0</v>
          </cell>
          <cell r="CI145">
            <v>2043.3298318434745</v>
          </cell>
          <cell r="CJ145">
            <v>2038.0548819813444</v>
          </cell>
          <cell r="CL145">
            <v>3060.3153664709139</v>
          </cell>
          <cell r="CM145">
            <v>3053.9755382949197</v>
          </cell>
          <cell r="CX145">
            <v>2371.4159434210451</v>
          </cell>
          <cell r="CY145">
            <v>6455.2585652729686</v>
          </cell>
        </row>
        <row r="146"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D146">
            <v>0</v>
          </cell>
          <cell r="AE146">
            <v>213.49124913757854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P146">
            <v>94.701764289364974</v>
          </cell>
          <cell r="AQ146">
            <v>0</v>
          </cell>
          <cell r="AS146">
            <v>602.23699525329232</v>
          </cell>
          <cell r="AT146">
            <v>0</v>
          </cell>
          <cell r="AV146">
            <v>0</v>
          </cell>
          <cell r="AW146">
            <v>0</v>
          </cell>
          <cell r="AY146">
            <v>0</v>
          </cell>
          <cell r="AZ146">
            <v>0</v>
          </cell>
          <cell r="BB146">
            <v>0</v>
          </cell>
          <cell r="BC146">
            <v>0</v>
          </cell>
          <cell r="BE146">
            <v>0</v>
          </cell>
          <cell r="BF146">
            <v>0</v>
          </cell>
          <cell r="BH146">
            <v>0</v>
          </cell>
          <cell r="BI146">
            <v>0</v>
          </cell>
          <cell r="BK146">
            <v>0</v>
          </cell>
          <cell r="BL146">
            <v>0</v>
          </cell>
          <cell r="BN146">
            <v>0</v>
          </cell>
          <cell r="BO146">
            <v>0</v>
          </cell>
          <cell r="BT146">
            <v>135.58639427378586</v>
          </cell>
          <cell r="BU146">
            <v>159.62406889322892</v>
          </cell>
          <cell r="BW146">
            <v>0</v>
          </cell>
          <cell r="BX146">
            <v>1.2845192298594337</v>
          </cell>
          <cell r="BZ146">
            <v>0</v>
          </cell>
          <cell r="CA146">
            <v>179.78571852901433</v>
          </cell>
          <cell r="CC146">
            <v>0</v>
          </cell>
          <cell r="CD146">
            <v>0</v>
          </cell>
          <cell r="CF146">
            <v>0</v>
          </cell>
          <cell r="CG146">
            <v>0</v>
          </cell>
          <cell r="CI146">
            <v>0</v>
          </cell>
          <cell r="CJ146">
            <v>0</v>
          </cell>
          <cell r="CL146">
            <v>0</v>
          </cell>
          <cell r="CM146">
            <v>0</v>
          </cell>
          <cell r="CX146">
            <v>14.969815420268219</v>
          </cell>
          <cell r="CY146">
            <v>348.97733305238251</v>
          </cell>
        </row>
        <row r="147">
          <cell r="I147">
            <v>4953.5548673331296</v>
          </cell>
          <cell r="J147">
            <v>4946.9961621426164</v>
          </cell>
          <cell r="L147">
            <v>1396.0090565770847</v>
          </cell>
          <cell r="M147">
            <v>1396.6728960103289</v>
          </cell>
          <cell r="O147">
            <v>2897.22</v>
          </cell>
          <cell r="P147">
            <v>2897.22</v>
          </cell>
          <cell r="R147">
            <v>630.94000000000005</v>
          </cell>
          <cell r="S147">
            <v>630.94000000000005</v>
          </cell>
          <cell r="U147">
            <v>576.24186023756681</v>
          </cell>
          <cell r="V147">
            <v>241.70422101871904</v>
          </cell>
          <cell r="X147">
            <v>3782.2713191717239</v>
          </cell>
          <cell r="Y147">
            <v>2059.6117535360672</v>
          </cell>
          <cell r="AA147">
            <v>0</v>
          </cell>
          <cell r="AB147">
            <v>0</v>
          </cell>
          <cell r="AD147">
            <v>8253.8656528921674</v>
          </cell>
          <cell r="AE147">
            <v>7716.5091663199564</v>
          </cell>
          <cell r="AJ147">
            <v>20705.326351009942</v>
          </cell>
          <cell r="AK147">
            <v>19091.67672218904</v>
          </cell>
          <cell r="AM147">
            <v>1052.2814392472874</v>
          </cell>
          <cell r="AN147">
            <v>524.04800106883954</v>
          </cell>
          <cell r="AP147">
            <v>1688.8481298270087</v>
          </cell>
          <cell r="AQ147">
            <v>10000.514763755731</v>
          </cell>
          <cell r="AS147">
            <v>35144.668095611945</v>
          </cell>
          <cell r="AT147">
            <v>4265</v>
          </cell>
          <cell r="AV147">
            <v>163.40459525333648</v>
          </cell>
          <cell r="AW147">
            <v>1165</v>
          </cell>
          <cell r="AY147">
            <v>336.8331617242394</v>
          </cell>
          <cell r="AZ147">
            <v>24406</v>
          </cell>
          <cell r="BB147">
            <v>244.72535051333389</v>
          </cell>
          <cell r="BC147">
            <v>0</v>
          </cell>
          <cell r="BE147">
            <v>103.02668463952413</v>
          </cell>
          <cell r="BF147">
            <v>0</v>
          </cell>
          <cell r="BH147">
            <v>116.92905359372746</v>
          </cell>
          <cell r="BI147">
            <v>0</v>
          </cell>
          <cell r="BK147">
            <v>166.61389976254213</v>
          </cell>
          <cell r="BL147">
            <v>0</v>
          </cell>
          <cell r="BN147">
            <v>187.49373979063722</v>
          </cell>
          <cell r="BO147">
            <v>0</v>
          </cell>
          <cell r="BT147">
            <v>24082.874176425357</v>
          </cell>
          <cell r="BU147">
            <v>16620.454600060461</v>
          </cell>
          <cell r="BW147">
            <v>14792.293665798035</v>
          </cell>
          <cell r="BX147">
            <v>22274.840594914454</v>
          </cell>
          <cell r="BZ147">
            <v>2596.7809044302167</v>
          </cell>
          <cell r="CA147">
            <v>15460.905304509874</v>
          </cell>
          <cell r="CC147">
            <v>286.77922503626519</v>
          </cell>
          <cell r="CD147">
            <v>285.60227710167123</v>
          </cell>
          <cell r="CF147">
            <v>35.304260657873563</v>
          </cell>
          <cell r="CG147">
            <v>0</v>
          </cell>
          <cell r="CI147">
            <v>1294.6288247557891</v>
          </cell>
          <cell r="CJ147">
            <v>1904.4455721909521</v>
          </cell>
          <cell r="CL147">
            <v>4641.9462439436484</v>
          </cell>
          <cell r="CM147">
            <v>3785.6062778016885</v>
          </cell>
          <cell r="CX147">
            <v>2401.747330121143</v>
          </cell>
          <cell r="CY147">
            <v>-9049.7179751444928</v>
          </cell>
        </row>
        <row r="148">
          <cell r="I148">
            <v>1764.9731582526167</v>
          </cell>
          <cell r="J148">
            <v>1713.7543975946435</v>
          </cell>
          <cell r="L148">
            <v>334.70831114493518</v>
          </cell>
          <cell r="M148">
            <v>334.87190254078865</v>
          </cell>
          <cell r="O148">
            <v>737.24</v>
          </cell>
          <cell r="P148">
            <v>737.24</v>
          </cell>
          <cell r="R148">
            <v>155.72</v>
          </cell>
          <cell r="S148">
            <v>155.72</v>
          </cell>
          <cell r="U148">
            <v>118.22581795543685</v>
          </cell>
          <cell r="V148">
            <v>44.678110998583477</v>
          </cell>
          <cell r="X148">
            <v>1200.0816683219018</v>
          </cell>
          <cell r="Y148">
            <v>679.83474874915487</v>
          </cell>
          <cell r="AA148">
            <v>0</v>
          </cell>
          <cell r="AB148">
            <v>0</v>
          </cell>
          <cell r="AD148">
            <v>2031.518825284119</v>
          </cell>
          <cell r="AE148">
            <v>1915.906020524649</v>
          </cell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P148">
            <v>465.61700775604447</v>
          </cell>
          <cell r="AQ148">
            <v>2735.9898881973227</v>
          </cell>
          <cell r="AS148">
            <v>6284.1279773878887</v>
          </cell>
          <cell r="AT148">
            <v>54851</v>
          </cell>
          <cell r="AV148">
            <v>296.40759987889163</v>
          </cell>
          <cell r="AW148">
            <v>0</v>
          </cell>
          <cell r="AY148">
            <v>431.42874836421191</v>
          </cell>
          <cell r="AZ148">
            <v>0</v>
          </cell>
          <cell r="BB148">
            <v>290.03422020352775</v>
          </cell>
          <cell r="BC148">
            <v>0</v>
          </cell>
          <cell r="BE148">
            <v>144.21332472826128</v>
          </cell>
          <cell r="BF148">
            <v>0</v>
          </cell>
          <cell r="BH148">
            <v>119.94714023874553</v>
          </cell>
          <cell r="BI148">
            <v>0</v>
          </cell>
          <cell r="BK148">
            <v>165.91452866121352</v>
          </cell>
          <cell r="BL148">
            <v>0</v>
          </cell>
          <cell r="BN148">
            <v>232.74222385317006</v>
          </cell>
          <cell r="BO148">
            <v>0</v>
          </cell>
          <cell r="BT148">
            <v>6867.58119902608</v>
          </cell>
          <cell r="BU148">
            <v>7105.5451716795005</v>
          </cell>
          <cell r="BW148">
            <v>2924.6861180462056</v>
          </cell>
          <cell r="BX148">
            <v>4981.186198792444</v>
          </cell>
          <cell r="BZ148">
            <v>3242.8749864936658</v>
          </cell>
          <cell r="CA148">
            <v>9450.3814084915393</v>
          </cell>
          <cell r="CC148">
            <v>278.44546977880111</v>
          </cell>
          <cell r="CD148">
            <v>277.30272374999868</v>
          </cell>
          <cell r="CF148">
            <v>34.278324878072105</v>
          </cell>
          <cell r="CG148">
            <v>0</v>
          </cell>
          <cell r="CI148">
            <v>1004.5071845093111</v>
          </cell>
          <cell r="CJ148">
            <v>383.67188912342755</v>
          </cell>
          <cell r="CL148">
            <v>0</v>
          </cell>
          <cell r="CM148">
            <v>0</v>
          </cell>
          <cell r="CX148">
            <v>711.85139828427782</v>
          </cell>
          <cell r="CY148">
            <v>-66778.318952530448</v>
          </cell>
        </row>
        <row r="149">
          <cell r="I149">
            <v>1652.6847824644592</v>
          </cell>
          <cell r="J149">
            <v>1646.9172134893465</v>
          </cell>
          <cell r="L149">
            <v>374.90728797575917</v>
          </cell>
          <cell r="M149">
            <v>375.08416135480695</v>
          </cell>
          <cell r="O149">
            <v>894.22</v>
          </cell>
          <cell r="P149">
            <v>894.22</v>
          </cell>
          <cell r="R149">
            <v>190.56</v>
          </cell>
          <cell r="S149">
            <v>190.56</v>
          </cell>
          <cell r="U149">
            <v>121.13538847560967</v>
          </cell>
          <cell r="V149">
            <v>45.777363938081564</v>
          </cell>
          <cell r="X149">
            <v>1121.771732780521</v>
          </cell>
          <cell r="Y149">
            <v>602.60423597813951</v>
          </cell>
          <cell r="AA149">
            <v>0</v>
          </cell>
          <cell r="AB149">
            <v>0</v>
          </cell>
          <cell r="AD149">
            <v>2687.695058755497</v>
          </cell>
          <cell r="AE149">
            <v>2512.1500309239814</v>
          </cell>
          <cell r="AJ149">
            <v>6139.7493479442464</v>
          </cell>
          <cell r="AK149">
            <v>6114.5461422860863</v>
          </cell>
          <cell r="AM149">
            <v>526.14071962364369</v>
          </cell>
          <cell r="AN149">
            <v>262.02400053441977</v>
          </cell>
          <cell r="AP149">
            <v>568.21058573618984</v>
          </cell>
          <cell r="AQ149">
            <v>2922.7337426743147</v>
          </cell>
          <cell r="AS149">
            <v>11411.464666137987</v>
          </cell>
          <cell r="AT149">
            <v>16057</v>
          </cell>
          <cell r="AV149">
            <v>137.99555972980002</v>
          </cell>
          <cell r="AW149">
            <v>338</v>
          </cell>
          <cell r="AY149">
            <v>220.85066511954076</v>
          </cell>
          <cell r="AZ149">
            <v>0</v>
          </cell>
          <cell r="BB149">
            <v>177.48698710665167</v>
          </cell>
          <cell r="BC149">
            <v>0</v>
          </cell>
          <cell r="BE149">
            <v>87.157379501975697</v>
          </cell>
          <cell r="BF149">
            <v>0</v>
          </cell>
          <cell r="BH149">
            <v>61.458351225803753</v>
          </cell>
          <cell r="BI149">
            <v>0</v>
          </cell>
          <cell r="BK149">
            <v>128.7899698064362</v>
          </cell>
          <cell r="BL149">
            <v>4739</v>
          </cell>
          <cell r="BN149">
            <v>65.148817906898302</v>
          </cell>
          <cell r="BO149">
            <v>0</v>
          </cell>
          <cell r="BT149">
            <v>8934.8374435718233</v>
          </cell>
          <cell r="BU149">
            <v>2099.7753976794611</v>
          </cell>
          <cell r="BW149">
            <v>4533.9062185831153</v>
          </cell>
          <cell r="BX149">
            <v>3367.6210669978291</v>
          </cell>
          <cell r="BZ149">
            <v>1423.9015292625688</v>
          </cell>
          <cell r="CA149">
            <v>1949.086212937674</v>
          </cell>
          <cell r="CC149">
            <v>156.87068719932458</v>
          </cell>
          <cell r="CD149">
            <v>156.22688661971756</v>
          </cell>
          <cell r="CF149">
            <v>19.311732325674427</v>
          </cell>
          <cell r="CG149">
            <v>0</v>
          </cell>
          <cell r="CI149">
            <v>1397.575213230346</v>
          </cell>
          <cell r="CJ149">
            <v>556.11135684584804</v>
          </cell>
          <cell r="CL149">
            <v>1522.358714411627</v>
          </cell>
          <cell r="CM149">
            <v>1196.0996992643989</v>
          </cell>
          <cell r="CX149">
            <v>797.73339334940829</v>
          </cell>
          <cell r="CY149">
            <v>-965.48501382891482</v>
          </cell>
        </row>
        <row r="150">
          <cell r="I150">
            <v>1652.5861488015391</v>
          </cell>
          <cell r="J150">
            <v>1646.691906041578</v>
          </cell>
          <cell r="L150">
            <v>374.90728797575917</v>
          </cell>
          <cell r="M150">
            <v>375.08416135480695</v>
          </cell>
          <cell r="O150">
            <v>798.36</v>
          </cell>
          <cell r="P150">
            <v>798.36</v>
          </cell>
          <cell r="R150">
            <v>196.26</v>
          </cell>
          <cell r="S150">
            <v>196.26</v>
          </cell>
          <cell r="U150">
            <v>121.13538847560967</v>
          </cell>
          <cell r="V150">
            <v>69.717714501653134</v>
          </cell>
          <cell r="X150">
            <v>1216.3509927181026</v>
          </cell>
          <cell r="Y150">
            <v>653.00766487007104</v>
          </cell>
          <cell r="AA150">
            <v>0</v>
          </cell>
          <cell r="AB150">
            <v>0</v>
          </cell>
          <cell r="AD150">
            <v>2685.1153070637974</v>
          </cell>
          <cell r="AE150">
            <v>2509.8377630671612</v>
          </cell>
          <cell r="AJ150">
            <v>4964.0659391358995</v>
          </cell>
          <cell r="AK150">
            <v>4943.6711174300544</v>
          </cell>
          <cell r="AM150">
            <v>0</v>
          </cell>
          <cell r="AN150">
            <v>0</v>
          </cell>
          <cell r="AP150">
            <v>568.21058573618984</v>
          </cell>
          <cell r="AQ150">
            <v>0</v>
          </cell>
          <cell r="AS150">
            <v>10361.984393040482</v>
          </cell>
          <cell r="AT150">
            <v>3252.234241035273</v>
          </cell>
          <cell r="AV150">
            <v>137.99555972980002</v>
          </cell>
          <cell r="AW150">
            <v>0</v>
          </cell>
          <cell r="AY150">
            <v>220.85066511954076</v>
          </cell>
          <cell r="AZ150">
            <v>0</v>
          </cell>
          <cell r="BB150">
            <v>317.2358755353203</v>
          </cell>
          <cell r="BC150">
            <v>0</v>
          </cell>
          <cell r="BE150">
            <v>109.91849602876229</v>
          </cell>
          <cell r="BF150">
            <v>0</v>
          </cell>
          <cell r="BH150">
            <v>61.458351225803753</v>
          </cell>
          <cell r="BI150">
            <v>0</v>
          </cell>
          <cell r="BK150">
            <v>133.88047942032034</v>
          </cell>
          <cell r="BL150">
            <v>0</v>
          </cell>
          <cell r="BN150">
            <v>63.148545077137236</v>
          </cell>
          <cell r="BO150">
            <v>0</v>
          </cell>
          <cell r="BT150">
            <v>8098.8418938056129</v>
          </cell>
          <cell r="BU150">
            <v>5999.852825069037</v>
          </cell>
          <cell r="BW150">
            <v>6213.7072475330815</v>
          </cell>
          <cell r="BX150">
            <v>7078.958110635167</v>
          </cell>
          <cell r="BZ150">
            <v>1255.1107704746041</v>
          </cell>
          <cell r="CA150">
            <v>5240.4847715537144</v>
          </cell>
          <cell r="CC150">
            <v>156.87068719932458</v>
          </cell>
          <cell r="CD150">
            <v>156.22688661971756</v>
          </cell>
          <cell r="CF150">
            <v>19.311732325674427</v>
          </cell>
          <cell r="CG150">
            <v>0</v>
          </cell>
          <cell r="CI150">
            <v>1207.2803739288927</v>
          </cell>
          <cell r="CJ150">
            <v>455.16204059563853</v>
          </cell>
          <cell r="CL150">
            <v>1491.1628391163067</v>
          </cell>
          <cell r="CM150">
            <v>1192.9877473298798</v>
          </cell>
          <cell r="CX150">
            <v>764.04052863893594</v>
          </cell>
          <cell r="CY150">
            <v>10192.695659875502</v>
          </cell>
        </row>
        <row r="151">
          <cell r="I151">
            <v>2612.839205832151</v>
          </cell>
          <cell r="J151">
            <v>2544.6247909047006</v>
          </cell>
          <cell r="L151">
            <v>407.55257968286838</v>
          </cell>
          <cell r="M151">
            <v>461.37576898795146</v>
          </cell>
          <cell r="O151">
            <v>1010.48</v>
          </cell>
          <cell r="P151">
            <v>1010.48</v>
          </cell>
          <cell r="R151">
            <v>233.44</v>
          </cell>
          <cell r="S151">
            <v>233.44</v>
          </cell>
          <cell r="U151">
            <v>130.00964065633656</v>
          </cell>
          <cell r="V151">
            <v>75.94516079373193</v>
          </cell>
          <cell r="X151">
            <v>1127.611659990966</v>
          </cell>
          <cell r="Y151">
            <v>596.83771194420785</v>
          </cell>
          <cell r="AA151">
            <v>0</v>
          </cell>
          <cell r="AB151">
            <v>0</v>
          </cell>
          <cell r="AD151">
            <v>3059.5855063559175</v>
          </cell>
          <cell r="AE151">
            <v>3142.5731523829145</v>
          </cell>
          <cell r="AJ151">
            <v>6913.0950965152351</v>
          </cell>
          <cell r="AK151">
            <v>6884.704745994155</v>
          </cell>
          <cell r="AM151">
            <v>0</v>
          </cell>
          <cell r="AN151">
            <v>0</v>
          </cell>
          <cell r="AP151">
            <v>552.42695835462905</v>
          </cell>
          <cell r="AQ151">
            <v>0</v>
          </cell>
          <cell r="AS151">
            <v>11046.006216479449</v>
          </cell>
          <cell r="AT151">
            <v>0</v>
          </cell>
          <cell r="AV151">
            <v>206.77985978735606</v>
          </cell>
          <cell r="AW151">
            <v>614</v>
          </cell>
          <cell r="AY151">
            <v>249.72595634349193</v>
          </cell>
          <cell r="AZ151">
            <v>0</v>
          </cell>
          <cell r="BB151">
            <v>261.65200467571259</v>
          </cell>
          <cell r="BC151">
            <v>0</v>
          </cell>
          <cell r="BE151">
            <v>136.18455916075749</v>
          </cell>
          <cell r="BF151">
            <v>0</v>
          </cell>
          <cell r="BH151">
            <v>65.961235315382794</v>
          </cell>
          <cell r="BI151">
            <v>0</v>
          </cell>
          <cell r="BK151">
            <v>127.29001511917984</v>
          </cell>
          <cell r="BL151">
            <v>0</v>
          </cell>
          <cell r="BN151">
            <v>63.815302687057624</v>
          </cell>
          <cell r="BO151">
            <v>0</v>
          </cell>
          <cell r="BT151">
            <v>10007.904790429529</v>
          </cell>
          <cell r="BU151">
            <v>7381.0602652346852</v>
          </cell>
          <cell r="BW151">
            <v>6922.2340613249498</v>
          </cell>
          <cell r="BX151">
            <v>7887.0132386082387</v>
          </cell>
          <cell r="BZ151">
            <v>1731.1872696201444</v>
          </cell>
          <cell r="CA151">
            <v>6538.6566897398552</v>
          </cell>
          <cell r="CC151">
            <v>117.65301539949343</v>
          </cell>
          <cell r="CD151">
            <v>117.1701649647882</v>
          </cell>
          <cell r="CF151">
            <v>14.48379924425582</v>
          </cell>
          <cell r="CG151">
            <v>0</v>
          </cell>
          <cell r="CI151">
            <v>2395.843222680593</v>
          </cell>
          <cell r="CJ151">
            <v>748.71547160208911</v>
          </cell>
          <cell r="CL151">
            <v>1715.7731412426126</v>
          </cell>
          <cell r="CM151">
            <v>1279.9777182885864</v>
          </cell>
          <cell r="CX151">
            <v>4928.7378837223223</v>
          </cell>
          <cell r="CY151">
            <v>18840.290144664916</v>
          </cell>
        </row>
        <row r="152">
          <cell r="I152">
            <v>3105.0042771839958</v>
          </cell>
          <cell r="J152">
            <v>3031.1225178575369</v>
          </cell>
          <cell r="L152">
            <v>515.65801510687027</v>
          </cell>
          <cell r="M152">
            <v>569.52947612945854</v>
          </cell>
          <cell r="O152">
            <v>1293.08</v>
          </cell>
          <cell r="P152">
            <v>1293.08</v>
          </cell>
          <cell r="R152">
            <v>264.98</v>
          </cell>
          <cell r="S152">
            <v>264.98</v>
          </cell>
          <cell r="U152">
            <v>138.88381114641354</v>
          </cell>
          <cell r="V152">
            <v>79.298813829488822</v>
          </cell>
          <cell r="X152">
            <v>1186.0641134234106</v>
          </cell>
          <cell r="Y152">
            <v>633.03365985913547</v>
          </cell>
          <cell r="AA152">
            <v>0</v>
          </cell>
          <cell r="AB152">
            <v>0</v>
          </cell>
          <cell r="AD152">
            <v>3752.3272258220782</v>
          </cell>
          <cell r="AE152">
            <v>3508.273124561907</v>
          </cell>
          <cell r="AJ152">
            <v>7106.4203922739471</v>
          </cell>
          <cell r="AK152">
            <v>7077.2554944261828</v>
          </cell>
          <cell r="AM152">
            <v>0</v>
          </cell>
          <cell r="AN152">
            <v>0</v>
          </cell>
          <cell r="AP152">
            <v>607.66965419009193</v>
          </cell>
          <cell r="AQ152">
            <v>0</v>
          </cell>
          <cell r="AS152">
            <v>12984.424745619957</v>
          </cell>
          <cell r="AT152">
            <v>32027</v>
          </cell>
          <cell r="AV152">
            <v>253.79559344136993</v>
          </cell>
          <cell r="AW152">
            <v>0</v>
          </cell>
          <cell r="AY152">
            <v>299.85918245111566</v>
          </cell>
          <cell r="AZ152">
            <v>0</v>
          </cell>
          <cell r="BB152">
            <v>314.1999342756028</v>
          </cell>
          <cell r="BC152">
            <v>0</v>
          </cell>
          <cell r="BE152">
            <v>149.09893932882818</v>
          </cell>
          <cell r="BF152">
            <v>0</v>
          </cell>
          <cell r="BH152">
            <v>70.464078559636903</v>
          </cell>
          <cell r="BI152">
            <v>0</v>
          </cell>
          <cell r="BK152">
            <v>139.13578215632674</v>
          </cell>
          <cell r="BL152">
            <v>0</v>
          </cell>
          <cell r="BN152">
            <v>80.877523551507238</v>
          </cell>
          <cell r="BO152">
            <v>0</v>
          </cell>
          <cell r="BT152">
            <v>12932.82197640883</v>
          </cell>
          <cell r="BU152">
            <v>9204.8842210574621</v>
          </cell>
          <cell r="BW152">
            <v>7588.0457957871631</v>
          </cell>
          <cell r="BX152">
            <v>8668.0700713962069</v>
          </cell>
          <cell r="BZ152">
            <v>1298.3904522151083</v>
          </cell>
          <cell r="CA152">
            <v>8003.4872407441653</v>
          </cell>
          <cell r="CC152">
            <v>98.044179499577865</v>
          </cell>
          <cell r="CD152">
            <v>97.641804137323476</v>
          </cell>
          <cell r="CF152">
            <v>12.069832703546517</v>
          </cell>
          <cell r="CG152">
            <v>0</v>
          </cell>
          <cell r="CI152">
            <v>2002.775193959558</v>
          </cell>
          <cell r="CJ152">
            <v>1020.5524134133973</v>
          </cell>
          <cell r="CL152">
            <v>1690.8164410063562</v>
          </cell>
          <cell r="CM152">
            <v>1283.0793357082603</v>
          </cell>
          <cell r="CX152">
            <v>1772.1114318664477</v>
          </cell>
          <cell r="CY152">
            <v>-20879.54580774462</v>
          </cell>
        </row>
        <row r="153">
          <cell r="I153">
            <v>1928.5014906753588</v>
          </cell>
          <cell r="J153">
            <v>2023.4116225102075</v>
          </cell>
          <cell r="L153">
            <v>643.87058528417276</v>
          </cell>
          <cell r="M153">
            <v>644.1855841421152</v>
          </cell>
          <cell r="O153">
            <v>1683.56</v>
          </cell>
          <cell r="P153">
            <v>1683.56</v>
          </cell>
          <cell r="R153">
            <v>381.46</v>
          </cell>
          <cell r="S153">
            <v>381.46</v>
          </cell>
          <cell r="U153">
            <v>375.28698797765099</v>
          </cell>
          <cell r="V153">
            <v>141.82226060100811</v>
          </cell>
          <cell r="X153">
            <v>3048.0559394023562</v>
          </cell>
          <cell r="Y153">
            <v>2131.13580914675</v>
          </cell>
          <cell r="AA153">
            <v>0</v>
          </cell>
          <cell r="AB153">
            <v>0</v>
          </cell>
          <cell r="AD153">
            <v>5026.1259451071119</v>
          </cell>
          <cell r="AE153">
            <v>4698.1356414729053</v>
          </cell>
          <cell r="AJ153">
            <v>10450.68507223648</v>
          </cell>
          <cell r="AK153">
            <v>10407.769723321444</v>
          </cell>
          <cell r="AM153">
            <v>1052.2814392472874</v>
          </cell>
          <cell r="AN153">
            <v>786.06645561892788</v>
          </cell>
          <cell r="AP153">
            <v>1010.152152419893</v>
          </cell>
          <cell r="AQ153">
            <v>0</v>
          </cell>
          <cell r="AS153">
            <v>23490.658100615346</v>
          </cell>
          <cell r="AT153">
            <v>53949</v>
          </cell>
          <cell r="AV153">
            <v>94.43378304313336</v>
          </cell>
          <cell r="AW153">
            <v>7872</v>
          </cell>
          <cell r="AY153">
            <v>164.69565160645897</v>
          </cell>
          <cell r="AZ153">
            <v>0</v>
          </cell>
          <cell r="BB153">
            <v>85.522569153203989</v>
          </cell>
          <cell r="BC153">
            <v>862</v>
          </cell>
          <cell r="BE153">
            <v>77.168991502675269</v>
          </cell>
          <cell r="BF153">
            <v>0</v>
          </cell>
          <cell r="BH153">
            <v>114.23216904794364</v>
          </cell>
          <cell r="BI153">
            <v>0</v>
          </cell>
          <cell r="BK153">
            <v>117.81904756011804</v>
          </cell>
          <cell r="BL153">
            <v>2408</v>
          </cell>
          <cell r="BN153">
            <v>186.43229164545758</v>
          </cell>
          <cell r="BO153">
            <v>0</v>
          </cell>
          <cell r="BT153">
            <v>17257.130629112617</v>
          </cell>
          <cell r="BU153">
            <v>11430.069414349957</v>
          </cell>
          <cell r="BW153">
            <v>8645.2856067834819</v>
          </cell>
          <cell r="BX153">
            <v>11256.622717195154</v>
          </cell>
          <cell r="BZ153">
            <v>2077.424723544173</v>
          </cell>
          <cell r="CA153">
            <v>12004.992380393242</v>
          </cell>
          <cell r="CC153">
            <v>496.83887961411079</v>
          </cell>
          <cell r="CD153">
            <v>494.7998424658868</v>
          </cell>
          <cell r="CF153">
            <v>61.163877225221974</v>
          </cell>
          <cell r="CG153">
            <v>0</v>
          </cell>
          <cell r="CI153">
            <v>4280.0740905179355</v>
          </cell>
          <cell r="CJ153">
            <v>3737.4102939730537</v>
          </cell>
          <cell r="CL153">
            <v>4342.4658411085748</v>
          </cell>
          <cell r="CM153">
            <v>1864.024300941192</v>
          </cell>
          <cell r="CX153">
            <v>1572.6389626830787</v>
          </cell>
          <cell r="CY153">
            <v>-48449.52925535824</v>
          </cell>
        </row>
        <row r="154">
          <cell r="I154">
            <v>4459.6169808458826</v>
          </cell>
          <cell r="J154">
            <v>4454.0373713118897</v>
          </cell>
          <cell r="L154">
            <v>735.84578158679165</v>
          </cell>
          <cell r="M154">
            <v>736.2050475631512</v>
          </cell>
          <cell r="O154">
            <v>2588.2800000000002</v>
          </cell>
          <cell r="P154">
            <v>2588.2800000000002</v>
          </cell>
          <cell r="R154">
            <v>578.48</v>
          </cell>
          <cell r="S154">
            <v>578.48</v>
          </cell>
          <cell r="U154">
            <v>768.32239862610584</v>
          </cell>
          <cell r="V154">
            <v>290.35182727352998</v>
          </cell>
          <cell r="X154">
            <v>4134.792460814112</v>
          </cell>
          <cell r="Y154">
            <v>2258.2247941963687</v>
          </cell>
          <cell r="AA154">
            <v>0</v>
          </cell>
          <cell r="AB154">
            <v>0</v>
          </cell>
          <cell r="AD154">
            <v>7398.2931422557067</v>
          </cell>
          <cell r="AE154">
            <v>6921.6460835837079</v>
          </cell>
          <cell r="AJ154">
            <v>15123.381536114088</v>
          </cell>
          <cell r="AK154">
            <v>15061.309316155181</v>
          </cell>
          <cell r="AM154">
            <v>0</v>
          </cell>
          <cell r="AN154">
            <v>524.04245139361001</v>
          </cell>
          <cell r="AP154">
            <v>1262.6901905248662</v>
          </cell>
          <cell r="AQ154">
            <v>377.37791561342385</v>
          </cell>
          <cell r="AS154">
            <v>31894.502917421258</v>
          </cell>
          <cell r="AT154">
            <v>7340</v>
          </cell>
          <cell r="AV154">
            <v>218.8366539500102</v>
          </cell>
          <cell r="AW154">
            <v>0</v>
          </cell>
          <cell r="AY154">
            <v>293.70984678688399</v>
          </cell>
          <cell r="AZ154">
            <v>0</v>
          </cell>
          <cell r="BB154">
            <v>364.69237551859214</v>
          </cell>
          <cell r="BC154">
            <v>0</v>
          </cell>
          <cell r="BE154">
            <v>200.31082217688231</v>
          </cell>
          <cell r="BF154">
            <v>1275</v>
          </cell>
          <cell r="BH154">
            <v>233.85323677229661</v>
          </cell>
          <cell r="BI154">
            <v>0</v>
          </cell>
          <cell r="BK154">
            <v>278.72226634903535</v>
          </cell>
          <cell r="BL154">
            <v>5128</v>
          </cell>
          <cell r="BN154">
            <v>127.01222515318118</v>
          </cell>
          <cell r="BO154">
            <v>0</v>
          </cell>
          <cell r="BT154">
            <v>19978.405690516272</v>
          </cell>
          <cell r="BU154">
            <v>14943.926388090838</v>
          </cell>
          <cell r="BW154">
            <v>14131.823100860949</v>
          </cell>
          <cell r="BX154">
            <v>16097.687576857013</v>
          </cell>
          <cell r="BZ154">
            <v>3462.3745392402889</v>
          </cell>
          <cell r="CA154">
            <v>13359.459837030085</v>
          </cell>
          <cell r="CC154">
            <v>364.62630355893003</v>
          </cell>
          <cell r="CD154">
            <v>363.12986958670604</v>
          </cell>
          <cell r="CF154">
            <v>44.887707824489496</v>
          </cell>
          <cell r="CG154">
            <v>0</v>
          </cell>
          <cell r="CI154">
            <v>5103.6451983143888</v>
          </cell>
          <cell r="CJ154">
            <v>2715.2998376894275</v>
          </cell>
          <cell r="CL154">
            <v>2894.9772274057168</v>
          </cell>
          <cell r="CM154">
            <v>1517.5800884657315</v>
          </cell>
          <cell r="CX154">
            <v>3594.6208768599317</v>
          </cell>
          <cell r="CY154">
            <v>27729.073914227185</v>
          </cell>
        </row>
        <row r="155"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73.739411168580176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39.45906845390207</v>
          </cell>
          <cell r="AQ155">
            <v>0</v>
          </cell>
          <cell r="AS155">
            <v>352.26530486119486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0</v>
          </cell>
          <cell r="BF155">
            <v>0</v>
          </cell>
          <cell r="BH155">
            <v>0</v>
          </cell>
          <cell r="BI155">
            <v>0</v>
          </cell>
          <cell r="BK155">
            <v>0</v>
          </cell>
          <cell r="BL155">
            <v>0</v>
          </cell>
          <cell r="BN155">
            <v>0</v>
          </cell>
          <cell r="BO155">
            <v>0</v>
          </cell>
          <cell r="BT155">
            <v>35.890516131296266</v>
          </cell>
          <cell r="BU155">
            <v>117.26212579792201</v>
          </cell>
          <cell r="BW155">
            <v>0</v>
          </cell>
          <cell r="BX155">
            <v>0.44367013649123022</v>
          </cell>
          <cell r="BZ155">
            <v>0</v>
          </cell>
          <cell r="CA155">
            <v>132.07316220538564</v>
          </cell>
          <cell r="CC155">
            <v>0</v>
          </cell>
          <cell r="CD155">
            <v>0</v>
          </cell>
          <cell r="CF155">
            <v>0</v>
          </cell>
          <cell r="CG155">
            <v>0</v>
          </cell>
          <cell r="CI155">
            <v>0</v>
          </cell>
          <cell r="CJ155">
            <v>0</v>
          </cell>
          <cell r="CL155">
            <v>0</v>
          </cell>
          <cell r="CM155">
            <v>0</v>
          </cell>
          <cell r="CX155">
            <v>2.5421326643280509</v>
          </cell>
          <cell r="CY155">
            <v>127.45795682994512</v>
          </cell>
        </row>
        <row r="156"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140.81762891633105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39.45906845390207</v>
          </cell>
          <cell r="AQ156">
            <v>0</v>
          </cell>
          <cell r="AS156">
            <v>442.11606747447229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0</v>
          </cell>
          <cell r="BH156">
            <v>0</v>
          </cell>
          <cell r="BI156">
            <v>0</v>
          </cell>
          <cell r="BK156">
            <v>0</v>
          </cell>
          <cell r="BL156">
            <v>0</v>
          </cell>
          <cell r="BN156">
            <v>0</v>
          </cell>
          <cell r="BO156">
            <v>0</v>
          </cell>
          <cell r="BT156">
            <v>159.5134050279834</v>
          </cell>
          <cell r="BU156">
            <v>131.9310043094134</v>
          </cell>
          <cell r="BW156">
            <v>0</v>
          </cell>
          <cell r="BX156">
            <v>0.84726166986672158</v>
          </cell>
          <cell r="BZ156">
            <v>0</v>
          </cell>
          <cell r="CA156">
            <v>148.59482389142704</v>
          </cell>
          <cell r="CC156">
            <v>0</v>
          </cell>
          <cell r="CD156">
            <v>0</v>
          </cell>
          <cell r="CF156">
            <v>0</v>
          </cell>
          <cell r="CG156">
            <v>0</v>
          </cell>
          <cell r="CI156">
            <v>0</v>
          </cell>
          <cell r="CJ156">
            <v>0</v>
          </cell>
          <cell r="CL156">
            <v>0</v>
          </cell>
          <cell r="CM156">
            <v>0</v>
          </cell>
          <cell r="CX156">
            <v>19.213750852370708</v>
          </cell>
          <cell r="CY156">
            <v>281.8911374555542</v>
          </cell>
        </row>
        <row r="157">
          <cell r="I157">
            <v>3437.6021270753272</v>
          </cell>
          <cell r="J157">
            <v>3413.7963407752422</v>
          </cell>
          <cell r="L157">
            <v>587.84829855846283</v>
          </cell>
          <cell r="M157">
            <v>636.01915149455067</v>
          </cell>
          <cell r="O157">
            <v>2095.3200000000002</v>
          </cell>
          <cell r="P157">
            <v>2095.3200000000002</v>
          </cell>
          <cell r="R157">
            <v>390.44</v>
          </cell>
          <cell r="S157">
            <v>390.44</v>
          </cell>
          <cell r="U157">
            <v>576.24186023756681</v>
          </cell>
          <cell r="V157">
            <v>241.70422101871904</v>
          </cell>
          <cell r="X157">
            <v>2602.6625165641813</v>
          </cell>
          <cell r="Y157">
            <v>1471.7764574971484</v>
          </cell>
          <cell r="AA157">
            <v>0</v>
          </cell>
          <cell r="AB157">
            <v>0</v>
          </cell>
          <cell r="AD157">
            <v>5291.4127861988673</v>
          </cell>
          <cell r="AE157">
            <v>4945.7977251864613</v>
          </cell>
          <cell r="AJ157">
            <v>11827.537311163507</v>
          </cell>
          <cell r="AK157">
            <v>11778.971331877176</v>
          </cell>
          <cell r="AM157">
            <v>0</v>
          </cell>
          <cell r="AN157">
            <v>262.02400053441977</v>
          </cell>
          <cell r="AP157">
            <v>947.01764289364974</v>
          </cell>
          <cell r="AQ157">
            <v>0</v>
          </cell>
          <cell r="AS157">
            <v>21655.570957957854</v>
          </cell>
          <cell r="AT157">
            <v>55985</v>
          </cell>
          <cell r="AV157">
            <v>285.60590283188384</v>
          </cell>
          <cell r="AW157">
            <v>4852</v>
          </cell>
          <cell r="AY157">
            <v>390.32326750718556</v>
          </cell>
          <cell r="AZ157">
            <v>4240</v>
          </cell>
          <cell r="BB157">
            <v>457.79539128399068</v>
          </cell>
          <cell r="BC157">
            <v>0</v>
          </cell>
          <cell r="BE157">
            <v>190.64462400592069</v>
          </cell>
          <cell r="BF157">
            <v>0</v>
          </cell>
          <cell r="BH157">
            <v>292.3226339843186</v>
          </cell>
          <cell r="BI157">
            <v>0</v>
          </cell>
          <cell r="BK157">
            <v>231.42810175412231</v>
          </cell>
          <cell r="BL157">
            <v>10572</v>
          </cell>
          <cell r="BN157">
            <v>143.02162076665977</v>
          </cell>
          <cell r="BO157">
            <v>0</v>
          </cell>
          <cell r="BT157">
            <v>18249.029775995474</v>
          </cell>
          <cell r="BU157">
            <v>15205.877760408257</v>
          </cell>
          <cell r="BW157">
            <v>7244.1589342153557</v>
          </cell>
          <cell r="BX157">
            <v>8105.400469831482</v>
          </cell>
          <cell r="BZ157">
            <v>6491.9522610755421</v>
          </cell>
          <cell r="CA157">
            <v>15264.350122633066</v>
          </cell>
          <cell r="CC157">
            <v>367.86176148241611</v>
          </cell>
          <cell r="CD157">
            <v>366.35204912323769</v>
          </cell>
          <cell r="CF157">
            <v>45.286012303706535</v>
          </cell>
          <cell r="CG157">
            <v>0</v>
          </cell>
          <cell r="CI157">
            <v>4329.9874909904465</v>
          </cell>
          <cell r="CJ157">
            <v>3422.09180155169</v>
          </cell>
          <cell r="CL157">
            <v>1778.164891833253</v>
          </cell>
          <cell r="CM157">
            <v>1450.8529424318713</v>
          </cell>
          <cell r="CX157">
            <v>2689.5565951843746</v>
          </cell>
          <cell r="CY157">
            <v>-63059.089249235956</v>
          </cell>
        </row>
        <row r="158">
          <cell r="I158">
            <v>1684.5663027301821</v>
          </cell>
          <cell r="J158">
            <v>1759.575344789547</v>
          </cell>
          <cell r="L158">
            <v>469.78543785590898</v>
          </cell>
          <cell r="M158">
            <v>517.8987249905507</v>
          </cell>
          <cell r="O158">
            <v>1585.64</v>
          </cell>
          <cell r="P158">
            <v>1585.64</v>
          </cell>
          <cell r="R158">
            <v>323.06</v>
          </cell>
          <cell r="S158">
            <v>323.06</v>
          </cell>
          <cell r="U158">
            <v>181.72735309855759</v>
          </cell>
          <cell r="V158">
            <v>68.67536160999947</v>
          </cell>
          <cell r="X158">
            <v>2139.1197373635459</v>
          </cell>
          <cell r="Y158">
            <v>1166.7017830736113</v>
          </cell>
          <cell r="AA158">
            <v>0</v>
          </cell>
          <cell r="AB158">
            <v>0</v>
          </cell>
          <cell r="AD158">
            <v>4365.4458357540925</v>
          </cell>
          <cell r="AE158">
            <v>4080.4805597644981</v>
          </cell>
          <cell r="AJ158">
            <v>12380.083110947831</v>
          </cell>
          <cell r="AK158">
            <v>12329.255018132691</v>
          </cell>
          <cell r="AM158">
            <v>0</v>
          </cell>
          <cell r="AN158">
            <v>262.02400053441977</v>
          </cell>
          <cell r="AP158">
            <v>804.96499645960228</v>
          </cell>
          <cell r="AQ158">
            <v>0</v>
          </cell>
          <cell r="AS158">
            <v>19270.077390402439</v>
          </cell>
          <cell r="AT158">
            <v>2.0963422399793528</v>
          </cell>
          <cell r="AV158">
            <v>86.443035780007833</v>
          </cell>
          <cell r="AW158">
            <v>0</v>
          </cell>
          <cell r="AY158">
            <v>120.14218698074031</v>
          </cell>
          <cell r="AZ158">
            <v>5146</v>
          </cell>
          <cell r="BB158">
            <v>78.018301012424018</v>
          </cell>
          <cell r="BC158">
            <v>0</v>
          </cell>
          <cell r="BE158">
            <v>64.015527193052435</v>
          </cell>
          <cell r="BF158">
            <v>0</v>
          </cell>
          <cell r="BH158">
            <v>55.319784965168807</v>
          </cell>
          <cell r="BI158">
            <v>0</v>
          </cell>
          <cell r="BK158">
            <v>78.644690031445961</v>
          </cell>
          <cell r="BL158">
            <v>0</v>
          </cell>
          <cell r="BN158">
            <v>184.43633026280074</v>
          </cell>
          <cell r="BO158">
            <v>0</v>
          </cell>
          <cell r="BT158">
            <v>14328.406584822418</v>
          </cell>
          <cell r="BU158">
            <v>10373.307514956812</v>
          </cell>
          <cell r="BW158">
            <v>6342.6826259517184</v>
          </cell>
          <cell r="BX158">
            <v>7949.1945565179758</v>
          </cell>
          <cell r="BZ158">
            <v>2168.3120551992306</v>
          </cell>
          <cell r="CA158">
            <v>9270.5377097217661</v>
          </cell>
          <cell r="CC158">
            <v>411.78555389822702</v>
          </cell>
          <cell r="CD158">
            <v>410.09557737675857</v>
          </cell>
          <cell r="CF158">
            <v>50.693297354895371</v>
          </cell>
          <cell r="CG158">
            <v>0</v>
          </cell>
          <cell r="CI158">
            <v>1974.6989061937702</v>
          </cell>
          <cell r="CJ158">
            <v>1531.6190095215395</v>
          </cell>
          <cell r="CL158">
            <v>1834.3174673648291</v>
          </cell>
          <cell r="CM158">
            <v>1483.4964007483024</v>
          </cell>
          <cell r="CX158">
            <v>1277.9361860525387</v>
          </cell>
          <cell r="CY158">
            <v>16545.210515225866</v>
          </cell>
        </row>
        <row r="159"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106.51248279906025</v>
          </cell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P159">
            <v>39.45906845390207</v>
          </cell>
          <cell r="AQ159">
            <v>0</v>
          </cell>
          <cell r="AS159">
            <v>339.44755533208934</v>
          </cell>
          <cell r="AT159">
            <v>0</v>
          </cell>
          <cell r="AV159">
            <v>0</v>
          </cell>
          <cell r="AW159">
            <v>0</v>
          </cell>
          <cell r="AY159">
            <v>0</v>
          </cell>
          <cell r="AZ159">
            <v>0</v>
          </cell>
          <cell r="BB159">
            <v>0</v>
          </cell>
          <cell r="BC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K159">
            <v>0</v>
          </cell>
          <cell r="BL159">
            <v>0</v>
          </cell>
          <cell r="BN159">
            <v>0</v>
          </cell>
          <cell r="BO159">
            <v>0</v>
          </cell>
          <cell r="BT159">
            <v>183.44041578218088</v>
          </cell>
          <cell r="BU159">
            <v>219.87759865785492</v>
          </cell>
          <cell r="BW159">
            <v>0</v>
          </cell>
          <cell r="BX159">
            <v>0.64085686382066598</v>
          </cell>
          <cell r="BZ159">
            <v>0</v>
          </cell>
          <cell r="CA159">
            <v>247.64969554546627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0</v>
          </cell>
          <cell r="CJ159">
            <v>0</v>
          </cell>
          <cell r="CL159">
            <v>0</v>
          </cell>
          <cell r="CM159">
            <v>0</v>
          </cell>
          <cell r="CX159">
            <v>30.363552518193273</v>
          </cell>
          <cell r="CY159">
            <v>15.563239360557418</v>
          </cell>
        </row>
        <row r="160"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X160">
            <v>0</v>
          </cell>
          <cell r="Y160">
            <v>0</v>
          </cell>
          <cell r="AA160">
            <v>0</v>
          </cell>
          <cell r="AB160">
            <v>0</v>
          </cell>
          <cell r="AD160">
            <v>0</v>
          </cell>
          <cell r="AE160">
            <v>107.51166181218463</v>
          </cell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P160">
            <v>55.242695835462904</v>
          </cell>
          <cell r="AQ160">
            <v>0</v>
          </cell>
          <cell r="AS160">
            <v>323.23582226545983</v>
          </cell>
          <cell r="AT160">
            <v>0</v>
          </cell>
          <cell r="AV160">
            <v>0</v>
          </cell>
          <cell r="AW160">
            <v>0</v>
          </cell>
          <cell r="AY160">
            <v>0</v>
          </cell>
          <cell r="AZ160">
            <v>0</v>
          </cell>
          <cell r="BB160">
            <v>0</v>
          </cell>
          <cell r="BC160">
            <v>0</v>
          </cell>
          <cell r="BE160">
            <v>0</v>
          </cell>
          <cell r="BF160">
            <v>0</v>
          </cell>
          <cell r="BH160">
            <v>0</v>
          </cell>
          <cell r="BI160">
            <v>0</v>
          </cell>
          <cell r="BK160">
            <v>0</v>
          </cell>
          <cell r="BL160">
            <v>0</v>
          </cell>
          <cell r="BN160">
            <v>0</v>
          </cell>
          <cell r="BO160">
            <v>0</v>
          </cell>
          <cell r="BT160">
            <v>159.5134050279834</v>
          </cell>
          <cell r="BU160">
            <v>219.87759865785492</v>
          </cell>
          <cell r="BW160">
            <v>0</v>
          </cell>
          <cell r="BX160">
            <v>0.64686865428802676</v>
          </cell>
          <cell r="BZ160">
            <v>0</v>
          </cell>
          <cell r="CA160">
            <v>247.64969554546627</v>
          </cell>
          <cell r="CC160">
            <v>0</v>
          </cell>
          <cell r="CD160">
            <v>0</v>
          </cell>
          <cell r="CF160">
            <v>0</v>
          </cell>
          <cell r="CG160">
            <v>0</v>
          </cell>
          <cell r="CI160">
            <v>0</v>
          </cell>
          <cell r="CJ160">
            <v>0</v>
          </cell>
          <cell r="CL160">
            <v>0</v>
          </cell>
          <cell r="CM160">
            <v>0</v>
          </cell>
          <cell r="CX160">
            <v>25.829692245312572</v>
          </cell>
          <cell r="CY160">
            <v>-19.402989603752644</v>
          </cell>
        </row>
        <row r="161">
          <cell r="I161">
            <v>2347.6926884600516</v>
          </cell>
          <cell r="J161">
            <v>2364.8567591808041</v>
          </cell>
          <cell r="L161">
            <v>310.69211704762535</v>
          </cell>
          <cell r="M161">
            <v>310.84322764210521</v>
          </cell>
          <cell r="O161">
            <v>1483.54</v>
          </cell>
          <cell r="P161">
            <v>1483.54</v>
          </cell>
          <cell r="R161">
            <v>311.36</v>
          </cell>
          <cell r="S161">
            <v>311.36</v>
          </cell>
          <cell r="U161">
            <v>288.12088927345849</v>
          </cell>
          <cell r="V161">
            <v>132.8222857911453</v>
          </cell>
          <cell r="X161">
            <v>2571.6499428926695</v>
          </cell>
          <cell r="Y161">
            <v>1437.1345177677435</v>
          </cell>
          <cell r="AA161">
            <v>0</v>
          </cell>
          <cell r="AB161">
            <v>0</v>
          </cell>
          <cell r="AD161">
            <v>4290.0843049813711</v>
          </cell>
          <cell r="AE161">
            <v>4009.7992706734904</v>
          </cell>
          <cell r="AJ161">
            <v>14306.918631331355</v>
          </cell>
          <cell r="AK161">
            <v>14248.178328473095</v>
          </cell>
          <cell r="AM161">
            <v>0</v>
          </cell>
          <cell r="AN161">
            <v>0</v>
          </cell>
          <cell r="AP161">
            <v>844.42406491350437</v>
          </cell>
          <cell r="AQ161">
            <v>0</v>
          </cell>
          <cell r="AS161">
            <v>17637.511541191994</v>
          </cell>
          <cell r="AT161">
            <v>31560</v>
          </cell>
          <cell r="AV161">
            <v>169.81309339741193</v>
          </cell>
          <cell r="AW161">
            <v>0</v>
          </cell>
          <cell r="AY161">
            <v>211.69671960875121</v>
          </cell>
          <cell r="AZ161">
            <v>0</v>
          </cell>
          <cell r="BB161">
            <v>351.24098113888738</v>
          </cell>
          <cell r="BC161">
            <v>0</v>
          </cell>
          <cell r="BE161">
            <v>132.75947329872042</v>
          </cell>
          <cell r="BF161">
            <v>0</v>
          </cell>
          <cell r="BH161">
            <v>146.1613169921593</v>
          </cell>
          <cell r="BI161">
            <v>0</v>
          </cell>
          <cell r="BK161">
            <v>232.16032966965076</v>
          </cell>
          <cell r="BL161">
            <v>0</v>
          </cell>
          <cell r="BN161">
            <v>184.43633026280074</v>
          </cell>
          <cell r="BO161">
            <v>0</v>
          </cell>
          <cell r="BT161">
            <v>13454.166438498833</v>
          </cell>
          <cell r="BU161">
            <v>9587.8579897029595</v>
          </cell>
          <cell r="BW161">
            <v>10236.655456880142</v>
          </cell>
          <cell r="BX161">
            <v>10802.920356431503</v>
          </cell>
          <cell r="BZ161">
            <v>1558.0685426581299</v>
          </cell>
          <cell r="CA161">
            <v>11280.054989323211</v>
          </cell>
          <cell r="CC161">
            <v>450.26789435181132</v>
          </cell>
          <cell r="CD161">
            <v>448.41998550065813</v>
          </cell>
          <cell r="CF161">
            <v>55.430706691037372</v>
          </cell>
          <cell r="CG161">
            <v>0</v>
          </cell>
          <cell r="CI161">
            <v>4613.8699561778612</v>
          </cell>
          <cell r="CJ161">
            <v>3395.7115182607072</v>
          </cell>
          <cell r="CL161">
            <v>2021.4927191367506</v>
          </cell>
          <cell r="CM161">
            <v>1629.5028791540317</v>
          </cell>
          <cell r="CX161">
            <v>2334.7630333740381</v>
          </cell>
          <cell r="CY161">
            <v>-15416.58252948174</v>
          </cell>
        </row>
        <row r="162"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P162">
            <v>71.02632321702373</v>
          </cell>
          <cell r="AQ162">
            <v>0</v>
          </cell>
          <cell r="AS162">
            <v>27.075999999999997</v>
          </cell>
          <cell r="AT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0</v>
          </cell>
          <cell r="BC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T162">
            <v>0</v>
          </cell>
          <cell r="BU162">
            <v>0</v>
          </cell>
          <cell r="BW162">
            <v>0</v>
          </cell>
          <cell r="BX162">
            <v>0.43405127174345287</v>
          </cell>
          <cell r="BZ162">
            <v>0</v>
          </cell>
          <cell r="CA162">
            <v>0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X162">
            <v>-2.7878604284694575E-3</v>
          </cell>
          <cell r="CY162">
            <v>117.19913847390785</v>
          </cell>
        </row>
        <row r="163"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63.281337497878191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71.02632321702373</v>
          </cell>
          <cell r="AQ163">
            <v>0</v>
          </cell>
          <cell r="AS163">
            <v>206.91011246234066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  <cell r="BK163">
            <v>0</v>
          </cell>
          <cell r="BL163">
            <v>0</v>
          </cell>
          <cell r="BN163">
            <v>0</v>
          </cell>
          <cell r="BO163">
            <v>0</v>
          </cell>
          <cell r="BT163">
            <v>0</v>
          </cell>
          <cell r="BU163">
            <v>0</v>
          </cell>
          <cell r="BW163">
            <v>0</v>
          </cell>
          <cell r="BX163">
            <v>0.38074672959952005</v>
          </cell>
          <cell r="BZ163">
            <v>0</v>
          </cell>
          <cell r="CA163">
            <v>0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0</v>
          </cell>
          <cell r="CJ163">
            <v>0</v>
          </cell>
          <cell r="CL163">
            <v>0</v>
          </cell>
          <cell r="CM163">
            <v>0</v>
          </cell>
          <cell r="CX163">
            <v>-3.7228152373245393E-3</v>
          </cell>
          <cell r="CY163">
            <v>257.12549892702674</v>
          </cell>
        </row>
        <row r="164"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D164">
            <v>0</v>
          </cell>
          <cell r="AE164">
            <v>87.461469615488497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P164">
            <v>71.02632321702373</v>
          </cell>
          <cell r="AQ164">
            <v>0</v>
          </cell>
          <cell r="AS164">
            <v>283.32110185525045</v>
          </cell>
          <cell r="AT164">
            <v>0</v>
          </cell>
          <cell r="AV164">
            <v>0</v>
          </cell>
          <cell r="AW164">
            <v>0</v>
          </cell>
          <cell r="AY164">
            <v>0</v>
          </cell>
          <cell r="AZ164">
            <v>0</v>
          </cell>
          <cell r="BB164">
            <v>0</v>
          </cell>
          <cell r="BC164">
            <v>0</v>
          </cell>
          <cell r="BE164">
            <v>0</v>
          </cell>
          <cell r="BF164">
            <v>0</v>
          </cell>
          <cell r="BH164">
            <v>0</v>
          </cell>
          <cell r="BI164">
            <v>0</v>
          </cell>
          <cell r="BK164">
            <v>0</v>
          </cell>
          <cell r="BL164">
            <v>0</v>
          </cell>
          <cell r="BN164">
            <v>0</v>
          </cell>
          <cell r="BO164">
            <v>0</v>
          </cell>
          <cell r="BT164">
            <v>0</v>
          </cell>
          <cell r="BU164">
            <v>0</v>
          </cell>
          <cell r="BW164">
            <v>0</v>
          </cell>
          <cell r="BX164">
            <v>0.52623205890965252</v>
          </cell>
          <cell r="BZ164">
            <v>0</v>
          </cell>
          <cell r="CA164">
            <v>0</v>
          </cell>
          <cell r="CC164">
            <v>0</v>
          </cell>
          <cell r="CD164">
            <v>0</v>
          </cell>
          <cell r="CF164">
            <v>0</v>
          </cell>
          <cell r="CG164">
            <v>0</v>
          </cell>
          <cell r="CI164">
            <v>0</v>
          </cell>
          <cell r="CJ164">
            <v>0</v>
          </cell>
          <cell r="CL164">
            <v>0</v>
          </cell>
          <cell r="CM164">
            <v>0</v>
          </cell>
          <cell r="CX164">
            <v>2.3089913271007845E-2</v>
          </cell>
          <cell r="CY164">
            <v>319.65475799072226</v>
          </cell>
        </row>
        <row r="165"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D165">
            <v>0</v>
          </cell>
          <cell r="AE165">
            <v>91.458185667986072</v>
          </cell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P165">
            <v>47.350882144682487</v>
          </cell>
          <cell r="AQ165">
            <v>0</v>
          </cell>
          <cell r="AS165">
            <v>330.065614280077</v>
          </cell>
          <cell r="AT165">
            <v>0</v>
          </cell>
          <cell r="AV165">
            <v>0</v>
          </cell>
          <cell r="AW165">
            <v>0</v>
          </cell>
          <cell r="AY165">
            <v>0</v>
          </cell>
          <cell r="AZ165">
            <v>0</v>
          </cell>
          <cell r="BB165">
            <v>0</v>
          </cell>
          <cell r="BC165">
            <v>0</v>
          </cell>
          <cell r="BE165">
            <v>0</v>
          </cell>
          <cell r="BF165">
            <v>0</v>
          </cell>
          <cell r="BH165">
            <v>0</v>
          </cell>
          <cell r="BI165">
            <v>0</v>
          </cell>
          <cell r="BK165">
            <v>0</v>
          </cell>
          <cell r="BL165">
            <v>0</v>
          </cell>
          <cell r="BN165">
            <v>0</v>
          </cell>
          <cell r="BO165">
            <v>0</v>
          </cell>
          <cell r="BT165">
            <v>0</v>
          </cell>
          <cell r="BU165">
            <v>0</v>
          </cell>
          <cell r="BW165">
            <v>0</v>
          </cell>
          <cell r="BX165">
            <v>0.55027922077909586</v>
          </cell>
          <cell r="BZ165">
            <v>0</v>
          </cell>
          <cell r="CA165">
            <v>0</v>
          </cell>
          <cell r="CC165">
            <v>0</v>
          </cell>
          <cell r="CD165">
            <v>0</v>
          </cell>
          <cell r="CF165">
            <v>0</v>
          </cell>
          <cell r="CG165">
            <v>0</v>
          </cell>
          <cell r="CI165">
            <v>0</v>
          </cell>
          <cell r="CJ165">
            <v>0</v>
          </cell>
          <cell r="CL165">
            <v>0</v>
          </cell>
          <cell r="CM165">
            <v>0</v>
          </cell>
          <cell r="CX165">
            <v>11.320204290288643</v>
          </cell>
          <cell r="CY165">
            <v>353.80984213348188</v>
          </cell>
        </row>
        <row r="166">
          <cell r="I166">
            <v>4.9512429948257046E-2</v>
          </cell>
          <cell r="J166">
            <v>4.9682830172057227E-2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D166">
            <v>0</v>
          </cell>
          <cell r="AE166">
            <v>140.95085278474761</v>
          </cell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P166">
            <v>63.134509526243313</v>
          </cell>
          <cell r="AQ166">
            <v>0</v>
          </cell>
          <cell r="AS166">
            <v>491.33388269603643</v>
          </cell>
          <cell r="AT166">
            <v>0</v>
          </cell>
          <cell r="AV166">
            <v>2.4740542054058649E-3</v>
          </cell>
          <cell r="AW166">
            <v>0</v>
          </cell>
          <cell r="AY166">
            <v>0</v>
          </cell>
          <cell r="AZ166">
            <v>0</v>
          </cell>
          <cell r="BB166">
            <v>0</v>
          </cell>
          <cell r="BC166">
            <v>0</v>
          </cell>
          <cell r="BE166">
            <v>0</v>
          </cell>
          <cell r="BF166">
            <v>0</v>
          </cell>
          <cell r="BH166">
            <v>0</v>
          </cell>
          <cell r="BI166">
            <v>0</v>
          </cell>
          <cell r="BK166">
            <v>0</v>
          </cell>
          <cell r="BL166">
            <v>0</v>
          </cell>
          <cell r="BN166">
            <v>0</v>
          </cell>
          <cell r="BO166">
            <v>0</v>
          </cell>
          <cell r="BT166">
            <v>0</v>
          </cell>
          <cell r="BU166">
            <v>0</v>
          </cell>
          <cell r="BW166">
            <v>0</v>
          </cell>
          <cell r="BX166">
            <v>0.84806324192903626</v>
          </cell>
          <cell r="BZ166">
            <v>0</v>
          </cell>
          <cell r="CA166">
            <v>0</v>
          </cell>
          <cell r="CC166">
            <v>0</v>
          </cell>
          <cell r="CD166">
            <v>0</v>
          </cell>
          <cell r="CF166">
            <v>0</v>
          </cell>
          <cell r="CG166">
            <v>0</v>
          </cell>
          <cell r="CI166">
            <v>0</v>
          </cell>
          <cell r="CJ166">
            <v>0</v>
          </cell>
          <cell r="CL166">
            <v>0</v>
          </cell>
          <cell r="CM166">
            <v>0</v>
          </cell>
          <cell r="CX166">
            <v>16.635545552279837</v>
          </cell>
          <cell r="CY166">
            <v>511.84168137178153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D167">
            <v>0</v>
          </cell>
          <cell r="AE167">
            <v>120.30115318017684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P167">
            <v>39.45906845390207</v>
          </cell>
          <cell r="AQ167">
            <v>0</v>
          </cell>
          <cell r="AS167">
            <v>443.58864013860301</v>
          </cell>
          <cell r="AT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E167">
            <v>0</v>
          </cell>
          <cell r="BF167">
            <v>0</v>
          </cell>
          <cell r="BH167">
            <v>0</v>
          </cell>
          <cell r="BI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T167">
            <v>0</v>
          </cell>
          <cell r="BU167">
            <v>0</v>
          </cell>
          <cell r="BW167">
            <v>0</v>
          </cell>
          <cell r="BX167">
            <v>0.72381957227024551</v>
          </cell>
          <cell r="BZ167">
            <v>0</v>
          </cell>
          <cell r="CA167">
            <v>0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X167">
            <v>14.502749688993845</v>
          </cell>
          <cell r="CY167">
            <v>448.93003269706344</v>
          </cell>
        </row>
        <row r="168"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68.210620629291867</v>
          </cell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P168">
            <v>55.242695835462904</v>
          </cell>
          <cell r="AQ168">
            <v>0</v>
          </cell>
          <cell r="AS168">
            <v>286.6016945796448</v>
          </cell>
          <cell r="AT168">
            <v>0</v>
          </cell>
          <cell r="AV168">
            <v>0</v>
          </cell>
          <cell r="AW168">
            <v>0</v>
          </cell>
          <cell r="AY168">
            <v>0</v>
          </cell>
          <cell r="AZ168">
            <v>0</v>
          </cell>
          <cell r="BB168">
            <v>0</v>
          </cell>
          <cell r="BC168">
            <v>0</v>
          </cell>
          <cell r="BE168">
            <v>0</v>
          </cell>
          <cell r="BF168">
            <v>0</v>
          </cell>
          <cell r="BH168">
            <v>0</v>
          </cell>
          <cell r="BI168">
            <v>0</v>
          </cell>
          <cell r="BK168">
            <v>0</v>
          </cell>
          <cell r="BL168">
            <v>0</v>
          </cell>
          <cell r="BN168">
            <v>0</v>
          </cell>
          <cell r="BO168">
            <v>0</v>
          </cell>
          <cell r="BT168">
            <v>0</v>
          </cell>
          <cell r="BU168">
            <v>0</v>
          </cell>
          <cell r="BW168">
            <v>0</v>
          </cell>
          <cell r="BX168">
            <v>0.41040489590516693</v>
          </cell>
          <cell r="BZ168">
            <v>0</v>
          </cell>
          <cell r="CA168">
            <v>0</v>
          </cell>
          <cell r="CC168">
            <v>0</v>
          </cell>
          <cell r="CD168">
            <v>0</v>
          </cell>
          <cell r="CF168">
            <v>0</v>
          </cell>
          <cell r="CG168">
            <v>0</v>
          </cell>
          <cell r="CI168">
            <v>0</v>
          </cell>
          <cell r="CJ168">
            <v>0</v>
          </cell>
          <cell r="CL168">
            <v>0</v>
          </cell>
          <cell r="CM168">
            <v>0</v>
          </cell>
          <cell r="CX168">
            <v>10.266731501870822</v>
          </cell>
          <cell r="CY168">
            <v>338.1347693697636</v>
          </cell>
        </row>
        <row r="169"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120.04802783018533</v>
          </cell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P169">
            <v>71.02632321702373</v>
          </cell>
          <cell r="AQ169">
            <v>0</v>
          </cell>
          <cell r="AS169">
            <v>451.18038633558456</v>
          </cell>
          <cell r="AT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0</v>
          </cell>
          <cell r="BB169">
            <v>0</v>
          </cell>
          <cell r="BC169">
            <v>0</v>
          </cell>
          <cell r="BE169">
            <v>0</v>
          </cell>
          <cell r="BF169">
            <v>0</v>
          </cell>
          <cell r="BH169">
            <v>0</v>
          </cell>
          <cell r="BI169">
            <v>0</v>
          </cell>
          <cell r="BK169">
            <v>0</v>
          </cell>
          <cell r="BL169">
            <v>0</v>
          </cell>
          <cell r="BN169">
            <v>0</v>
          </cell>
          <cell r="BO169">
            <v>0</v>
          </cell>
          <cell r="BT169">
            <v>0</v>
          </cell>
          <cell r="BU169">
            <v>0</v>
          </cell>
          <cell r="BW169">
            <v>0</v>
          </cell>
          <cell r="BX169">
            <v>0.72229658535184749</v>
          </cell>
          <cell r="BZ169">
            <v>0</v>
          </cell>
          <cell r="CA169">
            <v>0</v>
          </cell>
          <cell r="CC169">
            <v>0</v>
          </cell>
          <cell r="CD169">
            <v>0</v>
          </cell>
          <cell r="CF169">
            <v>0</v>
          </cell>
          <cell r="CG169">
            <v>0</v>
          </cell>
          <cell r="CI169">
            <v>0</v>
          </cell>
          <cell r="CJ169">
            <v>0</v>
          </cell>
          <cell r="CL169">
            <v>0</v>
          </cell>
          <cell r="CM169">
            <v>0</v>
          </cell>
          <cell r="CX169">
            <v>15.671948536870104</v>
          </cell>
          <cell r="CY169">
            <v>497.39561070135539</v>
          </cell>
        </row>
        <row r="170"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219.85871575047975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P170">
            <v>63.134509526243313</v>
          </cell>
          <cell r="AQ170">
            <v>0</v>
          </cell>
          <cell r="AS170">
            <v>699.67583544097977</v>
          </cell>
          <cell r="AT170">
            <v>0</v>
          </cell>
          <cell r="AV170">
            <v>0</v>
          </cell>
          <cell r="AW170">
            <v>0</v>
          </cell>
          <cell r="AY170">
            <v>0</v>
          </cell>
          <cell r="AZ170">
            <v>0</v>
          </cell>
          <cell r="BB170">
            <v>0</v>
          </cell>
          <cell r="BC170">
            <v>0</v>
          </cell>
          <cell r="BE170">
            <v>0</v>
          </cell>
          <cell r="BF170">
            <v>0</v>
          </cell>
          <cell r="BH170">
            <v>0</v>
          </cell>
          <cell r="BI170">
            <v>0</v>
          </cell>
          <cell r="BK170">
            <v>0</v>
          </cell>
          <cell r="BL170">
            <v>0</v>
          </cell>
          <cell r="BN170">
            <v>0</v>
          </cell>
          <cell r="BO170">
            <v>0</v>
          </cell>
          <cell r="BT170">
            <v>0</v>
          </cell>
          <cell r="BU170">
            <v>0</v>
          </cell>
          <cell r="BW170">
            <v>0</v>
          </cell>
          <cell r="BX170">
            <v>1.3228024945979617</v>
          </cell>
          <cell r="BZ170">
            <v>0</v>
          </cell>
          <cell r="CA170">
            <v>0</v>
          </cell>
          <cell r="CC170">
            <v>0</v>
          </cell>
          <cell r="CD170">
            <v>0</v>
          </cell>
          <cell r="CF170">
            <v>0</v>
          </cell>
          <cell r="CG170">
            <v>0</v>
          </cell>
          <cell r="CI170">
            <v>0</v>
          </cell>
          <cell r="CJ170">
            <v>0</v>
          </cell>
          <cell r="CL170">
            <v>0</v>
          </cell>
          <cell r="CM170">
            <v>0</v>
          </cell>
          <cell r="CX170">
            <v>24.907586039332386</v>
          </cell>
          <cell r="CY170">
            <v>674.86217810590676</v>
          </cell>
        </row>
        <row r="171"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X171">
            <v>0</v>
          </cell>
          <cell r="Y171">
            <v>0</v>
          </cell>
          <cell r="AA171">
            <v>0</v>
          </cell>
          <cell r="AB171">
            <v>0</v>
          </cell>
          <cell r="AD171">
            <v>0</v>
          </cell>
          <cell r="AE171">
            <v>101.11691612818854</v>
          </cell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P171">
            <v>31.567254763121657</v>
          </cell>
          <cell r="AQ171">
            <v>0</v>
          </cell>
          <cell r="AS171">
            <v>293.14970307877951</v>
          </cell>
          <cell r="AT171">
            <v>0</v>
          </cell>
          <cell r="AV171">
            <v>0</v>
          </cell>
          <cell r="AW171">
            <v>0</v>
          </cell>
          <cell r="AY171">
            <v>0</v>
          </cell>
          <cell r="AZ171">
            <v>0</v>
          </cell>
          <cell r="BB171">
            <v>0</v>
          </cell>
          <cell r="BC171">
            <v>0</v>
          </cell>
          <cell r="BE171">
            <v>0</v>
          </cell>
          <cell r="BF171">
            <v>0</v>
          </cell>
          <cell r="BH171">
            <v>0</v>
          </cell>
          <cell r="BI171">
            <v>0</v>
          </cell>
          <cell r="BK171">
            <v>0</v>
          </cell>
          <cell r="BL171">
            <v>0</v>
          </cell>
          <cell r="BN171">
            <v>0</v>
          </cell>
          <cell r="BO171">
            <v>0</v>
          </cell>
          <cell r="BT171">
            <v>0</v>
          </cell>
          <cell r="BU171">
            <v>0</v>
          </cell>
          <cell r="BW171">
            <v>0</v>
          </cell>
          <cell r="BX171">
            <v>0.60839319529691749</v>
          </cell>
          <cell r="BZ171">
            <v>0</v>
          </cell>
          <cell r="CA171">
            <v>0</v>
          </cell>
          <cell r="CC171">
            <v>0</v>
          </cell>
          <cell r="CD171">
            <v>0</v>
          </cell>
          <cell r="CF171">
            <v>0</v>
          </cell>
          <cell r="CG171">
            <v>0</v>
          </cell>
          <cell r="CI171">
            <v>0</v>
          </cell>
          <cell r="CJ171">
            <v>0</v>
          </cell>
          <cell r="CL171">
            <v>0</v>
          </cell>
          <cell r="CM171">
            <v>0</v>
          </cell>
          <cell r="CX171">
            <v>9.7596505897186603</v>
          </cell>
          <cell r="CY171">
            <v>277.34962881181747</v>
          </cell>
        </row>
        <row r="172">
          <cell r="I172">
            <v>2779.3626400322678</v>
          </cell>
          <cell r="J172">
            <v>3416.8682250153288</v>
          </cell>
          <cell r="L172">
            <v>575.46883441949626</v>
          </cell>
          <cell r="M172">
            <v>704.47388040558826</v>
          </cell>
          <cell r="O172">
            <v>996.02</v>
          </cell>
          <cell r="P172">
            <v>996.3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X172">
            <v>2178.6718581157106</v>
          </cell>
          <cell r="Y172">
            <v>1948.6310762967719</v>
          </cell>
          <cell r="AA172">
            <v>0</v>
          </cell>
          <cell r="AB172">
            <v>0</v>
          </cell>
          <cell r="AD172">
            <v>3227.9891312911577</v>
          </cell>
          <cell r="AE172">
            <v>3018.0599953808064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2343.868666161783</v>
          </cell>
          <cell r="AQ172">
            <v>1061.3753876627545</v>
          </cell>
          <cell r="AS172">
            <v>10424.452286655856</v>
          </cell>
          <cell r="AT172">
            <v>0</v>
          </cell>
          <cell r="AV172">
            <v>454.72108416307685</v>
          </cell>
          <cell r="AW172">
            <v>393</v>
          </cell>
          <cell r="AY172">
            <v>741.68851251314095</v>
          </cell>
          <cell r="AZ172">
            <v>0</v>
          </cell>
          <cell r="BB172">
            <v>610.8355127320923</v>
          </cell>
          <cell r="BC172">
            <v>2189</v>
          </cell>
          <cell r="BE172">
            <v>0</v>
          </cell>
          <cell r="BF172">
            <v>0</v>
          </cell>
          <cell r="BH172">
            <v>0</v>
          </cell>
          <cell r="BI172">
            <v>0</v>
          </cell>
          <cell r="BK172">
            <v>319.67691085591161</v>
          </cell>
          <cell r="BL172">
            <v>0</v>
          </cell>
          <cell r="BN172">
            <v>0</v>
          </cell>
          <cell r="BO172">
            <v>0</v>
          </cell>
          <cell r="BT172">
            <v>5362.7903577612769</v>
          </cell>
          <cell r="BU172">
            <v>4496.0144603111812</v>
          </cell>
          <cell r="BW172">
            <v>4199.3326514734072</v>
          </cell>
          <cell r="BX172">
            <v>5456.7393938948999</v>
          </cell>
          <cell r="BZ172">
            <v>2120.4943983151925</v>
          </cell>
          <cell r="CA172">
            <v>4272.8068482164454</v>
          </cell>
          <cell r="CC172">
            <v>442.27729372259574</v>
          </cell>
          <cell r="CD172">
            <v>440.46217846346633</v>
          </cell>
          <cell r="CF172">
            <v>54.447015325698345</v>
          </cell>
          <cell r="CG172">
            <v>0</v>
          </cell>
          <cell r="CI172">
            <v>1244.7154242832769</v>
          </cell>
          <cell r="CJ172">
            <v>978.62167151317954</v>
          </cell>
          <cell r="CL172">
            <v>0</v>
          </cell>
          <cell r="CM172">
            <v>0</v>
          </cell>
          <cell r="CX172">
            <v>1852.1249066136661</v>
          </cell>
          <cell r="CY172">
            <v>12297.476259407485</v>
          </cell>
        </row>
        <row r="173">
          <cell r="I173">
            <v>1207.8164369706947</v>
          </cell>
          <cell r="J173">
            <v>1213.3262243101226</v>
          </cell>
          <cell r="L173">
            <v>225.57175609133998</v>
          </cell>
          <cell r="M173">
            <v>239.27578641600883</v>
          </cell>
          <cell r="O173">
            <v>497.54</v>
          </cell>
          <cell r="P173">
            <v>497.64</v>
          </cell>
          <cell r="R173">
            <v>111.26</v>
          </cell>
          <cell r="S173">
            <v>111.28</v>
          </cell>
          <cell r="U173">
            <v>0</v>
          </cell>
          <cell r="V173">
            <v>0</v>
          </cell>
          <cell r="X173">
            <v>838.61312760300916</v>
          </cell>
          <cell r="Y173">
            <v>792.93036133839928</v>
          </cell>
          <cell r="AA173">
            <v>0</v>
          </cell>
          <cell r="AB173">
            <v>0</v>
          </cell>
          <cell r="AD173">
            <v>1464.8998832756988</v>
          </cell>
          <cell r="AE173">
            <v>1369.2749195856675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378.80705715745989</v>
          </cell>
          <cell r="AQ173">
            <v>1932.7755395104339</v>
          </cell>
          <cell r="AS173">
            <v>4305.5288912157057</v>
          </cell>
          <cell r="AT173">
            <v>0</v>
          </cell>
          <cell r="AV173">
            <v>190.79061341632988</v>
          </cell>
          <cell r="AW173">
            <v>0</v>
          </cell>
          <cell r="AY173">
            <v>290.74948916515837</v>
          </cell>
          <cell r="AZ173">
            <v>0</v>
          </cell>
          <cell r="BB173">
            <v>204.1555035312102</v>
          </cell>
          <cell r="BC173">
            <v>0</v>
          </cell>
          <cell r="BE173">
            <v>116.04666518546276</v>
          </cell>
          <cell r="BF173">
            <v>0</v>
          </cell>
          <cell r="BH173">
            <v>0</v>
          </cell>
          <cell r="BI173">
            <v>0</v>
          </cell>
          <cell r="BK173">
            <v>186.09129502760808</v>
          </cell>
          <cell r="BL173">
            <v>0</v>
          </cell>
          <cell r="BN173">
            <v>0</v>
          </cell>
          <cell r="BO173">
            <v>0</v>
          </cell>
          <cell r="BT173">
            <v>4403.2198791861747</v>
          </cell>
          <cell r="BU173">
            <v>2048.1981881315637</v>
          </cell>
          <cell r="BW173">
            <v>1808.6188591330028</v>
          </cell>
          <cell r="BX173">
            <v>1155.7428745638535</v>
          </cell>
          <cell r="BZ173">
            <v>760.08957131059344</v>
          </cell>
          <cell r="CA173">
            <v>2667.8173789635712</v>
          </cell>
          <cell r="CC173">
            <v>256.15512556957208</v>
          </cell>
          <cell r="CD173">
            <v>255.1038595793782</v>
          </cell>
          <cell r="CF173">
            <v>31.534248412920803</v>
          </cell>
          <cell r="CG173">
            <v>0</v>
          </cell>
          <cell r="CI173">
            <v>736.22265696955719</v>
          </cell>
          <cell r="CJ173">
            <v>250.05741207561277</v>
          </cell>
          <cell r="CL173">
            <v>0</v>
          </cell>
          <cell r="CM173">
            <v>0</v>
          </cell>
          <cell r="CX173">
            <v>324.24672893420575</v>
          </cell>
          <cell r="CY173">
            <v>6900.5929466304669</v>
          </cell>
        </row>
        <row r="174">
          <cell r="I174">
            <v>296.2828483682124</v>
          </cell>
          <cell r="J174">
            <v>298.34702237446749</v>
          </cell>
          <cell r="L174">
            <v>48.083134612452938</v>
          </cell>
          <cell r="M174">
            <v>51.004348875297026</v>
          </cell>
          <cell r="O174">
            <v>110.64</v>
          </cell>
          <cell r="P174">
            <v>110.66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X174">
            <v>210.05805986574245</v>
          </cell>
          <cell r="Y174">
            <v>185.01373812968393</v>
          </cell>
          <cell r="AA174">
            <v>0</v>
          </cell>
          <cell r="AB174">
            <v>0</v>
          </cell>
          <cell r="AD174">
            <v>266.40568367627674</v>
          </cell>
          <cell r="AE174">
            <v>250.03356882786125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15.783627381560828</v>
          </cell>
          <cell r="AQ174">
            <v>0</v>
          </cell>
          <cell r="AS174">
            <v>839.08823977043005</v>
          </cell>
          <cell r="AT174">
            <v>0</v>
          </cell>
          <cell r="AV174">
            <v>51.220190741760831</v>
          </cell>
          <cell r="AW174">
            <v>0</v>
          </cell>
          <cell r="AY174">
            <v>61.968429542196461</v>
          </cell>
          <cell r="AZ174">
            <v>0</v>
          </cell>
          <cell r="BB174">
            <v>35.432018750601188</v>
          </cell>
          <cell r="BC174">
            <v>0</v>
          </cell>
          <cell r="BE174">
            <v>0</v>
          </cell>
          <cell r="BF174">
            <v>0</v>
          </cell>
          <cell r="BH174">
            <v>0</v>
          </cell>
          <cell r="BI174">
            <v>0</v>
          </cell>
          <cell r="BK174">
            <v>38.421864630327121</v>
          </cell>
          <cell r="BL174">
            <v>0</v>
          </cell>
          <cell r="BN174">
            <v>18.119813214430302</v>
          </cell>
          <cell r="BO174">
            <v>0</v>
          </cell>
          <cell r="BT174">
            <v>0</v>
          </cell>
          <cell r="BU174">
            <v>0</v>
          </cell>
          <cell r="BW174">
            <v>34.489455536240278</v>
          </cell>
          <cell r="BX174">
            <v>1.5042650354452474</v>
          </cell>
          <cell r="BZ174">
            <v>0</v>
          </cell>
          <cell r="CA174">
            <v>0</v>
          </cell>
          <cell r="CC174">
            <v>14.706626924936678</v>
          </cell>
          <cell r="CD174">
            <v>14.646270620598525</v>
          </cell>
          <cell r="CF174">
            <v>1.8104749055319775</v>
          </cell>
          <cell r="CG174">
            <v>0</v>
          </cell>
          <cell r="CI174">
            <v>215.25153953770956</v>
          </cell>
          <cell r="CJ174">
            <v>29.511870803707033</v>
          </cell>
          <cell r="CL174">
            <v>0</v>
          </cell>
          <cell r="CM174">
            <v>0</v>
          </cell>
          <cell r="CX174">
            <v>62.545591049908126</v>
          </cell>
          <cell r="CY174">
            <v>1642.9946983995276</v>
          </cell>
        </row>
        <row r="175"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AA175">
            <v>0</v>
          </cell>
          <cell r="AB175">
            <v>0</v>
          </cell>
          <cell r="AD175">
            <v>0</v>
          </cell>
          <cell r="AE175">
            <v>79.468037510493346</v>
          </cell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P175">
            <v>31.567254763121657</v>
          </cell>
          <cell r="AQ175">
            <v>0</v>
          </cell>
          <cell r="AS175">
            <v>349.5063683686804</v>
          </cell>
          <cell r="AT175">
            <v>0</v>
          </cell>
          <cell r="AV175">
            <v>0</v>
          </cell>
          <cell r="AW175">
            <v>0</v>
          </cell>
          <cell r="AY175">
            <v>0</v>
          </cell>
          <cell r="AZ175">
            <v>0</v>
          </cell>
          <cell r="BB175">
            <v>0</v>
          </cell>
          <cell r="BC175">
            <v>0</v>
          </cell>
          <cell r="BE175">
            <v>0</v>
          </cell>
          <cell r="BF175">
            <v>0</v>
          </cell>
          <cell r="BH175">
            <v>0</v>
          </cell>
          <cell r="BI175">
            <v>0</v>
          </cell>
          <cell r="BK175">
            <v>0</v>
          </cell>
          <cell r="BL175">
            <v>0</v>
          </cell>
          <cell r="BN175">
            <v>0</v>
          </cell>
          <cell r="BO175">
            <v>0</v>
          </cell>
          <cell r="BT175">
            <v>0</v>
          </cell>
          <cell r="BU175">
            <v>0</v>
          </cell>
          <cell r="BW175">
            <v>0</v>
          </cell>
          <cell r="BX175">
            <v>0.47813773517076574</v>
          </cell>
          <cell r="BZ175">
            <v>0</v>
          </cell>
          <cell r="CA175">
            <v>0</v>
          </cell>
          <cell r="CC175">
            <v>0</v>
          </cell>
          <cell r="CD175">
            <v>0</v>
          </cell>
          <cell r="CF175">
            <v>0</v>
          </cell>
          <cell r="CG175">
            <v>0</v>
          </cell>
          <cell r="CI175">
            <v>0</v>
          </cell>
          <cell r="CJ175">
            <v>0</v>
          </cell>
          <cell r="CL175">
            <v>0</v>
          </cell>
          <cell r="CM175">
            <v>0</v>
          </cell>
          <cell r="CX175">
            <v>6.8716522418375803</v>
          </cell>
          <cell r="CY175">
            <v>368.22458970520313</v>
          </cell>
        </row>
        <row r="176"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121.76661573275931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P176">
            <v>39.45906845390207</v>
          </cell>
          <cell r="AQ176">
            <v>0</v>
          </cell>
          <cell r="AS176">
            <v>401.31287954890888</v>
          </cell>
          <cell r="AT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E176">
            <v>0</v>
          </cell>
          <cell r="BF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T176">
            <v>39.878351256995849</v>
          </cell>
          <cell r="BU176">
            <v>39.850453289551581</v>
          </cell>
          <cell r="BW176">
            <v>0</v>
          </cell>
          <cell r="BX176">
            <v>0.73263686495570823</v>
          </cell>
          <cell r="BZ176">
            <v>0</v>
          </cell>
          <cell r="CA176">
            <v>44.883847580412521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X176">
            <v>14.439640888231793</v>
          </cell>
          <cell r="CY176">
            <v>342.53973583878513</v>
          </cell>
        </row>
        <row r="177"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152.5413293369906</v>
          </cell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P177">
            <v>23.675441072341243</v>
          </cell>
          <cell r="AQ177">
            <v>0</v>
          </cell>
          <cell r="AS177">
            <v>518.93488637135329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0</v>
          </cell>
          <cell r="BC177">
            <v>0</v>
          </cell>
          <cell r="BE177">
            <v>0</v>
          </cell>
          <cell r="BF177">
            <v>0</v>
          </cell>
          <cell r="BH177">
            <v>0</v>
          </cell>
          <cell r="BI177">
            <v>0</v>
          </cell>
          <cell r="BK177">
            <v>0</v>
          </cell>
          <cell r="BL177">
            <v>0</v>
          </cell>
          <cell r="BN177">
            <v>0</v>
          </cell>
          <cell r="BO177">
            <v>0</v>
          </cell>
          <cell r="BT177">
            <v>19.939175628497924</v>
          </cell>
          <cell r="BU177">
            <v>39.783776569044804</v>
          </cell>
          <cell r="BW177">
            <v>0</v>
          </cell>
          <cell r="BX177">
            <v>0.91780001135042211</v>
          </cell>
          <cell r="BZ177">
            <v>0</v>
          </cell>
          <cell r="CA177">
            <v>44.808749118203231</v>
          </cell>
          <cell r="CC177">
            <v>0</v>
          </cell>
          <cell r="CD177">
            <v>0</v>
          </cell>
          <cell r="CF177">
            <v>0</v>
          </cell>
          <cell r="CG177">
            <v>0</v>
          </cell>
          <cell r="CI177">
            <v>0</v>
          </cell>
          <cell r="CJ177">
            <v>0</v>
          </cell>
          <cell r="CL177">
            <v>0</v>
          </cell>
          <cell r="CM177">
            <v>0</v>
          </cell>
          <cell r="CX177">
            <v>16.900596313369078</v>
          </cell>
          <cell r="CY177">
            <v>406.29801395729316</v>
          </cell>
        </row>
        <row r="178"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96.254244930983134</v>
          </cell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P178">
            <v>39.45906845390207</v>
          </cell>
          <cell r="AQ178">
            <v>0</v>
          </cell>
          <cell r="AS178">
            <v>391.51070671639127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0</v>
          </cell>
          <cell r="BC178">
            <v>0</v>
          </cell>
          <cell r="BE178">
            <v>0</v>
          </cell>
          <cell r="BF178">
            <v>0</v>
          </cell>
          <cell r="BH178">
            <v>0</v>
          </cell>
          <cell r="BI178">
            <v>0</v>
          </cell>
          <cell r="BK178">
            <v>0</v>
          </cell>
          <cell r="BL178">
            <v>0</v>
          </cell>
          <cell r="BN178">
            <v>0</v>
          </cell>
          <cell r="BO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0.57913581502242795</v>
          </cell>
          <cell r="BZ178">
            <v>0</v>
          </cell>
          <cell r="CA178">
            <v>0</v>
          </cell>
          <cell r="CC178">
            <v>0</v>
          </cell>
          <cell r="CD178">
            <v>0</v>
          </cell>
          <cell r="CF178">
            <v>0</v>
          </cell>
          <cell r="CG178">
            <v>0</v>
          </cell>
          <cell r="CI178">
            <v>0</v>
          </cell>
          <cell r="CJ178">
            <v>0</v>
          </cell>
          <cell r="CL178">
            <v>0</v>
          </cell>
          <cell r="CM178">
            <v>0</v>
          </cell>
          <cell r="CX178">
            <v>7.7362697956480133</v>
          </cell>
          <cell r="CY178">
            <v>408.69994310479331</v>
          </cell>
        </row>
        <row r="179">
          <cell r="I179">
            <v>247.89885197944591</v>
          </cell>
          <cell r="J179">
            <v>248.91523354377432</v>
          </cell>
          <cell r="L179">
            <v>37.9243574755655</v>
          </cell>
          <cell r="M179">
            <v>40.228045420618891</v>
          </cell>
          <cell r="O179">
            <v>96.08</v>
          </cell>
          <cell r="P179">
            <v>96.08</v>
          </cell>
          <cell r="R179">
            <v>19.62</v>
          </cell>
          <cell r="S179">
            <v>19.66</v>
          </cell>
          <cell r="U179">
            <v>0</v>
          </cell>
          <cell r="V179">
            <v>0</v>
          </cell>
          <cell r="X179">
            <v>97.742402165657325</v>
          </cell>
          <cell r="Y179">
            <v>83.266773900571408</v>
          </cell>
          <cell r="AA179">
            <v>0</v>
          </cell>
          <cell r="AB179">
            <v>0</v>
          </cell>
          <cell r="AD179">
            <v>280.06696542486361</v>
          </cell>
          <cell r="AE179">
            <v>261.78490143859085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P179">
            <v>63.134509526243313</v>
          </cell>
          <cell r="AQ179">
            <v>0</v>
          </cell>
          <cell r="AS179">
            <v>729.85327260524946</v>
          </cell>
          <cell r="AT179">
            <v>0</v>
          </cell>
          <cell r="AV179">
            <v>46.068659712404099</v>
          </cell>
          <cell r="AW179">
            <v>0</v>
          </cell>
          <cell r="AY179">
            <v>48.925973641158578</v>
          </cell>
          <cell r="AZ179">
            <v>0</v>
          </cell>
          <cell r="BB179">
            <v>22.313697520928265</v>
          </cell>
          <cell r="BC179">
            <v>0</v>
          </cell>
          <cell r="BE179">
            <v>28.65895693375586</v>
          </cell>
          <cell r="BF179">
            <v>0</v>
          </cell>
          <cell r="BH179">
            <v>0</v>
          </cell>
          <cell r="BI179">
            <v>0</v>
          </cell>
          <cell r="BK179">
            <v>13.058040995621697</v>
          </cell>
          <cell r="BL179">
            <v>0</v>
          </cell>
          <cell r="BN179">
            <v>0</v>
          </cell>
          <cell r="BO179">
            <v>0</v>
          </cell>
          <cell r="BT179">
            <v>700.83766086006881</v>
          </cell>
          <cell r="BU179">
            <v>523.1243262613998</v>
          </cell>
          <cell r="BW179">
            <v>432.40571561830296</v>
          </cell>
          <cell r="BX179">
            <v>432.59685376560242</v>
          </cell>
          <cell r="BZ179">
            <v>95.754327999463968</v>
          </cell>
          <cell r="CA179">
            <v>701.29121357070767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46.793812942980331</v>
          </cell>
          <cell r="CJ179">
            <v>7.7664449669993996</v>
          </cell>
          <cell r="CL179">
            <v>0</v>
          </cell>
          <cell r="CM179">
            <v>0</v>
          </cell>
          <cell r="CX179">
            <v>54.135353517948261</v>
          </cell>
          <cell r="CY179">
            <v>765.04344855808245</v>
          </cell>
        </row>
        <row r="180">
          <cell r="I180">
            <v>2652.574894035266</v>
          </cell>
          <cell r="J180">
            <v>3270.1831784106266</v>
          </cell>
          <cell r="L180">
            <v>546.91467492135553</v>
          </cell>
          <cell r="M180">
            <v>683.41210221643973</v>
          </cell>
          <cell r="O180">
            <v>1018.72</v>
          </cell>
          <cell r="P180">
            <v>1018.56</v>
          </cell>
          <cell r="R180">
            <v>0</v>
          </cell>
          <cell r="S180">
            <v>0</v>
          </cell>
          <cell r="U180">
            <v>215.74518364026076</v>
          </cell>
          <cell r="V180">
            <v>701.25182775725307</v>
          </cell>
          <cell r="X180">
            <v>1951.8747008543114</v>
          </cell>
          <cell r="Y180">
            <v>1768.4646187462426</v>
          </cell>
          <cell r="AA180">
            <v>0</v>
          </cell>
          <cell r="AB180">
            <v>0</v>
          </cell>
          <cell r="AD180">
            <v>3223.9841024217235</v>
          </cell>
          <cell r="AE180">
            <v>3013.2572291586021</v>
          </cell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3156.7254763121659</v>
          </cell>
          <cell r="AQ180">
            <v>990.6170284852376</v>
          </cell>
          <cell r="AS180">
            <v>9352.3552740010964</v>
          </cell>
          <cell r="AT180">
            <v>1022.8997408157279</v>
          </cell>
          <cell r="AV180">
            <v>430.09161387458335</v>
          </cell>
          <cell r="AW180">
            <v>628</v>
          </cell>
          <cell r="AY180">
            <v>704.86294416155238</v>
          </cell>
          <cell r="AZ180">
            <v>0</v>
          </cell>
          <cell r="BB180">
            <v>609.57690160425739</v>
          </cell>
          <cell r="BC180">
            <v>0</v>
          </cell>
          <cell r="BE180">
            <v>0</v>
          </cell>
          <cell r="BF180">
            <v>0</v>
          </cell>
          <cell r="BH180">
            <v>218.86472282667671</v>
          </cell>
          <cell r="BI180">
            <v>0</v>
          </cell>
          <cell r="BK180">
            <v>286.80844471916237</v>
          </cell>
          <cell r="BL180">
            <v>0</v>
          </cell>
          <cell r="BN180">
            <v>0</v>
          </cell>
          <cell r="BO180">
            <v>0</v>
          </cell>
          <cell r="BT180">
            <v>6689.3798685175752</v>
          </cell>
          <cell r="BU180">
            <v>5893.4538406037873</v>
          </cell>
          <cell r="BW180">
            <v>4151.549923141989</v>
          </cell>
          <cell r="BX180">
            <v>4296.4377632759106</v>
          </cell>
          <cell r="BZ180">
            <v>2597.4389468319587</v>
          </cell>
          <cell r="CA180">
            <v>5348.902760686291</v>
          </cell>
          <cell r="CC180">
            <v>346.97835124900598</v>
          </cell>
          <cell r="CD180">
            <v>345.5543448419877</v>
          </cell>
          <cell r="CF180">
            <v>42.715137937851118</v>
          </cell>
          <cell r="CG180">
            <v>0</v>
          </cell>
          <cell r="CI180">
            <v>1229.1174866356168</v>
          </cell>
          <cell r="CJ180">
            <v>1273.8127211541635</v>
          </cell>
          <cell r="CL180">
            <v>0</v>
          </cell>
          <cell r="CM180">
            <v>0</v>
          </cell>
          <cell r="CX180">
            <v>2356.9256227763253</v>
          </cell>
          <cell r="CY180">
            <v>13362.691412617278</v>
          </cell>
        </row>
        <row r="181">
          <cell r="I181">
            <v>3697.9904506457724</v>
          </cell>
          <cell r="J181">
            <v>3997.1275021570709</v>
          </cell>
          <cell r="L181">
            <v>688.05838458179949</v>
          </cell>
          <cell r="M181">
            <v>729.85915436732739</v>
          </cell>
          <cell r="O181">
            <v>1358.34</v>
          </cell>
          <cell r="P181">
            <v>1358.5</v>
          </cell>
          <cell r="R181">
            <v>337.34</v>
          </cell>
          <cell r="S181">
            <v>337.26</v>
          </cell>
          <cell r="U181">
            <v>195.03873136964788</v>
          </cell>
          <cell r="V181">
            <v>134.37188173245298</v>
          </cell>
          <cell r="X181">
            <v>2066.5129284296781</v>
          </cell>
          <cell r="Y181">
            <v>2063.8485037486676</v>
          </cell>
          <cell r="AA181">
            <v>0</v>
          </cell>
          <cell r="AB181">
            <v>0</v>
          </cell>
          <cell r="AD181">
            <v>4494.1626176753107</v>
          </cell>
          <cell r="AE181">
            <v>4202.1104629930778</v>
          </cell>
          <cell r="AJ181">
            <v>14402.266595894693</v>
          </cell>
          <cell r="AK181">
            <v>14343.137201390375</v>
          </cell>
          <cell r="AM181">
            <v>0</v>
          </cell>
          <cell r="AN181">
            <v>0</v>
          </cell>
          <cell r="AP181">
            <v>852.31587860428476</v>
          </cell>
          <cell r="AQ181">
            <v>4811.5684240711544</v>
          </cell>
          <cell r="AS181">
            <v>27904.38</v>
          </cell>
          <cell r="AT181">
            <v>21.707285775270076</v>
          </cell>
          <cell r="AV181">
            <v>323.77807226747711</v>
          </cell>
          <cell r="AW181">
            <v>4463</v>
          </cell>
          <cell r="AY181">
            <v>454.89918193382948</v>
          </cell>
          <cell r="AZ181">
            <v>0</v>
          </cell>
          <cell r="BB181">
            <v>547.50131884064126</v>
          </cell>
          <cell r="BC181">
            <v>0</v>
          </cell>
          <cell r="BE181">
            <v>186.23364705591104</v>
          </cell>
          <cell r="BF181">
            <v>0</v>
          </cell>
          <cell r="BH181">
            <v>98.941812127749259</v>
          </cell>
          <cell r="BI181">
            <v>0</v>
          </cell>
          <cell r="BK181">
            <v>234.91889578159507</v>
          </cell>
          <cell r="BL181">
            <v>0</v>
          </cell>
          <cell r="BN181">
            <v>0</v>
          </cell>
          <cell r="BO181">
            <v>0</v>
          </cell>
          <cell r="BT181">
            <v>6282.48</v>
          </cell>
          <cell r="BU181">
            <v>5520.2778611819067</v>
          </cell>
          <cell r="BW181">
            <v>8470.4</v>
          </cell>
          <cell r="BX181">
            <v>8752.0390561429449</v>
          </cell>
          <cell r="BZ181">
            <v>1038.7123617720865</v>
          </cell>
          <cell r="CA181">
            <v>5235.5851832475309</v>
          </cell>
          <cell r="CC181">
            <v>294.1325384987336</v>
          </cell>
          <cell r="CD181">
            <v>292.92541241197046</v>
          </cell>
          <cell r="CF181">
            <v>36.209498110639551</v>
          </cell>
          <cell r="CG181">
            <v>0</v>
          </cell>
          <cell r="CI181">
            <v>6039.5214571739953</v>
          </cell>
          <cell r="CJ181">
            <v>4737.7381201665303</v>
          </cell>
          <cell r="CL181">
            <v>1246.5871768009961</v>
          </cell>
          <cell r="CM181">
            <v>1747.5255595332321</v>
          </cell>
          <cell r="CX181">
            <v>1077.4541429222154</v>
          </cell>
          <cell r="CY181">
            <v>23280.022069296589</v>
          </cell>
        </row>
        <row r="182">
          <cell r="I182">
            <v>1778.0570670174257</v>
          </cell>
          <cell r="J182">
            <v>1782.9623921474658</v>
          </cell>
          <cell r="L182">
            <v>444.83095775578329</v>
          </cell>
          <cell r="M182">
            <v>471.85561728736332</v>
          </cell>
          <cell r="O182">
            <v>676.42</v>
          </cell>
          <cell r="P182">
            <v>676.5</v>
          </cell>
          <cell r="R182">
            <v>161.44</v>
          </cell>
          <cell r="S182">
            <v>161.46</v>
          </cell>
          <cell r="U182">
            <v>118.22581795543685</v>
          </cell>
          <cell r="V182">
            <v>81.451914154302898</v>
          </cell>
          <cell r="X182">
            <v>1327.5722267365047</v>
          </cell>
          <cell r="Y182">
            <v>1325.1373838003908</v>
          </cell>
          <cell r="AA182">
            <v>0</v>
          </cell>
          <cell r="AB182">
            <v>0</v>
          </cell>
          <cell r="AD182">
            <v>1955.6940794286343</v>
          </cell>
          <cell r="AE182">
            <v>1828.0313104781803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P182">
            <v>473.50882144682487</v>
          </cell>
          <cell r="AQ182">
            <v>424.55015506510182</v>
          </cell>
          <cell r="AS182">
            <v>8191.5701476768691</v>
          </cell>
          <cell r="AT182">
            <v>0</v>
          </cell>
          <cell r="AV182">
            <v>297.77636292708985</v>
          </cell>
          <cell r="AW182">
            <v>0</v>
          </cell>
          <cell r="AY182">
            <v>573.36085687710136</v>
          </cell>
          <cell r="AZ182">
            <v>0</v>
          </cell>
          <cell r="BB182">
            <v>247.03479876144331</v>
          </cell>
          <cell r="BC182">
            <v>0</v>
          </cell>
          <cell r="BE182">
            <v>169.24387227042521</v>
          </cell>
          <cell r="BF182">
            <v>0</v>
          </cell>
          <cell r="BH182">
            <v>119.94714023874553</v>
          </cell>
          <cell r="BI182">
            <v>0</v>
          </cell>
          <cell r="BK182">
            <v>179.8175182931152</v>
          </cell>
          <cell r="BL182">
            <v>0</v>
          </cell>
          <cell r="BN182">
            <v>0</v>
          </cell>
          <cell r="BO182">
            <v>0</v>
          </cell>
          <cell r="BT182">
            <v>4408.3255244416896</v>
          </cell>
          <cell r="BU182">
            <v>3306.986942420599</v>
          </cell>
          <cell r="BW182">
            <v>3030.6388628691693</v>
          </cell>
          <cell r="BX182">
            <v>3077.4510595594156</v>
          </cell>
          <cell r="BZ182">
            <v>874.84810644422237</v>
          </cell>
          <cell r="CA182">
            <v>3686.2530553035167</v>
          </cell>
          <cell r="CC182">
            <v>269.62149362383911</v>
          </cell>
          <cell r="CD182">
            <v>268.51496137763957</v>
          </cell>
          <cell r="CF182">
            <v>33.19203993475292</v>
          </cell>
          <cell r="CG182">
            <v>0</v>
          </cell>
          <cell r="CI182">
            <v>1428.7710885256663</v>
          </cell>
          <cell r="CJ182">
            <v>501.74727552833667</v>
          </cell>
          <cell r="CL182">
            <v>0</v>
          </cell>
          <cell r="CM182">
            <v>0</v>
          </cell>
          <cell r="CX182">
            <v>1605.6438601303016</v>
          </cell>
          <cell r="CY182">
            <v>12606.037519453224</v>
          </cell>
        </row>
        <row r="183">
          <cell r="I183">
            <v>3696.2005892890193</v>
          </cell>
          <cell r="J183">
            <v>3750.4208720962697</v>
          </cell>
          <cell r="L183">
            <v>687.71345267885329</v>
          </cell>
          <cell r="M183">
            <v>789.34384570740792</v>
          </cell>
          <cell r="O183">
            <v>1325.06</v>
          </cell>
          <cell r="P183">
            <v>1324.86</v>
          </cell>
          <cell r="R183">
            <v>323.04000000000002</v>
          </cell>
          <cell r="S183">
            <v>323.27999999999997</v>
          </cell>
          <cell r="U183">
            <v>195.03873136964788</v>
          </cell>
          <cell r="V183">
            <v>134.37188173245298</v>
          </cell>
          <cell r="X183">
            <v>2062.2996755049794</v>
          </cell>
          <cell r="Y183">
            <v>2048.7178141045547</v>
          </cell>
          <cell r="AA183">
            <v>0</v>
          </cell>
          <cell r="AB183">
            <v>0</v>
          </cell>
          <cell r="AD183">
            <v>4374.446461131487</v>
          </cell>
          <cell r="AE183">
            <v>4088.8936470550057</v>
          </cell>
          <cell r="AJ183">
            <v>14402.266595894693</v>
          </cell>
          <cell r="AK183">
            <v>14343.137201390375</v>
          </cell>
          <cell r="AM183">
            <v>0</v>
          </cell>
          <cell r="AN183">
            <v>0</v>
          </cell>
          <cell r="AP183">
            <v>852.31587860428476</v>
          </cell>
          <cell r="AQ183">
            <v>4905.91290297451</v>
          </cell>
          <cell r="AS183">
            <v>27193.46</v>
          </cell>
          <cell r="AT183">
            <v>78.894600429330495</v>
          </cell>
          <cell r="AV183">
            <v>323.58965322690381</v>
          </cell>
          <cell r="AW183">
            <v>5826</v>
          </cell>
          <cell r="AY183">
            <v>454.66614417503911</v>
          </cell>
          <cell r="AZ183">
            <v>1553</v>
          </cell>
          <cell r="BB183">
            <v>530.89323843394777</v>
          </cell>
          <cell r="BC183">
            <v>0</v>
          </cell>
          <cell r="BE183">
            <v>179.5277080876393</v>
          </cell>
          <cell r="BF183">
            <v>0</v>
          </cell>
          <cell r="BH183">
            <v>98.941812127749259</v>
          </cell>
          <cell r="BI183">
            <v>0</v>
          </cell>
          <cell r="BK183">
            <v>229.74257394823968</v>
          </cell>
          <cell r="BL183">
            <v>0</v>
          </cell>
          <cell r="BN183">
            <v>0</v>
          </cell>
          <cell r="BO183">
            <v>0</v>
          </cell>
          <cell r="BT183">
            <v>3525.42</v>
          </cell>
          <cell r="BU183">
            <v>3026.8128415448973</v>
          </cell>
          <cell r="BW183">
            <v>8419.18</v>
          </cell>
          <cell r="BX183">
            <v>8698.9391750023151</v>
          </cell>
          <cell r="BZ183">
            <v>1629.06</v>
          </cell>
          <cell r="CA183">
            <v>3554.4678010849775</v>
          </cell>
          <cell r="CC183">
            <v>294.1325384987336</v>
          </cell>
          <cell r="CD183">
            <v>292.92541241197046</v>
          </cell>
          <cell r="CF183">
            <v>36.209498110639551</v>
          </cell>
          <cell r="CG183">
            <v>0</v>
          </cell>
          <cell r="CI183">
            <v>1965.3401436051738</v>
          </cell>
          <cell r="CJ183">
            <v>2599.9405913004816</v>
          </cell>
          <cell r="CL183">
            <v>2063.6071507854331</v>
          </cell>
          <cell r="CM183">
            <v>3898.3574946121735</v>
          </cell>
          <cell r="CX183">
            <v>917.3977854330733</v>
          </cell>
          <cell r="CY183">
            <v>17266.048702263935</v>
          </cell>
        </row>
        <row r="184">
          <cell r="I184">
            <v>3701.1643116310679</v>
          </cell>
          <cell r="J184">
            <v>4000.2098061908491</v>
          </cell>
          <cell r="L184">
            <v>642.19348625192868</v>
          </cell>
          <cell r="M184">
            <v>681.20885236319782</v>
          </cell>
          <cell r="O184">
            <v>1358.34</v>
          </cell>
          <cell r="P184">
            <v>1358.58</v>
          </cell>
          <cell r="R184">
            <v>337.34</v>
          </cell>
          <cell r="S184">
            <v>337.28</v>
          </cell>
          <cell r="U184">
            <v>195.03873136964788</v>
          </cell>
          <cell r="V184">
            <v>134.37188173245298</v>
          </cell>
          <cell r="X184">
            <v>2079.5286002385078</v>
          </cell>
          <cell r="Y184">
            <v>2147.4667510180279</v>
          </cell>
          <cell r="AA184">
            <v>0</v>
          </cell>
          <cell r="AB184">
            <v>0</v>
          </cell>
          <cell r="AD184">
            <v>4492.5591808503596</v>
          </cell>
          <cell r="AE184">
            <v>4199.692603457911</v>
          </cell>
          <cell r="AJ184">
            <v>12475.431075511171</v>
          </cell>
          <cell r="AK184">
            <v>12424.212781853104</v>
          </cell>
          <cell r="AM184">
            <v>0</v>
          </cell>
          <cell r="AN184">
            <v>262.02400053441977</v>
          </cell>
          <cell r="AP184">
            <v>852.31587860428476</v>
          </cell>
          <cell r="AQ184">
            <v>4811.5684240711544</v>
          </cell>
          <cell r="AS184">
            <v>26782</v>
          </cell>
          <cell r="AT184">
            <v>194132.66252600902</v>
          </cell>
          <cell r="AV184">
            <v>259.31682263898614</v>
          </cell>
          <cell r="AW184">
            <v>6120</v>
          </cell>
          <cell r="AY184">
            <v>350.53630385809657</v>
          </cell>
          <cell r="AZ184">
            <v>0</v>
          </cell>
          <cell r="BB184">
            <v>438.00105507251305</v>
          </cell>
          <cell r="BC184">
            <v>0</v>
          </cell>
          <cell r="BE184">
            <v>148.98691764472883</v>
          </cell>
          <cell r="BF184">
            <v>0</v>
          </cell>
          <cell r="BH184">
            <v>79.153449702199396</v>
          </cell>
          <cell r="BI184">
            <v>0</v>
          </cell>
          <cell r="BK184">
            <v>186.96012202314108</v>
          </cell>
          <cell r="BL184">
            <v>752</v>
          </cell>
          <cell r="BN184">
            <v>0</v>
          </cell>
          <cell r="BO184">
            <v>0</v>
          </cell>
          <cell r="BT184">
            <v>6287.76</v>
          </cell>
          <cell r="BU184">
            <v>4759.3438324416529</v>
          </cell>
          <cell r="BW184">
            <v>8688.68</v>
          </cell>
          <cell r="BX184">
            <v>9000.1803460910724</v>
          </cell>
          <cell r="BZ184">
            <v>1629.06</v>
          </cell>
          <cell r="CA184">
            <v>5121.7733373003412</v>
          </cell>
          <cell r="CC184">
            <v>294.1325384987336</v>
          </cell>
          <cell r="CD184">
            <v>292.92541241197046</v>
          </cell>
          <cell r="CF184">
            <v>36.209498110639551</v>
          </cell>
          <cell r="CG184">
            <v>0</v>
          </cell>
          <cell r="CI184">
            <v>3178.8596925931306</v>
          </cell>
          <cell r="CJ184">
            <v>2443.4308588821004</v>
          </cell>
          <cell r="CL184">
            <v>4772.9689201839947</v>
          </cell>
          <cell r="CM184">
            <v>3665.9232428552959</v>
          </cell>
          <cell r="CX184">
            <v>2396.1560982602532</v>
          </cell>
          <cell r="CY184">
            <v>-210457.82558865511</v>
          </cell>
        </row>
        <row r="185">
          <cell r="I185">
            <v>2191.4050820489592</v>
          </cell>
          <cell r="J185">
            <v>2204.7632031702269</v>
          </cell>
          <cell r="L185">
            <v>289.83064804141583</v>
          </cell>
          <cell r="M185">
            <v>420.91786301280592</v>
          </cell>
          <cell r="O185">
            <v>910.42</v>
          </cell>
          <cell r="P185">
            <v>910.76</v>
          </cell>
          <cell r="R185">
            <v>219.08</v>
          </cell>
          <cell r="S185">
            <v>219.3</v>
          </cell>
          <cell r="U185">
            <v>130.00964065633656</v>
          </cell>
          <cell r="V185">
            <v>89.569932287279713</v>
          </cell>
          <cell r="X185">
            <v>1009.1417827583608</v>
          </cell>
          <cell r="Y185">
            <v>1007.5321402413042</v>
          </cell>
          <cell r="AA185">
            <v>0</v>
          </cell>
          <cell r="AB185">
            <v>0</v>
          </cell>
          <cell r="AD185">
            <v>2986.9533813785579</v>
          </cell>
          <cell r="AE185">
            <v>2791.9726104063857</v>
          </cell>
          <cell r="AJ185">
            <v>2090.1236447864553</v>
          </cell>
          <cell r="AK185">
            <v>1846.4503915780558</v>
          </cell>
          <cell r="AM185">
            <v>0</v>
          </cell>
          <cell r="AN185">
            <v>0</v>
          </cell>
          <cell r="AP185">
            <v>1349.5001411234509</v>
          </cell>
          <cell r="AQ185">
            <v>0</v>
          </cell>
          <cell r="AS185">
            <v>9891.6284381155456</v>
          </cell>
          <cell r="AT185">
            <v>70941.226220300538</v>
          </cell>
          <cell r="AV185">
            <v>173.0252149111553</v>
          </cell>
          <cell r="AW185">
            <v>0</v>
          </cell>
          <cell r="AY185">
            <v>190.6065330224925</v>
          </cell>
          <cell r="AZ185">
            <v>2058</v>
          </cell>
          <cell r="BB185">
            <v>347.57607156084669</v>
          </cell>
          <cell r="BC185">
            <v>685</v>
          </cell>
          <cell r="BE185">
            <v>135.57212084364016</v>
          </cell>
          <cell r="BF185">
            <v>0</v>
          </cell>
          <cell r="BH185">
            <v>65.961235315382794</v>
          </cell>
          <cell r="BI185">
            <v>0</v>
          </cell>
          <cell r="BK185">
            <v>162.82689024297548</v>
          </cell>
          <cell r="BL185">
            <v>2583</v>
          </cell>
          <cell r="BN185">
            <v>0</v>
          </cell>
          <cell r="BO185">
            <v>0</v>
          </cell>
          <cell r="BT185">
            <v>7416.1887362632224</v>
          </cell>
          <cell r="BU185">
            <v>5147.020506329859</v>
          </cell>
          <cell r="BW185">
            <v>9290.8720135918593</v>
          </cell>
          <cell r="BX185">
            <v>10224.22837821219</v>
          </cell>
          <cell r="BZ185">
            <v>1111.7173069381831</v>
          </cell>
          <cell r="CA185">
            <v>5238.0793991802148</v>
          </cell>
          <cell r="CC185">
            <v>289.23032952375473</v>
          </cell>
          <cell r="CD185">
            <v>288.04332220510429</v>
          </cell>
          <cell r="CF185">
            <v>35.606006475462223</v>
          </cell>
          <cell r="CG185">
            <v>0</v>
          </cell>
          <cell r="CI185">
            <v>3702.9503975545108</v>
          </cell>
          <cell r="CJ185">
            <v>1907.6112636026642</v>
          </cell>
          <cell r="CL185">
            <v>1406.9339758189421</v>
          </cell>
          <cell r="CM185">
            <v>601.16851900136771</v>
          </cell>
          <cell r="CX185">
            <v>817.1684908341922</v>
          </cell>
          <cell r="CY185">
            <v>-75703.812499433596</v>
          </cell>
        </row>
        <row r="186">
          <cell r="I186">
            <v>429.89971026334257</v>
          </cell>
          <cell r="J186">
            <v>517.88678859955041</v>
          </cell>
          <cell r="L186">
            <v>93.750112091284052</v>
          </cell>
          <cell r="M186">
            <v>114.76603364907217</v>
          </cell>
          <cell r="O186">
            <v>108.74</v>
          </cell>
          <cell r="P186">
            <v>108.74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>
            <v>197.78281885877576</v>
          </cell>
          <cell r="Y186">
            <v>164.03079979311141</v>
          </cell>
          <cell r="AA186">
            <v>0</v>
          </cell>
          <cell r="AB186">
            <v>0</v>
          </cell>
          <cell r="AD186">
            <v>341.49641178522808</v>
          </cell>
          <cell r="AE186">
            <v>319.20438872613931</v>
          </cell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P186">
            <v>118.37720536170622</v>
          </cell>
          <cell r="AQ186">
            <v>0</v>
          </cell>
          <cell r="AS186">
            <v>1056.515040328379</v>
          </cell>
          <cell r="AT186">
            <v>0</v>
          </cell>
          <cell r="AV186">
            <v>83.07505612416243</v>
          </cell>
          <cell r="AW186">
            <v>0</v>
          </cell>
          <cell r="AY186">
            <v>120.85834889421265</v>
          </cell>
          <cell r="AZ186">
            <v>0</v>
          </cell>
          <cell r="BB186">
            <v>50.255603364884891</v>
          </cell>
          <cell r="BC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K186">
            <v>19.771277081972755</v>
          </cell>
          <cell r="BL186">
            <v>0</v>
          </cell>
          <cell r="BN186">
            <v>0</v>
          </cell>
          <cell r="BO186">
            <v>0</v>
          </cell>
          <cell r="BT186">
            <v>1162.7988093856859</v>
          </cell>
          <cell r="BU186">
            <v>921.11959412846909</v>
          </cell>
          <cell r="BW186">
            <v>465.45645904822544</v>
          </cell>
          <cell r="BX186">
            <v>1146.8120190116742</v>
          </cell>
          <cell r="BZ186">
            <v>318.44255339917396</v>
          </cell>
          <cell r="CA186">
            <v>801.32433924033046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155.97937647660115</v>
          </cell>
          <cell r="CJ186">
            <v>35.719239448993456</v>
          </cell>
          <cell r="CL186">
            <v>0</v>
          </cell>
          <cell r="CM186">
            <v>0</v>
          </cell>
          <cell r="CX186">
            <v>84.961461043639247</v>
          </cell>
          <cell r="CY186">
            <v>797.27615688319179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>
            <v>183.84689632155502</v>
          </cell>
          <cell r="Y187">
            <v>104.03135566055104</v>
          </cell>
          <cell r="AA187">
            <v>0</v>
          </cell>
          <cell r="AB187">
            <v>0</v>
          </cell>
          <cell r="AD187">
            <v>394.2316673614111</v>
          </cell>
          <cell r="AE187">
            <v>368.49722004027598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173.61990119716913</v>
          </cell>
          <cell r="AQ187">
            <v>0</v>
          </cell>
          <cell r="AS187">
            <v>840.67548234952994</v>
          </cell>
          <cell r="AT187">
            <v>26068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K187">
            <v>11.79923975269347</v>
          </cell>
          <cell r="BL187">
            <v>0</v>
          </cell>
          <cell r="BN187">
            <v>18.844525374458165</v>
          </cell>
          <cell r="BO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2.2171483243626788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0</v>
          </cell>
          <cell r="CL187">
            <v>0</v>
          </cell>
          <cell r="CM187">
            <v>0</v>
          </cell>
          <cell r="CX187">
            <v>48.678745171819855</v>
          </cell>
          <cell r="CY187">
            <v>-29854.994868830228</v>
          </cell>
        </row>
        <row r="188">
          <cell r="I188">
            <v>205.02480444573766</v>
          </cell>
          <cell r="J188">
            <v>200.9143281546186</v>
          </cell>
          <cell r="L188">
            <v>40.340596299837237</v>
          </cell>
          <cell r="M188">
            <v>40.360279398609855</v>
          </cell>
          <cell r="O188">
            <v>89.68</v>
          </cell>
          <cell r="P188">
            <v>89.66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>
            <v>146.17925307445458</v>
          </cell>
          <cell r="Y188">
            <v>68.751662724588058</v>
          </cell>
          <cell r="AA188">
            <v>0</v>
          </cell>
          <cell r="AB188">
            <v>0</v>
          </cell>
          <cell r="AD188">
            <v>255.72323122915535</v>
          </cell>
          <cell r="AE188">
            <v>239.03026471303798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P188">
            <v>126.26901905248663</v>
          </cell>
          <cell r="AQ188">
            <v>282.84520090396592</v>
          </cell>
          <cell r="AS188">
            <v>1246.5313505136853</v>
          </cell>
          <cell r="AT188">
            <v>0</v>
          </cell>
          <cell r="AV188">
            <v>39.854034337902583</v>
          </cell>
          <cell r="AW188">
            <v>0</v>
          </cell>
          <cell r="AY188">
            <v>52.004483831338867</v>
          </cell>
          <cell r="AZ188">
            <v>0</v>
          </cell>
          <cell r="BB188">
            <v>40.915006131433771</v>
          </cell>
          <cell r="BC188">
            <v>0</v>
          </cell>
          <cell r="BE188">
            <v>0</v>
          </cell>
          <cell r="BF188">
            <v>0</v>
          </cell>
          <cell r="BH188">
            <v>0</v>
          </cell>
          <cell r="BI188">
            <v>0</v>
          </cell>
          <cell r="BK188">
            <v>36.676348877749327</v>
          </cell>
          <cell r="BL188">
            <v>0</v>
          </cell>
          <cell r="BN188">
            <v>27.907064838681809</v>
          </cell>
          <cell r="BO188">
            <v>0</v>
          </cell>
          <cell r="BT188">
            <v>0</v>
          </cell>
          <cell r="BU188">
            <v>0</v>
          </cell>
          <cell r="BW188">
            <v>35.78822164429954</v>
          </cell>
          <cell r="BX188">
            <v>1.4381805942051766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143.50102635847304</v>
          </cell>
          <cell r="CJ188">
            <v>104.07263615105782</v>
          </cell>
          <cell r="CL188">
            <v>0</v>
          </cell>
          <cell r="CM188">
            <v>0</v>
          </cell>
          <cell r="CX188">
            <v>74.566671237716946</v>
          </cell>
          <cell r="CY188">
            <v>1825.7529368318997</v>
          </cell>
        </row>
        <row r="189">
          <cell r="I189">
            <v>451.00308958110253</v>
          </cell>
          <cell r="J189">
            <v>543.00033546624206</v>
          </cell>
          <cell r="L189">
            <v>93.750112091284052</v>
          </cell>
          <cell r="M189">
            <v>114.76603364907217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>
            <v>197.78281885877576</v>
          </cell>
          <cell r="Y189">
            <v>164.03732058205043</v>
          </cell>
          <cell r="AA189">
            <v>0</v>
          </cell>
          <cell r="AB189">
            <v>0</v>
          </cell>
          <cell r="AD189">
            <v>348.33774223835456</v>
          </cell>
          <cell r="AE189">
            <v>325.59913441013538</v>
          </cell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P189">
            <v>47.350882144682487</v>
          </cell>
          <cell r="AQ189">
            <v>0</v>
          </cell>
          <cell r="AS189">
            <v>1355.5330261552676</v>
          </cell>
          <cell r="AT189">
            <v>35.998479110183084</v>
          </cell>
          <cell r="AV189">
            <v>93.124297043027042</v>
          </cell>
          <cell r="AW189">
            <v>0</v>
          </cell>
          <cell r="AY189">
            <v>120.85834889421265</v>
          </cell>
          <cell r="AZ189">
            <v>0</v>
          </cell>
          <cell r="BB189">
            <v>0</v>
          </cell>
          <cell r="BC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K189">
            <v>19.771277081972755</v>
          </cell>
          <cell r="BL189">
            <v>2874</v>
          </cell>
          <cell r="BN189">
            <v>0</v>
          </cell>
          <cell r="BO189">
            <v>0</v>
          </cell>
          <cell r="BT189">
            <v>1309.3857204389506</v>
          </cell>
          <cell r="BU189">
            <v>966.70010575210665</v>
          </cell>
          <cell r="BW189">
            <v>332.84883019540251</v>
          </cell>
          <cell r="BX189">
            <v>1008.9086059017995</v>
          </cell>
          <cell r="BZ189">
            <v>272.7293734864673</v>
          </cell>
          <cell r="CA189">
            <v>883.18648688373708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18.717525177192133</v>
          </cell>
          <cell r="CJ189">
            <v>6.2135693541933126</v>
          </cell>
          <cell r="CL189">
            <v>0</v>
          </cell>
          <cell r="CM189">
            <v>0</v>
          </cell>
          <cell r="CX189">
            <v>-1.16520640303861E-2</v>
          </cell>
          <cell r="CY189">
            <v>-2713.472085331422</v>
          </cell>
        </row>
        <row r="190">
          <cell r="I190">
            <v>142.60929764448582</v>
          </cell>
          <cell r="J190">
            <v>176.408140569495</v>
          </cell>
          <cell r="L190">
            <v>56.713212510051193</v>
          </cell>
          <cell r="M190">
            <v>69.427111360564439</v>
          </cell>
          <cell r="O190">
            <v>82.88</v>
          </cell>
          <cell r="P190">
            <v>82.88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X190">
            <v>70.863556614904908</v>
          </cell>
          <cell r="Y190">
            <v>56.245014538436379</v>
          </cell>
          <cell r="AA190">
            <v>0</v>
          </cell>
          <cell r="AB190">
            <v>0</v>
          </cell>
          <cell r="AD190">
            <v>233.67419328959994</v>
          </cell>
          <cell r="AE190">
            <v>256.61817161172723</v>
          </cell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P190">
            <v>142.05264643404746</v>
          </cell>
          <cell r="AQ190">
            <v>0</v>
          </cell>
          <cell r="AS190">
            <v>663.02809882485838</v>
          </cell>
          <cell r="AT190">
            <v>0</v>
          </cell>
          <cell r="AV190">
            <v>55.317016831563706</v>
          </cell>
          <cell r="AW190">
            <v>0</v>
          </cell>
          <cell r="AY190">
            <v>73.078243450016657</v>
          </cell>
          <cell r="AZ190">
            <v>0</v>
          </cell>
          <cell r="BB190">
            <v>39.334542562527318</v>
          </cell>
          <cell r="BC190">
            <v>0</v>
          </cell>
          <cell r="BE190">
            <v>0</v>
          </cell>
          <cell r="BF190">
            <v>0</v>
          </cell>
          <cell r="BH190">
            <v>0</v>
          </cell>
          <cell r="BI190">
            <v>0</v>
          </cell>
          <cell r="BK190">
            <v>9.8614252960765771</v>
          </cell>
          <cell r="BL190">
            <v>0</v>
          </cell>
          <cell r="BN190">
            <v>0</v>
          </cell>
          <cell r="BO190">
            <v>0</v>
          </cell>
          <cell r="BT190">
            <v>1154.4105908852571</v>
          </cell>
          <cell r="BU190">
            <v>880.11286167286869</v>
          </cell>
          <cell r="BW190">
            <v>599.86955317543266</v>
          </cell>
          <cell r="BX190">
            <v>1347.3779834031429</v>
          </cell>
          <cell r="BZ190">
            <v>274.96073609478691</v>
          </cell>
          <cell r="CA190">
            <v>778.25368501471951</v>
          </cell>
          <cell r="CC190">
            <v>29.903474747371249</v>
          </cell>
          <cell r="CD190">
            <v>29.780750261883664</v>
          </cell>
          <cell r="CF190">
            <v>3.6812989745816878</v>
          </cell>
          <cell r="CG190">
            <v>0</v>
          </cell>
          <cell r="CI190">
            <v>18.717525177192133</v>
          </cell>
          <cell r="CJ190">
            <v>23.302435255451645</v>
          </cell>
          <cell r="CL190">
            <v>0</v>
          </cell>
          <cell r="CM190">
            <v>0</v>
          </cell>
          <cell r="CX190">
            <v>761.53350498469626</v>
          </cell>
          <cell r="CY190">
            <v>702.19261557405343</v>
          </cell>
        </row>
        <row r="191">
          <cell r="I191">
            <v>1327.4832038396437</v>
          </cell>
          <cell r="J191">
            <v>1630.4044708381625</v>
          </cell>
          <cell r="L191">
            <v>275.62748227154816</v>
          </cell>
          <cell r="M191">
            <v>346.67793660958716</v>
          </cell>
          <cell r="O191">
            <v>517.36</v>
          </cell>
          <cell r="P191">
            <v>517.36</v>
          </cell>
          <cell r="R191">
            <v>130.54</v>
          </cell>
          <cell r="S191">
            <v>130.54</v>
          </cell>
          <cell r="U191">
            <v>88.645113504097054</v>
          </cell>
          <cell r="V191">
            <v>288.12860747430091</v>
          </cell>
          <cell r="X191">
            <v>985.6645116009646</v>
          </cell>
          <cell r="Y191">
            <v>821.38280957441407</v>
          </cell>
          <cell r="AA191">
            <v>0</v>
          </cell>
          <cell r="AB191">
            <v>0</v>
          </cell>
          <cell r="AD191">
            <v>1633.6028164182635</v>
          </cell>
          <cell r="AE191">
            <v>1526.9653514369591</v>
          </cell>
          <cell r="AJ191">
            <v>0</v>
          </cell>
          <cell r="AK191">
            <v>0</v>
          </cell>
          <cell r="AM191">
            <v>0</v>
          </cell>
          <cell r="AN191">
            <v>0</v>
          </cell>
          <cell r="AP191">
            <v>291.99710655887532</v>
          </cell>
          <cell r="AQ191">
            <v>0</v>
          </cell>
          <cell r="AS191">
            <v>3738.8353777026609</v>
          </cell>
          <cell r="AT191">
            <v>0</v>
          </cell>
          <cell r="AV191">
            <v>234.83426435119529</v>
          </cell>
          <cell r="AW191">
            <v>0</v>
          </cell>
          <cell r="AY191">
            <v>355.27199472401503</v>
          </cell>
          <cell r="AZ191">
            <v>0</v>
          </cell>
          <cell r="BB191">
            <v>291.88442736632646</v>
          </cell>
          <cell r="BC191">
            <v>0</v>
          </cell>
          <cell r="BE191">
            <v>148.75500964976717</v>
          </cell>
          <cell r="BF191">
            <v>0</v>
          </cell>
          <cell r="BH191">
            <v>89.960355179059135</v>
          </cell>
          <cell r="BI191">
            <v>0</v>
          </cell>
          <cell r="BK191">
            <v>129.72769086525304</v>
          </cell>
          <cell r="BL191">
            <v>0</v>
          </cell>
          <cell r="BN191">
            <v>0</v>
          </cell>
          <cell r="BO191">
            <v>0</v>
          </cell>
          <cell r="BT191">
            <v>3992.1287333348687</v>
          </cell>
          <cell r="BU191">
            <v>4304.9245883779495</v>
          </cell>
          <cell r="BW191">
            <v>3953.8482913113594</v>
          </cell>
          <cell r="BX191">
            <v>5449.0215950312831</v>
          </cell>
          <cell r="BZ191">
            <v>3106.252592773656</v>
          </cell>
          <cell r="CA191">
            <v>4620.6454967483533</v>
          </cell>
          <cell r="CC191">
            <v>328.44800132358586</v>
          </cell>
          <cell r="CD191">
            <v>327.10004386003368</v>
          </cell>
          <cell r="CF191">
            <v>40.43393955688083</v>
          </cell>
          <cell r="CG191">
            <v>0</v>
          </cell>
          <cell r="CI191">
            <v>698.78760661517299</v>
          </cell>
          <cell r="CJ191">
            <v>284.32092035134139</v>
          </cell>
          <cell r="CL191">
            <v>0</v>
          </cell>
          <cell r="CM191">
            <v>0</v>
          </cell>
          <cell r="CX191">
            <v>5.3777263368829153E-2</v>
          </cell>
          <cell r="CY191">
            <v>2535.1938156371361</v>
          </cell>
        </row>
        <row r="192">
          <cell r="I192">
            <v>72.971859826195953</v>
          </cell>
          <cell r="J192">
            <v>94.86738348190238</v>
          </cell>
          <cell r="L192">
            <v>40.340596299837237</v>
          </cell>
          <cell r="M192">
            <v>49.383806167775404</v>
          </cell>
          <cell r="O192">
            <v>80.62</v>
          </cell>
          <cell r="P192">
            <v>80.62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>
            <v>37.053408462048985</v>
          </cell>
          <cell r="Y192">
            <v>16.846181258923934</v>
          </cell>
          <cell r="AA192">
            <v>0</v>
          </cell>
          <cell r="AB192">
            <v>0</v>
          </cell>
          <cell r="AD192">
            <v>252.48785203569767</v>
          </cell>
          <cell r="AE192">
            <v>236.00608289998152</v>
          </cell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P192">
            <v>386.69887084824029</v>
          </cell>
          <cell r="AQ192">
            <v>0</v>
          </cell>
          <cell r="AS192">
            <v>448.18829791239602</v>
          </cell>
          <cell r="AT192">
            <v>0</v>
          </cell>
          <cell r="AV192">
            <v>50.356859347754401</v>
          </cell>
          <cell r="AW192">
            <v>0</v>
          </cell>
          <cell r="AY192">
            <v>52.004483831338867</v>
          </cell>
          <cell r="AZ192">
            <v>0</v>
          </cell>
          <cell r="BB192">
            <v>41.88574554546431</v>
          </cell>
          <cell r="BC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K192">
            <v>0.28321488959834151</v>
          </cell>
          <cell r="BL192">
            <v>0</v>
          </cell>
          <cell r="BN192">
            <v>0</v>
          </cell>
          <cell r="BO192">
            <v>0</v>
          </cell>
          <cell r="BT192">
            <v>1242.4336902557943</v>
          </cell>
          <cell r="BU192">
            <v>1025.8466952459792</v>
          </cell>
          <cell r="BW192">
            <v>45.47124451660801</v>
          </cell>
          <cell r="BX192">
            <v>528.26941962967544</v>
          </cell>
          <cell r="BZ192">
            <v>377.93785294754753</v>
          </cell>
          <cell r="CA192">
            <v>903.95633162073341</v>
          </cell>
          <cell r="CC192">
            <v>0</v>
          </cell>
          <cell r="CD192">
            <v>0</v>
          </cell>
          <cell r="CF192">
            <v>0</v>
          </cell>
          <cell r="CG192">
            <v>0</v>
          </cell>
          <cell r="CI192">
            <v>0</v>
          </cell>
          <cell r="CJ192">
            <v>0</v>
          </cell>
          <cell r="CL192">
            <v>0</v>
          </cell>
          <cell r="CM192">
            <v>0</v>
          </cell>
          <cell r="CX192">
            <v>56.299227937774504</v>
          </cell>
          <cell r="CY192">
            <v>287.82491963403459</v>
          </cell>
        </row>
        <row r="193">
          <cell r="I193">
            <v>403.39185773935259</v>
          </cell>
          <cell r="J193">
            <v>487.13152695191138</v>
          </cell>
          <cell r="L193">
            <v>109.38260822167149</v>
          </cell>
          <cell r="M193">
            <v>133.90376782411471</v>
          </cell>
          <cell r="O193">
            <v>109.34</v>
          </cell>
          <cell r="P193">
            <v>109.34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X193">
            <v>201.19626340407379</v>
          </cell>
          <cell r="Y193">
            <v>166.6140172280052</v>
          </cell>
          <cell r="AA193">
            <v>0</v>
          </cell>
          <cell r="AB193">
            <v>0</v>
          </cell>
          <cell r="AD193">
            <v>338.00448269977812</v>
          </cell>
          <cell r="AE193">
            <v>315.94040394993283</v>
          </cell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P193">
            <v>165.7280875063887</v>
          </cell>
          <cell r="AQ193">
            <v>0</v>
          </cell>
          <cell r="AS193">
            <v>950.93820110495744</v>
          </cell>
          <cell r="AT193">
            <v>0</v>
          </cell>
          <cell r="AV193">
            <v>68.737885799463683</v>
          </cell>
          <cell r="AW193">
            <v>0</v>
          </cell>
          <cell r="AY193">
            <v>140.94151713113857</v>
          </cell>
          <cell r="AZ193">
            <v>0</v>
          </cell>
          <cell r="BB193">
            <v>50.066584629659644</v>
          </cell>
          <cell r="BC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K193">
            <v>19.771301113804686</v>
          </cell>
          <cell r="BL193">
            <v>0</v>
          </cell>
          <cell r="BN193">
            <v>0</v>
          </cell>
          <cell r="BO193">
            <v>0</v>
          </cell>
          <cell r="BT193">
            <v>1547.0980408854621</v>
          </cell>
          <cell r="BU193">
            <v>1183.7582706163396</v>
          </cell>
          <cell r="BW193">
            <v>400.43647143041733</v>
          </cell>
          <cell r="BX193">
            <v>1113.4849090413713</v>
          </cell>
          <cell r="BZ193">
            <v>420.68883365971362</v>
          </cell>
          <cell r="CA193">
            <v>1069.4109130285356</v>
          </cell>
          <cell r="CC193">
            <v>52.453636032274154</v>
          </cell>
          <cell r="CD193">
            <v>52.238365213468072</v>
          </cell>
          <cell r="CF193">
            <v>6.4573604963973867</v>
          </cell>
          <cell r="CG193">
            <v>0</v>
          </cell>
          <cell r="CI193">
            <v>215.25153953770956</v>
          </cell>
          <cell r="CJ193">
            <v>57.472932897576939</v>
          </cell>
          <cell r="CL193">
            <v>0</v>
          </cell>
          <cell r="CM193">
            <v>0</v>
          </cell>
          <cell r="CX193">
            <v>-2.1605670714961889E-2</v>
          </cell>
          <cell r="CY193">
            <v>612.68587189849313</v>
          </cell>
        </row>
        <row r="194">
          <cell r="I194">
            <v>2338.4513727925773</v>
          </cell>
          <cell r="J194">
            <v>2896.4948810431724</v>
          </cell>
          <cell r="L194">
            <v>481.37387211591579</v>
          </cell>
          <cell r="M194">
            <v>589.28524694823432</v>
          </cell>
          <cell r="O194">
            <v>1078.22</v>
          </cell>
          <cell r="P194">
            <v>1078.22</v>
          </cell>
          <cell r="R194">
            <v>257.04000000000002</v>
          </cell>
          <cell r="S194">
            <v>257.04000000000002</v>
          </cell>
          <cell r="U194">
            <v>147.75798163649051</v>
          </cell>
          <cell r="V194">
            <v>480.26776229170184</v>
          </cell>
          <cell r="X194">
            <v>1777.3195384548037</v>
          </cell>
          <cell r="Y194">
            <v>1530.4864850252661</v>
          </cell>
          <cell r="AA194">
            <v>0</v>
          </cell>
          <cell r="AB194">
            <v>0</v>
          </cell>
          <cell r="AD194">
            <v>3374.3936029880638</v>
          </cell>
          <cell r="AE194">
            <v>3155.0783877795648</v>
          </cell>
          <cell r="AJ194">
            <v>0</v>
          </cell>
          <cell r="AK194">
            <v>0</v>
          </cell>
          <cell r="AM194">
            <v>0</v>
          </cell>
          <cell r="AN194">
            <v>0</v>
          </cell>
          <cell r="AP194">
            <v>623.45328157165284</v>
          </cell>
          <cell r="AQ194">
            <v>0</v>
          </cell>
          <cell r="AS194">
            <v>8763.0691241502554</v>
          </cell>
          <cell r="AT194">
            <v>0</v>
          </cell>
          <cell r="AV194">
            <v>390.33847504504604</v>
          </cell>
          <cell r="AW194">
            <v>0</v>
          </cell>
          <cell r="AY194">
            <v>620.41262887163259</v>
          </cell>
          <cell r="AZ194">
            <v>0</v>
          </cell>
          <cell r="BB194">
            <v>575.45004834420865</v>
          </cell>
          <cell r="BC194">
            <v>0</v>
          </cell>
          <cell r="BE194">
            <v>271.31080726994344</v>
          </cell>
          <cell r="BF194">
            <v>0</v>
          </cell>
          <cell r="BH194">
            <v>149.88538452814583</v>
          </cell>
          <cell r="BI194">
            <v>0</v>
          </cell>
          <cell r="BK194">
            <v>252.38051312156597</v>
          </cell>
          <cell r="BL194">
            <v>0</v>
          </cell>
          <cell r="BN194">
            <v>0</v>
          </cell>
          <cell r="BO194">
            <v>0</v>
          </cell>
          <cell r="BT194">
            <v>11487.492797209252</v>
          </cell>
          <cell r="BU194">
            <v>8663.6146511944698</v>
          </cell>
          <cell r="BW194">
            <v>5122.0058400875741</v>
          </cell>
          <cell r="BX194">
            <v>7989.7838825099625</v>
          </cell>
          <cell r="BZ194">
            <v>2642.6804770956051</v>
          </cell>
          <cell r="CA194">
            <v>8703.0658887342943</v>
          </cell>
          <cell r="CC194">
            <v>452.47388839055179</v>
          </cell>
          <cell r="CD194">
            <v>450.61692609374791</v>
          </cell>
          <cell r="CF194">
            <v>55.702277926867183</v>
          </cell>
          <cell r="CG194">
            <v>0</v>
          </cell>
          <cell r="CI194">
            <v>1466.2061388800507</v>
          </cell>
          <cell r="CJ194">
            <v>902.62481057076889</v>
          </cell>
          <cell r="CL194">
            <v>0</v>
          </cell>
          <cell r="CM194">
            <v>0</v>
          </cell>
          <cell r="CX194">
            <v>1046.7183394237582</v>
          </cell>
          <cell r="CY194">
            <v>7803.7252933705786</v>
          </cell>
        </row>
        <row r="195">
          <cell r="I195">
            <v>1099.6846566762104</v>
          </cell>
          <cell r="J195">
            <v>1350.9367171429453</v>
          </cell>
          <cell r="L195">
            <v>156.23343472749542</v>
          </cell>
          <cell r="M195">
            <v>191.25659894805926</v>
          </cell>
          <cell r="O195">
            <v>424.88</v>
          </cell>
          <cell r="P195">
            <v>424.88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>
            <v>770.1690841785512</v>
          </cell>
          <cell r="Y195">
            <v>635.14626319273862</v>
          </cell>
          <cell r="AA195">
            <v>0</v>
          </cell>
          <cell r="AB195">
            <v>0</v>
          </cell>
          <cell r="AD195">
            <v>1411.8581931063029</v>
          </cell>
          <cell r="AE195">
            <v>1319.6956569544352</v>
          </cell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P195">
            <v>852.31587860428476</v>
          </cell>
          <cell r="AQ195">
            <v>0</v>
          </cell>
          <cell r="AS195">
            <v>2988.2570570820485</v>
          </cell>
          <cell r="AT195">
            <v>1485</v>
          </cell>
          <cell r="AV195">
            <v>187.94647068857452</v>
          </cell>
          <cell r="AW195">
            <v>0</v>
          </cell>
          <cell r="AY195">
            <v>201.394921118063</v>
          </cell>
          <cell r="AZ195">
            <v>0</v>
          </cell>
          <cell r="BB195">
            <v>261.14611199583754</v>
          </cell>
          <cell r="BC195">
            <v>0</v>
          </cell>
          <cell r="BE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98.937810135742524</v>
          </cell>
          <cell r="BL195">
            <v>0</v>
          </cell>
          <cell r="BN195">
            <v>0</v>
          </cell>
          <cell r="BO195">
            <v>0</v>
          </cell>
          <cell r="BT195">
            <v>5290.7080601649777</v>
          </cell>
          <cell r="BU195">
            <v>4166.3000417580233</v>
          </cell>
          <cell r="BW195">
            <v>2447.855812051062</v>
          </cell>
          <cell r="BX195">
            <v>3991.2826642653472</v>
          </cell>
          <cell r="BZ195">
            <v>1549.3373563831337</v>
          </cell>
          <cell r="CA195">
            <v>3846.0431384223693</v>
          </cell>
          <cell r="CC195">
            <v>0</v>
          </cell>
          <cell r="CD195">
            <v>0</v>
          </cell>
          <cell r="CF195">
            <v>0</v>
          </cell>
          <cell r="CG195">
            <v>0</v>
          </cell>
          <cell r="CI195">
            <v>1101.214397924804</v>
          </cell>
          <cell r="CJ195">
            <v>691.19293303325696</v>
          </cell>
          <cell r="CL195">
            <v>0</v>
          </cell>
          <cell r="CM195">
            <v>0</v>
          </cell>
          <cell r="CX195">
            <v>565.33290619549371</v>
          </cell>
          <cell r="CY195">
            <v>1453.579183539392</v>
          </cell>
        </row>
        <row r="196">
          <cell r="I196">
            <v>93.269085878945262</v>
          </cell>
          <cell r="J196">
            <v>117.18884321618978</v>
          </cell>
          <cell r="L196">
            <v>46.653150726733912</v>
          </cell>
          <cell r="M196">
            <v>57.111345519212151</v>
          </cell>
          <cell r="O196">
            <v>63.92</v>
          </cell>
          <cell r="P196">
            <v>63.92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>
            <v>69.599247294264174</v>
          </cell>
          <cell r="Y196">
            <v>55.284181132257181</v>
          </cell>
          <cell r="AA196">
            <v>0</v>
          </cell>
          <cell r="AB196">
            <v>0</v>
          </cell>
          <cell r="AD196">
            <v>203.95716413383198</v>
          </cell>
          <cell r="AE196">
            <v>190.40418703839578</v>
          </cell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P196">
            <v>142.05264643404746</v>
          </cell>
          <cell r="AQ196">
            <v>0</v>
          </cell>
          <cell r="AS196">
            <v>751.0658898522405</v>
          </cell>
          <cell r="AT196">
            <v>0</v>
          </cell>
          <cell r="AV196">
            <v>61.08498790277315</v>
          </cell>
          <cell r="AW196">
            <v>0</v>
          </cell>
          <cell r="AY196">
            <v>60.142686975203205</v>
          </cell>
          <cell r="AZ196">
            <v>0</v>
          </cell>
          <cell r="BB196">
            <v>25.856638541695908</v>
          </cell>
          <cell r="BC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K196">
            <v>9.8614099354183207</v>
          </cell>
          <cell r="BL196">
            <v>0</v>
          </cell>
          <cell r="BN196">
            <v>0</v>
          </cell>
          <cell r="BO196">
            <v>0</v>
          </cell>
          <cell r="BT196">
            <v>955.32120006988953</v>
          </cell>
          <cell r="BU196">
            <v>734.46862659496776</v>
          </cell>
          <cell r="BW196">
            <v>190.28264997171078</v>
          </cell>
          <cell r="BX196">
            <v>162.49521403792662</v>
          </cell>
          <cell r="BZ196">
            <v>259.94760452819969</v>
          </cell>
          <cell r="CA196">
            <v>678.66235205997975</v>
          </cell>
          <cell r="CC196">
            <v>0</v>
          </cell>
          <cell r="CD196">
            <v>0</v>
          </cell>
          <cell r="CF196">
            <v>0</v>
          </cell>
          <cell r="CG196">
            <v>0</v>
          </cell>
          <cell r="CI196">
            <v>187.17525177192132</v>
          </cell>
          <cell r="CJ196">
            <v>57.479133606483828</v>
          </cell>
          <cell r="CL196">
            <v>0</v>
          </cell>
          <cell r="CM196">
            <v>0</v>
          </cell>
          <cell r="CX196">
            <v>-9.1475368202504796</v>
          </cell>
          <cell r="CY196">
            <v>1194.6633401535048</v>
          </cell>
        </row>
        <row r="197">
          <cell r="I197">
            <v>967.24574842025538</v>
          </cell>
          <cell r="J197">
            <v>1027.6756738405152</v>
          </cell>
          <cell r="L197">
            <v>374.11870881629648</v>
          </cell>
          <cell r="M197">
            <v>410.19942079879513</v>
          </cell>
          <cell r="O197">
            <v>883.3</v>
          </cell>
          <cell r="P197">
            <v>883.3</v>
          </cell>
          <cell r="R197">
            <v>207.38</v>
          </cell>
          <cell r="S197">
            <v>207.38</v>
          </cell>
          <cell r="U197">
            <v>192.08062007918898</v>
          </cell>
          <cell r="V197">
            <v>72.587956818382494</v>
          </cell>
          <cell r="X197">
            <v>1491.4338275199132</v>
          </cell>
          <cell r="Y197">
            <v>753.13775842030896</v>
          </cell>
          <cell r="AA197">
            <v>0</v>
          </cell>
          <cell r="AB197">
            <v>0</v>
          </cell>
          <cell r="AD197">
            <v>2717.5047309278179</v>
          </cell>
          <cell r="AE197">
            <v>2527.4642814425001</v>
          </cell>
          <cell r="AJ197">
            <v>4964.0659391358995</v>
          </cell>
          <cell r="AK197">
            <v>4943.6711174300544</v>
          </cell>
          <cell r="AM197">
            <v>0</v>
          </cell>
          <cell r="AN197">
            <v>524.04800106883954</v>
          </cell>
          <cell r="AP197">
            <v>568.21058573618984</v>
          </cell>
          <cell r="AQ197">
            <v>3113.2736859076954</v>
          </cell>
          <cell r="AS197">
            <v>10284.17970223984</v>
          </cell>
          <cell r="AT197">
            <v>3983</v>
          </cell>
          <cell r="AV197">
            <v>101.50287500156291</v>
          </cell>
          <cell r="AW197">
            <v>0</v>
          </cell>
          <cell r="AY197">
            <v>220.35536942866483</v>
          </cell>
          <cell r="AZ197">
            <v>0</v>
          </cell>
          <cell r="BB197">
            <v>230.42606906662934</v>
          </cell>
          <cell r="BC197">
            <v>0</v>
          </cell>
          <cell r="BE197">
            <v>112.07757032379568</v>
          </cell>
          <cell r="BF197">
            <v>0</v>
          </cell>
          <cell r="BH197">
            <v>97.432801481500164</v>
          </cell>
          <cell r="BI197">
            <v>0</v>
          </cell>
          <cell r="BK197">
            <v>142.88014072649705</v>
          </cell>
          <cell r="BL197">
            <v>0</v>
          </cell>
          <cell r="BN197">
            <v>96.663229479310985</v>
          </cell>
          <cell r="BO197">
            <v>0</v>
          </cell>
          <cell r="BT197">
            <v>9669.3420490419412</v>
          </cell>
          <cell r="BU197">
            <v>2440.7004875575826</v>
          </cell>
          <cell r="BW197">
            <v>4980.7765172872423</v>
          </cell>
          <cell r="BX197">
            <v>1429.6219625893507</v>
          </cell>
          <cell r="BZ197">
            <v>1817.7466331011517</v>
          </cell>
          <cell r="CA197">
            <v>1873.9276584567156</v>
          </cell>
          <cell r="CC197">
            <v>156.87068719932458</v>
          </cell>
          <cell r="CD197">
            <v>156.22688661971756</v>
          </cell>
          <cell r="CF197">
            <v>19.311732325674427</v>
          </cell>
          <cell r="CG197">
            <v>0</v>
          </cell>
          <cell r="CI197">
            <v>1428.7710885256663</v>
          </cell>
          <cell r="CJ197">
            <v>1258.2157572281267</v>
          </cell>
          <cell r="CL197">
            <v>2239.8638462039921</v>
          </cell>
          <cell r="CM197">
            <v>1831.4108127178106</v>
          </cell>
          <cell r="CX197">
            <v>279.31143351797073</v>
          </cell>
          <cell r="CY197">
            <v>20112.550246924322</v>
          </cell>
        </row>
        <row r="198">
          <cell r="I198">
            <v>8893.3527177792257</v>
          </cell>
          <cell r="J198">
            <v>8694.9422722990275</v>
          </cell>
          <cell r="L198">
            <v>1383.8738484118967</v>
          </cell>
          <cell r="M198">
            <v>1420.4399106356373</v>
          </cell>
          <cell r="O198">
            <v>3747.56</v>
          </cell>
          <cell r="P198">
            <v>3747.56</v>
          </cell>
          <cell r="R198">
            <v>835.94</v>
          </cell>
          <cell r="S198">
            <v>835.94</v>
          </cell>
          <cell r="U198">
            <v>455.10639007130726</v>
          </cell>
          <cell r="V198">
            <v>171.98650651706595</v>
          </cell>
          <cell r="X198">
            <v>5882.661021426873</v>
          </cell>
          <cell r="Y198">
            <v>3463.6487710876586</v>
          </cell>
          <cell r="AA198">
            <v>0</v>
          </cell>
          <cell r="AB198">
            <v>0</v>
          </cell>
          <cell r="AD198">
            <v>10997.702379678632</v>
          </cell>
          <cell r="AE198">
            <v>10284.615288343248</v>
          </cell>
          <cell r="AJ198">
            <v>18941.823520565489</v>
          </cell>
          <cell r="AK198">
            <v>18864.013760921487</v>
          </cell>
          <cell r="AM198">
            <v>0</v>
          </cell>
          <cell r="AN198">
            <v>786.06645561892788</v>
          </cell>
          <cell r="AP198">
            <v>1933.4943542412018</v>
          </cell>
          <cell r="AQ198">
            <v>0</v>
          </cell>
          <cell r="AS198">
            <v>38335.786223766067</v>
          </cell>
          <cell r="AT198">
            <v>20214.839814744664</v>
          </cell>
          <cell r="AV198">
            <v>687.5689269980968</v>
          </cell>
          <cell r="AW198">
            <v>408</v>
          </cell>
          <cell r="AY198">
            <v>852.73376605057626</v>
          </cell>
          <cell r="AZ198">
            <v>0</v>
          </cell>
          <cell r="BB198">
            <v>818.59852281293365</v>
          </cell>
          <cell r="BC198">
            <v>0</v>
          </cell>
          <cell r="BE198">
            <v>452.47536652234191</v>
          </cell>
          <cell r="BF198">
            <v>0</v>
          </cell>
          <cell r="BH198">
            <v>230.86424191318989</v>
          </cell>
          <cell r="BI198">
            <v>0</v>
          </cell>
          <cell r="BK198">
            <v>728.97575593989166</v>
          </cell>
          <cell r="BL198">
            <v>1098</v>
          </cell>
          <cell r="BN198">
            <v>235.73840334135744</v>
          </cell>
          <cell r="BO198">
            <v>0</v>
          </cell>
          <cell r="BT198">
            <v>35932.432701699378</v>
          </cell>
          <cell r="BU198">
            <v>30780.112334356891</v>
          </cell>
          <cell r="BW198">
            <v>21908.491209721928</v>
          </cell>
          <cell r="BX198">
            <v>16990.301521841749</v>
          </cell>
          <cell r="BZ198">
            <v>6924.7490784805777</v>
          </cell>
          <cell r="CA198">
            <v>18697.934660868621</v>
          </cell>
          <cell r="CC198">
            <v>350.01772081349299</v>
          </cell>
          <cell r="CD198">
            <v>348.5812407702449</v>
          </cell>
          <cell r="CF198">
            <v>43.089302751661066</v>
          </cell>
          <cell r="CG198">
            <v>0</v>
          </cell>
          <cell r="CI198">
            <v>4133.4534766299294</v>
          </cell>
          <cell r="CJ198">
            <v>1817.4380325570096</v>
          </cell>
          <cell r="CL198">
            <v>2664.1277502203475</v>
          </cell>
          <cell r="CM198">
            <v>2573.9292501894579</v>
          </cell>
          <cell r="CX198">
            <v>3119.5399841963372</v>
          </cell>
          <cell r="CY198">
            <v>34526.260215097995</v>
          </cell>
        </row>
        <row r="199">
          <cell r="I199">
            <v>403.65464800973967</v>
          </cell>
          <cell r="J199">
            <v>486.01722527775496</v>
          </cell>
          <cell r="L199">
            <v>89.70629529285317</v>
          </cell>
          <cell r="M199">
            <v>109.81557875205803</v>
          </cell>
          <cell r="O199">
            <v>95.86</v>
          </cell>
          <cell r="P199">
            <v>95.86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X199">
            <v>197.78281885877576</v>
          </cell>
          <cell r="Y199">
            <v>163.98642661959963</v>
          </cell>
          <cell r="AA199">
            <v>0</v>
          </cell>
          <cell r="AB199">
            <v>0</v>
          </cell>
          <cell r="AD199">
            <v>341.63893950300155</v>
          </cell>
          <cell r="AE199">
            <v>319.33761259455582</v>
          </cell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142.05264643404746</v>
          </cell>
          <cell r="AQ199">
            <v>0</v>
          </cell>
          <cell r="AS199">
            <v>1177.6042701828499</v>
          </cell>
          <cell r="AT199">
            <v>0</v>
          </cell>
          <cell r="AV199">
            <v>77.254161613420038</v>
          </cell>
          <cell r="AW199">
            <v>0</v>
          </cell>
          <cell r="AY199">
            <v>115.64329743466799</v>
          </cell>
          <cell r="AZ199">
            <v>0</v>
          </cell>
          <cell r="BB199">
            <v>53.682635866982842</v>
          </cell>
          <cell r="BC199">
            <v>0</v>
          </cell>
          <cell r="BE199">
            <v>0</v>
          </cell>
          <cell r="BF199">
            <v>0</v>
          </cell>
          <cell r="BH199">
            <v>0</v>
          </cell>
          <cell r="BI199">
            <v>0</v>
          </cell>
          <cell r="BK199">
            <v>19.771277081972755</v>
          </cell>
          <cell r="BL199">
            <v>0</v>
          </cell>
          <cell r="BN199">
            <v>0</v>
          </cell>
          <cell r="BO199">
            <v>0</v>
          </cell>
          <cell r="BT199">
            <v>1325.6562383130422</v>
          </cell>
          <cell r="BU199">
            <v>1097.5814825294592</v>
          </cell>
          <cell r="BW199">
            <v>360.32658888365421</v>
          </cell>
          <cell r="BX199">
            <v>1069.9050648737025</v>
          </cell>
          <cell r="BZ199">
            <v>532.81173505725587</v>
          </cell>
          <cell r="CA199">
            <v>1003.1862435606171</v>
          </cell>
          <cell r="CC199">
            <v>0</v>
          </cell>
          <cell r="CD199">
            <v>0</v>
          </cell>
          <cell r="CF199">
            <v>0</v>
          </cell>
          <cell r="CG199">
            <v>0</v>
          </cell>
          <cell r="CI199">
            <v>224.61030212630564</v>
          </cell>
          <cell r="CJ199">
            <v>41.942109866547099</v>
          </cell>
          <cell r="CL199">
            <v>0</v>
          </cell>
          <cell r="CM199">
            <v>0</v>
          </cell>
          <cell r="CX199">
            <v>154.75297440971735</v>
          </cell>
          <cell r="CY199">
            <v>1079.261907110847</v>
          </cell>
        </row>
        <row r="200">
          <cell r="I200">
            <v>2233.8642851748746</v>
          </cell>
          <cell r="J200">
            <v>2228.3666145229972</v>
          </cell>
          <cell r="L200">
            <v>384.07368337535149</v>
          </cell>
          <cell r="M200">
            <v>384.2614375994786</v>
          </cell>
          <cell r="O200">
            <v>1308.22</v>
          </cell>
          <cell r="P200">
            <v>1308.22</v>
          </cell>
          <cell r="R200">
            <v>273.18</v>
          </cell>
          <cell r="S200">
            <v>273.18</v>
          </cell>
          <cell r="U200">
            <v>375.28698797765099</v>
          </cell>
          <cell r="V200">
            <v>165.76261116457968</v>
          </cell>
          <cell r="X200">
            <v>1360.4233611864354</v>
          </cell>
          <cell r="Y200">
            <v>731.75170792576773</v>
          </cell>
          <cell r="AA200">
            <v>0</v>
          </cell>
          <cell r="AB200">
            <v>0</v>
          </cell>
          <cell r="AD200">
            <v>3661.9290208242569</v>
          </cell>
          <cell r="AE200">
            <v>3422.8875452602315</v>
          </cell>
          <cell r="AJ200">
            <v>6401.0370863106209</v>
          </cell>
          <cell r="AK200">
            <v>6374.7482325678611</v>
          </cell>
          <cell r="AM200">
            <v>0</v>
          </cell>
          <cell r="AN200">
            <v>524.04800106883954</v>
          </cell>
          <cell r="AP200">
            <v>631.34509526243312</v>
          </cell>
          <cell r="AQ200">
            <v>0</v>
          </cell>
          <cell r="AS200">
            <v>14480.956615968795</v>
          </cell>
          <cell r="AT200">
            <v>1165</v>
          </cell>
          <cell r="AV200">
            <v>110.3839524567741</v>
          </cell>
          <cell r="AW200">
            <v>408</v>
          </cell>
          <cell r="AY200">
            <v>147.54288771672486</v>
          </cell>
          <cell r="AZ200">
            <v>0</v>
          </cell>
          <cell r="BB200">
            <v>216.4953644508474</v>
          </cell>
          <cell r="BC200">
            <v>0</v>
          </cell>
          <cell r="BE200">
            <v>57.544955533841751</v>
          </cell>
          <cell r="BF200">
            <v>0</v>
          </cell>
          <cell r="BH200">
            <v>114.23216904794364</v>
          </cell>
          <cell r="BI200">
            <v>0</v>
          </cell>
          <cell r="BK200">
            <v>75.197898812150427</v>
          </cell>
          <cell r="BL200">
            <v>616</v>
          </cell>
          <cell r="BN200">
            <v>98.612223391799574</v>
          </cell>
          <cell r="BO200">
            <v>0</v>
          </cell>
          <cell r="BT200">
            <v>12150.573642261808</v>
          </cell>
          <cell r="BU200">
            <v>8785.307465851778</v>
          </cell>
          <cell r="BW200">
            <v>6138.0025138061746</v>
          </cell>
          <cell r="BX200">
            <v>7677.7674545695263</v>
          </cell>
          <cell r="BZ200">
            <v>2596.7809044302167</v>
          </cell>
          <cell r="CA200">
            <v>8245.669728971623</v>
          </cell>
          <cell r="CC200">
            <v>300.0151892687083</v>
          </cell>
          <cell r="CD200">
            <v>298.7839206602099</v>
          </cell>
          <cell r="CF200">
            <v>36.933688072852341</v>
          </cell>
          <cell r="CG200">
            <v>0</v>
          </cell>
          <cell r="CI200">
            <v>5761.8781670456456</v>
          </cell>
          <cell r="CJ200">
            <v>2977.8257265328061</v>
          </cell>
          <cell r="CL200">
            <v>1235.3566616946807</v>
          </cell>
          <cell r="CM200">
            <v>759.5938685036075</v>
          </cell>
          <cell r="CX200">
            <v>1875.1003751152894</v>
          </cell>
          <cell r="CY200">
            <v>18438.330821760843</v>
          </cell>
        </row>
        <row r="201">
          <cell r="I201">
            <v>239.78116175653739</v>
          </cell>
          <cell r="J201">
            <v>292.52668300530388</v>
          </cell>
          <cell r="L201">
            <v>89.70629529285317</v>
          </cell>
          <cell r="M201">
            <v>109.81557875205803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X201">
            <v>197.78281885877576</v>
          </cell>
          <cell r="Y201">
            <v>163.9706017781501</v>
          </cell>
          <cell r="AA201">
            <v>0</v>
          </cell>
          <cell r="AB201">
            <v>0</v>
          </cell>
          <cell r="AD201">
            <v>288.26230919683798</v>
          </cell>
          <cell r="AE201">
            <v>269.44527387254448</v>
          </cell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118.37720536170622</v>
          </cell>
          <cell r="AQ201">
            <v>0</v>
          </cell>
          <cell r="AS201">
            <v>1154.3966077777561</v>
          </cell>
          <cell r="AT201">
            <v>0</v>
          </cell>
          <cell r="AV201">
            <v>53.23428105407536</v>
          </cell>
          <cell r="AW201">
            <v>0</v>
          </cell>
          <cell r="AY201">
            <v>115.64329743466799</v>
          </cell>
          <cell r="AZ201">
            <v>0</v>
          </cell>
          <cell r="BB201">
            <v>0</v>
          </cell>
          <cell r="BC201">
            <v>0</v>
          </cell>
          <cell r="BE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19.771277081972755</v>
          </cell>
          <cell r="BL201">
            <v>0</v>
          </cell>
          <cell r="BN201">
            <v>0</v>
          </cell>
          <cell r="BO201">
            <v>0</v>
          </cell>
          <cell r="BT201">
            <v>1381.4348106070515</v>
          </cell>
          <cell r="BU201">
            <v>986.70573988747981</v>
          </cell>
          <cell r="BW201">
            <v>358.66164288679494</v>
          </cell>
          <cell r="BX201">
            <v>1056.2243139161806</v>
          </cell>
          <cell r="BZ201">
            <v>272.97036188200735</v>
          </cell>
          <cell r="CA201">
            <v>924.95588692864294</v>
          </cell>
          <cell r="CC201">
            <v>0</v>
          </cell>
          <cell r="CD201">
            <v>0</v>
          </cell>
          <cell r="CF201">
            <v>0</v>
          </cell>
          <cell r="CG201">
            <v>0</v>
          </cell>
          <cell r="CI201">
            <v>68.630925649704494</v>
          </cell>
          <cell r="CJ201">
            <v>31.070947125420005</v>
          </cell>
          <cell r="CL201">
            <v>0</v>
          </cell>
          <cell r="CM201">
            <v>0</v>
          </cell>
          <cell r="CX201">
            <v>-2.3593808889017964E-2</v>
          </cell>
          <cell r="CY201">
            <v>628.70196968106416</v>
          </cell>
        </row>
        <row r="202">
          <cell r="I202">
            <v>3427.9988989078552</v>
          </cell>
          <cell r="J202">
            <v>3405.949881311657</v>
          </cell>
          <cell r="L202">
            <v>587.84829855846283</v>
          </cell>
          <cell r="M202">
            <v>588.13512277680866</v>
          </cell>
          <cell r="O202">
            <v>2003.2</v>
          </cell>
          <cell r="P202">
            <v>2003.2</v>
          </cell>
          <cell r="R202">
            <v>390.18</v>
          </cell>
          <cell r="S202">
            <v>390.18</v>
          </cell>
          <cell r="U202">
            <v>195.03873136964788</v>
          </cell>
          <cell r="V202">
            <v>97.646191727206357</v>
          </cell>
          <cell r="X202">
            <v>2605.4494085979932</v>
          </cell>
          <cell r="Y202">
            <v>1442.5326193154251</v>
          </cell>
          <cell r="AA202">
            <v>0</v>
          </cell>
          <cell r="AB202">
            <v>0</v>
          </cell>
          <cell r="AD202">
            <v>5309.7347243186468</v>
          </cell>
          <cell r="AE202">
            <v>4962.7869856624202</v>
          </cell>
          <cell r="AJ202">
            <v>14116.222702204675</v>
          </cell>
          <cell r="AK202">
            <v>14058.261691835403</v>
          </cell>
          <cell r="AM202">
            <v>0</v>
          </cell>
          <cell r="AN202">
            <v>0</v>
          </cell>
          <cell r="AP202">
            <v>947.01764289364974</v>
          </cell>
          <cell r="AQ202">
            <v>0</v>
          </cell>
          <cell r="AS202">
            <v>19849.94132568179</v>
          </cell>
          <cell r="AT202">
            <v>1095</v>
          </cell>
          <cell r="AV202">
            <v>285.32250723809909</v>
          </cell>
          <cell r="AW202">
            <v>939</v>
          </cell>
          <cell r="AY202">
            <v>390.32326750718556</v>
          </cell>
          <cell r="AZ202">
            <v>0</v>
          </cell>
          <cell r="BB202">
            <v>487.49537740688345</v>
          </cell>
          <cell r="BC202">
            <v>0</v>
          </cell>
          <cell r="BE202">
            <v>200.76067396593027</v>
          </cell>
          <cell r="BF202">
            <v>0</v>
          </cell>
          <cell r="BH202">
            <v>98.941812127749259</v>
          </cell>
          <cell r="BI202">
            <v>0</v>
          </cell>
          <cell r="BK202">
            <v>320.3263120897879</v>
          </cell>
          <cell r="BL202">
            <v>2392</v>
          </cell>
          <cell r="BN202">
            <v>143.02162076665977</v>
          </cell>
          <cell r="BO202">
            <v>0</v>
          </cell>
          <cell r="BT202">
            <v>17471.169404994558</v>
          </cell>
          <cell r="BU202">
            <v>10589.143140141879</v>
          </cell>
          <cell r="BW202">
            <v>9798.5500390698744</v>
          </cell>
          <cell r="BX202">
            <v>10002.08905708489</v>
          </cell>
          <cell r="BZ202">
            <v>2596.7809044302167</v>
          </cell>
          <cell r="CA202">
            <v>11195.989138261717</v>
          </cell>
          <cell r="CC202">
            <v>381.58794661235697</v>
          </cell>
          <cell r="CD202">
            <v>380.02190170246303</v>
          </cell>
          <cell r="CF202">
            <v>46.975788882203041</v>
          </cell>
          <cell r="CG202">
            <v>0</v>
          </cell>
          <cell r="CI202">
            <v>4894.6328338357434</v>
          </cell>
          <cell r="CJ202">
            <v>3274.4931763767445</v>
          </cell>
          <cell r="CL202">
            <v>2779.5524888130321</v>
          </cell>
          <cell r="CM202">
            <v>1960.3170572559522</v>
          </cell>
          <cell r="CX202">
            <v>2694.0927476724028</v>
          </cell>
          <cell r="CY202">
            <v>27355.684843856921</v>
          </cell>
        </row>
        <row r="203">
          <cell r="I203">
            <v>1684.5663027301821</v>
          </cell>
          <cell r="J203">
            <v>1759.3694703734805</v>
          </cell>
          <cell r="L203">
            <v>469.78543785590898</v>
          </cell>
          <cell r="M203">
            <v>470.01469627280869</v>
          </cell>
          <cell r="O203">
            <v>1636</v>
          </cell>
          <cell r="P203">
            <v>1636</v>
          </cell>
          <cell r="R203">
            <v>301.92</v>
          </cell>
          <cell r="S203">
            <v>301.92</v>
          </cell>
          <cell r="U203">
            <v>181.72735309855759</v>
          </cell>
          <cell r="V203">
            <v>116.5560627371426</v>
          </cell>
          <cell r="X203">
            <v>2141.9062526719076</v>
          </cell>
          <cell r="Y203">
            <v>1169.8325743974538</v>
          </cell>
          <cell r="AA203">
            <v>0</v>
          </cell>
          <cell r="AB203">
            <v>0</v>
          </cell>
          <cell r="AD203">
            <v>4361.3837957975484</v>
          </cell>
          <cell r="AE203">
            <v>4074.5140780468569</v>
          </cell>
          <cell r="AJ203">
            <v>8948.3808490861302</v>
          </cell>
          <cell r="AK203">
            <v>8911.6309881081834</v>
          </cell>
          <cell r="AM203">
            <v>789.21107943546565</v>
          </cell>
          <cell r="AN203">
            <v>0</v>
          </cell>
          <cell r="AP203">
            <v>804.96499645960228</v>
          </cell>
          <cell r="AQ203">
            <v>0</v>
          </cell>
          <cell r="AS203">
            <v>19449.217537715067</v>
          </cell>
          <cell r="AT203">
            <v>122472</v>
          </cell>
          <cell r="AV203">
            <v>86.443035780007833</v>
          </cell>
          <cell r="AW203">
            <v>0</v>
          </cell>
          <cell r="AY203">
            <v>120.14218698074031</v>
          </cell>
          <cell r="AZ203">
            <v>0</v>
          </cell>
          <cell r="BB203">
            <v>76.741518410294219</v>
          </cell>
          <cell r="BC203">
            <v>0</v>
          </cell>
          <cell r="BE203">
            <v>71.32701187536864</v>
          </cell>
          <cell r="BF203">
            <v>0</v>
          </cell>
          <cell r="BH203">
            <v>55.319784965168807</v>
          </cell>
          <cell r="BI203">
            <v>0</v>
          </cell>
          <cell r="BK203">
            <v>114.19426926644365</v>
          </cell>
          <cell r="BL203">
            <v>5212</v>
          </cell>
          <cell r="BN203">
            <v>180.65516284184937</v>
          </cell>
          <cell r="BO203">
            <v>0</v>
          </cell>
          <cell r="BT203">
            <v>12181.296074819107</v>
          </cell>
          <cell r="BU203">
            <v>8514.2893173454449</v>
          </cell>
          <cell r="BW203">
            <v>8868.0551148426694</v>
          </cell>
          <cell r="BX203">
            <v>10660.336034916734</v>
          </cell>
          <cell r="BZ203">
            <v>1514.7888609176264</v>
          </cell>
          <cell r="CA203">
            <v>9115.0314575902776</v>
          </cell>
          <cell r="CC203">
            <v>303.54477973069311</v>
          </cell>
          <cell r="CD203">
            <v>302.29902560915355</v>
          </cell>
          <cell r="CF203">
            <v>37.368202050180017</v>
          </cell>
          <cell r="CG203">
            <v>0</v>
          </cell>
          <cell r="CI203">
            <v>2263.5727114284355</v>
          </cell>
          <cell r="CJ203">
            <v>3451.652244575168</v>
          </cell>
          <cell r="CL203">
            <v>1506.7607767639668</v>
          </cell>
          <cell r="CM203">
            <v>1408.9294346920447</v>
          </cell>
          <cell r="CX203">
            <v>1959.5722853725019</v>
          </cell>
          <cell r="CY203">
            <v>-131752.95046159771</v>
          </cell>
        </row>
        <row r="204">
          <cell r="I204">
            <v>1330.4224455269668</v>
          </cell>
          <cell r="J204">
            <v>1294.5181024453061</v>
          </cell>
          <cell r="L204">
            <v>200.32194683700277</v>
          </cell>
          <cell r="M204">
            <v>227.23401535675558</v>
          </cell>
          <cell r="O204">
            <v>526.67999999999995</v>
          </cell>
          <cell r="P204">
            <v>526.67999999999995</v>
          </cell>
          <cell r="R204">
            <v>123.12</v>
          </cell>
          <cell r="S204">
            <v>123.12</v>
          </cell>
          <cell r="U204">
            <v>65.029090713311319</v>
          </cell>
          <cell r="V204">
            <v>51.388968009689791</v>
          </cell>
          <cell r="X204">
            <v>361.52046946747163</v>
          </cell>
          <cell r="Y204">
            <v>222.85024686880166</v>
          </cell>
          <cell r="AA204">
            <v>0</v>
          </cell>
          <cell r="AB204">
            <v>0</v>
          </cell>
          <cell r="AD204">
            <v>1542.0216313629221</v>
          </cell>
          <cell r="AE204">
            <v>1441.362354785882</v>
          </cell>
          <cell r="AJ204">
            <v>2873.920011581376</v>
          </cell>
          <cell r="AK204">
            <v>2862.1253837752947</v>
          </cell>
          <cell r="AM204">
            <v>263.07035981182185</v>
          </cell>
          <cell r="AN204">
            <v>262.02400053441977</v>
          </cell>
          <cell r="AP204">
            <v>284.10529286809492</v>
          </cell>
          <cell r="AQ204">
            <v>1651.0283808087293</v>
          </cell>
          <cell r="AS204">
            <v>5461.3657630380385</v>
          </cell>
          <cell r="AT204">
            <v>1310.3216873758518</v>
          </cell>
          <cell r="AV204">
            <v>106.46004484722503</v>
          </cell>
          <cell r="AW204">
            <v>0</v>
          </cell>
          <cell r="AY204">
            <v>132.91597242587608</v>
          </cell>
          <cell r="AZ204">
            <v>0</v>
          </cell>
          <cell r="BB204">
            <v>96.496044322568451</v>
          </cell>
          <cell r="BC204">
            <v>0</v>
          </cell>
          <cell r="BE204">
            <v>68.311243232300868</v>
          </cell>
          <cell r="BF204">
            <v>0</v>
          </cell>
          <cell r="BH204">
            <v>32.980617657691397</v>
          </cell>
          <cell r="BI204">
            <v>0</v>
          </cell>
          <cell r="BK204">
            <v>43.626293285779226</v>
          </cell>
          <cell r="BL204">
            <v>0</v>
          </cell>
          <cell r="BN204">
            <v>38.465579168771882</v>
          </cell>
          <cell r="BO204">
            <v>0</v>
          </cell>
          <cell r="BT204">
            <v>5111.3809466259045</v>
          </cell>
          <cell r="BU204">
            <v>4044.169332533058</v>
          </cell>
          <cell r="BW204">
            <v>3063.4321930426122</v>
          </cell>
          <cell r="BX204">
            <v>4403.7440139974751</v>
          </cell>
          <cell r="BZ204">
            <v>1168.5514069935975</v>
          </cell>
          <cell r="CA204">
            <v>3614.1110755082541</v>
          </cell>
          <cell r="CC204">
            <v>130.15364828568963</v>
          </cell>
          <cell r="CD204">
            <v>129.61949499229695</v>
          </cell>
          <cell r="CF204">
            <v>16.022702913958003</v>
          </cell>
          <cell r="CG204">
            <v>0</v>
          </cell>
          <cell r="CI204">
            <v>739.34224449908925</v>
          </cell>
          <cell r="CJ204">
            <v>967.70400345525081</v>
          </cell>
          <cell r="CL204">
            <v>658.23296873125662</v>
          </cell>
          <cell r="CM204">
            <v>570.11307364821482</v>
          </cell>
          <cell r="CX204">
            <v>438.80129931281044</v>
          </cell>
          <cell r="CY204">
            <v>1321.8030390856638</v>
          </cell>
        </row>
        <row r="205">
          <cell r="I205">
            <v>2627.7766471040031</v>
          </cell>
          <cell r="J205">
            <v>2559.1490944778698</v>
          </cell>
          <cell r="L205">
            <v>400.64389367400554</v>
          </cell>
          <cell r="M205">
            <v>454.46814170701577</v>
          </cell>
          <cell r="O205">
            <v>1070.02</v>
          </cell>
          <cell r="P205">
            <v>1070.02</v>
          </cell>
          <cell r="R205">
            <v>235.44</v>
          </cell>
          <cell r="S205">
            <v>235.44</v>
          </cell>
          <cell r="U205">
            <v>130.00964065633656</v>
          </cell>
          <cell r="V205">
            <v>75.94516079373193</v>
          </cell>
          <cell r="X205">
            <v>1174.6791043787337</v>
          </cell>
          <cell r="Y205">
            <v>595.17430171782598</v>
          </cell>
          <cell r="AA205">
            <v>0</v>
          </cell>
          <cell r="AB205">
            <v>0</v>
          </cell>
          <cell r="AD205">
            <v>3074.3228723736938</v>
          </cell>
          <cell r="AE205">
            <v>2873.0101698243834</v>
          </cell>
          <cell r="AJ205">
            <v>6139.7493479442464</v>
          </cell>
          <cell r="AK205">
            <v>6114.5461422860863</v>
          </cell>
          <cell r="AM205">
            <v>526.14071962364369</v>
          </cell>
          <cell r="AN205">
            <v>524.04800106883954</v>
          </cell>
          <cell r="AP205">
            <v>568.21058573618984</v>
          </cell>
          <cell r="AQ205">
            <v>3302.0567616174585</v>
          </cell>
          <cell r="AS205">
            <v>10155.214744297535</v>
          </cell>
          <cell r="AT205">
            <v>3722.7162750977491</v>
          </cell>
          <cell r="AV205">
            <v>165.41116391265822</v>
          </cell>
          <cell r="AW205">
            <v>614</v>
          </cell>
          <cell r="AY205">
            <v>212.66555588140139</v>
          </cell>
          <cell r="AZ205">
            <v>1459</v>
          </cell>
          <cell r="BB205">
            <v>158.75959729993374</v>
          </cell>
          <cell r="BC205">
            <v>0</v>
          </cell>
          <cell r="BE205">
            <v>94.310142601773379</v>
          </cell>
          <cell r="BF205">
            <v>0</v>
          </cell>
          <cell r="BH205">
            <v>52.768988252306244</v>
          </cell>
          <cell r="BI205">
            <v>0</v>
          </cell>
          <cell r="BK205">
            <v>78.040883527025315</v>
          </cell>
          <cell r="BL205">
            <v>4180</v>
          </cell>
          <cell r="BN205">
            <v>79.878797055444863</v>
          </cell>
          <cell r="BO205">
            <v>0</v>
          </cell>
          <cell r="BT205">
            <v>9832.0320414307116</v>
          </cell>
          <cell r="BU205">
            <v>7232.4349116666581</v>
          </cell>
          <cell r="BW205">
            <v>6116.0004807725318</v>
          </cell>
          <cell r="BX205">
            <v>8797.2162856254945</v>
          </cell>
          <cell r="BZ205">
            <v>2293.8231322466918</v>
          </cell>
          <cell r="CA205">
            <v>8206.9571542642425</v>
          </cell>
          <cell r="CC205">
            <v>242.6593442614552</v>
          </cell>
          <cell r="CD205">
            <v>241.66346523987562</v>
          </cell>
          <cell r="CF205">
            <v>29.872835941277629</v>
          </cell>
          <cell r="CG205">
            <v>0</v>
          </cell>
          <cell r="CI205">
            <v>1469.3257264095823</v>
          </cell>
          <cell r="CJ205">
            <v>1927.6405284920174</v>
          </cell>
          <cell r="CL205">
            <v>1310.2267624034496</v>
          </cell>
          <cell r="CM205">
            <v>1135.5654535550425</v>
          </cell>
          <cell r="CX205">
            <v>842.82039065845311</v>
          </cell>
          <cell r="CY205">
            <v>-7656.8622169211449</v>
          </cell>
        </row>
        <row r="206">
          <cell r="I206">
            <v>1330.4224455269668</v>
          </cell>
          <cell r="J206">
            <v>1293.6241252512159</v>
          </cell>
          <cell r="L206">
            <v>200.32194683700277</v>
          </cell>
          <cell r="M206">
            <v>236.32457409867143</v>
          </cell>
          <cell r="O206">
            <v>526.22</v>
          </cell>
          <cell r="P206">
            <v>526.22</v>
          </cell>
          <cell r="R206">
            <v>116.72</v>
          </cell>
          <cell r="S206">
            <v>116.72</v>
          </cell>
          <cell r="U206">
            <v>65.029090713311319</v>
          </cell>
          <cell r="V206">
            <v>24.574824189796331</v>
          </cell>
          <cell r="X206">
            <v>361.52046946747163</v>
          </cell>
          <cell r="Y206">
            <v>222.83978048310695</v>
          </cell>
          <cell r="AA206">
            <v>0</v>
          </cell>
          <cell r="AB206">
            <v>0</v>
          </cell>
          <cell r="AD206">
            <v>1525.5739327318638</v>
          </cell>
          <cell r="AE206">
            <v>1425.9541534183595</v>
          </cell>
          <cell r="AJ206">
            <v>3265.8293363628704</v>
          </cell>
          <cell r="AK206">
            <v>3252.4207585107915</v>
          </cell>
          <cell r="AM206">
            <v>263.07035981182185</v>
          </cell>
          <cell r="AN206">
            <v>262.02400053441977</v>
          </cell>
          <cell r="AP206">
            <v>284.10529286809492</v>
          </cell>
          <cell r="AQ206">
            <v>1698.2006202604073</v>
          </cell>
          <cell r="AS206">
            <v>5865.1706698543385</v>
          </cell>
          <cell r="AT206">
            <v>1154.1709503219979</v>
          </cell>
          <cell r="AV206">
            <v>106.46004484722503</v>
          </cell>
          <cell r="AW206">
            <v>0</v>
          </cell>
          <cell r="AY206">
            <v>132.91597242587608</v>
          </cell>
          <cell r="AZ206">
            <v>0</v>
          </cell>
          <cell r="BB206">
            <v>93.124853889192295</v>
          </cell>
          <cell r="BC206">
            <v>0</v>
          </cell>
          <cell r="BE206">
            <v>64.567014438461243</v>
          </cell>
          <cell r="BF206">
            <v>0</v>
          </cell>
          <cell r="BH206">
            <v>32.980617657691397</v>
          </cell>
          <cell r="BI206">
            <v>0</v>
          </cell>
          <cell r="BK206">
            <v>43.626293285779226</v>
          </cell>
          <cell r="BL206">
            <v>3451</v>
          </cell>
          <cell r="BN206">
            <v>27.907064838681809</v>
          </cell>
          <cell r="BO206">
            <v>0</v>
          </cell>
          <cell r="BT206">
            <v>5625.827936020507</v>
          </cell>
          <cell r="BU206">
            <v>4232.1651271935643</v>
          </cell>
          <cell r="BW206">
            <v>3058.1566772653482</v>
          </cell>
          <cell r="BX206">
            <v>4430.1464381482037</v>
          </cell>
          <cell r="BZ206">
            <v>1168.5514069935975</v>
          </cell>
          <cell r="CA206">
            <v>3852.7993906024471</v>
          </cell>
          <cell r="CC206">
            <v>119.31976645098626</v>
          </cell>
          <cell r="CD206">
            <v>118.83007563512268</v>
          </cell>
          <cell r="CF206">
            <v>14.688986400216113</v>
          </cell>
          <cell r="CG206">
            <v>0</v>
          </cell>
          <cell r="CI206">
            <v>733.10306944002537</v>
          </cell>
          <cell r="CJ206">
            <v>961.49043410105742</v>
          </cell>
          <cell r="CL206">
            <v>651.99379367219262</v>
          </cell>
          <cell r="CM206">
            <v>565.45237990682767</v>
          </cell>
          <cell r="CX206">
            <v>460.69154984057604</v>
          </cell>
          <cell r="CY206">
            <v>-2116.6091591871864</v>
          </cell>
        </row>
        <row r="207">
          <cell r="I207">
            <v>475.15131827153402</v>
          </cell>
          <cell r="J207">
            <v>576.80309208201174</v>
          </cell>
          <cell r="L207">
            <v>118.60538669394019</v>
          </cell>
          <cell r="M207">
            <v>145.19321984535435</v>
          </cell>
          <cell r="O207">
            <v>150.72</v>
          </cell>
          <cell r="P207">
            <v>150.72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>
            <v>201.19626340407379</v>
          </cell>
          <cell r="Y207">
            <v>166.80105254001182</v>
          </cell>
          <cell r="AA207">
            <v>0</v>
          </cell>
          <cell r="AB207">
            <v>0</v>
          </cell>
          <cell r="AD207">
            <v>429.64980522811771</v>
          </cell>
          <cell r="AE207">
            <v>420.30398719627527</v>
          </cell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P207">
            <v>189.40352857872995</v>
          </cell>
          <cell r="AQ207">
            <v>566.06687342013572</v>
          </cell>
          <cell r="AS207">
            <v>1309.0255373683758</v>
          </cell>
          <cell r="AT207">
            <v>0</v>
          </cell>
          <cell r="AV207">
            <v>91.656095609273535</v>
          </cell>
          <cell r="AW207">
            <v>0</v>
          </cell>
          <cell r="AY207">
            <v>152.88656391485003</v>
          </cell>
          <cell r="AZ207">
            <v>0</v>
          </cell>
          <cell r="BB207">
            <v>77.57745813108339</v>
          </cell>
          <cell r="BC207">
            <v>0</v>
          </cell>
          <cell r="BE207">
            <v>0</v>
          </cell>
          <cell r="BF207">
            <v>0</v>
          </cell>
          <cell r="BH207">
            <v>0</v>
          </cell>
          <cell r="BI207">
            <v>0</v>
          </cell>
          <cell r="BK207">
            <v>19.771301113804686</v>
          </cell>
          <cell r="BL207">
            <v>9709</v>
          </cell>
          <cell r="BN207">
            <v>0</v>
          </cell>
          <cell r="BO207">
            <v>0</v>
          </cell>
          <cell r="BT207">
            <v>961.88578290139924</v>
          </cell>
          <cell r="BU207">
            <v>931.48938149169715</v>
          </cell>
          <cell r="BW207">
            <v>995.29916758668571</v>
          </cell>
          <cell r="BX207">
            <v>1910.6664374323313</v>
          </cell>
          <cell r="BZ207">
            <v>312.66796202606071</v>
          </cell>
          <cell r="CA207">
            <v>875.30391980352908</v>
          </cell>
          <cell r="CC207">
            <v>100.00506308956942</v>
          </cell>
          <cell r="CD207">
            <v>99.594640220069962</v>
          </cell>
          <cell r="CF207">
            <v>12.311229357617446</v>
          </cell>
          <cell r="CG207">
            <v>0</v>
          </cell>
          <cell r="CI207">
            <v>174.69690165379325</v>
          </cell>
          <cell r="CJ207">
            <v>68.34719599315747</v>
          </cell>
          <cell r="CL207">
            <v>0</v>
          </cell>
          <cell r="CM207">
            <v>0</v>
          </cell>
          <cell r="CX207">
            <v>-22.631237914692065</v>
          </cell>
          <cell r="CY207">
            <v>-11839.967760029487</v>
          </cell>
        </row>
        <row r="208">
          <cell r="I208">
            <v>1330.422118764367</v>
          </cell>
          <cell r="J208">
            <v>1293.4215893391936</v>
          </cell>
          <cell r="L208">
            <v>200.32194683700277</v>
          </cell>
          <cell r="M208">
            <v>236.32457409867143</v>
          </cell>
          <cell r="O208">
            <v>517.46</v>
          </cell>
          <cell r="P208">
            <v>517.46</v>
          </cell>
          <cell r="R208">
            <v>116.24</v>
          </cell>
          <cell r="S208">
            <v>116.24</v>
          </cell>
          <cell r="U208">
            <v>65.029090713311319</v>
          </cell>
          <cell r="V208">
            <v>24.574824189796331</v>
          </cell>
          <cell r="X208">
            <v>361.52046946747163</v>
          </cell>
          <cell r="Y208">
            <v>436.77264564928527</v>
          </cell>
          <cell r="AA208">
            <v>0</v>
          </cell>
          <cell r="AB208">
            <v>0</v>
          </cell>
          <cell r="AD208">
            <v>1521.5546510906522</v>
          </cell>
          <cell r="AE208">
            <v>1422.2314072812603</v>
          </cell>
          <cell r="AJ208">
            <v>2873.920011581376</v>
          </cell>
          <cell r="AK208">
            <v>2862.1253837752947</v>
          </cell>
          <cell r="AM208">
            <v>263.07035981182185</v>
          </cell>
          <cell r="AN208">
            <v>0</v>
          </cell>
          <cell r="AP208">
            <v>284.10529286809492</v>
          </cell>
          <cell r="AQ208">
            <v>0</v>
          </cell>
          <cell r="AS208">
            <v>5485.2675711898219</v>
          </cell>
          <cell r="AT208">
            <v>22539.3367602576</v>
          </cell>
          <cell r="AV208">
            <v>106.46004484722503</v>
          </cell>
          <cell r="AW208">
            <v>0</v>
          </cell>
          <cell r="AY208">
            <v>132.91597242587608</v>
          </cell>
          <cell r="AZ208">
            <v>0</v>
          </cell>
          <cell r="BB208">
            <v>91.344582835785587</v>
          </cell>
          <cell r="BC208">
            <v>0</v>
          </cell>
          <cell r="BE208">
            <v>59.813520908187947</v>
          </cell>
          <cell r="BF208">
            <v>0</v>
          </cell>
          <cell r="BH208">
            <v>32.980617657691397</v>
          </cell>
          <cell r="BI208">
            <v>0</v>
          </cell>
          <cell r="BK208">
            <v>43.626293285779226</v>
          </cell>
          <cell r="BL208">
            <v>0</v>
          </cell>
          <cell r="BN208">
            <v>51.805042814282956</v>
          </cell>
          <cell r="BO208">
            <v>0</v>
          </cell>
          <cell r="BT208">
            <v>5877.6616319760251</v>
          </cell>
          <cell r="BU208">
            <v>4128.2880256049266</v>
          </cell>
          <cell r="BW208">
            <v>3000.9409824985819</v>
          </cell>
          <cell r="BX208">
            <v>4373.5599615749943</v>
          </cell>
          <cell r="BZ208">
            <v>1168.5514069935975</v>
          </cell>
          <cell r="CA208">
            <v>3938.0362065770237</v>
          </cell>
          <cell r="CC208">
            <v>118.19225838674112</v>
          </cell>
          <cell r="CD208">
            <v>117.70719488754347</v>
          </cell>
          <cell r="CF208">
            <v>14.550183324125326</v>
          </cell>
          <cell r="CG208">
            <v>0</v>
          </cell>
          <cell r="CI208">
            <v>46.793812942980331</v>
          </cell>
          <cell r="CJ208">
            <v>478.45207443327644</v>
          </cell>
          <cell r="CL208">
            <v>1254.0741868718731</v>
          </cell>
          <cell r="CM208">
            <v>413.19926169940186</v>
          </cell>
          <cell r="CX208">
            <v>754.11353988880001</v>
          </cell>
          <cell r="CY208">
            <v>-20700.81589124192</v>
          </cell>
        </row>
        <row r="209">
          <cell r="I209">
            <v>2618.1248781662448</v>
          </cell>
          <cell r="J209">
            <v>2551.593198389975</v>
          </cell>
          <cell r="L209">
            <v>400.64389367400554</v>
          </cell>
          <cell r="M209">
            <v>436.74444563553357</v>
          </cell>
          <cell r="O209">
            <v>1085.26</v>
          </cell>
          <cell r="P209">
            <v>1085.26</v>
          </cell>
          <cell r="R209">
            <v>234.48</v>
          </cell>
          <cell r="S209">
            <v>234.48</v>
          </cell>
          <cell r="U209">
            <v>130.00964065633656</v>
          </cell>
          <cell r="V209">
            <v>49.13101697383847</v>
          </cell>
          <cell r="X209">
            <v>1551.8619205973914</v>
          </cell>
          <cell r="Y209">
            <v>629.25951039050483</v>
          </cell>
          <cell r="AA209">
            <v>0</v>
          </cell>
          <cell r="AB209">
            <v>0</v>
          </cell>
          <cell r="AD209">
            <v>3099.9065977140308</v>
          </cell>
          <cell r="AE209">
            <v>2896.8008531770665</v>
          </cell>
          <cell r="AJ209">
            <v>5747.840023162752</v>
          </cell>
          <cell r="AK209">
            <v>5724.2507675505894</v>
          </cell>
          <cell r="AM209">
            <v>526.14071962364369</v>
          </cell>
          <cell r="AN209">
            <v>524.04800106883954</v>
          </cell>
          <cell r="AP209">
            <v>560.31877204540945</v>
          </cell>
          <cell r="AQ209">
            <v>0</v>
          </cell>
          <cell r="AS209">
            <v>9864.4201277499997</v>
          </cell>
          <cell r="AT209">
            <v>2213.6009176168636</v>
          </cell>
          <cell r="AV209">
            <v>206.48060014236324</v>
          </cell>
          <cell r="AW209">
            <v>0</v>
          </cell>
          <cell r="AY209">
            <v>265.8319448517517</v>
          </cell>
          <cell r="AZ209">
            <v>0</v>
          </cell>
          <cell r="BB209">
            <v>201.92473535792897</v>
          </cell>
          <cell r="BC209">
            <v>0</v>
          </cell>
          <cell r="BE209">
            <v>110.15949442599425</v>
          </cell>
          <cell r="BF209">
            <v>0</v>
          </cell>
          <cell r="BH209">
            <v>65.961235315382794</v>
          </cell>
          <cell r="BI209">
            <v>0</v>
          </cell>
          <cell r="BK209">
            <v>97.681528674260917</v>
          </cell>
          <cell r="BL209">
            <v>0</v>
          </cell>
          <cell r="BN209">
            <v>55.195831147079431</v>
          </cell>
          <cell r="BO209">
            <v>0</v>
          </cell>
          <cell r="BT209">
            <v>8986.7021064876772</v>
          </cell>
          <cell r="BU209">
            <v>6788.8973628375879</v>
          </cell>
          <cell r="BW209">
            <v>6001.8365519769541</v>
          </cell>
          <cell r="BX209">
            <v>6857.1922652269532</v>
          </cell>
          <cell r="BZ209">
            <v>2596.7809044302167</v>
          </cell>
          <cell r="CA209">
            <v>7847.879054602613</v>
          </cell>
          <cell r="CC209">
            <v>234.57069945274003</v>
          </cell>
          <cell r="CD209">
            <v>233.6080163985464</v>
          </cell>
          <cell r="CF209">
            <v>28.877074743235045</v>
          </cell>
          <cell r="CG209">
            <v>0</v>
          </cell>
          <cell r="CI209">
            <v>93.587625885960662</v>
          </cell>
          <cell r="CJ209">
            <v>939.81631641677905</v>
          </cell>
          <cell r="CL209">
            <v>2551.8225991571944</v>
          </cell>
          <cell r="CM209">
            <v>809.31069094902989</v>
          </cell>
          <cell r="CX209">
            <v>1389.4165934737393</v>
          </cell>
          <cell r="CY209">
            <v>10382.873099318342</v>
          </cell>
        </row>
        <row r="210">
          <cell r="I210">
            <v>1330.422118764367</v>
          </cell>
          <cell r="J210">
            <v>1293.2806302795445</v>
          </cell>
          <cell r="L210">
            <v>200.32194683700277</v>
          </cell>
          <cell r="M210">
            <v>200.41987153686213</v>
          </cell>
          <cell r="O210">
            <v>527.55999999999995</v>
          </cell>
          <cell r="P210">
            <v>527.55999999999995</v>
          </cell>
          <cell r="R210">
            <v>116.2</v>
          </cell>
          <cell r="S210">
            <v>116.2</v>
          </cell>
          <cell r="U210">
            <v>65.029090713311319</v>
          </cell>
          <cell r="V210">
            <v>24.574824189796331</v>
          </cell>
          <cell r="X210">
            <v>361.52046946747163</v>
          </cell>
          <cell r="Y210">
            <v>222.8357589589769</v>
          </cell>
          <cell r="AA210">
            <v>0</v>
          </cell>
          <cell r="AB210">
            <v>0</v>
          </cell>
          <cell r="AD210">
            <v>1519.2385756768333</v>
          </cell>
          <cell r="AE210">
            <v>1419.998185514994</v>
          </cell>
          <cell r="AJ210">
            <v>2873.920011581376</v>
          </cell>
          <cell r="AK210">
            <v>2862.1253837752947</v>
          </cell>
          <cell r="AM210">
            <v>263.07035981182185</v>
          </cell>
          <cell r="AN210">
            <v>0</v>
          </cell>
          <cell r="AP210">
            <v>284.10529286809492</v>
          </cell>
          <cell r="AQ210">
            <v>0</v>
          </cell>
          <cell r="AS210">
            <v>4976.1432389686479</v>
          </cell>
          <cell r="AT210">
            <v>225.82199753099744</v>
          </cell>
          <cell r="AV210">
            <v>42.584017938890014</v>
          </cell>
          <cell r="AW210">
            <v>0</v>
          </cell>
          <cell r="AY210">
            <v>53.16638897035044</v>
          </cell>
          <cell r="AZ210">
            <v>0</v>
          </cell>
          <cell r="BB210">
            <v>44.006444341695001</v>
          </cell>
          <cell r="BC210">
            <v>0</v>
          </cell>
          <cell r="BE210">
            <v>23.588891810124462</v>
          </cell>
          <cell r="BF210">
            <v>0</v>
          </cell>
          <cell r="BH210">
            <v>13.192247063076561</v>
          </cell>
          <cell r="BI210">
            <v>0</v>
          </cell>
          <cell r="BK210">
            <v>17.450517314311693</v>
          </cell>
          <cell r="BL210">
            <v>0</v>
          </cell>
          <cell r="BN210">
            <v>27.907064838681809</v>
          </cell>
          <cell r="BO210">
            <v>0</v>
          </cell>
          <cell r="BT210">
            <v>5863.2433549948337</v>
          </cell>
          <cell r="BU210">
            <v>4099.6319451938516</v>
          </cell>
          <cell r="BW210">
            <v>3003.260001538195</v>
          </cell>
          <cell r="BX210">
            <v>3429.5833627862821</v>
          </cell>
          <cell r="BZ210">
            <v>1168.5514069935975</v>
          </cell>
          <cell r="CA210">
            <v>3928.9889045683831</v>
          </cell>
          <cell r="CC210">
            <v>123.5356661694681</v>
          </cell>
          <cell r="CD210">
            <v>123.0286732130276</v>
          </cell>
          <cell r="CF210">
            <v>15.207989206468611</v>
          </cell>
          <cell r="CG210">
            <v>0</v>
          </cell>
          <cell r="CI210">
            <v>43.674225413448312</v>
          </cell>
          <cell r="CJ210">
            <v>461.36424198350255</v>
          </cell>
          <cell r="CL210">
            <v>1247.8350118128092</v>
          </cell>
          <cell r="CM210">
            <v>396.11142924962803</v>
          </cell>
          <cell r="CX210">
            <v>723.37880028615109</v>
          </cell>
          <cell r="CY210">
            <v>6571.2297494626364</v>
          </cell>
        </row>
        <row r="211"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>
            <v>0</v>
          </cell>
          <cell r="Y211">
            <v>0</v>
          </cell>
          <cell r="AA211">
            <v>0</v>
          </cell>
          <cell r="AB211">
            <v>0</v>
          </cell>
          <cell r="AD211">
            <v>0</v>
          </cell>
          <cell r="AE211">
            <v>69.942530918707476</v>
          </cell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P211">
            <v>63.134509526243313</v>
          </cell>
          <cell r="AQ211">
            <v>0</v>
          </cell>
          <cell r="AS211">
            <v>262.85744834382518</v>
          </cell>
          <cell r="AT211">
            <v>0</v>
          </cell>
          <cell r="AV211">
            <v>0</v>
          </cell>
          <cell r="AW211">
            <v>0</v>
          </cell>
          <cell r="AY211">
            <v>0</v>
          </cell>
          <cell r="AZ211">
            <v>0</v>
          </cell>
          <cell r="BB211">
            <v>0</v>
          </cell>
          <cell r="BC211">
            <v>0</v>
          </cell>
          <cell r="BE211">
            <v>0</v>
          </cell>
          <cell r="BF211">
            <v>0</v>
          </cell>
          <cell r="BH211">
            <v>0</v>
          </cell>
          <cell r="BI211">
            <v>0</v>
          </cell>
          <cell r="BK211">
            <v>0</v>
          </cell>
          <cell r="BL211">
            <v>0</v>
          </cell>
          <cell r="BN211">
            <v>0</v>
          </cell>
          <cell r="BO211">
            <v>0</v>
          </cell>
          <cell r="BT211">
            <v>28.712412905037006</v>
          </cell>
          <cell r="BU211">
            <v>84.5905327496003</v>
          </cell>
          <cell r="BW211">
            <v>0</v>
          </cell>
          <cell r="BX211">
            <v>0.42082533271525907</v>
          </cell>
          <cell r="BZ211">
            <v>0</v>
          </cell>
          <cell r="CA211">
            <v>95.274915722838841</v>
          </cell>
          <cell r="CC211">
            <v>0</v>
          </cell>
          <cell r="CD211">
            <v>0</v>
          </cell>
          <cell r="CF211">
            <v>0</v>
          </cell>
          <cell r="CG211">
            <v>0</v>
          </cell>
          <cell r="CI211">
            <v>0</v>
          </cell>
          <cell r="CJ211">
            <v>0</v>
          </cell>
          <cell r="CL211">
            <v>0</v>
          </cell>
          <cell r="CM211">
            <v>0</v>
          </cell>
          <cell r="CX211">
            <v>6.3947550698733835</v>
          </cell>
          <cell r="CY211">
            <v>131.76543433136578</v>
          </cell>
        </row>
        <row r="212"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D212">
            <v>0</v>
          </cell>
          <cell r="AE212">
            <v>93.72299143106801</v>
          </cell>
          <cell r="AJ212">
            <v>0</v>
          </cell>
          <cell r="AK212">
            <v>0</v>
          </cell>
          <cell r="AM212">
            <v>0</v>
          </cell>
          <cell r="AN212">
            <v>0</v>
          </cell>
          <cell r="AP212">
            <v>63.134509526243313</v>
          </cell>
          <cell r="AQ212">
            <v>0</v>
          </cell>
          <cell r="AS212">
            <v>293.07518524158934</v>
          </cell>
          <cell r="AT212">
            <v>0</v>
          </cell>
          <cell r="AV212">
            <v>0</v>
          </cell>
          <cell r="AW212">
            <v>0</v>
          </cell>
          <cell r="AY212">
            <v>0</v>
          </cell>
          <cell r="AZ212">
            <v>0</v>
          </cell>
          <cell r="BB212">
            <v>0</v>
          </cell>
          <cell r="BC212">
            <v>0</v>
          </cell>
          <cell r="BE212">
            <v>0</v>
          </cell>
          <cell r="BF212">
            <v>0</v>
          </cell>
          <cell r="BH212">
            <v>0</v>
          </cell>
          <cell r="BI212">
            <v>0</v>
          </cell>
          <cell r="BK212">
            <v>0</v>
          </cell>
          <cell r="BL212">
            <v>0</v>
          </cell>
          <cell r="BN212">
            <v>0</v>
          </cell>
          <cell r="BO212">
            <v>0</v>
          </cell>
          <cell r="BT212">
            <v>175.46474553078173</v>
          </cell>
          <cell r="BU212">
            <v>169.20329107270288</v>
          </cell>
          <cell r="BW212">
            <v>0</v>
          </cell>
          <cell r="BX212">
            <v>0.563905945838447</v>
          </cell>
          <cell r="BZ212">
            <v>0</v>
          </cell>
          <cell r="CA212">
            <v>190.5748642664141</v>
          </cell>
          <cell r="CC212">
            <v>0</v>
          </cell>
          <cell r="CD212">
            <v>0</v>
          </cell>
          <cell r="CF212">
            <v>0</v>
          </cell>
          <cell r="CG212">
            <v>0</v>
          </cell>
          <cell r="CI212">
            <v>0</v>
          </cell>
          <cell r="CJ212">
            <v>0</v>
          </cell>
          <cell r="CL212">
            <v>0</v>
          </cell>
          <cell r="CM212">
            <v>0</v>
          </cell>
          <cell r="CX212">
            <v>9.590671641662766</v>
          </cell>
          <cell r="CY212">
            <v>102.72193674077192</v>
          </cell>
        </row>
        <row r="213">
          <cell r="I213">
            <v>4185.0227164520438</v>
          </cell>
          <cell r="J213">
            <v>4073.623315113633</v>
          </cell>
          <cell r="L213">
            <v>651.96638794602427</v>
          </cell>
          <cell r="M213">
            <v>652.27737609978271</v>
          </cell>
          <cell r="O213">
            <v>1616.44</v>
          </cell>
          <cell r="P213">
            <v>1616.44</v>
          </cell>
          <cell r="R213">
            <v>351.62</v>
          </cell>
          <cell r="S213">
            <v>351.62</v>
          </cell>
          <cell r="U213">
            <v>208.3500279500883</v>
          </cell>
          <cell r="V213">
            <v>102.67667128084169</v>
          </cell>
          <cell r="X213">
            <v>1871.6807656904325</v>
          </cell>
          <cell r="Y213">
            <v>1004.0626082260818</v>
          </cell>
          <cell r="AA213">
            <v>0</v>
          </cell>
          <cell r="AB213">
            <v>0</v>
          </cell>
          <cell r="AD213">
            <v>4805.1509714711283</v>
          </cell>
          <cell r="AE213">
            <v>4491.5511889275822</v>
          </cell>
          <cell r="AJ213">
            <v>6348.78399519096</v>
          </cell>
          <cell r="AK213">
            <v>6322.7095892264915</v>
          </cell>
          <cell r="AM213">
            <v>789.21107943546565</v>
          </cell>
          <cell r="AN213">
            <v>524.04800106883954</v>
          </cell>
          <cell r="AP213">
            <v>907.55857443974776</v>
          </cell>
          <cell r="AQ213">
            <v>0</v>
          </cell>
          <cell r="AS213">
            <v>17187.464720093318</v>
          </cell>
          <cell r="AT213">
            <v>0</v>
          </cell>
          <cell r="AV213">
            <v>327.04584121664607</v>
          </cell>
          <cell r="AW213">
            <v>889</v>
          </cell>
          <cell r="AY213">
            <v>398.9137894360008</v>
          </cell>
          <cell r="AZ213">
            <v>0</v>
          </cell>
          <cell r="BB213">
            <v>458.67069947314712</v>
          </cell>
          <cell r="BC213">
            <v>0</v>
          </cell>
          <cell r="BE213">
            <v>194.41885365990336</v>
          </cell>
          <cell r="BF213">
            <v>1769</v>
          </cell>
          <cell r="BH213">
            <v>105.68402349220877</v>
          </cell>
          <cell r="BI213">
            <v>0</v>
          </cell>
          <cell r="BK213">
            <v>205.26189571466762</v>
          </cell>
          <cell r="BL213">
            <v>0</v>
          </cell>
          <cell r="BN213">
            <v>119.34310272027908</v>
          </cell>
          <cell r="BO213">
            <v>0</v>
          </cell>
          <cell r="BT213">
            <v>14779.544639045822</v>
          </cell>
          <cell r="BU213">
            <v>10785.036600931528</v>
          </cell>
          <cell r="BW213">
            <v>12300.06579802831</v>
          </cell>
          <cell r="BX213">
            <v>14050.710076032155</v>
          </cell>
          <cell r="BZ213">
            <v>2596.7809044302167</v>
          </cell>
          <cell r="CA213">
            <v>11052.573023361276</v>
          </cell>
          <cell r="CC213">
            <v>364.62630355893003</v>
          </cell>
          <cell r="CD213">
            <v>363.12986958670604</v>
          </cell>
          <cell r="CF213">
            <v>44.887707824489496</v>
          </cell>
          <cell r="CG213">
            <v>0</v>
          </cell>
          <cell r="CI213">
            <v>4445.4122295831321</v>
          </cell>
          <cell r="CJ213">
            <v>2979.4695458762471</v>
          </cell>
          <cell r="CL213">
            <v>2012.1339565481544</v>
          </cell>
          <cell r="CM213">
            <v>1912.236819993579</v>
          </cell>
          <cell r="CX213">
            <v>1394.7732199186721</v>
          </cell>
          <cell r="CY213">
            <v>18597.822377130316</v>
          </cell>
        </row>
        <row r="214">
          <cell r="I214">
            <v>1880.1776838190253</v>
          </cell>
          <cell r="J214">
            <v>1831.9301214918187</v>
          </cell>
          <cell r="L214">
            <v>390.33638998156368</v>
          </cell>
          <cell r="M214">
            <v>390.52764234718461</v>
          </cell>
          <cell r="O214">
            <v>904.7</v>
          </cell>
          <cell r="P214">
            <v>904.7</v>
          </cell>
          <cell r="R214">
            <v>177.98</v>
          </cell>
          <cell r="S214">
            <v>177.98</v>
          </cell>
          <cell r="U214">
            <v>118.22581795543685</v>
          </cell>
          <cell r="V214">
            <v>44.678110998583477</v>
          </cell>
          <cell r="X214">
            <v>1353.4159106571487</v>
          </cell>
          <cell r="Y214">
            <v>770.57432691761642</v>
          </cell>
          <cell r="AA214">
            <v>0</v>
          </cell>
          <cell r="AB214">
            <v>0</v>
          </cell>
          <cell r="AD214">
            <v>2328.4040614062519</v>
          </cell>
          <cell r="AE214">
            <v>2176.3946429114276</v>
          </cell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P214">
            <v>710.2632321702373</v>
          </cell>
          <cell r="AQ214">
            <v>0</v>
          </cell>
          <cell r="AS214">
            <v>7590.045220573912</v>
          </cell>
          <cell r="AT214">
            <v>0</v>
          </cell>
          <cell r="AV214">
            <v>335.49122236556309</v>
          </cell>
          <cell r="AW214">
            <v>0</v>
          </cell>
          <cell r="AY214">
            <v>503.09886568518095</v>
          </cell>
          <cell r="AZ214">
            <v>0</v>
          </cell>
          <cell r="BB214">
            <v>349.5833390983895</v>
          </cell>
          <cell r="BC214">
            <v>0</v>
          </cell>
          <cell r="BE214">
            <v>201.87973305220362</v>
          </cell>
          <cell r="BF214">
            <v>0</v>
          </cell>
          <cell r="BH214">
            <v>119.94714023874553</v>
          </cell>
          <cell r="BI214">
            <v>0</v>
          </cell>
          <cell r="BK214">
            <v>187.174739446508</v>
          </cell>
          <cell r="BL214">
            <v>0</v>
          </cell>
          <cell r="BN214">
            <v>107.72463185447754</v>
          </cell>
          <cell r="BO214">
            <v>0</v>
          </cell>
          <cell r="BT214">
            <v>6060.8573856186777</v>
          </cell>
          <cell r="BU214">
            <v>4754.0025826834999</v>
          </cell>
          <cell r="BW214">
            <v>3191.7162668114447</v>
          </cell>
          <cell r="BX214">
            <v>2618.3113817631324</v>
          </cell>
          <cell r="BZ214">
            <v>2163.9840870251805</v>
          </cell>
          <cell r="CA214">
            <v>4182.1275668209737</v>
          </cell>
          <cell r="CC214">
            <v>187.4114491134431</v>
          </cell>
          <cell r="CD214">
            <v>186.64230860849386</v>
          </cell>
          <cell r="CF214">
            <v>23.071485212829167</v>
          </cell>
          <cell r="CG214">
            <v>0</v>
          </cell>
          <cell r="CI214">
            <v>1300.8679998148534</v>
          </cell>
          <cell r="CJ214">
            <v>2281.9266278928453</v>
          </cell>
          <cell r="CL214">
            <v>0</v>
          </cell>
          <cell r="CM214">
            <v>0</v>
          </cell>
          <cell r="CX214">
            <v>1810.4520057187183</v>
          </cell>
          <cell r="CY214">
            <v>13650.32562507731</v>
          </cell>
        </row>
        <row r="215">
          <cell r="I215">
            <v>2837.6329023539311</v>
          </cell>
          <cell r="J215">
            <v>2833.5697731758801</v>
          </cell>
          <cell r="L215">
            <v>585.88616339389444</v>
          </cell>
          <cell r="M215">
            <v>586.16151498225554</v>
          </cell>
          <cell r="O215">
            <v>1634.34</v>
          </cell>
          <cell r="P215">
            <v>1634.34</v>
          </cell>
          <cell r="R215">
            <v>334.14</v>
          </cell>
          <cell r="S215">
            <v>334.14</v>
          </cell>
          <cell r="U215">
            <v>144.80003372733142</v>
          </cell>
          <cell r="V215">
            <v>81.534582519993407</v>
          </cell>
          <cell r="X215">
            <v>2133.4766130925459</v>
          </cell>
          <cell r="Y215">
            <v>1203.4021441922221</v>
          </cell>
          <cell r="AA215">
            <v>0</v>
          </cell>
          <cell r="AB215">
            <v>0</v>
          </cell>
          <cell r="AD215">
            <v>4714.1042653574368</v>
          </cell>
          <cell r="AE215">
            <v>4406.3794478785712</v>
          </cell>
          <cell r="AJ215">
            <v>14402.266595894693</v>
          </cell>
          <cell r="AK215">
            <v>12814.508156588603</v>
          </cell>
          <cell r="AM215">
            <v>0</v>
          </cell>
          <cell r="AN215">
            <v>262.02400053441977</v>
          </cell>
          <cell r="AP215">
            <v>852.31587860428476</v>
          </cell>
          <cell r="AQ215">
            <v>5047.4296213295438</v>
          </cell>
          <cell r="AS215">
            <v>17454.572487647143</v>
          </cell>
          <cell r="AT215">
            <v>7770.4779556868934</v>
          </cell>
          <cell r="AV215">
            <v>234.19939836518847</v>
          </cell>
          <cell r="AW215">
            <v>0</v>
          </cell>
          <cell r="AY215">
            <v>340.39419120155407</v>
          </cell>
          <cell r="AZ215">
            <v>0</v>
          </cell>
          <cell r="BB215">
            <v>377.32558295153785</v>
          </cell>
          <cell r="BC215">
            <v>0</v>
          </cell>
          <cell r="BE215">
            <v>175.11975664192488</v>
          </cell>
          <cell r="BF215">
            <v>0</v>
          </cell>
          <cell r="BH215">
            <v>73.457911157641931</v>
          </cell>
          <cell r="BI215">
            <v>0</v>
          </cell>
          <cell r="BK215">
            <v>232.89259241061026</v>
          </cell>
          <cell r="BL215">
            <v>248</v>
          </cell>
          <cell r="BN215">
            <v>141.02416777453496</v>
          </cell>
          <cell r="BO215">
            <v>0</v>
          </cell>
          <cell r="BT215">
            <v>15113.912714101716</v>
          </cell>
          <cell r="BU215">
            <v>7884.6244001035602</v>
          </cell>
          <cell r="BW215">
            <v>11381.06104685687</v>
          </cell>
          <cell r="BX215">
            <v>11360.177456868152</v>
          </cell>
          <cell r="BZ215">
            <v>1514.7888609176264</v>
          </cell>
          <cell r="CA215">
            <v>10616.238093466211</v>
          </cell>
          <cell r="CC215">
            <v>310.80004901366181</v>
          </cell>
          <cell r="CD215">
            <v>309.5245191153154</v>
          </cell>
          <cell r="CF215">
            <v>38.261369670242459</v>
          </cell>
          <cell r="CG215">
            <v>0</v>
          </cell>
          <cell r="CI215">
            <v>1731.3710788902722</v>
          </cell>
          <cell r="CJ215">
            <v>1370.0951429540789</v>
          </cell>
          <cell r="CL215">
            <v>2620.4535248068992</v>
          </cell>
          <cell r="CM215">
            <v>2244.6607135399522</v>
          </cell>
          <cell r="CX215">
            <v>2369.8433782021457</v>
          </cell>
          <cell r="CY215">
            <v>12415.414972477214</v>
          </cell>
        </row>
        <row r="216">
          <cell r="I216">
            <v>4025.0525254893359</v>
          </cell>
          <cell r="J216">
            <v>4021.0740014404355</v>
          </cell>
          <cell r="L216">
            <v>816.83676258570961</v>
          </cell>
          <cell r="M216">
            <v>817.22164752955382</v>
          </cell>
          <cell r="O216">
            <v>2363.7199999999998</v>
          </cell>
          <cell r="P216">
            <v>2363.7199999999998</v>
          </cell>
          <cell r="R216">
            <v>487.7</v>
          </cell>
          <cell r="S216">
            <v>487.7</v>
          </cell>
          <cell r="U216">
            <v>480.20150935264746</v>
          </cell>
          <cell r="V216">
            <v>208.28403586584972</v>
          </cell>
          <cell r="X216">
            <v>3775.4868641328226</v>
          </cell>
          <cell r="Y216">
            <v>2177.0518511723303</v>
          </cell>
          <cell r="AA216">
            <v>0</v>
          </cell>
          <cell r="AB216">
            <v>0</v>
          </cell>
          <cell r="AD216">
            <v>6693.6717375131266</v>
          </cell>
          <cell r="AE216">
            <v>6256.6300888502337</v>
          </cell>
          <cell r="AJ216">
            <v>22468.851464222462</v>
          </cell>
          <cell r="AK216">
            <v>22376.596663863278</v>
          </cell>
          <cell r="AM216">
            <v>0</v>
          </cell>
          <cell r="AN216">
            <v>524.04800106883954</v>
          </cell>
          <cell r="AP216">
            <v>1412.6346506496943</v>
          </cell>
          <cell r="AQ216">
            <v>566.06687342013572</v>
          </cell>
          <cell r="AS216">
            <v>28446.047949750613</v>
          </cell>
          <cell r="AT216">
            <v>53996.959734895005</v>
          </cell>
          <cell r="AV216">
            <v>131.66111816664187</v>
          </cell>
          <cell r="AW216">
            <v>569</v>
          </cell>
          <cell r="AY216">
            <v>193.84601730458303</v>
          </cell>
          <cell r="AZ216">
            <v>0</v>
          </cell>
          <cell r="BB216">
            <v>215.16401743022467</v>
          </cell>
          <cell r="BC216">
            <v>0</v>
          </cell>
          <cell r="BE216">
            <v>101.39158159948053</v>
          </cell>
          <cell r="BF216">
            <v>0</v>
          </cell>
          <cell r="BH216">
            <v>97.437647389463777</v>
          </cell>
          <cell r="BI216">
            <v>0</v>
          </cell>
          <cell r="BK216">
            <v>163.8440843954931</v>
          </cell>
          <cell r="BL216">
            <v>146</v>
          </cell>
          <cell r="BN216">
            <v>156.91956282162403</v>
          </cell>
          <cell r="BO216">
            <v>0</v>
          </cell>
          <cell r="BT216">
            <v>20337.119895776657</v>
          </cell>
          <cell r="BU216">
            <v>13864.388690185551</v>
          </cell>
          <cell r="BW216">
            <v>15093.048212070516</v>
          </cell>
          <cell r="BX216">
            <v>17250.142744346966</v>
          </cell>
          <cell r="BZ216">
            <v>1731.1872696201444</v>
          </cell>
          <cell r="CA216">
            <v>13821.694754035334</v>
          </cell>
          <cell r="CC216">
            <v>433.60038383688311</v>
          </cell>
          <cell r="CD216">
            <v>431.82087879731307</v>
          </cell>
          <cell r="CF216">
            <v>53.378835131434471</v>
          </cell>
          <cell r="CG216">
            <v>0</v>
          </cell>
          <cell r="CI216">
            <v>2689.084450456603</v>
          </cell>
          <cell r="CJ216">
            <v>1820.6026905172371</v>
          </cell>
          <cell r="CL216">
            <v>2745.2370259881795</v>
          </cell>
          <cell r="CM216">
            <v>2505.6099573863821</v>
          </cell>
          <cell r="CX216">
            <v>3444.2117211788282</v>
          </cell>
          <cell r="CY216">
            <v>-31465.575136049272</v>
          </cell>
        </row>
        <row r="217">
          <cell r="I217">
            <v>2021.1215785517211</v>
          </cell>
          <cell r="J217">
            <v>2490.7729568429595</v>
          </cell>
          <cell r="L217">
            <v>382.49505462472791</v>
          </cell>
          <cell r="M217">
            <v>482.1338506719859</v>
          </cell>
          <cell r="O217">
            <v>824.68</v>
          </cell>
          <cell r="P217">
            <v>824.68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>
            <v>1258.4452621155397</v>
          </cell>
          <cell r="Y217">
            <v>1075.3133444318951</v>
          </cell>
          <cell r="AA217">
            <v>0</v>
          </cell>
          <cell r="AB217">
            <v>0</v>
          </cell>
          <cell r="AD217">
            <v>2498.1545732744512</v>
          </cell>
          <cell r="AE217">
            <v>2287.7116800101549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P217">
            <v>1894.0352857872995</v>
          </cell>
          <cell r="AQ217">
            <v>5660.6687342013574</v>
          </cell>
          <cell r="AS217">
            <v>5576.6969253063198</v>
          </cell>
          <cell r="AT217">
            <v>0</v>
          </cell>
          <cell r="AV217">
            <v>320.62601161897658</v>
          </cell>
          <cell r="AW217">
            <v>0</v>
          </cell>
          <cell r="AY217">
            <v>492.97964315911258</v>
          </cell>
          <cell r="AZ217">
            <v>0</v>
          </cell>
          <cell r="BB217">
            <v>425.24465874824136</v>
          </cell>
          <cell r="BC217">
            <v>0</v>
          </cell>
          <cell r="BE217">
            <v>0</v>
          </cell>
          <cell r="BF217">
            <v>0</v>
          </cell>
          <cell r="BH217">
            <v>0</v>
          </cell>
          <cell r="BI217">
            <v>1128</v>
          </cell>
          <cell r="BK217">
            <v>176.92726331589199</v>
          </cell>
          <cell r="BL217">
            <v>0</v>
          </cell>
          <cell r="BN217">
            <v>0</v>
          </cell>
          <cell r="BO217">
            <v>0</v>
          </cell>
          <cell r="BT217">
            <v>3559.0348874387128</v>
          </cell>
          <cell r="BU217">
            <v>3037.8805749444414</v>
          </cell>
          <cell r="BW217">
            <v>2461.0725475679833</v>
          </cell>
          <cell r="BX217">
            <v>3401.598795707624</v>
          </cell>
          <cell r="BZ217">
            <v>1692.0255490842067</v>
          </cell>
          <cell r="CA217">
            <v>2937.4076721965921</v>
          </cell>
          <cell r="CC217">
            <v>216.08937161706959</v>
          </cell>
          <cell r="CD217">
            <v>215.20253631866098</v>
          </cell>
          <cell r="CF217">
            <v>26.601911278616519</v>
          </cell>
          <cell r="CG217">
            <v>0</v>
          </cell>
          <cell r="CI217">
            <v>792.37523250113372</v>
          </cell>
          <cell r="CJ217">
            <v>212.8142336553787</v>
          </cell>
          <cell r="CL217">
            <v>0</v>
          </cell>
          <cell r="CM217">
            <v>0</v>
          </cell>
          <cell r="CX217">
            <v>590.73309281199909</v>
          </cell>
          <cell r="CY217">
            <v>1628.0387452227405</v>
          </cell>
        </row>
        <row r="218">
          <cell r="I218">
            <v>2034.7811152672907</v>
          </cell>
          <cell r="J218">
            <v>2508.0357927775594</v>
          </cell>
          <cell r="L218">
            <v>345.21193849411895</v>
          </cell>
          <cell r="M218">
            <v>422.5998082816966</v>
          </cell>
          <cell r="O218">
            <v>806.66</v>
          </cell>
          <cell r="P218">
            <v>806.66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X218">
            <v>1275.7588742575476</v>
          </cell>
          <cell r="Y218">
            <v>1091.4330847266283</v>
          </cell>
          <cell r="AA218">
            <v>0</v>
          </cell>
          <cell r="AB218">
            <v>0</v>
          </cell>
          <cell r="AD218">
            <v>2540.0577222998509</v>
          </cell>
          <cell r="AE218">
            <v>2373.9758353681946</v>
          </cell>
          <cell r="AJ218">
            <v>0</v>
          </cell>
          <cell r="AK218">
            <v>0</v>
          </cell>
          <cell r="AM218">
            <v>0</v>
          </cell>
          <cell r="AN218">
            <v>0</v>
          </cell>
          <cell r="AP218">
            <v>1894.0352857872995</v>
          </cell>
          <cell r="AQ218">
            <v>0</v>
          </cell>
          <cell r="AS218">
            <v>9161.9698506459335</v>
          </cell>
          <cell r="AT218">
            <v>0</v>
          </cell>
          <cell r="AV218">
            <v>323.47537914525492</v>
          </cell>
          <cell r="AW218">
            <v>0</v>
          </cell>
          <cell r="AY218">
            <v>444.88882070319545</v>
          </cell>
          <cell r="AZ218">
            <v>0</v>
          </cell>
          <cell r="BB218">
            <v>431.67565626018109</v>
          </cell>
          <cell r="BC218">
            <v>0</v>
          </cell>
          <cell r="BE218">
            <v>0</v>
          </cell>
          <cell r="BF218">
            <v>0</v>
          </cell>
          <cell r="BH218">
            <v>0</v>
          </cell>
          <cell r="BI218">
            <v>0</v>
          </cell>
          <cell r="BK218">
            <v>179.51810429532154</v>
          </cell>
          <cell r="BL218">
            <v>23252</v>
          </cell>
          <cell r="BN218">
            <v>0</v>
          </cell>
          <cell r="BO218">
            <v>0</v>
          </cell>
          <cell r="BT218">
            <v>3024.4355619921371</v>
          </cell>
          <cell r="BU218">
            <v>2676.5259418614301</v>
          </cell>
          <cell r="BW218">
            <v>2512.3115606459678</v>
          </cell>
          <cell r="BX218">
            <v>3354.2892581246283</v>
          </cell>
          <cell r="BZ218">
            <v>1372.1601753322466</v>
          </cell>
          <cell r="CA218">
            <v>3157.899375149374</v>
          </cell>
          <cell r="CC218">
            <v>349.77261036474403</v>
          </cell>
          <cell r="CD218">
            <v>348.33713625990151</v>
          </cell>
          <cell r="CF218">
            <v>43.059128169902195</v>
          </cell>
          <cell r="CG218">
            <v>0</v>
          </cell>
          <cell r="CI218">
            <v>277.64329012834997</v>
          </cell>
          <cell r="CJ218">
            <v>237.66024346027609</v>
          </cell>
          <cell r="CL218">
            <v>0</v>
          </cell>
          <cell r="CM218">
            <v>0</v>
          </cell>
          <cell r="CX218">
            <v>1613.3219114527892</v>
          </cell>
          <cell r="CY218">
            <v>-14241.079771211624</v>
          </cell>
        </row>
        <row r="219">
          <cell r="I219">
            <v>1974.1598408175182</v>
          </cell>
          <cell r="J219">
            <v>2436.0953811101353</v>
          </cell>
          <cell r="L219">
            <v>345.21193849411895</v>
          </cell>
          <cell r="M219">
            <v>422.5998082816966</v>
          </cell>
          <cell r="O219">
            <v>884.08</v>
          </cell>
          <cell r="P219">
            <v>884.08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>
            <v>1275.7588742575476</v>
          </cell>
          <cell r="Y219">
            <v>1091.4394464719344</v>
          </cell>
          <cell r="AA219">
            <v>0</v>
          </cell>
          <cell r="AB219">
            <v>0</v>
          </cell>
          <cell r="AD219">
            <v>2545.1174562808092</v>
          </cell>
          <cell r="AE219">
            <v>2378.8419505059769</v>
          </cell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P219">
            <v>1894.0352857872995</v>
          </cell>
          <cell r="AQ219">
            <v>0</v>
          </cell>
          <cell r="AS219">
            <v>9306.2546949358311</v>
          </cell>
          <cell r="AT219">
            <v>503</v>
          </cell>
          <cell r="AV219">
            <v>309.21091681822662</v>
          </cell>
          <cell r="AW219">
            <v>0</v>
          </cell>
          <cell r="AY219">
            <v>444.88882070319545</v>
          </cell>
          <cell r="AZ219">
            <v>0</v>
          </cell>
          <cell r="BB219">
            <v>470.67431918363008</v>
          </cell>
          <cell r="BC219">
            <v>0</v>
          </cell>
          <cell r="BE219">
            <v>0</v>
          </cell>
          <cell r="BF219">
            <v>0</v>
          </cell>
          <cell r="BH219">
            <v>0</v>
          </cell>
          <cell r="BI219">
            <v>0</v>
          </cell>
          <cell r="BK219">
            <v>179.51810429532154</v>
          </cell>
          <cell r="BL219">
            <v>2254</v>
          </cell>
          <cell r="BN219">
            <v>0</v>
          </cell>
          <cell r="BO219">
            <v>0</v>
          </cell>
          <cell r="BT219">
            <v>2458.7614289456974</v>
          </cell>
          <cell r="BU219">
            <v>2164.6256324045994</v>
          </cell>
          <cell r="BW219">
            <v>2956.0565738150385</v>
          </cell>
          <cell r="BX219">
            <v>3800.1580059327034</v>
          </cell>
          <cell r="BZ219">
            <v>1287.6974174169707</v>
          </cell>
          <cell r="CA219">
            <v>2497.0039436943307</v>
          </cell>
          <cell r="CC219">
            <v>356.24352621171619</v>
          </cell>
          <cell r="CD219">
            <v>354.78149533296494</v>
          </cell>
          <cell r="CF219">
            <v>43.855737128336273</v>
          </cell>
          <cell r="CG219">
            <v>0</v>
          </cell>
          <cell r="CI219">
            <v>1472.4453139391144</v>
          </cell>
          <cell r="CJ219">
            <v>1638.8304673457128</v>
          </cell>
          <cell r="CL219">
            <v>0</v>
          </cell>
          <cell r="CM219">
            <v>0</v>
          </cell>
          <cell r="CX219">
            <v>1349.6757011635564</v>
          </cell>
          <cell r="CY219">
            <v>10683.892642703937</v>
          </cell>
        </row>
        <row r="220">
          <cell r="I220">
            <v>1436.498904966975</v>
          </cell>
          <cell r="J220">
            <v>1775.8299989926336</v>
          </cell>
          <cell r="L220">
            <v>300.92648582137065</v>
          </cell>
          <cell r="M220">
            <v>368.38629001927325</v>
          </cell>
          <cell r="O220">
            <v>584.26</v>
          </cell>
          <cell r="P220">
            <v>584.26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X220">
            <v>949.89980205882534</v>
          </cell>
          <cell r="Y220">
            <v>807.31218408847826</v>
          </cell>
          <cell r="AA220">
            <v>0</v>
          </cell>
          <cell r="AB220">
            <v>0</v>
          </cell>
          <cell r="AD220">
            <v>1910.9403760477653</v>
          </cell>
          <cell r="AE220">
            <v>1760.2754752093595</v>
          </cell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P220">
            <v>1373.1755821957922</v>
          </cell>
          <cell r="AQ220">
            <v>3891.4274010542804</v>
          </cell>
          <cell r="AS220">
            <v>5075.1058847571803</v>
          </cell>
          <cell r="AT220">
            <v>0</v>
          </cell>
          <cell r="AV220">
            <v>227.2230240106725</v>
          </cell>
          <cell r="AW220">
            <v>0</v>
          </cell>
          <cell r="AY220">
            <v>387.87318468845865</v>
          </cell>
          <cell r="AZ220">
            <v>0</v>
          </cell>
          <cell r="BB220">
            <v>299.02802678329249</v>
          </cell>
          <cell r="BC220">
            <v>0</v>
          </cell>
          <cell r="BE220">
            <v>0</v>
          </cell>
          <cell r="BF220">
            <v>0</v>
          </cell>
          <cell r="BH220">
            <v>0</v>
          </cell>
          <cell r="BI220">
            <v>0</v>
          </cell>
          <cell r="BK220">
            <v>130.49535443444742</v>
          </cell>
          <cell r="BL220">
            <v>0</v>
          </cell>
          <cell r="BN220">
            <v>0</v>
          </cell>
          <cell r="BO220">
            <v>0</v>
          </cell>
          <cell r="BT220">
            <v>3327.5271503856011</v>
          </cell>
          <cell r="BU220">
            <v>2653.9339888660534</v>
          </cell>
          <cell r="BW220">
            <v>1860.8905842438116</v>
          </cell>
          <cell r="BX220">
            <v>2590.4553779037356</v>
          </cell>
          <cell r="BZ220">
            <v>1397.7237132487819</v>
          </cell>
          <cell r="CA220">
            <v>3246.6030576331891</v>
          </cell>
          <cell r="CC220">
            <v>115.64310971975209</v>
          </cell>
          <cell r="CD220">
            <v>115.16850797997304</v>
          </cell>
          <cell r="CF220">
            <v>14.236367673833119</v>
          </cell>
          <cell r="CG220">
            <v>0</v>
          </cell>
          <cell r="CI220">
            <v>801.73399508972977</v>
          </cell>
          <cell r="CJ220">
            <v>388.33878357372168</v>
          </cell>
          <cell r="CL220">
            <v>0</v>
          </cell>
          <cell r="CM220">
            <v>0</v>
          </cell>
          <cell r="CX220">
            <v>516.7521446484534</v>
          </cell>
          <cell r="CY220">
            <v>2930.1807216151647</v>
          </cell>
        </row>
        <row r="221">
          <cell r="I221">
            <v>1490.3154577269845</v>
          </cell>
          <cell r="J221">
            <v>1824.2788048213051</v>
          </cell>
          <cell r="L221">
            <v>379.73388389750988</v>
          </cell>
          <cell r="M221">
            <v>464.85978910986626</v>
          </cell>
          <cell r="O221">
            <v>568.74</v>
          </cell>
          <cell r="P221">
            <v>568.74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X221">
            <v>1543.8325580368994</v>
          </cell>
          <cell r="Y221">
            <v>1346.7928648138313</v>
          </cell>
          <cell r="AA221">
            <v>0</v>
          </cell>
          <cell r="AB221">
            <v>0</v>
          </cell>
          <cell r="AD221">
            <v>1769.6241438753723</v>
          </cell>
          <cell r="AE221">
            <v>1557.9652869280571</v>
          </cell>
          <cell r="AJ221">
            <v>0</v>
          </cell>
          <cell r="AK221">
            <v>0</v>
          </cell>
          <cell r="AM221">
            <v>0</v>
          </cell>
          <cell r="AN221">
            <v>0</v>
          </cell>
          <cell r="AP221">
            <v>781.28955538726109</v>
          </cell>
          <cell r="AQ221">
            <v>2264.2674936805429</v>
          </cell>
          <cell r="AS221">
            <v>6894.6143675661087</v>
          </cell>
          <cell r="AT221">
            <v>79</v>
          </cell>
          <cell r="AV221">
            <v>268.63508955986697</v>
          </cell>
          <cell r="AW221">
            <v>461</v>
          </cell>
          <cell r="AY221">
            <v>489.43497576070069</v>
          </cell>
          <cell r="AZ221">
            <v>0</v>
          </cell>
          <cell r="BB221">
            <v>246.53671761751028</v>
          </cell>
          <cell r="BC221">
            <v>0</v>
          </cell>
          <cell r="BE221">
            <v>0</v>
          </cell>
          <cell r="BF221">
            <v>0</v>
          </cell>
          <cell r="BH221">
            <v>0</v>
          </cell>
          <cell r="BI221">
            <v>0</v>
          </cell>
          <cell r="BK221">
            <v>222.83021985135576</v>
          </cell>
          <cell r="BL221">
            <v>0</v>
          </cell>
          <cell r="BN221">
            <v>0</v>
          </cell>
          <cell r="BO221">
            <v>0</v>
          </cell>
          <cell r="BT221">
            <v>2539.3847630448886</v>
          </cell>
          <cell r="BU221">
            <v>2138.6615331885355</v>
          </cell>
          <cell r="BW221">
            <v>2803.8522920308114</v>
          </cell>
          <cell r="BX221">
            <v>2776.0430886201311</v>
          </cell>
          <cell r="BZ221">
            <v>755.70209602084947</v>
          </cell>
          <cell r="CA221">
            <v>1969.2433360473058</v>
          </cell>
          <cell r="CC221">
            <v>144.23279246182901</v>
          </cell>
          <cell r="CD221">
            <v>143.6408580664166</v>
          </cell>
          <cell r="CF221">
            <v>17.755930890187283</v>
          </cell>
          <cell r="CG221">
            <v>0</v>
          </cell>
          <cell r="CI221">
            <v>795.49482003066578</v>
          </cell>
          <cell r="CJ221">
            <v>86.97550263792364</v>
          </cell>
          <cell r="CL221">
            <v>0</v>
          </cell>
          <cell r="CM221">
            <v>0</v>
          </cell>
          <cell r="CX221">
            <v>639.00840348944621</v>
          </cell>
          <cell r="CY221">
            <v>7875.6577305033043</v>
          </cell>
        </row>
        <row r="222">
          <cell r="I222">
            <v>414.24396484887802</v>
          </cell>
          <cell r="J222">
            <v>506.28259726765316</v>
          </cell>
          <cell r="L222">
            <v>70.76838694021346</v>
          </cell>
          <cell r="M222">
            <v>86.632960697747791</v>
          </cell>
          <cell r="O222">
            <v>188.68</v>
          </cell>
          <cell r="P222">
            <v>188.68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X222">
            <v>198.89135680411229</v>
          </cell>
          <cell r="Y222">
            <v>162.34810345147366</v>
          </cell>
          <cell r="AA222">
            <v>0</v>
          </cell>
          <cell r="AB222">
            <v>0</v>
          </cell>
          <cell r="AD222">
            <v>543.60784197389376</v>
          </cell>
          <cell r="AE222">
            <v>513.58879901373257</v>
          </cell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P222">
            <v>7.8918136907804142</v>
          </cell>
          <cell r="AQ222">
            <v>0</v>
          </cell>
          <cell r="AS222">
            <v>1645.8035773027812</v>
          </cell>
          <cell r="AT222">
            <v>121012</v>
          </cell>
          <cell r="AV222">
            <v>82.667714407915298</v>
          </cell>
          <cell r="AW222">
            <v>0</v>
          </cell>
          <cell r="AY222">
            <v>91.180310614088697</v>
          </cell>
          <cell r="AZ222">
            <v>0</v>
          </cell>
          <cell r="BB222">
            <v>83.006215262450169</v>
          </cell>
          <cell r="BC222">
            <v>0</v>
          </cell>
          <cell r="BE222">
            <v>0</v>
          </cell>
          <cell r="BF222">
            <v>0</v>
          </cell>
          <cell r="BH222">
            <v>0</v>
          </cell>
          <cell r="BI222">
            <v>0</v>
          </cell>
          <cell r="BK222">
            <v>14.381053614686898</v>
          </cell>
          <cell r="BL222">
            <v>0</v>
          </cell>
          <cell r="BN222">
            <v>0</v>
          </cell>
          <cell r="BO222">
            <v>0</v>
          </cell>
          <cell r="BT222">
            <v>733.40400365136895</v>
          </cell>
          <cell r="BU222">
            <v>623.3587911721944</v>
          </cell>
          <cell r="BW222">
            <v>34.337932823633373</v>
          </cell>
          <cell r="BX222">
            <v>194.15203234697833</v>
          </cell>
          <cell r="BZ222">
            <v>316.54808339732688</v>
          </cell>
          <cell r="CA222">
            <v>611.82457944388227</v>
          </cell>
          <cell r="CC222">
            <v>0</v>
          </cell>
          <cell r="CD222">
            <v>0</v>
          </cell>
          <cell r="CF222">
            <v>0</v>
          </cell>
          <cell r="CG222">
            <v>0</v>
          </cell>
          <cell r="CI222">
            <v>1182.3236736926367</v>
          </cell>
          <cell r="CJ222">
            <v>1137.0718238510467</v>
          </cell>
          <cell r="CL222">
            <v>0</v>
          </cell>
          <cell r="CM222">
            <v>0</v>
          </cell>
          <cell r="CX222">
            <v>184.51688517028015</v>
          </cell>
          <cell r="CY222">
            <v>-143129.32762469366</v>
          </cell>
        </row>
        <row r="223"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X223">
            <v>0</v>
          </cell>
          <cell r="Y223">
            <v>0</v>
          </cell>
          <cell r="AA223">
            <v>0</v>
          </cell>
          <cell r="AB223">
            <v>0</v>
          </cell>
          <cell r="AD223">
            <v>0</v>
          </cell>
          <cell r="AE223">
            <v>41.965518551224484</v>
          </cell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P223">
            <v>47.350882144682487</v>
          </cell>
          <cell r="AQ223">
            <v>0</v>
          </cell>
          <cell r="AS223">
            <v>188.58160580956394</v>
          </cell>
          <cell r="AT223">
            <v>0</v>
          </cell>
          <cell r="AV223">
            <v>0</v>
          </cell>
          <cell r="AW223">
            <v>0</v>
          </cell>
          <cell r="AY223">
            <v>0</v>
          </cell>
          <cell r="AZ223">
            <v>0</v>
          </cell>
          <cell r="BB223">
            <v>0</v>
          </cell>
          <cell r="BC223">
            <v>0</v>
          </cell>
          <cell r="BE223">
            <v>0</v>
          </cell>
          <cell r="BF223">
            <v>0</v>
          </cell>
          <cell r="BH223">
            <v>0</v>
          </cell>
          <cell r="BI223">
            <v>0</v>
          </cell>
          <cell r="BK223">
            <v>0</v>
          </cell>
          <cell r="BL223">
            <v>0</v>
          </cell>
          <cell r="BN223">
            <v>0</v>
          </cell>
          <cell r="BO223">
            <v>0</v>
          </cell>
          <cell r="BT223">
            <v>0</v>
          </cell>
          <cell r="BU223">
            <v>0</v>
          </cell>
          <cell r="BW223">
            <v>0</v>
          </cell>
          <cell r="BX223">
            <v>0.25249519962915545</v>
          </cell>
          <cell r="BZ223">
            <v>0</v>
          </cell>
          <cell r="CA223">
            <v>0</v>
          </cell>
          <cell r="CC223">
            <v>0</v>
          </cell>
          <cell r="CD223">
            <v>0</v>
          </cell>
          <cell r="CF223">
            <v>0</v>
          </cell>
          <cell r="CG223">
            <v>0</v>
          </cell>
          <cell r="CI223">
            <v>0</v>
          </cell>
          <cell r="CJ223">
            <v>0</v>
          </cell>
          <cell r="CL223">
            <v>0</v>
          </cell>
          <cell r="CM223">
            <v>0</v>
          </cell>
          <cell r="CX223">
            <v>-1.8985545095688394E-2</v>
          </cell>
          <cell r="CY223">
            <v>232.43838349897567</v>
          </cell>
        </row>
        <row r="224">
          <cell r="I224">
            <v>116.37927869235573</v>
          </cell>
          <cell r="J224">
            <v>143.24376769860308</v>
          </cell>
          <cell r="L224">
            <v>38.7130183256781</v>
          </cell>
          <cell r="M224">
            <v>47.39154992873312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X224">
            <v>62.594311045124996</v>
          </cell>
          <cell r="Y224">
            <v>48.85587951362595</v>
          </cell>
          <cell r="AA224">
            <v>0</v>
          </cell>
          <cell r="AB224">
            <v>0</v>
          </cell>
          <cell r="AD224">
            <v>180.7964099956435</v>
          </cell>
          <cell r="AE224">
            <v>168.99447708643891</v>
          </cell>
          <cell r="AJ224">
            <v>0</v>
          </cell>
          <cell r="AK224">
            <v>0</v>
          </cell>
          <cell r="AM224">
            <v>0</v>
          </cell>
          <cell r="AN224">
            <v>0</v>
          </cell>
          <cell r="AP224">
            <v>63.134509526243313</v>
          </cell>
          <cell r="AQ224">
            <v>0</v>
          </cell>
          <cell r="AS224">
            <v>600.36541364669756</v>
          </cell>
          <cell r="AT224">
            <v>0</v>
          </cell>
          <cell r="AV224">
            <v>42.947547082987398</v>
          </cell>
          <cell r="AW224">
            <v>0</v>
          </cell>
          <cell r="AY224">
            <v>49.86802425262438</v>
          </cell>
          <cell r="AZ224">
            <v>0</v>
          </cell>
          <cell r="BB224">
            <v>0</v>
          </cell>
          <cell r="BC224">
            <v>0</v>
          </cell>
          <cell r="BE224">
            <v>0</v>
          </cell>
          <cell r="BF224">
            <v>0</v>
          </cell>
          <cell r="BH224">
            <v>0</v>
          </cell>
          <cell r="BI224">
            <v>0</v>
          </cell>
          <cell r="BK224">
            <v>9.8614077016833726</v>
          </cell>
          <cell r="BL224">
            <v>0</v>
          </cell>
          <cell r="BN224">
            <v>0</v>
          </cell>
          <cell r="BO224">
            <v>0</v>
          </cell>
          <cell r="BT224">
            <v>455.25419053531419</v>
          </cell>
          <cell r="BU224">
            <v>435.46348160555016</v>
          </cell>
          <cell r="BW224">
            <v>366.40386385111339</v>
          </cell>
          <cell r="BX224">
            <v>572.78751655052474</v>
          </cell>
          <cell r="BZ224">
            <v>253.72516635230215</v>
          </cell>
          <cell r="CA224">
            <v>1091.2857486719056</v>
          </cell>
          <cell r="CC224">
            <v>0</v>
          </cell>
          <cell r="CD224">
            <v>0</v>
          </cell>
          <cell r="CF224">
            <v>0</v>
          </cell>
          <cell r="CG224">
            <v>0</v>
          </cell>
          <cell r="CI224">
            <v>180.9360767128573</v>
          </cell>
          <cell r="CJ224">
            <v>9.3172536768365255</v>
          </cell>
          <cell r="CL224">
            <v>0</v>
          </cell>
          <cell r="CM224">
            <v>0</v>
          </cell>
          <cell r="CX224">
            <v>-1.5061264749874681E-2</v>
          </cell>
          <cell r="CY224">
            <v>-115.64760967866187</v>
          </cell>
        </row>
        <row r="225">
          <cell r="I225">
            <v>410.78558730684119</v>
          </cell>
          <cell r="J225">
            <v>500.52772998917976</v>
          </cell>
          <cell r="L225">
            <v>61.497067697658665</v>
          </cell>
          <cell r="M225">
            <v>75.283137275325103</v>
          </cell>
          <cell r="O225">
            <v>149.82</v>
          </cell>
          <cell r="P225">
            <v>149.82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>
            <v>214.56978278589349</v>
          </cell>
          <cell r="Y225">
            <v>147.96179333813507</v>
          </cell>
          <cell r="AA225">
            <v>0</v>
          </cell>
          <cell r="AB225">
            <v>0</v>
          </cell>
          <cell r="AD225">
            <v>428.58084734481673</v>
          </cell>
          <cell r="AE225">
            <v>400.60417232867303</v>
          </cell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P225">
            <v>284.10529286809492</v>
          </cell>
          <cell r="AQ225">
            <v>707.58359177516968</v>
          </cell>
          <cell r="AS225">
            <v>1376.2265766356456</v>
          </cell>
          <cell r="AT225">
            <v>0</v>
          </cell>
          <cell r="AV225">
            <v>74.400935727157275</v>
          </cell>
          <cell r="AW225">
            <v>0</v>
          </cell>
          <cell r="AY225">
            <v>79.235345521027114</v>
          </cell>
          <cell r="AZ225">
            <v>0</v>
          </cell>
          <cell r="BB225">
            <v>68.280931052039634</v>
          </cell>
          <cell r="BC225">
            <v>0</v>
          </cell>
          <cell r="BE225">
            <v>0</v>
          </cell>
          <cell r="BF225">
            <v>0</v>
          </cell>
          <cell r="BH225">
            <v>0</v>
          </cell>
          <cell r="BI225">
            <v>0</v>
          </cell>
          <cell r="BK225">
            <v>14.743558598792214</v>
          </cell>
          <cell r="BL225">
            <v>0</v>
          </cell>
          <cell r="BN225">
            <v>0</v>
          </cell>
          <cell r="BO225">
            <v>0</v>
          </cell>
          <cell r="BT225">
            <v>1089.4554965623192</v>
          </cell>
          <cell r="BU225">
            <v>819.10745594383445</v>
          </cell>
          <cell r="BW225">
            <v>850.07251789900113</v>
          </cell>
          <cell r="BX225">
            <v>1156.1506851248473</v>
          </cell>
          <cell r="BZ225">
            <v>272.79675200776171</v>
          </cell>
          <cell r="CA225">
            <v>756.77439458684296</v>
          </cell>
          <cell r="CC225">
            <v>0</v>
          </cell>
          <cell r="CD225">
            <v>0</v>
          </cell>
          <cell r="CF225">
            <v>0</v>
          </cell>
          <cell r="CG225">
            <v>0</v>
          </cell>
          <cell r="CI225">
            <v>180.9360767128573</v>
          </cell>
          <cell r="CJ225">
            <v>0</v>
          </cell>
          <cell r="CL225">
            <v>0</v>
          </cell>
          <cell r="CM225">
            <v>0</v>
          </cell>
          <cell r="CX225">
            <v>5.1877536111533118E-2</v>
          </cell>
          <cell r="CY225">
            <v>1010.0844475655904</v>
          </cell>
        </row>
        <row r="226">
          <cell r="I226">
            <v>372.5117198805134</v>
          </cell>
          <cell r="J226">
            <v>449.73586211615066</v>
          </cell>
          <cell r="L226">
            <v>69.437281789364391</v>
          </cell>
          <cell r="M226">
            <v>85.002932865804098</v>
          </cell>
          <cell r="O226">
            <v>102.84</v>
          </cell>
          <cell r="P226">
            <v>102.86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X226">
            <v>197.78281885877576</v>
          </cell>
          <cell r="Y226">
            <v>163.9882556213752</v>
          </cell>
          <cell r="AA226">
            <v>0</v>
          </cell>
          <cell r="AB226">
            <v>0</v>
          </cell>
          <cell r="AD226">
            <v>304.36794130523981</v>
          </cell>
          <cell r="AE226">
            <v>284.49957100361871</v>
          </cell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P226">
            <v>189.40352857872995</v>
          </cell>
          <cell r="AQ226">
            <v>566.06687342013572</v>
          </cell>
          <cell r="AS226">
            <v>824.54031171835345</v>
          </cell>
          <cell r="AT226">
            <v>0</v>
          </cell>
          <cell r="AV226">
            <v>71.960731953791409</v>
          </cell>
          <cell r="AW226">
            <v>0</v>
          </cell>
          <cell r="AY226">
            <v>89.509926552956031</v>
          </cell>
          <cell r="AZ226">
            <v>0</v>
          </cell>
          <cell r="BB226">
            <v>47.277902860351134</v>
          </cell>
          <cell r="BC226">
            <v>0</v>
          </cell>
          <cell r="BE226">
            <v>0</v>
          </cell>
          <cell r="BF226">
            <v>0</v>
          </cell>
          <cell r="BH226">
            <v>0</v>
          </cell>
          <cell r="BI226">
            <v>0</v>
          </cell>
          <cell r="BK226">
            <v>19.771277081972755</v>
          </cell>
          <cell r="BL226">
            <v>0</v>
          </cell>
          <cell r="BN226">
            <v>0</v>
          </cell>
          <cell r="BO226">
            <v>0</v>
          </cell>
          <cell r="BT226">
            <v>1063.1335779721182</v>
          </cell>
          <cell r="BU226">
            <v>772.32996343463594</v>
          </cell>
          <cell r="BW226">
            <v>767.68068062324369</v>
          </cell>
          <cell r="BX226">
            <v>1043.903329455361</v>
          </cell>
          <cell r="BZ226">
            <v>266.91120643833676</v>
          </cell>
          <cell r="CA226">
            <v>1404.764995461341</v>
          </cell>
          <cell r="CC226">
            <v>0</v>
          </cell>
          <cell r="CD226">
            <v>0</v>
          </cell>
          <cell r="CF226">
            <v>0</v>
          </cell>
          <cell r="CG226">
            <v>0</v>
          </cell>
          <cell r="CI226">
            <v>174.69690165379325</v>
          </cell>
          <cell r="CJ226">
            <v>3.1078181285811373</v>
          </cell>
          <cell r="CL226">
            <v>0</v>
          </cell>
          <cell r="CM226">
            <v>0</v>
          </cell>
          <cell r="CX226">
            <v>4.9031278950678825E-2</v>
          </cell>
          <cell r="CY226">
            <v>-377.27152180840403</v>
          </cell>
        </row>
        <row r="227">
          <cell r="I227">
            <v>778.01751528651096</v>
          </cell>
          <cell r="J227">
            <v>954.45293858476475</v>
          </cell>
          <cell r="L227">
            <v>151.89314510575448</v>
          </cell>
          <cell r="M227">
            <v>185.9439156439465</v>
          </cell>
          <cell r="O227">
            <v>319.72000000000003</v>
          </cell>
          <cell r="P227">
            <v>319.72000000000003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X227">
            <v>482.97657801160892</v>
          </cell>
          <cell r="Y227">
            <v>392.43217037137521</v>
          </cell>
          <cell r="AA227">
            <v>0</v>
          </cell>
          <cell r="AB227">
            <v>0</v>
          </cell>
          <cell r="AD227">
            <v>913.67393478681322</v>
          </cell>
          <cell r="AE227">
            <v>854.03160848452239</v>
          </cell>
          <cell r="AJ227">
            <v>0</v>
          </cell>
          <cell r="AK227">
            <v>0</v>
          </cell>
          <cell r="AM227">
            <v>0</v>
          </cell>
          <cell r="AN227">
            <v>0</v>
          </cell>
          <cell r="AP227">
            <v>520.85970359150735</v>
          </cell>
          <cell r="AQ227">
            <v>1415.1671835503394</v>
          </cell>
          <cell r="AS227">
            <v>2022.5811832907536</v>
          </cell>
          <cell r="AT227">
            <v>0</v>
          </cell>
          <cell r="AV227">
            <v>138.25758637960135</v>
          </cell>
          <cell r="AW227">
            <v>0</v>
          </cell>
          <cell r="AY227">
            <v>195.76233491122258</v>
          </cell>
          <cell r="AZ227">
            <v>0</v>
          </cell>
          <cell r="BB227">
            <v>144.91736678168084</v>
          </cell>
          <cell r="BC227">
            <v>0</v>
          </cell>
          <cell r="BE227">
            <v>0</v>
          </cell>
          <cell r="BF227">
            <v>0</v>
          </cell>
          <cell r="BH227">
            <v>0</v>
          </cell>
          <cell r="BI227">
            <v>0</v>
          </cell>
          <cell r="BK227">
            <v>58.242082060788206</v>
          </cell>
          <cell r="BL227">
            <v>0</v>
          </cell>
          <cell r="BN227">
            <v>0</v>
          </cell>
          <cell r="BO227">
            <v>0</v>
          </cell>
          <cell r="BT227">
            <v>3277.4590101138278</v>
          </cell>
          <cell r="BU227">
            <v>2663.356338528688</v>
          </cell>
          <cell r="BW227">
            <v>1234.8270535032732</v>
          </cell>
          <cell r="BX227">
            <v>1736.5821737102096</v>
          </cell>
          <cell r="BZ227">
            <v>1309.6820222992956</v>
          </cell>
          <cell r="CA227">
            <v>2593.3933230536782</v>
          </cell>
          <cell r="CC227">
            <v>149.27226328810727</v>
          </cell>
          <cell r="CD227">
            <v>148.65964679907498</v>
          </cell>
          <cell r="CF227">
            <v>18.376320291149575</v>
          </cell>
          <cell r="CG227">
            <v>0</v>
          </cell>
          <cell r="CI227">
            <v>283.88246518741403</v>
          </cell>
          <cell r="CJ227">
            <v>183.3013294001872</v>
          </cell>
          <cell r="CL227">
            <v>0</v>
          </cell>
          <cell r="CM227">
            <v>0</v>
          </cell>
          <cell r="CX227">
            <v>5.932213282903831E-2</v>
          </cell>
          <cell r="CY227">
            <v>664.09124624785909</v>
          </cell>
        </row>
        <row r="228">
          <cell r="I228">
            <v>2179.1610473992082</v>
          </cell>
          <cell r="J228">
            <v>2673.62905647957</v>
          </cell>
          <cell r="L228">
            <v>429.59193429862819</v>
          </cell>
          <cell r="M228">
            <v>525.89527570597988</v>
          </cell>
          <cell r="O228">
            <v>737.66</v>
          </cell>
          <cell r="P228">
            <v>737.66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X228">
            <v>1241.9147834079502</v>
          </cell>
          <cell r="Y228">
            <v>1059.7333273370809</v>
          </cell>
          <cell r="AA228">
            <v>0</v>
          </cell>
          <cell r="AB228">
            <v>0</v>
          </cell>
          <cell r="AD228">
            <v>2262.2712003593629</v>
          </cell>
          <cell r="AE228">
            <v>2114.5958514422559</v>
          </cell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P228">
            <v>1633.6054339915459</v>
          </cell>
          <cell r="AQ228">
            <v>707.58359177516968</v>
          </cell>
          <cell r="AS228">
            <v>7334.9898286120761</v>
          </cell>
          <cell r="AT228">
            <v>98.618250536663112</v>
          </cell>
          <cell r="AV228">
            <v>338.3518327252624</v>
          </cell>
          <cell r="AW228">
            <v>0</v>
          </cell>
          <cell r="AY228">
            <v>553.69522338747106</v>
          </cell>
          <cell r="AZ228">
            <v>0</v>
          </cell>
          <cell r="BB228">
            <v>395.83670735449164</v>
          </cell>
          <cell r="BC228">
            <v>0</v>
          </cell>
          <cell r="BE228">
            <v>0</v>
          </cell>
          <cell r="BF228">
            <v>0</v>
          </cell>
          <cell r="BH228">
            <v>0</v>
          </cell>
          <cell r="BI228">
            <v>0</v>
          </cell>
          <cell r="BK228">
            <v>174.41860241614506</v>
          </cell>
          <cell r="BL228">
            <v>0</v>
          </cell>
          <cell r="BN228">
            <v>200.88589227223855</v>
          </cell>
          <cell r="BO228">
            <v>0</v>
          </cell>
          <cell r="BT228">
            <v>3380.651705548893</v>
          </cell>
          <cell r="BU228">
            <v>3225.7545450323878</v>
          </cell>
          <cell r="BW228">
            <v>2264.1058263503965</v>
          </cell>
          <cell r="BX228">
            <v>4291.9694073986684</v>
          </cell>
          <cell r="BZ228">
            <v>1465.7426478390848</v>
          </cell>
          <cell r="CA228">
            <v>2997.9623224772267</v>
          </cell>
          <cell r="CC228">
            <v>175.00886040674649</v>
          </cell>
          <cell r="CD228">
            <v>174.29062038512245</v>
          </cell>
          <cell r="CF228">
            <v>21.544651375830533</v>
          </cell>
          <cell r="CG228">
            <v>0</v>
          </cell>
          <cell r="CI228">
            <v>1550.4350021774148</v>
          </cell>
          <cell r="CJ228">
            <v>605.82817929127032</v>
          </cell>
          <cell r="CL228">
            <v>0</v>
          </cell>
          <cell r="CM228">
            <v>0</v>
          </cell>
          <cell r="CX228">
            <v>1580.2945840927096</v>
          </cell>
          <cell r="CY228">
            <v>10131.915486566328</v>
          </cell>
        </row>
        <row r="229">
          <cell r="I229">
            <v>603.65476624585074</v>
          </cell>
          <cell r="J229">
            <v>726.56986795797025</v>
          </cell>
          <cell r="L229">
            <v>102.82383724539872</v>
          </cell>
          <cell r="M229">
            <v>133.20733493725243</v>
          </cell>
          <cell r="O229">
            <v>137.76</v>
          </cell>
          <cell r="P229">
            <v>137.76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>
            <v>201.19626340407379</v>
          </cell>
          <cell r="Y229">
            <v>166.71660037107006</v>
          </cell>
          <cell r="AA229">
            <v>0</v>
          </cell>
          <cell r="AB229">
            <v>0</v>
          </cell>
          <cell r="AD229">
            <v>429.93486066366467</v>
          </cell>
          <cell r="AE229">
            <v>401.59646346064403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P229">
            <v>284.10529286809492</v>
          </cell>
          <cell r="AQ229">
            <v>0</v>
          </cell>
          <cell r="AS229">
            <v>1512.9277306976576</v>
          </cell>
          <cell r="AT229">
            <v>1679</v>
          </cell>
          <cell r="AV229">
            <v>106.42402557711507</v>
          </cell>
          <cell r="AW229">
            <v>0</v>
          </cell>
          <cell r="AY229">
            <v>132.492596975553</v>
          </cell>
          <cell r="AZ229">
            <v>0</v>
          </cell>
          <cell r="BB229">
            <v>66.563181804184708</v>
          </cell>
          <cell r="BC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K229">
            <v>19.771301113804686</v>
          </cell>
          <cell r="BL229">
            <v>0</v>
          </cell>
          <cell r="BN229">
            <v>0</v>
          </cell>
          <cell r="BO229">
            <v>0</v>
          </cell>
          <cell r="BT229">
            <v>1543.6814883329262</v>
          </cell>
          <cell r="BU229">
            <v>1121.0337641648027</v>
          </cell>
          <cell r="BW229">
            <v>815.58566851900912</v>
          </cell>
          <cell r="BX229">
            <v>1683.0215870468458</v>
          </cell>
          <cell r="BZ229">
            <v>279.8951109604879</v>
          </cell>
          <cell r="CA229">
            <v>1015.6645816083012</v>
          </cell>
          <cell r="CC229">
            <v>0</v>
          </cell>
          <cell r="CD229">
            <v>0</v>
          </cell>
          <cell r="CF229">
            <v>0</v>
          </cell>
          <cell r="CG229">
            <v>0</v>
          </cell>
          <cell r="CI229">
            <v>124.78350118128091</v>
          </cell>
          <cell r="CJ229">
            <v>1.5528756128060874</v>
          </cell>
          <cell r="CL229">
            <v>0</v>
          </cell>
          <cell r="CM229">
            <v>0</v>
          </cell>
          <cell r="CX229">
            <v>104.22044929307776</v>
          </cell>
          <cell r="CY229">
            <v>-741.20769019163026</v>
          </cell>
        </row>
        <row r="230">
          <cell r="I230">
            <v>2596.3118439050209</v>
          </cell>
          <cell r="J230">
            <v>3198.1972710153927</v>
          </cell>
          <cell r="L230">
            <v>395.71270067189192</v>
          </cell>
          <cell r="M230">
            <v>484.42012309319045</v>
          </cell>
          <cell r="O230">
            <v>1011.36</v>
          </cell>
          <cell r="P230">
            <v>1011.36</v>
          </cell>
          <cell r="R230">
            <v>251.7</v>
          </cell>
          <cell r="S230">
            <v>251.7</v>
          </cell>
          <cell r="U230">
            <v>130.00964065633656</v>
          </cell>
          <cell r="V230">
            <v>422.57794099540138</v>
          </cell>
          <cell r="X230">
            <v>1078.8889875448481</v>
          </cell>
          <cell r="Y230">
            <v>851.23274944969023</v>
          </cell>
          <cell r="AA230">
            <v>0</v>
          </cell>
          <cell r="AB230">
            <v>0</v>
          </cell>
          <cell r="AD230">
            <v>2991.7993237828559</v>
          </cell>
          <cell r="AE230">
            <v>2796.6730566937913</v>
          </cell>
          <cell r="AJ230">
            <v>6139.7493479442464</v>
          </cell>
          <cell r="AK230">
            <v>6114.5461422860863</v>
          </cell>
          <cell r="AM230">
            <v>0</v>
          </cell>
          <cell r="AN230">
            <v>524.04800106883954</v>
          </cell>
          <cell r="AP230">
            <v>568.21058573618984</v>
          </cell>
          <cell r="AQ230">
            <v>0</v>
          </cell>
          <cell r="AS230">
            <v>10751.05370272178</v>
          </cell>
          <cell r="AT230">
            <v>938</v>
          </cell>
          <cell r="AV230">
            <v>205.77312815090349</v>
          </cell>
          <cell r="AW230">
            <v>0</v>
          </cell>
          <cell r="AY230">
            <v>262.67571456331655</v>
          </cell>
          <cell r="AZ230">
            <v>0</v>
          </cell>
          <cell r="BB230">
            <v>264.85518945278432</v>
          </cell>
          <cell r="BC230">
            <v>0</v>
          </cell>
          <cell r="BE230">
            <v>145.72291312674076</v>
          </cell>
          <cell r="BF230">
            <v>0</v>
          </cell>
          <cell r="BH230">
            <v>65.961235315382794</v>
          </cell>
          <cell r="BI230">
            <v>0</v>
          </cell>
          <cell r="BK230">
            <v>171.46695994239872</v>
          </cell>
          <cell r="BL230">
            <v>1489</v>
          </cell>
          <cell r="BN230">
            <v>0</v>
          </cell>
          <cell r="BO230">
            <v>0</v>
          </cell>
          <cell r="BT230">
            <v>9851.5077486654918</v>
          </cell>
          <cell r="BU230">
            <v>7189.7217084767299</v>
          </cell>
          <cell r="BW230">
            <v>5954.258277416272</v>
          </cell>
          <cell r="BX230">
            <v>8000.5788900495181</v>
          </cell>
          <cell r="BZ230">
            <v>1934.6017738005112</v>
          </cell>
          <cell r="CA230">
            <v>6648.6104354325644</v>
          </cell>
          <cell r="CC230">
            <v>88.23976154962007</v>
          </cell>
          <cell r="CD230">
            <v>87.877623723591142</v>
          </cell>
          <cell r="CF230">
            <v>10.862849433191865</v>
          </cell>
          <cell r="CG230">
            <v>0</v>
          </cell>
          <cell r="CI230">
            <v>1372.6185129940898</v>
          </cell>
          <cell r="CJ230">
            <v>2777.4096949442487</v>
          </cell>
          <cell r="CL230">
            <v>2058.9277694911343</v>
          </cell>
          <cell r="CM230">
            <v>4166.1145424163733</v>
          </cell>
          <cell r="CX230">
            <v>1456.0784397619936</v>
          </cell>
          <cell r="CY230">
            <v>3076.3181844255123</v>
          </cell>
        </row>
        <row r="231"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0</v>
          </cell>
          <cell r="AA231">
            <v>0</v>
          </cell>
          <cell r="AB231">
            <v>0</v>
          </cell>
          <cell r="AD231">
            <v>0</v>
          </cell>
          <cell r="AE231">
            <v>153.00761287644863</v>
          </cell>
          <cell r="AJ231">
            <v>0</v>
          </cell>
          <cell r="AK231">
            <v>0</v>
          </cell>
          <cell r="AM231">
            <v>0</v>
          </cell>
          <cell r="AN231">
            <v>0</v>
          </cell>
          <cell r="AP231">
            <v>94.701764289364974</v>
          </cell>
          <cell r="AQ231">
            <v>0</v>
          </cell>
          <cell r="AS231">
            <v>547.48421012736378</v>
          </cell>
          <cell r="AT231">
            <v>0</v>
          </cell>
          <cell r="AV231">
            <v>0</v>
          </cell>
          <cell r="AW231">
            <v>0</v>
          </cell>
          <cell r="AY231">
            <v>0</v>
          </cell>
          <cell r="AZ231">
            <v>0</v>
          </cell>
          <cell r="BB231">
            <v>0</v>
          </cell>
          <cell r="BC231">
            <v>0</v>
          </cell>
          <cell r="BE231">
            <v>0</v>
          </cell>
          <cell r="BF231">
            <v>0</v>
          </cell>
          <cell r="BH231">
            <v>0</v>
          </cell>
          <cell r="BI231">
            <v>0</v>
          </cell>
          <cell r="BK231">
            <v>0</v>
          </cell>
          <cell r="BL231">
            <v>0</v>
          </cell>
          <cell r="BN231">
            <v>0</v>
          </cell>
          <cell r="BO231">
            <v>0</v>
          </cell>
          <cell r="BT231">
            <v>87.732372765390863</v>
          </cell>
          <cell r="BU231">
            <v>88.079947789455076</v>
          </cell>
          <cell r="BW231">
            <v>0</v>
          </cell>
          <cell r="BX231">
            <v>0.92060551356852383</v>
          </cell>
          <cell r="BZ231">
            <v>0</v>
          </cell>
          <cell r="CA231">
            <v>104.335625126106</v>
          </cell>
          <cell r="CC231">
            <v>0</v>
          </cell>
          <cell r="CD231">
            <v>0</v>
          </cell>
          <cell r="CF231">
            <v>0</v>
          </cell>
          <cell r="CG231">
            <v>0</v>
          </cell>
          <cell r="CI231">
            <v>0</v>
          </cell>
          <cell r="CJ231">
            <v>0</v>
          </cell>
          <cell r="CL231">
            <v>0</v>
          </cell>
          <cell r="CM231">
            <v>0</v>
          </cell>
          <cell r="CX231">
            <v>13.117983381456384</v>
          </cell>
          <cell r="CY231">
            <v>473.40745043330617</v>
          </cell>
        </row>
        <row r="232">
          <cell r="I232">
            <v>327.32270344175856</v>
          </cell>
          <cell r="J232">
            <v>396.72947277720885</v>
          </cell>
          <cell r="L232">
            <v>55.924551659938601</v>
          </cell>
          <cell r="M232">
            <v>68.461168941634838</v>
          </cell>
          <cell r="O232">
            <v>95.5</v>
          </cell>
          <cell r="P232">
            <v>95.5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X232">
            <v>160.71800817894464</v>
          </cell>
          <cell r="Y232">
            <v>130.41748357928708</v>
          </cell>
          <cell r="AA232">
            <v>0</v>
          </cell>
          <cell r="AB232">
            <v>0</v>
          </cell>
          <cell r="AD232">
            <v>291.96802985894811</v>
          </cell>
          <cell r="AE232">
            <v>272.90909445137572</v>
          </cell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P232">
            <v>189.40352857872995</v>
          </cell>
          <cell r="AQ232">
            <v>424.55015506510182</v>
          </cell>
          <cell r="AS232">
            <v>931.67389590225719</v>
          </cell>
          <cell r="AT232">
            <v>0</v>
          </cell>
          <cell r="AV232">
            <v>55.047242791802105</v>
          </cell>
          <cell r="AW232">
            <v>1506</v>
          </cell>
          <cell r="AY232">
            <v>72.08773375891468</v>
          </cell>
          <cell r="AZ232">
            <v>0</v>
          </cell>
          <cell r="BB232">
            <v>47.77744413412605</v>
          </cell>
          <cell r="BC232">
            <v>2019</v>
          </cell>
          <cell r="BE232">
            <v>0</v>
          </cell>
          <cell r="BF232">
            <v>0</v>
          </cell>
          <cell r="BH232">
            <v>0</v>
          </cell>
          <cell r="BI232">
            <v>0</v>
          </cell>
          <cell r="BK232">
            <v>13.131198850039331</v>
          </cell>
          <cell r="BL232">
            <v>0</v>
          </cell>
          <cell r="BN232">
            <v>0</v>
          </cell>
          <cell r="BO232">
            <v>0</v>
          </cell>
          <cell r="BT232">
            <v>975.27684272162037</v>
          </cell>
          <cell r="BU232">
            <v>768.37558287422064</v>
          </cell>
          <cell r="BW232">
            <v>581.89933690651253</v>
          </cell>
          <cell r="BX232">
            <v>570.52189551350807</v>
          </cell>
          <cell r="BZ232">
            <v>183.22723722074753</v>
          </cell>
          <cell r="CA232">
            <v>704.04637220470886</v>
          </cell>
          <cell r="CC232">
            <v>0</v>
          </cell>
          <cell r="CD232">
            <v>0</v>
          </cell>
          <cell r="CF232">
            <v>0</v>
          </cell>
          <cell r="CG232">
            <v>0</v>
          </cell>
          <cell r="CI232">
            <v>115.42473859268483</v>
          </cell>
          <cell r="CJ232">
            <v>4.6606937413872247</v>
          </cell>
          <cell r="CL232">
            <v>0</v>
          </cell>
          <cell r="CM232">
            <v>0</v>
          </cell>
          <cell r="CX232">
            <v>-1.8991116427969246E-2</v>
          </cell>
          <cell r="CY232">
            <v>-3437.7663029781197</v>
          </cell>
        </row>
        <row r="233">
          <cell r="I233">
            <v>333.51076696215716</v>
          </cell>
          <cell r="J233">
            <v>575.18838631743427</v>
          </cell>
          <cell r="L233">
            <v>55.924551659938601</v>
          </cell>
          <cell r="M233">
            <v>68.461168941634838</v>
          </cell>
          <cell r="O233">
            <v>107.52</v>
          </cell>
          <cell r="P233">
            <v>107.52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X233">
            <v>160.71800817894464</v>
          </cell>
          <cell r="Y233">
            <v>130.45080322032908</v>
          </cell>
          <cell r="AA233">
            <v>0</v>
          </cell>
          <cell r="AB233">
            <v>0</v>
          </cell>
          <cell r="AD233">
            <v>321.11494814362226</v>
          </cell>
          <cell r="AE233">
            <v>300.15337554256752</v>
          </cell>
          <cell r="AJ233">
            <v>0</v>
          </cell>
          <cell r="AK233">
            <v>0</v>
          </cell>
          <cell r="AM233">
            <v>0</v>
          </cell>
          <cell r="AN233">
            <v>0</v>
          </cell>
          <cell r="AP233">
            <v>165.7280875063887</v>
          </cell>
          <cell r="AQ233">
            <v>353.79179588758484</v>
          </cell>
          <cell r="AS233">
            <v>669.94801109952175</v>
          </cell>
          <cell r="AT233">
            <v>0</v>
          </cell>
          <cell r="AV233">
            <v>58.218883533051603</v>
          </cell>
          <cell r="AW233">
            <v>0</v>
          </cell>
          <cell r="AY233">
            <v>72.08773375891468</v>
          </cell>
          <cell r="AZ233">
            <v>0</v>
          </cell>
          <cell r="BB233">
            <v>53.860905364050453</v>
          </cell>
          <cell r="BC233">
            <v>0</v>
          </cell>
          <cell r="BE233">
            <v>0</v>
          </cell>
          <cell r="BF233">
            <v>0</v>
          </cell>
          <cell r="BH233">
            <v>0</v>
          </cell>
          <cell r="BI233">
            <v>0</v>
          </cell>
          <cell r="BK233">
            <v>13.131198850039331</v>
          </cell>
          <cell r="BL233">
            <v>0</v>
          </cell>
          <cell r="BN233">
            <v>0</v>
          </cell>
          <cell r="BO233">
            <v>0</v>
          </cell>
          <cell r="BT233">
            <v>998.385822723616</v>
          </cell>
          <cell r="BU233">
            <v>773.03533989679397</v>
          </cell>
          <cell r="BW233">
            <v>802.9280128816464</v>
          </cell>
          <cell r="BX233">
            <v>796.86818320422753</v>
          </cell>
          <cell r="BZ233">
            <v>177.85096626383185</v>
          </cell>
          <cell r="CA233">
            <v>622.43699249023643</v>
          </cell>
          <cell r="CC233">
            <v>0</v>
          </cell>
          <cell r="CD233">
            <v>0</v>
          </cell>
          <cell r="CF233">
            <v>0</v>
          </cell>
          <cell r="CG233">
            <v>0</v>
          </cell>
          <cell r="CI233">
            <v>159.09896400613314</v>
          </cell>
          <cell r="CJ233">
            <v>20.190483320932582</v>
          </cell>
          <cell r="CL233">
            <v>0</v>
          </cell>
          <cell r="CM233">
            <v>0</v>
          </cell>
          <cell r="CX233">
            <v>124.46776688177215</v>
          </cell>
          <cell r="CY233">
            <v>606.78416541391107</v>
          </cell>
        </row>
        <row r="234">
          <cell r="I234">
            <v>1412.3497975921871</v>
          </cell>
          <cell r="J234">
            <v>1726.9091608967183</v>
          </cell>
          <cell r="L234">
            <v>299.29898953786147</v>
          </cell>
          <cell r="M234">
            <v>366.39403378023093</v>
          </cell>
          <cell r="O234">
            <v>523.96</v>
          </cell>
          <cell r="P234">
            <v>523.96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X234">
            <v>939.72715203929658</v>
          </cell>
          <cell r="Y234">
            <v>797.44086976149299</v>
          </cell>
          <cell r="AA234">
            <v>0</v>
          </cell>
          <cell r="AB234">
            <v>0</v>
          </cell>
          <cell r="AD234">
            <v>1498.3938969524636</v>
          </cell>
          <cell r="AE234">
            <v>1399.8991896185985</v>
          </cell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P234">
            <v>947.01764289364974</v>
          </cell>
          <cell r="AQ234">
            <v>566.06687342013572</v>
          </cell>
          <cell r="AS234">
            <v>4693.1017113782236</v>
          </cell>
          <cell r="AT234">
            <v>0</v>
          </cell>
          <cell r="AV234">
            <v>249.80458999544032</v>
          </cell>
          <cell r="AW234">
            <v>0</v>
          </cell>
          <cell r="AY234">
            <v>385.7367251097441</v>
          </cell>
          <cell r="AZ234">
            <v>0</v>
          </cell>
          <cell r="BB234">
            <v>225.03237420717613</v>
          </cell>
          <cell r="BC234">
            <v>0</v>
          </cell>
          <cell r="BE234">
            <v>0</v>
          </cell>
          <cell r="BF234">
            <v>0</v>
          </cell>
          <cell r="BH234">
            <v>0</v>
          </cell>
          <cell r="BI234">
            <v>0</v>
          </cell>
          <cell r="BK234">
            <v>128.96003314994545</v>
          </cell>
          <cell r="BL234">
            <v>5924</v>
          </cell>
          <cell r="BN234">
            <v>0</v>
          </cell>
          <cell r="BO234">
            <v>0</v>
          </cell>
          <cell r="BT234">
            <v>2174.3199739358015</v>
          </cell>
          <cell r="BU234">
            <v>1869.9581119563486</v>
          </cell>
          <cell r="BW234">
            <v>1926.4745622324472</v>
          </cell>
          <cell r="BX234">
            <v>1976.6085082752727</v>
          </cell>
          <cell r="BZ234">
            <v>879.31083166086194</v>
          </cell>
          <cell r="CA234">
            <v>1832.512923282698</v>
          </cell>
          <cell r="CC234">
            <v>185.30349925420214</v>
          </cell>
          <cell r="CD234">
            <v>184.5430098195414</v>
          </cell>
          <cell r="CF234">
            <v>22.81198380970292</v>
          </cell>
          <cell r="CG234">
            <v>0</v>
          </cell>
          <cell r="CI234">
            <v>452.34019178214317</v>
          </cell>
          <cell r="CJ234">
            <v>380.5785393156292</v>
          </cell>
          <cell r="CL234">
            <v>0</v>
          </cell>
          <cell r="CM234">
            <v>0</v>
          </cell>
          <cell r="CX234">
            <v>996.30725336262185</v>
          </cell>
          <cell r="CY234">
            <v>270.39453584800413</v>
          </cell>
        </row>
        <row r="235">
          <cell r="I235">
            <v>1762.7751319934337</v>
          </cell>
          <cell r="J235">
            <v>2164.2563459194726</v>
          </cell>
          <cell r="L235">
            <v>247.51688833927398</v>
          </cell>
          <cell r="M235">
            <v>303.00406253797644</v>
          </cell>
          <cell r="O235">
            <v>625.32000000000005</v>
          </cell>
          <cell r="P235">
            <v>625.32000000000005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X235">
            <v>773.10054146450511</v>
          </cell>
          <cell r="Y235">
            <v>625.70859763331214</v>
          </cell>
          <cell r="AA235">
            <v>0</v>
          </cell>
          <cell r="AB235">
            <v>0</v>
          </cell>
          <cell r="AD235">
            <v>1989.6156762587195</v>
          </cell>
          <cell r="AE235">
            <v>1857.9946270798935</v>
          </cell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P235">
            <v>1633.6054339915459</v>
          </cell>
          <cell r="AQ235">
            <v>990.6170284852376</v>
          </cell>
          <cell r="AS235">
            <v>5274.8921488145579</v>
          </cell>
          <cell r="AT235">
            <v>87.775878306232258</v>
          </cell>
          <cell r="AV235">
            <v>276.78672703023619</v>
          </cell>
          <cell r="AW235">
            <v>766</v>
          </cell>
          <cell r="AY235">
            <v>319.0193196255849</v>
          </cell>
          <cell r="AZ235">
            <v>0</v>
          </cell>
          <cell r="BB235">
            <v>346.12883444303247</v>
          </cell>
          <cell r="BC235">
            <v>0</v>
          </cell>
          <cell r="BE235">
            <v>0</v>
          </cell>
          <cell r="BF235">
            <v>0</v>
          </cell>
          <cell r="BH235">
            <v>0</v>
          </cell>
          <cell r="BI235">
            <v>0</v>
          </cell>
          <cell r="BK235">
            <v>113.23255725526957</v>
          </cell>
          <cell r="BL235">
            <v>130</v>
          </cell>
          <cell r="BN235">
            <v>0</v>
          </cell>
          <cell r="BO235">
            <v>0</v>
          </cell>
          <cell r="BT235">
            <v>5955.8271266455595</v>
          </cell>
          <cell r="BU235">
            <v>4853.5651086319658</v>
          </cell>
          <cell r="BW235">
            <v>2935.1660347396864</v>
          </cell>
          <cell r="BX235">
            <v>2933.5528251272235</v>
          </cell>
          <cell r="BZ235">
            <v>1902.5954635965757</v>
          </cell>
          <cell r="CA235">
            <v>5144.9891562519297</v>
          </cell>
          <cell r="CC235">
            <v>0</v>
          </cell>
          <cell r="CD235">
            <v>0</v>
          </cell>
          <cell r="CF235">
            <v>0</v>
          </cell>
          <cell r="CG235">
            <v>0</v>
          </cell>
          <cell r="CI235">
            <v>340.03504071899044</v>
          </cell>
          <cell r="CJ235">
            <v>340.19963957673298</v>
          </cell>
          <cell r="CL235">
            <v>0</v>
          </cell>
          <cell r="CM235">
            <v>0</v>
          </cell>
          <cell r="CX235">
            <v>701.71969009963141</v>
          </cell>
          <cell r="CY235">
            <v>5108.8800765400283</v>
          </cell>
        </row>
        <row r="236">
          <cell r="I236">
            <v>2033.8603633767334</v>
          </cell>
          <cell r="J236">
            <v>2506.9235395798073</v>
          </cell>
          <cell r="L236">
            <v>345.21193849411895</v>
          </cell>
          <cell r="M236">
            <v>422.5998082816966</v>
          </cell>
          <cell r="O236">
            <v>813</v>
          </cell>
          <cell r="P236">
            <v>813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X236">
            <v>1458.8328846659915</v>
          </cell>
          <cell r="Y236">
            <v>1261.2085338462032</v>
          </cell>
          <cell r="AA236">
            <v>0</v>
          </cell>
          <cell r="AB236">
            <v>0</v>
          </cell>
          <cell r="AD236">
            <v>2536.6370570732875</v>
          </cell>
          <cell r="AE236">
            <v>2371.5984693801565</v>
          </cell>
          <cell r="AJ236">
            <v>0</v>
          </cell>
          <cell r="AK236">
            <v>0</v>
          </cell>
          <cell r="AM236">
            <v>0</v>
          </cell>
          <cell r="AN236">
            <v>0</v>
          </cell>
          <cell r="AP236">
            <v>1894.0352857872995</v>
          </cell>
          <cell r="AQ236">
            <v>0</v>
          </cell>
          <cell r="AS236">
            <v>9634.576653702592</v>
          </cell>
          <cell r="AT236">
            <v>0</v>
          </cell>
          <cell r="AV236">
            <v>323.47028542496639</v>
          </cell>
          <cell r="AW236">
            <v>0</v>
          </cell>
          <cell r="AY236">
            <v>444.88882070319545</v>
          </cell>
          <cell r="AZ236">
            <v>0</v>
          </cell>
          <cell r="BB236">
            <v>469.97318737165875</v>
          </cell>
          <cell r="BC236">
            <v>0</v>
          </cell>
          <cell r="BE236">
            <v>0</v>
          </cell>
          <cell r="BF236">
            <v>0</v>
          </cell>
          <cell r="BH236">
            <v>0</v>
          </cell>
          <cell r="BI236">
            <v>0</v>
          </cell>
          <cell r="BK236">
            <v>179.51138020506116</v>
          </cell>
          <cell r="BL236">
            <v>0</v>
          </cell>
          <cell r="BN236">
            <v>0</v>
          </cell>
          <cell r="BO236">
            <v>0</v>
          </cell>
          <cell r="BT236">
            <v>4105.1319113664031</v>
          </cell>
          <cell r="BU236">
            <v>3611.7538857532541</v>
          </cell>
          <cell r="BW236">
            <v>2922.8817848610447</v>
          </cell>
          <cell r="BX236">
            <v>2975.7952018905944</v>
          </cell>
          <cell r="BZ236">
            <v>1922.0816475218207</v>
          </cell>
          <cell r="CA236">
            <v>3356.9175402030214</v>
          </cell>
          <cell r="CC236">
            <v>305.79979585918329</v>
          </cell>
          <cell r="CD236">
            <v>304.54478710431192</v>
          </cell>
          <cell r="CF236">
            <v>37.645808202361586</v>
          </cell>
          <cell r="CG236">
            <v>0</v>
          </cell>
          <cell r="CI236">
            <v>311.95875295320229</v>
          </cell>
          <cell r="CJ236">
            <v>270.28199929553324</v>
          </cell>
          <cell r="CL236">
            <v>0</v>
          </cell>
          <cell r="CM236">
            <v>0</v>
          </cell>
          <cell r="CX236">
            <v>1087.3629309172975</v>
          </cell>
          <cell r="CY236">
            <v>15301.21148159851</v>
          </cell>
        </row>
        <row r="237">
          <cell r="I237">
            <v>2034.0152430067699</v>
          </cell>
          <cell r="J237">
            <v>2507.5164490113639</v>
          </cell>
          <cell r="L237">
            <v>345.21193849411895</v>
          </cell>
          <cell r="M237">
            <v>422.5998082816966</v>
          </cell>
          <cell r="O237">
            <v>820.28</v>
          </cell>
          <cell r="P237">
            <v>820.28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X237">
            <v>1275.7588742575476</v>
          </cell>
          <cell r="Y237">
            <v>1091.4425478227715</v>
          </cell>
          <cell r="AA237">
            <v>0</v>
          </cell>
          <cell r="AB237">
            <v>0</v>
          </cell>
          <cell r="AD237">
            <v>2547.8254829185048</v>
          </cell>
          <cell r="AE237">
            <v>2380.9973675311603</v>
          </cell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P237">
            <v>1894.0352857872995</v>
          </cell>
          <cell r="AQ237">
            <v>5660.6687342013574</v>
          </cell>
          <cell r="AS237">
            <v>9653.4290157244177</v>
          </cell>
          <cell r="AT237">
            <v>1650.4905473274753</v>
          </cell>
          <cell r="AV237">
            <v>323.52638508503514</v>
          </cell>
          <cell r="AW237">
            <v>465</v>
          </cell>
          <cell r="AY237">
            <v>444.88882070319545</v>
          </cell>
          <cell r="AZ237">
            <v>0</v>
          </cell>
          <cell r="BB237">
            <v>472.79176507359625</v>
          </cell>
          <cell r="BC237">
            <v>0</v>
          </cell>
          <cell r="BE237">
            <v>0</v>
          </cell>
          <cell r="BF237">
            <v>0</v>
          </cell>
          <cell r="BH237">
            <v>0</v>
          </cell>
          <cell r="BI237">
            <v>0</v>
          </cell>
          <cell r="BK237">
            <v>179.51810429532154</v>
          </cell>
          <cell r="BL237">
            <v>261</v>
          </cell>
          <cell r="BN237">
            <v>0</v>
          </cell>
          <cell r="BO237">
            <v>0</v>
          </cell>
          <cell r="BT237">
            <v>4845.0990235753434</v>
          </cell>
          <cell r="BU237">
            <v>4030.8553957620202</v>
          </cell>
          <cell r="BW237">
            <v>3157.2849209092883</v>
          </cell>
          <cell r="BX237">
            <v>3215.9973946692671</v>
          </cell>
          <cell r="BZ237">
            <v>2000.0445817704201</v>
          </cell>
          <cell r="CA237">
            <v>4651.0363655884257</v>
          </cell>
          <cell r="CC237">
            <v>422.17823692518226</v>
          </cell>
          <cell r="CD237">
            <v>420.445608615315</v>
          </cell>
          <cell r="CF237">
            <v>51.9726996214713</v>
          </cell>
          <cell r="CG237">
            <v>0</v>
          </cell>
          <cell r="CI237">
            <v>754.94018214674941</v>
          </cell>
          <cell r="CJ237">
            <v>285.83762516219065</v>
          </cell>
          <cell r="CL237">
            <v>0</v>
          </cell>
          <cell r="CM237">
            <v>0</v>
          </cell>
          <cell r="CX237">
            <v>1295.0993276468871</v>
          </cell>
          <cell r="CY237">
            <v>5325.4585872323496</v>
          </cell>
        </row>
        <row r="238">
          <cell r="I238">
            <v>2034.7811152672907</v>
          </cell>
          <cell r="J238">
            <v>2508.0749489955801</v>
          </cell>
          <cell r="L238">
            <v>345.21193849411895</v>
          </cell>
          <cell r="M238">
            <v>422.5998082816966</v>
          </cell>
          <cell r="O238">
            <v>820.28</v>
          </cell>
          <cell r="P238">
            <v>820.28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X238">
            <v>1275.7588742575476</v>
          </cell>
          <cell r="Y238">
            <v>1091.434277553873</v>
          </cell>
          <cell r="AA238">
            <v>0</v>
          </cell>
          <cell r="AB238">
            <v>0</v>
          </cell>
          <cell r="AD238">
            <v>2539.9864584409638</v>
          </cell>
          <cell r="AE238">
            <v>2374.080058195228</v>
          </cell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P238">
            <v>1894.0352857872995</v>
          </cell>
          <cell r="AQ238">
            <v>0</v>
          </cell>
          <cell r="AS238">
            <v>8783.0631475805385</v>
          </cell>
          <cell r="AT238">
            <v>530</v>
          </cell>
          <cell r="AV238">
            <v>323.47537914525492</v>
          </cell>
          <cell r="AW238">
            <v>0</v>
          </cell>
          <cell r="AY238">
            <v>444.88882070319545</v>
          </cell>
          <cell r="AZ238">
            <v>0</v>
          </cell>
          <cell r="BB238">
            <v>472.79176507359625</v>
          </cell>
          <cell r="BC238">
            <v>0</v>
          </cell>
          <cell r="BE238">
            <v>0</v>
          </cell>
          <cell r="BF238">
            <v>0</v>
          </cell>
          <cell r="BH238">
            <v>0</v>
          </cell>
          <cell r="BI238">
            <v>0</v>
          </cell>
          <cell r="BK238">
            <v>179.51810429532154</v>
          </cell>
          <cell r="BL238">
            <v>124</v>
          </cell>
          <cell r="BN238">
            <v>0</v>
          </cell>
          <cell r="BO238">
            <v>0</v>
          </cell>
          <cell r="BT238">
            <v>4585.7963105153513</v>
          </cell>
          <cell r="BU238">
            <v>3965.0747146442432</v>
          </cell>
          <cell r="BW238">
            <v>3058.3057780193394</v>
          </cell>
          <cell r="BX238">
            <v>3112.5656744573898</v>
          </cell>
          <cell r="BZ238">
            <v>1991.3291383066266</v>
          </cell>
          <cell r="CA238">
            <v>3619.3941216855469</v>
          </cell>
          <cell r="CC238">
            <v>350.80207424948964</v>
          </cell>
          <cell r="CD238">
            <v>349.36237520334345</v>
          </cell>
          <cell r="CF238">
            <v>43.185861413289444</v>
          </cell>
          <cell r="CG238">
            <v>0</v>
          </cell>
          <cell r="CI238">
            <v>1279.0308871081293</v>
          </cell>
          <cell r="CJ238">
            <v>2047.3452659195846</v>
          </cell>
          <cell r="CL238">
            <v>0</v>
          </cell>
          <cell r="CM238">
            <v>0</v>
          </cell>
          <cell r="CX238">
            <v>1830.8508736111762</v>
          </cell>
          <cell r="CY238">
            <v>13180.486506076222</v>
          </cell>
        </row>
        <row r="239">
          <cell r="I239">
            <v>2033.9636981540743</v>
          </cell>
          <cell r="J239">
            <v>2507.3725870735934</v>
          </cell>
          <cell r="L239">
            <v>345.21193849411895</v>
          </cell>
          <cell r="M239">
            <v>422.5998082816966</v>
          </cell>
          <cell r="O239">
            <v>811.52</v>
          </cell>
          <cell r="P239">
            <v>811.52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X239">
            <v>1275.7588742575476</v>
          </cell>
          <cell r="Y239">
            <v>1091.4399713159223</v>
          </cell>
          <cell r="AA239">
            <v>0</v>
          </cell>
          <cell r="AB239">
            <v>0</v>
          </cell>
          <cell r="AD239">
            <v>2545.5165338905745</v>
          </cell>
          <cell r="AE239">
            <v>2379.3174781942885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P239">
            <v>1894.0352857872995</v>
          </cell>
          <cell r="AQ239">
            <v>636.82523259765276</v>
          </cell>
          <cell r="AS239">
            <v>9622.1724222320809</v>
          </cell>
          <cell r="AT239">
            <v>301</v>
          </cell>
          <cell r="AV239">
            <v>323.47537914525492</v>
          </cell>
          <cell r="AW239">
            <v>0</v>
          </cell>
          <cell r="AY239">
            <v>444.88882070319545</v>
          </cell>
          <cell r="AZ239">
            <v>0</v>
          </cell>
          <cell r="BB239">
            <v>469.39987804412397</v>
          </cell>
          <cell r="BC239">
            <v>0</v>
          </cell>
          <cell r="BE239">
            <v>0</v>
          </cell>
          <cell r="BF239">
            <v>0</v>
          </cell>
          <cell r="BH239">
            <v>0</v>
          </cell>
          <cell r="BI239">
            <v>0</v>
          </cell>
          <cell r="BK239">
            <v>179.51810429532154</v>
          </cell>
          <cell r="BL239">
            <v>0</v>
          </cell>
          <cell r="BN239">
            <v>0</v>
          </cell>
          <cell r="BO239">
            <v>0</v>
          </cell>
          <cell r="BT239">
            <v>6196.558486382004</v>
          </cell>
          <cell r="BU239">
            <v>4720.4667076639653</v>
          </cell>
          <cell r="BW239">
            <v>3120.7220613320342</v>
          </cell>
          <cell r="BX239">
            <v>3177.5545385667856</v>
          </cell>
          <cell r="BZ239">
            <v>1751.3290402107157</v>
          </cell>
          <cell r="CA239">
            <v>5143.1507938983032</v>
          </cell>
          <cell r="CC239">
            <v>349.72358827499426</v>
          </cell>
          <cell r="CD239">
            <v>348.28831535783286</v>
          </cell>
          <cell r="CF239">
            <v>43.053093253550429</v>
          </cell>
          <cell r="CG239">
            <v>0</v>
          </cell>
          <cell r="CI239">
            <v>1232.2370741651489</v>
          </cell>
          <cell r="CJ239">
            <v>330.88031899692749</v>
          </cell>
          <cell r="CL239">
            <v>0</v>
          </cell>
          <cell r="CM239">
            <v>0</v>
          </cell>
          <cell r="CX239">
            <v>1252.2788656535486</v>
          </cell>
          <cell r="CY239">
            <v>14174.681097663637</v>
          </cell>
        </row>
        <row r="240">
          <cell r="I240">
            <v>2777.6280587360443</v>
          </cell>
          <cell r="J240">
            <v>2787.3468041643628</v>
          </cell>
          <cell r="L240">
            <v>566.64124412410786</v>
          </cell>
          <cell r="M240">
            <v>601.06663443811578</v>
          </cell>
          <cell r="O240">
            <v>1106.6199999999999</v>
          </cell>
          <cell r="P240">
            <v>1106.94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>
            <v>2122.1356925593641</v>
          </cell>
          <cell r="Y240">
            <v>2083.4273096112297</v>
          </cell>
          <cell r="AA240">
            <v>0</v>
          </cell>
          <cell r="AB240">
            <v>0</v>
          </cell>
          <cell r="AD240">
            <v>3258.397419878127</v>
          </cell>
          <cell r="AE240">
            <v>3045.7316347580218</v>
          </cell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P240">
            <v>2320.193225089442</v>
          </cell>
          <cell r="AQ240">
            <v>0</v>
          </cell>
          <cell r="AS240">
            <v>10039.618184446057</v>
          </cell>
          <cell r="AT240">
            <v>0</v>
          </cell>
          <cell r="AV240">
            <v>453.16429572632046</v>
          </cell>
          <cell r="AW240">
            <v>0</v>
          </cell>
          <cell r="AY240">
            <v>730.31644067323475</v>
          </cell>
          <cell r="AZ240">
            <v>0</v>
          </cell>
          <cell r="BB240">
            <v>413.83434175910082</v>
          </cell>
          <cell r="BC240">
            <v>0</v>
          </cell>
          <cell r="BE240">
            <v>0</v>
          </cell>
          <cell r="BF240">
            <v>0</v>
          </cell>
          <cell r="BH240">
            <v>0</v>
          </cell>
          <cell r="BI240">
            <v>0</v>
          </cell>
          <cell r="BK240">
            <v>332.67629256086099</v>
          </cell>
          <cell r="BL240">
            <v>0</v>
          </cell>
          <cell r="BN240">
            <v>0</v>
          </cell>
          <cell r="BO240">
            <v>0</v>
          </cell>
          <cell r="BT240">
            <v>7998.952622454618</v>
          </cell>
          <cell r="BU240">
            <v>6238.3767395976547</v>
          </cell>
          <cell r="BW240">
            <v>4218.4013623814062</v>
          </cell>
          <cell r="BX240">
            <v>4253.125395661431</v>
          </cell>
          <cell r="BZ240">
            <v>1181.1152975767798</v>
          </cell>
          <cell r="CA240">
            <v>6579.7614586816508</v>
          </cell>
          <cell r="CC240">
            <v>98.044179499577865</v>
          </cell>
          <cell r="CD240">
            <v>97.641804137323476</v>
          </cell>
          <cell r="CF240">
            <v>12.069832703546517</v>
          </cell>
          <cell r="CG240">
            <v>0</v>
          </cell>
          <cell r="CI240">
            <v>773.65770732394151</v>
          </cell>
          <cell r="CJ240">
            <v>587.18127051978354</v>
          </cell>
          <cell r="CL240">
            <v>0</v>
          </cell>
          <cell r="CM240">
            <v>0</v>
          </cell>
          <cell r="CX240">
            <v>1537.1605630089689</v>
          </cell>
          <cell r="CY240">
            <v>14764.601138116512</v>
          </cell>
        </row>
        <row r="241">
          <cell r="I241">
            <v>2778.1929466304364</v>
          </cell>
          <cell r="J241">
            <v>2788.009832950589</v>
          </cell>
          <cell r="L241">
            <v>566.74004116832782</v>
          </cell>
          <cell r="M241">
            <v>601.17125874350108</v>
          </cell>
          <cell r="O241">
            <v>1142.5999999999999</v>
          </cell>
          <cell r="P241">
            <v>1142.78</v>
          </cell>
          <cell r="R241">
            <v>0</v>
          </cell>
          <cell r="S241">
            <v>0</v>
          </cell>
          <cell r="U241">
            <v>215.74518364026076</v>
          </cell>
          <cell r="V241">
            <v>148.63785502052934</v>
          </cell>
          <cell r="X241">
            <v>2123.4561880117967</v>
          </cell>
          <cell r="Y241">
            <v>2084.8166405599004</v>
          </cell>
          <cell r="AA241">
            <v>0</v>
          </cell>
          <cell r="AB241">
            <v>0</v>
          </cell>
          <cell r="AD241">
            <v>3262.3169321168975</v>
          </cell>
          <cell r="AE241">
            <v>3049.5661259007193</v>
          </cell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P241">
            <v>2367.5441072341246</v>
          </cell>
          <cell r="AQ241">
            <v>0</v>
          </cell>
          <cell r="AS241">
            <v>11450.190492822518</v>
          </cell>
          <cell r="AT241">
            <v>15833</v>
          </cell>
          <cell r="AV241">
            <v>453.28676417768395</v>
          </cell>
          <cell r="AW241">
            <v>0</v>
          </cell>
          <cell r="AY241">
            <v>730.47179917909421</v>
          </cell>
          <cell r="AZ241">
            <v>0</v>
          </cell>
          <cell r="BB241">
            <v>411.00574223534153</v>
          </cell>
          <cell r="BC241">
            <v>0</v>
          </cell>
          <cell r="BE241">
            <v>0</v>
          </cell>
          <cell r="BF241">
            <v>0</v>
          </cell>
          <cell r="BH241">
            <v>218.86472282667671</v>
          </cell>
          <cell r="BI241">
            <v>0</v>
          </cell>
          <cell r="BK241">
            <v>332.88205778624234</v>
          </cell>
          <cell r="BL241">
            <v>0</v>
          </cell>
          <cell r="BN241">
            <v>0</v>
          </cell>
          <cell r="BO241">
            <v>0</v>
          </cell>
          <cell r="BT241">
            <v>7863.8055369347612</v>
          </cell>
          <cell r="BU241">
            <v>5931.7031520486535</v>
          </cell>
          <cell r="BW241">
            <v>4213.3130259614436</v>
          </cell>
          <cell r="BX241">
            <v>4248.6768367201694</v>
          </cell>
          <cell r="BZ241">
            <v>1266.3865977475903</v>
          </cell>
          <cell r="CA241">
            <v>6192.0486549382904</v>
          </cell>
          <cell r="CC241">
            <v>98.044179499577865</v>
          </cell>
          <cell r="CD241">
            <v>97.641804137323476</v>
          </cell>
          <cell r="CF241">
            <v>12.069832703546517</v>
          </cell>
          <cell r="CG241">
            <v>0</v>
          </cell>
          <cell r="CI241">
            <v>942.11543391867076</v>
          </cell>
          <cell r="CJ241">
            <v>726.97934682874165</v>
          </cell>
          <cell r="CL241">
            <v>0</v>
          </cell>
          <cell r="CM241">
            <v>0</v>
          </cell>
          <cell r="CX241">
            <v>1947.6820984860169</v>
          </cell>
          <cell r="CY241">
            <v>-927.51780941809557</v>
          </cell>
        </row>
        <row r="242">
          <cell r="I242">
            <v>1912.6586571860612</v>
          </cell>
          <cell r="J242">
            <v>1919.2794410130623</v>
          </cell>
          <cell r="L242">
            <v>380.52254474762248</v>
          </cell>
          <cell r="M242">
            <v>403.64057017619677</v>
          </cell>
          <cell r="O242">
            <v>794.46</v>
          </cell>
          <cell r="P242">
            <v>794.22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X242">
            <v>1238.730472921307</v>
          </cell>
          <cell r="Y242">
            <v>1190.5337352496329</v>
          </cell>
          <cell r="AA242">
            <v>0</v>
          </cell>
          <cell r="AB242">
            <v>0</v>
          </cell>
          <cell r="AD242">
            <v>2286.8073469740652</v>
          </cell>
          <cell r="AE242">
            <v>2137.3936725811777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P242">
            <v>1657.2808750638872</v>
          </cell>
          <cell r="AQ242">
            <v>0</v>
          </cell>
          <cell r="AS242">
            <v>6845.1072319288323</v>
          </cell>
          <cell r="AT242">
            <v>240</v>
          </cell>
          <cell r="AV242">
            <v>312.08107424119544</v>
          </cell>
          <cell r="AW242">
            <v>0</v>
          </cell>
          <cell r="AY242">
            <v>490.42556714245251</v>
          </cell>
          <cell r="AZ242">
            <v>0</v>
          </cell>
          <cell r="BB242">
            <v>295.04809673845114</v>
          </cell>
          <cell r="BC242">
            <v>0</v>
          </cell>
          <cell r="BE242">
            <v>0</v>
          </cell>
          <cell r="BF242">
            <v>0</v>
          </cell>
          <cell r="BH242">
            <v>0</v>
          </cell>
          <cell r="BI242">
            <v>0</v>
          </cell>
          <cell r="BK242">
            <v>187.56725379517582</v>
          </cell>
          <cell r="BL242">
            <v>0</v>
          </cell>
          <cell r="BN242">
            <v>0</v>
          </cell>
          <cell r="BO242">
            <v>0</v>
          </cell>
          <cell r="BT242">
            <v>7619.4211272690991</v>
          </cell>
          <cell r="BU242">
            <v>5691.9125539027054</v>
          </cell>
          <cell r="BW242">
            <v>3081.5043764892421</v>
          </cell>
          <cell r="BX242">
            <v>3111.2603987211796</v>
          </cell>
          <cell r="BZ242">
            <v>1007.3227854018201</v>
          </cell>
          <cell r="CA242">
            <v>5906.9292351014919</v>
          </cell>
          <cell r="CC242">
            <v>49.022089749788933</v>
          </cell>
          <cell r="CD242">
            <v>48.820902068661738</v>
          </cell>
          <cell r="CF242">
            <v>6.0349163517732585</v>
          </cell>
          <cell r="CG242">
            <v>0</v>
          </cell>
          <cell r="CI242">
            <v>655.11338120172479</v>
          </cell>
          <cell r="CJ242">
            <v>354.16518557714301</v>
          </cell>
          <cell r="CL242">
            <v>0</v>
          </cell>
          <cell r="CM242">
            <v>0</v>
          </cell>
          <cell r="CX242">
            <v>1724.7306433570047</v>
          </cell>
          <cell r="CY242">
            <v>10149.873166730502</v>
          </cell>
        </row>
        <row r="243">
          <cell r="I243">
            <v>3637.3261310959024</v>
          </cell>
          <cell r="J243">
            <v>3650.9613909129639</v>
          </cell>
          <cell r="L243">
            <v>756.35994966120768</v>
          </cell>
          <cell r="M243">
            <v>862.16236225552427</v>
          </cell>
          <cell r="O243">
            <v>1458.14</v>
          </cell>
          <cell r="P243">
            <v>1457.94</v>
          </cell>
          <cell r="R243">
            <v>0</v>
          </cell>
          <cell r="S243">
            <v>0</v>
          </cell>
          <cell r="U243">
            <v>333.92254251606141</v>
          </cell>
          <cell r="V243">
            <v>230.05580257176541</v>
          </cell>
          <cell r="X243">
            <v>3364.7305826295478</v>
          </cell>
          <cell r="Y243">
            <v>3322.2564048634013</v>
          </cell>
          <cell r="AA243">
            <v>0</v>
          </cell>
          <cell r="AB243">
            <v>0</v>
          </cell>
          <cell r="AD243">
            <v>4458.694595107384</v>
          </cell>
          <cell r="AE243">
            <v>4168.0419472812991</v>
          </cell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P243">
            <v>2533.272194740513</v>
          </cell>
          <cell r="AQ243">
            <v>0</v>
          </cell>
          <cell r="AS243">
            <v>15370.074459256723</v>
          </cell>
          <cell r="AT243">
            <v>7875</v>
          </cell>
          <cell r="AV243">
            <v>597.70861840761279</v>
          </cell>
          <cell r="AW243">
            <v>0</v>
          </cell>
          <cell r="AY243">
            <v>974.84939071975509</v>
          </cell>
          <cell r="AZ243">
            <v>722</v>
          </cell>
          <cell r="BB243">
            <v>567.61626868907615</v>
          </cell>
          <cell r="BC243">
            <v>0</v>
          </cell>
          <cell r="BE243">
            <v>0</v>
          </cell>
          <cell r="BF243">
            <v>0</v>
          </cell>
          <cell r="BH243">
            <v>338.81178137477229</v>
          </cell>
          <cell r="BI243">
            <v>0</v>
          </cell>
          <cell r="BK243">
            <v>521.68679861452631</v>
          </cell>
          <cell r="BL243">
            <v>0</v>
          </cell>
          <cell r="BN243">
            <v>0</v>
          </cell>
          <cell r="BO243">
            <v>0</v>
          </cell>
          <cell r="BT243">
            <v>10004.685608990432</v>
          </cell>
          <cell r="BU243">
            <v>8193.7690441121449</v>
          </cell>
          <cell r="BW243">
            <v>5416.3801571906324</v>
          </cell>
          <cell r="BX243">
            <v>5596.8139289544215</v>
          </cell>
          <cell r="BZ243">
            <v>1897.8656800311755</v>
          </cell>
          <cell r="CA243">
            <v>7885.4904655068358</v>
          </cell>
          <cell r="CC243">
            <v>147.0662692493668</v>
          </cell>
          <cell r="CD243">
            <v>146.46270620598523</v>
          </cell>
          <cell r="CF243">
            <v>18.104749055319775</v>
          </cell>
          <cell r="CG243">
            <v>0</v>
          </cell>
          <cell r="CI243">
            <v>480.41647954793149</v>
          </cell>
          <cell r="CJ243">
            <v>396.11969686150383</v>
          </cell>
          <cell r="CL243">
            <v>0</v>
          </cell>
          <cell r="CM243">
            <v>0</v>
          </cell>
          <cell r="CX243">
            <v>2417.3452917464892</v>
          </cell>
          <cell r="CY243">
            <v>12462.111500568994</v>
          </cell>
        </row>
        <row r="244">
          <cell r="I244">
            <v>1759.3844797938718</v>
          </cell>
          <cell r="J244">
            <v>1764.944144744914</v>
          </cell>
          <cell r="L244">
            <v>371.69495445223407</v>
          </cell>
          <cell r="M244">
            <v>394.27669484421921</v>
          </cell>
          <cell r="O244">
            <v>681.36</v>
          </cell>
          <cell r="P244">
            <v>681.4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X244">
            <v>1174.0143956197849</v>
          </cell>
          <cell r="Y244">
            <v>1113.0012261040899</v>
          </cell>
          <cell r="AA244">
            <v>0</v>
          </cell>
          <cell r="AB244">
            <v>0</v>
          </cell>
          <cell r="AD244">
            <v>1972.4410862670168</v>
          </cell>
          <cell r="AE244">
            <v>1843.6851150171292</v>
          </cell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P244">
            <v>710.2632321702373</v>
          </cell>
          <cell r="AQ244">
            <v>0</v>
          </cell>
          <cell r="AS244">
            <v>7884.4708332189193</v>
          </cell>
          <cell r="AT244">
            <v>0</v>
          </cell>
          <cell r="AV244">
            <v>293.62362475258334</v>
          </cell>
          <cell r="AW244">
            <v>0</v>
          </cell>
          <cell r="AY244">
            <v>479.05349530254739</v>
          </cell>
          <cell r="AZ244">
            <v>0</v>
          </cell>
          <cell r="BB244">
            <v>251.78681354995123</v>
          </cell>
          <cell r="BC244">
            <v>0</v>
          </cell>
          <cell r="BE244">
            <v>0</v>
          </cell>
          <cell r="BF244">
            <v>0</v>
          </cell>
          <cell r="BH244">
            <v>0</v>
          </cell>
          <cell r="BI244">
            <v>0</v>
          </cell>
          <cell r="BK244">
            <v>176.11396072083613</v>
          </cell>
          <cell r="BL244">
            <v>0</v>
          </cell>
          <cell r="BN244">
            <v>0</v>
          </cell>
          <cell r="BO244">
            <v>0</v>
          </cell>
          <cell r="BT244">
            <v>5925.4262718617965</v>
          </cell>
          <cell r="BU244">
            <v>4878.7143069292888</v>
          </cell>
          <cell r="BW244">
            <v>3079.6104734382711</v>
          </cell>
          <cell r="BX244">
            <v>3172.010051845768</v>
          </cell>
          <cell r="BZ244">
            <v>820.41161166212044</v>
          </cell>
          <cell r="CA244">
            <v>4580.4031146070465</v>
          </cell>
          <cell r="CC244">
            <v>98.044179499577865</v>
          </cell>
          <cell r="CD244">
            <v>97.641804137323476</v>
          </cell>
          <cell r="CF244">
            <v>12.069832703546517</v>
          </cell>
          <cell r="CG244">
            <v>0</v>
          </cell>
          <cell r="CI244">
            <v>1634.6638654747796</v>
          </cell>
          <cell r="CJ244">
            <v>1654.3499224104135</v>
          </cell>
          <cell r="CL244">
            <v>0</v>
          </cell>
          <cell r="CM244">
            <v>0</v>
          </cell>
          <cell r="CX244">
            <v>655.64026741431007</v>
          </cell>
          <cell r="CY244">
            <v>9228.4483432317702</v>
          </cell>
        </row>
        <row r="245">
          <cell r="I245">
            <v>2782.8965038330093</v>
          </cell>
          <cell r="J245">
            <v>2792.5971466930132</v>
          </cell>
          <cell r="L245">
            <v>567.3814458945842</v>
          </cell>
          <cell r="M245">
            <v>601.85131672850503</v>
          </cell>
          <cell r="O245">
            <v>1154.22</v>
          </cell>
          <cell r="P245">
            <v>1154.24</v>
          </cell>
          <cell r="R245">
            <v>0</v>
          </cell>
          <cell r="S245">
            <v>0</v>
          </cell>
          <cell r="U245">
            <v>220.18230973062418</v>
          </cell>
          <cell r="V245">
            <v>151.69484929654573</v>
          </cell>
          <cell r="X245">
            <v>2121.4138921648696</v>
          </cell>
          <cell r="Y245">
            <v>2092.7294781495762</v>
          </cell>
          <cell r="AA245">
            <v>0</v>
          </cell>
          <cell r="AB245">
            <v>0</v>
          </cell>
          <cell r="AD245">
            <v>3264.0985285890656</v>
          </cell>
          <cell r="AE245">
            <v>3050.8897547334432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P245">
            <v>2367.5441072341246</v>
          </cell>
          <cell r="AQ245">
            <v>6151.8831196612591</v>
          </cell>
          <cell r="AS245">
            <v>11294.600946759965</v>
          </cell>
          <cell r="AT245">
            <v>0</v>
          </cell>
          <cell r="AV245">
            <v>454.33816644439599</v>
          </cell>
          <cell r="AW245">
            <v>0</v>
          </cell>
          <cell r="AY245">
            <v>731.30703205498548</v>
          </cell>
          <cell r="AZ245">
            <v>0</v>
          </cell>
          <cell r="BB245">
            <v>419.31302136116989</v>
          </cell>
          <cell r="BC245">
            <v>4054</v>
          </cell>
          <cell r="BE245">
            <v>0</v>
          </cell>
          <cell r="BF245">
            <v>0</v>
          </cell>
          <cell r="BH245">
            <v>223.34337737643764</v>
          </cell>
          <cell r="BI245">
            <v>0</v>
          </cell>
          <cell r="BK245">
            <v>334.27802161567132</v>
          </cell>
          <cell r="BL245">
            <v>0</v>
          </cell>
          <cell r="BN245">
            <v>0</v>
          </cell>
          <cell r="BO245">
            <v>506</v>
          </cell>
          <cell r="BT245">
            <v>7816.8702094166374</v>
          </cell>
          <cell r="BU245">
            <v>6929.4383802168368</v>
          </cell>
          <cell r="BW245">
            <v>3921.7505948211219</v>
          </cell>
          <cell r="BX245">
            <v>4040.1747696375137</v>
          </cell>
          <cell r="BZ245">
            <v>1395.5518577561559</v>
          </cell>
          <cell r="CA245">
            <v>6883.7510021325143</v>
          </cell>
          <cell r="CC245">
            <v>98.044179499577865</v>
          </cell>
          <cell r="CD245">
            <v>97.641804137323476</v>
          </cell>
          <cell r="CF245">
            <v>12.069832703546517</v>
          </cell>
          <cell r="CG245">
            <v>0</v>
          </cell>
          <cell r="CI245">
            <v>895.32162097569039</v>
          </cell>
          <cell r="CJ245">
            <v>492.4186538851709</v>
          </cell>
          <cell r="CL245">
            <v>0</v>
          </cell>
          <cell r="CM245">
            <v>0</v>
          </cell>
          <cell r="CX245">
            <v>1727.0692221220452</v>
          </cell>
          <cell r="CY245">
            <v>3017.3276696739595</v>
          </cell>
        </row>
        <row r="246">
          <cell r="I246">
            <v>3641.0657773573757</v>
          </cell>
          <cell r="J246">
            <v>3654.625480601384</v>
          </cell>
          <cell r="L246">
            <v>756.90247565259403</v>
          </cell>
          <cell r="M246">
            <v>802.88691952621411</v>
          </cell>
          <cell r="O246">
            <v>1505.08</v>
          </cell>
          <cell r="P246">
            <v>1505.14</v>
          </cell>
          <cell r="R246">
            <v>0</v>
          </cell>
          <cell r="S246">
            <v>0</v>
          </cell>
          <cell r="U246">
            <v>333.92254251606141</v>
          </cell>
          <cell r="V246">
            <v>230.05580257176541</v>
          </cell>
          <cell r="X246">
            <v>3444.7655272752972</v>
          </cell>
          <cell r="Y246">
            <v>3383.8693454455761</v>
          </cell>
          <cell r="AA246">
            <v>0</v>
          </cell>
          <cell r="AB246">
            <v>0</v>
          </cell>
          <cell r="AD246">
            <v>4426.2695393139193</v>
          </cell>
          <cell r="AE246">
            <v>4137.3680125635237</v>
          </cell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P246">
            <v>3006.7810161873381</v>
          </cell>
          <cell r="AQ246">
            <v>990.6170284852376</v>
          </cell>
          <cell r="AS246">
            <v>12958.266236529415</v>
          </cell>
          <cell r="AT246">
            <v>406</v>
          </cell>
          <cell r="AV246">
            <v>598.56467936387094</v>
          </cell>
          <cell r="AW246">
            <v>0</v>
          </cell>
          <cell r="AY246">
            <v>975.5292650897868</v>
          </cell>
          <cell r="AZ246">
            <v>0</v>
          </cell>
          <cell r="BB246">
            <v>568.60575830468986</v>
          </cell>
          <cell r="BC246">
            <v>311</v>
          </cell>
          <cell r="BE246">
            <v>0</v>
          </cell>
          <cell r="BF246">
            <v>0</v>
          </cell>
          <cell r="BH246">
            <v>338.81178137477229</v>
          </cell>
          <cell r="BI246">
            <v>0</v>
          </cell>
          <cell r="BK246">
            <v>542.99350131699373</v>
          </cell>
          <cell r="BL246">
            <v>0</v>
          </cell>
          <cell r="BN246">
            <v>0</v>
          </cell>
          <cell r="BO246">
            <v>0</v>
          </cell>
          <cell r="BT246">
            <v>12384.606998632191</v>
          </cell>
          <cell r="BU246">
            <v>9005.9183809544847</v>
          </cell>
          <cell r="BW246">
            <v>5839.6307177346489</v>
          </cell>
          <cell r="BX246">
            <v>6026.2325379338727</v>
          </cell>
          <cell r="BZ246">
            <v>2069.8153579143809</v>
          </cell>
          <cell r="CA246">
            <v>8966.500673605442</v>
          </cell>
          <cell r="CC246">
            <v>592.28488835694986</v>
          </cell>
          <cell r="CD246">
            <v>589.85413879357122</v>
          </cell>
          <cell r="CF246">
            <v>72.913859362124512</v>
          </cell>
          <cell r="CG246">
            <v>0</v>
          </cell>
          <cell r="CI246">
            <v>3091.5112417662344</v>
          </cell>
          <cell r="CJ246">
            <v>2597.2327188963945</v>
          </cell>
          <cell r="CL246">
            <v>0</v>
          </cell>
          <cell r="CM246">
            <v>0</v>
          </cell>
          <cell r="CX246">
            <v>2744.5146031416371</v>
          </cell>
          <cell r="CY246">
            <v>20193.738752747042</v>
          </cell>
        </row>
        <row r="247">
          <cell r="I247">
            <v>2084.2643251384357</v>
          </cell>
          <cell r="J247">
            <v>2089.9491569294805</v>
          </cell>
          <cell r="L247">
            <v>380.42374770340246</v>
          </cell>
          <cell r="M247">
            <v>403.53594587081159</v>
          </cell>
          <cell r="O247">
            <v>774.64</v>
          </cell>
          <cell r="P247">
            <v>774.72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X247">
            <v>1223.372364506854</v>
          </cell>
          <cell r="Y247">
            <v>1179.2701940895877</v>
          </cell>
          <cell r="AA247">
            <v>0</v>
          </cell>
          <cell r="AB247">
            <v>0</v>
          </cell>
          <cell r="AD247">
            <v>2260.0762735056514</v>
          </cell>
          <cell r="AE247">
            <v>2114.6548496663268</v>
          </cell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P247">
            <v>1420.5264643404746</v>
          </cell>
          <cell r="AQ247">
            <v>3676.9876117515569</v>
          </cell>
          <cell r="AS247">
            <v>7842.3553060547802</v>
          </cell>
          <cell r="AT247">
            <v>0</v>
          </cell>
          <cell r="AV247">
            <v>366.08836141794058</v>
          </cell>
          <cell r="AW247">
            <v>0</v>
          </cell>
          <cell r="AY247">
            <v>490.31866771622811</v>
          </cell>
          <cell r="AZ247">
            <v>0</v>
          </cell>
          <cell r="BB247">
            <v>307.91442535873171</v>
          </cell>
          <cell r="BC247">
            <v>1323</v>
          </cell>
          <cell r="BE247">
            <v>0</v>
          </cell>
          <cell r="BF247">
            <v>0</v>
          </cell>
          <cell r="BH247">
            <v>0</v>
          </cell>
          <cell r="BI247">
            <v>0</v>
          </cell>
          <cell r="BK247">
            <v>200.55401869626783</v>
          </cell>
          <cell r="BL247">
            <v>0</v>
          </cell>
          <cell r="BN247">
            <v>0</v>
          </cell>
          <cell r="BO247">
            <v>0</v>
          </cell>
          <cell r="BT247">
            <v>2681.8480731967179</v>
          </cell>
          <cell r="BU247">
            <v>2680.3476999061982</v>
          </cell>
          <cell r="BW247">
            <v>3532.2579182251634</v>
          </cell>
          <cell r="BX247">
            <v>3652.7696235499352</v>
          </cell>
          <cell r="BZ247">
            <v>1019.1533836563633</v>
          </cell>
          <cell r="CA247">
            <v>2960.811951464415</v>
          </cell>
          <cell r="CC247">
            <v>323.20263772035838</v>
          </cell>
          <cell r="CD247">
            <v>321.87620733868687</v>
          </cell>
          <cell r="CF247">
            <v>39.788203507241093</v>
          </cell>
          <cell r="CG247">
            <v>0</v>
          </cell>
          <cell r="CI247">
            <v>948.35460897773487</v>
          </cell>
          <cell r="CJ247">
            <v>660.20052822065759</v>
          </cell>
          <cell r="CL247">
            <v>0</v>
          </cell>
          <cell r="CM247">
            <v>0</v>
          </cell>
          <cell r="CX247">
            <v>1583.4034643331834</v>
          </cell>
          <cell r="CY247">
            <v>6451.8214774548123</v>
          </cell>
        </row>
        <row r="248">
          <cell r="I248">
            <v>2046.4175987851995</v>
          </cell>
          <cell r="J248">
            <v>2051.7503091821281</v>
          </cell>
          <cell r="L248">
            <v>380.42374770340246</v>
          </cell>
          <cell r="M248">
            <v>403.53594587081159</v>
          </cell>
          <cell r="O248">
            <v>772.38</v>
          </cell>
          <cell r="P248">
            <v>772.34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X248">
            <v>1223.8130747547289</v>
          </cell>
          <cell r="Y248">
            <v>1179.6931797693719</v>
          </cell>
          <cell r="AA248">
            <v>0</v>
          </cell>
          <cell r="AB248">
            <v>0</v>
          </cell>
          <cell r="AD248">
            <v>2255.7149253417829</v>
          </cell>
          <cell r="AE248">
            <v>2109.9996279818838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P248">
            <v>1349.5001411234509</v>
          </cell>
          <cell r="AQ248">
            <v>3606.2763115255657</v>
          </cell>
          <cell r="AS248">
            <v>7164.5218917400261</v>
          </cell>
          <cell r="AT248">
            <v>1307</v>
          </cell>
          <cell r="AV248">
            <v>363.89792516554621</v>
          </cell>
          <cell r="AW248">
            <v>0</v>
          </cell>
          <cell r="AY248">
            <v>490.31866771622811</v>
          </cell>
          <cell r="AZ248">
            <v>0</v>
          </cell>
          <cell r="BB248">
            <v>310.38881940211519</v>
          </cell>
          <cell r="BC248">
            <v>0</v>
          </cell>
          <cell r="BE248">
            <v>0</v>
          </cell>
          <cell r="BF248">
            <v>0</v>
          </cell>
          <cell r="BH248">
            <v>0</v>
          </cell>
          <cell r="BI248">
            <v>0</v>
          </cell>
          <cell r="BK248">
            <v>200.62495309533139</v>
          </cell>
          <cell r="BL248">
            <v>0</v>
          </cell>
          <cell r="BN248">
            <v>0</v>
          </cell>
          <cell r="BO248">
            <v>0</v>
          </cell>
          <cell r="BT248">
            <v>4957.321149718061</v>
          </cell>
          <cell r="BU248">
            <v>3783.4287104637701</v>
          </cell>
          <cell r="BW248">
            <v>3488.9701552107817</v>
          </cell>
          <cell r="BX248">
            <v>3607.0228069898458</v>
          </cell>
          <cell r="BZ248">
            <v>1019.1533836563633</v>
          </cell>
          <cell r="CA248">
            <v>3936.0496601499945</v>
          </cell>
          <cell r="CC248">
            <v>313.74137439864916</v>
          </cell>
          <cell r="CD248">
            <v>312.45377323943512</v>
          </cell>
          <cell r="CF248">
            <v>38.623464651348854</v>
          </cell>
          <cell r="CG248">
            <v>0</v>
          </cell>
          <cell r="CI248">
            <v>1094.9752228657399</v>
          </cell>
          <cell r="CJ248">
            <v>761.20978465696692</v>
          </cell>
          <cell r="CL248">
            <v>0</v>
          </cell>
          <cell r="CM248">
            <v>0</v>
          </cell>
          <cell r="CX248">
            <v>1670.3162056054935</v>
          </cell>
          <cell r="CY248">
            <v>6038.3478682042769</v>
          </cell>
        </row>
        <row r="249">
          <cell r="I249">
            <v>2655.818929614788</v>
          </cell>
          <cell r="J249">
            <v>2665.3973717573144</v>
          </cell>
          <cell r="L249">
            <v>562.59750901632674</v>
          </cell>
          <cell r="M249">
            <v>596.77703791732154</v>
          </cell>
          <cell r="O249">
            <v>1101.06</v>
          </cell>
          <cell r="P249">
            <v>1100.8</v>
          </cell>
          <cell r="R249">
            <v>0</v>
          </cell>
          <cell r="S249">
            <v>0</v>
          </cell>
          <cell r="U249">
            <v>215.74518364026076</v>
          </cell>
          <cell r="V249">
            <v>148.63785502052934</v>
          </cell>
          <cell r="X249">
            <v>2267.2493512317697</v>
          </cell>
          <cell r="Y249">
            <v>2207.4615122683858</v>
          </cell>
          <cell r="AA249">
            <v>0</v>
          </cell>
          <cell r="AB249">
            <v>0</v>
          </cell>
          <cell r="AD249">
            <v>3175.9451351461762</v>
          </cell>
          <cell r="AE249">
            <v>2968.6274599267786</v>
          </cell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P249">
            <v>1278.4738179064273</v>
          </cell>
          <cell r="AQ249">
            <v>6155.6478357832975</v>
          </cell>
          <cell r="AS249">
            <v>10249.621393124984</v>
          </cell>
          <cell r="AT249">
            <v>163.28928157430573</v>
          </cell>
          <cell r="AV249">
            <v>441.65315238689044</v>
          </cell>
          <cell r="AW249">
            <v>0</v>
          </cell>
          <cell r="AY249">
            <v>725.10147090433986</v>
          </cell>
          <cell r="AZ249">
            <v>0</v>
          </cell>
          <cell r="BB249">
            <v>412.62285498128728</v>
          </cell>
          <cell r="BC249">
            <v>0</v>
          </cell>
          <cell r="BE249">
            <v>0</v>
          </cell>
          <cell r="BF249">
            <v>0</v>
          </cell>
          <cell r="BH249">
            <v>218.86472282667671</v>
          </cell>
          <cell r="BI249">
            <v>0</v>
          </cell>
          <cell r="BK249">
            <v>324.71868414836467</v>
          </cell>
          <cell r="BL249">
            <v>0</v>
          </cell>
          <cell r="BN249">
            <v>0</v>
          </cell>
          <cell r="BO249">
            <v>0</v>
          </cell>
          <cell r="BT249">
            <v>8113.0470201650342</v>
          </cell>
          <cell r="BU249">
            <v>5565.8017854352893</v>
          </cell>
          <cell r="BW249">
            <v>4332.3585445506205</v>
          </cell>
          <cell r="BX249">
            <v>4334.3823937668531</v>
          </cell>
          <cell r="BZ249">
            <v>1277.5434107891886</v>
          </cell>
          <cell r="CA249">
            <v>5851.8711857478629</v>
          </cell>
          <cell r="CC249">
            <v>412.76599569322281</v>
          </cell>
          <cell r="CD249">
            <v>411.07199541813191</v>
          </cell>
          <cell r="CF249">
            <v>50.813995681930848</v>
          </cell>
          <cell r="CG249">
            <v>0</v>
          </cell>
          <cell r="CI249">
            <v>1566.0329398250753</v>
          </cell>
          <cell r="CJ249">
            <v>773.58835114558292</v>
          </cell>
          <cell r="CL249">
            <v>0</v>
          </cell>
          <cell r="CM249">
            <v>0</v>
          </cell>
          <cell r="CX249">
            <v>2363.1190660399661</v>
          </cell>
          <cell r="CY249">
            <v>10089.535121086014</v>
          </cell>
        </row>
        <row r="250">
          <cell r="I250">
            <v>1795.381679978763</v>
          </cell>
          <cell r="J250">
            <v>1804.0841268664922</v>
          </cell>
          <cell r="L250">
            <v>364.93850769687128</v>
          </cell>
          <cell r="M250">
            <v>387.1099299253313</v>
          </cell>
          <cell r="O250">
            <v>874.22</v>
          </cell>
          <cell r="P250">
            <v>874.1</v>
          </cell>
          <cell r="R250">
            <v>220.74</v>
          </cell>
          <cell r="S250">
            <v>220.82</v>
          </cell>
          <cell r="U250">
            <v>0</v>
          </cell>
          <cell r="V250">
            <v>0</v>
          </cell>
          <cell r="X250">
            <v>757.24664802622283</v>
          </cell>
          <cell r="Y250">
            <v>659.92877610474739</v>
          </cell>
          <cell r="AA250">
            <v>0</v>
          </cell>
          <cell r="AB250">
            <v>0</v>
          </cell>
          <cell r="AD250">
            <v>2615.4548850020151</v>
          </cell>
          <cell r="AE250">
            <v>2444.7245973785552</v>
          </cell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P250">
            <v>457.72519406526402</v>
          </cell>
          <cell r="AQ250">
            <v>0</v>
          </cell>
          <cell r="AS250">
            <v>5110.3195709486081</v>
          </cell>
          <cell r="AT250">
            <v>1341</v>
          </cell>
          <cell r="AV250">
            <v>304.74829424469891</v>
          </cell>
          <cell r="AW250">
            <v>0</v>
          </cell>
          <cell r="AY250">
            <v>470.34239890552664</v>
          </cell>
          <cell r="AZ250">
            <v>0</v>
          </cell>
          <cell r="BB250">
            <v>376.50712476896177</v>
          </cell>
          <cell r="BC250">
            <v>0</v>
          </cell>
          <cell r="BE250">
            <v>225.85537583994028</v>
          </cell>
          <cell r="BF250">
            <v>0</v>
          </cell>
          <cell r="BH250">
            <v>0</v>
          </cell>
          <cell r="BI250">
            <v>0</v>
          </cell>
          <cell r="BK250">
            <v>188.63842984583084</v>
          </cell>
          <cell r="BL250">
            <v>0</v>
          </cell>
          <cell r="BN250">
            <v>0</v>
          </cell>
          <cell r="BO250">
            <v>0</v>
          </cell>
          <cell r="BT250">
            <v>6868.388963306701</v>
          </cell>
          <cell r="BU250">
            <v>4920.7180982320178</v>
          </cell>
          <cell r="BW250">
            <v>3364.5467045565879</v>
          </cell>
          <cell r="BX250">
            <v>3484.1655264427409</v>
          </cell>
          <cell r="BZ250">
            <v>960.1194066150332</v>
          </cell>
          <cell r="CA250">
            <v>4837.5237095335469</v>
          </cell>
          <cell r="CC250">
            <v>408.64814015424054</v>
          </cell>
          <cell r="CD250">
            <v>406.97103964436434</v>
          </cell>
          <cell r="CF250">
            <v>50.307062708381885</v>
          </cell>
          <cell r="CG250">
            <v>0</v>
          </cell>
          <cell r="CI250">
            <v>2386.4844600919973</v>
          </cell>
          <cell r="CJ250">
            <v>1758.3130127041163</v>
          </cell>
          <cell r="CL250">
            <v>0</v>
          </cell>
          <cell r="CM250">
            <v>0</v>
          </cell>
          <cell r="CX250">
            <v>1667.8245838932271</v>
          </cell>
          <cell r="CY250">
            <v>7261.2094198017094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D251">
            <v>0</v>
          </cell>
          <cell r="AE251">
            <v>183.71571454647165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P251">
            <v>94.701764289364974</v>
          </cell>
          <cell r="AQ251">
            <v>0</v>
          </cell>
          <cell r="AS251">
            <v>650.57765300888207</v>
          </cell>
          <cell r="AT251">
            <v>0</v>
          </cell>
          <cell r="AV251">
            <v>0</v>
          </cell>
          <cell r="AW251">
            <v>0</v>
          </cell>
          <cell r="AY251">
            <v>0</v>
          </cell>
          <cell r="AZ251">
            <v>0</v>
          </cell>
          <cell r="BB251">
            <v>0</v>
          </cell>
          <cell r="BC251">
            <v>0</v>
          </cell>
          <cell r="BE251">
            <v>0</v>
          </cell>
          <cell r="BF251">
            <v>0</v>
          </cell>
          <cell r="BH251">
            <v>0</v>
          </cell>
          <cell r="BI251">
            <v>0</v>
          </cell>
          <cell r="BK251">
            <v>0</v>
          </cell>
          <cell r="BL251">
            <v>0</v>
          </cell>
          <cell r="BN251">
            <v>0</v>
          </cell>
          <cell r="BO251">
            <v>0</v>
          </cell>
          <cell r="BT251">
            <v>127.61072402238671</v>
          </cell>
          <cell r="BU251">
            <v>159.80187348124704</v>
          </cell>
          <cell r="BW251">
            <v>0</v>
          </cell>
          <cell r="BX251">
            <v>1.1053678739320805</v>
          </cell>
          <cell r="BZ251">
            <v>0</v>
          </cell>
          <cell r="CA251">
            <v>179.98598109490575</v>
          </cell>
          <cell r="CC251">
            <v>0</v>
          </cell>
          <cell r="CD251">
            <v>0</v>
          </cell>
          <cell r="CF251">
            <v>0</v>
          </cell>
          <cell r="CG251">
            <v>0</v>
          </cell>
          <cell r="CI251">
            <v>0</v>
          </cell>
          <cell r="CJ251">
            <v>0</v>
          </cell>
          <cell r="CL251">
            <v>0</v>
          </cell>
          <cell r="CM251">
            <v>0</v>
          </cell>
          <cell r="CX251">
            <v>47.151830415239374</v>
          </cell>
          <cell r="CY251">
            <v>465.08927560413207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97.320035878315821</v>
          </cell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P252">
            <v>55.242695835462904</v>
          </cell>
          <cell r="AQ252">
            <v>0</v>
          </cell>
          <cell r="AS252">
            <v>302.1483716781014</v>
          </cell>
          <cell r="AT252">
            <v>0</v>
          </cell>
          <cell r="AV252">
            <v>0</v>
          </cell>
          <cell r="AW252">
            <v>0</v>
          </cell>
          <cell r="AY252">
            <v>0</v>
          </cell>
          <cell r="AZ252">
            <v>0</v>
          </cell>
          <cell r="BB252">
            <v>0</v>
          </cell>
          <cell r="BC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T252">
            <v>67.394413624322965</v>
          </cell>
          <cell r="BU252">
            <v>103.39336793251198</v>
          </cell>
          <cell r="BW252">
            <v>0</v>
          </cell>
          <cell r="BX252">
            <v>0.58554839152094618</v>
          </cell>
          <cell r="BZ252">
            <v>0</v>
          </cell>
          <cell r="CA252">
            <v>116.45268206585557</v>
          </cell>
          <cell r="CC252">
            <v>0</v>
          </cell>
          <cell r="CD252">
            <v>0</v>
          </cell>
          <cell r="CF252">
            <v>0</v>
          </cell>
          <cell r="CG252">
            <v>0</v>
          </cell>
          <cell r="CI252">
            <v>0</v>
          </cell>
          <cell r="CJ252">
            <v>0</v>
          </cell>
          <cell r="CL252">
            <v>0</v>
          </cell>
          <cell r="CM252">
            <v>0</v>
          </cell>
          <cell r="CX252">
            <v>7.6374226345353122</v>
          </cell>
          <cell r="CY252">
            <v>136.07803887815487</v>
          </cell>
        </row>
        <row r="253">
          <cell r="I253">
            <v>1928.1594161834294</v>
          </cell>
          <cell r="J253">
            <v>1907.3718366854382</v>
          </cell>
          <cell r="L253">
            <v>323.76046470468566</v>
          </cell>
          <cell r="M253">
            <v>383.78173415469388</v>
          </cell>
          <cell r="O253">
            <v>974.86</v>
          </cell>
          <cell r="P253">
            <v>974.86</v>
          </cell>
          <cell r="R253">
            <v>209.92</v>
          </cell>
          <cell r="S253">
            <v>209.92</v>
          </cell>
          <cell r="U253">
            <v>130.00964065633656</v>
          </cell>
          <cell r="V253">
            <v>73.071367537410026</v>
          </cell>
          <cell r="X253">
            <v>1385.9851302479817</v>
          </cell>
          <cell r="Y253">
            <v>721.2135575829933</v>
          </cell>
          <cell r="AA253">
            <v>0</v>
          </cell>
          <cell r="AB253">
            <v>0</v>
          </cell>
          <cell r="AD253">
            <v>2843.9268165928838</v>
          </cell>
          <cell r="AE253">
            <v>2658.2891196437631</v>
          </cell>
          <cell r="AJ253">
            <v>6913.0950965152351</v>
          </cell>
          <cell r="AK253">
            <v>6884.704745994155</v>
          </cell>
          <cell r="AM253">
            <v>0</v>
          </cell>
          <cell r="AN253">
            <v>0</v>
          </cell>
          <cell r="AP253">
            <v>536.64333097306826</v>
          </cell>
          <cell r="AQ253">
            <v>0</v>
          </cell>
          <cell r="AS253">
            <v>12433.750025904579</v>
          </cell>
          <cell r="AT253">
            <v>0</v>
          </cell>
          <cell r="AV253">
            <v>160.28234453452649</v>
          </cell>
          <cell r="AW253">
            <v>0</v>
          </cell>
          <cell r="AY253">
            <v>216.30381693881802</v>
          </cell>
          <cell r="AZ253">
            <v>0</v>
          </cell>
          <cell r="BB253">
            <v>300.81395588574151</v>
          </cell>
          <cell r="BC253">
            <v>0</v>
          </cell>
          <cell r="BE253">
            <v>109.41598290170468</v>
          </cell>
          <cell r="BF253">
            <v>0</v>
          </cell>
          <cell r="BH253">
            <v>65.961235315382794</v>
          </cell>
          <cell r="BI253">
            <v>0</v>
          </cell>
          <cell r="BK253">
            <v>182.09319879634614</v>
          </cell>
          <cell r="BL253">
            <v>0</v>
          </cell>
          <cell r="BN253">
            <v>94.161478523291592</v>
          </cell>
          <cell r="BO253">
            <v>0</v>
          </cell>
          <cell r="BT253">
            <v>7355.0518485833745</v>
          </cell>
          <cell r="BU253">
            <v>5049.0769317814129</v>
          </cell>
          <cell r="BW253">
            <v>8062.640992532848</v>
          </cell>
          <cell r="BX253">
            <v>5374.5710733395763</v>
          </cell>
          <cell r="BZ253">
            <v>1081.9920435125903</v>
          </cell>
          <cell r="CA253">
            <v>1699.0554409271879</v>
          </cell>
          <cell r="CC253">
            <v>245.69871382594209</v>
          </cell>
          <cell r="CD253">
            <v>244.69036116813265</v>
          </cell>
          <cell r="CF253">
            <v>30.247000755087576</v>
          </cell>
          <cell r="CG253">
            <v>0</v>
          </cell>
          <cell r="CI253">
            <v>642.63503108359669</v>
          </cell>
          <cell r="CJ253">
            <v>1129.2898771117802</v>
          </cell>
          <cell r="CL253">
            <v>2002.775193959558</v>
          </cell>
          <cell r="CM253">
            <v>548.33767771845726</v>
          </cell>
          <cell r="CX253">
            <v>1447.2606892875847</v>
          </cell>
          <cell r="CY253">
            <v>25893.599531625998</v>
          </cell>
        </row>
        <row r="254">
          <cell r="I254">
            <v>4495.5148763879806</v>
          </cell>
          <cell r="J254">
            <v>5638.9776701805058</v>
          </cell>
          <cell r="L254">
            <v>1354.0728398714448</v>
          </cell>
          <cell r="M254">
            <v>1657.6175622843632</v>
          </cell>
          <cell r="O254">
            <v>2639.62</v>
          </cell>
          <cell r="P254">
            <v>2639.8</v>
          </cell>
          <cell r="R254">
            <v>600.52</v>
          </cell>
          <cell r="S254">
            <v>600.9</v>
          </cell>
          <cell r="U254">
            <v>195.03873136964788</v>
          </cell>
          <cell r="V254">
            <v>633.94703624490239</v>
          </cell>
          <cell r="X254">
            <v>4068.6898622916251</v>
          </cell>
          <cell r="Y254">
            <v>3544.9885403754815</v>
          </cell>
          <cell r="AA254">
            <v>0</v>
          </cell>
          <cell r="AB254">
            <v>0</v>
          </cell>
          <cell r="AD254">
            <v>8079.6255179141026</v>
          </cell>
          <cell r="AE254">
            <v>7552.7409796413249</v>
          </cell>
          <cell r="AJ254">
            <v>14892.175534639631</v>
          </cell>
          <cell r="AK254">
            <v>14831.013352290163</v>
          </cell>
          <cell r="AM254">
            <v>1578.4221588709313</v>
          </cell>
          <cell r="AN254">
            <v>1310.1255486564303</v>
          </cell>
          <cell r="AP254">
            <v>1704.6317572085695</v>
          </cell>
          <cell r="AQ254">
            <v>9003.9055621095831</v>
          </cell>
          <cell r="AS254">
            <v>33229.790980690806</v>
          </cell>
          <cell r="AT254">
            <v>3157.3808062904664</v>
          </cell>
          <cell r="AV254">
            <v>355.34403081711207</v>
          </cell>
          <cell r="AW254">
            <v>2274</v>
          </cell>
          <cell r="AY254">
            <v>895.58576938451483</v>
          </cell>
          <cell r="AZ254">
            <v>0</v>
          </cell>
          <cell r="BB254">
            <v>745.46315154097363</v>
          </cell>
          <cell r="BC254">
            <v>0</v>
          </cell>
          <cell r="BE254">
            <v>288.12756542741425</v>
          </cell>
          <cell r="BF254">
            <v>0</v>
          </cell>
          <cell r="BH254">
            <v>98.941812127749259</v>
          </cell>
          <cell r="BI254">
            <v>0</v>
          </cell>
          <cell r="BK254">
            <v>518.72018098120952</v>
          </cell>
          <cell r="BL254">
            <v>124</v>
          </cell>
          <cell r="BN254">
            <v>0</v>
          </cell>
          <cell r="BO254">
            <v>0</v>
          </cell>
          <cell r="BT254">
            <v>20610.245704899979</v>
          </cell>
          <cell r="BU254">
            <v>14049.648735404993</v>
          </cell>
          <cell r="BW254">
            <v>21070.534873087257</v>
          </cell>
          <cell r="BX254">
            <v>24280.992468196364</v>
          </cell>
          <cell r="BZ254">
            <v>1834.7732489009734</v>
          </cell>
          <cell r="CA254">
            <v>12673.122253828471</v>
          </cell>
          <cell r="CC254">
            <v>649.56229802060329</v>
          </cell>
          <cell r="CD254">
            <v>646.89648077059553</v>
          </cell>
          <cell r="CF254">
            <v>79.965055627536373</v>
          </cell>
          <cell r="CG254">
            <v>0</v>
          </cell>
          <cell r="CI254">
            <v>2585.5141444761402</v>
          </cell>
          <cell r="CJ254">
            <v>3200.0295554689351</v>
          </cell>
          <cell r="CL254">
            <v>3649.9174095524668</v>
          </cell>
          <cell r="CM254">
            <v>2765.1107042199374</v>
          </cell>
          <cell r="CX254">
            <v>3808.6229950935813</v>
          </cell>
          <cell r="CY254">
            <v>22571.343292844969</v>
          </cell>
        </row>
        <row r="255">
          <cell r="I255">
            <v>5631.3437984163129</v>
          </cell>
          <cell r="J255">
            <v>7038.3347324556507</v>
          </cell>
          <cell r="L255">
            <v>1579.6938719489201</v>
          </cell>
          <cell r="M255">
            <v>1947.7099857929097</v>
          </cell>
          <cell r="O255">
            <v>3032.12</v>
          </cell>
          <cell r="P255">
            <v>3033.1</v>
          </cell>
          <cell r="R255">
            <v>658.82</v>
          </cell>
          <cell r="S255">
            <v>658.6</v>
          </cell>
          <cell r="U255">
            <v>227.52892465051059</v>
          </cell>
          <cell r="V255">
            <v>739.55145911785235</v>
          </cell>
          <cell r="X255">
            <v>3794.1316402648622</v>
          </cell>
          <cell r="Y255">
            <v>3281.1154443349951</v>
          </cell>
          <cell r="AA255">
            <v>0</v>
          </cell>
          <cell r="AB255">
            <v>0</v>
          </cell>
          <cell r="AD255">
            <v>9419.8849119969036</v>
          </cell>
          <cell r="AE255">
            <v>8810.6640026957357</v>
          </cell>
          <cell r="AJ255">
            <v>28216.713770153285</v>
          </cell>
          <cell r="AK255">
            <v>28100.847431413866</v>
          </cell>
          <cell r="AM255">
            <v>789.21107943546565</v>
          </cell>
          <cell r="AN255">
            <v>393.07958108164041</v>
          </cell>
          <cell r="AP255">
            <v>1980.8452363858842</v>
          </cell>
          <cell r="AQ255">
            <v>0</v>
          </cell>
          <cell r="AS255">
            <v>40646.256181783298</v>
          </cell>
          <cell r="AT255">
            <v>1856</v>
          </cell>
          <cell r="AV255">
            <v>459.45289091382273</v>
          </cell>
          <cell r="AW255">
            <v>0</v>
          </cell>
          <cell r="AY255">
            <v>1044.8023367926141</v>
          </cell>
          <cell r="AZ255">
            <v>0</v>
          </cell>
          <cell r="BB255">
            <v>822.83356848650783</v>
          </cell>
          <cell r="BC255">
            <v>1152</v>
          </cell>
          <cell r="BE255">
            <v>312.27663283934402</v>
          </cell>
          <cell r="BF255">
            <v>0</v>
          </cell>
          <cell r="BH255">
            <v>115.42002660934838</v>
          </cell>
          <cell r="BI255">
            <v>0</v>
          </cell>
          <cell r="BK255">
            <v>542.44879755970385</v>
          </cell>
          <cell r="BL255">
            <v>0</v>
          </cell>
          <cell r="BN255">
            <v>0</v>
          </cell>
          <cell r="BO255">
            <v>0</v>
          </cell>
          <cell r="BT255">
            <v>28264.848470784535</v>
          </cell>
          <cell r="BU255">
            <v>17904.554688874941</v>
          </cell>
          <cell r="BW255">
            <v>19233.423492017784</v>
          </cell>
          <cell r="BX255">
            <v>21088.650515412235</v>
          </cell>
          <cell r="BZ255">
            <v>1908.6339647562093</v>
          </cell>
          <cell r="CA255">
            <v>16826.50632560024</v>
          </cell>
          <cell r="CC255">
            <v>750.1360173512702</v>
          </cell>
          <cell r="CD255">
            <v>747.05744345466212</v>
          </cell>
          <cell r="CF255">
            <v>92.346290014834409</v>
          </cell>
          <cell r="CG255">
            <v>0</v>
          </cell>
          <cell r="CI255">
            <v>3331.7194815401999</v>
          </cell>
          <cell r="CJ255">
            <v>4721.9199976228147</v>
          </cell>
          <cell r="CL255">
            <v>4607.6307811187971</v>
          </cell>
          <cell r="CM255">
            <v>4101.0694534308786</v>
          </cell>
          <cell r="CX255">
            <v>2123.8334010155231</v>
          </cell>
          <cell r="CY255">
            <v>44197.946726453883</v>
          </cell>
        </row>
        <row r="256">
          <cell r="I256">
            <v>2463.0106897655455</v>
          </cell>
          <cell r="J256">
            <v>3074.4562503227435</v>
          </cell>
          <cell r="L256">
            <v>387.47674897272515</v>
          </cell>
          <cell r="M256">
            <v>745.56516338182041</v>
          </cell>
          <cell r="O256">
            <v>1402.1</v>
          </cell>
          <cell r="P256">
            <v>1401.98</v>
          </cell>
          <cell r="R256">
            <v>324.02</v>
          </cell>
          <cell r="S256">
            <v>324.2</v>
          </cell>
          <cell r="U256">
            <v>97.519283994174046</v>
          </cell>
          <cell r="V256">
            <v>316.9735181224512</v>
          </cell>
          <cell r="X256">
            <v>1957.5932903819687</v>
          </cell>
          <cell r="Y256">
            <v>1693.7725574723663</v>
          </cell>
          <cell r="AA256">
            <v>0</v>
          </cell>
          <cell r="AB256">
            <v>0</v>
          </cell>
          <cell r="AD256">
            <v>4054.6855263067127</v>
          </cell>
          <cell r="AE256">
            <v>3790.0058982623959</v>
          </cell>
          <cell r="AJ256">
            <v>14402.266595894693</v>
          </cell>
          <cell r="AK256">
            <v>14343.137201390375</v>
          </cell>
          <cell r="AM256">
            <v>0</v>
          </cell>
          <cell r="AN256">
            <v>0</v>
          </cell>
          <cell r="AP256">
            <v>852.31587860428476</v>
          </cell>
          <cell r="AQ256">
            <v>5047.4296213295438</v>
          </cell>
          <cell r="AS256">
            <v>17529.84731482427</v>
          </cell>
          <cell r="AT256">
            <v>2276</v>
          </cell>
          <cell r="AV256">
            <v>203.84207769388419</v>
          </cell>
          <cell r="AW256">
            <v>851</v>
          </cell>
          <cell r="AY256">
            <v>261.17139780857241</v>
          </cell>
          <cell r="AZ256">
            <v>0</v>
          </cell>
          <cell r="BB256">
            <v>343.78808840870335</v>
          </cell>
          <cell r="BC256">
            <v>337</v>
          </cell>
          <cell r="BE256">
            <v>180.56196682523498</v>
          </cell>
          <cell r="BF256">
            <v>0</v>
          </cell>
          <cell r="BH256">
            <v>49.458791293965582</v>
          </cell>
          <cell r="BI256">
            <v>0</v>
          </cell>
          <cell r="BK256">
            <v>252.40009770630149</v>
          </cell>
          <cell r="BL256">
            <v>124</v>
          </cell>
          <cell r="BN256">
            <v>0</v>
          </cell>
          <cell r="BO256">
            <v>0</v>
          </cell>
          <cell r="BT256">
            <v>12376.096120263899</v>
          </cell>
          <cell r="BU256">
            <v>8549.7874557502382</v>
          </cell>
          <cell r="BW256">
            <v>5469.8086639089634</v>
          </cell>
          <cell r="BX256">
            <v>5128.481862122987</v>
          </cell>
          <cell r="BZ256">
            <v>1886.9941238859574</v>
          </cell>
          <cell r="CA256">
            <v>5582.4373147772039</v>
          </cell>
          <cell r="CC256">
            <v>451.78757913405479</v>
          </cell>
          <cell r="CD256">
            <v>449.93343346478667</v>
          </cell>
          <cell r="CF256">
            <v>55.617789097942342</v>
          </cell>
          <cell r="CG256">
            <v>0</v>
          </cell>
          <cell r="CI256">
            <v>2860.6617645808642</v>
          </cell>
          <cell r="CJ256">
            <v>2501.0495084389891</v>
          </cell>
          <cell r="CL256">
            <v>1590.9896400613316</v>
          </cell>
          <cell r="CM256">
            <v>1429.1416204941515</v>
          </cell>
          <cell r="CX256">
            <v>1236.3638847031252</v>
          </cell>
          <cell r="CY256">
            <v>15021.558313603928</v>
          </cell>
        </row>
        <row r="257">
          <cell r="I257">
            <v>2601.6863827897873</v>
          </cell>
          <cell r="J257">
            <v>3326.9606416672855</v>
          </cell>
          <cell r="L257">
            <v>396.60015856622454</v>
          </cell>
          <cell r="M257">
            <v>485.50680831448631</v>
          </cell>
          <cell r="O257">
            <v>1656.04</v>
          </cell>
          <cell r="P257">
            <v>1656.14</v>
          </cell>
          <cell r="R257">
            <v>331.12</v>
          </cell>
          <cell r="S257">
            <v>331.68</v>
          </cell>
          <cell r="U257">
            <v>130.00964065633656</v>
          </cell>
          <cell r="V257">
            <v>422.57794099540138</v>
          </cell>
          <cell r="X257">
            <v>1302.4649450734105</v>
          </cell>
          <cell r="Y257">
            <v>1110.8354078369921</v>
          </cell>
          <cell r="AA257">
            <v>0</v>
          </cell>
          <cell r="AB257">
            <v>0</v>
          </cell>
          <cell r="AD257">
            <v>4856.909912180563</v>
          </cell>
          <cell r="AE257">
            <v>4540.1261883708812</v>
          </cell>
          <cell r="AJ257">
            <v>9601.5110639297945</v>
          </cell>
          <cell r="AK257">
            <v>9562.0873980778088</v>
          </cell>
          <cell r="AM257">
            <v>0</v>
          </cell>
          <cell r="AN257">
            <v>0</v>
          </cell>
          <cell r="AP257">
            <v>710.2632321702373</v>
          </cell>
          <cell r="AQ257">
            <v>3818.4102122035401</v>
          </cell>
          <cell r="AS257">
            <v>14873.233913691975</v>
          </cell>
          <cell r="AT257">
            <v>92.712426161667508</v>
          </cell>
          <cell r="AV257">
            <v>122.31439675540068</v>
          </cell>
          <cell r="AW257">
            <v>0</v>
          </cell>
          <cell r="AY257">
            <v>157.93467598038256</v>
          </cell>
          <cell r="AZ257">
            <v>0</v>
          </cell>
          <cell r="BB257">
            <v>264.37306341340508</v>
          </cell>
          <cell r="BC257">
            <v>0</v>
          </cell>
          <cell r="BE257">
            <v>91.444637194136348</v>
          </cell>
          <cell r="BF257">
            <v>0</v>
          </cell>
          <cell r="BH257">
            <v>39.576741189229679</v>
          </cell>
          <cell r="BI257">
            <v>0</v>
          </cell>
          <cell r="BK257">
            <v>89.250700815318339</v>
          </cell>
          <cell r="BL257">
            <v>9483</v>
          </cell>
          <cell r="BN257">
            <v>0</v>
          </cell>
          <cell r="BO257">
            <v>0</v>
          </cell>
          <cell r="BT257">
            <v>13238.358977585085</v>
          </cell>
          <cell r="BU257">
            <v>9668.1637804645798</v>
          </cell>
          <cell r="BW257">
            <v>8258.2763064508417</v>
          </cell>
          <cell r="BX257">
            <v>9027.3704663913722</v>
          </cell>
          <cell r="BZ257">
            <v>3587.8856162877496</v>
          </cell>
          <cell r="CA257">
            <v>9458.2855990258886</v>
          </cell>
          <cell r="CC257">
            <v>394.50526726142641</v>
          </cell>
          <cell r="CD257">
            <v>392.88620939755538</v>
          </cell>
          <cell r="CF257">
            <v>48.565989340895293</v>
          </cell>
          <cell r="CG257">
            <v>0</v>
          </cell>
          <cell r="CI257">
            <v>3768.461735674683</v>
          </cell>
          <cell r="CJ257">
            <v>2656.2750626305287</v>
          </cell>
          <cell r="CL257">
            <v>1590.9896400613316</v>
          </cell>
          <cell r="CM257">
            <v>2547.6151077934819</v>
          </cell>
          <cell r="CX257">
            <v>663.46760351814737</v>
          </cell>
          <cell r="CY257">
            <v>100.84010080224107</v>
          </cell>
        </row>
        <row r="258">
          <cell r="I258">
            <v>1439.446373435276</v>
          </cell>
          <cell r="J258">
            <v>1785.4937362703611</v>
          </cell>
          <cell r="L258">
            <v>231.19354811519523</v>
          </cell>
          <cell r="M258">
            <v>283.02112874637055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65.029090713311319</v>
          </cell>
          <cell r="V258">
            <v>211.36909524950104</v>
          </cell>
          <cell r="X258">
            <v>556.80633545066314</v>
          </cell>
          <cell r="Y258">
            <v>425.57962836203626</v>
          </cell>
          <cell r="AA258">
            <v>0</v>
          </cell>
          <cell r="AB258">
            <v>0</v>
          </cell>
          <cell r="AD258">
            <v>2012.3488472435877</v>
          </cell>
          <cell r="AE258">
            <v>1881.0219651260213</v>
          </cell>
          <cell r="AJ258">
            <v>2496.4053549718647</v>
          </cell>
          <cell r="AK258">
            <v>2486.1545092240235</v>
          </cell>
          <cell r="AM258">
            <v>0</v>
          </cell>
          <cell r="AN258">
            <v>0</v>
          </cell>
          <cell r="AP258">
            <v>284.10529286809492</v>
          </cell>
          <cell r="AQ258">
            <v>0</v>
          </cell>
          <cell r="AS258">
            <v>6066.251384786151</v>
          </cell>
          <cell r="AT258">
            <v>0</v>
          </cell>
          <cell r="AV258">
            <v>71.122629880379705</v>
          </cell>
          <cell r="AW258">
            <v>0</v>
          </cell>
          <cell r="AY258">
            <v>91.67422397349246</v>
          </cell>
          <cell r="AZ258">
            <v>0</v>
          </cell>
          <cell r="BB258">
            <v>0</v>
          </cell>
          <cell r="BC258">
            <v>0</v>
          </cell>
          <cell r="BE258">
            <v>0</v>
          </cell>
          <cell r="BF258">
            <v>0</v>
          </cell>
          <cell r="BH258">
            <v>19.78837059461484</v>
          </cell>
          <cell r="BI258">
            <v>0</v>
          </cell>
          <cell r="BK258">
            <v>47.713523922280622</v>
          </cell>
          <cell r="BL258">
            <v>0</v>
          </cell>
          <cell r="BN258">
            <v>0</v>
          </cell>
          <cell r="BO258">
            <v>0</v>
          </cell>
          <cell r="BT258">
            <v>6423.5254258936084</v>
          </cell>
          <cell r="BU258">
            <v>5048.1547821082795</v>
          </cell>
          <cell r="BW258">
            <v>3835.3996248189073</v>
          </cell>
          <cell r="BX258">
            <v>3589.5104523288642</v>
          </cell>
          <cell r="BZ258">
            <v>1986.5373918891155</v>
          </cell>
          <cell r="CA258">
            <v>3395.6600411440468</v>
          </cell>
          <cell r="CC258">
            <v>174.24901801562476</v>
          </cell>
          <cell r="CD258">
            <v>173.53389640305818</v>
          </cell>
          <cell r="CF258">
            <v>21.451110172378048</v>
          </cell>
          <cell r="CG258">
            <v>0</v>
          </cell>
          <cell r="CI258">
            <v>318.19792801226629</v>
          </cell>
          <cell r="CJ258">
            <v>139.81047772677195</v>
          </cell>
          <cell r="CL258">
            <v>673.83090637891678</v>
          </cell>
          <cell r="CM258">
            <v>504.87576268660746</v>
          </cell>
          <cell r="CX258">
            <v>805.62834263713376</v>
          </cell>
          <cell r="CY258">
            <v>9074.6974295488726</v>
          </cell>
        </row>
        <row r="259">
          <cell r="I259">
            <v>1502.5186096054649</v>
          </cell>
          <cell r="J259">
            <v>1862.0994798030022</v>
          </cell>
          <cell r="L259">
            <v>304.97030261980154</v>
          </cell>
          <cell r="M259">
            <v>373.33674491628739</v>
          </cell>
          <cell r="O259">
            <v>652.78</v>
          </cell>
          <cell r="P259">
            <v>652.78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X259">
            <v>1149.8122135358485</v>
          </cell>
          <cell r="Y259">
            <v>983.42909430559916</v>
          </cell>
          <cell r="AA259">
            <v>0</v>
          </cell>
          <cell r="AB259">
            <v>0</v>
          </cell>
          <cell r="AD259">
            <v>2028.8107986464227</v>
          </cell>
          <cell r="AE259">
            <v>1878.4279140411622</v>
          </cell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P259">
            <v>1491.5527875574985</v>
          </cell>
          <cell r="AQ259">
            <v>4030.5441128815146</v>
          </cell>
          <cell r="AS259">
            <v>5769.3295467474818</v>
          </cell>
          <cell r="AT259">
            <v>2174</v>
          </cell>
          <cell r="AV259">
            <v>228.12681019305984</v>
          </cell>
          <cell r="AW259">
            <v>0</v>
          </cell>
          <cell r="AY259">
            <v>393.03969537771724</v>
          </cell>
          <cell r="AZ259">
            <v>0</v>
          </cell>
          <cell r="BB259">
            <v>367.83331737600776</v>
          </cell>
          <cell r="BC259">
            <v>1145</v>
          </cell>
          <cell r="BE259">
            <v>0</v>
          </cell>
          <cell r="BF259">
            <v>0</v>
          </cell>
          <cell r="BH259">
            <v>0</v>
          </cell>
          <cell r="BI259">
            <v>0</v>
          </cell>
          <cell r="BK259">
            <v>159.1131641582902</v>
          </cell>
          <cell r="BL259">
            <v>0</v>
          </cell>
          <cell r="BN259">
            <v>0</v>
          </cell>
          <cell r="BO259">
            <v>0</v>
          </cell>
          <cell r="BT259">
            <v>2718.1677486991421</v>
          </cell>
          <cell r="BU259">
            <v>2370.768928934529</v>
          </cell>
          <cell r="BW259">
            <v>3193.6257175959154</v>
          </cell>
          <cell r="BX259">
            <v>3096.7838375182673</v>
          </cell>
          <cell r="BZ259">
            <v>1446.4846694309438</v>
          </cell>
          <cell r="CA259">
            <v>3042.259811596939</v>
          </cell>
          <cell r="CC259">
            <v>99.759952640820472</v>
          </cell>
          <cell r="CD259">
            <v>99.350535709726643</v>
          </cell>
          <cell r="CF259">
            <v>12.281054775858582</v>
          </cell>
          <cell r="CG259">
            <v>0</v>
          </cell>
          <cell r="CI259">
            <v>489.77524213652754</v>
          </cell>
          <cell r="CJ259">
            <v>363.49587412327776</v>
          </cell>
          <cell r="CL259">
            <v>0</v>
          </cell>
          <cell r="CM259">
            <v>0</v>
          </cell>
          <cell r="CX259">
            <v>433.86204268384427</v>
          </cell>
          <cell r="CY259">
            <v>356.70839940363658</v>
          </cell>
        </row>
        <row r="260">
          <cell r="I260">
            <v>1294.4919141352987</v>
          </cell>
          <cell r="J260">
            <v>1594.7107038190311</v>
          </cell>
          <cell r="L260">
            <v>228.18567069470174</v>
          </cell>
          <cell r="M260">
            <v>279.33847327420148</v>
          </cell>
          <cell r="O260">
            <v>474.32</v>
          </cell>
          <cell r="P260">
            <v>474.32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X260">
            <v>768.55189986748701</v>
          </cell>
          <cell r="Y260">
            <v>641.61800542150763</v>
          </cell>
          <cell r="AA260">
            <v>0</v>
          </cell>
          <cell r="AB260">
            <v>0</v>
          </cell>
          <cell r="AD260">
            <v>1636.7170470516137</v>
          </cell>
          <cell r="AE260">
            <v>1529.8421260096129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P260">
            <v>1018.0439661106735</v>
          </cell>
          <cell r="AQ260">
            <v>2545.6068081356934</v>
          </cell>
          <cell r="AS260">
            <v>4093.7792772436806</v>
          </cell>
          <cell r="AT260">
            <v>54516.837325267115</v>
          </cell>
          <cell r="AV260">
            <v>209.63946651249057</v>
          </cell>
          <cell r="AW260">
            <v>0</v>
          </cell>
          <cell r="AY260">
            <v>294.13871636705994</v>
          </cell>
          <cell r="AZ260">
            <v>0</v>
          </cell>
          <cell r="BB260">
            <v>215.11532239040895</v>
          </cell>
          <cell r="BC260">
            <v>0</v>
          </cell>
          <cell r="BE260">
            <v>0</v>
          </cell>
          <cell r="BF260">
            <v>0</v>
          </cell>
          <cell r="BH260">
            <v>0</v>
          </cell>
          <cell r="BI260">
            <v>0</v>
          </cell>
          <cell r="BK260">
            <v>103.19210586326328</v>
          </cell>
          <cell r="BL260">
            <v>0</v>
          </cell>
          <cell r="BN260">
            <v>0</v>
          </cell>
          <cell r="BO260">
            <v>0</v>
          </cell>
          <cell r="BT260">
            <v>1979.4414983963732</v>
          </cell>
          <cell r="BU260">
            <v>2020.2746391974081</v>
          </cell>
          <cell r="BW260">
            <v>1940.9362467393446</v>
          </cell>
          <cell r="BX260">
            <v>1968.4710284668568</v>
          </cell>
          <cell r="BZ260">
            <v>1286.6788681919518</v>
          </cell>
          <cell r="CA260">
            <v>2623.4708522137339</v>
          </cell>
          <cell r="CC260">
            <v>274.81783513731676</v>
          </cell>
          <cell r="CD260">
            <v>273.68997699691772</v>
          </cell>
          <cell r="CF260">
            <v>33.831741068040884</v>
          </cell>
          <cell r="CG260">
            <v>0</v>
          </cell>
          <cell r="CI260">
            <v>74.870100708768533</v>
          </cell>
          <cell r="CJ260">
            <v>38.833258286481481</v>
          </cell>
          <cell r="CL260">
            <v>0</v>
          </cell>
          <cell r="CM260">
            <v>0</v>
          </cell>
          <cell r="CX260">
            <v>477.03798822583121</v>
          </cell>
          <cell r="CY260">
            <v>-62619.275836506269</v>
          </cell>
        </row>
        <row r="261">
          <cell r="I261">
            <v>1677.3271461910476</v>
          </cell>
          <cell r="J261">
            <v>2056.2491696905813</v>
          </cell>
          <cell r="L261">
            <v>302.20913189258357</v>
          </cell>
          <cell r="M261">
            <v>369.95594645003382</v>
          </cell>
          <cell r="O261">
            <v>689.2</v>
          </cell>
          <cell r="P261">
            <v>689.2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X261">
            <v>1126.6784905085808</v>
          </cell>
          <cell r="Y261">
            <v>3169.0361767901654</v>
          </cell>
          <cell r="AA261">
            <v>0</v>
          </cell>
          <cell r="AB261">
            <v>0</v>
          </cell>
          <cell r="AD261">
            <v>1833.690353014546</v>
          </cell>
          <cell r="AE261">
            <v>1727.0293959506243</v>
          </cell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P261">
            <v>1373.1755821957922</v>
          </cell>
          <cell r="AQ261">
            <v>919.85866930772067</v>
          </cell>
          <cell r="AS261">
            <v>6476.2261206265648</v>
          </cell>
          <cell r="AT261">
            <v>58278</v>
          </cell>
          <cell r="AV261">
            <v>271.83156836932346</v>
          </cell>
          <cell r="AW261">
            <v>0</v>
          </cell>
          <cell r="AY261">
            <v>389.54356874959132</v>
          </cell>
          <cell r="AZ261">
            <v>0</v>
          </cell>
          <cell r="BB261">
            <v>239.64210531342968</v>
          </cell>
          <cell r="BC261">
            <v>0</v>
          </cell>
          <cell r="BE261">
            <v>0</v>
          </cell>
          <cell r="BF261">
            <v>0</v>
          </cell>
          <cell r="BH261">
            <v>0</v>
          </cell>
          <cell r="BI261">
            <v>0</v>
          </cell>
          <cell r="BK261">
            <v>155.62201221057634</v>
          </cell>
          <cell r="BL261">
            <v>0</v>
          </cell>
          <cell r="BN261">
            <v>0</v>
          </cell>
          <cell r="BO261">
            <v>0</v>
          </cell>
          <cell r="BT261">
            <v>2260.8172763639477</v>
          </cell>
          <cell r="BU261">
            <v>2066.5024981896136</v>
          </cell>
          <cell r="BW261">
            <v>2444.4507972912147</v>
          </cell>
          <cell r="BX261">
            <v>2419.2277711328406</v>
          </cell>
          <cell r="BZ261">
            <v>1217.1023562062742</v>
          </cell>
          <cell r="CA261">
            <v>2328.3382170782243</v>
          </cell>
          <cell r="CC261">
            <v>163.29258095654694</v>
          </cell>
          <cell r="CD261">
            <v>162.62242479071227</v>
          </cell>
          <cell r="CF261">
            <v>20.102306367756725</v>
          </cell>
          <cell r="CG261">
            <v>0</v>
          </cell>
          <cell r="CI261">
            <v>670.71131884938472</v>
          </cell>
          <cell r="CJ261">
            <v>270.268564426235</v>
          </cell>
          <cell r="CL261">
            <v>0</v>
          </cell>
          <cell r="CM261">
            <v>0</v>
          </cell>
          <cell r="CX261">
            <v>328.29274187140982</v>
          </cell>
          <cell r="CY261">
            <v>-63445.306600568096</v>
          </cell>
        </row>
        <row r="262">
          <cell r="I262">
            <v>2035.037297251921</v>
          </cell>
          <cell r="J262">
            <v>2508.4522943803809</v>
          </cell>
          <cell r="L262">
            <v>345.31073553833897</v>
          </cell>
          <cell r="M262">
            <v>422.72055108406278</v>
          </cell>
          <cell r="O262">
            <v>870.36</v>
          </cell>
          <cell r="P262">
            <v>870.36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X262">
            <v>1271.5458962357698</v>
          </cell>
          <cell r="Y262">
            <v>1089.620442863988</v>
          </cell>
          <cell r="AA262">
            <v>0</v>
          </cell>
          <cell r="AB262">
            <v>0</v>
          </cell>
          <cell r="AD262">
            <v>2542.6232212197733</v>
          </cell>
          <cell r="AE262">
            <v>2376.64720061768</v>
          </cell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P262">
            <v>1894.0352857872995</v>
          </cell>
          <cell r="AQ262">
            <v>4879.0797155934124</v>
          </cell>
          <cell r="AS262">
            <v>9562.4065541049185</v>
          </cell>
          <cell r="AT262">
            <v>0</v>
          </cell>
          <cell r="AV262">
            <v>323.5364997196728</v>
          </cell>
          <cell r="AW262">
            <v>0</v>
          </cell>
          <cell r="AY262">
            <v>445.04417920905604</v>
          </cell>
          <cell r="AZ262">
            <v>0</v>
          </cell>
          <cell r="BB262">
            <v>445.86836908779861</v>
          </cell>
          <cell r="BC262">
            <v>0</v>
          </cell>
          <cell r="BE262">
            <v>0</v>
          </cell>
          <cell r="BF262">
            <v>0</v>
          </cell>
          <cell r="BH262">
            <v>0</v>
          </cell>
          <cell r="BI262">
            <v>0</v>
          </cell>
          <cell r="BK262">
            <v>179.58218534787574</v>
          </cell>
          <cell r="BL262">
            <v>0</v>
          </cell>
          <cell r="BN262">
            <v>0</v>
          </cell>
          <cell r="BO262">
            <v>0</v>
          </cell>
          <cell r="BT262">
            <v>4858.1349118951357</v>
          </cell>
          <cell r="BU262">
            <v>3615.4109083334779</v>
          </cell>
          <cell r="BW262">
            <v>2995.2490216940291</v>
          </cell>
          <cell r="BX262">
            <v>2980.2918474512244</v>
          </cell>
          <cell r="BZ262">
            <v>1451.3516657753503</v>
          </cell>
          <cell r="CA262">
            <v>3563.2248521194088</v>
          </cell>
          <cell r="CC262">
            <v>346.29204199250898</v>
          </cell>
          <cell r="CD262">
            <v>344.87085221302652</v>
          </cell>
          <cell r="CF262">
            <v>42.630649108926299</v>
          </cell>
          <cell r="CG262">
            <v>0</v>
          </cell>
          <cell r="CI262">
            <v>954.59378403679898</v>
          </cell>
          <cell r="CJ262">
            <v>340.19653922227951</v>
          </cell>
          <cell r="CL262">
            <v>0</v>
          </cell>
          <cell r="CM262">
            <v>0</v>
          </cell>
          <cell r="CX262">
            <v>1089.9372423937893</v>
          </cell>
          <cell r="CY262">
            <v>10177.209755345273</v>
          </cell>
        </row>
        <row r="263">
          <cell r="I263">
            <v>2146.2565035349362</v>
          </cell>
          <cell r="J263">
            <v>2638.8034555343575</v>
          </cell>
          <cell r="L263">
            <v>384.02375386401712</v>
          </cell>
          <cell r="M263">
            <v>470.11210101279596</v>
          </cell>
          <cell r="O263">
            <v>849.22</v>
          </cell>
          <cell r="P263">
            <v>849.22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X263">
            <v>1679.7499651644921</v>
          </cell>
          <cell r="Y263">
            <v>1452.2821659245647</v>
          </cell>
          <cell r="AA263">
            <v>0</v>
          </cell>
          <cell r="AB263">
            <v>0</v>
          </cell>
          <cell r="AD263">
            <v>2588.0895631895091</v>
          </cell>
          <cell r="AE263">
            <v>2431.9355529624318</v>
          </cell>
          <cell r="AJ263">
            <v>0</v>
          </cell>
          <cell r="AK263">
            <v>0</v>
          </cell>
          <cell r="AM263">
            <v>0</v>
          </cell>
          <cell r="AN263">
            <v>0</v>
          </cell>
          <cell r="AP263">
            <v>1775.6580804255932</v>
          </cell>
          <cell r="AQ263">
            <v>4101.2554131075058</v>
          </cell>
          <cell r="AS263">
            <v>7510.4836489941408</v>
          </cell>
          <cell r="AT263">
            <v>1095.4557626499309</v>
          </cell>
          <cell r="AV263">
            <v>346.64143553108937</v>
          </cell>
          <cell r="AW263">
            <v>0</v>
          </cell>
          <cell r="AY263">
            <v>494.96074423196654</v>
          </cell>
          <cell r="AZ263">
            <v>0</v>
          </cell>
          <cell r="BB263">
            <v>427.90836804502794</v>
          </cell>
          <cell r="BC263">
            <v>0</v>
          </cell>
          <cell r="BE263">
            <v>0</v>
          </cell>
          <cell r="BF263">
            <v>0</v>
          </cell>
          <cell r="BH263">
            <v>0</v>
          </cell>
          <cell r="BI263">
            <v>0</v>
          </cell>
          <cell r="BK263">
            <v>229.60894525507237</v>
          </cell>
          <cell r="BL263">
            <v>0</v>
          </cell>
          <cell r="BN263">
            <v>0</v>
          </cell>
          <cell r="BO263">
            <v>0</v>
          </cell>
          <cell r="BT263">
            <v>4136.8747565661242</v>
          </cell>
          <cell r="BU263">
            <v>3684.8270902501986</v>
          </cell>
          <cell r="BW263">
            <v>3533.0309729436153</v>
          </cell>
          <cell r="BX263">
            <v>3505.8220435490502</v>
          </cell>
          <cell r="BZ263">
            <v>2042.05194301193</v>
          </cell>
          <cell r="CA263">
            <v>4138.036366433189</v>
          </cell>
          <cell r="CC263">
            <v>454.72890451904209</v>
          </cell>
          <cell r="CD263">
            <v>452.86268758890628</v>
          </cell>
          <cell r="CF263">
            <v>55.979884079048752</v>
          </cell>
          <cell r="CG263">
            <v>0</v>
          </cell>
          <cell r="CI263">
            <v>570.88451790436011</v>
          </cell>
          <cell r="CJ263">
            <v>337.08975454518293</v>
          </cell>
          <cell r="CL263">
            <v>0</v>
          </cell>
          <cell r="CM263">
            <v>0</v>
          </cell>
          <cell r="CX263">
            <v>808.23761528804607</v>
          </cell>
          <cell r="CY263">
            <v>5690.3771277302676</v>
          </cell>
        </row>
        <row r="264">
          <cell r="I264">
            <v>933.58164452706671</v>
          </cell>
          <cell r="J264">
            <v>1143.629021382646</v>
          </cell>
          <cell r="L264">
            <v>233.01798496194539</v>
          </cell>
          <cell r="M264">
            <v>285.25487059014523</v>
          </cell>
          <cell r="O264">
            <v>330.3</v>
          </cell>
          <cell r="P264">
            <v>330.3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X264">
            <v>655.57717177108248</v>
          </cell>
          <cell r="Y264">
            <v>534.71524821986736</v>
          </cell>
          <cell r="AA264">
            <v>0</v>
          </cell>
          <cell r="AB264">
            <v>0</v>
          </cell>
          <cell r="AD264">
            <v>973.53557625166957</v>
          </cell>
          <cell r="AE264">
            <v>910.0539671239851</v>
          </cell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P264">
            <v>473.50882144682487</v>
          </cell>
          <cell r="AQ264">
            <v>424.55015506510182</v>
          </cell>
          <cell r="AS264">
            <v>2696.6519777680537</v>
          </cell>
          <cell r="AT264">
            <v>0</v>
          </cell>
          <cell r="AV264">
            <v>166.96317896061075</v>
          </cell>
          <cell r="AW264">
            <v>0</v>
          </cell>
          <cell r="AY264">
            <v>300.29581843807034</v>
          </cell>
          <cell r="AZ264">
            <v>0</v>
          </cell>
          <cell r="BB264">
            <v>160.64986160541216</v>
          </cell>
          <cell r="BC264">
            <v>0</v>
          </cell>
          <cell r="BE264">
            <v>0</v>
          </cell>
          <cell r="BF264">
            <v>0</v>
          </cell>
          <cell r="BH264">
            <v>0</v>
          </cell>
          <cell r="BI264">
            <v>0</v>
          </cell>
          <cell r="BK264">
            <v>80.014774571099423</v>
          </cell>
          <cell r="BL264">
            <v>0</v>
          </cell>
          <cell r="BN264">
            <v>0</v>
          </cell>
          <cell r="BO264">
            <v>0</v>
          </cell>
          <cell r="BT264">
            <v>2233.977107845878</v>
          </cell>
          <cell r="BU264">
            <v>1857.7188645265185</v>
          </cell>
          <cell r="BW264">
            <v>2057.1678062338697</v>
          </cell>
          <cell r="BX264">
            <v>1961.5489590739312</v>
          </cell>
          <cell r="BZ264">
            <v>1056.4880127117485</v>
          </cell>
          <cell r="CA264">
            <v>2904.0318340076137</v>
          </cell>
          <cell r="CC264">
            <v>169.12620963677182</v>
          </cell>
          <cell r="CD264">
            <v>168.43211213688301</v>
          </cell>
          <cell r="CF264">
            <v>20.820461413617743</v>
          </cell>
          <cell r="CG264">
            <v>0</v>
          </cell>
          <cell r="CI264">
            <v>199.65360189004946</v>
          </cell>
          <cell r="CJ264">
            <v>135.1508174368692</v>
          </cell>
          <cell r="CL264">
            <v>0</v>
          </cell>
          <cell r="CM264">
            <v>0</v>
          </cell>
          <cell r="CX264">
            <v>384.64398795947454</v>
          </cell>
          <cell r="CY264">
            <v>2887.7769805237258</v>
          </cell>
        </row>
        <row r="265">
          <cell r="I265">
            <v>950.42358610886231</v>
          </cell>
          <cell r="J265">
            <v>1167.5790313610355</v>
          </cell>
          <cell r="L265">
            <v>181.53243827731791</v>
          </cell>
          <cell r="M265">
            <v>222.22712775498931</v>
          </cell>
          <cell r="O265">
            <v>366.76</v>
          </cell>
          <cell r="P265">
            <v>366.76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X265">
            <v>459.84373703407272</v>
          </cell>
          <cell r="Y265">
            <v>2456.4214691203138</v>
          </cell>
          <cell r="AA265">
            <v>0</v>
          </cell>
          <cell r="AB265">
            <v>0</v>
          </cell>
          <cell r="AD265">
            <v>1072.0934930920225</v>
          </cell>
          <cell r="AE265">
            <v>1002.1099382295574</v>
          </cell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P265">
            <v>757.61411431491979</v>
          </cell>
          <cell r="AQ265">
            <v>212.27507753255091</v>
          </cell>
          <cell r="AS265">
            <v>2516.9875896159838</v>
          </cell>
          <cell r="AT265">
            <v>0</v>
          </cell>
          <cell r="AV265">
            <v>159.03712164227363</v>
          </cell>
          <cell r="AW265">
            <v>0</v>
          </cell>
          <cell r="AY265">
            <v>233.99602939185672</v>
          </cell>
          <cell r="AZ265">
            <v>0</v>
          </cell>
          <cell r="BB265">
            <v>172.71582493274184</v>
          </cell>
          <cell r="BC265">
            <v>0</v>
          </cell>
          <cell r="BE265">
            <v>0</v>
          </cell>
          <cell r="BF265">
            <v>0</v>
          </cell>
          <cell r="BH265">
            <v>0</v>
          </cell>
          <cell r="BI265">
            <v>0</v>
          </cell>
          <cell r="BK265">
            <v>54.753204443068483</v>
          </cell>
          <cell r="BL265">
            <v>0</v>
          </cell>
          <cell r="BN265">
            <v>0</v>
          </cell>
          <cell r="BO265">
            <v>0</v>
          </cell>
          <cell r="BT265">
            <v>3627.3848223148484</v>
          </cell>
          <cell r="BU265">
            <v>2816.8382014859571</v>
          </cell>
          <cell r="BW265">
            <v>1257.9292594552583</v>
          </cell>
          <cell r="BX265">
            <v>1194.7973293928135</v>
          </cell>
          <cell r="BZ265">
            <v>1133.2381335770474</v>
          </cell>
          <cell r="CA265">
            <v>2677.2437362430974</v>
          </cell>
          <cell r="CC265">
            <v>145.59560655687312</v>
          </cell>
          <cell r="CD265">
            <v>144.99807914392537</v>
          </cell>
          <cell r="CF265">
            <v>17.923701564766581</v>
          </cell>
          <cell r="CG265">
            <v>0</v>
          </cell>
          <cell r="CI265">
            <v>549.04740519763595</v>
          </cell>
          <cell r="CJ265">
            <v>276.50486971308692</v>
          </cell>
          <cell r="CL265">
            <v>0</v>
          </cell>
          <cell r="CM265">
            <v>0</v>
          </cell>
          <cell r="CX265">
            <v>409.56871897653764</v>
          </cell>
          <cell r="CY265">
            <v>1752.5141680272091</v>
          </cell>
        </row>
        <row r="266">
          <cell r="I266">
            <v>1667.92351123758</v>
          </cell>
          <cell r="J266">
            <v>2050.192890386842</v>
          </cell>
          <cell r="L266">
            <v>263.0021283458052</v>
          </cell>
          <cell r="M266">
            <v>321.96068250946973</v>
          </cell>
          <cell r="O266">
            <v>606.64</v>
          </cell>
          <cell r="P266">
            <v>606.64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X266">
            <v>1092.6593652683889</v>
          </cell>
          <cell r="Y266">
            <v>3131.3249706036545</v>
          </cell>
          <cell r="AA266">
            <v>0</v>
          </cell>
          <cell r="AB266">
            <v>0</v>
          </cell>
          <cell r="AD266">
            <v>1848.7982910985336</v>
          </cell>
          <cell r="AE266">
            <v>1728.010908308996</v>
          </cell>
          <cell r="AJ266">
            <v>0</v>
          </cell>
          <cell r="AK266">
            <v>0</v>
          </cell>
          <cell r="AM266">
            <v>0</v>
          </cell>
          <cell r="AN266">
            <v>0</v>
          </cell>
          <cell r="AP266">
            <v>1325.8247000511096</v>
          </cell>
          <cell r="AQ266">
            <v>990.6170284852376</v>
          </cell>
          <cell r="AS266">
            <v>5491.0605006795886</v>
          </cell>
          <cell r="AT266">
            <v>0</v>
          </cell>
          <cell r="AV266">
            <v>271.32552484176745</v>
          </cell>
          <cell r="AW266">
            <v>0</v>
          </cell>
          <cell r="AY266">
            <v>338.94721104730002</v>
          </cell>
          <cell r="AZ266">
            <v>0</v>
          </cell>
          <cell r="BB266">
            <v>299.40237983729122</v>
          </cell>
          <cell r="BC266">
            <v>0</v>
          </cell>
          <cell r="BE266">
            <v>0</v>
          </cell>
          <cell r="BF266">
            <v>0</v>
          </cell>
          <cell r="BH266">
            <v>0</v>
          </cell>
          <cell r="BI266">
            <v>0</v>
          </cell>
          <cell r="BK266">
            <v>148.43420890847807</v>
          </cell>
          <cell r="BL266">
            <v>0</v>
          </cell>
          <cell r="BN266">
            <v>0</v>
          </cell>
          <cell r="BO266">
            <v>0</v>
          </cell>
          <cell r="BT266">
            <v>4584.9234001021596</v>
          </cell>
          <cell r="BU266">
            <v>3387.8062321080556</v>
          </cell>
          <cell r="BW266">
            <v>2938.0539291155892</v>
          </cell>
          <cell r="BX266">
            <v>2875.1429251772024</v>
          </cell>
          <cell r="BZ266">
            <v>1383.6617523859186</v>
          </cell>
          <cell r="CA266">
            <v>4046.3453157747927</v>
          </cell>
          <cell r="CC266">
            <v>0</v>
          </cell>
          <cell r="CD266">
            <v>0</v>
          </cell>
          <cell r="CF266">
            <v>0</v>
          </cell>
          <cell r="CG266">
            <v>0</v>
          </cell>
          <cell r="CI266">
            <v>274.52370259881798</v>
          </cell>
          <cell r="CJ266">
            <v>0</v>
          </cell>
          <cell r="CL266">
            <v>0</v>
          </cell>
          <cell r="CM266">
            <v>0</v>
          </cell>
          <cell r="CX266">
            <v>672.78327337800874</v>
          </cell>
          <cell r="CY266">
            <v>4749.3508559749025</v>
          </cell>
        </row>
        <row r="267">
          <cell r="I267">
            <v>1029.9111845356804</v>
          </cell>
          <cell r="J267">
            <v>1267.8966516946421</v>
          </cell>
          <cell r="L267">
            <v>194.74869558343363</v>
          </cell>
          <cell r="M267">
            <v>238.40666327205997</v>
          </cell>
          <cell r="O267">
            <v>429.84</v>
          </cell>
          <cell r="P267">
            <v>429.84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>
            <v>547.54941357618532</v>
          </cell>
          <cell r="Y267">
            <v>452.22811303917024</v>
          </cell>
          <cell r="AA267">
            <v>0</v>
          </cell>
          <cell r="AB267">
            <v>0</v>
          </cell>
          <cell r="AD267">
            <v>1332.2065780286007</v>
          </cell>
          <cell r="AE267">
            <v>1245.3442769762828</v>
          </cell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P267">
            <v>828.64043753194358</v>
          </cell>
          <cell r="AQ267">
            <v>1909.2051061017701</v>
          </cell>
          <cell r="AS267">
            <v>3688.054129397507</v>
          </cell>
          <cell r="AT267">
            <v>0</v>
          </cell>
          <cell r="AV267">
            <v>170.22583618592486</v>
          </cell>
          <cell r="AW267">
            <v>0</v>
          </cell>
          <cell r="AY267">
            <v>251.00068743860237</v>
          </cell>
          <cell r="AZ267">
            <v>0</v>
          </cell>
          <cell r="BB267">
            <v>220.77882065324417</v>
          </cell>
          <cell r="BC267">
            <v>0</v>
          </cell>
          <cell r="BE267">
            <v>0</v>
          </cell>
          <cell r="BF267">
            <v>0</v>
          </cell>
          <cell r="BH267">
            <v>0</v>
          </cell>
          <cell r="BI267">
            <v>0</v>
          </cell>
          <cell r="BK267">
            <v>69.900011236879692</v>
          </cell>
          <cell r="BL267">
            <v>0</v>
          </cell>
          <cell r="BN267">
            <v>0</v>
          </cell>
          <cell r="BO267">
            <v>0</v>
          </cell>
          <cell r="BT267">
            <v>2632.6545472906359</v>
          </cell>
          <cell r="BU267">
            <v>2472.4659788607314</v>
          </cell>
          <cell r="BW267">
            <v>1505.6475528038907</v>
          </cell>
          <cell r="BX267">
            <v>1538.6007905130655</v>
          </cell>
          <cell r="BZ267">
            <v>1454.0468066271301</v>
          </cell>
          <cell r="CA267">
            <v>2339.2291933117417</v>
          </cell>
          <cell r="CC267">
            <v>249.03221592892777</v>
          </cell>
          <cell r="CD267">
            <v>248.01018250880165</v>
          </cell>
          <cell r="CF267">
            <v>30.65737506700815</v>
          </cell>
          <cell r="CG267">
            <v>0</v>
          </cell>
          <cell r="CI267">
            <v>623.91750590640459</v>
          </cell>
          <cell r="CJ267">
            <v>445.83135204950383</v>
          </cell>
          <cell r="CL267">
            <v>0</v>
          </cell>
          <cell r="CM267">
            <v>0</v>
          </cell>
          <cell r="CX267">
            <v>371.73584264960664</v>
          </cell>
          <cell r="CY267">
            <v>3577.8400300066787</v>
          </cell>
        </row>
        <row r="268">
          <cell r="I268">
            <v>0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X268">
            <v>0</v>
          </cell>
          <cell r="Y268">
            <v>0</v>
          </cell>
          <cell r="AA268">
            <v>0</v>
          </cell>
          <cell r="AB268">
            <v>0</v>
          </cell>
          <cell r="AD268">
            <v>0</v>
          </cell>
          <cell r="AE268">
            <v>183.38265487543018</v>
          </cell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P268">
            <v>142.05264643404746</v>
          </cell>
          <cell r="AQ268">
            <v>424.55015506510182</v>
          </cell>
          <cell r="AS268">
            <v>452.12299260614532</v>
          </cell>
          <cell r="AT268">
            <v>0</v>
          </cell>
          <cell r="AV268">
            <v>0</v>
          </cell>
          <cell r="AW268">
            <v>0</v>
          </cell>
          <cell r="AY268">
            <v>0</v>
          </cell>
          <cell r="AZ268">
            <v>0</v>
          </cell>
          <cell r="BB268">
            <v>0</v>
          </cell>
          <cell r="BC268">
            <v>0</v>
          </cell>
          <cell r="BE268">
            <v>0</v>
          </cell>
          <cell r="BF268">
            <v>0</v>
          </cell>
          <cell r="BH268">
            <v>0</v>
          </cell>
          <cell r="BI268">
            <v>0</v>
          </cell>
          <cell r="BK268">
            <v>0</v>
          </cell>
          <cell r="BL268">
            <v>0</v>
          </cell>
          <cell r="BN268">
            <v>0</v>
          </cell>
          <cell r="BO268">
            <v>0</v>
          </cell>
          <cell r="BT268">
            <v>99.695878142489619</v>
          </cell>
          <cell r="BU268">
            <v>171.64810415795139</v>
          </cell>
          <cell r="BW268">
            <v>0</v>
          </cell>
          <cell r="BX268">
            <v>1.1033639437762934</v>
          </cell>
          <cell r="BZ268">
            <v>0</v>
          </cell>
          <cell r="CA268">
            <v>193.328474547421</v>
          </cell>
          <cell r="CC268">
            <v>0</v>
          </cell>
          <cell r="CD268">
            <v>0</v>
          </cell>
          <cell r="CF268">
            <v>0</v>
          </cell>
          <cell r="CG268">
            <v>0</v>
          </cell>
          <cell r="CI268">
            <v>0</v>
          </cell>
          <cell r="CJ268">
            <v>0</v>
          </cell>
          <cell r="CL268">
            <v>0</v>
          </cell>
          <cell r="CM268">
            <v>0</v>
          </cell>
          <cell r="CX268">
            <v>20.834179380781165</v>
          </cell>
          <cell r="CY268">
            <v>-315.3353031076166</v>
          </cell>
        </row>
        <row r="269"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X269">
            <v>82.785282348368511</v>
          </cell>
          <cell r="Y269">
            <v>37.152908765950869</v>
          </cell>
          <cell r="AA269">
            <v>0</v>
          </cell>
          <cell r="AB269">
            <v>0</v>
          </cell>
          <cell r="AD269">
            <v>217.28350574565118</v>
          </cell>
          <cell r="AE269">
            <v>208.05399547709223</v>
          </cell>
          <cell r="AJ269">
            <v>0</v>
          </cell>
          <cell r="AK269">
            <v>0</v>
          </cell>
          <cell r="AM269">
            <v>0</v>
          </cell>
          <cell r="AN269">
            <v>0</v>
          </cell>
          <cell r="AP269">
            <v>0</v>
          </cell>
          <cell r="AQ269">
            <v>0</v>
          </cell>
          <cell r="AS269">
            <v>846.81030710599521</v>
          </cell>
          <cell r="AT269">
            <v>0</v>
          </cell>
          <cell r="AV269">
            <v>0</v>
          </cell>
          <cell r="AW269">
            <v>0</v>
          </cell>
          <cell r="AY269">
            <v>0</v>
          </cell>
          <cell r="AZ269">
            <v>0</v>
          </cell>
          <cell r="BB269">
            <v>0</v>
          </cell>
          <cell r="BC269">
            <v>0</v>
          </cell>
          <cell r="BE269">
            <v>0</v>
          </cell>
          <cell r="BF269">
            <v>0</v>
          </cell>
          <cell r="BH269">
            <v>0</v>
          </cell>
          <cell r="BI269">
            <v>0</v>
          </cell>
          <cell r="BK269">
            <v>23.058508430931262</v>
          </cell>
          <cell r="BL269">
            <v>0</v>
          </cell>
          <cell r="BN269">
            <v>0</v>
          </cell>
          <cell r="BO269">
            <v>0</v>
          </cell>
          <cell r="BT269">
            <v>0</v>
          </cell>
          <cell r="BU269">
            <v>0</v>
          </cell>
          <cell r="BW269">
            <v>38.962983241777721</v>
          </cell>
          <cell r="BX269">
            <v>1.2512234277770276</v>
          </cell>
          <cell r="BZ269">
            <v>0</v>
          </cell>
          <cell r="CA269">
            <v>0</v>
          </cell>
          <cell r="CC269">
            <v>0</v>
          </cell>
          <cell r="CD269">
            <v>0</v>
          </cell>
          <cell r="CF269">
            <v>0</v>
          </cell>
          <cell r="CG269">
            <v>0</v>
          </cell>
          <cell r="CI269">
            <v>15.597937647660114</v>
          </cell>
          <cell r="CJ269">
            <v>27.960028642385424</v>
          </cell>
          <cell r="CL269">
            <v>0</v>
          </cell>
          <cell r="CM269">
            <v>0</v>
          </cell>
          <cell r="CX269">
            <v>108.36177057553937</v>
          </cell>
          <cell r="CY269">
            <v>1248.4582124241533</v>
          </cell>
        </row>
        <row r="270">
          <cell r="I270">
            <v>1759.6365152423575</v>
          </cell>
          <cell r="J270">
            <v>1765.1714899500598</v>
          </cell>
          <cell r="L270">
            <v>332.43932844451967</v>
          </cell>
          <cell r="M270">
            <v>352.63622130089971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1181.996657516398</v>
          </cell>
          <cell r="Y270">
            <v>1118.9300288553663</v>
          </cell>
          <cell r="AA270">
            <v>0</v>
          </cell>
          <cell r="AB270">
            <v>0</v>
          </cell>
          <cell r="AD270">
            <v>1968.478815712914</v>
          </cell>
          <cell r="AE270">
            <v>1840.0019916464969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473.50882144682487</v>
          </cell>
          <cell r="AQ270">
            <v>0</v>
          </cell>
          <cell r="AS270">
            <v>6187.3527149777783</v>
          </cell>
          <cell r="AT270">
            <v>16256</v>
          </cell>
          <cell r="AV270">
            <v>293.68451802447441</v>
          </cell>
          <cell r="AW270">
            <v>0</v>
          </cell>
          <cell r="AY270">
            <v>428.45713760025609</v>
          </cell>
          <cell r="AZ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  <cell r="BK270">
            <v>264.95478811646899</v>
          </cell>
          <cell r="BL270">
            <v>0</v>
          </cell>
          <cell r="BN270">
            <v>0</v>
          </cell>
          <cell r="BO270">
            <v>0</v>
          </cell>
          <cell r="BT270">
            <v>7357.6898695921918</v>
          </cell>
          <cell r="BU270">
            <v>3929.9664458810189</v>
          </cell>
          <cell r="BW270">
            <v>2980.7044766115614</v>
          </cell>
          <cell r="BX270">
            <v>2653.9861045012403</v>
          </cell>
          <cell r="BZ270">
            <v>1458.6285460751567</v>
          </cell>
          <cell r="CA270">
            <v>4689.845124348838</v>
          </cell>
          <cell r="CC270">
            <v>287.26944593376311</v>
          </cell>
          <cell r="CD270">
            <v>286.09048612235779</v>
          </cell>
          <cell r="CF270">
            <v>35.364609821391298</v>
          </cell>
          <cell r="CG270">
            <v>0</v>
          </cell>
          <cell r="CI270">
            <v>1113.692748042932</v>
          </cell>
          <cell r="CJ270">
            <v>260.94407658900707</v>
          </cell>
          <cell r="CL270">
            <v>0</v>
          </cell>
          <cell r="CM270">
            <v>0</v>
          </cell>
          <cell r="CX270">
            <v>0.70920820921674022</v>
          </cell>
          <cell r="CY270">
            <v>-8434.9463630343398</v>
          </cell>
        </row>
        <row r="271">
          <cell r="I271">
            <v>2772.9413641345659</v>
          </cell>
          <cell r="J271">
            <v>2702.1201599459591</v>
          </cell>
          <cell r="L271">
            <v>426.44292755302081</v>
          </cell>
          <cell r="M271">
            <v>426.64466498750539</v>
          </cell>
          <cell r="O271">
            <v>1119.7</v>
          </cell>
          <cell r="P271">
            <v>1119.7</v>
          </cell>
          <cell r="R271">
            <v>224.62</v>
          </cell>
          <cell r="S271">
            <v>224.62</v>
          </cell>
          <cell r="U271">
            <v>88.645113504097054</v>
          </cell>
          <cell r="V271">
            <v>33.499267546060508</v>
          </cell>
          <cell r="X271">
            <v>1206.9765271512726</v>
          </cell>
          <cell r="Y271">
            <v>599.79276930465494</v>
          </cell>
          <cell r="AA271">
            <v>0</v>
          </cell>
          <cell r="AB271">
            <v>0</v>
          </cell>
          <cell r="AD271">
            <v>3133.3293475319092</v>
          </cell>
          <cell r="AE271">
            <v>2928.7935232702193</v>
          </cell>
          <cell r="AJ271">
            <v>7106.4203922739471</v>
          </cell>
          <cell r="AK271">
            <v>7077.2554944261828</v>
          </cell>
          <cell r="AM271">
            <v>0</v>
          </cell>
          <cell r="AN271">
            <v>0</v>
          </cell>
          <cell r="AP271">
            <v>631.34509526243312</v>
          </cell>
          <cell r="AQ271">
            <v>0</v>
          </cell>
          <cell r="AS271">
            <v>10322.180931511321</v>
          </cell>
          <cell r="AT271">
            <v>374</v>
          </cell>
          <cell r="AV271">
            <v>214.40752078805031</v>
          </cell>
          <cell r="AW271">
            <v>0</v>
          </cell>
          <cell r="AY271">
            <v>249.06583069279796</v>
          </cell>
          <cell r="AZ271">
            <v>0</v>
          </cell>
          <cell r="BB271">
            <v>226.77710403175575</v>
          </cell>
          <cell r="BC271">
            <v>0</v>
          </cell>
          <cell r="BE271">
            <v>128.6876472295032</v>
          </cell>
          <cell r="BF271">
            <v>0</v>
          </cell>
          <cell r="BH271">
            <v>44.980177589529568</v>
          </cell>
          <cell r="BI271">
            <v>0</v>
          </cell>
          <cell r="BK271">
            <v>133.23107334635267</v>
          </cell>
          <cell r="BL271">
            <v>0</v>
          </cell>
          <cell r="BN271">
            <v>79.878797055444863</v>
          </cell>
          <cell r="BO271">
            <v>0</v>
          </cell>
          <cell r="BT271">
            <v>11956.9359590036</v>
          </cell>
          <cell r="BU271">
            <v>8131.9832711908057</v>
          </cell>
          <cell r="BW271">
            <v>7934.1147340712114</v>
          </cell>
          <cell r="BX271">
            <v>10902.076897220628</v>
          </cell>
          <cell r="BZ271">
            <v>822.31395306956858</v>
          </cell>
          <cell r="CA271">
            <v>7291.2415985633206</v>
          </cell>
          <cell r="CC271">
            <v>234.32558900399107</v>
          </cell>
          <cell r="CD271">
            <v>233.36391188820315</v>
          </cell>
          <cell r="CF271">
            <v>28.846900161476174</v>
          </cell>
          <cell r="CG271">
            <v>0</v>
          </cell>
          <cell r="CI271">
            <v>2735.8782633995838</v>
          </cell>
          <cell r="CJ271">
            <v>6030.1770810624912</v>
          </cell>
          <cell r="CL271">
            <v>979.55048427305508</v>
          </cell>
          <cell r="CM271">
            <v>793.77573411206208</v>
          </cell>
          <cell r="CX271">
            <v>633.64512083381123</v>
          </cell>
          <cell r="CY271">
            <v>5352.7067517782998</v>
          </cell>
        </row>
        <row r="272">
          <cell r="I272">
            <v>2772.8912712419319</v>
          </cell>
          <cell r="J272">
            <v>2710.9699058015003</v>
          </cell>
          <cell r="L272">
            <v>393.00611582305254</v>
          </cell>
          <cell r="M272">
            <v>393.19201286983116</v>
          </cell>
          <cell r="O272">
            <v>1174.28</v>
          </cell>
          <cell r="P272">
            <v>1174.28</v>
          </cell>
          <cell r="R272">
            <v>242.64</v>
          </cell>
          <cell r="S272">
            <v>242.64</v>
          </cell>
          <cell r="U272">
            <v>138.88381114641354</v>
          </cell>
          <cell r="V272">
            <v>52.484670009595362</v>
          </cell>
          <cell r="X272">
            <v>1167.3899526286189</v>
          </cell>
          <cell r="Y272">
            <v>579.48547225199934</v>
          </cell>
          <cell r="AA272">
            <v>0</v>
          </cell>
          <cell r="AB272">
            <v>0</v>
          </cell>
          <cell r="AD272">
            <v>3386.5298381564744</v>
          </cell>
          <cell r="AE272">
            <v>3165.4657255122838</v>
          </cell>
          <cell r="AJ272">
            <v>5954.2675865454994</v>
          </cell>
          <cell r="AK272">
            <v>4999.0994866127758</v>
          </cell>
          <cell r="AM272">
            <v>0</v>
          </cell>
          <cell r="AN272">
            <v>647.24865515961449</v>
          </cell>
          <cell r="AP272">
            <v>631.34509526243312</v>
          </cell>
          <cell r="AQ272">
            <v>0</v>
          </cell>
          <cell r="AS272">
            <v>11465.553840186622</v>
          </cell>
          <cell r="AT272">
            <v>11273</v>
          </cell>
          <cell r="AV272">
            <v>171.52601663044027</v>
          </cell>
          <cell r="AW272">
            <v>0</v>
          </cell>
          <cell r="AY272">
            <v>185.23402568086527</v>
          </cell>
          <cell r="AZ272">
            <v>0</v>
          </cell>
          <cell r="BB272">
            <v>229.91088521272141</v>
          </cell>
          <cell r="BC272">
            <v>0</v>
          </cell>
          <cell r="BE272">
            <v>111.16789026792613</v>
          </cell>
          <cell r="BF272">
            <v>0</v>
          </cell>
          <cell r="BH272">
            <v>56.371262847709524</v>
          </cell>
          <cell r="BI272">
            <v>0</v>
          </cell>
          <cell r="BK272">
            <v>105.1618901772249</v>
          </cell>
          <cell r="BL272">
            <v>0</v>
          </cell>
          <cell r="BN272">
            <v>78.880070559382432</v>
          </cell>
          <cell r="BO272">
            <v>0</v>
          </cell>
          <cell r="BT272">
            <v>10642.112670513292</v>
          </cell>
          <cell r="BU272">
            <v>7757.8585990537458</v>
          </cell>
          <cell r="BW272">
            <v>6864.3542547369134</v>
          </cell>
          <cell r="BX272">
            <v>9878.9233847628784</v>
          </cell>
          <cell r="BZ272">
            <v>1255.1107704746041</v>
          </cell>
          <cell r="CA272">
            <v>6695.5525716252378</v>
          </cell>
          <cell r="CC272">
            <v>261.97404762287204</v>
          </cell>
          <cell r="CD272">
            <v>260.89890065492835</v>
          </cell>
          <cell r="CF272">
            <v>32.250592983876295</v>
          </cell>
          <cell r="CG272">
            <v>0</v>
          </cell>
          <cell r="CI272">
            <v>708.14636920376904</v>
          </cell>
          <cell r="CJ272">
            <v>480.00081624014462</v>
          </cell>
          <cell r="CL272">
            <v>3968.1153375647327</v>
          </cell>
          <cell r="CM272">
            <v>2775.9570641254372</v>
          </cell>
          <cell r="CX272">
            <v>936.05568543916888</v>
          </cell>
          <cell r="CY272">
            <v>-371.88871761596602</v>
          </cell>
        </row>
        <row r="273">
          <cell r="I273">
            <v>1086.8459842226634</v>
          </cell>
          <cell r="J273">
            <v>1046.0500811505492</v>
          </cell>
          <cell r="L273">
            <v>239.23492827996802</v>
          </cell>
          <cell r="M273">
            <v>239.34928528442103</v>
          </cell>
          <cell r="O273">
            <v>370.12</v>
          </cell>
          <cell r="P273">
            <v>370.12</v>
          </cell>
          <cell r="R273">
            <v>89.84</v>
          </cell>
          <cell r="S273">
            <v>89.84</v>
          </cell>
          <cell r="U273">
            <v>35.448304571321643</v>
          </cell>
          <cell r="V273">
            <v>13.395980737273362</v>
          </cell>
          <cell r="X273">
            <v>427.61588856909913</v>
          </cell>
          <cell r="Y273">
            <v>171.85576473206686</v>
          </cell>
          <cell r="AA273">
            <v>0</v>
          </cell>
          <cell r="AB273">
            <v>0</v>
          </cell>
          <cell r="AD273">
            <v>1125.0425402448657</v>
          </cell>
          <cell r="AE273">
            <v>1051.602605346319</v>
          </cell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P273">
            <v>94.701764289364974</v>
          </cell>
          <cell r="AQ273">
            <v>0</v>
          </cell>
          <cell r="AS273">
            <v>4361.3246293003276</v>
          </cell>
          <cell r="AT273">
            <v>327</v>
          </cell>
          <cell r="AV273">
            <v>196.24790144530206</v>
          </cell>
          <cell r="AW273">
            <v>0</v>
          </cell>
          <cell r="AY273">
            <v>285.79135804273159</v>
          </cell>
          <cell r="AZ273">
            <v>6123</v>
          </cell>
          <cell r="BB273">
            <v>174.4002952120108</v>
          </cell>
          <cell r="BC273">
            <v>0</v>
          </cell>
          <cell r="BE273">
            <v>106.53832154271349</v>
          </cell>
          <cell r="BF273">
            <v>0</v>
          </cell>
          <cell r="BH273">
            <v>35.974450255696418</v>
          </cell>
          <cell r="BI273">
            <v>0</v>
          </cell>
          <cell r="BK273">
            <v>92.185307259032186</v>
          </cell>
          <cell r="BL273">
            <v>0</v>
          </cell>
          <cell r="BN273">
            <v>31.907610498203873</v>
          </cell>
          <cell r="BO273">
            <v>0</v>
          </cell>
          <cell r="BT273">
            <v>4683.7447847143994</v>
          </cell>
          <cell r="BU273">
            <v>4203.3229837779627</v>
          </cell>
          <cell r="BW273">
            <v>2022.4492303529128</v>
          </cell>
          <cell r="BX273">
            <v>2046.0311655715675</v>
          </cell>
          <cell r="BZ273">
            <v>2163.9840870251805</v>
          </cell>
          <cell r="CA273">
            <v>3804.898881145974</v>
          </cell>
          <cell r="CC273">
            <v>156.87068719932458</v>
          </cell>
          <cell r="CD273">
            <v>156.22688661971756</v>
          </cell>
          <cell r="CF273">
            <v>19.311732325674427</v>
          </cell>
          <cell r="CG273">
            <v>0</v>
          </cell>
          <cell r="CI273">
            <v>648.87420614266057</v>
          </cell>
          <cell r="CJ273">
            <v>4.6596602899027433</v>
          </cell>
          <cell r="CL273">
            <v>0</v>
          </cell>
          <cell r="CM273">
            <v>0</v>
          </cell>
          <cell r="CX273">
            <v>221.2551862078617</v>
          </cell>
          <cell r="CY273">
            <v>-1217.4239535869019</v>
          </cell>
        </row>
        <row r="274">
          <cell r="I274">
            <v>484.7768484533787</v>
          </cell>
          <cell r="J274">
            <v>464.94126420196835</v>
          </cell>
          <cell r="L274">
            <v>72.297167870152549</v>
          </cell>
          <cell r="M274">
            <v>72.332725670369257</v>
          </cell>
          <cell r="O274">
            <v>134.28</v>
          </cell>
          <cell r="P274">
            <v>134.28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X274">
            <v>242.41668202897176</v>
          </cell>
          <cell r="Y274">
            <v>115.67431683698234</v>
          </cell>
          <cell r="AA274">
            <v>0</v>
          </cell>
          <cell r="AB274">
            <v>0</v>
          </cell>
          <cell r="AD274">
            <v>449.7462134341767</v>
          </cell>
          <cell r="AE274">
            <v>420.38791678853607</v>
          </cell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P274">
            <v>260.42985179575368</v>
          </cell>
          <cell r="AQ274">
            <v>0</v>
          </cell>
          <cell r="AS274">
            <v>874.75995205603374</v>
          </cell>
          <cell r="AT274">
            <v>0</v>
          </cell>
          <cell r="AV274">
            <v>91.799711134666694</v>
          </cell>
          <cell r="AW274">
            <v>0</v>
          </cell>
          <cell r="AY274">
            <v>93.161411686942571</v>
          </cell>
          <cell r="AZ274">
            <v>0</v>
          </cell>
          <cell r="BB274">
            <v>67.913456968774284</v>
          </cell>
          <cell r="BC274">
            <v>0</v>
          </cell>
          <cell r="BE274">
            <v>0</v>
          </cell>
          <cell r="BF274">
            <v>0</v>
          </cell>
          <cell r="BH274">
            <v>0</v>
          </cell>
          <cell r="BI274">
            <v>0</v>
          </cell>
          <cell r="BK274">
            <v>44.518397153018292</v>
          </cell>
          <cell r="BL274">
            <v>0</v>
          </cell>
          <cell r="BN274">
            <v>15.287047639181583</v>
          </cell>
          <cell r="BO274">
            <v>0</v>
          </cell>
          <cell r="BT274">
            <v>1517.0969820315222</v>
          </cell>
          <cell r="BU274">
            <v>1434.6398871497797</v>
          </cell>
          <cell r="BW274">
            <v>733.41286011125896</v>
          </cell>
          <cell r="BX274">
            <v>726.49945891930315</v>
          </cell>
          <cell r="BZ274">
            <v>649.19522610755416</v>
          </cell>
          <cell r="CA274">
            <v>1270.0092208521835</v>
          </cell>
          <cell r="CC274">
            <v>0</v>
          </cell>
          <cell r="CD274">
            <v>0</v>
          </cell>
          <cell r="CF274">
            <v>0</v>
          </cell>
          <cell r="CG274">
            <v>0</v>
          </cell>
          <cell r="CI274">
            <v>84.228863297364597</v>
          </cell>
          <cell r="CJ274">
            <v>110.29137276267355</v>
          </cell>
          <cell r="CL274">
            <v>0</v>
          </cell>
          <cell r="CM274">
            <v>0</v>
          </cell>
          <cell r="CX274">
            <v>-2.4806122500194761E-2</v>
          </cell>
          <cell r="CY274">
            <v>1279.4926041818462</v>
          </cell>
        </row>
        <row r="275"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>
            <v>0</v>
          </cell>
          <cell r="Y275">
            <v>0</v>
          </cell>
          <cell r="AA275">
            <v>0</v>
          </cell>
          <cell r="AB275">
            <v>0</v>
          </cell>
          <cell r="AD275">
            <v>0</v>
          </cell>
          <cell r="AE275">
            <v>85.396499655031405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P275">
            <v>71.02632321702373</v>
          </cell>
          <cell r="AQ275">
            <v>0</v>
          </cell>
          <cell r="AS275">
            <v>398.0008367639935</v>
          </cell>
          <cell r="AT275">
            <v>0</v>
          </cell>
          <cell r="AV275">
            <v>0</v>
          </cell>
          <cell r="AW275">
            <v>0</v>
          </cell>
          <cell r="AY275">
            <v>0</v>
          </cell>
          <cell r="AZ275">
            <v>0</v>
          </cell>
          <cell r="BB275">
            <v>0</v>
          </cell>
          <cell r="BC275">
            <v>0</v>
          </cell>
          <cell r="BE275">
            <v>0</v>
          </cell>
          <cell r="BF275">
            <v>0</v>
          </cell>
          <cell r="BH275">
            <v>0</v>
          </cell>
          <cell r="BI275">
            <v>0</v>
          </cell>
          <cell r="BK275">
            <v>0</v>
          </cell>
          <cell r="BL275">
            <v>0</v>
          </cell>
          <cell r="BN275">
            <v>0</v>
          </cell>
          <cell r="BO275">
            <v>0</v>
          </cell>
          <cell r="BT275">
            <v>39.878351256995849</v>
          </cell>
          <cell r="BU275">
            <v>87.946594348441522</v>
          </cell>
          <cell r="BW275">
            <v>0</v>
          </cell>
          <cell r="BX275">
            <v>0.51380769194377329</v>
          </cell>
          <cell r="BZ275">
            <v>0</v>
          </cell>
          <cell r="CA275">
            <v>99.054871654039218</v>
          </cell>
          <cell r="CC275">
            <v>0</v>
          </cell>
          <cell r="CD275">
            <v>0</v>
          </cell>
          <cell r="CF275">
            <v>0</v>
          </cell>
          <cell r="CG275">
            <v>0</v>
          </cell>
          <cell r="CI275">
            <v>0</v>
          </cell>
          <cell r="CJ275">
            <v>0</v>
          </cell>
          <cell r="CL275">
            <v>0</v>
          </cell>
          <cell r="CM275">
            <v>0</v>
          </cell>
          <cell r="CX275">
            <v>9.1533865143843514</v>
          </cell>
          <cell r="CY275">
            <v>292.34587198065299</v>
          </cell>
        </row>
        <row r="276">
          <cell r="I276">
            <v>2627.2186425265522</v>
          </cell>
          <cell r="J276">
            <v>2555.0438697417048</v>
          </cell>
          <cell r="L276">
            <v>407.55257968286838</v>
          </cell>
          <cell r="M276">
            <v>407.74737035465995</v>
          </cell>
          <cell r="O276">
            <v>991.82</v>
          </cell>
          <cell r="P276">
            <v>991.82</v>
          </cell>
          <cell r="R276">
            <v>221.4</v>
          </cell>
          <cell r="S276">
            <v>221.4</v>
          </cell>
          <cell r="U276">
            <v>130.00964065633656</v>
          </cell>
          <cell r="V276">
            <v>49.13101697383847</v>
          </cell>
          <cell r="X276">
            <v>1129.1493210721176</v>
          </cell>
          <cell r="Y276">
            <v>598.96441619440134</v>
          </cell>
          <cell r="AA276">
            <v>0</v>
          </cell>
          <cell r="AB276">
            <v>0</v>
          </cell>
          <cell r="AD276">
            <v>3004.8833682744607</v>
          </cell>
          <cell r="AE276">
            <v>2808.4178370925079</v>
          </cell>
          <cell r="AJ276">
            <v>5747.840023162752</v>
          </cell>
          <cell r="AK276">
            <v>5724.2507675505894</v>
          </cell>
          <cell r="AM276">
            <v>0</v>
          </cell>
          <cell r="AN276">
            <v>0</v>
          </cell>
          <cell r="AP276">
            <v>568.21058573618984</v>
          </cell>
          <cell r="AQ276">
            <v>235.86119725838989</v>
          </cell>
          <cell r="AS276">
            <v>10064.675918389228</v>
          </cell>
          <cell r="AT276">
            <v>2855.3410934875483</v>
          </cell>
          <cell r="AV276">
            <v>206.76395489082276</v>
          </cell>
          <cell r="AW276">
            <v>0</v>
          </cell>
          <cell r="AY276">
            <v>249.72595634349193</v>
          </cell>
          <cell r="AZ276">
            <v>0</v>
          </cell>
          <cell r="BB276">
            <v>312.35655427083907</v>
          </cell>
          <cell r="BC276">
            <v>0</v>
          </cell>
          <cell r="BE276">
            <v>115.73902546114914</v>
          </cell>
          <cell r="BF276">
            <v>0</v>
          </cell>
          <cell r="BH276">
            <v>65.961235315382794</v>
          </cell>
          <cell r="BI276">
            <v>0</v>
          </cell>
          <cell r="BK276">
            <v>127.2900014790072</v>
          </cell>
          <cell r="BL276">
            <v>0</v>
          </cell>
          <cell r="BN276">
            <v>102.33357069191999</v>
          </cell>
          <cell r="BO276">
            <v>0</v>
          </cell>
          <cell r="BT276">
            <v>10638.35249388026</v>
          </cell>
          <cell r="BU276">
            <v>2675.14945856542</v>
          </cell>
          <cell r="BW276">
            <v>6063.4296423644155</v>
          </cell>
          <cell r="BX276">
            <v>1731.1586378786974</v>
          </cell>
          <cell r="BZ276">
            <v>2120.7044052846768</v>
          </cell>
          <cell r="CA276">
            <v>2028.6245663345599</v>
          </cell>
          <cell r="CC276">
            <v>327.46755952859007</v>
          </cell>
          <cell r="CD276">
            <v>326.12362581866046</v>
          </cell>
          <cell r="CF276">
            <v>40.31324122984536</v>
          </cell>
          <cell r="CG276">
            <v>0</v>
          </cell>
          <cell r="CI276">
            <v>1410.0535633484742</v>
          </cell>
          <cell r="CJ276">
            <v>543.68215123449249</v>
          </cell>
          <cell r="CL276">
            <v>1041.9422348636956</v>
          </cell>
          <cell r="CM276">
            <v>649.29836193499591</v>
          </cell>
          <cell r="CX276">
            <v>1418.2077778563253</v>
          </cell>
          <cell r="CY276">
            <v>29394.022755495444</v>
          </cell>
        </row>
        <row r="277"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X277">
            <v>0</v>
          </cell>
          <cell r="Y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114.83897457509684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P277">
            <v>47.350882144682487</v>
          </cell>
          <cell r="AQ277">
            <v>0</v>
          </cell>
          <cell r="AS277">
            <v>320.83238666977394</v>
          </cell>
          <cell r="AT277">
            <v>0</v>
          </cell>
          <cell r="AV277">
            <v>0</v>
          </cell>
          <cell r="AW277">
            <v>0</v>
          </cell>
          <cell r="AY277">
            <v>0</v>
          </cell>
          <cell r="AZ277">
            <v>0</v>
          </cell>
          <cell r="BB277">
            <v>0</v>
          </cell>
          <cell r="BC277">
            <v>0</v>
          </cell>
          <cell r="BE277">
            <v>0</v>
          </cell>
          <cell r="BF277">
            <v>0</v>
          </cell>
          <cell r="BH277">
            <v>0</v>
          </cell>
          <cell r="BI277">
            <v>0</v>
          </cell>
          <cell r="BK277">
            <v>0</v>
          </cell>
          <cell r="BL277">
            <v>0</v>
          </cell>
          <cell r="BN277">
            <v>0</v>
          </cell>
          <cell r="BO277">
            <v>0</v>
          </cell>
          <cell r="BT277">
            <v>127.61072402238671</v>
          </cell>
          <cell r="BU277">
            <v>146.59988282090475</v>
          </cell>
          <cell r="BW277">
            <v>0</v>
          </cell>
          <cell r="BX277">
            <v>0.69095511771533968</v>
          </cell>
          <cell r="BZ277">
            <v>0</v>
          </cell>
          <cell r="CA277">
            <v>165.11648557746847</v>
          </cell>
          <cell r="CC277">
            <v>0</v>
          </cell>
          <cell r="CD277">
            <v>0</v>
          </cell>
          <cell r="CF277">
            <v>0</v>
          </cell>
          <cell r="CG277">
            <v>0</v>
          </cell>
          <cell r="CI277">
            <v>0</v>
          </cell>
          <cell r="CJ277">
            <v>0</v>
          </cell>
          <cell r="CL277">
            <v>0</v>
          </cell>
          <cell r="CM277">
            <v>0</v>
          </cell>
          <cell r="CX277">
            <v>8.9272085957882155</v>
          </cell>
          <cell r="CY277">
            <v>91.18444229057755</v>
          </cell>
        </row>
        <row r="278">
          <cell r="I278">
            <v>82.969000405177255</v>
          </cell>
          <cell r="J278">
            <v>104.37105877794087</v>
          </cell>
          <cell r="L278">
            <v>37.9243574755655</v>
          </cell>
          <cell r="M278">
            <v>46.425607509803527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X278">
            <v>70.863556614904908</v>
          </cell>
          <cell r="Y278">
            <v>56.195154359597865</v>
          </cell>
          <cell r="AA278">
            <v>0</v>
          </cell>
          <cell r="AB278">
            <v>0</v>
          </cell>
          <cell r="AD278">
            <v>186.14119941214852</v>
          </cell>
          <cell r="AE278">
            <v>173.9903721520609</v>
          </cell>
          <cell r="AJ278">
            <v>0</v>
          </cell>
          <cell r="AK278">
            <v>0</v>
          </cell>
          <cell r="AM278">
            <v>0</v>
          </cell>
          <cell r="AN278">
            <v>0</v>
          </cell>
          <cell r="AP278">
            <v>94.701764289364974</v>
          </cell>
          <cell r="AQ278">
            <v>0</v>
          </cell>
          <cell r="AS278">
            <v>623.57614642388046</v>
          </cell>
          <cell r="AT278">
            <v>0</v>
          </cell>
          <cell r="AV278">
            <v>36.308589429809629</v>
          </cell>
          <cell r="AW278">
            <v>0</v>
          </cell>
          <cell r="AY278">
            <v>48.925973641158578</v>
          </cell>
          <cell r="AZ278">
            <v>0</v>
          </cell>
          <cell r="BB278">
            <v>25.314242800838446</v>
          </cell>
          <cell r="BC278">
            <v>0</v>
          </cell>
          <cell r="BE278">
            <v>0</v>
          </cell>
          <cell r="BF278">
            <v>0</v>
          </cell>
          <cell r="BH278">
            <v>0</v>
          </cell>
          <cell r="BI278">
            <v>0</v>
          </cell>
          <cell r="BK278">
            <v>9.8614252960765771</v>
          </cell>
          <cell r="BL278">
            <v>0</v>
          </cell>
          <cell r="BN278">
            <v>0</v>
          </cell>
          <cell r="BO278">
            <v>0</v>
          </cell>
          <cell r="BT278">
            <v>660.13963200194405</v>
          </cell>
          <cell r="BU278">
            <v>558.18664392344886</v>
          </cell>
          <cell r="BW278">
            <v>386.57171728327529</v>
          </cell>
          <cell r="BX278">
            <v>327.02331767375074</v>
          </cell>
          <cell r="BZ278">
            <v>338.39005983146222</v>
          </cell>
          <cell r="CA278">
            <v>478.23324161811922</v>
          </cell>
          <cell r="CC278">
            <v>0</v>
          </cell>
          <cell r="CD278">
            <v>0</v>
          </cell>
          <cell r="CF278">
            <v>0</v>
          </cell>
          <cell r="CG278">
            <v>0</v>
          </cell>
          <cell r="CI278">
            <v>155.97937647660115</v>
          </cell>
          <cell r="CJ278">
            <v>104.04266605800785</v>
          </cell>
          <cell r="CL278">
            <v>0</v>
          </cell>
          <cell r="CM278">
            <v>0</v>
          </cell>
          <cell r="CX278">
            <v>49.619550341350987</v>
          </cell>
          <cell r="CY278">
            <v>1140.6583255127243</v>
          </cell>
        </row>
        <row r="279"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X279">
            <v>0</v>
          </cell>
          <cell r="Y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168.39496967856428</v>
          </cell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P279">
            <v>63.134509526243313</v>
          </cell>
          <cell r="AQ279">
            <v>0</v>
          </cell>
          <cell r="AS279">
            <v>695.48980715602272</v>
          </cell>
          <cell r="AT279">
            <v>0</v>
          </cell>
          <cell r="AV279">
            <v>0</v>
          </cell>
          <cell r="AW279">
            <v>0</v>
          </cell>
          <cell r="AY279">
            <v>0</v>
          </cell>
          <cell r="AZ279">
            <v>0</v>
          </cell>
          <cell r="BB279">
            <v>0</v>
          </cell>
          <cell r="BC279">
            <v>0</v>
          </cell>
          <cell r="BE279">
            <v>0</v>
          </cell>
          <cell r="BF279">
            <v>0</v>
          </cell>
          <cell r="BH279">
            <v>0</v>
          </cell>
          <cell r="BI279">
            <v>0</v>
          </cell>
          <cell r="BK279">
            <v>0</v>
          </cell>
          <cell r="BL279">
            <v>0</v>
          </cell>
          <cell r="BN279">
            <v>0</v>
          </cell>
          <cell r="BO279">
            <v>0</v>
          </cell>
          <cell r="BT279">
            <v>0</v>
          </cell>
          <cell r="BU279">
            <v>0</v>
          </cell>
          <cell r="BW279">
            <v>0</v>
          </cell>
          <cell r="BX279">
            <v>1.013187086765881</v>
          </cell>
          <cell r="BZ279">
            <v>0</v>
          </cell>
          <cell r="CA279">
            <v>0</v>
          </cell>
          <cell r="CC279">
            <v>0</v>
          </cell>
          <cell r="CD279">
            <v>0</v>
          </cell>
          <cell r="CF279">
            <v>0</v>
          </cell>
          <cell r="CG279">
            <v>0</v>
          </cell>
          <cell r="CI279">
            <v>0</v>
          </cell>
          <cell r="CJ279">
            <v>0</v>
          </cell>
          <cell r="CL279">
            <v>0</v>
          </cell>
          <cell r="CM279">
            <v>0</v>
          </cell>
          <cell r="CX279">
            <v>22.730819981280888</v>
          </cell>
          <cell r="CY279">
            <v>729.79021188160391</v>
          </cell>
        </row>
        <row r="280">
          <cell r="I280">
            <v>658.30376027673867</v>
          </cell>
          <cell r="J280">
            <v>812.00324871618659</v>
          </cell>
          <cell r="L280">
            <v>117.52041640181733</v>
          </cell>
          <cell r="M280">
            <v>143.86504901932614</v>
          </cell>
          <cell r="O280">
            <v>314.88</v>
          </cell>
          <cell r="P280">
            <v>314.88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>
            <v>488.94306633129565</v>
          </cell>
          <cell r="Y280">
            <v>398.00472747340257</v>
          </cell>
          <cell r="AA280">
            <v>0</v>
          </cell>
          <cell r="AB280">
            <v>0</v>
          </cell>
          <cell r="AD280">
            <v>939.18639626826405</v>
          </cell>
          <cell r="AE280">
            <v>877.844513978843</v>
          </cell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P280">
            <v>426.15793930214238</v>
          </cell>
          <cell r="AQ280">
            <v>0</v>
          </cell>
          <cell r="AS280">
            <v>2609.1057601751249</v>
          </cell>
          <cell r="AT280">
            <v>0</v>
          </cell>
          <cell r="AV280">
            <v>126.78159136424794</v>
          </cell>
          <cell r="AW280">
            <v>0</v>
          </cell>
          <cell r="AY280">
            <v>151.47835609515252</v>
          </cell>
          <cell r="AZ280">
            <v>0</v>
          </cell>
          <cell r="BB280">
            <v>158.77057002037245</v>
          </cell>
          <cell r="BC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K280">
            <v>59.149004912770224</v>
          </cell>
          <cell r="BL280">
            <v>0</v>
          </cell>
          <cell r="BN280">
            <v>0</v>
          </cell>
          <cell r="BO280">
            <v>0</v>
          </cell>
          <cell r="BT280">
            <v>1635.5688770838797</v>
          </cell>
          <cell r="BU280">
            <v>1534.7379377869765</v>
          </cell>
          <cell r="BW280">
            <v>1492.5482862868741</v>
          </cell>
          <cell r="BX280">
            <v>1515.0990495743708</v>
          </cell>
          <cell r="BZ280">
            <v>866.40217706560645</v>
          </cell>
          <cell r="CA280">
            <v>2097.6918164102362</v>
          </cell>
          <cell r="CC280">
            <v>234.2275448244915</v>
          </cell>
          <cell r="CD280">
            <v>233.26627008406581</v>
          </cell>
          <cell r="CF280">
            <v>28.834830328772625</v>
          </cell>
          <cell r="CG280">
            <v>0</v>
          </cell>
          <cell r="CI280">
            <v>514.73194237278358</v>
          </cell>
          <cell r="CJ280">
            <v>0</v>
          </cell>
          <cell r="CL280">
            <v>0</v>
          </cell>
          <cell r="CM280">
            <v>0</v>
          </cell>
          <cell r="CX280">
            <v>323.59137706759793</v>
          </cell>
          <cell r="CY280">
            <v>3797.8288643479118</v>
          </cell>
        </row>
        <row r="281">
          <cell r="I281">
            <v>4409.5360282952852</v>
          </cell>
          <cell r="J281">
            <v>4437.8804258733853</v>
          </cell>
          <cell r="L281">
            <v>748.37160325246532</v>
          </cell>
          <cell r="M281">
            <v>793.83691711039228</v>
          </cell>
          <cell r="O281">
            <v>1427.52</v>
          </cell>
          <cell r="P281">
            <v>1427.82</v>
          </cell>
          <cell r="R281">
            <v>362.02</v>
          </cell>
          <cell r="S281">
            <v>362.34</v>
          </cell>
          <cell r="U281">
            <v>208.3500279500883</v>
          </cell>
          <cell r="V281">
            <v>143.5428645605021</v>
          </cell>
          <cell r="X281">
            <v>1680.7795733443816</v>
          </cell>
          <cell r="Y281">
            <v>1589.0811939769958</v>
          </cell>
          <cell r="AA281">
            <v>0</v>
          </cell>
          <cell r="AB281">
            <v>0</v>
          </cell>
          <cell r="AD281">
            <v>4824.8126701379779</v>
          </cell>
          <cell r="AE281">
            <v>4488.529770991905</v>
          </cell>
          <cell r="AJ281">
            <v>8685.8007101718067</v>
          </cell>
          <cell r="AK281">
            <v>8554.4587377958687</v>
          </cell>
          <cell r="AM281">
            <v>263.07035981182185</v>
          </cell>
          <cell r="AN281">
            <v>0</v>
          </cell>
          <cell r="AP281">
            <v>883.88313336740646</v>
          </cell>
          <cell r="AQ281">
            <v>0</v>
          </cell>
          <cell r="AS281">
            <v>23156.959999999999</v>
          </cell>
          <cell r="AT281">
            <v>1318</v>
          </cell>
          <cell r="AV281">
            <v>354.5053752788794</v>
          </cell>
          <cell r="AW281">
            <v>0</v>
          </cell>
          <cell r="AY281">
            <v>493.73511237688888</v>
          </cell>
          <cell r="AZ281">
            <v>0</v>
          </cell>
          <cell r="BB281">
            <v>599.00354063093062</v>
          </cell>
          <cell r="BC281">
            <v>0</v>
          </cell>
          <cell r="BE281">
            <v>202.16392511926523</v>
          </cell>
          <cell r="BF281">
            <v>0</v>
          </cell>
          <cell r="BH281">
            <v>105.68402349220877</v>
          </cell>
          <cell r="BI281">
            <v>0</v>
          </cell>
          <cell r="BK281">
            <v>136.87374713977206</v>
          </cell>
          <cell r="BL281">
            <v>0</v>
          </cell>
          <cell r="BN281">
            <v>0</v>
          </cell>
          <cell r="BO281">
            <v>0</v>
          </cell>
          <cell r="BT281">
            <v>7006.66</v>
          </cell>
          <cell r="BU281">
            <v>5243.6666729227754</v>
          </cell>
          <cell r="BW281">
            <v>8956.24</v>
          </cell>
          <cell r="BX281">
            <v>8426.6668543740998</v>
          </cell>
          <cell r="BZ281">
            <v>2790.12</v>
          </cell>
          <cell r="CA281">
            <v>5249.5741398406553</v>
          </cell>
          <cell r="CC281">
            <v>107.84859744953565</v>
          </cell>
          <cell r="CD281">
            <v>107.40598455105584</v>
          </cell>
          <cell r="CF281">
            <v>13.276815973901169</v>
          </cell>
          <cell r="CG281">
            <v>0</v>
          </cell>
          <cell r="CI281">
            <v>2214.9071459677357</v>
          </cell>
          <cell r="CJ281">
            <v>1380.9456366655163</v>
          </cell>
          <cell r="CL281">
            <v>3322.3607189516042</v>
          </cell>
          <cell r="CM281">
            <v>2072.19540953042</v>
          </cell>
          <cell r="CX281">
            <v>1879.2002695456467</v>
          </cell>
          <cell r="CY281">
            <v>34709.446470167721</v>
          </cell>
        </row>
        <row r="282">
          <cell r="I282">
            <v>2407.9303413111493</v>
          </cell>
          <cell r="J282">
            <v>2423.2685562889765</v>
          </cell>
          <cell r="L282">
            <v>458.54087352039971</v>
          </cell>
          <cell r="M282">
            <v>546.24927214483841</v>
          </cell>
          <cell r="O282">
            <v>916.84</v>
          </cell>
          <cell r="P282">
            <v>917.06</v>
          </cell>
          <cell r="R282">
            <v>249.28</v>
          </cell>
          <cell r="S282">
            <v>249.34</v>
          </cell>
          <cell r="U282">
            <v>130.00964065633656</v>
          </cell>
          <cell r="V282">
            <v>89.569932287279713</v>
          </cell>
          <cell r="X282">
            <v>1043.277573106724</v>
          </cell>
          <cell r="Y282">
            <v>1015.2809666496612</v>
          </cell>
          <cell r="AA282">
            <v>0</v>
          </cell>
          <cell r="AB282">
            <v>0</v>
          </cell>
          <cell r="AD282">
            <v>2984.9793724873957</v>
          </cell>
          <cell r="AE282">
            <v>2790.127459828816</v>
          </cell>
          <cell r="AJ282">
            <v>6913.0950965152351</v>
          </cell>
          <cell r="AK282">
            <v>6884.704745994155</v>
          </cell>
          <cell r="AM282">
            <v>0</v>
          </cell>
          <cell r="AN282">
            <v>0</v>
          </cell>
          <cell r="AP282">
            <v>560.31877204540945</v>
          </cell>
          <cell r="AQ282">
            <v>0</v>
          </cell>
          <cell r="AS282">
            <v>15518.98</v>
          </cell>
          <cell r="AT282">
            <v>1224</v>
          </cell>
          <cell r="AV282">
            <v>180.28000083455336</v>
          </cell>
          <cell r="AW282">
            <v>0</v>
          </cell>
          <cell r="AY282">
            <v>303.15280889421359</v>
          </cell>
          <cell r="AZ282">
            <v>2561</v>
          </cell>
          <cell r="BB282">
            <v>375.12738273257935</v>
          </cell>
          <cell r="BC282">
            <v>0</v>
          </cell>
          <cell r="BE282">
            <v>148.4035862329026</v>
          </cell>
          <cell r="BF282">
            <v>0</v>
          </cell>
          <cell r="BH282">
            <v>65.961235315382794</v>
          </cell>
          <cell r="BI282">
            <v>0</v>
          </cell>
          <cell r="BK282">
            <v>71.693988049612315</v>
          </cell>
          <cell r="BL282">
            <v>0</v>
          </cell>
          <cell r="BN282">
            <v>0</v>
          </cell>
          <cell r="BO282">
            <v>0</v>
          </cell>
          <cell r="BT282">
            <v>7718.1</v>
          </cell>
          <cell r="BU282">
            <v>5240.2160151874969</v>
          </cell>
          <cell r="BW282">
            <v>5856.88</v>
          </cell>
          <cell r="BX282">
            <v>5499.9451286812546</v>
          </cell>
          <cell r="BZ282">
            <v>1829.88</v>
          </cell>
          <cell r="CA282">
            <v>4802.6765589697161</v>
          </cell>
          <cell r="CC282">
            <v>220.59940387405018</v>
          </cell>
          <cell r="CD282">
            <v>219.69405930897784</v>
          </cell>
          <cell r="CF282">
            <v>27.157123582979661</v>
          </cell>
          <cell r="CG282">
            <v>0</v>
          </cell>
          <cell r="CI282">
            <v>4623.228718766457</v>
          </cell>
          <cell r="CJ282">
            <v>2403.0302566620298</v>
          </cell>
          <cell r="CL282">
            <v>1516.1195393525629</v>
          </cell>
          <cell r="CM282">
            <v>1390.2525558275079</v>
          </cell>
          <cell r="CX282">
            <v>967.75745126647962</v>
          </cell>
          <cell r="CY282">
            <v>20003.861390603142</v>
          </cell>
        </row>
        <row r="283">
          <cell r="I283">
            <v>1113.5935605671871</v>
          </cell>
          <cell r="J283">
            <v>1371.8578958138678</v>
          </cell>
          <cell r="L283">
            <v>210.77646158135121</v>
          </cell>
          <cell r="M283">
            <v>258.02736865656732</v>
          </cell>
          <cell r="O283">
            <v>460.58</v>
          </cell>
          <cell r="P283">
            <v>460.58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>
            <v>609.27111061101425</v>
          </cell>
          <cell r="Y283">
            <v>509.76823552473741</v>
          </cell>
          <cell r="AA283">
            <v>0</v>
          </cell>
          <cell r="AB283">
            <v>0</v>
          </cell>
          <cell r="AD283">
            <v>1472.6676438943528</v>
          </cell>
          <cell r="AE283">
            <v>1376.5356204143714</v>
          </cell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P283">
            <v>852.31587860428476</v>
          </cell>
          <cell r="AQ283">
            <v>2050.6277065537529</v>
          </cell>
          <cell r="AS283">
            <v>2829.2121625546706</v>
          </cell>
          <cell r="AT283">
            <v>0</v>
          </cell>
          <cell r="AV283">
            <v>191.98904251927169</v>
          </cell>
          <cell r="AW283">
            <v>0</v>
          </cell>
          <cell r="AY283">
            <v>271.65683061933453</v>
          </cell>
          <cell r="AZ283">
            <v>0</v>
          </cell>
          <cell r="BB283">
            <v>267.77851529053544</v>
          </cell>
          <cell r="BC283">
            <v>0</v>
          </cell>
          <cell r="BE283">
            <v>0</v>
          </cell>
          <cell r="BF283">
            <v>0</v>
          </cell>
          <cell r="BH283">
            <v>0</v>
          </cell>
          <cell r="BI283">
            <v>0</v>
          </cell>
          <cell r="BK283">
            <v>79.191999924649934</v>
          </cell>
          <cell r="BL283">
            <v>0</v>
          </cell>
          <cell r="BN283">
            <v>0</v>
          </cell>
          <cell r="BO283">
            <v>0</v>
          </cell>
          <cell r="BT283">
            <v>1100.4940473618412</v>
          </cell>
          <cell r="BU283">
            <v>1033.8568427115597</v>
          </cell>
          <cell r="BW283">
            <v>1717.1036891768752</v>
          </cell>
          <cell r="BX283">
            <v>1678.2485453960016</v>
          </cell>
          <cell r="BZ283">
            <v>708.76823131924061</v>
          </cell>
          <cell r="CA283">
            <v>1763.4066220298168</v>
          </cell>
          <cell r="CC283">
            <v>122.94740109247064</v>
          </cell>
          <cell r="CD283">
            <v>122.44282238820367</v>
          </cell>
          <cell r="CF283">
            <v>15.135570210247334</v>
          </cell>
          <cell r="CG283">
            <v>0</v>
          </cell>
          <cell r="CI283">
            <v>483.53606707746354</v>
          </cell>
          <cell r="CJ283">
            <v>459.81136637069653</v>
          </cell>
          <cell r="CL283">
            <v>0</v>
          </cell>
          <cell r="CM283">
            <v>0</v>
          </cell>
          <cell r="CX283">
            <v>300.31814511425364</v>
          </cell>
          <cell r="CY283">
            <v>2006.544368968508</v>
          </cell>
        </row>
        <row r="284">
          <cell r="I284">
            <v>2766.3811920269686</v>
          </cell>
          <cell r="J284">
            <v>2782.5060020987044</v>
          </cell>
          <cell r="L284">
            <v>566.29631222116154</v>
          </cell>
          <cell r="M284">
            <v>600.70044936926752</v>
          </cell>
          <cell r="O284">
            <v>1168.56</v>
          </cell>
          <cell r="P284">
            <v>1168.42</v>
          </cell>
          <cell r="R284">
            <v>0</v>
          </cell>
          <cell r="S284">
            <v>0</v>
          </cell>
          <cell r="U284">
            <v>215.74518364026076</v>
          </cell>
          <cell r="V284">
            <v>148.63785502052934</v>
          </cell>
          <cell r="X284">
            <v>2245.766570348344</v>
          </cell>
          <cell r="Y284">
            <v>2153.2835265318899</v>
          </cell>
          <cell r="AA284">
            <v>0</v>
          </cell>
          <cell r="AB284">
            <v>0</v>
          </cell>
          <cell r="AD284">
            <v>4248.2524198148585</v>
          </cell>
          <cell r="AE284">
            <v>4081.5848225898008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P284">
            <v>2225.4914608000768</v>
          </cell>
          <cell r="AQ284">
            <v>0</v>
          </cell>
          <cell r="AS284">
            <v>11865.297829181649</v>
          </cell>
          <cell r="AT284">
            <v>0</v>
          </cell>
          <cell r="AV284">
            <v>456.80205837427036</v>
          </cell>
          <cell r="AW284">
            <v>0</v>
          </cell>
          <cell r="AY284">
            <v>729.89882423528786</v>
          </cell>
          <cell r="AZ284">
            <v>0</v>
          </cell>
          <cell r="BB284">
            <v>431.56064698254022</v>
          </cell>
          <cell r="BC284">
            <v>0</v>
          </cell>
          <cell r="BE284">
            <v>0</v>
          </cell>
          <cell r="BF284">
            <v>0</v>
          </cell>
          <cell r="BH284">
            <v>218.86472282667671</v>
          </cell>
          <cell r="BI284">
            <v>0</v>
          </cell>
          <cell r="BK284">
            <v>332.1874362013159</v>
          </cell>
          <cell r="BL284">
            <v>0</v>
          </cell>
          <cell r="BN284">
            <v>0</v>
          </cell>
          <cell r="BO284">
            <v>0</v>
          </cell>
          <cell r="BT284">
            <v>7168.1078983121715</v>
          </cell>
          <cell r="BU284">
            <v>5301.1159336711635</v>
          </cell>
          <cell r="BW284">
            <v>4387.1142673102959</v>
          </cell>
          <cell r="BX284">
            <v>4026.4754532339398</v>
          </cell>
          <cell r="BZ284">
            <v>1661.9082932129347</v>
          </cell>
          <cell r="CA284">
            <v>4951.0079966839812</v>
          </cell>
          <cell r="CC284">
            <v>178.9306275867296</v>
          </cell>
          <cell r="CD284">
            <v>178.19629255061534</v>
          </cell>
          <cell r="CF284">
            <v>22.027444683972391</v>
          </cell>
          <cell r="CG284">
            <v>0</v>
          </cell>
          <cell r="CI284">
            <v>184.0556642423893</v>
          </cell>
          <cell r="CJ284">
            <v>43.49498547935319</v>
          </cell>
          <cell r="CL284">
            <v>0</v>
          </cell>
          <cell r="CM284">
            <v>0</v>
          </cell>
          <cell r="CX284">
            <v>3249.9613775977195</v>
          </cell>
          <cell r="CY284">
            <v>22015.352019324906</v>
          </cell>
        </row>
        <row r="285">
          <cell r="I285">
            <v>778.91177143626908</v>
          </cell>
          <cell r="J285">
            <v>959.85746830506571</v>
          </cell>
          <cell r="L285">
            <v>119.14799437597647</v>
          </cell>
          <cell r="M285">
            <v>145.85730525836843</v>
          </cell>
          <cell r="O285">
            <v>345.54</v>
          </cell>
          <cell r="P285">
            <v>345.54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X285">
            <v>494.95930459311847</v>
          </cell>
          <cell r="Y285">
            <v>403.69275079227089</v>
          </cell>
          <cell r="AA285">
            <v>0</v>
          </cell>
          <cell r="AB285">
            <v>0</v>
          </cell>
          <cell r="AD285">
            <v>1035.3213419064678</v>
          </cell>
          <cell r="AE285">
            <v>967.66984627358158</v>
          </cell>
          <cell r="AJ285">
            <v>0</v>
          </cell>
          <cell r="AK285">
            <v>0</v>
          </cell>
          <cell r="AM285">
            <v>0</v>
          </cell>
          <cell r="AN285">
            <v>0</v>
          </cell>
          <cell r="AP285">
            <v>757.61411431491979</v>
          </cell>
          <cell r="AQ285">
            <v>0</v>
          </cell>
          <cell r="AS285">
            <v>2733.687474040727</v>
          </cell>
          <cell r="AT285">
            <v>353</v>
          </cell>
          <cell r="AV285">
            <v>124.57062080146615</v>
          </cell>
          <cell r="AW285">
            <v>0</v>
          </cell>
          <cell r="AY285">
            <v>153.61481567386699</v>
          </cell>
          <cell r="AZ285">
            <v>0</v>
          </cell>
          <cell r="BB285">
            <v>172.42294749368233</v>
          </cell>
          <cell r="BC285">
            <v>0</v>
          </cell>
          <cell r="BE285">
            <v>0</v>
          </cell>
          <cell r="BF285">
            <v>0</v>
          </cell>
          <cell r="BH285">
            <v>0</v>
          </cell>
          <cell r="BI285">
            <v>0</v>
          </cell>
          <cell r="BK285">
            <v>60.056140153587386</v>
          </cell>
          <cell r="BL285">
            <v>0</v>
          </cell>
          <cell r="BN285">
            <v>0</v>
          </cell>
          <cell r="BO285">
            <v>0</v>
          </cell>
          <cell r="BT285">
            <v>1576.9685222086114</v>
          </cell>
          <cell r="BU285">
            <v>1451.5701254064954</v>
          </cell>
          <cell r="BW285">
            <v>1593.8418223367955</v>
          </cell>
          <cell r="BX285">
            <v>1623.4157245152926</v>
          </cell>
          <cell r="BZ285">
            <v>798.09798557892361</v>
          </cell>
          <cell r="CA285">
            <v>1348.4335480216573</v>
          </cell>
          <cell r="CC285">
            <v>241.43379201771046</v>
          </cell>
          <cell r="CD285">
            <v>240.44294268815909</v>
          </cell>
          <cell r="CF285">
            <v>29.721963032483295</v>
          </cell>
          <cell r="CG285">
            <v>0</v>
          </cell>
          <cell r="CI285">
            <v>520.9711174318478</v>
          </cell>
          <cell r="CJ285">
            <v>206.60686501009229</v>
          </cell>
          <cell r="CL285">
            <v>0</v>
          </cell>
          <cell r="CM285">
            <v>0</v>
          </cell>
          <cell r="CX285">
            <v>205.86192712425873</v>
          </cell>
          <cell r="CY285">
            <v>4394.8161084748208</v>
          </cell>
        </row>
        <row r="286">
          <cell r="I286">
            <v>2435.3227992771217</v>
          </cell>
          <cell r="J286">
            <v>3001.1720961389319</v>
          </cell>
          <cell r="L286">
            <v>475.16003304258925</v>
          </cell>
          <cell r="M286">
            <v>581.67845039916369</v>
          </cell>
          <cell r="O286">
            <v>921.6</v>
          </cell>
          <cell r="P286">
            <v>921.6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X286">
            <v>1732.8550417264596</v>
          </cell>
          <cell r="Y286">
            <v>1500.6699393162924</v>
          </cell>
          <cell r="AA286">
            <v>0</v>
          </cell>
          <cell r="AB286">
            <v>0</v>
          </cell>
          <cell r="AD286">
            <v>3001.7121265540004</v>
          </cell>
          <cell r="AE286">
            <v>2805.6981127938707</v>
          </cell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P286">
            <v>2130.789696510712</v>
          </cell>
          <cell r="AQ286">
            <v>0</v>
          </cell>
          <cell r="AS286">
            <v>8823.0796166398486</v>
          </cell>
          <cell r="AT286">
            <v>352.41090946061513</v>
          </cell>
          <cell r="AV286">
            <v>390.20101697689392</v>
          </cell>
          <cell r="AW286">
            <v>0</v>
          </cell>
          <cell r="AY286">
            <v>612.42978423362774</v>
          </cell>
          <cell r="AZ286">
            <v>0</v>
          </cell>
          <cell r="BB286">
            <v>498.54465057686645</v>
          </cell>
          <cell r="BC286">
            <v>0</v>
          </cell>
          <cell r="BE286">
            <v>0</v>
          </cell>
          <cell r="BF286">
            <v>0</v>
          </cell>
          <cell r="BH286">
            <v>0</v>
          </cell>
          <cell r="BI286">
            <v>0</v>
          </cell>
          <cell r="BK286">
            <v>242.89648827755306</v>
          </cell>
          <cell r="BL286">
            <v>373</v>
          </cell>
          <cell r="BN286">
            <v>0</v>
          </cell>
          <cell r="BO286">
            <v>0</v>
          </cell>
          <cell r="BT286">
            <v>5446.3230803184488</v>
          </cell>
          <cell r="BU286">
            <v>4344.728006825545</v>
          </cell>
          <cell r="BW286">
            <v>3565.4750207439934</v>
          </cell>
          <cell r="BX286">
            <v>3478.6907266622043</v>
          </cell>
          <cell r="BZ286">
            <v>2263.10734108937</v>
          </cell>
          <cell r="CA286">
            <v>5098.3199520167036</v>
          </cell>
          <cell r="CC286">
            <v>128.78102977269552</v>
          </cell>
          <cell r="CD286">
            <v>128.2525097343744</v>
          </cell>
          <cell r="CF286">
            <v>15.853725256108348</v>
          </cell>
          <cell r="CG286">
            <v>0</v>
          </cell>
          <cell r="CI286">
            <v>692.54843155610899</v>
          </cell>
          <cell r="CJ286">
            <v>674.21361298935369</v>
          </cell>
          <cell r="CL286">
            <v>0</v>
          </cell>
          <cell r="CM286">
            <v>0</v>
          </cell>
          <cell r="CX286">
            <v>1.1641409371295595</v>
          </cell>
          <cell r="CY286">
            <v>12140.658820395536</v>
          </cell>
        </row>
        <row r="287">
          <cell r="I287">
            <v>2009.5059052545041</v>
          </cell>
          <cell r="J287">
            <v>2469.3882998746558</v>
          </cell>
          <cell r="L287">
            <v>380.52254474762248</v>
          </cell>
          <cell r="M287">
            <v>465.82573152879581</v>
          </cell>
          <cell r="O287">
            <v>693.02</v>
          </cell>
          <cell r="P287">
            <v>693.02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>
            <v>1241.9147834079502</v>
          </cell>
          <cell r="Y287">
            <v>1059.7259318081624</v>
          </cell>
          <cell r="AA287">
            <v>0</v>
          </cell>
          <cell r="AB287">
            <v>0</v>
          </cell>
          <cell r="AD287">
            <v>2283.0089832954022</v>
          </cell>
          <cell r="AE287">
            <v>2133.9457573446207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P287">
            <v>1894.0352857872995</v>
          </cell>
          <cell r="AQ287">
            <v>849.10031013020364</v>
          </cell>
          <cell r="AS287">
            <v>6667.8872003906527</v>
          </cell>
          <cell r="AT287">
            <v>58664</v>
          </cell>
          <cell r="AV287">
            <v>317.84533244161025</v>
          </cell>
          <cell r="AW287">
            <v>0</v>
          </cell>
          <cell r="AY287">
            <v>490.42556714245251</v>
          </cell>
          <cell r="AZ287">
            <v>0</v>
          </cell>
          <cell r="BB287">
            <v>435.35818498390751</v>
          </cell>
          <cell r="BC287">
            <v>0</v>
          </cell>
          <cell r="BE287">
            <v>0</v>
          </cell>
          <cell r="BF287">
            <v>0</v>
          </cell>
          <cell r="BH287">
            <v>0</v>
          </cell>
          <cell r="BI287">
            <v>0</v>
          </cell>
          <cell r="BK287">
            <v>174.41860241614506</v>
          </cell>
          <cell r="BL287">
            <v>1255</v>
          </cell>
          <cell r="BN287">
            <v>0</v>
          </cell>
          <cell r="BO287">
            <v>0</v>
          </cell>
          <cell r="BT287">
            <v>5498.9202187760247</v>
          </cell>
          <cell r="BU287">
            <v>4288.4277752128482</v>
          </cell>
          <cell r="BW287">
            <v>2916.7450961684772</v>
          </cell>
          <cell r="BX287">
            <v>2929.0086970772995</v>
          </cell>
          <cell r="BZ287">
            <v>1705.338474807229</v>
          </cell>
          <cell r="CA287">
            <v>4374.0001130975734</v>
          </cell>
          <cell r="CC287">
            <v>346.58617453100771</v>
          </cell>
          <cell r="CD287">
            <v>345.16377762543846</v>
          </cell>
          <cell r="CF287">
            <v>42.666858607036936</v>
          </cell>
          <cell r="CG287">
            <v>0</v>
          </cell>
          <cell r="CI287">
            <v>467.93812942980344</v>
          </cell>
          <cell r="CJ287">
            <v>333.99433783441555</v>
          </cell>
          <cell r="CL287">
            <v>0</v>
          </cell>
          <cell r="CM287">
            <v>0</v>
          </cell>
          <cell r="CX287">
            <v>-1.3048106245478266</v>
          </cell>
          <cell r="CY287">
            <v>-62754.660877840819</v>
          </cell>
        </row>
        <row r="288">
          <cell r="I288">
            <v>832.7926803702386</v>
          </cell>
          <cell r="J288">
            <v>1030.0682049456909</v>
          </cell>
          <cell r="L288">
            <v>148.29313894513984</v>
          </cell>
          <cell r="M288">
            <v>181.53680335758025</v>
          </cell>
          <cell r="O288">
            <v>385.62</v>
          </cell>
          <cell r="P288">
            <v>385.62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X288">
            <v>470.0163864930384</v>
          </cell>
          <cell r="Y288">
            <v>380.67814628954147</v>
          </cell>
          <cell r="AA288">
            <v>0</v>
          </cell>
          <cell r="AB288">
            <v>0</v>
          </cell>
          <cell r="AD288">
            <v>1145.3527400275848</v>
          </cell>
          <cell r="AE288">
            <v>1041.1445316756171</v>
          </cell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P288">
            <v>639.23690895321363</v>
          </cell>
          <cell r="AQ288">
            <v>0</v>
          </cell>
          <cell r="AS288">
            <v>2316.5467020425285</v>
          </cell>
          <cell r="AT288">
            <v>0</v>
          </cell>
          <cell r="AV288">
            <v>137.88486578757917</v>
          </cell>
          <cell r="AW288">
            <v>0</v>
          </cell>
          <cell r="AY288">
            <v>191.12025839548414</v>
          </cell>
          <cell r="AZ288">
            <v>0</v>
          </cell>
          <cell r="BB288">
            <v>164.78563296374301</v>
          </cell>
          <cell r="BC288">
            <v>0</v>
          </cell>
          <cell r="BE288">
            <v>0</v>
          </cell>
          <cell r="BF288">
            <v>0</v>
          </cell>
          <cell r="BH288">
            <v>0</v>
          </cell>
          <cell r="BI288">
            <v>0</v>
          </cell>
          <cell r="BK288">
            <v>56.288526279835082</v>
          </cell>
          <cell r="BL288">
            <v>0</v>
          </cell>
          <cell r="BN288">
            <v>0</v>
          </cell>
          <cell r="BO288">
            <v>0</v>
          </cell>
          <cell r="BT288">
            <v>909.73922671289483</v>
          </cell>
          <cell r="BU288">
            <v>848.29710999185545</v>
          </cell>
          <cell r="BW288">
            <v>1866.8021391367986</v>
          </cell>
          <cell r="BX288">
            <v>1819.9987136708824</v>
          </cell>
          <cell r="BZ288">
            <v>580.75627757828238</v>
          </cell>
          <cell r="CA288">
            <v>887.86179517553569</v>
          </cell>
          <cell r="CC288">
            <v>244.96338247969527</v>
          </cell>
          <cell r="CD288">
            <v>243.95804763710277</v>
          </cell>
          <cell r="CF288">
            <v>30.15647700981097</v>
          </cell>
          <cell r="CG288">
            <v>0</v>
          </cell>
          <cell r="CI288">
            <v>140.38143882894101</v>
          </cell>
          <cell r="CJ288">
            <v>127.38023866393186</v>
          </cell>
          <cell r="CL288">
            <v>0</v>
          </cell>
          <cell r="CM288">
            <v>0</v>
          </cell>
          <cell r="CX288">
            <v>23.935861594232847</v>
          </cell>
          <cell r="CY288">
            <v>4000.9676903107156</v>
          </cell>
        </row>
        <row r="289">
          <cell r="I289">
            <v>1928.3163278998504</v>
          </cell>
          <cell r="J289">
            <v>1936.6005077473835</v>
          </cell>
          <cell r="L289">
            <v>382.93870188124436</v>
          </cell>
          <cell r="M289">
            <v>406.20386565813487</v>
          </cell>
          <cell r="O289">
            <v>863.78</v>
          </cell>
          <cell r="P289">
            <v>863.88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>
            <v>1330.9268406679189</v>
          </cell>
          <cell r="Y289">
            <v>1225.280657056262</v>
          </cell>
          <cell r="AA289">
            <v>0</v>
          </cell>
          <cell r="AB289">
            <v>0</v>
          </cell>
          <cell r="AD289">
            <v>2643.8464063824895</v>
          </cell>
          <cell r="AE289">
            <v>2471.5821848572809</v>
          </cell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P289">
            <v>1562.5791107745222</v>
          </cell>
          <cell r="AQ289">
            <v>3959.832812655523</v>
          </cell>
          <cell r="AS289">
            <v>6590.1876472866888</v>
          </cell>
          <cell r="AT289">
            <v>4373.034342977021</v>
          </cell>
          <cell r="AV289">
            <v>315.60276808607239</v>
          </cell>
          <cell r="AW289">
            <v>0</v>
          </cell>
          <cell r="AY289">
            <v>493.55253641226898</v>
          </cell>
          <cell r="AZ289">
            <v>0</v>
          </cell>
          <cell r="BB289">
            <v>328.5099679824072</v>
          </cell>
          <cell r="BC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K289">
            <v>230.25583944896033</v>
          </cell>
          <cell r="BL289">
            <v>0</v>
          </cell>
          <cell r="BN289">
            <v>0</v>
          </cell>
          <cell r="BO289">
            <v>0</v>
          </cell>
          <cell r="BT289">
            <v>4319.1874490223454</v>
          </cell>
          <cell r="BU289">
            <v>2187.7130413855666</v>
          </cell>
          <cell r="BW289">
            <v>2861.2059009833047</v>
          </cell>
          <cell r="BX289">
            <v>1818.2382112992623</v>
          </cell>
          <cell r="BZ289">
            <v>886.00491948582101</v>
          </cell>
          <cell r="CA289">
            <v>2807.9864636175789</v>
          </cell>
          <cell r="CC289">
            <v>208.02523785322933</v>
          </cell>
          <cell r="CD289">
            <v>207.17149792836614</v>
          </cell>
          <cell r="CF289">
            <v>25.609167538749819</v>
          </cell>
          <cell r="CG289">
            <v>0</v>
          </cell>
          <cell r="CI289">
            <v>524.09070496137974</v>
          </cell>
          <cell r="CJ289">
            <v>197.28031026989544</v>
          </cell>
          <cell r="CL289">
            <v>0</v>
          </cell>
          <cell r="CM289">
            <v>0</v>
          </cell>
          <cell r="CX289">
            <v>1532.6965679992973</v>
          </cell>
          <cell r="CY289">
            <v>5180.4753254572697</v>
          </cell>
        </row>
        <row r="290">
          <cell r="I290">
            <v>1383.7525259095701</v>
          </cell>
          <cell r="J290">
            <v>1699.2563824951299</v>
          </cell>
          <cell r="L290">
            <v>285.09639560254317</v>
          </cell>
          <cell r="M290">
            <v>349.00707023949826</v>
          </cell>
          <cell r="O290">
            <v>543.29999999999995</v>
          </cell>
          <cell r="P290">
            <v>543.29999999999995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X290">
            <v>1239.5354138387061</v>
          </cell>
          <cell r="Y290">
            <v>1058.0357621751609</v>
          </cell>
          <cell r="AA290">
            <v>0</v>
          </cell>
          <cell r="AB290">
            <v>0</v>
          </cell>
          <cell r="AD290">
            <v>1935.5264073636886</v>
          </cell>
          <cell r="AE290">
            <v>1832.6275339385522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P290">
            <v>781.28955538726109</v>
          </cell>
          <cell r="AQ290">
            <v>0</v>
          </cell>
          <cell r="AS290">
            <v>5037.6354411843131</v>
          </cell>
          <cell r="AT290">
            <v>707</v>
          </cell>
          <cell r="AV290">
            <v>248.84834163653545</v>
          </cell>
          <cell r="AW290">
            <v>0</v>
          </cell>
          <cell r="AY290">
            <v>367.47921774916153</v>
          </cell>
          <cell r="AZ290">
            <v>0</v>
          </cell>
          <cell r="BB290">
            <v>237.8926264600704</v>
          </cell>
          <cell r="BC290">
            <v>0</v>
          </cell>
          <cell r="BE290">
            <v>0</v>
          </cell>
          <cell r="BF290">
            <v>0</v>
          </cell>
          <cell r="BH290">
            <v>0</v>
          </cell>
          <cell r="BI290">
            <v>0</v>
          </cell>
          <cell r="BK290">
            <v>169.9247496489308</v>
          </cell>
          <cell r="BL290">
            <v>0</v>
          </cell>
          <cell r="BN290">
            <v>0</v>
          </cell>
          <cell r="BO290">
            <v>0</v>
          </cell>
          <cell r="BT290">
            <v>3289.6468412217719</v>
          </cell>
          <cell r="BU290">
            <v>3055.0303555750306</v>
          </cell>
          <cell r="BW290">
            <v>2473.1689425710824</v>
          </cell>
          <cell r="BX290">
            <v>2503.5621681583552</v>
          </cell>
          <cell r="BZ290">
            <v>1780.4120040457667</v>
          </cell>
          <cell r="CA290">
            <v>2940.7164345163119</v>
          </cell>
          <cell r="CC290">
            <v>293.98547222948423</v>
          </cell>
          <cell r="CD290">
            <v>292.77894970576443</v>
          </cell>
          <cell r="CF290">
            <v>36.191393361584232</v>
          </cell>
          <cell r="CG290">
            <v>0</v>
          </cell>
          <cell r="CI290">
            <v>733.10306944002537</v>
          </cell>
          <cell r="CJ290">
            <v>264.05292816907269</v>
          </cell>
          <cell r="CL290">
            <v>0</v>
          </cell>
          <cell r="CM290">
            <v>0</v>
          </cell>
          <cell r="CX290">
            <v>867.23392281940687</v>
          </cell>
          <cell r="CY290">
            <v>7576.9388980325475</v>
          </cell>
        </row>
        <row r="291">
          <cell r="I291">
            <v>322.88297423746343</v>
          </cell>
          <cell r="J291">
            <v>320.61330909450589</v>
          </cell>
          <cell r="L291">
            <v>55.726875880848588</v>
          </cell>
          <cell r="M291">
            <v>59.112732542651948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X291">
            <v>63.034244557186227</v>
          </cell>
          <cell r="Y291">
            <v>57.879478216674421</v>
          </cell>
          <cell r="AA291">
            <v>0</v>
          </cell>
          <cell r="AB291">
            <v>0</v>
          </cell>
          <cell r="AD291">
            <v>214.29042367240837</v>
          </cell>
          <cell r="AE291">
            <v>200.30208616433652</v>
          </cell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P291">
            <v>157.83627381560828</v>
          </cell>
          <cell r="AQ291">
            <v>0</v>
          </cell>
          <cell r="AS291">
            <v>585.00448907763837</v>
          </cell>
          <cell r="AT291">
            <v>0</v>
          </cell>
          <cell r="AV291">
            <v>62.42080348743935</v>
          </cell>
          <cell r="AW291">
            <v>0</v>
          </cell>
          <cell r="AY291">
            <v>71.825475826829646</v>
          </cell>
          <cell r="AZ291">
            <v>0</v>
          </cell>
          <cell r="BB291">
            <v>0</v>
          </cell>
          <cell r="BC291">
            <v>0</v>
          </cell>
          <cell r="BE291">
            <v>0</v>
          </cell>
          <cell r="BF291">
            <v>0</v>
          </cell>
          <cell r="BH291">
            <v>0</v>
          </cell>
          <cell r="BI291">
            <v>0</v>
          </cell>
          <cell r="BK291">
            <v>9.8614351170038965</v>
          </cell>
          <cell r="BL291">
            <v>0</v>
          </cell>
          <cell r="BN291">
            <v>0</v>
          </cell>
          <cell r="BO291">
            <v>0</v>
          </cell>
          <cell r="BT291">
            <v>631.57591838490885</v>
          </cell>
          <cell r="BU291">
            <v>266.26300547427036</v>
          </cell>
          <cell r="BW291">
            <v>365.5818688913136</v>
          </cell>
          <cell r="BX291">
            <v>223.18893738118058</v>
          </cell>
          <cell r="BZ291">
            <v>62.957674087613753</v>
          </cell>
          <cell r="CA291">
            <v>549.45295602480383</v>
          </cell>
          <cell r="CC291">
            <v>0</v>
          </cell>
          <cell r="CD291">
            <v>0</v>
          </cell>
          <cell r="CF291">
            <v>0</v>
          </cell>
          <cell r="CG291">
            <v>0</v>
          </cell>
          <cell r="CI291">
            <v>0</v>
          </cell>
          <cell r="CJ291">
            <v>0</v>
          </cell>
          <cell r="CL291">
            <v>0</v>
          </cell>
          <cell r="CM291">
            <v>0</v>
          </cell>
          <cell r="CX291">
            <v>78.101851556485599</v>
          </cell>
          <cell r="CY291">
            <v>1189.5249941218922</v>
          </cell>
        </row>
        <row r="292">
          <cell r="I292">
            <v>1027.9168494282924</v>
          </cell>
          <cell r="J292">
            <v>1269.8499732774403</v>
          </cell>
          <cell r="L292">
            <v>194.40384537113721</v>
          </cell>
          <cell r="M292">
            <v>237.98406346377828</v>
          </cell>
          <cell r="O292">
            <v>456.46</v>
          </cell>
          <cell r="P292">
            <v>456.46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>
            <v>546.22935805347265</v>
          </cell>
          <cell r="Y292">
            <v>451.13204927737331</v>
          </cell>
          <cell r="AA292">
            <v>0</v>
          </cell>
          <cell r="AB292">
            <v>0</v>
          </cell>
          <cell r="AD292">
            <v>1390.2153591624019</v>
          </cell>
          <cell r="AE292">
            <v>1299.4656125353765</v>
          </cell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P292">
            <v>899.66676074896725</v>
          </cell>
          <cell r="AQ292">
            <v>0</v>
          </cell>
          <cell r="AS292">
            <v>2271.9955234672261</v>
          </cell>
          <cell r="AT292">
            <v>0</v>
          </cell>
          <cell r="AV292">
            <v>169.7904243905044</v>
          </cell>
          <cell r="AW292">
            <v>0</v>
          </cell>
          <cell r="AY292">
            <v>250.58315269130659</v>
          </cell>
          <cell r="AZ292">
            <v>0</v>
          </cell>
          <cell r="BB292">
            <v>248.87608838806503</v>
          </cell>
          <cell r="BC292">
            <v>0</v>
          </cell>
          <cell r="BE292">
            <v>0</v>
          </cell>
          <cell r="BF292">
            <v>0</v>
          </cell>
          <cell r="BH292">
            <v>0</v>
          </cell>
          <cell r="BI292">
            <v>0</v>
          </cell>
          <cell r="BK292">
            <v>69.694336541971353</v>
          </cell>
          <cell r="BL292">
            <v>0</v>
          </cell>
          <cell r="BN292">
            <v>0</v>
          </cell>
          <cell r="BO292">
            <v>0</v>
          </cell>
          <cell r="BT292">
            <v>3503.2805051570626</v>
          </cell>
          <cell r="BU292">
            <v>2630.3320129816088</v>
          </cell>
          <cell r="BW292">
            <v>1509.1538510472581</v>
          </cell>
          <cell r="BX292">
            <v>1485.7439648340246</v>
          </cell>
          <cell r="BZ292">
            <v>1131.8905631511575</v>
          </cell>
          <cell r="CA292">
            <v>2617.9463530219987</v>
          </cell>
          <cell r="CC292">
            <v>138.73251399190266</v>
          </cell>
          <cell r="CD292">
            <v>138.16315285431273</v>
          </cell>
          <cell r="CF292">
            <v>17.078813275518321</v>
          </cell>
          <cell r="CG292">
            <v>0</v>
          </cell>
          <cell r="CI292">
            <v>1182.3236736926367</v>
          </cell>
          <cell r="CJ292">
            <v>697.59252365465693</v>
          </cell>
          <cell r="CL292">
            <v>0</v>
          </cell>
          <cell r="CM292">
            <v>0</v>
          </cell>
          <cell r="CX292">
            <v>360.19005772934179</v>
          </cell>
          <cell r="CY292">
            <v>4828.5363529193155</v>
          </cell>
        </row>
        <row r="293">
          <cell r="I293">
            <v>2435.3227992771217</v>
          </cell>
          <cell r="J293">
            <v>3005.9227895506856</v>
          </cell>
          <cell r="L293">
            <v>475.70255903397566</v>
          </cell>
          <cell r="M293">
            <v>582.34253581217786</v>
          </cell>
          <cell r="O293">
            <v>960.84</v>
          </cell>
          <cell r="P293">
            <v>960.84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1687.3388704359256</v>
          </cell>
          <cell r="Y293">
            <v>1459.2668016307052</v>
          </cell>
          <cell r="AA293">
            <v>0</v>
          </cell>
          <cell r="AB293">
            <v>0</v>
          </cell>
          <cell r="AD293">
            <v>3150.3614098058383</v>
          </cell>
          <cell r="AE293">
            <v>3018.8857502536603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2107.1142554383709</v>
          </cell>
          <cell r="AQ293">
            <v>424.55015506510182</v>
          </cell>
          <cell r="AS293">
            <v>7936.3886563973701</v>
          </cell>
          <cell r="AT293">
            <v>0</v>
          </cell>
          <cell r="AV293">
            <v>390.20101697689392</v>
          </cell>
          <cell r="AW293">
            <v>0</v>
          </cell>
          <cell r="AY293">
            <v>613.10965860365957</v>
          </cell>
          <cell r="AZ293">
            <v>0</v>
          </cell>
          <cell r="BB293">
            <v>465.95764131857197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541</v>
          </cell>
          <cell r="BK293">
            <v>242.89646399461824</v>
          </cell>
          <cell r="BL293">
            <v>0</v>
          </cell>
          <cell r="BN293">
            <v>0</v>
          </cell>
          <cell r="BO293">
            <v>0</v>
          </cell>
          <cell r="BT293">
            <v>4895.3771267205602</v>
          </cell>
          <cell r="BU293">
            <v>4309.3146248799521</v>
          </cell>
          <cell r="BW293">
            <v>3593.4220142755858</v>
          </cell>
          <cell r="BX293">
            <v>3686.080855605308</v>
          </cell>
          <cell r="BZ293">
            <v>2086.1996741236608</v>
          </cell>
          <cell r="CA293">
            <v>4765.0461253684753</v>
          </cell>
          <cell r="CC293">
            <v>337.90926464529508</v>
          </cell>
          <cell r="CD293">
            <v>336.52247795928537</v>
          </cell>
          <cell r="CF293">
            <v>41.598678412773069</v>
          </cell>
          <cell r="CG293">
            <v>0</v>
          </cell>
          <cell r="CI293">
            <v>979.55048427305508</v>
          </cell>
          <cell r="CJ293">
            <v>223.6626604638472</v>
          </cell>
          <cell r="CL293">
            <v>0</v>
          </cell>
          <cell r="CM293">
            <v>0</v>
          </cell>
          <cell r="CX293">
            <v>2636.5713115200633</v>
          </cell>
          <cell r="CY293">
            <v>13539.598268092963</v>
          </cell>
        </row>
        <row r="294">
          <cell r="I294">
            <v>1391.3736070871398</v>
          </cell>
          <cell r="J294">
            <v>1830.3862329041212</v>
          </cell>
          <cell r="L294">
            <v>256.24576328109225</v>
          </cell>
          <cell r="M294">
            <v>329.89860749256212</v>
          </cell>
          <cell r="O294">
            <v>581.58000000000004</v>
          </cell>
          <cell r="P294">
            <v>581.74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801.1580031402101</v>
          </cell>
          <cell r="Y294">
            <v>676.10622929107899</v>
          </cell>
          <cell r="AA294">
            <v>0</v>
          </cell>
          <cell r="AB294">
            <v>0</v>
          </cell>
          <cell r="AD294">
            <v>1812.3397008920804</v>
          </cell>
          <cell r="AE294">
            <v>1705.0023352964913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1089.0702893276973</v>
          </cell>
          <cell r="AQ294">
            <v>2759.5760079231618</v>
          </cell>
          <cell r="AS294">
            <v>6146.015088983142</v>
          </cell>
          <cell r="AT294">
            <v>0</v>
          </cell>
          <cell r="AV294">
            <v>234.32748203760042</v>
          </cell>
          <cell r="AW294">
            <v>0</v>
          </cell>
          <cell r="AY294">
            <v>330.23603295962948</v>
          </cell>
          <cell r="AZ294">
            <v>1724</v>
          </cell>
          <cell r="BB294">
            <v>294.64577629970915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  <cell r="BK294">
            <v>110.74602375906008</v>
          </cell>
          <cell r="BL294">
            <v>0</v>
          </cell>
          <cell r="BN294">
            <v>0</v>
          </cell>
          <cell r="BO294">
            <v>0</v>
          </cell>
          <cell r="BT294">
            <v>3189.5300164076129</v>
          </cell>
          <cell r="BU294">
            <v>2983.6654672021609</v>
          </cell>
          <cell r="BW294">
            <v>1598.8032824644117</v>
          </cell>
          <cell r="BX294">
            <v>1634.7414885779413</v>
          </cell>
          <cell r="BZ294">
            <v>1812.1306016169046</v>
          </cell>
          <cell r="CA294">
            <v>2847.5489876403958</v>
          </cell>
          <cell r="CC294">
            <v>0</v>
          </cell>
          <cell r="CD294">
            <v>0</v>
          </cell>
          <cell r="CF294">
            <v>0</v>
          </cell>
          <cell r="CG294">
            <v>0</v>
          </cell>
          <cell r="CI294">
            <v>1035.7030598046313</v>
          </cell>
          <cell r="CJ294">
            <v>528.17406413612116</v>
          </cell>
          <cell r="CL294">
            <v>0</v>
          </cell>
          <cell r="CM294">
            <v>0</v>
          </cell>
          <cell r="CX294">
            <v>1122.6943263268913</v>
          </cell>
          <cell r="CY294">
            <v>4822.372695443155</v>
          </cell>
        </row>
        <row r="295">
          <cell r="I295">
            <v>1675.5350396727472</v>
          </cell>
          <cell r="J295">
            <v>2070.9018070811408</v>
          </cell>
          <cell r="L295">
            <v>329.38184827529136</v>
          </cell>
          <cell r="M295">
            <v>467.35228693568092</v>
          </cell>
          <cell r="O295">
            <v>608.5</v>
          </cell>
          <cell r="P295">
            <v>608.32000000000005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X295">
            <v>1075.6045586748592</v>
          </cell>
          <cell r="Y295">
            <v>914.30373387241877</v>
          </cell>
          <cell r="AA295">
            <v>0</v>
          </cell>
          <cell r="AB295">
            <v>0</v>
          </cell>
          <cell r="AD295">
            <v>2137.0320947518171</v>
          </cell>
          <cell r="AE295">
            <v>1998.5277460917982</v>
          </cell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P295">
            <v>1515.2282286298396</v>
          </cell>
          <cell r="AQ295">
            <v>0</v>
          </cell>
          <cell r="AS295">
            <v>5643.5687996202159</v>
          </cell>
          <cell r="AT295">
            <v>57.209855968468794</v>
          </cell>
          <cell r="AV295">
            <v>268.60745020669066</v>
          </cell>
          <cell r="AW295">
            <v>0</v>
          </cell>
          <cell r="AY295">
            <v>424.54339453418447</v>
          </cell>
          <cell r="AZ295">
            <v>0</v>
          </cell>
          <cell r="BB295">
            <v>279.86139543396388</v>
          </cell>
          <cell r="BC295">
            <v>0</v>
          </cell>
          <cell r="BE295">
            <v>0</v>
          </cell>
          <cell r="BF295">
            <v>0</v>
          </cell>
          <cell r="BH295">
            <v>0</v>
          </cell>
          <cell r="BI295">
            <v>0</v>
          </cell>
          <cell r="BK295">
            <v>152.85067587953245</v>
          </cell>
          <cell r="BL295">
            <v>0</v>
          </cell>
          <cell r="BN295">
            <v>0</v>
          </cell>
          <cell r="BO295">
            <v>0</v>
          </cell>
          <cell r="BT295">
            <v>3541.1002959785565</v>
          </cell>
          <cell r="BU295">
            <v>3087.0624729921606</v>
          </cell>
          <cell r="BW295">
            <v>2098.507205764322</v>
          </cell>
          <cell r="BX295">
            <v>2065.5579637577207</v>
          </cell>
          <cell r="BZ295">
            <v>1767.0238283958488</v>
          </cell>
          <cell r="CA295">
            <v>3716.4941328999244</v>
          </cell>
          <cell r="CC295">
            <v>0</v>
          </cell>
          <cell r="CD295">
            <v>0</v>
          </cell>
          <cell r="CF295">
            <v>0</v>
          </cell>
          <cell r="CG295">
            <v>0</v>
          </cell>
          <cell r="CI295">
            <v>651.99379367219262</v>
          </cell>
          <cell r="CJ295">
            <v>393.02014634479849</v>
          </cell>
          <cell r="CL295">
            <v>0</v>
          </cell>
          <cell r="CM295">
            <v>0</v>
          </cell>
          <cell r="CX295">
            <v>1205.3936686119232</v>
          </cell>
          <cell r="CY295">
            <v>9354.0998248670639</v>
          </cell>
        </row>
        <row r="296">
          <cell r="I296">
            <v>1527.9701902401994</v>
          </cell>
          <cell r="J296">
            <v>1881.2600524446675</v>
          </cell>
          <cell r="L296">
            <v>257.97213829947151</v>
          </cell>
          <cell r="M296">
            <v>315.80279958879356</v>
          </cell>
          <cell r="O296">
            <v>591.82000000000005</v>
          </cell>
          <cell r="P296">
            <v>591.88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X296">
            <v>865.48589964102246</v>
          </cell>
          <cell r="Y296">
            <v>728.90520713401816</v>
          </cell>
          <cell r="AA296">
            <v>0</v>
          </cell>
          <cell r="AB296">
            <v>0</v>
          </cell>
          <cell r="AD296">
            <v>1855.7108854105468</v>
          </cell>
          <cell r="AE296">
            <v>1742.7014227573568</v>
          </cell>
          <cell r="AJ296">
            <v>0</v>
          </cell>
          <cell r="AK296">
            <v>0</v>
          </cell>
          <cell r="AM296">
            <v>0</v>
          </cell>
          <cell r="AN296">
            <v>0</v>
          </cell>
          <cell r="AP296">
            <v>1396.8510232681333</v>
          </cell>
          <cell r="AQ296">
            <v>0</v>
          </cell>
          <cell r="AS296">
            <v>6453.5226305070473</v>
          </cell>
          <cell r="AT296">
            <v>78.894600429330495</v>
          </cell>
          <cell r="AV296">
            <v>244.26238760946541</v>
          </cell>
          <cell r="AW296">
            <v>0</v>
          </cell>
          <cell r="AY296">
            <v>332.47939196456838</v>
          </cell>
          <cell r="AZ296">
            <v>0</v>
          </cell>
          <cell r="BB296">
            <v>328.85794079324251</v>
          </cell>
          <cell r="BC296">
            <v>0</v>
          </cell>
          <cell r="BE296">
            <v>0</v>
          </cell>
          <cell r="BF296">
            <v>0</v>
          </cell>
          <cell r="BH296">
            <v>0</v>
          </cell>
          <cell r="BI296">
            <v>0</v>
          </cell>
          <cell r="BK296">
            <v>117.73258216618191</v>
          </cell>
          <cell r="BL296">
            <v>0</v>
          </cell>
          <cell r="BN296">
            <v>0</v>
          </cell>
          <cell r="BO296">
            <v>0</v>
          </cell>
          <cell r="BT296">
            <v>5030.6533181889426</v>
          </cell>
          <cell r="BU296">
            <v>4257.8815469809106</v>
          </cell>
          <cell r="BW296">
            <v>2309.3059932151023</v>
          </cell>
          <cell r="BX296">
            <v>2303.1464890585335</v>
          </cell>
          <cell r="BZ296">
            <v>2452.0398704679046</v>
          </cell>
          <cell r="CA296">
            <v>4452.8111488418544</v>
          </cell>
          <cell r="CC296">
            <v>227.31543016977125</v>
          </cell>
          <cell r="CD296">
            <v>226.38252289238451</v>
          </cell>
          <cell r="CF296">
            <v>27.983907123172603</v>
          </cell>
          <cell r="CG296">
            <v>0</v>
          </cell>
          <cell r="CI296">
            <v>461.69895437073933</v>
          </cell>
          <cell r="CJ296">
            <v>264.07153029579337</v>
          </cell>
          <cell r="CL296">
            <v>0</v>
          </cell>
          <cell r="CM296">
            <v>0</v>
          </cell>
          <cell r="CX296">
            <v>436.04494787738804</v>
          </cell>
          <cell r="CY296">
            <v>9601.5552154916313</v>
          </cell>
        </row>
        <row r="297">
          <cell r="I297">
            <v>996.60073422847427</v>
          </cell>
          <cell r="J297">
            <v>1258.2343056581196</v>
          </cell>
          <cell r="L297">
            <v>193.86131937975091</v>
          </cell>
          <cell r="M297">
            <v>237.31997805076423</v>
          </cell>
          <cell r="O297">
            <v>695.34</v>
          </cell>
          <cell r="P297">
            <v>695.26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X297">
            <v>831.23592650068872</v>
          </cell>
          <cell r="Y297">
            <v>704.43016451176345</v>
          </cell>
          <cell r="AA297">
            <v>0</v>
          </cell>
          <cell r="AB297">
            <v>0</v>
          </cell>
          <cell r="AD297">
            <v>1981.7766517811788</v>
          </cell>
          <cell r="AE297">
            <v>1966.3057410839851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P297">
            <v>205.18715596029077</v>
          </cell>
          <cell r="AQ297">
            <v>0</v>
          </cell>
          <cell r="AS297">
            <v>4542.4450879451815</v>
          </cell>
          <cell r="AT297">
            <v>306</v>
          </cell>
          <cell r="AV297">
            <v>179.91919703832136</v>
          </cell>
          <cell r="AW297">
            <v>0</v>
          </cell>
          <cell r="AY297">
            <v>249.85481924163975</v>
          </cell>
          <cell r="AZ297">
            <v>0</v>
          </cell>
          <cell r="BB297">
            <v>320.43261331890704</v>
          </cell>
          <cell r="BC297">
            <v>0</v>
          </cell>
          <cell r="BE297">
            <v>0</v>
          </cell>
          <cell r="BF297">
            <v>0</v>
          </cell>
          <cell r="BH297">
            <v>0</v>
          </cell>
          <cell r="BI297">
            <v>0</v>
          </cell>
          <cell r="BK297">
            <v>115.28343760292933</v>
          </cell>
          <cell r="BL297">
            <v>0</v>
          </cell>
          <cell r="BN297">
            <v>0</v>
          </cell>
          <cell r="BO297">
            <v>0</v>
          </cell>
          <cell r="BT297">
            <v>5394.9118923447586</v>
          </cell>
          <cell r="BU297">
            <v>4653.3614865230211</v>
          </cell>
          <cell r="BW297">
            <v>1996.0607229594841</v>
          </cell>
          <cell r="BX297">
            <v>1988.8609258617139</v>
          </cell>
          <cell r="BZ297">
            <v>2762.4250228050273</v>
          </cell>
          <cell r="CA297">
            <v>4773.5684927628417</v>
          </cell>
          <cell r="CC297">
            <v>0</v>
          </cell>
          <cell r="CD297">
            <v>0</v>
          </cell>
          <cell r="CF297">
            <v>0</v>
          </cell>
          <cell r="CG297">
            <v>0</v>
          </cell>
          <cell r="CI297">
            <v>973.31130921399097</v>
          </cell>
          <cell r="CJ297">
            <v>621.35176816190881</v>
          </cell>
          <cell r="CL297">
            <v>0</v>
          </cell>
          <cell r="CM297">
            <v>0</v>
          </cell>
          <cell r="CX297">
            <v>1435.5449316152517</v>
          </cell>
          <cell r="CY297">
            <v>6516.2885648630563</v>
          </cell>
        </row>
        <row r="298">
          <cell r="I298">
            <v>1527.9701902401994</v>
          </cell>
          <cell r="J298">
            <v>1881.148326702581</v>
          </cell>
          <cell r="L298">
            <v>257.97213829947151</v>
          </cell>
          <cell r="M298">
            <v>315.80279958879356</v>
          </cell>
          <cell r="O298">
            <v>591.1</v>
          </cell>
          <cell r="P298">
            <v>590.91999999999996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X298">
            <v>851.86913729745174</v>
          </cell>
          <cell r="Y298">
            <v>722.54475406860979</v>
          </cell>
          <cell r="AA298">
            <v>0</v>
          </cell>
          <cell r="AB298">
            <v>0</v>
          </cell>
          <cell r="AD298">
            <v>1849.6677101769517</v>
          </cell>
          <cell r="AE298">
            <v>1728.8919078108338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P298">
            <v>1420.5264643404746</v>
          </cell>
          <cell r="AQ298">
            <v>0</v>
          </cell>
          <cell r="AS298">
            <v>6643.8248808251838</v>
          </cell>
          <cell r="AT298">
            <v>0</v>
          </cell>
          <cell r="AV298">
            <v>244.26238760946541</v>
          </cell>
          <cell r="AW298">
            <v>476</v>
          </cell>
          <cell r="AY298">
            <v>332.47939196456838</v>
          </cell>
          <cell r="AZ298">
            <v>0</v>
          </cell>
          <cell r="BB298">
            <v>328.55404111072403</v>
          </cell>
          <cell r="BC298">
            <v>0</v>
          </cell>
          <cell r="BE298">
            <v>0</v>
          </cell>
          <cell r="BF298">
            <v>0</v>
          </cell>
          <cell r="BH298">
            <v>0</v>
          </cell>
          <cell r="BI298">
            <v>0</v>
          </cell>
          <cell r="BK298">
            <v>117.7325992495455</v>
          </cell>
          <cell r="BL298">
            <v>0</v>
          </cell>
          <cell r="BN298">
            <v>0</v>
          </cell>
          <cell r="BO298">
            <v>0</v>
          </cell>
          <cell r="BT298">
            <v>4013.7361343205798</v>
          </cell>
          <cell r="BU298">
            <v>3625.6071374293592</v>
          </cell>
          <cell r="BW298">
            <v>2355.6251779567428</v>
          </cell>
          <cell r="BX298">
            <v>2006.9735588419005</v>
          </cell>
          <cell r="BZ298">
            <v>2128.3855567122505</v>
          </cell>
          <cell r="CA298">
            <v>2744.7215503487719</v>
          </cell>
          <cell r="CC298">
            <v>274.46487609111824</v>
          </cell>
          <cell r="CD298">
            <v>273.33846650202338</v>
          </cell>
          <cell r="CF298">
            <v>33.788289670308124</v>
          </cell>
          <cell r="CG298">
            <v>0</v>
          </cell>
          <cell r="CI298">
            <v>745.58141955815336</v>
          </cell>
          <cell r="CJ298">
            <v>256.30198497434054</v>
          </cell>
          <cell r="CL298">
            <v>0</v>
          </cell>
          <cell r="CM298">
            <v>0</v>
          </cell>
          <cell r="CX298">
            <v>568.1915254921696</v>
          </cell>
          <cell r="CY298">
            <v>11482.539416479347</v>
          </cell>
        </row>
        <row r="299">
          <cell r="I299">
            <v>163.84144553351629</v>
          </cell>
          <cell r="J299">
            <v>165.24390050988251</v>
          </cell>
          <cell r="L299">
            <v>56.910806598491305</v>
          </cell>
          <cell r="M299">
            <v>60.368224207274636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X299">
            <v>95.007403249296928</v>
          </cell>
          <cell r="Y299">
            <v>87.811955284153811</v>
          </cell>
          <cell r="AA299">
            <v>0</v>
          </cell>
          <cell r="AB299">
            <v>0</v>
          </cell>
          <cell r="AD299">
            <v>266.02798522417709</v>
          </cell>
          <cell r="AE299">
            <v>249.10652077878541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P299">
            <v>63.134509526243313</v>
          </cell>
          <cell r="AQ299">
            <v>0</v>
          </cell>
          <cell r="AS299">
            <v>788.01840163412226</v>
          </cell>
          <cell r="AT299">
            <v>0</v>
          </cell>
          <cell r="AV299">
            <v>61.456808197748892</v>
          </cell>
          <cell r="AW299">
            <v>0</v>
          </cell>
          <cell r="AY299">
            <v>73.340501382101692</v>
          </cell>
          <cell r="AZ299">
            <v>0</v>
          </cell>
          <cell r="BB299">
            <v>0</v>
          </cell>
          <cell r="BC299">
            <v>0</v>
          </cell>
          <cell r="BE299">
            <v>0</v>
          </cell>
          <cell r="BF299">
            <v>0</v>
          </cell>
          <cell r="BH299">
            <v>0</v>
          </cell>
          <cell r="BI299">
            <v>0</v>
          </cell>
          <cell r="BK299">
            <v>23.056621496874509</v>
          </cell>
          <cell r="BL299">
            <v>0</v>
          </cell>
          <cell r="BN299">
            <v>0</v>
          </cell>
          <cell r="BO299">
            <v>0</v>
          </cell>
          <cell r="BT299">
            <v>526.64910919947442</v>
          </cell>
          <cell r="BU299">
            <v>267.09649546812722</v>
          </cell>
          <cell r="BW299">
            <v>424.17744144478115</v>
          </cell>
          <cell r="BX299">
            <v>252.87997261218959</v>
          </cell>
          <cell r="BZ299">
            <v>228.90279217000659</v>
          </cell>
          <cell r="CA299">
            <v>316.7015286144661</v>
          </cell>
          <cell r="CC299">
            <v>0</v>
          </cell>
          <cell r="CD299">
            <v>0</v>
          </cell>
          <cell r="CF299">
            <v>0</v>
          </cell>
          <cell r="CG299">
            <v>0</v>
          </cell>
          <cell r="CI299">
            <v>155.97937647660115</v>
          </cell>
          <cell r="CJ299">
            <v>4.6596602899027433</v>
          </cell>
          <cell r="CL299">
            <v>0</v>
          </cell>
          <cell r="CM299">
            <v>0</v>
          </cell>
          <cell r="CX299">
            <v>65.136157439877479</v>
          </cell>
          <cell r="CY299">
            <v>1892.2980906822618</v>
          </cell>
        </row>
        <row r="300">
          <cell r="I300">
            <v>1766.5345354470705</v>
          </cell>
          <cell r="J300">
            <v>2182.5763056741043</v>
          </cell>
          <cell r="L300">
            <v>366.66488271525043</v>
          </cell>
          <cell r="M300">
            <v>448.86136779634489</v>
          </cell>
          <cell r="O300">
            <v>638.74</v>
          </cell>
          <cell r="P300">
            <v>638.94000000000005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X300">
            <v>1104.3597692297192</v>
          </cell>
          <cell r="Y300">
            <v>940.41689909888714</v>
          </cell>
          <cell r="AA300">
            <v>0</v>
          </cell>
          <cell r="AB300">
            <v>0</v>
          </cell>
          <cell r="AD300">
            <v>2305.3858349858365</v>
          </cell>
          <cell r="AE300">
            <v>2404.0913175114965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P300">
            <v>1515.2282286298396</v>
          </cell>
          <cell r="AQ300">
            <v>0</v>
          </cell>
          <cell r="AS300">
            <v>5174.5732964202189</v>
          </cell>
          <cell r="AT300">
            <v>4267.5025701931991</v>
          </cell>
          <cell r="AV300">
            <v>288.77331075072891</v>
          </cell>
          <cell r="AW300">
            <v>8617</v>
          </cell>
          <cell r="AY300">
            <v>472.58567621981564</v>
          </cell>
          <cell r="AZ300">
            <v>0</v>
          </cell>
          <cell r="BB300">
            <v>315.4105094807349</v>
          </cell>
          <cell r="BC300">
            <v>0</v>
          </cell>
          <cell r="BE300">
            <v>0</v>
          </cell>
          <cell r="BF300">
            <v>0</v>
          </cell>
          <cell r="BH300">
            <v>0</v>
          </cell>
          <cell r="BI300">
            <v>0</v>
          </cell>
          <cell r="BK300">
            <v>156.35955570117008</v>
          </cell>
          <cell r="BL300">
            <v>0</v>
          </cell>
          <cell r="BN300">
            <v>0</v>
          </cell>
          <cell r="BO300">
            <v>0</v>
          </cell>
          <cell r="BT300">
            <v>5860.4790640931706</v>
          </cell>
          <cell r="BU300">
            <v>5155.9420186042607</v>
          </cell>
          <cell r="BW300">
            <v>2169.4588307578529</v>
          </cell>
          <cell r="BX300">
            <v>2240.416652670694</v>
          </cell>
          <cell r="BZ300">
            <v>2290.632727529046</v>
          </cell>
          <cell r="CA300">
            <v>4710.1466675723104</v>
          </cell>
          <cell r="CC300">
            <v>6.1277612187236166</v>
          </cell>
          <cell r="CD300">
            <v>6.1026127585827172</v>
          </cell>
          <cell r="CF300">
            <v>0.75436454397165731</v>
          </cell>
          <cell r="CG300">
            <v>0</v>
          </cell>
          <cell r="CI300">
            <v>1023.2247096865035</v>
          </cell>
          <cell r="CJ300">
            <v>414.89165326261286</v>
          </cell>
          <cell r="CL300">
            <v>0</v>
          </cell>
          <cell r="CM300">
            <v>0</v>
          </cell>
          <cell r="CX300">
            <v>3231.6683311084198</v>
          </cell>
          <cell r="CY300">
            <v>-4654.245678170988</v>
          </cell>
        </row>
        <row r="301">
          <cell r="I301">
            <v>1550.2639500612102</v>
          </cell>
          <cell r="J301">
            <v>1903.7783006730469</v>
          </cell>
          <cell r="L301">
            <v>250.57445019915215</v>
          </cell>
          <cell r="M301">
            <v>306.7470894113286</v>
          </cell>
          <cell r="O301">
            <v>574.88</v>
          </cell>
          <cell r="P301">
            <v>574.70000000000005</v>
          </cell>
          <cell r="R301">
            <v>148.44</v>
          </cell>
          <cell r="S301">
            <v>148.46</v>
          </cell>
          <cell r="U301">
            <v>0</v>
          </cell>
          <cell r="V301">
            <v>0</v>
          </cell>
          <cell r="X301">
            <v>981.66943278726808</v>
          </cell>
          <cell r="Y301">
            <v>827.00031981968164</v>
          </cell>
          <cell r="AA301">
            <v>0</v>
          </cell>
          <cell r="AB301">
            <v>0</v>
          </cell>
          <cell r="AD301">
            <v>1773.2871062221504</v>
          </cell>
          <cell r="AE301">
            <v>1780.9944877301414</v>
          </cell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P301">
            <v>418.26612561136199</v>
          </cell>
          <cell r="AQ301">
            <v>0</v>
          </cell>
          <cell r="AS301">
            <v>4106.8253622593747</v>
          </cell>
          <cell r="AT301">
            <v>365.83419006439959</v>
          </cell>
          <cell r="AV301">
            <v>251.19340059985063</v>
          </cell>
          <cell r="AW301">
            <v>0</v>
          </cell>
          <cell r="AY301">
            <v>322.9330626916564</v>
          </cell>
          <cell r="AZ301">
            <v>0</v>
          </cell>
          <cell r="BB301">
            <v>309.58538086016767</v>
          </cell>
          <cell r="BC301">
            <v>0</v>
          </cell>
          <cell r="BE301">
            <v>143.16730422382903</v>
          </cell>
          <cell r="BF301">
            <v>0</v>
          </cell>
          <cell r="BH301">
            <v>0</v>
          </cell>
          <cell r="BI301">
            <v>0</v>
          </cell>
          <cell r="BK301">
            <v>133.71803528478662</v>
          </cell>
          <cell r="BL301">
            <v>127</v>
          </cell>
          <cell r="BN301">
            <v>0</v>
          </cell>
          <cell r="BO301">
            <v>0</v>
          </cell>
          <cell r="BT301">
            <v>5255.6928155417563</v>
          </cell>
          <cell r="BU301">
            <v>4759.6958417729247</v>
          </cell>
          <cell r="BW301">
            <v>2350.2401647372367</v>
          </cell>
          <cell r="BX301">
            <v>2294.2838260670055</v>
          </cell>
          <cell r="BZ301">
            <v>2928.132112424646</v>
          </cell>
          <cell r="CA301">
            <v>4686.2077503471955</v>
          </cell>
          <cell r="CC301">
            <v>0</v>
          </cell>
          <cell r="CD301">
            <v>0</v>
          </cell>
          <cell r="CF301">
            <v>0</v>
          </cell>
          <cell r="CG301">
            <v>0</v>
          </cell>
          <cell r="CI301">
            <v>414.90514142775902</v>
          </cell>
          <cell r="CJ301">
            <v>183.26309169526138</v>
          </cell>
          <cell r="CL301">
            <v>0</v>
          </cell>
          <cell r="CM301">
            <v>0</v>
          </cell>
          <cell r="CX301">
            <v>2189.4113860813522</v>
          </cell>
          <cell r="CY301">
            <v>6936.3821229028163</v>
          </cell>
        </row>
        <row r="302">
          <cell r="I302">
            <v>1619.6324311259314</v>
          </cell>
          <cell r="J302">
            <v>1990.3043244580931</v>
          </cell>
          <cell r="L302">
            <v>251.51224605806865</v>
          </cell>
          <cell r="M302">
            <v>307.89414603380754</v>
          </cell>
          <cell r="O302">
            <v>634.66</v>
          </cell>
          <cell r="P302">
            <v>634.84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X302">
            <v>979.07870868258465</v>
          </cell>
          <cell r="Y302">
            <v>825.473115722697</v>
          </cell>
          <cell r="AA302">
            <v>0</v>
          </cell>
          <cell r="AB302">
            <v>0</v>
          </cell>
          <cell r="AD302">
            <v>1839.4627255843714</v>
          </cell>
          <cell r="AE302">
            <v>1719.3530788322062</v>
          </cell>
          <cell r="AJ302">
            <v>0</v>
          </cell>
          <cell r="AK302">
            <v>0</v>
          </cell>
          <cell r="AM302">
            <v>0</v>
          </cell>
          <cell r="AN302">
            <v>0</v>
          </cell>
          <cell r="AP302">
            <v>1515.2282286298396</v>
          </cell>
          <cell r="AQ302">
            <v>0</v>
          </cell>
          <cell r="AS302">
            <v>4724.3770727724414</v>
          </cell>
          <cell r="AT302">
            <v>51.281490279064812</v>
          </cell>
          <cell r="AV302">
            <v>255.6979541345664</v>
          </cell>
          <cell r="AW302">
            <v>0</v>
          </cell>
          <cell r="AY302">
            <v>324.18583031484343</v>
          </cell>
          <cell r="AZ302">
            <v>0</v>
          </cell>
          <cell r="BB302">
            <v>286.47761685119247</v>
          </cell>
          <cell r="BC302">
            <v>0</v>
          </cell>
          <cell r="BE302">
            <v>0</v>
          </cell>
          <cell r="BF302">
            <v>0</v>
          </cell>
          <cell r="BH302">
            <v>0</v>
          </cell>
          <cell r="BI302">
            <v>0</v>
          </cell>
          <cell r="BK302">
            <v>134.07877525191492</v>
          </cell>
          <cell r="BL302">
            <v>0</v>
          </cell>
          <cell r="BN302">
            <v>0</v>
          </cell>
          <cell r="BO302">
            <v>0</v>
          </cell>
          <cell r="BT302">
            <v>5338.3166517972904</v>
          </cell>
          <cell r="BU302">
            <v>4432.0947159876305</v>
          </cell>
          <cell r="BW302">
            <v>2286.965133285707</v>
          </cell>
          <cell r="BX302">
            <v>2325.5629365571835</v>
          </cell>
          <cell r="BZ302">
            <v>1811.9205946474203</v>
          </cell>
          <cell r="CA302">
            <v>4762.2649072091199</v>
          </cell>
          <cell r="CC302">
            <v>0</v>
          </cell>
          <cell r="CD302">
            <v>0</v>
          </cell>
          <cell r="CF302">
            <v>0</v>
          </cell>
          <cell r="CG302">
            <v>0</v>
          </cell>
          <cell r="CI302">
            <v>739.34224449908925</v>
          </cell>
          <cell r="CJ302">
            <v>582.56604864371354</v>
          </cell>
          <cell r="CL302">
            <v>0</v>
          </cell>
          <cell r="CM302">
            <v>0</v>
          </cell>
          <cell r="CX302">
            <v>408.15654363768772</v>
          </cell>
          <cell r="CY302">
            <v>6539.3182835317821</v>
          </cell>
        </row>
        <row r="303">
          <cell r="I303">
            <v>2900.6167466167371</v>
          </cell>
          <cell r="J303">
            <v>3551.6025639092468</v>
          </cell>
          <cell r="L303">
            <v>616.54955079915999</v>
          </cell>
          <cell r="M303">
            <v>754.76325759111012</v>
          </cell>
          <cell r="O303">
            <v>987.3</v>
          </cell>
          <cell r="P303">
            <v>987.3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X303">
            <v>3393.3952839029434</v>
          </cell>
          <cell r="Y303">
            <v>3025.8455541611365</v>
          </cell>
          <cell r="AA303">
            <v>0</v>
          </cell>
          <cell r="AB303">
            <v>0</v>
          </cell>
          <cell r="AD303">
            <v>3534.7586646408809</v>
          </cell>
          <cell r="AE303">
            <v>3728.6816830354182</v>
          </cell>
          <cell r="AJ303">
            <v>0</v>
          </cell>
          <cell r="AK303">
            <v>0</v>
          </cell>
          <cell r="AM303">
            <v>0</v>
          </cell>
          <cell r="AN303">
            <v>0</v>
          </cell>
          <cell r="AP303">
            <v>1751.9826393532521</v>
          </cell>
          <cell r="AQ303">
            <v>4596.2345146894468</v>
          </cell>
          <cell r="AS303">
            <v>14230.204542697285</v>
          </cell>
          <cell r="AT303">
            <v>543.70641061061121</v>
          </cell>
          <cell r="AV303">
            <v>510.18365466681013</v>
          </cell>
          <cell r="AW303">
            <v>0</v>
          </cell>
          <cell r="AY303">
            <v>794.68358772623048</v>
          </cell>
          <cell r="AZ303">
            <v>0</v>
          </cell>
          <cell r="BB303">
            <v>490.33909690043743</v>
          </cell>
          <cell r="BC303">
            <v>0</v>
          </cell>
          <cell r="BE303">
            <v>0</v>
          </cell>
          <cell r="BF303">
            <v>0</v>
          </cell>
          <cell r="BH303">
            <v>0</v>
          </cell>
          <cell r="BI303">
            <v>0</v>
          </cell>
          <cell r="BK303">
            <v>503.79300843766771</v>
          </cell>
          <cell r="BL303">
            <v>0</v>
          </cell>
          <cell r="BN303">
            <v>0</v>
          </cell>
          <cell r="BO303">
            <v>0</v>
          </cell>
          <cell r="BT303">
            <v>4114.0271250128562</v>
          </cell>
          <cell r="BU303">
            <v>3819.6054836776475</v>
          </cell>
          <cell r="BW303">
            <v>7802.9519615376666</v>
          </cell>
          <cell r="BX303">
            <v>7975.7677181790377</v>
          </cell>
          <cell r="BZ303">
            <v>2008.835275161111</v>
          </cell>
          <cell r="CA303">
            <v>4279.0620550428048</v>
          </cell>
          <cell r="CC303">
            <v>137.26185129940902</v>
          </cell>
          <cell r="CD303">
            <v>136.69852579225289</v>
          </cell>
          <cell r="CF303">
            <v>16.897765784965124</v>
          </cell>
          <cell r="CG303">
            <v>0</v>
          </cell>
          <cell r="CI303">
            <v>770.53811979440957</v>
          </cell>
          <cell r="CJ303">
            <v>685.05893944336867</v>
          </cell>
          <cell r="CL303">
            <v>0</v>
          </cell>
          <cell r="CM303">
            <v>0</v>
          </cell>
          <cell r="CX303">
            <v>6566.4973508018156</v>
          </cell>
          <cell r="CY303">
            <v>19142.487952641499</v>
          </cell>
        </row>
        <row r="304"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X304">
            <v>0</v>
          </cell>
          <cell r="Y304">
            <v>0</v>
          </cell>
          <cell r="AA304">
            <v>0</v>
          </cell>
          <cell r="AB304">
            <v>0</v>
          </cell>
          <cell r="AD304">
            <v>0</v>
          </cell>
          <cell r="AE304">
            <v>133.95659969287689</v>
          </cell>
          <cell r="AJ304">
            <v>0</v>
          </cell>
          <cell r="AK304">
            <v>0</v>
          </cell>
          <cell r="AM304">
            <v>0</v>
          </cell>
          <cell r="AN304">
            <v>0</v>
          </cell>
          <cell r="AP304">
            <v>63.134509526243313</v>
          </cell>
          <cell r="AQ304">
            <v>0</v>
          </cell>
          <cell r="AS304">
            <v>405.04931561218223</v>
          </cell>
          <cell r="AT304">
            <v>0</v>
          </cell>
          <cell r="AV304">
            <v>0</v>
          </cell>
          <cell r="AW304">
            <v>0</v>
          </cell>
          <cell r="AY304">
            <v>0</v>
          </cell>
          <cell r="AZ304">
            <v>0</v>
          </cell>
          <cell r="BB304">
            <v>0</v>
          </cell>
          <cell r="BC304">
            <v>0</v>
          </cell>
          <cell r="BE304">
            <v>0</v>
          </cell>
          <cell r="BF304">
            <v>0</v>
          </cell>
          <cell r="BH304">
            <v>0</v>
          </cell>
          <cell r="BI304">
            <v>0</v>
          </cell>
          <cell r="BK304">
            <v>0</v>
          </cell>
          <cell r="BL304">
            <v>0</v>
          </cell>
          <cell r="BN304">
            <v>0</v>
          </cell>
          <cell r="BO304">
            <v>0</v>
          </cell>
          <cell r="BT304">
            <v>31.902681005596676</v>
          </cell>
          <cell r="BU304">
            <v>28.204252774367522</v>
          </cell>
          <cell r="BW304">
            <v>0</v>
          </cell>
          <cell r="BX304">
            <v>0.80598070865751037</v>
          </cell>
          <cell r="BZ304">
            <v>0</v>
          </cell>
          <cell r="CA304">
            <v>31.766649514525085</v>
          </cell>
          <cell r="CC304">
            <v>0</v>
          </cell>
          <cell r="CD304">
            <v>0</v>
          </cell>
          <cell r="CF304">
            <v>0</v>
          </cell>
          <cell r="CG304">
            <v>0</v>
          </cell>
          <cell r="CI304">
            <v>0</v>
          </cell>
          <cell r="CJ304">
            <v>0</v>
          </cell>
          <cell r="CL304">
            <v>0</v>
          </cell>
          <cell r="CM304">
            <v>0</v>
          </cell>
          <cell r="CX304">
            <v>15.016192627173382</v>
          </cell>
          <cell r="CY304">
            <v>381.43982077148758</v>
          </cell>
        </row>
        <row r="305"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X305">
            <v>0</v>
          </cell>
          <cell r="Y305">
            <v>0</v>
          </cell>
          <cell r="AA305">
            <v>0</v>
          </cell>
          <cell r="AB305">
            <v>0</v>
          </cell>
          <cell r="AD305">
            <v>0</v>
          </cell>
          <cell r="AE305">
            <v>162.08015831561812</v>
          </cell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P305">
            <v>94.701764289364974</v>
          </cell>
          <cell r="AQ305">
            <v>0</v>
          </cell>
          <cell r="AS305">
            <v>492.86698204367883</v>
          </cell>
          <cell r="AT305">
            <v>0</v>
          </cell>
          <cell r="AV305">
            <v>0</v>
          </cell>
          <cell r="AW305">
            <v>0</v>
          </cell>
          <cell r="AY305">
            <v>0</v>
          </cell>
          <cell r="AZ305">
            <v>0</v>
          </cell>
          <cell r="BB305">
            <v>0</v>
          </cell>
          <cell r="BC305">
            <v>0</v>
          </cell>
          <cell r="BE305">
            <v>0</v>
          </cell>
          <cell r="BF305">
            <v>0</v>
          </cell>
          <cell r="BH305">
            <v>0</v>
          </cell>
          <cell r="BI305">
            <v>0</v>
          </cell>
          <cell r="BK305">
            <v>0</v>
          </cell>
          <cell r="BL305">
            <v>0</v>
          </cell>
          <cell r="BN305">
            <v>0</v>
          </cell>
          <cell r="BO305">
            <v>0</v>
          </cell>
          <cell r="BT305">
            <v>19.939175628497924</v>
          </cell>
          <cell r="BU305">
            <v>31.026900609154502</v>
          </cell>
          <cell r="BW305">
            <v>0</v>
          </cell>
          <cell r="BX305">
            <v>0.97519257101216028</v>
          </cell>
          <cell r="BZ305">
            <v>0</v>
          </cell>
          <cell r="CA305">
            <v>34.945817748051233</v>
          </cell>
          <cell r="CC305">
            <v>0</v>
          </cell>
          <cell r="CD305">
            <v>0</v>
          </cell>
          <cell r="CF305">
            <v>0</v>
          </cell>
          <cell r="CG305">
            <v>0</v>
          </cell>
          <cell r="CI305">
            <v>0</v>
          </cell>
          <cell r="CJ305">
            <v>0</v>
          </cell>
          <cell r="CL305">
            <v>0</v>
          </cell>
          <cell r="CM305">
            <v>0</v>
          </cell>
          <cell r="CX305">
            <v>18.230493646149966</v>
          </cell>
          <cell r="CY305">
            <v>472.40631690739679</v>
          </cell>
        </row>
        <row r="306"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217.22151745324294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78.91813690780414</v>
          </cell>
          <cell r="AQ306">
            <v>0</v>
          </cell>
          <cell r="AS306">
            <v>641.46266254981379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  <cell r="BK306">
            <v>0</v>
          </cell>
          <cell r="BL306">
            <v>0</v>
          </cell>
          <cell r="BN306">
            <v>0</v>
          </cell>
          <cell r="BO306">
            <v>0</v>
          </cell>
          <cell r="BT306">
            <v>87.732372765390863</v>
          </cell>
          <cell r="BU306">
            <v>67.699096887882945</v>
          </cell>
          <cell r="BW306">
            <v>0</v>
          </cell>
          <cell r="BX306">
            <v>1.3069632476042474</v>
          </cell>
          <cell r="BZ306">
            <v>0</v>
          </cell>
          <cell r="CA306">
            <v>76.249971963154778</v>
          </cell>
          <cell r="CC306">
            <v>0</v>
          </cell>
          <cell r="CD306">
            <v>0</v>
          </cell>
          <cell r="CF306">
            <v>0</v>
          </cell>
          <cell r="CG306">
            <v>0</v>
          </cell>
          <cell r="CI306">
            <v>0</v>
          </cell>
          <cell r="CJ306">
            <v>0</v>
          </cell>
          <cell r="CL306">
            <v>0</v>
          </cell>
          <cell r="CM306">
            <v>0</v>
          </cell>
          <cell r="CX306">
            <v>24.224193332389405</v>
          </cell>
          <cell r="CY306">
            <v>558.98694053773806</v>
          </cell>
        </row>
        <row r="307">
          <cell r="I307">
            <v>0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X307">
            <v>0</v>
          </cell>
          <cell r="Y307">
            <v>0</v>
          </cell>
          <cell r="AA307">
            <v>0</v>
          </cell>
          <cell r="AB307">
            <v>0</v>
          </cell>
          <cell r="AD307">
            <v>0</v>
          </cell>
          <cell r="AE307">
            <v>160.80120917881891</v>
          </cell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P307">
            <v>86.809950598584564</v>
          </cell>
          <cell r="AQ307">
            <v>0</v>
          </cell>
          <cell r="AS307">
            <v>488.70442035541703</v>
          </cell>
          <cell r="AT307">
            <v>0</v>
          </cell>
          <cell r="AV307">
            <v>0</v>
          </cell>
          <cell r="AW307">
            <v>0</v>
          </cell>
          <cell r="AY307">
            <v>0</v>
          </cell>
          <cell r="AZ307">
            <v>0</v>
          </cell>
          <cell r="BB307">
            <v>0</v>
          </cell>
          <cell r="BC307">
            <v>0</v>
          </cell>
          <cell r="BE307">
            <v>0</v>
          </cell>
          <cell r="BF307">
            <v>0</v>
          </cell>
          <cell r="BH307">
            <v>0</v>
          </cell>
          <cell r="BI307">
            <v>0</v>
          </cell>
          <cell r="BK307">
            <v>0</v>
          </cell>
          <cell r="BL307">
            <v>0</v>
          </cell>
          <cell r="BN307">
            <v>0</v>
          </cell>
          <cell r="BO307">
            <v>0</v>
          </cell>
          <cell r="BT307">
            <v>19.939175628497924</v>
          </cell>
          <cell r="BU307">
            <v>31.026900609154502</v>
          </cell>
          <cell r="BW307">
            <v>0</v>
          </cell>
          <cell r="BX307">
            <v>0.96749747921393836</v>
          </cell>
          <cell r="BZ307">
            <v>0</v>
          </cell>
          <cell r="CA307">
            <v>34.945817748051233</v>
          </cell>
          <cell r="CC307">
            <v>0</v>
          </cell>
          <cell r="CD307">
            <v>0</v>
          </cell>
          <cell r="CF307">
            <v>0</v>
          </cell>
          <cell r="CG307">
            <v>0</v>
          </cell>
          <cell r="CI307">
            <v>0</v>
          </cell>
          <cell r="CJ307">
            <v>0</v>
          </cell>
          <cell r="CL307">
            <v>0</v>
          </cell>
          <cell r="CM307">
            <v>0</v>
          </cell>
          <cell r="CX307">
            <v>17.855744101000596</v>
          </cell>
          <cell r="CY307">
            <v>459.11028998171372</v>
          </cell>
        </row>
        <row r="308">
          <cell r="I308">
            <v>158.05032189664524</v>
          </cell>
          <cell r="J308">
            <v>156.59490883980226</v>
          </cell>
          <cell r="L308">
            <v>27.271513426927882</v>
          </cell>
          <cell r="M308">
            <v>28.928620439014622</v>
          </cell>
          <cell r="O308">
            <v>41.28</v>
          </cell>
          <cell r="P308">
            <v>41.28</v>
          </cell>
          <cell r="R308">
            <v>12.44</v>
          </cell>
          <cell r="S308">
            <v>12.44</v>
          </cell>
          <cell r="U308">
            <v>0</v>
          </cell>
          <cell r="V308">
            <v>0</v>
          </cell>
          <cell r="X308">
            <v>79.672767514422688</v>
          </cell>
          <cell r="Y308">
            <v>62.403165106687169</v>
          </cell>
          <cell r="AA308">
            <v>0</v>
          </cell>
          <cell r="AB308">
            <v>0</v>
          </cell>
          <cell r="AD308">
            <v>105.75556658791288</v>
          </cell>
          <cell r="AE308">
            <v>98.852110365106569</v>
          </cell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P308">
            <v>31.567254763121657</v>
          </cell>
          <cell r="AQ308">
            <v>0</v>
          </cell>
          <cell r="AS308">
            <v>577.40207006763296</v>
          </cell>
          <cell r="AT308">
            <v>-8511.57</v>
          </cell>
          <cell r="AV308">
            <v>34.501372213371873</v>
          </cell>
          <cell r="AW308">
            <v>0</v>
          </cell>
          <cell r="AY308">
            <v>35.106725210817658</v>
          </cell>
          <cell r="AZ308">
            <v>0</v>
          </cell>
          <cell r="BB308">
            <v>11.463616105968482</v>
          </cell>
          <cell r="BC308">
            <v>0</v>
          </cell>
          <cell r="BE308">
            <v>17.956827810507491</v>
          </cell>
          <cell r="BF308">
            <v>0</v>
          </cell>
          <cell r="BH308">
            <v>0</v>
          </cell>
          <cell r="BI308">
            <v>0</v>
          </cell>
          <cell r="BK308">
            <v>9.8614204561619534</v>
          </cell>
          <cell r="BL308">
            <v>0</v>
          </cell>
          <cell r="BN308">
            <v>0</v>
          </cell>
          <cell r="BO308">
            <v>0</v>
          </cell>
          <cell r="BT308">
            <v>0</v>
          </cell>
          <cell r="BU308">
            <v>0</v>
          </cell>
          <cell r="BW308">
            <v>30.304542521382679</v>
          </cell>
          <cell r="BX308">
            <v>0.59476647023756612</v>
          </cell>
          <cell r="BZ308">
            <v>0</v>
          </cell>
          <cell r="CA308">
            <v>0</v>
          </cell>
          <cell r="CC308">
            <v>0</v>
          </cell>
          <cell r="CD308">
            <v>0</v>
          </cell>
          <cell r="CF308">
            <v>0</v>
          </cell>
          <cell r="CG308">
            <v>0</v>
          </cell>
          <cell r="CI308">
            <v>18.717525177192133</v>
          </cell>
          <cell r="CJ308">
            <v>0</v>
          </cell>
          <cell r="CL308">
            <v>0</v>
          </cell>
          <cell r="CM308">
            <v>0</v>
          </cell>
          <cell r="CX308">
            <v>1.8171497521507263E-2</v>
          </cell>
          <cell r="CY308">
            <v>11162.21171453498</v>
          </cell>
        </row>
        <row r="309">
          <cell r="I309">
            <v>2004.3340630414596</v>
          </cell>
          <cell r="J309">
            <v>2455.2122673690565</v>
          </cell>
          <cell r="L309">
            <v>407.00539732443775</v>
          </cell>
          <cell r="M309">
            <v>607.97178537566811</v>
          </cell>
          <cell r="O309">
            <v>767.24</v>
          </cell>
          <cell r="P309">
            <v>767.24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X309">
            <v>1841.1466847069255</v>
          </cell>
          <cell r="Y309">
            <v>1621.4541196637699</v>
          </cell>
          <cell r="AA309">
            <v>0</v>
          </cell>
          <cell r="AB309">
            <v>0</v>
          </cell>
          <cell r="AD309">
            <v>2423.9688961733614</v>
          </cell>
          <cell r="AE309">
            <v>2265.3624936861406</v>
          </cell>
          <cell r="AJ309">
            <v>0</v>
          </cell>
          <cell r="AK309">
            <v>0</v>
          </cell>
          <cell r="AM309">
            <v>0</v>
          </cell>
          <cell r="AN309">
            <v>0</v>
          </cell>
          <cell r="AP309">
            <v>710.2632321702373</v>
          </cell>
          <cell r="AQ309">
            <v>2828.4520090396595</v>
          </cell>
          <cell r="AS309">
            <v>6510.7854720027708</v>
          </cell>
          <cell r="AT309">
            <v>407</v>
          </cell>
          <cell r="AV309">
            <v>362.19421393906958</v>
          </cell>
          <cell r="AW309">
            <v>0</v>
          </cell>
          <cell r="AY309">
            <v>524.59024174180445</v>
          </cell>
          <cell r="AZ309">
            <v>0</v>
          </cell>
          <cell r="BB309">
            <v>380.4641738473648</v>
          </cell>
          <cell r="BC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K309">
            <v>267.01036497539843</v>
          </cell>
          <cell r="BL309">
            <v>0</v>
          </cell>
          <cell r="BN309">
            <v>0</v>
          </cell>
          <cell r="BO309">
            <v>0</v>
          </cell>
          <cell r="BT309">
            <v>6010.8189774226976</v>
          </cell>
          <cell r="BU309">
            <v>4631.5797671609344</v>
          </cell>
          <cell r="BW309">
            <v>4406.816469451157</v>
          </cell>
          <cell r="BX309">
            <v>4283.3958571105159</v>
          </cell>
          <cell r="BZ309">
            <v>2486.2436019213378</v>
          </cell>
          <cell r="CA309">
            <v>5374.1761494498105</v>
          </cell>
          <cell r="CC309">
            <v>361.55261853161829</v>
          </cell>
          <cell r="CD309">
            <v>360.06879902700098</v>
          </cell>
          <cell r="CF309">
            <v>44.509318569233315</v>
          </cell>
          <cell r="CG309">
            <v>0</v>
          </cell>
          <cell r="CI309">
            <v>1154.2473859268484</v>
          </cell>
          <cell r="CJ309">
            <v>658.67142199199452</v>
          </cell>
          <cell r="CL309">
            <v>0</v>
          </cell>
          <cell r="CM309">
            <v>0</v>
          </cell>
          <cell r="CX309">
            <v>907.21066590512783</v>
          </cell>
          <cell r="CY309">
            <v>6190.3383961505406</v>
          </cell>
        </row>
        <row r="310">
          <cell r="I310">
            <v>1279.2848239882026</v>
          </cell>
          <cell r="J310">
            <v>1550.1427351728157</v>
          </cell>
          <cell r="L310">
            <v>311.48053282578826</v>
          </cell>
          <cell r="M310">
            <v>381.30576987245649</v>
          </cell>
          <cell r="O310">
            <v>278.76</v>
          </cell>
          <cell r="P310">
            <v>278.76</v>
          </cell>
          <cell r="R310">
            <v>67.94</v>
          </cell>
          <cell r="S310">
            <v>67.94</v>
          </cell>
          <cell r="U310">
            <v>0</v>
          </cell>
          <cell r="V310">
            <v>0</v>
          </cell>
          <cell r="X310">
            <v>493.03019413598702</v>
          </cell>
          <cell r="Y310">
            <v>393.32790748847253</v>
          </cell>
          <cell r="AA310">
            <v>0</v>
          </cell>
          <cell r="AB310">
            <v>0</v>
          </cell>
          <cell r="AD310">
            <v>862.57774796502531</v>
          </cell>
          <cell r="AE310">
            <v>817.87410140682573</v>
          </cell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P310">
            <v>165.7280875063887</v>
          </cell>
          <cell r="AQ310">
            <v>943.35067113050854</v>
          </cell>
          <cell r="AS310">
            <v>2091.0073168983063</v>
          </cell>
          <cell r="AT310">
            <v>0</v>
          </cell>
          <cell r="AV310">
            <v>242.96787395953822</v>
          </cell>
          <cell r="AW310">
            <v>0</v>
          </cell>
          <cell r="AY310">
            <v>401.48853384265288</v>
          </cell>
          <cell r="AZ310">
            <v>0</v>
          </cell>
          <cell r="BB310">
            <v>162.10302398842919</v>
          </cell>
          <cell r="BC310">
            <v>0</v>
          </cell>
          <cell r="BE310">
            <v>72.616538247391418</v>
          </cell>
          <cell r="BF310">
            <v>0</v>
          </cell>
          <cell r="BH310">
            <v>0</v>
          </cell>
          <cell r="BI310">
            <v>0</v>
          </cell>
          <cell r="BK310">
            <v>56.996604701232371</v>
          </cell>
          <cell r="BL310">
            <v>0</v>
          </cell>
          <cell r="BN310">
            <v>0</v>
          </cell>
          <cell r="BO310">
            <v>0</v>
          </cell>
          <cell r="BT310">
            <v>3121.2606851033652</v>
          </cell>
          <cell r="BU310">
            <v>2211.6108176783969</v>
          </cell>
          <cell r="BW310">
            <v>1332.5065156875817</v>
          </cell>
          <cell r="BX310">
            <v>1286.1573607628447</v>
          </cell>
          <cell r="BZ310">
            <v>893.91182069408126</v>
          </cell>
          <cell r="CA310">
            <v>2355.1390610768799</v>
          </cell>
          <cell r="CC310">
            <v>152.80185375009208</v>
          </cell>
          <cell r="CD310">
            <v>152.17475174801865</v>
          </cell>
          <cell r="CF310">
            <v>18.810834268477251</v>
          </cell>
          <cell r="CG310">
            <v>0</v>
          </cell>
          <cell r="CI310">
            <v>227.72988965583764</v>
          </cell>
          <cell r="CJ310">
            <v>200.39122875293003</v>
          </cell>
          <cell r="CL310">
            <v>0</v>
          </cell>
          <cell r="CM310">
            <v>0</v>
          </cell>
          <cell r="CX310">
            <v>304.41654733794712</v>
          </cell>
          <cell r="CY310">
            <v>2218.21071389182</v>
          </cell>
        </row>
        <row r="311">
          <cell r="I311">
            <v>2381.2507752590182</v>
          </cell>
          <cell r="J311">
            <v>2930.4850895544369</v>
          </cell>
          <cell r="L311">
            <v>477.57619017621118</v>
          </cell>
          <cell r="M311">
            <v>584.63664905713563</v>
          </cell>
          <cell r="O311">
            <v>906.38</v>
          </cell>
          <cell r="P311">
            <v>906.38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X311">
            <v>2338.7043276189638</v>
          </cell>
          <cell r="Y311">
            <v>2067.4578341933998</v>
          </cell>
          <cell r="AA311">
            <v>0</v>
          </cell>
          <cell r="AB311">
            <v>0</v>
          </cell>
          <cell r="AD311">
            <v>3196.9679735177629</v>
          </cell>
          <cell r="AE311">
            <v>2789.2621847473065</v>
          </cell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P311">
            <v>1491.5527875574985</v>
          </cell>
          <cell r="AQ311">
            <v>0</v>
          </cell>
          <cell r="AS311">
            <v>7177.1206678136678</v>
          </cell>
          <cell r="AT311">
            <v>1824.7064106106111</v>
          </cell>
          <cell r="AV311">
            <v>429.92685568395893</v>
          </cell>
          <cell r="AW311">
            <v>916</v>
          </cell>
          <cell r="AY311">
            <v>615.50829442380814</v>
          </cell>
          <cell r="AZ311">
            <v>0</v>
          </cell>
          <cell r="BB311">
            <v>420.47370380186715</v>
          </cell>
          <cell r="BC311">
            <v>884</v>
          </cell>
          <cell r="BE311">
            <v>0</v>
          </cell>
          <cell r="BF311">
            <v>0</v>
          </cell>
          <cell r="BH311">
            <v>0</v>
          </cell>
          <cell r="BI311">
            <v>0</v>
          </cell>
          <cell r="BK311">
            <v>0</v>
          </cell>
          <cell r="BL311">
            <v>0</v>
          </cell>
          <cell r="BN311">
            <v>0</v>
          </cell>
          <cell r="BO311">
            <v>0</v>
          </cell>
          <cell r="BT311">
            <v>12520.739435895232</v>
          </cell>
          <cell r="BU311">
            <v>9026.4808379342994</v>
          </cell>
          <cell r="BW311">
            <v>5054.2773046667062</v>
          </cell>
          <cell r="BX311">
            <v>5113.3115136234046</v>
          </cell>
          <cell r="BZ311">
            <v>2641.0555211789356</v>
          </cell>
          <cell r="CA311">
            <v>9189.7513417479622</v>
          </cell>
          <cell r="CC311">
            <v>194.86280675541099</v>
          </cell>
          <cell r="CD311">
            <v>194.06308572293042</v>
          </cell>
          <cell r="CF311">
            <v>23.9887924982987</v>
          </cell>
          <cell r="CG311">
            <v>0</v>
          </cell>
          <cell r="CI311">
            <v>346.2742157780545</v>
          </cell>
          <cell r="CJ311">
            <v>705.18844912671693</v>
          </cell>
          <cell r="CL311">
            <v>0</v>
          </cell>
          <cell r="CM311">
            <v>0</v>
          </cell>
          <cell r="CX311">
            <v>-1658.4915831504622</v>
          </cell>
          <cell r="CY311">
            <v>2043.431924418157</v>
          </cell>
        </row>
        <row r="312">
          <cell r="I312">
            <v>1812.9250872823966</v>
          </cell>
          <cell r="J312">
            <v>2227.3257428052639</v>
          </cell>
          <cell r="L312">
            <v>383.03749892546443</v>
          </cell>
          <cell r="M312">
            <v>468.90467298913393</v>
          </cell>
          <cell r="O312">
            <v>681.68</v>
          </cell>
          <cell r="P312">
            <v>681.68</v>
          </cell>
          <cell r="R312">
            <v>196.26</v>
          </cell>
          <cell r="S312">
            <v>196.26</v>
          </cell>
          <cell r="U312">
            <v>0</v>
          </cell>
          <cell r="V312">
            <v>0</v>
          </cell>
          <cell r="X312">
            <v>1719.2560424194046</v>
          </cell>
          <cell r="Y312">
            <v>1483.0599038379657</v>
          </cell>
          <cell r="AA312">
            <v>0</v>
          </cell>
          <cell r="AB312">
            <v>0</v>
          </cell>
          <cell r="AD312">
            <v>2368.0267669472755</v>
          </cell>
          <cell r="AE312">
            <v>2183.5119242767441</v>
          </cell>
          <cell r="AJ312">
            <v>0</v>
          </cell>
          <cell r="AK312">
            <v>0</v>
          </cell>
          <cell r="AM312">
            <v>0</v>
          </cell>
          <cell r="AN312">
            <v>0</v>
          </cell>
          <cell r="AP312">
            <v>307.78073394043616</v>
          </cell>
          <cell r="AQ312">
            <v>0</v>
          </cell>
          <cell r="AS312">
            <v>6661.9038663488545</v>
          </cell>
          <cell r="AT312">
            <v>59.170950321997864</v>
          </cell>
          <cell r="AV312">
            <v>333.66454642231821</v>
          </cell>
          <cell r="AW312">
            <v>0</v>
          </cell>
          <cell r="AY312">
            <v>493.65943583849338</v>
          </cell>
          <cell r="AZ312">
            <v>0</v>
          </cell>
          <cell r="BB312">
            <v>405.93418033429435</v>
          </cell>
          <cell r="BC312">
            <v>630</v>
          </cell>
          <cell r="BE312">
            <v>199.58031090607005</v>
          </cell>
          <cell r="BF312">
            <v>0</v>
          </cell>
          <cell r="BH312">
            <v>0</v>
          </cell>
          <cell r="BI312">
            <v>3172</v>
          </cell>
          <cell r="BK312">
            <v>240.41378397964613</v>
          </cell>
          <cell r="BL312">
            <v>0</v>
          </cell>
          <cell r="BN312">
            <v>0</v>
          </cell>
          <cell r="BO312">
            <v>0</v>
          </cell>
          <cell r="BT312">
            <v>8161.5306315697508</v>
          </cell>
          <cell r="BU312">
            <v>6665.0805351005847</v>
          </cell>
          <cell r="BW312">
            <v>4678.2140539380944</v>
          </cell>
          <cell r="BX312">
            <v>4779.568283103833</v>
          </cell>
          <cell r="BZ312">
            <v>3802.0806838752378</v>
          </cell>
          <cell r="CA312">
            <v>6339.2436413880969</v>
          </cell>
          <cell r="CC312">
            <v>181.38173207421906</v>
          </cell>
          <cell r="CD312">
            <v>180.63733765404845</v>
          </cell>
          <cell r="CF312">
            <v>22.329190501561058</v>
          </cell>
          <cell r="CG312">
            <v>0</v>
          </cell>
          <cell r="CI312">
            <v>923.39790874147866</v>
          </cell>
          <cell r="CJ312">
            <v>410.09557737675863</v>
          </cell>
          <cell r="CL312">
            <v>0</v>
          </cell>
          <cell r="CM312">
            <v>0</v>
          </cell>
          <cell r="CX312">
            <v>133.73225514599835</v>
          </cell>
          <cell r="CY312">
            <v>5049.5537173746907</v>
          </cell>
        </row>
        <row r="313">
          <cell r="I313">
            <v>1791.363825525561</v>
          </cell>
          <cell r="J313">
            <v>2215.1430865862249</v>
          </cell>
          <cell r="L313">
            <v>332.88305739168595</v>
          </cell>
          <cell r="M313">
            <v>421.40022108178778</v>
          </cell>
          <cell r="O313">
            <v>767.76</v>
          </cell>
          <cell r="P313">
            <v>767.76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X313">
            <v>2273.2516362826163</v>
          </cell>
          <cell r="Y313">
            <v>1982.8742963564489</v>
          </cell>
          <cell r="AA313">
            <v>0</v>
          </cell>
          <cell r="AB313">
            <v>0</v>
          </cell>
          <cell r="AD313">
            <v>2831.3558718852642</v>
          </cell>
          <cell r="AE313">
            <v>2650.6644073034149</v>
          </cell>
          <cell r="AJ313">
            <v>0</v>
          </cell>
          <cell r="AK313">
            <v>0</v>
          </cell>
          <cell r="AM313">
            <v>0</v>
          </cell>
          <cell r="AN313">
            <v>0</v>
          </cell>
          <cell r="AP313">
            <v>1231.1229357617447</v>
          </cell>
          <cell r="AQ313">
            <v>3040.5859097176335</v>
          </cell>
          <cell r="AS313">
            <v>7406.1872865321629</v>
          </cell>
          <cell r="AT313">
            <v>1074.3756659040691</v>
          </cell>
          <cell r="AV313">
            <v>309.40264000821674</v>
          </cell>
          <cell r="AW313">
            <v>0</v>
          </cell>
          <cell r="AY313">
            <v>429.03011254406238</v>
          </cell>
          <cell r="AZ313">
            <v>0</v>
          </cell>
          <cell r="BB313">
            <v>540.19704455889519</v>
          </cell>
          <cell r="BC313">
            <v>0</v>
          </cell>
          <cell r="BE313">
            <v>0</v>
          </cell>
          <cell r="BF313">
            <v>0</v>
          </cell>
          <cell r="BH313">
            <v>0</v>
          </cell>
          <cell r="BI313">
            <v>0</v>
          </cell>
          <cell r="BK313">
            <v>317.0796259884653</v>
          </cell>
          <cell r="BL313">
            <v>0</v>
          </cell>
          <cell r="BN313">
            <v>0</v>
          </cell>
          <cell r="BO313">
            <v>0</v>
          </cell>
          <cell r="BT313">
            <v>8427.9075633708999</v>
          </cell>
          <cell r="BU313">
            <v>7141.5574470723004</v>
          </cell>
          <cell r="BW313">
            <v>6592.5305520171587</v>
          </cell>
          <cell r="BX313">
            <v>6679.6779792891939</v>
          </cell>
          <cell r="BZ313">
            <v>3311.6289454771645</v>
          </cell>
          <cell r="CA313">
            <v>6809.198964375064</v>
          </cell>
          <cell r="CC313">
            <v>137.26185129940902</v>
          </cell>
          <cell r="CD313">
            <v>136.69852579225289</v>
          </cell>
          <cell r="CF313">
            <v>16.897765784965124</v>
          </cell>
          <cell r="CG313">
            <v>0</v>
          </cell>
          <cell r="CI313">
            <v>489.77524213652754</v>
          </cell>
          <cell r="CJ313">
            <v>680.395145347528</v>
          </cell>
          <cell r="CL313">
            <v>0</v>
          </cell>
          <cell r="CM313">
            <v>0</v>
          </cell>
          <cell r="CX313">
            <v>1064.0768521222344</v>
          </cell>
          <cell r="CY313">
            <v>5390.4420214089005</v>
          </cell>
        </row>
        <row r="314">
          <cell r="I314">
            <v>4624.8339399851884</v>
          </cell>
          <cell r="J314">
            <v>5727.5311508084551</v>
          </cell>
          <cell r="L314">
            <v>953.82127520157314</v>
          </cell>
          <cell r="M314">
            <v>1167.6432702823276</v>
          </cell>
          <cell r="O314">
            <v>2070.1799999999998</v>
          </cell>
          <cell r="P314">
            <v>2070.1799999999998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X314">
            <v>5140.469160362929</v>
          </cell>
          <cell r="Y314">
            <v>4550.9482457174499</v>
          </cell>
          <cell r="AA314">
            <v>0</v>
          </cell>
          <cell r="AB314">
            <v>0</v>
          </cell>
          <cell r="AD314">
            <v>6483.6571453739234</v>
          </cell>
          <cell r="AE314">
            <v>6086.3255952212667</v>
          </cell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P314">
            <v>3811.7460126469405</v>
          </cell>
          <cell r="AQ314">
            <v>9758.1594311868248</v>
          </cell>
          <cell r="AS314">
            <v>17821.236917758972</v>
          </cell>
          <cell r="AT314">
            <v>0</v>
          </cell>
          <cell r="AV314">
            <v>767.84224561021233</v>
          </cell>
          <cell r="AW314">
            <v>0</v>
          </cell>
          <cell r="AY314">
            <v>1229.3462864771334</v>
          </cell>
          <cell r="AZ314">
            <v>0</v>
          </cell>
          <cell r="BB314">
            <v>1074.4919495575432</v>
          </cell>
          <cell r="BC314">
            <v>461</v>
          </cell>
          <cell r="BE314">
            <v>0</v>
          </cell>
          <cell r="BF314">
            <v>0</v>
          </cell>
          <cell r="BH314">
            <v>0</v>
          </cell>
          <cell r="BI314">
            <v>0</v>
          </cell>
          <cell r="BK314">
            <v>743.01646728891683</v>
          </cell>
          <cell r="BL314">
            <v>0</v>
          </cell>
          <cell r="BN314">
            <v>0</v>
          </cell>
          <cell r="BO314">
            <v>0</v>
          </cell>
          <cell r="BT314">
            <v>13102.708404765153</v>
          </cell>
          <cell r="BU314">
            <v>10642.823655777249</v>
          </cell>
          <cell r="BW314">
            <v>9083.7556455963822</v>
          </cell>
          <cell r="BX314">
            <v>9425.2721071165124</v>
          </cell>
          <cell r="BZ314">
            <v>4225.2187585183556</v>
          </cell>
          <cell r="CA314">
            <v>10615.909721297423</v>
          </cell>
          <cell r="CC314">
            <v>151.4782573268478</v>
          </cell>
          <cell r="CD314">
            <v>150.85658739216478</v>
          </cell>
          <cell r="CF314">
            <v>18.647891526979368</v>
          </cell>
          <cell r="CG314">
            <v>0</v>
          </cell>
          <cell r="CI314">
            <v>2442.6370356235734</v>
          </cell>
          <cell r="CJ314">
            <v>1349.9036261816618</v>
          </cell>
          <cell r="CL314">
            <v>0</v>
          </cell>
          <cell r="CM314">
            <v>0</v>
          </cell>
          <cell r="CX314">
            <v>2374.8751276552357</v>
          </cell>
          <cell r="CY314">
            <v>16461.115930822409</v>
          </cell>
        </row>
        <row r="315">
          <cell r="I315">
            <v>1511.8860500378551</v>
          </cell>
          <cell r="J315">
            <v>1862.1261847504513</v>
          </cell>
          <cell r="L315">
            <v>287.85748463911119</v>
          </cell>
          <cell r="M315">
            <v>352.38786870575183</v>
          </cell>
          <cell r="O315">
            <v>587.36</v>
          </cell>
          <cell r="P315">
            <v>587.36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X315">
            <v>882.13503577038978</v>
          </cell>
          <cell r="Y315">
            <v>738.08520326574126</v>
          </cell>
          <cell r="AA315">
            <v>0</v>
          </cell>
          <cell r="AB315">
            <v>0</v>
          </cell>
          <cell r="AD315">
            <v>1859.6018921057623</v>
          </cell>
          <cell r="AE315">
            <v>1738.2322785630672</v>
          </cell>
          <cell r="AJ315">
            <v>0</v>
          </cell>
          <cell r="AK315">
            <v>0</v>
          </cell>
          <cell r="AM315">
            <v>0</v>
          </cell>
          <cell r="AN315">
            <v>0</v>
          </cell>
          <cell r="AP315">
            <v>1373.1755821957922</v>
          </cell>
          <cell r="AQ315">
            <v>3962.1857602317973</v>
          </cell>
          <cell r="AS315">
            <v>4665.4019357218185</v>
          </cell>
          <cell r="AT315">
            <v>0</v>
          </cell>
          <cell r="AV315">
            <v>243.81387473835781</v>
          </cell>
          <cell r="AW315">
            <v>0</v>
          </cell>
          <cell r="AY315">
            <v>370.97542606793741</v>
          </cell>
          <cell r="AZ315">
            <v>0</v>
          </cell>
          <cell r="BB315">
            <v>313.66727724597587</v>
          </cell>
          <cell r="BC315">
            <v>0</v>
          </cell>
          <cell r="BE315">
            <v>0</v>
          </cell>
          <cell r="BF315">
            <v>0</v>
          </cell>
          <cell r="BH315">
            <v>0</v>
          </cell>
          <cell r="BI315">
            <v>0</v>
          </cell>
          <cell r="BK315">
            <v>118.21256501765102</v>
          </cell>
          <cell r="BL315">
            <v>0</v>
          </cell>
          <cell r="BN315">
            <v>0</v>
          </cell>
          <cell r="BO315">
            <v>0</v>
          </cell>
          <cell r="BT315">
            <v>5808.6604039677914</v>
          </cell>
          <cell r="BU315">
            <v>4226.5269919589327</v>
          </cell>
          <cell r="BW315">
            <v>2198.6644359415013</v>
          </cell>
          <cell r="BX315">
            <v>1844.3237438161636</v>
          </cell>
          <cell r="BZ315">
            <v>1439.7153316790893</v>
          </cell>
          <cell r="CA315">
            <v>2995.4749699198633</v>
          </cell>
          <cell r="CC315">
            <v>113.73124821951032</v>
          </cell>
          <cell r="CD315">
            <v>113.26449279929523</v>
          </cell>
          <cell r="CF315">
            <v>14.001005936113961</v>
          </cell>
          <cell r="CG315">
            <v>0</v>
          </cell>
          <cell r="CI315">
            <v>1070.0185226294839</v>
          </cell>
          <cell r="CJ315">
            <v>806.22664220459183</v>
          </cell>
          <cell r="CL315">
            <v>0</v>
          </cell>
          <cell r="CM315">
            <v>0</v>
          </cell>
          <cell r="CX315">
            <v>549.28631370302537</v>
          </cell>
          <cell r="CY315">
            <v>4908.5070365412103</v>
          </cell>
        </row>
        <row r="316">
          <cell r="I316">
            <v>1367.7410361290968</v>
          </cell>
          <cell r="J316">
            <v>1680.8659353612684</v>
          </cell>
          <cell r="L316">
            <v>287.85748463911119</v>
          </cell>
          <cell r="M316">
            <v>352.38786870575183</v>
          </cell>
          <cell r="O316">
            <v>532.55999999999995</v>
          </cell>
          <cell r="P316">
            <v>532.55999999999995</v>
          </cell>
          <cell r="R316">
            <v>120.58</v>
          </cell>
          <cell r="S316">
            <v>120.58</v>
          </cell>
          <cell r="U316">
            <v>88.645113504097054</v>
          </cell>
          <cell r="V316">
            <v>288.12860747430091</v>
          </cell>
          <cell r="X316">
            <v>909.36904397144713</v>
          </cell>
          <cell r="Y316">
            <v>750.53659405665439</v>
          </cell>
          <cell r="AA316">
            <v>0</v>
          </cell>
          <cell r="AB316">
            <v>0</v>
          </cell>
          <cell r="AD316">
            <v>1866.6142558202171</v>
          </cell>
          <cell r="AE316">
            <v>1688.0796367065568</v>
          </cell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P316">
            <v>315.67254763121656</v>
          </cell>
          <cell r="AQ316">
            <v>0</v>
          </cell>
          <cell r="AS316">
            <v>4936.2947533393517</v>
          </cell>
          <cell r="AT316">
            <v>0</v>
          </cell>
          <cell r="AV316">
            <v>235.2159873626965</v>
          </cell>
          <cell r="AW316">
            <v>0</v>
          </cell>
          <cell r="AY316">
            <v>370.97542606793741</v>
          </cell>
          <cell r="AZ316">
            <v>0</v>
          </cell>
          <cell r="BB316">
            <v>279.88110539235134</v>
          </cell>
          <cell r="BC316">
            <v>0</v>
          </cell>
          <cell r="BE316">
            <v>131.41230815033148</v>
          </cell>
          <cell r="BF316">
            <v>0</v>
          </cell>
          <cell r="BH316">
            <v>89.960355179059135</v>
          </cell>
          <cell r="BI316">
            <v>0</v>
          </cell>
          <cell r="BK316">
            <v>118.21257789507058</v>
          </cell>
          <cell r="BL316">
            <v>0</v>
          </cell>
          <cell r="BN316">
            <v>0</v>
          </cell>
          <cell r="BO316">
            <v>0</v>
          </cell>
          <cell r="BT316">
            <v>7882.1749946396194</v>
          </cell>
          <cell r="BU316">
            <v>5840.6261578594049</v>
          </cell>
          <cell r="BW316">
            <v>2972.8835895816837</v>
          </cell>
          <cell r="BX316">
            <v>2514.0463349321935</v>
          </cell>
          <cell r="BZ316">
            <v>2205.630941443414</v>
          </cell>
          <cell r="CA316">
            <v>4037.0676189276501</v>
          </cell>
          <cell r="CC316">
            <v>58.826507699746713</v>
          </cell>
          <cell r="CD316">
            <v>58.5850824823941</v>
          </cell>
          <cell r="CF316">
            <v>7.2418996221279102</v>
          </cell>
          <cell r="CG316">
            <v>0</v>
          </cell>
          <cell r="CI316">
            <v>811.09275767832594</v>
          </cell>
          <cell r="CJ316">
            <v>337.06598516103981</v>
          </cell>
          <cell r="CL316">
            <v>0</v>
          </cell>
          <cell r="CM316">
            <v>0</v>
          </cell>
          <cell r="CX316">
            <v>-285.49122289627849</v>
          </cell>
          <cell r="CY316">
            <v>8580.484213999347</v>
          </cell>
        </row>
        <row r="317">
          <cell r="I317">
            <v>2956.5241919586238</v>
          </cell>
          <cell r="J317">
            <v>2876.8635245322321</v>
          </cell>
          <cell r="L317">
            <v>570.78385796675877</v>
          </cell>
          <cell r="M317">
            <v>571.06341535392471</v>
          </cell>
          <cell r="O317">
            <v>1271.4000000000001</v>
          </cell>
          <cell r="P317">
            <v>1271.42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X317">
            <v>2366.2425399499689</v>
          </cell>
          <cell r="Y317">
            <v>1336.2578126867274</v>
          </cell>
          <cell r="AA317">
            <v>0</v>
          </cell>
          <cell r="AB317">
            <v>0</v>
          </cell>
          <cell r="AD317">
            <v>3582.0778669416718</v>
          </cell>
          <cell r="AE317">
            <v>3348.4675414742287</v>
          </cell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P317">
            <v>2178.1405786553946</v>
          </cell>
          <cell r="AQ317">
            <v>6439.010685154044</v>
          </cell>
          <cell r="AS317">
            <v>9233.3596955533867</v>
          </cell>
          <cell r="AT317">
            <v>0</v>
          </cell>
          <cell r="AV317">
            <v>536.98858182502408</v>
          </cell>
          <cell r="AW317">
            <v>408</v>
          </cell>
          <cell r="AY317">
            <v>735.63830986835274</v>
          </cell>
          <cell r="AZ317">
            <v>0</v>
          </cell>
          <cell r="BB317">
            <v>498.87522422955419</v>
          </cell>
          <cell r="BC317">
            <v>0</v>
          </cell>
          <cell r="BE317">
            <v>0</v>
          </cell>
          <cell r="BF317">
            <v>0</v>
          </cell>
          <cell r="BH317">
            <v>0</v>
          </cell>
          <cell r="BI317">
            <v>3076</v>
          </cell>
          <cell r="BK317">
            <v>321.34271961888942</v>
          </cell>
          <cell r="BL317">
            <v>0</v>
          </cell>
          <cell r="BN317">
            <v>237.68739725384614</v>
          </cell>
          <cell r="BO317">
            <v>0</v>
          </cell>
          <cell r="BT317">
            <v>7220.6160561497554</v>
          </cell>
          <cell r="BU317">
            <v>3640.9940921695234</v>
          </cell>
          <cell r="BW317">
            <v>4073.6830493193465</v>
          </cell>
          <cell r="BX317">
            <v>1211.3396038615242</v>
          </cell>
          <cell r="BZ317">
            <v>3502.2065808600578</v>
          </cell>
          <cell r="CA317">
            <v>4774.2978297030768</v>
          </cell>
          <cell r="CC317">
            <v>15.687068719932457</v>
          </cell>
          <cell r="CD317">
            <v>15.622688661971758</v>
          </cell>
          <cell r="CF317">
            <v>1.9311732325674427</v>
          </cell>
          <cell r="CG317">
            <v>0</v>
          </cell>
          <cell r="CI317">
            <v>1952.8617934870463</v>
          </cell>
          <cell r="CJ317">
            <v>509.50648633494473</v>
          </cell>
          <cell r="CL317">
            <v>0</v>
          </cell>
          <cell r="CM317">
            <v>0</v>
          </cell>
          <cell r="CX317">
            <v>996.13397729177814</v>
          </cell>
          <cell r="CY317">
            <v>15128.777584081365</v>
          </cell>
        </row>
        <row r="318">
          <cell r="I318">
            <v>1456.9727095287185</v>
          </cell>
          <cell r="J318">
            <v>1431.175419808922</v>
          </cell>
          <cell r="L318">
            <v>292.74013687093884</v>
          </cell>
          <cell r="M318">
            <v>292.8833967116725</v>
          </cell>
          <cell r="O318">
            <v>776.82</v>
          </cell>
          <cell r="P318">
            <v>776.84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X318">
            <v>939.7324956333714</v>
          </cell>
          <cell r="Y318">
            <v>2603.3685281670741</v>
          </cell>
          <cell r="AA318">
            <v>0</v>
          </cell>
          <cell r="AB318">
            <v>0</v>
          </cell>
          <cell r="AD318">
            <v>2024.2570380635609</v>
          </cell>
          <cell r="AE318">
            <v>1891.8008997240695</v>
          </cell>
          <cell r="AJ318">
            <v>0</v>
          </cell>
          <cell r="AK318">
            <v>0</v>
          </cell>
          <cell r="AM318">
            <v>0</v>
          </cell>
          <cell r="AN318">
            <v>0</v>
          </cell>
          <cell r="AP318">
            <v>1160.096612544721</v>
          </cell>
          <cell r="AQ318">
            <v>3467.1595996983315</v>
          </cell>
          <cell r="AS318">
            <v>3775.4779419759097</v>
          </cell>
          <cell r="AT318">
            <v>0</v>
          </cell>
          <cell r="AV318">
            <v>260.74742636054094</v>
          </cell>
          <cell r="AW318">
            <v>0</v>
          </cell>
          <cell r="AY318">
            <v>377.33626403379481</v>
          </cell>
          <cell r="AZ318">
            <v>0</v>
          </cell>
          <cell r="BB318">
            <v>286.46913740690536</v>
          </cell>
          <cell r="BC318">
            <v>0</v>
          </cell>
          <cell r="BE318">
            <v>0</v>
          </cell>
          <cell r="BF318">
            <v>0</v>
          </cell>
          <cell r="BH318">
            <v>0</v>
          </cell>
          <cell r="BI318">
            <v>373</v>
          </cell>
          <cell r="BK318">
            <v>122.81870137610875</v>
          </cell>
          <cell r="BL318">
            <v>0</v>
          </cell>
          <cell r="BN318">
            <v>119.34310272027908</v>
          </cell>
          <cell r="BO318">
            <v>0</v>
          </cell>
          <cell r="BT318">
            <v>2632.8943698044923</v>
          </cell>
          <cell r="BU318">
            <v>1585.2590175094801</v>
          </cell>
          <cell r="BW318">
            <v>2253.8475109640076</v>
          </cell>
          <cell r="BX318">
            <v>703.10700747338342</v>
          </cell>
          <cell r="BZ318">
            <v>1789.1117046983588</v>
          </cell>
          <cell r="CA318">
            <v>1720.7798643511417</v>
          </cell>
          <cell r="CC318">
            <v>115.201910912004</v>
          </cell>
          <cell r="CD318">
            <v>114.72911986135509</v>
          </cell>
          <cell r="CF318">
            <v>14.182053426667157</v>
          </cell>
          <cell r="CG318">
            <v>0</v>
          </cell>
          <cell r="CI318">
            <v>570.88451790436011</v>
          </cell>
          <cell r="CJ318">
            <v>273.39808503599022</v>
          </cell>
          <cell r="CL318">
            <v>0</v>
          </cell>
          <cell r="CM318">
            <v>0</v>
          </cell>
          <cell r="CX318">
            <v>1130.1796389303126</v>
          </cell>
          <cell r="CY318">
            <v>5612.6988739902918</v>
          </cell>
        </row>
        <row r="319">
          <cell r="I319">
            <v>1865.380218099715</v>
          </cell>
          <cell r="J319">
            <v>1821.0300869642035</v>
          </cell>
          <cell r="L319">
            <v>382.1501227217816</v>
          </cell>
          <cell r="M319">
            <v>409.15131381968291</v>
          </cell>
          <cell r="O319">
            <v>871.48</v>
          </cell>
          <cell r="P319">
            <v>871.48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X319">
            <v>1261.2501337003903</v>
          </cell>
          <cell r="Y319">
            <v>2807.5593841155742</v>
          </cell>
          <cell r="AA319">
            <v>0</v>
          </cell>
          <cell r="AB319">
            <v>0</v>
          </cell>
          <cell r="AD319">
            <v>2348.4149529816464</v>
          </cell>
          <cell r="AE319">
            <v>2195.0958573418911</v>
          </cell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P319">
            <v>1515.2282286298396</v>
          </cell>
          <cell r="AQ319">
            <v>0</v>
          </cell>
          <cell r="AS319">
            <v>4717.2020944824671</v>
          </cell>
          <cell r="AT319">
            <v>47106.045728353973</v>
          </cell>
          <cell r="AV319">
            <v>326.06781225211932</v>
          </cell>
          <cell r="AW319">
            <v>0</v>
          </cell>
          <cell r="AY319">
            <v>492.56202672116706</v>
          </cell>
          <cell r="AZ319">
            <v>0</v>
          </cell>
          <cell r="BB319">
            <v>300.2074328718092</v>
          </cell>
          <cell r="BC319">
            <v>0</v>
          </cell>
          <cell r="BE319">
            <v>0</v>
          </cell>
          <cell r="BF319">
            <v>0</v>
          </cell>
          <cell r="BH319">
            <v>0</v>
          </cell>
          <cell r="BI319">
            <v>373</v>
          </cell>
          <cell r="BK319">
            <v>176.52030214061796</v>
          </cell>
          <cell r="BL319">
            <v>0</v>
          </cell>
          <cell r="BN319">
            <v>107.05787424455717</v>
          </cell>
          <cell r="BO319">
            <v>0</v>
          </cell>
          <cell r="BT319">
            <v>6473.3966128912243</v>
          </cell>
          <cell r="BU319">
            <v>6714.8430144438798</v>
          </cell>
          <cell r="BW319">
            <v>2637.0462610794589</v>
          </cell>
          <cell r="BX319">
            <v>2719.1894509405702</v>
          </cell>
          <cell r="BZ319">
            <v>4236.2565573285665</v>
          </cell>
          <cell r="CA319">
            <v>7862.1693840781745</v>
          </cell>
          <cell r="CC319">
            <v>196.67662407615319</v>
          </cell>
          <cell r="CD319">
            <v>195.86945909947093</v>
          </cell>
          <cell r="CF319">
            <v>24.212084403314314</v>
          </cell>
          <cell r="CG319">
            <v>0</v>
          </cell>
          <cell r="CI319">
            <v>1441.2494386437945</v>
          </cell>
          <cell r="CJ319">
            <v>1032.9867862821752</v>
          </cell>
          <cell r="CL319">
            <v>0</v>
          </cell>
          <cell r="CM319">
            <v>0</v>
          </cell>
          <cell r="CX319">
            <v>-0.61053272234858014</v>
          </cell>
          <cell r="CY319">
            <v>-53683.884558527512</v>
          </cell>
        </row>
        <row r="320">
          <cell r="I320">
            <v>3028.4179462609359</v>
          </cell>
          <cell r="J320">
            <v>2969.5874752826808</v>
          </cell>
          <cell r="L320">
            <v>682.83357792912227</v>
          </cell>
          <cell r="M320">
            <v>709.97848190443142</v>
          </cell>
          <cell r="O320">
            <v>1314.82</v>
          </cell>
          <cell r="P320">
            <v>1314.82</v>
          </cell>
          <cell r="R320">
            <v>298.32</v>
          </cell>
          <cell r="S320">
            <v>298.32</v>
          </cell>
          <cell r="U320">
            <v>206.87093145953389</v>
          </cell>
          <cell r="V320">
            <v>165.24933254841389</v>
          </cell>
          <cell r="X320">
            <v>2975.9022482921964</v>
          </cell>
          <cell r="Y320">
            <v>3812.9584057244238</v>
          </cell>
          <cell r="AA320">
            <v>0</v>
          </cell>
          <cell r="AB320">
            <v>0</v>
          </cell>
          <cell r="AD320">
            <v>4105.6463117966159</v>
          </cell>
          <cell r="AE320">
            <v>3864.9987101918859</v>
          </cell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P320">
            <v>670.80416371633532</v>
          </cell>
          <cell r="AQ320">
            <v>3629.8467449342293</v>
          </cell>
          <cell r="AS320">
            <v>13481.383032372123</v>
          </cell>
          <cell r="AT320">
            <v>24604</v>
          </cell>
          <cell r="AV320">
            <v>542.09011909004789</v>
          </cell>
          <cell r="AW320">
            <v>0</v>
          </cell>
          <cell r="AY320">
            <v>850.60757030285652</v>
          </cell>
          <cell r="AZ320">
            <v>0</v>
          </cell>
          <cell r="BB320">
            <v>489.80949694715548</v>
          </cell>
          <cell r="BC320">
            <v>0</v>
          </cell>
          <cell r="BE320">
            <v>271.06661852588115</v>
          </cell>
          <cell r="BF320">
            <v>1779</v>
          </cell>
          <cell r="BH320">
            <v>209.85895464751857</v>
          </cell>
          <cell r="BI320">
            <v>0</v>
          </cell>
          <cell r="BK320">
            <v>427.20193121784132</v>
          </cell>
          <cell r="BL320">
            <v>291</v>
          </cell>
          <cell r="BN320">
            <v>232.06982656797737</v>
          </cell>
          <cell r="BO320">
            <v>0</v>
          </cell>
          <cell r="BT320">
            <v>6664.8470942676622</v>
          </cell>
          <cell r="BU320">
            <v>6234.5161896597192</v>
          </cell>
          <cell r="BW320">
            <v>5651.0940655556651</v>
          </cell>
          <cell r="BX320">
            <v>5986.0457038967434</v>
          </cell>
          <cell r="BZ320">
            <v>3836.4944222981553</v>
          </cell>
          <cell r="CA320">
            <v>7479.2893738987032</v>
          </cell>
          <cell r="CC320">
            <v>431.68852233664131</v>
          </cell>
          <cell r="CD320">
            <v>429.91686361663528</v>
          </cell>
          <cell r="CF320">
            <v>53.143473393715311</v>
          </cell>
          <cell r="CG320">
            <v>0</v>
          </cell>
          <cell r="CI320">
            <v>2439.5174480940414</v>
          </cell>
          <cell r="CJ320">
            <v>1599.9724062236037</v>
          </cell>
          <cell r="CL320">
            <v>0</v>
          </cell>
          <cell r="CM320">
            <v>0</v>
          </cell>
          <cell r="CX320">
            <v>3311.9746939135803</v>
          </cell>
          <cell r="CY320">
            <v>-16254.039625457754</v>
          </cell>
        </row>
        <row r="321">
          <cell r="I321">
            <v>2144.645149117503</v>
          </cell>
          <cell r="J321">
            <v>2076.4335052806618</v>
          </cell>
          <cell r="L321">
            <v>429.59193429862819</v>
          </cell>
          <cell r="M321">
            <v>456.61658127868373</v>
          </cell>
          <cell r="O321">
            <v>823.1</v>
          </cell>
          <cell r="P321">
            <v>823.1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X321">
            <v>1247.2145862139712</v>
          </cell>
          <cell r="Y321">
            <v>712.10513346437597</v>
          </cell>
          <cell r="AA321">
            <v>0</v>
          </cell>
          <cell r="AB321">
            <v>0</v>
          </cell>
          <cell r="AD321">
            <v>2273.3883623456932</v>
          </cell>
          <cell r="AE321">
            <v>2124.9873131787494</v>
          </cell>
          <cell r="AJ321">
            <v>0</v>
          </cell>
          <cell r="AK321">
            <v>0</v>
          </cell>
          <cell r="AM321">
            <v>0</v>
          </cell>
          <cell r="AN321">
            <v>0</v>
          </cell>
          <cell r="AP321">
            <v>1657.2808750638872</v>
          </cell>
          <cell r="AQ321">
            <v>0</v>
          </cell>
          <cell r="AS321">
            <v>5950.6543204209074</v>
          </cell>
          <cell r="AT321">
            <v>0</v>
          </cell>
          <cell r="AV321">
            <v>356.05503281979952</v>
          </cell>
          <cell r="AW321">
            <v>408</v>
          </cell>
          <cell r="AY321">
            <v>553.69522338747106</v>
          </cell>
          <cell r="AZ321">
            <v>0</v>
          </cell>
          <cell r="BB321">
            <v>316.94103982577809</v>
          </cell>
          <cell r="BC321">
            <v>0</v>
          </cell>
          <cell r="BE321">
            <v>0</v>
          </cell>
          <cell r="BF321">
            <v>0</v>
          </cell>
          <cell r="BH321">
            <v>0</v>
          </cell>
          <cell r="BI321">
            <v>0</v>
          </cell>
          <cell r="BK321">
            <v>174.41860246110207</v>
          </cell>
          <cell r="BL321">
            <v>0</v>
          </cell>
          <cell r="BN321">
            <v>200.88589227223855</v>
          </cell>
          <cell r="BO321">
            <v>0</v>
          </cell>
          <cell r="BT321">
            <v>4364.2065204496175</v>
          </cell>
          <cell r="BU321">
            <v>3323.9489503734276</v>
          </cell>
          <cell r="BW321">
            <v>2856.3341959829895</v>
          </cell>
          <cell r="BX321">
            <v>2750.5476571185718</v>
          </cell>
          <cell r="BZ321">
            <v>1960.9423683501768</v>
          </cell>
          <cell r="CA321">
            <v>3565.6819945254974</v>
          </cell>
          <cell r="CC321">
            <v>144.61516476187737</v>
          </cell>
          <cell r="CD321">
            <v>144.02166110255214</v>
          </cell>
          <cell r="CF321">
            <v>17.803003237731112</v>
          </cell>
          <cell r="CG321">
            <v>0</v>
          </cell>
          <cell r="CI321">
            <v>976.43089674352314</v>
          </cell>
          <cell r="CJ321">
            <v>697.48091089433296</v>
          </cell>
          <cell r="CL321">
            <v>0</v>
          </cell>
          <cell r="CM321">
            <v>0</v>
          </cell>
          <cell r="CX321">
            <v>634.41619869652459</v>
          </cell>
          <cell r="CY321">
            <v>11872.751551339778</v>
          </cell>
        </row>
        <row r="322">
          <cell r="I322">
            <v>0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X322">
            <v>0</v>
          </cell>
          <cell r="Y322">
            <v>0</v>
          </cell>
          <cell r="AA322">
            <v>0</v>
          </cell>
          <cell r="AB322">
            <v>0</v>
          </cell>
          <cell r="AD322">
            <v>0</v>
          </cell>
          <cell r="AE322">
            <v>101.64981160185485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P322">
            <v>47.350882144682487</v>
          </cell>
          <cell r="AQ322">
            <v>0</v>
          </cell>
          <cell r="AS322">
            <v>371.67113217406614</v>
          </cell>
          <cell r="AT322">
            <v>0</v>
          </cell>
          <cell r="AV322">
            <v>0</v>
          </cell>
          <cell r="AW322">
            <v>0</v>
          </cell>
          <cell r="AY322">
            <v>0</v>
          </cell>
          <cell r="AZ322">
            <v>0</v>
          </cell>
          <cell r="BB322">
            <v>0</v>
          </cell>
          <cell r="BC322">
            <v>0</v>
          </cell>
          <cell r="BE322">
            <v>0</v>
          </cell>
          <cell r="BF322">
            <v>0</v>
          </cell>
          <cell r="BH322">
            <v>0</v>
          </cell>
          <cell r="BI322">
            <v>0</v>
          </cell>
          <cell r="BK322">
            <v>0</v>
          </cell>
          <cell r="BL322">
            <v>0</v>
          </cell>
          <cell r="BN322">
            <v>0</v>
          </cell>
          <cell r="BO322">
            <v>0</v>
          </cell>
          <cell r="BT322">
            <v>0</v>
          </cell>
          <cell r="BU322">
            <v>0</v>
          </cell>
          <cell r="BW322">
            <v>0</v>
          </cell>
          <cell r="BX322">
            <v>0.61159948354617644</v>
          </cell>
          <cell r="BZ322">
            <v>0</v>
          </cell>
          <cell r="CA322">
            <v>0</v>
          </cell>
          <cell r="CC322">
            <v>0</v>
          </cell>
          <cell r="CD322">
            <v>0</v>
          </cell>
          <cell r="CF322">
            <v>0</v>
          </cell>
          <cell r="CG322">
            <v>0</v>
          </cell>
          <cell r="CI322">
            <v>0</v>
          </cell>
          <cell r="CJ322">
            <v>0</v>
          </cell>
          <cell r="CL322">
            <v>0</v>
          </cell>
          <cell r="CM322">
            <v>0</v>
          </cell>
          <cell r="CX322">
            <v>12.553582817501649</v>
          </cell>
          <cell r="CY322">
            <v>392.66630669751873</v>
          </cell>
        </row>
        <row r="323">
          <cell r="I323">
            <v>1141.4247850654117</v>
          </cell>
          <cell r="J323">
            <v>1412.1759912624095</v>
          </cell>
          <cell r="L323">
            <v>165.85042108884559</v>
          </cell>
          <cell r="M323">
            <v>203.02902217876365</v>
          </cell>
          <cell r="O323">
            <v>481.08</v>
          </cell>
          <cell r="P323">
            <v>481.08</v>
          </cell>
          <cell r="R323">
            <v>121.76</v>
          </cell>
          <cell r="S323">
            <v>121.76</v>
          </cell>
          <cell r="U323">
            <v>65.029090713311319</v>
          </cell>
          <cell r="V323">
            <v>211.36909524950104</v>
          </cell>
          <cell r="X323">
            <v>671.15385085154321</v>
          </cell>
          <cell r="Y323">
            <v>522.0209192183504</v>
          </cell>
          <cell r="AA323">
            <v>0</v>
          </cell>
          <cell r="AB323">
            <v>0</v>
          </cell>
          <cell r="AD323">
            <v>1520.2505224730248</v>
          </cell>
          <cell r="AE323">
            <v>1421.5249131689734</v>
          </cell>
          <cell r="AJ323">
            <v>4800.7555319648973</v>
          </cell>
          <cell r="AK323">
            <v>4781.0498033125677</v>
          </cell>
          <cell r="AM323">
            <v>0</v>
          </cell>
          <cell r="AN323">
            <v>0</v>
          </cell>
          <cell r="AP323">
            <v>378.80705715745989</v>
          </cell>
          <cell r="AQ323">
            <v>2169.9230147771873</v>
          </cell>
          <cell r="AS323">
            <v>5252.7729232824277</v>
          </cell>
          <cell r="AT323">
            <v>5090.3648328291938</v>
          </cell>
          <cell r="AV323">
            <v>72.145296138836983</v>
          </cell>
          <cell r="AW323">
            <v>0</v>
          </cell>
          <cell r="AY323">
            <v>84.872810033977956</v>
          </cell>
          <cell r="AZ323">
            <v>0</v>
          </cell>
          <cell r="BB323">
            <v>109.49441663650556</v>
          </cell>
          <cell r="BC323">
            <v>4391</v>
          </cell>
          <cell r="BE323">
            <v>57.686128782423815</v>
          </cell>
          <cell r="BF323">
            <v>0</v>
          </cell>
          <cell r="BH323">
            <v>26.384494126153122</v>
          </cell>
          <cell r="BI323">
            <v>0</v>
          </cell>
          <cell r="BK323">
            <v>53.107231388226225</v>
          </cell>
          <cell r="BL323">
            <v>0</v>
          </cell>
          <cell r="BN323">
            <v>0</v>
          </cell>
          <cell r="BO323">
            <v>0</v>
          </cell>
          <cell r="BT323">
            <v>7045.0923007383235</v>
          </cell>
          <cell r="BU323">
            <v>4819.1999529892819</v>
          </cell>
          <cell r="BW323">
            <v>3217.8033091012931</v>
          </cell>
          <cell r="BX323">
            <v>3675.567423690627</v>
          </cell>
          <cell r="BZ323">
            <v>887.23347568032386</v>
          </cell>
          <cell r="CA323">
            <v>5085.0285803743573</v>
          </cell>
          <cell r="CC323">
            <v>24.511044874894466</v>
          </cell>
          <cell r="CD323">
            <v>24.410451034330869</v>
          </cell>
          <cell r="CF323">
            <v>3.0174581758866292</v>
          </cell>
          <cell r="CG323">
            <v>0</v>
          </cell>
          <cell r="CI323">
            <v>1587.8700525317995</v>
          </cell>
          <cell r="CJ323">
            <v>709.88324676709203</v>
          </cell>
          <cell r="CL323">
            <v>330.67627813039439</v>
          </cell>
          <cell r="CM323">
            <v>559.22227532888257</v>
          </cell>
          <cell r="CX323">
            <v>529.9858252768463</v>
          </cell>
          <cell r="CY323">
            <v>-8565.8114266178272</v>
          </cell>
        </row>
        <row r="324">
          <cell r="I324">
            <v>3891.675913268823</v>
          </cell>
          <cell r="J324">
            <v>4797.8086046872786</v>
          </cell>
          <cell r="L324">
            <v>600.17717966089572</v>
          </cell>
          <cell r="M324">
            <v>734.71995239832108</v>
          </cell>
          <cell r="O324">
            <v>1592.02</v>
          </cell>
          <cell r="P324">
            <v>1592.02</v>
          </cell>
          <cell r="R324">
            <v>337.78</v>
          </cell>
          <cell r="S324">
            <v>337.78</v>
          </cell>
          <cell r="U324">
            <v>195.03873136964788</v>
          </cell>
          <cell r="V324">
            <v>633.94703624490239</v>
          </cell>
          <cell r="X324">
            <v>1725.4278623829603</v>
          </cell>
          <cell r="Y324">
            <v>1462.6417762705107</v>
          </cell>
          <cell r="AA324">
            <v>0</v>
          </cell>
          <cell r="AB324">
            <v>0</v>
          </cell>
          <cell r="AD324">
            <v>4575.5887028392926</v>
          </cell>
          <cell r="AE324">
            <v>4276.6324957399256</v>
          </cell>
          <cell r="AJ324">
            <v>14402.266595894693</v>
          </cell>
          <cell r="AK324">
            <v>14343.137201390375</v>
          </cell>
          <cell r="AM324">
            <v>0</v>
          </cell>
          <cell r="AN324">
            <v>0</v>
          </cell>
          <cell r="AP324">
            <v>852.31587860428476</v>
          </cell>
          <cell r="AQ324">
            <v>0</v>
          </cell>
          <cell r="AS324">
            <v>15847.528667418721</v>
          </cell>
          <cell r="AT324">
            <v>9436.9802710257245</v>
          </cell>
          <cell r="AV324">
            <v>121.58007400255997</v>
          </cell>
          <cell r="AW324">
            <v>0</v>
          </cell>
          <cell r="AY324">
            <v>159.30104863470086</v>
          </cell>
          <cell r="AZ324">
            <v>0</v>
          </cell>
          <cell r="BB324">
            <v>155.80471250959988</v>
          </cell>
          <cell r="BC324">
            <v>0</v>
          </cell>
          <cell r="BE324">
            <v>65.835441136694755</v>
          </cell>
          <cell r="BF324">
            <v>0</v>
          </cell>
          <cell r="BH324">
            <v>39.576724851099698</v>
          </cell>
          <cell r="BI324">
            <v>0</v>
          </cell>
          <cell r="BK324">
            <v>92.643523219730568</v>
          </cell>
          <cell r="BL324">
            <v>2154</v>
          </cell>
          <cell r="BN324">
            <v>0</v>
          </cell>
          <cell r="BO324">
            <v>0</v>
          </cell>
          <cell r="BT324">
            <v>11136.08742225672</v>
          </cell>
          <cell r="BU324">
            <v>8575.450509022905</v>
          </cell>
          <cell r="BW324">
            <v>8699.8429876710579</v>
          </cell>
          <cell r="BX324">
            <v>9964.2423214948685</v>
          </cell>
          <cell r="BZ324">
            <v>2657.3724588669211</v>
          </cell>
          <cell r="CA324">
            <v>7861.1027789314412</v>
          </cell>
          <cell r="CC324">
            <v>172.06753502175914</v>
          </cell>
          <cell r="CD324">
            <v>171.36136626100273</v>
          </cell>
          <cell r="CF324">
            <v>21.182556394724138</v>
          </cell>
          <cell r="CG324">
            <v>0</v>
          </cell>
          <cell r="CI324">
            <v>1762.5669541855927</v>
          </cell>
          <cell r="CJ324">
            <v>877.65995384515622</v>
          </cell>
          <cell r="CL324">
            <v>2470.7133233893614</v>
          </cell>
          <cell r="CM324">
            <v>1803.5189918734011</v>
          </cell>
          <cell r="CX324">
            <v>2003.0668477041909</v>
          </cell>
          <cell r="CY324">
            <v>5064.7360889770207</v>
          </cell>
        </row>
        <row r="325">
          <cell r="I325">
            <v>1855.709449170587</v>
          </cell>
          <cell r="J325">
            <v>2289.6303470239632</v>
          </cell>
          <cell r="L325">
            <v>380.52254474762248</v>
          </cell>
          <cell r="M325">
            <v>465.82573152879581</v>
          </cell>
          <cell r="O325">
            <v>765.12</v>
          </cell>
          <cell r="P325">
            <v>765.12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X325">
            <v>1264.5935845780994</v>
          </cell>
          <cell r="Y325">
            <v>1070.4411053773945</v>
          </cell>
          <cell r="AA325">
            <v>0</v>
          </cell>
          <cell r="AB325">
            <v>0</v>
          </cell>
          <cell r="AD325">
            <v>2404.8416764481622</v>
          </cell>
          <cell r="AE325">
            <v>2247.8596870193669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P325">
            <v>1515.2282286298396</v>
          </cell>
          <cell r="AQ325">
            <v>4528.1585157488826</v>
          </cell>
          <cell r="AS325">
            <v>5412.1138316388606</v>
          </cell>
          <cell r="AT325">
            <v>0</v>
          </cell>
          <cell r="AV325">
            <v>308.63227648939352</v>
          </cell>
          <cell r="AW325">
            <v>0</v>
          </cell>
          <cell r="AY325">
            <v>490.42556714245251</v>
          </cell>
          <cell r="AZ325">
            <v>0</v>
          </cell>
          <cell r="BB325">
            <v>392.24599536342089</v>
          </cell>
          <cell r="BC325">
            <v>1263</v>
          </cell>
          <cell r="BE325">
            <v>0</v>
          </cell>
          <cell r="BF325">
            <v>0</v>
          </cell>
          <cell r="BH325">
            <v>0</v>
          </cell>
          <cell r="BI325">
            <v>493</v>
          </cell>
          <cell r="BK325">
            <v>174.41860683958959</v>
          </cell>
          <cell r="BL325">
            <v>0</v>
          </cell>
          <cell r="BN325">
            <v>0</v>
          </cell>
          <cell r="BO325">
            <v>0</v>
          </cell>
          <cell r="BT325">
            <v>5729.9409402849542</v>
          </cell>
          <cell r="BU325">
            <v>4983.198169754728</v>
          </cell>
          <cell r="BW325">
            <v>3952.4787555964867</v>
          </cell>
          <cell r="BX325">
            <v>4083.9685486143876</v>
          </cell>
          <cell r="BZ325">
            <v>2369.6142110026649</v>
          </cell>
          <cell r="CA325">
            <v>4670.3879458110177</v>
          </cell>
          <cell r="CC325">
            <v>130.39875873443856</v>
          </cell>
          <cell r="CD325">
            <v>129.86359950264023</v>
          </cell>
          <cell r="CF325">
            <v>16.052877495716867</v>
          </cell>
          <cell r="CG325">
            <v>0</v>
          </cell>
          <cell r="CI325">
            <v>1101.214397924804</v>
          </cell>
          <cell r="CJ325">
            <v>400.77418989398416</v>
          </cell>
          <cell r="CL325">
            <v>0</v>
          </cell>
          <cell r="CM325">
            <v>0</v>
          </cell>
          <cell r="CX325">
            <v>678.33795749548881</v>
          </cell>
          <cell r="CY325">
            <v>1725.1265916698048</v>
          </cell>
        </row>
        <row r="326">
          <cell r="I326">
            <v>3689.4693573970144</v>
          </cell>
          <cell r="J326">
            <v>4535.046907655802</v>
          </cell>
          <cell r="L326">
            <v>587.5027948209671</v>
          </cell>
          <cell r="M326">
            <v>719.20450229426444</v>
          </cell>
          <cell r="O326">
            <v>1137.76</v>
          </cell>
          <cell r="P326">
            <v>1137.76</v>
          </cell>
          <cell r="R326">
            <v>263.98</v>
          </cell>
          <cell r="S326">
            <v>263.98</v>
          </cell>
          <cell r="U326">
            <v>147.75798163649051</v>
          </cell>
          <cell r="V326">
            <v>480.26776229170184</v>
          </cell>
          <cell r="X326">
            <v>1114.7100315474197</v>
          </cell>
          <cell r="Y326">
            <v>877.41304793178631</v>
          </cell>
          <cell r="AA326">
            <v>0</v>
          </cell>
          <cell r="AB326">
            <v>0</v>
          </cell>
          <cell r="AD326">
            <v>3745.7566980327219</v>
          </cell>
          <cell r="AE326">
            <v>3502.2989222939195</v>
          </cell>
          <cell r="AJ326">
            <v>7818.3771148173601</v>
          </cell>
          <cell r="AK326">
            <v>7786.2881133032733</v>
          </cell>
          <cell r="AM326">
            <v>0</v>
          </cell>
          <cell r="AN326">
            <v>0</v>
          </cell>
          <cell r="AP326">
            <v>710.2632321702373</v>
          </cell>
          <cell r="AQ326">
            <v>0</v>
          </cell>
          <cell r="AS326">
            <v>12773.36424678388</v>
          </cell>
          <cell r="AT326">
            <v>2234</v>
          </cell>
          <cell r="AV326">
            <v>299.40314063924632</v>
          </cell>
          <cell r="AW326">
            <v>377</v>
          </cell>
          <cell r="AY326">
            <v>382.22287577264916</v>
          </cell>
          <cell r="AZ326">
            <v>0</v>
          </cell>
          <cell r="BB326">
            <v>393.17290868409344</v>
          </cell>
          <cell r="BC326">
            <v>0</v>
          </cell>
          <cell r="BE326">
            <v>151.25715432493635</v>
          </cell>
          <cell r="BF326">
            <v>0</v>
          </cell>
          <cell r="BH326">
            <v>74.942692264072917</v>
          </cell>
          <cell r="BI326">
            <v>0</v>
          </cell>
          <cell r="BK326">
            <v>322.07430498385054</v>
          </cell>
          <cell r="BL326">
            <v>0</v>
          </cell>
          <cell r="BN326">
            <v>0</v>
          </cell>
          <cell r="BO326">
            <v>0</v>
          </cell>
          <cell r="BT326">
            <v>8675.0093822070376</v>
          </cell>
          <cell r="BU326">
            <v>5757.2145620387928</v>
          </cell>
          <cell r="BW326">
            <v>10475.761450403141</v>
          </cell>
          <cell r="BX326">
            <v>12073.372766517983</v>
          </cell>
          <cell r="BZ326">
            <v>878.5775393322233</v>
          </cell>
          <cell r="CA326">
            <v>6150.2762346045783</v>
          </cell>
          <cell r="CC326">
            <v>135.30096770941745</v>
          </cell>
          <cell r="CD326">
            <v>134.74568970950639</v>
          </cell>
          <cell r="CF326">
            <v>16.656369130894195</v>
          </cell>
          <cell r="CG326">
            <v>0</v>
          </cell>
          <cell r="CI326">
            <v>2517.5071363323418</v>
          </cell>
          <cell r="CJ326">
            <v>2143.6855610026305</v>
          </cell>
          <cell r="CL326">
            <v>5920.977131051779</v>
          </cell>
          <cell r="CM326">
            <v>4417.8860485363712</v>
          </cell>
          <cell r="CX326">
            <v>1915.0145879498887</v>
          </cell>
          <cell r="CY326">
            <v>13484.651858183275</v>
          </cell>
        </row>
        <row r="327">
          <cell r="I327">
            <v>3449.7755903847119</v>
          </cell>
          <cell r="J327">
            <v>4314.5267633785152</v>
          </cell>
          <cell r="L327">
            <v>680.02010866172282</v>
          </cell>
          <cell r="M327">
            <v>832.46125091375916</v>
          </cell>
          <cell r="O327">
            <v>2089.56</v>
          </cell>
          <cell r="P327">
            <v>2089.56</v>
          </cell>
          <cell r="R327">
            <v>492.3</v>
          </cell>
          <cell r="S327">
            <v>492.3</v>
          </cell>
          <cell r="U327">
            <v>260.0677403923093</v>
          </cell>
          <cell r="V327">
            <v>845.31613149440341</v>
          </cell>
          <cell r="X327">
            <v>2453.1927875344977</v>
          </cell>
          <cell r="Y327">
            <v>2086.962789637731</v>
          </cell>
          <cell r="AA327">
            <v>0</v>
          </cell>
          <cell r="AB327">
            <v>0</v>
          </cell>
          <cell r="AD327">
            <v>6021.5822843523401</v>
          </cell>
          <cell r="AE327">
            <v>5657.0927973769612</v>
          </cell>
          <cell r="AJ327">
            <v>11887.589371106998</v>
          </cell>
          <cell r="AK327">
            <v>11838.796909836676</v>
          </cell>
          <cell r="AM327">
            <v>0</v>
          </cell>
          <cell r="AN327">
            <v>1048.0904524624495</v>
          </cell>
          <cell r="AP327">
            <v>1120.6375440908189</v>
          </cell>
          <cell r="AQ327">
            <v>6509.2043369132552</v>
          </cell>
          <cell r="AS327">
            <v>19256.164844230105</v>
          </cell>
          <cell r="AT327">
            <v>2560</v>
          </cell>
          <cell r="AV327">
            <v>285.95847221364954</v>
          </cell>
          <cell r="AW327">
            <v>509</v>
          </cell>
          <cell r="AY327">
            <v>453.52599414512929</v>
          </cell>
          <cell r="AZ327">
            <v>2526</v>
          </cell>
          <cell r="BB327">
            <v>508.91541862213694</v>
          </cell>
          <cell r="BC327">
            <v>1177</v>
          </cell>
          <cell r="BE327">
            <v>269.21077308432922</v>
          </cell>
          <cell r="BF327">
            <v>0</v>
          </cell>
          <cell r="BH327">
            <v>131.92242978544064</v>
          </cell>
          <cell r="BI327">
            <v>0</v>
          </cell>
          <cell r="BK327">
            <v>367.24734680686328</v>
          </cell>
          <cell r="BL327">
            <v>0</v>
          </cell>
          <cell r="BN327">
            <v>0</v>
          </cell>
          <cell r="BO327">
            <v>0</v>
          </cell>
          <cell r="BT327">
            <v>23536.621741483654</v>
          </cell>
          <cell r="BU327">
            <v>15925.622463079955</v>
          </cell>
          <cell r="BW327">
            <v>13255.337426447353</v>
          </cell>
          <cell r="BX327">
            <v>15129.224157931407</v>
          </cell>
          <cell r="BZ327">
            <v>2059.2472572131619</v>
          </cell>
          <cell r="CA327">
            <v>15415.56017160585</v>
          </cell>
          <cell r="CC327">
            <v>300.0151892687083</v>
          </cell>
          <cell r="CD327">
            <v>298.7839206602099</v>
          </cell>
          <cell r="CF327">
            <v>36.933688072852341</v>
          </cell>
          <cell r="CG327">
            <v>0</v>
          </cell>
          <cell r="CI327">
            <v>2115.0803450227108</v>
          </cell>
          <cell r="CJ327">
            <v>765.79710334295601</v>
          </cell>
          <cell r="CL327">
            <v>2707.8019756337953</v>
          </cell>
          <cell r="CM327">
            <v>2267.9631487954039</v>
          </cell>
          <cell r="CX327">
            <v>2692.2700057360489</v>
          </cell>
          <cell r="CY327">
            <v>4431.6051230845696</v>
          </cell>
        </row>
        <row r="328">
          <cell r="I328">
            <v>158.31082679912393</v>
          </cell>
          <cell r="J328">
            <v>207.52524033132966</v>
          </cell>
          <cell r="L328">
            <v>51.041817737461159</v>
          </cell>
          <cell r="M328">
            <v>62.484400224507993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X328">
            <v>4.8420164802125161</v>
          </cell>
          <cell r="Y328">
            <v>5.068742177647831</v>
          </cell>
          <cell r="AA328">
            <v>0</v>
          </cell>
          <cell r="AB328">
            <v>0</v>
          </cell>
          <cell r="AD328">
            <v>209.7010311601027</v>
          </cell>
          <cell r="AE328">
            <v>196.0122776013225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P328">
            <v>94.701764289364974</v>
          </cell>
          <cell r="AQ328">
            <v>0</v>
          </cell>
          <cell r="AS328">
            <v>346.72450712606081</v>
          </cell>
          <cell r="AT328">
            <v>0</v>
          </cell>
          <cell r="AV328">
            <v>35.585389395679698</v>
          </cell>
          <cell r="AW328">
            <v>0</v>
          </cell>
          <cell r="AY328">
            <v>65.775273182043605</v>
          </cell>
          <cell r="AZ328">
            <v>0</v>
          </cell>
          <cell r="BB328">
            <v>0</v>
          </cell>
          <cell r="BC328">
            <v>0</v>
          </cell>
          <cell r="BE328">
            <v>0</v>
          </cell>
          <cell r="BF328">
            <v>0</v>
          </cell>
          <cell r="BH328">
            <v>0</v>
          </cell>
          <cell r="BI328">
            <v>0</v>
          </cell>
          <cell r="BK328">
            <v>0</v>
          </cell>
          <cell r="BL328">
            <v>0</v>
          </cell>
          <cell r="BN328">
            <v>0</v>
          </cell>
          <cell r="BO328">
            <v>0</v>
          </cell>
          <cell r="BT328">
            <v>338.12253493875841</v>
          </cell>
          <cell r="BU328">
            <v>417.29156026555194</v>
          </cell>
          <cell r="BW328">
            <v>14.43073453399175</v>
          </cell>
          <cell r="BX328">
            <v>19.858489114160182</v>
          </cell>
          <cell r="BZ328">
            <v>270.83490348462016</v>
          </cell>
          <cell r="CA328">
            <v>369.2530911145567</v>
          </cell>
          <cell r="CC328">
            <v>0</v>
          </cell>
          <cell r="CD328">
            <v>0</v>
          </cell>
          <cell r="CF328">
            <v>0</v>
          </cell>
          <cell r="CG328">
            <v>0</v>
          </cell>
          <cell r="CI328">
            <v>0</v>
          </cell>
          <cell r="CJ328">
            <v>0</v>
          </cell>
          <cell r="CL328">
            <v>0</v>
          </cell>
          <cell r="CM328">
            <v>0</v>
          </cell>
          <cell r="CX328">
            <v>28.615041047096611</v>
          </cell>
          <cell r="CY328">
            <v>403.70743900510797</v>
          </cell>
        </row>
        <row r="329">
          <cell r="I329">
            <v>3261.6525169802894</v>
          </cell>
          <cell r="J329">
            <v>3984.8111551389479</v>
          </cell>
          <cell r="L329">
            <v>516.78319372298949</v>
          </cell>
          <cell r="M329">
            <v>632.63191299769983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U329">
            <v>44.32263844269842</v>
          </cell>
          <cell r="V329">
            <v>144.06430373715045</v>
          </cell>
          <cell r="X329">
            <v>1203.0025609383945</v>
          </cell>
          <cell r="Y329">
            <v>974.9212658971735</v>
          </cell>
          <cell r="AA329">
            <v>0</v>
          </cell>
          <cell r="AB329">
            <v>0</v>
          </cell>
          <cell r="AD329">
            <v>2506.0648616108788</v>
          </cell>
          <cell r="AE329">
            <v>2342.4752783688259</v>
          </cell>
          <cell r="AJ329">
            <v>1877.1003820555543</v>
          </cell>
          <cell r="AK329">
            <v>1869.3967228473023</v>
          </cell>
          <cell r="AM329">
            <v>278.53460085107349</v>
          </cell>
          <cell r="AN329">
            <v>277.39148902648719</v>
          </cell>
          <cell r="AP329">
            <v>781.28955538726109</v>
          </cell>
          <cell r="AQ329">
            <v>4033.2264731184673</v>
          </cell>
          <cell r="AS329">
            <v>6653.4224571358491</v>
          </cell>
          <cell r="AT329">
            <v>538</v>
          </cell>
          <cell r="AV329">
            <v>256.75397524749241</v>
          </cell>
          <cell r="AW329">
            <v>0</v>
          </cell>
          <cell r="AY329">
            <v>333.0523260630502</v>
          </cell>
          <cell r="AZ329">
            <v>0</v>
          </cell>
          <cell r="BB329">
            <v>0</v>
          </cell>
          <cell r="BC329">
            <v>0</v>
          </cell>
          <cell r="BE329">
            <v>0</v>
          </cell>
          <cell r="BF329">
            <v>0</v>
          </cell>
          <cell r="BH329">
            <v>22.490068372102311</v>
          </cell>
          <cell r="BI329">
            <v>0</v>
          </cell>
          <cell r="BK329">
            <v>77.368966108617101</v>
          </cell>
          <cell r="BL329">
            <v>4384</v>
          </cell>
          <cell r="BN329">
            <v>0</v>
          </cell>
          <cell r="BO329">
            <v>0</v>
          </cell>
          <cell r="BT329">
            <v>3164.9645781884769</v>
          </cell>
          <cell r="BU329">
            <v>3410.89314342537</v>
          </cell>
          <cell r="BW329">
            <v>5161.7650497204995</v>
          </cell>
          <cell r="BX329">
            <v>5902.5394302456061</v>
          </cell>
          <cell r="BZ329">
            <v>2282.3810623087134</v>
          </cell>
          <cell r="CA329">
            <v>3324.1338138982642</v>
          </cell>
          <cell r="CC329">
            <v>16.716532604678026</v>
          </cell>
          <cell r="CD329">
            <v>16.647927605413653</v>
          </cell>
          <cell r="CF329">
            <v>2.057906475954681</v>
          </cell>
          <cell r="CG329">
            <v>0</v>
          </cell>
          <cell r="CI329">
            <v>442.98142919354717</v>
          </cell>
          <cell r="CJ329">
            <v>295.11870803707029</v>
          </cell>
          <cell r="CL329">
            <v>1279.0308871081293</v>
          </cell>
          <cell r="CM329">
            <v>714.560475732231</v>
          </cell>
          <cell r="CX329">
            <v>542.73734178050654</v>
          </cell>
          <cell r="CY329">
            <v>-2676.954520091218</v>
          </cell>
        </row>
        <row r="330">
          <cell r="I330">
            <v>2781.4765038740534</v>
          </cell>
          <cell r="J330">
            <v>2796.4394988312224</v>
          </cell>
          <cell r="L330">
            <v>453.85581537701228</v>
          </cell>
          <cell r="M330">
            <v>481.42874123011131</v>
          </cell>
          <cell r="O330">
            <v>899.12</v>
          </cell>
          <cell r="P330">
            <v>899.32</v>
          </cell>
          <cell r="R330">
            <v>222.48</v>
          </cell>
          <cell r="S330">
            <v>222.24</v>
          </cell>
          <cell r="U330">
            <v>130.00964065633656</v>
          </cell>
          <cell r="V330">
            <v>89.569932287279713</v>
          </cell>
          <cell r="X330">
            <v>974.77311418430293</v>
          </cell>
          <cell r="Y330">
            <v>962.31016579576112</v>
          </cell>
          <cell r="AA330">
            <v>0</v>
          </cell>
          <cell r="AB330">
            <v>0</v>
          </cell>
          <cell r="AD330">
            <v>2960.2294342960327</v>
          </cell>
          <cell r="AE330">
            <v>2766.9931350782758</v>
          </cell>
          <cell r="AJ330">
            <v>9601.5110639297945</v>
          </cell>
          <cell r="AK330">
            <v>9562.0873980778088</v>
          </cell>
          <cell r="AM330">
            <v>0</v>
          </cell>
          <cell r="AN330">
            <v>0</v>
          </cell>
          <cell r="AP330">
            <v>560.31877204540945</v>
          </cell>
          <cell r="AQ330">
            <v>0</v>
          </cell>
          <cell r="AS330">
            <v>10714.352313839907</v>
          </cell>
          <cell r="AT330">
            <v>46.660520825346893</v>
          </cell>
          <cell r="AV330">
            <v>224.51577674707013</v>
          </cell>
          <cell r="AW330">
            <v>0</v>
          </cell>
          <cell r="AY330">
            <v>300.12770757182062</v>
          </cell>
          <cell r="AZ330">
            <v>0</v>
          </cell>
          <cell r="BB330">
            <v>376.27692534240782</v>
          </cell>
          <cell r="BC330">
            <v>0</v>
          </cell>
          <cell r="BE330">
            <v>125.13234211792332</v>
          </cell>
          <cell r="BF330">
            <v>0</v>
          </cell>
          <cell r="BH330">
            <v>65.961235315382794</v>
          </cell>
          <cell r="BI330">
            <v>0</v>
          </cell>
          <cell r="BK330">
            <v>125.82945550466667</v>
          </cell>
          <cell r="BL330">
            <v>0</v>
          </cell>
          <cell r="BN330">
            <v>0</v>
          </cell>
          <cell r="BO330">
            <v>0</v>
          </cell>
          <cell r="BT330">
            <v>9839.560606017385</v>
          </cell>
          <cell r="BU330">
            <v>7281.6613963770988</v>
          </cell>
          <cell r="BW330">
            <v>6619.2653265028293</v>
          </cell>
          <cell r="BX330">
            <v>7403.7908843760997</v>
          </cell>
          <cell r="BZ330">
            <v>863.69129340262396</v>
          </cell>
          <cell r="CA330">
            <v>6942.7649524517783</v>
          </cell>
          <cell r="CC330">
            <v>238.11499654164979</v>
          </cell>
          <cell r="CD330">
            <v>237.13776761811073</v>
          </cell>
          <cell r="CF330">
            <v>29.313399195468254</v>
          </cell>
          <cell r="CG330">
            <v>0</v>
          </cell>
          <cell r="CI330">
            <v>1815.5999421876372</v>
          </cell>
          <cell r="CJ330">
            <v>907.17079119737878</v>
          </cell>
          <cell r="CL330">
            <v>1179.2040861631044</v>
          </cell>
          <cell r="CM330">
            <v>1614.0723009169965</v>
          </cell>
          <cell r="CX330">
            <v>613.09629902462621</v>
          </cell>
          <cell r="CY330">
            <v>11277.583017924077</v>
          </cell>
        </row>
        <row r="331">
          <cell r="I331">
            <v>1760.045544434277</v>
          </cell>
          <cell r="J331">
            <v>1765.5022342633388</v>
          </cell>
          <cell r="L331">
            <v>332.43932844451967</v>
          </cell>
          <cell r="M331">
            <v>352.63622130089971</v>
          </cell>
          <cell r="O331">
            <v>664.94</v>
          </cell>
          <cell r="P331">
            <v>664.96</v>
          </cell>
          <cell r="R331">
            <v>0</v>
          </cell>
          <cell r="S331">
            <v>0</v>
          </cell>
          <cell r="U331">
            <v>118.22581795543685</v>
          </cell>
          <cell r="V331">
            <v>81.451914154302898</v>
          </cell>
          <cell r="X331">
            <v>1186.201490290071</v>
          </cell>
          <cell r="Y331">
            <v>3489.1010616017625</v>
          </cell>
          <cell r="AA331">
            <v>0</v>
          </cell>
          <cell r="AB331">
            <v>0</v>
          </cell>
          <cell r="AD331">
            <v>1959.1147446551972</v>
          </cell>
          <cell r="AE331">
            <v>1831.2286833201783</v>
          </cell>
          <cell r="AJ331">
            <v>0</v>
          </cell>
          <cell r="AK331">
            <v>0</v>
          </cell>
          <cell r="AM331">
            <v>0</v>
          </cell>
          <cell r="AN331">
            <v>0</v>
          </cell>
          <cell r="AP331">
            <v>852.31587860428476</v>
          </cell>
          <cell r="AQ331">
            <v>3535.5650112995741</v>
          </cell>
          <cell r="AS331">
            <v>8888.2871910180547</v>
          </cell>
          <cell r="AT331">
            <v>2372.2782870681413</v>
          </cell>
          <cell r="AV331">
            <v>293.75320637338609</v>
          </cell>
          <cell r="AW331">
            <v>0</v>
          </cell>
          <cell r="AY331">
            <v>428.45713760025609</v>
          </cell>
          <cell r="AZ331">
            <v>0</v>
          </cell>
          <cell r="BB331">
            <v>270.44394550521525</v>
          </cell>
          <cell r="BC331">
            <v>0</v>
          </cell>
          <cell r="BE331">
            <v>0</v>
          </cell>
          <cell r="BF331">
            <v>0</v>
          </cell>
          <cell r="BH331">
            <v>119.94714023874553</v>
          </cell>
          <cell r="BI331">
            <v>0</v>
          </cell>
          <cell r="BK331">
            <v>182.75233818840255</v>
          </cell>
          <cell r="BL331">
            <v>0</v>
          </cell>
          <cell r="BN331">
            <v>0</v>
          </cell>
          <cell r="BO331">
            <v>0</v>
          </cell>
          <cell r="BT331">
            <v>5146.4343732686229</v>
          </cell>
          <cell r="BU331">
            <v>1275.5568524341736</v>
          </cell>
          <cell r="BW331">
            <v>2982.6517889647957</v>
          </cell>
          <cell r="BX331">
            <v>774.23997383391452</v>
          </cell>
          <cell r="BZ331">
            <v>741.69964227367973</v>
          </cell>
          <cell r="CA331">
            <v>1280.3008837688917</v>
          </cell>
          <cell r="CC331">
            <v>290.99512475474711</v>
          </cell>
          <cell r="CD331">
            <v>289.80087467957617</v>
          </cell>
          <cell r="CF331">
            <v>35.823263464126065</v>
          </cell>
          <cell r="CG331">
            <v>0</v>
          </cell>
          <cell r="CI331">
            <v>648.87420614266057</v>
          </cell>
          <cell r="CJ331">
            <v>546.81270529573226</v>
          </cell>
          <cell r="CL331">
            <v>0</v>
          </cell>
          <cell r="CM331">
            <v>0</v>
          </cell>
          <cell r="CX331">
            <v>1613.9974053882324</v>
          </cell>
          <cell r="CY331">
            <v>11986.758356375416</v>
          </cell>
        </row>
        <row r="332">
          <cell r="I332">
            <v>2453.4871831668916</v>
          </cell>
          <cell r="J332">
            <v>2459.9040419471194</v>
          </cell>
          <cell r="L332">
            <v>566.98617602705406</v>
          </cell>
          <cell r="M332">
            <v>601.43281950696405</v>
          </cell>
          <cell r="O332">
            <v>937.1</v>
          </cell>
          <cell r="P332">
            <v>937.42</v>
          </cell>
          <cell r="R332">
            <v>0</v>
          </cell>
          <cell r="S332">
            <v>0</v>
          </cell>
          <cell r="U332">
            <v>177.29022700819411</v>
          </cell>
          <cell r="V332">
            <v>122.14390462838747</v>
          </cell>
          <cell r="X332">
            <v>2176.6167458896812</v>
          </cell>
          <cell r="Y332">
            <v>4773.6310850328964</v>
          </cell>
          <cell r="AA332">
            <v>0</v>
          </cell>
          <cell r="AB332">
            <v>0</v>
          </cell>
          <cell r="AD332">
            <v>3013.1000912041009</v>
          </cell>
          <cell r="AE332">
            <v>2935.2548808884239</v>
          </cell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P332">
            <v>1420.5264643404746</v>
          </cell>
          <cell r="AQ332">
            <v>707.58359177516968</v>
          </cell>
          <cell r="AS332">
            <v>9463.6085460755166</v>
          </cell>
          <cell r="AT332">
            <v>0</v>
          </cell>
          <cell r="AV332">
            <v>434.16734811129322</v>
          </cell>
          <cell r="AW332">
            <v>0</v>
          </cell>
          <cell r="AY332">
            <v>730.73405711118153</v>
          </cell>
          <cell r="AZ332">
            <v>0</v>
          </cell>
          <cell r="BB332">
            <v>357.3446292239239</v>
          </cell>
          <cell r="BC332">
            <v>0</v>
          </cell>
          <cell r="BE332">
            <v>0</v>
          </cell>
          <cell r="BF332">
            <v>0</v>
          </cell>
          <cell r="BH332">
            <v>179.87216958783222</v>
          </cell>
          <cell r="BI332">
            <v>0</v>
          </cell>
          <cell r="BK332">
            <v>326.88088209596361</v>
          </cell>
          <cell r="BL332">
            <v>0</v>
          </cell>
          <cell r="BN332">
            <v>0</v>
          </cell>
          <cell r="BO332">
            <v>0</v>
          </cell>
          <cell r="BT332">
            <v>6335.3854175917204</v>
          </cell>
          <cell r="BU332">
            <v>4244.1105499620098</v>
          </cell>
          <cell r="BW332">
            <v>4552.6782089307026</v>
          </cell>
          <cell r="BX332">
            <v>4652.8538545850715</v>
          </cell>
          <cell r="BZ332">
            <v>839.41581879628552</v>
          </cell>
          <cell r="CA332">
            <v>4423.3442285107185</v>
          </cell>
          <cell r="CC332">
            <v>400.94676985454868</v>
          </cell>
          <cell r="CD332">
            <v>399.30127592937754</v>
          </cell>
          <cell r="CF332">
            <v>49.358977349518305</v>
          </cell>
          <cell r="CG332">
            <v>0</v>
          </cell>
          <cell r="CI332">
            <v>1734.4906664198047</v>
          </cell>
          <cell r="CJ332">
            <v>685.04240421961708</v>
          </cell>
          <cell r="CL332">
            <v>0</v>
          </cell>
          <cell r="CM332">
            <v>0</v>
          </cell>
          <cell r="CX332">
            <v>3848.7915454583781</v>
          </cell>
          <cell r="CY332">
            <v>14898.352835617094</v>
          </cell>
        </row>
        <row r="333">
          <cell r="I333">
            <v>1744.3939339937453</v>
          </cell>
          <cell r="J333">
            <v>1750.4543919365128</v>
          </cell>
          <cell r="L333">
            <v>328.83932228390506</v>
          </cell>
          <cell r="M333">
            <v>408.66831056326805</v>
          </cell>
          <cell r="O333">
            <v>660.84</v>
          </cell>
          <cell r="P333">
            <v>660.7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X333">
            <v>1146.1815444650981</v>
          </cell>
          <cell r="Y333">
            <v>1139.9798157194678</v>
          </cell>
          <cell r="AA333">
            <v>0</v>
          </cell>
          <cell r="AB333">
            <v>0</v>
          </cell>
          <cell r="AD333">
            <v>1953.6274275209189</v>
          </cell>
          <cell r="AE333">
            <v>1826.1678982906365</v>
          </cell>
          <cell r="AJ333">
            <v>0</v>
          </cell>
          <cell r="AK333">
            <v>0</v>
          </cell>
          <cell r="AM333">
            <v>0</v>
          </cell>
          <cell r="AN333">
            <v>0</v>
          </cell>
          <cell r="AP333">
            <v>710.2632321702373</v>
          </cell>
          <cell r="AQ333">
            <v>3676.9876117515569</v>
          </cell>
          <cell r="AS333">
            <v>7473.8007231799484</v>
          </cell>
          <cell r="AT333">
            <v>0</v>
          </cell>
          <cell r="AV333">
            <v>290.36266880217647</v>
          </cell>
          <cell r="AW333">
            <v>0</v>
          </cell>
          <cell r="AY333">
            <v>423.81506108451765</v>
          </cell>
          <cell r="AZ333">
            <v>1881</v>
          </cell>
          <cell r="BB333">
            <v>261.73110883754254</v>
          </cell>
          <cell r="BC333">
            <v>0</v>
          </cell>
          <cell r="BE333">
            <v>0</v>
          </cell>
          <cell r="BF333">
            <v>0</v>
          </cell>
          <cell r="BH333">
            <v>0</v>
          </cell>
          <cell r="BI333">
            <v>0</v>
          </cell>
          <cell r="BK333">
            <v>178.07764464286564</v>
          </cell>
          <cell r="BL333">
            <v>0</v>
          </cell>
          <cell r="BN333">
            <v>0</v>
          </cell>
          <cell r="BO333">
            <v>0</v>
          </cell>
          <cell r="BT333">
            <v>4605.4460976492683</v>
          </cell>
          <cell r="BU333">
            <v>2538.6575731791922</v>
          </cell>
          <cell r="BW333">
            <v>2988.9184716316986</v>
          </cell>
          <cell r="BX333">
            <v>2668.4145247566626</v>
          </cell>
          <cell r="BZ333">
            <v>722.02164992656981</v>
          </cell>
          <cell r="CA333">
            <v>3402.2472144692306</v>
          </cell>
          <cell r="CC333">
            <v>290.00487854180136</v>
          </cell>
          <cell r="CD333">
            <v>288.81469245778914</v>
          </cell>
          <cell r="CF333">
            <v>35.701358153820244</v>
          </cell>
          <cell r="CG333">
            <v>0</v>
          </cell>
          <cell r="CI333">
            <v>1506.7607767639668</v>
          </cell>
          <cell r="CJ333">
            <v>445.83135204950383</v>
          </cell>
          <cell r="CL333">
            <v>0</v>
          </cell>
          <cell r="CM333">
            <v>0</v>
          </cell>
          <cell r="CX333">
            <v>1521.8569204223058</v>
          </cell>
          <cell r="CY333">
            <v>7081.291937791415</v>
          </cell>
        </row>
        <row r="334">
          <cell r="I334">
            <v>2793.4108792934157</v>
          </cell>
          <cell r="J334">
            <v>2808.5929798200295</v>
          </cell>
          <cell r="L334">
            <v>457.2097683695506</v>
          </cell>
          <cell r="M334">
            <v>484.98596761320897</v>
          </cell>
          <cell r="O334">
            <v>918.12</v>
          </cell>
          <cell r="P334">
            <v>918.4</v>
          </cell>
          <cell r="R334">
            <v>228.82</v>
          </cell>
          <cell r="S334">
            <v>228.88</v>
          </cell>
          <cell r="U334">
            <v>130.00964065633656</v>
          </cell>
          <cell r="V334">
            <v>89.569932287279713</v>
          </cell>
          <cell r="X334">
            <v>988.95184304512236</v>
          </cell>
          <cell r="Y334">
            <v>977.17744657814319</v>
          </cell>
          <cell r="AA334">
            <v>0</v>
          </cell>
          <cell r="AB334">
            <v>0</v>
          </cell>
          <cell r="AD334">
            <v>3026.6117188490257</v>
          </cell>
          <cell r="AE334">
            <v>2828.5535643761496</v>
          </cell>
          <cell r="AJ334">
            <v>9601.5110639297945</v>
          </cell>
          <cell r="AK334">
            <v>9562.0873980778088</v>
          </cell>
          <cell r="AM334">
            <v>0</v>
          </cell>
          <cell r="AN334">
            <v>0</v>
          </cell>
          <cell r="AP334">
            <v>552.42695835462905</v>
          </cell>
          <cell r="AQ334">
            <v>0</v>
          </cell>
          <cell r="AS334">
            <v>11269.600750747102</v>
          </cell>
          <cell r="AT334">
            <v>309</v>
          </cell>
          <cell r="AV334">
            <v>226.61705446936185</v>
          </cell>
          <cell r="AW334">
            <v>0</v>
          </cell>
          <cell r="AY334">
            <v>302.29338732382973</v>
          </cell>
          <cell r="AZ334">
            <v>0</v>
          </cell>
          <cell r="BB334">
            <v>385.51225731494043</v>
          </cell>
          <cell r="BC334">
            <v>0</v>
          </cell>
          <cell r="BE334">
            <v>128.20842570396613</v>
          </cell>
          <cell r="BF334">
            <v>0</v>
          </cell>
          <cell r="BH334">
            <v>65.961235315382794</v>
          </cell>
          <cell r="BI334">
            <v>0</v>
          </cell>
          <cell r="BK334">
            <v>110.66378371817535</v>
          </cell>
          <cell r="BL334">
            <v>0</v>
          </cell>
          <cell r="BN334">
            <v>0</v>
          </cell>
          <cell r="BO334">
            <v>0</v>
          </cell>
          <cell r="BT334">
            <v>8935.2972637107687</v>
          </cell>
          <cell r="BU334">
            <v>6010.0685444751489</v>
          </cell>
          <cell r="BW334">
            <v>6477.1436647426272</v>
          </cell>
          <cell r="BX334">
            <v>7254.9810399008456</v>
          </cell>
          <cell r="BZ334">
            <v>863.69129340262396</v>
          </cell>
          <cell r="CA334">
            <v>6187.2175929246132</v>
          </cell>
          <cell r="CC334">
            <v>306.38806093618081</v>
          </cell>
          <cell r="CD334">
            <v>305.1306379291359</v>
          </cell>
          <cell r="CF334">
            <v>37.718227198582859</v>
          </cell>
          <cell r="CG334">
            <v>0</v>
          </cell>
          <cell r="CI334">
            <v>2545.5834240981303</v>
          </cell>
          <cell r="CJ334">
            <v>1559.6100417084594</v>
          </cell>
          <cell r="CL334">
            <v>1422.531913466602</v>
          </cell>
          <cell r="CM334">
            <v>813.86803954196898</v>
          </cell>
          <cell r="CX334">
            <v>910.90086242461257</v>
          </cell>
          <cell r="CY334">
            <v>14634.29217772065</v>
          </cell>
        </row>
        <row r="335">
          <cell r="I335">
            <v>1767.0056145677497</v>
          </cell>
          <cell r="J335">
            <v>1772.2580479339922</v>
          </cell>
          <cell r="L335">
            <v>332.43932844451967</v>
          </cell>
          <cell r="M335">
            <v>352.63622130089971</v>
          </cell>
          <cell r="O335">
            <v>678.94</v>
          </cell>
          <cell r="P335">
            <v>678.94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X335">
            <v>1179.7864252704626</v>
          </cell>
          <cell r="Y335">
            <v>1173.0732528422234</v>
          </cell>
          <cell r="AA335">
            <v>0</v>
          </cell>
          <cell r="AB335">
            <v>0</v>
          </cell>
          <cell r="AD335">
            <v>1932.7114849376626</v>
          </cell>
          <cell r="AE335">
            <v>1806.4806277915091</v>
          </cell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P335">
            <v>710.2632321702373</v>
          </cell>
          <cell r="AQ335">
            <v>3820.9513955859165</v>
          </cell>
          <cell r="AS335">
            <v>7432.7519527779668</v>
          </cell>
          <cell r="AT335">
            <v>28.063936438433274</v>
          </cell>
          <cell r="AV335">
            <v>295.42726748454351</v>
          </cell>
          <cell r="AW335">
            <v>0</v>
          </cell>
          <cell r="AY335">
            <v>428.45713760025609</v>
          </cell>
          <cell r="AZ335">
            <v>0</v>
          </cell>
          <cell r="BB335">
            <v>308.57612691882474</v>
          </cell>
          <cell r="BC335">
            <v>0</v>
          </cell>
          <cell r="BE335">
            <v>0</v>
          </cell>
          <cell r="BF335">
            <v>0</v>
          </cell>
          <cell r="BH335">
            <v>0</v>
          </cell>
          <cell r="BI335">
            <v>0</v>
          </cell>
          <cell r="BK335">
            <v>215.60581703809186</v>
          </cell>
          <cell r="BL335">
            <v>0</v>
          </cell>
          <cell r="BN335">
            <v>0</v>
          </cell>
          <cell r="BO335">
            <v>0</v>
          </cell>
          <cell r="BT335">
            <v>5196.4193784783765</v>
          </cell>
          <cell r="BU335">
            <v>2994.426197534327</v>
          </cell>
          <cell r="BW335">
            <v>3017.3154900401701</v>
          </cell>
          <cell r="BX335">
            <v>2693.3237087103016</v>
          </cell>
          <cell r="BZ335">
            <v>843.33951584256852</v>
          </cell>
          <cell r="CA335">
            <v>3771.7438010652972</v>
          </cell>
          <cell r="CC335">
            <v>290.18626027387558</v>
          </cell>
          <cell r="CD335">
            <v>288.99532979544324</v>
          </cell>
          <cell r="CF335">
            <v>35.72368734432181</v>
          </cell>
          <cell r="CG335">
            <v>0</v>
          </cell>
          <cell r="CI335">
            <v>2377.1256975034007</v>
          </cell>
          <cell r="CJ335">
            <v>786.00618879060914</v>
          </cell>
          <cell r="CL335">
            <v>0</v>
          </cell>
          <cell r="CM335">
            <v>0</v>
          </cell>
          <cell r="CX335">
            <v>1620.1306999683657</v>
          </cell>
          <cell r="CY335">
            <v>9870.3415506532583</v>
          </cell>
        </row>
        <row r="336">
          <cell r="I336">
            <v>323.39899114313721</v>
          </cell>
          <cell r="J336">
            <v>324.75461661517448</v>
          </cell>
          <cell r="L336">
            <v>73.481016897145366</v>
          </cell>
          <cell r="M336">
            <v>77.945107511992376</v>
          </cell>
          <cell r="O336">
            <v>107.22</v>
          </cell>
          <cell r="P336">
            <v>107.24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X336">
            <v>123.36109996059983</v>
          </cell>
          <cell r="Y336">
            <v>107.52632698761039</v>
          </cell>
          <cell r="AA336">
            <v>0</v>
          </cell>
          <cell r="AB336">
            <v>0</v>
          </cell>
          <cell r="AD336">
            <v>336.43667780427</v>
          </cell>
          <cell r="AE336">
            <v>314.47494139735045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252.53803810497325</v>
          </cell>
          <cell r="AQ336">
            <v>566.06687342013572</v>
          </cell>
          <cell r="AS336">
            <v>1172.2516068596362</v>
          </cell>
          <cell r="AT336">
            <v>0</v>
          </cell>
          <cell r="AV336">
            <v>60.429984657058824</v>
          </cell>
          <cell r="AW336">
            <v>0</v>
          </cell>
          <cell r="AY336">
            <v>94.724978012500713</v>
          </cell>
          <cell r="AZ336">
            <v>0</v>
          </cell>
          <cell r="BB336">
            <v>31.502063628871475</v>
          </cell>
          <cell r="BC336">
            <v>0</v>
          </cell>
          <cell r="BE336">
            <v>0</v>
          </cell>
          <cell r="BF336">
            <v>0</v>
          </cell>
          <cell r="BH336">
            <v>0</v>
          </cell>
          <cell r="BI336">
            <v>0</v>
          </cell>
          <cell r="BK336">
            <v>9.8614283025793927</v>
          </cell>
          <cell r="BL336">
            <v>0</v>
          </cell>
          <cell r="BN336">
            <v>0</v>
          </cell>
          <cell r="BO336">
            <v>0</v>
          </cell>
          <cell r="BT336">
            <v>797.16932296984749</v>
          </cell>
          <cell r="BU336">
            <v>462.42725700925308</v>
          </cell>
          <cell r="BW336">
            <v>614.89401467262894</v>
          </cell>
          <cell r="BX336">
            <v>506.0014285010389</v>
          </cell>
          <cell r="BZ336">
            <v>91.15684574023561</v>
          </cell>
          <cell r="CA336">
            <v>665.84111909995988</v>
          </cell>
          <cell r="CC336">
            <v>0</v>
          </cell>
          <cell r="CD336">
            <v>0</v>
          </cell>
          <cell r="CF336">
            <v>0</v>
          </cell>
          <cell r="CG336">
            <v>0</v>
          </cell>
          <cell r="CI336">
            <v>215.25153953770956</v>
          </cell>
          <cell r="CJ336">
            <v>170.88349175516089</v>
          </cell>
          <cell r="CL336">
            <v>0</v>
          </cell>
          <cell r="CM336">
            <v>0</v>
          </cell>
          <cell r="CX336">
            <v>6.870050568068109E-3</v>
          </cell>
          <cell r="CY336">
            <v>1200.6266052427884</v>
          </cell>
        </row>
        <row r="337">
          <cell r="I337">
            <v>4259.6072769604034</v>
          </cell>
          <cell r="J337">
            <v>4350.9713676616466</v>
          </cell>
          <cell r="L337">
            <v>688.69978930805587</v>
          </cell>
          <cell r="M337">
            <v>790.39008876126013</v>
          </cell>
          <cell r="O337">
            <v>1333.2</v>
          </cell>
          <cell r="P337">
            <v>1333.28</v>
          </cell>
          <cell r="R337">
            <v>326.36</v>
          </cell>
          <cell r="S337">
            <v>326.08</v>
          </cell>
          <cell r="U337">
            <v>195.03873136964788</v>
          </cell>
          <cell r="V337">
            <v>209.84163651482885</v>
          </cell>
          <cell r="X337">
            <v>1632.1620602731828</v>
          </cell>
          <cell r="Y337">
            <v>1541.1518555465223</v>
          </cell>
          <cell r="AA337">
            <v>0</v>
          </cell>
          <cell r="AB337">
            <v>0</v>
          </cell>
          <cell r="AD337">
            <v>4426.9109140439004</v>
          </cell>
          <cell r="AE337">
            <v>4137.8821025907782</v>
          </cell>
          <cell r="AJ337">
            <v>14498.92924377405</v>
          </cell>
          <cell r="AK337">
            <v>14439.4009216575</v>
          </cell>
          <cell r="AM337">
            <v>0</v>
          </cell>
          <cell r="AN337">
            <v>0</v>
          </cell>
          <cell r="AP337">
            <v>883.88313336740646</v>
          </cell>
          <cell r="AQ337">
            <v>0</v>
          </cell>
          <cell r="AS337">
            <v>16723.939383678033</v>
          </cell>
          <cell r="AT337">
            <v>16773</v>
          </cell>
          <cell r="AV337">
            <v>340.96883158200427</v>
          </cell>
          <cell r="AW337">
            <v>5742</v>
          </cell>
          <cell r="AY337">
            <v>455.31679837177501</v>
          </cell>
          <cell r="AZ337">
            <v>955</v>
          </cell>
          <cell r="BB337">
            <v>555.88466136810791</v>
          </cell>
          <cell r="BC337">
            <v>0</v>
          </cell>
          <cell r="BE337">
            <v>181.65122486457074</v>
          </cell>
          <cell r="BF337">
            <v>0</v>
          </cell>
          <cell r="BH337">
            <v>98.941812127749259</v>
          </cell>
          <cell r="BI337">
            <v>0</v>
          </cell>
          <cell r="BK337">
            <v>140.16379835239022</v>
          </cell>
          <cell r="BL337">
            <v>0</v>
          </cell>
          <cell r="BN337">
            <v>0</v>
          </cell>
          <cell r="BO337">
            <v>0</v>
          </cell>
          <cell r="BT337">
            <v>15985.39400729447</v>
          </cell>
          <cell r="BU337">
            <v>10128.075924301234</v>
          </cell>
          <cell r="BW337">
            <v>8388.5472129932186</v>
          </cell>
          <cell r="BX337">
            <v>9354.1534089432498</v>
          </cell>
          <cell r="BZ337">
            <v>800.67411219931682</v>
          </cell>
          <cell r="CA337">
            <v>10083.799969864891</v>
          </cell>
          <cell r="CC337">
            <v>322.56535055361115</v>
          </cell>
          <cell r="CD337">
            <v>321.24153561179429</v>
          </cell>
          <cell r="CF337">
            <v>39.70974959466804</v>
          </cell>
          <cell r="CG337">
            <v>0</v>
          </cell>
          <cell r="CI337">
            <v>5764.9977545751781</v>
          </cell>
          <cell r="CJ337">
            <v>641.53295041948104</v>
          </cell>
          <cell r="CL337">
            <v>2480.0720859779581</v>
          </cell>
          <cell r="CM337">
            <v>1996.0321628990077</v>
          </cell>
          <cell r="CX337">
            <v>1446.8184808443912</v>
          </cell>
          <cell r="CY337">
            <v>-1673.4407097266303</v>
          </cell>
        </row>
        <row r="338">
          <cell r="I338">
            <v>1899.7820676313297</v>
          </cell>
          <cell r="J338">
            <v>1910.8036255622478</v>
          </cell>
          <cell r="L338">
            <v>245.00659052847635</v>
          </cell>
          <cell r="M338">
            <v>259.88677457689812</v>
          </cell>
          <cell r="O338">
            <v>857.58</v>
          </cell>
          <cell r="P338">
            <v>857.66</v>
          </cell>
          <cell r="R338">
            <v>218.1</v>
          </cell>
          <cell r="S338">
            <v>217.86</v>
          </cell>
          <cell r="U338">
            <v>132.96775194679549</v>
          </cell>
          <cell r="V338">
            <v>91.60792847129062</v>
          </cell>
          <cell r="X338">
            <v>931.88644126591032</v>
          </cell>
          <cell r="Y338">
            <v>846.63907339893592</v>
          </cell>
          <cell r="AA338">
            <v>0</v>
          </cell>
          <cell r="AB338">
            <v>0</v>
          </cell>
          <cell r="AD338">
            <v>3105.5435689519722</v>
          </cell>
          <cell r="AE338">
            <v>2902.8215301224063</v>
          </cell>
          <cell r="AJ338">
            <v>6306.9592395271629</v>
          </cell>
          <cell r="AK338">
            <v>6281.0664696969698</v>
          </cell>
          <cell r="AM338">
            <v>0</v>
          </cell>
          <cell r="AN338">
            <v>262.02400053441977</v>
          </cell>
          <cell r="AP338">
            <v>505.07607620994651</v>
          </cell>
          <cell r="AQ338">
            <v>0</v>
          </cell>
          <cell r="AS338">
            <v>11245.874506167012</v>
          </cell>
          <cell r="AT338">
            <v>0</v>
          </cell>
          <cell r="AV338">
            <v>561.048539709024</v>
          </cell>
          <cell r="AW338">
            <v>0</v>
          </cell>
          <cell r="AY338">
            <v>141.51362313451344</v>
          </cell>
          <cell r="AZ338">
            <v>0</v>
          </cell>
          <cell r="BB338">
            <v>356.63179670758154</v>
          </cell>
          <cell r="BC338">
            <v>0</v>
          </cell>
          <cell r="BE338">
            <v>126.89920129436939</v>
          </cell>
          <cell r="BF338">
            <v>0</v>
          </cell>
          <cell r="BH338">
            <v>67.470245961631889</v>
          </cell>
          <cell r="BI338">
            <v>0</v>
          </cell>
          <cell r="BK338">
            <v>112.82000111684427</v>
          </cell>
          <cell r="BL338">
            <v>0</v>
          </cell>
          <cell r="BN338">
            <v>0</v>
          </cell>
          <cell r="BO338">
            <v>0</v>
          </cell>
          <cell r="BT338">
            <v>7574.3754799325079</v>
          </cell>
          <cell r="BU338">
            <v>4947.5631991440778</v>
          </cell>
          <cell r="BW338">
            <v>5169.1244007651567</v>
          </cell>
          <cell r="BX338">
            <v>5933.1314939829999</v>
          </cell>
          <cell r="BZ338">
            <v>281.31793131327345</v>
          </cell>
          <cell r="CA338">
            <v>5040.8267170952104</v>
          </cell>
          <cell r="CC338">
            <v>192.65681271667049</v>
          </cell>
          <cell r="CD338">
            <v>191.86614512984062</v>
          </cell>
          <cell r="CF338">
            <v>23.717221262468907</v>
          </cell>
          <cell r="CG338">
            <v>0</v>
          </cell>
          <cell r="CI338">
            <v>2345.9298222080811</v>
          </cell>
          <cell r="CJ338">
            <v>1839.2351309679411</v>
          </cell>
          <cell r="CL338">
            <v>3518.8947333121214</v>
          </cell>
          <cell r="CM338">
            <v>2757.2998208391055</v>
          </cell>
          <cell r="CX338">
            <v>-905.31126199541904</v>
          </cell>
          <cell r="CY338">
            <v>12991.749708573181</v>
          </cell>
        </row>
        <row r="339">
          <cell r="I339">
            <v>5741.7901250224586</v>
          </cell>
          <cell r="J339">
            <v>5847.9829337899118</v>
          </cell>
          <cell r="L339">
            <v>997.81319591440774</v>
          </cell>
          <cell r="M339">
            <v>1118.2826618385543</v>
          </cell>
          <cell r="O339">
            <v>1946.96</v>
          </cell>
          <cell r="P339">
            <v>1946.28</v>
          </cell>
          <cell r="R339">
            <v>480.28</v>
          </cell>
          <cell r="S339">
            <v>479.54</v>
          </cell>
          <cell r="U339">
            <v>277.76762229282707</v>
          </cell>
          <cell r="V339">
            <v>191.3678416786249</v>
          </cell>
          <cell r="X339">
            <v>2424.4201211638015</v>
          </cell>
          <cell r="Y339">
            <v>2323.2156136998988</v>
          </cell>
          <cell r="AA339">
            <v>0</v>
          </cell>
          <cell r="AB339">
            <v>0</v>
          </cell>
          <cell r="AD339">
            <v>7094.7447353276639</v>
          </cell>
          <cell r="AE339">
            <v>6777.231410220129</v>
          </cell>
          <cell r="AJ339">
            <v>13827.504876346487</v>
          </cell>
          <cell r="AK339">
            <v>13770.726547885479</v>
          </cell>
          <cell r="AM339">
            <v>0</v>
          </cell>
          <cell r="AN339">
            <v>0</v>
          </cell>
          <cell r="AP339">
            <v>1041.7194071830147</v>
          </cell>
          <cell r="AQ339">
            <v>0</v>
          </cell>
          <cell r="AS339">
            <v>25571.933646143214</v>
          </cell>
          <cell r="AT339">
            <v>773</v>
          </cell>
          <cell r="AV339">
            <v>476.64650222106394</v>
          </cell>
          <cell r="AW339">
            <v>3772</v>
          </cell>
          <cell r="AY339">
            <v>658.33936263838734</v>
          </cell>
          <cell r="AZ339">
            <v>2180</v>
          </cell>
          <cell r="BB339">
            <v>769.26804466027988</v>
          </cell>
          <cell r="BC339">
            <v>0</v>
          </cell>
          <cell r="BE339">
            <v>257.8404877473065</v>
          </cell>
          <cell r="BF339">
            <v>0</v>
          </cell>
          <cell r="BH339">
            <v>140.90392757945571</v>
          </cell>
          <cell r="BI339">
            <v>0</v>
          </cell>
          <cell r="BK339">
            <v>174.71782081390026</v>
          </cell>
          <cell r="BL339">
            <v>0</v>
          </cell>
          <cell r="BN339">
            <v>0</v>
          </cell>
          <cell r="BO339">
            <v>0</v>
          </cell>
          <cell r="BT339">
            <v>20249.561949587325</v>
          </cell>
          <cell r="BU339">
            <v>13226.646996292198</v>
          </cell>
          <cell r="BW339">
            <v>13441.019714522139</v>
          </cell>
          <cell r="BX339">
            <v>15213.96878116484</v>
          </cell>
          <cell r="BZ339">
            <v>757.39443045881319</v>
          </cell>
          <cell r="CA339">
            <v>12769.986995595002</v>
          </cell>
          <cell r="CC339">
            <v>401.39287087127173</v>
          </cell>
          <cell r="CD339">
            <v>399.74554613820231</v>
          </cell>
          <cell r="CF339">
            <v>49.413895088319435</v>
          </cell>
          <cell r="CG339">
            <v>0</v>
          </cell>
          <cell r="CI339">
            <v>3203.816392829387</v>
          </cell>
          <cell r="CJ339">
            <v>1828.3112622011056</v>
          </cell>
          <cell r="CL339">
            <v>2870.0205271694608</v>
          </cell>
          <cell r="CM339">
            <v>1943.2653956081353</v>
          </cell>
          <cell r="CX339">
            <v>309.71641330279817</v>
          </cell>
          <cell r="CY339">
            <v>22262.177616665496</v>
          </cell>
        </row>
        <row r="340">
          <cell r="I340">
            <v>1803.7218838157032</v>
          </cell>
          <cell r="J340">
            <v>1815.4858681312762</v>
          </cell>
          <cell r="L340">
            <v>454.39834136839863</v>
          </cell>
          <cell r="M340">
            <v>482.00417490973007</v>
          </cell>
          <cell r="O340">
            <v>772.98</v>
          </cell>
          <cell r="P340">
            <v>772.96</v>
          </cell>
          <cell r="R340">
            <v>190.66</v>
          </cell>
          <cell r="S340">
            <v>190.4</v>
          </cell>
          <cell r="U340">
            <v>130.00964065633656</v>
          </cell>
          <cell r="V340">
            <v>89.569932287279713</v>
          </cell>
          <cell r="X340">
            <v>1536.6765162541769</v>
          </cell>
          <cell r="Y340">
            <v>1454.8992872459066</v>
          </cell>
          <cell r="AA340">
            <v>0</v>
          </cell>
          <cell r="AB340">
            <v>0</v>
          </cell>
          <cell r="AD340">
            <v>2552.1725783105958</v>
          </cell>
          <cell r="AE340">
            <v>2385.5731998015917</v>
          </cell>
          <cell r="AJ340">
            <v>5742.6258554348196</v>
          </cell>
          <cell r="AK340">
            <v>5719.0557804822802</v>
          </cell>
          <cell r="AM340">
            <v>0</v>
          </cell>
          <cell r="AN340">
            <v>262.02400053441977</v>
          </cell>
          <cell r="AP340">
            <v>505.07607620994651</v>
          </cell>
          <cell r="AQ340">
            <v>2639.8885417703486</v>
          </cell>
          <cell r="AS340">
            <v>11292.644715090924</v>
          </cell>
          <cell r="AT340">
            <v>1036</v>
          </cell>
          <cell r="AV340">
            <v>145.57624762893238</v>
          </cell>
          <cell r="AW340">
            <v>0</v>
          </cell>
          <cell r="AY340">
            <v>300.46764475683648</v>
          </cell>
          <cell r="AZ340">
            <v>0</v>
          </cell>
          <cell r="BB340">
            <v>314.65407721141514</v>
          </cell>
          <cell r="BC340">
            <v>0</v>
          </cell>
          <cell r="BE340">
            <v>109.3875700743293</v>
          </cell>
          <cell r="BF340">
            <v>0</v>
          </cell>
          <cell r="BH340">
            <v>65.961235315382794</v>
          </cell>
          <cell r="BI340">
            <v>0</v>
          </cell>
          <cell r="BK340">
            <v>212.42405582180592</v>
          </cell>
          <cell r="BL340">
            <v>0</v>
          </cell>
          <cell r="BN340">
            <v>0</v>
          </cell>
          <cell r="BO340">
            <v>0</v>
          </cell>
          <cell r="BT340">
            <v>6539.103044575304</v>
          </cell>
          <cell r="BU340">
            <v>4452.4604541594235</v>
          </cell>
          <cell r="BW340">
            <v>8104.8387066902869</v>
          </cell>
          <cell r="BX340">
            <v>9256.93382907046</v>
          </cell>
          <cell r="BZ340">
            <v>424.14088105693531</v>
          </cell>
          <cell r="CA340">
            <v>4514.2913005503333</v>
          </cell>
          <cell r="CC340">
            <v>242.07107918445774</v>
          </cell>
          <cell r="CD340">
            <v>241.0776144150517</v>
          </cell>
          <cell r="CF340">
            <v>29.800416945056352</v>
          </cell>
          <cell r="CG340">
            <v>0</v>
          </cell>
          <cell r="CI340">
            <v>749.01296584063869</v>
          </cell>
          <cell r="CJ340">
            <v>270.29646761631597</v>
          </cell>
          <cell r="CL340">
            <v>923.39790874147866</v>
          </cell>
          <cell r="CM340">
            <v>543.63564591769079</v>
          </cell>
          <cell r="CX340">
            <v>1294.0182708194843</v>
          </cell>
          <cell r="CY340">
            <v>9712.3126837294731</v>
          </cell>
        </row>
        <row r="341">
          <cell r="I341">
            <v>1816.9204344069685</v>
          </cell>
          <cell r="J341">
            <v>1893.9795370561274</v>
          </cell>
          <cell r="L341">
            <v>260.19217177635136</v>
          </cell>
          <cell r="M341">
            <v>275.99891760622268</v>
          </cell>
          <cell r="O341">
            <v>889.8</v>
          </cell>
          <cell r="P341">
            <v>890.02</v>
          </cell>
          <cell r="R341">
            <v>229.78</v>
          </cell>
          <cell r="S341">
            <v>229.46</v>
          </cell>
          <cell r="U341">
            <v>130.00964065633656</v>
          </cell>
          <cell r="V341">
            <v>89.569932287279713</v>
          </cell>
          <cell r="X341">
            <v>1548.9414336861032</v>
          </cell>
          <cell r="Y341">
            <v>1530.3339722637002</v>
          </cell>
          <cell r="AA341">
            <v>0</v>
          </cell>
          <cell r="AB341">
            <v>0</v>
          </cell>
          <cell r="AD341">
            <v>2903.1470833277594</v>
          </cell>
          <cell r="AE341">
            <v>2713.6369757774337</v>
          </cell>
          <cell r="AJ341">
            <v>6913.0950965152351</v>
          </cell>
          <cell r="AK341">
            <v>6884.704745994155</v>
          </cell>
          <cell r="AM341">
            <v>0</v>
          </cell>
          <cell r="AN341">
            <v>0</v>
          </cell>
          <cell r="AP341">
            <v>505.07607620994651</v>
          </cell>
          <cell r="AQ341">
            <v>2639.8885417703486</v>
          </cell>
          <cell r="AS341">
            <v>12366.532375090457</v>
          </cell>
          <cell r="AT341">
            <v>0</v>
          </cell>
          <cell r="AV341">
            <v>147.03276510935248</v>
          </cell>
          <cell r="AW341">
            <v>3132</v>
          </cell>
          <cell r="AY341">
            <v>175.33142691704413</v>
          </cell>
          <cell r="AZ341">
            <v>1312</v>
          </cell>
          <cell r="BB341">
            <v>356.82220769353341</v>
          </cell>
          <cell r="BC341">
            <v>780</v>
          </cell>
          <cell r="BE341">
            <v>132.02736547955371</v>
          </cell>
          <cell r="BF341">
            <v>0</v>
          </cell>
          <cell r="BH341">
            <v>65.961235315382794</v>
          </cell>
          <cell r="BI341">
            <v>0</v>
          </cell>
          <cell r="BK341">
            <v>180.8957334091144</v>
          </cell>
          <cell r="BL341">
            <v>0</v>
          </cell>
          <cell r="BN341">
            <v>0</v>
          </cell>
          <cell r="BO341">
            <v>0</v>
          </cell>
          <cell r="BT341">
            <v>8512.3373364095078</v>
          </cell>
          <cell r="BU341">
            <v>4085.7586522705883</v>
          </cell>
          <cell r="BW341">
            <v>7517.7079617173531</v>
          </cell>
          <cell r="BX341">
            <v>5355.4149654129396</v>
          </cell>
          <cell r="BZ341">
            <v>1103.6318843828419</v>
          </cell>
          <cell r="CA341">
            <v>4103.9558477527144</v>
          </cell>
          <cell r="CC341">
            <v>282.80843576653234</v>
          </cell>
          <cell r="CD341">
            <v>281.64778403410958</v>
          </cell>
          <cell r="CF341">
            <v>34.815432433379925</v>
          </cell>
          <cell r="CG341">
            <v>0</v>
          </cell>
          <cell r="CI341">
            <v>1316.4659374625132</v>
          </cell>
          <cell r="CJ341">
            <v>130.47152156876132</v>
          </cell>
          <cell r="CL341">
            <v>1310.2267624034496</v>
          </cell>
          <cell r="CM341">
            <v>413.18686028158805</v>
          </cell>
          <cell r="CX341">
            <v>585.44944459753606</v>
          </cell>
          <cell r="CY341">
            <v>14934.486095108838</v>
          </cell>
        </row>
        <row r="342">
          <cell r="I342">
            <v>2692.3363433941463</v>
          </cell>
          <cell r="J342">
            <v>2707.8050499413584</v>
          </cell>
          <cell r="L342">
            <v>460.26724853877886</v>
          </cell>
          <cell r="M342">
            <v>488.2293210801509</v>
          </cell>
          <cell r="O342">
            <v>946.34</v>
          </cell>
          <cell r="P342">
            <v>946.2</v>
          </cell>
          <cell r="R342">
            <v>228.14</v>
          </cell>
          <cell r="S342">
            <v>228.14</v>
          </cell>
          <cell r="U342">
            <v>130.00964065633656</v>
          </cell>
          <cell r="V342">
            <v>89.569932287279713</v>
          </cell>
          <cell r="X342">
            <v>1019.6514513166584</v>
          </cell>
          <cell r="Y342">
            <v>965.07645363325412</v>
          </cell>
          <cell r="AA342">
            <v>0</v>
          </cell>
          <cell r="AB342">
            <v>0</v>
          </cell>
          <cell r="AD342">
            <v>3126.5592809376699</v>
          </cell>
          <cell r="AE342">
            <v>2922.8753929474115</v>
          </cell>
          <cell r="AJ342">
            <v>4544.7265268625906</v>
          </cell>
          <cell r="AK342">
            <v>4526.0715465994199</v>
          </cell>
          <cell r="AM342">
            <v>263.07035981182185</v>
          </cell>
          <cell r="AN342">
            <v>262.02400053441977</v>
          </cell>
          <cell r="AP342">
            <v>591.88602680853114</v>
          </cell>
          <cell r="AQ342">
            <v>0</v>
          </cell>
          <cell r="AS342">
            <v>11530.213981401888</v>
          </cell>
          <cell r="AT342">
            <v>16182</v>
          </cell>
          <cell r="AV342">
            <v>212.04421281182931</v>
          </cell>
          <cell r="AW342">
            <v>0</v>
          </cell>
          <cell r="AY342">
            <v>304.27448839668364</v>
          </cell>
          <cell r="AZ342">
            <v>0</v>
          </cell>
          <cell r="BB342">
            <v>398.7972333502222</v>
          </cell>
          <cell r="BC342">
            <v>0</v>
          </cell>
          <cell r="BE342">
            <v>132.606248971273</v>
          </cell>
          <cell r="BF342">
            <v>0</v>
          </cell>
          <cell r="BH342">
            <v>65.961235315382794</v>
          </cell>
          <cell r="BI342">
            <v>0</v>
          </cell>
          <cell r="BK342">
            <v>161.26258263002811</v>
          </cell>
          <cell r="BL342">
            <v>0</v>
          </cell>
          <cell r="BN342">
            <v>0</v>
          </cell>
          <cell r="BO342">
            <v>0</v>
          </cell>
          <cell r="BT342">
            <v>9553.6380965732951</v>
          </cell>
          <cell r="BU342">
            <v>2020.418376867882</v>
          </cell>
          <cell r="BW342">
            <v>5702.5995500001018</v>
          </cell>
          <cell r="BX342">
            <v>1602.7835364658827</v>
          </cell>
          <cell r="BZ342">
            <v>952.1529982910796</v>
          </cell>
          <cell r="CA342">
            <v>2208.9616315170324</v>
          </cell>
          <cell r="CC342">
            <v>264.7192846488602</v>
          </cell>
          <cell r="CD342">
            <v>263.63287117077346</v>
          </cell>
          <cell r="CF342">
            <v>32.588548299575592</v>
          </cell>
          <cell r="CG342">
            <v>0</v>
          </cell>
          <cell r="CI342">
            <v>1098.0948103952719</v>
          </cell>
          <cell r="CJ342">
            <v>728.54979111678392</v>
          </cell>
          <cell r="CL342">
            <v>1035.7030598046315</v>
          </cell>
          <cell r="CM342">
            <v>528.15029475197821</v>
          </cell>
          <cell r="CX342">
            <v>833.34814894001465</v>
          </cell>
          <cell r="CY342">
            <v>11365.934161303645</v>
          </cell>
        </row>
        <row r="343">
          <cell r="I343">
            <v>1954.8781143293224</v>
          </cell>
          <cell r="J343">
            <v>1976.7958752679046</v>
          </cell>
          <cell r="L343">
            <v>333.37696092213639</v>
          </cell>
          <cell r="M343">
            <v>353.63015220205932</v>
          </cell>
          <cell r="O343">
            <v>1113.28</v>
          </cell>
          <cell r="P343">
            <v>1113.3399999999999</v>
          </cell>
          <cell r="R343">
            <v>258.66000000000003</v>
          </cell>
          <cell r="S343">
            <v>258.54000000000002</v>
          </cell>
          <cell r="U343">
            <v>132.96775194679549</v>
          </cell>
          <cell r="V343">
            <v>91.60792847129062</v>
          </cell>
          <cell r="X343">
            <v>1270.7215095205236</v>
          </cell>
          <cell r="Y343">
            <v>1236.5137060489546</v>
          </cell>
          <cell r="AA343">
            <v>0</v>
          </cell>
          <cell r="AB343">
            <v>0</v>
          </cell>
          <cell r="AD343">
            <v>3722.0400857952172</v>
          </cell>
          <cell r="AE343">
            <v>3478.6305413856985</v>
          </cell>
          <cell r="AJ343">
            <v>6250.7843812275187</v>
          </cell>
          <cell r="AK343">
            <v>6225.1288130622033</v>
          </cell>
          <cell r="AM343">
            <v>0</v>
          </cell>
          <cell r="AN343">
            <v>0</v>
          </cell>
          <cell r="AP343">
            <v>528.75151728228775</v>
          </cell>
          <cell r="AQ343">
            <v>0</v>
          </cell>
          <cell r="AS343">
            <v>12659.552194377515</v>
          </cell>
          <cell r="AT343">
            <v>13156</v>
          </cell>
          <cell r="AV343">
            <v>183.3946159153254</v>
          </cell>
          <cell r="AW343">
            <v>0</v>
          </cell>
          <cell r="AY343">
            <v>218.36186909299212</v>
          </cell>
          <cell r="AZ343">
            <v>0</v>
          </cell>
          <cell r="BB343">
            <v>522.00363200181357</v>
          </cell>
          <cell r="BC343">
            <v>2309</v>
          </cell>
          <cell r="BE343">
            <v>144.54378108389068</v>
          </cell>
          <cell r="BF343">
            <v>0</v>
          </cell>
          <cell r="BH343">
            <v>67.470245961631889</v>
          </cell>
          <cell r="BI343">
            <v>0</v>
          </cell>
          <cell r="BK343">
            <v>142.92069518764279</v>
          </cell>
          <cell r="BL343">
            <v>0</v>
          </cell>
          <cell r="BN343">
            <v>0</v>
          </cell>
          <cell r="BO343">
            <v>0</v>
          </cell>
          <cell r="BT343">
            <v>8475.719005359917</v>
          </cell>
          <cell r="BU343">
            <v>5411.3510848632413</v>
          </cell>
          <cell r="BW343">
            <v>9189.4619349631012</v>
          </cell>
          <cell r="BX343">
            <v>10322.380105234761</v>
          </cell>
          <cell r="BZ343">
            <v>411.15697653478429</v>
          </cell>
          <cell r="CA343">
            <v>5517.448570367208</v>
          </cell>
          <cell r="CC343">
            <v>211.04009637284133</v>
          </cell>
          <cell r="CD343">
            <v>210.17398340558879</v>
          </cell>
          <cell r="CF343">
            <v>25.980314894383874</v>
          </cell>
          <cell r="CG343">
            <v>0</v>
          </cell>
          <cell r="CI343">
            <v>2087.0040572569228</v>
          </cell>
          <cell r="CJ343">
            <v>1138.6660375232323</v>
          </cell>
          <cell r="CL343">
            <v>2002.775193959558</v>
          </cell>
          <cell r="CM343">
            <v>1057.8524316652779</v>
          </cell>
          <cell r="CX343">
            <v>1537.326079216662</v>
          </cell>
          <cell r="CY343">
            <v>-802.93107539690027</v>
          </cell>
        </row>
        <row r="344">
          <cell r="I344">
            <v>1769.4820040665747</v>
          </cell>
          <cell r="J344">
            <v>1783.8352027713679</v>
          </cell>
          <cell r="L344">
            <v>453.60976220893593</v>
          </cell>
          <cell r="M344">
            <v>481.16718046664829</v>
          </cell>
          <cell r="O344">
            <v>837.74</v>
          </cell>
          <cell r="P344">
            <v>837.64</v>
          </cell>
          <cell r="R344">
            <v>203.38</v>
          </cell>
          <cell r="S344">
            <v>203.34</v>
          </cell>
          <cell r="U344">
            <v>130.00964065633656</v>
          </cell>
          <cell r="V344">
            <v>89.569932287279713</v>
          </cell>
          <cell r="X344">
            <v>1532.8177559537396</v>
          </cell>
          <cell r="Y344">
            <v>1450.3600476004256</v>
          </cell>
          <cell r="AA344">
            <v>0</v>
          </cell>
          <cell r="AB344">
            <v>0</v>
          </cell>
          <cell r="AD344">
            <v>2805.2020356738326</v>
          </cell>
          <cell r="AE344">
            <v>2622.3657024099921</v>
          </cell>
          <cell r="AJ344">
            <v>6913.0950965152351</v>
          </cell>
          <cell r="AK344">
            <v>6884.704745994155</v>
          </cell>
          <cell r="AM344">
            <v>0</v>
          </cell>
          <cell r="AN344">
            <v>0</v>
          </cell>
          <cell r="AP344">
            <v>568.21058573618984</v>
          </cell>
          <cell r="AQ344">
            <v>0</v>
          </cell>
          <cell r="AS344">
            <v>13243.355806017549</v>
          </cell>
          <cell r="AT344">
            <v>1842</v>
          </cell>
          <cell r="AV344">
            <v>80.878175024060099</v>
          </cell>
          <cell r="AW344">
            <v>0</v>
          </cell>
          <cell r="AY344">
            <v>179.98343394677127</v>
          </cell>
          <cell r="AZ344">
            <v>0</v>
          </cell>
          <cell r="BB344">
            <v>214.01736783688938</v>
          </cell>
          <cell r="BC344">
            <v>0</v>
          </cell>
          <cell r="BE344">
            <v>71.621259226018381</v>
          </cell>
          <cell r="BF344">
            <v>546</v>
          </cell>
          <cell r="BH344">
            <v>39.576741189229679</v>
          </cell>
          <cell r="BI344">
            <v>0</v>
          </cell>
          <cell r="BK344">
            <v>137.0164525129411</v>
          </cell>
          <cell r="BL344">
            <v>1351</v>
          </cell>
          <cell r="BN344">
            <v>0</v>
          </cell>
          <cell r="BO344">
            <v>0</v>
          </cell>
          <cell r="BT344">
            <v>8035.9768701693192</v>
          </cell>
          <cell r="BU344">
            <v>5756.6875272910011</v>
          </cell>
          <cell r="BW344">
            <v>7500.5258547791373</v>
          </cell>
          <cell r="BX344">
            <v>8568.9643567188104</v>
          </cell>
          <cell r="BZ344">
            <v>1060.3522026423384</v>
          </cell>
          <cell r="CA344">
            <v>5723.8287481008101</v>
          </cell>
          <cell r="CC344">
            <v>235.60016333748558</v>
          </cell>
          <cell r="CD344">
            <v>234.63325534198833</v>
          </cell>
          <cell r="CF344">
            <v>29.003807986622277</v>
          </cell>
          <cell r="CG344">
            <v>0</v>
          </cell>
          <cell r="CI344">
            <v>876.60409579849829</v>
          </cell>
          <cell r="CJ344">
            <v>242.33230516799264</v>
          </cell>
          <cell r="CL344">
            <v>1054.4205849818234</v>
          </cell>
          <cell r="CM344">
            <v>262.5134874255649</v>
          </cell>
          <cell r="CX344">
            <v>869.58436448857537</v>
          </cell>
          <cell r="CY344">
            <v>11779.42901010875</v>
          </cell>
        </row>
        <row r="345">
          <cell r="I345">
            <v>4229.0729249321193</v>
          </cell>
          <cell r="J345">
            <v>4250.8392291696364</v>
          </cell>
          <cell r="L345">
            <v>689.93201572403495</v>
          </cell>
          <cell r="M345">
            <v>731.84701616964662</v>
          </cell>
          <cell r="O345">
            <v>1369.08</v>
          </cell>
          <cell r="P345">
            <v>1368.86</v>
          </cell>
          <cell r="R345">
            <v>322.48</v>
          </cell>
          <cell r="S345">
            <v>322.76</v>
          </cell>
          <cell r="U345">
            <v>195.03873136964788</v>
          </cell>
          <cell r="V345">
            <v>134.37188173245298</v>
          </cell>
          <cell r="X345">
            <v>1641.1325516528952</v>
          </cell>
          <cell r="Y345">
            <v>1557.6195843547166</v>
          </cell>
          <cell r="AA345">
            <v>0</v>
          </cell>
          <cell r="AB345">
            <v>0</v>
          </cell>
          <cell r="AD345">
            <v>4495.1389325420587</v>
          </cell>
          <cell r="AE345">
            <v>4201.6666184874721</v>
          </cell>
          <cell r="AJ345">
            <v>14402.266595894693</v>
          </cell>
          <cell r="AK345">
            <v>14343.131651715146</v>
          </cell>
          <cell r="AM345">
            <v>0</v>
          </cell>
          <cell r="AN345">
            <v>0</v>
          </cell>
          <cell r="AP345">
            <v>852.31587860428476</v>
          </cell>
          <cell r="AQ345">
            <v>0</v>
          </cell>
          <cell r="AS345">
            <v>19965.106872581044</v>
          </cell>
          <cell r="AT345">
            <v>645.44799676955699</v>
          </cell>
          <cell r="AV345">
            <v>340.67941004900786</v>
          </cell>
          <cell r="AW345">
            <v>0</v>
          </cell>
          <cell r="AY345">
            <v>456.07431114941113</v>
          </cell>
          <cell r="AZ345">
            <v>0</v>
          </cell>
          <cell r="BB345">
            <v>1150.4514219355508</v>
          </cell>
          <cell r="BC345">
            <v>0</v>
          </cell>
          <cell r="BE345">
            <v>365.27880722162689</v>
          </cell>
          <cell r="BF345">
            <v>0</v>
          </cell>
          <cell r="BH345">
            <v>98.941812127749259</v>
          </cell>
          <cell r="BI345">
            <v>0</v>
          </cell>
          <cell r="BK345">
            <v>393.71141400837746</v>
          </cell>
          <cell r="BL345">
            <v>0</v>
          </cell>
          <cell r="BN345">
            <v>0</v>
          </cell>
          <cell r="BO345">
            <v>0</v>
          </cell>
          <cell r="BT345">
            <v>6367.3819027450727</v>
          </cell>
          <cell r="BU345">
            <v>5963.665988328883</v>
          </cell>
          <cell r="BW345">
            <v>6003.0422866740437</v>
          </cell>
          <cell r="BX345">
            <v>6605.1657408600813</v>
          </cell>
          <cell r="BZ345">
            <v>1448.026504015116</v>
          </cell>
          <cell r="CA345">
            <v>5919.3109164450107</v>
          </cell>
          <cell r="CC345">
            <v>386.0489567795878</v>
          </cell>
          <cell r="CD345">
            <v>384.46460379071118</v>
          </cell>
          <cell r="CF345">
            <v>47.524966270214406</v>
          </cell>
          <cell r="CG345">
            <v>0</v>
          </cell>
          <cell r="CI345">
            <v>4969.5029345445118</v>
          </cell>
          <cell r="CJ345">
            <v>2956.1113042406332</v>
          </cell>
          <cell r="CL345">
            <v>1927.9050932507898</v>
          </cell>
          <cell r="CM345">
            <v>1718.0291905017923</v>
          </cell>
          <cell r="CX345">
            <v>1293.9688111138021</v>
          </cell>
          <cell r="CY345">
            <v>26509.379932921114</v>
          </cell>
        </row>
        <row r="346">
          <cell r="I346">
            <v>4218.6693447917187</v>
          </cell>
          <cell r="J346">
            <v>4240.1541853009803</v>
          </cell>
          <cell r="L346">
            <v>691.31354053011785</v>
          </cell>
          <cell r="M346">
            <v>733.3117564450398</v>
          </cell>
          <cell r="O346">
            <v>1372.38</v>
          </cell>
          <cell r="P346">
            <v>1372.86</v>
          </cell>
          <cell r="R346">
            <v>322.32</v>
          </cell>
          <cell r="S346">
            <v>322.16000000000003</v>
          </cell>
          <cell r="U346">
            <v>195.03873136964788</v>
          </cell>
          <cell r="V346">
            <v>134.37188173245298</v>
          </cell>
          <cell r="X346">
            <v>1652.3817105886289</v>
          </cell>
          <cell r="Y346">
            <v>1569.2898028132954</v>
          </cell>
          <cell r="AA346">
            <v>0</v>
          </cell>
          <cell r="AB346">
            <v>0</v>
          </cell>
          <cell r="AD346">
            <v>4507.2395357810265</v>
          </cell>
          <cell r="AE346">
            <v>4213.0183252587394</v>
          </cell>
          <cell r="AJ346">
            <v>14402.266595894693</v>
          </cell>
          <cell r="AK346">
            <v>14343.131651715146</v>
          </cell>
          <cell r="AM346">
            <v>0</v>
          </cell>
          <cell r="AN346">
            <v>0</v>
          </cell>
          <cell r="AP346">
            <v>836.53225122272397</v>
          </cell>
          <cell r="AQ346">
            <v>0</v>
          </cell>
          <cell r="AS346">
            <v>19644.542428767843</v>
          </cell>
          <cell r="AT346">
            <v>2935.5736096083701</v>
          </cell>
          <cell r="AV346">
            <v>341.10193611683809</v>
          </cell>
          <cell r="AW346">
            <v>0</v>
          </cell>
          <cell r="AY346">
            <v>456.98718243290779</v>
          </cell>
          <cell r="AZ346">
            <v>0</v>
          </cell>
          <cell r="BB346">
            <v>1118.9449665843622</v>
          </cell>
          <cell r="BC346">
            <v>0</v>
          </cell>
          <cell r="BE346">
            <v>365.34992358096986</v>
          </cell>
          <cell r="BF346">
            <v>0</v>
          </cell>
          <cell r="BH346">
            <v>98.941812127749259</v>
          </cell>
          <cell r="BI346">
            <v>0</v>
          </cell>
          <cell r="BK346">
            <v>395.44141636158889</v>
          </cell>
          <cell r="BL346">
            <v>0</v>
          </cell>
          <cell r="BN346">
            <v>0</v>
          </cell>
          <cell r="BO346">
            <v>0</v>
          </cell>
          <cell r="BT346">
            <v>6472.3726902779981</v>
          </cell>
          <cell r="BU346">
            <v>6013.83561797734</v>
          </cell>
          <cell r="BW346">
            <v>6600.1771265409279</v>
          </cell>
          <cell r="BX346">
            <v>7561.2977482343431</v>
          </cell>
          <cell r="BZ346">
            <v>1444.1028069688332</v>
          </cell>
          <cell r="CA346">
            <v>5139.3525598519464</v>
          </cell>
          <cell r="CC346">
            <v>408.84422851323967</v>
          </cell>
          <cell r="CD346">
            <v>407.16632325263896</v>
          </cell>
          <cell r="CF346">
            <v>50.331202373788983</v>
          </cell>
          <cell r="CG346">
            <v>0</v>
          </cell>
          <cell r="CI346">
            <v>3219.4143304770473</v>
          </cell>
          <cell r="CJ346">
            <v>1352.9845745716464</v>
          </cell>
          <cell r="CL346">
            <v>1815.5999421876372</v>
          </cell>
          <cell r="CM346">
            <v>1506.7709328136732</v>
          </cell>
          <cell r="CX346">
            <v>1270.9475558116392</v>
          </cell>
          <cell r="CY346">
            <v>23812.965236509266</v>
          </cell>
        </row>
        <row r="347">
          <cell r="I347">
            <v>4213.5205224714955</v>
          </cell>
          <cell r="J347">
            <v>4235.8815352850852</v>
          </cell>
          <cell r="L347">
            <v>687.51585859041313</v>
          </cell>
          <cell r="M347">
            <v>729.28372068770864</v>
          </cell>
          <cell r="O347">
            <v>1376.08</v>
          </cell>
          <cell r="P347">
            <v>1375.86</v>
          </cell>
          <cell r="R347">
            <v>333</v>
          </cell>
          <cell r="S347">
            <v>332.62</v>
          </cell>
          <cell r="U347">
            <v>195.03873136964788</v>
          </cell>
          <cell r="V347">
            <v>134.37188173245298</v>
          </cell>
          <cell r="X347">
            <v>1621.4226940991348</v>
          </cell>
          <cell r="Y347">
            <v>1537.2109250626686</v>
          </cell>
          <cell r="AA347">
            <v>0</v>
          </cell>
          <cell r="AB347">
            <v>0</v>
          </cell>
          <cell r="AD347">
            <v>4514.7008618064674</v>
          </cell>
          <cell r="AE347">
            <v>4219.9276775610742</v>
          </cell>
          <cell r="AJ347">
            <v>8621.7600347441276</v>
          </cell>
          <cell r="AK347">
            <v>8586.3706016506549</v>
          </cell>
          <cell r="AM347">
            <v>0</v>
          </cell>
          <cell r="AN347">
            <v>0</v>
          </cell>
          <cell r="AP347">
            <v>852.31587860428476</v>
          </cell>
          <cell r="AQ347">
            <v>0</v>
          </cell>
          <cell r="AS347">
            <v>19561.369038329085</v>
          </cell>
          <cell r="AT347">
            <v>7509.5383914666918</v>
          </cell>
          <cell r="AV347">
            <v>338.94789082903128</v>
          </cell>
          <cell r="AW347">
            <v>0</v>
          </cell>
          <cell r="AY347">
            <v>454.5350152089967</v>
          </cell>
          <cell r="AZ347">
            <v>0</v>
          </cell>
          <cell r="BB347">
            <v>1157.2474197511715</v>
          </cell>
          <cell r="BC347">
            <v>0</v>
          </cell>
          <cell r="BE347">
            <v>368.35609494407032</v>
          </cell>
          <cell r="BF347">
            <v>0</v>
          </cell>
          <cell r="BH347">
            <v>98.941812127749259</v>
          </cell>
          <cell r="BI347">
            <v>0</v>
          </cell>
          <cell r="BK347">
            <v>390.76670427356618</v>
          </cell>
          <cell r="BL347">
            <v>0</v>
          </cell>
          <cell r="BN347">
            <v>0</v>
          </cell>
          <cell r="BO347">
            <v>0</v>
          </cell>
          <cell r="BT347">
            <v>6708.69254836253</v>
          </cell>
          <cell r="BU347">
            <v>5054.9988875178997</v>
          </cell>
          <cell r="BW347">
            <v>6832.3680887851806</v>
          </cell>
          <cell r="BX347">
            <v>8021.3579198551924</v>
          </cell>
          <cell r="BZ347">
            <v>1621.2047380928243</v>
          </cell>
          <cell r="CA347">
            <v>5186.9049997609154</v>
          </cell>
          <cell r="CC347">
            <v>408.74618433374008</v>
          </cell>
          <cell r="CD347">
            <v>407.06868144850159</v>
          </cell>
          <cell r="CF347">
            <v>50.31913254108543</v>
          </cell>
          <cell r="CG347">
            <v>0</v>
          </cell>
          <cell r="CI347">
            <v>2392.723635151061</v>
          </cell>
          <cell r="CJ347">
            <v>1770.8517641728267</v>
          </cell>
          <cell r="CL347">
            <v>3584.4060714322941</v>
          </cell>
          <cell r="CM347">
            <v>2657.8310385977884</v>
          </cell>
          <cell r="CX347">
            <v>1193.4652529824671</v>
          </cell>
          <cell r="CY347">
            <v>18742.146370240662</v>
          </cell>
        </row>
        <row r="348">
          <cell r="I348">
            <v>4194.3142295178504</v>
          </cell>
          <cell r="J348">
            <v>4216.6670059493463</v>
          </cell>
          <cell r="L348">
            <v>688.69978930805587</v>
          </cell>
          <cell r="M348">
            <v>730.53921235233133</v>
          </cell>
          <cell r="O348">
            <v>1376.08</v>
          </cell>
          <cell r="P348">
            <v>1376.3</v>
          </cell>
          <cell r="R348">
            <v>324.64</v>
          </cell>
          <cell r="S348">
            <v>324.76</v>
          </cell>
          <cell r="U348">
            <v>195.03873136964788</v>
          </cell>
          <cell r="V348">
            <v>134.37188173245298</v>
          </cell>
          <cell r="X348">
            <v>1631.253194348172</v>
          </cell>
          <cell r="Y348">
            <v>1547.4134820870643</v>
          </cell>
          <cell r="AA348">
            <v>0</v>
          </cell>
          <cell r="AB348">
            <v>0</v>
          </cell>
          <cell r="AD348">
            <v>4523.3665470470942</v>
          </cell>
          <cell r="AE348">
            <v>4228.092605970076</v>
          </cell>
          <cell r="AJ348">
            <v>8621.7600347441276</v>
          </cell>
          <cell r="AK348">
            <v>8586.3706016506549</v>
          </cell>
          <cell r="AM348">
            <v>0</v>
          </cell>
          <cell r="AN348">
            <v>655.10913129128983</v>
          </cell>
          <cell r="AP348">
            <v>836.53225122272397</v>
          </cell>
          <cell r="AQ348">
            <v>0</v>
          </cell>
          <cell r="AS348">
            <v>19630.247036745306</v>
          </cell>
          <cell r="AT348">
            <v>417.03685786944095</v>
          </cell>
          <cell r="AV348">
            <v>338.38118133211213</v>
          </cell>
          <cell r="AW348">
            <v>0</v>
          </cell>
          <cell r="AY348">
            <v>455.31679837177501</v>
          </cell>
          <cell r="AZ348">
            <v>0</v>
          </cell>
          <cell r="BB348">
            <v>1157.2474197511715</v>
          </cell>
          <cell r="BC348">
            <v>0</v>
          </cell>
          <cell r="BE348">
            <v>367.35679527182106</v>
          </cell>
          <cell r="BF348">
            <v>0</v>
          </cell>
          <cell r="BH348">
            <v>98.941812127749259</v>
          </cell>
          <cell r="BI348">
            <v>0</v>
          </cell>
          <cell r="BK348">
            <v>392.23794522822857</v>
          </cell>
          <cell r="BL348">
            <v>0</v>
          </cell>
          <cell r="BN348">
            <v>0</v>
          </cell>
          <cell r="BO348">
            <v>0</v>
          </cell>
          <cell r="BT348">
            <v>6652.5032358327817</v>
          </cell>
          <cell r="BU348">
            <v>5088.9813188408052</v>
          </cell>
          <cell r="BW348">
            <v>5900.6452329334033</v>
          </cell>
          <cell r="BX348">
            <v>6962.8861811103616</v>
          </cell>
          <cell r="BZ348">
            <v>1660.5607227870448</v>
          </cell>
          <cell r="CA348">
            <v>4982.4652010884902</v>
          </cell>
          <cell r="CC348">
            <v>380.16630600961321</v>
          </cell>
          <cell r="CD348">
            <v>378.60609554247185</v>
          </cell>
          <cell r="CF348">
            <v>46.800776308001616</v>
          </cell>
          <cell r="CG348">
            <v>0</v>
          </cell>
          <cell r="CI348">
            <v>3896.3648243854964</v>
          </cell>
          <cell r="CJ348">
            <v>4793.6096052315306</v>
          </cell>
          <cell r="CL348">
            <v>1974.6989061937702</v>
          </cell>
          <cell r="CM348">
            <v>1506.7688659107041</v>
          </cell>
          <cell r="CX348">
            <v>1176.6554749968636</v>
          </cell>
          <cell r="CY348">
            <v>24472.466344047574</v>
          </cell>
        </row>
        <row r="349">
          <cell r="I349">
            <v>3376.1419518062753</v>
          </cell>
          <cell r="J349">
            <v>3393.2862912775104</v>
          </cell>
          <cell r="L349">
            <v>670.00760736089296</v>
          </cell>
          <cell r="M349">
            <v>710.7129064818314</v>
          </cell>
          <cell r="O349">
            <v>1458.8</v>
          </cell>
          <cell r="P349">
            <v>1459.18</v>
          </cell>
          <cell r="R349">
            <v>0</v>
          </cell>
          <cell r="S349">
            <v>0</v>
          </cell>
          <cell r="U349">
            <v>333.92254251606141</v>
          </cell>
          <cell r="V349">
            <v>230.05580257176541</v>
          </cell>
          <cell r="X349">
            <v>3206.0251200719549</v>
          </cell>
          <cell r="Y349">
            <v>3154.0574188418041</v>
          </cell>
          <cell r="AA349">
            <v>0</v>
          </cell>
          <cell r="AB349">
            <v>0</v>
          </cell>
          <cell r="AD349">
            <v>4178.9696962051758</v>
          </cell>
          <cell r="AE349">
            <v>3906.5187810441416</v>
          </cell>
          <cell r="AJ349">
            <v>0</v>
          </cell>
          <cell r="AK349">
            <v>0</v>
          </cell>
          <cell r="AM349">
            <v>0</v>
          </cell>
          <cell r="AN349">
            <v>0</v>
          </cell>
          <cell r="AP349">
            <v>1692.794036672399</v>
          </cell>
          <cell r="AQ349">
            <v>7636.8204244070803</v>
          </cell>
          <cell r="AS349">
            <v>15745.21272555894</v>
          </cell>
          <cell r="AT349">
            <v>100.73713409105083</v>
          </cell>
          <cell r="AV349">
            <v>552.21617909158942</v>
          </cell>
          <cell r="AW349">
            <v>0</v>
          </cell>
          <cell r="AY349">
            <v>863.53737109845565</v>
          </cell>
          <cell r="AZ349">
            <v>0</v>
          </cell>
          <cell r="BB349">
            <v>549.74304237231922</v>
          </cell>
          <cell r="BC349">
            <v>311</v>
          </cell>
          <cell r="BE349">
            <v>0</v>
          </cell>
          <cell r="BF349">
            <v>0</v>
          </cell>
          <cell r="BH349">
            <v>338.81178137477229</v>
          </cell>
          <cell r="BI349">
            <v>0</v>
          </cell>
          <cell r="BK349">
            <v>500.05250650715965</v>
          </cell>
          <cell r="BL349">
            <v>0</v>
          </cell>
          <cell r="BN349">
            <v>0</v>
          </cell>
          <cell r="BO349">
            <v>0</v>
          </cell>
          <cell r="BT349">
            <v>8695.4876657257628</v>
          </cell>
          <cell r="BU349">
            <v>5808.6414896078577</v>
          </cell>
          <cell r="BW349">
            <v>5996.2322938981015</v>
          </cell>
          <cell r="BX349">
            <v>4366.0221269937338</v>
          </cell>
          <cell r="BZ349">
            <v>1285.390804881755</v>
          </cell>
          <cell r="CA349">
            <v>3602.9002806269918</v>
          </cell>
          <cell r="CC349">
            <v>436.14953250387214</v>
          </cell>
          <cell r="CD349">
            <v>434.35956570488361</v>
          </cell>
          <cell r="CF349">
            <v>53.692650781726684</v>
          </cell>
          <cell r="CG349">
            <v>0</v>
          </cell>
          <cell r="CI349">
            <v>2155.6349829066276</v>
          </cell>
          <cell r="CJ349">
            <v>480.00805040053592</v>
          </cell>
          <cell r="CL349">
            <v>0</v>
          </cell>
          <cell r="CM349">
            <v>0</v>
          </cell>
          <cell r="CX349">
            <v>2948.7330103994027</v>
          </cell>
          <cell r="CY349">
            <v>22742.159673540984</v>
          </cell>
        </row>
        <row r="350">
          <cell r="I350">
            <v>2651.8796901393102</v>
          </cell>
          <cell r="J350">
            <v>2661.6288289598397</v>
          </cell>
          <cell r="L350">
            <v>503.07286950512366</v>
          </cell>
          <cell r="M350">
            <v>533.63626961733848</v>
          </cell>
          <cell r="O350">
            <v>1044.6600000000001</v>
          </cell>
          <cell r="P350">
            <v>1044.6400000000001</v>
          </cell>
          <cell r="R350">
            <v>0</v>
          </cell>
          <cell r="S350">
            <v>0</v>
          </cell>
          <cell r="U350">
            <v>159.59026341702642</v>
          </cell>
          <cell r="V350">
            <v>109.94989412738883</v>
          </cell>
          <cell r="X350">
            <v>2068.1835702503245</v>
          </cell>
          <cell r="Y350">
            <v>2020.7253049900855</v>
          </cell>
          <cell r="AA350">
            <v>0</v>
          </cell>
          <cell r="AB350">
            <v>0</v>
          </cell>
          <cell r="AD350">
            <v>3183.7271485366077</v>
          </cell>
          <cell r="AE350">
            <v>2975.7306483810826</v>
          </cell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P350">
            <v>1278.4738179064273</v>
          </cell>
          <cell r="AQ350">
            <v>5586.1927178533269</v>
          </cell>
          <cell r="AS350">
            <v>12781.050783656552</v>
          </cell>
          <cell r="AT350">
            <v>1604.0440460328682</v>
          </cell>
          <cell r="AV350">
            <v>440.7848845409053</v>
          </cell>
          <cell r="AW350">
            <v>0</v>
          </cell>
          <cell r="AY350">
            <v>648.37174232033783</v>
          </cell>
          <cell r="AZ350">
            <v>1971</v>
          </cell>
          <cell r="BB350">
            <v>435.73378950881943</v>
          </cell>
          <cell r="BC350">
            <v>367</v>
          </cell>
          <cell r="BE350">
            <v>0</v>
          </cell>
          <cell r="BF350">
            <v>0</v>
          </cell>
          <cell r="BH350">
            <v>161.90917399980211</v>
          </cell>
          <cell r="BI350">
            <v>0</v>
          </cell>
          <cell r="BK350">
            <v>323.39564104606796</v>
          </cell>
          <cell r="BL350">
            <v>0</v>
          </cell>
          <cell r="BN350">
            <v>0</v>
          </cell>
          <cell r="BO350">
            <v>0</v>
          </cell>
          <cell r="BT350">
            <v>7672.4547710050156</v>
          </cell>
          <cell r="BU350">
            <v>5035.6135502399411</v>
          </cell>
          <cell r="BW350">
            <v>4373.5279355795983</v>
          </cell>
          <cell r="BX350">
            <v>3184.5873848010001</v>
          </cell>
          <cell r="BZ350">
            <v>1205.3907721831185</v>
          </cell>
          <cell r="CA350">
            <v>4374.31402455644</v>
          </cell>
          <cell r="CC350">
            <v>410.51097956473251</v>
          </cell>
          <cell r="CD350">
            <v>408.82623392297336</v>
          </cell>
          <cell r="CF350">
            <v>50.536389529749272</v>
          </cell>
          <cell r="CG350">
            <v>0</v>
          </cell>
          <cell r="CI350">
            <v>1497.4020141753706</v>
          </cell>
          <cell r="CJ350">
            <v>1095.1658847864567</v>
          </cell>
          <cell r="CL350">
            <v>0</v>
          </cell>
          <cell r="CM350">
            <v>0</v>
          </cell>
          <cell r="CX350">
            <v>2447.5325157621337</v>
          </cell>
          <cell r="CY350">
            <v>11948.654254077506</v>
          </cell>
        </row>
        <row r="351">
          <cell r="I351">
            <v>1759.8926155363379</v>
          </cell>
          <cell r="J351">
            <v>1765.5123733626692</v>
          </cell>
          <cell r="L351">
            <v>332.43932844451967</v>
          </cell>
          <cell r="M351">
            <v>352.63622130089971</v>
          </cell>
          <cell r="O351">
            <v>689.06</v>
          </cell>
          <cell r="P351">
            <v>688.88</v>
          </cell>
          <cell r="R351">
            <v>0</v>
          </cell>
          <cell r="S351">
            <v>0</v>
          </cell>
          <cell r="U351">
            <v>159.59026341702642</v>
          </cell>
          <cell r="V351">
            <v>109.94989412738883</v>
          </cell>
          <cell r="X351">
            <v>1185.3985421395907</v>
          </cell>
          <cell r="Y351">
            <v>1114.7883363030196</v>
          </cell>
          <cell r="AA351">
            <v>0</v>
          </cell>
          <cell r="AB351">
            <v>0</v>
          </cell>
          <cell r="AD351">
            <v>1981.007002105202</v>
          </cell>
          <cell r="AE351">
            <v>1851.3501999864825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P351">
            <v>852.31587860428476</v>
          </cell>
          <cell r="AQ351">
            <v>3891.7097547634335</v>
          </cell>
          <cell r="AS351">
            <v>8433.0743041202404</v>
          </cell>
          <cell r="AT351">
            <v>55.226220300531338</v>
          </cell>
          <cell r="AV351">
            <v>293.7456385988923</v>
          </cell>
          <cell r="AW351">
            <v>0</v>
          </cell>
          <cell r="AY351">
            <v>428.45713760025609</v>
          </cell>
          <cell r="AZ351">
            <v>0</v>
          </cell>
          <cell r="BB351">
            <v>249.50064667588106</v>
          </cell>
          <cell r="BC351">
            <v>0</v>
          </cell>
          <cell r="BE351">
            <v>0</v>
          </cell>
          <cell r="BF351">
            <v>0</v>
          </cell>
          <cell r="BH351">
            <v>161.90917399980211</v>
          </cell>
          <cell r="BI351">
            <v>0</v>
          </cell>
          <cell r="BK351">
            <v>176.12067478462095</v>
          </cell>
          <cell r="BL351">
            <v>0</v>
          </cell>
          <cell r="BN351">
            <v>0</v>
          </cell>
          <cell r="BO351">
            <v>0</v>
          </cell>
          <cell r="BT351">
            <v>4966.8427556882752</v>
          </cell>
          <cell r="BU351">
            <v>4399.9115097001404</v>
          </cell>
          <cell r="BW351">
            <v>2950.1250237578638</v>
          </cell>
          <cell r="BX351">
            <v>3075.7099194637285</v>
          </cell>
          <cell r="BZ351">
            <v>1185.6532727203141</v>
          </cell>
          <cell r="CA351">
            <v>4210.9657312426552</v>
          </cell>
          <cell r="CC351">
            <v>288.78913071600658</v>
          </cell>
          <cell r="CD351">
            <v>287.60393408648633</v>
          </cell>
          <cell r="CF351">
            <v>35.551692228296268</v>
          </cell>
          <cell r="CG351">
            <v>0</v>
          </cell>
          <cell r="CI351">
            <v>848.52780803271014</v>
          </cell>
          <cell r="CJ351">
            <v>396.09489402587627</v>
          </cell>
          <cell r="CL351">
            <v>0</v>
          </cell>
          <cell r="CM351">
            <v>0</v>
          </cell>
          <cell r="CX351">
            <v>1509.1389329958547</v>
          </cell>
          <cell r="CY351">
            <v>7242.3332136040244</v>
          </cell>
        </row>
        <row r="352">
          <cell r="I352">
            <v>1759.8926155363379</v>
          </cell>
          <cell r="J352">
            <v>1765.4202233273702</v>
          </cell>
          <cell r="L352">
            <v>332.43932844451967</v>
          </cell>
          <cell r="M352">
            <v>352.63622130089971</v>
          </cell>
          <cell r="O352">
            <v>689.06</v>
          </cell>
          <cell r="P352">
            <v>689.2</v>
          </cell>
          <cell r="R352">
            <v>0</v>
          </cell>
          <cell r="S352">
            <v>0</v>
          </cell>
          <cell r="U352">
            <v>159.59026341702642</v>
          </cell>
          <cell r="V352">
            <v>109.94989412738883</v>
          </cell>
          <cell r="X352">
            <v>1185.3985421395907</v>
          </cell>
          <cell r="Y352">
            <v>3488.4535766016579</v>
          </cell>
          <cell r="AA352">
            <v>0</v>
          </cell>
          <cell r="AB352">
            <v>0</v>
          </cell>
          <cell r="AD352">
            <v>1968.5215740282463</v>
          </cell>
          <cell r="AE352">
            <v>1840.4314620626528</v>
          </cell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P352">
            <v>852.31587860428476</v>
          </cell>
          <cell r="AQ352">
            <v>3962.4681139409504</v>
          </cell>
          <cell r="AS352">
            <v>8469.3422748413013</v>
          </cell>
          <cell r="AT352">
            <v>37.48620586113617</v>
          </cell>
          <cell r="AV352">
            <v>293.7456385988923</v>
          </cell>
          <cell r="AW352">
            <v>0</v>
          </cell>
          <cell r="AY352">
            <v>428.45713760025609</v>
          </cell>
          <cell r="AZ352">
            <v>0</v>
          </cell>
          <cell r="BB352">
            <v>249.50064667588106</v>
          </cell>
          <cell r="BC352">
            <v>311</v>
          </cell>
          <cell r="BE352">
            <v>0</v>
          </cell>
          <cell r="BF352">
            <v>0</v>
          </cell>
          <cell r="BH352">
            <v>161.90917399980211</v>
          </cell>
          <cell r="BI352">
            <v>0</v>
          </cell>
          <cell r="BK352">
            <v>176.12067478462095</v>
          </cell>
          <cell r="BL352">
            <v>0</v>
          </cell>
          <cell r="BN352">
            <v>0</v>
          </cell>
          <cell r="BO352">
            <v>0</v>
          </cell>
          <cell r="BT352">
            <v>4698.6316660432103</v>
          </cell>
          <cell r="BU352">
            <v>4395.110160160456</v>
          </cell>
          <cell r="BW352">
            <v>2951.5894533907522</v>
          </cell>
          <cell r="BX352">
            <v>4687.9731183921513</v>
          </cell>
          <cell r="BZ352">
            <v>1155.4922525445513</v>
          </cell>
          <cell r="CA352">
            <v>4205.8623737084426</v>
          </cell>
          <cell r="CC352">
            <v>256.53259566064543</v>
          </cell>
          <cell r="CD352">
            <v>255.47978052530686</v>
          </cell>
          <cell r="CF352">
            <v>31.580717268829464</v>
          </cell>
          <cell r="CG352">
            <v>0</v>
          </cell>
          <cell r="CI352">
            <v>985.78965933211919</v>
          </cell>
          <cell r="CJ352">
            <v>363.50310828366912</v>
          </cell>
          <cell r="CL352">
            <v>0</v>
          </cell>
          <cell r="CM352">
            <v>0</v>
          </cell>
          <cell r="CX352">
            <v>1622.7078885069641</v>
          </cell>
          <cell r="CY352">
            <v>2031.8309140495057</v>
          </cell>
        </row>
        <row r="353">
          <cell r="I353">
            <v>1759.688223476353</v>
          </cell>
          <cell r="J353">
            <v>1765.12093567486</v>
          </cell>
          <cell r="L353">
            <v>332.43932844451967</v>
          </cell>
          <cell r="M353">
            <v>352.63622130089971</v>
          </cell>
          <cell r="O353">
            <v>689.06</v>
          </cell>
          <cell r="P353">
            <v>689.06</v>
          </cell>
          <cell r="R353">
            <v>0</v>
          </cell>
          <cell r="S353">
            <v>0</v>
          </cell>
          <cell r="U353">
            <v>159.59026341702642</v>
          </cell>
          <cell r="V353">
            <v>109.94989412738883</v>
          </cell>
          <cell r="X353">
            <v>1185.2026995245419</v>
          </cell>
          <cell r="Y353">
            <v>1114.5519451119321</v>
          </cell>
          <cell r="AA353">
            <v>0</v>
          </cell>
          <cell r="AB353">
            <v>0</v>
          </cell>
          <cell r="AD353">
            <v>1955.0527046986535</v>
          </cell>
          <cell r="AE353">
            <v>1827.9101404017822</v>
          </cell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P353">
            <v>852.31587860428476</v>
          </cell>
          <cell r="AQ353">
            <v>3676.9876117515569</v>
          </cell>
          <cell r="AS353">
            <v>8078.8359921612318</v>
          </cell>
          <cell r="AT353">
            <v>69.044046032868351</v>
          </cell>
          <cell r="AV353">
            <v>293.68706488461845</v>
          </cell>
          <cell r="AW353">
            <v>0</v>
          </cell>
          <cell r="AY353">
            <v>428.45713760025609</v>
          </cell>
          <cell r="AZ353">
            <v>0</v>
          </cell>
          <cell r="BB353">
            <v>249.50064667588106</v>
          </cell>
          <cell r="BC353">
            <v>0</v>
          </cell>
          <cell r="BE353">
            <v>0</v>
          </cell>
          <cell r="BF353">
            <v>0</v>
          </cell>
          <cell r="BH353">
            <v>161.90917399980211</v>
          </cell>
          <cell r="BI353">
            <v>0</v>
          </cell>
          <cell r="BK353">
            <v>176.11164732070878</v>
          </cell>
          <cell r="BL353">
            <v>0</v>
          </cell>
          <cell r="BN353">
            <v>0</v>
          </cell>
          <cell r="BO353">
            <v>0</v>
          </cell>
          <cell r="BT353">
            <v>6455.092233619318</v>
          </cell>
          <cell r="BU353">
            <v>4635.3491264137192</v>
          </cell>
          <cell r="BW353">
            <v>2904.8118323169128</v>
          </cell>
          <cell r="BX353">
            <v>4633.4125573024148</v>
          </cell>
          <cell r="BZ353">
            <v>1162.0515833269212</v>
          </cell>
          <cell r="CA353">
            <v>4728.0697937705017</v>
          </cell>
          <cell r="CC353">
            <v>256.48357357089571</v>
          </cell>
          <cell r="CD353">
            <v>255.43095962323827</v>
          </cell>
          <cell r="CF353">
            <v>31.574682352477687</v>
          </cell>
          <cell r="CG353">
            <v>0</v>
          </cell>
          <cell r="CI353">
            <v>1038.8226473341635</v>
          </cell>
          <cell r="CJ353">
            <v>462.92435175670005</v>
          </cell>
          <cell r="CL353">
            <v>0</v>
          </cell>
          <cell r="CM353">
            <v>0</v>
          </cell>
          <cell r="CX353">
            <v>693.51522400572139</v>
          </cell>
          <cell r="CY353">
            <v>5313.8029000785646</v>
          </cell>
        </row>
        <row r="354">
          <cell r="I354">
            <v>3470.3203669484656</v>
          </cell>
          <cell r="J354">
            <v>3483.1516672722069</v>
          </cell>
          <cell r="L354">
            <v>669.76147250216661</v>
          </cell>
          <cell r="M354">
            <v>710.4513457183682</v>
          </cell>
          <cell r="O354">
            <v>1444.46</v>
          </cell>
          <cell r="P354">
            <v>1444.64</v>
          </cell>
          <cell r="R354">
            <v>0</v>
          </cell>
          <cell r="S354">
            <v>0</v>
          </cell>
          <cell r="U354">
            <v>333.92254251606141</v>
          </cell>
          <cell r="V354">
            <v>230.05580257176541</v>
          </cell>
          <cell r="X354">
            <v>3248.7900990067287</v>
          </cell>
          <cell r="Y354">
            <v>6180.9115019267083</v>
          </cell>
          <cell r="AA354">
            <v>0</v>
          </cell>
          <cell r="AB354">
            <v>0</v>
          </cell>
          <cell r="AD354">
            <v>4126.5978863093151</v>
          </cell>
          <cell r="AE354">
            <v>3857.1640503311964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P354">
            <v>1633.6054339915459</v>
          </cell>
          <cell r="AQ354">
            <v>7071.1300225991481</v>
          </cell>
          <cell r="AS354">
            <v>16064.86936771587</v>
          </cell>
          <cell r="AT354">
            <v>944.94081307717386</v>
          </cell>
          <cell r="AV354">
            <v>579.30180808381465</v>
          </cell>
          <cell r="AW354">
            <v>0</v>
          </cell>
          <cell r="AY354">
            <v>863.2751948570193</v>
          </cell>
          <cell r="AZ354">
            <v>0</v>
          </cell>
          <cell r="BB354">
            <v>544.18402662422682</v>
          </cell>
          <cell r="BC354">
            <v>2383</v>
          </cell>
          <cell r="BE354">
            <v>0</v>
          </cell>
          <cell r="BF354">
            <v>0</v>
          </cell>
          <cell r="BH354">
            <v>338.81178137477229</v>
          </cell>
          <cell r="BI354">
            <v>0</v>
          </cell>
          <cell r="BK354">
            <v>499.63889281703172</v>
          </cell>
          <cell r="BL354">
            <v>0</v>
          </cell>
          <cell r="BN354">
            <v>0</v>
          </cell>
          <cell r="BO354">
            <v>0</v>
          </cell>
          <cell r="BT354">
            <v>8927.1681324313504</v>
          </cell>
          <cell r="BU354">
            <v>6066.2995281474969</v>
          </cell>
          <cell r="BW354">
            <v>6057.5718917376098</v>
          </cell>
          <cell r="BX354">
            <v>7832.9340046631751</v>
          </cell>
          <cell r="BZ354">
            <v>1246.0348201875349</v>
          </cell>
          <cell r="CA354">
            <v>3922.7459205558744</v>
          </cell>
          <cell r="CC354">
            <v>388.00984036957936</v>
          </cell>
          <cell r="CD354">
            <v>386.41743987345768</v>
          </cell>
          <cell r="CF354">
            <v>47.766362924285339</v>
          </cell>
          <cell r="CG354">
            <v>0</v>
          </cell>
          <cell r="CI354">
            <v>845.40822050317809</v>
          </cell>
          <cell r="CJ354">
            <v>859.05645003601762</v>
          </cell>
          <cell r="CL354">
            <v>0</v>
          </cell>
          <cell r="CM354">
            <v>0</v>
          </cell>
          <cell r="CX354">
            <v>2894.2822309193361</v>
          </cell>
          <cell r="CY354">
            <v>10042.201743872902</v>
          </cell>
        </row>
        <row r="355">
          <cell r="I355">
            <v>2656.0751115994181</v>
          </cell>
          <cell r="J355">
            <v>2665.5872610589659</v>
          </cell>
          <cell r="L355">
            <v>503.71427423137993</v>
          </cell>
          <cell r="M355">
            <v>534.31632760234243</v>
          </cell>
          <cell r="O355">
            <v>1080.28</v>
          </cell>
          <cell r="P355">
            <v>1080.3</v>
          </cell>
          <cell r="R355">
            <v>0</v>
          </cell>
          <cell r="S355">
            <v>0</v>
          </cell>
          <cell r="U355">
            <v>215.74518364026076</v>
          </cell>
          <cell r="V355">
            <v>148.63785502052934</v>
          </cell>
          <cell r="X355">
            <v>2077.1344759252106</v>
          </cell>
          <cell r="Y355">
            <v>2029.9841696934948</v>
          </cell>
          <cell r="AA355">
            <v>0</v>
          </cell>
          <cell r="AB355">
            <v>0</v>
          </cell>
          <cell r="AD355">
            <v>3168.0348468097486</v>
          </cell>
          <cell r="AE355">
            <v>2961.4385369431479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1278.4738179064273</v>
          </cell>
          <cell r="AQ355">
            <v>5656.904018079319</v>
          </cell>
          <cell r="AS355">
            <v>11808.278902401395</v>
          </cell>
          <cell r="AT355">
            <v>2736</v>
          </cell>
          <cell r="AV355">
            <v>441.71427296130838</v>
          </cell>
          <cell r="AW355">
            <v>0</v>
          </cell>
          <cell r="AY355">
            <v>649.25535258521438</v>
          </cell>
          <cell r="AZ355">
            <v>0</v>
          </cell>
          <cell r="BB355">
            <v>427.07970210128394</v>
          </cell>
          <cell r="BC355">
            <v>0</v>
          </cell>
          <cell r="BE355">
            <v>0</v>
          </cell>
          <cell r="BF355">
            <v>0</v>
          </cell>
          <cell r="BH355">
            <v>218.86472282667671</v>
          </cell>
          <cell r="BI355">
            <v>0</v>
          </cell>
          <cell r="BK355">
            <v>324.72985377725348</v>
          </cell>
          <cell r="BL355">
            <v>0</v>
          </cell>
          <cell r="BN355">
            <v>0</v>
          </cell>
          <cell r="BO355">
            <v>0</v>
          </cell>
          <cell r="BT355">
            <v>9217.3597269508082</v>
          </cell>
          <cell r="BU355">
            <v>5864.4401814351368</v>
          </cell>
          <cell r="BW355">
            <v>4396.7506250323841</v>
          </cell>
          <cell r="BX355">
            <v>6899.2589875677477</v>
          </cell>
          <cell r="BZ355">
            <v>1133.2976406927414</v>
          </cell>
          <cell r="CA355">
            <v>6405.3406048639581</v>
          </cell>
          <cell r="CC355">
            <v>460.41546693001766</v>
          </cell>
          <cell r="CD355">
            <v>458.52591222887111</v>
          </cell>
          <cell r="CF355">
            <v>56.679934375854444</v>
          </cell>
          <cell r="CG355">
            <v>0</v>
          </cell>
          <cell r="CI355">
            <v>995.14842192071524</v>
          </cell>
          <cell r="CJ355">
            <v>476.87852979078076</v>
          </cell>
          <cell r="CL355">
            <v>0</v>
          </cell>
          <cell r="CM355">
            <v>0</v>
          </cell>
          <cell r="CX355">
            <v>2477.9812007982873</v>
          </cell>
          <cell r="CY355">
            <v>6307.6851388588511</v>
          </cell>
        </row>
        <row r="356">
          <cell r="I356">
            <v>2758.9381129065055</v>
          </cell>
          <cell r="J356">
            <v>2768.7438650392023</v>
          </cell>
          <cell r="L356">
            <v>566.74004116832782</v>
          </cell>
          <cell r="M356">
            <v>601.17125874350108</v>
          </cell>
          <cell r="O356">
            <v>1119.26</v>
          </cell>
          <cell r="P356">
            <v>1119.6199999999999</v>
          </cell>
          <cell r="R356">
            <v>0</v>
          </cell>
          <cell r="S356">
            <v>0</v>
          </cell>
          <cell r="U356">
            <v>215.74518364026076</v>
          </cell>
          <cell r="V356">
            <v>148.63785502052934</v>
          </cell>
          <cell r="X356">
            <v>2130.9804885181698</v>
          </cell>
          <cell r="Y356">
            <v>2146.9363412531311</v>
          </cell>
          <cell r="AA356">
            <v>0</v>
          </cell>
          <cell r="AB356">
            <v>0</v>
          </cell>
          <cell r="AD356">
            <v>3271.8662892077195</v>
          </cell>
          <cell r="AE356">
            <v>3058.0137877531538</v>
          </cell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P356">
            <v>2320.193225089442</v>
          </cell>
          <cell r="AQ356">
            <v>6081.171819435267</v>
          </cell>
          <cell r="AS356">
            <v>10493.984625076306</v>
          </cell>
          <cell r="AT356">
            <v>1410.0568842914286</v>
          </cell>
          <cell r="AV356">
            <v>452.10488610420913</v>
          </cell>
          <cell r="AW356">
            <v>0</v>
          </cell>
          <cell r="AY356">
            <v>730.47179917909421</v>
          </cell>
          <cell r="AZ356">
            <v>0</v>
          </cell>
          <cell r="BB356">
            <v>444.77862501958737</v>
          </cell>
          <cell r="BC356">
            <v>0</v>
          </cell>
          <cell r="BE356">
            <v>0</v>
          </cell>
          <cell r="BF356">
            <v>0</v>
          </cell>
          <cell r="BH356">
            <v>218.86472282667671</v>
          </cell>
          <cell r="BI356">
            <v>0</v>
          </cell>
          <cell r="BK356">
            <v>332.88209539186079</v>
          </cell>
          <cell r="BL356">
            <v>1154</v>
          </cell>
          <cell r="BN356">
            <v>0</v>
          </cell>
          <cell r="BO356">
            <v>0</v>
          </cell>
          <cell r="BT356">
            <v>7211.6336455395467</v>
          </cell>
          <cell r="BU356">
            <v>5005.0433769803121</v>
          </cell>
          <cell r="BW356">
            <v>4314.4312078981857</v>
          </cell>
          <cell r="BX356">
            <v>7028.1949590861714</v>
          </cell>
          <cell r="BZ356">
            <v>1200.1790118266381</v>
          </cell>
          <cell r="CA356">
            <v>5646.7023415567874</v>
          </cell>
          <cell r="CC356">
            <v>267.95474257234633</v>
          </cell>
          <cell r="CD356">
            <v>266.85505070730505</v>
          </cell>
          <cell r="CF356">
            <v>32.986852778792631</v>
          </cell>
          <cell r="CG356">
            <v>0</v>
          </cell>
          <cell r="CI356">
            <v>1129.2906856905922</v>
          </cell>
          <cell r="CJ356">
            <v>571.65044748875368</v>
          </cell>
          <cell r="CL356">
            <v>0</v>
          </cell>
          <cell r="CM356">
            <v>0</v>
          </cell>
          <cell r="CX356">
            <v>2202.6965114788982</v>
          </cell>
          <cell r="CY356">
            <v>4850.4824151733555</v>
          </cell>
        </row>
        <row r="357">
          <cell r="I357">
            <v>2777.6280587360443</v>
          </cell>
          <cell r="J357">
            <v>2787.4085212780737</v>
          </cell>
          <cell r="L357">
            <v>566.64124412410786</v>
          </cell>
          <cell r="M357">
            <v>601.06663443811578</v>
          </cell>
          <cell r="O357">
            <v>1100.42</v>
          </cell>
          <cell r="P357">
            <v>1100.6199999999999</v>
          </cell>
          <cell r="R357">
            <v>0</v>
          </cell>
          <cell r="S357">
            <v>0</v>
          </cell>
          <cell r="U357">
            <v>215.74518364026076</v>
          </cell>
          <cell r="V357">
            <v>148.63785502052934</v>
          </cell>
          <cell r="X357">
            <v>2175.2619825671864</v>
          </cell>
          <cell r="Y357">
            <v>2108.4355766821404</v>
          </cell>
          <cell r="AA357">
            <v>0</v>
          </cell>
          <cell r="AB357">
            <v>0</v>
          </cell>
          <cell r="AD357">
            <v>3254.4066437804699</v>
          </cell>
          <cell r="AE357">
            <v>3041.8646986333638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P357">
            <v>2367.5441072341246</v>
          </cell>
          <cell r="AQ357">
            <v>6792.3789504778997</v>
          </cell>
          <cell r="AS357">
            <v>10456.835606816183</v>
          </cell>
          <cell r="AT357">
            <v>10060.354645479478</v>
          </cell>
          <cell r="AV357">
            <v>453.16429572632046</v>
          </cell>
          <cell r="AW357">
            <v>0</v>
          </cell>
          <cell r="AY357">
            <v>730.31644067323475</v>
          </cell>
          <cell r="AZ357">
            <v>0</v>
          </cell>
          <cell r="BB357">
            <v>445.12412098971794</v>
          </cell>
          <cell r="BC357">
            <v>0</v>
          </cell>
          <cell r="BE357">
            <v>0</v>
          </cell>
          <cell r="BF357">
            <v>0</v>
          </cell>
          <cell r="BH357">
            <v>218.86472282667671</v>
          </cell>
          <cell r="BI357">
            <v>0</v>
          </cell>
          <cell r="BK357">
            <v>332.68755310226783</v>
          </cell>
          <cell r="BL357">
            <v>0</v>
          </cell>
          <cell r="BN357">
            <v>0</v>
          </cell>
          <cell r="BO357">
            <v>0</v>
          </cell>
          <cell r="BT357">
            <v>7037.6439696430089</v>
          </cell>
          <cell r="BU357">
            <v>4778.8968680073294</v>
          </cell>
          <cell r="BW357">
            <v>4292.2229936732056</v>
          </cell>
          <cell r="BX357">
            <v>7261.6533673933536</v>
          </cell>
          <cell r="BZ357">
            <v>1000.7634546194498</v>
          </cell>
          <cell r="CA357">
            <v>5097.9924525579072</v>
          </cell>
          <cell r="CC357">
            <v>533.36033647770364</v>
          </cell>
          <cell r="CD357">
            <v>531.1714145070398</v>
          </cell>
          <cell r="CF357">
            <v>65.659889907293049</v>
          </cell>
          <cell r="CG357">
            <v>0</v>
          </cell>
          <cell r="CI357">
            <v>1363.2597504054938</v>
          </cell>
          <cell r="CJ357">
            <v>681.96042237814788</v>
          </cell>
          <cell r="CL357">
            <v>0</v>
          </cell>
          <cell r="CM357">
            <v>0</v>
          </cell>
          <cell r="CX357">
            <v>2359.7595740686957</v>
          </cell>
          <cell r="CY357">
            <v>-4366.1096882240527</v>
          </cell>
        </row>
        <row r="358">
          <cell r="I358">
            <v>2778.1929466304364</v>
          </cell>
          <cell r="J358">
            <v>2787.8858666790838</v>
          </cell>
          <cell r="L358">
            <v>566.74004116832782</v>
          </cell>
          <cell r="M358">
            <v>601.17125874350108</v>
          </cell>
          <cell r="O358">
            <v>1107.8</v>
          </cell>
          <cell r="P358">
            <v>1108.1199999999999</v>
          </cell>
          <cell r="R358">
            <v>0</v>
          </cell>
          <cell r="S358">
            <v>0</v>
          </cell>
          <cell r="U358">
            <v>215.74518364026076</v>
          </cell>
          <cell r="V358">
            <v>148.63785502052934</v>
          </cell>
          <cell r="X358">
            <v>2177.022237656608</v>
          </cell>
          <cell r="Y358">
            <v>2110.2489036098273</v>
          </cell>
          <cell r="AA358">
            <v>0</v>
          </cell>
          <cell r="AB358">
            <v>0</v>
          </cell>
          <cell r="AD358">
            <v>3245.2136059840814</v>
          </cell>
          <cell r="AE358">
            <v>3033.2034252159974</v>
          </cell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P358">
            <v>2367.5441072341246</v>
          </cell>
          <cell r="AQ358">
            <v>6081.171819435267</v>
          </cell>
          <cell r="AS358">
            <v>12621.42003831797</v>
          </cell>
          <cell r="AT358">
            <v>106.50771057959616</v>
          </cell>
          <cell r="AV358">
            <v>453.28676417768395</v>
          </cell>
          <cell r="AW358">
            <v>0</v>
          </cell>
          <cell r="AY358">
            <v>730.47179917909421</v>
          </cell>
          <cell r="AZ358">
            <v>0</v>
          </cell>
          <cell r="BB358">
            <v>459.8961907599396</v>
          </cell>
          <cell r="BC358">
            <v>0</v>
          </cell>
          <cell r="BE358">
            <v>0</v>
          </cell>
          <cell r="BF358">
            <v>0</v>
          </cell>
          <cell r="BH358">
            <v>218.86472282667671</v>
          </cell>
          <cell r="BI358">
            <v>0</v>
          </cell>
          <cell r="BK358">
            <v>332.96178169220053</v>
          </cell>
          <cell r="BL358">
            <v>0</v>
          </cell>
          <cell r="BN358">
            <v>0</v>
          </cell>
          <cell r="BO358">
            <v>0</v>
          </cell>
          <cell r="BT358">
            <v>6723.6643196308278</v>
          </cell>
          <cell r="BU358">
            <v>5062.3917372281167</v>
          </cell>
          <cell r="BW358">
            <v>4356.0237914334512</v>
          </cell>
          <cell r="BX358">
            <v>8656.2116845760629</v>
          </cell>
          <cell r="BZ358">
            <v>1086.0347547902604</v>
          </cell>
          <cell r="CA358">
            <v>5430.3193691336755</v>
          </cell>
          <cell r="CC358">
            <v>534.04664573420064</v>
          </cell>
          <cell r="CD358">
            <v>531.85490713600109</v>
          </cell>
          <cell r="CF358">
            <v>65.744378736217868</v>
          </cell>
          <cell r="CG358">
            <v>0</v>
          </cell>
          <cell r="CI358">
            <v>1625.3051028861832</v>
          </cell>
          <cell r="CJ358">
            <v>1609.3309979598196</v>
          </cell>
          <cell r="CL358">
            <v>0</v>
          </cell>
          <cell r="CM358">
            <v>0</v>
          </cell>
          <cell r="CX358">
            <v>993.98590502575098</v>
          </cell>
          <cell r="CY358">
            <v>6272.6933576190349</v>
          </cell>
        </row>
        <row r="359">
          <cell r="I359">
            <v>3649.6443592769765</v>
          </cell>
          <cell r="J359">
            <v>3663.0725322654057</v>
          </cell>
          <cell r="L359">
            <v>756.80367860837407</v>
          </cell>
          <cell r="M359">
            <v>802.78229522082893</v>
          </cell>
          <cell r="O359">
            <v>1526.52</v>
          </cell>
          <cell r="P359">
            <v>1527</v>
          </cell>
          <cell r="R359">
            <v>0</v>
          </cell>
          <cell r="S359">
            <v>0</v>
          </cell>
          <cell r="U359">
            <v>333.92254251606141</v>
          </cell>
          <cell r="V359">
            <v>230.05580257176541</v>
          </cell>
          <cell r="X359">
            <v>3479.0806454213562</v>
          </cell>
          <cell r="Y359">
            <v>3346.6682022652767</v>
          </cell>
          <cell r="AA359">
            <v>0</v>
          </cell>
          <cell r="AB359">
            <v>0</v>
          </cell>
          <cell r="AD359">
            <v>4399.9945545423816</v>
          </cell>
          <cell r="AE359">
            <v>4112.739858516431</v>
          </cell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P359">
            <v>3030.4564572596792</v>
          </cell>
          <cell r="AQ359">
            <v>7919.6656253110459</v>
          </cell>
          <cell r="AS359">
            <v>11340.274240181296</v>
          </cell>
          <cell r="AT359">
            <v>18978</v>
          </cell>
          <cell r="AV359">
            <v>598.88698825376764</v>
          </cell>
          <cell r="AW359">
            <v>0</v>
          </cell>
          <cell r="AY359">
            <v>975.42236566356132</v>
          </cell>
          <cell r="AZ359">
            <v>0</v>
          </cell>
          <cell r="BB359">
            <v>577.63982887433463</v>
          </cell>
          <cell r="BC359">
            <v>0</v>
          </cell>
          <cell r="BE359">
            <v>0</v>
          </cell>
          <cell r="BF359">
            <v>0</v>
          </cell>
          <cell r="BH359">
            <v>338.81178137477229</v>
          </cell>
          <cell r="BI359">
            <v>0</v>
          </cell>
          <cell r="BK359">
            <v>542.52466217651158</v>
          </cell>
          <cell r="BL359">
            <v>0</v>
          </cell>
          <cell r="BN359">
            <v>0</v>
          </cell>
          <cell r="BO359">
            <v>0</v>
          </cell>
          <cell r="BT359">
            <v>9701.4049703898236</v>
          </cell>
          <cell r="BU359">
            <v>6207.325564322492</v>
          </cell>
          <cell r="BW359">
            <v>5843.3138407786018</v>
          </cell>
          <cell r="BX359">
            <v>9504.1622695514434</v>
          </cell>
          <cell r="BZ359">
            <v>1344.4247819230857</v>
          </cell>
          <cell r="CA359">
            <v>6642.1919071351285</v>
          </cell>
          <cell r="CC359">
            <v>628.16905805379542</v>
          </cell>
          <cell r="CD359">
            <v>625.59103910783165</v>
          </cell>
          <cell r="CF359">
            <v>77.331418131622542</v>
          </cell>
          <cell r="CG359">
            <v>0</v>
          </cell>
          <cell r="CI359">
            <v>1709.5339661835483</v>
          </cell>
          <cell r="CJ359">
            <v>299.80420461408505</v>
          </cell>
          <cell r="CL359">
            <v>0</v>
          </cell>
          <cell r="CM359">
            <v>0</v>
          </cell>
          <cell r="CX359">
            <v>3050.1278324685263</v>
          </cell>
          <cell r="CY359">
            <v>-12555.751161058091</v>
          </cell>
        </row>
        <row r="360">
          <cell r="I360">
            <v>1134.4087391639241</v>
          </cell>
          <cell r="J360">
            <v>1400.5601455251208</v>
          </cell>
          <cell r="L360">
            <v>183.50494815442332</v>
          </cell>
          <cell r="M360">
            <v>224.64198380231329</v>
          </cell>
          <cell r="O360">
            <v>571.86</v>
          </cell>
          <cell r="P360">
            <v>571.86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X360">
            <v>831.78554509951391</v>
          </cell>
          <cell r="Y360">
            <v>692.03444870383373</v>
          </cell>
          <cell r="AA360">
            <v>0</v>
          </cell>
          <cell r="AB360">
            <v>0</v>
          </cell>
          <cell r="AD360">
            <v>1707.8312518346854</v>
          </cell>
          <cell r="AE360">
            <v>1409.322422041372</v>
          </cell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P360">
            <v>662.91235002555482</v>
          </cell>
          <cell r="AQ360">
            <v>0</v>
          </cell>
          <cell r="AS360">
            <v>3683.3147317466046</v>
          </cell>
          <cell r="AT360">
            <v>3879.3413483419163</v>
          </cell>
          <cell r="AV360">
            <v>206.85511576985931</v>
          </cell>
          <cell r="AW360">
            <v>0</v>
          </cell>
          <cell r="AY360">
            <v>236.50164632888067</v>
          </cell>
          <cell r="AZ360">
            <v>0</v>
          </cell>
          <cell r="BB360">
            <v>321.47611055472277</v>
          </cell>
          <cell r="BC360">
            <v>813</v>
          </cell>
          <cell r="BE360">
            <v>0</v>
          </cell>
          <cell r="BF360">
            <v>0</v>
          </cell>
          <cell r="BH360">
            <v>0</v>
          </cell>
          <cell r="BI360">
            <v>0</v>
          </cell>
          <cell r="BK360">
            <v>107.5901330625987</v>
          </cell>
          <cell r="BL360">
            <v>0</v>
          </cell>
          <cell r="BN360">
            <v>0</v>
          </cell>
          <cell r="BO360">
            <v>0</v>
          </cell>
          <cell r="BT360">
            <v>5522.1722812518246</v>
          </cell>
          <cell r="BU360">
            <v>4076.9533581602318</v>
          </cell>
          <cell r="BW360">
            <v>3838.1286899508691</v>
          </cell>
          <cell r="BX360">
            <v>3951.9459069958912</v>
          </cell>
          <cell r="BZ360">
            <v>1106.941303331874</v>
          </cell>
          <cell r="CA360">
            <v>3730.0750969432961</v>
          </cell>
          <cell r="CC360">
            <v>90.200645139611623</v>
          </cell>
          <cell r="CD360">
            <v>89.830459806337615</v>
          </cell>
          <cell r="CF360">
            <v>11.104246087262796</v>
          </cell>
          <cell r="CG360">
            <v>0</v>
          </cell>
          <cell r="CI360">
            <v>405.54637883916297</v>
          </cell>
          <cell r="CJ360">
            <v>594.9187788452175</v>
          </cell>
          <cell r="CL360">
            <v>0</v>
          </cell>
          <cell r="CM360">
            <v>0</v>
          </cell>
          <cell r="CX360">
            <v>-1810.5409396096511</v>
          </cell>
          <cell r="CY360">
            <v>-2785.3607389986319</v>
          </cell>
        </row>
        <row r="361">
          <cell r="I361">
            <v>2167.9346126913233</v>
          </cell>
          <cell r="J361">
            <v>2695.8039408908144</v>
          </cell>
          <cell r="L361">
            <v>401.2352871982776</v>
          </cell>
          <cell r="M361">
            <v>491.18172002569764</v>
          </cell>
          <cell r="O361">
            <v>1093.96</v>
          </cell>
          <cell r="P361">
            <v>1093.96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X361">
            <v>1740.4040463873091</v>
          </cell>
          <cell r="Y361">
            <v>1502.5230709901539</v>
          </cell>
          <cell r="AA361">
            <v>0</v>
          </cell>
          <cell r="AB361">
            <v>0</v>
          </cell>
          <cell r="AD361">
            <v>3202.6904613863671</v>
          </cell>
          <cell r="AE361">
            <v>3045.0104134373105</v>
          </cell>
          <cell r="AJ361">
            <v>0</v>
          </cell>
          <cell r="AK361">
            <v>0</v>
          </cell>
          <cell r="AM361">
            <v>0</v>
          </cell>
          <cell r="AN361">
            <v>0</v>
          </cell>
          <cell r="AP361">
            <v>1965.0616090043234</v>
          </cell>
          <cell r="AQ361">
            <v>566.06687342013572</v>
          </cell>
          <cell r="AS361">
            <v>7213.2346298301954</v>
          </cell>
          <cell r="AT361">
            <v>27932</v>
          </cell>
          <cell r="AV361">
            <v>352.68684170543713</v>
          </cell>
          <cell r="AW361">
            <v>1454</v>
          </cell>
          <cell r="AY361">
            <v>517.13191296797083</v>
          </cell>
          <cell r="AZ361">
            <v>0</v>
          </cell>
          <cell r="BB361">
            <v>452.13417831518331</v>
          </cell>
          <cell r="BC361">
            <v>929</v>
          </cell>
          <cell r="BE361">
            <v>0</v>
          </cell>
          <cell r="BF361">
            <v>0</v>
          </cell>
          <cell r="BH361">
            <v>0</v>
          </cell>
          <cell r="BI361">
            <v>0</v>
          </cell>
          <cell r="BK361">
            <v>242.89643245310197</v>
          </cell>
          <cell r="BL361">
            <v>127</v>
          </cell>
          <cell r="BN361">
            <v>0</v>
          </cell>
          <cell r="BO361">
            <v>0</v>
          </cell>
          <cell r="BT361">
            <v>5681.0087383889841</v>
          </cell>
          <cell r="BU361">
            <v>4401.4698759597904</v>
          </cell>
          <cell r="BW361">
            <v>3578.8987052293305</v>
          </cell>
          <cell r="BX361">
            <v>2968.923451941565</v>
          </cell>
          <cell r="BZ361">
            <v>1821.5198302936435</v>
          </cell>
          <cell r="CA361">
            <v>3817.327168454955</v>
          </cell>
          <cell r="CC361">
            <v>0</v>
          </cell>
          <cell r="CD361">
            <v>0</v>
          </cell>
          <cell r="CF361">
            <v>0</v>
          </cell>
          <cell r="CG361">
            <v>0</v>
          </cell>
          <cell r="CI361">
            <v>705.0267816742371</v>
          </cell>
          <cell r="CJ361">
            <v>518.82994072068811</v>
          </cell>
          <cell r="CL361">
            <v>0</v>
          </cell>
          <cell r="CM361">
            <v>0</v>
          </cell>
          <cell r="CX361">
            <v>952.73111896918272</v>
          </cell>
          <cell r="CY361">
            <v>-23535.995747009318</v>
          </cell>
        </row>
        <row r="362">
          <cell r="I362">
            <v>1497.8151295046302</v>
          </cell>
          <cell r="J362">
            <v>1835.4166758639735</v>
          </cell>
          <cell r="L362">
            <v>284.01134361977034</v>
          </cell>
          <cell r="M362">
            <v>347.67889941347016</v>
          </cell>
          <cell r="O362">
            <v>658.1</v>
          </cell>
          <cell r="P362">
            <v>658.1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X362">
            <v>1248.5973688477427</v>
          </cell>
          <cell r="Y362">
            <v>1062.4784974252982</v>
          </cell>
          <cell r="AA362">
            <v>0</v>
          </cell>
          <cell r="AB362">
            <v>0</v>
          </cell>
          <cell r="AD362">
            <v>1942.9022167584653</v>
          </cell>
          <cell r="AE362">
            <v>1816.0744682877917</v>
          </cell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P362">
            <v>710.2632321702373</v>
          </cell>
          <cell r="AQ362">
            <v>1626.359905197804</v>
          </cell>
          <cell r="AS362">
            <v>5078.4463239358784</v>
          </cell>
          <cell r="AT362">
            <v>601.67753088256745</v>
          </cell>
          <cell r="AV362">
            <v>285.07723534860406</v>
          </cell>
          <cell r="AW362">
            <v>0</v>
          </cell>
          <cell r="AY362">
            <v>366.07109162011398</v>
          </cell>
          <cell r="AZ362">
            <v>0</v>
          </cell>
          <cell r="BB362">
            <v>294.87116698901576</v>
          </cell>
          <cell r="BC362">
            <v>0</v>
          </cell>
          <cell r="BE362">
            <v>0</v>
          </cell>
          <cell r="BF362">
            <v>0</v>
          </cell>
          <cell r="BH362">
            <v>0</v>
          </cell>
          <cell r="BI362">
            <v>0</v>
          </cell>
          <cell r="BK362">
            <v>169.92476655434263</v>
          </cell>
          <cell r="BL362">
            <v>0</v>
          </cell>
          <cell r="BN362">
            <v>0</v>
          </cell>
          <cell r="BO362">
            <v>0</v>
          </cell>
          <cell r="BT362">
            <v>4012.6225971890826</v>
          </cell>
          <cell r="BU362">
            <v>3801.7313427920881</v>
          </cell>
          <cell r="BW362">
            <v>3113.1691619147637</v>
          </cell>
          <cell r="BX362">
            <v>3173.0774534833381</v>
          </cell>
          <cell r="BZ362">
            <v>2250.3334435367028</v>
          </cell>
          <cell r="CA362">
            <v>3554.4072730194798</v>
          </cell>
          <cell r="CC362">
            <v>159.32179168681401</v>
          </cell>
          <cell r="CD362">
            <v>158.66793172315067</v>
          </cell>
          <cell r="CF362">
            <v>19.613478143263091</v>
          </cell>
          <cell r="CG362">
            <v>0</v>
          </cell>
          <cell r="CI362">
            <v>1123.0515106315281</v>
          </cell>
          <cell r="CJ362">
            <v>664.85502125313792</v>
          </cell>
          <cell r="CL362">
            <v>0</v>
          </cell>
          <cell r="CM362">
            <v>0</v>
          </cell>
          <cell r="CX362">
            <v>-1127.5302301411466</v>
          </cell>
          <cell r="CY362">
            <v>3568.870000789484</v>
          </cell>
        </row>
        <row r="363">
          <cell r="I363">
            <v>1141.4247850654117</v>
          </cell>
          <cell r="J363">
            <v>1419.2797123357689</v>
          </cell>
          <cell r="L363">
            <v>165.94921813306564</v>
          </cell>
          <cell r="M363">
            <v>203.14976498112986</v>
          </cell>
          <cell r="O363">
            <v>552.44000000000005</v>
          </cell>
          <cell r="P363">
            <v>552.46</v>
          </cell>
          <cell r="R363">
            <v>128.08000000000001</v>
          </cell>
          <cell r="S363">
            <v>128.08000000000001</v>
          </cell>
          <cell r="U363">
            <v>65.029090713311319</v>
          </cell>
          <cell r="V363">
            <v>211.36909524950104</v>
          </cell>
          <cell r="X363">
            <v>673.98181878263131</v>
          </cell>
          <cell r="Y363">
            <v>507.389070531014</v>
          </cell>
          <cell r="AA363">
            <v>0</v>
          </cell>
          <cell r="AB363">
            <v>0</v>
          </cell>
          <cell r="AD363">
            <v>1714.1808616614935</v>
          </cell>
          <cell r="AE363">
            <v>1602.2834654462758</v>
          </cell>
          <cell r="AJ363">
            <v>3265.8293363628704</v>
          </cell>
          <cell r="AK363">
            <v>3252.4207548198938</v>
          </cell>
          <cell r="AM363">
            <v>0</v>
          </cell>
          <cell r="AN363">
            <v>0</v>
          </cell>
          <cell r="AP363">
            <v>378.80705715745989</v>
          </cell>
          <cell r="AQ363">
            <v>2028.4062964221532</v>
          </cell>
          <cell r="AS363">
            <v>5276.0978004397211</v>
          </cell>
          <cell r="AT363">
            <v>4901</v>
          </cell>
          <cell r="AV363">
            <v>36.072648069418491</v>
          </cell>
          <cell r="AW363">
            <v>0</v>
          </cell>
          <cell r="AY363">
            <v>44.309609545266404</v>
          </cell>
          <cell r="AZ363">
            <v>0</v>
          </cell>
          <cell r="BB363">
            <v>56.364639436687078</v>
          </cell>
          <cell r="BC363">
            <v>0</v>
          </cell>
          <cell r="BE363">
            <v>28.814221575132017</v>
          </cell>
          <cell r="BF363">
            <v>0</v>
          </cell>
          <cell r="BH363">
            <v>13.192247063076561</v>
          </cell>
          <cell r="BI363">
            <v>0</v>
          </cell>
          <cell r="BK363">
            <v>26.036353088784878</v>
          </cell>
          <cell r="BL363">
            <v>0</v>
          </cell>
          <cell r="BN363">
            <v>0</v>
          </cell>
          <cell r="BO363">
            <v>0</v>
          </cell>
          <cell r="BT363">
            <v>6439.0844981766213</v>
          </cell>
          <cell r="BU363">
            <v>4839.3233637242283</v>
          </cell>
          <cell r="BW363">
            <v>3947.4267491267537</v>
          </cell>
          <cell r="BX363">
            <v>4525.6513652069043</v>
          </cell>
          <cell r="BZ363">
            <v>1622.9880652688855</v>
          </cell>
          <cell r="CA363">
            <v>4595.0397751831988</v>
          </cell>
          <cell r="CC363">
            <v>0</v>
          </cell>
          <cell r="CD363">
            <v>0</v>
          </cell>
          <cell r="CF363">
            <v>0</v>
          </cell>
          <cell r="CG363">
            <v>0</v>
          </cell>
          <cell r="CI363">
            <v>661.35255626078879</v>
          </cell>
          <cell r="CJ363">
            <v>453.60296427392552</v>
          </cell>
          <cell r="CL363">
            <v>1250.954599342341</v>
          </cell>
          <cell r="CM363">
            <v>702.15090569908045</v>
          </cell>
          <cell r="CX363">
            <v>824.86061367634102</v>
          </cell>
          <cell r="CY363">
            <v>-2094.9678406476887</v>
          </cell>
        </row>
        <row r="364">
          <cell r="I364">
            <v>1446.3854813702051</v>
          </cell>
          <cell r="J364">
            <v>1794.7169525425252</v>
          </cell>
          <cell r="L364">
            <v>291.11264058742955</v>
          </cell>
          <cell r="M364">
            <v>356.37238118383641</v>
          </cell>
          <cell r="O364">
            <v>721.72</v>
          </cell>
          <cell r="P364">
            <v>721.74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975.23023642926421</v>
          </cell>
          <cell r="Y364">
            <v>811.59779689672757</v>
          </cell>
          <cell r="AA364">
            <v>0</v>
          </cell>
          <cell r="AB364">
            <v>0</v>
          </cell>
          <cell r="AD364">
            <v>2144.8782456152462</v>
          </cell>
          <cell r="AE364">
            <v>2004.9582629920055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1160.096612544721</v>
          </cell>
          <cell r="AQ364">
            <v>0</v>
          </cell>
          <cell r="AS364">
            <v>5455.7119872444182</v>
          </cell>
          <cell r="AT364">
            <v>77.947865224178514</v>
          </cell>
          <cell r="AV364">
            <v>243.31189059781519</v>
          </cell>
          <cell r="AW364">
            <v>0</v>
          </cell>
          <cell r="AY364">
            <v>375.19980445508031</v>
          </cell>
          <cell r="AZ364">
            <v>0</v>
          </cell>
          <cell r="BB364">
            <v>356.99056120096998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  <cell r="BK364">
            <v>121.28325832554735</v>
          </cell>
          <cell r="BL364">
            <v>0</v>
          </cell>
          <cell r="BN364">
            <v>0</v>
          </cell>
          <cell r="BO364">
            <v>0</v>
          </cell>
          <cell r="BT364">
            <v>4384.1881519465514</v>
          </cell>
          <cell r="BU364">
            <v>3443.7536790778222</v>
          </cell>
          <cell r="BW364">
            <v>2200.3260089606974</v>
          </cell>
          <cell r="BX364">
            <v>1842.221982067631</v>
          </cell>
          <cell r="BZ364">
            <v>1548.7230782858821</v>
          </cell>
          <cell r="CA364">
            <v>2499.6174559377901</v>
          </cell>
          <cell r="CC364">
            <v>87.749540652122192</v>
          </cell>
          <cell r="CD364">
            <v>87.389414702904531</v>
          </cell>
          <cell r="CF364">
            <v>10.802500269674134</v>
          </cell>
          <cell r="CG364">
            <v>0</v>
          </cell>
          <cell r="CI364">
            <v>683.18966896751294</v>
          </cell>
          <cell r="CJ364">
            <v>306.02190777421629</v>
          </cell>
          <cell r="CL364">
            <v>0</v>
          </cell>
          <cell r="CM364">
            <v>0</v>
          </cell>
          <cell r="CX364">
            <v>1334.8803990562301</v>
          </cell>
          <cell r="CY364">
            <v>11247.554761920437</v>
          </cell>
        </row>
        <row r="365">
          <cell r="I365">
            <v>1037.0193128204085</v>
          </cell>
          <cell r="J365">
            <v>1278.4968279654452</v>
          </cell>
          <cell r="L365">
            <v>173.14849523844586</v>
          </cell>
          <cell r="M365">
            <v>211.9639895538624</v>
          </cell>
          <cell r="O365">
            <v>457.82</v>
          </cell>
          <cell r="P365">
            <v>457.84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543.11000195968768</v>
          </cell>
          <cell r="Y365">
            <v>434.0699169554332</v>
          </cell>
          <cell r="AA365">
            <v>0</v>
          </cell>
          <cell r="AB365">
            <v>0</v>
          </cell>
          <cell r="AD365">
            <v>1319.7639082669768</v>
          </cell>
          <cell r="AE365">
            <v>1233.6028042913838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947.01764289364974</v>
          </cell>
          <cell r="AQ365">
            <v>424.55015506510182</v>
          </cell>
          <cell r="AS365">
            <v>3451.4727406228981</v>
          </cell>
          <cell r="AT365">
            <v>0</v>
          </cell>
          <cell r="AV365">
            <v>168.57610194819171</v>
          </cell>
          <cell r="AW365">
            <v>0</v>
          </cell>
          <cell r="AY365">
            <v>223.14847341612153</v>
          </cell>
          <cell r="AZ365">
            <v>0</v>
          </cell>
          <cell r="BB365">
            <v>199.49280718540049</v>
          </cell>
          <cell r="BC365">
            <v>839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  <cell r="BK365">
            <v>64.946753943193258</v>
          </cell>
          <cell r="BL365">
            <v>0</v>
          </cell>
          <cell r="BN365">
            <v>0</v>
          </cell>
          <cell r="BO365">
            <v>0</v>
          </cell>
          <cell r="BT365">
            <v>4078.8596678404492</v>
          </cell>
          <cell r="BU365">
            <v>3120.2629188751689</v>
          </cell>
          <cell r="BW365">
            <v>1346.3838626508095</v>
          </cell>
          <cell r="BX365">
            <v>1407.528122224257</v>
          </cell>
          <cell r="BZ365">
            <v>993.39558158154591</v>
          </cell>
          <cell r="CA365">
            <v>2833.3090259291689</v>
          </cell>
          <cell r="CC365">
            <v>0</v>
          </cell>
          <cell r="CD365">
            <v>0</v>
          </cell>
          <cell r="CF365">
            <v>0</v>
          </cell>
          <cell r="CG365">
            <v>0</v>
          </cell>
          <cell r="CI365">
            <v>96.707213415492689</v>
          </cell>
          <cell r="CJ365">
            <v>6.2115024512243497</v>
          </cell>
          <cell r="CL365">
            <v>0</v>
          </cell>
          <cell r="CM365">
            <v>0</v>
          </cell>
          <cell r="CX365">
            <v>362.14492346007682</v>
          </cell>
          <cell r="CY365">
            <v>3786.9776840267459</v>
          </cell>
        </row>
        <row r="366">
          <cell r="I366">
            <v>1860.9293534972662</v>
          </cell>
          <cell r="J366">
            <v>2296.3247495267524</v>
          </cell>
          <cell r="L366">
            <v>381.40992095130531</v>
          </cell>
          <cell r="M366">
            <v>466.91241675009167</v>
          </cell>
          <cell r="O366">
            <v>783.78</v>
          </cell>
          <cell r="P366">
            <v>783.8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1271.6358269656419</v>
          </cell>
          <cell r="Y366">
            <v>1076.9995063061328</v>
          </cell>
          <cell r="AA366">
            <v>0</v>
          </cell>
          <cell r="AB366">
            <v>0</v>
          </cell>
          <cell r="AD366">
            <v>2423.2206256550508</v>
          </cell>
          <cell r="AE366">
            <v>2214.0474692152375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1515.2282286298396</v>
          </cell>
          <cell r="AQ366">
            <v>0</v>
          </cell>
          <cell r="AS366">
            <v>7242.3613606206154</v>
          </cell>
          <cell r="AT366">
            <v>0</v>
          </cell>
          <cell r="AV366">
            <v>309.80614720746934</v>
          </cell>
          <cell r="AW366">
            <v>0</v>
          </cell>
          <cell r="AY366">
            <v>491.57143533941519</v>
          </cell>
          <cell r="AZ366">
            <v>0</v>
          </cell>
          <cell r="BB366">
            <v>365.94411287080538</v>
          </cell>
          <cell r="BC366">
            <v>626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  <cell r="BK366">
            <v>175.46952701896416</v>
          </cell>
          <cell r="BL366">
            <v>0</v>
          </cell>
          <cell r="BN366">
            <v>0</v>
          </cell>
          <cell r="BO366">
            <v>0</v>
          </cell>
          <cell r="BT366">
            <v>2960.1748904102883</v>
          </cell>
          <cell r="BU366">
            <v>2837.599803143964</v>
          </cell>
          <cell r="BW366">
            <v>3517.5694373738961</v>
          </cell>
          <cell r="BX366">
            <v>3601.5533907488339</v>
          </cell>
          <cell r="BZ366">
            <v>1716.9748089034902</v>
          </cell>
          <cell r="CA366">
            <v>2738.98054032764</v>
          </cell>
          <cell r="CC366">
            <v>116.67257360449764</v>
          </cell>
          <cell r="CD366">
            <v>116.19374692341495</v>
          </cell>
          <cell r="CF366">
            <v>14.363100917220356</v>
          </cell>
          <cell r="CG366">
            <v>0</v>
          </cell>
          <cell r="CI366">
            <v>851.64739556224197</v>
          </cell>
          <cell r="CJ366">
            <v>675.73135125168733</v>
          </cell>
          <cell r="CL366">
            <v>0</v>
          </cell>
          <cell r="CM366">
            <v>0</v>
          </cell>
          <cell r="CX366">
            <v>-607.11049463361269</v>
          </cell>
          <cell r="CY366">
            <v>9670.4284309674949</v>
          </cell>
        </row>
        <row r="367">
          <cell r="I367">
            <v>895.71560893201013</v>
          </cell>
          <cell r="J367">
            <v>1100.0893591454842</v>
          </cell>
          <cell r="L367">
            <v>155.14830105407276</v>
          </cell>
          <cell r="M367">
            <v>189.92842812203111</v>
          </cell>
          <cell r="O367">
            <v>363.24</v>
          </cell>
          <cell r="P367">
            <v>363.28</v>
          </cell>
          <cell r="R367">
            <v>0</v>
          </cell>
          <cell r="S367">
            <v>0</v>
          </cell>
          <cell r="U367">
            <v>0</v>
          </cell>
          <cell r="V367">
            <v>0</v>
          </cell>
          <cell r="X367">
            <v>513.13167791653711</v>
          </cell>
          <cell r="Y367">
            <v>412.21719278594071</v>
          </cell>
          <cell r="AA367">
            <v>0</v>
          </cell>
          <cell r="AB367">
            <v>0</v>
          </cell>
          <cell r="AD367">
            <v>1065.1096349211227</v>
          </cell>
          <cell r="AE367">
            <v>995.6024688484938</v>
          </cell>
          <cell r="AJ367">
            <v>0</v>
          </cell>
          <cell r="AK367">
            <v>0</v>
          </cell>
          <cell r="AM367">
            <v>0</v>
          </cell>
          <cell r="AN367">
            <v>0</v>
          </cell>
          <cell r="AP367">
            <v>757.61411431491979</v>
          </cell>
          <cell r="AQ367">
            <v>353.79179588758484</v>
          </cell>
          <cell r="AS367">
            <v>3364.7835167501908</v>
          </cell>
          <cell r="AT367">
            <v>530</v>
          </cell>
          <cell r="AV367">
            <v>148.66895006333297</v>
          </cell>
          <cell r="AW367">
            <v>0</v>
          </cell>
          <cell r="AY367">
            <v>199.98679498901538</v>
          </cell>
          <cell r="AZ367">
            <v>0</v>
          </cell>
          <cell r="BB367">
            <v>151.15206599134754</v>
          </cell>
          <cell r="BC367">
            <v>610</v>
          </cell>
          <cell r="BE367">
            <v>0</v>
          </cell>
          <cell r="BF367">
            <v>0</v>
          </cell>
          <cell r="BH367">
            <v>0</v>
          </cell>
          <cell r="BI367">
            <v>0</v>
          </cell>
          <cell r="BK367">
            <v>60.056169810574971</v>
          </cell>
          <cell r="BL367">
            <v>127</v>
          </cell>
          <cell r="BN367">
            <v>0</v>
          </cell>
          <cell r="BO367">
            <v>0</v>
          </cell>
          <cell r="BT367">
            <v>3350.2279893416048</v>
          </cell>
          <cell r="BU367">
            <v>2488.1622076753242</v>
          </cell>
          <cell r="BW367">
            <v>1582.877048874811</v>
          </cell>
          <cell r="BX367">
            <v>1300.6793865914456</v>
          </cell>
          <cell r="BZ367">
            <v>912.85652071255254</v>
          </cell>
          <cell r="CA367">
            <v>1723.512598195256</v>
          </cell>
          <cell r="CC367">
            <v>41.178555389822705</v>
          </cell>
          <cell r="CD367">
            <v>41.009557737675863</v>
          </cell>
          <cell r="CF367">
            <v>5.0693297354895366</v>
          </cell>
          <cell r="CG367">
            <v>0</v>
          </cell>
          <cell r="CI367">
            <v>280.76287765788203</v>
          </cell>
          <cell r="CJ367">
            <v>240.7763292007331</v>
          </cell>
          <cell r="CL367">
            <v>0</v>
          </cell>
          <cell r="CM367">
            <v>0</v>
          </cell>
          <cell r="CX367">
            <v>416.1450122536553</v>
          </cell>
          <cell r="CY367">
            <v>4461.9808109720352</v>
          </cell>
        </row>
      </sheetData>
      <sheetData sheetId="4"/>
      <sheetData sheetId="5"/>
      <sheetData sheetId="6"/>
      <sheetData sheetId="7">
        <row r="11"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65.647448675769112</v>
          </cell>
          <cell r="AF11">
            <v>0</v>
          </cell>
          <cell r="AH11">
            <v>73.651218393822916</v>
          </cell>
          <cell r="AI11">
            <v>0</v>
          </cell>
          <cell r="AK11">
            <v>43.544938300567878</v>
          </cell>
          <cell r="AL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T11">
            <v>26.345569159282459</v>
          </cell>
          <cell r="AU11">
            <v>0</v>
          </cell>
          <cell r="AW11">
            <v>0</v>
          </cell>
          <cell r="AX11">
            <v>0</v>
          </cell>
        </row>
        <row r="12"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884</v>
          </cell>
          <cell r="AE12">
            <v>212.61335910407598</v>
          </cell>
          <cell r="AF12">
            <v>864</v>
          </cell>
          <cell r="AH12">
            <v>357.35999522309328</v>
          </cell>
          <cell r="AI12">
            <v>0</v>
          </cell>
          <cell r="AK12">
            <v>242.54952035302418</v>
          </cell>
          <cell r="AL12">
            <v>0</v>
          </cell>
          <cell r="AN12">
            <v>0</v>
          </cell>
          <cell r="AO12">
            <v>0</v>
          </cell>
          <cell r="AQ12">
            <v>0</v>
          </cell>
          <cell r="AR12">
            <v>0</v>
          </cell>
          <cell r="AT12">
            <v>108.30800270624789</v>
          </cell>
          <cell r="AU12">
            <v>0</v>
          </cell>
          <cell r="AW12">
            <v>67.149090736659304</v>
          </cell>
          <cell r="AX12">
            <v>0</v>
          </cell>
        </row>
        <row r="13"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X13">
            <v>67.804273740407453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884</v>
          </cell>
          <cell r="AE13">
            <v>289.4167974824482</v>
          </cell>
          <cell r="AF13">
            <v>0</v>
          </cell>
          <cell r="AH13">
            <v>424.54339453418447</v>
          </cell>
          <cell r="AI13">
            <v>0</v>
          </cell>
          <cell r="AK13">
            <v>334.69292906585082</v>
          </cell>
          <cell r="AL13">
            <v>0</v>
          </cell>
          <cell r="AN13">
            <v>0</v>
          </cell>
          <cell r="AO13">
            <v>0</v>
          </cell>
          <cell r="AQ13">
            <v>119.94714023874553</v>
          </cell>
          <cell r="AR13">
            <v>0</v>
          </cell>
          <cell r="AT13">
            <v>159.06063071437234</v>
          </cell>
          <cell r="AU13">
            <v>5212</v>
          </cell>
          <cell r="AW13">
            <v>0</v>
          </cell>
          <cell r="AX13">
            <v>0</v>
          </cell>
        </row>
        <row r="14"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912</v>
          </cell>
          <cell r="AD14">
            <v>0</v>
          </cell>
          <cell r="AE14">
            <v>195.1868202376665</v>
          </cell>
          <cell r="AF14">
            <v>0</v>
          </cell>
          <cell r="AH14">
            <v>274.23891701150251</v>
          </cell>
          <cell r="AI14">
            <v>0</v>
          </cell>
          <cell r="AK14">
            <v>331.11315353246988</v>
          </cell>
          <cell r="AL14">
            <v>0</v>
          </cell>
          <cell r="AN14">
            <v>107.70574273720977</v>
          </cell>
          <cell r="AO14">
            <v>0</v>
          </cell>
          <cell r="AQ14">
            <v>59.365087276649547</v>
          </cell>
          <cell r="AR14">
            <v>76</v>
          </cell>
          <cell r="AT14">
            <v>139.77564606445563</v>
          </cell>
          <cell r="AU14">
            <v>0</v>
          </cell>
          <cell r="AW14">
            <v>0</v>
          </cell>
          <cell r="AX14">
            <v>0</v>
          </cell>
        </row>
        <row r="15"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R15">
            <v>1</v>
          </cell>
          <cell r="S15">
            <v>37863</v>
          </cell>
          <cell r="U15">
            <v>1665</v>
          </cell>
          <cell r="V15">
            <v>0</v>
          </cell>
          <cell r="W15">
            <v>0</v>
          </cell>
          <cell r="X15">
            <v>84.214350629708193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6417</v>
          </cell>
          <cell r="AD15">
            <v>401</v>
          </cell>
          <cell r="AE15">
            <v>191.60637661083345</v>
          </cell>
          <cell r="AF15">
            <v>0</v>
          </cell>
          <cell r="AH15">
            <v>270.99918794267313</v>
          </cell>
          <cell r="AI15">
            <v>2325</v>
          </cell>
          <cell r="AK15">
            <v>347.5643962397636</v>
          </cell>
          <cell r="AL15">
            <v>0</v>
          </cell>
          <cell r="AN15">
            <v>108.73858583039781</v>
          </cell>
          <cell r="AO15">
            <v>0</v>
          </cell>
          <cell r="AQ15">
            <v>59.365087276649547</v>
          </cell>
          <cell r="AR15">
            <v>76</v>
          </cell>
          <cell r="AT15">
            <v>136.28317344284591</v>
          </cell>
          <cell r="AU15">
            <v>21610</v>
          </cell>
          <cell r="AW15">
            <v>0</v>
          </cell>
          <cell r="AX15">
            <v>0</v>
          </cell>
        </row>
        <row r="16"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H16">
            <v>0</v>
          </cell>
          <cell r="AI16">
            <v>0</v>
          </cell>
          <cell r="AK16">
            <v>0</v>
          </cell>
          <cell r="AL16">
            <v>0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T16">
            <v>0</v>
          </cell>
          <cell r="AU16">
            <v>0</v>
          </cell>
          <cell r="AW16">
            <v>0</v>
          </cell>
          <cell r="AX16">
            <v>0</v>
          </cell>
        </row>
        <row r="17"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W17">
            <v>14</v>
          </cell>
          <cell r="X17">
            <v>9660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189.77948309198482</v>
          </cell>
          <cell r="AF17">
            <v>1112</v>
          </cell>
          <cell r="AH17">
            <v>228.47399419187306</v>
          </cell>
          <cell r="AI17">
            <v>0</v>
          </cell>
          <cell r="AK17">
            <v>224.81280975438688</v>
          </cell>
          <cell r="AL17">
            <v>0</v>
          </cell>
          <cell r="AN17">
            <v>105.43188534218436</v>
          </cell>
          <cell r="AO17">
            <v>0</v>
          </cell>
          <cell r="AQ17">
            <v>65.961235315382794</v>
          </cell>
          <cell r="AR17">
            <v>0</v>
          </cell>
          <cell r="AT17">
            <v>117.84882201386395</v>
          </cell>
          <cell r="AU17">
            <v>596</v>
          </cell>
          <cell r="AW17">
            <v>53.862315927238761</v>
          </cell>
          <cell r="AX17">
            <v>0</v>
          </cell>
        </row>
        <row r="18"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18.889621474222558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67.696308299723157</v>
          </cell>
          <cell r="AF18">
            <v>0</v>
          </cell>
          <cell r="AH18">
            <v>91.335669119949301</v>
          </cell>
          <cell r="AI18">
            <v>0</v>
          </cell>
          <cell r="AK18">
            <v>31.502063628871475</v>
          </cell>
          <cell r="AL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377</v>
          </cell>
          <cell r="AT18">
            <v>19.771277081972755</v>
          </cell>
          <cell r="AU18">
            <v>0</v>
          </cell>
          <cell r="AW18">
            <v>27.907064838681809</v>
          </cell>
          <cell r="AX18">
            <v>0</v>
          </cell>
        </row>
        <row r="19"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18.889621474222558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67.696308299723157</v>
          </cell>
          <cell r="AF19">
            <v>0</v>
          </cell>
          <cell r="AH19">
            <v>91.335669119949301</v>
          </cell>
          <cell r="AI19">
            <v>0</v>
          </cell>
          <cell r="AK19">
            <v>30.616109573468009</v>
          </cell>
          <cell r="AL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750</v>
          </cell>
          <cell r="AT19">
            <v>19.771277081972755</v>
          </cell>
          <cell r="AU19">
            <v>0</v>
          </cell>
          <cell r="AW19">
            <v>27.240307228761459</v>
          </cell>
          <cell r="AX19">
            <v>0</v>
          </cell>
        </row>
        <row r="20"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118.92797481861362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416</v>
          </cell>
          <cell r="AE20">
            <v>472.55756514456755</v>
          </cell>
          <cell r="AF20">
            <v>556</v>
          </cell>
          <cell r="AH20">
            <v>733.55039105992546</v>
          </cell>
          <cell r="AI20">
            <v>0</v>
          </cell>
          <cell r="AK20">
            <v>441.34166583337264</v>
          </cell>
          <cell r="AL20">
            <v>780</v>
          </cell>
          <cell r="AN20">
            <v>0</v>
          </cell>
          <cell r="AO20">
            <v>0</v>
          </cell>
          <cell r="AQ20">
            <v>0</v>
          </cell>
          <cell r="AR20">
            <v>625</v>
          </cell>
          <cell r="AT20">
            <v>331.20826457246949</v>
          </cell>
          <cell r="AU20">
            <v>0</v>
          </cell>
          <cell r="AW20">
            <v>160.2534325618756</v>
          </cell>
          <cell r="AX20">
            <v>0</v>
          </cell>
        </row>
        <row r="21"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103.78450226731735</v>
          </cell>
          <cell r="AF21">
            <v>0</v>
          </cell>
          <cell r="AH21">
            <v>163.00578644091831</v>
          </cell>
          <cell r="AI21">
            <v>0</v>
          </cell>
          <cell r="AK21">
            <v>71.428492411828188</v>
          </cell>
          <cell r="AL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T21">
            <v>39.526483889459712</v>
          </cell>
          <cell r="AU21">
            <v>0</v>
          </cell>
          <cell r="AW21">
            <v>0</v>
          </cell>
          <cell r="AX21">
            <v>0</v>
          </cell>
        </row>
        <row r="22"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I23">
            <v>0</v>
          </cell>
          <cell r="J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358</v>
          </cell>
          <cell r="AD23">
            <v>79</v>
          </cell>
          <cell r="AE23">
            <v>235.07044024849569</v>
          </cell>
          <cell r="AF23">
            <v>0</v>
          </cell>
          <cell r="AH23">
            <v>364.66296549106636</v>
          </cell>
          <cell r="AI23">
            <v>0</v>
          </cell>
          <cell r="AK23">
            <v>335.41627860193557</v>
          </cell>
          <cell r="AL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T23">
            <v>113.60653295778928</v>
          </cell>
          <cell r="AU23">
            <v>130</v>
          </cell>
          <cell r="AW23">
            <v>0</v>
          </cell>
          <cell r="AX23">
            <v>0</v>
          </cell>
        </row>
        <row r="24"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164.42305467854635</v>
          </cell>
          <cell r="AF24">
            <v>0</v>
          </cell>
          <cell r="AH24">
            <v>254.07927931943252</v>
          </cell>
          <cell r="AI24">
            <v>1750</v>
          </cell>
          <cell r="AK24">
            <v>149.22429345480151</v>
          </cell>
          <cell r="AL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T24">
            <v>87.33759704525356</v>
          </cell>
          <cell r="AU24">
            <v>0</v>
          </cell>
          <cell r="AW24">
            <v>0</v>
          </cell>
          <cell r="AX24">
            <v>0</v>
          </cell>
        </row>
        <row r="25">
          <cell r="I25">
            <v>0</v>
          </cell>
          <cell r="J25">
            <v>1120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0</v>
          </cell>
          <cell r="S25">
            <v>69</v>
          </cell>
          <cell r="U25">
            <v>12573</v>
          </cell>
          <cell r="V25">
            <v>0</v>
          </cell>
          <cell r="W25">
            <v>0</v>
          </cell>
          <cell r="X25">
            <v>0</v>
          </cell>
          <cell r="Y25">
            <v>427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177.51800880001062</v>
          </cell>
          <cell r="AF25">
            <v>0</v>
          </cell>
          <cell r="AH25">
            <v>200.43331245737406</v>
          </cell>
          <cell r="AI25">
            <v>0</v>
          </cell>
          <cell r="AK25">
            <v>170.68014774308622</v>
          </cell>
          <cell r="AL25">
            <v>0</v>
          </cell>
          <cell r="AN25">
            <v>101.1739894233076</v>
          </cell>
          <cell r="AO25">
            <v>0</v>
          </cell>
          <cell r="AQ25">
            <v>65.961235315382794</v>
          </cell>
          <cell r="AR25">
            <v>0</v>
          </cell>
          <cell r="AT25">
            <v>208.54056051817184</v>
          </cell>
          <cell r="AU25">
            <v>0</v>
          </cell>
          <cell r="AW25">
            <v>0</v>
          </cell>
          <cell r="AX25">
            <v>0</v>
          </cell>
        </row>
        <row r="26"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I28">
            <v>0</v>
          </cell>
          <cell r="J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H28">
            <v>0</v>
          </cell>
          <cell r="AI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H30">
            <v>0</v>
          </cell>
          <cell r="AI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I31">
            <v>1.42</v>
          </cell>
          <cell r="J31">
            <v>790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H32">
            <v>0</v>
          </cell>
          <cell r="AI32">
            <v>0</v>
          </cell>
          <cell r="AK32">
            <v>0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X34">
            <v>55.226220300531338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232.70143930527138</v>
          </cell>
          <cell r="AF34">
            <v>0</v>
          </cell>
          <cell r="AH34">
            <v>295.12930774881175</v>
          </cell>
          <cell r="AI34">
            <v>0</v>
          </cell>
          <cell r="AK34">
            <v>285.7634610185147</v>
          </cell>
          <cell r="AL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T34">
            <v>103.83367027199259</v>
          </cell>
          <cell r="AU34">
            <v>0</v>
          </cell>
          <cell r="AW34">
            <v>0</v>
          </cell>
          <cell r="AX34">
            <v>0</v>
          </cell>
        </row>
        <row r="35"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184.08752228194177</v>
          </cell>
          <cell r="AF35">
            <v>0</v>
          </cell>
          <cell r="AH35">
            <v>202.33697172952878</v>
          </cell>
          <cell r="AI35">
            <v>0</v>
          </cell>
          <cell r="AK35">
            <v>278.42593120908015</v>
          </cell>
          <cell r="AL35">
            <v>0</v>
          </cell>
          <cell r="AN35">
            <v>166.3792122642065</v>
          </cell>
          <cell r="AO35">
            <v>0</v>
          </cell>
          <cell r="AQ35">
            <v>0</v>
          </cell>
          <cell r="AR35">
            <v>0</v>
          </cell>
          <cell r="AT35">
            <v>99.57945223095534</v>
          </cell>
          <cell r="AU35">
            <v>0</v>
          </cell>
          <cell r="AW35">
            <v>0</v>
          </cell>
          <cell r="AX35">
            <v>0</v>
          </cell>
        </row>
        <row r="36"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358</v>
          </cell>
          <cell r="AD36">
            <v>539</v>
          </cell>
          <cell r="AE36">
            <v>277.79676139153776</v>
          </cell>
          <cell r="AF36">
            <v>0</v>
          </cell>
          <cell r="AH36">
            <v>416.66744932240522</v>
          </cell>
          <cell r="AI36">
            <v>0</v>
          </cell>
          <cell r="AK36">
            <v>404.66261151588901</v>
          </cell>
          <cell r="AL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T36">
            <v>182.40649484309614</v>
          </cell>
          <cell r="AU36">
            <v>0</v>
          </cell>
          <cell r="AW36">
            <v>0</v>
          </cell>
          <cell r="AX36">
            <v>0</v>
          </cell>
        </row>
        <row r="37">
          <cell r="I37">
            <v>0</v>
          </cell>
          <cell r="J37">
            <v>0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136.67164351341606</v>
          </cell>
          <cell r="AF37">
            <v>0</v>
          </cell>
          <cell r="AH37">
            <v>178.18470192067068</v>
          </cell>
          <cell r="AI37">
            <v>0</v>
          </cell>
          <cell r="AK37">
            <v>92.228281868088715</v>
          </cell>
          <cell r="AL37">
            <v>0</v>
          </cell>
          <cell r="AN37">
            <v>61.697166401660027</v>
          </cell>
          <cell r="AO37">
            <v>0</v>
          </cell>
          <cell r="AQ37">
            <v>0</v>
          </cell>
          <cell r="AR37">
            <v>0</v>
          </cell>
          <cell r="AT37">
            <v>29.632726397869654</v>
          </cell>
          <cell r="AU37">
            <v>0</v>
          </cell>
          <cell r="AW37">
            <v>59.090917443770564</v>
          </cell>
          <cell r="AX37">
            <v>0</v>
          </cell>
        </row>
        <row r="38"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353</v>
          </cell>
          <cell r="AE38">
            <v>134.92297425237206</v>
          </cell>
          <cell r="AF38">
            <v>0</v>
          </cell>
          <cell r="AH38">
            <v>178.18470192067068</v>
          </cell>
          <cell r="AI38">
            <v>0</v>
          </cell>
          <cell r="AK38">
            <v>105.77277688990097</v>
          </cell>
          <cell r="AL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T38">
            <v>29.632726397869654</v>
          </cell>
          <cell r="AU38">
            <v>0</v>
          </cell>
          <cell r="AW38">
            <v>0</v>
          </cell>
          <cell r="AX38">
            <v>0</v>
          </cell>
        </row>
        <row r="39"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169.22371489358517</v>
          </cell>
          <cell r="AF39">
            <v>0</v>
          </cell>
          <cell r="AH39">
            <v>225.284932994836</v>
          </cell>
          <cell r="AI39">
            <v>0</v>
          </cell>
          <cell r="AK39">
            <v>197.05114053367473</v>
          </cell>
          <cell r="AL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T39">
            <v>65.725572763423372</v>
          </cell>
          <cell r="AU39">
            <v>0</v>
          </cell>
          <cell r="AW39">
            <v>0</v>
          </cell>
          <cell r="AX39">
            <v>0</v>
          </cell>
        </row>
        <row r="40"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134.16117568240614</v>
          </cell>
          <cell r="AF40">
            <v>0</v>
          </cell>
          <cell r="AH40">
            <v>193.62587533250806</v>
          </cell>
          <cell r="AI40">
            <v>0</v>
          </cell>
          <cell r="AK40">
            <v>134.29499378403258</v>
          </cell>
          <cell r="AL40">
            <v>0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T40">
            <v>57.335008608429149</v>
          </cell>
          <cell r="AU40">
            <v>0</v>
          </cell>
          <cell r="AW40">
            <v>0</v>
          </cell>
          <cell r="AX40">
            <v>0</v>
          </cell>
        </row>
        <row r="41"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0</v>
          </cell>
          <cell r="X41">
            <v>43.392030236131767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146.92028080228897</v>
          </cell>
          <cell r="AF41">
            <v>0</v>
          </cell>
          <cell r="AH41">
            <v>199.98679498901538</v>
          </cell>
          <cell r="AI41">
            <v>0</v>
          </cell>
          <cell r="AK41">
            <v>191.36245860498491</v>
          </cell>
          <cell r="AL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T41">
            <v>60.056140153587386</v>
          </cell>
          <cell r="AU41">
            <v>0</v>
          </cell>
          <cell r="AW41">
            <v>0</v>
          </cell>
          <cell r="AX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59.170950321997864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169.22371489358517</v>
          </cell>
          <cell r="AF42">
            <v>0</v>
          </cell>
          <cell r="AH42">
            <v>225.284932994836</v>
          </cell>
          <cell r="AI42">
            <v>0</v>
          </cell>
          <cell r="AK42">
            <v>274.70400539597944</v>
          </cell>
          <cell r="AL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T42">
            <v>70.037170653702944</v>
          </cell>
          <cell r="AU42">
            <v>0</v>
          </cell>
          <cell r="AW42">
            <v>0</v>
          </cell>
          <cell r="AX42">
            <v>0</v>
          </cell>
        </row>
        <row r="43"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W43">
            <v>0</v>
          </cell>
          <cell r="X43">
            <v>75.242907495172915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44.924807561176856</v>
          </cell>
          <cell r="AF43">
            <v>3129</v>
          </cell>
          <cell r="AH43">
            <v>60.844215905779357</v>
          </cell>
          <cell r="AI43">
            <v>0</v>
          </cell>
          <cell r="AK43">
            <v>76.6936654717761</v>
          </cell>
          <cell r="AL43">
            <v>0</v>
          </cell>
          <cell r="AN43">
            <v>30.092783099948647</v>
          </cell>
          <cell r="AO43">
            <v>0</v>
          </cell>
          <cell r="AQ43">
            <v>13.192247063076561</v>
          </cell>
          <cell r="AR43">
            <v>0</v>
          </cell>
          <cell r="AT43">
            <v>34.861306109848641</v>
          </cell>
          <cell r="AU43">
            <v>0</v>
          </cell>
          <cell r="AW43">
            <v>0</v>
          </cell>
          <cell r="AX43">
            <v>0</v>
          </cell>
        </row>
        <row r="44"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146.58616759769606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81.224311988646505</v>
          </cell>
          <cell r="AF44">
            <v>3740</v>
          </cell>
          <cell r="AH44">
            <v>181.73049913413948</v>
          </cell>
          <cell r="AI44">
            <v>0</v>
          </cell>
          <cell r="AK44">
            <v>211.62743048370936</v>
          </cell>
          <cell r="AL44">
            <v>0</v>
          </cell>
          <cell r="AN44">
            <v>71.036897363237614</v>
          </cell>
          <cell r="AO44">
            <v>0</v>
          </cell>
          <cell r="AQ44">
            <v>39.576724851099698</v>
          </cell>
          <cell r="AR44">
            <v>0</v>
          </cell>
          <cell r="AT44">
            <v>48.871603317094689</v>
          </cell>
          <cell r="AU44">
            <v>0</v>
          </cell>
          <cell r="AW44">
            <v>0</v>
          </cell>
          <cell r="AX44">
            <v>0</v>
          </cell>
        </row>
        <row r="45"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53.40841260932612</v>
          </cell>
          <cell r="AF45">
            <v>3906</v>
          </cell>
          <cell r="AH45">
            <v>69.151720215382937</v>
          </cell>
          <cell r="AI45">
            <v>0</v>
          </cell>
          <cell r="AK45">
            <v>137.42866535911875</v>
          </cell>
          <cell r="AL45">
            <v>0</v>
          </cell>
          <cell r="AN45">
            <v>51.28841910229302</v>
          </cell>
          <cell r="AO45">
            <v>0</v>
          </cell>
          <cell r="AQ45">
            <v>26.384494126153122</v>
          </cell>
          <cell r="AR45">
            <v>0</v>
          </cell>
          <cell r="AT45">
            <v>44.991929303447613</v>
          </cell>
          <cell r="AU45">
            <v>0</v>
          </cell>
          <cell r="AW45">
            <v>0</v>
          </cell>
          <cell r="AX45">
            <v>0</v>
          </cell>
        </row>
        <row r="46"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  <cell r="P46">
            <v>0</v>
          </cell>
          <cell r="R46">
            <v>1</v>
          </cell>
          <cell r="S46">
            <v>30661</v>
          </cell>
          <cell r="U46">
            <v>1143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4794</v>
          </cell>
          <cell r="AD46">
            <v>280</v>
          </cell>
          <cell r="AE46">
            <v>355.3379711336587</v>
          </cell>
          <cell r="AF46">
            <v>0</v>
          </cell>
          <cell r="AH46">
            <v>469.58280172270531</v>
          </cell>
          <cell r="AI46">
            <v>0</v>
          </cell>
          <cell r="AK46">
            <v>919.72733484503044</v>
          </cell>
          <cell r="AL46">
            <v>0</v>
          </cell>
          <cell r="AN46">
            <v>270.25810971215151</v>
          </cell>
          <cell r="AO46">
            <v>0</v>
          </cell>
          <cell r="AQ46">
            <v>98.941812127749259</v>
          </cell>
          <cell r="AR46">
            <v>0</v>
          </cell>
          <cell r="AT46">
            <v>275.07006865002995</v>
          </cell>
          <cell r="AU46">
            <v>5719</v>
          </cell>
          <cell r="AW46">
            <v>0</v>
          </cell>
          <cell r="AX46">
            <v>0</v>
          </cell>
        </row>
        <row r="47"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X47">
            <v>31.197179141198113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237.6327308728423</v>
          </cell>
          <cell r="AF47">
            <v>0</v>
          </cell>
          <cell r="AH47">
            <v>313.4952251884107</v>
          </cell>
          <cell r="AI47">
            <v>0</v>
          </cell>
          <cell r="AK47">
            <v>608.83264751210118</v>
          </cell>
          <cell r="AL47">
            <v>0</v>
          </cell>
          <cell r="AN47">
            <v>185.8924655995005</v>
          </cell>
          <cell r="AO47">
            <v>0</v>
          </cell>
          <cell r="AQ47">
            <v>65.961235315382794</v>
          </cell>
          <cell r="AR47">
            <v>0</v>
          </cell>
          <cell r="AT47">
            <v>224.10163676469494</v>
          </cell>
          <cell r="AU47">
            <v>0</v>
          </cell>
          <cell r="AW47">
            <v>0</v>
          </cell>
          <cell r="AX47">
            <v>0</v>
          </cell>
        </row>
        <row r="48"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312.08924497789428</v>
          </cell>
          <cell r="AF48">
            <v>0</v>
          </cell>
          <cell r="AH48">
            <v>438.88707713804558</v>
          </cell>
          <cell r="AI48">
            <v>0</v>
          </cell>
          <cell r="AK48">
            <v>418.3787489409853</v>
          </cell>
          <cell r="AL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T48">
            <v>166.257356798828</v>
          </cell>
          <cell r="AU48">
            <v>0</v>
          </cell>
          <cell r="AW48">
            <v>0</v>
          </cell>
          <cell r="AX48">
            <v>0</v>
          </cell>
        </row>
        <row r="49"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H49">
            <v>0</v>
          </cell>
          <cell r="AI49">
            <v>0</v>
          </cell>
          <cell r="AK49">
            <v>0</v>
          </cell>
          <cell r="AL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623</v>
          </cell>
          <cell r="AE51">
            <v>240.97600204603114</v>
          </cell>
          <cell r="AF51">
            <v>0</v>
          </cell>
          <cell r="AH51">
            <v>351.66292323452029</v>
          </cell>
          <cell r="AI51">
            <v>0</v>
          </cell>
          <cell r="AK51">
            <v>193.26395990750746</v>
          </cell>
          <cell r="AL51">
            <v>0</v>
          </cell>
          <cell r="AN51">
            <v>107.54409784126776</v>
          </cell>
          <cell r="AO51">
            <v>0</v>
          </cell>
          <cell r="AQ51">
            <v>89.960355179059135</v>
          </cell>
          <cell r="AR51">
            <v>0</v>
          </cell>
          <cell r="AT51">
            <v>130.2465264345808</v>
          </cell>
          <cell r="AU51">
            <v>0</v>
          </cell>
          <cell r="AW51">
            <v>118.34437622421669</v>
          </cell>
          <cell r="AX51">
            <v>0</v>
          </cell>
        </row>
        <row r="52">
          <cell r="I52">
            <v>0</v>
          </cell>
          <cell r="J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135.60864137130488</v>
          </cell>
          <cell r="AF52">
            <v>0</v>
          </cell>
          <cell r="AH52">
            <v>264.84451108914089</v>
          </cell>
          <cell r="AI52">
            <v>0</v>
          </cell>
          <cell r="AK52">
            <v>78.612730666321482</v>
          </cell>
          <cell r="AL52">
            <v>0</v>
          </cell>
          <cell r="AN52">
            <v>80.855039196896257</v>
          </cell>
          <cell r="AO52">
            <v>0</v>
          </cell>
          <cell r="AQ52">
            <v>0</v>
          </cell>
          <cell r="AR52">
            <v>0</v>
          </cell>
          <cell r="AT52">
            <v>63.909261025478145</v>
          </cell>
          <cell r="AU52">
            <v>0</v>
          </cell>
          <cell r="AW52">
            <v>54.529073537159114</v>
          </cell>
          <cell r="AX52">
            <v>0</v>
          </cell>
        </row>
        <row r="53">
          <cell r="I53">
            <v>0</v>
          </cell>
          <cell r="J53">
            <v>0</v>
          </cell>
          <cell r="L53">
            <v>0</v>
          </cell>
          <cell r="M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296.97430937581089</v>
          </cell>
          <cell r="AF53">
            <v>0</v>
          </cell>
          <cell r="AH53">
            <v>431.42874836421191</v>
          </cell>
          <cell r="AI53">
            <v>0</v>
          </cell>
          <cell r="AK53">
            <v>225.25790184519559</v>
          </cell>
          <cell r="AL53">
            <v>0</v>
          </cell>
          <cell r="AN53">
            <v>134.01654655351942</v>
          </cell>
          <cell r="AO53">
            <v>0</v>
          </cell>
          <cell r="AQ53">
            <v>119.94714023874553</v>
          </cell>
          <cell r="AR53">
            <v>0</v>
          </cell>
          <cell r="AT53">
            <v>185.68589968581432</v>
          </cell>
          <cell r="AU53">
            <v>0</v>
          </cell>
          <cell r="AW53">
            <v>39.854603062339315</v>
          </cell>
          <cell r="AX53">
            <v>0</v>
          </cell>
        </row>
        <row r="54"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W55">
            <v>0</v>
          </cell>
          <cell r="X55">
            <v>63.11568034346439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3064</v>
          </cell>
          <cell r="AD55">
            <v>0</v>
          </cell>
          <cell r="AE55">
            <v>199.30110444818735</v>
          </cell>
          <cell r="AF55">
            <v>0</v>
          </cell>
          <cell r="AH55">
            <v>265.86888590663347</v>
          </cell>
          <cell r="AI55">
            <v>0</v>
          </cell>
          <cell r="AK55">
            <v>339.09608183163061</v>
          </cell>
          <cell r="AL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T55">
            <v>122.47344089241105</v>
          </cell>
          <cell r="AU55">
            <v>0</v>
          </cell>
          <cell r="AW55">
            <v>0</v>
          </cell>
          <cell r="AX55">
            <v>0</v>
          </cell>
        </row>
        <row r="56">
          <cell r="I56">
            <v>0</v>
          </cell>
          <cell r="J56">
            <v>0</v>
          </cell>
          <cell r="L56">
            <v>1</v>
          </cell>
          <cell r="M56">
            <v>54657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930</v>
          </cell>
          <cell r="AE56">
            <v>318.0902693443374</v>
          </cell>
          <cell r="AF56">
            <v>0</v>
          </cell>
          <cell r="AH56">
            <v>490.73628415417375</v>
          </cell>
          <cell r="AI56">
            <v>0</v>
          </cell>
          <cell r="AK56">
            <v>365.88444988692856</v>
          </cell>
          <cell r="AL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T56">
            <v>174.62873904711446</v>
          </cell>
          <cell r="AU56">
            <v>127</v>
          </cell>
          <cell r="AW56">
            <v>0</v>
          </cell>
          <cell r="AX56">
            <v>0</v>
          </cell>
        </row>
        <row r="57"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141.19134888296281</v>
          </cell>
          <cell r="AF57">
            <v>0</v>
          </cell>
          <cell r="AH57">
            <v>251.26294537068739</v>
          </cell>
          <cell r="AI57">
            <v>0</v>
          </cell>
          <cell r="AK57">
            <v>238.9164663369109</v>
          </cell>
          <cell r="AL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T57">
            <v>70.039395863319015</v>
          </cell>
          <cell r="AU57">
            <v>0</v>
          </cell>
          <cell r="AW57">
            <v>0</v>
          </cell>
          <cell r="AX57">
            <v>0</v>
          </cell>
        </row>
        <row r="58"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254.36667126777695</v>
          </cell>
          <cell r="AF58">
            <v>0</v>
          </cell>
          <cell r="AH58">
            <v>347.50294893846012</v>
          </cell>
          <cell r="AI58">
            <v>0</v>
          </cell>
          <cell r="AK58">
            <v>428.65127600087555</v>
          </cell>
          <cell r="AL58">
            <v>0</v>
          </cell>
          <cell r="AN58">
            <v>164.11543594438629</v>
          </cell>
          <cell r="AO58">
            <v>0</v>
          </cell>
          <cell r="AQ58">
            <v>68.97925660788097</v>
          </cell>
          <cell r="AR58">
            <v>0</v>
          </cell>
          <cell r="AT58">
            <v>73.753166691452407</v>
          </cell>
          <cell r="AU58">
            <v>0</v>
          </cell>
          <cell r="AW58">
            <v>0</v>
          </cell>
          <cell r="AX58">
            <v>0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124.57062080146615</v>
          </cell>
          <cell r="AF59">
            <v>0</v>
          </cell>
          <cell r="AH59">
            <v>153.61481567386699</v>
          </cell>
          <cell r="AI59">
            <v>0</v>
          </cell>
          <cell r="AK59">
            <v>187.39808963912321</v>
          </cell>
          <cell r="AL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T59">
            <v>60.056140153587386</v>
          </cell>
          <cell r="AU59">
            <v>1506</v>
          </cell>
          <cell r="AW59">
            <v>0</v>
          </cell>
          <cell r="AX59">
            <v>0</v>
          </cell>
        </row>
        <row r="60"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51.794461945442009</v>
          </cell>
          <cell r="AF60">
            <v>0</v>
          </cell>
          <cell r="AH60">
            <v>61.550813104250835</v>
          </cell>
          <cell r="AI60">
            <v>0</v>
          </cell>
          <cell r="AK60">
            <v>12.103661341664061</v>
          </cell>
          <cell r="AL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T60">
            <v>13.131198850039331</v>
          </cell>
          <cell r="AU60">
            <v>0</v>
          </cell>
          <cell r="AW60">
            <v>0</v>
          </cell>
          <cell r="AX60">
            <v>0</v>
          </cell>
        </row>
        <row r="61"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36.516929341575825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172.97663207927951</v>
          </cell>
          <cell r="AF63">
            <v>0</v>
          </cell>
          <cell r="AH63">
            <v>250.58315269130659</v>
          </cell>
          <cell r="AI63">
            <v>0</v>
          </cell>
          <cell r="AK63">
            <v>245.82574354996487</v>
          </cell>
          <cell r="AL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T63">
            <v>65.725579801306026</v>
          </cell>
          <cell r="AU63">
            <v>0</v>
          </cell>
          <cell r="AW63">
            <v>0</v>
          </cell>
          <cell r="AX63">
            <v>0</v>
          </cell>
        </row>
        <row r="64"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X64">
            <v>49.365478554352499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105.50314275515966</v>
          </cell>
          <cell r="AF64">
            <v>0</v>
          </cell>
          <cell r="AH64">
            <v>171.45470659650391</v>
          </cell>
          <cell r="AI64">
            <v>0</v>
          </cell>
          <cell r="AK64">
            <v>87.527632979009326</v>
          </cell>
          <cell r="AL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T64">
            <v>41.778843913608405</v>
          </cell>
          <cell r="AU64">
            <v>0</v>
          </cell>
          <cell r="AW64">
            <v>0</v>
          </cell>
          <cell r="AX64">
            <v>0</v>
          </cell>
        </row>
        <row r="65"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106.72721825659063</v>
          </cell>
          <cell r="AF65">
            <v>463</v>
          </cell>
          <cell r="AH65">
            <v>142.40885198567582</v>
          </cell>
          <cell r="AI65">
            <v>2144</v>
          </cell>
          <cell r="AK65">
            <v>152.44260063250758</v>
          </cell>
          <cell r="AL65">
            <v>0</v>
          </cell>
          <cell r="AN65">
            <v>86.385768771972465</v>
          </cell>
          <cell r="AO65">
            <v>0</v>
          </cell>
          <cell r="AQ65">
            <v>35.219944932571877</v>
          </cell>
          <cell r="AR65">
            <v>0</v>
          </cell>
          <cell r="AT65">
            <v>103.56430512559632</v>
          </cell>
          <cell r="AU65">
            <v>0</v>
          </cell>
          <cell r="AW65">
            <v>0</v>
          </cell>
          <cell r="AX65">
            <v>0</v>
          </cell>
        </row>
        <row r="66"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149.96382133002803</v>
          </cell>
          <cell r="AF66">
            <v>0</v>
          </cell>
          <cell r="AH66">
            <v>250.58315269130659</v>
          </cell>
          <cell r="AI66">
            <v>0</v>
          </cell>
          <cell r="AK66">
            <v>189.22455054922412</v>
          </cell>
          <cell r="AL66">
            <v>1396</v>
          </cell>
          <cell r="AN66">
            <v>0</v>
          </cell>
          <cell r="AO66">
            <v>0</v>
          </cell>
          <cell r="AQ66">
            <v>0</v>
          </cell>
          <cell r="AR66">
            <v>639</v>
          </cell>
          <cell r="AT66">
            <v>69.694329510959818</v>
          </cell>
          <cell r="AU66">
            <v>0</v>
          </cell>
          <cell r="AW66">
            <v>0</v>
          </cell>
          <cell r="AX66">
            <v>0</v>
          </cell>
        </row>
        <row r="67"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X69">
            <v>73.41706102809411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1886</v>
          </cell>
          <cell r="AE69">
            <v>79.668368280872841</v>
          </cell>
          <cell r="AF69">
            <v>0</v>
          </cell>
          <cell r="AH69">
            <v>107.26776403088104</v>
          </cell>
          <cell r="AI69">
            <v>0</v>
          </cell>
          <cell r="AK69">
            <v>219.57380665742699</v>
          </cell>
          <cell r="AL69">
            <v>0</v>
          </cell>
          <cell r="AN69">
            <v>90.336393042483721</v>
          </cell>
          <cell r="AO69">
            <v>0</v>
          </cell>
          <cell r="AQ69">
            <v>77.955933001127377</v>
          </cell>
          <cell r="AR69">
            <v>0</v>
          </cell>
          <cell r="AT69">
            <v>123.81884893767143</v>
          </cell>
          <cell r="AU69">
            <v>3022</v>
          </cell>
          <cell r="AW69">
            <v>232.74222385317006</v>
          </cell>
          <cell r="AX69">
            <v>0</v>
          </cell>
        </row>
        <row r="70"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N71">
            <v>0</v>
          </cell>
          <cell r="AO71">
            <v>0</v>
          </cell>
          <cell r="AQ71">
            <v>0</v>
          </cell>
          <cell r="AR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I72">
            <v>12.48</v>
          </cell>
          <cell r="J72">
            <v>7472</v>
          </cell>
          <cell r="L72">
            <v>0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X72">
            <v>39.447300214665248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1095</v>
          </cell>
          <cell r="AE72">
            <v>261.46872234701635</v>
          </cell>
          <cell r="AF72">
            <v>0</v>
          </cell>
          <cell r="AH72">
            <v>351.30774901844745</v>
          </cell>
          <cell r="AI72">
            <v>0</v>
          </cell>
          <cell r="AK72">
            <v>483.70917241723362</v>
          </cell>
          <cell r="AL72">
            <v>0</v>
          </cell>
          <cell r="AN72">
            <v>185.6386927230358</v>
          </cell>
          <cell r="AO72">
            <v>0</v>
          </cell>
          <cell r="AQ72">
            <v>292.3226339843186</v>
          </cell>
          <cell r="AR72">
            <v>0</v>
          </cell>
          <cell r="AT72">
            <v>235.82173208405922</v>
          </cell>
          <cell r="AU72">
            <v>6776</v>
          </cell>
          <cell r="AW72">
            <v>142.02289427059736</v>
          </cell>
          <cell r="AX72">
            <v>0</v>
          </cell>
        </row>
        <row r="73"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242.09477570878985</v>
          </cell>
          <cell r="AF73">
            <v>0</v>
          </cell>
          <cell r="AH73">
            <v>341.29746007718495</v>
          </cell>
          <cell r="AI73">
            <v>0</v>
          </cell>
          <cell r="AK73">
            <v>97.993438091568279</v>
          </cell>
          <cell r="AL73">
            <v>0</v>
          </cell>
          <cell r="AN73">
            <v>114.75461373279184</v>
          </cell>
          <cell r="AO73">
            <v>0</v>
          </cell>
          <cell r="AQ73">
            <v>89.960355179059135</v>
          </cell>
          <cell r="AR73">
            <v>0</v>
          </cell>
          <cell r="AT73">
            <v>122.56982730821436</v>
          </cell>
          <cell r="AU73">
            <v>0</v>
          </cell>
          <cell r="AW73">
            <v>122.29074143818023</v>
          </cell>
          <cell r="AX73">
            <v>0</v>
          </cell>
        </row>
        <row r="74"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W74">
            <v>0</v>
          </cell>
          <cell r="X74">
            <v>2.5246272137385759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3435</v>
          </cell>
          <cell r="AE74">
            <v>172.64896221065933</v>
          </cell>
          <cell r="AF74">
            <v>0</v>
          </cell>
          <cell r="AH74">
            <v>236.7462978235489</v>
          </cell>
          <cell r="AI74">
            <v>0</v>
          </cell>
          <cell r="AK74">
            <v>184.64634567058175</v>
          </cell>
          <cell r="AL74">
            <v>0</v>
          </cell>
          <cell r="AN74">
            <v>115.32993121019737</v>
          </cell>
          <cell r="AO74">
            <v>0</v>
          </cell>
          <cell r="AQ74">
            <v>194.87527844079784</v>
          </cell>
          <cell r="AR74">
            <v>0</v>
          </cell>
          <cell r="AT74">
            <v>235.39234830930431</v>
          </cell>
          <cell r="AU74">
            <v>2374</v>
          </cell>
          <cell r="AW74">
            <v>228.84431771884292</v>
          </cell>
          <cell r="AX74">
            <v>0</v>
          </cell>
        </row>
        <row r="75"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257.18257003536439</v>
          </cell>
          <cell r="AF75">
            <v>2224</v>
          </cell>
          <cell r="AH75">
            <v>341.29746007718495</v>
          </cell>
          <cell r="AI75">
            <v>0</v>
          </cell>
          <cell r="AK75">
            <v>238.21117418178792</v>
          </cell>
          <cell r="AL75">
            <v>0</v>
          </cell>
          <cell r="AN75">
            <v>117.71760222739266</v>
          </cell>
          <cell r="AO75">
            <v>0</v>
          </cell>
          <cell r="AQ75">
            <v>89.960355179059135</v>
          </cell>
          <cell r="AR75">
            <v>3148</v>
          </cell>
          <cell r="AT75">
            <v>122.56982730821436</v>
          </cell>
          <cell r="AU75">
            <v>496</v>
          </cell>
          <cell r="AW75">
            <v>122.29074143818023</v>
          </cell>
          <cell r="AX75">
            <v>0</v>
          </cell>
        </row>
        <row r="76"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1</v>
          </cell>
          <cell r="S76">
            <v>4556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13462</v>
          </cell>
          <cell r="AD76">
            <v>4673</v>
          </cell>
          <cell r="AE76">
            <v>432.21338540871011</v>
          </cell>
          <cell r="AF76">
            <v>1450</v>
          </cell>
          <cell r="AH76">
            <v>591.86574455887205</v>
          </cell>
          <cell r="AI76">
            <v>2430</v>
          </cell>
          <cell r="AK76">
            <v>690.27183197185354</v>
          </cell>
          <cell r="AL76">
            <v>0</v>
          </cell>
          <cell r="AN76">
            <v>289.88286770503936</v>
          </cell>
          <cell r="AO76">
            <v>0</v>
          </cell>
          <cell r="AQ76">
            <v>487.18819610199455</v>
          </cell>
          <cell r="AR76">
            <v>0</v>
          </cell>
          <cell r="AT76">
            <v>588.48087077326079</v>
          </cell>
          <cell r="AU76">
            <v>616</v>
          </cell>
          <cell r="AW76">
            <v>232.74222385317006</v>
          </cell>
          <cell r="AX76">
            <v>0</v>
          </cell>
        </row>
        <row r="77">
          <cell r="I77">
            <v>0</v>
          </cell>
          <cell r="J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I79">
            <v>0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H79">
            <v>0</v>
          </cell>
          <cell r="AI79">
            <v>0</v>
          </cell>
          <cell r="AK79">
            <v>16.764476281060535</v>
          </cell>
          <cell r="AL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N80">
            <v>0</v>
          </cell>
          <cell r="AO80">
            <v>0</v>
          </cell>
          <cell r="AQ80">
            <v>0</v>
          </cell>
          <cell r="AR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  <row r="81"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N81">
            <v>0</v>
          </cell>
          <cell r="AO81">
            <v>0</v>
          </cell>
          <cell r="AQ81">
            <v>0</v>
          </cell>
          <cell r="AR81">
            <v>0</v>
          </cell>
          <cell r="AT81">
            <v>0</v>
          </cell>
          <cell r="AU81">
            <v>0</v>
          </cell>
          <cell r="AW81">
            <v>0</v>
          </cell>
          <cell r="AX81">
            <v>0</v>
          </cell>
        </row>
        <row r="82"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</row>
        <row r="83"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33.712620806155606</v>
          </cell>
          <cell r="AF83">
            <v>0</v>
          </cell>
          <cell r="AH83">
            <v>43.555645366403205</v>
          </cell>
          <cell r="AI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0</v>
          </cell>
          <cell r="AT83">
            <v>0</v>
          </cell>
          <cell r="AU83">
            <v>0</v>
          </cell>
          <cell r="AW83">
            <v>9.891756720169731</v>
          </cell>
          <cell r="AX83">
            <v>0</v>
          </cell>
        </row>
        <row r="84"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H84">
            <v>0</v>
          </cell>
          <cell r="AI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</row>
        <row r="85"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723</v>
          </cell>
          <cell r="U85">
            <v>0</v>
          </cell>
          <cell r="V85">
            <v>0</v>
          </cell>
          <cell r="W85">
            <v>0</v>
          </cell>
          <cell r="X85">
            <v>21.549496574411414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197</v>
          </cell>
          <cell r="AD85">
            <v>0</v>
          </cell>
          <cell r="AE85">
            <v>181.86362735840896</v>
          </cell>
          <cell r="AF85">
            <v>0</v>
          </cell>
          <cell r="AH85">
            <v>247.51007217452394</v>
          </cell>
          <cell r="AI85">
            <v>0</v>
          </cell>
          <cell r="AK85">
            <v>186.3722322641847</v>
          </cell>
          <cell r="AL85">
            <v>0</v>
          </cell>
          <cell r="AN85">
            <v>117.22675514518498</v>
          </cell>
          <cell r="AO85">
            <v>0</v>
          </cell>
          <cell r="AQ85">
            <v>52.768988252306244</v>
          </cell>
          <cell r="AR85">
            <v>51</v>
          </cell>
          <cell r="AT85">
            <v>124.71493816741945</v>
          </cell>
          <cell r="AU85">
            <v>2878</v>
          </cell>
          <cell r="AW85">
            <v>0</v>
          </cell>
          <cell r="AX85">
            <v>0</v>
          </cell>
        </row>
        <row r="86"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191</v>
          </cell>
          <cell r="AE86">
            <v>120.80412032157389</v>
          </cell>
          <cell r="AF86">
            <v>3162</v>
          </cell>
          <cell r="AH86">
            <v>167.13409673834016</v>
          </cell>
          <cell r="AI86">
            <v>0</v>
          </cell>
          <cell r="AK86">
            <v>227.91988548368033</v>
          </cell>
          <cell r="AL86">
            <v>0</v>
          </cell>
          <cell r="AN86">
            <v>78.705552175750455</v>
          </cell>
          <cell r="AO86">
            <v>0</v>
          </cell>
          <cell r="AQ86">
            <v>22.490068372102311</v>
          </cell>
          <cell r="AR86">
            <v>24</v>
          </cell>
          <cell r="AT86">
            <v>48.034030076738333</v>
          </cell>
          <cell r="AU86">
            <v>0</v>
          </cell>
          <cell r="AW86">
            <v>0</v>
          </cell>
          <cell r="AX86">
            <v>0</v>
          </cell>
        </row>
        <row r="87"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981</v>
          </cell>
          <cell r="AE87">
            <v>205.94082565918421</v>
          </cell>
          <cell r="AF87">
            <v>0</v>
          </cell>
          <cell r="AH87">
            <v>327.66924542790565</v>
          </cell>
          <cell r="AI87">
            <v>0</v>
          </cell>
          <cell r="AK87">
            <v>427.11349242364076</v>
          </cell>
          <cell r="AL87">
            <v>0</v>
          </cell>
          <cell r="AN87">
            <v>142.59912413250379</v>
          </cell>
          <cell r="AO87">
            <v>0</v>
          </cell>
          <cell r="AQ87">
            <v>70.464078559636903</v>
          </cell>
          <cell r="AR87">
            <v>0</v>
          </cell>
          <cell r="AT87">
            <v>133.9978264959357</v>
          </cell>
          <cell r="AU87">
            <v>0</v>
          </cell>
          <cell r="AW87">
            <v>0</v>
          </cell>
          <cell r="AX87">
            <v>0</v>
          </cell>
        </row>
        <row r="88"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24</v>
          </cell>
          <cell r="P88">
            <v>2502</v>
          </cell>
          <cell r="R88">
            <v>3</v>
          </cell>
          <cell r="S88">
            <v>43234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7623</v>
          </cell>
          <cell r="AD88">
            <v>1647</v>
          </cell>
          <cell r="AE88">
            <v>72.267726688588141</v>
          </cell>
          <cell r="AF88">
            <v>0</v>
          </cell>
          <cell r="AH88">
            <v>96.860280139450751</v>
          </cell>
          <cell r="AI88">
            <v>0</v>
          </cell>
          <cell r="AK88">
            <v>78.98502057400087</v>
          </cell>
          <cell r="AL88">
            <v>0</v>
          </cell>
          <cell r="AN88">
            <v>54.362571797023676</v>
          </cell>
          <cell r="AO88">
            <v>0</v>
          </cell>
          <cell r="AQ88">
            <v>26.384494126153122</v>
          </cell>
          <cell r="AR88">
            <v>0</v>
          </cell>
          <cell r="AT88">
            <v>83.05021167631331</v>
          </cell>
          <cell r="AU88">
            <v>496</v>
          </cell>
          <cell r="AW88">
            <v>94.161478523291592</v>
          </cell>
          <cell r="AX88">
            <v>0</v>
          </cell>
        </row>
        <row r="89"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4.1838094870111275</v>
          </cell>
          <cell r="AF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I90">
            <v>5.12</v>
          </cell>
          <cell r="J90">
            <v>3384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R90">
            <v>2</v>
          </cell>
          <cell r="S90">
            <v>6419</v>
          </cell>
          <cell r="U90">
            <v>0</v>
          </cell>
          <cell r="V90">
            <v>0</v>
          </cell>
          <cell r="W90">
            <v>0</v>
          </cell>
          <cell r="X90">
            <v>106.64295846604645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1314</v>
          </cell>
          <cell r="AE90">
            <v>202.06990605035185</v>
          </cell>
          <cell r="AF90">
            <v>385</v>
          </cell>
          <cell r="AH90">
            <v>274.72892540618346</v>
          </cell>
          <cell r="AI90">
            <v>2671</v>
          </cell>
          <cell r="AK90">
            <v>341.18561558757222</v>
          </cell>
          <cell r="AL90">
            <v>0</v>
          </cell>
          <cell r="AN90">
            <v>142.08269596907468</v>
          </cell>
          <cell r="AO90">
            <v>0</v>
          </cell>
          <cell r="AQ90">
            <v>233.85323677229661</v>
          </cell>
          <cell r="AR90">
            <v>0</v>
          </cell>
          <cell r="AT90">
            <v>267.81638294522492</v>
          </cell>
          <cell r="AU90">
            <v>0</v>
          </cell>
          <cell r="AW90">
            <v>187.38255906188371</v>
          </cell>
          <cell r="AX90">
            <v>0</v>
          </cell>
        </row>
        <row r="91"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</row>
        <row r="92"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X92">
            <v>42.017010057220574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186.05208943515458</v>
          </cell>
          <cell r="AF92">
            <v>0</v>
          </cell>
          <cell r="AH92">
            <v>251.52520330277241</v>
          </cell>
          <cell r="AI92">
            <v>0</v>
          </cell>
          <cell r="AK92">
            <v>75.295688921806018</v>
          </cell>
          <cell r="AL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1126</v>
          </cell>
          <cell r="AT92">
            <v>70.178787536868555</v>
          </cell>
          <cell r="AU92">
            <v>0</v>
          </cell>
          <cell r="AW92">
            <v>78.880070559382432</v>
          </cell>
          <cell r="AX92">
            <v>0</v>
          </cell>
        </row>
        <row r="93">
          <cell r="I93">
            <v>18</v>
          </cell>
          <cell r="J93">
            <v>7941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2</v>
          </cell>
          <cell r="S93">
            <v>14441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1880</v>
          </cell>
          <cell r="AE93">
            <v>134.13685304925804</v>
          </cell>
          <cell r="AF93">
            <v>0</v>
          </cell>
          <cell r="AH93">
            <v>183.15261693745566</v>
          </cell>
          <cell r="AI93">
            <v>0</v>
          </cell>
          <cell r="AK93">
            <v>212.78673471802713</v>
          </cell>
          <cell r="AL93">
            <v>0</v>
          </cell>
          <cell r="AN93">
            <v>90.737144763417078</v>
          </cell>
          <cell r="AO93">
            <v>0</v>
          </cell>
          <cell r="AQ93">
            <v>155.90215784819776</v>
          </cell>
          <cell r="AR93">
            <v>0</v>
          </cell>
          <cell r="AT93">
            <v>178.54425529681663</v>
          </cell>
          <cell r="AU93">
            <v>0</v>
          </cell>
          <cell r="AW93">
            <v>187.38255906188371</v>
          </cell>
          <cell r="AX93">
            <v>0</v>
          </cell>
        </row>
        <row r="94"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137.83775051620293</v>
          </cell>
          <cell r="AF94">
            <v>0</v>
          </cell>
          <cell r="AH94">
            <v>196.28665419193635</v>
          </cell>
          <cell r="AI94">
            <v>0</v>
          </cell>
          <cell r="AK94">
            <v>213.70317684306562</v>
          </cell>
          <cell r="AL94">
            <v>0</v>
          </cell>
          <cell r="AN94">
            <v>94.011752103766042</v>
          </cell>
          <cell r="AO94">
            <v>0</v>
          </cell>
          <cell r="AQ94">
            <v>65.961235315382794</v>
          </cell>
          <cell r="AR94">
            <v>0</v>
          </cell>
          <cell r="AT94">
            <v>143.43543095359502</v>
          </cell>
          <cell r="AU94">
            <v>0</v>
          </cell>
          <cell r="AW94">
            <v>65.148817906898302</v>
          </cell>
          <cell r="AX94">
            <v>0</v>
          </cell>
        </row>
        <row r="95"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W95">
            <v>0</v>
          </cell>
          <cell r="X95">
            <v>11.834190064399573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204.42021713237085</v>
          </cell>
          <cell r="AF95">
            <v>0</v>
          </cell>
          <cell r="AH95">
            <v>247.01192583841049</v>
          </cell>
          <cell r="AI95">
            <v>0</v>
          </cell>
          <cell r="AK95">
            <v>242.23676703378922</v>
          </cell>
          <cell r="AL95">
            <v>0</v>
          </cell>
          <cell r="AN95">
            <v>112.20924174271603</v>
          </cell>
          <cell r="AO95">
            <v>0</v>
          </cell>
          <cell r="AQ95">
            <v>65.961235315382794</v>
          </cell>
          <cell r="AR95">
            <v>0</v>
          </cell>
          <cell r="AT95">
            <v>125.7136219185039</v>
          </cell>
          <cell r="AU95">
            <v>596</v>
          </cell>
          <cell r="AW95">
            <v>65.815575516818669</v>
          </cell>
          <cell r="AX95">
            <v>0</v>
          </cell>
        </row>
        <row r="96"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19.453154334432064</v>
          </cell>
          <cell r="Y96">
            <v>977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1721</v>
          </cell>
          <cell r="AE96">
            <v>224.64054342263609</v>
          </cell>
          <cell r="AF96">
            <v>0</v>
          </cell>
          <cell r="AH96">
            <v>267.27344362970138</v>
          </cell>
          <cell r="AI96">
            <v>5075</v>
          </cell>
          <cell r="AK96">
            <v>249.74705045300354</v>
          </cell>
          <cell r="AL96">
            <v>0</v>
          </cell>
          <cell r="AN96">
            <v>116.76510375432694</v>
          </cell>
          <cell r="AO96">
            <v>0</v>
          </cell>
          <cell r="AQ96">
            <v>70.464078559636903</v>
          </cell>
          <cell r="AR96">
            <v>0</v>
          </cell>
          <cell r="AT96">
            <v>129.27437902784081</v>
          </cell>
          <cell r="AU96">
            <v>0</v>
          </cell>
          <cell r="AW96">
            <v>53.862315927238761</v>
          </cell>
          <cell r="AX96">
            <v>0</v>
          </cell>
        </row>
        <row r="97">
          <cell r="I97">
            <v>7.7</v>
          </cell>
          <cell r="J97">
            <v>5112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2</v>
          </cell>
          <cell r="X97">
            <v>2111.4531543344319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253</v>
          </cell>
          <cell r="AE97">
            <v>323.33608540472653</v>
          </cell>
          <cell r="AF97">
            <v>0</v>
          </cell>
          <cell r="AH97">
            <v>445.23247334072875</v>
          </cell>
          <cell r="AI97">
            <v>2912</v>
          </cell>
          <cell r="AK97">
            <v>707.69677335411563</v>
          </cell>
          <cell r="AL97">
            <v>0</v>
          </cell>
          <cell r="AN97">
            <v>259.54606438313925</v>
          </cell>
          <cell r="AO97">
            <v>770</v>
          </cell>
          <cell r="AQ97">
            <v>389.75539462049437</v>
          </cell>
          <cell r="AR97">
            <v>0</v>
          </cell>
          <cell r="AT97">
            <v>305.88578314824531</v>
          </cell>
          <cell r="AU97">
            <v>0</v>
          </cell>
          <cell r="AW97">
            <v>186.43229164545758</v>
          </cell>
          <cell r="AX97">
            <v>0</v>
          </cell>
        </row>
        <row r="98"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W98">
            <v>4</v>
          </cell>
          <cell r="X98">
            <v>515.30668250231668</v>
          </cell>
          <cell r="Y98">
            <v>2257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1130</v>
          </cell>
          <cell r="AE98">
            <v>269.67725713302559</v>
          </cell>
          <cell r="AF98">
            <v>489</v>
          </cell>
          <cell r="AH98">
            <v>410.25288405390029</v>
          </cell>
          <cell r="AI98">
            <v>0</v>
          </cell>
          <cell r="AK98">
            <v>461.00414588991288</v>
          </cell>
          <cell r="AL98">
            <v>0</v>
          </cell>
          <cell r="AN98">
            <v>184.90845320217682</v>
          </cell>
          <cell r="AO98">
            <v>0</v>
          </cell>
          <cell r="AQ98">
            <v>194.88983250281842</v>
          </cell>
          <cell r="AR98">
            <v>0</v>
          </cell>
          <cell r="AT98">
            <v>320.53124901133737</v>
          </cell>
          <cell r="AU98">
            <v>0</v>
          </cell>
          <cell r="AW98">
            <v>127.01222515318118</v>
          </cell>
          <cell r="AX98">
            <v>0</v>
          </cell>
        </row>
        <row r="99"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65.57164767213348</v>
          </cell>
          <cell r="AF99">
            <v>0</v>
          </cell>
          <cell r="AH99">
            <v>75.166243949094962</v>
          </cell>
          <cell r="AI99">
            <v>0</v>
          </cell>
          <cell r="AK99">
            <v>45.844143371333203</v>
          </cell>
          <cell r="AL99">
            <v>0</v>
          </cell>
          <cell r="AN99">
            <v>0</v>
          </cell>
          <cell r="AO99">
            <v>0</v>
          </cell>
          <cell r="AQ99">
            <v>0</v>
          </cell>
          <cell r="AR99">
            <v>0</v>
          </cell>
          <cell r="AT99">
            <v>13.268307429658046</v>
          </cell>
          <cell r="AU99">
            <v>0</v>
          </cell>
          <cell r="AW99">
            <v>0</v>
          </cell>
          <cell r="AX99">
            <v>0</v>
          </cell>
        </row>
        <row r="100"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278.28634321365632</v>
          </cell>
          <cell r="AF100">
            <v>0</v>
          </cell>
          <cell r="AH100">
            <v>202.33697172952878</v>
          </cell>
          <cell r="AI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T100">
            <v>121.16066476790479</v>
          </cell>
          <cell r="AU100">
            <v>0</v>
          </cell>
          <cell r="AW100">
            <v>0</v>
          </cell>
          <cell r="AX100">
            <v>0</v>
          </cell>
        </row>
        <row r="101"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61.647099991546234</v>
          </cell>
          <cell r="AF101">
            <v>0</v>
          </cell>
          <cell r="AH101">
            <v>74.22419333762916</v>
          </cell>
          <cell r="AI101">
            <v>0</v>
          </cell>
          <cell r="AK101">
            <v>37.481307210205827</v>
          </cell>
          <cell r="AL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T101">
            <v>13.206444555034306</v>
          </cell>
          <cell r="AU101">
            <v>0</v>
          </cell>
          <cell r="AW101">
            <v>0</v>
          </cell>
          <cell r="AX101">
            <v>0</v>
          </cell>
        </row>
        <row r="102"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62.624915751524455</v>
          </cell>
          <cell r="AF102">
            <v>0</v>
          </cell>
          <cell r="AH102">
            <v>87.83954249182338</v>
          </cell>
          <cell r="AI102">
            <v>0</v>
          </cell>
          <cell r="AK102">
            <v>26.929707894682178</v>
          </cell>
          <cell r="AL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T102">
            <v>9.8614252960765771</v>
          </cell>
          <cell r="AU102">
            <v>0</v>
          </cell>
          <cell r="AW102">
            <v>0</v>
          </cell>
          <cell r="AX102">
            <v>0</v>
          </cell>
        </row>
        <row r="103"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129.83068955272117</v>
          </cell>
          <cell r="AF103">
            <v>0</v>
          </cell>
          <cell r="AH103">
            <v>158.10153368374478</v>
          </cell>
          <cell r="AI103">
            <v>0</v>
          </cell>
          <cell r="AK103">
            <v>64.119955629500566</v>
          </cell>
          <cell r="AL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T103">
            <v>29.632723159187076</v>
          </cell>
          <cell r="AU103">
            <v>0</v>
          </cell>
          <cell r="AW103">
            <v>0</v>
          </cell>
          <cell r="AX103">
            <v>0</v>
          </cell>
        </row>
        <row r="104"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136.87399555182537</v>
          </cell>
          <cell r="AF104">
            <v>0</v>
          </cell>
          <cell r="AH104">
            <v>189.71213226643653</v>
          </cell>
          <cell r="AI104">
            <v>0</v>
          </cell>
          <cell r="AK104">
            <v>102.89263852286297</v>
          </cell>
          <cell r="AL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T104">
            <v>29.632723159187076</v>
          </cell>
          <cell r="AU104">
            <v>0</v>
          </cell>
          <cell r="AW104">
            <v>0</v>
          </cell>
          <cell r="AX104">
            <v>0</v>
          </cell>
        </row>
        <row r="105"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104.73648131794</v>
          </cell>
          <cell r="AF105">
            <v>0</v>
          </cell>
          <cell r="AH105">
            <v>158.78132636312557</v>
          </cell>
          <cell r="AI105">
            <v>0</v>
          </cell>
          <cell r="AK105">
            <v>39.003700583199688</v>
          </cell>
          <cell r="AL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T105">
            <v>19.771301113804686</v>
          </cell>
          <cell r="AU105">
            <v>0</v>
          </cell>
          <cell r="AW105">
            <v>0</v>
          </cell>
          <cell r="AX105">
            <v>0</v>
          </cell>
        </row>
        <row r="106"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74.37925463325017</v>
          </cell>
          <cell r="AF106">
            <v>0</v>
          </cell>
          <cell r="AH106">
            <v>152.46894747690439</v>
          </cell>
          <cell r="AI106">
            <v>0</v>
          </cell>
          <cell r="AK106">
            <v>37.303148170468859</v>
          </cell>
          <cell r="AL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T106">
            <v>19.771301113804686</v>
          </cell>
          <cell r="AU106">
            <v>0</v>
          </cell>
          <cell r="AW106">
            <v>0</v>
          </cell>
          <cell r="AX106">
            <v>0</v>
          </cell>
        </row>
        <row r="107"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103.00123221737752</v>
          </cell>
          <cell r="AF107">
            <v>0</v>
          </cell>
          <cell r="AH107">
            <v>127.17072778043382</v>
          </cell>
          <cell r="AI107">
            <v>0</v>
          </cell>
          <cell r="AK107">
            <v>36.881382527661664</v>
          </cell>
          <cell r="AL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T107">
            <v>19.771277081972755</v>
          </cell>
          <cell r="AU107">
            <v>0</v>
          </cell>
          <cell r="AW107">
            <v>0</v>
          </cell>
          <cell r="AX107">
            <v>0</v>
          </cell>
        </row>
        <row r="108"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128.09725591400303</v>
          </cell>
          <cell r="AF108">
            <v>0</v>
          </cell>
          <cell r="AH108">
            <v>209.79530050336243</v>
          </cell>
          <cell r="AI108">
            <v>0</v>
          </cell>
          <cell r="AK108">
            <v>132.3516939143727</v>
          </cell>
          <cell r="AL108">
            <v>0</v>
          </cell>
          <cell r="AN108">
            <v>0</v>
          </cell>
          <cell r="AO108">
            <v>0</v>
          </cell>
          <cell r="AQ108">
            <v>0</v>
          </cell>
          <cell r="AR108">
            <v>0</v>
          </cell>
          <cell r="AT108">
            <v>35.916195899513809</v>
          </cell>
          <cell r="AU108">
            <v>0</v>
          </cell>
          <cell r="AW108">
            <v>0</v>
          </cell>
          <cell r="AX108">
            <v>0</v>
          </cell>
        </row>
        <row r="109">
          <cell r="I109">
            <v>0</v>
          </cell>
          <cell r="J109">
            <v>0</v>
          </cell>
          <cell r="L109">
            <v>1</v>
          </cell>
          <cell r="M109">
            <v>58472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310</v>
          </cell>
          <cell r="AE109">
            <v>149.27602959383947</v>
          </cell>
          <cell r="AF109">
            <v>0</v>
          </cell>
          <cell r="AH109">
            <v>200.97730468011736</v>
          </cell>
          <cell r="AI109">
            <v>0</v>
          </cell>
          <cell r="AK109">
            <v>166.70191689660794</v>
          </cell>
          <cell r="AL109">
            <v>0</v>
          </cell>
          <cell r="AN109">
            <v>0</v>
          </cell>
          <cell r="AO109">
            <v>0</v>
          </cell>
          <cell r="AQ109">
            <v>0</v>
          </cell>
          <cell r="AR109">
            <v>0</v>
          </cell>
          <cell r="AT109">
            <v>60.485387360254336</v>
          </cell>
          <cell r="AU109">
            <v>0</v>
          </cell>
          <cell r="AW109">
            <v>0</v>
          </cell>
          <cell r="AX109">
            <v>0</v>
          </cell>
        </row>
        <row r="110">
          <cell r="I110">
            <v>0</v>
          </cell>
          <cell r="J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66.793785964930606</v>
          </cell>
          <cell r="AF110">
            <v>0</v>
          </cell>
          <cell r="AH110">
            <v>148.24448739911162</v>
          </cell>
          <cell r="AI110">
            <v>0</v>
          </cell>
          <cell r="AK110">
            <v>27.646517586814632</v>
          </cell>
          <cell r="AL110">
            <v>0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T110">
            <v>19.771301113804686</v>
          </cell>
          <cell r="AU110">
            <v>0</v>
          </cell>
          <cell r="AW110">
            <v>0</v>
          </cell>
          <cell r="AX110">
            <v>0</v>
          </cell>
        </row>
        <row r="111">
          <cell r="I111">
            <v>0</v>
          </cell>
          <cell r="J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79</v>
          </cell>
          <cell r="AE111">
            <v>146.35357130536974</v>
          </cell>
          <cell r="AF111">
            <v>0</v>
          </cell>
          <cell r="AH111">
            <v>199.98679498901538</v>
          </cell>
          <cell r="AI111">
            <v>0</v>
          </cell>
          <cell r="AK111">
            <v>164.52396800690619</v>
          </cell>
          <cell r="AL111">
            <v>0</v>
          </cell>
          <cell r="AN111">
            <v>0</v>
          </cell>
          <cell r="AO111">
            <v>0</v>
          </cell>
          <cell r="AQ111">
            <v>0</v>
          </cell>
          <cell r="AR111">
            <v>331</v>
          </cell>
          <cell r="AT111">
            <v>60.056147680914883</v>
          </cell>
          <cell r="AU111">
            <v>0</v>
          </cell>
          <cell r="AW111">
            <v>0</v>
          </cell>
          <cell r="AX111">
            <v>0</v>
          </cell>
        </row>
        <row r="112"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94.800233592295626</v>
          </cell>
          <cell r="AF112">
            <v>0</v>
          </cell>
          <cell r="AH112">
            <v>117.77975701338245</v>
          </cell>
          <cell r="AI112">
            <v>0</v>
          </cell>
          <cell r="AK112">
            <v>49.688136637059898</v>
          </cell>
          <cell r="AL112">
            <v>642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T112">
            <v>34.837121188239912</v>
          </cell>
          <cell r="AU112">
            <v>0</v>
          </cell>
          <cell r="AW112">
            <v>0</v>
          </cell>
          <cell r="AX112">
            <v>0</v>
          </cell>
        </row>
        <row r="113">
          <cell r="I113">
            <v>0</v>
          </cell>
          <cell r="J113">
            <v>0</v>
          </cell>
          <cell r="L113">
            <v>1</v>
          </cell>
          <cell r="M113">
            <v>59089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244.42904331491323</v>
          </cell>
          <cell r="AF113">
            <v>0</v>
          </cell>
          <cell r="AH113">
            <v>370.97542606793741</v>
          </cell>
          <cell r="AI113">
            <v>0</v>
          </cell>
          <cell r="AK113">
            <v>313.66672284506978</v>
          </cell>
          <cell r="AL113">
            <v>0</v>
          </cell>
          <cell r="AN113">
            <v>0</v>
          </cell>
          <cell r="AO113">
            <v>0</v>
          </cell>
          <cell r="AQ113">
            <v>0</v>
          </cell>
          <cell r="AR113">
            <v>1120</v>
          </cell>
          <cell r="AT113">
            <v>108.30269141259552</v>
          </cell>
          <cell r="AU113">
            <v>0</v>
          </cell>
          <cell r="AW113">
            <v>0</v>
          </cell>
          <cell r="AX113">
            <v>0</v>
          </cell>
        </row>
        <row r="114"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23.668380128799146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169.7904243905044</v>
          </cell>
          <cell r="AF114">
            <v>0</v>
          </cell>
          <cell r="AH114">
            <v>250.58315269130659</v>
          </cell>
          <cell r="AI114">
            <v>0</v>
          </cell>
          <cell r="AK114">
            <v>240.66409739837528</v>
          </cell>
          <cell r="AL114">
            <v>1825</v>
          </cell>
          <cell r="AN114">
            <v>0</v>
          </cell>
          <cell r="AO114">
            <v>0</v>
          </cell>
          <cell r="AQ114">
            <v>0</v>
          </cell>
          <cell r="AR114">
            <v>510</v>
          </cell>
          <cell r="AT114">
            <v>69.694344771707904</v>
          </cell>
          <cell r="AU114">
            <v>0</v>
          </cell>
          <cell r="AW114">
            <v>0</v>
          </cell>
          <cell r="AX114">
            <v>0</v>
          </cell>
        </row>
        <row r="115"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105.27399646775474</v>
          </cell>
          <cell r="AF115">
            <v>0</v>
          </cell>
          <cell r="AH115">
            <v>140.84536735076762</v>
          </cell>
          <cell r="AI115">
            <v>0</v>
          </cell>
          <cell r="AK115">
            <v>172.52999303886682</v>
          </cell>
          <cell r="AL115">
            <v>0</v>
          </cell>
          <cell r="AN115">
            <v>62.030552270349432</v>
          </cell>
          <cell r="AO115">
            <v>0</v>
          </cell>
          <cell r="AQ115">
            <v>35.219944932571877</v>
          </cell>
          <cell r="AR115">
            <v>0</v>
          </cell>
          <cell r="AT115">
            <v>86.679575327637068</v>
          </cell>
          <cell r="AU115">
            <v>0</v>
          </cell>
          <cell r="AW115">
            <v>0</v>
          </cell>
          <cell r="AX115">
            <v>0</v>
          </cell>
        </row>
        <row r="116"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1021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208.68357540627463</v>
          </cell>
          <cell r="AF116">
            <v>0</v>
          </cell>
          <cell r="AH116">
            <v>265.33664916087628</v>
          </cell>
          <cell r="AI116">
            <v>1254</v>
          </cell>
          <cell r="AK116">
            <v>274.04768569408526</v>
          </cell>
          <cell r="AL116">
            <v>0</v>
          </cell>
          <cell r="AN116">
            <v>114.36755956189184</v>
          </cell>
          <cell r="AO116">
            <v>0</v>
          </cell>
          <cell r="AQ116">
            <v>65.961235315382794</v>
          </cell>
          <cell r="AR116">
            <v>0</v>
          </cell>
          <cell r="AT116">
            <v>173.06738905400283</v>
          </cell>
          <cell r="AU116">
            <v>0</v>
          </cell>
          <cell r="AW116">
            <v>0</v>
          </cell>
          <cell r="AX116">
            <v>0</v>
          </cell>
        </row>
        <row r="117"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H117">
            <v>0</v>
          </cell>
          <cell r="AI117">
            <v>0</v>
          </cell>
          <cell r="AK117">
            <v>0</v>
          </cell>
          <cell r="AL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T117">
            <v>0</v>
          </cell>
          <cell r="AU117">
            <v>0</v>
          </cell>
          <cell r="AW117">
            <v>0</v>
          </cell>
          <cell r="AX117">
            <v>0</v>
          </cell>
        </row>
        <row r="118"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65.283353780054597</v>
          </cell>
          <cell r="AF118">
            <v>0</v>
          </cell>
          <cell r="AH118">
            <v>90.238260002622894</v>
          </cell>
          <cell r="AI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T118">
            <v>15.221714027152627</v>
          </cell>
          <cell r="AU118">
            <v>0</v>
          </cell>
          <cell r="AW118">
            <v>0</v>
          </cell>
          <cell r="AX118">
            <v>0</v>
          </cell>
        </row>
        <row r="119"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H119">
            <v>0</v>
          </cell>
          <cell r="AI119">
            <v>0</v>
          </cell>
          <cell r="AK119">
            <v>0</v>
          </cell>
          <cell r="AL119">
            <v>0</v>
          </cell>
          <cell r="AN119">
            <v>0</v>
          </cell>
          <cell r="AO119">
            <v>0</v>
          </cell>
          <cell r="AQ119">
            <v>0</v>
          </cell>
          <cell r="AR119">
            <v>0</v>
          </cell>
          <cell r="AT119">
            <v>0</v>
          </cell>
          <cell r="AU119">
            <v>0</v>
          </cell>
          <cell r="AW119">
            <v>0</v>
          </cell>
          <cell r="AX119">
            <v>0</v>
          </cell>
        </row>
        <row r="120"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Q120">
            <v>0</v>
          </cell>
          <cell r="AR120">
            <v>0</v>
          </cell>
          <cell r="AT120">
            <v>0</v>
          </cell>
          <cell r="AU120">
            <v>0</v>
          </cell>
          <cell r="AW120">
            <v>0</v>
          </cell>
          <cell r="AX120">
            <v>0</v>
          </cell>
        </row>
        <row r="121"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H121">
            <v>0</v>
          </cell>
          <cell r="AI121">
            <v>0</v>
          </cell>
          <cell r="AK121">
            <v>0</v>
          </cell>
          <cell r="AL121">
            <v>0</v>
          </cell>
          <cell r="AN121">
            <v>0</v>
          </cell>
          <cell r="AO121">
            <v>0</v>
          </cell>
          <cell r="AQ121">
            <v>0</v>
          </cell>
          <cell r="AR121">
            <v>0</v>
          </cell>
          <cell r="AT121">
            <v>0</v>
          </cell>
          <cell r="AU121">
            <v>0</v>
          </cell>
          <cell r="AW121">
            <v>0</v>
          </cell>
          <cell r="AX121">
            <v>0</v>
          </cell>
        </row>
        <row r="122"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H122">
            <v>0</v>
          </cell>
          <cell r="AI122">
            <v>0</v>
          </cell>
          <cell r="AK122">
            <v>0</v>
          </cell>
          <cell r="AL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T122">
            <v>0</v>
          </cell>
          <cell r="AU122">
            <v>0</v>
          </cell>
          <cell r="AW122">
            <v>0</v>
          </cell>
          <cell r="AX122">
            <v>0</v>
          </cell>
        </row>
        <row r="123"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293.41770088640146</v>
          </cell>
          <cell r="AF123">
            <v>0</v>
          </cell>
          <cell r="AH123">
            <v>479.78182875221421</v>
          </cell>
          <cell r="AI123">
            <v>0</v>
          </cell>
          <cell r="AK123">
            <v>298.87887909621088</v>
          </cell>
          <cell r="AL123">
            <v>0</v>
          </cell>
          <cell r="AN123">
            <v>0</v>
          </cell>
          <cell r="AO123">
            <v>0</v>
          </cell>
          <cell r="AQ123">
            <v>119.94714023874553</v>
          </cell>
          <cell r="AR123">
            <v>0</v>
          </cell>
          <cell r="AT123">
            <v>216.37577436144372</v>
          </cell>
          <cell r="AU123">
            <v>0</v>
          </cell>
          <cell r="AW123">
            <v>0</v>
          </cell>
          <cell r="AX123">
            <v>0</v>
          </cell>
        </row>
        <row r="124"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H124">
            <v>0</v>
          </cell>
          <cell r="AI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T124">
            <v>0</v>
          </cell>
          <cell r="AU124">
            <v>0</v>
          </cell>
          <cell r="AW124">
            <v>0</v>
          </cell>
          <cell r="AX124">
            <v>0</v>
          </cell>
        </row>
        <row r="125"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H125">
            <v>0</v>
          </cell>
          <cell r="AI125">
            <v>0</v>
          </cell>
          <cell r="AK125">
            <v>0</v>
          </cell>
          <cell r="AL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T125">
            <v>0</v>
          </cell>
          <cell r="AU125">
            <v>0</v>
          </cell>
          <cell r="AW125">
            <v>0</v>
          </cell>
          <cell r="AX125">
            <v>0</v>
          </cell>
        </row>
        <row r="126"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H126">
            <v>0</v>
          </cell>
          <cell r="AI126">
            <v>0</v>
          </cell>
          <cell r="AK126">
            <v>0</v>
          </cell>
          <cell r="AL126">
            <v>0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T126">
            <v>0</v>
          </cell>
          <cell r="AU126">
            <v>0</v>
          </cell>
          <cell r="AW126">
            <v>0</v>
          </cell>
          <cell r="AX126">
            <v>0</v>
          </cell>
        </row>
        <row r="127"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39.447300214665248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310.69298550910793</v>
          </cell>
          <cell r="AF127">
            <v>0</v>
          </cell>
          <cell r="AH127">
            <v>490.31866771622811</v>
          </cell>
          <cell r="AI127">
            <v>0</v>
          </cell>
          <cell r="AK127">
            <v>298.96762202027503</v>
          </cell>
          <cell r="AL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T127">
            <v>259.81939144057162</v>
          </cell>
          <cell r="AU127">
            <v>0</v>
          </cell>
          <cell r="AW127">
            <v>0</v>
          </cell>
          <cell r="AX127">
            <v>0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2082</v>
          </cell>
          <cell r="AC128">
            <v>0</v>
          </cell>
          <cell r="AD128">
            <v>0</v>
          </cell>
          <cell r="AE128">
            <v>328.46265580426922</v>
          </cell>
          <cell r="AF128">
            <v>489</v>
          </cell>
          <cell r="AH128">
            <v>392.18005276187682</v>
          </cell>
          <cell r="AI128">
            <v>0</v>
          </cell>
          <cell r="AK128">
            <v>372.00327676087647</v>
          </cell>
          <cell r="AL128">
            <v>0</v>
          </cell>
          <cell r="AN128">
            <v>189.47734017193309</v>
          </cell>
          <cell r="AO128">
            <v>0</v>
          </cell>
          <cell r="AQ128">
            <v>105.68402349220877</v>
          </cell>
          <cell r="AR128">
            <v>0</v>
          </cell>
          <cell r="AT128">
            <v>220.07829963175874</v>
          </cell>
          <cell r="AU128">
            <v>0</v>
          </cell>
          <cell r="AW128">
            <v>79.769107936159529</v>
          </cell>
          <cell r="AX128">
            <v>0</v>
          </cell>
        </row>
        <row r="129"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220</v>
          </cell>
          <cell r="AC129">
            <v>482</v>
          </cell>
          <cell r="AD129">
            <v>831</v>
          </cell>
          <cell r="AE129">
            <v>369.47411731187549</v>
          </cell>
          <cell r="AF129">
            <v>834</v>
          </cell>
          <cell r="AH129">
            <v>475.19115838972868</v>
          </cell>
          <cell r="AI129">
            <v>0</v>
          </cell>
          <cell r="AK129">
            <v>655.87603860784714</v>
          </cell>
          <cell r="AL129">
            <v>0</v>
          </cell>
          <cell r="AN129">
            <v>238.48745367779139</v>
          </cell>
          <cell r="AO129">
            <v>0</v>
          </cell>
          <cell r="AQ129">
            <v>105.68402349220877</v>
          </cell>
          <cell r="AR129">
            <v>0</v>
          </cell>
          <cell r="AT129">
            <v>223.64458815826015</v>
          </cell>
          <cell r="AU129">
            <v>0</v>
          </cell>
          <cell r="AW129">
            <v>81.769380765920587</v>
          </cell>
          <cell r="AX129">
            <v>0</v>
          </cell>
        </row>
        <row r="130"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H130">
            <v>0</v>
          </cell>
          <cell r="AI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T130">
            <v>0</v>
          </cell>
          <cell r="AU130">
            <v>0</v>
          </cell>
          <cell r="AW130">
            <v>0</v>
          </cell>
          <cell r="AX130">
            <v>0</v>
          </cell>
        </row>
        <row r="131"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H131">
            <v>0</v>
          </cell>
          <cell r="AI131">
            <v>0</v>
          </cell>
          <cell r="AK131">
            <v>0</v>
          </cell>
          <cell r="AL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T131">
            <v>0</v>
          </cell>
          <cell r="AU131">
            <v>0</v>
          </cell>
          <cell r="AW131">
            <v>0</v>
          </cell>
          <cell r="AX131">
            <v>0</v>
          </cell>
        </row>
        <row r="132"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H132">
            <v>0</v>
          </cell>
          <cell r="AI132">
            <v>0</v>
          </cell>
          <cell r="AK132">
            <v>0</v>
          </cell>
          <cell r="AL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</row>
        <row r="133"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124.99549231576577</v>
          </cell>
          <cell r="AF133">
            <v>0</v>
          </cell>
          <cell r="AH133">
            <v>153.02341104794502</v>
          </cell>
          <cell r="AI133">
            <v>0</v>
          </cell>
          <cell r="AK133">
            <v>335.89607452838891</v>
          </cell>
          <cell r="AL133">
            <v>0</v>
          </cell>
          <cell r="AN133">
            <v>111.59307533867725</v>
          </cell>
          <cell r="AO133">
            <v>0</v>
          </cell>
          <cell r="AQ133">
            <v>32.980617657691397</v>
          </cell>
          <cell r="AR133">
            <v>0</v>
          </cell>
          <cell r="AT133">
            <v>43.380793390018312</v>
          </cell>
          <cell r="AU133">
            <v>0</v>
          </cell>
          <cell r="AW133">
            <v>0</v>
          </cell>
          <cell r="AX133">
            <v>0</v>
          </cell>
        </row>
        <row r="134"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H134">
            <v>0</v>
          </cell>
          <cell r="AI134">
            <v>0</v>
          </cell>
          <cell r="AK134">
            <v>0</v>
          </cell>
          <cell r="AL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T134">
            <v>0</v>
          </cell>
          <cell r="AU134">
            <v>0</v>
          </cell>
          <cell r="AW134">
            <v>0</v>
          </cell>
          <cell r="AX134">
            <v>0</v>
          </cell>
        </row>
        <row r="135"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H135">
            <v>0</v>
          </cell>
          <cell r="AI135">
            <v>0</v>
          </cell>
          <cell r="AK135">
            <v>10.841388784924442</v>
          </cell>
          <cell r="AL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</row>
        <row r="136"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997.47570388522956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530</v>
          </cell>
          <cell r="AE136">
            <v>143.40667600346097</v>
          </cell>
          <cell r="AF136">
            <v>0</v>
          </cell>
          <cell r="AH136">
            <v>195.76233491122258</v>
          </cell>
          <cell r="AI136">
            <v>0</v>
          </cell>
          <cell r="AK136">
            <v>195.83071739750042</v>
          </cell>
          <cell r="AL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T136">
            <v>58.242111861801746</v>
          </cell>
          <cell r="AU136">
            <v>0</v>
          </cell>
          <cell r="AW136">
            <v>0</v>
          </cell>
          <cell r="AX136">
            <v>0</v>
          </cell>
        </row>
        <row r="137"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54.549980868279931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5827</v>
          </cell>
          <cell r="AE137">
            <v>161.43598939048366</v>
          </cell>
          <cell r="AF137">
            <v>0</v>
          </cell>
          <cell r="AH137">
            <v>216.85252149748126</v>
          </cell>
          <cell r="AI137">
            <v>0</v>
          </cell>
          <cell r="AK137">
            <v>245.14168481353812</v>
          </cell>
          <cell r="AL137">
            <v>0</v>
          </cell>
          <cell r="AN137">
            <v>99.504095214135731</v>
          </cell>
          <cell r="AO137">
            <v>0</v>
          </cell>
          <cell r="AQ137">
            <v>65.961235315382794</v>
          </cell>
          <cell r="AR137">
            <v>0</v>
          </cell>
          <cell r="AT137">
            <v>143.99064936730142</v>
          </cell>
          <cell r="AU137">
            <v>0</v>
          </cell>
          <cell r="AW137">
            <v>65.815575516818669</v>
          </cell>
          <cell r="AX137">
            <v>0</v>
          </cell>
        </row>
        <row r="138"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142.83996650654154</v>
          </cell>
          <cell r="AF138">
            <v>0</v>
          </cell>
          <cell r="AH138">
            <v>195.76233491122258</v>
          </cell>
          <cell r="AI138">
            <v>0</v>
          </cell>
          <cell r="AK138">
            <v>185.89456253896032</v>
          </cell>
          <cell r="AL138">
            <v>0</v>
          </cell>
          <cell r="AN138">
            <v>0</v>
          </cell>
          <cell r="AO138">
            <v>0</v>
          </cell>
          <cell r="AQ138">
            <v>0</v>
          </cell>
          <cell r="AR138">
            <v>0</v>
          </cell>
          <cell r="AT138">
            <v>58.242111861801746</v>
          </cell>
          <cell r="AU138">
            <v>0</v>
          </cell>
          <cell r="AW138">
            <v>0</v>
          </cell>
          <cell r="AX138">
            <v>0</v>
          </cell>
        </row>
        <row r="139"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95.899640838670678</v>
          </cell>
          <cell r="AF139">
            <v>0</v>
          </cell>
          <cell r="AH139">
            <v>149.39035559607422</v>
          </cell>
          <cell r="AI139">
            <v>0</v>
          </cell>
          <cell r="AK139">
            <v>75.981484148226926</v>
          </cell>
          <cell r="AL139">
            <v>0</v>
          </cell>
          <cell r="AN139">
            <v>0</v>
          </cell>
          <cell r="AO139">
            <v>0</v>
          </cell>
          <cell r="AQ139">
            <v>0</v>
          </cell>
          <cell r="AR139">
            <v>0</v>
          </cell>
          <cell r="AT139">
            <v>40.779527065714653</v>
          </cell>
          <cell r="AU139">
            <v>0</v>
          </cell>
          <cell r="AW139">
            <v>0</v>
          </cell>
          <cell r="AX139">
            <v>0</v>
          </cell>
        </row>
        <row r="140"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59.085306560631935</v>
          </cell>
          <cell r="AF140">
            <v>0</v>
          </cell>
          <cell r="AH140">
            <v>72.08773375891468</v>
          </cell>
          <cell r="AI140">
            <v>0</v>
          </cell>
          <cell r="AK140">
            <v>44.209091793188861</v>
          </cell>
          <cell r="AL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T140">
            <v>13.131198850039331</v>
          </cell>
          <cell r="AU140">
            <v>0</v>
          </cell>
          <cell r="AW140">
            <v>0</v>
          </cell>
          <cell r="AX140">
            <v>0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309.24744506594914</v>
          </cell>
          <cell r="AF141">
            <v>0</v>
          </cell>
          <cell r="AH141">
            <v>490.42556714245251</v>
          </cell>
          <cell r="AI141">
            <v>0</v>
          </cell>
          <cell r="AK141">
            <v>430.839921178493</v>
          </cell>
          <cell r="AL141">
            <v>1472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T141">
            <v>174.4186197559111</v>
          </cell>
          <cell r="AU141">
            <v>0</v>
          </cell>
          <cell r="AW141">
            <v>0</v>
          </cell>
          <cell r="AX141">
            <v>0</v>
          </cell>
        </row>
        <row r="142"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47.059309791594281</v>
          </cell>
          <cell r="AF142">
            <v>0</v>
          </cell>
          <cell r="AH142">
            <v>60.404944907288225</v>
          </cell>
          <cell r="AI142">
            <v>0</v>
          </cell>
          <cell r="AK142">
            <v>29.899082143124652</v>
          </cell>
          <cell r="AL142">
            <v>0</v>
          </cell>
          <cell r="AN142">
            <v>0</v>
          </cell>
          <cell r="AO142">
            <v>0</v>
          </cell>
          <cell r="AQ142">
            <v>0</v>
          </cell>
          <cell r="AR142">
            <v>0</v>
          </cell>
          <cell r="AT142">
            <v>9.782104083393186</v>
          </cell>
          <cell r="AU142">
            <v>0</v>
          </cell>
          <cell r="AW142">
            <v>0</v>
          </cell>
          <cell r="AX142">
            <v>0</v>
          </cell>
        </row>
        <row r="143"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K143">
            <v>37.508628877400184</v>
          </cell>
          <cell r="AL143">
            <v>0</v>
          </cell>
          <cell r="AN143">
            <v>0</v>
          </cell>
          <cell r="AO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W143">
            <v>0</v>
          </cell>
          <cell r="AX143">
            <v>0</v>
          </cell>
        </row>
        <row r="144"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187.4391067611696</v>
          </cell>
          <cell r="AF144">
            <v>0</v>
          </cell>
          <cell r="AH144">
            <v>258.30373939722529</v>
          </cell>
          <cell r="AI144">
            <v>0</v>
          </cell>
          <cell r="AK144">
            <v>417.52689610795557</v>
          </cell>
          <cell r="AL144">
            <v>0</v>
          </cell>
          <cell r="AN144">
            <v>234.92107816430971</v>
          </cell>
          <cell r="AO144">
            <v>0</v>
          </cell>
          <cell r="AQ144">
            <v>0</v>
          </cell>
          <cell r="AR144">
            <v>0</v>
          </cell>
          <cell r="AT144">
            <v>120.7391811804537</v>
          </cell>
          <cell r="AU144">
            <v>0</v>
          </cell>
          <cell r="AW144">
            <v>0</v>
          </cell>
          <cell r="AX144">
            <v>0</v>
          </cell>
        </row>
        <row r="145"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209.68610314611877</v>
          </cell>
          <cell r="AF145">
            <v>0</v>
          </cell>
          <cell r="AH145">
            <v>311.97860728969681</v>
          </cell>
          <cell r="AI145">
            <v>0</v>
          </cell>
          <cell r="AK145">
            <v>235.70928345887529</v>
          </cell>
          <cell r="AL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T145">
            <v>86.524571442710084</v>
          </cell>
          <cell r="AU145">
            <v>0</v>
          </cell>
          <cell r="AW145">
            <v>0</v>
          </cell>
          <cell r="AX145">
            <v>0</v>
          </cell>
        </row>
        <row r="146"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33.541475839669644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185.03472901469073</v>
          </cell>
          <cell r="AF146">
            <v>0</v>
          </cell>
          <cell r="AH146">
            <v>276.14354862921226</v>
          </cell>
          <cell r="AI146">
            <v>0</v>
          </cell>
          <cell r="AK146">
            <v>370.93148431507529</v>
          </cell>
          <cell r="AL146">
            <v>0</v>
          </cell>
          <cell r="AN146">
            <v>213.4689416535854</v>
          </cell>
          <cell r="AO146">
            <v>0</v>
          </cell>
          <cell r="AQ146">
            <v>0</v>
          </cell>
          <cell r="AR146">
            <v>0</v>
          </cell>
          <cell r="AT146">
            <v>118.21256501765102</v>
          </cell>
          <cell r="AU146">
            <v>0</v>
          </cell>
          <cell r="AW146">
            <v>0</v>
          </cell>
          <cell r="AX146">
            <v>0</v>
          </cell>
        </row>
        <row r="147">
          <cell r="I147">
            <v>6.94</v>
          </cell>
          <cell r="J147">
            <v>9342</v>
          </cell>
          <cell r="L147">
            <v>0</v>
          </cell>
          <cell r="M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521</v>
          </cell>
          <cell r="AE147">
            <v>327.89594630734996</v>
          </cell>
          <cell r="AF147">
            <v>0</v>
          </cell>
          <cell r="AH147">
            <v>390.07398117832253</v>
          </cell>
          <cell r="AI147">
            <v>0</v>
          </cell>
          <cell r="AK147">
            <v>422.98261503208329</v>
          </cell>
          <cell r="AL147">
            <v>0</v>
          </cell>
          <cell r="AN147">
            <v>179.97352815066915</v>
          </cell>
          <cell r="AO147">
            <v>0</v>
          </cell>
          <cell r="AQ147">
            <v>105.68402349220877</v>
          </cell>
          <cell r="AR147">
            <v>0</v>
          </cell>
          <cell r="AT147">
            <v>220.07829817605759</v>
          </cell>
          <cell r="AU147">
            <v>0</v>
          </cell>
          <cell r="AW147">
            <v>118.34437622421669</v>
          </cell>
          <cell r="AX147">
            <v>0</v>
          </cell>
        </row>
        <row r="148"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H148">
            <v>0</v>
          </cell>
          <cell r="AI148">
            <v>0</v>
          </cell>
          <cell r="AK148">
            <v>0</v>
          </cell>
          <cell r="AL148">
            <v>0</v>
          </cell>
          <cell r="AN148">
            <v>0</v>
          </cell>
          <cell r="AO148">
            <v>0</v>
          </cell>
          <cell r="AQ148">
            <v>0</v>
          </cell>
          <cell r="AR148">
            <v>0</v>
          </cell>
          <cell r="AT148">
            <v>0</v>
          </cell>
          <cell r="AU148">
            <v>0</v>
          </cell>
          <cell r="AW148">
            <v>0</v>
          </cell>
          <cell r="AX148">
            <v>0</v>
          </cell>
        </row>
        <row r="149">
          <cell r="I149">
            <v>3.55</v>
          </cell>
          <cell r="J149">
            <v>2855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3</v>
          </cell>
          <cell r="X149">
            <v>315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1095</v>
          </cell>
          <cell r="AE149">
            <v>163.40459525333648</v>
          </cell>
          <cell r="AF149">
            <v>1165</v>
          </cell>
          <cell r="AH149">
            <v>336.8331617242394</v>
          </cell>
          <cell r="AI149">
            <v>24406</v>
          </cell>
          <cell r="AK149">
            <v>244.72535051333389</v>
          </cell>
          <cell r="AL149">
            <v>0</v>
          </cell>
          <cell r="AN149">
            <v>103.02668463952413</v>
          </cell>
          <cell r="AO149">
            <v>0</v>
          </cell>
          <cell r="AQ149">
            <v>116.92905359372746</v>
          </cell>
          <cell r="AR149">
            <v>0</v>
          </cell>
          <cell r="AT149">
            <v>166.61389976254213</v>
          </cell>
          <cell r="AU149">
            <v>0</v>
          </cell>
          <cell r="AW149">
            <v>187.49373979063722</v>
          </cell>
          <cell r="AX149">
            <v>0</v>
          </cell>
        </row>
        <row r="150">
          <cell r="I150">
            <v>0</v>
          </cell>
          <cell r="J150">
            <v>0</v>
          </cell>
          <cell r="L150">
            <v>1</v>
          </cell>
          <cell r="M150">
            <v>54046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805</v>
          </cell>
          <cell r="AE150">
            <v>296.40759987889163</v>
          </cell>
          <cell r="AF150">
            <v>0</v>
          </cell>
          <cell r="AH150">
            <v>431.42874836421191</v>
          </cell>
          <cell r="AI150">
            <v>0</v>
          </cell>
          <cell r="AK150">
            <v>290.03422020352775</v>
          </cell>
          <cell r="AL150">
            <v>0</v>
          </cell>
          <cell r="AN150">
            <v>144.21332472826128</v>
          </cell>
          <cell r="AO150">
            <v>0</v>
          </cell>
          <cell r="AQ150">
            <v>119.94714023874553</v>
          </cell>
          <cell r="AR150">
            <v>0</v>
          </cell>
          <cell r="AT150">
            <v>165.91452866121352</v>
          </cell>
          <cell r="AU150">
            <v>0</v>
          </cell>
          <cell r="AW150">
            <v>232.74222385317006</v>
          </cell>
          <cell r="AX150">
            <v>0</v>
          </cell>
        </row>
        <row r="151">
          <cell r="I151">
            <v>5.74</v>
          </cell>
          <cell r="J151">
            <v>3514</v>
          </cell>
          <cell r="L151">
            <v>0</v>
          </cell>
          <cell r="M151">
            <v>0</v>
          </cell>
          <cell r="O151">
            <v>0</v>
          </cell>
          <cell r="P151">
            <v>0</v>
          </cell>
          <cell r="R151">
            <v>1</v>
          </cell>
          <cell r="S151">
            <v>3209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7154</v>
          </cell>
          <cell r="AD151">
            <v>2180</v>
          </cell>
          <cell r="AE151">
            <v>137.99555972980002</v>
          </cell>
          <cell r="AF151">
            <v>338</v>
          </cell>
          <cell r="AH151">
            <v>220.85066511954076</v>
          </cell>
          <cell r="AI151">
            <v>0</v>
          </cell>
          <cell r="AK151">
            <v>177.48698710665167</v>
          </cell>
          <cell r="AL151">
            <v>0</v>
          </cell>
          <cell r="AN151">
            <v>87.157379501975697</v>
          </cell>
          <cell r="AO151">
            <v>0</v>
          </cell>
          <cell r="AQ151">
            <v>61.458351225803753</v>
          </cell>
          <cell r="AR151">
            <v>0</v>
          </cell>
          <cell r="AT151">
            <v>128.7899698064362</v>
          </cell>
          <cell r="AU151">
            <v>4739</v>
          </cell>
          <cell r="AW151">
            <v>65.148817906898302</v>
          </cell>
          <cell r="AX151">
            <v>0</v>
          </cell>
        </row>
        <row r="152"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R152">
            <v>1</v>
          </cell>
          <cell r="S152">
            <v>3209</v>
          </cell>
          <cell r="U152">
            <v>0</v>
          </cell>
          <cell r="V152">
            <v>0</v>
          </cell>
          <cell r="W152">
            <v>0</v>
          </cell>
          <cell r="X152">
            <v>43.234241035273101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137.99555972980002</v>
          </cell>
          <cell r="AF152">
            <v>0</v>
          </cell>
          <cell r="AH152">
            <v>220.85066511954076</v>
          </cell>
          <cell r="AI152">
            <v>0</v>
          </cell>
          <cell r="AK152">
            <v>317.2358755353203</v>
          </cell>
          <cell r="AL152">
            <v>0</v>
          </cell>
          <cell r="AN152">
            <v>109.91849602876229</v>
          </cell>
          <cell r="AO152">
            <v>0</v>
          </cell>
          <cell r="AQ152">
            <v>61.458351225803753</v>
          </cell>
          <cell r="AR152">
            <v>0</v>
          </cell>
          <cell r="AT152">
            <v>133.88047942032034</v>
          </cell>
          <cell r="AU152">
            <v>0</v>
          </cell>
          <cell r="AW152">
            <v>63.148545077137236</v>
          </cell>
          <cell r="AX152">
            <v>0</v>
          </cell>
        </row>
        <row r="153"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206.77985978735606</v>
          </cell>
          <cell r="AF153">
            <v>614</v>
          </cell>
          <cell r="AH153">
            <v>249.72595634349193</v>
          </cell>
          <cell r="AI153">
            <v>0</v>
          </cell>
          <cell r="AK153">
            <v>261.65200467571259</v>
          </cell>
          <cell r="AL153">
            <v>0</v>
          </cell>
          <cell r="AN153">
            <v>136.18455916075749</v>
          </cell>
          <cell r="AO153">
            <v>0</v>
          </cell>
          <cell r="AQ153">
            <v>65.961235315382794</v>
          </cell>
          <cell r="AR153">
            <v>0</v>
          </cell>
          <cell r="AT153">
            <v>127.29001511917984</v>
          </cell>
          <cell r="AU153">
            <v>0</v>
          </cell>
          <cell r="AW153">
            <v>63.815302687057624</v>
          </cell>
          <cell r="AX153">
            <v>0</v>
          </cell>
        </row>
        <row r="154"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32027</v>
          </cell>
          <cell r="AD154">
            <v>0</v>
          </cell>
          <cell r="AE154">
            <v>253.79559344136993</v>
          </cell>
          <cell r="AF154">
            <v>0</v>
          </cell>
          <cell r="AH154">
            <v>299.85918245111566</v>
          </cell>
          <cell r="AI154">
            <v>0</v>
          </cell>
          <cell r="AK154">
            <v>314.1999342756028</v>
          </cell>
          <cell r="AL154">
            <v>0</v>
          </cell>
          <cell r="AN154">
            <v>149.09893932882818</v>
          </cell>
          <cell r="AO154">
            <v>0</v>
          </cell>
          <cell r="AQ154">
            <v>70.464078559636903</v>
          </cell>
          <cell r="AR154">
            <v>0</v>
          </cell>
          <cell r="AT154">
            <v>139.13578215632674</v>
          </cell>
          <cell r="AU154">
            <v>0</v>
          </cell>
          <cell r="AW154">
            <v>80.877523551507238</v>
          </cell>
          <cell r="AX154">
            <v>0</v>
          </cell>
        </row>
        <row r="155">
          <cell r="I155">
            <v>68.52</v>
          </cell>
          <cell r="J155">
            <v>25172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3</v>
          </cell>
          <cell r="S155">
            <v>27926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851</v>
          </cell>
          <cell r="AD155">
            <v>0</v>
          </cell>
          <cell r="AE155">
            <v>94.43378304313336</v>
          </cell>
          <cell r="AF155">
            <v>7872</v>
          </cell>
          <cell r="AH155">
            <v>164.69565160645897</v>
          </cell>
          <cell r="AI155">
            <v>0</v>
          </cell>
          <cell r="AK155">
            <v>85.522569153203989</v>
          </cell>
          <cell r="AL155">
            <v>862</v>
          </cell>
          <cell r="AN155">
            <v>77.168991502675269</v>
          </cell>
          <cell r="AO155">
            <v>0</v>
          </cell>
          <cell r="AQ155">
            <v>114.23216904794364</v>
          </cell>
          <cell r="AR155">
            <v>0</v>
          </cell>
          <cell r="AT155">
            <v>117.81904756011804</v>
          </cell>
          <cell r="AU155">
            <v>2408</v>
          </cell>
          <cell r="AW155">
            <v>186.43229164545758</v>
          </cell>
          <cell r="AX155">
            <v>0</v>
          </cell>
        </row>
        <row r="156"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7129</v>
          </cell>
          <cell r="AD156">
            <v>211</v>
          </cell>
          <cell r="AE156">
            <v>218.8366539500102</v>
          </cell>
          <cell r="AF156">
            <v>0</v>
          </cell>
          <cell r="AH156">
            <v>293.70984678688399</v>
          </cell>
          <cell r="AI156">
            <v>0</v>
          </cell>
          <cell r="AK156">
            <v>364.69237551859214</v>
          </cell>
          <cell r="AL156">
            <v>0</v>
          </cell>
          <cell r="AN156">
            <v>200.31082217688231</v>
          </cell>
          <cell r="AO156">
            <v>1275</v>
          </cell>
          <cell r="AQ156">
            <v>233.85323677229661</v>
          </cell>
          <cell r="AR156">
            <v>0</v>
          </cell>
          <cell r="AT156">
            <v>278.72226634903535</v>
          </cell>
          <cell r="AU156">
            <v>5128</v>
          </cell>
          <cell r="AW156">
            <v>127.01222515318118</v>
          </cell>
          <cell r="AX156">
            <v>0</v>
          </cell>
        </row>
        <row r="157"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H157">
            <v>0</v>
          </cell>
          <cell r="AI157">
            <v>0</v>
          </cell>
          <cell r="AK157">
            <v>0</v>
          </cell>
          <cell r="AL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T157">
            <v>0</v>
          </cell>
          <cell r="AU157">
            <v>0</v>
          </cell>
          <cell r="AW157">
            <v>0</v>
          </cell>
          <cell r="AX157">
            <v>0</v>
          </cell>
        </row>
        <row r="158"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H158">
            <v>0</v>
          </cell>
          <cell r="AI158">
            <v>0</v>
          </cell>
          <cell r="AK158">
            <v>0</v>
          </cell>
          <cell r="AL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T158">
            <v>0</v>
          </cell>
          <cell r="AU158">
            <v>0</v>
          </cell>
          <cell r="AW158">
            <v>0</v>
          </cell>
          <cell r="AX158">
            <v>0</v>
          </cell>
        </row>
        <row r="159">
          <cell r="I159">
            <v>35.9</v>
          </cell>
          <cell r="J159">
            <v>15289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19</v>
          </cell>
          <cell r="X159">
            <v>17784</v>
          </cell>
          <cell r="Y159">
            <v>653</v>
          </cell>
          <cell r="Z159">
            <v>0</v>
          </cell>
          <cell r="AA159">
            <v>0</v>
          </cell>
          <cell r="AB159">
            <v>0</v>
          </cell>
          <cell r="AC159">
            <v>7134</v>
          </cell>
          <cell r="AD159">
            <v>15125</v>
          </cell>
          <cell r="AE159">
            <v>285.60590283188384</v>
          </cell>
          <cell r="AF159">
            <v>4852</v>
          </cell>
          <cell r="AH159">
            <v>390.32326750718556</v>
          </cell>
          <cell r="AI159">
            <v>4240</v>
          </cell>
          <cell r="AK159">
            <v>457.79539128399068</v>
          </cell>
          <cell r="AL159">
            <v>0</v>
          </cell>
          <cell r="AN159">
            <v>190.64462400592069</v>
          </cell>
          <cell r="AO159">
            <v>0</v>
          </cell>
          <cell r="AQ159">
            <v>292.3226339843186</v>
          </cell>
          <cell r="AR159">
            <v>0</v>
          </cell>
          <cell r="AT159">
            <v>231.42810175412231</v>
          </cell>
          <cell r="AU159">
            <v>10572</v>
          </cell>
          <cell r="AW159">
            <v>143.02162076665977</v>
          </cell>
          <cell r="AX159">
            <v>0</v>
          </cell>
        </row>
        <row r="160"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2.0963422399793528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86.443035780007833</v>
          </cell>
          <cell r="AF160">
            <v>0</v>
          </cell>
          <cell r="AH160">
            <v>120.14218698074031</v>
          </cell>
          <cell r="AI160">
            <v>5146</v>
          </cell>
          <cell r="AK160">
            <v>78.018301012424018</v>
          </cell>
          <cell r="AL160">
            <v>0</v>
          </cell>
          <cell r="AN160">
            <v>64.015527193052435</v>
          </cell>
          <cell r="AO160">
            <v>0</v>
          </cell>
          <cell r="AQ160">
            <v>55.319784965168807</v>
          </cell>
          <cell r="AR160">
            <v>0</v>
          </cell>
          <cell r="AT160">
            <v>78.644690031445961</v>
          </cell>
          <cell r="AU160">
            <v>0</v>
          </cell>
          <cell r="AW160">
            <v>184.43633026280074</v>
          </cell>
          <cell r="AX160">
            <v>0</v>
          </cell>
        </row>
        <row r="161"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H161">
            <v>0</v>
          </cell>
          <cell r="AI161">
            <v>0</v>
          </cell>
          <cell r="AK161">
            <v>0</v>
          </cell>
          <cell r="AL161">
            <v>0</v>
          </cell>
          <cell r="AN161">
            <v>0</v>
          </cell>
          <cell r="AO161">
            <v>0</v>
          </cell>
          <cell r="AQ161">
            <v>0</v>
          </cell>
          <cell r="AR161">
            <v>0</v>
          </cell>
          <cell r="AT161">
            <v>0</v>
          </cell>
          <cell r="AU161">
            <v>0</v>
          </cell>
          <cell r="AW161">
            <v>0</v>
          </cell>
          <cell r="AX161">
            <v>0</v>
          </cell>
        </row>
        <row r="162"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H162">
            <v>0</v>
          </cell>
          <cell r="AI162">
            <v>0</v>
          </cell>
          <cell r="AK162">
            <v>0</v>
          </cell>
          <cell r="AL162">
            <v>0</v>
          </cell>
          <cell r="AN162">
            <v>0</v>
          </cell>
          <cell r="AO162">
            <v>0</v>
          </cell>
          <cell r="AQ162">
            <v>0</v>
          </cell>
          <cell r="AR162">
            <v>0</v>
          </cell>
          <cell r="AT162">
            <v>0</v>
          </cell>
          <cell r="AU162">
            <v>0</v>
          </cell>
          <cell r="AW162">
            <v>0</v>
          </cell>
          <cell r="AX162">
            <v>0</v>
          </cell>
        </row>
        <row r="163"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75</v>
          </cell>
          <cell r="P163">
            <v>20324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9876</v>
          </cell>
          <cell r="AD163">
            <v>1360</v>
          </cell>
          <cell r="AE163">
            <v>169.81309339741193</v>
          </cell>
          <cell r="AF163">
            <v>0</v>
          </cell>
          <cell r="AH163">
            <v>211.69671960875121</v>
          </cell>
          <cell r="AI163">
            <v>0</v>
          </cell>
          <cell r="AK163">
            <v>351.24098113888738</v>
          </cell>
          <cell r="AL163">
            <v>0</v>
          </cell>
          <cell r="AN163">
            <v>132.75947329872042</v>
          </cell>
          <cell r="AO163">
            <v>0</v>
          </cell>
          <cell r="AQ163">
            <v>146.1613169921593</v>
          </cell>
          <cell r="AR163">
            <v>0</v>
          </cell>
          <cell r="AT163">
            <v>232.16032966965076</v>
          </cell>
          <cell r="AU163">
            <v>0</v>
          </cell>
          <cell r="AW163">
            <v>184.43633026280074</v>
          </cell>
          <cell r="AX163">
            <v>0</v>
          </cell>
        </row>
        <row r="164"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H164">
            <v>0</v>
          </cell>
          <cell r="AI164">
            <v>0</v>
          </cell>
          <cell r="AK164">
            <v>0</v>
          </cell>
          <cell r="AL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</row>
        <row r="165"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H165">
            <v>0</v>
          </cell>
          <cell r="AI165">
            <v>0</v>
          </cell>
          <cell r="AK165">
            <v>0</v>
          </cell>
          <cell r="AL165">
            <v>0</v>
          </cell>
          <cell r="AN165">
            <v>0</v>
          </cell>
          <cell r="AO165">
            <v>0</v>
          </cell>
          <cell r="AQ165">
            <v>0</v>
          </cell>
          <cell r="AR165">
            <v>0</v>
          </cell>
          <cell r="AT165">
            <v>0</v>
          </cell>
          <cell r="AU165">
            <v>0</v>
          </cell>
          <cell r="AW165">
            <v>0</v>
          </cell>
          <cell r="AX165">
            <v>0</v>
          </cell>
        </row>
        <row r="166">
          <cell r="I166">
            <v>0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H166">
            <v>0</v>
          </cell>
          <cell r="AI166">
            <v>0</v>
          </cell>
          <cell r="AK166">
            <v>0</v>
          </cell>
          <cell r="AL166">
            <v>0</v>
          </cell>
          <cell r="AN166">
            <v>0</v>
          </cell>
          <cell r="AO166">
            <v>0</v>
          </cell>
          <cell r="AQ166">
            <v>0</v>
          </cell>
          <cell r="AR166">
            <v>0</v>
          </cell>
          <cell r="AT166">
            <v>0</v>
          </cell>
          <cell r="AU166">
            <v>0</v>
          </cell>
          <cell r="AW166">
            <v>0</v>
          </cell>
          <cell r="AX166">
            <v>0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H167">
            <v>0</v>
          </cell>
          <cell r="AI167">
            <v>0</v>
          </cell>
          <cell r="AK167">
            <v>0</v>
          </cell>
          <cell r="AL167">
            <v>0</v>
          </cell>
          <cell r="AN167">
            <v>0</v>
          </cell>
          <cell r="AO167">
            <v>0</v>
          </cell>
          <cell r="AQ167">
            <v>0</v>
          </cell>
          <cell r="AR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</row>
        <row r="168"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2.4740542054058649E-3</v>
          </cell>
          <cell r="AF168">
            <v>0</v>
          </cell>
          <cell r="AH168">
            <v>0</v>
          </cell>
          <cell r="AI168">
            <v>0</v>
          </cell>
          <cell r="AK168">
            <v>0</v>
          </cell>
          <cell r="AL168">
            <v>0</v>
          </cell>
          <cell r="AN168">
            <v>0</v>
          </cell>
          <cell r="AO168">
            <v>0</v>
          </cell>
          <cell r="AQ168">
            <v>0</v>
          </cell>
          <cell r="AR168">
            <v>0</v>
          </cell>
          <cell r="AT168">
            <v>0</v>
          </cell>
          <cell r="AU168">
            <v>0</v>
          </cell>
          <cell r="AW168">
            <v>0</v>
          </cell>
          <cell r="AX168">
            <v>0</v>
          </cell>
        </row>
        <row r="169"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</row>
        <row r="170"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H170">
            <v>0</v>
          </cell>
          <cell r="AI170">
            <v>0</v>
          </cell>
          <cell r="AK170">
            <v>0</v>
          </cell>
          <cell r="AL170">
            <v>0</v>
          </cell>
          <cell r="AN170">
            <v>0</v>
          </cell>
          <cell r="AO170">
            <v>0</v>
          </cell>
          <cell r="AQ170">
            <v>0</v>
          </cell>
          <cell r="AR170">
            <v>0</v>
          </cell>
          <cell r="AT170">
            <v>0</v>
          </cell>
          <cell r="AU170">
            <v>0</v>
          </cell>
          <cell r="AW170">
            <v>0</v>
          </cell>
          <cell r="AX170">
            <v>0</v>
          </cell>
        </row>
        <row r="171"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H171">
            <v>0</v>
          </cell>
          <cell r="AI171">
            <v>0</v>
          </cell>
          <cell r="AK171">
            <v>0</v>
          </cell>
          <cell r="AL171">
            <v>0</v>
          </cell>
          <cell r="AN171">
            <v>0</v>
          </cell>
          <cell r="AO171">
            <v>0</v>
          </cell>
          <cell r="AQ171">
            <v>0</v>
          </cell>
          <cell r="AR171">
            <v>0</v>
          </cell>
          <cell r="AT171">
            <v>0</v>
          </cell>
          <cell r="AU171">
            <v>0</v>
          </cell>
          <cell r="AW171">
            <v>0</v>
          </cell>
          <cell r="AX171">
            <v>0</v>
          </cell>
        </row>
        <row r="172"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H172">
            <v>0</v>
          </cell>
          <cell r="AI172">
            <v>0</v>
          </cell>
          <cell r="AK172">
            <v>0</v>
          </cell>
          <cell r="AL172">
            <v>0</v>
          </cell>
          <cell r="AN172">
            <v>0</v>
          </cell>
          <cell r="AO172">
            <v>0</v>
          </cell>
          <cell r="AQ172">
            <v>0</v>
          </cell>
          <cell r="AR172">
            <v>0</v>
          </cell>
          <cell r="AT172">
            <v>0</v>
          </cell>
          <cell r="AU172">
            <v>0</v>
          </cell>
          <cell r="AW172">
            <v>0</v>
          </cell>
          <cell r="AX172">
            <v>0</v>
          </cell>
        </row>
        <row r="173"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H173">
            <v>0</v>
          </cell>
          <cell r="AI173">
            <v>0</v>
          </cell>
          <cell r="AK173">
            <v>0</v>
          </cell>
          <cell r="AL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T173">
            <v>0</v>
          </cell>
          <cell r="AU173">
            <v>0</v>
          </cell>
          <cell r="AW173">
            <v>0</v>
          </cell>
          <cell r="AX173">
            <v>0</v>
          </cell>
        </row>
        <row r="174"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454.72108416307685</v>
          </cell>
          <cell r="AF174">
            <v>393</v>
          </cell>
          <cell r="AH174">
            <v>741.68851251314095</v>
          </cell>
          <cell r="AI174">
            <v>0</v>
          </cell>
          <cell r="AK174">
            <v>610.8355127320923</v>
          </cell>
          <cell r="AL174">
            <v>2189</v>
          </cell>
          <cell r="AN174">
            <v>0</v>
          </cell>
          <cell r="AO174">
            <v>0</v>
          </cell>
          <cell r="AQ174">
            <v>0</v>
          </cell>
          <cell r="AR174">
            <v>0</v>
          </cell>
          <cell r="AT174">
            <v>319.67691085591161</v>
          </cell>
          <cell r="AU174">
            <v>0</v>
          </cell>
          <cell r="AW174">
            <v>0</v>
          </cell>
          <cell r="AX174">
            <v>0</v>
          </cell>
        </row>
        <row r="175"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190.79061341632988</v>
          </cell>
          <cell r="AF175">
            <v>0</v>
          </cell>
          <cell r="AH175">
            <v>290.74948916515837</v>
          </cell>
          <cell r="AI175">
            <v>0</v>
          </cell>
          <cell r="AK175">
            <v>204.1555035312102</v>
          </cell>
          <cell r="AL175">
            <v>0</v>
          </cell>
          <cell r="AN175">
            <v>116.04666518546276</v>
          </cell>
          <cell r="AO175">
            <v>0</v>
          </cell>
          <cell r="AQ175">
            <v>0</v>
          </cell>
          <cell r="AR175">
            <v>0</v>
          </cell>
          <cell r="AT175">
            <v>186.09129502760808</v>
          </cell>
          <cell r="AU175">
            <v>0</v>
          </cell>
          <cell r="AW175">
            <v>0</v>
          </cell>
          <cell r="AX175">
            <v>0</v>
          </cell>
        </row>
        <row r="176"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51.220190741760831</v>
          </cell>
          <cell r="AF176">
            <v>0</v>
          </cell>
          <cell r="AH176">
            <v>61.968429542196461</v>
          </cell>
          <cell r="AI176">
            <v>0</v>
          </cell>
          <cell r="AK176">
            <v>35.432018750601188</v>
          </cell>
          <cell r="AL176">
            <v>0</v>
          </cell>
          <cell r="AN176">
            <v>0</v>
          </cell>
          <cell r="AO176">
            <v>0</v>
          </cell>
          <cell r="AQ176">
            <v>0</v>
          </cell>
          <cell r="AR176">
            <v>0</v>
          </cell>
          <cell r="AT176">
            <v>38.421864630327121</v>
          </cell>
          <cell r="AU176">
            <v>0</v>
          </cell>
          <cell r="AW176">
            <v>18.119813214430302</v>
          </cell>
          <cell r="AX176">
            <v>0</v>
          </cell>
        </row>
        <row r="177"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H177">
            <v>0</v>
          </cell>
          <cell r="AI177">
            <v>0</v>
          </cell>
          <cell r="AK177">
            <v>0</v>
          </cell>
          <cell r="AL177">
            <v>0</v>
          </cell>
          <cell r="AN177">
            <v>0</v>
          </cell>
          <cell r="AO177">
            <v>0</v>
          </cell>
          <cell r="AQ177">
            <v>0</v>
          </cell>
          <cell r="AR177">
            <v>0</v>
          </cell>
          <cell r="AT177">
            <v>0</v>
          </cell>
          <cell r="AU177">
            <v>0</v>
          </cell>
          <cell r="AW177">
            <v>0</v>
          </cell>
          <cell r="AX177">
            <v>0</v>
          </cell>
        </row>
        <row r="178"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</row>
        <row r="179"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H179">
            <v>0</v>
          </cell>
          <cell r="AI179">
            <v>0</v>
          </cell>
          <cell r="AK179">
            <v>0</v>
          </cell>
          <cell r="AL179">
            <v>0</v>
          </cell>
          <cell r="AN179">
            <v>0</v>
          </cell>
          <cell r="AO179">
            <v>0</v>
          </cell>
          <cell r="AQ179">
            <v>0</v>
          </cell>
          <cell r="AR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</row>
        <row r="180"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H180">
            <v>0</v>
          </cell>
          <cell r="AI180">
            <v>0</v>
          </cell>
          <cell r="AK180">
            <v>0</v>
          </cell>
          <cell r="AL180">
            <v>0</v>
          </cell>
          <cell r="AN180">
            <v>0</v>
          </cell>
          <cell r="AO180">
            <v>0</v>
          </cell>
          <cell r="AQ180">
            <v>0</v>
          </cell>
          <cell r="AR180">
            <v>0</v>
          </cell>
          <cell r="AT180">
            <v>0</v>
          </cell>
          <cell r="AU180">
            <v>0</v>
          </cell>
          <cell r="AW180">
            <v>0</v>
          </cell>
          <cell r="AX180">
            <v>0</v>
          </cell>
        </row>
        <row r="181"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46.068659712404099</v>
          </cell>
          <cell r="AF181">
            <v>0</v>
          </cell>
          <cell r="AH181">
            <v>48.925973641158578</v>
          </cell>
          <cell r="AI181">
            <v>0</v>
          </cell>
          <cell r="AK181">
            <v>22.313697520928265</v>
          </cell>
          <cell r="AL181">
            <v>0</v>
          </cell>
          <cell r="AN181">
            <v>28.65895693375586</v>
          </cell>
          <cell r="AO181">
            <v>0</v>
          </cell>
          <cell r="AQ181">
            <v>0</v>
          </cell>
          <cell r="AR181">
            <v>0</v>
          </cell>
          <cell r="AT181">
            <v>13.058040995621697</v>
          </cell>
          <cell r="AU181">
            <v>0</v>
          </cell>
          <cell r="AW181">
            <v>0</v>
          </cell>
          <cell r="AX181">
            <v>0</v>
          </cell>
        </row>
        <row r="182"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149.89974081572791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715</v>
          </cell>
          <cell r="AD182">
            <v>158</v>
          </cell>
          <cell r="AE182">
            <v>430.09161387458335</v>
          </cell>
          <cell r="AF182">
            <v>628</v>
          </cell>
          <cell r="AH182">
            <v>704.86294416155238</v>
          </cell>
          <cell r="AI182">
            <v>0</v>
          </cell>
          <cell r="AK182">
            <v>609.57690160425739</v>
          </cell>
          <cell r="AL182">
            <v>0</v>
          </cell>
          <cell r="AN182">
            <v>0</v>
          </cell>
          <cell r="AO182">
            <v>0</v>
          </cell>
          <cell r="AQ182">
            <v>218.86472282667671</v>
          </cell>
          <cell r="AR182">
            <v>0</v>
          </cell>
          <cell r="AT182">
            <v>286.80844471916237</v>
          </cell>
          <cell r="AU182">
            <v>0</v>
          </cell>
          <cell r="AW182">
            <v>0</v>
          </cell>
          <cell r="AX182">
            <v>0</v>
          </cell>
        </row>
        <row r="183"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21.707285775270076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323.77807226747711</v>
          </cell>
          <cell r="AF183">
            <v>4463</v>
          </cell>
          <cell r="AH183">
            <v>454.89918193382948</v>
          </cell>
          <cell r="AI183">
            <v>0</v>
          </cell>
          <cell r="AK183">
            <v>547.50131884064126</v>
          </cell>
          <cell r="AL183">
            <v>0</v>
          </cell>
          <cell r="AN183">
            <v>186.23364705591104</v>
          </cell>
          <cell r="AO183">
            <v>0</v>
          </cell>
          <cell r="AQ183">
            <v>98.941812127749259</v>
          </cell>
          <cell r="AR183">
            <v>0</v>
          </cell>
          <cell r="AT183">
            <v>234.91889578159507</v>
          </cell>
          <cell r="AU183">
            <v>0</v>
          </cell>
          <cell r="AW183">
            <v>0</v>
          </cell>
          <cell r="AX183">
            <v>0</v>
          </cell>
        </row>
        <row r="184"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297.77636292708985</v>
          </cell>
          <cell r="AF184">
            <v>0</v>
          </cell>
          <cell r="AH184">
            <v>573.36085687710136</v>
          </cell>
          <cell r="AI184">
            <v>0</v>
          </cell>
          <cell r="AK184">
            <v>247.03479876144331</v>
          </cell>
          <cell r="AL184">
            <v>0</v>
          </cell>
          <cell r="AN184">
            <v>169.24387227042521</v>
          </cell>
          <cell r="AO184">
            <v>0</v>
          </cell>
          <cell r="AQ184">
            <v>119.94714023874553</v>
          </cell>
          <cell r="AR184">
            <v>0</v>
          </cell>
          <cell r="AT184">
            <v>179.8175182931152</v>
          </cell>
          <cell r="AU184">
            <v>0</v>
          </cell>
          <cell r="AW184">
            <v>0</v>
          </cell>
          <cell r="AX184">
            <v>0</v>
          </cell>
        </row>
        <row r="185"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78.894600429330495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323.58965322690381</v>
          </cell>
          <cell r="AF185">
            <v>5826</v>
          </cell>
          <cell r="AH185">
            <v>454.66614417503911</v>
          </cell>
          <cell r="AI185">
            <v>1553</v>
          </cell>
          <cell r="AK185">
            <v>530.89323843394777</v>
          </cell>
          <cell r="AL185">
            <v>0</v>
          </cell>
          <cell r="AN185">
            <v>179.5277080876393</v>
          </cell>
          <cell r="AO185">
            <v>0</v>
          </cell>
          <cell r="AQ185">
            <v>98.941812127749259</v>
          </cell>
          <cell r="AR185">
            <v>0</v>
          </cell>
          <cell r="AT185">
            <v>229.74257394823968</v>
          </cell>
          <cell r="AU185">
            <v>0</v>
          </cell>
          <cell r="AW185">
            <v>0</v>
          </cell>
          <cell r="AX185">
            <v>0</v>
          </cell>
        </row>
        <row r="186">
          <cell r="I186">
            <v>18</v>
          </cell>
          <cell r="J186">
            <v>4351</v>
          </cell>
          <cell r="L186">
            <v>2</v>
          </cell>
          <cell r="M186">
            <v>144454</v>
          </cell>
          <cell r="O186">
            <v>0</v>
          </cell>
          <cell r="P186">
            <v>0</v>
          </cell>
          <cell r="R186">
            <v>1</v>
          </cell>
          <cell r="S186">
            <v>2452</v>
          </cell>
          <cell r="U186">
            <v>0</v>
          </cell>
          <cell r="V186">
            <v>0</v>
          </cell>
          <cell r="W186">
            <v>0</v>
          </cell>
          <cell r="X186">
            <v>43.662526009032334</v>
          </cell>
          <cell r="Y186">
            <v>19802</v>
          </cell>
          <cell r="Z186">
            <v>0</v>
          </cell>
          <cell r="AA186">
            <v>0</v>
          </cell>
          <cell r="AB186">
            <v>0</v>
          </cell>
          <cell r="AC186">
            <v>23030</v>
          </cell>
          <cell r="AD186">
            <v>0</v>
          </cell>
          <cell r="AE186">
            <v>259.31682263898614</v>
          </cell>
          <cell r="AF186">
            <v>6120</v>
          </cell>
          <cell r="AH186">
            <v>350.53630385809657</v>
          </cell>
          <cell r="AI186">
            <v>0</v>
          </cell>
          <cell r="AK186">
            <v>438.00105507251305</v>
          </cell>
          <cell r="AL186">
            <v>0</v>
          </cell>
          <cell r="AN186">
            <v>148.98691764472883</v>
          </cell>
          <cell r="AO186">
            <v>0</v>
          </cell>
          <cell r="AQ186">
            <v>79.153449702199396</v>
          </cell>
          <cell r="AR186">
            <v>0</v>
          </cell>
          <cell r="AT186">
            <v>186.96012202314108</v>
          </cell>
          <cell r="AU186">
            <v>752</v>
          </cell>
          <cell r="AW186">
            <v>0</v>
          </cell>
          <cell r="AX186">
            <v>0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1</v>
          </cell>
          <cell r="S187">
            <v>64490</v>
          </cell>
          <cell r="U187">
            <v>0</v>
          </cell>
          <cell r="V187">
            <v>0</v>
          </cell>
          <cell r="W187">
            <v>0</v>
          </cell>
          <cell r="X187">
            <v>55.226220300531338</v>
          </cell>
          <cell r="Y187">
            <v>5883</v>
          </cell>
          <cell r="Z187">
            <v>0</v>
          </cell>
          <cell r="AA187">
            <v>0</v>
          </cell>
          <cell r="AB187">
            <v>0</v>
          </cell>
          <cell r="AC187">
            <v>513</v>
          </cell>
          <cell r="AD187">
            <v>0</v>
          </cell>
          <cell r="AE187">
            <v>173.0252149111553</v>
          </cell>
          <cell r="AF187">
            <v>0</v>
          </cell>
          <cell r="AH187">
            <v>190.6065330224925</v>
          </cell>
          <cell r="AI187">
            <v>2058</v>
          </cell>
          <cell r="AK187">
            <v>347.57607156084669</v>
          </cell>
          <cell r="AL187">
            <v>685</v>
          </cell>
          <cell r="AN187">
            <v>135.57212084364016</v>
          </cell>
          <cell r="AO187">
            <v>0</v>
          </cell>
          <cell r="AQ187">
            <v>65.961235315382794</v>
          </cell>
          <cell r="AR187">
            <v>0</v>
          </cell>
          <cell r="AT187">
            <v>162.82689024297548</v>
          </cell>
          <cell r="AU187">
            <v>2583</v>
          </cell>
          <cell r="AW187">
            <v>0</v>
          </cell>
          <cell r="AX187">
            <v>0</v>
          </cell>
        </row>
        <row r="188"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83.07505612416243</v>
          </cell>
          <cell r="AF188">
            <v>0</v>
          </cell>
          <cell r="AH188">
            <v>120.85834889421265</v>
          </cell>
          <cell r="AI188">
            <v>0</v>
          </cell>
          <cell r="AK188">
            <v>50.255603364884891</v>
          </cell>
          <cell r="AL188">
            <v>0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T188">
            <v>19.771277081972755</v>
          </cell>
          <cell r="AU188">
            <v>0</v>
          </cell>
          <cell r="AW188">
            <v>0</v>
          </cell>
          <cell r="AX188">
            <v>0</v>
          </cell>
        </row>
        <row r="189">
          <cell r="I189">
            <v>35.619999999999997</v>
          </cell>
          <cell r="J189">
            <v>26068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T189">
            <v>11.79923975269347</v>
          </cell>
          <cell r="AU189">
            <v>0</v>
          </cell>
          <cell r="AW189">
            <v>18.844525374458165</v>
          </cell>
          <cell r="AX189">
            <v>0</v>
          </cell>
        </row>
        <row r="190"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39.854034337902583</v>
          </cell>
          <cell r="AF190">
            <v>0</v>
          </cell>
          <cell r="AH190">
            <v>52.004483831338867</v>
          </cell>
          <cell r="AI190">
            <v>0</v>
          </cell>
          <cell r="AK190">
            <v>40.915006131433771</v>
          </cell>
          <cell r="AL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T190">
            <v>36.676348877749327</v>
          </cell>
          <cell r="AU190">
            <v>0</v>
          </cell>
          <cell r="AW190">
            <v>27.907064838681809</v>
          </cell>
          <cell r="AX190">
            <v>0</v>
          </cell>
        </row>
        <row r="191"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35.998479110183084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93.124297043027042</v>
          </cell>
          <cell r="AF191">
            <v>0</v>
          </cell>
          <cell r="AH191">
            <v>120.85834889421265</v>
          </cell>
          <cell r="AI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T191">
            <v>19.771277081972755</v>
          </cell>
          <cell r="AU191">
            <v>2874</v>
          </cell>
          <cell r="AW191">
            <v>0</v>
          </cell>
          <cell r="AX191">
            <v>0</v>
          </cell>
        </row>
        <row r="192"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55.317016831563706</v>
          </cell>
          <cell r="AF192">
            <v>0</v>
          </cell>
          <cell r="AH192">
            <v>73.078243450016657</v>
          </cell>
          <cell r="AI192">
            <v>0</v>
          </cell>
          <cell r="AK192">
            <v>39.334542562527318</v>
          </cell>
          <cell r="AL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T192">
            <v>9.8614252960765771</v>
          </cell>
          <cell r="AU192">
            <v>0</v>
          </cell>
          <cell r="AW192">
            <v>0</v>
          </cell>
          <cell r="AX192">
            <v>0</v>
          </cell>
        </row>
        <row r="193"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234.83426435119529</v>
          </cell>
          <cell r="AF193">
            <v>0</v>
          </cell>
          <cell r="AH193">
            <v>355.27199472401503</v>
          </cell>
          <cell r="AI193">
            <v>0</v>
          </cell>
          <cell r="AK193">
            <v>291.88442736632646</v>
          </cell>
          <cell r="AL193">
            <v>0</v>
          </cell>
          <cell r="AN193">
            <v>148.75500964976717</v>
          </cell>
          <cell r="AO193">
            <v>0</v>
          </cell>
          <cell r="AQ193">
            <v>89.960355179059135</v>
          </cell>
          <cell r="AR193">
            <v>0</v>
          </cell>
          <cell r="AT193">
            <v>129.72769086525304</v>
          </cell>
          <cell r="AU193">
            <v>0</v>
          </cell>
          <cell r="AW193">
            <v>0</v>
          </cell>
          <cell r="AX193">
            <v>0</v>
          </cell>
        </row>
        <row r="194"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50.356859347754401</v>
          </cell>
          <cell r="AF194">
            <v>0</v>
          </cell>
          <cell r="AH194">
            <v>52.004483831338867</v>
          </cell>
          <cell r="AI194">
            <v>0</v>
          </cell>
          <cell r="AK194">
            <v>41.88574554546431</v>
          </cell>
          <cell r="AL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T194">
            <v>0.28321488959834151</v>
          </cell>
          <cell r="AU194">
            <v>0</v>
          </cell>
          <cell r="AW194">
            <v>0</v>
          </cell>
          <cell r="AX194">
            <v>0</v>
          </cell>
        </row>
        <row r="195"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68.737885799463683</v>
          </cell>
          <cell r="AF195">
            <v>0</v>
          </cell>
          <cell r="AH195">
            <v>140.94151713113857</v>
          </cell>
          <cell r="AI195">
            <v>0</v>
          </cell>
          <cell r="AK195">
            <v>50.066584629659644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R195">
            <v>0</v>
          </cell>
          <cell r="AT195">
            <v>19.771301113804686</v>
          </cell>
          <cell r="AU195">
            <v>0</v>
          </cell>
          <cell r="AW195">
            <v>0</v>
          </cell>
          <cell r="AX195">
            <v>0</v>
          </cell>
        </row>
        <row r="196"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390.33847504504604</v>
          </cell>
          <cell r="AF196">
            <v>0</v>
          </cell>
          <cell r="AH196">
            <v>620.41262887163259</v>
          </cell>
          <cell r="AI196">
            <v>0</v>
          </cell>
          <cell r="AK196">
            <v>575.45004834420865</v>
          </cell>
          <cell r="AL196">
            <v>0</v>
          </cell>
          <cell r="AN196">
            <v>271.31080726994344</v>
          </cell>
          <cell r="AO196">
            <v>0</v>
          </cell>
          <cell r="AQ196">
            <v>149.88538452814583</v>
          </cell>
          <cell r="AR196">
            <v>0</v>
          </cell>
          <cell r="AT196">
            <v>252.38051312156597</v>
          </cell>
          <cell r="AU196">
            <v>0</v>
          </cell>
          <cell r="AW196">
            <v>0</v>
          </cell>
          <cell r="AX196">
            <v>0</v>
          </cell>
        </row>
        <row r="197"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1485</v>
          </cell>
          <cell r="AE197">
            <v>187.94647068857452</v>
          </cell>
          <cell r="AF197">
            <v>0</v>
          </cell>
          <cell r="AH197">
            <v>201.394921118063</v>
          </cell>
          <cell r="AI197">
            <v>0</v>
          </cell>
          <cell r="AK197">
            <v>261.14611199583754</v>
          </cell>
          <cell r="AL197">
            <v>0</v>
          </cell>
          <cell r="AN197">
            <v>0</v>
          </cell>
          <cell r="AO197">
            <v>0</v>
          </cell>
          <cell r="AQ197">
            <v>0</v>
          </cell>
          <cell r="AR197">
            <v>0</v>
          </cell>
          <cell r="AT197">
            <v>98.937810135742524</v>
          </cell>
          <cell r="AU197">
            <v>0</v>
          </cell>
          <cell r="AW197">
            <v>0</v>
          </cell>
          <cell r="AX197">
            <v>0</v>
          </cell>
        </row>
        <row r="198"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61.08498790277315</v>
          </cell>
          <cell r="AF198">
            <v>0</v>
          </cell>
          <cell r="AH198">
            <v>60.142686975203205</v>
          </cell>
          <cell r="AI198">
            <v>0</v>
          </cell>
          <cell r="AK198">
            <v>25.856638541695908</v>
          </cell>
          <cell r="AL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T198">
            <v>9.8614099354183207</v>
          </cell>
          <cell r="AU198">
            <v>0</v>
          </cell>
          <cell r="AW198">
            <v>0</v>
          </cell>
          <cell r="AX198">
            <v>0</v>
          </cell>
        </row>
        <row r="199">
          <cell r="I199">
            <v>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R199">
            <v>2</v>
          </cell>
          <cell r="S199">
            <v>3983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101.50287500156291</v>
          </cell>
          <cell r="AF199">
            <v>0</v>
          </cell>
          <cell r="AH199">
            <v>220.35536942866483</v>
          </cell>
          <cell r="AI199">
            <v>0</v>
          </cell>
          <cell r="AK199">
            <v>230.42606906662934</v>
          </cell>
          <cell r="AL199">
            <v>0</v>
          </cell>
          <cell r="AN199">
            <v>112.07757032379568</v>
          </cell>
          <cell r="AO199">
            <v>0</v>
          </cell>
          <cell r="AQ199">
            <v>97.432801481500164</v>
          </cell>
          <cell r="AR199">
            <v>0</v>
          </cell>
          <cell r="AT199">
            <v>142.88014072649705</v>
          </cell>
          <cell r="AU199">
            <v>0</v>
          </cell>
          <cell r="AW199">
            <v>96.663229479310985</v>
          </cell>
          <cell r="AX199">
            <v>0</v>
          </cell>
        </row>
        <row r="200">
          <cell r="I200">
            <v>16.96</v>
          </cell>
          <cell r="J200">
            <v>9492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R200">
            <v>2</v>
          </cell>
          <cell r="S200">
            <v>7403</v>
          </cell>
          <cell r="U200">
            <v>0</v>
          </cell>
          <cell r="V200">
            <v>0</v>
          </cell>
          <cell r="W200">
            <v>0</v>
          </cell>
          <cell r="X200">
            <v>115.83981474466553</v>
          </cell>
          <cell r="Y200">
            <v>495</v>
          </cell>
          <cell r="Z200">
            <v>0</v>
          </cell>
          <cell r="AA200">
            <v>0</v>
          </cell>
          <cell r="AB200">
            <v>0</v>
          </cell>
          <cell r="AC200">
            <v>240</v>
          </cell>
          <cell r="AD200">
            <v>2469</v>
          </cell>
          <cell r="AE200">
            <v>687.5689269980968</v>
          </cell>
          <cell r="AF200">
            <v>408</v>
          </cell>
          <cell r="AH200">
            <v>852.73376605057626</v>
          </cell>
          <cell r="AI200">
            <v>0</v>
          </cell>
          <cell r="AK200">
            <v>818.59852281293365</v>
          </cell>
          <cell r="AL200">
            <v>0</v>
          </cell>
          <cell r="AN200">
            <v>452.47536652234191</v>
          </cell>
          <cell r="AO200">
            <v>0</v>
          </cell>
          <cell r="AQ200">
            <v>230.86424191318989</v>
          </cell>
          <cell r="AR200">
            <v>0</v>
          </cell>
          <cell r="AT200">
            <v>728.97575593989166</v>
          </cell>
          <cell r="AU200">
            <v>1098</v>
          </cell>
          <cell r="AW200">
            <v>235.73840334135744</v>
          </cell>
          <cell r="AX200">
            <v>0</v>
          </cell>
        </row>
        <row r="201"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77.254161613420038</v>
          </cell>
          <cell r="AF201">
            <v>0</v>
          </cell>
          <cell r="AH201">
            <v>115.64329743466799</v>
          </cell>
          <cell r="AI201">
            <v>0</v>
          </cell>
          <cell r="AK201">
            <v>53.682635866982842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R201">
            <v>0</v>
          </cell>
          <cell r="AT201">
            <v>19.771277081972755</v>
          </cell>
          <cell r="AU201">
            <v>0</v>
          </cell>
          <cell r="AW201">
            <v>0</v>
          </cell>
          <cell r="AX201">
            <v>0</v>
          </cell>
        </row>
        <row r="202"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1165</v>
          </cell>
          <cell r="AE202">
            <v>110.3839524567741</v>
          </cell>
          <cell r="AF202">
            <v>408</v>
          </cell>
          <cell r="AH202">
            <v>147.54288771672486</v>
          </cell>
          <cell r="AI202">
            <v>0</v>
          </cell>
          <cell r="AK202">
            <v>216.4953644508474</v>
          </cell>
          <cell r="AL202">
            <v>0</v>
          </cell>
          <cell r="AN202">
            <v>57.544955533841751</v>
          </cell>
          <cell r="AO202">
            <v>0</v>
          </cell>
          <cell r="AQ202">
            <v>114.23216904794364</v>
          </cell>
          <cell r="AR202">
            <v>0</v>
          </cell>
          <cell r="AT202">
            <v>75.197898812150427</v>
          </cell>
          <cell r="AU202">
            <v>616</v>
          </cell>
          <cell r="AW202">
            <v>98.612223391799574</v>
          </cell>
          <cell r="AX202">
            <v>0</v>
          </cell>
        </row>
        <row r="203"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53.23428105407536</v>
          </cell>
          <cell r="AF203">
            <v>0</v>
          </cell>
          <cell r="AH203">
            <v>115.64329743466799</v>
          </cell>
          <cell r="AI203">
            <v>0</v>
          </cell>
          <cell r="AK203">
            <v>0</v>
          </cell>
          <cell r="AL203">
            <v>0</v>
          </cell>
          <cell r="AN203">
            <v>0</v>
          </cell>
          <cell r="AO203">
            <v>0</v>
          </cell>
          <cell r="AQ203">
            <v>0</v>
          </cell>
          <cell r="AR203">
            <v>0</v>
          </cell>
          <cell r="AT203">
            <v>19.771277081972755</v>
          </cell>
          <cell r="AU203">
            <v>0</v>
          </cell>
          <cell r="AW203">
            <v>0</v>
          </cell>
          <cell r="AX203">
            <v>0</v>
          </cell>
        </row>
        <row r="204"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1095</v>
          </cell>
          <cell r="AE204">
            <v>285.32250723809909</v>
          </cell>
          <cell r="AF204">
            <v>939</v>
          </cell>
          <cell r="AH204">
            <v>390.32326750718556</v>
          </cell>
          <cell r="AI204">
            <v>0</v>
          </cell>
          <cell r="AK204">
            <v>487.49537740688345</v>
          </cell>
          <cell r="AL204">
            <v>0</v>
          </cell>
          <cell r="AN204">
            <v>200.76067396593027</v>
          </cell>
          <cell r="AO204">
            <v>0</v>
          </cell>
          <cell r="AQ204">
            <v>98.941812127749259</v>
          </cell>
          <cell r="AR204">
            <v>0</v>
          </cell>
          <cell r="AT204">
            <v>320.3263120897879</v>
          </cell>
          <cell r="AU204">
            <v>2392</v>
          </cell>
          <cell r="AW204">
            <v>143.02162076665977</v>
          </cell>
          <cell r="AX204">
            <v>0</v>
          </cell>
        </row>
        <row r="205">
          <cell r="I205">
            <v>0</v>
          </cell>
          <cell r="J205">
            <v>0</v>
          </cell>
          <cell r="L205">
            <v>1</v>
          </cell>
          <cell r="M205">
            <v>70697</v>
          </cell>
          <cell r="O205">
            <v>180</v>
          </cell>
          <cell r="P205">
            <v>51505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270</v>
          </cell>
          <cell r="AE205">
            <v>86.443035780007833</v>
          </cell>
          <cell r="AF205">
            <v>0</v>
          </cell>
          <cell r="AH205">
            <v>120.14218698074031</v>
          </cell>
          <cell r="AI205">
            <v>0</v>
          </cell>
          <cell r="AK205">
            <v>76.741518410294219</v>
          </cell>
          <cell r="AL205">
            <v>0</v>
          </cell>
          <cell r="AN205">
            <v>71.32701187536864</v>
          </cell>
          <cell r="AO205">
            <v>0</v>
          </cell>
          <cell r="AQ205">
            <v>55.319784965168807</v>
          </cell>
          <cell r="AR205">
            <v>0</v>
          </cell>
          <cell r="AT205">
            <v>114.19426926644365</v>
          </cell>
          <cell r="AU205">
            <v>5212</v>
          </cell>
          <cell r="AW205">
            <v>180.65516284184937</v>
          </cell>
          <cell r="AX205">
            <v>0</v>
          </cell>
        </row>
        <row r="206"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1</v>
          </cell>
          <cell r="X206">
            <v>218.32168737585181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1092</v>
          </cell>
          <cell r="AE206">
            <v>106.46004484722503</v>
          </cell>
          <cell r="AF206">
            <v>0</v>
          </cell>
          <cell r="AH206">
            <v>132.91597242587608</v>
          </cell>
          <cell r="AI206">
            <v>0</v>
          </cell>
          <cell r="AK206">
            <v>96.496044322568451</v>
          </cell>
          <cell r="AL206">
            <v>0</v>
          </cell>
          <cell r="AN206">
            <v>68.311243232300868</v>
          </cell>
          <cell r="AO206">
            <v>0</v>
          </cell>
          <cell r="AQ206">
            <v>32.980617657691397</v>
          </cell>
          <cell r="AR206">
            <v>0</v>
          </cell>
          <cell r="AT206">
            <v>43.626293285779226</v>
          </cell>
          <cell r="AU206">
            <v>0</v>
          </cell>
          <cell r="AW206">
            <v>38.465579168771882</v>
          </cell>
          <cell r="AX206">
            <v>0</v>
          </cell>
        </row>
        <row r="207"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1</v>
          </cell>
          <cell r="S207">
            <v>891</v>
          </cell>
          <cell r="U207">
            <v>0</v>
          </cell>
          <cell r="V207">
            <v>0</v>
          </cell>
          <cell r="W207">
            <v>3</v>
          </cell>
          <cell r="X207">
            <v>966.71627509774896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1085</v>
          </cell>
          <cell r="AD207">
            <v>780</v>
          </cell>
          <cell r="AE207">
            <v>165.41116391265822</v>
          </cell>
          <cell r="AF207">
            <v>614</v>
          </cell>
          <cell r="AH207">
            <v>212.66555588140139</v>
          </cell>
          <cell r="AI207">
            <v>1459</v>
          </cell>
          <cell r="AK207">
            <v>158.75959729993374</v>
          </cell>
          <cell r="AL207">
            <v>0</v>
          </cell>
          <cell r="AN207">
            <v>94.310142601773379</v>
          </cell>
          <cell r="AO207">
            <v>0</v>
          </cell>
          <cell r="AQ207">
            <v>52.768988252306244</v>
          </cell>
          <cell r="AR207">
            <v>0</v>
          </cell>
          <cell r="AT207">
            <v>78.040883527025315</v>
          </cell>
          <cell r="AU207">
            <v>4180</v>
          </cell>
          <cell r="AW207">
            <v>79.878797055444863</v>
          </cell>
          <cell r="AX207">
            <v>0</v>
          </cell>
        </row>
        <row r="208"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59.170950321997864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1095</v>
          </cell>
          <cell r="AE208">
            <v>106.46004484722503</v>
          </cell>
          <cell r="AF208">
            <v>0</v>
          </cell>
          <cell r="AH208">
            <v>132.91597242587608</v>
          </cell>
          <cell r="AI208">
            <v>0</v>
          </cell>
          <cell r="AK208">
            <v>93.124853889192295</v>
          </cell>
          <cell r="AL208">
            <v>0</v>
          </cell>
          <cell r="AN208">
            <v>64.567014438461243</v>
          </cell>
          <cell r="AO208">
            <v>0</v>
          </cell>
          <cell r="AQ208">
            <v>32.980617657691397</v>
          </cell>
          <cell r="AR208">
            <v>0</v>
          </cell>
          <cell r="AT208">
            <v>43.626293285779226</v>
          </cell>
          <cell r="AU208">
            <v>3451</v>
          </cell>
          <cell r="AW208">
            <v>27.907064838681809</v>
          </cell>
          <cell r="AX208">
            <v>0</v>
          </cell>
        </row>
        <row r="209"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91.656095609273535</v>
          </cell>
          <cell r="AF209">
            <v>0</v>
          </cell>
          <cell r="AH209">
            <v>152.88656391485003</v>
          </cell>
          <cell r="AI209">
            <v>0</v>
          </cell>
          <cell r="AK209">
            <v>77.57745813108339</v>
          </cell>
          <cell r="AL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T209">
            <v>19.771301113804686</v>
          </cell>
          <cell r="AU209">
            <v>9709</v>
          </cell>
          <cell r="AW209">
            <v>0</v>
          </cell>
          <cell r="AX209">
            <v>0</v>
          </cell>
        </row>
        <row r="210"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R210">
            <v>2</v>
          </cell>
          <cell r="S210">
            <v>21918</v>
          </cell>
          <cell r="U210">
            <v>0</v>
          </cell>
          <cell r="V210">
            <v>0</v>
          </cell>
          <cell r="W210">
            <v>2</v>
          </cell>
          <cell r="X210">
            <v>204.33676025759829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417</v>
          </cell>
          <cell r="AE210">
            <v>106.46004484722503</v>
          </cell>
          <cell r="AF210">
            <v>0</v>
          </cell>
          <cell r="AH210">
            <v>132.91597242587608</v>
          </cell>
          <cell r="AI210">
            <v>0</v>
          </cell>
          <cell r="AK210">
            <v>91.344582835785587</v>
          </cell>
          <cell r="AL210">
            <v>0</v>
          </cell>
          <cell r="AN210">
            <v>59.813520908187947</v>
          </cell>
          <cell r="AO210">
            <v>0</v>
          </cell>
          <cell r="AQ210">
            <v>32.980617657691397</v>
          </cell>
          <cell r="AR210">
            <v>0</v>
          </cell>
          <cell r="AT210">
            <v>43.626293285779226</v>
          </cell>
          <cell r="AU210">
            <v>0</v>
          </cell>
          <cell r="AW210">
            <v>51.805042814282956</v>
          </cell>
          <cell r="AX210">
            <v>0</v>
          </cell>
        </row>
        <row r="211"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R211">
            <v>1</v>
          </cell>
          <cell r="S211">
            <v>891</v>
          </cell>
          <cell r="U211">
            <v>0</v>
          </cell>
          <cell r="V211">
            <v>0</v>
          </cell>
          <cell r="W211">
            <v>0</v>
          </cell>
          <cell r="X211">
            <v>34.600917616863512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1288</v>
          </cell>
          <cell r="AE211">
            <v>206.48060014236324</v>
          </cell>
          <cell r="AF211">
            <v>0</v>
          </cell>
          <cell r="AH211">
            <v>265.8319448517517</v>
          </cell>
          <cell r="AI211">
            <v>0</v>
          </cell>
          <cell r="AK211">
            <v>201.92473535792897</v>
          </cell>
          <cell r="AL211">
            <v>0</v>
          </cell>
          <cell r="AN211">
            <v>110.15949442599425</v>
          </cell>
          <cell r="AO211">
            <v>0</v>
          </cell>
          <cell r="AQ211">
            <v>65.961235315382794</v>
          </cell>
          <cell r="AR211">
            <v>0</v>
          </cell>
          <cell r="AT211">
            <v>97.681528674260917</v>
          </cell>
          <cell r="AU211">
            <v>0</v>
          </cell>
          <cell r="AW211">
            <v>55.195831147079431</v>
          </cell>
          <cell r="AX211">
            <v>0</v>
          </cell>
        </row>
        <row r="212"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18.821997530997415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207</v>
          </cell>
          <cell r="AE212">
            <v>42.584017938890014</v>
          </cell>
          <cell r="AF212">
            <v>0</v>
          </cell>
          <cell r="AH212">
            <v>53.16638897035044</v>
          </cell>
          <cell r="AI212">
            <v>0</v>
          </cell>
          <cell r="AK212">
            <v>44.006444341695001</v>
          </cell>
          <cell r="AL212">
            <v>0</v>
          </cell>
          <cell r="AN212">
            <v>23.588891810124462</v>
          </cell>
          <cell r="AO212">
            <v>0</v>
          </cell>
          <cell r="AQ212">
            <v>13.192247063076561</v>
          </cell>
          <cell r="AR212">
            <v>0</v>
          </cell>
          <cell r="AT212">
            <v>17.450517314311693</v>
          </cell>
          <cell r="AU212">
            <v>0</v>
          </cell>
          <cell r="AW212">
            <v>27.907064838681809</v>
          </cell>
          <cell r="AX212">
            <v>0</v>
          </cell>
        </row>
        <row r="213">
          <cell r="I213">
            <v>0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H213">
            <v>0</v>
          </cell>
          <cell r="AI213">
            <v>0</v>
          </cell>
          <cell r="AK213">
            <v>0</v>
          </cell>
          <cell r="AL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T213">
            <v>0</v>
          </cell>
          <cell r="AU213">
            <v>0</v>
          </cell>
          <cell r="AW213">
            <v>0</v>
          </cell>
          <cell r="AX213">
            <v>0</v>
          </cell>
        </row>
        <row r="214"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H214">
            <v>0</v>
          </cell>
          <cell r="AI214">
            <v>0</v>
          </cell>
          <cell r="AK214">
            <v>0</v>
          </cell>
          <cell r="AL214">
            <v>0</v>
          </cell>
          <cell r="AN214">
            <v>0</v>
          </cell>
          <cell r="AO214">
            <v>0</v>
          </cell>
          <cell r="AQ214">
            <v>0</v>
          </cell>
          <cell r="AR214">
            <v>0</v>
          </cell>
          <cell r="AT214">
            <v>0</v>
          </cell>
          <cell r="AU214">
            <v>0</v>
          </cell>
          <cell r="AW214">
            <v>0</v>
          </cell>
          <cell r="AX214">
            <v>0</v>
          </cell>
        </row>
        <row r="215">
          <cell r="I215">
            <v>0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327.04584121664607</v>
          </cell>
          <cell r="AF215">
            <v>889</v>
          </cell>
          <cell r="AH215">
            <v>398.9137894360008</v>
          </cell>
          <cell r="AI215">
            <v>0</v>
          </cell>
          <cell r="AK215">
            <v>458.67069947314712</v>
          </cell>
          <cell r="AL215">
            <v>0</v>
          </cell>
          <cell r="AN215">
            <v>194.41885365990336</v>
          </cell>
          <cell r="AO215">
            <v>1769</v>
          </cell>
          <cell r="AQ215">
            <v>105.68402349220877</v>
          </cell>
          <cell r="AR215">
            <v>0</v>
          </cell>
          <cell r="AT215">
            <v>205.26189571466762</v>
          </cell>
          <cell r="AU215">
            <v>0</v>
          </cell>
          <cell r="AW215">
            <v>119.34310272027908</v>
          </cell>
          <cell r="AX215">
            <v>0</v>
          </cell>
        </row>
        <row r="216">
          <cell r="I216">
            <v>0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335.49122236556309</v>
          </cell>
          <cell r="AF216">
            <v>0</v>
          </cell>
          <cell r="AH216">
            <v>503.09886568518095</v>
          </cell>
          <cell r="AI216">
            <v>0</v>
          </cell>
          <cell r="AK216">
            <v>349.5833390983895</v>
          </cell>
          <cell r="AL216">
            <v>0</v>
          </cell>
          <cell r="AN216">
            <v>201.87973305220362</v>
          </cell>
          <cell r="AO216">
            <v>0</v>
          </cell>
          <cell r="AQ216">
            <v>119.94714023874553</v>
          </cell>
          <cell r="AR216">
            <v>0</v>
          </cell>
          <cell r="AT216">
            <v>187.174739446508</v>
          </cell>
          <cell r="AU216">
            <v>0</v>
          </cell>
          <cell r="AW216">
            <v>107.72463185447754</v>
          </cell>
          <cell r="AX216">
            <v>0</v>
          </cell>
        </row>
        <row r="217">
          <cell r="I217">
            <v>0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R217">
            <v>1</v>
          </cell>
          <cell r="S217">
            <v>1364</v>
          </cell>
          <cell r="U217">
            <v>0</v>
          </cell>
          <cell r="V217">
            <v>0</v>
          </cell>
          <cell r="W217">
            <v>2</v>
          </cell>
          <cell r="X217">
            <v>851.47795568689367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4813</v>
          </cell>
          <cell r="AD217">
            <v>742</v>
          </cell>
          <cell r="AE217">
            <v>234.19939836518847</v>
          </cell>
          <cell r="AF217">
            <v>0</v>
          </cell>
          <cell r="AH217">
            <v>340.39419120155407</v>
          </cell>
          <cell r="AI217">
            <v>0</v>
          </cell>
          <cell r="AK217">
            <v>377.32558295153785</v>
          </cell>
          <cell r="AL217">
            <v>0</v>
          </cell>
          <cell r="AN217">
            <v>175.11975664192488</v>
          </cell>
          <cell r="AO217">
            <v>0</v>
          </cell>
          <cell r="AQ217">
            <v>73.457911157641931</v>
          </cell>
          <cell r="AR217">
            <v>0</v>
          </cell>
          <cell r="AT217">
            <v>232.89259241061026</v>
          </cell>
          <cell r="AU217">
            <v>248</v>
          </cell>
          <cell r="AW217">
            <v>141.02416777453496</v>
          </cell>
          <cell r="AX217">
            <v>0</v>
          </cell>
        </row>
        <row r="218"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48.95973489500166</v>
          </cell>
          <cell r="Y218">
            <v>0</v>
          </cell>
          <cell r="Z218">
            <v>0</v>
          </cell>
          <cell r="AA218">
            <v>0</v>
          </cell>
          <cell r="AB218">
            <v>12811</v>
          </cell>
          <cell r="AC218">
            <v>39771</v>
          </cell>
          <cell r="AD218">
            <v>1366</v>
          </cell>
          <cell r="AE218">
            <v>131.66111816664187</v>
          </cell>
          <cell r="AF218">
            <v>569</v>
          </cell>
          <cell r="AH218">
            <v>193.84601730458303</v>
          </cell>
          <cell r="AI218">
            <v>0</v>
          </cell>
          <cell r="AK218">
            <v>215.16401743022467</v>
          </cell>
          <cell r="AL218">
            <v>0</v>
          </cell>
          <cell r="AN218">
            <v>101.39158159948053</v>
          </cell>
          <cell r="AO218">
            <v>0</v>
          </cell>
          <cell r="AQ218">
            <v>97.437647389463777</v>
          </cell>
          <cell r="AR218">
            <v>0</v>
          </cell>
          <cell r="AT218">
            <v>163.8440843954931</v>
          </cell>
          <cell r="AU218">
            <v>146</v>
          </cell>
          <cell r="AW218">
            <v>156.91956282162403</v>
          </cell>
          <cell r="AX218">
            <v>0</v>
          </cell>
        </row>
        <row r="219"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320.62601161897658</v>
          </cell>
          <cell r="AF219">
            <v>0</v>
          </cell>
          <cell r="AH219">
            <v>492.97964315911258</v>
          </cell>
          <cell r="AI219">
            <v>0</v>
          </cell>
          <cell r="AK219">
            <v>425.24465874824136</v>
          </cell>
          <cell r="AL219">
            <v>0</v>
          </cell>
          <cell r="AN219">
            <v>0</v>
          </cell>
          <cell r="AO219">
            <v>0</v>
          </cell>
          <cell r="AQ219">
            <v>0</v>
          </cell>
          <cell r="AR219">
            <v>1128</v>
          </cell>
          <cell r="AT219">
            <v>176.92726331589199</v>
          </cell>
          <cell r="AU219">
            <v>0</v>
          </cell>
          <cell r="AW219">
            <v>0</v>
          </cell>
          <cell r="AX219">
            <v>0</v>
          </cell>
        </row>
        <row r="220">
          <cell r="I220">
            <v>0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323.47537914525492</v>
          </cell>
          <cell r="AF220">
            <v>0</v>
          </cell>
          <cell r="AH220">
            <v>444.88882070319545</v>
          </cell>
          <cell r="AI220">
            <v>0</v>
          </cell>
          <cell r="AK220">
            <v>431.67565626018109</v>
          </cell>
          <cell r="AL220">
            <v>0</v>
          </cell>
          <cell r="AN220">
            <v>0</v>
          </cell>
          <cell r="AO220">
            <v>0</v>
          </cell>
          <cell r="AQ220">
            <v>0</v>
          </cell>
          <cell r="AR220">
            <v>0</v>
          </cell>
          <cell r="AT220">
            <v>179.51810429532154</v>
          </cell>
          <cell r="AU220">
            <v>23252</v>
          </cell>
          <cell r="AW220">
            <v>0</v>
          </cell>
          <cell r="AX220">
            <v>0</v>
          </cell>
        </row>
        <row r="221">
          <cell r="I221">
            <v>0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503</v>
          </cell>
          <cell r="AE221">
            <v>309.21091681822662</v>
          </cell>
          <cell r="AF221">
            <v>0</v>
          </cell>
          <cell r="AH221">
            <v>444.88882070319545</v>
          </cell>
          <cell r="AI221">
            <v>0</v>
          </cell>
          <cell r="AK221">
            <v>470.67431918363008</v>
          </cell>
          <cell r="AL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T221">
            <v>179.51810429532154</v>
          </cell>
          <cell r="AU221">
            <v>2254</v>
          </cell>
          <cell r="AW221">
            <v>0</v>
          </cell>
          <cell r="AX221">
            <v>0</v>
          </cell>
        </row>
        <row r="222"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227.2230240106725</v>
          </cell>
          <cell r="AF222">
            <v>0</v>
          </cell>
          <cell r="AH222">
            <v>387.87318468845865</v>
          </cell>
          <cell r="AI222">
            <v>0</v>
          </cell>
          <cell r="AK222">
            <v>299.02802678329249</v>
          </cell>
          <cell r="AL222">
            <v>0</v>
          </cell>
          <cell r="AN222">
            <v>0</v>
          </cell>
          <cell r="AO222">
            <v>0</v>
          </cell>
          <cell r="AQ222">
            <v>0</v>
          </cell>
          <cell r="AR222">
            <v>0</v>
          </cell>
          <cell r="AT222">
            <v>130.49535443444742</v>
          </cell>
          <cell r="AU222">
            <v>0</v>
          </cell>
          <cell r="AW222">
            <v>0</v>
          </cell>
          <cell r="AX222">
            <v>0</v>
          </cell>
        </row>
        <row r="223"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79</v>
          </cell>
          <cell r="AE223">
            <v>268.63508955986697</v>
          </cell>
          <cell r="AF223">
            <v>461</v>
          </cell>
          <cell r="AH223">
            <v>489.43497576070069</v>
          </cell>
          <cell r="AI223">
            <v>0</v>
          </cell>
          <cell r="AK223">
            <v>246.53671761751028</v>
          </cell>
          <cell r="AL223">
            <v>0</v>
          </cell>
          <cell r="AN223">
            <v>0</v>
          </cell>
          <cell r="AO223">
            <v>0</v>
          </cell>
          <cell r="AQ223">
            <v>0</v>
          </cell>
          <cell r="AR223">
            <v>0</v>
          </cell>
          <cell r="AT223">
            <v>222.83021985135576</v>
          </cell>
          <cell r="AU223">
            <v>0</v>
          </cell>
          <cell r="AW223">
            <v>0</v>
          </cell>
          <cell r="AX223">
            <v>0</v>
          </cell>
        </row>
        <row r="224">
          <cell r="I224">
            <v>0</v>
          </cell>
          <cell r="J224">
            <v>0</v>
          </cell>
          <cell r="L224">
            <v>1</v>
          </cell>
          <cell r="M224">
            <v>121012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82.667714407915298</v>
          </cell>
          <cell r="AF224">
            <v>0</v>
          </cell>
          <cell r="AH224">
            <v>91.180310614088697</v>
          </cell>
          <cell r="AI224">
            <v>0</v>
          </cell>
          <cell r="AK224">
            <v>83.006215262450169</v>
          </cell>
          <cell r="AL224">
            <v>0</v>
          </cell>
          <cell r="AN224">
            <v>0</v>
          </cell>
          <cell r="AO224">
            <v>0</v>
          </cell>
          <cell r="AQ224">
            <v>0</v>
          </cell>
          <cell r="AR224">
            <v>0</v>
          </cell>
          <cell r="AT224">
            <v>14.381053614686898</v>
          </cell>
          <cell r="AU224">
            <v>0</v>
          </cell>
          <cell r="AW224">
            <v>0</v>
          </cell>
          <cell r="AX224">
            <v>0</v>
          </cell>
        </row>
        <row r="225"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H225">
            <v>0</v>
          </cell>
          <cell r="AI225">
            <v>0</v>
          </cell>
          <cell r="AK225">
            <v>0</v>
          </cell>
          <cell r="AL225">
            <v>0</v>
          </cell>
          <cell r="AN225">
            <v>0</v>
          </cell>
          <cell r="AO225">
            <v>0</v>
          </cell>
          <cell r="AQ225">
            <v>0</v>
          </cell>
          <cell r="AR225">
            <v>0</v>
          </cell>
          <cell r="AT225">
            <v>0</v>
          </cell>
          <cell r="AU225">
            <v>0</v>
          </cell>
          <cell r="AW225">
            <v>0</v>
          </cell>
          <cell r="AX225">
            <v>0</v>
          </cell>
        </row>
        <row r="226">
          <cell r="I226">
            <v>0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42.947547082987398</v>
          </cell>
          <cell r="AF226">
            <v>0</v>
          </cell>
          <cell r="AH226">
            <v>49.86802425262438</v>
          </cell>
          <cell r="AI226">
            <v>0</v>
          </cell>
          <cell r="AK226">
            <v>0</v>
          </cell>
          <cell r="AL226">
            <v>0</v>
          </cell>
          <cell r="AN226">
            <v>0</v>
          </cell>
          <cell r="AO226">
            <v>0</v>
          </cell>
          <cell r="AQ226">
            <v>0</v>
          </cell>
          <cell r="AR226">
            <v>0</v>
          </cell>
          <cell r="AT226">
            <v>9.8614077016833726</v>
          </cell>
          <cell r="AU226">
            <v>0</v>
          </cell>
          <cell r="AW226">
            <v>0</v>
          </cell>
          <cell r="AX226">
            <v>0</v>
          </cell>
        </row>
        <row r="227"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74.400935727157275</v>
          </cell>
          <cell r="AF227">
            <v>0</v>
          </cell>
          <cell r="AH227">
            <v>79.235345521027114</v>
          </cell>
          <cell r="AI227">
            <v>0</v>
          </cell>
          <cell r="AK227">
            <v>68.280931052039634</v>
          </cell>
          <cell r="AL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T227">
            <v>14.743558598792214</v>
          </cell>
          <cell r="AU227">
            <v>0</v>
          </cell>
          <cell r="AW227">
            <v>0</v>
          </cell>
          <cell r="AX227">
            <v>0</v>
          </cell>
        </row>
        <row r="228"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71.960731953791409</v>
          </cell>
          <cell r="AF228">
            <v>0</v>
          </cell>
          <cell r="AH228">
            <v>89.509926552956031</v>
          </cell>
          <cell r="AI228">
            <v>0</v>
          </cell>
          <cell r="AK228">
            <v>47.277902860351134</v>
          </cell>
          <cell r="AL228">
            <v>0</v>
          </cell>
          <cell r="AN228">
            <v>0</v>
          </cell>
          <cell r="AO228">
            <v>0</v>
          </cell>
          <cell r="AQ228">
            <v>0</v>
          </cell>
          <cell r="AR228">
            <v>0</v>
          </cell>
          <cell r="AT228">
            <v>19.771277081972755</v>
          </cell>
          <cell r="AU228">
            <v>0</v>
          </cell>
          <cell r="AW228">
            <v>0</v>
          </cell>
          <cell r="AX228">
            <v>0</v>
          </cell>
        </row>
        <row r="229"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138.25758637960135</v>
          </cell>
          <cell r="AF229">
            <v>0</v>
          </cell>
          <cell r="AH229">
            <v>195.76233491122258</v>
          </cell>
          <cell r="AI229">
            <v>0</v>
          </cell>
          <cell r="AK229">
            <v>144.91736678168084</v>
          </cell>
          <cell r="AL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T229">
            <v>58.242082060788206</v>
          </cell>
          <cell r="AU229">
            <v>0</v>
          </cell>
          <cell r="AW229">
            <v>0</v>
          </cell>
          <cell r="AX229">
            <v>0</v>
          </cell>
        </row>
        <row r="230"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98.618250536663112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338.3518327252624</v>
          </cell>
          <cell r="AF230">
            <v>0</v>
          </cell>
          <cell r="AH230">
            <v>553.69522338747106</v>
          </cell>
          <cell r="AI230">
            <v>0</v>
          </cell>
          <cell r="AK230">
            <v>395.83670735449164</v>
          </cell>
          <cell r="AL230">
            <v>0</v>
          </cell>
          <cell r="AN230">
            <v>0</v>
          </cell>
          <cell r="AO230">
            <v>0</v>
          </cell>
          <cell r="AQ230">
            <v>0</v>
          </cell>
          <cell r="AR230">
            <v>0</v>
          </cell>
          <cell r="AT230">
            <v>174.41860241614506</v>
          </cell>
          <cell r="AU230">
            <v>0</v>
          </cell>
          <cell r="AW230">
            <v>200.88589227223855</v>
          </cell>
          <cell r="AX230">
            <v>0</v>
          </cell>
        </row>
        <row r="231"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1679</v>
          </cell>
          <cell r="AE231">
            <v>106.42402557711507</v>
          </cell>
          <cell r="AF231">
            <v>0</v>
          </cell>
          <cell r="AH231">
            <v>132.492596975553</v>
          </cell>
          <cell r="AI231">
            <v>0</v>
          </cell>
          <cell r="AK231">
            <v>66.563181804184708</v>
          </cell>
          <cell r="AL231">
            <v>0</v>
          </cell>
          <cell r="AN231">
            <v>0</v>
          </cell>
          <cell r="AO231">
            <v>0</v>
          </cell>
          <cell r="AQ231">
            <v>0</v>
          </cell>
          <cell r="AR231">
            <v>0</v>
          </cell>
          <cell r="AT231">
            <v>19.771301113804686</v>
          </cell>
          <cell r="AU231">
            <v>0</v>
          </cell>
          <cell r="AW231">
            <v>0</v>
          </cell>
          <cell r="AX231">
            <v>0</v>
          </cell>
        </row>
        <row r="232"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938</v>
          </cell>
          <cell r="AE232">
            <v>205.77312815090349</v>
          </cell>
          <cell r="AF232">
            <v>0</v>
          </cell>
          <cell r="AH232">
            <v>262.67571456331655</v>
          </cell>
          <cell r="AI232">
            <v>0</v>
          </cell>
          <cell r="AK232">
            <v>264.85518945278432</v>
          </cell>
          <cell r="AL232">
            <v>0</v>
          </cell>
          <cell r="AN232">
            <v>145.72291312674076</v>
          </cell>
          <cell r="AO232">
            <v>0</v>
          </cell>
          <cell r="AQ232">
            <v>65.961235315382794</v>
          </cell>
          <cell r="AR232">
            <v>0</v>
          </cell>
          <cell r="AT232">
            <v>171.46695994239872</v>
          </cell>
          <cell r="AU232">
            <v>1489</v>
          </cell>
          <cell r="AW232">
            <v>0</v>
          </cell>
          <cell r="AX232">
            <v>0</v>
          </cell>
        </row>
        <row r="233"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H233">
            <v>0</v>
          </cell>
          <cell r="AI233">
            <v>0</v>
          </cell>
          <cell r="AK233">
            <v>0</v>
          </cell>
          <cell r="AL233">
            <v>0</v>
          </cell>
          <cell r="AN233">
            <v>0</v>
          </cell>
          <cell r="AO233">
            <v>0</v>
          </cell>
          <cell r="AQ233">
            <v>0</v>
          </cell>
          <cell r="AR233">
            <v>0</v>
          </cell>
          <cell r="AT233">
            <v>0</v>
          </cell>
          <cell r="AU233">
            <v>0</v>
          </cell>
          <cell r="AW233">
            <v>0</v>
          </cell>
          <cell r="AX233">
            <v>0</v>
          </cell>
        </row>
        <row r="234"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55.047242791802105</v>
          </cell>
          <cell r="AF234">
            <v>1506</v>
          </cell>
          <cell r="AH234">
            <v>72.08773375891468</v>
          </cell>
          <cell r="AI234">
            <v>0</v>
          </cell>
          <cell r="AK234">
            <v>47.77744413412605</v>
          </cell>
          <cell r="AL234">
            <v>2019</v>
          </cell>
          <cell r="AN234">
            <v>0</v>
          </cell>
          <cell r="AO234">
            <v>0</v>
          </cell>
          <cell r="AQ234">
            <v>0</v>
          </cell>
          <cell r="AR234">
            <v>0</v>
          </cell>
          <cell r="AT234">
            <v>13.131198850039331</v>
          </cell>
          <cell r="AU234">
            <v>0</v>
          </cell>
          <cell r="AW234">
            <v>0</v>
          </cell>
          <cell r="AX234">
            <v>0</v>
          </cell>
        </row>
        <row r="235"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58.218883533051603</v>
          </cell>
          <cell r="AF235">
            <v>0</v>
          </cell>
          <cell r="AH235">
            <v>72.08773375891468</v>
          </cell>
          <cell r="AI235">
            <v>0</v>
          </cell>
          <cell r="AK235">
            <v>53.860905364050453</v>
          </cell>
          <cell r="AL235">
            <v>0</v>
          </cell>
          <cell r="AN235">
            <v>0</v>
          </cell>
          <cell r="AO235">
            <v>0</v>
          </cell>
          <cell r="AQ235">
            <v>0</v>
          </cell>
          <cell r="AR235">
            <v>0</v>
          </cell>
          <cell r="AT235">
            <v>13.131198850039331</v>
          </cell>
          <cell r="AU235">
            <v>0</v>
          </cell>
          <cell r="AW235">
            <v>0</v>
          </cell>
          <cell r="AX235">
            <v>0</v>
          </cell>
        </row>
        <row r="236"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249.80458999544032</v>
          </cell>
          <cell r="AF236">
            <v>0</v>
          </cell>
          <cell r="AH236">
            <v>385.7367251097441</v>
          </cell>
          <cell r="AI236">
            <v>0</v>
          </cell>
          <cell r="AK236">
            <v>225.03237420717613</v>
          </cell>
          <cell r="AL236">
            <v>0</v>
          </cell>
          <cell r="AN236">
            <v>0</v>
          </cell>
          <cell r="AO236">
            <v>0</v>
          </cell>
          <cell r="AQ236">
            <v>0</v>
          </cell>
          <cell r="AR236">
            <v>0</v>
          </cell>
          <cell r="AT236">
            <v>128.96003314994545</v>
          </cell>
          <cell r="AU236">
            <v>5924</v>
          </cell>
          <cell r="AW236">
            <v>0</v>
          </cell>
          <cell r="AX236">
            <v>0</v>
          </cell>
        </row>
        <row r="237"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87.775878306232258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276.78672703023619</v>
          </cell>
          <cell r="AF237">
            <v>766</v>
          </cell>
          <cell r="AH237">
            <v>319.0193196255849</v>
          </cell>
          <cell r="AI237">
            <v>0</v>
          </cell>
          <cell r="AK237">
            <v>346.12883444303247</v>
          </cell>
          <cell r="AL237">
            <v>0</v>
          </cell>
          <cell r="AN237">
            <v>0</v>
          </cell>
          <cell r="AO237">
            <v>0</v>
          </cell>
          <cell r="AQ237">
            <v>0</v>
          </cell>
          <cell r="AR237">
            <v>0</v>
          </cell>
          <cell r="AT237">
            <v>113.23255725526957</v>
          </cell>
          <cell r="AU237">
            <v>130</v>
          </cell>
          <cell r="AW237">
            <v>0</v>
          </cell>
          <cell r="AX237">
            <v>0</v>
          </cell>
        </row>
        <row r="238"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323.47028542496639</v>
          </cell>
          <cell r="AF238">
            <v>0</v>
          </cell>
          <cell r="AH238">
            <v>444.88882070319545</v>
          </cell>
          <cell r="AI238">
            <v>0</v>
          </cell>
          <cell r="AK238">
            <v>469.97318737165875</v>
          </cell>
          <cell r="AL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T238">
            <v>179.51138020506116</v>
          </cell>
          <cell r="AU238">
            <v>0</v>
          </cell>
          <cell r="AW238">
            <v>0</v>
          </cell>
          <cell r="AX238">
            <v>0</v>
          </cell>
        </row>
        <row r="239"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1031.4905473274753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619</v>
          </cell>
          <cell r="AE239">
            <v>323.52638508503514</v>
          </cell>
          <cell r="AF239">
            <v>465</v>
          </cell>
          <cell r="AH239">
            <v>444.88882070319545</v>
          </cell>
          <cell r="AI239">
            <v>0</v>
          </cell>
          <cell r="AK239">
            <v>472.79176507359625</v>
          </cell>
          <cell r="AL239">
            <v>0</v>
          </cell>
          <cell r="AN239">
            <v>0</v>
          </cell>
          <cell r="AO239">
            <v>0</v>
          </cell>
          <cell r="AQ239">
            <v>0</v>
          </cell>
          <cell r="AR239">
            <v>0</v>
          </cell>
          <cell r="AT239">
            <v>179.51810429532154</v>
          </cell>
          <cell r="AU239">
            <v>261</v>
          </cell>
          <cell r="AW239">
            <v>0</v>
          </cell>
          <cell r="AX239">
            <v>0</v>
          </cell>
        </row>
        <row r="240">
          <cell r="I240">
            <v>0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530</v>
          </cell>
          <cell r="AE240">
            <v>323.47537914525492</v>
          </cell>
          <cell r="AF240">
            <v>0</v>
          </cell>
          <cell r="AH240">
            <v>444.88882070319545</v>
          </cell>
          <cell r="AI240">
            <v>0</v>
          </cell>
          <cell r="AK240">
            <v>472.79176507359625</v>
          </cell>
          <cell r="AL240">
            <v>0</v>
          </cell>
          <cell r="AN240">
            <v>0</v>
          </cell>
          <cell r="AO240">
            <v>0</v>
          </cell>
          <cell r="AQ240">
            <v>0</v>
          </cell>
          <cell r="AR240">
            <v>0</v>
          </cell>
          <cell r="AT240">
            <v>179.51810429532154</v>
          </cell>
          <cell r="AU240">
            <v>124</v>
          </cell>
          <cell r="AW240">
            <v>0</v>
          </cell>
          <cell r="AX240">
            <v>0</v>
          </cell>
        </row>
        <row r="241"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220</v>
          </cell>
          <cell r="AD241">
            <v>81</v>
          </cell>
          <cell r="AE241">
            <v>323.47537914525492</v>
          </cell>
          <cell r="AF241">
            <v>0</v>
          </cell>
          <cell r="AH241">
            <v>444.88882070319545</v>
          </cell>
          <cell r="AI241">
            <v>0</v>
          </cell>
          <cell r="AK241">
            <v>469.39987804412397</v>
          </cell>
          <cell r="AL241">
            <v>0</v>
          </cell>
          <cell r="AN241">
            <v>0</v>
          </cell>
          <cell r="AO241">
            <v>0</v>
          </cell>
          <cell r="AQ241">
            <v>0</v>
          </cell>
          <cell r="AR241">
            <v>0</v>
          </cell>
          <cell r="AT241">
            <v>179.51810429532154</v>
          </cell>
          <cell r="AU241">
            <v>0</v>
          </cell>
          <cell r="AW241">
            <v>0</v>
          </cell>
          <cell r="AX241">
            <v>0</v>
          </cell>
        </row>
        <row r="242">
          <cell r="I242">
            <v>0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453.16429572632046</v>
          </cell>
          <cell r="AF242">
            <v>0</v>
          </cell>
          <cell r="AH242">
            <v>730.31644067323475</v>
          </cell>
          <cell r="AI242">
            <v>0</v>
          </cell>
          <cell r="AK242">
            <v>413.83434175910082</v>
          </cell>
          <cell r="AL242">
            <v>0</v>
          </cell>
          <cell r="AN242">
            <v>0</v>
          </cell>
          <cell r="AO242">
            <v>0</v>
          </cell>
          <cell r="AQ242">
            <v>0</v>
          </cell>
          <cell r="AR242">
            <v>0</v>
          </cell>
          <cell r="AT242">
            <v>332.67629256086099</v>
          </cell>
          <cell r="AU242">
            <v>0</v>
          </cell>
          <cell r="AW242">
            <v>0</v>
          </cell>
          <cell r="AX242">
            <v>0</v>
          </cell>
        </row>
        <row r="243">
          <cell r="I243">
            <v>0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7375</v>
          </cell>
          <cell r="Z243">
            <v>0</v>
          </cell>
          <cell r="AA243">
            <v>0</v>
          </cell>
          <cell r="AB243">
            <v>0</v>
          </cell>
          <cell r="AC243">
            <v>8270</v>
          </cell>
          <cell r="AD243">
            <v>188</v>
          </cell>
          <cell r="AE243">
            <v>453.28676417768395</v>
          </cell>
          <cell r="AF243">
            <v>0</v>
          </cell>
          <cell r="AH243">
            <v>730.47179917909421</v>
          </cell>
          <cell r="AI243">
            <v>0</v>
          </cell>
          <cell r="AK243">
            <v>411.00574223534153</v>
          </cell>
          <cell r="AL243">
            <v>0</v>
          </cell>
          <cell r="AN243">
            <v>0</v>
          </cell>
          <cell r="AO243">
            <v>0</v>
          </cell>
          <cell r="AQ243">
            <v>218.86472282667671</v>
          </cell>
          <cell r="AR243">
            <v>0</v>
          </cell>
          <cell r="AT243">
            <v>332.88205778624234</v>
          </cell>
          <cell r="AU243">
            <v>0</v>
          </cell>
          <cell r="AW243">
            <v>0</v>
          </cell>
          <cell r="AX243">
            <v>0</v>
          </cell>
        </row>
        <row r="244">
          <cell r="I244">
            <v>0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240</v>
          </cell>
          <cell r="AE244">
            <v>312.08107424119544</v>
          </cell>
          <cell r="AF244">
            <v>0</v>
          </cell>
          <cell r="AH244">
            <v>490.42556714245251</v>
          </cell>
          <cell r="AI244">
            <v>0</v>
          </cell>
          <cell r="AK244">
            <v>295.04809673845114</v>
          </cell>
          <cell r="AL244">
            <v>0</v>
          </cell>
          <cell r="AN244">
            <v>0</v>
          </cell>
          <cell r="AO244">
            <v>0</v>
          </cell>
          <cell r="AQ244">
            <v>0</v>
          </cell>
          <cell r="AR244">
            <v>0</v>
          </cell>
          <cell r="AT244">
            <v>187.56725379517582</v>
          </cell>
          <cell r="AU244">
            <v>0</v>
          </cell>
          <cell r="AW244">
            <v>0</v>
          </cell>
          <cell r="AX244">
            <v>0</v>
          </cell>
        </row>
        <row r="245"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862</v>
          </cell>
          <cell r="Z245">
            <v>0</v>
          </cell>
          <cell r="AA245">
            <v>0</v>
          </cell>
          <cell r="AB245">
            <v>0</v>
          </cell>
          <cell r="AC245">
            <v>7013</v>
          </cell>
          <cell r="AD245">
            <v>0</v>
          </cell>
          <cell r="AE245">
            <v>597.70861840761279</v>
          </cell>
          <cell r="AF245">
            <v>0</v>
          </cell>
          <cell r="AH245">
            <v>974.84939071975509</v>
          </cell>
          <cell r="AI245">
            <v>722</v>
          </cell>
          <cell r="AK245">
            <v>567.61626868907615</v>
          </cell>
          <cell r="AL245">
            <v>0</v>
          </cell>
          <cell r="AN245">
            <v>0</v>
          </cell>
          <cell r="AO245">
            <v>0</v>
          </cell>
          <cell r="AQ245">
            <v>338.81178137477229</v>
          </cell>
          <cell r="AR245">
            <v>0</v>
          </cell>
          <cell r="AT245">
            <v>521.68679861452631</v>
          </cell>
          <cell r="AU245">
            <v>0</v>
          </cell>
          <cell r="AW245">
            <v>0</v>
          </cell>
          <cell r="AX245">
            <v>0</v>
          </cell>
        </row>
        <row r="246"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293.62362475258334</v>
          </cell>
          <cell r="AF246">
            <v>0</v>
          </cell>
          <cell r="AH246">
            <v>479.05349530254739</v>
          </cell>
          <cell r="AI246">
            <v>0</v>
          </cell>
          <cell r="AK246">
            <v>251.78681354995123</v>
          </cell>
          <cell r="AL246">
            <v>0</v>
          </cell>
          <cell r="AN246">
            <v>0</v>
          </cell>
          <cell r="AO246">
            <v>0</v>
          </cell>
          <cell r="AQ246">
            <v>0</v>
          </cell>
          <cell r="AR246">
            <v>0</v>
          </cell>
          <cell r="AT246">
            <v>176.11396072083613</v>
          </cell>
          <cell r="AU246">
            <v>0</v>
          </cell>
          <cell r="AW246">
            <v>0</v>
          </cell>
          <cell r="AX246">
            <v>0</v>
          </cell>
        </row>
        <row r="247"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454.33816644439599</v>
          </cell>
          <cell r="AF247">
            <v>0</v>
          </cell>
          <cell r="AH247">
            <v>731.30703205498548</v>
          </cell>
          <cell r="AI247">
            <v>0</v>
          </cell>
          <cell r="AK247">
            <v>419.31302136116989</v>
          </cell>
          <cell r="AL247">
            <v>4054</v>
          </cell>
          <cell r="AN247">
            <v>0</v>
          </cell>
          <cell r="AO247">
            <v>0</v>
          </cell>
          <cell r="AQ247">
            <v>223.34337737643764</v>
          </cell>
          <cell r="AR247">
            <v>0</v>
          </cell>
          <cell r="AT247">
            <v>334.27802161567132</v>
          </cell>
          <cell r="AU247">
            <v>0</v>
          </cell>
          <cell r="AW247">
            <v>0</v>
          </cell>
          <cell r="AX247">
            <v>506</v>
          </cell>
        </row>
        <row r="248"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406</v>
          </cell>
          <cell r="AD248">
            <v>0</v>
          </cell>
          <cell r="AE248">
            <v>598.56467936387094</v>
          </cell>
          <cell r="AF248">
            <v>0</v>
          </cell>
          <cell r="AH248">
            <v>975.5292650897868</v>
          </cell>
          <cell r="AI248">
            <v>0</v>
          </cell>
          <cell r="AK248">
            <v>568.60575830468986</v>
          </cell>
          <cell r="AL248">
            <v>311</v>
          </cell>
          <cell r="AN248">
            <v>0</v>
          </cell>
          <cell r="AO248">
            <v>0</v>
          </cell>
          <cell r="AQ248">
            <v>338.81178137477229</v>
          </cell>
          <cell r="AR248">
            <v>0</v>
          </cell>
          <cell r="AT248">
            <v>542.99350131699373</v>
          </cell>
          <cell r="AU248">
            <v>0</v>
          </cell>
          <cell r="AW248">
            <v>0</v>
          </cell>
          <cell r="AX248">
            <v>0</v>
          </cell>
        </row>
        <row r="249"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366.08836141794058</v>
          </cell>
          <cell r="AF249">
            <v>0</v>
          </cell>
          <cell r="AH249">
            <v>490.31866771622811</v>
          </cell>
          <cell r="AI249">
            <v>0</v>
          </cell>
          <cell r="AK249">
            <v>307.91442535873171</v>
          </cell>
          <cell r="AL249">
            <v>1323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T249">
            <v>200.55401869626783</v>
          </cell>
          <cell r="AU249">
            <v>0</v>
          </cell>
          <cell r="AW249">
            <v>0</v>
          </cell>
          <cell r="AX249">
            <v>0</v>
          </cell>
        </row>
        <row r="250"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1307</v>
          </cell>
          <cell r="AD250">
            <v>0</v>
          </cell>
          <cell r="AE250">
            <v>363.89792516554621</v>
          </cell>
          <cell r="AF250">
            <v>0</v>
          </cell>
          <cell r="AH250">
            <v>490.31866771622811</v>
          </cell>
          <cell r="AI250">
            <v>0</v>
          </cell>
          <cell r="AK250">
            <v>310.38881940211519</v>
          </cell>
          <cell r="AL250">
            <v>0</v>
          </cell>
          <cell r="AN250">
            <v>0</v>
          </cell>
          <cell r="AO250">
            <v>0</v>
          </cell>
          <cell r="AQ250">
            <v>0</v>
          </cell>
          <cell r="AR250">
            <v>0</v>
          </cell>
          <cell r="AT250">
            <v>200.62495309533139</v>
          </cell>
          <cell r="AU250">
            <v>0</v>
          </cell>
          <cell r="AW250">
            <v>0</v>
          </cell>
          <cell r="AX250">
            <v>0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163.28928157430573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441.65315238689044</v>
          </cell>
          <cell r="AF251">
            <v>0</v>
          </cell>
          <cell r="AH251">
            <v>725.10147090433986</v>
          </cell>
          <cell r="AI251">
            <v>0</v>
          </cell>
          <cell r="AK251">
            <v>412.62285498128728</v>
          </cell>
          <cell r="AL251">
            <v>0</v>
          </cell>
          <cell r="AN251">
            <v>0</v>
          </cell>
          <cell r="AO251">
            <v>0</v>
          </cell>
          <cell r="AQ251">
            <v>218.86472282667671</v>
          </cell>
          <cell r="AR251">
            <v>0</v>
          </cell>
          <cell r="AT251">
            <v>324.71868414836467</v>
          </cell>
          <cell r="AU251">
            <v>0</v>
          </cell>
          <cell r="AW251">
            <v>0</v>
          </cell>
          <cell r="AX251">
            <v>0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1341</v>
          </cell>
          <cell r="AD252">
            <v>0</v>
          </cell>
          <cell r="AE252">
            <v>304.74829424469891</v>
          </cell>
          <cell r="AF252">
            <v>0</v>
          </cell>
          <cell r="AH252">
            <v>470.34239890552664</v>
          </cell>
          <cell r="AI252">
            <v>0</v>
          </cell>
          <cell r="AK252">
            <v>376.50712476896177</v>
          </cell>
          <cell r="AL252">
            <v>0</v>
          </cell>
          <cell r="AN252">
            <v>225.85537583994028</v>
          </cell>
          <cell r="AO252">
            <v>0</v>
          </cell>
          <cell r="AQ252">
            <v>0</v>
          </cell>
          <cell r="AR252">
            <v>0</v>
          </cell>
          <cell r="AT252">
            <v>188.63842984583084</v>
          </cell>
          <cell r="AU252">
            <v>0</v>
          </cell>
          <cell r="AW252">
            <v>0</v>
          </cell>
          <cell r="AX252">
            <v>0</v>
          </cell>
        </row>
        <row r="253"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H253">
            <v>0</v>
          </cell>
          <cell r="AI253">
            <v>0</v>
          </cell>
          <cell r="AK253">
            <v>0</v>
          </cell>
          <cell r="AL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</row>
        <row r="254"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T254">
            <v>0</v>
          </cell>
          <cell r="AU254">
            <v>0</v>
          </cell>
          <cell r="AW254">
            <v>0</v>
          </cell>
          <cell r="AX254">
            <v>0</v>
          </cell>
        </row>
        <row r="255"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160.28234453452649</v>
          </cell>
          <cell r="AF255">
            <v>0</v>
          </cell>
          <cell r="AH255">
            <v>216.30381693881802</v>
          </cell>
          <cell r="AI255">
            <v>0</v>
          </cell>
          <cell r="AK255">
            <v>300.81395588574151</v>
          </cell>
          <cell r="AL255">
            <v>0</v>
          </cell>
          <cell r="AN255">
            <v>109.41598290170468</v>
          </cell>
          <cell r="AO255">
            <v>0</v>
          </cell>
          <cell r="AQ255">
            <v>65.961235315382794</v>
          </cell>
          <cell r="AR255">
            <v>0</v>
          </cell>
          <cell r="AT255">
            <v>182.09319879634614</v>
          </cell>
          <cell r="AU255">
            <v>0</v>
          </cell>
          <cell r="AW255">
            <v>94.161478523291592</v>
          </cell>
          <cell r="AX255">
            <v>0</v>
          </cell>
        </row>
        <row r="256"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116.38080629046667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1981</v>
          </cell>
          <cell r="AD256">
            <v>1060</v>
          </cell>
          <cell r="AE256">
            <v>355.34403081711207</v>
          </cell>
          <cell r="AF256">
            <v>2274</v>
          </cell>
          <cell r="AH256">
            <v>895.58576938451483</v>
          </cell>
          <cell r="AI256">
            <v>0</v>
          </cell>
          <cell r="AK256">
            <v>745.46315154097363</v>
          </cell>
          <cell r="AL256">
            <v>0</v>
          </cell>
          <cell r="AN256">
            <v>288.12756542741425</v>
          </cell>
          <cell r="AO256">
            <v>0</v>
          </cell>
          <cell r="AQ256">
            <v>98.941812127749259</v>
          </cell>
          <cell r="AR256">
            <v>0</v>
          </cell>
          <cell r="AT256">
            <v>518.72018098120952</v>
          </cell>
          <cell r="AU256">
            <v>124</v>
          </cell>
          <cell r="AW256">
            <v>0</v>
          </cell>
          <cell r="AX256">
            <v>0</v>
          </cell>
        </row>
        <row r="257"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1856</v>
          </cell>
          <cell r="AE257">
            <v>459.45289091382273</v>
          </cell>
          <cell r="AF257">
            <v>0</v>
          </cell>
          <cell r="AH257">
            <v>1044.8023367926141</v>
          </cell>
          <cell r="AI257">
            <v>0</v>
          </cell>
          <cell r="AK257">
            <v>822.83356848650783</v>
          </cell>
          <cell r="AL257">
            <v>1152</v>
          </cell>
          <cell r="AN257">
            <v>312.27663283934402</v>
          </cell>
          <cell r="AO257">
            <v>0</v>
          </cell>
          <cell r="AQ257">
            <v>115.42002660934838</v>
          </cell>
          <cell r="AR257">
            <v>0</v>
          </cell>
          <cell r="AT257">
            <v>542.44879755970385</v>
          </cell>
          <cell r="AU257">
            <v>0</v>
          </cell>
          <cell r="AW257">
            <v>0</v>
          </cell>
          <cell r="AX257">
            <v>0</v>
          </cell>
        </row>
        <row r="258"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2276</v>
          </cell>
          <cell r="AE258">
            <v>203.84207769388419</v>
          </cell>
          <cell r="AF258">
            <v>851</v>
          </cell>
          <cell r="AH258">
            <v>261.17139780857241</v>
          </cell>
          <cell r="AI258">
            <v>0</v>
          </cell>
          <cell r="AK258">
            <v>343.78808840870335</v>
          </cell>
          <cell r="AL258">
            <v>337</v>
          </cell>
          <cell r="AN258">
            <v>180.56196682523498</v>
          </cell>
          <cell r="AO258">
            <v>0</v>
          </cell>
          <cell r="AQ258">
            <v>49.458791293965582</v>
          </cell>
          <cell r="AR258">
            <v>0</v>
          </cell>
          <cell r="AT258">
            <v>252.40009770630149</v>
          </cell>
          <cell r="AU258">
            <v>124</v>
          </cell>
          <cell r="AW258">
            <v>0</v>
          </cell>
          <cell r="AX258">
            <v>0</v>
          </cell>
        </row>
        <row r="259"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92.712426161667508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122.31439675540068</v>
          </cell>
          <cell r="AF259">
            <v>0</v>
          </cell>
          <cell r="AH259">
            <v>157.93467598038256</v>
          </cell>
          <cell r="AI259">
            <v>0</v>
          </cell>
          <cell r="AK259">
            <v>264.37306341340508</v>
          </cell>
          <cell r="AL259">
            <v>0</v>
          </cell>
          <cell r="AN259">
            <v>91.444637194136348</v>
          </cell>
          <cell r="AO259">
            <v>0</v>
          </cell>
          <cell r="AQ259">
            <v>39.576741189229679</v>
          </cell>
          <cell r="AR259">
            <v>0</v>
          </cell>
          <cell r="AT259">
            <v>89.250700815318339</v>
          </cell>
          <cell r="AU259">
            <v>9483</v>
          </cell>
          <cell r="AW259">
            <v>0</v>
          </cell>
          <cell r="AX259">
            <v>0</v>
          </cell>
        </row>
        <row r="260"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71.122629880379705</v>
          </cell>
          <cell r="AF260">
            <v>0</v>
          </cell>
          <cell r="AH260">
            <v>91.67422397349246</v>
          </cell>
          <cell r="AI260">
            <v>0</v>
          </cell>
          <cell r="AK260">
            <v>0</v>
          </cell>
          <cell r="AL260">
            <v>0</v>
          </cell>
          <cell r="AN260">
            <v>0</v>
          </cell>
          <cell r="AO260">
            <v>0</v>
          </cell>
          <cell r="AQ260">
            <v>19.78837059461484</v>
          </cell>
          <cell r="AR260">
            <v>0</v>
          </cell>
          <cell r="AT260">
            <v>47.713523922280622</v>
          </cell>
          <cell r="AU260">
            <v>0</v>
          </cell>
          <cell r="AW260">
            <v>0</v>
          </cell>
          <cell r="AX260">
            <v>0</v>
          </cell>
        </row>
        <row r="261"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2174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228.12681019305984</v>
          </cell>
          <cell r="AF261">
            <v>0</v>
          </cell>
          <cell r="AH261">
            <v>393.03969537771724</v>
          </cell>
          <cell r="AI261">
            <v>0</v>
          </cell>
          <cell r="AK261">
            <v>367.83331737600776</v>
          </cell>
          <cell r="AL261">
            <v>1145</v>
          </cell>
          <cell r="AN261">
            <v>0</v>
          </cell>
          <cell r="AO261">
            <v>0</v>
          </cell>
          <cell r="AQ261">
            <v>0</v>
          </cell>
          <cell r="AR261">
            <v>0</v>
          </cell>
          <cell r="AT261">
            <v>159.1131641582902</v>
          </cell>
          <cell r="AU261">
            <v>0</v>
          </cell>
          <cell r="AW261">
            <v>0</v>
          </cell>
          <cell r="AX261">
            <v>0</v>
          </cell>
        </row>
        <row r="262">
          <cell r="I262">
            <v>0</v>
          </cell>
          <cell r="J262">
            <v>0</v>
          </cell>
          <cell r="L262">
            <v>1</v>
          </cell>
          <cell r="M262">
            <v>52936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85.837325267111567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1495</v>
          </cell>
          <cell r="AD262">
            <v>0</v>
          </cell>
          <cell r="AE262">
            <v>209.63946651249057</v>
          </cell>
          <cell r="AF262">
            <v>0</v>
          </cell>
          <cell r="AH262">
            <v>294.13871636705994</v>
          </cell>
          <cell r="AI262">
            <v>0</v>
          </cell>
          <cell r="AK262">
            <v>215.11532239040895</v>
          </cell>
          <cell r="AL262">
            <v>0</v>
          </cell>
          <cell r="AN262">
            <v>0</v>
          </cell>
          <cell r="AO262">
            <v>0</v>
          </cell>
          <cell r="AQ262">
            <v>0</v>
          </cell>
          <cell r="AR262">
            <v>0</v>
          </cell>
          <cell r="AT262">
            <v>103.19210586326328</v>
          </cell>
          <cell r="AU262">
            <v>0</v>
          </cell>
          <cell r="AW262">
            <v>0</v>
          </cell>
          <cell r="AX262">
            <v>0</v>
          </cell>
        </row>
        <row r="263">
          <cell r="I263">
            <v>0</v>
          </cell>
          <cell r="J263">
            <v>0</v>
          </cell>
          <cell r="L263">
            <v>1</v>
          </cell>
          <cell r="M263">
            <v>57607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511</v>
          </cell>
          <cell r="AD263">
            <v>160</v>
          </cell>
          <cell r="AE263">
            <v>271.83156836932346</v>
          </cell>
          <cell r="AF263">
            <v>0</v>
          </cell>
          <cell r="AH263">
            <v>389.54356874959132</v>
          </cell>
          <cell r="AI263">
            <v>0</v>
          </cell>
          <cell r="AK263">
            <v>239.64210531342968</v>
          </cell>
          <cell r="AL263">
            <v>0</v>
          </cell>
          <cell r="AN263">
            <v>0</v>
          </cell>
          <cell r="AO263">
            <v>0</v>
          </cell>
          <cell r="AQ263">
            <v>0</v>
          </cell>
          <cell r="AR263">
            <v>0</v>
          </cell>
          <cell r="AT263">
            <v>155.62201221057634</v>
          </cell>
          <cell r="AU263">
            <v>0</v>
          </cell>
          <cell r="AW263">
            <v>0</v>
          </cell>
          <cell r="AX263">
            <v>0</v>
          </cell>
        </row>
        <row r="264"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323.5364997196728</v>
          </cell>
          <cell r="AF264">
            <v>0</v>
          </cell>
          <cell r="AH264">
            <v>445.04417920905604</v>
          </cell>
          <cell r="AI264">
            <v>0</v>
          </cell>
          <cell r="AK264">
            <v>445.86836908779861</v>
          </cell>
          <cell r="AL264">
            <v>0</v>
          </cell>
          <cell r="AN264">
            <v>0</v>
          </cell>
          <cell r="AO264">
            <v>0</v>
          </cell>
          <cell r="AQ264">
            <v>0</v>
          </cell>
          <cell r="AR264">
            <v>0</v>
          </cell>
          <cell r="AT264">
            <v>179.58218534787574</v>
          </cell>
          <cell r="AU264">
            <v>0</v>
          </cell>
          <cell r="AW264">
            <v>0</v>
          </cell>
          <cell r="AX264">
            <v>0</v>
          </cell>
        </row>
        <row r="265"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476.45576264993099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619</v>
          </cell>
          <cell r="AE265">
            <v>346.64143553108937</v>
          </cell>
          <cell r="AF265">
            <v>0</v>
          </cell>
          <cell r="AH265">
            <v>494.96074423196654</v>
          </cell>
          <cell r="AI265">
            <v>0</v>
          </cell>
          <cell r="AK265">
            <v>427.90836804502794</v>
          </cell>
          <cell r="AL265">
            <v>0</v>
          </cell>
          <cell r="AN265">
            <v>0</v>
          </cell>
          <cell r="AO265">
            <v>0</v>
          </cell>
          <cell r="AQ265">
            <v>0</v>
          </cell>
          <cell r="AR265">
            <v>0</v>
          </cell>
          <cell r="AT265">
            <v>229.60894525507237</v>
          </cell>
          <cell r="AU265">
            <v>0</v>
          </cell>
          <cell r="AW265">
            <v>0</v>
          </cell>
          <cell r="AX265">
            <v>0</v>
          </cell>
        </row>
        <row r="266"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166.96317896061075</v>
          </cell>
          <cell r="AF266">
            <v>0</v>
          </cell>
          <cell r="AH266">
            <v>300.29581843807034</v>
          </cell>
          <cell r="AI266">
            <v>0</v>
          </cell>
          <cell r="AK266">
            <v>160.64986160541216</v>
          </cell>
          <cell r="AL266">
            <v>0</v>
          </cell>
          <cell r="AN266">
            <v>0</v>
          </cell>
          <cell r="AO266">
            <v>0</v>
          </cell>
          <cell r="AQ266">
            <v>0</v>
          </cell>
          <cell r="AR266">
            <v>0</v>
          </cell>
          <cell r="AT266">
            <v>80.014774571099423</v>
          </cell>
          <cell r="AU266">
            <v>0</v>
          </cell>
          <cell r="AW266">
            <v>0</v>
          </cell>
          <cell r="AX266">
            <v>0</v>
          </cell>
        </row>
        <row r="267">
          <cell r="I267">
            <v>0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159.03712164227363</v>
          </cell>
          <cell r="AF267">
            <v>0</v>
          </cell>
          <cell r="AH267">
            <v>233.99602939185672</v>
          </cell>
          <cell r="AI267">
            <v>0</v>
          </cell>
          <cell r="AK267">
            <v>172.71582493274184</v>
          </cell>
          <cell r="AL267">
            <v>0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T267">
            <v>54.753204443068483</v>
          </cell>
          <cell r="AU267">
            <v>0</v>
          </cell>
          <cell r="AW267">
            <v>0</v>
          </cell>
          <cell r="AX267">
            <v>0</v>
          </cell>
        </row>
        <row r="268">
          <cell r="I268">
            <v>0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271.32552484176745</v>
          </cell>
          <cell r="AF268">
            <v>0</v>
          </cell>
          <cell r="AH268">
            <v>338.94721104730002</v>
          </cell>
          <cell r="AI268">
            <v>0</v>
          </cell>
          <cell r="AK268">
            <v>299.40237983729122</v>
          </cell>
          <cell r="AL268">
            <v>0</v>
          </cell>
          <cell r="AN268">
            <v>0</v>
          </cell>
          <cell r="AO268">
            <v>0</v>
          </cell>
          <cell r="AQ268">
            <v>0</v>
          </cell>
          <cell r="AR268">
            <v>0</v>
          </cell>
          <cell r="AT268">
            <v>148.43420890847807</v>
          </cell>
          <cell r="AU268">
            <v>0</v>
          </cell>
          <cell r="AW268">
            <v>0</v>
          </cell>
          <cell r="AX268">
            <v>0</v>
          </cell>
        </row>
        <row r="269"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170.22583618592486</v>
          </cell>
          <cell r="AF269">
            <v>0</v>
          </cell>
          <cell r="AH269">
            <v>251.00068743860237</v>
          </cell>
          <cell r="AI269">
            <v>0</v>
          </cell>
          <cell r="AK269">
            <v>220.77882065324417</v>
          </cell>
          <cell r="AL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T269">
            <v>69.900011236879692</v>
          </cell>
          <cell r="AU269">
            <v>0</v>
          </cell>
          <cell r="AW269">
            <v>0</v>
          </cell>
          <cell r="AX269">
            <v>0</v>
          </cell>
        </row>
        <row r="270"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H270">
            <v>0</v>
          </cell>
          <cell r="AI270">
            <v>0</v>
          </cell>
          <cell r="AK270">
            <v>0</v>
          </cell>
          <cell r="AL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T270">
            <v>0</v>
          </cell>
          <cell r="AU270">
            <v>0</v>
          </cell>
          <cell r="AW270">
            <v>0</v>
          </cell>
          <cell r="AX270">
            <v>0</v>
          </cell>
        </row>
        <row r="271">
          <cell r="I271">
            <v>0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H271">
            <v>0</v>
          </cell>
          <cell r="AI271">
            <v>0</v>
          </cell>
          <cell r="AK271">
            <v>0</v>
          </cell>
          <cell r="AL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T271">
            <v>23.058508430931262</v>
          </cell>
          <cell r="AU271">
            <v>0</v>
          </cell>
          <cell r="AW271">
            <v>0</v>
          </cell>
          <cell r="AX271">
            <v>0</v>
          </cell>
        </row>
        <row r="272"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74</v>
          </cell>
          <cell r="P272">
            <v>16256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293.68451802447441</v>
          </cell>
          <cell r="AF272">
            <v>0</v>
          </cell>
          <cell r="AH272">
            <v>428.45713760025609</v>
          </cell>
          <cell r="AI272">
            <v>0</v>
          </cell>
          <cell r="AK272">
            <v>0</v>
          </cell>
          <cell r="AL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T272">
            <v>264.95478811646899</v>
          </cell>
          <cell r="AU272">
            <v>0</v>
          </cell>
          <cell r="AW272">
            <v>0</v>
          </cell>
          <cell r="AX272">
            <v>0</v>
          </cell>
        </row>
        <row r="273"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374</v>
          </cell>
          <cell r="AE273">
            <v>214.40752078805031</v>
          </cell>
          <cell r="AF273">
            <v>0</v>
          </cell>
          <cell r="AH273">
            <v>249.06583069279796</v>
          </cell>
          <cell r="AI273">
            <v>0</v>
          </cell>
          <cell r="AK273">
            <v>226.77710403175575</v>
          </cell>
          <cell r="AL273">
            <v>0</v>
          </cell>
          <cell r="AN273">
            <v>128.6876472295032</v>
          </cell>
          <cell r="AO273">
            <v>0</v>
          </cell>
          <cell r="AQ273">
            <v>44.980177589529568</v>
          </cell>
          <cell r="AR273">
            <v>0</v>
          </cell>
          <cell r="AT273">
            <v>133.23107334635267</v>
          </cell>
          <cell r="AU273">
            <v>0</v>
          </cell>
          <cell r="AW273">
            <v>79.878797055444863</v>
          </cell>
          <cell r="AX273">
            <v>0</v>
          </cell>
        </row>
        <row r="274">
          <cell r="I274">
            <v>18</v>
          </cell>
          <cell r="J274">
            <v>11273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171.52601663044027</v>
          </cell>
          <cell r="AF274">
            <v>0</v>
          </cell>
          <cell r="AH274">
            <v>185.23402568086527</v>
          </cell>
          <cell r="AI274">
            <v>0</v>
          </cell>
          <cell r="AK274">
            <v>229.91088521272141</v>
          </cell>
          <cell r="AL274">
            <v>0</v>
          </cell>
          <cell r="AN274">
            <v>111.16789026792613</v>
          </cell>
          <cell r="AO274">
            <v>0</v>
          </cell>
          <cell r="AQ274">
            <v>56.371262847709524</v>
          </cell>
          <cell r="AR274">
            <v>0</v>
          </cell>
          <cell r="AT274">
            <v>105.1618901772249</v>
          </cell>
          <cell r="AU274">
            <v>0</v>
          </cell>
          <cell r="AW274">
            <v>78.880070559382432</v>
          </cell>
          <cell r="AX274">
            <v>0</v>
          </cell>
        </row>
        <row r="275"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327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196.24790144530206</v>
          </cell>
          <cell r="AF275">
            <v>0</v>
          </cell>
          <cell r="AH275">
            <v>285.79135804273159</v>
          </cell>
          <cell r="AI275">
            <v>6123</v>
          </cell>
          <cell r="AK275">
            <v>174.4002952120108</v>
          </cell>
          <cell r="AL275">
            <v>0</v>
          </cell>
          <cell r="AN275">
            <v>106.53832154271349</v>
          </cell>
          <cell r="AO275">
            <v>0</v>
          </cell>
          <cell r="AQ275">
            <v>35.974450255696418</v>
          </cell>
          <cell r="AR275">
            <v>0</v>
          </cell>
          <cell r="AT275">
            <v>92.185307259032186</v>
          </cell>
          <cell r="AU275">
            <v>0</v>
          </cell>
          <cell r="AW275">
            <v>31.907610498203873</v>
          </cell>
          <cell r="AX275">
            <v>0</v>
          </cell>
        </row>
        <row r="276"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91.799711134666694</v>
          </cell>
          <cell r="AF276">
            <v>0</v>
          </cell>
          <cell r="AH276">
            <v>93.161411686942571</v>
          </cell>
          <cell r="AI276">
            <v>0</v>
          </cell>
          <cell r="AK276">
            <v>67.913456968774284</v>
          </cell>
          <cell r="AL276">
            <v>0</v>
          </cell>
          <cell r="AN276">
            <v>0</v>
          </cell>
          <cell r="AO276">
            <v>0</v>
          </cell>
          <cell r="AQ276">
            <v>0</v>
          </cell>
          <cell r="AR276">
            <v>0</v>
          </cell>
          <cell r="AT276">
            <v>44.518397153018292</v>
          </cell>
          <cell r="AU276">
            <v>0</v>
          </cell>
          <cell r="AW276">
            <v>15.287047639181583</v>
          </cell>
          <cell r="AX276">
            <v>0</v>
          </cell>
        </row>
        <row r="277"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H277">
            <v>0</v>
          </cell>
          <cell r="AI277">
            <v>0</v>
          </cell>
          <cell r="AK277">
            <v>0</v>
          </cell>
          <cell r="AL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</row>
        <row r="278"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W278">
            <v>10</v>
          </cell>
          <cell r="X278">
            <v>1112.3410934875483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429</v>
          </cell>
          <cell r="AD278">
            <v>1314</v>
          </cell>
          <cell r="AE278">
            <v>206.76395489082276</v>
          </cell>
          <cell r="AF278">
            <v>0</v>
          </cell>
          <cell r="AH278">
            <v>249.72595634349193</v>
          </cell>
          <cell r="AI278">
            <v>0</v>
          </cell>
          <cell r="AK278">
            <v>312.35655427083907</v>
          </cell>
          <cell r="AL278">
            <v>0</v>
          </cell>
          <cell r="AN278">
            <v>115.73902546114914</v>
          </cell>
          <cell r="AO278">
            <v>0</v>
          </cell>
          <cell r="AQ278">
            <v>65.961235315382794</v>
          </cell>
          <cell r="AR278">
            <v>0</v>
          </cell>
          <cell r="AT278">
            <v>127.2900014790072</v>
          </cell>
          <cell r="AU278">
            <v>0</v>
          </cell>
          <cell r="AW278">
            <v>102.33357069191999</v>
          </cell>
          <cell r="AX278">
            <v>0</v>
          </cell>
        </row>
        <row r="279"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H279">
            <v>0</v>
          </cell>
          <cell r="AI279">
            <v>0</v>
          </cell>
          <cell r="AK279">
            <v>0</v>
          </cell>
          <cell r="AL279">
            <v>0</v>
          </cell>
          <cell r="AN279">
            <v>0</v>
          </cell>
          <cell r="AO279">
            <v>0</v>
          </cell>
          <cell r="AQ279">
            <v>0</v>
          </cell>
          <cell r="AR279">
            <v>0</v>
          </cell>
          <cell r="AT279">
            <v>0</v>
          </cell>
          <cell r="AU279">
            <v>0</v>
          </cell>
          <cell r="AW279">
            <v>0</v>
          </cell>
          <cell r="AX279">
            <v>0</v>
          </cell>
        </row>
        <row r="280"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36.308589429809629</v>
          </cell>
          <cell r="AF280">
            <v>0</v>
          </cell>
          <cell r="AH280">
            <v>48.925973641158578</v>
          </cell>
          <cell r="AI280">
            <v>0</v>
          </cell>
          <cell r="AK280">
            <v>25.314242800838446</v>
          </cell>
          <cell r="AL280">
            <v>0</v>
          </cell>
          <cell r="AN280">
            <v>0</v>
          </cell>
          <cell r="AO280">
            <v>0</v>
          </cell>
          <cell r="AQ280">
            <v>0</v>
          </cell>
          <cell r="AR280">
            <v>0</v>
          </cell>
          <cell r="AT280">
            <v>9.8614252960765771</v>
          </cell>
          <cell r="AU280">
            <v>0</v>
          </cell>
          <cell r="AW280">
            <v>0</v>
          </cell>
          <cell r="AX280">
            <v>0</v>
          </cell>
        </row>
        <row r="281"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H281">
            <v>0</v>
          </cell>
          <cell r="AI281">
            <v>0</v>
          </cell>
          <cell r="AK281">
            <v>0</v>
          </cell>
          <cell r="AL281">
            <v>0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T281">
            <v>0</v>
          </cell>
          <cell r="AU281">
            <v>0</v>
          </cell>
          <cell r="AW281">
            <v>0</v>
          </cell>
          <cell r="AX281">
            <v>0</v>
          </cell>
        </row>
        <row r="282"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126.78159136424794</v>
          </cell>
          <cell r="AF282">
            <v>0</v>
          </cell>
          <cell r="AH282">
            <v>151.47835609515252</v>
          </cell>
          <cell r="AI282">
            <v>0</v>
          </cell>
          <cell r="AK282">
            <v>158.77057002037245</v>
          </cell>
          <cell r="AL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0</v>
          </cell>
          <cell r="AT282">
            <v>59.149004912770224</v>
          </cell>
          <cell r="AU282">
            <v>0</v>
          </cell>
          <cell r="AW282">
            <v>0</v>
          </cell>
          <cell r="AX282">
            <v>0</v>
          </cell>
        </row>
        <row r="283"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375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943</v>
          </cell>
          <cell r="AD283">
            <v>0</v>
          </cell>
          <cell r="AE283">
            <v>354.5053752788794</v>
          </cell>
          <cell r="AF283">
            <v>0</v>
          </cell>
          <cell r="AH283">
            <v>493.73511237688888</v>
          </cell>
          <cell r="AI283">
            <v>0</v>
          </cell>
          <cell r="AK283">
            <v>599.00354063093062</v>
          </cell>
          <cell r="AL283">
            <v>0</v>
          </cell>
          <cell r="AN283">
            <v>202.16392511926523</v>
          </cell>
          <cell r="AO283">
            <v>0</v>
          </cell>
          <cell r="AQ283">
            <v>105.68402349220877</v>
          </cell>
          <cell r="AR283">
            <v>0</v>
          </cell>
          <cell r="AT283">
            <v>136.87374713977206</v>
          </cell>
          <cell r="AU283">
            <v>0</v>
          </cell>
          <cell r="AW283">
            <v>0</v>
          </cell>
          <cell r="AX283">
            <v>0</v>
          </cell>
        </row>
        <row r="284"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1224</v>
          </cell>
          <cell r="AD284">
            <v>0</v>
          </cell>
          <cell r="AE284">
            <v>180.28000083455336</v>
          </cell>
          <cell r="AF284">
            <v>0</v>
          </cell>
          <cell r="AH284">
            <v>303.15280889421359</v>
          </cell>
          <cell r="AI284">
            <v>2561</v>
          </cell>
          <cell r="AK284">
            <v>375.12738273257935</v>
          </cell>
          <cell r="AL284">
            <v>0</v>
          </cell>
          <cell r="AN284">
            <v>148.4035862329026</v>
          </cell>
          <cell r="AO284">
            <v>0</v>
          </cell>
          <cell r="AQ284">
            <v>65.961235315382794</v>
          </cell>
          <cell r="AR284">
            <v>0</v>
          </cell>
          <cell r="AT284">
            <v>71.693988049612315</v>
          </cell>
          <cell r="AU284">
            <v>0</v>
          </cell>
          <cell r="AW284">
            <v>0</v>
          </cell>
          <cell r="AX284">
            <v>0</v>
          </cell>
        </row>
        <row r="285"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191.98904251927169</v>
          </cell>
          <cell r="AF285">
            <v>0</v>
          </cell>
          <cell r="AH285">
            <v>271.65683061933453</v>
          </cell>
          <cell r="AI285">
            <v>0</v>
          </cell>
          <cell r="AK285">
            <v>267.77851529053544</v>
          </cell>
          <cell r="AL285">
            <v>0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T285">
            <v>79.191999924649934</v>
          </cell>
          <cell r="AU285">
            <v>0</v>
          </cell>
          <cell r="AW285">
            <v>0</v>
          </cell>
          <cell r="AX285">
            <v>0</v>
          </cell>
        </row>
        <row r="286"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456.80205837427036</v>
          </cell>
          <cell r="AF286">
            <v>0</v>
          </cell>
          <cell r="AH286">
            <v>729.89882423528786</v>
          </cell>
          <cell r="AI286">
            <v>0</v>
          </cell>
          <cell r="AK286">
            <v>431.56064698254022</v>
          </cell>
          <cell r="AL286">
            <v>0</v>
          </cell>
          <cell r="AN286">
            <v>0</v>
          </cell>
          <cell r="AO286">
            <v>0</v>
          </cell>
          <cell r="AQ286">
            <v>218.86472282667671</v>
          </cell>
          <cell r="AR286">
            <v>0</v>
          </cell>
          <cell r="AT286">
            <v>332.1874362013159</v>
          </cell>
          <cell r="AU286">
            <v>0</v>
          </cell>
          <cell r="AW286">
            <v>0</v>
          </cell>
          <cell r="AX286">
            <v>0</v>
          </cell>
        </row>
        <row r="287"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353</v>
          </cell>
          <cell r="AE287">
            <v>124.57062080146615</v>
          </cell>
          <cell r="AF287">
            <v>0</v>
          </cell>
          <cell r="AH287">
            <v>153.61481567386699</v>
          </cell>
          <cell r="AI287">
            <v>0</v>
          </cell>
          <cell r="AK287">
            <v>172.42294749368233</v>
          </cell>
          <cell r="AL287">
            <v>0</v>
          </cell>
          <cell r="AN287">
            <v>0</v>
          </cell>
          <cell r="AO287">
            <v>0</v>
          </cell>
          <cell r="AQ287">
            <v>0</v>
          </cell>
          <cell r="AR287">
            <v>0</v>
          </cell>
          <cell r="AT287">
            <v>60.056140153587386</v>
          </cell>
          <cell r="AU287">
            <v>0</v>
          </cell>
          <cell r="AW287">
            <v>0</v>
          </cell>
          <cell r="AX287">
            <v>0</v>
          </cell>
        </row>
        <row r="288"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352.41090946061513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390.20101697689392</v>
          </cell>
          <cell r="AF288">
            <v>0</v>
          </cell>
          <cell r="AH288">
            <v>612.42978423362774</v>
          </cell>
          <cell r="AI288">
            <v>0</v>
          </cell>
          <cell r="AK288">
            <v>498.54465057686645</v>
          </cell>
          <cell r="AL288">
            <v>0</v>
          </cell>
          <cell r="AN288">
            <v>0</v>
          </cell>
          <cell r="AO288">
            <v>0</v>
          </cell>
          <cell r="AQ288">
            <v>0</v>
          </cell>
          <cell r="AR288">
            <v>0</v>
          </cell>
          <cell r="AT288">
            <v>242.89648827755306</v>
          </cell>
          <cell r="AU288">
            <v>373</v>
          </cell>
          <cell r="AW288">
            <v>0</v>
          </cell>
          <cell r="AX288">
            <v>0</v>
          </cell>
        </row>
        <row r="289">
          <cell r="I289">
            <v>0</v>
          </cell>
          <cell r="J289">
            <v>0</v>
          </cell>
          <cell r="L289">
            <v>1</v>
          </cell>
          <cell r="M289">
            <v>57187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1477</v>
          </cell>
          <cell r="AE289">
            <v>317.84533244161025</v>
          </cell>
          <cell r="AF289">
            <v>0</v>
          </cell>
          <cell r="AH289">
            <v>490.42556714245251</v>
          </cell>
          <cell r="AI289">
            <v>0</v>
          </cell>
          <cell r="AK289">
            <v>435.35818498390751</v>
          </cell>
          <cell r="AL289">
            <v>0</v>
          </cell>
          <cell r="AN289">
            <v>0</v>
          </cell>
          <cell r="AO289">
            <v>0</v>
          </cell>
          <cell r="AQ289">
            <v>0</v>
          </cell>
          <cell r="AR289">
            <v>0</v>
          </cell>
          <cell r="AT289">
            <v>174.41860241614506</v>
          </cell>
          <cell r="AU289">
            <v>1255</v>
          </cell>
          <cell r="AW289">
            <v>0</v>
          </cell>
          <cell r="AX289">
            <v>0</v>
          </cell>
        </row>
        <row r="290"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137.88486578757917</v>
          </cell>
          <cell r="AF290">
            <v>0</v>
          </cell>
          <cell r="AH290">
            <v>191.12025839548414</v>
          </cell>
          <cell r="AI290">
            <v>0</v>
          </cell>
          <cell r="AK290">
            <v>164.78563296374301</v>
          </cell>
          <cell r="AL290">
            <v>0</v>
          </cell>
          <cell r="AN290">
            <v>0</v>
          </cell>
          <cell r="AO290">
            <v>0</v>
          </cell>
          <cell r="AQ290">
            <v>0</v>
          </cell>
          <cell r="AR290">
            <v>0</v>
          </cell>
          <cell r="AT290">
            <v>56.288526279835082</v>
          </cell>
          <cell r="AU290">
            <v>0</v>
          </cell>
          <cell r="AW290">
            <v>0</v>
          </cell>
          <cell r="AX290">
            <v>0</v>
          </cell>
        </row>
        <row r="291"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12</v>
          </cell>
          <cell r="X291">
            <v>4373.034342977021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315.60276808607239</v>
          </cell>
          <cell r="AF291">
            <v>0</v>
          </cell>
          <cell r="AH291">
            <v>493.55253641226898</v>
          </cell>
          <cell r="AI291">
            <v>0</v>
          </cell>
          <cell r="AK291">
            <v>328.5099679824072</v>
          </cell>
          <cell r="AL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T291">
            <v>230.25583944896033</v>
          </cell>
          <cell r="AU291">
            <v>0</v>
          </cell>
          <cell r="AW291">
            <v>0</v>
          </cell>
          <cell r="AX291">
            <v>0</v>
          </cell>
        </row>
        <row r="292"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707</v>
          </cell>
          <cell r="AE292">
            <v>248.84834163653545</v>
          </cell>
          <cell r="AF292">
            <v>0</v>
          </cell>
          <cell r="AH292">
            <v>367.47921774916153</v>
          </cell>
          <cell r="AI292">
            <v>0</v>
          </cell>
          <cell r="AK292">
            <v>237.8926264600704</v>
          </cell>
          <cell r="AL292">
            <v>0</v>
          </cell>
          <cell r="AN292">
            <v>0</v>
          </cell>
          <cell r="AO292">
            <v>0</v>
          </cell>
          <cell r="AQ292">
            <v>0</v>
          </cell>
          <cell r="AR292">
            <v>0</v>
          </cell>
          <cell r="AT292">
            <v>169.9247496489308</v>
          </cell>
          <cell r="AU292">
            <v>0</v>
          </cell>
          <cell r="AW292">
            <v>0</v>
          </cell>
          <cell r="AX292">
            <v>0</v>
          </cell>
        </row>
        <row r="293"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62.42080348743935</v>
          </cell>
          <cell r="AF293">
            <v>0</v>
          </cell>
          <cell r="AH293">
            <v>71.825475826829646</v>
          </cell>
          <cell r="AI293">
            <v>0</v>
          </cell>
          <cell r="AK293">
            <v>0</v>
          </cell>
          <cell r="AL293">
            <v>0</v>
          </cell>
          <cell r="AN293">
            <v>0</v>
          </cell>
          <cell r="AO293">
            <v>0</v>
          </cell>
          <cell r="AQ293">
            <v>0</v>
          </cell>
          <cell r="AR293">
            <v>0</v>
          </cell>
          <cell r="AT293">
            <v>9.8614351170038965</v>
          </cell>
          <cell r="AU293">
            <v>0</v>
          </cell>
          <cell r="AW293">
            <v>0</v>
          </cell>
          <cell r="AX293">
            <v>0</v>
          </cell>
        </row>
        <row r="294"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169.7904243905044</v>
          </cell>
          <cell r="AF294">
            <v>0</v>
          </cell>
          <cell r="AH294">
            <v>250.58315269130659</v>
          </cell>
          <cell r="AI294">
            <v>0</v>
          </cell>
          <cell r="AK294">
            <v>248.87608838806503</v>
          </cell>
          <cell r="AL294">
            <v>0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T294">
            <v>69.694336541971353</v>
          </cell>
          <cell r="AU294">
            <v>0</v>
          </cell>
          <cell r="AW294">
            <v>0</v>
          </cell>
          <cell r="AX294">
            <v>0</v>
          </cell>
        </row>
        <row r="295">
          <cell r="I295">
            <v>0</v>
          </cell>
          <cell r="J295">
            <v>0</v>
          </cell>
          <cell r="L295">
            <v>0</v>
          </cell>
          <cell r="M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390.20101697689392</v>
          </cell>
          <cell r="AF295">
            <v>0</v>
          </cell>
          <cell r="AH295">
            <v>613.10965860365957</v>
          </cell>
          <cell r="AI295">
            <v>0</v>
          </cell>
          <cell r="AK295">
            <v>465.95764131857197</v>
          </cell>
          <cell r="AL295">
            <v>0</v>
          </cell>
          <cell r="AN295">
            <v>0</v>
          </cell>
          <cell r="AO295">
            <v>0</v>
          </cell>
          <cell r="AQ295">
            <v>0</v>
          </cell>
          <cell r="AR295">
            <v>541</v>
          </cell>
          <cell r="AT295">
            <v>242.89646399461824</v>
          </cell>
          <cell r="AU295">
            <v>0</v>
          </cell>
          <cell r="AW295">
            <v>0</v>
          </cell>
          <cell r="AX295">
            <v>0</v>
          </cell>
        </row>
        <row r="296">
          <cell r="I296">
            <v>0</v>
          </cell>
          <cell r="J296">
            <v>0</v>
          </cell>
          <cell r="L296">
            <v>0</v>
          </cell>
          <cell r="M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234.32748203760042</v>
          </cell>
          <cell r="AF296">
            <v>0</v>
          </cell>
          <cell r="AH296">
            <v>330.23603295962948</v>
          </cell>
          <cell r="AI296">
            <v>1724</v>
          </cell>
          <cell r="AK296">
            <v>294.64577629970915</v>
          </cell>
          <cell r="AL296">
            <v>0</v>
          </cell>
          <cell r="AN296">
            <v>0</v>
          </cell>
          <cell r="AO296">
            <v>0</v>
          </cell>
          <cell r="AQ296">
            <v>0</v>
          </cell>
          <cell r="AR296">
            <v>0</v>
          </cell>
          <cell r="AT296">
            <v>110.74602375906008</v>
          </cell>
          <cell r="AU296">
            <v>0</v>
          </cell>
          <cell r="AW296">
            <v>0</v>
          </cell>
          <cell r="AX296">
            <v>0</v>
          </cell>
        </row>
        <row r="297">
          <cell r="I297">
            <v>0</v>
          </cell>
          <cell r="J297">
            <v>0</v>
          </cell>
          <cell r="L297">
            <v>0</v>
          </cell>
          <cell r="M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57.209855968468794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268.60745020669066</v>
          </cell>
          <cell r="AF297">
            <v>0</v>
          </cell>
          <cell r="AH297">
            <v>424.54339453418447</v>
          </cell>
          <cell r="AI297">
            <v>0</v>
          </cell>
          <cell r="AK297">
            <v>279.86139543396388</v>
          </cell>
          <cell r="AL297">
            <v>0</v>
          </cell>
          <cell r="AN297">
            <v>0</v>
          </cell>
          <cell r="AO297">
            <v>0</v>
          </cell>
          <cell r="AQ297">
            <v>0</v>
          </cell>
          <cell r="AR297">
            <v>0</v>
          </cell>
          <cell r="AT297">
            <v>152.85067587953245</v>
          </cell>
          <cell r="AU297">
            <v>0</v>
          </cell>
          <cell r="AW297">
            <v>0</v>
          </cell>
          <cell r="AX297">
            <v>0</v>
          </cell>
        </row>
        <row r="298">
          <cell r="I298">
            <v>0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78.894600429330495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244.26238760946541</v>
          </cell>
          <cell r="AF298">
            <v>0</v>
          </cell>
          <cell r="AH298">
            <v>332.47939196456838</v>
          </cell>
          <cell r="AI298">
            <v>0</v>
          </cell>
          <cell r="AK298">
            <v>328.85794079324251</v>
          </cell>
          <cell r="AL298">
            <v>0</v>
          </cell>
          <cell r="AN298">
            <v>0</v>
          </cell>
          <cell r="AO298">
            <v>0</v>
          </cell>
          <cell r="AQ298">
            <v>0</v>
          </cell>
          <cell r="AR298">
            <v>0</v>
          </cell>
          <cell r="AT298">
            <v>117.73258216618191</v>
          </cell>
          <cell r="AU298">
            <v>0</v>
          </cell>
          <cell r="AW298">
            <v>0</v>
          </cell>
          <cell r="AX298">
            <v>0</v>
          </cell>
        </row>
        <row r="299"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227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79</v>
          </cell>
          <cell r="AE299">
            <v>179.91919703832136</v>
          </cell>
          <cell r="AF299">
            <v>0</v>
          </cell>
          <cell r="AH299">
            <v>249.85481924163975</v>
          </cell>
          <cell r="AI299">
            <v>0</v>
          </cell>
          <cell r="AK299">
            <v>320.43261331890704</v>
          </cell>
          <cell r="AL299">
            <v>0</v>
          </cell>
          <cell r="AN299">
            <v>0</v>
          </cell>
          <cell r="AO299">
            <v>0</v>
          </cell>
          <cell r="AQ299">
            <v>0</v>
          </cell>
          <cell r="AR299">
            <v>0</v>
          </cell>
          <cell r="AT299">
            <v>115.28343760292933</v>
          </cell>
          <cell r="AU299">
            <v>0</v>
          </cell>
          <cell r="AW299">
            <v>0</v>
          </cell>
          <cell r="AX299">
            <v>0</v>
          </cell>
        </row>
        <row r="300"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244.26238760946541</v>
          </cell>
          <cell r="AF300">
            <v>476</v>
          </cell>
          <cell r="AH300">
            <v>332.47939196456838</v>
          </cell>
          <cell r="AI300">
            <v>0</v>
          </cell>
          <cell r="AK300">
            <v>328.55404111072403</v>
          </cell>
          <cell r="AL300">
            <v>0</v>
          </cell>
          <cell r="AN300">
            <v>0</v>
          </cell>
          <cell r="AO300">
            <v>0</v>
          </cell>
          <cell r="AQ300">
            <v>0</v>
          </cell>
          <cell r="AR300">
            <v>0</v>
          </cell>
          <cell r="AT300">
            <v>117.7325992495455</v>
          </cell>
          <cell r="AU300">
            <v>0</v>
          </cell>
          <cell r="AW300">
            <v>0</v>
          </cell>
          <cell r="AX300">
            <v>0</v>
          </cell>
        </row>
        <row r="301">
          <cell r="I301">
            <v>0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61.456808197748892</v>
          </cell>
          <cell r="AF301">
            <v>0</v>
          </cell>
          <cell r="AH301">
            <v>73.340501382101692</v>
          </cell>
          <cell r="AI301">
            <v>0</v>
          </cell>
          <cell r="AK301">
            <v>0</v>
          </cell>
          <cell r="AL301">
            <v>0</v>
          </cell>
          <cell r="AN301">
            <v>0</v>
          </cell>
          <cell r="AO301">
            <v>0</v>
          </cell>
          <cell r="AQ301">
            <v>0</v>
          </cell>
          <cell r="AR301">
            <v>0</v>
          </cell>
          <cell r="AT301">
            <v>23.056621496874509</v>
          </cell>
          <cell r="AU301">
            <v>0</v>
          </cell>
          <cell r="AW301">
            <v>0</v>
          </cell>
          <cell r="AX301">
            <v>0</v>
          </cell>
        </row>
        <row r="302">
          <cell r="I302">
            <v>0</v>
          </cell>
          <cell r="J302">
            <v>0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35.502570193198721</v>
          </cell>
          <cell r="Y302">
            <v>3087</v>
          </cell>
          <cell r="Z302">
            <v>0</v>
          </cell>
          <cell r="AA302">
            <v>0</v>
          </cell>
          <cell r="AB302">
            <v>0</v>
          </cell>
          <cell r="AC302">
            <v>787</v>
          </cell>
          <cell r="AD302">
            <v>358</v>
          </cell>
          <cell r="AE302">
            <v>288.77331075072891</v>
          </cell>
          <cell r="AF302">
            <v>8617</v>
          </cell>
          <cell r="AH302">
            <v>472.58567621981564</v>
          </cell>
          <cell r="AI302">
            <v>0</v>
          </cell>
          <cell r="AK302">
            <v>315.4105094807349</v>
          </cell>
          <cell r="AL302">
            <v>0</v>
          </cell>
          <cell r="AN302">
            <v>0</v>
          </cell>
          <cell r="AO302">
            <v>0</v>
          </cell>
          <cell r="AQ302">
            <v>0</v>
          </cell>
          <cell r="AR302">
            <v>0</v>
          </cell>
          <cell r="AT302">
            <v>156.35955570117008</v>
          </cell>
          <cell r="AU302">
            <v>0</v>
          </cell>
          <cell r="AW302">
            <v>0</v>
          </cell>
          <cell r="AX302">
            <v>0</v>
          </cell>
        </row>
        <row r="303"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11.834190064399573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354</v>
          </cell>
          <cell r="AE303">
            <v>251.19340059985063</v>
          </cell>
          <cell r="AF303">
            <v>0</v>
          </cell>
          <cell r="AH303">
            <v>322.9330626916564</v>
          </cell>
          <cell r="AI303">
            <v>0</v>
          </cell>
          <cell r="AK303">
            <v>309.58538086016767</v>
          </cell>
          <cell r="AL303">
            <v>0</v>
          </cell>
          <cell r="AN303">
            <v>143.16730422382903</v>
          </cell>
          <cell r="AO303">
            <v>0</v>
          </cell>
          <cell r="AQ303">
            <v>0</v>
          </cell>
          <cell r="AR303">
            <v>0</v>
          </cell>
          <cell r="AT303">
            <v>133.71803528478662</v>
          </cell>
          <cell r="AU303">
            <v>127</v>
          </cell>
          <cell r="AW303">
            <v>0</v>
          </cell>
          <cell r="AX303">
            <v>0</v>
          </cell>
        </row>
        <row r="304"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51.281490279064812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255.6979541345664</v>
          </cell>
          <cell r="AF304">
            <v>0</v>
          </cell>
          <cell r="AH304">
            <v>324.18583031484343</v>
          </cell>
          <cell r="AI304">
            <v>0</v>
          </cell>
          <cell r="AK304">
            <v>286.47761685119247</v>
          </cell>
          <cell r="AL304">
            <v>0</v>
          </cell>
          <cell r="AN304">
            <v>0</v>
          </cell>
          <cell r="AO304">
            <v>0</v>
          </cell>
          <cell r="AQ304">
            <v>0</v>
          </cell>
          <cell r="AR304">
            <v>0</v>
          </cell>
          <cell r="AT304">
            <v>134.07877525191492</v>
          </cell>
          <cell r="AU304">
            <v>0</v>
          </cell>
          <cell r="AW304">
            <v>0</v>
          </cell>
          <cell r="AX304">
            <v>0</v>
          </cell>
        </row>
        <row r="305"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101.70641061061119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442</v>
          </cell>
          <cell r="AE305">
            <v>510.18365466681013</v>
          </cell>
          <cell r="AF305">
            <v>0</v>
          </cell>
          <cell r="AH305">
            <v>794.68358772623048</v>
          </cell>
          <cell r="AI305">
            <v>0</v>
          </cell>
          <cell r="AK305">
            <v>490.33909690043743</v>
          </cell>
          <cell r="AL305">
            <v>0</v>
          </cell>
          <cell r="AN305">
            <v>0</v>
          </cell>
          <cell r="AO305">
            <v>0</v>
          </cell>
          <cell r="AQ305">
            <v>0</v>
          </cell>
          <cell r="AR305">
            <v>0</v>
          </cell>
          <cell r="AT305">
            <v>503.79300843766771</v>
          </cell>
          <cell r="AU305">
            <v>0</v>
          </cell>
          <cell r="AW305">
            <v>0</v>
          </cell>
          <cell r="AX305">
            <v>0</v>
          </cell>
        </row>
        <row r="306"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H306">
            <v>0</v>
          </cell>
          <cell r="AI306">
            <v>0</v>
          </cell>
          <cell r="AK306">
            <v>0</v>
          </cell>
          <cell r="AL306">
            <v>0</v>
          </cell>
          <cell r="AN306">
            <v>0</v>
          </cell>
          <cell r="AO306">
            <v>0</v>
          </cell>
          <cell r="AQ306">
            <v>0</v>
          </cell>
          <cell r="AR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</row>
        <row r="307">
          <cell r="I307">
            <v>0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H307">
            <v>0</v>
          </cell>
          <cell r="AI307">
            <v>0</v>
          </cell>
          <cell r="AK307">
            <v>0</v>
          </cell>
          <cell r="AL307">
            <v>0</v>
          </cell>
          <cell r="AN307">
            <v>0</v>
          </cell>
          <cell r="AO307">
            <v>0</v>
          </cell>
          <cell r="AQ307">
            <v>0</v>
          </cell>
          <cell r="AR307">
            <v>0</v>
          </cell>
          <cell r="AT307">
            <v>0</v>
          </cell>
          <cell r="AU307">
            <v>0</v>
          </cell>
          <cell r="AW307">
            <v>0</v>
          </cell>
          <cell r="AX307">
            <v>0</v>
          </cell>
        </row>
        <row r="308"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H308">
            <v>0</v>
          </cell>
          <cell r="AI308">
            <v>0</v>
          </cell>
          <cell r="AK308">
            <v>0</v>
          </cell>
          <cell r="AL308">
            <v>0</v>
          </cell>
          <cell r="AN308">
            <v>0</v>
          </cell>
          <cell r="AO308">
            <v>0</v>
          </cell>
          <cell r="AQ308">
            <v>0</v>
          </cell>
          <cell r="AR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</row>
        <row r="309"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H309">
            <v>0</v>
          </cell>
          <cell r="AI309">
            <v>0</v>
          </cell>
          <cell r="AK309">
            <v>0</v>
          </cell>
          <cell r="AL309">
            <v>0</v>
          </cell>
          <cell r="AN309">
            <v>0</v>
          </cell>
          <cell r="AO309">
            <v>0</v>
          </cell>
          <cell r="AQ309">
            <v>0</v>
          </cell>
          <cell r="AR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</row>
        <row r="310"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-8511.57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34.501372213371873</v>
          </cell>
          <cell r="AF310">
            <v>0</v>
          </cell>
          <cell r="AH310">
            <v>35.106725210817658</v>
          </cell>
          <cell r="AI310">
            <v>0</v>
          </cell>
          <cell r="AK310">
            <v>11.463616105968482</v>
          </cell>
          <cell r="AL310">
            <v>0</v>
          </cell>
          <cell r="AN310">
            <v>17.956827810507491</v>
          </cell>
          <cell r="AO310">
            <v>0</v>
          </cell>
          <cell r="AQ310">
            <v>0</v>
          </cell>
          <cell r="AR310">
            <v>0</v>
          </cell>
          <cell r="AT310">
            <v>9.8614204561619534</v>
          </cell>
          <cell r="AU310">
            <v>0</v>
          </cell>
          <cell r="AW310">
            <v>0</v>
          </cell>
          <cell r="AX310">
            <v>0</v>
          </cell>
        </row>
        <row r="311"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407</v>
          </cell>
          <cell r="AE311">
            <v>362.19421393906958</v>
          </cell>
          <cell r="AF311">
            <v>0</v>
          </cell>
          <cell r="AH311">
            <v>524.59024174180445</v>
          </cell>
          <cell r="AI311">
            <v>0</v>
          </cell>
          <cell r="AK311">
            <v>380.4641738473648</v>
          </cell>
          <cell r="AL311">
            <v>0</v>
          </cell>
          <cell r="AN311">
            <v>0</v>
          </cell>
          <cell r="AO311">
            <v>0</v>
          </cell>
          <cell r="AQ311">
            <v>0</v>
          </cell>
          <cell r="AR311">
            <v>0</v>
          </cell>
          <cell r="AT311">
            <v>267.01036497539843</v>
          </cell>
          <cell r="AU311">
            <v>0</v>
          </cell>
          <cell r="AW311">
            <v>0</v>
          </cell>
          <cell r="AX311">
            <v>0</v>
          </cell>
        </row>
        <row r="312"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242.96787395953822</v>
          </cell>
          <cell r="AF312">
            <v>0</v>
          </cell>
          <cell r="AH312">
            <v>401.48853384265288</v>
          </cell>
          <cell r="AI312">
            <v>0</v>
          </cell>
          <cell r="AK312">
            <v>162.10302398842919</v>
          </cell>
          <cell r="AL312">
            <v>0</v>
          </cell>
          <cell r="AN312">
            <v>72.616538247391418</v>
          </cell>
          <cell r="AO312">
            <v>0</v>
          </cell>
          <cell r="AQ312">
            <v>0</v>
          </cell>
          <cell r="AR312">
            <v>0</v>
          </cell>
          <cell r="AT312">
            <v>56.996604701232371</v>
          </cell>
          <cell r="AU312">
            <v>0</v>
          </cell>
          <cell r="AW312">
            <v>0</v>
          </cell>
          <cell r="AX312">
            <v>0</v>
          </cell>
        </row>
        <row r="313"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101.70641061061119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1723</v>
          </cell>
          <cell r="AD313">
            <v>0</v>
          </cell>
          <cell r="AE313">
            <v>429.92685568395893</v>
          </cell>
          <cell r="AF313">
            <v>916</v>
          </cell>
          <cell r="AH313">
            <v>615.50829442380814</v>
          </cell>
          <cell r="AI313">
            <v>0</v>
          </cell>
          <cell r="AK313">
            <v>420.47370380186715</v>
          </cell>
          <cell r="AL313">
            <v>884</v>
          </cell>
          <cell r="AN313">
            <v>0</v>
          </cell>
          <cell r="AO313">
            <v>0</v>
          </cell>
          <cell r="AQ313">
            <v>0</v>
          </cell>
          <cell r="AR313">
            <v>0</v>
          </cell>
          <cell r="AT313">
            <v>0</v>
          </cell>
          <cell r="AU313">
            <v>0</v>
          </cell>
          <cell r="AW313">
            <v>0</v>
          </cell>
          <cell r="AX313">
            <v>0</v>
          </cell>
        </row>
        <row r="314"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59.170950321997864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333.66454642231821</v>
          </cell>
          <cell r="AF314">
            <v>0</v>
          </cell>
          <cell r="AH314">
            <v>493.65943583849338</v>
          </cell>
          <cell r="AI314">
            <v>0</v>
          </cell>
          <cell r="AK314">
            <v>405.93418033429435</v>
          </cell>
          <cell r="AL314">
            <v>630</v>
          </cell>
          <cell r="AN314">
            <v>199.58031090607005</v>
          </cell>
          <cell r="AO314">
            <v>0</v>
          </cell>
          <cell r="AQ314">
            <v>0</v>
          </cell>
          <cell r="AR314">
            <v>3172</v>
          </cell>
          <cell r="AT314">
            <v>240.41378397964613</v>
          </cell>
          <cell r="AU314">
            <v>0</v>
          </cell>
          <cell r="AW314">
            <v>0</v>
          </cell>
          <cell r="AX314">
            <v>0</v>
          </cell>
        </row>
        <row r="315">
          <cell r="I315">
            <v>0</v>
          </cell>
          <cell r="J315">
            <v>1029</v>
          </cell>
          <cell r="L315">
            <v>0</v>
          </cell>
          <cell r="M315">
            <v>0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45.375665904069216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309.40264000821674</v>
          </cell>
          <cell r="AF315">
            <v>0</v>
          </cell>
          <cell r="AH315">
            <v>429.03011254406238</v>
          </cell>
          <cell r="AI315">
            <v>0</v>
          </cell>
          <cell r="AK315">
            <v>540.19704455889519</v>
          </cell>
          <cell r="AL315">
            <v>0</v>
          </cell>
          <cell r="AN315">
            <v>0</v>
          </cell>
          <cell r="AO315">
            <v>0</v>
          </cell>
          <cell r="AQ315">
            <v>0</v>
          </cell>
          <cell r="AR315">
            <v>0</v>
          </cell>
          <cell r="AT315">
            <v>317.0796259884653</v>
          </cell>
          <cell r="AU315">
            <v>0</v>
          </cell>
          <cell r="AW315">
            <v>0</v>
          </cell>
          <cell r="AX315">
            <v>0</v>
          </cell>
        </row>
        <row r="316"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767.84224561021233</v>
          </cell>
          <cell r="AF316">
            <v>0</v>
          </cell>
          <cell r="AH316">
            <v>1229.3462864771334</v>
          </cell>
          <cell r="AI316">
            <v>0</v>
          </cell>
          <cell r="AK316">
            <v>1074.4919495575432</v>
          </cell>
          <cell r="AL316">
            <v>461</v>
          </cell>
          <cell r="AN316">
            <v>0</v>
          </cell>
          <cell r="AO316">
            <v>0</v>
          </cell>
          <cell r="AQ316">
            <v>0</v>
          </cell>
          <cell r="AR316">
            <v>0</v>
          </cell>
          <cell r="AT316">
            <v>743.01646728891683</v>
          </cell>
          <cell r="AU316">
            <v>0</v>
          </cell>
          <cell r="AW316">
            <v>0</v>
          </cell>
          <cell r="AX316">
            <v>0</v>
          </cell>
        </row>
        <row r="317">
          <cell r="I317">
            <v>0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243.81387473835781</v>
          </cell>
          <cell r="AF317">
            <v>0</v>
          </cell>
          <cell r="AH317">
            <v>370.97542606793741</v>
          </cell>
          <cell r="AI317">
            <v>0</v>
          </cell>
          <cell r="AK317">
            <v>313.66727724597587</v>
          </cell>
          <cell r="AL317">
            <v>0</v>
          </cell>
          <cell r="AN317">
            <v>0</v>
          </cell>
          <cell r="AO317">
            <v>0</v>
          </cell>
          <cell r="AQ317">
            <v>0</v>
          </cell>
          <cell r="AR317">
            <v>0</v>
          </cell>
          <cell r="AT317">
            <v>118.21256501765102</v>
          </cell>
          <cell r="AU317">
            <v>0</v>
          </cell>
          <cell r="AW317">
            <v>0</v>
          </cell>
          <cell r="AX317">
            <v>0</v>
          </cell>
        </row>
        <row r="318"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235.2159873626965</v>
          </cell>
          <cell r="AF318">
            <v>0</v>
          </cell>
          <cell r="AH318">
            <v>370.97542606793741</v>
          </cell>
          <cell r="AI318">
            <v>0</v>
          </cell>
          <cell r="AK318">
            <v>279.88110539235134</v>
          </cell>
          <cell r="AL318">
            <v>0</v>
          </cell>
          <cell r="AN318">
            <v>131.41230815033148</v>
          </cell>
          <cell r="AO318">
            <v>0</v>
          </cell>
          <cell r="AQ318">
            <v>89.960355179059135</v>
          </cell>
          <cell r="AR318">
            <v>0</v>
          </cell>
          <cell r="AT318">
            <v>118.21257789507058</v>
          </cell>
          <cell r="AU318">
            <v>0</v>
          </cell>
          <cell r="AW318">
            <v>0</v>
          </cell>
          <cell r="AX318">
            <v>0</v>
          </cell>
        </row>
        <row r="319"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536.98858182502408</v>
          </cell>
          <cell r="AF319">
            <v>408</v>
          </cell>
          <cell r="AH319">
            <v>735.63830986835274</v>
          </cell>
          <cell r="AI319">
            <v>0</v>
          </cell>
          <cell r="AK319">
            <v>498.87522422955419</v>
          </cell>
          <cell r="AL319">
            <v>0</v>
          </cell>
          <cell r="AN319">
            <v>0</v>
          </cell>
          <cell r="AO319">
            <v>0</v>
          </cell>
          <cell r="AQ319">
            <v>0</v>
          </cell>
          <cell r="AR319">
            <v>3076</v>
          </cell>
          <cell r="AT319">
            <v>321.34271961888942</v>
          </cell>
          <cell r="AU319">
            <v>0</v>
          </cell>
          <cell r="AW319">
            <v>237.68739725384614</v>
          </cell>
          <cell r="AX319">
            <v>0</v>
          </cell>
        </row>
        <row r="320"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260.74742636054094</v>
          </cell>
          <cell r="AF320">
            <v>0</v>
          </cell>
          <cell r="AH320">
            <v>377.33626403379481</v>
          </cell>
          <cell r="AI320">
            <v>0</v>
          </cell>
          <cell r="AK320">
            <v>286.46913740690536</v>
          </cell>
          <cell r="AL320">
            <v>0</v>
          </cell>
          <cell r="AN320">
            <v>0</v>
          </cell>
          <cell r="AO320">
            <v>0</v>
          </cell>
          <cell r="AQ320">
            <v>0</v>
          </cell>
          <cell r="AR320">
            <v>373</v>
          </cell>
          <cell r="AT320">
            <v>122.81870137610875</v>
          </cell>
          <cell r="AU320">
            <v>0</v>
          </cell>
          <cell r="AW320">
            <v>119.34310272027908</v>
          </cell>
          <cell r="AX320">
            <v>0</v>
          </cell>
        </row>
        <row r="321">
          <cell r="I321">
            <v>0</v>
          </cell>
          <cell r="J321">
            <v>0</v>
          </cell>
          <cell r="L321">
            <v>2</v>
          </cell>
          <cell r="M321">
            <v>46033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W321">
            <v>2</v>
          </cell>
          <cell r="X321">
            <v>658.04572835397482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415</v>
          </cell>
          <cell r="AE321">
            <v>326.06781225211932</v>
          </cell>
          <cell r="AF321">
            <v>0</v>
          </cell>
          <cell r="AH321">
            <v>492.56202672116706</v>
          </cell>
          <cell r="AI321">
            <v>0</v>
          </cell>
          <cell r="AK321">
            <v>300.2074328718092</v>
          </cell>
          <cell r="AL321">
            <v>0</v>
          </cell>
          <cell r="AN321">
            <v>0</v>
          </cell>
          <cell r="AO321">
            <v>0</v>
          </cell>
          <cell r="AQ321">
            <v>0</v>
          </cell>
          <cell r="AR321">
            <v>373</v>
          </cell>
          <cell r="AT321">
            <v>176.52030214061796</v>
          </cell>
          <cell r="AU321">
            <v>0</v>
          </cell>
          <cell r="AW321">
            <v>107.05787424455717</v>
          </cell>
          <cell r="AX321">
            <v>0</v>
          </cell>
        </row>
        <row r="322">
          <cell r="I322">
            <v>0</v>
          </cell>
          <cell r="J322">
            <v>0</v>
          </cell>
          <cell r="L322">
            <v>1</v>
          </cell>
          <cell r="M322">
            <v>24604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542.09011909004789</v>
          </cell>
          <cell r="AF322">
            <v>0</v>
          </cell>
          <cell r="AH322">
            <v>850.60757030285652</v>
          </cell>
          <cell r="AI322">
            <v>0</v>
          </cell>
          <cell r="AK322">
            <v>489.80949694715548</v>
          </cell>
          <cell r="AL322">
            <v>0</v>
          </cell>
          <cell r="AN322">
            <v>271.06661852588115</v>
          </cell>
          <cell r="AO322">
            <v>1779</v>
          </cell>
          <cell r="AQ322">
            <v>209.85895464751857</v>
          </cell>
          <cell r="AR322">
            <v>0</v>
          </cell>
          <cell r="AT322">
            <v>427.20193121784132</v>
          </cell>
          <cell r="AU322">
            <v>291</v>
          </cell>
          <cell r="AW322">
            <v>232.06982656797737</v>
          </cell>
          <cell r="AX322">
            <v>0</v>
          </cell>
        </row>
        <row r="323">
          <cell r="I323">
            <v>0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356.05503281979952</v>
          </cell>
          <cell r="AF323">
            <v>408</v>
          </cell>
          <cell r="AH323">
            <v>553.69522338747106</v>
          </cell>
          <cell r="AI323">
            <v>0</v>
          </cell>
          <cell r="AK323">
            <v>316.94103982577809</v>
          </cell>
          <cell r="AL323">
            <v>0</v>
          </cell>
          <cell r="AN323">
            <v>0</v>
          </cell>
          <cell r="AO323">
            <v>0</v>
          </cell>
          <cell r="AQ323">
            <v>0</v>
          </cell>
          <cell r="AR323">
            <v>0</v>
          </cell>
          <cell r="AT323">
            <v>174.41860246110207</v>
          </cell>
          <cell r="AU323">
            <v>0</v>
          </cell>
          <cell r="AW323">
            <v>200.88589227223855</v>
          </cell>
          <cell r="AX323">
            <v>0</v>
          </cell>
        </row>
        <row r="324">
          <cell r="I324">
            <v>0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N324">
            <v>0</v>
          </cell>
          <cell r="AO324">
            <v>0</v>
          </cell>
          <cell r="AQ324">
            <v>0</v>
          </cell>
          <cell r="AR324">
            <v>0</v>
          </cell>
          <cell r="AT324">
            <v>0</v>
          </cell>
          <cell r="AU324">
            <v>0</v>
          </cell>
          <cell r="AW324">
            <v>0</v>
          </cell>
          <cell r="AX324">
            <v>0</v>
          </cell>
        </row>
        <row r="325">
          <cell r="I325">
            <v>0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R325">
            <v>1</v>
          </cell>
          <cell r="S325">
            <v>5085</v>
          </cell>
          <cell r="U325">
            <v>0</v>
          </cell>
          <cell r="V325">
            <v>0</v>
          </cell>
          <cell r="W325">
            <v>0</v>
          </cell>
          <cell r="X325">
            <v>5.3648328291944729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72.145296138836983</v>
          </cell>
          <cell r="AF325">
            <v>0</v>
          </cell>
          <cell r="AH325">
            <v>84.872810033977956</v>
          </cell>
          <cell r="AI325">
            <v>0</v>
          </cell>
          <cell r="AK325">
            <v>109.49441663650556</v>
          </cell>
          <cell r="AL325">
            <v>4391</v>
          </cell>
          <cell r="AN325">
            <v>57.686128782423815</v>
          </cell>
          <cell r="AO325">
            <v>0</v>
          </cell>
          <cell r="AQ325">
            <v>26.384494126153122</v>
          </cell>
          <cell r="AR325">
            <v>0</v>
          </cell>
          <cell r="AT325">
            <v>53.107231388226225</v>
          </cell>
          <cell r="AU325">
            <v>0</v>
          </cell>
          <cell r="AW325">
            <v>0</v>
          </cell>
          <cell r="AX325">
            <v>0</v>
          </cell>
        </row>
        <row r="326"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R326">
            <v>1</v>
          </cell>
          <cell r="S326">
            <v>8417</v>
          </cell>
          <cell r="U326">
            <v>0</v>
          </cell>
          <cell r="V326">
            <v>0</v>
          </cell>
          <cell r="W326">
            <v>0</v>
          </cell>
          <cell r="X326">
            <v>51.980271025724598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968</v>
          </cell>
          <cell r="AE326">
            <v>121.58007400255997</v>
          </cell>
          <cell r="AF326">
            <v>0</v>
          </cell>
          <cell r="AH326">
            <v>159.30104863470086</v>
          </cell>
          <cell r="AI326">
            <v>0</v>
          </cell>
          <cell r="AK326">
            <v>155.80471250959988</v>
          </cell>
          <cell r="AL326">
            <v>0</v>
          </cell>
          <cell r="AN326">
            <v>65.835441136694755</v>
          </cell>
          <cell r="AO326">
            <v>0</v>
          </cell>
          <cell r="AQ326">
            <v>39.576724851099698</v>
          </cell>
          <cell r="AR326">
            <v>0</v>
          </cell>
          <cell r="AT326">
            <v>92.643523219730568</v>
          </cell>
          <cell r="AU326">
            <v>2154</v>
          </cell>
          <cell r="AW326">
            <v>0</v>
          </cell>
          <cell r="AX326">
            <v>0</v>
          </cell>
        </row>
        <row r="327"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308.63227648939352</v>
          </cell>
          <cell r="AF327">
            <v>0</v>
          </cell>
          <cell r="AH327">
            <v>490.42556714245251</v>
          </cell>
          <cell r="AI327">
            <v>0</v>
          </cell>
          <cell r="AK327">
            <v>392.24599536342089</v>
          </cell>
          <cell r="AL327">
            <v>1263</v>
          </cell>
          <cell r="AN327">
            <v>0</v>
          </cell>
          <cell r="AO327">
            <v>0</v>
          </cell>
          <cell r="AQ327">
            <v>0</v>
          </cell>
          <cell r="AR327">
            <v>493</v>
          </cell>
          <cell r="AT327">
            <v>174.41860683958959</v>
          </cell>
          <cell r="AU327">
            <v>0</v>
          </cell>
          <cell r="AW327">
            <v>0</v>
          </cell>
          <cell r="AX327">
            <v>0</v>
          </cell>
        </row>
        <row r="328"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916</v>
          </cell>
          <cell r="AD328">
            <v>1318</v>
          </cell>
          <cell r="AE328">
            <v>299.40314063924632</v>
          </cell>
          <cell r="AF328">
            <v>377</v>
          </cell>
          <cell r="AH328">
            <v>382.22287577264916</v>
          </cell>
          <cell r="AI328">
            <v>0</v>
          </cell>
          <cell r="AK328">
            <v>393.17290868409344</v>
          </cell>
          <cell r="AL328">
            <v>0</v>
          </cell>
          <cell r="AN328">
            <v>151.25715432493635</v>
          </cell>
          <cell r="AO328">
            <v>0</v>
          </cell>
          <cell r="AQ328">
            <v>74.942692264072917</v>
          </cell>
          <cell r="AR328">
            <v>0</v>
          </cell>
          <cell r="AT328">
            <v>322.07430498385054</v>
          </cell>
          <cell r="AU328">
            <v>0</v>
          </cell>
          <cell r="AW328">
            <v>0</v>
          </cell>
          <cell r="AX328">
            <v>0</v>
          </cell>
        </row>
        <row r="329">
          <cell r="I329">
            <v>0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2560</v>
          </cell>
          <cell r="AE329">
            <v>285.95847221364954</v>
          </cell>
          <cell r="AF329">
            <v>509</v>
          </cell>
          <cell r="AH329">
            <v>453.52599414512929</v>
          </cell>
          <cell r="AI329">
            <v>2526</v>
          </cell>
          <cell r="AK329">
            <v>508.91541862213694</v>
          </cell>
          <cell r="AL329">
            <v>1177</v>
          </cell>
          <cell r="AN329">
            <v>269.21077308432922</v>
          </cell>
          <cell r="AO329">
            <v>0</v>
          </cell>
          <cell r="AQ329">
            <v>131.92242978544064</v>
          </cell>
          <cell r="AR329">
            <v>0</v>
          </cell>
          <cell r="AT329">
            <v>367.24734680686328</v>
          </cell>
          <cell r="AU329">
            <v>0</v>
          </cell>
          <cell r="AW329">
            <v>0</v>
          </cell>
          <cell r="AX329">
            <v>0</v>
          </cell>
        </row>
        <row r="330"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35.585389395679698</v>
          </cell>
          <cell r="AF330">
            <v>0</v>
          </cell>
          <cell r="AH330">
            <v>65.775273182043605</v>
          </cell>
          <cell r="AI330">
            <v>0</v>
          </cell>
          <cell r="AK330">
            <v>0</v>
          </cell>
          <cell r="AL330">
            <v>0</v>
          </cell>
          <cell r="AN330">
            <v>0</v>
          </cell>
          <cell r="AO330">
            <v>0</v>
          </cell>
          <cell r="AQ330">
            <v>0</v>
          </cell>
          <cell r="AR330">
            <v>0</v>
          </cell>
          <cell r="AT330">
            <v>0</v>
          </cell>
          <cell r="AU330">
            <v>0</v>
          </cell>
          <cell r="AW330">
            <v>0</v>
          </cell>
          <cell r="AX330">
            <v>0</v>
          </cell>
        </row>
        <row r="331"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538</v>
          </cell>
          <cell r="AE331">
            <v>256.75397524749241</v>
          </cell>
          <cell r="AF331">
            <v>0</v>
          </cell>
          <cell r="AH331">
            <v>333.0523260630502</v>
          </cell>
          <cell r="AI331">
            <v>0</v>
          </cell>
          <cell r="AK331">
            <v>0</v>
          </cell>
          <cell r="AL331">
            <v>0</v>
          </cell>
          <cell r="AN331">
            <v>0</v>
          </cell>
          <cell r="AO331">
            <v>0</v>
          </cell>
          <cell r="AQ331">
            <v>22.490068372102311</v>
          </cell>
          <cell r="AR331">
            <v>0</v>
          </cell>
          <cell r="AT331">
            <v>77.368966108617101</v>
          </cell>
          <cell r="AU331">
            <v>4384</v>
          </cell>
          <cell r="AW331">
            <v>0</v>
          </cell>
          <cell r="AX331">
            <v>0</v>
          </cell>
        </row>
        <row r="332"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46.660520825346893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224.51577674707013</v>
          </cell>
          <cell r="AF332">
            <v>0</v>
          </cell>
          <cell r="AH332">
            <v>300.12770757182062</v>
          </cell>
          <cell r="AI332">
            <v>0</v>
          </cell>
          <cell r="AK332">
            <v>376.27692534240782</v>
          </cell>
          <cell r="AL332">
            <v>0</v>
          </cell>
          <cell r="AN332">
            <v>125.13234211792332</v>
          </cell>
          <cell r="AO332">
            <v>0</v>
          </cell>
          <cell r="AQ332">
            <v>65.961235315382794</v>
          </cell>
          <cell r="AR332">
            <v>0</v>
          </cell>
          <cell r="AT332">
            <v>125.82945550466667</v>
          </cell>
          <cell r="AU332">
            <v>0</v>
          </cell>
          <cell r="AW332">
            <v>0</v>
          </cell>
          <cell r="AX332">
            <v>0</v>
          </cell>
        </row>
        <row r="333"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15.5</v>
          </cell>
          <cell r="P333">
            <v>2260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112.27828706814148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293.75320637338609</v>
          </cell>
          <cell r="AF333">
            <v>0</v>
          </cell>
          <cell r="AH333">
            <v>428.45713760025609</v>
          </cell>
          <cell r="AI333">
            <v>0</v>
          </cell>
          <cell r="AK333">
            <v>270.44394550521525</v>
          </cell>
          <cell r="AL333">
            <v>0</v>
          </cell>
          <cell r="AN333">
            <v>0</v>
          </cell>
          <cell r="AO333">
            <v>0</v>
          </cell>
          <cell r="AQ333">
            <v>119.94714023874553</v>
          </cell>
          <cell r="AR333">
            <v>0</v>
          </cell>
          <cell r="AT333">
            <v>182.75233818840255</v>
          </cell>
          <cell r="AU333">
            <v>0</v>
          </cell>
          <cell r="AW333">
            <v>0</v>
          </cell>
          <cell r="AX333">
            <v>0</v>
          </cell>
        </row>
        <row r="334">
          <cell r="I334">
            <v>0</v>
          </cell>
          <cell r="J334">
            <v>0</v>
          </cell>
          <cell r="L334">
            <v>0</v>
          </cell>
          <cell r="M334">
            <v>0</v>
          </cell>
          <cell r="O334">
            <v>0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434.16734811129322</v>
          </cell>
          <cell r="AF334">
            <v>0</v>
          </cell>
          <cell r="AH334">
            <v>730.73405711118153</v>
          </cell>
          <cell r="AI334">
            <v>0</v>
          </cell>
          <cell r="AK334">
            <v>357.3446292239239</v>
          </cell>
          <cell r="AL334">
            <v>0</v>
          </cell>
          <cell r="AN334">
            <v>0</v>
          </cell>
          <cell r="AO334">
            <v>0</v>
          </cell>
          <cell r="AQ334">
            <v>179.87216958783222</v>
          </cell>
          <cell r="AR334">
            <v>0</v>
          </cell>
          <cell r="AT334">
            <v>326.88088209596361</v>
          </cell>
          <cell r="AU334">
            <v>0</v>
          </cell>
          <cell r="AW334">
            <v>0</v>
          </cell>
          <cell r="AX334">
            <v>0</v>
          </cell>
        </row>
        <row r="335"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290.36266880217647</v>
          </cell>
          <cell r="AF335">
            <v>0</v>
          </cell>
          <cell r="AH335">
            <v>423.81506108451765</v>
          </cell>
          <cell r="AI335">
            <v>1881</v>
          </cell>
          <cell r="AK335">
            <v>261.73110883754254</v>
          </cell>
          <cell r="AL335">
            <v>0</v>
          </cell>
          <cell r="AN335">
            <v>0</v>
          </cell>
          <cell r="AO335">
            <v>0</v>
          </cell>
          <cell r="AQ335">
            <v>0</v>
          </cell>
          <cell r="AR335">
            <v>0</v>
          </cell>
          <cell r="AT335">
            <v>178.07764464286564</v>
          </cell>
          <cell r="AU335">
            <v>0</v>
          </cell>
          <cell r="AW335">
            <v>0</v>
          </cell>
          <cell r="AX335">
            <v>0</v>
          </cell>
        </row>
        <row r="336"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309</v>
          </cell>
          <cell r="AE336">
            <v>226.61705446936185</v>
          </cell>
          <cell r="AF336">
            <v>0</v>
          </cell>
          <cell r="AH336">
            <v>302.29338732382973</v>
          </cell>
          <cell r="AI336">
            <v>0</v>
          </cell>
          <cell r="AK336">
            <v>385.51225731494043</v>
          </cell>
          <cell r="AL336">
            <v>0</v>
          </cell>
          <cell r="AN336">
            <v>128.20842570396613</v>
          </cell>
          <cell r="AO336">
            <v>0</v>
          </cell>
          <cell r="AQ336">
            <v>65.961235315382794</v>
          </cell>
          <cell r="AR336">
            <v>0</v>
          </cell>
          <cell r="AT336">
            <v>110.66378371817535</v>
          </cell>
          <cell r="AU336">
            <v>0</v>
          </cell>
          <cell r="AW336">
            <v>0</v>
          </cell>
          <cell r="AX336">
            <v>0</v>
          </cell>
        </row>
        <row r="337"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28.063936438433274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295.42726748454351</v>
          </cell>
          <cell r="AF337">
            <v>0</v>
          </cell>
          <cell r="AH337">
            <v>428.45713760025609</v>
          </cell>
          <cell r="AI337">
            <v>0</v>
          </cell>
          <cell r="AK337">
            <v>308.57612691882474</v>
          </cell>
          <cell r="AL337">
            <v>0</v>
          </cell>
          <cell r="AN337">
            <v>0</v>
          </cell>
          <cell r="AO337">
            <v>0</v>
          </cell>
          <cell r="AQ337">
            <v>0</v>
          </cell>
          <cell r="AR337">
            <v>0</v>
          </cell>
          <cell r="AT337">
            <v>215.60581703809186</v>
          </cell>
          <cell r="AU337">
            <v>0</v>
          </cell>
          <cell r="AW337">
            <v>0</v>
          </cell>
          <cell r="AX337">
            <v>0</v>
          </cell>
        </row>
        <row r="338"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60.429984657058824</v>
          </cell>
          <cell r="AF338">
            <v>0</v>
          </cell>
          <cell r="AH338">
            <v>94.724978012500713</v>
          </cell>
          <cell r="AI338">
            <v>0</v>
          </cell>
          <cell r="AK338">
            <v>31.502063628871475</v>
          </cell>
          <cell r="AL338">
            <v>0</v>
          </cell>
          <cell r="AN338">
            <v>0</v>
          </cell>
          <cell r="AO338">
            <v>0</v>
          </cell>
          <cell r="AQ338">
            <v>0</v>
          </cell>
          <cell r="AR338">
            <v>0</v>
          </cell>
          <cell r="AT338">
            <v>9.8614283025793927</v>
          </cell>
          <cell r="AU338">
            <v>0</v>
          </cell>
          <cell r="AW338">
            <v>0</v>
          </cell>
          <cell r="AX338">
            <v>0</v>
          </cell>
        </row>
        <row r="339">
          <cell r="I339">
            <v>64.3</v>
          </cell>
          <cell r="J339">
            <v>16773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340.96883158200427</v>
          </cell>
          <cell r="AF339">
            <v>5742</v>
          </cell>
          <cell r="AH339">
            <v>455.31679837177501</v>
          </cell>
          <cell r="AI339">
            <v>955</v>
          </cell>
          <cell r="AK339">
            <v>555.88466136810791</v>
          </cell>
          <cell r="AL339">
            <v>0</v>
          </cell>
          <cell r="AN339">
            <v>181.65122486457074</v>
          </cell>
          <cell r="AO339">
            <v>0</v>
          </cell>
          <cell r="AQ339">
            <v>98.941812127749259</v>
          </cell>
          <cell r="AR339">
            <v>0</v>
          </cell>
          <cell r="AT339">
            <v>140.16379835239022</v>
          </cell>
          <cell r="AU339">
            <v>0</v>
          </cell>
          <cell r="AW339">
            <v>0</v>
          </cell>
          <cell r="AX339">
            <v>0</v>
          </cell>
        </row>
        <row r="340"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561.048539709024</v>
          </cell>
          <cell r="AF340">
            <v>0</v>
          </cell>
          <cell r="AH340">
            <v>141.51362313451344</v>
          </cell>
          <cell r="AI340">
            <v>0</v>
          </cell>
          <cell r="AK340">
            <v>356.63179670758154</v>
          </cell>
          <cell r="AL340">
            <v>0</v>
          </cell>
          <cell r="AN340">
            <v>126.89920129436939</v>
          </cell>
          <cell r="AO340">
            <v>0</v>
          </cell>
          <cell r="AQ340">
            <v>67.470245961631889</v>
          </cell>
          <cell r="AR340">
            <v>0</v>
          </cell>
          <cell r="AT340">
            <v>112.82000111684427</v>
          </cell>
          <cell r="AU340">
            <v>0</v>
          </cell>
          <cell r="AW340">
            <v>0</v>
          </cell>
          <cell r="AX340">
            <v>0</v>
          </cell>
        </row>
        <row r="341"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773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476.64650222106394</v>
          </cell>
          <cell r="AF341">
            <v>3772</v>
          </cell>
          <cell r="AH341">
            <v>658.33936263838734</v>
          </cell>
          <cell r="AI341">
            <v>2180</v>
          </cell>
          <cell r="AK341">
            <v>769.26804466027988</v>
          </cell>
          <cell r="AL341">
            <v>0</v>
          </cell>
          <cell r="AN341">
            <v>257.8404877473065</v>
          </cell>
          <cell r="AO341">
            <v>0</v>
          </cell>
          <cell r="AQ341">
            <v>140.90392757945571</v>
          </cell>
          <cell r="AR341">
            <v>0</v>
          </cell>
          <cell r="AT341">
            <v>174.71782081390026</v>
          </cell>
          <cell r="AU341">
            <v>0</v>
          </cell>
          <cell r="AW341">
            <v>0</v>
          </cell>
          <cell r="AX341">
            <v>0</v>
          </cell>
        </row>
        <row r="342"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418</v>
          </cell>
          <cell r="Z342">
            <v>0</v>
          </cell>
          <cell r="AA342">
            <v>0</v>
          </cell>
          <cell r="AB342">
            <v>0</v>
          </cell>
          <cell r="AC342">
            <v>618</v>
          </cell>
          <cell r="AD342">
            <v>0</v>
          </cell>
          <cell r="AE342">
            <v>145.57624762893238</v>
          </cell>
          <cell r="AF342">
            <v>0</v>
          </cell>
          <cell r="AH342">
            <v>300.46764475683648</v>
          </cell>
          <cell r="AI342">
            <v>0</v>
          </cell>
          <cell r="AK342">
            <v>314.65407721141514</v>
          </cell>
          <cell r="AL342">
            <v>0</v>
          </cell>
          <cell r="AN342">
            <v>109.3875700743293</v>
          </cell>
          <cell r="AO342">
            <v>0</v>
          </cell>
          <cell r="AQ342">
            <v>65.961235315382794</v>
          </cell>
          <cell r="AR342">
            <v>0</v>
          </cell>
          <cell r="AT342">
            <v>212.42405582180592</v>
          </cell>
          <cell r="AU342">
            <v>0</v>
          </cell>
          <cell r="AW342">
            <v>0</v>
          </cell>
          <cell r="AX342">
            <v>0</v>
          </cell>
        </row>
        <row r="343"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147.03276510935248</v>
          </cell>
          <cell r="AF343">
            <v>3132</v>
          </cell>
          <cell r="AH343">
            <v>175.33142691704413</v>
          </cell>
          <cell r="AI343">
            <v>1312</v>
          </cell>
          <cell r="AK343">
            <v>356.82220769353341</v>
          </cell>
          <cell r="AL343">
            <v>780</v>
          </cell>
          <cell r="AN343">
            <v>132.02736547955371</v>
          </cell>
          <cell r="AO343">
            <v>0</v>
          </cell>
          <cell r="AQ343">
            <v>65.961235315382794</v>
          </cell>
          <cell r="AR343">
            <v>0</v>
          </cell>
          <cell r="AT343">
            <v>180.8957334091144</v>
          </cell>
          <cell r="AU343">
            <v>0</v>
          </cell>
          <cell r="AW343">
            <v>0</v>
          </cell>
          <cell r="AX343">
            <v>0</v>
          </cell>
        </row>
        <row r="344"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11882</v>
          </cell>
          <cell r="Z344">
            <v>0</v>
          </cell>
          <cell r="AA344">
            <v>0</v>
          </cell>
          <cell r="AB344">
            <v>0</v>
          </cell>
          <cell r="AC344">
            <v>4300</v>
          </cell>
          <cell r="AD344">
            <v>0</v>
          </cell>
          <cell r="AE344">
            <v>212.04421281182931</v>
          </cell>
          <cell r="AF344">
            <v>0</v>
          </cell>
          <cell r="AH344">
            <v>304.27448839668364</v>
          </cell>
          <cell r="AI344">
            <v>0</v>
          </cell>
          <cell r="AK344">
            <v>398.7972333502222</v>
          </cell>
          <cell r="AL344">
            <v>0</v>
          </cell>
          <cell r="AN344">
            <v>132.606248971273</v>
          </cell>
          <cell r="AO344">
            <v>0</v>
          </cell>
          <cell r="AQ344">
            <v>65.961235315382794</v>
          </cell>
          <cell r="AR344">
            <v>0</v>
          </cell>
          <cell r="AT344">
            <v>161.26258263002811</v>
          </cell>
          <cell r="AU344">
            <v>0</v>
          </cell>
          <cell r="AW344">
            <v>0</v>
          </cell>
          <cell r="AX344">
            <v>0</v>
          </cell>
        </row>
        <row r="345">
          <cell r="I345">
            <v>19</v>
          </cell>
          <cell r="J345">
            <v>4832</v>
          </cell>
          <cell r="L345">
            <v>0</v>
          </cell>
          <cell r="M345">
            <v>0</v>
          </cell>
          <cell r="O345">
            <v>0</v>
          </cell>
          <cell r="P345">
            <v>0</v>
          </cell>
          <cell r="R345">
            <v>2</v>
          </cell>
          <cell r="S345">
            <v>7646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678</v>
          </cell>
          <cell r="AD345">
            <v>0</v>
          </cell>
          <cell r="AE345">
            <v>183.3946159153254</v>
          </cell>
          <cell r="AF345">
            <v>0</v>
          </cell>
          <cell r="AH345">
            <v>218.36186909299212</v>
          </cell>
          <cell r="AI345">
            <v>0</v>
          </cell>
          <cell r="AK345">
            <v>522.00363200181357</v>
          </cell>
          <cell r="AL345">
            <v>2309</v>
          </cell>
          <cell r="AN345">
            <v>144.54378108389068</v>
          </cell>
          <cell r="AO345">
            <v>0</v>
          </cell>
          <cell r="AQ345">
            <v>67.470245961631889</v>
          </cell>
          <cell r="AR345">
            <v>0</v>
          </cell>
          <cell r="AT345">
            <v>142.92069518764279</v>
          </cell>
          <cell r="AU345">
            <v>0</v>
          </cell>
          <cell r="AW345">
            <v>0</v>
          </cell>
          <cell r="AX345">
            <v>0</v>
          </cell>
        </row>
        <row r="346"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R346">
            <v>1</v>
          </cell>
          <cell r="S346">
            <v>1842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80.878175024060099</v>
          </cell>
          <cell r="AF346">
            <v>0</v>
          </cell>
          <cell r="AH346">
            <v>179.98343394677127</v>
          </cell>
          <cell r="AI346">
            <v>0</v>
          </cell>
          <cell r="AK346">
            <v>214.01736783688938</v>
          </cell>
          <cell r="AL346">
            <v>0</v>
          </cell>
          <cell r="AN346">
            <v>71.621259226018381</v>
          </cell>
          <cell r="AO346">
            <v>546</v>
          </cell>
          <cell r="AQ346">
            <v>39.576741189229679</v>
          </cell>
          <cell r="AR346">
            <v>0</v>
          </cell>
          <cell r="AT346">
            <v>137.0164525129411</v>
          </cell>
          <cell r="AU346">
            <v>1351</v>
          </cell>
          <cell r="AW346">
            <v>0</v>
          </cell>
          <cell r="AX346">
            <v>0</v>
          </cell>
        </row>
        <row r="347">
          <cell r="I347">
            <v>0</v>
          </cell>
          <cell r="J347">
            <v>0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645.44799676955699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340.67941004900786</v>
          </cell>
          <cell r="AF347">
            <v>0</v>
          </cell>
          <cell r="AH347">
            <v>456.07431114941113</v>
          </cell>
          <cell r="AI347">
            <v>0</v>
          </cell>
          <cell r="AK347">
            <v>1150.4514219355508</v>
          </cell>
          <cell r="AL347">
            <v>0</v>
          </cell>
          <cell r="AN347">
            <v>365.27880722162689</v>
          </cell>
          <cell r="AO347">
            <v>0</v>
          </cell>
          <cell r="AQ347">
            <v>98.941812127749259</v>
          </cell>
          <cell r="AR347">
            <v>0</v>
          </cell>
          <cell r="AT347">
            <v>393.71141400837746</v>
          </cell>
          <cell r="AU347">
            <v>0</v>
          </cell>
          <cell r="AW347">
            <v>0</v>
          </cell>
          <cell r="AX347">
            <v>0</v>
          </cell>
        </row>
        <row r="348">
          <cell r="I348">
            <v>0</v>
          </cell>
          <cell r="J348">
            <v>0</v>
          </cell>
          <cell r="L348">
            <v>0</v>
          </cell>
          <cell r="M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99</v>
          </cell>
          <cell r="U348">
            <v>0</v>
          </cell>
          <cell r="V348">
            <v>0</v>
          </cell>
          <cell r="W348">
            <v>0</v>
          </cell>
          <cell r="X348">
            <v>547.57360960837036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2193</v>
          </cell>
          <cell r="AD348">
            <v>96</v>
          </cell>
          <cell r="AE348">
            <v>341.10193611683809</v>
          </cell>
          <cell r="AF348">
            <v>0</v>
          </cell>
          <cell r="AH348">
            <v>456.98718243290779</v>
          </cell>
          <cell r="AI348">
            <v>0</v>
          </cell>
          <cell r="AK348">
            <v>1118.9449665843622</v>
          </cell>
          <cell r="AL348">
            <v>0</v>
          </cell>
          <cell r="AN348">
            <v>365.34992358096986</v>
          </cell>
          <cell r="AO348">
            <v>0</v>
          </cell>
          <cell r="AQ348">
            <v>98.941812127749259</v>
          </cell>
          <cell r="AR348">
            <v>0</v>
          </cell>
          <cell r="AT348">
            <v>395.44141636158889</v>
          </cell>
          <cell r="AU348">
            <v>0</v>
          </cell>
          <cell r="AW348">
            <v>0</v>
          </cell>
          <cell r="AX348">
            <v>0</v>
          </cell>
        </row>
        <row r="349">
          <cell r="I349">
            <v>26.8</v>
          </cell>
          <cell r="J349">
            <v>6988</v>
          </cell>
          <cell r="L349">
            <v>0</v>
          </cell>
          <cell r="M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521.53839146669134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338.94789082903128</v>
          </cell>
          <cell r="AF349">
            <v>0</v>
          </cell>
          <cell r="AH349">
            <v>454.5350152089967</v>
          </cell>
          <cell r="AI349">
            <v>0</v>
          </cell>
          <cell r="AK349">
            <v>1157.2474197511715</v>
          </cell>
          <cell r="AL349">
            <v>0</v>
          </cell>
          <cell r="AN349">
            <v>368.35609494407032</v>
          </cell>
          <cell r="AO349">
            <v>0</v>
          </cell>
          <cell r="AQ349">
            <v>98.941812127749259</v>
          </cell>
          <cell r="AR349">
            <v>0</v>
          </cell>
          <cell r="AT349">
            <v>390.76670427356618</v>
          </cell>
          <cell r="AU349">
            <v>0</v>
          </cell>
          <cell r="AW349">
            <v>0</v>
          </cell>
          <cell r="AX349">
            <v>0</v>
          </cell>
        </row>
        <row r="350">
          <cell r="I350">
            <v>0</v>
          </cell>
          <cell r="J350">
            <v>0</v>
          </cell>
          <cell r="L350">
            <v>0</v>
          </cell>
          <cell r="M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417.03685786944095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338.38118133211213</v>
          </cell>
          <cell r="AF350">
            <v>0</v>
          </cell>
          <cell r="AH350">
            <v>455.31679837177501</v>
          </cell>
          <cell r="AI350">
            <v>0</v>
          </cell>
          <cell r="AK350">
            <v>1157.2474197511715</v>
          </cell>
          <cell r="AL350">
            <v>0</v>
          </cell>
          <cell r="AN350">
            <v>367.35679527182106</v>
          </cell>
          <cell r="AO350">
            <v>0</v>
          </cell>
          <cell r="AQ350">
            <v>98.941812127749259</v>
          </cell>
          <cell r="AR350">
            <v>0</v>
          </cell>
          <cell r="AT350">
            <v>392.23794522822857</v>
          </cell>
          <cell r="AU350">
            <v>0</v>
          </cell>
          <cell r="AW350">
            <v>0</v>
          </cell>
          <cell r="AX350">
            <v>0</v>
          </cell>
        </row>
        <row r="351"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100.73713409105083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552.21617909158942</v>
          </cell>
          <cell r="AF351">
            <v>0</v>
          </cell>
          <cell r="AH351">
            <v>863.53737109845565</v>
          </cell>
          <cell r="AI351">
            <v>0</v>
          </cell>
          <cell r="AK351">
            <v>549.74304237231922</v>
          </cell>
          <cell r="AL351">
            <v>311</v>
          </cell>
          <cell r="AN351">
            <v>0</v>
          </cell>
          <cell r="AO351">
            <v>0</v>
          </cell>
          <cell r="AQ351">
            <v>338.81178137477229</v>
          </cell>
          <cell r="AR351">
            <v>0</v>
          </cell>
          <cell r="AT351">
            <v>500.05250650715965</v>
          </cell>
          <cell r="AU351">
            <v>0</v>
          </cell>
          <cell r="AW351">
            <v>0</v>
          </cell>
          <cell r="AX351">
            <v>0</v>
          </cell>
        </row>
        <row r="352">
          <cell r="I352">
            <v>0</v>
          </cell>
          <cell r="J352">
            <v>0</v>
          </cell>
          <cell r="L352">
            <v>0</v>
          </cell>
          <cell r="M352">
            <v>0</v>
          </cell>
          <cell r="O352">
            <v>8.3000000000000007</v>
          </cell>
          <cell r="P352">
            <v>1101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69.044046032868351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434</v>
          </cell>
          <cell r="AE352">
            <v>440.7848845409053</v>
          </cell>
          <cell r="AF352">
            <v>0</v>
          </cell>
          <cell r="AH352">
            <v>648.37174232033783</v>
          </cell>
          <cell r="AI352">
            <v>1971</v>
          </cell>
          <cell r="AK352">
            <v>435.73378950881943</v>
          </cell>
          <cell r="AL352">
            <v>367</v>
          </cell>
          <cell r="AN352">
            <v>0</v>
          </cell>
          <cell r="AO352">
            <v>0</v>
          </cell>
          <cell r="AQ352">
            <v>161.90917399980211</v>
          </cell>
          <cell r="AR352">
            <v>0</v>
          </cell>
          <cell r="AT352">
            <v>323.39564104606796</v>
          </cell>
          <cell r="AU352">
            <v>0</v>
          </cell>
          <cell r="AW352">
            <v>0</v>
          </cell>
          <cell r="AX352">
            <v>0</v>
          </cell>
        </row>
        <row r="353"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55.226220300531338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293.7456385988923</v>
          </cell>
          <cell r="AF353">
            <v>0</v>
          </cell>
          <cell r="AH353">
            <v>428.45713760025609</v>
          </cell>
          <cell r="AI353">
            <v>0</v>
          </cell>
          <cell r="AK353">
            <v>249.50064667588106</v>
          </cell>
          <cell r="AL353">
            <v>0</v>
          </cell>
          <cell r="AN353">
            <v>0</v>
          </cell>
          <cell r="AO353">
            <v>0</v>
          </cell>
          <cell r="AQ353">
            <v>161.90917399980211</v>
          </cell>
          <cell r="AR353">
            <v>0</v>
          </cell>
          <cell r="AT353">
            <v>176.12067478462095</v>
          </cell>
          <cell r="AU353">
            <v>0</v>
          </cell>
          <cell r="AW353">
            <v>0</v>
          </cell>
          <cell r="AX353">
            <v>0</v>
          </cell>
        </row>
        <row r="354"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37.48620586113617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293.7456385988923</v>
          </cell>
          <cell r="AF354">
            <v>0</v>
          </cell>
          <cell r="AH354">
            <v>428.45713760025609</v>
          </cell>
          <cell r="AI354">
            <v>0</v>
          </cell>
          <cell r="AK354">
            <v>249.50064667588106</v>
          </cell>
          <cell r="AL354">
            <v>311</v>
          </cell>
          <cell r="AN354">
            <v>0</v>
          </cell>
          <cell r="AO354">
            <v>0</v>
          </cell>
          <cell r="AQ354">
            <v>161.90917399980211</v>
          </cell>
          <cell r="AR354">
            <v>0</v>
          </cell>
          <cell r="AT354">
            <v>176.12067478462095</v>
          </cell>
          <cell r="AU354">
            <v>0</v>
          </cell>
          <cell r="AW354">
            <v>0</v>
          </cell>
          <cell r="AX354">
            <v>0</v>
          </cell>
        </row>
        <row r="355"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69.044046032868351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293.68706488461845</v>
          </cell>
          <cell r="AF355">
            <v>0</v>
          </cell>
          <cell r="AH355">
            <v>428.45713760025609</v>
          </cell>
          <cell r="AI355">
            <v>0</v>
          </cell>
          <cell r="AK355">
            <v>249.50064667588106</v>
          </cell>
          <cell r="AL355">
            <v>0</v>
          </cell>
          <cell r="AN355">
            <v>0</v>
          </cell>
          <cell r="AO355">
            <v>0</v>
          </cell>
          <cell r="AQ355">
            <v>161.90917399980211</v>
          </cell>
          <cell r="AR355">
            <v>0</v>
          </cell>
          <cell r="AT355">
            <v>176.11164732070878</v>
          </cell>
          <cell r="AU355">
            <v>0</v>
          </cell>
          <cell r="AW355">
            <v>0</v>
          </cell>
          <cell r="AX355">
            <v>0</v>
          </cell>
        </row>
        <row r="356">
          <cell r="I356">
            <v>0</v>
          </cell>
          <cell r="J356">
            <v>0</v>
          </cell>
          <cell r="L356">
            <v>0</v>
          </cell>
          <cell r="M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155.9408130771738</v>
          </cell>
          <cell r="Y356">
            <v>317</v>
          </cell>
          <cell r="Z356">
            <v>0</v>
          </cell>
          <cell r="AA356">
            <v>0</v>
          </cell>
          <cell r="AB356">
            <v>0</v>
          </cell>
          <cell r="AC356">
            <v>472</v>
          </cell>
          <cell r="AD356">
            <v>0</v>
          </cell>
          <cell r="AE356">
            <v>579.30180808381465</v>
          </cell>
          <cell r="AF356">
            <v>0</v>
          </cell>
          <cell r="AH356">
            <v>863.2751948570193</v>
          </cell>
          <cell r="AI356">
            <v>0</v>
          </cell>
          <cell r="AK356">
            <v>544.18402662422682</v>
          </cell>
          <cell r="AL356">
            <v>2383</v>
          </cell>
          <cell r="AN356">
            <v>0</v>
          </cell>
          <cell r="AO356">
            <v>0</v>
          </cell>
          <cell r="AQ356">
            <v>338.81178137477229</v>
          </cell>
          <cell r="AR356">
            <v>0</v>
          </cell>
          <cell r="AT356">
            <v>499.63889281703172</v>
          </cell>
          <cell r="AU356">
            <v>0</v>
          </cell>
          <cell r="AW356">
            <v>0</v>
          </cell>
          <cell r="AX356">
            <v>0</v>
          </cell>
        </row>
        <row r="357"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2736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441.71427296130838</v>
          </cell>
          <cell r="AF357">
            <v>0</v>
          </cell>
          <cell r="AH357">
            <v>649.25535258521438</v>
          </cell>
          <cell r="AI357">
            <v>0</v>
          </cell>
          <cell r="AK357">
            <v>427.07970210128394</v>
          </cell>
          <cell r="AL357">
            <v>0</v>
          </cell>
          <cell r="AN357">
            <v>0</v>
          </cell>
          <cell r="AO357">
            <v>0</v>
          </cell>
          <cell r="AQ357">
            <v>218.86472282667671</v>
          </cell>
          <cell r="AR357">
            <v>0</v>
          </cell>
          <cell r="AT357">
            <v>324.72985377725348</v>
          </cell>
          <cell r="AU357">
            <v>0</v>
          </cell>
          <cell r="AW357">
            <v>0</v>
          </cell>
          <cell r="AX357">
            <v>0</v>
          </cell>
        </row>
        <row r="358"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106.05688429142856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627</v>
          </cell>
          <cell r="AD358">
            <v>677</v>
          </cell>
          <cell r="AE358">
            <v>452.10488610420913</v>
          </cell>
          <cell r="AF358">
            <v>0</v>
          </cell>
          <cell r="AH358">
            <v>730.47179917909421</v>
          </cell>
          <cell r="AI358">
            <v>0</v>
          </cell>
          <cell r="AK358">
            <v>444.77862501958737</v>
          </cell>
          <cell r="AL358">
            <v>0</v>
          </cell>
          <cell r="AN358">
            <v>0</v>
          </cell>
          <cell r="AO358">
            <v>0</v>
          </cell>
          <cell r="AQ358">
            <v>218.86472282667671</v>
          </cell>
          <cell r="AR358">
            <v>0</v>
          </cell>
          <cell r="AT358">
            <v>332.88209539186079</v>
          </cell>
          <cell r="AU358">
            <v>1154</v>
          </cell>
          <cell r="AW358">
            <v>0</v>
          </cell>
          <cell r="AX358">
            <v>0</v>
          </cell>
        </row>
        <row r="359"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9.3546454794777585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10051</v>
          </cell>
          <cell r="AD359">
            <v>0</v>
          </cell>
          <cell r="AE359">
            <v>453.16429572632046</v>
          </cell>
          <cell r="AF359">
            <v>0</v>
          </cell>
          <cell r="AH359">
            <v>730.31644067323475</v>
          </cell>
          <cell r="AI359">
            <v>0</v>
          </cell>
          <cell r="AK359">
            <v>445.12412098971794</v>
          </cell>
          <cell r="AL359">
            <v>0</v>
          </cell>
          <cell r="AN359">
            <v>0</v>
          </cell>
          <cell r="AO359">
            <v>0</v>
          </cell>
          <cell r="AQ359">
            <v>218.86472282667671</v>
          </cell>
          <cell r="AR359">
            <v>0</v>
          </cell>
          <cell r="AT359">
            <v>332.68755310226783</v>
          </cell>
          <cell r="AU359">
            <v>0</v>
          </cell>
          <cell r="AW359">
            <v>0</v>
          </cell>
          <cell r="AX359">
            <v>0</v>
          </cell>
        </row>
        <row r="360"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106.50771057959616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453.28676417768395</v>
          </cell>
          <cell r="AF360">
            <v>0</v>
          </cell>
          <cell r="AH360">
            <v>730.47179917909421</v>
          </cell>
          <cell r="AI360">
            <v>0</v>
          </cell>
          <cell r="AK360">
            <v>459.8961907599396</v>
          </cell>
          <cell r="AL360">
            <v>0</v>
          </cell>
          <cell r="AN360">
            <v>0</v>
          </cell>
          <cell r="AO360">
            <v>0</v>
          </cell>
          <cell r="AQ360">
            <v>218.86472282667671</v>
          </cell>
          <cell r="AR360">
            <v>0</v>
          </cell>
          <cell r="AT360">
            <v>332.96178169220053</v>
          </cell>
          <cell r="AU360">
            <v>0</v>
          </cell>
          <cell r="AW360">
            <v>0</v>
          </cell>
          <cell r="AX360">
            <v>0</v>
          </cell>
        </row>
        <row r="361">
          <cell r="I361">
            <v>0</v>
          </cell>
          <cell r="J361">
            <v>4811</v>
          </cell>
          <cell r="L361">
            <v>0</v>
          </cell>
          <cell r="M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14167</v>
          </cell>
          <cell r="AD361">
            <v>0</v>
          </cell>
          <cell r="AE361">
            <v>598.88698825376764</v>
          </cell>
          <cell r="AF361">
            <v>0</v>
          </cell>
          <cell r="AH361">
            <v>975.42236566356132</v>
          </cell>
          <cell r="AI361">
            <v>0</v>
          </cell>
          <cell r="AK361">
            <v>577.63982887433463</v>
          </cell>
          <cell r="AL361">
            <v>0</v>
          </cell>
          <cell r="AN361">
            <v>0</v>
          </cell>
          <cell r="AO361">
            <v>0</v>
          </cell>
          <cell r="AQ361">
            <v>338.81178137477229</v>
          </cell>
          <cell r="AR361">
            <v>0</v>
          </cell>
          <cell r="AT361">
            <v>542.52466217651158</v>
          </cell>
          <cell r="AU361">
            <v>0</v>
          </cell>
          <cell r="AW361">
            <v>0</v>
          </cell>
          <cell r="AX361">
            <v>0</v>
          </cell>
        </row>
        <row r="362">
          <cell r="I362">
            <v>15</v>
          </cell>
          <cell r="J362">
            <v>2946</v>
          </cell>
          <cell r="L362">
            <v>0</v>
          </cell>
          <cell r="M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220.34134834191588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429</v>
          </cell>
          <cell r="AD362">
            <v>284</v>
          </cell>
          <cell r="AE362">
            <v>206.85511576985931</v>
          </cell>
          <cell r="AF362">
            <v>0</v>
          </cell>
          <cell r="AH362">
            <v>236.50164632888067</v>
          </cell>
          <cell r="AI362">
            <v>0</v>
          </cell>
          <cell r="AK362">
            <v>321.47611055472277</v>
          </cell>
          <cell r="AL362">
            <v>813</v>
          </cell>
          <cell r="AN362">
            <v>0</v>
          </cell>
          <cell r="AO362">
            <v>0</v>
          </cell>
          <cell r="AQ362">
            <v>0</v>
          </cell>
          <cell r="AR362">
            <v>0</v>
          </cell>
          <cell r="AT362">
            <v>107.5901330625987</v>
          </cell>
          <cell r="AU362">
            <v>0</v>
          </cell>
          <cell r="AW362">
            <v>0</v>
          </cell>
          <cell r="AX362">
            <v>0</v>
          </cell>
        </row>
        <row r="363"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27932</v>
          </cell>
          <cell r="AD363">
            <v>0</v>
          </cell>
          <cell r="AE363">
            <v>352.68684170543713</v>
          </cell>
          <cell r="AF363">
            <v>1454</v>
          </cell>
          <cell r="AH363">
            <v>517.13191296797083</v>
          </cell>
          <cell r="AI363">
            <v>0</v>
          </cell>
          <cell r="AK363">
            <v>452.13417831518331</v>
          </cell>
          <cell r="AL363">
            <v>929</v>
          </cell>
          <cell r="AN363">
            <v>0</v>
          </cell>
          <cell r="AO363">
            <v>0</v>
          </cell>
          <cell r="AQ363">
            <v>0</v>
          </cell>
          <cell r="AR363">
            <v>0</v>
          </cell>
          <cell r="AT363">
            <v>242.89643245310197</v>
          </cell>
          <cell r="AU363">
            <v>127</v>
          </cell>
          <cell r="AW363">
            <v>0</v>
          </cell>
          <cell r="AX363">
            <v>0</v>
          </cell>
        </row>
        <row r="364"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88.677530882567481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513</v>
          </cell>
          <cell r="AE364">
            <v>285.07723534860406</v>
          </cell>
          <cell r="AF364">
            <v>0</v>
          </cell>
          <cell r="AH364">
            <v>366.07109162011398</v>
          </cell>
          <cell r="AI364">
            <v>0</v>
          </cell>
          <cell r="AK364">
            <v>294.87116698901576</v>
          </cell>
          <cell r="AL364">
            <v>0</v>
          </cell>
          <cell r="AN364">
            <v>0</v>
          </cell>
          <cell r="AO364">
            <v>0</v>
          </cell>
          <cell r="AQ364">
            <v>0</v>
          </cell>
          <cell r="AR364">
            <v>0</v>
          </cell>
          <cell r="AT364">
            <v>169.92476655434263</v>
          </cell>
          <cell r="AU364">
            <v>0</v>
          </cell>
          <cell r="AW364">
            <v>0</v>
          </cell>
          <cell r="AX364">
            <v>0</v>
          </cell>
        </row>
        <row r="365">
          <cell r="I365">
            <v>0</v>
          </cell>
          <cell r="J365">
            <v>776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1</v>
          </cell>
          <cell r="S365">
            <v>3178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787</v>
          </cell>
          <cell r="AD365">
            <v>160</v>
          </cell>
          <cell r="AE365">
            <v>36.072648069418491</v>
          </cell>
          <cell r="AF365">
            <v>0</v>
          </cell>
          <cell r="AH365">
            <v>44.309609545266404</v>
          </cell>
          <cell r="AI365">
            <v>0</v>
          </cell>
          <cell r="AK365">
            <v>56.364639436687078</v>
          </cell>
          <cell r="AL365">
            <v>0</v>
          </cell>
          <cell r="AN365">
            <v>28.814221575132017</v>
          </cell>
          <cell r="AO365">
            <v>0</v>
          </cell>
          <cell r="AQ365">
            <v>13.192247063076561</v>
          </cell>
          <cell r="AR365">
            <v>0</v>
          </cell>
          <cell r="AT365">
            <v>26.036353088784878</v>
          </cell>
          <cell r="AU365">
            <v>0</v>
          </cell>
          <cell r="AW365">
            <v>0</v>
          </cell>
          <cell r="AX365">
            <v>0</v>
          </cell>
        </row>
        <row r="366"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77.947865224178514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243.31189059781519</v>
          </cell>
          <cell r="AF366">
            <v>0</v>
          </cell>
          <cell r="AH366">
            <v>375.19980445508031</v>
          </cell>
          <cell r="AI366">
            <v>0</v>
          </cell>
          <cell r="AK366">
            <v>356.99056120096998</v>
          </cell>
          <cell r="AL366">
            <v>0</v>
          </cell>
          <cell r="AN366">
            <v>0</v>
          </cell>
          <cell r="AO366">
            <v>0</v>
          </cell>
          <cell r="AQ366">
            <v>0</v>
          </cell>
          <cell r="AR366">
            <v>0</v>
          </cell>
          <cell r="AT366">
            <v>121.28325832554735</v>
          </cell>
          <cell r="AU366">
            <v>0</v>
          </cell>
          <cell r="AW366">
            <v>0</v>
          </cell>
          <cell r="AX366">
            <v>0</v>
          </cell>
        </row>
        <row r="367"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168.57610194819171</v>
          </cell>
          <cell r="AF367">
            <v>0</v>
          </cell>
          <cell r="AH367">
            <v>223.14847341612153</v>
          </cell>
          <cell r="AI367">
            <v>0</v>
          </cell>
          <cell r="AK367">
            <v>199.49280718540049</v>
          </cell>
          <cell r="AL367">
            <v>839</v>
          </cell>
          <cell r="AN367">
            <v>0</v>
          </cell>
          <cell r="AO367">
            <v>0</v>
          </cell>
          <cell r="AQ367">
            <v>0</v>
          </cell>
          <cell r="AR367">
            <v>0</v>
          </cell>
          <cell r="AT367">
            <v>64.946753943193258</v>
          </cell>
          <cell r="AU367">
            <v>0</v>
          </cell>
          <cell r="AW367">
            <v>0</v>
          </cell>
          <cell r="AX367">
            <v>0</v>
          </cell>
        </row>
        <row r="368"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309.80614720746934</v>
          </cell>
          <cell r="AF368">
            <v>0</v>
          </cell>
          <cell r="AH368">
            <v>491.57143533941519</v>
          </cell>
          <cell r="AI368">
            <v>0</v>
          </cell>
          <cell r="AK368">
            <v>365.94411287080538</v>
          </cell>
          <cell r="AL368">
            <v>626</v>
          </cell>
          <cell r="AN368">
            <v>0</v>
          </cell>
          <cell r="AO368">
            <v>0</v>
          </cell>
          <cell r="AQ368">
            <v>0</v>
          </cell>
          <cell r="AR368">
            <v>0</v>
          </cell>
          <cell r="AT368">
            <v>175.46952701896416</v>
          </cell>
          <cell r="AU368">
            <v>0</v>
          </cell>
          <cell r="AW368">
            <v>0</v>
          </cell>
          <cell r="AX368">
            <v>0</v>
          </cell>
        </row>
        <row r="369"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530</v>
          </cell>
          <cell r="AE369">
            <v>148.66895006333297</v>
          </cell>
          <cell r="AF369">
            <v>0</v>
          </cell>
          <cell r="AH369">
            <v>199.98679498901538</v>
          </cell>
          <cell r="AI369">
            <v>0</v>
          </cell>
          <cell r="AK369">
            <v>151.15206599134754</v>
          </cell>
          <cell r="AL369">
            <v>610</v>
          </cell>
          <cell r="AN369">
            <v>0</v>
          </cell>
          <cell r="AO369">
            <v>0</v>
          </cell>
          <cell r="AQ369">
            <v>0</v>
          </cell>
          <cell r="AR369">
            <v>0</v>
          </cell>
          <cell r="AT369">
            <v>60.056169810574971</v>
          </cell>
          <cell r="AU369">
            <v>127</v>
          </cell>
          <cell r="AW369">
            <v>0</v>
          </cell>
          <cell r="AX369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Лист2"/>
      <sheetName val="ДЗ нас "/>
      <sheetName val="ДЗ нежит"/>
      <sheetName val="кошти 01.03.23"/>
      <sheetName val="поточний ремонт"/>
      <sheetName val="ПР будинок"/>
      <sheetName val="накладні витрати"/>
      <sheetName val="нач"/>
      <sheetName val="Лист4"/>
      <sheetName val="коди"/>
      <sheetName val="ціни"/>
      <sheetName val="кошти 01.03.20"/>
      <sheetName val="Лист3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  <sheetName val="паркан аморт"/>
      <sheetName val="Лист1"/>
      <sheetName val="Лист5"/>
    </sheetNames>
    <sheetDataSet>
      <sheetData sheetId="0"/>
      <sheetData sheetId="1"/>
      <sheetData sheetId="2"/>
      <sheetData sheetId="3">
        <row r="9">
          <cell r="I9">
            <v>2107.1628709859037</v>
          </cell>
          <cell r="J9">
            <v>1975.9249049345715</v>
          </cell>
          <cell r="L9">
            <v>342.65040412158851</v>
          </cell>
          <cell r="M9">
            <v>340.45897501754513</v>
          </cell>
          <cell r="O9">
            <v>664.68</v>
          </cell>
          <cell r="P9">
            <v>664.68</v>
          </cell>
          <cell r="R9">
            <v>0</v>
          </cell>
          <cell r="S9">
            <v>0</v>
          </cell>
          <cell r="U9">
            <v>0</v>
          </cell>
          <cell r="V9">
            <v>0</v>
          </cell>
          <cell r="X9">
            <v>445.68678773142955</v>
          </cell>
          <cell r="Y9">
            <v>310.250180716312</v>
          </cell>
          <cell r="AA9">
            <v>0</v>
          </cell>
          <cell r="AB9">
            <v>0</v>
          </cell>
          <cell r="AD9">
            <v>1594.029995578461</v>
          </cell>
          <cell r="AE9">
            <v>1512.8414602607068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1515.2282286298394</v>
          </cell>
          <cell r="AQ9">
            <v>1132.3831949631285</v>
          </cell>
          <cell r="AS9">
            <v>6431.158197127098</v>
          </cell>
          <cell r="AT9">
            <v>537</v>
          </cell>
          <cell r="AV9">
            <v>393.88469205461456</v>
          </cell>
          <cell r="AW9">
            <v>0</v>
          </cell>
          <cell r="AY9">
            <v>441.90731036293738</v>
          </cell>
          <cell r="AZ9">
            <v>0</v>
          </cell>
          <cell r="BB9">
            <v>261.26962980340727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158.07341495569472</v>
          </cell>
          <cell r="BL9">
            <v>0</v>
          </cell>
          <cell r="BN9">
            <v>0</v>
          </cell>
          <cell r="BO9">
            <v>0</v>
          </cell>
          <cell r="BT9">
            <v>4109.5989680430603</v>
          </cell>
          <cell r="BU9">
            <v>10452.551512438931</v>
          </cell>
          <cell r="BW9">
            <v>2129.3268579952905</v>
          </cell>
          <cell r="BX9">
            <v>3313.4529327766995</v>
          </cell>
          <cell r="BZ9">
            <v>657.11390557480672</v>
          </cell>
          <cell r="CA9">
            <v>2134.133763070472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X9">
            <v>0.27448444303627184</v>
          </cell>
          <cell r="CY9">
            <v>-1346.0123090140394</v>
          </cell>
        </row>
        <row r="10">
          <cell r="I10">
            <v>7050.7012363215863</v>
          </cell>
          <cell r="J10">
            <v>6873.7550534981583</v>
          </cell>
          <cell r="L10">
            <v>1663.5298713303443</v>
          </cell>
          <cell r="M10">
            <v>1644.1431559370646</v>
          </cell>
          <cell r="O10">
            <v>2431.6799999999994</v>
          </cell>
          <cell r="P10">
            <v>2431.5600000000004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  <cell r="X10">
            <v>4736.1956915141809</v>
          </cell>
          <cell r="Y10">
            <v>5849.1415946202615</v>
          </cell>
          <cell r="AA10">
            <v>0</v>
          </cell>
          <cell r="AB10">
            <v>0</v>
          </cell>
          <cell r="AD10">
            <v>7870.523103168649</v>
          </cell>
          <cell r="AE10">
            <v>7469.6547100372427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4261.5793930214249</v>
          </cell>
          <cell r="AQ10">
            <v>4123.902722902747</v>
          </cell>
          <cell r="AS10">
            <v>26907.61422153543</v>
          </cell>
          <cell r="AT10">
            <v>5061</v>
          </cell>
          <cell r="AV10">
            <v>1275.680154624456</v>
          </cell>
          <cell r="AW10">
            <v>0</v>
          </cell>
          <cell r="AY10">
            <v>2144.1599713385599</v>
          </cell>
          <cell r="AZ10">
            <v>0</v>
          </cell>
          <cell r="BB10">
            <v>1455.2971221181449</v>
          </cell>
          <cell r="BC10">
            <v>1767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K10">
            <v>649.84801623748729</v>
          </cell>
          <cell r="BL10">
            <v>460</v>
          </cell>
          <cell r="BN10">
            <v>402.89454441995593</v>
          </cell>
          <cell r="BO10">
            <v>0</v>
          </cell>
          <cell r="BT10">
            <v>14772.110599058333</v>
          </cell>
          <cell r="BU10">
            <v>26145.550766223474</v>
          </cell>
          <cell r="BW10">
            <v>14431.737996116257</v>
          </cell>
          <cell r="BX10">
            <v>15556.474344735474</v>
          </cell>
          <cell r="BZ10">
            <v>9217.3970417236924</v>
          </cell>
          <cell r="CA10">
            <v>5883.1562903363365</v>
          </cell>
          <cell r="CC10">
            <v>1151.8230207610407</v>
          </cell>
          <cell r="CD10">
            <v>1144.5973629070691</v>
          </cell>
          <cell r="CF10">
            <v>141.7963946012645</v>
          </cell>
          <cell r="CG10">
            <v>0</v>
          </cell>
          <cell r="CI10">
            <v>1609.7071652385237</v>
          </cell>
          <cell r="CJ10">
            <v>1345.0012270508348</v>
          </cell>
          <cell r="CL10">
            <v>0</v>
          </cell>
          <cell r="CM10">
            <v>0</v>
          </cell>
          <cell r="CX10">
            <v>2359.9493482448233</v>
          </cell>
          <cell r="CY10">
            <v>22063.155326101609</v>
          </cell>
        </row>
        <row r="11">
          <cell r="I11">
            <v>10447.029281851068</v>
          </cell>
          <cell r="J11">
            <v>10204.412108991155</v>
          </cell>
          <cell r="L11">
            <v>1976.2910896517481</v>
          </cell>
          <cell r="M11">
            <v>1953.2607859309242</v>
          </cell>
          <cell r="O11">
            <v>3900.24</v>
          </cell>
          <cell r="P11">
            <v>3901.4399999999991</v>
          </cell>
          <cell r="R11">
            <v>0</v>
          </cell>
          <cell r="S11">
            <v>0</v>
          </cell>
          <cell r="U11">
            <v>709.3549077326212</v>
          </cell>
          <cell r="V11">
            <v>1845.3521254289922</v>
          </cell>
          <cell r="X11">
            <v>6731.5049806478719</v>
          </cell>
          <cell r="Y11">
            <v>5400.0160066236058</v>
          </cell>
          <cell r="AA11">
            <v>0</v>
          </cell>
          <cell r="AB11">
            <v>0</v>
          </cell>
          <cell r="AD11">
            <v>11996.61501607987</v>
          </cell>
          <cell r="AE11">
            <v>11385.592886867653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5113.8952716257081</v>
          </cell>
          <cell r="AQ11">
            <v>8232.5848874008061</v>
          </cell>
          <cell r="AS11">
            <v>49233.653275728902</v>
          </cell>
          <cell r="AT11">
            <v>71082.728110169759</v>
          </cell>
          <cell r="AV11">
            <v>1736.5007848946891</v>
          </cell>
          <cell r="AW11">
            <v>0</v>
          </cell>
          <cell r="AY11">
            <v>2547.2603672051077</v>
          </cell>
          <cell r="AZ11">
            <v>0</v>
          </cell>
          <cell r="BB11">
            <v>2008.157574395105</v>
          </cell>
          <cell r="BC11">
            <v>0</v>
          </cell>
          <cell r="BE11">
            <v>0</v>
          </cell>
          <cell r="BF11">
            <v>0</v>
          </cell>
          <cell r="BH11">
            <v>719.6828414324732</v>
          </cell>
          <cell r="BI11">
            <v>0</v>
          </cell>
          <cell r="BK11">
            <v>954.36378428623402</v>
          </cell>
          <cell r="BL11">
            <v>931</v>
          </cell>
          <cell r="BN11">
            <v>0</v>
          </cell>
          <cell r="BO11">
            <v>0</v>
          </cell>
          <cell r="BT11">
            <v>26830.44165415753</v>
          </cell>
          <cell r="BU11">
            <v>45993.650122267616</v>
          </cell>
          <cell r="BW11">
            <v>16444.649035341215</v>
          </cell>
          <cell r="BX11">
            <v>16634.66460023266</v>
          </cell>
          <cell r="BZ11">
            <v>11540.932350380426</v>
          </cell>
          <cell r="CA11">
            <v>7775.3242202211068</v>
          </cell>
          <cell r="CC11">
            <v>1689.7914336752249</v>
          </cell>
          <cell r="CD11">
            <v>1679.1909729063107</v>
          </cell>
          <cell r="CF11">
            <v>208.02356664562419</v>
          </cell>
          <cell r="CG11">
            <v>0</v>
          </cell>
          <cell r="CI11">
            <v>9321.3275382416832</v>
          </cell>
          <cell r="CJ11">
            <v>4808.3075606880066</v>
          </cell>
          <cell r="CL11">
            <v>0</v>
          </cell>
          <cell r="CM11">
            <v>0</v>
          </cell>
          <cell r="CX11">
            <v>9175.5422952322697</v>
          </cell>
          <cell r="CY11">
            <v>-24085.829265274329</v>
          </cell>
        </row>
        <row r="12">
          <cell r="I12">
            <v>22143.709704643246</v>
          </cell>
          <cell r="J12">
            <v>21117.87605925239</v>
          </cell>
          <cell r="L12">
            <v>4148.7647799238448</v>
          </cell>
          <cell r="M12">
            <v>4145.2408296956792</v>
          </cell>
          <cell r="O12">
            <v>7893</v>
          </cell>
          <cell r="P12">
            <v>7893.6000000000013</v>
          </cell>
          <cell r="R12">
            <v>1902.7199999999996</v>
          </cell>
          <cell r="S12">
            <v>1901.76</v>
          </cell>
          <cell r="U12">
            <v>1170.2323882178873</v>
          </cell>
          <cell r="V12">
            <v>1087.9153645398551</v>
          </cell>
          <cell r="X12">
            <v>12453.177955269339</v>
          </cell>
          <cell r="Y12">
            <v>15644.328747809215</v>
          </cell>
          <cell r="AA12">
            <v>0</v>
          </cell>
          <cell r="AB12">
            <v>0</v>
          </cell>
          <cell r="AD12">
            <v>26063.801452113781</v>
          </cell>
          <cell r="AE12">
            <v>24736.297032134571</v>
          </cell>
          <cell r="AJ12">
            <v>62217.855868637125</v>
          </cell>
          <cell r="AK12">
            <v>61827.404570510065</v>
          </cell>
          <cell r="AM12">
            <v>0</v>
          </cell>
          <cell r="AN12">
            <v>0</v>
          </cell>
          <cell r="AP12">
            <v>4971.8426251916617</v>
          </cell>
          <cell r="AQ12">
            <v>4733.1205949455943</v>
          </cell>
          <cell r="AS12">
            <v>141898.69863195342</v>
          </cell>
          <cell r="AT12">
            <v>349207</v>
          </cell>
          <cell r="AV12">
            <v>1171.1209214259991</v>
          </cell>
          <cell r="AW12">
            <v>0</v>
          </cell>
          <cell r="AY12">
            <v>1645.433502069015</v>
          </cell>
          <cell r="AZ12">
            <v>3695</v>
          </cell>
          <cell r="BB12">
            <v>1986.6789211948192</v>
          </cell>
          <cell r="BC12">
            <v>0</v>
          </cell>
          <cell r="BE12">
            <v>646.23445642325851</v>
          </cell>
          <cell r="BF12">
            <v>0</v>
          </cell>
          <cell r="BH12">
            <v>356.19052365989728</v>
          </cell>
          <cell r="BI12">
            <v>0</v>
          </cell>
          <cell r="BK12">
            <v>838.65387638673394</v>
          </cell>
          <cell r="BL12">
            <v>439</v>
          </cell>
          <cell r="BN12">
            <v>0</v>
          </cell>
          <cell r="BO12">
            <v>0</v>
          </cell>
          <cell r="BT12">
            <v>49263.02877620628</v>
          </cell>
          <cell r="BU12">
            <v>37561.650174216775</v>
          </cell>
          <cell r="BW12">
            <v>55197.369979832329</v>
          </cell>
          <cell r="BX12">
            <v>50911.131010513498</v>
          </cell>
          <cell r="BZ12">
            <v>7047.4370349679893</v>
          </cell>
          <cell r="CA12">
            <v>10143.939153795476</v>
          </cell>
          <cell r="CC12">
            <v>2175.6983872751325</v>
          </cell>
          <cell r="CD12">
            <v>2162.0497174217548</v>
          </cell>
          <cell r="CF12">
            <v>267.84165752440077</v>
          </cell>
          <cell r="CG12">
            <v>0</v>
          </cell>
          <cell r="CI12">
            <v>13981.991307362528</v>
          </cell>
          <cell r="CJ12">
            <v>13537.218763372504</v>
          </cell>
          <cell r="CL12">
            <v>21001.063248809573</v>
          </cell>
          <cell r="CM12">
            <v>20305.015354934152</v>
          </cell>
          <cell r="CX12">
            <v>7924.5048010938917</v>
          </cell>
          <cell r="CY12">
            <v>-220803.89684776988</v>
          </cell>
        </row>
        <row r="13">
          <cell r="I13">
            <v>21822.328855203268</v>
          </cell>
          <cell r="J13">
            <v>21011.571316307418</v>
          </cell>
          <cell r="L13">
            <v>4098.1703672127951</v>
          </cell>
          <cell r="M13">
            <v>4094.9657997060408</v>
          </cell>
          <cell r="O13">
            <v>8294.52</v>
          </cell>
          <cell r="P13">
            <v>8293.6800000000021</v>
          </cell>
          <cell r="R13">
            <v>1932.4799999999998</v>
          </cell>
          <cell r="S13">
            <v>1932.8399999999995</v>
          </cell>
          <cell r="U13">
            <v>1170.2323882178873</v>
          </cell>
          <cell r="V13">
            <v>1087.9153645398551</v>
          </cell>
          <cell r="X13">
            <v>14311.687918399553</v>
          </cell>
          <cell r="Y13">
            <v>18230.09185492753</v>
          </cell>
          <cell r="AA13">
            <v>0</v>
          </cell>
          <cell r="AB13">
            <v>0</v>
          </cell>
          <cell r="AD13">
            <v>27006.151963716617</v>
          </cell>
          <cell r="AE13">
            <v>25630.650920082153</v>
          </cell>
          <cell r="AJ13">
            <v>62217.855868637125</v>
          </cell>
          <cell r="AK13">
            <v>61662.884014945615</v>
          </cell>
          <cell r="AM13">
            <v>0</v>
          </cell>
          <cell r="AN13">
            <v>523.36921475437805</v>
          </cell>
          <cell r="AP13">
            <v>5019.1935073363438</v>
          </cell>
          <cell r="AQ13">
            <v>4826.7692179597261</v>
          </cell>
          <cell r="AS13">
            <v>141935.43443123068</v>
          </cell>
          <cell r="AT13">
            <v>324549.72575584368</v>
          </cell>
          <cell r="AV13">
            <v>1149.6382596650008</v>
          </cell>
          <cell r="AW13">
            <v>0</v>
          </cell>
          <cell r="AY13">
            <v>1625.9951276560384</v>
          </cell>
          <cell r="AZ13">
            <v>985</v>
          </cell>
          <cell r="BB13">
            <v>2085.3863774385813</v>
          </cell>
          <cell r="BC13">
            <v>719.28487379341368</v>
          </cell>
          <cell r="BE13">
            <v>652.43151498238683</v>
          </cell>
          <cell r="BF13">
            <v>0</v>
          </cell>
          <cell r="BH13">
            <v>356.19052365989728</v>
          </cell>
          <cell r="BI13">
            <v>7754.8875732244178</v>
          </cell>
          <cell r="BK13">
            <v>817.69904065707567</v>
          </cell>
          <cell r="BL13">
            <v>0</v>
          </cell>
          <cell r="BN13">
            <v>0</v>
          </cell>
          <cell r="BO13">
            <v>3674</v>
          </cell>
          <cell r="BT13">
            <v>51449.560104059317</v>
          </cell>
          <cell r="BU13">
            <v>46186.00505121427</v>
          </cell>
          <cell r="BW13">
            <v>55751.284638078803</v>
          </cell>
          <cell r="BX13">
            <v>54283.40412720645</v>
          </cell>
          <cell r="BZ13">
            <v>7774.3932158540329</v>
          </cell>
          <cell r="CA13">
            <v>11058.361180476668</v>
          </cell>
          <cell r="CC13">
            <v>2679.2532931849637</v>
          </cell>
          <cell r="CD13">
            <v>2662.4457044740789</v>
          </cell>
          <cell r="CF13">
            <v>329.8323182898157</v>
          </cell>
          <cell r="CG13">
            <v>0</v>
          </cell>
          <cell r="CI13">
            <v>9920.2883439118286</v>
          </cell>
          <cell r="CJ13">
            <v>9672.3039406829066</v>
          </cell>
          <cell r="CL13">
            <v>14880.432515867747</v>
          </cell>
          <cell r="CM13">
            <v>14514.072919252529</v>
          </cell>
          <cell r="CX13">
            <v>13245.651312088201</v>
          </cell>
          <cell r="CY13">
            <v>-210042.89459526932</v>
          </cell>
        </row>
        <row r="14"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P14">
            <v>426.15793930214227</v>
          </cell>
          <cell r="AQ14">
            <v>163.50097099840306</v>
          </cell>
          <cell r="AS14">
            <v>3760.1545370985982</v>
          </cell>
          <cell r="AT14">
            <v>0</v>
          </cell>
          <cell r="AV14">
            <v>0</v>
          </cell>
          <cell r="AW14">
            <v>0</v>
          </cell>
          <cell r="AY14">
            <v>0</v>
          </cell>
          <cell r="AZ14">
            <v>0</v>
          </cell>
          <cell r="BB14">
            <v>0</v>
          </cell>
          <cell r="BC14">
            <v>0</v>
          </cell>
          <cell r="BE14">
            <v>0</v>
          </cell>
          <cell r="BF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N14">
            <v>0</v>
          </cell>
          <cell r="BO14">
            <v>0</v>
          </cell>
          <cell r="BT14">
            <v>0</v>
          </cell>
          <cell r="BU14">
            <v>0</v>
          </cell>
          <cell r="BW14">
            <v>0</v>
          </cell>
          <cell r="BX14">
            <v>8.4982402596257351</v>
          </cell>
          <cell r="BZ14">
            <v>0</v>
          </cell>
          <cell r="CA14">
            <v>0</v>
          </cell>
          <cell r="CC14">
            <v>0</v>
          </cell>
          <cell r="CD14">
            <v>0</v>
          </cell>
          <cell r="CF14">
            <v>0</v>
          </cell>
          <cell r="CG14">
            <v>0</v>
          </cell>
          <cell r="CI14">
            <v>0</v>
          </cell>
          <cell r="CJ14">
            <v>0</v>
          </cell>
          <cell r="CL14">
            <v>0</v>
          </cell>
          <cell r="CM14">
            <v>0</v>
          </cell>
          <cell r="CX14">
            <v>226.18502831911314</v>
          </cell>
          <cell r="CY14">
            <v>5043.3609464903657</v>
          </cell>
        </row>
        <row r="15">
          <cell r="I15">
            <v>15237.081027044589</v>
          </cell>
          <cell r="J15">
            <v>12900.168254538452</v>
          </cell>
          <cell r="L15">
            <v>2281.6903186868381</v>
          </cell>
          <cell r="M15">
            <v>2141.9439770118943</v>
          </cell>
          <cell r="O15">
            <v>6631.0800000000008</v>
          </cell>
          <cell r="P15">
            <v>6631.2000000000016</v>
          </cell>
          <cell r="R15">
            <v>1319.2800000000004</v>
          </cell>
          <cell r="S15">
            <v>1319.5200000000002</v>
          </cell>
          <cell r="U15">
            <v>780.05784393801957</v>
          </cell>
          <cell r="V15">
            <v>334.73376445178974</v>
          </cell>
          <cell r="X15">
            <v>5537.402992514184</v>
          </cell>
          <cell r="Y15">
            <v>3644.0500397471287</v>
          </cell>
          <cell r="AA15">
            <v>0</v>
          </cell>
          <cell r="AB15">
            <v>0</v>
          </cell>
          <cell r="AD15">
            <v>17801.997005341636</v>
          </cell>
          <cell r="AE15">
            <v>16875.765570351778</v>
          </cell>
          <cell r="AJ15">
            <v>57609.066383578764</v>
          </cell>
          <cell r="AK15">
            <v>57247.53402516491</v>
          </cell>
          <cell r="AM15">
            <v>0</v>
          </cell>
          <cell r="AN15">
            <v>0</v>
          </cell>
          <cell r="AP15">
            <v>3361.9126322724574</v>
          </cell>
          <cell r="AQ15">
            <v>3260.9333815215973</v>
          </cell>
          <cell r="AS15">
            <v>61354.242663511417</v>
          </cell>
          <cell r="AT15">
            <v>105267.86427632871</v>
          </cell>
          <cell r="AV15">
            <v>1138.6768985519086</v>
          </cell>
          <cell r="AW15">
            <v>9458</v>
          </cell>
          <cell r="AY15">
            <v>1370.8439651512381</v>
          </cell>
          <cell r="AZ15">
            <v>2092</v>
          </cell>
          <cell r="BB15">
            <v>1348.8768585263208</v>
          </cell>
          <cell r="BC15">
            <v>663</v>
          </cell>
          <cell r="BE15">
            <v>632.59131205310621</v>
          </cell>
          <cell r="BF15">
            <v>2474.295231359828</v>
          </cell>
          <cell r="BH15">
            <v>395.76741189229665</v>
          </cell>
          <cell r="BI15">
            <v>0</v>
          </cell>
          <cell r="BK15">
            <v>707.09293208318377</v>
          </cell>
          <cell r="BL15">
            <v>7759.4661192619114</v>
          </cell>
          <cell r="BN15">
            <v>323.17389556343255</v>
          </cell>
          <cell r="BO15">
            <v>5921</v>
          </cell>
          <cell r="BT15">
            <v>68154.352746088392</v>
          </cell>
          <cell r="BU15">
            <v>80176.921495915274</v>
          </cell>
          <cell r="BW15">
            <v>40473.332268932259</v>
          </cell>
          <cell r="BX15">
            <v>47332.472908574477</v>
          </cell>
          <cell r="BZ15">
            <v>12942.356027680196</v>
          </cell>
          <cell r="CA15">
            <v>21281.129349620984</v>
          </cell>
          <cell r="CC15">
            <v>1700.0860725226803</v>
          </cell>
          <cell r="CD15">
            <v>1689.4210310528242</v>
          </cell>
          <cell r="CF15">
            <v>209.29089907949654</v>
          </cell>
          <cell r="CG15">
            <v>0</v>
          </cell>
          <cell r="CI15">
            <v>12840.222271553803</v>
          </cell>
          <cell r="CJ15">
            <v>11491.621814854156</v>
          </cell>
          <cell r="CL15">
            <v>13495.33565275553</v>
          </cell>
          <cell r="CM15">
            <v>17247.357652168008</v>
          </cell>
          <cell r="CX15">
            <v>6113.8079048138898</v>
          </cell>
          <cell r="CY15">
            <v>-101363.69867030848</v>
          </cell>
        </row>
        <row r="16">
          <cell r="I16">
            <v>1055.2366362775244</v>
          </cell>
          <cell r="J16">
            <v>885.72364128127265</v>
          </cell>
          <cell r="L16">
            <v>425.20310390660103</v>
          </cell>
          <cell r="M16">
            <v>375.76099402641916</v>
          </cell>
          <cell r="O16">
            <v>656.15999999999985</v>
          </cell>
          <cell r="P16">
            <v>656.04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>
            <v>593.34845657632729</v>
          </cell>
          <cell r="Y16">
            <v>446.9867952642436</v>
          </cell>
          <cell r="AA16">
            <v>0</v>
          </cell>
          <cell r="AB16">
            <v>0</v>
          </cell>
          <cell r="AD16">
            <v>1752.7916204063258</v>
          </cell>
          <cell r="AE16">
            <v>1663.5168986176811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1136.4211714723797</v>
          </cell>
          <cell r="AQ16">
            <v>992.7455093454862</v>
          </cell>
          <cell r="AS16">
            <v>5275.4233081419625</v>
          </cell>
          <cell r="AT16">
            <v>3705.8700897694571</v>
          </cell>
          <cell r="AV16">
            <v>406.17784979833885</v>
          </cell>
          <cell r="AW16">
            <v>0</v>
          </cell>
          <cell r="AY16">
            <v>548.01401471969587</v>
          </cell>
          <cell r="AZ16">
            <v>0</v>
          </cell>
          <cell r="BB16">
            <v>189.01238177322887</v>
          </cell>
          <cell r="BC16">
            <v>0</v>
          </cell>
          <cell r="BE16">
            <v>0</v>
          </cell>
          <cell r="BF16">
            <v>0</v>
          </cell>
          <cell r="BH16">
            <v>0</v>
          </cell>
          <cell r="BI16">
            <v>0</v>
          </cell>
          <cell r="BK16">
            <v>118.62766249183653</v>
          </cell>
          <cell r="BL16">
            <v>0</v>
          </cell>
          <cell r="BN16">
            <v>167.44238903209089</v>
          </cell>
          <cell r="BO16">
            <v>0</v>
          </cell>
          <cell r="BT16">
            <v>6611.8340365098447</v>
          </cell>
          <cell r="BU16">
            <v>9714.4398487548551</v>
          </cell>
          <cell r="BW16">
            <v>3719.5427875735932</v>
          </cell>
          <cell r="BX16">
            <v>4801.7764867831429</v>
          </cell>
          <cell r="BZ16">
            <v>1802.1827605705448</v>
          </cell>
          <cell r="CA16">
            <v>2246.7900600182907</v>
          </cell>
          <cell r="CC16">
            <v>0</v>
          </cell>
          <cell r="CD16">
            <v>0</v>
          </cell>
          <cell r="CF16">
            <v>0</v>
          </cell>
          <cell r="CG16">
            <v>0</v>
          </cell>
          <cell r="CI16">
            <v>1310.2267624034496</v>
          </cell>
          <cell r="CJ16">
            <v>906.65380367114346</v>
          </cell>
          <cell r="CL16">
            <v>0</v>
          </cell>
          <cell r="CM16">
            <v>0</v>
          </cell>
          <cell r="CX16">
            <v>0.18607001550481073</v>
          </cell>
          <cell r="CY16">
            <v>-754.2049530383913</v>
          </cell>
        </row>
        <row r="17">
          <cell r="I17">
            <v>1055.2366362775244</v>
          </cell>
          <cell r="J17">
            <v>885.10588706802855</v>
          </cell>
          <cell r="L17">
            <v>425.20310390660103</v>
          </cell>
          <cell r="M17">
            <v>385.08759554401831</v>
          </cell>
          <cell r="O17">
            <v>642.96</v>
          </cell>
          <cell r="P17">
            <v>643.08000000000027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>
            <v>593.34845657632729</v>
          </cell>
          <cell r="Y17">
            <v>446.56292809544658</v>
          </cell>
          <cell r="AA17">
            <v>0</v>
          </cell>
          <cell r="AB17">
            <v>0</v>
          </cell>
          <cell r="AD17">
            <v>1727.136631207102</v>
          </cell>
          <cell r="AE17">
            <v>1639.1685918538285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1136.4211714723797</v>
          </cell>
          <cell r="AQ17">
            <v>1134.5662963948414</v>
          </cell>
          <cell r="AS17">
            <v>5093.9400068961404</v>
          </cell>
          <cell r="AT17">
            <v>3281.7533764369227</v>
          </cell>
          <cell r="AV17">
            <v>406.17784979833885</v>
          </cell>
          <cell r="AW17">
            <v>0</v>
          </cell>
          <cell r="AY17">
            <v>548.01401471969587</v>
          </cell>
          <cell r="AZ17">
            <v>0</v>
          </cell>
          <cell r="BB17">
            <v>183.69665744080805</v>
          </cell>
          <cell r="BC17">
            <v>0</v>
          </cell>
          <cell r="BE17">
            <v>0</v>
          </cell>
          <cell r="BF17">
            <v>0</v>
          </cell>
          <cell r="BH17">
            <v>0</v>
          </cell>
          <cell r="BI17">
            <v>0</v>
          </cell>
          <cell r="BK17">
            <v>118.62766249183653</v>
          </cell>
          <cell r="BL17">
            <v>0</v>
          </cell>
          <cell r="BN17">
            <v>163.44184337256877</v>
          </cell>
          <cell r="BO17">
            <v>0</v>
          </cell>
          <cell r="BT17">
            <v>5330.8053077489249</v>
          </cell>
          <cell r="BU17">
            <v>9133.4572485890294</v>
          </cell>
          <cell r="BW17">
            <v>3791.2828893486626</v>
          </cell>
          <cell r="BX17">
            <v>4856.095108460453</v>
          </cell>
          <cell r="BZ17">
            <v>2072.9305127051307</v>
          </cell>
          <cell r="CA17">
            <v>2210.4856728547493</v>
          </cell>
          <cell r="CC17">
            <v>0</v>
          </cell>
          <cell r="CD17">
            <v>0</v>
          </cell>
          <cell r="CF17">
            <v>0</v>
          </cell>
          <cell r="CG17">
            <v>0</v>
          </cell>
          <cell r="CI17">
            <v>1853.0349925420212</v>
          </cell>
          <cell r="CJ17">
            <v>1691.2051345927273</v>
          </cell>
          <cell r="CL17">
            <v>0</v>
          </cell>
          <cell r="CM17">
            <v>0</v>
          </cell>
          <cell r="CX17">
            <v>754.13071619513357</v>
          </cell>
          <cell r="CY17">
            <v>-643.0414078680501</v>
          </cell>
        </row>
        <row r="18">
          <cell r="I18">
            <v>16436.958024670679</v>
          </cell>
          <cell r="J18">
            <v>13598.883930438733</v>
          </cell>
          <cell r="L18">
            <v>3414.9376799555971</v>
          </cell>
          <cell r="M18">
            <v>3116.3824578101312</v>
          </cell>
          <cell r="O18">
            <v>7684.2000000000016</v>
          </cell>
          <cell r="P18">
            <v>7682.2800000000025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>
            <v>14155.60598069868</v>
          </cell>
          <cell r="Y18">
            <v>10754.921681311362</v>
          </cell>
          <cell r="AA18">
            <v>0</v>
          </cell>
          <cell r="AB18">
            <v>0</v>
          </cell>
          <cell r="AD18">
            <v>20911.80927944092</v>
          </cell>
          <cell r="AE18">
            <v>19846.710648328968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15625.791107745223</v>
          </cell>
          <cell r="AQ18">
            <v>15531.08394859832</v>
          </cell>
          <cell r="AS18">
            <v>44404.637292385327</v>
          </cell>
          <cell r="AT18">
            <v>6489.6803302571734</v>
          </cell>
          <cell r="AV18">
            <v>2835.3453908674055</v>
          </cell>
          <cell r="AW18">
            <v>0</v>
          </cell>
          <cell r="AY18">
            <v>4401.3023463595528</v>
          </cell>
          <cell r="AZ18">
            <v>0</v>
          </cell>
          <cell r="BB18">
            <v>2648.0499950002359</v>
          </cell>
          <cell r="BC18">
            <v>0</v>
          </cell>
          <cell r="BE18">
            <v>0</v>
          </cell>
          <cell r="BF18">
            <v>0</v>
          </cell>
          <cell r="BH18">
            <v>0</v>
          </cell>
          <cell r="BI18">
            <v>875</v>
          </cell>
          <cell r="BK18">
            <v>1987.2495874348169</v>
          </cell>
          <cell r="BL18">
            <v>453</v>
          </cell>
          <cell r="BN18">
            <v>961.52059537125353</v>
          </cell>
          <cell r="BO18">
            <v>0</v>
          </cell>
          <cell r="BT18">
            <v>76201.977094679649</v>
          </cell>
          <cell r="BU18">
            <v>113009.31956437776</v>
          </cell>
          <cell r="BW18">
            <v>25973.472753969705</v>
          </cell>
          <cell r="BX18">
            <v>31314.761656888055</v>
          </cell>
          <cell r="BZ18">
            <v>37854.744592733339</v>
          </cell>
          <cell r="CA18">
            <v>26822.108106030748</v>
          </cell>
          <cell r="CC18">
            <v>1810.3857744597046</v>
          </cell>
          <cell r="CD18">
            <v>1799.0287969083274</v>
          </cell>
          <cell r="CF18">
            <v>222.86946087098647</v>
          </cell>
          <cell r="CG18">
            <v>0</v>
          </cell>
          <cell r="CI18">
            <v>10350.791422987251</v>
          </cell>
          <cell r="CJ18">
            <v>8356.524963529906</v>
          </cell>
          <cell r="CL18">
            <v>0</v>
          </cell>
          <cell r="CM18">
            <v>0</v>
          </cell>
          <cell r="CX18">
            <v>15595.961944443727</v>
          </cell>
          <cell r="CY18">
            <v>49474.316698624636</v>
          </cell>
        </row>
        <row r="19">
          <cell r="I19">
            <v>3726.2338068811064</v>
          </cell>
          <cell r="J19">
            <v>3616.6061768009558</v>
          </cell>
          <cell r="L19">
            <v>758.97157692637211</v>
          </cell>
          <cell r="M19">
            <v>750.12934809295098</v>
          </cell>
          <cell r="O19">
            <v>1025.2800000000002</v>
          </cell>
          <cell r="P19">
            <v>805.80627956989269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>
            <v>2256.0397467746502</v>
          </cell>
          <cell r="Y19">
            <v>1616.6339733995469</v>
          </cell>
          <cell r="AA19">
            <v>0</v>
          </cell>
          <cell r="AB19">
            <v>0</v>
          </cell>
          <cell r="AD19">
            <v>3220.9838939625911</v>
          </cell>
          <cell r="AE19">
            <v>3462.329221819838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2983.1055751149961</v>
          </cell>
          <cell r="AQ19">
            <v>2199.0737154436843</v>
          </cell>
          <cell r="AS19">
            <v>9705.774006003523</v>
          </cell>
          <cell r="AT19">
            <v>9649</v>
          </cell>
          <cell r="AV19">
            <v>622.70701360390387</v>
          </cell>
          <cell r="AW19">
            <v>0</v>
          </cell>
          <cell r="AY19">
            <v>978.03471864550966</v>
          </cell>
          <cell r="AZ19">
            <v>0</v>
          </cell>
          <cell r="BB19">
            <v>428.57095447096913</v>
          </cell>
          <cell r="BC19">
            <v>3938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K19">
            <v>237.15890333675827</v>
          </cell>
          <cell r="BL19">
            <v>127</v>
          </cell>
          <cell r="BN19">
            <v>0</v>
          </cell>
          <cell r="BO19">
            <v>0</v>
          </cell>
          <cell r="BT19">
            <v>8677.5241041882527</v>
          </cell>
          <cell r="BU19">
            <v>15181.07016179832</v>
          </cell>
          <cell r="BW19">
            <v>5550.9116399336999</v>
          </cell>
          <cell r="BX19">
            <v>7644.2754731033647</v>
          </cell>
          <cell r="BZ19">
            <v>3723.9077426571544</v>
          </cell>
          <cell r="CA19">
            <v>3104.1742432125093</v>
          </cell>
          <cell r="CC19">
            <v>455.90543467303718</v>
          </cell>
          <cell r="CD19">
            <v>453.04543220274701</v>
          </cell>
          <cell r="CF19">
            <v>56.124722071491298</v>
          </cell>
          <cell r="CG19">
            <v>0</v>
          </cell>
          <cell r="CI19">
            <v>1740.7298414788677</v>
          </cell>
          <cell r="CJ19">
            <v>1387.3774921302954</v>
          </cell>
          <cell r="CL19">
            <v>0</v>
          </cell>
          <cell r="CM19">
            <v>0</v>
          </cell>
          <cell r="CX19">
            <v>-983.71641686746261</v>
          </cell>
          <cell r="CY19">
            <v>-10327.58582108892</v>
          </cell>
        </row>
        <row r="20"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D20">
            <v>0</v>
          </cell>
          <cell r="AE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473.50882144682492</v>
          </cell>
          <cell r="AQ20">
            <v>116.78640785600219</v>
          </cell>
          <cell r="AS20">
            <v>2786.0722045278258</v>
          </cell>
          <cell r="AT20">
            <v>705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B20">
            <v>0</v>
          </cell>
          <cell r="BC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T20">
            <v>95.70804301679</v>
          </cell>
          <cell r="BU20">
            <v>294.60245761241339</v>
          </cell>
          <cell r="BW20">
            <v>0</v>
          </cell>
          <cell r="BX20">
            <v>8.291674601966772</v>
          </cell>
          <cell r="BZ20">
            <v>0</v>
          </cell>
          <cell r="CA20">
            <v>71.852611141165525</v>
          </cell>
          <cell r="CC20">
            <v>0</v>
          </cell>
          <cell r="CD20">
            <v>0</v>
          </cell>
          <cell r="CF20">
            <v>0</v>
          </cell>
          <cell r="CG20">
            <v>0</v>
          </cell>
          <cell r="CI20">
            <v>0</v>
          </cell>
          <cell r="CJ20">
            <v>0</v>
          </cell>
          <cell r="CL20">
            <v>0</v>
          </cell>
          <cell r="CM20">
            <v>0</v>
          </cell>
          <cell r="CX20">
            <v>100.69311721027043</v>
          </cell>
          <cell r="CY20">
            <v>2691.2002185461429</v>
          </cell>
        </row>
        <row r="21">
          <cell r="I21">
            <v>8709.3776392531163</v>
          </cell>
          <cell r="J21">
            <v>8547.7724889085312</v>
          </cell>
          <cell r="L21">
            <v>1697.5582399658852</v>
          </cell>
          <cell r="M21">
            <v>1677.7746861634541</v>
          </cell>
          <cell r="O21">
            <v>3712.4399999999991</v>
          </cell>
          <cell r="P21">
            <v>2918.1515322580649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5301.1001559670467</v>
          </cell>
          <cell r="Y21">
            <v>4174.6240712277677</v>
          </cell>
          <cell r="AA21">
            <v>0</v>
          </cell>
          <cell r="AB21">
            <v>0</v>
          </cell>
          <cell r="AD21">
            <v>12603.44102727218</v>
          </cell>
          <cell r="AE21">
            <v>12459.028571063365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7670.8429074385649</v>
          </cell>
          <cell r="AQ21">
            <v>5829.2105422489858</v>
          </cell>
          <cell r="AS21">
            <v>31307.075740986951</v>
          </cell>
          <cell r="AT21">
            <v>738</v>
          </cell>
          <cell r="AV21">
            <v>1410.4226414909742</v>
          </cell>
          <cell r="AW21">
            <v>0</v>
          </cell>
          <cell r="AY21">
            <v>2187.9777929463976</v>
          </cell>
          <cell r="AZ21">
            <v>0</v>
          </cell>
          <cell r="BB21">
            <v>2012.4976716116134</v>
          </cell>
          <cell r="BC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1088</v>
          </cell>
          <cell r="BK21">
            <v>681.63919774673593</v>
          </cell>
          <cell r="BL21">
            <v>218.46854642875923</v>
          </cell>
          <cell r="BN21">
            <v>0</v>
          </cell>
          <cell r="BO21">
            <v>0</v>
          </cell>
          <cell r="BT21">
            <v>26084.519846066654</v>
          </cell>
          <cell r="BU21">
            <v>39704.165196559778</v>
          </cell>
          <cell r="BW21">
            <v>11741.661571886912</v>
          </cell>
          <cell r="BX21">
            <v>14364.229685320535</v>
          </cell>
          <cell r="BZ21">
            <v>11523.595920320047</v>
          </cell>
          <cell r="CA21">
            <v>8695.0600890845417</v>
          </cell>
          <cell r="CC21">
            <v>1390.3645094835138</v>
          </cell>
          <cell r="CD21">
            <v>1381.6424245305711</v>
          </cell>
          <cell r="CF21">
            <v>171.16229756899315</v>
          </cell>
          <cell r="CG21">
            <v>0</v>
          </cell>
          <cell r="CI21">
            <v>3724.7875102612338</v>
          </cell>
          <cell r="CJ21">
            <v>9545.4449916817339</v>
          </cell>
          <cell r="CL21">
            <v>0</v>
          </cell>
          <cell r="CM21">
            <v>0</v>
          </cell>
          <cell r="CX21">
            <v>14099.922395679816</v>
          </cell>
          <cell r="CY21">
            <v>38806.592609428713</v>
          </cell>
        </row>
        <row r="22">
          <cell r="I22">
            <v>5880.6635193820048</v>
          </cell>
          <cell r="J22">
            <v>5712.9665053732197</v>
          </cell>
          <cell r="L22">
            <v>1182.6983618245154</v>
          </cell>
          <cell r="M22">
            <v>1168.9150114337331</v>
          </cell>
          <cell r="O22">
            <v>2094.7199999999998</v>
          </cell>
          <cell r="P22">
            <v>1646.6248984946235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>
            <v>4224.2624276842016</v>
          </cell>
          <cell r="Y22">
            <v>3262.7399184453661</v>
          </cell>
          <cell r="AA22">
            <v>0</v>
          </cell>
          <cell r="AB22">
            <v>0</v>
          </cell>
          <cell r="AD22">
            <v>6283.4627129893097</v>
          </cell>
          <cell r="AE22">
            <v>6070.6024848862562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P22">
            <v>4119.5267465873767</v>
          </cell>
          <cell r="AQ22">
            <v>3478.1632840270795</v>
          </cell>
          <cell r="AS22">
            <v>22248.50193394117</v>
          </cell>
          <cell r="AT22">
            <v>45016.128794552147</v>
          </cell>
          <cell r="AV22">
            <v>986.5383280712781</v>
          </cell>
          <cell r="AW22">
            <v>0</v>
          </cell>
          <cell r="AY22">
            <v>1524.4756759165948</v>
          </cell>
          <cell r="AZ22">
            <v>0</v>
          </cell>
          <cell r="BB22">
            <v>895.34576072880884</v>
          </cell>
          <cell r="BC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K22">
            <v>524.02558227152133</v>
          </cell>
          <cell r="BL22">
            <v>998.12744007748609</v>
          </cell>
          <cell r="BN22">
            <v>0</v>
          </cell>
          <cell r="BO22">
            <v>0</v>
          </cell>
          <cell r="BT22">
            <v>13784.140374224562</v>
          </cell>
          <cell r="BU22">
            <v>17639.873333001749</v>
          </cell>
          <cell r="BW22">
            <v>13508.542971654135</v>
          </cell>
          <cell r="BX22">
            <v>17778.869459286823</v>
          </cell>
          <cell r="BZ22">
            <v>4905.8473253006678</v>
          </cell>
          <cell r="CA22">
            <v>4507.3677742384298</v>
          </cell>
          <cell r="CC22">
            <v>1967.7466825565277</v>
          </cell>
          <cell r="CD22">
            <v>1955.4025428621792</v>
          </cell>
          <cell r="CF22">
            <v>242.24154236017856</v>
          </cell>
          <cell r="CG22">
            <v>0</v>
          </cell>
          <cell r="CI22">
            <v>3518.8947333121209</v>
          </cell>
          <cell r="CJ22">
            <v>1723.4884336628552</v>
          </cell>
          <cell r="CL22">
            <v>0</v>
          </cell>
          <cell r="CM22">
            <v>0</v>
          </cell>
          <cell r="CX22">
            <v>1151.6083854340377</v>
          </cell>
          <cell r="CY22">
            <v>-26529.553856410337</v>
          </cell>
        </row>
        <row r="23">
          <cell r="I23">
            <v>11921.11106723808</v>
          </cell>
          <cell r="J23">
            <v>11210.694907011755</v>
          </cell>
          <cell r="L23">
            <v>1837.8167790701934</v>
          </cell>
          <cell r="M23">
            <v>1919.9912241473228</v>
          </cell>
          <cell r="O23">
            <v>3674.28</v>
          </cell>
          <cell r="P23">
            <v>3675.48</v>
          </cell>
          <cell r="R23">
            <v>857.7600000000001</v>
          </cell>
          <cell r="S23">
            <v>856.68</v>
          </cell>
          <cell r="U23">
            <v>780.05784393801957</v>
          </cell>
          <cell r="V23">
            <v>546.56355928777316</v>
          </cell>
          <cell r="X23">
            <v>7503.1416795582854</v>
          </cell>
          <cell r="Y23">
            <v>7179.0120519712118</v>
          </cell>
          <cell r="AA23">
            <v>0</v>
          </cell>
          <cell r="AB23">
            <v>0</v>
          </cell>
          <cell r="AD23">
            <v>17456.937400612074</v>
          </cell>
          <cell r="AE23">
            <v>16567.805337463487</v>
          </cell>
          <cell r="AJ23">
            <v>36590.756272284496</v>
          </cell>
          <cell r="AK23">
            <v>35073.834746121429</v>
          </cell>
          <cell r="AM23">
            <v>0</v>
          </cell>
          <cell r="AN23">
            <v>5177.5554204845448</v>
          </cell>
          <cell r="AP23">
            <v>2556.9476358128541</v>
          </cell>
          <cell r="AQ23">
            <v>5013.284464877037</v>
          </cell>
          <cell r="AS23">
            <v>86150.234961449532</v>
          </cell>
          <cell r="AT23">
            <v>107926</v>
          </cell>
          <cell r="AV23">
            <v>1065.1080528000637</v>
          </cell>
          <cell r="AW23">
            <v>0</v>
          </cell>
          <cell r="AY23">
            <v>1202.5998747442443</v>
          </cell>
          <cell r="AZ23">
            <v>0</v>
          </cell>
          <cell r="BB23">
            <v>1024.0808864585176</v>
          </cell>
          <cell r="BC23">
            <v>0</v>
          </cell>
          <cell r="BE23">
            <v>607.04393653984562</v>
          </cell>
          <cell r="BF23">
            <v>0</v>
          </cell>
          <cell r="BH23">
            <v>395.76741189229665</v>
          </cell>
          <cell r="BI23">
            <v>0</v>
          </cell>
          <cell r="BK23">
            <v>1251.243363109031</v>
          </cell>
          <cell r="BL23">
            <v>0</v>
          </cell>
          <cell r="BN23">
            <v>0</v>
          </cell>
          <cell r="BO23">
            <v>0</v>
          </cell>
          <cell r="BT23">
            <v>55567.520645574601</v>
          </cell>
          <cell r="BU23">
            <v>44899.785053093714</v>
          </cell>
          <cell r="BW23">
            <v>24024.497681998633</v>
          </cell>
          <cell r="BX23">
            <v>30255.664311044686</v>
          </cell>
          <cell r="BZ23">
            <v>5189.6256783226609</v>
          </cell>
          <cell r="CA23">
            <v>10267.379355222865</v>
          </cell>
          <cell r="CC23">
            <v>1794.2084848422744</v>
          </cell>
          <cell r="CD23">
            <v>1782.9529912495209</v>
          </cell>
          <cell r="CF23">
            <v>220.87793847490124</v>
          </cell>
          <cell r="CG23">
            <v>0</v>
          </cell>
          <cell r="CI23">
            <v>9551.5530979211453</v>
          </cell>
          <cell r="CJ23">
            <v>15890.718026935447</v>
          </cell>
          <cell r="CL23">
            <v>11866.910962339813</v>
          </cell>
          <cell r="CM23">
            <v>16660.075375063592</v>
          </cell>
          <cell r="CX23">
            <v>-8331.1479859779392</v>
          </cell>
          <cell r="CY23">
            <v>-46507.222188769258</v>
          </cell>
        </row>
        <row r="24"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P24">
            <v>473.50882144682492</v>
          </cell>
          <cell r="AQ24">
            <v>140.14368942720262</v>
          </cell>
          <cell r="AS24">
            <v>3063.3724718601352</v>
          </cell>
          <cell r="AT24">
            <v>2229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T24">
            <v>167.48907527938252</v>
          </cell>
          <cell r="BU24">
            <v>738.91317869564421</v>
          </cell>
          <cell r="BW24">
            <v>0</v>
          </cell>
          <cell r="BX24">
            <v>8.5014678480266515</v>
          </cell>
          <cell r="BZ24">
            <v>0</v>
          </cell>
          <cell r="CA24">
            <v>180.20258302235138</v>
          </cell>
          <cell r="CC24">
            <v>0</v>
          </cell>
          <cell r="CD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X24">
            <v>111.0355576963882</v>
          </cell>
          <cell r="CY24">
            <v>600.16689720813008</v>
          </cell>
        </row>
        <row r="25">
          <cell r="I25">
            <v>0</v>
          </cell>
          <cell r="J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X25">
            <v>0</v>
          </cell>
          <cell r="Y25">
            <v>1877.5197335124285</v>
          </cell>
          <cell r="AA25">
            <v>0</v>
          </cell>
          <cell r="AB25">
            <v>0</v>
          </cell>
          <cell r="AD25">
            <v>0</v>
          </cell>
          <cell r="AE25">
            <v>0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P25">
            <v>473.50882144682492</v>
          </cell>
          <cell r="AQ25">
            <v>140.14368942720262</v>
          </cell>
          <cell r="AS25">
            <v>3448.1801480274876</v>
          </cell>
          <cell r="AT25">
            <v>0</v>
          </cell>
          <cell r="AV25">
            <v>0</v>
          </cell>
          <cell r="AW25">
            <v>0</v>
          </cell>
          <cell r="AY25">
            <v>0</v>
          </cell>
          <cell r="AZ25">
            <v>0</v>
          </cell>
          <cell r="BB25">
            <v>0</v>
          </cell>
          <cell r="BC25">
            <v>0</v>
          </cell>
          <cell r="BE25">
            <v>0</v>
          </cell>
          <cell r="BF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N25">
            <v>0</v>
          </cell>
          <cell r="BO25">
            <v>0</v>
          </cell>
          <cell r="BT25">
            <v>215.34309678777765</v>
          </cell>
          <cell r="BU25">
            <v>923.69891504008149</v>
          </cell>
          <cell r="BW25">
            <v>0</v>
          </cell>
          <cell r="BX25">
            <v>9.6375789651509471</v>
          </cell>
          <cell r="BZ25">
            <v>0</v>
          </cell>
          <cell r="CA25">
            <v>225.26668284450102</v>
          </cell>
          <cell r="CC25">
            <v>0</v>
          </cell>
          <cell r="CD25">
            <v>0</v>
          </cell>
          <cell r="CF25">
            <v>0</v>
          </cell>
          <cell r="CG25">
            <v>0</v>
          </cell>
          <cell r="CI25">
            <v>0</v>
          </cell>
          <cell r="CJ25">
            <v>0</v>
          </cell>
          <cell r="CL25">
            <v>0</v>
          </cell>
          <cell r="CM25">
            <v>0</v>
          </cell>
          <cell r="CX25">
            <v>74.601520485492074</v>
          </cell>
          <cell r="CY25">
            <v>1227.5200802527629</v>
          </cell>
        </row>
        <row r="26"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568.21058573618984</v>
          </cell>
          <cell r="AQ26">
            <v>280.28737885440523</v>
          </cell>
          <cell r="AS26">
            <v>3422.606005975415</v>
          </cell>
          <cell r="AT26">
            <v>733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B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K26">
            <v>0</v>
          </cell>
          <cell r="BL26">
            <v>0</v>
          </cell>
          <cell r="BN26">
            <v>0</v>
          </cell>
          <cell r="BO26">
            <v>0</v>
          </cell>
          <cell r="BT26">
            <v>167.48907527938252</v>
          </cell>
          <cell r="BU26">
            <v>785.12295115224526</v>
          </cell>
          <cell r="BW26">
            <v>0</v>
          </cell>
          <cell r="BX26">
            <v>9.6311237883491021</v>
          </cell>
          <cell r="BZ26">
            <v>0</v>
          </cell>
          <cell r="CA26">
            <v>191.48087697439104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0</v>
          </cell>
          <cell r="CJ26">
            <v>0</v>
          </cell>
          <cell r="CL26">
            <v>0</v>
          </cell>
          <cell r="CM26">
            <v>0</v>
          </cell>
          <cell r="CX26">
            <v>74.873199610814709</v>
          </cell>
          <cell r="CY26">
            <v>2665.413203076731</v>
          </cell>
        </row>
        <row r="27"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960.54070183398426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473.50882144682492</v>
          </cell>
          <cell r="AQ27">
            <v>140.14368942720262</v>
          </cell>
          <cell r="AS27">
            <v>3300.7426716829737</v>
          </cell>
          <cell r="AT27">
            <v>8278.0274057154656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T27">
            <v>95.70804301679</v>
          </cell>
          <cell r="BU27">
            <v>461.93766412010984</v>
          </cell>
          <cell r="BW27">
            <v>0</v>
          </cell>
          <cell r="BX27">
            <v>7.6397017449806706</v>
          </cell>
          <cell r="BZ27">
            <v>0</v>
          </cell>
          <cell r="CA27">
            <v>112.63571156236954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37.435050354384273</v>
          </cell>
          <cell r="CJ27">
            <v>446.02414850485343</v>
          </cell>
          <cell r="CL27">
            <v>0</v>
          </cell>
          <cell r="CM27">
            <v>0</v>
          </cell>
          <cell r="CX27">
            <v>229.68649619883399</v>
          </cell>
          <cell r="CY27">
            <v>-7569.7788274907562</v>
          </cell>
        </row>
        <row r="28">
          <cell r="I28">
            <v>0</v>
          </cell>
          <cell r="J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P28">
            <v>520.85970359150735</v>
          </cell>
          <cell r="AQ28">
            <v>140.14368942720262</v>
          </cell>
          <cell r="AS28">
            <v>3610.927304385797</v>
          </cell>
          <cell r="AT28">
            <v>8376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N28">
            <v>0</v>
          </cell>
          <cell r="BO28">
            <v>0</v>
          </cell>
          <cell r="BT28">
            <v>143.56206452518504</v>
          </cell>
          <cell r="BU28">
            <v>600.3372148078081</v>
          </cell>
          <cell r="BW28">
            <v>0</v>
          </cell>
          <cell r="BX28">
            <v>10.189496581708486</v>
          </cell>
          <cell r="BZ28">
            <v>0</v>
          </cell>
          <cell r="CA28">
            <v>146.41677715224139</v>
          </cell>
          <cell r="CC28">
            <v>0</v>
          </cell>
          <cell r="CD28">
            <v>0</v>
          </cell>
          <cell r="CF28">
            <v>0</v>
          </cell>
          <cell r="CG28">
            <v>0</v>
          </cell>
          <cell r="CI28">
            <v>0</v>
          </cell>
          <cell r="CJ28">
            <v>0</v>
          </cell>
          <cell r="CL28">
            <v>0</v>
          </cell>
          <cell r="CM28">
            <v>0</v>
          </cell>
          <cell r="CX28">
            <v>128.2211129970126</v>
          </cell>
          <cell r="CY28">
            <v>-5869.0646135627512</v>
          </cell>
        </row>
        <row r="29"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973.52646544137247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P29">
            <v>568.21058573618984</v>
          </cell>
          <cell r="AQ29">
            <v>280.28737885440523</v>
          </cell>
          <cell r="AS29">
            <v>3172.9908744899853</v>
          </cell>
          <cell r="AT29">
            <v>3593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T29">
            <v>95.70804301679</v>
          </cell>
          <cell r="BU29">
            <v>428.58019583913182</v>
          </cell>
          <cell r="BW29">
            <v>0</v>
          </cell>
          <cell r="BX29">
            <v>7.7429845738101521</v>
          </cell>
          <cell r="BZ29">
            <v>0</v>
          </cell>
          <cell r="CA29">
            <v>104.68072571825196</v>
          </cell>
          <cell r="CC29">
            <v>0</v>
          </cell>
          <cell r="CD29">
            <v>0</v>
          </cell>
          <cell r="CF29">
            <v>0</v>
          </cell>
          <cell r="CG29">
            <v>0</v>
          </cell>
          <cell r="CI29">
            <v>374.35050354384271</v>
          </cell>
          <cell r="CJ29">
            <v>273.61851941405422</v>
          </cell>
          <cell r="CL29">
            <v>0</v>
          </cell>
          <cell r="CM29">
            <v>0</v>
          </cell>
          <cell r="CX29">
            <v>4.1279918558309419</v>
          </cell>
          <cell r="CY29">
            <v>-1736.0835238092302</v>
          </cell>
        </row>
        <row r="30"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0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284.10529286809492</v>
          </cell>
          <cell r="AQ30">
            <v>186.85825256960351</v>
          </cell>
          <cell r="AS30">
            <v>2079.51285890175</v>
          </cell>
          <cell r="AT30">
            <v>0</v>
          </cell>
          <cell r="AV30">
            <v>0</v>
          </cell>
          <cell r="AW30">
            <v>0</v>
          </cell>
          <cell r="AY30">
            <v>0</v>
          </cell>
          <cell r="AZ30">
            <v>0</v>
          </cell>
          <cell r="BB30">
            <v>0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K30">
            <v>0</v>
          </cell>
          <cell r="BL30">
            <v>0</v>
          </cell>
          <cell r="BN30">
            <v>0</v>
          </cell>
          <cell r="BO30">
            <v>0</v>
          </cell>
          <cell r="BT30">
            <v>71.781032262592518</v>
          </cell>
          <cell r="BU30">
            <v>285.65243391238073</v>
          </cell>
          <cell r="BW30">
            <v>0</v>
          </cell>
          <cell r="BX30">
            <v>4.376609871649257</v>
          </cell>
          <cell r="BZ30">
            <v>0</v>
          </cell>
          <cell r="CA30">
            <v>69.777391054420448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112.30515106315279</v>
          </cell>
          <cell r="CJ30">
            <v>0</v>
          </cell>
          <cell r="CL30">
            <v>0</v>
          </cell>
          <cell r="CM30">
            <v>0</v>
          </cell>
          <cell r="CX30">
            <v>43.554797885291237</v>
          </cell>
          <cell r="CY30">
            <v>2444.8023751103351</v>
          </cell>
        </row>
        <row r="31"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932.94595416828474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473.50882144682492</v>
          </cell>
          <cell r="AQ31">
            <v>140.14368942720262</v>
          </cell>
          <cell r="AS31">
            <v>3202.2965626350124</v>
          </cell>
          <cell r="AT31">
            <v>461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T31">
            <v>167.48907527938252</v>
          </cell>
          <cell r="BU31">
            <v>571.30486782476146</v>
          </cell>
          <cell r="BW31">
            <v>0</v>
          </cell>
          <cell r="BX31">
            <v>7.4202257337180253</v>
          </cell>
          <cell r="BZ31">
            <v>0</v>
          </cell>
          <cell r="CA31">
            <v>139.5547821088409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I31">
            <v>280.76287765788197</v>
          </cell>
          <cell r="CJ31">
            <v>119.56144934341143</v>
          </cell>
          <cell r="CL31">
            <v>0</v>
          </cell>
          <cell r="CM31">
            <v>0</v>
          </cell>
          <cell r="CX31">
            <v>123.65119557707794</v>
          </cell>
          <cell r="CY31">
            <v>2226.2028376725366</v>
          </cell>
        </row>
        <row r="32">
          <cell r="I32">
            <v>8429.3491713349395</v>
          </cell>
          <cell r="J32">
            <v>8214.061691573088</v>
          </cell>
          <cell r="L32">
            <v>1373.8450089810874</v>
          </cell>
          <cell r="M32">
            <v>1357.8364768793649</v>
          </cell>
          <cell r="O32">
            <v>3283.1999999999994</v>
          </cell>
          <cell r="P32">
            <v>2580.6909129032256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>
            <v>4815.1927619097105</v>
          </cell>
          <cell r="Y32">
            <v>5975.2940644431419</v>
          </cell>
          <cell r="AA32">
            <v>0</v>
          </cell>
          <cell r="AB32">
            <v>0</v>
          </cell>
          <cell r="AD32">
            <v>9268.2924313730437</v>
          </cell>
          <cell r="AE32">
            <v>8796.2316235544749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6108.2637966640423</v>
          </cell>
          <cell r="AQ32">
            <v>5667.6468844679739</v>
          </cell>
          <cell r="AS32">
            <v>19445.542682432064</v>
          </cell>
          <cell r="AT32">
            <v>13311.648892924179</v>
          </cell>
          <cell r="AV32">
            <v>1396.2086358316283</v>
          </cell>
          <cell r="AW32">
            <v>0</v>
          </cell>
          <cell r="AY32">
            <v>1770.7758464928704</v>
          </cell>
          <cell r="AZ32">
            <v>0</v>
          </cell>
          <cell r="BB32">
            <v>1714.5807661110878</v>
          </cell>
          <cell r="BC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K32">
            <v>623.00202163195547</v>
          </cell>
          <cell r="BL32">
            <v>133.007111349609</v>
          </cell>
          <cell r="BN32">
            <v>0</v>
          </cell>
          <cell r="BO32">
            <v>0</v>
          </cell>
          <cell r="BT32">
            <v>25592.849527042537</v>
          </cell>
          <cell r="BU32">
            <v>31690.147538679055</v>
          </cell>
          <cell r="BW32">
            <v>13610.877826594964</v>
          </cell>
          <cell r="BX32">
            <v>15259.903019921981</v>
          </cell>
          <cell r="BZ32">
            <v>7361.3604016461768</v>
          </cell>
          <cell r="CA32">
            <v>8111.4053545728721</v>
          </cell>
          <cell r="CC32">
            <v>1338.3030501692374</v>
          </cell>
          <cell r="CD32">
            <v>1329.9075590467735</v>
          </cell>
          <cell r="CF32">
            <v>164.75321640340997</v>
          </cell>
          <cell r="CG32">
            <v>0</v>
          </cell>
          <cell r="CI32">
            <v>2938.6514528191651</v>
          </cell>
          <cell r="CJ32">
            <v>2037.4957438893716</v>
          </cell>
          <cell r="CL32">
            <v>0</v>
          </cell>
          <cell r="CM32">
            <v>0</v>
          </cell>
          <cell r="CX32">
            <v>3275.701683074527</v>
          </cell>
          <cell r="CY32">
            <v>8999.4277509538588</v>
          </cell>
        </row>
        <row r="33">
          <cell r="I33">
            <v>6553.5103955338063</v>
          </cell>
          <cell r="J33">
            <v>6403.5862059336123</v>
          </cell>
          <cell r="L33">
            <v>942.13159317784914</v>
          </cell>
          <cell r="M33">
            <v>931.15471513760474</v>
          </cell>
          <cell r="O33">
            <v>3230.1599999999994</v>
          </cell>
          <cell r="P33">
            <v>2539.0079875000001</v>
          </cell>
          <cell r="R33">
            <v>802.44</v>
          </cell>
          <cell r="S33">
            <v>630.90573309139791</v>
          </cell>
          <cell r="U33">
            <v>0</v>
          </cell>
          <cell r="V33">
            <v>0</v>
          </cell>
          <cell r="X33">
            <v>4566.3026389082852</v>
          </cell>
          <cell r="Y33">
            <v>5749.5240992159852</v>
          </cell>
          <cell r="AA33">
            <v>0</v>
          </cell>
          <cell r="AB33">
            <v>0</v>
          </cell>
          <cell r="AD33">
            <v>9900.9872233412407</v>
          </cell>
          <cell r="AE33">
            <v>9457.5722157719847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1515.2282286298394</v>
          </cell>
          <cell r="AQ33">
            <v>1290.123036758187</v>
          </cell>
          <cell r="AS33">
            <v>26324.179502245101</v>
          </cell>
          <cell r="AT33">
            <v>3469.6754889223862</v>
          </cell>
          <cell r="AV33">
            <v>1104.5251336916506</v>
          </cell>
          <cell r="AW33">
            <v>0</v>
          </cell>
          <cell r="AY33">
            <v>1214.0218303771728</v>
          </cell>
          <cell r="AZ33">
            <v>0</v>
          </cell>
          <cell r="BB33">
            <v>1670.5555872544812</v>
          </cell>
          <cell r="BC33">
            <v>0</v>
          </cell>
          <cell r="BE33">
            <v>998.27527358523878</v>
          </cell>
          <cell r="BF33">
            <v>0</v>
          </cell>
          <cell r="BH33">
            <v>0</v>
          </cell>
          <cell r="BI33">
            <v>0</v>
          </cell>
          <cell r="BK33">
            <v>597.47671338573207</v>
          </cell>
          <cell r="BL33">
            <v>0</v>
          </cell>
          <cell r="BN33">
            <v>0</v>
          </cell>
          <cell r="BO33">
            <v>0</v>
          </cell>
          <cell r="BT33">
            <v>43367.585313592252</v>
          </cell>
          <cell r="BU33">
            <v>54180.100512539531</v>
          </cell>
          <cell r="BW33">
            <v>22548.518532907128</v>
          </cell>
          <cell r="BX33">
            <v>23037.699873367623</v>
          </cell>
          <cell r="BZ33">
            <v>13833.922383007412</v>
          </cell>
          <cell r="CA33">
            <v>9546.2022974375086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2845.0638269332048</v>
          </cell>
          <cell r="CJ33">
            <v>3507.641920674374</v>
          </cell>
          <cell r="CL33">
            <v>0</v>
          </cell>
          <cell r="CM33">
            <v>0</v>
          </cell>
          <cell r="CX33">
            <v>3483.1389881155264</v>
          </cell>
          <cell r="CY33">
            <v>29009.167096379766</v>
          </cell>
        </row>
        <row r="34">
          <cell r="I34">
            <v>9834.455287345314</v>
          </cell>
          <cell r="J34">
            <v>9612.4682109161986</v>
          </cell>
          <cell r="L34">
            <v>1939.6008374771093</v>
          </cell>
          <cell r="M34">
            <v>1916.997222904208</v>
          </cell>
          <cell r="O34">
            <v>4572.6000000000013</v>
          </cell>
          <cell r="P34">
            <v>3594.0002079301084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>
            <v>8150.3154452135195</v>
          </cell>
          <cell r="Y34">
            <v>6440.946652695884</v>
          </cell>
          <cell r="AA34">
            <v>0</v>
          </cell>
          <cell r="AB34">
            <v>0</v>
          </cell>
          <cell r="AD34">
            <v>13910.691001918645</v>
          </cell>
          <cell r="AE34">
            <v>13187.427973225327</v>
          </cell>
          <cell r="AJ34">
            <v>0</v>
          </cell>
          <cell r="AK34">
            <v>0</v>
          </cell>
          <cell r="AM34">
            <v>0</v>
          </cell>
          <cell r="AN34">
            <v>0</v>
          </cell>
          <cell r="AP34">
            <v>7244.684968136422</v>
          </cell>
          <cell r="AQ34">
            <v>7180.6307397438532</v>
          </cell>
          <cell r="AS34">
            <v>25943.829159957048</v>
          </cell>
          <cell r="AT34">
            <v>35903.370460657243</v>
          </cell>
          <cell r="AV34">
            <v>1666.780568349227</v>
          </cell>
          <cell r="AW34">
            <v>613</v>
          </cell>
          <cell r="AY34">
            <v>2500.0046959344322</v>
          </cell>
          <cell r="AZ34">
            <v>0</v>
          </cell>
          <cell r="BB34">
            <v>2427.9756690953336</v>
          </cell>
          <cell r="BC34">
            <v>1299.9893863603036</v>
          </cell>
          <cell r="BE34">
            <v>0</v>
          </cell>
          <cell r="BF34">
            <v>0</v>
          </cell>
          <cell r="BH34">
            <v>0</v>
          </cell>
          <cell r="BI34">
            <v>0</v>
          </cell>
          <cell r="BK34">
            <v>1094.438969058577</v>
          </cell>
          <cell r="BL34">
            <v>0</v>
          </cell>
          <cell r="BN34">
            <v>0</v>
          </cell>
          <cell r="BO34">
            <v>0</v>
          </cell>
          <cell r="BT34">
            <v>40928.143427309173</v>
          </cell>
          <cell r="BU34">
            <v>56790.372374852959</v>
          </cell>
          <cell r="BW34">
            <v>26615.944405099595</v>
          </cell>
          <cell r="BX34">
            <v>28390.202782294877</v>
          </cell>
          <cell r="BZ34">
            <v>17165.279443952728</v>
          </cell>
          <cell r="CA34">
            <v>10892.406515952713</v>
          </cell>
          <cell r="CC34">
            <v>1014.7572578206309</v>
          </cell>
          <cell r="CD34">
            <v>1008.3914458706306</v>
          </cell>
          <cell r="CF34">
            <v>124.92276848170648</v>
          </cell>
          <cell r="CG34">
            <v>0</v>
          </cell>
          <cell r="CI34">
            <v>2320.9731219718246</v>
          </cell>
          <cell r="CJ34">
            <v>1935.519081862144</v>
          </cell>
          <cell r="CL34">
            <v>0</v>
          </cell>
          <cell r="CM34">
            <v>0</v>
          </cell>
          <cell r="CX34">
            <v>-62.996432545493008</v>
          </cell>
          <cell r="CY34">
            <v>-13635.387666319719</v>
          </cell>
        </row>
        <row r="35">
          <cell r="I35">
            <v>4528.3414276007479</v>
          </cell>
          <cell r="J35">
            <v>4383.4558006315192</v>
          </cell>
          <cell r="L35">
            <v>829.39944325873387</v>
          </cell>
          <cell r="M35">
            <v>819.73199325713142</v>
          </cell>
          <cell r="O35">
            <v>1257.3599999999999</v>
          </cell>
          <cell r="P35">
            <v>988.28887580645153</v>
          </cell>
          <cell r="R35">
            <v>310.44</v>
          </cell>
          <cell r="S35">
            <v>244.07244435483869</v>
          </cell>
          <cell r="U35">
            <v>0</v>
          </cell>
          <cell r="V35">
            <v>0</v>
          </cell>
          <cell r="X35">
            <v>1655.8291424560905</v>
          </cell>
          <cell r="Y35">
            <v>1246.7222785055606</v>
          </cell>
          <cell r="AA35">
            <v>0</v>
          </cell>
          <cell r="AB35">
            <v>0</v>
          </cell>
          <cell r="AD35">
            <v>3953.00625244712</v>
          </cell>
          <cell r="AE35">
            <v>3743.9579700550648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757.61411431491968</v>
          </cell>
          <cell r="AQ35">
            <v>753.26380904848088</v>
          </cell>
          <cell r="AS35">
            <v>9675.8027808819879</v>
          </cell>
          <cell r="AT35">
            <v>97</v>
          </cell>
          <cell r="AV35">
            <v>820.02986108049629</v>
          </cell>
          <cell r="AW35">
            <v>1499</v>
          </cell>
          <cell r="AY35">
            <v>1069.108211524024</v>
          </cell>
          <cell r="AZ35">
            <v>0</v>
          </cell>
          <cell r="BB35">
            <v>553.36969120853234</v>
          </cell>
          <cell r="BC35">
            <v>0</v>
          </cell>
          <cell r="BE35">
            <v>370.18299840996019</v>
          </cell>
          <cell r="BF35">
            <v>0</v>
          </cell>
          <cell r="BH35">
            <v>0</v>
          </cell>
          <cell r="BI35">
            <v>0</v>
          </cell>
          <cell r="BK35">
            <v>177.79635838721791</v>
          </cell>
          <cell r="BL35">
            <v>0</v>
          </cell>
          <cell r="BN35">
            <v>354.54550466262327</v>
          </cell>
          <cell r="BO35">
            <v>0</v>
          </cell>
          <cell r="BT35">
            <v>13307.911690243716</v>
          </cell>
          <cell r="BU35">
            <v>20716.35728324431</v>
          </cell>
          <cell r="BW35">
            <v>7268.2287553283495</v>
          </cell>
          <cell r="BX35">
            <v>8499.1187466844422</v>
          </cell>
          <cell r="BZ35">
            <v>4571.9514763082498</v>
          </cell>
          <cell r="CA35">
            <v>3405.9341811561449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2620.4535248068992</v>
          </cell>
          <cell r="CJ35">
            <v>1412.3852231915794</v>
          </cell>
          <cell r="CL35">
            <v>0</v>
          </cell>
          <cell r="CM35">
            <v>0</v>
          </cell>
          <cell r="CX35">
            <v>1504.4745204963947</v>
          </cell>
          <cell r="CY35">
            <v>9030.9736728773787</v>
          </cell>
        </row>
        <row r="36">
          <cell r="I36">
            <v>4355.4833205862442</v>
          </cell>
          <cell r="J36">
            <v>4206.4844907891566</v>
          </cell>
          <cell r="L36">
            <v>829.39944325873387</v>
          </cell>
          <cell r="M36">
            <v>819.73199325713142</v>
          </cell>
          <cell r="O36">
            <v>1191.5999999999997</v>
          </cell>
          <cell r="P36">
            <v>936.59840107526861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1655.8291424560905</v>
          </cell>
          <cell r="Y36">
            <v>2740.5374073582402</v>
          </cell>
          <cell r="AA36">
            <v>0</v>
          </cell>
          <cell r="AB36">
            <v>0</v>
          </cell>
          <cell r="AD36">
            <v>3887.5860299890992</v>
          </cell>
          <cell r="AE36">
            <v>3689.5800849491288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1846.6844036426171</v>
          </cell>
          <cell r="AQ36">
            <v>1634.8363709953501</v>
          </cell>
          <cell r="AS36">
            <v>13072.906332391225</v>
          </cell>
          <cell r="AT36">
            <v>2117</v>
          </cell>
          <cell r="AV36">
            <v>809.53784551423257</v>
          </cell>
          <cell r="AW36">
            <v>0</v>
          </cell>
          <cell r="AY36">
            <v>1069.108211524024</v>
          </cell>
          <cell r="AZ36">
            <v>0</v>
          </cell>
          <cell r="BB36">
            <v>634.63666133940603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177.79635838721791</v>
          </cell>
          <cell r="BL36">
            <v>0</v>
          </cell>
          <cell r="BN36">
            <v>0</v>
          </cell>
          <cell r="BO36">
            <v>0</v>
          </cell>
          <cell r="BT36">
            <v>16696.669360520005</v>
          </cell>
          <cell r="BU36">
            <v>18224.647929971296</v>
          </cell>
          <cell r="BW36">
            <v>6800.0452194747886</v>
          </cell>
          <cell r="BX36">
            <v>8002.9477264833849</v>
          </cell>
          <cell r="BZ36">
            <v>2585.4140844191334</v>
          </cell>
          <cell r="CA36">
            <v>3255.0783889542795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1085.6164602771439</v>
          </cell>
          <cell r="CJ36">
            <v>886.05684355999983</v>
          </cell>
          <cell r="CL36">
            <v>0</v>
          </cell>
          <cell r="CM36">
            <v>0</v>
          </cell>
          <cell r="CX36">
            <v>8.2645514640425972</v>
          </cell>
          <cell r="CY36">
            <v>12230.040435128121</v>
          </cell>
        </row>
        <row r="37">
          <cell r="I37">
            <v>6112.1888467376111</v>
          </cell>
          <cell r="J37">
            <v>5977.8460871481811</v>
          </cell>
          <cell r="L37">
            <v>1048.6564392756302</v>
          </cell>
          <cell r="M37">
            <v>1036.4360271506505</v>
          </cell>
          <cell r="O37">
            <v>2847.2400000000002</v>
          </cell>
          <cell r="P37">
            <v>2237.9792029569894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>
            <v>3208.9377820978698</v>
          </cell>
          <cell r="Y37">
            <v>4770.0288041375852</v>
          </cell>
          <cell r="AA37">
            <v>0</v>
          </cell>
          <cell r="AB37">
            <v>0</v>
          </cell>
          <cell r="AD37">
            <v>7983.4050556452339</v>
          </cell>
          <cell r="AE37">
            <v>7576.7872597981914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5255.9479180597582</v>
          </cell>
          <cell r="AQ37">
            <v>4341.0327841923918</v>
          </cell>
          <cell r="AS37">
            <v>22899.60396536687</v>
          </cell>
          <cell r="AT37">
            <v>25323</v>
          </cell>
          <cell r="AV37">
            <v>1015.3422893615108</v>
          </cell>
          <cell r="AW37">
            <v>0</v>
          </cell>
          <cell r="AY37">
            <v>1351.7095979690157</v>
          </cell>
          <cell r="AZ37">
            <v>605</v>
          </cell>
          <cell r="BB37">
            <v>1182.3068432020484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394.35343658054012</v>
          </cell>
          <cell r="BL37">
            <v>1104</v>
          </cell>
          <cell r="BN37">
            <v>0</v>
          </cell>
          <cell r="BO37">
            <v>0</v>
          </cell>
          <cell r="BT37">
            <v>14820.466327917826</v>
          </cell>
          <cell r="BU37">
            <v>20655.534759460854</v>
          </cell>
          <cell r="BW37">
            <v>8528.8340943218918</v>
          </cell>
          <cell r="BX37">
            <v>11059.629559198063</v>
          </cell>
          <cell r="BZ37">
            <v>7031.1649556557759</v>
          </cell>
          <cell r="CA37">
            <v>5414.7396561221594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2246.1030212630558</v>
          </cell>
          <cell r="CJ37">
            <v>780.16427300341104</v>
          </cell>
          <cell r="CL37">
            <v>0</v>
          </cell>
          <cell r="CM37">
            <v>0</v>
          </cell>
          <cell r="CX37">
            <v>3093.7673118544408</v>
          </cell>
          <cell r="CY37">
            <v>-2853.3340958021863</v>
          </cell>
        </row>
        <row r="38">
          <cell r="I38">
            <v>4435.5807739018737</v>
          </cell>
          <cell r="J38">
            <v>4317.8927607037685</v>
          </cell>
          <cell r="L38">
            <v>901.59389293347112</v>
          </cell>
          <cell r="M38">
            <v>891.08932695486226</v>
          </cell>
          <cell r="O38">
            <v>1587.7199999999996</v>
          </cell>
          <cell r="P38">
            <v>1247.9294186021507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>
            <v>2943.4674449713498</v>
          </cell>
          <cell r="Y38">
            <v>2187.316531010631</v>
          </cell>
          <cell r="AA38">
            <v>0</v>
          </cell>
          <cell r="AB38">
            <v>0</v>
          </cell>
          <cell r="AD38">
            <v>5014.7379804570119</v>
          </cell>
          <cell r="AE38">
            <v>4759.322942618991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2556.9476358128541</v>
          </cell>
          <cell r="AQ38">
            <v>1916.2982561159461</v>
          </cell>
          <cell r="AS38">
            <v>13253.691656900462</v>
          </cell>
          <cell r="AT38">
            <v>4128</v>
          </cell>
          <cell r="AV38">
            <v>804.96705409443678</v>
          </cell>
          <cell r="AW38">
            <v>808</v>
          </cell>
          <cell r="AY38">
            <v>1161.7552519950484</v>
          </cell>
          <cell r="AZ38">
            <v>0</v>
          </cell>
          <cell r="BB38">
            <v>805.76996270419556</v>
          </cell>
          <cell r="BC38">
            <v>4290.0723236204876</v>
          </cell>
          <cell r="BE38">
            <v>0</v>
          </cell>
          <cell r="BF38">
            <v>0</v>
          </cell>
          <cell r="BH38">
            <v>0</v>
          </cell>
          <cell r="BI38">
            <v>0</v>
          </cell>
          <cell r="BK38">
            <v>344.01005165057478</v>
          </cell>
          <cell r="BL38">
            <v>0</v>
          </cell>
          <cell r="BN38">
            <v>0</v>
          </cell>
          <cell r="BO38">
            <v>0</v>
          </cell>
          <cell r="BT38">
            <v>20898.356734198576</v>
          </cell>
          <cell r="BU38">
            <v>27992.133828864411</v>
          </cell>
          <cell r="BW38">
            <v>8044.7799702994998</v>
          </cell>
          <cell r="BX38">
            <v>11616.247617713096</v>
          </cell>
          <cell r="BZ38">
            <v>6377.3515930049571</v>
          </cell>
          <cell r="CA38">
            <v>6684.9929824908577</v>
          </cell>
          <cell r="CC38">
            <v>288.24988772875884</v>
          </cell>
          <cell r="CD38">
            <v>286.44162810238197</v>
          </cell>
          <cell r="CF38">
            <v>35.485308148426761</v>
          </cell>
          <cell r="CG38">
            <v>0</v>
          </cell>
          <cell r="CI38">
            <v>2770.1937262244369</v>
          </cell>
          <cell r="CJ38">
            <v>1763.0882507711985</v>
          </cell>
          <cell r="CL38">
            <v>0</v>
          </cell>
          <cell r="CM38">
            <v>0</v>
          </cell>
          <cell r="CX38">
            <v>2042.3292899688786</v>
          </cell>
          <cell r="CY38">
            <v>1245.3289589174619</v>
          </cell>
        </row>
        <row r="39">
          <cell r="I39">
            <v>5201.1438118119431</v>
          </cell>
          <cell r="J39">
            <v>5073.9992022948572</v>
          </cell>
          <cell r="L39">
            <v>930.88980632443679</v>
          </cell>
          <cell r="M39">
            <v>920.04168775844983</v>
          </cell>
          <cell r="O39">
            <v>2049.9599999999996</v>
          </cell>
          <cell r="P39">
            <v>1611.3444666666664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>
            <v>2969.7558275587112</v>
          </cell>
          <cell r="Y39">
            <v>2262.530022581218</v>
          </cell>
          <cell r="AA39">
            <v>0</v>
          </cell>
          <cell r="AB39">
            <v>0</v>
          </cell>
          <cell r="AD39">
            <v>6192.6868095393884</v>
          </cell>
          <cell r="AE39">
            <v>5877.2754476812825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P39">
            <v>3835.4214537192825</v>
          </cell>
          <cell r="AQ39">
            <v>3551.8599886553739</v>
          </cell>
          <cell r="AS39">
            <v>13109.049404285943</v>
          </cell>
          <cell r="AT39">
            <v>8662.0098444404248</v>
          </cell>
          <cell r="AV39">
            <v>881.52168481373383</v>
          </cell>
          <cell r="AW39">
            <v>0</v>
          </cell>
          <cell r="AY39">
            <v>1199.9207699340923</v>
          </cell>
          <cell r="AZ39">
            <v>0</v>
          </cell>
          <cell r="BB39">
            <v>1148.1747516299097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K39">
            <v>360.33684092152436</v>
          </cell>
          <cell r="BL39">
            <v>0</v>
          </cell>
          <cell r="BN39">
            <v>0</v>
          </cell>
          <cell r="BO39">
            <v>0</v>
          </cell>
          <cell r="BT39">
            <v>27474.441895240172</v>
          </cell>
          <cell r="BU39">
            <v>40960.462086627791</v>
          </cell>
          <cell r="BW39">
            <v>8979.1165357172977</v>
          </cell>
          <cell r="BX39">
            <v>12827.019966027405</v>
          </cell>
          <cell r="BZ39">
            <v>12339.109050015353</v>
          </cell>
          <cell r="CA39">
            <v>9365.5293405274606</v>
          </cell>
          <cell r="CC39">
            <v>905.92821857609943</v>
          </cell>
          <cell r="CD39">
            <v>900.24511689320047</v>
          </cell>
          <cell r="CF39">
            <v>111.52525418076982</v>
          </cell>
          <cell r="CG39">
            <v>0</v>
          </cell>
          <cell r="CI39">
            <v>2489.4308485665547</v>
          </cell>
          <cell r="CJ39">
            <v>59.367249795415418</v>
          </cell>
          <cell r="CL39">
            <v>0</v>
          </cell>
          <cell r="CM39">
            <v>0</v>
          </cell>
          <cell r="CX39">
            <v>0.34444459775841096</v>
          </cell>
          <cell r="CY39">
            <v>-2271.5813039394407</v>
          </cell>
        </row>
        <row r="40">
          <cell r="I40">
            <v>6112.187376305912</v>
          </cell>
          <cell r="J40">
            <v>6008.3887818344519</v>
          </cell>
          <cell r="L40">
            <v>1048.6564392756302</v>
          </cell>
          <cell r="M40">
            <v>1036.4360271506505</v>
          </cell>
          <cell r="O40">
            <v>2692.4399999999991</v>
          </cell>
          <cell r="P40">
            <v>2116.3894010752692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>
            <v>3570.2381190269921</v>
          </cell>
          <cell r="Y40">
            <v>2774.3252203527727</v>
          </cell>
          <cell r="AA40">
            <v>0</v>
          </cell>
          <cell r="AB40">
            <v>0</v>
          </cell>
          <cell r="AD40">
            <v>9053.6456884062027</v>
          </cell>
          <cell r="AE40">
            <v>8592.5174569635765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5255.9479180597582</v>
          </cell>
          <cell r="AQ40">
            <v>5031.8487100927496</v>
          </cell>
          <cell r="AS40">
            <v>13921.679285053164</v>
          </cell>
          <cell r="AT40">
            <v>5891.136377040204</v>
          </cell>
          <cell r="AV40">
            <v>1015.3422893615108</v>
          </cell>
          <cell r="AW40">
            <v>534.67626702048801</v>
          </cell>
          <cell r="AY40">
            <v>1351.7095979690157</v>
          </cell>
          <cell r="AZ40">
            <v>0</v>
          </cell>
          <cell r="BB40">
            <v>1648.2240323758767</v>
          </cell>
          <cell r="BC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K40">
            <v>420.22302392221758</v>
          </cell>
          <cell r="BL40">
            <v>126</v>
          </cell>
          <cell r="BN40">
            <v>0</v>
          </cell>
          <cell r="BO40">
            <v>0</v>
          </cell>
          <cell r="BT40">
            <v>22250.078621833833</v>
          </cell>
          <cell r="BU40">
            <v>35262.045776800034</v>
          </cell>
          <cell r="BW40">
            <v>9931.9045017869958</v>
          </cell>
          <cell r="BX40">
            <v>11887.109055023744</v>
          </cell>
          <cell r="BZ40">
            <v>11411.901847414454</v>
          </cell>
          <cell r="CA40">
            <v>7973.5353379958106</v>
          </cell>
          <cell r="CC40">
            <v>0</v>
          </cell>
          <cell r="CD40">
            <v>0</v>
          </cell>
          <cell r="CF40">
            <v>0</v>
          </cell>
          <cell r="CG40">
            <v>0</v>
          </cell>
          <cell r="CI40">
            <v>3088.3916542367024</v>
          </cell>
          <cell r="CJ40">
            <v>3333.6690573359647</v>
          </cell>
          <cell r="CL40">
            <v>0</v>
          </cell>
          <cell r="CM40">
            <v>0</v>
          </cell>
          <cell r="CX40">
            <v>-63.804474033895531</v>
          </cell>
          <cell r="CY40">
            <v>2581.5870375771574</v>
          </cell>
        </row>
        <row r="41">
          <cell r="I41">
            <v>7500.8170212493505</v>
          </cell>
          <cell r="J41">
            <v>7188.7661271895595</v>
          </cell>
          <cell r="L41">
            <v>1380.3597321728182</v>
          </cell>
          <cell r="M41">
            <v>1423.9526482601657</v>
          </cell>
          <cell r="O41">
            <v>2891.6399999999994</v>
          </cell>
          <cell r="P41">
            <v>2892</v>
          </cell>
          <cell r="R41">
            <v>727.08000000000027</v>
          </cell>
          <cell r="S41">
            <v>726.35999999999979</v>
          </cell>
          <cell r="U41">
            <v>390.17454427986803</v>
          </cell>
          <cell r="V41">
            <v>273.38541323495366</v>
          </cell>
          <cell r="X41">
            <v>3837.4229704224254</v>
          </cell>
          <cell r="Y41">
            <v>5336.357779944612</v>
          </cell>
          <cell r="AA41">
            <v>0</v>
          </cell>
          <cell r="AB41">
            <v>0</v>
          </cell>
          <cell r="AD41">
            <v>9468.2730721809985</v>
          </cell>
          <cell r="AE41">
            <v>8986.0266747787064</v>
          </cell>
          <cell r="AJ41">
            <v>20739.285289545704</v>
          </cell>
          <cell r="AK41">
            <v>20496.287882710072</v>
          </cell>
          <cell r="AM41">
            <v>0</v>
          </cell>
          <cell r="AN41">
            <v>0</v>
          </cell>
          <cell r="AP41">
            <v>1657.2808750638876</v>
          </cell>
          <cell r="AQ41">
            <v>1535.7422637265222</v>
          </cell>
          <cell r="AS41">
            <v>41971.307533750063</v>
          </cell>
          <cell r="AT41">
            <v>36027.533723874651</v>
          </cell>
          <cell r="AV41">
            <v>269.54884536706112</v>
          </cell>
          <cell r="AW41">
            <v>0</v>
          </cell>
          <cell r="AY41">
            <v>365.06529543467622</v>
          </cell>
          <cell r="AZ41">
            <v>0</v>
          </cell>
          <cell r="BB41">
            <v>460.16199283065652</v>
          </cell>
          <cell r="BC41">
            <v>0</v>
          </cell>
          <cell r="BE41">
            <v>180.55669859969183</v>
          </cell>
          <cell r="BF41">
            <v>0</v>
          </cell>
          <cell r="BH41">
            <v>79.153482378459373</v>
          </cell>
          <cell r="BI41">
            <v>0</v>
          </cell>
          <cell r="BK41">
            <v>209.1678366590919</v>
          </cell>
          <cell r="BL41">
            <v>0</v>
          </cell>
          <cell r="BN41">
            <v>0</v>
          </cell>
          <cell r="BO41">
            <v>0</v>
          </cell>
          <cell r="BT41">
            <v>29291.758158000041</v>
          </cell>
          <cell r="BU41">
            <v>26894.089705313851</v>
          </cell>
          <cell r="BW41">
            <v>20854.52834210479</v>
          </cell>
          <cell r="BX41">
            <v>16268.180041446376</v>
          </cell>
          <cell r="BZ41">
            <v>3606.6618592087066</v>
          </cell>
          <cell r="CA41">
            <v>3463.0022097168157</v>
          </cell>
          <cell r="CC41">
            <v>733.27241847734274</v>
          </cell>
          <cell r="CD41">
            <v>728.67242740738607</v>
          </cell>
          <cell r="CF41">
            <v>90.270278789824417</v>
          </cell>
          <cell r="CG41">
            <v>0</v>
          </cell>
          <cell r="CI41">
            <v>4567.0761432348809</v>
          </cell>
          <cell r="CJ41">
            <v>10919.954795950378</v>
          </cell>
          <cell r="CL41">
            <v>5690.1276538664097</v>
          </cell>
          <cell r="CM41">
            <v>6155.7146030774311</v>
          </cell>
          <cell r="CX41">
            <v>4784.2919476599345</v>
          </cell>
          <cell r="CY41">
            <v>13958.248444042239</v>
          </cell>
        </row>
        <row r="42">
          <cell r="I42">
            <v>15911.14493182126</v>
          </cell>
          <cell r="J42">
            <v>15614.33069332808</v>
          </cell>
          <cell r="L42">
            <v>4123.0255601248009</v>
          </cell>
          <cell r="M42">
            <v>4149.0944785171832</v>
          </cell>
          <cell r="O42">
            <v>7766.7599999999984</v>
          </cell>
          <cell r="P42">
            <v>7768.2000000000016</v>
          </cell>
          <cell r="R42">
            <v>1893.8399999999995</v>
          </cell>
          <cell r="S42">
            <v>1892.88</v>
          </cell>
          <cell r="U42">
            <v>1170.2323882178873</v>
          </cell>
          <cell r="V42">
            <v>1087.9153645398551</v>
          </cell>
          <cell r="X42">
            <v>12322.853722322967</v>
          </cell>
          <cell r="Y42">
            <v>14457.920483087548</v>
          </cell>
          <cell r="AA42">
            <v>0</v>
          </cell>
          <cell r="AB42">
            <v>0</v>
          </cell>
          <cell r="AD42">
            <v>25455.265108308191</v>
          </cell>
          <cell r="AE42">
            <v>24158.755195695987</v>
          </cell>
          <cell r="AJ42">
            <v>86413.599575368164</v>
          </cell>
          <cell r="AK42">
            <v>85871.368154067357</v>
          </cell>
          <cell r="AM42">
            <v>0</v>
          </cell>
          <cell r="AN42">
            <v>0</v>
          </cell>
          <cell r="AP42">
            <v>4971.8426251916617</v>
          </cell>
          <cell r="AQ42">
            <v>4677.6828620565675</v>
          </cell>
          <cell r="AS42">
            <v>125462.85436847697</v>
          </cell>
          <cell r="AT42">
            <v>241571.98234721873</v>
          </cell>
          <cell r="AV42">
            <v>487.345871931879</v>
          </cell>
          <cell r="AW42">
            <v>1033</v>
          </cell>
          <cell r="AY42">
            <v>1090.3829948048372</v>
          </cell>
          <cell r="AZ42">
            <v>0</v>
          </cell>
          <cell r="BB42">
            <v>1269.7645829022561</v>
          </cell>
          <cell r="BC42">
            <v>2461.0811386210121</v>
          </cell>
          <cell r="BE42">
            <v>426.22138417942557</v>
          </cell>
          <cell r="BF42">
            <v>0</v>
          </cell>
          <cell r="BH42">
            <v>237.46034910659819</v>
          </cell>
          <cell r="BI42">
            <v>0</v>
          </cell>
          <cell r="BK42">
            <v>293.22961990256812</v>
          </cell>
          <cell r="BL42">
            <v>8542.1798823253248</v>
          </cell>
          <cell r="BN42">
            <v>0</v>
          </cell>
          <cell r="BO42">
            <v>0</v>
          </cell>
          <cell r="BT42">
            <v>50212.656597325746</v>
          </cell>
          <cell r="BU42">
            <v>48237.349115663666</v>
          </cell>
          <cell r="BW42">
            <v>64039.319535597038</v>
          </cell>
          <cell r="BX42">
            <v>49784.005046614693</v>
          </cell>
          <cell r="BZ42">
            <v>6811.6751254110095</v>
          </cell>
          <cell r="CA42">
            <v>4308.7619859373226</v>
          </cell>
          <cell r="CC42">
            <v>2199.9349084474284</v>
          </cell>
          <cell r="CD42">
            <v>2186.1341971724041</v>
          </cell>
          <cell r="CF42">
            <v>270.82532016871744</v>
          </cell>
          <cell r="CG42">
            <v>0</v>
          </cell>
          <cell r="CI42">
            <v>23153.578644186666</v>
          </cell>
          <cell r="CJ42">
            <v>7792.2838437829523</v>
          </cell>
          <cell r="CL42">
            <v>10848.677592700564</v>
          </cell>
          <cell r="CM42">
            <v>16793.681159271251</v>
          </cell>
          <cell r="CX42">
            <v>5387.2910322040843</v>
          </cell>
          <cell r="CY42">
            <v>-109280.04713747988</v>
          </cell>
        </row>
        <row r="43">
          <cell r="I43">
            <v>10463.895718608561</v>
          </cell>
          <cell r="J43">
            <v>10370.692026273546</v>
          </cell>
          <cell r="L43">
            <v>1538.3669390198802</v>
          </cell>
          <cell r="M43">
            <v>1580.9518647190339</v>
          </cell>
          <cell r="O43">
            <v>5000.8799999999983</v>
          </cell>
          <cell r="P43">
            <v>5000.5199999999995</v>
          </cell>
          <cell r="R43">
            <v>1279.56</v>
          </cell>
          <cell r="S43">
            <v>1281</v>
          </cell>
          <cell r="U43">
            <v>780.05784393801957</v>
          </cell>
          <cell r="V43">
            <v>546.56355928777316</v>
          </cell>
          <cell r="X43">
            <v>9017.0941526556526</v>
          </cell>
          <cell r="Y43">
            <v>10649.759075214013</v>
          </cell>
          <cell r="AA43">
            <v>0</v>
          </cell>
          <cell r="AB43">
            <v>0</v>
          </cell>
          <cell r="AD43">
            <v>16498.937345597711</v>
          </cell>
          <cell r="AE43">
            <v>15658.598982389958</v>
          </cell>
          <cell r="AJ43">
            <v>57609.066383578764</v>
          </cell>
          <cell r="AK43">
            <v>56696.335662245379</v>
          </cell>
          <cell r="AM43">
            <v>0</v>
          </cell>
          <cell r="AN43">
            <v>0</v>
          </cell>
          <cell r="AP43">
            <v>3314.5617501277752</v>
          </cell>
          <cell r="AQ43">
            <v>3117.8983498104826</v>
          </cell>
          <cell r="AS43">
            <v>79320.915296201798</v>
          </cell>
          <cell r="AT43">
            <v>96271</v>
          </cell>
          <cell r="AV43">
            <v>320.45047565595661</v>
          </cell>
          <cell r="AW43">
            <v>735</v>
          </cell>
          <cell r="AY43">
            <v>414.91032129229774</v>
          </cell>
          <cell r="AZ43">
            <v>0</v>
          </cell>
          <cell r="BB43">
            <v>824.57199215471235</v>
          </cell>
          <cell r="BC43">
            <v>3330</v>
          </cell>
          <cell r="BE43">
            <v>307.73051461375809</v>
          </cell>
          <cell r="BF43">
            <v>0</v>
          </cell>
          <cell r="BH43">
            <v>158.30696475691875</v>
          </cell>
          <cell r="BI43">
            <v>0</v>
          </cell>
          <cell r="BK43">
            <v>269.9515758206856</v>
          </cell>
          <cell r="BL43">
            <v>0</v>
          </cell>
          <cell r="BN43">
            <v>0</v>
          </cell>
          <cell r="BO43">
            <v>0</v>
          </cell>
          <cell r="BT43">
            <v>30002.588313739383</v>
          </cell>
          <cell r="BU43">
            <v>30011.220411485432</v>
          </cell>
          <cell r="BW43">
            <v>44162.857881922653</v>
          </cell>
          <cell r="BX43">
            <v>34160.407015639146</v>
          </cell>
          <cell r="BZ43">
            <v>4543.0104018668353</v>
          </cell>
          <cell r="CA43">
            <v>3281.6169995220921</v>
          </cell>
          <cell r="CC43">
            <v>1188.0013229963849</v>
          </cell>
          <cell r="CD43">
            <v>1180.5487101076744</v>
          </cell>
          <cell r="CF43">
            <v>146.2501628688731</v>
          </cell>
          <cell r="CG43">
            <v>0</v>
          </cell>
          <cell r="CI43">
            <v>655.11338120172479</v>
          </cell>
          <cell r="CJ43">
            <v>1384.4998987689869</v>
          </cell>
          <cell r="CL43">
            <v>4739.2773748650498</v>
          </cell>
          <cell r="CM43">
            <v>5976.6641030474202</v>
          </cell>
          <cell r="CX43">
            <v>3268.4926638199395</v>
          </cell>
          <cell r="CY43">
            <v>-7143.8119902131457</v>
          </cell>
        </row>
        <row r="44">
          <cell r="I44">
            <v>26122.305881973178</v>
          </cell>
          <cell r="J44">
            <v>25173.514310345152</v>
          </cell>
          <cell r="L44">
            <v>4265.0546037226795</v>
          </cell>
          <cell r="M44">
            <v>4291.5182368267124</v>
          </cell>
          <cell r="O44">
            <v>12531.480000000003</v>
          </cell>
          <cell r="P44">
            <v>12529.560000000005</v>
          </cell>
          <cell r="R44">
            <v>2959.8000000000006</v>
          </cell>
          <cell r="S44">
            <v>2956.1999999999994</v>
          </cell>
          <cell r="U44">
            <v>1170.2323882178873</v>
          </cell>
          <cell r="V44">
            <v>819.94897252272676</v>
          </cell>
          <cell r="X44">
            <v>16538.971932263146</v>
          </cell>
          <cell r="Y44">
            <v>19607.260839531617</v>
          </cell>
          <cell r="AA44">
            <v>0</v>
          </cell>
          <cell r="AB44">
            <v>0</v>
          </cell>
          <cell r="AD44">
            <v>41855.003162335568</v>
          </cell>
          <cell r="AE44">
            <v>39723.207391932381</v>
          </cell>
          <cell r="AJ44">
            <v>55586.905181399976</v>
          </cell>
          <cell r="AK44">
            <v>55126.55614962722</v>
          </cell>
          <cell r="AM44">
            <v>0</v>
          </cell>
          <cell r="AN44">
            <v>3008.2678656751582</v>
          </cell>
          <cell r="AP44">
            <v>7623.49202529388</v>
          </cell>
          <cell r="AQ44">
            <v>7360.788436863043</v>
          </cell>
          <cell r="AS44">
            <v>186010.57781805447</v>
          </cell>
          <cell r="AT44">
            <v>235039</v>
          </cell>
          <cell r="AV44">
            <v>2132.0278268019524</v>
          </cell>
          <cell r="AW44">
            <v>1606.1249901208598</v>
          </cell>
          <cell r="AY44">
            <v>2817.4968103362316</v>
          </cell>
          <cell r="AZ44">
            <v>0</v>
          </cell>
          <cell r="BB44">
            <v>5518.3640090701838</v>
          </cell>
          <cell r="BC44">
            <v>790.158006</v>
          </cell>
          <cell r="BE44">
            <v>1621.5486582729091</v>
          </cell>
          <cell r="BF44">
            <v>0</v>
          </cell>
          <cell r="BH44">
            <v>593.65087276649558</v>
          </cell>
          <cell r="BI44">
            <v>13659</v>
          </cell>
          <cell r="BK44">
            <v>1650.4204119001797</v>
          </cell>
          <cell r="BL44">
            <v>0</v>
          </cell>
          <cell r="BN44">
            <v>0</v>
          </cell>
          <cell r="BO44">
            <v>0</v>
          </cell>
          <cell r="BT44">
            <v>92127.486678535701</v>
          </cell>
          <cell r="BU44">
            <v>92177.055316437196</v>
          </cell>
          <cell r="BW44">
            <v>67907.756004751354</v>
          </cell>
          <cell r="BX44">
            <v>71440.69287057154</v>
          </cell>
          <cell r="BZ44">
            <v>8523.7855776261167</v>
          </cell>
          <cell r="CA44">
            <v>17392.89477376829</v>
          </cell>
          <cell r="CC44">
            <v>2326.6766192865321</v>
          </cell>
          <cell r="CD44">
            <v>2312.0808273247671</v>
          </cell>
          <cell r="CF44">
            <v>286.42799290459203</v>
          </cell>
          <cell r="CG44">
            <v>551.51470583821333</v>
          </cell>
          <cell r="CI44">
            <v>42806.98008023842</v>
          </cell>
          <cell r="CJ44">
            <v>26368.729817594023</v>
          </cell>
          <cell r="CL44">
            <v>19260.333407330709</v>
          </cell>
          <cell r="CM44">
            <v>29728.008266795106</v>
          </cell>
          <cell r="CX44">
            <v>18397.496468301331</v>
          </cell>
          <cell r="CY44">
            <v>-52912.868133328826</v>
          </cell>
        </row>
        <row r="45">
          <cell r="I45">
            <v>17437.755341689201</v>
          </cell>
          <cell r="J45">
            <v>16800.701568793374</v>
          </cell>
          <cell r="L45">
            <v>2853.9236194382379</v>
          </cell>
          <cell r="M45">
            <v>2888.1026444496088</v>
          </cell>
          <cell r="O45">
            <v>8479.6800000000021</v>
          </cell>
          <cell r="P45">
            <v>8481.1200000000008</v>
          </cell>
          <cell r="R45">
            <v>2001.5999999999997</v>
          </cell>
          <cell r="S45">
            <v>2001.7199999999996</v>
          </cell>
          <cell r="U45">
            <v>780.05784393801957</v>
          </cell>
          <cell r="V45">
            <v>725.1583960324806</v>
          </cell>
          <cell r="X45">
            <v>10146.456076029266</v>
          </cell>
          <cell r="Y45">
            <v>15556.242710247416</v>
          </cell>
          <cell r="AA45">
            <v>0</v>
          </cell>
          <cell r="AB45">
            <v>0</v>
          </cell>
          <cell r="AD45">
            <v>28143.095568395569</v>
          </cell>
          <cell r="AE45">
            <v>26709.686714833551</v>
          </cell>
          <cell r="AJ45">
            <v>28216.669204617137</v>
          </cell>
          <cell r="AK45">
            <v>28039.659374307845</v>
          </cell>
          <cell r="AM45">
            <v>0</v>
          </cell>
          <cell r="AN45">
            <v>2085.6863768982544</v>
          </cell>
          <cell r="AP45">
            <v>5113.8952716257081</v>
          </cell>
          <cell r="AQ45">
            <v>4791.5200386322904</v>
          </cell>
          <cell r="AS45">
            <v>140417.30943598892</v>
          </cell>
          <cell r="AT45">
            <v>130352.49694810189</v>
          </cell>
          <cell r="AV45">
            <v>1425.7963852370538</v>
          </cell>
          <cell r="AW45">
            <v>0</v>
          </cell>
          <cell r="AY45">
            <v>1880.9713511304637</v>
          </cell>
          <cell r="AZ45">
            <v>0</v>
          </cell>
          <cell r="BB45">
            <v>3652.9958850726071</v>
          </cell>
          <cell r="BC45">
            <v>0</v>
          </cell>
          <cell r="BE45">
            <v>1115.3547935970032</v>
          </cell>
          <cell r="BF45">
            <v>0</v>
          </cell>
          <cell r="BH45">
            <v>395.76741189229665</v>
          </cell>
          <cell r="BI45">
            <v>2067</v>
          </cell>
          <cell r="BK45">
            <v>1344.6098205881692</v>
          </cell>
          <cell r="BL45">
            <v>16614.941049814784</v>
          </cell>
          <cell r="BN45">
            <v>0</v>
          </cell>
          <cell r="BO45">
            <v>0</v>
          </cell>
          <cell r="BT45">
            <v>81459.854250417106</v>
          </cell>
          <cell r="BU45">
            <v>91132.403432131134</v>
          </cell>
          <cell r="BW45">
            <v>43465.847734865325</v>
          </cell>
          <cell r="BX45">
            <v>49407.797994697306</v>
          </cell>
          <cell r="BZ45">
            <v>9188.5932158540309</v>
          </cell>
          <cell r="CA45">
            <v>18557.849028992954</v>
          </cell>
          <cell r="CC45">
            <v>2253.1434846618495</v>
          </cell>
          <cell r="CD45">
            <v>2239.0089834210985</v>
          </cell>
          <cell r="CF45">
            <v>277.37561837693215</v>
          </cell>
          <cell r="CG45">
            <v>0</v>
          </cell>
          <cell r="CI45">
            <v>20233.644716544699</v>
          </cell>
          <cell r="CJ45">
            <v>11473.314044671228</v>
          </cell>
          <cell r="CL45">
            <v>7711.6203730031621</v>
          </cell>
          <cell r="CM45">
            <v>10476.033510596044</v>
          </cell>
          <cell r="CX45">
            <v>7472.1591164446872</v>
          </cell>
          <cell r="CY45">
            <v>-19413.151379945491</v>
          </cell>
        </row>
        <row r="46">
          <cell r="I46">
            <v>11559.276022181146</v>
          </cell>
          <cell r="J46">
            <v>11311.250432199418</v>
          </cell>
          <cell r="L46">
            <v>2043.1612821043891</v>
          </cell>
          <cell r="M46">
            <v>2043.5041091049679</v>
          </cell>
          <cell r="O46">
            <v>4511.3999999999987</v>
          </cell>
          <cell r="P46">
            <v>3546.0918829838702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>
            <v>7181.8957696179823</v>
          </cell>
          <cell r="Y46">
            <v>8218.3751488799862</v>
          </cell>
          <cell r="AA46">
            <v>0</v>
          </cell>
          <cell r="AB46">
            <v>0</v>
          </cell>
          <cell r="AD46">
            <v>14737.807853701634</v>
          </cell>
          <cell r="AE46">
            <v>13987.168884074026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10085.737896817367</v>
          </cell>
          <cell r="AQ46">
            <v>9765.7907996299964</v>
          </cell>
          <cell r="AS46">
            <v>43294.09528347139</v>
          </cell>
          <cell r="AT46">
            <v>25393.943147837392</v>
          </cell>
          <cell r="AV46">
            <v>1872.5354698673661</v>
          </cell>
          <cell r="AW46">
            <v>1362</v>
          </cell>
          <cell r="AY46">
            <v>2633.3224628282733</v>
          </cell>
          <cell r="AZ46">
            <v>1989</v>
          </cell>
          <cell r="BB46">
            <v>2510.2724936459113</v>
          </cell>
          <cell r="BC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997.54414079296782</v>
          </cell>
          <cell r="BL46">
            <v>8183.0071113496087</v>
          </cell>
          <cell r="BN46">
            <v>0</v>
          </cell>
          <cell r="BO46">
            <v>0</v>
          </cell>
          <cell r="BT46">
            <v>39682.265202260452</v>
          </cell>
          <cell r="BU46">
            <v>60028.503611709522</v>
          </cell>
          <cell r="BW46">
            <v>30647.740181583449</v>
          </cell>
          <cell r="BX46">
            <v>35452.559643751993</v>
          </cell>
          <cell r="BZ46">
            <v>20597.680868358988</v>
          </cell>
          <cell r="CA46">
            <v>12793.025922741534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5502.9524020944855</v>
          </cell>
          <cell r="CJ46">
            <v>3942.2025038097113</v>
          </cell>
          <cell r="CL46">
            <v>0</v>
          </cell>
          <cell r="CM46">
            <v>0</v>
          </cell>
          <cell r="CX46">
            <v>67.375204809013667</v>
          </cell>
          <cell r="CY46">
            <v>-123.10783768643159</v>
          </cell>
        </row>
        <row r="47"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568.21058573618984</v>
          </cell>
          <cell r="AQ47">
            <v>280.28737885440523</v>
          </cell>
          <cell r="AS47">
            <v>78.768000000000001</v>
          </cell>
          <cell r="AT47">
            <v>353</v>
          </cell>
          <cell r="AV47">
            <v>0</v>
          </cell>
          <cell r="AW47">
            <v>0</v>
          </cell>
          <cell r="AY47">
            <v>0</v>
          </cell>
          <cell r="AZ47">
            <v>0</v>
          </cell>
          <cell r="BB47">
            <v>0</v>
          </cell>
          <cell r="BC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K47">
            <v>0</v>
          </cell>
          <cell r="BL47">
            <v>0</v>
          </cell>
          <cell r="BN47">
            <v>0</v>
          </cell>
          <cell r="BO47">
            <v>0</v>
          </cell>
          <cell r="BT47">
            <v>167.48907527938252</v>
          </cell>
          <cell r="BU47">
            <v>500.7525802623731</v>
          </cell>
          <cell r="BW47">
            <v>0</v>
          </cell>
          <cell r="BX47">
            <v>7.8817708750497673</v>
          </cell>
          <cell r="BZ47">
            <v>0</v>
          </cell>
          <cell r="CA47">
            <v>122.13084026080679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0</v>
          </cell>
          <cell r="CJ47">
            <v>0</v>
          </cell>
          <cell r="CL47">
            <v>0</v>
          </cell>
          <cell r="CM47">
            <v>0</v>
          </cell>
          <cell r="CX47">
            <v>24.518806781313174</v>
          </cell>
          <cell r="CY47">
            <v>-514.98308430316172</v>
          </cell>
        </row>
        <row r="48"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473.50882144682492</v>
          </cell>
          <cell r="AQ48">
            <v>233.57281571200437</v>
          </cell>
          <cell r="AS48">
            <v>3673.5156586974795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K48">
            <v>0</v>
          </cell>
          <cell r="BL48">
            <v>0</v>
          </cell>
          <cell r="BN48">
            <v>0</v>
          </cell>
          <cell r="BO48">
            <v>0</v>
          </cell>
          <cell r="BT48">
            <v>95.70804301679</v>
          </cell>
          <cell r="BU48">
            <v>265.10056146427343</v>
          </cell>
          <cell r="BW48">
            <v>0</v>
          </cell>
          <cell r="BX48">
            <v>10.447703653782188</v>
          </cell>
          <cell r="BZ48">
            <v>0</v>
          </cell>
          <cell r="CA48">
            <v>64.644791805321091</v>
          </cell>
          <cell r="CC48">
            <v>0</v>
          </cell>
          <cell r="CD48">
            <v>0</v>
          </cell>
          <cell r="CF48">
            <v>0</v>
          </cell>
          <cell r="CG48">
            <v>0</v>
          </cell>
          <cell r="CI48">
            <v>0</v>
          </cell>
          <cell r="CJ48">
            <v>0</v>
          </cell>
          <cell r="CL48">
            <v>0</v>
          </cell>
          <cell r="CM48">
            <v>0</v>
          </cell>
          <cell r="CX48">
            <v>127.40097220668576</v>
          </cell>
          <cell r="CY48">
            <v>4530.1609528375429</v>
          </cell>
        </row>
        <row r="49">
          <cell r="I49">
            <v>7671.8174703775012</v>
          </cell>
          <cell r="J49">
            <v>6327.0686422581903</v>
          </cell>
          <cell r="L49">
            <v>1766.8127953650912</v>
          </cell>
          <cell r="M49">
            <v>1645.338053221087</v>
          </cell>
          <cell r="O49">
            <v>3317.76</v>
          </cell>
          <cell r="P49">
            <v>2607.900540322581</v>
          </cell>
          <cell r="R49">
            <v>650.88</v>
          </cell>
          <cell r="S49">
            <v>511.5180768817205</v>
          </cell>
          <cell r="U49">
            <v>531.87068102458227</v>
          </cell>
          <cell r="V49">
            <v>206.97209894520481</v>
          </cell>
          <cell r="X49">
            <v>5806.2066187143473</v>
          </cell>
          <cell r="Y49">
            <v>6153.431898258762</v>
          </cell>
          <cell r="AA49">
            <v>0</v>
          </cell>
          <cell r="AB49">
            <v>0</v>
          </cell>
          <cell r="AD49">
            <v>9363.6434745634942</v>
          </cell>
          <cell r="AE49">
            <v>8886.7261636934618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1420.5264643404751</v>
          </cell>
          <cell r="AQ49">
            <v>1309.5564445007431</v>
          </cell>
          <cell r="AS49">
            <v>29261.417123977692</v>
          </cell>
          <cell r="AT49">
            <v>57671.6402572925</v>
          </cell>
          <cell r="AV49">
            <v>1445.8560122761871</v>
          </cell>
          <cell r="AW49">
            <v>1929.988175457047</v>
          </cell>
          <cell r="AY49">
            <v>2109.9775394071216</v>
          </cell>
          <cell r="AZ49">
            <v>1137</v>
          </cell>
          <cell r="BB49">
            <v>1159.5837594450445</v>
          </cell>
          <cell r="BC49">
            <v>0</v>
          </cell>
          <cell r="BE49">
            <v>645.2645870476066</v>
          </cell>
          <cell r="BF49">
            <v>0</v>
          </cell>
          <cell r="BH49">
            <v>539.76213107435467</v>
          </cell>
          <cell r="BI49">
            <v>2269.7228418</v>
          </cell>
          <cell r="BK49">
            <v>781.47915860748481</v>
          </cell>
          <cell r="BL49">
            <v>3094</v>
          </cell>
          <cell r="BN49">
            <v>710.06625734530007</v>
          </cell>
          <cell r="BO49">
            <v>0</v>
          </cell>
          <cell r="BT49">
            <v>38090.20394557347</v>
          </cell>
          <cell r="BU49">
            <v>38186.426537837695</v>
          </cell>
          <cell r="BW49">
            <v>17607.000296075883</v>
          </cell>
          <cell r="BX49">
            <v>19697.619828777599</v>
          </cell>
          <cell r="BZ49">
            <v>4933.8837184174117</v>
          </cell>
          <cell r="CA49">
            <v>9468.3569932226328</v>
          </cell>
          <cell r="CC49">
            <v>607.08955946138599</v>
          </cell>
          <cell r="CD49">
            <v>603.28114326869036</v>
          </cell>
          <cell r="CF49">
            <v>74.736404100360048</v>
          </cell>
          <cell r="CG49">
            <v>0</v>
          </cell>
          <cell r="CI49">
            <v>4155.2905893366542</v>
          </cell>
          <cell r="CJ49">
            <v>1939.8479694107784</v>
          </cell>
          <cell r="CL49">
            <v>0</v>
          </cell>
          <cell r="CM49">
            <v>0</v>
          </cell>
          <cell r="CX49">
            <v>7948.1656961622502</v>
          </cell>
          <cell r="CY49">
            <v>-29246.154798178453</v>
          </cell>
        </row>
        <row r="50">
          <cell r="I50">
            <v>5546.1867016557708</v>
          </cell>
          <cell r="J50">
            <v>4547.8860258315854</v>
          </cell>
          <cell r="L50">
            <v>1358.771948806615</v>
          </cell>
          <cell r="M50">
            <v>1249.8570513753343</v>
          </cell>
          <cell r="O50">
            <v>1699.8000000000004</v>
          </cell>
          <cell r="P50">
            <v>1336.0169632258066</v>
          </cell>
          <cell r="R50">
            <v>332.76</v>
          </cell>
          <cell r="S50">
            <v>261.47278344086021</v>
          </cell>
          <cell r="U50">
            <v>0</v>
          </cell>
          <cell r="V50">
            <v>0</v>
          </cell>
          <cell r="X50">
            <v>2852.064594485119</v>
          </cell>
          <cell r="Y50">
            <v>2061.5369886717554</v>
          </cell>
          <cell r="AA50">
            <v>0</v>
          </cell>
          <cell r="AB50">
            <v>0</v>
          </cell>
          <cell r="AD50">
            <v>5016.0634882323056</v>
          </cell>
          <cell r="AE50">
            <v>4760.5809384684562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1704.6317572085691</v>
          </cell>
          <cell r="AQ50">
            <v>1147.2040374428266</v>
          </cell>
          <cell r="AS50">
            <v>14088.931296700632</v>
          </cell>
          <cell r="AT50">
            <v>5950</v>
          </cell>
          <cell r="AV50">
            <v>813.6518482278293</v>
          </cell>
          <cell r="AW50">
            <v>16569</v>
          </cell>
          <cell r="AY50">
            <v>1589.067066534845</v>
          </cell>
          <cell r="AZ50">
            <v>0</v>
          </cell>
          <cell r="BB50">
            <v>471.67638399792878</v>
          </cell>
          <cell r="BC50">
            <v>0</v>
          </cell>
          <cell r="BE50">
            <v>485.13023518137766</v>
          </cell>
          <cell r="BF50">
            <v>0</v>
          </cell>
          <cell r="BH50">
            <v>0</v>
          </cell>
          <cell r="BI50">
            <v>0</v>
          </cell>
          <cell r="BK50">
            <v>383.45556615286887</v>
          </cell>
          <cell r="BL50">
            <v>0</v>
          </cell>
          <cell r="BN50">
            <v>327.17444122295461</v>
          </cell>
          <cell r="BO50">
            <v>0</v>
          </cell>
          <cell r="BT50">
            <v>18503.102554139459</v>
          </cell>
          <cell r="BU50">
            <v>24791.323414027982</v>
          </cell>
          <cell r="BW50">
            <v>7895.682583078581</v>
          </cell>
          <cell r="BX50">
            <v>8603.2059467721974</v>
          </cell>
          <cell r="BZ50">
            <v>6751.6303515185609</v>
          </cell>
          <cell r="CA50">
            <v>4620.6182734274526</v>
          </cell>
          <cell r="CC50">
            <v>598.55971584492295</v>
          </cell>
          <cell r="CD50">
            <v>594.80480937586458</v>
          </cell>
          <cell r="CF50">
            <v>73.686328655151485</v>
          </cell>
          <cell r="CG50">
            <v>0</v>
          </cell>
          <cell r="CI50">
            <v>1628.424690415716</v>
          </cell>
          <cell r="CJ50">
            <v>956.38447099829932</v>
          </cell>
          <cell r="CL50">
            <v>0</v>
          </cell>
          <cell r="CM50">
            <v>0</v>
          </cell>
          <cell r="CX50">
            <v>2437.3581375289532</v>
          </cell>
          <cell r="CY50">
            <v>-3957.9700436700996</v>
          </cell>
        </row>
        <row r="51">
          <cell r="I51">
            <v>10646.863575679616</v>
          </cell>
          <cell r="J51">
            <v>8791.6600463236737</v>
          </cell>
          <cell r="L51">
            <v>2008.249866869611</v>
          </cell>
          <cell r="M51">
            <v>1866.9001234285251</v>
          </cell>
          <cell r="O51">
            <v>4127.5199999999995</v>
          </cell>
          <cell r="P51">
            <v>3244.4939032258067</v>
          </cell>
          <cell r="R51">
            <v>893.7600000000001</v>
          </cell>
          <cell r="S51">
            <v>702.6067010752688</v>
          </cell>
          <cell r="U51">
            <v>709.3549077326212</v>
          </cell>
          <cell r="V51">
            <v>257.8908057061609</v>
          </cell>
          <cell r="X51">
            <v>7513.8009168646558</v>
          </cell>
          <cell r="Y51">
            <v>7654.4430101887174</v>
          </cell>
          <cell r="AA51">
            <v>0</v>
          </cell>
          <cell r="AB51">
            <v>0</v>
          </cell>
          <cell r="AD51">
            <v>11729.033478731959</v>
          </cell>
          <cell r="AE51">
            <v>11131.640047320669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2841.0529286809501</v>
          </cell>
          <cell r="AQ51">
            <v>2806.3722678060926</v>
          </cell>
          <cell r="AS51">
            <v>57458.206426360812</v>
          </cell>
          <cell r="AT51">
            <v>4168</v>
          </cell>
          <cell r="AV51">
            <v>1781.8458562548649</v>
          </cell>
          <cell r="AW51">
            <v>951.97722752600112</v>
          </cell>
          <cell r="AY51">
            <v>2588.5724901852714</v>
          </cell>
          <cell r="AZ51">
            <v>2821.7797941782142</v>
          </cell>
          <cell r="BB51">
            <v>1351.5474110711737</v>
          </cell>
          <cell r="BC51">
            <v>0</v>
          </cell>
          <cell r="BE51">
            <v>804.09927932111657</v>
          </cell>
          <cell r="BF51">
            <v>0</v>
          </cell>
          <cell r="BH51">
            <v>719.6828414324732</v>
          </cell>
          <cell r="BI51">
            <v>7.7228418000000003</v>
          </cell>
          <cell r="BK51">
            <v>1114.1153981148859</v>
          </cell>
          <cell r="BL51">
            <v>544</v>
          </cell>
          <cell r="BN51">
            <v>239.1276183740359</v>
          </cell>
          <cell r="BO51">
            <v>0</v>
          </cell>
          <cell r="BT51">
            <v>15831.222622096298</v>
          </cell>
          <cell r="BU51">
            <v>22146.674931780966</v>
          </cell>
          <cell r="BW51">
            <v>17665.759440024551</v>
          </cell>
          <cell r="BX51">
            <v>20088.125294232614</v>
          </cell>
          <cell r="BZ51">
            <v>7790.3427132906481</v>
          </cell>
          <cell r="CA51">
            <v>5845.5438055358109</v>
          </cell>
          <cell r="CC51">
            <v>1460.3680536462123</v>
          </cell>
          <cell r="CD51">
            <v>1451.2068199268635</v>
          </cell>
          <cell r="CF51">
            <v>179.78015811932531</v>
          </cell>
          <cell r="CG51">
            <v>0</v>
          </cell>
          <cell r="CI51">
            <v>6363.9585602453253</v>
          </cell>
          <cell r="CJ51">
            <v>2935.7090249839116</v>
          </cell>
          <cell r="CL51">
            <v>0</v>
          </cell>
          <cell r="CM51">
            <v>0</v>
          </cell>
          <cell r="CX51">
            <v>9413.9225482843249</v>
          </cell>
          <cell r="CY51">
            <v>79495.744025952838</v>
          </cell>
        </row>
        <row r="52">
          <cell r="I52">
            <v>0</v>
          </cell>
          <cell r="J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568.21058573618984</v>
          </cell>
          <cell r="AQ52">
            <v>280.28737885440523</v>
          </cell>
          <cell r="AS52">
            <v>3249.8378742664067</v>
          </cell>
          <cell r="AT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B52">
            <v>0</v>
          </cell>
          <cell r="BC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K52">
            <v>0</v>
          </cell>
          <cell r="BL52">
            <v>0</v>
          </cell>
          <cell r="BN52">
            <v>0</v>
          </cell>
          <cell r="BO52">
            <v>0</v>
          </cell>
          <cell r="BT52">
            <v>0</v>
          </cell>
          <cell r="BU52">
            <v>0</v>
          </cell>
          <cell r="BW52">
            <v>0</v>
          </cell>
          <cell r="BX52">
            <v>8.0625158255013609</v>
          </cell>
          <cell r="BZ52">
            <v>0</v>
          </cell>
          <cell r="CA52">
            <v>0</v>
          </cell>
          <cell r="CC52">
            <v>0</v>
          </cell>
          <cell r="CD52">
            <v>0</v>
          </cell>
          <cell r="CF52">
            <v>0</v>
          </cell>
          <cell r="CG52">
            <v>0</v>
          </cell>
          <cell r="CI52">
            <v>0</v>
          </cell>
          <cell r="CJ52">
            <v>0</v>
          </cell>
          <cell r="CL52">
            <v>0</v>
          </cell>
          <cell r="CM52">
            <v>0</v>
          </cell>
          <cell r="CX52">
            <v>185.75184799688412</v>
          </cell>
          <cell r="CY52">
            <v>4421.3901263841117</v>
          </cell>
        </row>
        <row r="53">
          <cell r="I53">
            <v>6625.0313685571737</v>
          </cell>
          <cell r="J53">
            <v>6517.1973436100025</v>
          </cell>
          <cell r="L53">
            <v>1237.7339851584231</v>
          </cell>
          <cell r="M53">
            <v>1223.3103559738065</v>
          </cell>
          <cell r="O53">
            <v>4300.2</v>
          </cell>
          <cell r="P53">
            <v>3380.0895999999998</v>
          </cell>
          <cell r="R53">
            <v>0</v>
          </cell>
          <cell r="S53">
            <v>0</v>
          </cell>
          <cell r="U53">
            <v>0</v>
          </cell>
          <cell r="V53">
            <v>22.855347475559377</v>
          </cell>
          <cell r="X53">
            <v>5327.8922092065504</v>
          </cell>
          <cell r="Y53">
            <v>4214.2393071082897</v>
          </cell>
          <cell r="AA53">
            <v>0</v>
          </cell>
          <cell r="AB53">
            <v>0</v>
          </cell>
          <cell r="AD53">
            <v>12353.133849318418</v>
          </cell>
          <cell r="AE53">
            <v>11723.912609351382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1373.175582195792</v>
          </cell>
          <cell r="AQ53">
            <v>1209.384759702089</v>
          </cell>
          <cell r="AS53">
            <v>23812.312132581632</v>
          </cell>
          <cell r="AT53">
            <v>4275.7415919133455</v>
          </cell>
          <cell r="AV53">
            <v>1195.806626689124</v>
          </cell>
          <cell r="AW53">
            <v>0</v>
          </cell>
          <cell r="AY53">
            <v>1595.2133154398005</v>
          </cell>
          <cell r="AZ53">
            <v>0</v>
          </cell>
          <cell r="BB53">
            <v>2034.5764909897841</v>
          </cell>
          <cell r="BC53">
            <v>0</v>
          </cell>
          <cell r="BE53">
            <v>0</v>
          </cell>
          <cell r="BF53">
            <v>0</v>
          </cell>
          <cell r="BH53">
            <v>0</v>
          </cell>
          <cell r="BI53">
            <v>249</v>
          </cell>
          <cell r="BK53">
            <v>734.84064535446623</v>
          </cell>
          <cell r="BL53">
            <v>0</v>
          </cell>
          <cell r="BN53">
            <v>0</v>
          </cell>
          <cell r="BO53">
            <v>0</v>
          </cell>
          <cell r="BT53">
            <v>30001.910720633921</v>
          </cell>
          <cell r="BU53">
            <v>40044.214686686872</v>
          </cell>
          <cell r="BW53">
            <v>16673.622715312482</v>
          </cell>
          <cell r="BX53">
            <v>19108.430897557017</v>
          </cell>
          <cell r="BZ53">
            <v>11353.140848587411</v>
          </cell>
          <cell r="CA53">
            <v>10667.285367715489</v>
          </cell>
          <cell r="CC53">
            <v>0</v>
          </cell>
          <cell r="CD53">
            <v>0</v>
          </cell>
          <cell r="CF53">
            <v>0</v>
          </cell>
          <cell r="CG53">
            <v>0</v>
          </cell>
          <cell r="CI53">
            <v>2901.2164024647814</v>
          </cell>
          <cell r="CJ53">
            <v>2968.3306909160196</v>
          </cell>
          <cell r="CL53">
            <v>0</v>
          </cell>
          <cell r="CM53">
            <v>0</v>
          </cell>
          <cell r="CX53">
            <v>7302.4717290123153</v>
          </cell>
          <cell r="CY53">
            <v>26401.448930388164</v>
          </cell>
        </row>
        <row r="54">
          <cell r="I54">
            <v>12063.522351494104</v>
          </cell>
          <cell r="J54">
            <v>11780.61757693895</v>
          </cell>
          <cell r="L54">
            <v>2284.3213231602754</v>
          </cell>
          <cell r="M54">
            <v>2275.0477671497101</v>
          </cell>
          <cell r="O54">
            <v>4847.5199999999995</v>
          </cell>
          <cell r="P54">
            <v>3810.3793306451616</v>
          </cell>
          <cell r="R54">
            <v>0</v>
          </cell>
          <cell r="S54">
            <v>0</v>
          </cell>
          <cell r="U54">
            <v>0</v>
          </cell>
          <cell r="V54">
            <v>22.855347475559377</v>
          </cell>
          <cell r="X54">
            <v>7459.705586655743</v>
          </cell>
          <cell r="Y54">
            <v>5919.2502000887644</v>
          </cell>
          <cell r="AA54">
            <v>0</v>
          </cell>
          <cell r="AB54">
            <v>0</v>
          </cell>
          <cell r="AD54">
            <v>13766.039621150356</v>
          </cell>
          <cell r="AE54">
            <v>13064.895604370564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11364.2117147238</v>
          </cell>
          <cell r="AQ54">
            <v>10735.272984329795</v>
          </cell>
          <cell r="AS54">
            <v>29717.001220558042</v>
          </cell>
          <cell r="AT54">
            <v>1880</v>
          </cell>
          <cell r="AV54">
            <v>1908.5416160660241</v>
          </cell>
          <cell r="AW54">
            <v>3943.8750602537534</v>
          </cell>
          <cell r="AY54">
            <v>2944.4177049250416</v>
          </cell>
          <cell r="AZ54">
            <v>0</v>
          </cell>
          <cell r="BB54">
            <v>2195.3066993215712</v>
          </cell>
          <cell r="BC54">
            <v>1664</v>
          </cell>
          <cell r="BE54">
            <v>0</v>
          </cell>
          <cell r="BF54">
            <v>0</v>
          </cell>
          <cell r="BH54">
            <v>0</v>
          </cell>
          <cell r="BI54">
            <v>2477.1850515697056</v>
          </cell>
          <cell r="BK54">
            <v>1047.7724342826871</v>
          </cell>
          <cell r="BL54">
            <v>127</v>
          </cell>
          <cell r="BN54">
            <v>0</v>
          </cell>
          <cell r="BO54">
            <v>0</v>
          </cell>
          <cell r="BT54">
            <v>36729.053334361139</v>
          </cell>
          <cell r="BU54">
            <v>52891.455311436694</v>
          </cell>
          <cell r="BW54">
            <v>18959.146141071531</v>
          </cell>
          <cell r="BX54">
            <v>21176.837531509504</v>
          </cell>
          <cell r="BZ54">
            <v>16090.601686227885</v>
          </cell>
          <cell r="CA54">
            <v>12973.785564926313</v>
          </cell>
          <cell r="CC54">
            <v>1971.5704055570111</v>
          </cell>
          <cell r="CD54">
            <v>1959.2022787451695</v>
          </cell>
          <cell r="CF54">
            <v>242.71226583561693</v>
          </cell>
          <cell r="CG54">
            <v>0</v>
          </cell>
          <cell r="CI54">
            <v>4473.4885173489201</v>
          </cell>
          <cell r="CJ54">
            <v>2179.8227220645476</v>
          </cell>
          <cell r="CL54">
            <v>0</v>
          </cell>
          <cell r="CM54">
            <v>0</v>
          </cell>
          <cell r="CX54">
            <v>7047.3808527123329</v>
          </cell>
          <cell r="CY54">
            <v>30067.521202194966</v>
          </cell>
        </row>
        <row r="55">
          <cell r="I55">
            <v>5398.6707531320199</v>
          </cell>
          <cell r="J55">
            <v>5289.6372840558488</v>
          </cell>
          <cell r="L55">
            <v>1169.6777380312424</v>
          </cell>
          <cell r="M55">
            <v>1156.0472955210275</v>
          </cell>
          <cell r="O55">
            <v>2341.92</v>
          </cell>
          <cell r="P55">
            <v>1840.8101362903224</v>
          </cell>
          <cell r="R55">
            <v>0</v>
          </cell>
          <cell r="S55">
            <v>0</v>
          </cell>
          <cell r="U55">
            <v>0</v>
          </cell>
          <cell r="V55">
            <v>22.855347475559377</v>
          </cell>
          <cell r="X55">
            <v>3290.8743777185387</v>
          </cell>
          <cell r="Y55">
            <v>2571.9259894026454</v>
          </cell>
          <cell r="AA55">
            <v>0</v>
          </cell>
          <cell r="AB55">
            <v>0</v>
          </cell>
          <cell r="AD55">
            <v>8003.0738806979707</v>
          </cell>
          <cell r="AE55">
            <v>7595.4542949838124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5255.9479180597582</v>
          </cell>
          <cell r="AQ55">
            <v>4534.9325975289194</v>
          </cell>
          <cell r="AS55">
            <v>19218.421367202016</v>
          </cell>
          <cell r="AT55">
            <v>3536</v>
          </cell>
          <cell r="AV55">
            <v>847.14809329777665</v>
          </cell>
          <cell r="AW55">
            <v>0</v>
          </cell>
          <cell r="AY55">
            <v>1507.5776722241242</v>
          </cell>
          <cell r="AZ55">
            <v>0</v>
          </cell>
          <cell r="BB55">
            <v>1433.4987980214655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603.48322308377033</v>
          </cell>
          <cell r="BK55">
            <v>420.23637517991398</v>
          </cell>
          <cell r="BL55">
            <v>776.00711134960898</v>
          </cell>
          <cell r="BN55">
            <v>0</v>
          </cell>
          <cell r="BO55">
            <v>0</v>
          </cell>
          <cell r="BT55">
            <v>11102.04523862622</v>
          </cell>
          <cell r="BU55">
            <v>17532.185882498914</v>
          </cell>
          <cell r="BW55">
            <v>8006.1689467443148</v>
          </cell>
          <cell r="BX55">
            <v>9778.2363244788958</v>
          </cell>
          <cell r="BZ55">
            <v>6481.3467548863882</v>
          </cell>
          <cell r="CA55">
            <v>6161.101038841517</v>
          </cell>
          <cell r="CC55">
            <v>521.7911232967532</v>
          </cell>
          <cell r="CD55">
            <v>518.51780434043428</v>
          </cell>
          <cell r="CF55">
            <v>64.23564964827456</v>
          </cell>
          <cell r="CG55">
            <v>0</v>
          </cell>
          <cell r="CI55">
            <v>4323.7483159313824</v>
          </cell>
          <cell r="CJ55">
            <v>3809.1123613666227</v>
          </cell>
          <cell r="CL55">
            <v>0</v>
          </cell>
          <cell r="CM55">
            <v>0</v>
          </cell>
          <cell r="CX55">
            <v>4757.7403967622304</v>
          </cell>
          <cell r="CY55">
            <v>21149.831970538537</v>
          </cell>
        </row>
        <row r="56">
          <cell r="I56">
            <v>8080.5960136218973</v>
          </cell>
          <cell r="J56">
            <v>7962.2188801771063</v>
          </cell>
          <cell r="L56">
            <v>1617.6674237199711</v>
          </cell>
          <cell r="M56">
            <v>1786.9179544130666</v>
          </cell>
          <cell r="O56">
            <v>5555.3999999999987</v>
          </cell>
          <cell r="P56">
            <v>4366.5928951612896</v>
          </cell>
          <cell r="R56">
            <v>1164.7199999999998</v>
          </cell>
          <cell r="S56">
            <v>915.50572688172065</v>
          </cell>
          <cell r="U56">
            <v>407.92272187872214</v>
          </cell>
          <cell r="V56">
            <v>1061.1929028217596</v>
          </cell>
          <cell r="X56">
            <v>3993.0412032165264</v>
          </cell>
          <cell r="Y56">
            <v>3253.578716318706</v>
          </cell>
          <cell r="AA56">
            <v>0</v>
          </cell>
          <cell r="AB56">
            <v>0</v>
          </cell>
          <cell r="AD56">
            <v>15521.268465530606</v>
          </cell>
          <cell r="AE56">
            <v>14730.725592130811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1231.1229357617449</v>
          </cell>
          <cell r="AQ56">
            <v>835.05964891686506</v>
          </cell>
          <cell r="AS56">
            <v>47597.542873834485</v>
          </cell>
          <cell r="AT56">
            <v>60921.36740133987</v>
          </cell>
          <cell r="AV56">
            <v>1526.2000276066613</v>
          </cell>
          <cell r="AW56">
            <v>1603</v>
          </cell>
          <cell r="AY56">
            <v>2085.0176936307607</v>
          </cell>
          <cell r="AZ56">
            <v>4830</v>
          </cell>
          <cell r="BB56">
            <v>2571.9076560052531</v>
          </cell>
          <cell r="BC56">
            <v>0</v>
          </cell>
          <cell r="BE56">
            <v>984.69261566631769</v>
          </cell>
          <cell r="BF56">
            <v>0</v>
          </cell>
          <cell r="BH56">
            <v>413.87553964728585</v>
          </cell>
          <cell r="BI56">
            <v>0</v>
          </cell>
          <cell r="BK56">
            <v>442.51900014871444</v>
          </cell>
          <cell r="BL56">
            <v>17224</v>
          </cell>
          <cell r="BN56">
            <v>0</v>
          </cell>
          <cell r="BO56">
            <v>0</v>
          </cell>
          <cell r="BT56">
            <v>13707.650998783394</v>
          </cell>
          <cell r="BU56">
            <v>23009.637126236055</v>
          </cell>
          <cell r="BW56">
            <v>15849.385908564864</v>
          </cell>
          <cell r="BX56">
            <v>19129.071304067569</v>
          </cell>
          <cell r="BZ56">
            <v>8620.8611031469463</v>
          </cell>
          <cell r="CA56">
            <v>7746.1404173312567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2470.7133233893619</v>
          </cell>
          <cell r="CJ56">
            <v>4942.4265958105016</v>
          </cell>
          <cell r="CL56">
            <v>0</v>
          </cell>
          <cell r="CM56">
            <v>0</v>
          </cell>
          <cell r="CX56">
            <v>4017.1133950157964</v>
          </cell>
          <cell r="CY56">
            <v>-44553.28219392788</v>
          </cell>
        </row>
        <row r="57">
          <cell r="I57">
            <v>4673.4706286176142</v>
          </cell>
          <cell r="J57">
            <v>4566.10247078252</v>
          </cell>
          <cell r="L57">
            <v>714.88796625585871</v>
          </cell>
          <cell r="M57">
            <v>706.55458284310726</v>
          </cell>
          <cell r="O57">
            <v>2016.12</v>
          </cell>
          <cell r="P57">
            <v>1584.6665279569897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2969.7558275587112</v>
          </cell>
          <cell r="Y57">
            <v>2282.5577180202245</v>
          </cell>
          <cell r="AA57">
            <v>0</v>
          </cell>
          <cell r="AB57">
            <v>0</v>
          </cell>
          <cell r="AD57">
            <v>6282.4792717366727</v>
          </cell>
          <cell r="AE57">
            <v>5962.4945213547671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6060.9129145193574</v>
          </cell>
          <cell r="AQ57">
            <v>4125.01039906809</v>
          </cell>
          <cell r="AS57">
            <v>15433.091090135726</v>
          </cell>
          <cell r="AT57">
            <v>5308</v>
          </cell>
          <cell r="AV57">
            <v>747.42372480879703</v>
          </cell>
          <cell r="AW57">
            <v>0</v>
          </cell>
          <cell r="AY57">
            <v>921.68889404320214</v>
          </cell>
          <cell r="AZ57">
            <v>0</v>
          </cell>
          <cell r="BB57">
            <v>1124.3885378347391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360.33684092152436</v>
          </cell>
          <cell r="BL57">
            <v>0</v>
          </cell>
          <cell r="BN57">
            <v>0</v>
          </cell>
          <cell r="BO57">
            <v>0</v>
          </cell>
          <cell r="BT57">
            <v>21842.611739226511</v>
          </cell>
          <cell r="BU57">
            <v>29323.471891703586</v>
          </cell>
          <cell r="BW57">
            <v>7328.1596509505771</v>
          </cell>
          <cell r="BX57">
            <v>9331.8600514869522</v>
          </cell>
          <cell r="BZ57">
            <v>6182.7169508769139</v>
          </cell>
          <cell r="CA57">
            <v>8708.8718119001915</v>
          </cell>
          <cell r="CC57">
            <v>977.69655796979032</v>
          </cell>
          <cell r="CD57">
            <v>971.56323654318123</v>
          </cell>
          <cell r="CF57">
            <v>120.36037171976585</v>
          </cell>
          <cell r="CG57">
            <v>1648.7492873788544</v>
          </cell>
          <cell r="CI57">
            <v>3837.0926613243869</v>
          </cell>
          <cell r="CJ57">
            <v>3571.6492384979078</v>
          </cell>
          <cell r="CL57">
            <v>0</v>
          </cell>
          <cell r="CM57">
            <v>0</v>
          </cell>
          <cell r="CX57">
            <v>-19.792354200155387</v>
          </cell>
          <cell r="CY57">
            <v>4182.1779149563599</v>
          </cell>
        </row>
        <row r="58">
          <cell r="I58">
            <v>1455.6893695395318</v>
          </cell>
          <cell r="J58">
            <v>1417.8676752361216</v>
          </cell>
          <cell r="L58">
            <v>286.42970640093938</v>
          </cell>
          <cell r="M58">
            <v>283.08975007952301</v>
          </cell>
          <cell r="O58">
            <v>384.48000000000008</v>
          </cell>
          <cell r="P58">
            <v>302.18034274193542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>
            <v>964.30804907366803</v>
          </cell>
          <cell r="Y58">
            <v>721.10935459887742</v>
          </cell>
          <cell r="AA58">
            <v>0</v>
          </cell>
          <cell r="AB58">
            <v>0</v>
          </cell>
          <cell r="AD58">
            <v>1083.9232936672204</v>
          </cell>
          <cell r="AE58">
            <v>1028.7159607727715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568.21058573618984</v>
          </cell>
          <cell r="AQ58">
            <v>567.2831481974207</v>
          </cell>
          <cell r="AS58">
            <v>5044.8335530023296</v>
          </cell>
          <cell r="AT58">
            <v>0</v>
          </cell>
          <cell r="AV58">
            <v>310.76677167265194</v>
          </cell>
          <cell r="AW58">
            <v>0</v>
          </cell>
          <cell r="AY58">
            <v>369.30487862550513</v>
          </cell>
          <cell r="AZ58">
            <v>0</v>
          </cell>
          <cell r="BB58">
            <v>72.621968049984375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78.787193100235982</v>
          </cell>
          <cell r="BL58">
            <v>0</v>
          </cell>
          <cell r="BN58">
            <v>0</v>
          </cell>
          <cell r="BO58">
            <v>0</v>
          </cell>
          <cell r="BT58">
            <v>0</v>
          </cell>
          <cell r="BU58">
            <v>0</v>
          </cell>
          <cell r="BW58">
            <v>188.75400770461215</v>
          </cell>
          <cell r="BX58">
            <v>772.68696403699732</v>
          </cell>
          <cell r="BZ58">
            <v>0</v>
          </cell>
          <cell r="CA58">
            <v>0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243.32782730349766</v>
          </cell>
          <cell r="CJ58">
            <v>88.593939850945446</v>
          </cell>
          <cell r="CL58">
            <v>0</v>
          </cell>
          <cell r="CM58">
            <v>0</v>
          </cell>
          <cell r="CX58">
            <v>198.79535534836305</v>
          </cell>
          <cell r="CY58">
            <v>7242.6874373824894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0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P59">
            <v>568.21058573618984</v>
          </cell>
          <cell r="AQ59">
            <v>93.429126284801754</v>
          </cell>
          <cell r="AS59">
            <v>2698.0842763878818</v>
          </cell>
          <cell r="AT59">
            <v>1427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N59">
            <v>0</v>
          </cell>
          <cell r="BO59">
            <v>0</v>
          </cell>
          <cell r="BT59">
            <v>167.48907527938252</v>
          </cell>
          <cell r="BU59">
            <v>583.89900584528709</v>
          </cell>
          <cell r="BW59">
            <v>0</v>
          </cell>
          <cell r="BX59">
            <v>6.4745423322480899</v>
          </cell>
          <cell r="BZ59">
            <v>0</v>
          </cell>
          <cell r="CA59">
            <v>142.63262643721652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I59">
            <v>0</v>
          </cell>
          <cell r="CJ59">
            <v>0</v>
          </cell>
          <cell r="CL59">
            <v>0</v>
          </cell>
          <cell r="CM59">
            <v>0</v>
          </cell>
          <cell r="CX59">
            <v>103.09927511585602</v>
          </cell>
          <cell r="CY59">
            <v>1519.5176389205362</v>
          </cell>
        </row>
        <row r="60"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284.10529286809492</v>
          </cell>
          <cell r="AQ60">
            <v>70.071844713601308</v>
          </cell>
          <cell r="AS60">
            <v>1145.6293036813659</v>
          </cell>
          <cell r="AT60">
            <v>0</v>
          </cell>
          <cell r="AV60">
            <v>0</v>
          </cell>
          <cell r="AW60">
            <v>0</v>
          </cell>
          <cell r="AY60">
            <v>0</v>
          </cell>
          <cell r="AZ60">
            <v>0</v>
          </cell>
          <cell r="BB60">
            <v>0</v>
          </cell>
          <cell r="BC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K60">
            <v>0</v>
          </cell>
          <cell r="BL60">
            <v>0</v>
          </cell>
          <cell r="BN60">
            <v>0</v>
          </cell>
          <cell r="BO60">
            <v>0</v>
          </cell>
          <cell r="BT60">
            <v>71.781032262592518</v>
          </cell>
          <cell r="BU60">
            <v>291.93616455215204</v>
          </cell>
          <cell r="BW60">
            <v>0</v>
          </cell>
          <cell r="BX60">
            <v>2.7047190799720333</v>
          </cell>
          <cell r="BZ60">
            <v>0</v>
          </cell>
          <cell r="CA60">
            <v>71.304044222106</v>
          </cell>
          <cell r="CC60">
            <v>0</v>
          </cell>
          <cell r="CD60">
            <v>0</v>
          </cell>
          <cell r="CF60">
            <v>0</v>
          </cell>
          <cell r="CG60">
            <v>0</v>
          </cell>
          <cell r="CI60">
            <v>0</v>
          </cell>
          <cell r="CJ60">
            <v>0</v>
          </cell>
          <cell r="CL60">
            <v>0</v>
          </cell>
          <cell r="CM60">
            <v>0</v>
          </cell>
          <cell r="CX60">
            <v>44.981245425536372</v>
          </cell>
          <cell r="CY60">
            <v>1323.5798729186024</v>
          </cell>
        </row>
        <row r="61">
          <cell r="I61">
            <v>6257.5911484659837</v>
          </cell>
          <cell r="J61">
            <v>6118.8589870346823</v>
          </cell>
          <cell r="L61">
            <v>1166.4230722268235</v>
          </cell>
          <cell r="M61">
            <v>1152.8303665428512</v>
          </cell>
          <cell r="O61">
            <v>2394.8399999999997</v>
          </cell>
          <cell r="P61">
            <v>1882.3580172043012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>
            <v>3099.9059752268099</v>
          </cell>
          <cell r="Y61">
            <v>3818.5710720428406</v>
          </cell>
          <cell r="AA61">
            <v>0</v>
          </cell>
          <cell r="AB61">
            <v>0</v>
          </cell>
          <cell r="AD61">
            <v>8101.8455891149861</v>
          </cell>
          <cell r="AE61">
            <v>7689.195276024645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4687.737332323567</v>
          </cell>
          <cell r="AQ61">
            <v>4265.1875576558114</v>
          </cell>
          <cell r="AS61">
            <v>22788.826910340897</v>
          </cell>
          <cell r="AT61">
            <v>2525.9719210355793</v>
          </cell>
          <cell r="AV61">
            <v>1037.8597924756773</v>
          </cell>
          <cell r="AW61">
            <v>0</v>
          </cell>
          <cell r="AY61">
            <v>1503.4989161478395</v>
          </cell>
          <cell r="AZ61">
            <v>0</v>
          </cell>
          <cell r="BB61">
            <v>1474.9544612997895</v>
          </cell>
          <cell r="BC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K61">
            <v>394.35347880783615</v>
          </cell>
          <cell r="BL61">
            <v>0</v>
          </cell>
          <cell r="BN61">
            <v>0</v>
          </cell>
          <cell r="BO61">
            <v>0</v>
          </cell>
          <cell r="BT61">
            <v>9333.7245100036289</v>
          </cell>
          <cell r="BU61">
            <v>15839.764653107659</v>
          </cell>
          <cell r="BW61">
            <v>7796.6057865763332</v>
          </cell>
          <cell r="BX61">
            <v>10292.583745164577</v>
          </cell>
          <cell r="BZ61">
            <v>5222.7637869268692</v>
          </cell>
          <cell r="CA61">
            <v>5862.7078399080374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2919.9339276419723</v>
          </cell>
          <cell r="CJ61">
            <v>1711.6955943871321</v>
          </cell>
          <cell r="CL61">
            <v>0</v>
          </cell>
          <cell r="CM61">
            <v>0</v>
          </cell>
          <cell r="CX61">
            <v>3262.8423749051908</v>
          </cell>
          <cell r="CY61">
            <v>23688.209963870257</v>
          </cell>
        </row>
        <row r="62">
          <cell r="I62">
            <v>3598.6920950821491</v>
          </cell>
          <cell r="J62">
            <v>3499.1394347267524</v>
          </cell>
          <cell r="L62">
            <v>798.03393845009134</v>
          </cell>
          <cell r="M62">
            <v>788.73249583106781</v>
          </cell>
          <cell r="O62">
            <v>1137.96</v>
          </cell>
          <cell r="P62">
            <v>894.45520564516153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>
            <v>2347.3064311886446</v>
          </cell>
          <cell r="Y62">
            <v>1703.4387058040311</v>
          </cell>
          <cell r="AA62">
            <v>0</v>
          </cell>
          <cell r="AB62">
            <v>0</v>
          </cell>
          <cell r="AD62">
            <v>3623.7672243904103</v>
          </cell>
          <cell r="AE62">
            <v>3439.198330394177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2414.8949893788067</v>
          </cell>
          <cell r="AQ62">
            <v>2092.2541195792596</v>
          </cell>
          <cell r="AS62">
            <v>10100.349507619947</v>
          </cell>
          <cell r="AT62">
            <v>294.66574510365297</v>
          </cell>
          <cell r="AV62">
            <v>633.01885653095781</v>
          </cell>
          <cell r="AW62">
            <v>0</v>
          </cell>
          <cell r="AY62">
            <v>1028.7282395790235</v>
          </cell>
          <cell r="AZ62">
            <v>0</v>
          </cell>
          <cell r="BB62">
            <v>525.16579787405601</v>
          </cell>
          <cell r="BC62">
            <v>0</v>
          </cell>
          <cell r="BE62">
            <v>0</v>
          </cell>
          <cell r="BF62">
            <v>0</v>
          </cell>
          <cell r="BH62">
            <v>0</v>
          </cell>
          <cell r="BI62">
            <v>0</v>
          </cell>
          <cell r="BK62">
            <v>250.67306348165042</v>
          </cell>
          <cell r="BL62">
            <v>0</v>
          </cell>
          <cell r="BN62">
            <v>0</v>
          </cell>
          <cell r="BO62">
            <v>0</v>
          </cell>
          <cell r="BT62">
            <v>13025.528331813208</v>
          </cell>
          <cell r="BU62">
            <v>19434.960756727443</v>
          </cell>
          <cell r="BW62">
            <v>6462.9582431803583</v>
          </cell>
          <cell r="BX62">
            <v>7502.3557770268808</v>
          </cell>
          <cell r="BZ62">
            <v>3398.0973162200739</v>
          </cell>
          <cell r="CA62">
            <v>3471.9109358817427</v>
          </cell>
          <cell r="CC62">
            <v>817.68845702647934</v>
          </cell>
          <cell r="CD62">
            <v>812.55890420879791</v>
          </cell>
          <cell r="CF62">
            <v>100.66240474757797</v>
          </cell>
          <cell r="CG62">
            <v>0</v>
          </cell>
          <cell r="CI62">
            <v>1853.0349925420212</v>
          </cell>
          <cell r="CJ62">
            <v>2565.5923284254623</v>
          </cell>
          <cell r="CL62">
            <v>0</v>
          </cell>
          <cell r="CM62">
            <v>0</v>
          </cell>
          <cell r="CX62">
            <v>0.64813307345320936</v>
          </cell>
          <cell r="CY62">
            <v>6741.404712774689</v>
          </cell>
        </row>
        <row r="63">
          <cell r="I63">
            <v>8208.2873418948348</v>
          </cell>
          <cell r="J63">
            <v>8065.8215751763873</v>
          </cell>
          <cell r="L63">
            <v>1290.1111559605285</v>
          </cell>
          <cell r="M63">
            <v>1301.8900917437916</v>
          </cell>
          <cell r="O63">
            <v>4037.52</v>
          </cell>
          <cell r="P63">
            <v>3173.6124056451617</v>
          </cell>
          <cell r="R63">
            <v>875.4000000000002</v>
          </cell>
          <cell r="S63">
            <v>688.24909274193556</v>
          </cell>
          <cell r="U63">
            <v>416.79730082204873</v>
          </cell>
          <cell r="V63">
            <v>1212.8245361560944</v>
          </cell>
          <cell r="X63">
            <v>3459.3200493341919</v>
          </cell>
          <cell r="Y63">
            <v>4902.4191314486052</v>
          </cell>
          <cell r="AA63">
            <v>0</v>
          </cell>
          <cell r="AB63">
            <v>0</v>
          </cell>
          <cell r="AD63">
            <v>11529.35214613133</v>
          </cell>
          <cell r="AE63">
            <v>10942.12905967535</v>
          </cell>
          <cell r="AJ63">
            <v>21319.261176821841</v>
          </cell>
          <cell r="AK63">
            <v>21185.520416143707</v>
          </cell>
          <cell r="AM63">
            <v>0</v>
          </cell>
          <cell r="AN63">
            <v>0</v>
          </cell>
          <cell r="AP63">
            <v>1846.6844036426171</v>
          </cell>
          <cell r="AQ63">
            <v>1765.4536945044536</v>
          </cell>
          <cell r="AS63">
            <v>39334.084718301783</v>
          </cell>
          <cell r="AT63">
            <v>13157.223899416529</v>
          </cell>
          <cell r="AV63">
            <v>640.36330953954393</v>
          </cell>
          <cell r="AW63">
            <v>0</v>
          </cell>
          <cell r="AY63">
            <v>854.45311191405517</v>
          </cell>
          <cell r="AZ63">
            <v>0</v>
          </cell>
          <cell r="BB63">
            <v>914.65560379504529</v>
          </cell>
          <cell r="BC63">
            <v>0</v>
          </cell>
          <cell r="BE63">
            <v>518.31461263183485</v>
          </cell>
          <cell r="BF63">
            <v>0</v>
          </cell>
          <cell r="BH63">
            <v>211.31966959543126</v>
          </cell>
          <cell r="BI63">
            <v>2391.9159078243188</v>
          </cell>
          <cell r="BK63">
            <v>621.38583075357792</v>
          </cell>
          <cell r="BL63">
            <v>0</v>
          </cell>
          <cell r="BN63">
            <v>0</v>
          </cell>
          <cell r="BO63">
            <v>0</v>
          </cell>
          <cell r="BT63">
            <v>35255.470387784742</v>
          </cell>
          <cell r="BU63">
            <v>34860.25709820776</v>
          </cell>
          <cell r="BW63">
            <v>26779.397610999975</v>
          </cell>
          <cell r="BX63">
            <v>28620.237135936783</v>
          </cell>
          <cell r="BZ63">
            <v>6491.9522610755403</v>
          </cell>
          <cell r="CA63">
            <v>8099.4869423228329</v>
          </cell>
          <cell r="CC63">
            <v>844.16038549136545</v>
          </cell>
          <cell r="CD63">
            <v>838.86476801411868</v>
          </cell>
          <cell r="CF63">
            <v>103.92125957753552</v>
          </cell>
          <cell r="CG63">
            <v>0</v>
          </cell>
          <cell r="CI63">
            <v>9639.5254662539501</v>
          </cell>
          <cell r="CJ63">
            <v>5836.1277642029845</v>
          </cell>
          <cell r="CL63">
            <v>2826.3463017560121</v>
          </cell>
          <cell r="CM63">
            <v>12408.937842716197</v>
          </cell>
          <cell r="CX63">
            <v>1067.4190751066344</v>
          </cell>
          <cell r="CY63">
            <v>23347.954365747559</v>
          </cell>
        </row>
        <row r="64">
          <cell r="I64">
            <v>5464.6134802733623</v>
          </cell>
          <cell r="J64">
            <v>5368.6687448507073</v>
          </cell>
          <cell r="L64">
            <v>1166.4230722268235</v>
          </cell>
          <cell r="M64">
            <v>1180.8319675427852</v>
          </cell>
          <cell r="O64">
            <v>2655.9599999999996</v>
          </cell>
          <cell r="P64">
            <v>2087.684972903226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>
            <v>3386.4079551528735</v>
          </cell>
          <cell r="Y64">
            <v>2571.3770051348006</v>
          </cell>
          <cell r="AA64">
            <v>0</v>
          </cell>
          <cell r="AB64">
            <v>0</v>
          </cell>
          <cell r="AD64">
            <v>7958.1776495993281</v>
          </cell>
          <cell r="AE64">
            <v>7872.6191869790009</v>
          </cell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P64">
            <v>3219.8599858384096</v>
          </cell>
          <cell r="AQ64">
            <v>4534.7307505737099</v>
          </cell>
          <cell r="AS64">
            <v>22689.506186712952</v>
          </cell>
          <cell r="AT64">
            <v>4698.4073979074428</v>
          </cell>
          <cell r="AV64">
            <v>899.78292798016798</v>
          </cell>
          <cell r="AW64">
            <v>0</v>
          </cell>
          <cell r="AY64">
            <v>1503.4989161478395</v>
          </cell>
          <cell r="AZ64">
            <v>0</v>
          </cell>
          <cell r="BB64">
            <v>1135.347303295345</v>
          </cell>
          <cell r="BC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K64">
            <v>418.16597706575902</v>
          </cell>
          <cell r="BL64">
            <v>0</v>
          </cell>
          <cell r="BN64">
            <v>0</v>
          </cell>
          <cell r="BO64">
            <v>0</v>
          </cell>
          <cell r="BT64">
            <v>25516.43119446906</v>
          </cell>
          <cell r="BU64">
            <v>31508.281610720165</v>
          </cell>
          <cell r="BW64">
            <v>7662.2082844686511</v>
          </cell>
          <cell r="BX64">
            <v>9245.3023229712508</v>
          </cell>
          <cell r="BZ64">
            <v>6330.0341114596185</v>
          </cell>
          <cell r="CA64">
            <v>9638.5779369283009</v>
          </cell>
          <cell r="CC64">
            <v>791.21652856159301</v>
          </cell>
          <cell r="CD64">
            <v>786.25304040347714</v>
          </cell>
          <cell r="CF64">
            <v>97.403549917620396</v>
          </cell>
          <cell r="CG64">
            <v>0</v>
          </cell>
          <cell r="CI64">
            <v>4473.4885173489201</v>
          </cell>
          <cell r="CJ64">
            <v>2448.857765835638</v>
          </cell>
          <cell r="CL64">
            <v>0</v>
          </cell>
          <cell r="CM64">
            <v>0</v>
          </cell>
          <cell r="CX64">
            <v>6834.0892313780132</v>
          </cell>
          <cell r="CY64">
            <v>22946.408756699402</v>
          </cell>
        </row>
        <row r="65"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378.80705715745984</v>
          </cell>
          <cell r="AQ65">
            <v>139.73068767963608</v>
          </cell>
          <cell r="AS65">
            <v>4048.8260570972575</v>
          </cell>
          <cell r="AT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T65">
            <v>0</v>
          </cell>
          <cell r="BU65">
            <v>0</v>
          </cell>
          <cell r="BW65">
            <v>0</v>
          </cell>
          <cell r="BX65">
            <v>9.7053583215702925</v>
          </cell>
          <cell r="BZ65">
            <v>0</v>
          </cell>
          <cell r="CA65">
            <v>0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0</v>
          </cell>
          <cell r="CJ65">
            <v>0</v>
          </cell>
          <cell r="CL65">
            <v>0</v>
          </cell>
          <cell r="CM65">
            <v>0</v>
          </cell>
          <cell r="CX65">
            <v>133.04026289434091</v>
          </cell>
          <cell r="CY65">
            <v>5266.876744798552</v>
          </cell>
        </row>
        <row r="66"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568.21058573618984</v>
          </cell>
          <cell r="AQ66">
            <v>232.88447946606013</v>
          </cell>
          <cell r="AS66">
            <v>4378.9220064616811</v>
          </cell>
          <cell r="AT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B66">
            <v>0</v>
          </cell>
          <cell r="BC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K66">
            <v>0</v>
          </cell>
          <cell r="BL66">
            <v>0</v>
          </cell>
          <cell r="BN66">
            <v>0</v>
          </cell>
          <cell r="BO66">
            <v>0</v>
          </cell>
          <cell r="BT66">
            <v>0</v>
          </cell>
          <cell r="BU66">
            <v>0</v>
          </cell>
          <cell r="BW66">
            <v>0</v>
          </cell>
          <cell r="BX66">
            <v>9.4729719567039599</v>
          </cell>
          <cell r="BZ66">
            <v>0</v>
          </cell>
          <cell r="CA66">
            <v>0</v>
          </cell>
          <cell r="CC66">
            <v>0</v>
          </cell>
          <cell r="CD66">
            <v>0</v>
          </cell>
          <cell r="CF66">
            <v>0</v>
          </cell>
          <cell r="CG66">
            <v>0</v>
          </cell>
          <cell r="CI66">
            <v>0</v>
          </cell>
          <cell r="CJ66">
            <v>0</v>
          </cell>
          <cell r="CL66">
            <v>0</v>
          </cell>
          <cell r="CM66">
            <v>0</v>
          </cell>
          <cell r="CX66">
            <v>88.880889362556672</v>
          </cell>
          <cell r="CY66">
            <v>5734.611058292684</v>
          </cell>
        </row>
        <row r="67">
          <cell r="I67">
            <v>14086.185156068743</v>
          </cell>
          <cell r="J67">
            <v>12041.805663406176</v>
          </cell>
          <cell r="L67">
            <v>2354.4520631441269</v>
          </cell>
          <cell r="M67">
            <v>2206.8398867786227</v>
          </cell>
          <cell r="O67">
            <v>12747.240000000003</v>
          </cell>
          <cell r="P67">
            <v>10020.061110215052</v>
          </cell>
          <cell r="R67">
            <v>2769.1200000000008</v>
          </cell>
          <cell r="S67">
            <v>2176.6534129032261</v>
          </cell>
          <cell r="U67">
            <v>2304.9674409502677</v>
          </cell>
          <cell r="V67">
            <v>862.53275343210214</v>
          </cell>
          <cell r="X67">
            <v>19910.213007023362</v>
          </cell>
          <cell r="Y67">
            <v>16590.662231786839</v>
          </cell>
          <cell r="AA67">
            <v>0</v>
          </cell>
          <cell r="AB67">
            <v>0</v>
          </cell>
          <cell r="AD67">
            <v>36101.059426418236</v>
          </cell>
          <cell r="AE67">
            <v>34262.328570424252</v>
          </cell>
          <cell r="AJ67">
            <v>105044.62304691999</v>
          </cell>
          <cell r="AK67">
            <v>104385.50948550183</v>
          </cell>
          <cell r="AM67">
            <v>1578.4221588709306</v>
          </cell>
          <cell r="AN67">
            <v>0</v>
          </cell>
          <cell r="AP67">
            <v>6629.1235002555504</v>
          </cell>
          <cell r="AQ67">
            <v>6955.2614250020997</v>
          </cell>
          <cell r="AS67">
            <v>167368.30681827466</v>
          </cell>
          <cell r="AT67">
            <v>79949.124468920898</v>
          </cell>
          <cell r="AV67">
            <v>478.01020968523716</v>
          </cell>
          <cell r="AW67">
            <v>980.16728040695443</v>
          </cell>
          <cell r="AY67">
            <v>643.60658418528624</v>
          </cell>
          <cell r="AZ67">
            <v>2835</v>
          </cell>
          <cell r="BB67">
            <v>1317.4428399445619</v>
          </cell>
          <cell r="BC67">
            <v>0</v>
          </cell>
          <cell r="BE67">
            <v>542.01835825490218</v>
          </cell>
          <cell r="BF67">
            <v>858.1913451964266</v>
          </cell>
          <cell r="BH67">
            <v>467.73559800676429</v>
          </cell>
          <cell r="BI67">
            <v>0</v>
          </cell>
          <cell r="BK67">
            <v>742.91309362602863</v>
          </cell>
          <cell r="BL67">
            <v>5560.8863751726149</v>
          </cell>
          <cell r="BN67">
            <v>1396.4533431190202</v>
          </cell>
          <cell r="BO67">
            <v>11858</v>
          </cell>
          <cell r="BT67">
            <v>98296.372742325591</v>
          </cell>
          <cell r="BU67">
            <v>114492.5525586705</v>
          </cell>
          <cell r="BW67">
            <v>87876.572059552898</v>
          </cell>
          <cell r="BX67">
            <v>83904.926071963753</v>
          </cell>
          <cell r="BZ67">
            <v>3895.1713566453241</v>
          </cell>
          <cell r="CA67">
            <v>21803.681467385541</v>
          </cell>
          <cell r="CC67">
            <v>4251.6858439991929</v>
          </cell>
          <cell r="CD67">
            <v>4225.014014510135</v>
          </cell>
          <cell r="CF67">
            <v>523.40829518929468</v>
          </cell>
          <cell r="CG67">
            <v>1972.6685319478036</v>
          </cell>
          <cell r="CI67">
            <v>17220.123163016764</v>
          </cell>
          <cell r="CJ67">
            <v>8247.0113173410209</v>
          </cell>
          <cell r="CL67">
            <v>15947.3314509677</v>
          </cell>
          <cell r="CM67">
            <v>20669.833454373784</v>
          </cell>
          <cell r="CX67">
            <v>13466.250932266848</v>
          </cell>
          <cell r="CY67">
            <v>82626.866289592464</v>
          </cell>
        </row>
        <row r="68"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710.26323217023753</v>
          </cell>
          <cell r="AQ68">
            <v>279.46137535927215</v>
          </cell>
          <cell r="AS68">
            <v>3261.3034972739169</v>
          </cell>
          <cell r="AT68">
            <v>0</v>
          </cell>
          <cell r="AV68">
            <v>0</v>
          </cell>
          <cell r="AW68">
            <v>0</v>
          </cell>
          <cell r="AY68">
            <v>0</v>
          </cell>
          <cell r="AZ68">
            <v>0</v>
          </cell>
          <cell r="BB68">
            <v>0</v>
          </cell>
          <cell r="BC68">
            <v>0</v>
          </cell>
          <cell r="BE68">
            <v>0</v>
          </cell>
          <cell r="BF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N68">
            <v>0</v>
          </cell>
          <cell r="BO68">
            <v>0</v>
          </cell>
          <cell r="BT68">
            <v>0</v>
          </cell>
          <cell r="BU68">
            <v>407.10821440183611</v>
          </cell>
          <cell r="BW68">
            <v>0</v>
          </cell>
          <cell r="BX68">
            <v>5.6450521132113209</v>
          </cell>
          <cell r="BZ68">
            <v>0</v>
          </cell>
          <cell r="CA68">
            <v>101.77705360045903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0</v>
          </cell>
          <cell r="CJ68">
            <v>0</v>
          </cell>
          <cell r="CL68">
            <v>0</v>
          </cell>
          <cell r="CM68">
            <v>0</v>
          </cell>
          <cell r="CX68">
            <v>71.439924667016157</v>
          </cell>
          <cell r="CY68">
            <v>3884.5299654302662</v>
          </cell>
        </row>
        <row r="69"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0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P69">
            <v>331.45617501277735</v>
          </cell>
          <cell r="AQ69">
            <v>139.73068767963608</v>
          </cell>
          <cell r="AS69">
            <v>2036.9434654348122</v>
          </cell>
          <cell r="AT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H69">
            <v>0</v>
          </cell>
          <cell r="BI69">
            <v>0</v>
          </cell>
          <cell r="BK69">
            <v>0</v>
          </cell>
          <cell r="BL69">
            <v>0</v>
          </cell>
          <cell r="BN69">
            <v>0</v>
          </cell>
          <cell r="BO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4.4185685208612338</v>
          </cell>
          <cell r="BZ69">
            <v>0</v>
          </cell>
          <cell r="CA69">
            <v>0</v>
          </cell>
          <cell r="CC69">
            <v>0</v>
          </cell>
          <cell r="CD69">
            <v>0</v>
          </cell>
          <cell r="CF69">
            <v>0</v>
          </cell>
          <cell r="CG69">
            <v>0</v>
          </cell>
          <cell r="CI69">
            <v>0</v>
          </cell>
          <cell r="CJ69">
            <v>0</v>
          </cell>
          <cell r="CL69">
            <v>0</v>
          </cell>
          <cell r="CM69">
            <v>0</v>
          </cell>
          <cell r="CX69">
            <v>71.160431462893484</v>
          </cell>
          <cell r="CY69">
            <v>2740.2608925594031</v>
          </cell>
        </row>
        <row r="70">
          <cell r="I70">
            <v>19191.444698902262</v>
          </cell>
          <cell r="J70">
            <v>16069.738849804051</v>
          </cell>
          <cell r="L70">
            <v>3164.025404940041</v>
          </cell>
          <cell r="M70">
            <v>3028.3575688252154</v>
          </cell>
          <cell r="O70">
            <v>11405.64</v>
          </cell>
          <cell r="P70">
            <v>8964.6803935483877</v>
          </cell>
          <cell r="R70">
            <v>2467.1999999999994</v>
          </cell>
          <cell r="S70">
            <v>1939.3020344086024</v>
          </cell>
          <cell r="U70">
            <v>3457.4511614254002</v>
          </cell>
          <cell r="V70">
            <v>1232.8705985559461</v>
          </cell>
          <cell r="X70">
            <v>15762.020901402275</v>
          </cell>
          <cell r="Y70">
            <v>12280.804540153033</v>
          </cell>
          <cell r="AA70">
            <v>0</v>
          </cell>
          <cell r="AB70">
            <v>0</v>
          </cell>
          <cell r="AD70">
            <v>32558.319209582038</v>
          </cell>
          <cell r="AE70">
            <v>30900.030308892576</v>
          </cell>
          <cell r="AJ70">
            <v>65643.029279454873</v>
          </cell>
          <cell r="AK70">
            <v>65231.106253219681</v>
          </cell>
          <cell r="AM70">
            <v>3156.8443177418612</v>
          </cell>
          <cell r="AN70">
            <v>1180.2070163380699</v>
          </cell>
          <cell r="AP70">
            <v>5540.0532109278502</v>
          </cell>
          <cell r="AQ70">
            <v>5755.9732225631615</v>
          </cell>
          <cell r="AS70">
            <v>125873.23977248611</v>
          </cell>
          <cell r="AT70">
            <v>169944.10606261768</v>
          </cell>
          <cell r="AV70">
            <v>1568.8123340820982</v>
          </cell>
          <cell r="AW70">
            <v>657.38771878991452</v>
          </cell>
          <cell r="AY70">
            <v>2107.8464941106845</v>
          </cell>
          <cell r="AZ70">
            <v>2689</v>
          </cell>
          <cell r="BB70">
            <v>2902.2550345034015</v>
          </cell>
          <cell r="BC70">
            <v>4155</v>
          </cell>
          <cell r="BE70">
            <v>1113.8321563382149</v>
          </cell>
          <cell r="BF70">
            <v>1287.2999011257489</v>
          </cell>
          <cell r="BH70">
            <v>1753.9358039059116</v>
          </cell>
          <cell r="BI70">
            <v>0</v>
          </cell>
          <cell r="BK70">
            <v>1414.930392504355</v>
          </cell>
          <cell r="BL70">
            <v>7807</v>
          </cell>
          <cell r="BN70">
            <v>852.13736562358417</v>
          </cell>
          <cell r="BO70">
            <v>11622</v>
          </cell>
          <cell r="BT70">
            <v>82737.400983198255</v>
          </cell>
          <cell r="BU70">
            <v>78884.740167424956</v>
          </cell>
          <cell r="BW70">
            <v>63018.936185409751</v>
          </cell>
          <cell r="BX70">
            <v>56739.205440055113</v>
          </cell>
          <cell r="BZ70">
            <v>10387.123617720867</v>
          </cell>
          <cell r="CA70">
            <v>20429.719970788505</v>
          </cell>
          <cell r="CC70">
            <v>2743.0800540391897</v>
          </cell>
          <cell r="CD70">
            <v>2725.8720649824636</v>
          </cell>
          <cell r="CF70">
            <v>337.68977937982447</v>
          </cell>
          <cell r="CG70">
            <v>0</v>
          </cell>
          <cell r="CI70">
            <v>16433.987105574688</v>
          </cell>
          <cell r="CJ70">
            <v>15075.356513249541</v>
          </cell>
          <cell r="CL70">
            <v>24650.980658362038</v>
          </cell>
          <cell r="CM70">
            <v>22622.81013295189</v>
          </cell>
          <cell r="CX70">
            <v>10386.920894061317</v>
          </cell>
          <cell r="CY70">
            <v>-38789.502509953447</v>
          </cell>
        </row>
        <row r="71">
          <cell r="I71">
            <v>8066.3597379785979</v>
          </cell>
          <cell r="J71">
            <v>6680.8643953918454</v>
          </cell>
          <cell r="L71">
            <v>1717.4024767529843</v>
          </cell>
          <cell r="M71">
            <v>1628.7982544278607</v>
          </cell>
          <cell r="O71">
            <v>3831.3599999999988</v>
          </cell>
          <cell r="P71">
            <v>3011.5480898924729</v>
          </cell>
          <cell r="R71">
            <v>799.56</v>
          </cell>
          <cell r="S71">
            <v>628.50151204301073</v>
          </cell>
          <cell r="U71">
            <v>531.87068102458227</v>
          </cell>
          <cell r="V71">
            <v>256.24107721601558</v>
          </cell>
          <cell r="X71">
            <v>5374.1827656018031</v>
          </cell>
          <cell r="Y71">
            <v>6221.0100029563118</v>
          </cell>
          <cell r="AA71">
            <v>0</v>
          </cell>
          <cell r="AB71">
            <v>0</v>
          </cell>
          <cell r="AD71">
            <v>10646.264659578706</v>
          </cell>
          <cell r="AE71">
            <v>10104.01976035227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P71">
            <v>2130.7896965107125</v>
          </cell>
          <cell r="AQ71">
            <v>2055.9860612854814</v>
          </cell>
          <cell r="AS71">
            <v>24589.692375922805</v>
          </cell>
          <cell r="AT71">
            <v>11452.783384953213</v>
          </cell>
          <cell r="AV71">
            <v>1452.568654252739</v>
          </cell>
          <cell r="AW71">
            <v>2382.9381212080389</v>
          </cell>
          <cell r="AY71">
            <v>2047.7847604631097</v>
          </cell>
          <cell r="AZ71">
            <v>2370.3930450573271</v>
          </cell>
          <cell r="BB71">
            <v>587.96062854940965</v>
          </cell>
          <cell r="BC71">
            <v>0</v>
          </cell>
          <cell r="BE71">
            <v>688.52768239675095</v>
          </cell>
          <cell r="BF71">
            <v>0</v>
          </cell>
          <cell r="BH71">
            <v>539.76213107435467</v>
          </cell>
          <cell r="BI71">
            <v>0</v>
          </cell>
          <cell r="BK71">
            <v>735.41896384928611</v>
          </cell>
          <cell r="BL71">
            <v>17783.33634215191</v>
          </cell>
          <cell r="BN71">
            <v>733.74444862908138</v>
          </cell>
          <cell r="BO71">
            <v>2133</v>
          </cell>
          <cell r="BT71">
            <v>52875.885218997144</v>
          </cell>
          <cell r="BU71">
            <v>47594.771575126935</v>
          </cell>
          <cell r="BW71">
            <v>22584.372155935242</v>
          </cell>
          <cell r="BX71">
            <v>19038.088056278593</v>
          </cell>
          <cell r="BZ71">
            <v>12464.548341265037</v>
          </cell>
          <cell r="CA71">
            <v>11548.579666489004</v>
          </cell>
          <cell r="CC71">
            <v>1487.1341146495968</v>
          </cell>
          <cell r="CD71">
            <v>1477.8049711077995</v>
          </cell>
          <cell r="CF71">
            <v>183.07522244739357</v>
          </cell>
          <cell r="CG71">
            <v>0</v>
          </cell>
          <cell r="CI71">
            <v>4791.686445361187</v>
          </cell>
          <cell r="CJ71">
            <v>3476.6461916712528</v>
          </cell>
          <cell r="CL71">
            <v>0</v>
          </cell>
          <cell r="CM71">
            <v>0</v>
          </cell>
          <cell r="CX71">
            <v>189.0586065113821</v>
          </cell>
          <cell r="CY71">
            <v>11006.627390868794</v>
          </cell>
        </row>
        <row r="72">
          <cell r="I72">
            <v>31303.27827142979</v>
          </cell>
          <cell r="J72">
            <v>26120.872844697355</v>
          </cell>
          <cell r="L72">
            <v>5332.3559912255878</v>
          </cell>
          <cell r="M72">
            <v>4845.3332590201871</v>
          </cell>
          <cell r="O72">
            <v>17269.439999999995</v>
          </cell>
          <cell r="P72">
            <v>13574.627405645162</v>
          </cell>
          <cell r="R72">
            <v>3748.1999999999994</v>
          </cell>
          <cell r="S72">
            <v>2945.568421908602</v>
          </cell>
          <cell r="U72">
            <v>5762.4181122317714</v>
          </cell>
          <cell r="V72">
            <v>2074.548311015973</v>
          </cell>
          <cell r="X72">
            <v>29131.289749785923</v>
          </cell>
          <cell r="Y72">
            <v>22096.577294182105</v>
          </cell>
          <cell r="AA72">
            <v>0</v>
          </cell>
          <cell r="AB72">
            <v>0</v>
          </cell>
          <cell r="AD72">
            <v>48648.487060605454</v>
          </cell>
          <cell r="AE72">
            <v>46170.679603511817</v>
          </cell>
          <cell r="AJ72">
            <v>126755.61528637882</v>
          </cell>
          <cell r="AK72">
            <v>125960.30470589535</v>
          </cell>
          <cell r="AM72">
            <v>1578.4221588709306</v>
          </cell>
          <cell r="AN72">
            <v>0</v>
          </cell>
          <cell r="AP72">
            <v>8617.860550332216</v>
          </cell>
          <cell r="AQ72">
            <v>8554.4073206704106</v>
          </cell>
          <cell r="AS72">
            <v>196267.33336371303</v>
          </cell>
          <cell r="AT72">
            <v>43090.520411608377</v>
          </cell>
          <cell r="AV72">
            <v>1035.8937732639563</v>
          </cell>
          <cell r="AW72">
            <v>1814</v>
          </cell>
          <cell r="AY72">
            <v>1420.4777869412935</v>
          </cell>
          <cell r="AZ72">
            <v>4069</v>
          </cell>
          <cell r="BB72">
            <v>1107.8780740234904</v>
          </cell>
          <cell r="BC72">
            <v>2677</v>
          </cell>
          <cell r="BE72">
            <v>691.97958726118429</v>
          </cell>
          <cell r="BF72">
            <v>0</v>
          </cell>
          <cell r="BH72">
            <v>1169.2516706447873</v>
          </cell>
          <cell r="BI72">
            <v>0</v>
          </cell>
          <cell r="BK72">
            <v>1412.354089855826</v>
          </cell>
          <cell r="BL72">
            <v>0</v>
          </cell>
          <cell r="BN72">
            <v>1373.0659063130572</v>
          </cell>
          <cell r="BO72">
            <v>0</v>
          </cell>
          <cell r="BT72">
            <v>176008.01728170307</v>
          </cell>
          <cell r="BU72">
            <v>200767.67832662124</v>
          </cell>
          <cell r="BW72">
            <v>103874.82388287078</v>
          </cell>
          <cell r="BX72">
            <v>120064.08814776766</v>
          </cell>
          <cell r="BZ72">
            <v>19475.856783226627</v>
          </cell>
          <cell r="CA72">
            <v>51997.162950710299</v>
          </cell>
          <cell r="CC72">
            <v>3169.5722348623535</v>
          </cell>
          <cell r="CD72">
            <v>3149.688759623743</v>
          </cell>
          <cell r="CF72">
            <v>390.19355164025183</v>
          </cell>
          <cell r="CG72">
            <v>0</v>
          </cell>
          <cell r="CI72">
            <v>30397.260887760018</v>
          </cell>
          <cell r="CJ72">
            <v>29925.475778531527</v>
          </cell>
          <cell r="CL72">
            <v>16115.789177562425</v>
          </cell>
          <cell r="CM72">
            <v>30873.798330717051</v>
          </cell>
          <cell r="CX72">
            <v>20185.601720996972</v>
          </cell>
          <cell r="CY72">
            <v>129728.5417534478</v>
          </cell>
        </row>
        <row r="73">
          <cell r="I73">
            <v>8066.9515399561233</v>
          </cell>
          <cell r="J73">
            <v>6680.5109273335784</v>
          </cell>
          <cell r="L73">
            <v>1717.4024767529843</v>
          </cell>
          <cell r="M73">
            <v>1640.8758279547981</v>
          </cell>
          <cell r="O73">
            <v>3839.76</v>
          </cell>
          <cell r="P73">
            <v>3018.0369151612913</v>
          </cell>
          <cell r="R73">
            <v>813.4799999999999</v>
          </cell>
          <cell r="S73">
            <v>639.47327569892479</v>
          </cell>
          <cell r="U73">
            <v>531.87068102458227</v>
          </cell>
          <cell r="V73">
            <v>290.79436120767855</v>
          </cell>
          <cell r="X73">
            <v>5374.1827656018031</v>
          </cell>
          <cell r="Y73">
            <v>3985.1000924540722</v>
          </cell>
          <cell r="AA73">
            <v>0</v>
          </cell>
          <cell r="AB73">
            <v>0</v>
          </cell>
          <cell r="AD73">
            <v>10610.048366492469</v>
          </cell>
          <cell r="AE73">
            <v>10069.648067303966</v>
          </cell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P73">
            <v>2130.7896965107125</v>
          </cell>
          <cell r="AQ73">
            <v>1998.6897037102297</v>
          </cell>
          <cell r="AS73">
            <v>44386.96263901671</v>
          </cell>
          <cell r="AT73">
            <v>116812</v>
          </cell>
          <cell r="AV73">
            <v>1543.0954202121859</v>
          </cell>
          <cell r="AW73">
            <v>2979.846033698891</v>
          </cell>
          <cell r="AY73">
            <v>2047.7847604631097</v>
          </cell>
          <cell r="AZ73">
            <v>2157</v>
          </cell>
          <cell r="BB73">
            <v>1429.2670450907278</v>
          </cell>
          <cell r="BC73">
            <v>0</v>
          </cell>
          <cell r="BE73">
            <v>706.30561336435619</v>
          </cell>
          <cell r="BF73">
            <v>0</v>
          </cell>
          <cell r="BH73">
            <v>539.76213107435467</v>
          </cell>
          <cell r="BI73">
            <v>0</v>
          </cell>
          <cell r="BK73">
            <v>735.41896384928611</v>
          </cell>
          <cell r="BL73">
            <v>6350.8002312702101</v>
          </cell>
          <cell r="BN73">
            <v>733.74444862908138</v>
          </cell>
          <cell r="BO73">
            <v>3815</v>
          </cell>
          <cell r="BT73">
            <v>43422.853905404212</v>
          </cell>
          <cell r="BU73">
            <v>43261.104086302897</v>
          </cell>
          <cell r="BW73">
            <v>20813.408787078744</v>
          </cell>
          <cell r="BX73">
            <v>24428.10527188165</v>
          </cell>
          <cell r="BZ73">
            <v>1765.8110150125476</v>
          </cell>
          <cell r="CA73">
            <v>10823.227254040432</v>
          </cell>
          <cell r="CC73">
            <v>1589.1981055086578</v>
          </cell>
          <cell r="CD73">
            <v>1579.2286904460916</v>
          </cell>
          <cell r="CF73">
            <v>195.63991829178545</v>
          </cell>
          <cell r="CG73">
            <v>1643.8904432898362</v>
          </cell>
          <cell r="CI73">
            <v>4885.2740712471468</v>
          </cell>
          <cell r="CJ73">
            <v>2683.7051051909307</v>
          </cell>
          <cell r="CL73">
            <v>0</v>
          </cell>
          <cell r="CM73">
            <v>0</v>
          </cell>
          <cell r="CX73">
            <v>3782.9851793021007</v>
          </cell>
          <cell r="CY73">
            <v>-100590.64354433457</v>
          </cell>
        </row>
        <row r="74">
          <cell r="I74">
            <v>31418.517009439456</v>
          </cell>
          <cell r="J74">
            <v>26220.747079952198</v>
          </cell>
          <cell r="L74">
            <v>5332.3559912255878</v>
          </cell>
          <cell r="M74">
            <v>4868.1247886693027</v>
          </cell>
          <cell r="O74">
            <v>16612.679999999997</v>
          </cell>
          <cell r="P74">
            <v>13057.633110215054</v>
          </cell>
          <cell r="R74">
            <v>3758.0400000000004</v>
          </cell>
          <cell r="S74">
            <v>2953.8535118279574</v>
          </cell>
          <cell r="U74">
            <v>5762.4181122317714</v>
          </cell>
          <cell r="V74">
            <v>2058.0078422886322</v>
          </cell>
          <cell r="X74">
            <v>29131.289749785923</v>
          </cell>
          <cell r="Y74">
            <v>22362.740015605239</v>
          </cell>
          <cell r="AA74">
            <v>0</v>
          </cell>
          <cell r="AB74">
            <v>0</v>
          </cell>
          <cell r="AD74">
            <v>48985.850168575264</v>
          </cell>
          <cell r="AE74">
            <v>46498.610715109644</v>
          </cell>
          <cell r="AJ74">
            <v>143450.57817156689</v>
          </cell>
          <cell r="AK74">
            <v>142550.41170864459</v>
          </cell>
          <cell r="AM74">
            <v>0</v>
          </cell>
          <cell r="AN74">
            <v>0</v>
          </cell>
          <cell r="AP74">
            <v>8712.5623146215748</v>
          </cell>
          <cell r="AQ74">
            <v>8650.295264439912</v>
          </cell>
          <cell r="AS74">
            <v>197299.15676249281</v>
          </cell>
          <cell r="AT74">
            <v>200427.30623781506</v>
          </cell>
          <cell r="AV74">
            <v>2593.2803124522607</v>
          </cell>
          <cell r="AW74">
            <v>1327.2678302007387</v>
          </cell>
          <cell r="AY74">
            <v>3551.194467353233</v>
          </cell>
          <cell r="AZ74">
            <v>14935.478574721892</v>
          </cell>
          <cell r="BB74">
            <v>4141.6309918311208</v>
          </cell>
          <cell r="BC74">
            <v>7593</v>
          </cell>
          <cell r="BE74">
            <v>1739.2972062302358</v>
          </cell>
          <cell r="BF74">
            <v>0</v>
          </cell>
          <cell r="BH74">
            <v>2923.1291766119671</v>
          </cell>
          <cell r="BI74">
            <v>0</v>
          </cell>
          <cell r="BK74">
            <v>3530.885224639565</v>
          </cell>
          <cell r="BL74">
            <v>7040.2096977603178</v>
          </cell>
          <cell r="BN74">
            <v>1396.4533431190202</v>
          </cell>
          <cell r="BO74">
            <v>13118</v>
          </cell>
          <cell r="BT74">
            <v>146439.8830916844</v>
          </cell>
          <cell r="BU74">
            <v>151822.1717132265</v>
          </cell>
          <cell r="BW74">
            <v>102328.41108975484</v>
          </cell>
          <cell r="BX74">
            <v>99586.886577822617</v>
          </cell>
          <cell r="BZ74">
            <v>27266.199496517289</v>
          </cell>
          <cell r="CA74">
            <v>30485.088457288246</v>
          </cell>
          <cell r="CC74">
            <v>2272.4679924412158</v>
          </cell>
          <cell r="CD74">
            <v>2258.212263998983</v>
          </cell>
          <cell r="CF74">
            <v>279.75458240280125</v>
          </cell>
          <cell r="CG74">
            <v>0</v>
          </cell>
          <cell r="CI74">
            <v>31445.442297682795</v>
          </cell>
          <cell r="CJ74">
            <v>23387.65321631081</v>
          </cell>
          <cell r="CL74">
            <v>13888.40368147657</v>
          </cell>
          <cell r="CM74">
            <v>22941.483418946926</v>
          </cell>
          <cell r="CX74">
            <v>5511.5125190361287</v>
          </cell>
          <cell r="CY74">
            <v>-6348.4484298135067</v>
          </cell>
        </row>
        <row r="75"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P75">
            <v>473.50882144682492</v>
          </cell>
          <cell r="AQ75">
            <v>163.50097099840306</v>
          </cell>
          <cell r="AS75">
            <v>3413.5079379087051</v>
          </cell>
          <cell r="AT75">
            <v>3809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1228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T75">
            <v>0</v>
          </cell>
          <cell r="BU75">
            <v>0</v>
          </cell>
          <cell r="BW75">
            <v>0</v>
          </cell>
          <cell r="BX75">
            <v>6.9715909459899663</v>
          </cell>
          <cell r="BZ75">
            <v>0</v>
          </cell>
          <cell r="CA75">
            <v>0</v>
          </cell>
          <cell r="CC75">
            <v>0</v>
          </cell>
          <cell r="CD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L75">
            <v>0</v>
          </cell>
          <cell r="CM75">
            <v>0</v>
          </cell>
          <cell r="CX75">
            <v>69.819888773363118</v>
          </cell>
          <cell r="CY75">
            <v>-1514.7270743332715</v>
          </cell>
        </row>
        <row r="76"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P76">
            <v>378.80705715745984</v>
          </cell>
          <cell r="AQ76">
            <v>186.85825256960351</v>
          </cell>
          <cell r="AS76">
            <v>2900.4605184978377</v>
          </cell>
          <cell r="AT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T76">
            <v>0</v>
          </cell>
          <cell r="BU76">
            <v>0</v>
          </cell>
          <cell r="BW76">
            <v>0</v>
          </cell>
          <cell r="BX76">
            <v>6.9974116531973376</v>
          </cell>
          <cell r="BZ76">
            <v>0</v>
          </cell>
          <cell r="CA76">
            <v>0</v>
          </cell>
          <cell r="CC76">
            <v>0</v>
          </cell>
          <cell r="CD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X76">
            <v>176.91890921364347</v>
          </cell>
          <cell r="CY76">
            <v>3879.4132029326393</v>
          </cell>
        </row>
        <row r="77">
          <cell r="I77">
            <v>0</v>
          </cell>
          <cell r="J77">
            <v>0</v>
          </cell>
          <cell r="L77">
            <v>0</v>
          </cell>
          <cell r="M77">
            <v>0</v>
          </cell>
          <cell r="O77">
            <v>269.39999999999992</v>
          </cell>
          <cell r="P77">
            <v>269.39999999999992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378.80705715745984</v>
          </cell>
          <cell r="AQ77">
            <v>378.61617200841994</v>
          </cell>
          <cell r="AS77">
            <v>2965.3624077159639</v>
          </cell>
          <cell r="AT77">
            <v>0</v>
          </cell>
          <cell r="AV77">
            <v>0</v>
          </cell>
          <cell r="AW77">
            <v>0</v>
          </cell>
          <cell r="AY77">
            <v>0</v>
          </cell>
          <cell r="AZ77">
            <v>0</v>
          </cell>
          <cell r="BB77">
            <v>100.58685768636319</v>
          </cell>
          <cell r="BC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N77">
            <v>0</v>
          </cell>
          <cell r="BO77">
            <v>0</v>
          </cell>
          <cell r="BT77">
            <v>0</v>
          </cell>
          <cell r="BU77">
            <v>0</v>
          </cell>
          <cell r="BW77">
            <v>0</v>
          </cell>
          <cell r="BX77">
            <v>6.9296322967779913</v>
          </cell>
          <cell r="BZ77">
            <v>0</v>
          </cell>
          <cell r="CA77">
            <v>0</v>
          </cell>
          <cell r="CC77">
            <v>0</v>
          </cell>
          <cell r="CD77">
            <v>0</v>
          </cell>
          <cell r="CF77">
            <v>0</v>
          </cell>
          <cell r="CG77">
            <v>0</v>
          </cell>
          <cell r="CI77">
            <v>0</v>
          </cell>
          <cell r="CJ77">
            <v>0</v>
          </cell>
          <cell r="CL77">
            <v>0</v>
          </cell>
          <cell r="CM77">
            <v>0</v>
          </cell>
          <cell r="CX77">
            <v>111.41241292825725</v>
          </cell>
          <cell r="CY77">
            <v>3782.4650348337627</v>
          </cell>
        </row>
        <row r="78"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D78">
            <v>0</v>
          </cell>
          <cell r="AE78">
            <v>0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662.9123500255547</v>
          </cell>
          <cell r="AQ78">
            <v>282.61969836243202</v>
          </cell>
          <cell r="AS78">
            <v>6451.2372103066446</v>
          </cell>
          <cell r="AT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B78">
            <v>0</v>
          </cell>
          <cell r="BC78">
            <v>0</v>
          </cell>
          <cell r="BE78">
            <v>0</v>
          </cell>
          <cell r="BF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N78">
            <v>0</v>
          </cell>
          <cell r="BO78">
            <v>0</v>
          </cell>
          <cell r="BT78">
            <v>0</v>
          </cell>
          <cell r="BU78">
            <v>0</v>
          </cell>
          <cell r="BW78">
            <v>0</v>
          </cell>
          <cell r="BX78">
            <v>12.839346658864855</v>
          </cell>
          <cell r="BZ78">
            <v>0</v>
          </cell>
          <cell r="CA78">
            <v>0</v>
          </cell>
          <cell r="CC78">
            <v>0</v>
          </cell>
          <cell r="CD78">
            <v>0</v>
          </cell>
          <cell r="CF78">
            <v>0</v>
          </cell>
          <cell r="CG78">
            <v>0</v>
          </cell>
          <cell r="CI78">
            <v>0</v>
          </cell>
          <cell r="CJ78">
            <v>0</v>
          </cell>
          <cell r="CL78">
            <v>0</v>
          </cell>
          <cell r="CM78">
            <v>0</v>
          </cell>
          <cell r="CX78">
            <v>213.4205276013613</v>
          </cell>
          <cell r="CY78">
            <v>8395.8491459744437</v>
          </cell>
        </row>
        <row r="79">
          <cell r="I79">
            <v>0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D79">
            <v>0</v>
          </cell>
          <cell r="AE79">
            <v>0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615.56146788087244</v>
          </cell>
          <cell r="AQ79">
            <v>186.85825256960351</v>
          </cell>
          <cell r="AS79">
            <v>3754.6222401514065</v>
          </cell>
          <cell r="AT79">
            <v>0</v>
          </cell>
          <cell r="AV79">
            <v>0</v>
          </cell>
          <cell r="AW79">
            <v>0</v>
          </cell>
          <cell r="AY79">
            <v>0</v>
          </cell>
          <cell r="AZ79">
            <v>0</v>
          </cell>
          <cell r="BB79">
            <v>0</v>
          </cell>
          <cell r="BC79">
            <v>0</v>
          </cell>
          <cell r="BE79">
            <v>0</v>
          </cell>
          <cell r="BF79">
            <v>0</v>
          </cell>
          <cell r="BH79">
            <v>0</v>
          </cell>
          <cell r="BI79">
            <v>0</v>
          </cell>
          <cell r="BK79">
            <v>0</v>
          </cell>
          <cell r="BL79">
            <v>0</v>
          </cell>
          <cell r="BN79">
            <v>0</v>
          </cell>
          <cell r="BO79">
            <v>0</v>
          </cell>
          <cell r="BT79">
            <v>311.05113980456758</v>
          </cell>
          <cell r="BU79">
            <v>1071.7909888631625</v>
          </cell>
          <cell r="BW79">
            <v>0</v>
          </cell>
          <cell r="BX79">
            <v>7.9269571126626666</v>
          </cell>
          <cell r="BZ79">
            <v>0</v>
          </cell>
          <cell r="CA79">
            <v>261.36907635044645</v>
          </cell>
          <cell r="CC79">
            <v>0</v>
          </cell>
          <cell r="CD79">
            <v>0</v>
          </cell>
          <cell r="CF79">
            <v>0</v>
          </cell>
          <cell r="CG79">
            <v>0</v>
          </cell>
          <cell r="CI79">
            <v>0</v>
          </cell>
          <cell r="CJ79">
            <v>0</v>
          </cell>
          <cell r="CL79">
            <v>0</v>
          </cell>
          <cell r="CM79">
            <v>0</v>
          </cell>
          <cell r="CX79">
            <v>84.078182595783346</v>
          </cell>
          <cell r="CY79">
            <v>3868.0256701249505</v>
          </cell>
        </row>
        <row r="80"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0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473.50882144682492</v>
          </cell>
          <cell r="AQ80">
            <v>235.90513522003113</v>
          </cell>
          <cell r="AS80">
            <v>2854.1580012371619</v>
          </cell>
          <cell r="AT80">
            <v>573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N80">
            <v>0</v>
          </cell>
          <cell r="BO80">
            <v>0</v>
          </cell>
          <cell r="BT80">
            <v>1244.2045592182703</v>
          </cell>
          <cell r="BU80">
            <v>2449.7840911589337</v>
          </cell>
          <cell r="BW80">
            <v>0</v>
          </cell>
          <cell r="BX80">
            <v>9.1276199978053842</v>
          </cell>
          <cell r="BZ80">
            <v>0</v>
          </cell>
          <cell r="CA80">
            <v>597.42820461480801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0</v>
          </cell>
          <cell r="CJ80">
            <v>0</v>
          </cell>
          <cell r="CL80">
            <v>0</v>
          </cell>
          <cell r="CM80">
            <v>0</v>
          </cell>
          <cell r="CX80">
            <v>988.23434171729014</v>
          </cell>
          <cell r="CY80">
            <v>1836.1859388101061</v>
          </cell>
        </row>
        <row r="81">
          <cell r="I81">
            <v>1080.3388313437958</v>
          </cell>
          <cell r="J81">
            <v>885.18928877425435</v>
          </cell>
          <cell r="L81">
            <v>202.69046179748742</v>
          </cell>
          <cell r="M81">
            <v>179.12058518308774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X81">
            <v>29.052098881275089</v>
          </cell>
          <cell r="Y81">
            <v>67.550880628754101</v>
          </cell>
          <cell r="AA81">
            <v>0</v>
          </cell>
          <cell r="AB81">
            <v>0</v>
          </cell>
          <cell r="AD81">
            <v>733.73269109781074</v>
          </cell>
          <cell r="AE81">
            <v>696.3615734461838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473.50882144682492</v>
          </cell>
          <cell r="AQ81">
            <v>261.21730579376612</v>
          </cell>
          <cell r="AS81">
            <v>3134.2763761035808</v>
          </cell>
          <cell r="AT81">
            <v>0</v>
          </cell>
          <cell r="AV81">
            <v>202.27572483693362</v>
          </cell>
          <cell r="AW81">
            <v>0</v>
          </cell>
          <cell r="AY81">
            <v>261.33387219841921</v>
          </cell>
          <cell r="AZ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N81">
            <v>59.350540321018372</v>
          </cell>
          <cell r="BO81">
            <v>0</v>
          </cell>
          <cell r="BT81">
            <v>95.70804301679</v>
          </cell>
          <cell r="BU81">
            <v>2196.0681573887337</v>
          </cell>
          <cell r="BW81">
            <v>141.99842781447882</v>
          </cell>
          <cell r="BX81">
            <v>469.46852337970199</v>
          </cell>
          <cell r="BZ81">
            <v>78.711969388440593</v>
          </cell>
          <cell r="CA81">
            <v>496.38278913973147</v>
          </cell>
          <cell r="CC81">
            <v>0</v>
          </cell>
          <cell r="CD81">
            <v>0</v>
          </cell>
          <cell r="CF81">
            <v>0</v>
          </cell>
          <cell r="CG81">
            <v>0</v>
          </cell>
          <cell r="CI81">
            <v>1.8717525177192132E-3</v>
          </cell>
          <cell r="CJ81">
            <v>0</v>
          </cell>
          <cell r="CL81">
            <v>0</v>
          </cell>
          <cell r="CM81">
            <v>0</v>
          </cell>
          <cell r="CX81">
            <v>194.78432400075189</v>
          </cell>
          <cell r="CY81">
            <v>1684.7290755189433</v>
          </cell>
        </row>
        <row r="82"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D82">
            <v>0</v>
          </cell>
          <cell r="AE82">
            <v>0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284.10529286809492</v>
          </cell>
          <cell r="AQ82">
            <v>142.4760089352294</v>
          </cell>
          <cell r="AS82">
            <v>1559.6798018077052</v>
          </cell>
          <cell r="AT82">
            <v>0</v>
          </cell>
          <cell r="AV82">
            <v>0</v>
          </cell>
          <cell r="AW82">
            <v>0</v>
          </cell>
          <cell r="AY82">
            <v>0</v>
          </cell>
          <cell r="AZ82">
            <v>0</v>
          </cell>
          <cell r="BB82">
            <v>0</v>
          </cell>
          <cell r="BC82">
            <v>0</v>
          </cell>
          <cell r="BE82">
            <v>0</v>
          </cell>
          <cell r="BF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N82">
            <v>0</v>
          </cell>
          <cell r="BO82">
            <v>0</v>
          </cell>
          <cell r="BT82">
            <v>550.32124734654269</v>
          </cell>
          <cell r="BU82">
            <v>1990.4005372829565</v>
          </cell>
          <cell r="BW82">
            <v>0</v>
          </cell>
          <cell r="BX82">
            <v>4.8930240157966622</v>
          </cell>
          <cell r="BZ82">
            <v>0</v>
          </cell>
          <cell r="CA82">
            <v>485.40900997416122</v>
          </cell>
          <cell r="CC82">
            <v>0</v>
          </cell>
          <cell r="CD82">
            <v>0</v>
          </cell>
          <cell r="CF82">
            <v>0</v>
          </cell>
          <cell r="CG82">
            <v>0</v>
          </cell>
          <cell r="CI82">
            <v>0</v>
          </cell>
          <cell r="CJ82">
            <v>0</v>
          </cell>
          <cell r="CL82">
            <v>0</v>
          </cell>
          <cell r="CM82">
            <v>0</v>
          </cell>
          <cell r="CX82">
            <v>71.752389573189021</v>
          </cell>
          <cell r="CY82">
            <v>-203.13429624977249</v>
          </cell>
        </row>
        <row r="83">
          <cell r="I83">
            <v>15745.210988888151</v>
          </cell>
          <cell r="J83">
            <v>15083.721175500346</v>
          </cell>
          <cell r="L83">
            <v>2809.2447757829082</v>
          </cell>
          <cell r="M83">
            <v>2814.275562075275</v>
          </cell>
          <cell r="O83">
            <v>6476.8799999999983</v>
          </cell>
          <cell r="P83">
            <v>6476.2800000000025</v>
          </cell>
          <cell r="R83">
            <v>1543.5600000000004</v>
          </cell>
          <cell r="S83">
            <v>1544.64</v>
          </cell>
          <cell r="U83">
            <v>780.05784393801957</v>
          </cell>
          <cell r="V83">
            <v>546.56355928777316</v>
          </cell>
          <cell r="X83">
            <v>9818.6174992672568</v>
          </cell>
          <cell r="Y83">
            <v>12624.834801078414</v>
          </cell>
          <cell r="AA83">
            <v>0</v>
          </cell>
          <cell r="AB83">
            <v>0</v>
          </cell>
          <cell r="AD83">
            <v>21583.54241330727</v>
          </cell>
          <cell r="AE83">
            <v>20484.230480429174</v>
          </cell>
          <cell r="AJ83">
            <v>41478.570579091407</v>
          </cell>
          <cell r="AK83">
            <v>41218.239766024308</v>
          </cell>
          <cell r="AM83">
            <v>0</v>
          </cell>
          <cell r="AN83">
            <v>2610.5568984903907</v>
          </cell>
          <cell r="AP83">
            <v>3835.4214537192825</v>
          </cell>
          <cell r="AQ83">
            <v>3692.55394661113</v>
          </cell>
          <cell r="AS83">
            <v>113291.69328945741</v>
          </cell>
          <cell r="AT83">
            <v>90265.630343524681</v>
          </cell>
          <cell r="AV83">
            <v>1091.1817641504535</v>
          </cell>
          <cell r="AW83">
            <v>0</v>
          </cell>
          <cell r="AY83">
            <v>1485.0604330471435</v>
          </cell>
          <cell r="AZ83">
            <v>2771</v>
          </cell>
          <cell r="BB83">
            <v>1118.2333935851082</v>
          </cell>
          <cell r="BC83">
            <v>0</v>
          </cell>
          <cell r="BE83">
            <v>703.36053087110997</v>
          </cell>
          <cell r="BF83">
            <v>0</v>
          </cell>
          <cell r="BH83">
            <v>316.61392951383749</v>
          </cell>
          <cell r="BI83">
            <v>0</v>
          </cell>
          <cell r="BK83">
            <v>748.28962900451654</v>
          </cell>
          <cell r="BL83">
            <v>6003</v>
          </cell>
          <cell r="BN83">
            <v>0</v>
          </cell>
          <cell r="BO83">
            <v>0</v>
          </cell>
          <cell r="BT83">
            <v>37867.638294275785</v>
          </cell>
          <cell r="BU83">
            <v>29647.79632797122</v>
          </cell>
          <cell r="BW83">
            <v>43731.462497916626</v>
          </cell>
          <cell r="BX83">
            <v>40800.625665273707</v>
          </cell>
          <cell r="BZ83">
            <v>5777.3665827528794</v>
          </cell>
          <cell r="CA83">
            <v>8682.8337058020043</v>
          </cell>
          <cell r="CC83">
            <v>1907.743644702786</v>
          </cell>
          <cell r="CD83">
            <v>1895.7759182367854</v>
          </cell>
          <cell r="CF83">
            <v>234.85480474560813</v>
          </cell>
          <cell r="CG83">
            <v>0</v>
          </cell>
          <cell r="CI83">
            <v>15722.721148841398</v>
          </cell>
          <cell r="CJ83">
            <v>11537.07983554051</v>
          </cell>
          <cell r="CL83">
            <v>7000.354416269859</v>
          </cell>
          <cell r="CM83">
            <v>7463.3393877091257</v>
          </cell>
          <cell r="CX83">
            <v>3975.3841042454587</v>
          </cell>
          <cell r="CY83">
            <v>38661.027151734212</v>
          </cell>
        </row>
        <row r="84">
          <cell r="I84">
            <v>8560.2151873793009</v>
          </cell>
          <cell r="J84">
            <v>8196.7887198360713</v>
          </cell>
          <cell r="L84">
            <v>1520.3191843530196</v>
          </cell>
          <cell r="M84">
            <v>1531.3712640335075</v>
          </cell>
          <cell r="O84">
            <v>3436.4399999999991</v>
          </cell>
          <cell r="P84">
            <v>3437.3999999999992</v>
          </cell>
          <cell r="R84">
            <v>829.32</v>
          </cell>
          <cell r="S84">
            <v>828.7199999999998</v>
          </cell>
          <cell r="U84">
            <v>265.93583065619049</v>
          </cell>
          <cell r="V84">
            <v>221.46438371738154</v>
          </cell>
          <cell r="X84">
            <v>3307.7829519283482</v>
          </cell>
          <cell r="Y84">
            <v>3468.0456669690357</v>
          </cell>
          <cell r="AA84">
            <v>0</v>
          </cell>
          <cell r="AB84">
            <v>0</v>
          </cell>
          <cell r="AD84">
            <v>11140.679059763084</v>
          </cell>
          <cell r="AE84">
            <v>10573.252212202984</v>
          </cell>
          <cell r="AJ84">
            <v>20739.285289545704</v>
          </cell>
          <cell r="AK84">
            <v>20609.175939849989</v>
          </cell>
          <cell r="AM84">
            <v>0</v>
          </cell>
          <cell r="AN84">
            <v>0</v>
          </cell>
          <cell r="AP84">
            <v>1894.0352857872997</v>
          </cell>
          <cell r="AQ84">
            <v>1822.8920367966232</v>
          </cell>
          <cell r="AS84">
            <v>48528.63089880519</v>
          </cell>
          <cell r="AT84">
            <v>126591</v>
          </cell>
          <cell r="AV84">
            <v>724.8247219294434</v>
          </cell>
          <cell r="AW84">
            <v>0</v>
          </cell>
          <cell r="AY84">
            <v>1002.8045804300408</v>
          </cell>
          <cell r="AZ84">
            <v>0</v>
          </cell>
          <cell r="BB84">
            <v>1367.5193129020824</v>
          </cell>
          <cell r="BC84">
            <v>0</v>
          </cell>
          <cell r="BE84">
            <v>472.23331305450262</v>
          </cell>
          <cell r="BF84">
            <v>0</v>
          </cell>
          <cell r="BH84">
            <v>134.94041023261386</v>
          </cell>
          <cell r="BI84">
            <v>0</v>
          </cell>
          <cell r="BK84">
            <v>288.20418046042994</v>
          </cell>
          <cell r="BL84">
            <v>3299</v>
          </cell>
          <cell r="BN84">
            <v>0</v>
          </cell>
          <cell r="BO84">
            <v>0</v>
          </cell>
          <cell r="BT84">
            <v>18705.592484940586</v>
          </cell>
          <cell r="BU84">
            <v>14538.863192554243</v>
          </cell>
          <cell r="BW84">
            <v>19933.775407009249</v>
          </cell>
          <cell r="BX84">
            <v>19483.731082220995</v>
          </cell>
          <cell r="BZ84">
            <v>2616.1047235441733</v>
          </cell>
          <cell r="CA84">
            <v>3894.5162174493116</v>
          </cell>
          <cell r="CC84">
            <v>899.16317019062853</v>
          </cell>
          <cell r="CD84">
            <v>893.52250725406293</v>
          </cell>
          <cell r="CF84">
            <v>110.69243572422509</v>
          </cell>
          <cell r="CG84">
            <v>547.9634810966121</v>
          </cell>
          <cell r="CI84">
            <v>2714.0411506928581</v>
          </cell>
          <cell r="CJ84">
            <v>4369.9826962328498</v>
          </cell>
          <cell r="CL84">
            <v>3930.6802872103494</v>
          </cell>
          <cell r="CM84">
            <v>5003.2550335264377</v>
          </cell>
          <cell r="CX84">
            <v>-8.183839847202762</v>
          </cell>
          <cell r="CY84">
            <v>-91433.45332048813</v>
          </cell>
        </row>
        <row r="85">
          <cell r="I85">
            <v>15423.651409669481</v>
          </cell>
          <cell r="J85">
            <v>15044.374502119776</v>
          </cell>
          <cell r="L85">
            <v>2979.3841682411112</v>
          </cell>
          <cell r="M85">
            <v>2981.1149650797206</v>
          </cell>
          <cell r="O85">
            <v>5987.2799999999988</v>
          </cell>
          <cell r="P85">
            <v>5985.6000000000013</v>
          </cell>
          <cell r="R85">
            <v>1511.76</v>
          </cell>
          <cell r="S85">
            <v>1510.4399999999996</v>
          </cell>
          <cell r="U85">
            <v>833.30286687848127</v>
          </cell>
          <cell r="V85">
            <v>619.00283905069546</v>
          </cell>
          <cell r="X85">
            <v>6515.458558383737</v>
          </cell>
          <cell r="Y85">
            <v>5932.0793736467722</v>
          </cell>
          <cell r="AA85">
            <v>0</v>
          </cell>
          <cell r="AB85">
            <v>0</v>
          </cell>
          <cell r="AD85">
            <v>19932.643858337196</v>
          </cell>
          <cell r="AE85">
            <v>18917.416940175262</v>
          </cell>
          <cell r="AJ85">
            <v>35725.605519273005</v>
          </cell>
          <cell r="AK85">
            <v>35501.364414797266</v>
          </cell>
          <cell r="AM85">
            <v>0</v>
          </cell>
          <cell r="AN85">
            <v>0</v>
          </cell>
          <cell r="AP85">
            <v>3788.0705715745994</v>
          </cell>
          <cell r="AQ85">
            <v>3645.4064032929664</v>
          </cell>
          <cell r="AS85">
            <v>90190.107674469182</v>
          </cell>
          <cell r="AT85">
            <v>56828.709702840359</v>
          </cell>
          <cell r="AV85">
            <v>1235.6449539551052</v>
          </cell>
          <cell r="AW85">
            <v>3566</v>
          </cell>
          <cell r="AY85">
            <v>1966.0154725674336</v>
          </cell>
          <cell r="AZ85">
            <v>2017</v>
          </cell>
          <cell r="BB85">
            <v>2562.6809545418446</v>
          </cell>
          <cell r="BC85">
            <v>568</v>
          </cell>
          <cell r="BE85">
            <v>855.59474479502251</v>
          </cell>
          <cell r="BF85">
            <v>0</v>
          </cell>
          <cell r="BH85">
            <v>422.7844713578213</v>
          </cell>
          <cell r="BI85">
            <v>0</v>
          </cell>
          <cell r="BK85">
            <v>803.98695897561413</v>
          </cell>
          <cell r="BL85">
            <v>6436</v>
          </cell>
          <cell r="BN85">
            <v>0</v>
          </cell>
          <cell r="BO85">
            <v>0</v>
          </cell>
          <cell r="BT85">
            <v>37597.992288086163</v>
          </cell>
          <cell r="BU85">
            <v>27893.11391537304</v>
          </cell>
          <cell r="BW85">
            <v>41654.989090212701</v>
          </cell>
          <cell r="BX85">
            <v>40167.665643584165</v>
          </cell>
          <cell r="BZ85">
            <v>5921.8446731959011</v>
          </cell>
          <cell r="CA85">
            <v>7635.8737974861378</v>
          </cell>
          <cell r="CC85">
            <v>1559.4907191202856</v>
          </cell>
          <cell r="CD85">
            <v>1549.7076655090095</v>
          </cell>
          <cell r="CF85">
            <v>191.9827589826109</v>
          </cell>
          <cell r="CG85">
            <v>0</v>
          </cell>
          <cell r="CI85">
            <v>5914.737955992714</v>
          </cell>
          <cell r="CJ85">
            <v>6176.0807533192801</v>
          </cell>
          <cell r="CL85">
            <v>7861.3605744206989</v>
          </cell>
          <cell r="CM85">
            <v>8259.0084778965229</v>
          </cell>
          <cell r="CX85">
            <v>-17.604291636846028</v>
          </cell>
          <cell r="CY85">
            <v>48225.288726994811</v>
          </cell>
        </row>
        <row r="86">
          <cell r="I86">
            <v>12923.341949645584</v>
          </cell>
          <cell r="J86">
            <v>10792.577667091129</v>
          </cell>
          <cell r="L86">
            <v>2183.4203113525973</v>
          </cell>
          <cell r="M86">
            <v>2042.7547921285757</v>
          </cell>
          <cell r="O86">
            <v>7203.1200000000017</v>
          </cell>
          <cell r="P86">
            <v>5661.7349505376342</v>
          </cell>
          <cell r="R86">
            <v>1565.5200000000002</v>
          </cell>
          <cell r="S86">
            <v>1230.4533827956989</v>
          </cell>
          <cell r="U86">
            <v>780.05784393801957</v>
          </cell>
          <cell r="V86">
            <v>263.52916344596605</v>
          </cell>
          <cell r="X86">
            <v>10371.233131509092</v>
          </cell>
          <cell r="Y86">
            <v>8125.9100804404334</v>
          </cell>
          <cell r="AA86">
            <v>0</v>
          </cell>
          <cell r="AB86">
            <v>0</v>
          </cell>
          <cell r="AD86">
            <v>20161.614636940278</v>
          </cell>
          <cell r="AE86">
            <v>19134.725578042649</v>
          </cell>
          <cell r="AJ86">
            <v>57036.978596198744</v>
          </cell>
          <cell r="AK86">
            <v>56679.043358530282</v>
          </cell>
          <cell r="AM86">
            <v>0</v>
          </cell>
          <cell r="AN86">
            <v>2350.6814746510204</v>
          </cell>
          <cell r="AP86">
            <v>3503.9652787065029</v>
          </cell>
          <cell r="AQ86">
            <v>3382.9688054738563</v>
          </cell>
          <cell r="AS86">
            <v>92430.30646565264</v>
          </cell>
          <cell r="AT86">
            <v>119541</v>
          </cell>
          <cell r="AV86">
            <v>433.60636013152885</v>
          </cell>
          <cell r="AW86">
            <v>4806.1672804069549</v>
          </cell>
          <cell r="AY86">
            <v>581.16168083670448</v>
          </cell>
          <cell r="AZ86">
            <v>4730</v>
          </cell>
          <cell r="BB86">
            <v>473.91012344400514</v>
          </cell>
          <cell r="BC86">
            <v>640</v>
          </cell>
          <cell r="BE86">
            <v>326.17543078214203</v>
          </cell>
          <cell r="BF86">
            <v>0</v>
          </cell>
          <cell r="BH86">
            <v>158.30696475691875</v>
          </cell>
          <cell r="BI86">
            <v>0</v>
          </cell>
          <cell r="BK86">
            <v>498.30127005787989</v>
          </cell>
          <cell r="BL86">
            <v>3526.5587923167172</v>
          </cell>
          <cell r="BN86">
            <v>564.96887113974969</v>
          </cell>
          <cell r="BO86">
            <v>5542</v>
          </cell>
          <cell r="BT86">
            <v>71582.456998368289</v>
          </cell>
          <cell r="BU86">
            <v>85311.626225394895</v>
          </cell>
          <cell r="BW86">
            <v>41510.729148699989</v>
          </cell>
          <cell r="BX86">
            <v>45502.650563441159</v>
          </cell>
          <cell r="BZ86">
            <v>15580.685426581296</v>
          </cell>
          <cell r="CA86">
            <v>18107.527529804469</v>
          </cell>
          <cell r="CC86">
            <v>1980.100249173475</v>
          </cell>
          <cell r="CD86">
            <v>1967.6786126379955</v>
          </cell>
          <cell r="CF86">
            <v>243.76234128082544</v>
          </cell>
          <cell r="CG86">
            <v>0</v>
          </cell>
          <cell r="CI86">
            <v>24445.087881412925</v>
          </cell>
          <cell r="CJ86">
            <v>17725.07087863444</v>
          </cell>
          <cell r="CL86">
            <v>6393.9066005288305</v>
          </cell>
          <cell r="CM86">
            <v>11379.382233735945</v>
          </cell>
          <cell r="CX86">
            <v>4468.1789266343694</v>
          </cell>
          <cell r="CY86">
            <v>-62145.409643411782</v>
          </cell>
        </row>
        <row r="87">
          <cell r="I87">
            <v>149.97249070790573</v>
          </cell>
          <cell r="J87">
            <v>120.86754242762827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P87">
            <v>568.21058573618984</v>
          </cell>
          <cell r="AQ87">
            <v>116.44223973303006</v>
          </cell>
          <cell r="AS87">
            <v>2706.1136519432985</v>
          </cell>
          <cell r="AT87">
            <v>0</v>
          </cell>
          <cell r="AV87">
            <v>25.10285692206676</v>
          </cell>
          <cell r="AW87">
            <v>0</v>
          </cell>
          <cell r="AY87">
            <v>0</v>
          </cell>
          <cell r="AZ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T87">
            <v>717.8103226259251</v>
          </cell>
          <cell r="BU87">
            <v>1071.7909888631625</v>
          </cell>
          <cell r="BW87">
            <v>0</v>
          </cell>
          <cell r="BX87">
            <v>8.3433160163815128</v>
          </cell>
          <cell r="BZ87">
            <v>0</v>
          </cell>
          <cell r="CA87">
            <v>261.36907635044645</v>
          </cell>
          <cell r="CC87">
            <v>0</v>
          </cell>
          <cell r="CD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X87">
            <v>224.98811047753793</v>
          </cell>
          <cell r="CY87">
            <v>3331.0642039312224</v>
          </cell>
        </row>
        <row r="88">
          <cell r="I88">
            <v>24782.329932804565</v>
          </cell>
          <cell r="J88">
            <v>20746.839152826447</v>
          </cell>
          <cell r="L88">
            <v>4120.6583522147148</v>
          </cell>
          <cell r="M88">
            <v>3757.7369411830027</v>
          </cell>
          <cell r="O88">
            <v>15096.599999999997</v>
          </cell>
          <cell r="P88">
            <v>11866.670833333334</v>
          </cell>
          <cell r="R88">
            <v>3143.0400000000004</v>
          </cell>
          <cell r="S88">
            <v>2470.9463564516127</v>
          </cell>
          <cell r="U88">
            <v>4609.9343917566339</v>
          </cell>
          <cell r="V88">
            <v>1667.2543800523736</v>
          </cell>
          <cell r="X88">
            <v>21643.061635458133</v>
          </cell>
          <cell r="Y88">
            <v>16333.617468148144</v>
          </cell>
          <cell r="AA88">
            <v>0</v>
          </cell>
          <cell r="AB88">
            <v>0</v>
          </cell>
          <cell r="AD88">
            <v>41637.19230403415</v>
          </cell>
          <cell r="AE88">
            <v>39516.490267507281</v>
          </cell>
          <cell r="AJ88">
            <v>75636.583364774546</v>
          </cell>
          <cell r="AK88">
            <v>75161.95744036902</v>
          </cell>
          <cell r="AM88">
            <v>6313.6886354837225</v>
          </cell>
          <cell r="AN88">
            <v>5359.1522690007287</v>
          </cell>
          <cell r="AP88">
            <v>7102.6323217023719</v>
          </cell>
          <cell r="AQ88">
            <v>7083.3749907381916</v>
          </cell>
          <cell r="AS88">
            <v>178594.451822695</v>
          </cell>
          <cell r="AT88">
            <v>109396.26047037329</v>
          </cell>
          <cell r="AV88">
            <v>1212.4194363021111</v>
          </cell>
          <cell r="AW88">
            <v>926</v>
          </cell>
          <cell r="AY88">
            <v>1648.3735524371007</v>
          </cell>
          <cell r="AZ88">
            <v>0</v>
          </cell>
          <cell r="BB88">
            <v>2047.1136935254328</v>
          </cell>
          <cell r="BC88">
            <v>810.4161813659432</v>
          </cell>
          <cell r="BE88">
            <v>852.49617581444784</v>
          </cell>
          <cell r="BF88">
            <v>0</v>
          </cell>
          <cell r="BH88">
            <v>1403.1194206337796</v>
          </cell>
          <cell r="BI88">
            <v>0</v>
          </cell>
          <cell r="BK88">
            <v>1606.8982976713498</v>
          </cell>
          <cell r="BL88">
            <v>5984</v>
          </cell>
          <cell r="BN88">
            <v>1124.2953543713022</v>
          </cell>
          <cell r="BO88">
            <v>0</v>
          </cell>
          <cell r="BT88">
            <v>129359.68628581509</v>
          </cell>
          <cell r="BU88">
            <v>159337.53946177461</v>
          </cell>
          <cell r="BW88">
            <v>86077.462079292323</v>
          </cell>
          <cell r="BX88">
            <v>96740.571052046784</v>
          </cell>
          <cell r="BZ88">
            <v>31161.370853162593</v>
          </cell>
          <cell r="CA88">
            <v>43631.652905206633</v>
          </cell>
          <cell r="CC88">
            <v>2982.5039403771584</v>
          </cell>
          <cell r="CD88">
            <v>2963.7939887328089</v>
          </cell>
          <cell r="CF88">
            <v>367.16431084188508</v>
          </cell>
          <cell r="CG88">
            <v>926.07792626948458</v>
          </cell>
          <cell r="CI88">
            <v>23078.708543477904</v>
          </cell>
          <cell r="CJ88">
            <v>21974.804322298907</v>
          </cell>
          <cell r="CL88">
            <v>34589.986527451059</v>
          </cell>
          <cell r="CM88">
            <v>32971.513228800002</v>
          </cell>
          <cell r="CX88">
            <v>20803.594521483115</v>
          </cell>
          <cell r="CY88">
            <v>69481.716436225746</v>
          </cell>
        </row>
        <row r="89"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710.26323217023753</v>
          </cell>
          <cell r="AQ89">
            <v>139.73068767963608</v>
          </cell>
          <cell r="AS89">
            <v>2977.9913965983501</v>
          </cell>
          <cell r="AT89">
            <v>0</v>
          </cell>
          <cell r="AV89">
            <v>0</v>
          </cell>
          <cell r="AW89">
            <v>0</v>
          </cell>
          <cell r="AY89">
            <v>0</v>
          </cell>
          <cell r="AZ89">
            <v>0</v>
          </cell>
          <cell r="BB89">
            <v>0</v>
          </cell>
          <cell r="BC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K89">
            <v>0</v>
          </cell>
          <cell r="BL89">
            <v>0</v>
          </cell>
          <cell r="BN89">
            <v>0</v>
          </cell>
          <cell r="BO89">
            <v>0</v>
          </cell>
          <cell r="BT89">
            <v>1483.4746667602451</v>
          </cell>
          <cell r="BU89">
            <v>3368.3669628377447</v>
          </cell>
          <cell r="BW89">
            <v>0</v>
          </cell>
          <cell r="BX89">
            <v>8.0818813559068872</v>
          </cell>
          <cell r="BZ89">
            <v>0</v>
          </cell>
          <cell r="CA89">
            <v>821.4436002455185</v>
          </cell>
          <cell r="CC89">
            <v>0</v>
          </cell>
          <cell r="CD89">
            <v>0</v>
          </cell>
          <cell r="CF89">
            <v>0</v>
          </cell>
          <cell r="CG89">
            <v>0</v>
          </cell>
          <cell r="CI89">
            <v>0</v>
          </cell>
          <cell r="CJ89">
            <v>0</v>
          </cell>
          <cell r="CL89">
            <v>0</v>
          </cell>
          <cell r="CM89">
            <v>0</v>
          </cell>
          <cell r="CX89">
            <v>142.40484536540043</v>
          </cell>
          <cell r="CY89">
            <v>1143.3322414574332</v>
          </cell>
        </row>
        <row r="90">
          <cell r="I90">
            <v>6199.4103639317509</v>
          </cell>
          <cell r="J90">
            <v>5129.7395605669999</v>
          </cell>
          <cell r="L90">
            <v>1170.8637927057821</v>
          </cell>
          <cell r="M90">
            <v>1057.8570778726616</v>
          </cell>
          <cell r="O90">
            <v>2810.8799999999992</v>
          </cell>
          <cell r="P90">
            <v>2209.4159430107525</v>
          </cell>
          <cell r="R90">
            <v>0</v>
          </cell>
          <cell r="S90">
            <v>0</v>
          </cell>
          <cell r="U90">
            <v>0</v>
          </cell>
          <cell r="V90">
            <v>23.141522296781098</v>
          </cell>
          <cell r="X90">
            <v>3151.7883442107809</v>
          </cell>
          <cell r="Y90">
            <v>2415.0571628965677</v>
          </cell>
          <cell r="AA90">
            <v>0</v>
          </cell>
          <cell r="AB90">
            <v>0</v>
          </cell>
          <cell r="AD90">
            <v>8120.1033897617644</v>
          </cell>
          <cell r="AE90">
            <v>7706.5231543382524</v>
          </cell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P90">
            <v>5398.0005644938037</v>
          </cell>
          <cell r="AQ90">
            <v>5178.3976110952972</v>
          </cell>
          <cell r="AS90">
            <v>16374.618438972886</v>
          </cell>
          <cell r="AT90">
            <v>4132.8022597594554</v>
          </cell>
          <cell r="AV90">
            <v>1116.3125366109275</v>
          </cell>
          <cell r="AW90">
            <v>0</v>
          </cell>
          <cell r="AY90">
            <v>1509.151219816634</v>
          </cell>
          <cell r="AZ90">
            <v>0</v>
          </cell>
          <cell r="BB90">
            <v>451.77413353083608</v>
          </cell>
          <cell r="BC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0</v>
          </cell>
          <cell r="BK90">
            <v>421.07272522121121</v>
          </cell>
          <cell r="BL90">
            <v>1265</v>
          </cell>
          <cell r="BN90">
            <v>473.28042335629448</v>
          </cell>
          <cell r="BO90">
            <v>0</v>
          </cell>
          <cell r="BT90">
            <v>17113.900350082036</v>
          </cell>
          <cell r="BU90">
            <v>26054.869939314169</v>
          </cell>
          <cell r="BW90">
            <v>8123.4741566302482</v>
          </cell>
          <cell r="BX90">
            <v>8758.0241055539627</v>
          </cell>
          <cell r="BZ90">
            <v>8964.0079596444029</v>
          </cell>
          <cell r="CA90">
            <v>6259.9986577723021</v>
          </cell>
          <cell r="CC90">
            <v>700.03544162698608</v>
          </cell>
          <cell r="CD90">
            <v>695.64395396292775</v>
          </cell>
          <cell r="CF90">
            <v>86.178605503322117</v>
          </cell>
          <cell r="CG90">
            <v>0</v>
          </cell>
          <cell r="CI90">
            <v>1703.2947911244837</v>
          </cell>
          <cell r="CJ90">
            <v>1370.9840991529275</v>
          </cell>
          <cell r="CL90">
            <v>0</v>
          </cell>
          <cell r="CM90">
            <v>0</v>
          </cell>
          <cell r="CX90">
            <v>2021.8233153310139</v>
          </cell>
          <cell r="CY90">
            <v>15978.65394288833</v>
          </cell>
        </row>
        <row r="91">
          <cell r="I91">
            <v>24493.942823446472</v>
          </cell>
          <cell r="J91">
            <v>20473.537676887772</v>
          </cell>
          <cell r="L91">
            <v>4120.6583522147148</v>
          </cell>
          <cell r="M91">
            <v>3732.9018751890417</v>
          </cell>
          <cell r="O91">
            <v>14058.96</v>
          </cell>
          <cell r="P91">
            <v>11050.645981854841</v>
          </cell>
          <cell r="R91">
            <v>2996.6399999999994</v>
          </cell>
          <cell r="S91">
            <v>2355.4981162634408</v>
          </cell>
          <cell r="U91">
            <v>4609.9343917566339</v>
          </cell>
          <cell r="V91">
            <v>1696.3243502508906</v>
          </cell>
          <cell r="X91">
            <v>21643.061635458133</v>
          </cell>
          <cell r="Y91">
            <v>18545.634891890997</v>
          </cell>
          <cell r="AA91">
            <v>0</v>
          </cell>
          <cell r="AB91">
            <v>0</v>
          </cell>
          <cell r="AD91">
            <v>39669.668424030329</v>
          </cell>
          <cell r="AE91">
            <v>37786.745974491911</v>
          </cell>
          <cell r="AJ91">
            <v>91704.241763309925</v>
          </cell>
          <cell r="AK91">
            <v>91045.079438091125</v>
          </cell>
          <cell r="AM91">
            <v>0</v>
          </cell>
          <cell r="AN91">
            <v>3137.4116039135224</v>
          </cell>
          <cell r="AP91">
            <v>6865.8779109789602</v>
          </cell>
          <cell r="AQ91">
            <v>6795.7381115799672</v>
          </cell>
          <cell r="AS91">
            <v>165423.99935328498</v>
          </cell>
          <cell r="AT91">
            <v>19899.610769449304</v>
          </cell>
          <cell r="AV91">
            <v>804.82111829554799</v>
          </cell>
          <cell r="AW91">
            <v>0</v>
          </cell>
          <cell r="AY91">
            <v>1098.9157016247339</v>
          </cell>
          <cell r="AZ91">
            <v>10031.516163137878</v>
          </cell>
          <cell r="BB91">
            <v>1276.7204083081631</v>
          </cell>
          <cell r="BC91">
            <v>0</v>
          </cell>
          <cell r="BE91">
            <v>544.4228685805025</v>
          </cell>
          <cell r="BF91">
            <v>429.10855592932234</v>
          </cell>
          <cell r="BH91">
            <v>935.41294708918633</v>
          </cell>
          <cell r="BI91">
            <v>1292</v>
          </cell>
          <cell r="BK91">
            <v>1071.2655317808997</v>
          </cell>
          <cell r="BL91">
            <v>1347.2935906247985</v>
          </cell>
          <cell r="BN91">
            <v>1124.2953543713022</v>
          </cell>
          <cell r="BO91">
            <v>0</v>
          </cell>
          <cell r="BT91">
            <v>126285.78667843192</v>
          </cell>
          <cell r="BU91">
            <v>115682.37230536841</v>
          </cell>
          <cell r="BW91">
            <v>75969.805749560808</v>
          </cell>
          <cell r="BX91">
            <v>62319.046340796682</v>
          </cell>
          <cell r="BZ91">
            <v>15580.685426581296</v>
          </cell>
          <cell r="CA91">
            <v>15340.291603383572</v>
          </cell>
          <cell r="CC91">
            <v>2590.7193990968449</v>
          </cell>
          <cell r="CD91">
            <v>2574.4672044140611</v>
          </cell>
          <cell r="CF91">
            <v>318.93325935851317</v>
          </cell>
          <cell r="CG91">
            <v>0</v>
          </cell>
          <cell r="CI91">
            <v>35862.778239500134</v>
          </cell>
          <cell r="CJ91">
            <v>30634.902211252163</v>
          </cell>
          <cell r="CL91">
            <v>14524.799537501096</v>
          </cell>
          <cell r="CM91">
            <v>18741.22348307617</v>
          </cell>
          <cell r="CX91">
            <v>22798.58375052693</v>
          </cell>
          <cell r="CY91">
            <v>237196.57970258512</v>
          </cell>
        </row>
        <row r="92">
          <cell r="I92">
            <v>9908.6369958998748</v>
          </cell>
          <cell r="J92">
            <v>8277.3962544087299</v>
          </cell>
          <cell r="L92">
            <v>1983.429964318361</v>
          </cell>
          <cell r="M92">
            <v>1834.2990454165792</v>
          </cell>
          <cell r="O92">
            <v>6306.7199999999975</v>
          </cell>
          <cell r="P92">
            <v>4957.384060215054</v>
          </cell>
          <cell r="R92">
            <v>1154.5200000000002</v>
          </cell>
          <cell r="S92">
            <v>907.64208688172062</v>
          </cell>
          <cell r="U92">
            <v>780.05784393801957</v>
          </cell>
          <cell r="V92">
            <v>312.95703562270415</v>
          </cell>
          <cell r="X92">
            <v>8051.2576600349103</v>
          </cell>
          <cell r="Y92">
            <v>8968.1656927598069</v>
          </cell>
          <cell r="AA92">
            <v>0</v>
          </cell>
          <cell r="AB92">
            <v>0</v>
          </cell>
          <cell r="AD92">
            <v>16151.312241948226</v>
          </cell>
          <cell r="AE92">
            <v>15328.67942573976</v>
          </cell>
          <cell r="AJ92">
            <v>57609.066383578764</v>
          </cell>
          <cell r="AK92">
            <v>57247.539527502915</v>
          </cell>
          <cell r="AM92">
            <v>0</v>
          </cell>
          <cell r="AN92">
            <v>0</v>
          </cell>
          <cell r="AP92">
            <v>3361.9126322724574</v>
          </cell>
          <cell r="AQ92">
            <v>3275.8502187381282</v>
          </cell>
          <cell r="AS92">
            <v>61252.881918759718</v>
          </cell>
          <cell r="AT92">
            <v>40062.643617071153</v>
          </cell>
          <cell r="AV92">
            <v>827.02650309721764</v>
          </cell>
          <cell r="AW92">
            <v>0</v>
          </cell>
          <cell r="AY92">
            <v>1177.7199251516181</v>
          </cell>
          <cell r="AZ92">
            <v>17479.209087975214</v>
          </cell>
          <cell r="BB92">
            <v>1282.2190610583937</v>
          </cell>
          <cell r="BC92">
            <v>0</v>
          </cell>
          <cell r="BE92">
            <v>564.07051262259631</v>
          </cell>
          <cell r="BF92">
            <v>0</v>
          </cell>
          <cell r="BH92">
            <v>395.76741189229665</v>
          </cell>
          <cell r="BI92">
            <v>0</v>
          </cell>
          <cell r="BK92">
            <v>860.61258572156987</v>
          </cell>
          <cell r="BL92">
            <v>5887</v>
          </cell>
          <cell r="BN92">
            <v>390.89290744138992</v>
          </cell>
          <cell r="BO92">
            <v>0</v>
          </cell>
          <cell r="BT92">
            <v>42294.6104148296</v>
          </cell>
          <cell r="BU92">
            <v>32768.052568907136</v>
          </cell>
          <cell r="BW92">
            <v>40753.680807880301</v>
          </cell>
          <cell r="BX92">
            <v>26939.353615683431</v>
          </cell>
          <cell r="BZ92">
            <v>7530.6646228476266</v>
          </cell>
          <cell r="CA92">
            <v>5043.6462863730976</v>
          </cell>
          <cell r="CC92">
            <v>1214.179118922772</v>
          </cell>
          <cell r="CD92">
            <v>1206.5622865373807</v>
          </cell>
          <cell r="CF92">
            <v>149.4728082007201</v>
          </cell>
          <cell r="CG92">
            <v>0</v>
          </cell>
          <cell r="CI92">
            <v>15048.890242462474</v>
          </cell>
          <cell r="CJ92">
            <v>5521.0606445545154</v>
          </cell>
          <cell r="CL92">
            <v>7786.490473711925</v>
          </cell>
          <cell r="CM92">
            <v>8806.5297551264266</v>
          </cell>
          <cell r="CX92">
            <v>8601.9683560911217</v>
          </cell>
          <cell r="CY92">
            <v>59016.514548583567</v>
          </cell>
        </row>
        <row r="93">
          <cell r="I93">
            <v>15720.486457094246</v>
          </cell>
          <cell r="J93">
            <v>13036.112281339569</v>
          </cell>
          <cell r="L93">
            <v>2419.5757681542677</v>
          </cell>
          <cell r="M93">
            <v>2184.9570739176447</v>
          </cell>
          <cell r="O93">
            <v>7304.6400000000021</v>
          </cell>
          <cell r="P93">
            <v>5741.4073376344095</v>
          </cell>
          <cell r="R93">
            <v>1413.1200000000001</v>
          </cell>
          <cell r="S93">
            <v>1110.8541987096776</v>
          </cell>
          <cell r="U93">
            <v>780.05784393801957</v>
          </cell>
          <cell r="V93">
            <v>324.5277967710947</v>
          </cell>
          <cell r="X93">
            <v>6588.3584949179376</v>
          </cell>
          <cell r="Y93">
            <v>5634.4102688981038</v>
          </cell>
          <cell r="AA93">
            <v>0</v>
          </cell>
          <cell r="AB93">
            <v>0</v>
          </cell>
          <cell r="AD93">
            <v>19895.273090736999</v>
          </cell>
          <cell r="AE93">
            <v>18881.949573322585</v>
          </cell>
          <cell r="AJ93">
            <v>41478.570579091407</v>
          </cell>
          <cell r="AK93">
            <v>41218.239766024308</v>
          </cell>
          <cell r="AM93">
            <v>0</v>
          </cell>
          <cell r="AN93">
            <v>0</v>
          </cell>
          <cell r="AP93">
            <v>3314.5617501277752</v>
          </cell>
          <cell r="AQ93">
            <v>3202.3439283790372</v>
          </cell>
          <cell r="AS93">
            <v>69454.871040971906</v>
          </cell>
          <cell r="AT93">
            <v>249158.30676415793</v>
          </cell>
          <cell r="AV93">
            <v>1226.5213027942252</v>
          </cell>
          <cell r="AW93">
            <v>1441.1554558640014</v>
          </cell>
          <cell r="AY93">
            <v>1482.0715550304631</v>
          </cell>
          <cell r="AZ93">
            <v>0</v>
          </cell>
          <cell r="BB93">
            <v>1453.4206022027356</v>
          </cell>
          <cell r="BC93">
            <v>0</v>
          </cell>
          <cell r="BE93">
            <v>673.25545045629633</v>
          </cell>
          <cell r="BF93">
            <v>0</v>
          </cell>
          <cell r="BH93">
            <v>395.76741189229665</v>
          </cell>
          <cell r="BI93">
            <v>2252</v>
          </cell>
          <cell r="BK93">
            <v>754.28173151102328</v>
          </cell>
          <cell r="BL93">
            <v>4730</v>
          </cell>
          <cell r="BN93">
            <v>394.89345310091193</v>
          </cell>
          <cell r="BO93">
            <v>0</v>
          </cell>
          <cell r="BT93">
            <v>55871.834864479395</v>
          </cell>
          <cell r="BU93">
            <v>45647.869719895367</v>
          </cell>
          <cell r="BW93">
            <v>41196.075002156656</v>
          </cell>
          <cell r="BX93">
            <v>33417.876616575908</v>
          </cell>
          <cell r="BZ93">
            <v>5972.5960801894989</v>
          </cell>
          <cell r="CA93">
            <v>5826.3107428991843</v>
          </cell>
          <cell r="CC93">
            <v>1049.1707648249828</v>
          </cell>
          <cell r="CD93">
            <v>1042.5890688175475</v>
          </cell>
          <cell r="CF93">
            <v>129.15927976065126</v>
          </cell>
          <cell r="CG93">
            <v>0</v>
          </cell>
          <cell r="CI93">
            <v>8872.106933989071</v>
          </cell>
          <cell r="CJ93">
            <v>6930.8157081147046</v>
          </cell>
          <cell r="CL93">
            <v>13289.442875806415</v>
          </cell>
          <cell r="CM93">
            <v>10393.717219907849</v>
          </cell>
          <cell r="CX93">
            <v>5478.8052001274118</v>
          </cell>
          <cell r="CY93">
            <v>-175775.59222547465</v>
          </cell>
        </row>
        <row r="94">
          <cell r="I94">
            <v>17146.691419444953</v>
          </cell>
          <cell r="J94">
            <v>14199.299914829906</v>
          </cell>
          <cell r="L94">
            <v>2645.6451038553037</v>
          </cell>
          <cell r="M94">
            <v>2426.2877507126855</v>
          </cell>
          <cell r="O94">
            <v>7873.9199999999992</v>
          </cell>
          <cell r="P94">
            <v>6188.8869100806442</v>
          </cell>
          <cell r="R94">
            <v>1512.7199999999996</v>
          </cell>
          <cell r="S94">
            <v>1189.1100677419356</v>
          </cell>
          <cell r="U94">
            <v>833.30286687848127</v>
          </cell>
          <cell r="V94">
            <v>331.42237278500249</v>
          </cell>
          <cell r="X94">
            <v>7218.0184269760075</v>
          </cell>
          <cell r="Y94">
            <v>5544.6648145969348</v>
          </cell>
          <cell r="AA94">
            <v>0</v>
          </cell>
          <cell r="AB94">
            <v>0</v>
          </cell>
          <cell r="AD94">
            <v>20740.562226536113</v>
          </cell>
          <cell r="AE94">
            <v>19684.185700680253</v>
          </cell>
          <cell r="AJ94">
            <v>42638.522353643682</v>
          </cell>
          <cell r="AK94">
            <v>35594.88254551241</v>
          </cell>
          <cell r="AM94">
            <v>0</v>
          </cell>
          <cell r="AN94">
            <v>1568.740563111608</v>
          </cell>
          <cell r="AP94">
            <v>3740.7196894299173</v>
          </cell>
          <cell r="AQ94">
            <v>3519.9755281757489</v>
          </cell>
          <cell r="AS94">
            <v>71808.408375634914</v>
          </cell>
          <cell r="AT94">
            <v>40816.109717622196</v>
          </cell>
          <cell r="AV94">
            <v>1347.8432605358166</v>
          </cell>
          <cell r="AW94">
            <v>425.98817545704691</v>
          </cell>
          <cell r="AY94">
            <v>1603.6406617782084</v>
          </cell>
          <cell r="AZ94">
            <v>1466</v>
          </cell>
          <cell r="BB94">
            <v>1498.4823027180209</v>
          </cell>
          <cell r="BC94">
            <v>2439.3741091389384</v>
          </cell>
          <cell r="BE94">
            <v>700.59062252596152</v>
          </cell>
          <cell r="BF94">
            <v>0</v>
          </cell>
          <cell r="BH94">
            <v>422.7844713578213</v>
          </cell>
          <cell r="BI94">
            <v>0</v>
          </cell>
          <cell r="BK94">
            <v>775.64627416704468</v>
          </cell>
          <cell r="BL94">
            <v>7190.1547551024423</v>
          </cell>
          <cell r="BN94">
            <v>323.17389556343255</v>
          </cell>
          <cell r="BO94">
            <v>2412</v>
          </cell>
          <cell r="BT94">
            <v>75682.793783481349</v>
          </cell>
          <cell r="BU94">
            <v>60940.01471942498</v>
          </cell>
          <cell r="BW94">
            <v>45875.384030005946</v>
          </cell>
          <cell r="BX94">
            <v>35376.078196642557</v>
          </cell>
          <cell r="BZ94">
            <v>10387.123617720867</v>
          </cell>
          <cell r="CA94">
            <v>8095.7554965418722</v>
          </cell>
          <cell r="CC94">
            <v>772.9803111746719</v>
          </cell>
          <cell r="CD94">
            <v>768.13122311536711</v>
          </cell>
          <cell r="CF94">
            <v>95.158561034760723</v>
          </cell>
          <cell r="CG94">
            <v>0</v>
          </cell>
          <cell r="CI94">
            <v>16808.337609118538</v>
          </cell>
          <cell r="CJ94">
            <v>19321.039937641723</v>
          </cell>
          <cell r="CL94">
            <v>11380.255307732819</v>
          </cell>
          <cell r="CM94">
            <v>14180.759115944966</v>
          </cell>
          <cell r="CX94">
            <v>6189.7137944223359</v>
          </cell>
          <cell r="CY94">
            <v>78374.326062168868</v>
          </cell>
        </row>
        <row r="95">
          <cell r="I95">
            <v>24142.11381697065</v>
          </cell>
          <cell r="J95">
            <v>20232.000579267828</v>
          </cell>
          <cell r="L95">
            <v>4002.8922094074205</v>
          </cell>
          <cell r="M95">
            <v>3669.8896122663464</v>
          </cell>
          <cell r="O95">
            <v>13587.599999999997</v>
          </cell>
          <cell r="P95">
            <v>10680.223375860216</v>
          </cell>
          <cell r="R95">
            <v>2956.5600000000009</v>
          </cell>
          <cell r="S95">
            <v>2324.3556166666667</v>
          </cell>
          <cell r="U95">
            <v>4609.9343917566339</v>
          </cell>
          <cell r="V95">
            <v>1582.827280873179</v>
          </cell>
          <cell r="X95">
            <v>19551.988170768007</v>
          </cell>
          <cell r="Y95">
            <v>15092.653122400516</v>
          </cell>
          <cell r="AA95">
            <v>0</v>
          </cell>
          <cell r="AB95">
            <v>0</v>
          </cell>
          <cell r="AD95">
            <v>40850.182752032619</v>
          </cell>
          <cell r="AE95">
            <v>38769.56537701482</v>
          </cell>
          <cell r="AJ95">
            <v>82957.141158182814</v>
          </cell>
          <cell r="AK95">
            <v>80458.32350725797</v>
          </cell>
          <cell r="AM95">
            <v>0</v>
          </cell>
          <cell r="AN95">
            <v>0</v>
          </cell>
          <cell r="AP95">
            <v>7244.684968136422</v>
          </cell>
          <cell r="AQ95">
            <v>7216.2942570282867</v>
          </cell>
          <cell r="AS95">
            <v>182334.46755420358</v>
          </cell>
          <cell r="AT95">
            <v>121254.07758057391</v>
          </cell>
          <cell r="AV95">
            <v>1940.0165124283587</v>
          </cell>
          <cell r="AW95">
            <v>1841.134263420488</v>
          </cell>
          <cell r="AY95">
            <v>2671.3948400443719</v>
          </cell>
          <cell r="AZ95">
            <v>0</v>
          </cell>
          <cell r="BB95">
            <v>4246.1806401246949</v>
          </cell>
          <cell r="BC95">
            <v>0</v>
          </cell>
          <cell r="BE95">
            <v>1557.2763862988356</v>
          </cell>
          <cell r="BF95">
            <v>1817</v>
          </cell>
          <cell r="BH95">
            <v>2338.5323677229662</v>
          </cell>
          <cell r="BI95">
            <v>0</v>
          </cell>
          <cell r="BK95">
            <v>1835.3146988894723</v>
          </cell>
          <cell r="BL95">
            <v>2254.1404501924517</v>
          </cell>
          <cell r="BN95">
            <v>1118.5937498727455</v>
          </cell>
          <cell r="BO95">
            <v>0</v>
          </cell>
          <cell r="BT95">
            <v>136089.50853918158</v>
          </cell>
          <cell r="BU95">
            <v>158621.83014966853</v>
          </cell>
          <cell r="BW95">
            <v>98011.104114909467</v>
          </cell>
          <cell r="BX95">
            <v>110303.91625117985</v>
          </cell>
          <cell r="BZ95">
            <v>31161.370853162593</v>
          </cell>
          <cell r="CA95">
            <v>39070.625705194543</v>
          </cell>
          <cell r="CC95">
            <v>1935.3921033216668</v>
          </cell>
          <cell r="CD95">
            <v>1923.2509315445648</v>
          </cell>
          <cell r="CF95">
            <v>238.25849756800824</v>
          </cell>
          <cell r="CG95">
            <v>0</v>
          </cell>
          <cell r="CI95">
            <v>18081.129321167606</v>
          </cell>
          <cell r="CJ95">
            <v>17002.717763397824</v>
          </cell>
          <cell r="CL95">
            <v>27102.976456574212</v>
          </cell>
          <cell r="CM95">
            <v>25498.679298120489</v>
          </cell>
          <cell r="CX95">
            <v>11577.583076730283</v>
          </cell>
          <cell r="CY95">
            <v>72718.913853685779</v>
          </cell>
        </row>
        <row r="96">
          <cell r="I96">
            <v>19626.04694294092</v>
          </cell>
          <cell r="J96">
            <v>16402.122058512599</v>
          </cell>
          <cell r="L96">
            <v>3945.8222850165916</v>
          </cell>
          <cell r="M96">
            <v>3591.7424601945613</v>
          </cell>
          <cell r="O96">
            <v>12499.679999999998</v>
          </cell>
          <cell r="P96">
            <v>9825.3815987903236</v>
          </cell>
          <cell r="R96">
            <v>2323.3200000000006</v>
          </cell>
          <cell r="S96">
            <v>1825.7785165322582</v>
          </cell>
          <cell r="U96">
            <v>2304.9674409502677</v>
          </cell>
          <cell r="V96">
            <v>785.97519380268</v>
          </cell>
          <cell r="X96">
            <v>17534.947650301274</v>
          </cell>
          <cell r="Y96">
            <v>16256.011823743587</v>
          </cell>
          <cell r="AA96">
            <v>0</v>
          </cell>
          <cell r="AB96">
            <v>0</v>
          </cell>
          <cell r="AD96">
            <v>32100.505927321898</v>
          </cell>
          <cell r="AE96">
            <v>30465.534774691627</v>
          </cell>
          <cell r="AJ96">
            <v>59568.791269630798</v>
          </cell>
          <cell r="AK96">
            <v>59194.836456872123</v>
          </cell>
          <cell r="AM96">
            <v>6313.6886354837225</v>
          </cell>
          <cell r="AN96">
            <v>4315.8182810289909</v>
          </cell>
          <cell r="AP96">
            <v>6771.176146689595</v>
          </cell>
          <cell r="AQ96">
            <v>6681.225633336835</v>
          </cell>
          <cell r="AS96">
            <v>125062.75136222428</v>
          </cell>
          <cell r="AT96">
            <v>59474.110709773115</v>
          </cell>
          <cell r="AV96">
            <v>1618.063542798154</v>
          </cell>
          <cell r="AW96">
            <v>4510.817335233668</v>
          </cell>
          <cell r="AY96">
            <v>2461.5173043234017</v>
          </cell>
          <cell r="AZ96">
            <v>4250</v>
          </cell>
          <cell r="BB96">
            <v>2766.0248753394776</v>
          </cell>
          <cell r="BC96">
            <v>0</v>
          </cell>
          <cell r="BE96">
            <v>1109.4507192130609</v>
          </cell>
          <cell r="BF96">
            <v>1575</v>
          </cell>
          <cell r="BH96">
            <v>1169.3389950169108</v>
          </cell>
          <cell r="BI96">
            <v>19.323966600000002</v>
          </cell>
          <cell r="BK96">
            <v>1923.1874940680243</v>
          </cell>
          <cell r="BL96">
            <v>1269.4142389754811</v>
          </cell>
          <cell r="BN96">
            <v>762.07335091908692</v>
          </cell>
          <cell r="BO96">
            <v>5646</v>
          </cell>
          <cell r="BT96">
            <v>105521.62424399705</v>
          </cell>
          <cell r="BU96">
            <v>113267.49939207897</v>
          </cell>
          <cell r="BW96">
            <v>70961.775937306316</v>
          </cell>
          <cell r="BX96">
            <v>71879.909016244041</v>
          </cell>
          <cell r="BZ96">
            <v>12983.904522151081</v>
          </cell>
          <cell r="CA96">
            <v>17183.941881954088</v>
          </cell>
          <cell r="CC96">
            <v>1988.335960251439</v>
          </cell>
          <cell r="CD96">
            <v>1975.8626591552065</v>
          </cell>
          <cell r="CF96">
            <v>244.77620722792335</v>
          </cell>
          <cell r="CG96">
            <v>0</v>
          </cell>
          <cell r="CI96">
            <v>12484.589293187151</v>
          </cell>
          <cell r="CJ96">
            <v>6690.1180166866307</v>
          </cell>
          <cell r="CL96">
            <v>14075.578933248484</v>
          </cell>
          <cell r="CM96">
            <v>19786.843626797316</v>
          </cell>
          <cell r="CX96">
            <v>9387.4031524717648</v>
          </cell>
          <cell r="CY96">
            <v>82885.80883079514</v>
          </cell>
        </row>
        <row r="97">
          <cell r="I97">
            <v>1980.3666308869279</v>
          </cell>
          <cell r="J97">
            <v>1916.7153283848461</v>
          </cell>
          <cell r="L97">
            <v>350.04425276136266</v>
          </cell>
          <cell r="M97">
            <v>345.96608919842538</v>
          </cell>
          <cell r="O97">
            <v>717.35999999999979</v>
          </cell>
          <cell r="P97">
            <v>563.82025672043005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X97">
            <v>969.58937918851768</v>
          </cell>
          <cell r="Y97">
            <v>733.81261783840398</v>
          </cell>
          <cell r="AA97">
            <v>0</v>
          </cell>
          <cell r="AB97">
            <v>0</v>
          </cell>
          <cell r="AD97">
            <v>2167.4190041811203</v>
          </cell>
          <cell r="AE97">
            <v>2059.4609471091976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710.26323217023753</v>
          </cell>
          <cell r="AQ97">
            <v>568.55683735597427</v>
          </cell>
          <cell r="AS97">
            <v>7229.2440461240376</v>
          </cell>
          <cell r="AT97">
            <v>20030</v>
          </cell>
          <cell r="AV97">
            <v>393.42988603280099</v>
          </cell>
          <cell r="AW97">
            <v>0</v>
          </cell>
          <cell r="AY97">
            <v>450.99746369456966</v>
          </cell>
          <cell r="AZ97">
            <v>0</v>
          </cell>
          <cell r="BB97">
            <v>275.06486022799919</v>
          </cell>
          <cell r="BC97">
            <v>0</v>
          </cell>
          <cell r="BE97">
            <v>0</v>
          </cell>
          <cell r="BF97">
            <v>0</v>
          </cell>
          <cell r="BH97">
            <v>0</v>
          </cell>
          <cell r="BI97">
            <v>0</v>
          </cell>
          <cell r="BK97">
            <v>79.609844577948294</v>
          </cell>
          <cell r="BL97">
            <v>0</v>
          </cell>
          <cell r="BN97">
            <v>0</v>
          </cell>
          <cell r="BO97">
            <v>0</v>
          </cell>
          <cell r="BT97">
            <v>8666.4022690655875</v>
          </cell>
          <cell r="BU97">
            <v>9009.8480994319707</v>
          </cell>
          <cell r="BW97">
            <v>3630.031136152536</v>
          </cell>
          <cell r="BX97">
            <v>5161.8625701019628</v>
          </cell>
          <cell r="BZ97">
            <v>962.42601915024818</v>
          </cell>
          <cell r="CA97">
            <v>4059.1739516872231</v>
          </cell>
          <cell r="CC97">
            <v>0</v>
          </cell>
          <cell r="CD97">
            <v>0</v>
          </cell>
          <cell r="CF97">
            <v>0</v>
          </cell>
          <cell r="CG97">
            <v>0</v>
          </cell>
          <cell r="CI97">
            <v>524.09070496137974</v>
          </cell>
          <cell r="CJ97">
            <v>244.11722865041486</v>
          </cell>
          <cell r="CL97">
            <v>0</v>
          </cell>
          <cell r="CM97">
            <v>0</v>
          </cell>
          <cell r="CX97">
            <v>910.51352498967026</v>
          </cell>
          <cell r="CY97">
            <v>-17793.880711774618</v>
          </cell>
        </row>
        <row r="98">
          <cell r="I98">
            <v>9081.3698427163072</v>
          </cell>
          <cell r="J98">
            <v>8768.2615012745209</v>
          </cell>
          <cell r="L98">
            <v>942.13159317784914</v>
          </cell>
          <cell r="M98">
            <v>931.15471513760474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X98">
            <v>2467.0990213265941</v>
          </cell>
          <cell r="Y98">
            <v>4158.4778211325229</v>
          </cell>
          <cell r="AA98">
            <v>0</v>
          </cell>
          <cell r="AB98">
            <v>0</v>
          </cell>
          <cell r="AD98">
            <v>10372.739716399645</v>
          </cell>
          <cell r="AE98">
            <v>9844.4262297383302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P98">
            <v>994.368525038332</v>
          </cell>
          <cell r="AQ98">
            <v>770.79029184961439</v>
          </cell>
          <cell r="AS98">
            <v>48803.335737550486</v>
          </cell>
          <cell r="AT98">
            <v>84922</v>
          </cell>
          <cell r="AV98">
            <v>1669.7180592819384</v>
          </cell>
          <cell r="AW98">
            <v>0</v>
          </cell>
          <cell r="AY98">
            <v>1214.0218303771728</v>
          </cell>
          <cell r="AZ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H98">
            <v>0</v>
          </cell>
          <cell r="BI98">
            <v>0</v>
          </cell>
          <cell r="BK98">
            <v>726.96398860742875</v>
          </cell>
          <cell r="BL98">
            <v>0</v>
          </cell>
          <cell r="BN98">
            <v>0</v>
          </cell>
          <cell r="BO98">
            <v>0</v>
          </cell>
          <cell r="BT98">
            <v>19116.438788991563</v>
          </cell>
          <cell r="BU98">
            <v>30552.502214887711</v>
          </cell>
          <cell r="BW98">
            <v>9798.806960641321</v>
          </cell>
          <cell r="BX98">
            <v>10471.47250570335</v>
          </cell>
          <cell r="BZ98">
            <v>10672.769517208193</v>
          </cell>
          <cell r="CA98">
            <v>8291.7210463922238</v>
          </cell>
          <cell r="CC98">
            <v>88.533894088118814</v>
          </cell>
          <cell r="CD98">
            <v>87.978500060017325</v>
          </cell>
          <cell r="CF98">
            <v>10.899058931302507</v>
          </cell>
          <cell r="CG98">
            <v>0</v>
          </cell>
          <cell r="CI98">
            <v>7730.3378981803498</v>
          </cell>
          <cell r="CJ98">
            <v>1781.8057965192236</v>
          </cell>
          <cell r="CL98">
            <v>0</v>
          </cell>
          <cell r="CM98">
            <v>0</v>
          </cell>
          <cell r="CX98">
            <v>2226.5586809801098</v>
          </cell>
          <cell r="CY98">
            <v>-42042.708747234137</v>
          </cell>
        </row>
        <row r="99">
          <cell r="I99">
            <v>1964.1679171492526</v>
          </cell>
          <cell r="J99">
            <v>1898.7709337885585</v>
          </cell>
          <cell r="L99">
            <v>345.31277780458663</v>
          </cell>
          <cell r="M99">
            <v>341.28691977562335</v>
          </cell>
          <cell r="O99">
            <v>646.08000000000027</v>
          </cell>
          <cell r="P99">
            <v>507.84410241935495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>
            <v>967.82968574526797</v>
          </cell>
          <cell r="Y99">
            <v>730.54106687683793</v>
          </cell>
          <cell r="AA99">
            <v>0</v>
          </cell>
          <cell r="AB99">
            <v>0</v>
          </cell>
          <cell r="AD99">
            <v>1933.1034361615393</v>
          </cell>
          <cell r="AE99">
            <v>1834.6449146562923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994.368525038332</v>
          </cell>
          <cell r="AQ99">
            <v>782.51713103958923</v>
          </cell>
          <cell r="AS99">
            <v>4734.2485606678065</v>
          </cell>
          <cell r="AT99">
            <v>17451.741923150992</v>
          </cell>
          <cell r="AV99">
            <v>369.88259994927745</v>
          </cell>
          <cell r="AW99">
            <v>0</v>
          </cell>
          <cell r="AY99">
            <v>445.34516002577487</v>
          </cell>
          <cell r="AZ99">
            <v>0</v>
          </cell>
          <cell r="BB99">
            <v>224.88784326123502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79.238667330205828</v>
          </cell>
          <cell r="BL99">
            <v>0</v>
          </cell>
          <cell r="BN99">
            <v>0</v>
          </cell>
          <cell r="BO99">
            <v>0</v>
          </cell>
          <cell r="BT99">
            <v>8584.9962853967318</v>
          </cell>
          <cell r="BU99">
            <v>8649.067557317685</v>
          </cell>
          <cell r="BW99">
            <v>4223.8582967554994</v>
          </cell>
          <cell r="BX99">
            <v>5437.5778328233009</v>
          </cell>
          <cell r="BZ99">
            <v>989.20237045008469</v>
          </cell>
          <cell r="CA99">
            <v>2054.0808439940165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56.152575531576396</v>
          </cell>
          <cell r="CJ99">
            <v>0</v>
          </cell>
          <cell r="CL99">
            <v>0</v>
          </cell>
          <cell r="CM99">
            <v>0</v>
          </cell>
          <cell r="CX99">
            <v>-2.0096415206044185</v>
          </cell>
          <cell r="CY99">
            <v>-15757.287871010698</v>
          </cell>
        </row>
        <row r="100">
          <cell r="I100">
            <v>1013.6822724088521</v>
          </cell>
          <cell r="J100">
            <v>991.9341998061218</v>
          </cell>
          <cell r="L100">
            <v>408.92732416500962</v>
          </cell>
          <cell r="M100">
            <v>404.16325889452571</v>
          </cell>
          <cell r="O100">
            <v>530.16</v>
          </cell>
          <cell r="P100">
            <v>416.74293817204301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>
            <v>425.18133968942954</v>
          </cell>
          <cell r="Y100">
            <v>327.30753297303897</v>
          </cell>
          <cell r="AA100">
            <v>0</v>
          </cell>
          <cell r="AB100">
            <v>0</v>
          </cell>
          <cell r="AD100">
            <v>1620.5401510843249</v>
          </cell>
          <cell r="AE100">
            <v>1537.1897670245596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1136.4211714723797</v>
          </cell>
          <cell r="AQ100">
            <v>781.01417168934006</v>
          </cell>
          <cell r="AS100">
            <v>5949.048823664667</v>
          </cell>
          <cell r="AT100">
            <v>19215</v>
          </cell>
          <cell r="AV100">
            <v>375.7494945091467</v>
          </cell>
          <cell r="AW100">
            <v>0</v>
          </cell>
          <cell r="AY100">
            <v>527.03725495094034</v>
          </cell>
          <cell r="AZ100">
            <v>0</v>
          </cell>
          <cell r="BB100">
            <v>161.57824736809303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59.168551776459459</v>
          </cell>
          <cell r="BL100">
            <v>0</v>
          </cell>
          <cell r="BN100">
            <v>0</v>
          </cell>
          <cell r="BO100">
            <v>0</v>
          </cell>
          <cell r="BT100">
            <v>6493.1686429156007</v>
          </cell>
          <cell r="BU100">
            <v>7182.8514424794448</v>
          </cell>
          <cell r="BW100">
            <v>3404.4435285935215</v>
          </cell>
          <cell r="BX100">
            <v>4680.7589928341476</v>
          </cell>
          <cell r="BZ100">
            <v>975.81419480016586</v>
          </cell>
          <cell r="CA100">
            <v>1570.0078176695722</v>
          </cell>
          <cell r="CC100">
            <v>305.89784003868289</v>
          </cell>
          <cell r="CD100">
            <v>303.97887063926248</v>
          </cell>
          <cell r="CF100">
            <v>37.657878035065131</v>
          </cell>
          <cell r="CG100">
            <v>0</v>
          </cell>
          <cell r="CI100">
            <v>449.22060425261117</v>
          </cell>
          <cell r="CJ100">
            <v>233.80147415965251</v>
          </cell>
          <cell r="CL100">
            <v>0</v>
          </cell>
          <cell r="CM100">
            <v>0</v>
          </cell>
          <cell r="CX100">
            <v>702.84321633005857</v>
          </cell>
          <cell r="CY100">
            <v>-15822.420559610044</v>
          </cell>
        </row>
        <row r="101">
          <cell r="I101">
            <v>2079.3951067892367</v>
          </cell>
          <cell r="J101">
            <v>2026.3120935611828</v>
          </cell>
          <cell r="L101">
            <v>735.89522095422637</v>
          </cell>
          <cell r="M101">
            <v>727.31839715679121</v>
          </cell>
          <cell r="O101">
            <v>1032.8399999999997</v>
          </cell>
          <cell r="P101">
            <v>811.89366075268833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>
            <v>840.80816527939862</v>
          </cell>
          <cell r="Y101">
            <v>640.32199290208109</v>
          </cell>
          <cell r="AA101">
            <v>0</v>
          </cell>
          <cell r="AB101">
            <v>0</v>
          </cell>
          <cell r="AD101">
            <v>3276.569703894244</v>
          </cell>
          <cell r="AE101">
            <v>3109.6845788567052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1988.737050076664</v>
          </cell>
          <cell r="AQ101">
            <v>1703.9395439619811</v>
          </cell>
          <cell r="AS101">
            <v>13316.438056097235</v>
          </cell>
          <cell r="AT101">
            <v>14799</v>
          </cell>
          <cell r="AV101">
            <v>778.98413731632706</v>
          </cell>
          <cell r="AW101">
            <v>0</v>
          </cell>
          <cell r="AY101">
            <v>948.60920210246843</v>
          </cell>
          <cell r="AZ101">
            <v>0</v>
          </cell>
          <cell r="BB101">
            <v>384.71973377700328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177.79633895512248</v>
          </cell>
          <cell r="BL101">
            <v>0</v>
          </cell>
          <cell r="BN101">
            <v>0</v>
          </cell>
          <cell r="BO101">
            <v>0</v>
          </cell>
          <cell r="BT101">
            <v>11818.379094224023</v>
          </cell>
          <cell r="BU101">
            <v>13570.860417032673</v>
          </cell>
          <cell r="BW101">
            <v>7221.545298827773</v>
          </cell>
          <cell r="BX101">
            <v>9824.0891541535566</v>
          </cell>
          <cell r="BZ101">
            <v>3075.9253299328998</v>
          </cell>
          <cell r="CA101">
            <v>3684.6893010535987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1347.6618127578338</v>
          </cell>
          <cell r="CJ101">
            <v>353.93129739767886</v>
          </cell>
          <cell r="CL101">
            <v>0</v>
          </cell>
          <cell r="CM101">
            <v>0</v>
          </cell>
          <cell r="CX101">
            <v>882.47489881864021</v>
          </cell>
          <cell r="CY101">
            <v>-1790.8085241947329</v>
          </cell>
        </row>
        <row r="102">
          <cell r="I102">
            <v>4347.5795229162641</v>
          </cell>
          <cell r="J102">
            <v>4191.0237138661987</v>
          </cell>
          <cell r="L102">
            <v>883.24901191810147</v>
          </cell>
          <cell r="M102">
            <v>911.94354284358872</v>
          </cell>
          <cell r="O102">
            <v>1354.3199999999997</v>
          </cell>
          <cell r="P102">
            <v>1064.5132935483871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>
            <v>1681.6163305587972</v>
          </cell>
          <cell r="Y102">
            <v>1271.4276533317352</v>
          </cell>
          <cell r="AA102">
            <v>0</v>
          </cell>
          <cell r="AB102">
            <v>0</v>
          </cell>
          <cell r="AD102">
            <v>4253.5972092313632</v>
          </cell>
          <cell r="AE102">
            <v>4036.9492614467572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1846.6844036426171</v>
          </cell>
          <cell r="AQ102">
            <v>1422.2417908699981</v>
          </cell>
          <cell r="AS102">
            <v>10759.869337550763</v>
          </cell>
          <cell r="AT102">
            <v>1650</v>
          </cell>
          <cell r="AV102">
            <v>821.24397331095224</v>
          </cell>
          <cell r="AW102">
            <v>0</v>
          </cell>
          <cell r="AY102">
            <v>1138.2727935986193</v>
          </cell>
          <cell r="AZ102">
            <v>0</v>
          </cell>
          <cell r="BB102">
            <v>617.3558311371778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177.79633895512248</v>
          </cell>
          <cell r="BL102">
            <v>0</v>
          </cell>
          <cell r="BN102">
            <v>0</v>
          </cell>
          <cell r="BO102">
            <v>0</v>
          </cell>
          <cell r="BT102">
            <v>18177.589403127982</v>
          </cell>
          <cell r="BU102">
            <v>19528.624467966165</v>
          </cell>
          <cell r="BW102">
            <v>7533.708653306413</v>
          </cell>
          <cell r="BX102">
            <v>7241.3970294114179</v>
          </cell>
          <cell r="BZ102">
            <v>2592.9167144996268</v>
          </cell>
          <cell r="CA102">
            <v>4288.8652445579874</v>
          </cell>
          <cell r="CC102">
            <v>573.55845007253049</v>
          </cell>
          <cell r="CD102">
            <v>569.96038244861722</v>
          </cell>
          <cell r="CF102">
            <v>70.608521315747126</v>
          </cell>
          <cell r="CG102">
            <v>0</v>
          </cell>
          <cell r="CI102">
            <v>917.15873368241455</v>
          </cell>
          <cell r="CJ102">
            <v>113.40385948503551</v>
          </cell>
          <cell r="CL102">
            <v>0</v>
          </cell>
          <cell r="CM102">
            <v>0</v>
          </cell>
          <cell r="CX102">
            <v>1732.649725410618</v>
          </cell>
          <cell r="CY102">
            <v>15480.779712268943</v>
          </cell>
        </row>
        <row r="103">
          <cell r="I103">
            <v>3279.864197992641</v>
          </cell>
          <cell r="J103">
            <v>3151.3338529570897</v>
          </cell>
          <cell r="L103">
            <v>739.15037690254474</v>
          </cell>
          <cell r="M103">
            <v>730.53532613496748</v>
          </cell>
          <cell r="O103">
            <v>825.4799999999999</v>
          </cell>
          <cell r="P103">
            <v>648.89184663978494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>
            <v>1207.1775804244428</v>
          </cell>
          <cell r="Y103">
            <v>930.02073391610156</v>
          </cell>
          <cell r="AA103">
            <v>0</v>
          </cell>
          <cell r="AB103">
            <v>0</v>
          </cell>
          <cell r="AD103">
            <v>2558.2727646312997</v>
          </cell>
          <cell r="AE103">
            <v>2427.9725699801061</v>
          </cell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P103">
            <v>1231.1229357617449</v>
          </cell>
          <cell r="AQ103">
            <v>924.65634037858285</v>
          </cell>
          <cell r="AS103">
            <v>8464.6761430630268</v>
          </cell>
          <cell r="AT103">
            <v>1076</v>
          </cell>
          <cell r="AV103">
            <v>628.41888790764006</v>
          </cell>
          <cell r="AW103">
            <v>0</v>
          </cell>
          <cell r="AY103">
            <v>952.68795817875343</v>
          </cell>
          <cell r="AZ103">
            <v>0</v>
          </cell>
          <cell r="BB103">
            <v>234.02220349919818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K103">
            <v>118.62780668282814</v>
          </cell>
          <cell r="BL103">
            <v>0</v>
          </cell>
          <cell r="BN103">
            <v>0</v>
          </cell>
          <cell r="BO103">
            <v>0</v>
          </cell>
          <cell r="BT103">
            <v>8572.8333793592628</v>
          </cell>
          <cell r="BU103">
            <v>11887.846976470317</v>
          </cell>
          <cell r="BW103">
            <v>5276.1596342491903</v>
          </cell>
          <cell r="BX103">
            <v>5477.0483646884195</v>
          </cell>
          <cell r="BZ103">
            <v>3002.1118425112691</v>
          </cell>
          <cell r="CA103">
            <v>3140.7928092442535</v>
          </cell>
          <cell r="CC103">
            <v>470.61206159797365</v>
          </cell>
          <cell r="CD103">
            <v>467.65980098348086</v>
          </cell>
          <cell r="CF103">
            <v>57.935196977023281</v>
          </cell>
          <cell r="CG103">
            <v>0</v>
          </cell>
          <cell r="CI103">
            <v>1385.0968631122184</v>
          </cell>
          <cell r="CJ103">
            <v>2037.4033548946018</v>
          </cell>
          <cell r="CL103">
            <v>0</v>
          </cell>
          <cell r="CM103">
            <v>0</v>
          </cell>
          <cell r="CX103">
            <v>-5.9799421260322561E-2</v>
          </cell>
          <cell r="CY103">
            <v>7324.8456284547565</v>
          </cell>
        </row>
        <row r="104">
          <cell r="I104">
            <v>2088.8130729016407</v>
          </cell>
          <cell r="J104">
            <v>2010.4128037827174</v>
          </cell>
          <cell r="L104">
            <v>709.85446351157941</v>
          </cell>
          <cell r="M104">
            <v>701.5829653313798</v>
          </cell>
          <cell r="O104">
            <v>672.48</v>
          </cell>
          <cell r="P104">
            <v>528.57804018817205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>
            <v>1207.1775804244428</v>
          </cell>
          <cell r="Y104">
            <v>2716.2198963946612</v>
          </cell>
          <cell r="AA104">
            <v>0</v>
          </cell>
          <cell r="AB104">
            <v>0</v>
          </cell>
          <cell r="AD104">
            <v>1990.8271618597935</v>
          </cell>
          <cell r="AE104">
            <v>1889.42860487496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852.31587860428453</v>
          </cell>
          <cell r="AQ104">
            <v>567.2831481974207</v>
          </cell>
          <cell r="AS104">
            <v>7391.0732349480377</v>
          </cell>
          <cell r="AT104">
            <v>3986</v>
          </cell>
          <cell r="AV104">
            <v>446.27552779950105</v>
          </cell>
          <cell r="AW104">
            <v>0</v>
          </cell>
          <cell r="AY104">
            <v>914.81368486142617</v>
          </cell>
          <cell r="AZ104">
            <v>1385</v>
          </cell>
          <cell r="BB104">
            <v>223.8188890228131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118.62780668282814</v>
          </cell>
          <cell r="BL104">
            <v>0</v>
          </cell>
          <cell r="BN104">
            <v>0</v>
          </cell>
          <cell r="BO104">
            <v>0</v>
          </cell>
          <cell r="BT104">
            <v>7780.5163866108114</v>
          </cell>
          <cell r="BU104">
            <v>10060.623398309122</v>
          </cell>
          <cell r="BW104">
            <v>2210.2779617420906</v>
          </cell>
          <cell r="BX104">
            <v>3899.4159517105218</v>
          </cell>
          <cell r="BZ104">
            <v>1652.190043335323</v>
          </cell>
          <cell r="CA104">
            <v>2326.410384402106</v>
          </cell>
          <cell r="CC104">
            <v>182.36217386921479</v>
          </cell>
          <cell r="CD104">
            <v>181.21817288109881</v>
          </cell>
          <cell r="CF104">
            <v>22.449888828596524</v>
          </cell>
          <cell r="CG104">
            <v>0</v>
          </cell>
          <cell r="CI104">
            <v>617.67833084734048</v>
          </cell>
          <cell r="CJ104">
            <v>599.52045333486831</v>
          </cell>
          <cell r="CL104">
            <v>0</v>
          </cell>
          <cell r="CM104">
            <v>0</v>
          </cell>
          <cell r="CX104">
            <v>872.69749698034138</v>
          </cell>
          <cell r="CY104">
            <v>-1251.4725832884333</v>
          </cell>
        </row>
        <row r="105">
          <cell r="I105">
            <v>954.95848685474868</v>
          </cell>
          <cell r="J105">
            <v>940.07888907444215</v>
          </cell>
          <cell r="L105">
            <v>592.08734041648677</v>
          </cell>
          <cell r="M105">
            <v>585.18862593917947</v>
          </cell>
          <cell r="O105">
            <v>667.56000000000006</v>
          </cell>
          <cell r="P105">
            <v>524.74593548387099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>
            <v>593.34845657632729</v>
          </cell>
          <cell r="Y105">
            <v>2253.9978950705595</v>
          </cell>
          <cell r="AA105">
            <v>0</v>
          </cell>
          <cell r="AB105">
            <v>0</v>
          </cell>
          <cell r="AD105">
            <v>2031.875144578552</v>
          </cell>
          <cell r="AE105">
            <v>1928.3858956971239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1136.4211714723797</v>
          </cell>
          <cell r="AQ105">
            <v>1137.1136747119485</v>
          </cell>
          <cell r="AS105">
            <v>6957.5394283459127</v>
          </cell>
          <cell r="AT105">
            <v>23122</v>
          </cell>
          <cell r="AV105">
            <v>618.00739330426507</v>
          </cell>
          <cell r="AW105">
            <v>0</v>
          </cell>
          <cell r="AY105">
            <v>763.02436668260316</v>
          </cell>
          <cell r="AZ105">
            <v>0</v>
          </cell>
          <cell r="BB105">
            <v>221.28829516597003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118.62766249183653</v>
          </cell>
          <cell r="BL105">
            <v>0</v>
          </cell>
          <cell r="BN105">
            <v>0</v>
          </cell>
          <cell r="BO105">
            <v>0</v>
          </cell>
          <cell r="BT105">
            <v>7695.5319231741778</v>
          </cell>
          <cell r="BU105">
            <v>9571.129892587116</v>
          </cell>
          <cell r="BW105">
            <v>2965.9103244936687</v>
          </cell>
          <cell r="BX105">
            <v>5151.7777472022171</v>
          </cell>
          <cell r="BZ105">
            <v>2549.2922687470495</v>
          </cell>
          <cell r="CA105">
            <v>2526.1370511953032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299.48040283507419</v>
          </cell>
          <cell r="CJ105">
            <v>128.00352947075612</v>
          </cell>
          <cell r="CL105">
            <v>0</v>
          </cell>
          <cell r="CM105">
            <v>0</v>
          </cell>
          <cell r="CX105">
            <v>844.61680183314274</v>
          </cell>
          <cell r="CY105">
            <v>-22799.710963719019</v>
          </cell>
        </row>
        <row r="106">
          <cell r="I106">
            <v>4564.0459197570772</v>
          </cell>
          <cell r="J106">
            <v>4446.0896412544398</v>
          </cell>
          <cell r="L106">
            <v>976.75274407870995</v>
          </cell>
          <cell r="M106">
            <v>965.37114154184439</v>
          </cell>
          <cell r="O106">
            <v>1336.92</v>
          </cell>
          <cell r="P106">
            <v>1050.8911075268816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X106">
            <v>2114.0191127993139</v>
          </cell>
          <cell r="Y106">
            <v>3254.2874274643054</v>
          </cell>
          <cell r="AA106">
            <v>0</v>
          </cell>
          <cell r="AB106">
            <v>0</v>
          </cell>
          <cell r="AD106">
            <v>4737.6213387900598</v>
          </cell>
          <cell r="AE106">
            <v>4496.3206490581106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P106">
            <v>3409.2635144171381</v>
          </cell>
          <cell r="AQ106">
            <v>2907.0035057479245</v>
          </cell>
          <cell r="AS106">
            <v>11454.536671434058</v>
          </cell>
          <cell r="AT106">
            <v>5261</v>
          </cell>
          <cell r="AV106">
            <v>768.58353548401794</v>
          </cell>
          <cell r="AW106">
            <v>0</v>
          </cell>
          <cell r="AY106">
            <v>1258.7718030201743</v>
          </cell>
          <cell r="AZ106">
            <v>0</v>
          </cell>
          <cell r="BB106">
            <v>794.11016348623605</v>
          </cell>
          <cell r="BC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K106">
            <v>215.49717539708286</v>
          </cell>
          <cell r="BL106">
            <v>261</v>
          </cell>
          <cell r="BN106">
            <v>0</v>
          </cell>
          <cell r="BO106">
            <v>0</v>
          </cell>
          <cell r="BT106">
            <v>15794.415513448888</v>
          </cell>
          <cell r="BU106">
            <v>23166.506663779586</v>
          </cell>
          <cell r="BW106">
            <v>7484.0834915710811</v>
          </cell>
          <cell r="BX106">
            <v>7683.3254568497523</v>
          </cell>
          <cell r="BZ106">
            <v>5874.3846398010273</v>
          </cell>
          <cell r="CA106">
            <v>4876.2817879647882</v>
          </cell>
          <cell r="CC106">
            <v>258.83663387888555</v>
          </cell>
          <cell r="CD106">
            <v>257.21289054091449</v>
          </cell>
          <cell r="CF106">
            <v>31.864358337362798</v>
          </cell>
          <cell r="CG106">
            <v>0</v>
          </cell>
          <cell r="CI106">
            <v>2040.2102443139422</v>
          </cell>
          <cell r="CJ106">
            <v>1085.7702342613438</v>
          </cell>
          <cell r="CL106">
            <v>0</v>
          </cell>
          <cell r="CM106">
            <v>0</v>
          </cell>
          <cell r="CX106">
            <v>-14.420232018077513</v>
          </cell>
          <cell r="CY106">
            <v>4069.0073928121319</v>
          </cell>
        </row>
        <row r="107">
          <cell r="I107">
            <v>5347.9932204034012</v>
          </cell>
          <cell r="J107">
            <v>5213.2475298020872</v>
          </cell>
          <cell r="L107">
            <v>935.62177142511234</v>
          </cell>
          <cell r="M107">
            <v>936.62013631186994</v>
          </cell>
          <cell r="O107">
            <v>2129.4</v>
          </cell>
          <cell r="P107">
            <v>1673.6799290322583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X107">
            <v>2933.2812469030778</v>
          </cell>
          <cell r="Y107">
            <v>2245.6149421695427</v>
          </cell>
          <cell r="AA107">
            <v>0</v>
          </cell>
          <cell r="AB107">
            <v>0</v>
          </cell>
          <cell r="AD107">
            <v>6296.5895157962477</v>
          </cell>
          <cell r="AE107">
            <v>5975.8860900748841</v>
          </cell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P107">
            <v>4261.5793930214249</v>
          </cell>
          <cell r="AQ107">
            <v>3834.0331854836613</v>
          </cell>
          <cell r="AS107">
            <v>18925.749168742488</v>
          </cell>
          <cell r="AT107">
            <v>9320</v>
          </cell>
          <cell r="AV107">
            <v>895.65617756303675</v>
          </cell>
          <cell r="AW107">
            <v>1149</v>
          </cell>
          <cell r="AY107">
            <v>1205.8638280807043</v>
          </cell>
          <cell r="AZ107">
            <v>0</v>
          </cell>
          <cell r="BB107">
            <v>1000.2115013796479</v>
          </cell>
          <cell r="BC107">
            <v>910</v>
          </cell>
          <cell r="BE107">
            <v>0</v>
          </cell>
          <cell r="BF107">
            <v>0</v>
          </cell>
          <cell r="BH107">
            <v>0</v>
          </cell>
          <cell r="BI107">
            <v>0</v>
          </cell>
          <cell r="BK107">
            <v>362.91232416152599</v>
          </cell>
          <cell r="BL107">
            <v>126</v>
          </cell>
          <cell r="BN107">
            <v>0</v>
          </cell>
          <cell r="BO107">
            <v>0</v>
          </cell>
          <cell r="BT107">
            <v>17984.353193391271</v>
          </cell>
          <cell r="BU107">
            <v>26982.686706382239</v>
          </cell>
          <cell r="BW107">
            <v>8808.2382686304609</v>
          </cell>
          <cell r="BX107">
            <v>9055.1144724293044</v>
          </cell>
          <cell r="BZ107">
            <v>7613.7763462078974</v>
          </cell>
          <cell r="CA107">
            <v>7661.8876765089881</v>
          </cell>
          <cell r="CC107">
            <v>367.66567312341698</v>
          </cell>
          <cell r="CD107">
            <v>365.35921951834433</v>
          </cell>
          <cell r="CF107">
            <v>45.26187263829943</v>
          </cell>
          <cell r="CG107">
            <v>0</v>
          </cell>
          <cell r="CI107">
            <v>3032.2390787051249</v>
          </cell>
          <cell r="CJ107">
            <v>2039.6495862999493</v>
          </cell>
          <cell r="CL107">
            <v>0</v>
          </cell>
          <cell r="CM107">
            <v>0</v>
          </cell>
          <cell r="CX107">
            <v>1478.2889037922505</v>
          </cell>
          <cell r="CY107">
            <v>7067.4246311842471</v>
          </cell>
        </row>
        <row r="108">
          <cell r="I108">
            <v>1800.5360678585869</v>
          </cell>
          <cell r="J108">
            <v>1739.3953480114587</v>
          </cell>
          <cell r="L108">
            <v>690.03228319995299</v>
          </cell>
          <cell r="M108">
            <v>681.98894337339641</v>
          </cell>
          <cell r="O108">
            <v>681.12</v>
          </cell>
          <cell r="P108">
            <v>535.38953903225809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X108">
            <v>1207.1775804244428</v>
          </cell>
          <cell r="Y108">
            <v>927.13439550200155</v>
          </cell>
          <cell r="AA108">
            <v>0</v>
          </cell>
          <cell r="AB108">
            <v>0</v>
          </cell>
          <cell r="AD108">
            <v>2132.6992521315037</v>
          </cell>
          <cell r="AE108">
            <v>2024.0747412790647</v>
          </cell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P108">
            <v>1136.4211714723797</v>
          </cell>
          <cell r="AQ108">
            <v>1137.1136747119485</v>
          </cell>
          <cell r="AS108">
            <v>10053.439185568323</v>
          </cell>
          <cell r="AT108">
            <v>284</v>
          </cell>
          <cell r="AV108">
            <v>400.76271578958375</v>
          </cell>
          <cell r="AW108">
            <v>0</v>
          </cell>
          <cell r="AY108">
            <v>889.46692439466995</v>
          </cell>
          <cell r="AZ108">
            <v>0</v>
          </cell>
          <cell r="BB108">
            <v>165.8791055208878</v>
          </cell>
          <cell r="BC108">
            <v>0</v>
          </cell>
          <cell r="BE108">
            <v>0</v>
          </cell>
          <cell r="BF108">
            <v>0</v>
          </cell>
          <cell r="BH108">
            <v>0</v>
          </cell>
          <cell r="BI108">
            <v>0</v>
          </cell>
          <cell r="BK108">
            <v>118.62780668282814</v>
          </cell>
          <cell r="BL108">
            <v>0</v>
          </cell>
          <cell r="BN108">
            <v>0</v>
          </cell>
          <cell r="BO108">
            <v>0</v>
          </cell>
          <cell r="BT108">
            <v>7262.9294708161005</v>
          </cell>
          <cell r="BU108">
            <v>9301.4817816343784</v>
          </cell>
          <cell r="BW108">
            <v>2983.8051568525443</v>
          </cell>
          <cell r="BX108">
            <v>3209.6266887864672</v>
          </cell>
          <cell r="BZ108">
            <v>1972.5737909736026</v>
          </cell>
          <cell r="CA108">
            <v>2054.0235015482353</v>
          </cell>
          <cell r="CC108">
            <v>373.54832389339163</v>
          </cell>
          <cell r="CD108">
            <v>371.20496703063787</v>
          </cell>
          <cell r="CF108">
            <v>45.986062600512234</v>
          </cell>
          <cell r="CG108">
            <v>0</v>
          </cell>
          <cell r="CI108">
            <v>411.78555389822708</v>
          </cell>
          <cell r="CJ108">
            <v>2.4731035655487452</v>
          </cell>
          <cell r="CL108">
            <v>0</v>
          </cell>
          <cell r="CM108">
            <v>0</v>
          </cell>
          <cell r="CX108">
            <v>0.13145750696457981</v>
          </cell>
          <cell r="CY108">
            <v>12070.791978629528</v>
          </cell>
        </row>
        <row r="109">
          <cell r="I109">
            <v>5143.526403382707</v>
          </cell>
          <cell r="J109">
            <v>5017.4840379195484</v>
          </cell>
          <cell r="L109">
            <v>930.88980632443679</v>
          </cell>
          <cell r="M109">
            <v>932.43340522752419</v>
          </cell>
          <cell r="O109">
            <v>2163.8399999999997</v>
          </cell>
          <cell r="P109">
            <v>1700.8187451612901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X109">
            <v>2997.0870754563934</v>
          </cell>
          <cell r="Y109">
            <v>2902.2614984380539</v>
          </cell>
          <cell r="AA109">
            <v>0</v>
          </cell>
          <cell r="AB109">
            <v>0</v>
          </cell>
          <cell r="AD109">
            <v>6337.7230151456715</v>
          </cell>
          <cell r="AE109">
            <v>6014.8433808970494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P109">
            <v>3977.474100153328</v>
          </cell>
          <cell r="AQ109">
            <v>3483.1621084804674</v>
          </cell>
          <cell r="AS109">
            <v>15058.062046617277</v>
          </cell>
          <cell r="AT109">
            <v>1093.9336000106091</v>
          </cell>
          <cell r="AV109">
            <v>878.1214278322185</v>
          </cell>
          <cell r="AW109">
            <v>0</v>
          </cell>
          <cell r="AY109">
            <v>1199.9207699340923</v>
          </cell>
          <cell r="AZ109">
            <v>0</v>
          </cell>
          <cell r="BB109">
            <v>987.14380804143718</v>
          </cell>
          <cell r="BC109">
            <v>0</v>
          </cell>
          <cell r="BE109">
            <v>0</v>
          </cell>
          <cell r="BF109">
            <v>0</v>
          </cell>
          <cell r="BH109">
            <v>0</v>
          </cell>
          <cell r="BI109">
            <v>0</v>
          </cell>
          <cell r="BK109">
            <v>360.33688608548937</v>
          </cell>
          <cell r="BL109">
            <v>0</v>
          </cell>
          <cell r="BN109">
            <v>0</v>
          </cell>
          <cell r="BO109">
            <v>0</v>
          </cell>
          <cell r="BT109">
            <v>25196.377522071849</v>
          </cell>
          <cell r="BU109">
            <v>32851.274255393553</v>
          </cell>
          <cell r="BW109">
            <v>9448.897325689828</v>
          </cell>
          <cell r="BX109">
            <v>9693.3941613206262</v>
          </cell>
          <cell r="BZ109">
            <v>5820.3804376399821</v>
          </cell>
          <cell r="CA109">
            <v>6856.1805574393575</v>
          </cell>
          <cell r="CC109">
            <v>332.36976850356888</v>
          </cell>
          <cell r="CD109">
            <v>330.28473444458331</v>
          </cell>
          <cell r="CF109">
            <v>40.916732865022688</v>
          </cell>
          <cell r="CG109">
            <v>0</v>
          </cell>
          <cell r="CI109">
            <v>2377.1256975034012</v>
          </cell>
          <cell r="CJ109">
            <v>1021.7363860630659</v>
          </cell>
          <cell r="CL109">
            <v>0</v>
          </cell>
          <cell r="CM109">
            <v>0</v>
          </cell>
          <cell r="CX109">
            <v>2531.6486121039707</v>
          </cell>
          <cell r="CY109">
            <v>16154.51175504513</v>
          </cell>
        </row>
        <row r="110">
          <cell r="I110">
            <v>1565.3160649652029</v>
          </cell>
          <cell r="J110">
            <v>1534.1050665705875</v>
          </cell>
          <cell r="L110">
            <v>548.29448422379039</v>
          </cell>
          <cell r="M110">
            <v>541.90630877826061</v>
          </cell>
          <cell r="O110">
            <v>845.16000000000031</v>
          </cell>
          <cell r="P110">
            <v>664.38228225806461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>
            <v>892.51352253048333</v>
          </cell>
          <cell r="Y110">
            <v>722.38520377082136</v>
          </cell>
          <cell r="AA110">
            <v>0</v>
          </cell>
          <cell r="AB110">
            <v>0</v>
          </cell>
          <cell r="AD110">
            <v>2677.9532892456809</v>
          </cell>
          <cell r="AE110">
            <v>2541.5574210334785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P110">
            <v>1704.6317572085691</v>
          </cell>
          <cell r="AQ110">
            <v>1635.9246034628165</v>
          </cell>
          <cell r="AS110">
            <v>9543.7682875772225</v>
          </cell>
          <cell r="AT110">
            <v>175</v>
          </cell>
          <cell r="AV110">
            <v>568.80140155377376</v>
          </cell>
          <cell r="AW110">
            <v>0</v>
          </cell>
          <cell r="AY110">
            <v>706.67854208029485</v>
          </cell>
          <cell r="AZ110">
            <v>0</v>
          </cell>
          <cell r="BB110">
            <v>298.12881982235933</v>
          </cell>
          <cell r="BC110">
            <v>518.61230642048793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K110">
            <v>209.02272712943946</v>
          </cell>
          <cell r="BL110">
            <v>208.19931220172629</v>
          </cell>
          <cell r="BN110">
            <v>0</v>
          </cell>
          <cell r="BO110">
            <v>0</v>
          </cell>
          <cell r="BT110">
            <v>8506.0158316835405</v>
          </cell>
          <cell r="BU110">
            <v>10382.828426153408</v>
          </cell>
          <cell r="BW110">
            <v>4369.2125579155263</v>
          </cell>
          <cell r="BX110">
            <v>4607.0466997881649</v>
          </cell>
          <cell r="BZ110">
            <v>1887.921680372878</v>
          </cell>
          <cell r="CA110">
            <v>2480.8378261439434</v>
          </cell>
          <cell r="CC110">
            <v>0</v>
          </cell>
          <cell r="CD110">
            <v>0</v>
          </cell>
          <cell r="CF110">
            <v>0</v>
          </cell>
          <cell r="CG110">
            <v>0</v>
          </cell>
          <cell r="CI110">
            <v>1403.8143882894108</v>
          </cell>
          <cell r="CJ110">
            <v>1312.6850047384416</v>
          </cell>
          <cell r="CL110">
            <v>0</v>
          </cell>
          <cell r="CM110">
            <v>0</v>
          </cell>
          <cell r="CX110">
            <v>1071.79997448219</v>
          </cell>
          <cell r="CY110">
            <v>11153.915446415758</v>
          </cell>
        </row>
        <row r="111">
          <cell r="I111">
            <v>9129.2264237097788</v>
          </cell>
          <cell r="J111">
            <v>8925.4780498750861</v>
          </cell>
          <cell r="L111">
            <v>1727.144907834667</v>
          </cell>
          <cell r="M111">
            <v>1817.8346691933252</v>
          </cell>
          <cell r="O111">
            <v>3683.0400000000004</v>
          </cell>
          <cell r="P111">
            <v>2895.1116850268822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X111">
            <v>5042.3847559313654</v>
          </cell>
          <cell r="Y111">
            <v>4025.607284493587</v>
          </cell>
          <cell r="AA111">
            <v>0</v>
          </cell>
          <cell r="AB111">
            <v>0</v>
          </cell>
          <cell r="AD111">
            <v>11274.982928221025</v>
          </cell>
          <cell r="AE111">
            <v>10700.71559811175</v>
          </cell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P111">
            <v>8381.1061396087989</v>
          </cell>
          <cell r="AQ111">
            <v>6671.8848339086253</v>
          </cell>
          <cell r="AS111">
            <v>20760.829840791175</v>
          </cell>
          <cell r="AT111">
            <v>8236.8634456118143</v>
          </cell>
          <cell r="AV111">
            <v>1466.5742598894792</v>
          </cell>
          <cell r="AW111">
            <v>597.16855885903601</v>
          </cell>
          <cell r="AY111">
            <v>2225.8525564076244</v>
          </cell>
          <cell r="AZ111">
            <v>0</v>
          </cell>
          <cell r="BB111">
            <v>1882.0003370704183</v>
          </cell>
          <cell r="BC111">
            <v>0</v>
          </cell>
          <cell r="BE111">
            <v>0</v>
          </cell>
          <cell r="BF111">
            <v>0</v>
          </cell>
          <cell r="BH111">
            <v>0</v>
          </cell>
          <cell r="BI111">
            <v>0</v>
          </cell>
          <cell r="BK111">
            <v>649.81614847557319</v>
          </cell>
          <cell r="BL111">
            <v>0</v>
          </cell>
          <cell r="BN111">
            <v>0</v>
          </cell>
          <cell r="BO111">
            <v>0</v>
          </cell>
          <cell r="BT111">
            <v>57441.665294424958</v>
          </cell>
          <cell r="BU111">
            <v>80181.301648763547</v>
          </cell>
          <cell r="BW111">
            <v>12667.974548727436</v>
          </cell>
          <cell r="BX111">
            <v>13459.986215033989</v>
          </cell>
          <cell r="BZ111">
            <v>22486.125456832062</v>
          </cell>
          <cell r="CA111">
            <v>19985.916104603399</v>
          </cell>
          <cell r="CC111">
            <v>767.68592548169454</v>
          </cell>
          <cell r="CD111">
            <v>762.87005035430309</v>
          </cell>
          <cell r="CF111">
            <v>94.506790068769249</v>
          </cell>
          <cell r="CG111">
            <v>0</v>
          </cell>
          <cell r="CI111">
            <v>2732.7586758700522</v>
          </cell>
          <cell r="CJ111">
            <v>1467.4364689921995</v>
          </cell>
          <cell r="CL111">
            <v>0</v>
          </cell>
          <cell r="CM111">
            <v>0</v>
          </cell>
          <cell r="CX111">
            <v>84.450012786188381</v>
          </cell>
          <cell r="CY111">
            <v>3307.0504646069385</v>
          </cell>
        </row>
        <row r="112">
          <cell r="I112">
            <v>6169.8077255985445</v>
          </cell>
          <cell r="J112">
            <v>6035.3311309647806</v>
          </cell>
          <cell r="L112">
            <v>1166.4230722268235</v>
          </cell>
          <cell r="M112">
            <v>1174.6484234395175</v>
          </cell>
          <cell r="O112">
            <v>2465.52</v>
          </cell>
          <cell r="P112">
            <v>1938.0985204301076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>
            <v>3304.7073917917301</v>
          </cell>
          <cell r="Y112">
            <v>2551.3015880729236</v>
          </cell>
          <cell r="AA112">
            <v>0</v>
          </cell>
          <cell r="AB112">
            <v>0</v>
          </cell>
          <cell r="AD112">
            <v>7714.8828353600193</v>
          </cell>
          <cell r="AE112">
            <v>7681.0791737700283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P112">
            <v>5255.9479180597582</v>
          </cell>
          <cell r="AQ112">
            <v>4258.6875093137796</v>
          </cell>
          <cell r="AS112">
            <v>20051.744600658814</v>
          </cell>
          <cell r="AT112">
            <v>2089.278096967505</v>
          </cell>
          <cell r="AV112">
            <v>1018.7425463430262</v>
          </cell>
          <cell r="AW112">
            <v>0</v>
          </cell>
          <cell r="AY112">
            <v>1503.4989161478395</v>
          </cell>
          <cell r="AZ112">
            <v>0</v>
          </cell>
          <cell r="BB112">
            <v>1443.9845843902519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K112">
            <v>418.16606863024731</v>
          </cell>
          <cell r="BL112">
            <v>0</v>
          </cell>
          <cell r="BN112">
            <v>0</v>
          </cell>
          <cell r="BO112">
            <v>0</v>
          </cell>
          <cell r="BT112">
            <v>20730.490284603668</v>
          </cell>
          <cell r="BU112">
            <v>25032.737685364944</v>
          </cell>
          <cell r="BW112">
            <v>8183.4669796331445</v>
          </cell>
          <cell r="BX112">
            <v>8045.1503578239608</v>
          </cell>
          <cell r="BZ112">
            <v>6786.4921253737384</v>
          </cell>
          <cell r="CA112">
            <v>7550.3880518055512</v>
          </cell>
          <cell r="CC112">
            <v>617.67833084734048</v>
          </cell>
          <cell r="CD112">
            <v>613.80348879081839</v>
          </cell>
          <cell r="CF112">
            <v>76.039946032343053</v>
          </cell>
          <cell r="CG112">
            <v>0</v>
          </cell>
          <cell r="CI112">
            <v>917.15873368241455</v>
          </cell>
          <cell r="CJ112">
            <v>494.46442851135953</v>
          </cell>
          <cell r="CL112">
            <v>0</v>
          </cell>
          <cell r="CM112">
            <v>0</v>
          </cell>
          <cell r="CX112">
            <v>6889.737528744372</v>
          </cell>
          <cell r="CY112">
            <v>31321.47785369369</v>
          </cell>
        </row>
        <row r="113">
          <cell r="I113">
            <v>8171.0688174275092</v>
          </cell>
          <cell r="J113">
            <v>8036.1505801354651</v>
          </cell>
          <cell r="L113">
            <v>1275.9049676366142</v>
          </cell>
          <cell r="M113">
            <v>1261.0361594451479</v>
          </cell>
          <cell r="O113">
            <v>4081.4399999999991</v>
          </cell>
          <cell r="P113">
            <v>3207.9697327956992</v>
          </cell>
          <cell r="R113">
            <v>840</v>
          </cell>
          <cell r="S113">
            <v>660.21896451612906</v>
          </cell>
          <cell r="U113">
            <v>416.79730082204873</v>
          </cell>
          <cell r="V113">
            <v>1238.0733272809448</v>
          </cell>
          <cell r="X113">
            <v>3680.9676571747582</v>
          </cell>
          <cell r="Y113">
            <v>2747.5261367949315</v>
          </cell>
          <cell r="AA113">
            <v>0</v>
          </cell>
          <cell r="AB113">
            <v>0</v>
          </cell>
          <cell r="AD113">
            <v>11733.73689341848</v>
          </cell>
          <cell r="AE113">
            <v>11136.103903560708</v>
          </cell>
          <cell r="AJ113">
            <v>17862.802759636503</v>
          </cell>
          <cell r="AK113">
            <v>17750.738264236468</v>
          </cell>
          <cell r="AM113">
            <v>0</v>
          </cell>
          <cell r="AN113">
            <v>0</v>
          </cell>
          <cell r="AP113">
            <v>1894.0352857872997</v>
          </cell>
          <cell r="AQ113">
            <v>1722.6390853589799</v>
          </cell>
          <cell r="AS113">
            <v>39527.577772903023</v>
          </cell>
          <cell r="AT113">
            <v>111524.85009456711</v>
          </cell>
          <cell r="AV113">
            <v>631.64397880652859</v>
          </cell>
          <cell r="AW113">
            <v>0</v>
          </cell>
          <cell r="AY113">
            <v>845.07220410460593</v>
          </cell>
          <cell r="AZ113">
            <v>0</v>
          </cell>
          <cell r="BB113">
            <v>1035.1799582332012</v>
          </cell>
          <cell r="BC113">
            <v>0</v>
          </cell>
          <cell r="BE113">
            <v>372.18331362209648</v>
          </cell>
          <cell r="BF113">
            <v>0</v>
          </cell>
          <cell r="BH113">
            <v>211.31966959543126</v>
          </cell>
          <cell r="BI113">
            <v>0</v>
          </cell>
          <cell r="BK113">
            <v>520.07745196582243</v>
          </cell>
          <cell r="BL113">
            <v>3071</v>
          </cell>
          <cell r="BN113">
            <v>0</v>
          </cell>
          <cell r="BO113">
            <v>0</v>
          </cell>
          <cell r="BT113">
            <v>38856.045232377779</v>
          </cell>
          <cell r="BU113">
            <v>42397.652739061028</v>
          </cell>
          <cell r="BW113">
            <v>30137.462441355139</v>
          </cell>
          <cell r="BX113">
            <v>33415.363767688636</v>
          </cell>
          <cell r="BZ113">
            <v>3843.2357385567216</v>
          </cell>
          <cell r="CA113">
            <v>10018.206249252418</v>
          </cell>
          <cell r="CC113">
            <v>635.3262831572647</v>
          </cell>
          <cell r="CD113">
            <v>631.34073132769913</v>
          </cell>
          <cell r="CF113">
            <v>78.212515918981438</v>
          </cell>
          <cell r="CG113">
            <v>0</v>
          </cell>
          <cell r="CI113">
            <v>6326.5235098909388</v>
          </cell>
          <cell r="CJ113">
            <v>5299.7376697106947</v>
          </cell>
          <cell r="CL113">
            <v>4623.2287187664579</v>
          </cell>
          <cell r="CM113">
            <v>6254.5356770763156</v>
          </cell>
          <cell r="CX113">
            <v>12291.309034611331</v>
          </cell>
          <cell r="CY113">
            <v>-87036.651699370035</v>
          </cell>
        </row>
        <row r="114">
          <cell r="I114">
            <v>15735.050192330027</v>
          </cell>
          <cell r="J114">
            <v>15396.608087202429</v>
          </cell>
          <cell r="L114">
            <v>2399.1318870872569</v>
          </cell>
          <cell r="M114">
            <v>2371.1691050049308</v>
          </cell>
          <cell r="O114">
            <v>6215.2800000000025</v>
          </cell>
          <cell r="P114">
            <v>4885.3693435483874</v>
          </cell>
          <cell r="R114">
            <v>1388.2800000000004</v>
          </cell>
          <cell r="S114">
            <v>1091.0450075268818</v>
          </cell>
          <cell r="U114">
            <v>780.05784393801957</v>
          </cell>
          <cell r="V114">
            <v>2247.338738670951</v>
          </cell>
          <cell r="X114">
            <v>6814.6817298816268</v>
          </cell>
          <cell r="Y114">
            <v>7411.7623154242319</v>
          </cell>
          <cell r="AA114">
            <v>0</v>
          </cell>
          <cell r="AB114">
            <v>0</v>
          </cell>
          <cell r="AD114">
            <v>18189.814925403243</v>
          </cell>
          <cell r="AE114">
            <v>17263.355300684208</v>
          </cell>
          <cell r="AJ114">
            <v>36838.496087665488</v>
          </cell>
          <cell r="AK114">
            <v>36607.388527908763</v>
          </cell>
          <cell r="AM114">
            <v>0</v>
          </cell>
          <cell r="AN114">
            <v>656.63634968056431</v>
          </cell>
          <cell r="AP114">
            <v>3409.2635144171381</v>
          </cell>
          <cell r="AQ114">
            <v>3280.6414839104536</v>
          </cell>
          <cell r="AS114">
            <v>66711.215682327558</v>
          </cell>
          <cell r="AT114">
            <v>18429</v>
          </cell>
          <cell r="AV114">
            <v>1252.1014524376478</v>
          </cell>
          <cell r="AW114">
            <v>820.68830455751629</v>
          </cell>
          <cell r="AY114">
            <v>1592.0198949652577</v>
          </cell>
          <cell r="AZ114">
            <v>1160</v>
          </cell>
          <cell r="BB114">
            <v>1644.2861141645119</v>
          </cell>
          <cell r="BC114">
            <v>0</v>
          </cell>
          <cell r="BE114">
            <v>686.20535737135094</v>
          </cell>
          <cell r="BF114">
            <v>0</v>
          </cell>
          <cell r="BH114">
            <v>395.76741189229665</v>
          </cell>
          <cell r="BI114">
            <v>0</v>
          </cell>
          <cell r="BK114">
            <v>1038.4043343240171</v>
          </cell>
          <cell r="BL114">
            <v>1017.0996561008632</v>
          </cell>
          <cell r="BN114">
            <v>0</v>
          </cell>
          <cell r="BO114">
            <v>0</v>
          </cell>
          <cell r="BT114">
            <v>50485.364704968764</v>
          </cell>
          <cell r="BU114">
            <v>56092.519239330599</v>
          </cell>
          <cell r="BW114">
            <v>37812.464023558015</v>
          </cell>
          <cell r="BX114">
            <v>42141.767011441938</v>
          </cell>
          <cell r="BZ114">
            <v>8958.894120284247</v>
          </cell>
          <cell r="CA114">
            <v>13966.196110594341</v>
          </cell>
          <cell r="CC114">
            <v>823.57110779645416</v>
          </cell>
          <cell r="CD114">
            <v>818.40465172109134</v>
          </cell>
          <cell r="CF114">
            <v>101.38659470979071</v>
          </cell>
          <cell r="CG114">
            <v>1534.2977470705139</v>
          </cell>
          <cell r="CI114">
            <v>13064.832573680113</v>
          </cell>
          <cell r="CJ114">
            <v>7397.6218420113037</v>
          </cell>
          <cell r="CL114">
            <v>6476.2637113084756</v>
          </cell>
          <cell r="CM114">
            <v>9177.6783858404215</v>
          </cell>
          <cell r="CX114">
            <v>5094.2000825864961</v>
          </cell>
          <cell r="CY114">
            <v>51949.695350123526</v>
          </cell>
        </row>
        <row r="115"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X115">
            <v>0</v>
          </cell>
          <cell r="Y115">
            <v>0</v>
          </cell>
          <cell r="AA115">
            <v>0</v>
          </cell>
          <cell r="AB115">
            <v>0</v>
          </cell>
          <cell r="AD115">
            <v>0</v>
          </cell>
          <cell r="AE115">
            <v>0</v>
          </cell>
          <cell r="AJ115">
            <v>0</v>
          </cell>
          <cell r="AK115">
            <v>0</v>
          </cell>
          <cell r="AM115">
            <v>0</v>
          </cell>
          <cell r="AN115">
            <v>0</v>
          </cell>
          <cell r="AP115">
            <v>284.10529286809492</v>
          </cell>
          <cell r="AQ115">
            <v>0</v>
          </cell>
          <cell r="AS115">
            <v>1756.9026178315783</v>
          </cell>
          <cell r="AT115">
            <v>0</v>
          </cell>
          <cell r="AV115">
            <v>0</v>
          </cell>
          <cell r="AW115">
            <v>0</v>
          </cell>
          <cell r="AY115">
            <v>0</v>
          </cell>
          <cell r="AZ115">
            <v>0</v>
          </cell>
          <cell r="BB115">
            <v>0</v>
          </cell>
          <cell r="BC115">
            <v>0</v>
          </cell>
          <cell r="BE115">
            <v>0</v>
          </cell>
          <cell r="BF115">
            <v>0</v>
          </cell>
          <cell r="BH115">
            <v>0</v>
          </cell>
          <cell r="BI115">
            <v>0</v>
          </cell>
          <cell r="BK115">
            <v>0</v>
          </cell>
          <cell r="BL115">
            <v>0</v>
          </cell>
          <cell r="BN115">
            <v>0</v>
          </cell>
          <cell r="BO115">
            <v>0</v>
          </cell>
          <cell r="BT115">
            <v>191.41608603358</v>
          </cell>
          <cell r="BU115">
            <v>312.67884341026814</v>
          </cell>
          <cell r="BW115">
            <v>0</v>
          </cell>
          <cell r="BX115">
            <v>4.1990925095985867</v>
          </cell>
          <cell r="BZ115">
            <v>0</v>
          </cell>
          <cell r="CA115">
            <v>76.363609841148588</v>
          </cell>
          <cell r="CC115">
            <v>0</v>
          </cell>
          <cell r="CD115">
            <v>0</v>
          </cell>
          <cell r="CF115">
            <v>0</v>
          </cell>
          <cell r="CG115">
            <v>0</v>
          </cell>
          <cell r="CI115">
            <v>0</v>
          </cell>
          <cell r="CJ115">
            <v>0</v>
          </cell>
          <cell r="CL115">
            <v>0</v>
          </cell>
          <cell r="CM115">
            <v>0</v>
          </cell>
          <cell r="CX115">
            <v>66.811203920096318</v>
          </cell>
          <cell r="CY115">
            <v>2273.8301450867821</v>
          </cell>
        </row>
        <row r="116">
          <cell r="I116">
            <v>2098.2515492309844</v>
          </cell>
          <cell r="J116">
            <v>1967.9410193036654</v>
          </cell>
          <cell r="L116">
            <v>419.87835654060501</v>
          </cell>
          <cell r="M116">
            <v>417.19454710699176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X116">
            <v>674.42054614143751</v>
          </cell>
          <cell r="Y116">
            <v>2950.4815860106146</v>
          </cell>
          <cell r="AA116">
            <v>0</v>
          </cell>
          <cell r="AB116">
            <v>0</v>
          </cell>
          <cell r="AD116">
            <v>1597.0230776517035</v>
          </cell>
          <cell r="AE116">
            <v>1515.6820960498228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P116">
            <v>1515.2282286298394</v>
          </cell>
          <cell r="AQ116">
            <v>373.71650513920702</v>
          </cell>
          <cell r="AS116">
            <v>4756.3643936749895</v>
          </cell>
          <cell r="AT116">
            <v>0</v>
          </cell>
          <cell r="AV116">
            <v>391.70012268032747</v>
          </cell>
          <cell r="AW116">
            <v>0</v>
          </cell>
          <cell r="AY116">
            <v>541.42956001573725</v>
          </cell>
          <cell r="AZ116">
            <v>0</v>
          </cell>
          <cell r="BB116">
            <v>0</v>
          </cell>
          <cell r="BC116">
            <v>0</v>
          </cell>
          <cell r="BE116">
            <v>0</v>
          </cell>
          <cell r="BF116">
            <v>0</v>
          </cell>
          <cell r="BH116">
            <v>0</v>
          </cell>
          <cell r="BI116">
            <v>0</v>
          </cell>
          <cell r="BK116">
            <v>91.330284162915746</v>
          </cell>
          <cell r="BL116">
            <v>0</v>
          </cell>
          <cell r="BN116">
            <v>0</v>
          </cell>
          <cell r="BO116">
            <v>0</v>
          </cell>
          <cell r="BT116">
            <v>334.97815055876504</v>
          </cell>
          <cell r="BU116">
            <v>1073.4733904456175</v>
          </cell>
          <cell r="BW116">
            <v>350.30968849628329</v>
          </cell>
          <cell r="BX116">
            <v>1034.4341860712398</v>
          </cell>
          <cell r="BZ116">
            <v>275.49189285954191</v>
          </cell>
          <cell r="CA116">
            <v>239.23553124454909</v>
          </cell>
          <cell r="CC116">
            <v>304.4271773461893</v>
          </cell>
          <cell r="CD116">
            <v>302.51743376118912</v>
          </cell>
          <cell r="CF116">
            <v>37.476830544511934</v>
          </cell>
          <cell r="CG116">
            <v>0</v>
          </cell>
          <cell r="CI116">
            <v>18.717525177192137</v>
          </cell>
          <cell r="CJ116">
            <v>0</v>
          </cell>
          <cell r="CL116">
            <v>0</v>
          </cell>
          <cell r="CM116">
            <v>0</v>
          </cell>
          <cell r="CX116">
            <v>402.32713954677092</v>
          </cell>
          <cell r="CY116">
            <v>4641.148445840523</v>
          </cell>
        </row>
        <row r="117"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0</v>
          </cell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P117">
            <v>189.40352857872992</v>
          </cell>
          <cell r="AQ117">
            <v>93.429126284801754</v>
          </cell>
          <cell r="AS117">
            <v>2489.1927430636861</v>
          </cell>
          <cell r="AT117">
            <v>0</v>
          </cell>
          <cell r="AV117">
            <v>0</v>
          </cell>
          <cell r="AW117">
            <v>0</v>
          </cell>
          <cell r="AY117">
            <v>0</v>
          </cell>
          <cell r="AZ117">
            <v>0</v>
          </cell>
          <cell r="BB117">
            <v>0</v>
          </cell>
          <cell r="BC117">
            <v>0</v>
          </cell>
          <cell r="BE117">
            <v>0</v>
          </cell>
          <cell r="BF117">
            <v>0</v>
          </cell>
          <cell r="BH117">
            <v>0</v>
          </cell>
          <cell r="BI117">
            <v>0</v>
          </cell>
          <cell r="BK117">
            <v>0</v>
          </cell>
          <cell r="BL117">
            <v>0</v>
          </cell>
          <cell r="BN117">
            <v>0</v>
          </cell>
          <cell r="BO117">
            <v>0</v>
          </cell>
          <cell r="BT117">
            <v>95.70804301679</v>
          </cell>
          <cell r="BU117">
            <v>428.58019583913182</v>
          </cell>
          <cell r="BW117">
            <v>0</v>
          </cell>
          <cell r="BX117">
            <v>5.6079348466007257</v>
          </cell>
          <cell r="BZ117">
            <v>0</v>
          </cell>
          <cell r="CA117">
            <v>104.68072571825196</v>
          </cell>
          <cell r="CC117">
            <v>0</v>
          </cell>
          <cell r="CD117">
            <v>0</v>
          </cell>
          <cell r="CF117">
            <v>0</v>
          </cell>
          <cell r="CG117">
            <v>0</v>
          </cell>
          <cell r="CI117">
            <v>0</v>
          </cell>
          <cell r="CJ117">
            <v>0</v>
          </cell>
          <cell r="CL117">
            <v>0</v>
          </cell>
          <cell r="CM117">
            <v>0</v>
          </cell>
          <cell r="CX117">
            <v>50.034822408953687</v>
          </cell>
          <cell r="CY117">
            <v>2620.4424207734569</v>
          </cell>
        </row>
        <row r="118"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P118">
            <v>142.05264643404746</v>
          </cell>
          <cell r="AQ118">
            <v>70.071844713601308</v>
          </cell>
          <cell r="AS118">
            <v>2100.6726300617297</v>
          </cell>
          <cell r="AT118">
            <v>0</v>
          </cell>
          <cell r="AV118">
            <v>0</v>
          </cell>
          <cell r="AW118">
            <v>0</v>
          </cell>
          <cell r="AY118">
            <v>0</v>
          </cell>
          <cell r="AZ118">
            <v>0</v>
          </cell>
          <cell r="BB118">
            <v>0</v>
          </cell>
          <cell r="BC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K118">
            <v>0</v>
          </cell>
          <cell r="BL118">
            <v>0</v>
          </cell>
          <cell r="BN118">
            <v>0</v>
          </cell>
          <cell r="BO118">
            <v>0</v>
          </cell>
          <cell r="BT118">
            <v>191.41608603358</v>
          </cell>
          <cell r="BU118">
            <v>380.81110748312824</v>
          </cell>
          <cell r="BW118">
            <v>0</v>
          </cell>
          <cell r="BX118">
            <v>6.0807765473356925</v>
          </cell>
          <cell r="BZ118">
            <v>0</v>
          </cell>
          <cell r="CA118">
            <v>93.034941312481251</v>
          </cell>
          <cell r="CC118">
            <v>0</v>
          </cell>
          <cell r="CD118">
            <v>0</v>
          </cell>
          <cell r="CF118">
            <v>0</v>
          </cell>
          <cell r="CG118">
            <v>0</v>
          </cell>
          <cell r="CI118">
            <v>0</v>
          </cell>
          <cell r="CJ118">
            <v>0</v>
          </cell>
          <cell r="CL118">
            <v>0</v>
          </cell>
          <cell r="CM118">
            <v>0</v>
          </cell>
          <cell r="CX118">
            <v>73.030364964771707</v>
          </cell>
          <cell r="CY118">
            <v>2334.001595932144</v>
          </cell>
        </row>
        <row r="119"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P119">
            <v>284.10529286809492</v>
          </cell>
          <cell r="AQ119">
            <v>95.761445792828511</v>
          </cell>
          <cell r="AS119">
            <v>2268.1871834676772</v>
          </cell>
          <cell r="AT119">
            <v>0</v>
          </cell>
          <cell r="AV119">
            <v>0</v>
          </cell>
          <cell r="AW119">
            <v>0</v>
          </cell>
          <cell r="AY119">
            <v>0</v>
          </cell>
          <cell r="AZ119">
            <v>0</v>
          </cell>
          <cell r="BB119">
            <v>0</v>
          </cell>
          <cell r="BC119">
            <v>0</v>
          </cell>
          <cell r="BE119">
            <v>0</v>
          </cell>
          <cell r="BF119">
            <v>0</v>
          </cell>
          <cell r="BH119">
            <v>0</v>
          </cell>
          <cell r="BI119">
            <v>0</v>
          </cell>
          <cell r="BK119">
            <v>0</v>
          </cell>
          <cell r="BL119">
            <v>0</v>
          </cell>
          <cell r="BN119">
            <v>0</v>
          </cell>
          <cell r="BO119">
            <v>0</v>
          </cell>
          <cell r="BT119">
            <v>215.34309678777765</v>
          </cell>
          <cell r="BU119">
            <v>298.24657193290642</v>
          </cell>
          <cell r="BW119">
            <v>0</v>
          </cell>
          <cell r="BX119">
            <v>6.3131629122020243</v>
          </cell>
          <cell r="BZ119">
            <v>0</v>
          </cell>
          <cell r="CA119">
            <v>72.855235382796081</v>
          </cell>
          <cell r="CC119">
            <v>0</v>
          </cell>
          <cell r="CD119">
            <v>0</v>
          </cell>
          <cell r="CF119">
            <v>0</v>
          </cell>
          <cell r="CG119">
            <v>0</v>
          </cell>
          <cell r="CI119">
            <v>0</v>
          </cell>
          <cell r="CJ119">
            <v>0</v>
          </cell>
          <cell r="CL119">
            <v>0</v>
          </cell>
          <cell r="CM119">
            <v>0</v>
          </cell>
          <cell r="CX119">
            <v>79.517312251740123</v>
          </cell>
          <cell r="CY119">
            <v>2832.8683007751201</v>
          </cell>
        </row>
        <row r="120"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378.80705715745984</v>
          </cell>
          <cell r="AQ120">
            <v>163.50097099840306</v>
          </cell>
          <cell r="AS120">
            <v>2769.2541397028817</v>
          </cell>
          <cell r="AT120">
            <v>1625</v>
          </cell>
          <cell r="AV120">
            <v>0</v>
          </cell>
          <cell r="AW120">
            <v>0</v>
          </cell>
          <cell r="AY120">
            <v>0</v>
          </cell>
          <cell r="AZ120">
            <v>0</v>
          </cell>
          <cell r="BB120">
            <v>0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0</v>
          </cell>
          <cell r="BL120">
            <v>0</v>
          </cell>
          <cell r="BN120">
            <v>0</v>
          </cell>
          <cell r="BO120">
            <v>0</v>
          </cell>
          <cell r="BT120">
            <v>239.27010754197514</v>
          </cell>
          <cell r="BU120">
            <v>473.02693420786858</v>
          </cell>
          <cell r="BW120">
            <v>0</v>
          </cell>
          <cell r="BX120">
            <v>6.3373698252089348</v>
          </cell>
          <cell r="BZ120">
            <v>0</v>
          </cell>
          <cell r="CA120">
            <v>115.46521611706444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0</v>
          </cell>
          <cell r="CJ120">
            <v>0</v>
          </cell>
          <cell r="CL120">
            <v>0</v>
          </cell>
          <cell r="CM120">
            <v>0</v>
          </cell>
          <cell r="CX120">
            <v>101.72243471721913</v>
          </cell>
          <cell r="CY120">
            <v>1306.5234106217458</v>
          </cell>
        </row>
        <row r="121">
          <cell r="I121">
            <v>10982.475617066717</v>
          </cell>
          <cell r="J121">
            <v>10476.877576125282</v>
          </cell>
          <cell r="L121">
            <v>2233.424392517823</v>
          </cell>
          <cell r="M121">
            <v>2219.1574641039988</v>
          </cell>
          <cell r="O121">
            <v>4689.72</v>
          </cell>
          <cell r="P121">
            <v>4690.5600000000004</v>
          </cell>
          <cell r="R121">
            <v>0</v>
          </cell>
          <cell r="S121">
            <v>0</v>
          </cell>
          <cell r="U121">
            <v>709.3549077326212</v>
          </cell>
          <cell r="V121">
            <v>497.02670275770947</v>
          </cell>
          <cell r="X121">
            <v>6891.7559257197963</v>
          </cell>
          <cell r="Y121">
            <v>8630.2478110361299</v>
          </cell>
          <cell r="AA121">
            <v>0</v>
          </cell>
          <cell r="AB121">
            <v>0</v>
          </cell>
          <cell r="AD121">
            <v>13579.185783149342</v>
          </cell>
          <cell r="AE121">
            <v>12887.558770107171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9943.6852503833234</v>
          </cell>
          <cell r="AQ121">
            <v>9650.1315875322762</v>
          </cell>
          <cell r="AS121">
            <v>40434.331771757577</v>
          </cell>
          <cell r="AT121">
            <v>123843</v>
          </cell>
          <cell r="AV121">
            <v>1760.5062053184092</v>
          </cell>
          <cell r="AW121">
            <v>1941</v>
          </cell>
          <cell r="AY121">
            <v>2878.690972513285</v>
          </cell>
          <cell r="AZ121">
            <v>1800</v>
          </cell>
          <cell r="BB121">
            <v>1793.2732745772648</v>
          </cell>
          <cell r="BC121">
            <v>1545</v>
          </cell>
          <cell r="BE121">
            <v>0</v>
          </cell>
          <cell r="BF121">
            <v>0</v>
          </cell>
          <cell r="BH121">
            <v>719.6828414324732</v>
          </cell>
          <cell r="BI121">
            <v>0</v>
          </cell>
          <cell r="BK121">
            <v>1298.2546461686622</v>
          </cell>
          <cell r="BL121">
            <v>2640</v>
          </cell>
          <cell r="BN121">
            <v>0</v>
          </cell>
          <cell r="BO121">
            <v>0</v>
          </cell>
          <cell r="BT121">
            <v>35550.342431136814</v>
          </cell>
          <cell r="BU121">
            <v>43522.809735145966</v>
          </cell>
          <cell r="BW121">
            <v>17963.714887897851</v>
          </cell>
          <cell r="BX121">
            <v>19779.350867083325</v>
          </cell>
          <cell r="BZ121">
            <v>6280.0726205762439</v>
          </cell>
          <cell r="CA121">
            <v>7683.155613899019</v>
          </cell>
          <cell r="CC121">
            <v>1854.7997877730133</v>
          </cell>
          <cell r="CD121">
            <v>1843.1641906261439</v>
          </cell>
          <cell r="CF121">
            <v>228.33709508569299</v>
          </cell>
          <cell r="CG121">
            <v>0</v>
          </cell>
          <cell r="CI121">
            <v>7374.7049198136992</v>
          </cell>
          <cell r="CJ121">
            <v>1593.0821966567246</v>
          </cell>
          <cell r="CL121">
            <v>0</v>
          </cell>
          <cell r="CM121">
            <v>0</v>
          </cell>
          <cell r="CX121">
            <v>4037.2640032552699</v>
          </cell>
          <cell r="CY121">
            <v>-101653.70701808848</v>
          </cell>
        </row>
        <row r="122"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331.45617501277735</v>
          </cell>
          <cell r="AQ122">
            <v>116.78640785600219</v>
          </cell>
          <cell r="AS122">
            <v>2555.696423132089</v>
          </cell>
          <cell r="AT122">
            <v>0</v>
          </cell>
          <cell r="AV122">
            <v>0</v>
          </cell>
          <cell r="AW122">
            <v>0</v>
          </cell>
          <cell r="AY122">
            <v>0</v>
          </cell>
          <cell r="AZ122">
            <v>0</v>
          </cell>
          <cell r="BB122">
            <v>0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0</v>
          </cell>
          <cell r="BL122">
            <v>0</v>
          </cell>
          <cell r="BN122">
            <v>0</v>
          </cell>
          <cell r="BO122">
            <v>0</v>
          </cell>
          <cell r="BT122">
            <v>0</v>
          </cell>
          <cell r="BU122">
            <v>0</v>
          </cell>
          <cell r="BW122">
            <v>0</v>
          </cell>
          <cell r="BX122">
            <v>5.8709833012758104</v>
          </cell>
          <cell r="BZ122">
            <v>0</v>
          </cell>
          <cell r="CA122">
            <v>0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0</v>
          </cell>
          <cell r="CJ122">
            <v>0</v>
          </cell>
          <cell r="CL122">
            <v>0</v>
          </cell>
          <cell r="CM122">
            <v>0</v>
          </cell>
          <cell r="CX122">
            <v>86.576882226161388</v>
          </cell>
          <cell r="CY122">
            <v>3403.9711306112663</v>
          </cell>
        </row>
        <row r="123"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142.05264643404746</v>
          </cell>
          <cell r="AQ123">
            <v>70.071844713601308</v>
          </cell>
          <cell r="AS123">
            <v>1661.4004179781432</v>
          </cell>
          <cell r="AT123">
            <v>0</v>
          </cell>
          <cell r="AV123">
            <v>0</v>
          </cell>
          <cell r="AW123">
            <v>0</v>
          </cell>
          <cell r="AY123">
            <v>0</v>
          </cell>
          <cell r="AZ123">
            <v>0</v>
          </cell>
          <cell r="BB123">
            <v>0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0</v>
          </cell>
          <cell r="BL123">
            <v>0</v>
          </cell>
          <cell r="BN123">
            <v>0</v>
          </cell>
          <cell r="BO123">
            <v>0</v>
          </cell>
          <cell r="BT123">
            <v>0</v>
          </cell>
          <cell r="BU123">
            <v>0</v>
          </cell>
          <cell r="BW123">
            <v>0</v>
          </cell>
          <cell r="BX123">
            <v>3.556802417815252</v>
          </cell>
          <cell r="BZ123">
            <v>0</v>
          </cell>
          <cell r="CA123">
            <v>0</v>
          </cell>
          <cell r="CC123">
            <v>0</v>
          </cell>
          <cell r="CD123">
            <v>0</v>
          </cell>
          <cell r="CF123">
            <v>0</v>
          </cell>
          <cell r="CG123">
            <v>0</v>
          </cell>
          <cell r="CI123">
            <v>0</v>
          </cell>
          <cell r="CJ123">
            <v>0</v>
          </cell>
          <cell r="CL123">
            <v>0</v>
          </cell>
          <cell r="CM123">
            <v>0</v>
          </cell>
          <cell r="CX123">
            <v>43.376322705370967</v>
          </cell>
          <cell r="CY123">
            <v>2119.1656234423003</v>
          </cell>
        </row>
        <row r="124"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189.40352857872992</v>
          </cell>
          <cell r="AQ124">
            <v>70.071844713601308</v>
          </cell>
          <cell r="AS124">
            <v>1578.9652040362787</v>
          </cell>
          <cell r="AT124">
            <v>0</v>
          </cell>
          <cell r="AV124">
            <v>0</v>
          </cell>
          <cell r="AW124">
            <v>0</v>
          </cell>
          <cell r="AY124">
            <v>0</v>
          </cell>
          <cell r="AZ124">
            <v>0</v>
          </cell>
          <cell r="BB124">
            <v>0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0</v>
          </cell>
          <cell r="BL124">
            <v>0</v>
          </cell>
          <cell r="BN124">
            <v>0</v>
          </cell>
          <cell r="BO124">
            <v>0</v>
          </cell>
          <cell r="BT124">
            <v>0</v>
          </cell>
          <cell r="BU124">
            <v>0</v>
          </cell>
          <cell r="BW124">
            <v>0</v>
          </cell>
          <cell r="BX124">
            <v>3.2340435777231242</v>
          </cell>
          <cell r="BZ124">
            <v>0</v>
          </cell>
          <cell r="CA124">
            <v>0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0</v>
          </cell>
          <cell r="CJ124">
            <v>0</v>
          </cell>
          <cell r="CL124">
            <v>0</v>
          </cell>
          <cell r="CM124">
            <v>0</v>
          </cell>
          <cell r="CX124">
            <v>53.077520861989797</v>
          </cell>
          <cell r="CY124">
            <v>2087.1529340504107</v>
          </cell>
        </row>
        <row r="125">
          <cell r="I125">
            <v>11353.036026245261</v>
          </cell>
          <cell r="J125">
            <v>10840.108337103524</v>
          </cell>
          <cell r="L125">
            <v>2282.542486220415</v>
          </cell>
          <cell r="M125">
            <v>2267.96246397698</v>
          </cell>
          <cell r="O125">
            <v>4487.28</v>
          </cell>
          <cell r="P125">
            <v>4485.72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>
            <v>7531.682432024063</v>
          </cell>
          <cell r="Y125">
            <v>9163.6694002846798</v>
          </cell>
          <cell r="AA125">
            <v>0</v>
          </cell>
          <cell r="AB125">
            <v>0</v>
          </cell>
          <cell r="AD125">
            <v>14452.524373806262</v>
          </cell>
          <cell r="AE125">
            <v>12852.456627855952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9659.5799575152269</v>
          </cell>
          <cell r="AQ125">
            <v>9224.0405904503896</v>
          </cell>
          <cell r="AS125">
            <v>42163.677303373763</v>
          </cell>
          <cell r="AT125">
            <v>3583.4634949458409</v>
          </cell>
          <cell r="AV125">
            <v>1864.1579130546477</v>
          </cell>
          <cell r="AW125">
            <v>0</v>
          </cell>
          <cell r="AY125">
            <v>2941.9120062973689</v>
          </cell>
          <cell r="AZ125">
            <v>0</v>
          </cell>
          <cell r="BB125">
            <v>1793.8057321216502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1558.9163486434293</v>
          </cell>
          <cell r="BL125">
            <v>4954</v>
          </cell>
          <cell r="BN125">
            <v>0</v>
          </cell>
          <cell r="BO125">
            <v>0</v>
          </cell>
          <cell r="BT125">
            <v>24560.853931344562</v>
          </cell>
          <cell r="BU125">
            <v>31798.346152798389</v>
          </cell>
          <cell r="BW125">
            <v>17254.512423016404</v>
          </cell>
          <cell r="BX125">
            <v>20364.493649313816</v>
          </cell>
          <cell r="BZ125">
            <v>5217.4610338322927</v>
          </cell>
          <cell r="CA125">
            <v>7586.1577078601522</v>
          </cell>
          <cell r="CC125">
            <v>1710.3807113701362</v>
          </cell>
          <cell r="CD125">
            <v>1699.6510891993378</v>
          </cell>
          <cell r="CF125">
            <v>210.55823151336895</v>
          </cell>
          <cell r="CG125">
            <v>2191.8539243864484</v>
          </cell>
          <cell r="CI125">
            <v>4024.2679130963093</v>
          </cell>
          <cell r="CJ125">
            <v>1663.9597713797898</v>
          </cell>
          <cell r="CL125">
            <v>0</v>
          </cell>
          <cell r="CM125">
            <v>0</v>
          </cell>
          <cell r="CX125">
            <v>-6515.498588170165</v>
          </cell>
          <cell r="CY125">
            <v>29954.020148533666</v>
          </cell>
        </row>
        <row r="126">
          <cell r="I126">
            <v>25398.523408070356</v>
          </cell>
          <cell r="J126">
            <v>21035.409946888096</v>
          </cell>
          <cell r="L126">
            <v>3919.7986826104238</v>
          </cell>
          <cell r="M126">
            <v>3681.7205184981094</v>
          </cell>
          <cell r="O126">
            <v>10745.64</v>
          </cell>
          <cell r="P126">
            <v>10745.400000000001</v>
          </cell>
          <cell r="R126">
            <v>2201.7599999999998</v>
          </cell>
          <cell r="S126">
            <v>2204.52</v>
          </cell>
          <cell r="U126">
            <v>1250.1001677005297</v>
          </cell>
          <cell r="V126">
            <v>539.37529219608768</v>
          </cell>
          <cell r="X126">
            <v>10664.027072401996</v>
          </cell>
          <cell r="Y126">
            <v>11436.98729326867</v>
          </cell>
          <cell r="AA126">
            <v>0</v>
          </cell>
          <cell r="AB126">
            <v>0</v>
          </cell>
          <cell r="AD126">
            <v>30407.319398488427</v>
          </cell>
          <cell r="AE126">
            <v>28858.58710878863</v>
          </cell>
          <cell r="AJ126">
            <v>63957.783530465524</v>
          </cell>
          <cell r="AK126">
            <v>56606.670742687951</v>
          </cell>
          <cell r="AM126">
            <v>0</v>
          </cell>
          <cell r="AN126">
            <v>1436.0023499207009</v>
          </cell>
          <cell r="AP126">
            <v>5682.1058573619002</v>
          </cell>
          <cell r="AQ126">
            <v>5514.312972506913</v>
          </cell>
          <cell r="AS126">
            <v>104706.94423218329</v>
          </cell>
          <cell r="AT126">
            <v>195946.77636303016</v>
          </cell>
          <cell r="AV126">
            <v>1970.7759348256152</v>
          </cell>
          <cell r="AW126">
            <v>0</v>
          </cell>
          <cell r="AY126">
            <v>2353.0803165712614</v>
          </cell>
          <cell r="AZ126">
            <v>0</v>
          </cell>
          <cell r="BB126">
            <v>2232.0196605652586</v>
          </cell>
          <cell r="BC126">
            <v>0</v>
          </cell>
          <cell r="BE126">
            <v>1136.8640410315986</v>
          </cell>
          <cell r="BF126">
            <v>0</v>
          </cell>
          <cell r="BH126">
            <v>634.10414095325257</v>
          </cell>
          <cell r="BI126">
            <v>5465.3785898137121</v>
          </cell>
          <cell r="BK126">
            <v>1320.4697977905525</v>
          </cell>
          <cell r="BL126">
            <v>8049.6071585080781</v>
          </cell>
          <cell r="BN126">
            <v>478.61464761695726</v>
          </cell>
          <cell r="BO126">
            <v>0</v>
          </cell>
          <cell r="BT126">
            <v>101256.94300685693</v>
          </cell>
          <cell r="BU126">
            <v>97434.082665877097</v>
          </cell>
          <cell r="BW126">
            <v>75201.515584307796</v>
          </cell>
          <cell r="BX126">
            <v>75395.043655396861</v>
          </cell>
          <cell r="BZ126">
            <v>18177.466331011517</v>
          </cell>
          <cell r="CA126">
            <v>29994.006239984701</v>
          </cell>
          <cell r="CC126">
            <v>1780.0901229943354</v>
          </cell>
          <cell r="CD126">
            <v>1768.9231972200159</v>
          </cell>
          <cell r="CF126">
            <v>219.13988256559048</v>
          </cell>
          <cell r="CG126">
            <v>0</v>
          </cell>
          <cell r="CI126">
            <v>17950.106644927258</v>
          </cell>
          <cell r="CJ126">
            <v>16038.90194725549</v>
          </cell>
          <cell r="CL126">
            <v>16171.941753093999</v>
          </cell>
          <cell r="CM126">
            <v>16589.206016752636</v>
          </cell>
          <cell r="CX126">
            <v>14813.588942726841</v>
          </cell>
          <cell r="CY126">
            <v>-91894.94447031265</v>
          </cell>
        </row>
        <row r="127">
          <cell r="I127">
            <v>28660.40590242024</v>
          </cell>
          <cell r="J127">
            <v>23875.75256172584</v>
          </cell>
          <cell r="L127">
            <v>4317.4273632296909</v>
          </cell>
          <cell r="M127">
            <v>4086.8735105356936</v>
          </cell>
          <cell r="O127">
            <v>14726.519999999997</v>
          </cell>
          <cell r="P127">
            <v>14727.360000000002</v>
          </cell>
          <cell r="R127">
            <v>3006.84</v>
          </cell>
          <cell r="S127">
            <v>3009.84</v>
          </cell>
          <cell r="U127">
            <v>1250.1001677005297</v>
          </cell>
          <cell r="V127">
            <v>497.22741413641404</v>
          </cell>
          <cell r="X127">
            <v>11112.361130506943</v>
          </cell>
          <cell r="Y127">
            <v>8288.6702932494645</v>
          </cell>
          <cell r="AA127">
            <v>0</v>
          </cell>
          <cell r="AB127">
            <v>0</v>
          </cell>
          <cell r="AD127">
            <v>40488.276371062231</v>
          </cell>
          <cell r="AE127">
            <v>38426.09192959941</v>
          </cell>
          <cell r="AJ127">
            <v>47364.964854101512</v>
          </cell>
          <cell r="AK127">
            <v>47067.826327878451</v>
          </cell>
          <cell r="AM127">
            <v>0</v>
          </cell>
          <cell r="AN127">
            <v>1567.0643663385219</v>
          </cell>
          <cell r="AP127">
            <v>5918.860268085311</v>
          </cell>
          <cell r="AQ127">
            <v>5701.7701348787286</v>
          </cell>
          <cell r="AS127">
            <v>130382.60750647326</v>
          </cell>
          <cell r="AT127">
            <v>249162.94506773833</v>
          </cell>
          <cell r="AV127">
            <v>2216.8447038712529</v>
          </cell>
          <cell r="AW127">
            <v>631</v>
          </cell>
          <cell r="AY127">
            <v>2851.1469503383723</v>
          </cell>
          <cell r="AZ127">
            <v>0</v>
          </cell>
          <cell r="BB127">
            <v>3935.2562316470835</v>
          </cell>
          <cell r="BC127">
            <v>0</v>
          </cell>
          <cell r="BE127">
            <v>1430.9247220667485</v>
          </cell>
          <cell r="BF127">
            <v>0</v>
          </cell>
          <cell r="BH127">
            <v>634.10414095325257</v>
          </cell>
          <cell r="BI127">
            <v>294.13123099999996</v>
          </cell>
          <cell r="BK127">
            <v>1341.8675289495609</v>
          </cell>
          <cell r="BL127">
            <v>3556</v>
          </cell>
          <cell r="BN127">
            <v>490.6162845955235</v>
          </cell>
          <cell r="BO127">
            <v>0</v>
          </cell>
          <cell r="BT127">
            <v>105524.68926907009</v>
          </cell>
          <cell r="BU127">
            <v>117572.59853951343</v>
          </cell>
          <cell r="BW127">
            <v>79430.418694440741</v>
          </cell>
          <cell r="BX127">
            <v>86485.13218325231</v>
          </cell>
          <cell r="BZ127">
            <v>25967.809044302161</v>
          </cell>
          <cell r="CA127">
            <v>28902.767339420541</v>
          </cell>
          <cell r="CC127">
            <v>1284.7709281624684</v>
          </cell>
          <cell r="CD127">
            <v>1276.7112566849025</v>
          </cell>
          <cell r="CF127">
            <v>158.16308774727358</v>
          </cell>
          <cell r="CG127">
            <v>0</v>
          </cell>
          <cell r="CI127">
            <v>19634.683910874552</v>
          </cell>
          <cell r="CJ127">
            <v>11900.0469643751</v>
          </cell>
          <cell r="CL127">
            <v>19821.859162646473</v>
          </cell>
          <cell r="CM127">
            <v>22723.990145892654</v>
          </cell>
          <cell r="CX127">
            <v>492.69813210566645</v>
          </cell>
          <cell r="CY127">
            <v>-140870.0391194637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378.80705715745984</v>
          </cell>
          <cell r="AQ128">
            <v>331.90160886601905</v>
          </cell>
          <cell r="AS128">
            <v>3415.5464534845237</v>
          </cell>
          <cell r="AT128">
            <v>0</v>
          </cell>
          <cell r="AV128">
            <v>0</v>
          </cell>
          <cell r="AW128">
            <v>0</v>
          </cell>
          <cell r="AY128">
            <v>0</v>
          </cell>
          <cell r="AZ128">
            <v>0</v>
          </cell>
          <cell r="BB128">
            <v>0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0</v>
          </cell>
          <cell r="BL128">
            <v>0</v>
          </cell>
          <cell r="BN128">
            <v>0</v>
          </cell>
          <cell r="BO128">
            <v>0</v>
          </cell>
          <cell r="BT128">
            <v>191.41608603358</v>
          </cell>
          <cell r="BU128">
            <v>692.11135080076951</v>
          </cell>
          <cell r="BW128">
            <v>0</v>
          </cell>
          <cell r="BX128">
            <v>7.7817156346212073</v>
          </cell>
          <cell r="BZ128">
            <v>0</v>
          </cell>
          <cell r="CA128">
            <v>169.07565355614719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0</v>
          </cell>
          <cell r="CJ128">
            <v>0</v>
          </cell>
          <cell r="CL128">
            <v>0</v>
          </cell>
          <cell r="CM128">
            <v>0</v>
          </cell>
          <cell r="CX128">
            <v>67.896483989322917</v>
          </cell>
          <cell r="CY128">
            <v>3409.7756053709322</v>
          </cell>
        </row>
        <row r="129"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D129">
            <v>0</v>
          </cell>
          <cell r="AE129">
            <v>0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378.80705715745984</v>
          </cell>
          <cell r="AQ129">
            <v>378.61617200841994</v>
          </cell>
          <cell r="AS129">
            <v>2290.0588304553385</v>
          </cell>
          <cell r="AT129">
            <v>0</v>
          </cell>
          <cell r="AV129">
            <v>0</v>
          </cell>
          <cell r="AW129">
            <v>0</v>
          </cell>
          <cell r="AY129">
            <v>0</v>
          </cell>
          <cell r="AZ129">
            <v>0</v>
          </cell>
          <cell r="BB129">
            <v>0</v>
          </cell>
          <cell r="BC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K129">
            <v>0</v>
          </cell>
          <cell r="BL129">
            <v>0</v>
          </cell>
          <cell r="BN129">
            <v>0</v>
          </cell>
          <cell r="BO129">
            <v>0</v>
          </cell>
          <cell r="BT129">
            <v>95.70804301679</v>
          </cell>
          <cell r="BU129">
            <v>296.61152841719172</v>
          </cell>
          <cell r="BW129">
            <v>0</v>
          </cell>
          <cell r="BX129">
            <v>6.0969144893402998</v>
          </cell>
          <cell r="BZ129">
            <v>0</v>
          </cell>
          <cell r="CA129">
            <v>72.453983526061791</v>
          </cell>
          <cell r="CC129">
            <v>0</v>
          </cell>
          <cell r="CD129">
            <v>0</v>
          </cell>
          <cell r="CF129">
            <v>0</v>
          </cell>
          <cell r="CG129">
            <v>0</v>
          </cell>
          <cell r="CI129">
            <v>0</v>
          </cell>
          <cell r="CJ129">
            <v>0</v>
          </cell>
          <cell r="CL129">
            <v>0</v>
          </cell>
          <cell r="CM129">
            <v>0</v>
          </cell>
          <cell r="CX129">
            <v>82.711283244493643</v>
          </cell>
          <cell r="CY129">
            <v>2495.6656818707838</v>
          </cell>
        </row>
        <row r="130"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378.80705715745984</v>
          </cell>
          <cell r="AQ130">
            <v>70.071844713601308</v>
          </cell>
          <cell r="AS130">
            <v>1854.3944442377779</v>
          </cell>
          <cell r="AT130">
            <v>0</v>
          </cell>
          <cell r="AV130">
            <v>0</v>
          </cell>
          <cell r="AW130">
            <v>0</v>
          </cell>
          <cell r="AY130">
            <v>0</v>
          </cell>
          <cell r="AZ130">
            <v>0</v>
          </cell>
          <cell r="BB130">
            <v>0</v>
          </cell>
          <cell r="BC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K130">
            <v>0</v>
          </cell>
          <cell r="BL130">
            <v>0</v>
          </cell>
          <cell r="BN130">
            <v>0</v>
          </cell>
          <cell r="BO130">
            <v>0</v>
          </cell>
          <cell r="BT130">
            <v>0</v>
          </cell>
          <cell r="BU130">
            <v>0</v>
          </cell>
          <cell r="BW130">
            <v>0</v>
          </cell>
          <cell r="BX130">
            <v>4.58640311770914</v>
          </cell>
          <cell r="BZ130">
            <v>0</v>
          </cell>
          <cell r="CA130">
            <v>0</v>
          </cell>
          <cell r="CC130">
            <v>0</v>
          </cell>
          <cell r="CD130">
            <v>0</v>
          </cell>
          <cell r="CF130">
            <v>0</v>
          </cell>
          <cell r="CG130">
            <v>0</v>
          </cell>
          <cell r="CI130">
            <v>0</v>
          </cell>
          <cell r="CJ130">
            <v>0</v>
          </cell>
          <cell r="CL130">
            <v>0</v>
          </cell>
          <cell r="CM130">
            <v>0</v>
          </cell>
          <cell r="CX130">
            <v>-1.801674285388799E-3</v>
          </cell>
          <cell r="CY130">
            <v>2590.2501026024274</v>
          </cell>
        </row>
        <row r="131">
          <cell r="I131">
            <v>8580.206845254168</v>
          </cell>
          <cell r="J131">
            <v>8311.6451461105607</v>
          </cell>
          <cell r="L131">
            <v>1388.9396354871324</v>
          </cell>
          <cell r="M131">
            <v>1380.0642735167155</v>
          </cell>
          <cell r="O131">
            <v>4920.3599999999979</v>
          </cell>
          <cell r="P131">
            <v>4921.32</v>
          </cell>
          <cell r="R131">
            <v>1167.8399999999997</v>
          </cell>
          <cell r="S131">
            <v>1167.3599999999999</v>
          </cell>
          <cell r="U131">
            <v>390.17454427986803</v>
          </cell>
          <cell r="V131">
            <v>273.38541323495366</v>
          </cell>
          <cell r="X131">
            <v>3925.5419960890154</v>
          </cell>
          <cell r="Y131">
            <v>7419.6449675330459</v>
          </cell>
          <cell r="AA131">
            <v>0</v>
          </cell>
          <cell r="AB131">
            <v>0</v>
          </cell>
          <cell r="AD131">
            <v>16312.297299173357</v>
          </cell>
          <cell r="AE131">
            <v>15481.465050682933</v>
          </cell>
          <cell r="AJ131">
            <v>14978.432129831192</v>
          </cell>
          <cell r="AK131">
            <v>14884.457914328075</v>
          </cell>
          <cell r="AM131">
            <v>0</v>
          </cell>
          <cell r="AN131">
            <v>0</v>
          </cell>
          <cell r="AP131">
            <v>2130.7896965107125</v>
          </cell>
          <cell r="AQ131">
            <v>2015.2418649468473</v>
          </cell>
          <cell r="AS131">
            <v>50982.768966203039</v>
          </cell>
          <cell r="AT131">
            <v>60836</v>
          </cell>
          <cell r="AV131">
            <v>749.97295389459441</v>
          </cell>
          <cell r="AW131">
            <v>368</v>
          </cell>
          <cell r="AY131">
            <v>918.14046628767017</v>
          </cell>
          <cell r="AZ131">
            <v>0</v>
          </cell>
          <cell r="BB131">
            <v>2015.3764471703334</v>
          </cell>
          <cell r="BC131">
            <v>0</v>
          </cell>
          <cell r="BE131">
            <v>669.55845203206354</v>
          </cell>
          <cell r="BF131">
            <v>0</v>
          </cell>
          <cell r="BH131">
            <v>197.88370594614832</v>
          </cell>
          <cell r="BI131">
            <v>0</v>
          </cell>
          <cell r="BK131">
            <v>260.28476034010987</v>
          </cell>
          <cell r="BL131">
            <v>0</v>
          </cell>
          <cell r="BN131">
            <v>0</v>
          </cell>
          <cell r="BO131">
            <v>0</v>
          </cell>
          <cell r="BT131">
            <v>26883.916727443706</v>
          </cell>
          <cell r="BU131">
            <v>29813.756679413844</v>
          </cell>
          <cell r="BW131">
            <v>29857.111602395282</v>
          </cell>
          <cell r="BX131">
            <v>31520.949785704386</v>
          </cell>
          <cell r="BZ131">
            <v>2944.107587879641</v>
          </cell>
          <cell r="CA131">
            <v>5674.5923825155687</v>
          </cell>
          <cell r="CC131">
            <v>1348.5976890166935</v>
          </cell>
          <cell r="CD131">
            <v>1340.137617193287</v>
          </cell>
          <cell r="CF131">
            <v>166.02054883728238</v>
          </cell>
          <cell r="CG131">
            <v>0</v>
          </cell>
          <cell r="CI131">
            <v>3518.8947333121209</v>
          </cell>
          <cell r="CJ131">
            <v>2623.0451962697803</v>
          </cell>
          <cell r="CL131">
            <v>3406.5895822489674</v>
          </cell>
          <cell r="CM131">
            <v>3244.1985946054906</v>
          </cell>
          <cell r="CX131">
            <v>3472.6123564402806</v>
          </cell>
          <cell r="CY131">
            <v>-12801.137863266598</v>
          </cell>
        </row>
        <row r="132"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D132">
            <v>0</v>
          </cell>
          <cell r="AE132">
            <v>0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284.10529286809492</v>
          </cell>
          <cell r="AQ132">
            <v>236.39769578157291</v>
          </cell>
          <cell r="AS132">
            <v>2179.095682066808</v>
          </cell>
          <cell r="AT132">
            <v>0</v>
          </cell>
          <cell r="AV132">
            <v>0</v>
          </cell>
          <cell r="AW132">
            <v>0</v>
          </cell>
          <cell r="AY132">
            <v>0</v>
          </cell>
          <cell r="AZ132">
            <v>0</v>
          </cell>
          <cell r="BB132">
            <v>0</v>
          </cell>
          <cell r="BC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N132">
            <v>0</v>
          </cell>
          <cell r="BO132">
            <v>0</v>
          </cell>
          <cell r="BT132">
            <v>0</v>
          </cell>
          <cell r="BU132">
            <v>0</v>
          </cell>
          <cell r="BW132">
            <v>0</v>
          </cell>
          <cell r="BX132">
            <v>6.9360874735798319</v>
          </cell>
          <cell r="BZ132">
            <v>0</v>
          </cell>
          <cell r="CA132">
            <v>0</v>
          </cell>
          <cell r="CC132">
            <v>0</v>
          </cell>
          <cell r="CD132">
            <v>0</v>
          </cell>
          <cell r="CF132">
            <v>0</v>
          </cell>
          <cell r="CG132">
            <v>0</v>
          </cell>
          <cell r="CI132">
            <v>0</v>
          </cell>
          <cell r="CJ132">
            <v>0</v>
          </cell>
          <cell r="CL132">
            <v>0</v>
          </cell>
          <cell r="CM132">
            <v>0</v>
          </cell>
          <cell r="CX132">
            <v>58.918830078116684</v>
          </cell>
          <cell r="CY132">
            <v>2722.7594600938169</v>
          </cell>
        </row>
        <row r="133"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168.60000000000002</v>
          </cell>
          <cell r="P133">
            <v>168.47999999999993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71.02632321702373</v>
          </cell>
          <cell r="AQ133">
            <v>46.39220271760361</v>
          </cell>
          <cell r="AS133">
            <v>2256.2843608271974</v>
          </cell>
          <cell r="AT133">
            <v>12096</v>
          </cell>
          <cell r="AV133">
            <v>0</v>
          </cell>
          <cell r="AW133">
            <v>0</v>
          </cell>
          <cell r="AY133">
            <v>0</v>
          </cell>
          <cell r="AZ133">
            <v>0</v>
          </cell>
          <cell r="BB133">
            <v>65.048332709546671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2050</v>
          </cell>
          <cell r="BN133">
            <v>0</v>
          </cell>
          <cell r="BO133">
            <v>0</v>
          </cell>
          <cell r="BT133">
            <v>0</v>
          </cell>
          <cell r="BU133">
            <v>308.5046527442135</v>
          </cell>
          <cell r="BW133">
            <v>0</v>
          </cell>
          <cell r="BX133">
            <v>5.8541998415910204</v>
          </cell>
          <cell r="BZ133">
            <v>0</v>
          </cell>
          <cell r="CA133">
            <v>0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0</v>
          </cell>
          <cell r="CJ133">
            <v>0</v>
          </cell>
          <cell r="CL133">
            <v>0</v>
          </cell>
          <cell r="CM133">
            <v>0</v>
          </cell>
          <cell r="CX133">
            <v>287.929179895478</v>
          </cell>
          <cell r="CY133">
            <v>-14249.197266364092</v>
          </cell>
        </row>
        <row r="134">
          <cell r="I134">
            <v>5190.8150717912986</v>
          </cell>
          <cell r="J134">
            <v>5067.3641091823984</v>
          </cell>
          <cell r="L134">
            <v>911.35887063452685</v>
          </cell>
          <cell r="M134">
            <v>941.71003169037135</v>
          </cell>
          <cell r="O134">
            <v>2134.4399999999996</v>
          </cell>
          <cell r="P134">
            <v>1677.7957225806451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X134">
            <v>3006.6029525217377</v>
          </cell>
          <cell r="Y134">
            <v>2247.5702634159366</v>
          </cell>
          <cell r="AA134">
            <v>0</v>
          </cell>
          <cell r="AB134">
            <v>0</v>
          </cell>
          <cell r="AD134">
            <v>6352.175325727897</v>
          </cell>
          <cell r="AE134">
            <v>6026.6117291662431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4403.6320394554705</v>
          </cell>
          <cell r="AQ134">
            <v>4263.9250572902247</v>
          </cell>
          <cell r="AS134">
            <v>14625.516023077909</v>
          </cell>
          <cell r="AT134">
            <v>27287.809222428354</v>
          </cell>
          <cell r="AV134">
            <v>860.44005602076561</v>
          </cell>
          <cell r="AW134">
            <v>400</v>
          </cell>
          <cell r="AY134">
            <v>1174.5740094673354</v>
          </cell>
          <cell r="AZ134">
            <v>0</v>
          </cell>
          <cell r="BB134">
            <v>1174.9843043850026</v>
          </cell>
          <cell r="BC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K134">
            <v>349.45267117081045</v>
          </cell>
          <cell r="BL134">
            <v>264</v>
          </cell>
          <cell r="BN134">
            <v>0</v>
          </cell>
          <cell r="BO134">
            <v>0</v>
          </cell>
          <cell r="BT134">
            <v>27139.341356346264</v>
          </cell>
          <cell r="BU134">
            <v>38851.196525434658</v>
          </cell>
          <cell r="BW134">
            <v>9544.1228567327325</v>
          </cell>
          <cell r="BX134">
            <v>12074.275296921984</v>
          </cell>
          <cell r="BZ134">
            <v>6917.1397128507861</v>
          </cell>
          <cell r="CA134">
            <v>9886.837666596859</v>
          </cell>
          <cell r="CC134">
            <v>591.20640238245448</v>
          </cell>
          <cell r="CD134">
            <v>587.49762498549762</v>
          </cell>
          <cell r="CF134">
            <v>72.781091202385497</v>
          </cell>
          <cell r="CG134">
            <v>1129.7586742620404</v>
          </cell>
          <cell r="CI134">
            <v>1628.424690415716</v>
          </cell>
          <cell r="CJ134">
            <v>1316.3470818092267</v>
          </cell>
          <cell r="CL134">
            <v>0</v>
          </cell>
          <cell r="CM134">
            <v>0</v>
          </cell>
          <cell r="CX134">
            <v>1624.3110789802831</v>
          </cell>
          <cell r="CY134">
            <v>-29510.518806917338</v>
          </cell>
        </row>
        <row r="135">
          <cell r="I135">
            <v>11410.201987019738</v>
          </cell>
          <cell r="J135">
            <v>9551.6313533592493</v>
          </cell>
          <cell r="L135">
            <v>1947.8870454502103</v>
          </cell>
          <cell r="M135">
            <v>1829.5638297828045</v>
          </cell>
          <cell r="O135">
            <v>5949.6000000000013</v>
          </cell>
          <cell r="P135">
            <v>4676.3225064516128</v>
          </cell>
          <cell r="R135">
            <v>1194.24</v>
          </cell>
          <cell r="S135">
            <v>938.79859838709672</v>
          </cell>
          <cell r="U135">
            <v>780.05784393801957</v>
          </cell>
          <cell r="V135">
            <v>353.3493791768048</v>
          </cell>
          <cell r="X135">
            <v>8955.8746860324536</v>
          </cell>
          <cell r="Y135">
            <v>7504.4906836135506</v>
          </cell>
          <cell r="AA135">
            <v>0</v>
          </cell>
          <cell r="AB135">
            <v>0</v>
          </cell>
          <cell r="AD135">
            <v>17206.801255919636</v>
          </cell>
          <cell r="AE135">
            <v>16330.409346515924</v>
          </cell>
          <cell r="AJ135">
            <v>41478.570579091407</v>
          </cell>
          <cell r="AK135">
            <v>41046.85657118509</v>
          </cell>
          <cell r="AM135">
            <v>0</v>
          </cell>
          <cell r="AN135">
            <v>0</v>
          </cell>
          <cell r="AP135">
            <v>3314.5617501277752</v>
          </cell>
          <cell r="AQ135">
            <v>5025.4397838421792</v>
          </cell>
          <cell r="AS135">
            <v>74458.814502803594</v>
          </cell>
          <cell r="AT135">
            <v>178387.76147512408</v>
          </cell>
          <cell r="AV135">
            <v>968.61593634290193</v>
          </cell>
          <cell r="AW135">
            <v>610</v>
          </cell>
          <cell r="AY135">
            <v>1301.1151289848876</v>
          </cell>
          <cell r="AZ135">
            <v>0</v>
          </cell>
          <cell r="BB135">
            <v>1470.8501088812288</v>
          </cell>
          <cell r="BC135">
            <v>426.6062064460242</v>
          </cell>
          <cell r="BE135">
            <v>597.02457128481444</v>
          </cell>
          <cell r="BF135">
            <v>0</v>
          </cell>
          <cell r="BH135">
            <v>395.76741189229665</v>
          </cell>
          <cell r="BI135">
            <v>0</v>
          </cell>
          <cell r="BK135">
            <v>863.94389620380832</v>
          </cell>
          <cell r="BL135">
            <v>4929.2974655791331</v>
          </cell>
          <cell r="BN135">
            <v>394.89345310091193</v>
          </cell>
          <cell r="BO135">
            <v>0</v>
          </cell>
          <cell r="BT135">
            <v>49252.348196609637</v>
          </cell>
          <cell r="BU135">
            <v>50154.9236951411</v>
          </cell>
          <cell r="BW135">
            <v>48639.982380881156</v>
          </cell>
          <cell r="BX135">
            <v>51587.237997876866</v>
          </cell>
          <cell r="BZ135">
            <v>6491.9522610755403</v>
          </cell>
          <cell r="CA135">
            <v>14129.888752971696</v>
          </cell>
          <cell r="CC135">
            <v>1127.410020065646</v>
          </cell>
          <cell r="CD135">
            <v>1120.3375107310512</v>
          </cell>
          <cell r="CF135">
            <v>138.79100625808135</v>
          </cell>
          <cell r="CG135">
            <v>0</v>
          </cell>
          <cell r="CI135">
            <v>6363.9585602453253</v>
          </cell>
          <cell r="CJ135">
            <v>8584.1415310630673</v>
          </cell>
          <cell r="CL135">
            <v>6944.2018407382848</v>
          </cell>
          <cell r="CM135">
            <v>6472.0877933170341</v>
          </cell>
          <cell r="CX135">
            <v>8751.0426924632338</v>
          </cell>
          <cell r="CY135">
            <v>-125662.97337667717</v>
          </cell>
        </row>
        <row r="136">
          <cell r="I136">
            <v>5133.1957027864637</v>
          </cell>
          <cell r="J136">
            <v>5011.6373263412379</v>
          </cell>
          <cell r="L136">
            <v>911.35887063452685</v>
          </cell>
          <cell r="M136">
            <v>900.74011388939152</v>
          </cell>
          <cell r="O136">
            <v>2134.4399999999996</v>
          </cell>
          <cell r="P136">
            <v>1677.8209338709678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3006.6029525217377</v>
          </cell>
          <cell r="Y136">
            <v>4447.4811249219047</v>
          </cell>
          <cell r="AA136">
            <v>0</v>
          </cell>
          <cell r="AB136">
            <v>0</v>
          </cell>
          <cell r="AD136">
            <v>6349.6098268079768</v>
          </cell>
          <cell r="AE136">
            <v>6026.2059240535145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4261.5793930214249</v>
          </cell>
          <cell r="AQ136">
            <v>2217.3489203983208</v>
          </cell>
          <cell r="AS136">
            <v>18402.43746795717</v>
          </cell>
          <cell r="AT136">
            <v>1864.4605878017144</v>
          </cell>
          <cell r="AV136">
            <v>857.03979903924903</v>
          </cell>
          <cell r="AW136">
            <v>0</v>
          </cell>
          <cell r="AY136">
            <v>1174.5740094673354</v>
          </cell>
          <cell r="AZ136">
            <v>0</v>
          </cell>
          <cell r="BB136">
            <v>1115.367375233762</v>
          </cell>
          <cell r="BC136">
            <v>0</v>
          </cell>
          <cell r="BE136">
            <v>0</v>
          </cell>
          <cell r="BF136">
            <v>0</v>
          </cell>
          <cell r="BH136">
            <v>0</v>
          </cell>
          <cell r="BI136">
            <v>0</v>
          </cell>
          <cell r="BK136">
            <v>349.45267117081045</v>
          </cell>
          <cell r="BL136">
            <v>0</v>
          </cell>
          <cell r="BN136">
            <v>0</v>
          </cell>
          <cell r="BO136">
            <v>0</v>
          </cell>
          <cell r="BT136">
            <v>10375.096033894437</v>
          </cell>
          <cell r="BU136">
            <v>18424.014190048438</v>
          </cell>
          <cell r="BW136">
            <v>8073.0433213973183</v>
          </cell>
          <cell r="BX136">
            <v>8373.7352830317013</v>
          </cell>
          <cell r="BZ136">
            <v>6183.1212220046764</v>
          </cell>
          <cell r="CA136">
            <v>5828.4874789615542</v>
          </cell>
          <cell r="CC136">
            <v>617.67833084734048</v>
          </cell>
          <cell r="CD136">
            <v>613.80348879081839</v>
          </cell>
          <cell r="CF136">
            <v>76.039946032343053</v>
          </cell>
          <cell r="CG136">
            <v>0</v>
          </cell>
          <cell r="CI136">
            <v>2938.6514528191651</v>
          </cell>
          <cell r="CJ136">
            <v>1990.623254907382</v>
          </cell>
          <cell r="CL136">
            <v>0</v>
          </cell>
          <cell r="CM136">
            <v>0</v>
          </cell>
          <cell r="CX136">
            <v>2126.7939492371079</v>
          </cell>
          <cell r="CY136">
            <v>19626.309647579677</v>
          </cell>
        </row>
        <row r="137">
          <cell r="I137">
            <v>3254.9714338735789</v>
          </cell>
          <cell r="J137">
            <v>3147.9632448371026</v>
          </cell>
          <cell r="L137">
            <v>695.35703056594923</v>
          </cell>
          <cell r="M137">
            <v>687.25300897404861</v>
          </cell>
          <cell r="O137">
            <v>1014.9600000000002</v>
          </cell>
          <cell r="P137">
            <v>797.84027096774207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2022.132781412977</v>
          </cell>
          <cell r="Y137">
            <v>1630.0531913443344</v>
          </cell>
          <cell r="AA137">
            <v>0</v>
          </cell>
          <cell r="AB137">
            <v>0</v>
          </cell>
          <cell r="AD137">
            <v>3183.7841596237163</v>
          </cell>
          <cell r="AE137">
            <v>3021.6248693941043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1562.579110774522</v>
          </cell>
          <cell r="AQ137">
            <v>1418.2078704935518</v>
          </cell>
          <cell r="AS137">
            <v>9048.6808015984734</v>
          </cell>
          <cell r="AT137">
            <v>7054.3670255782563</v>
          </cell>
          <cell r="AV137">
            <v>575.39784503202395</v>
          </cell>
          <cell r="AW137">
            <v>0</v>
          </cell>
          <cell r="AY137">
            <v>896.34213357644524</v>
          </cell>
          <cell r="AZ137">
            <v>0</v>
          </cell>
          <cell r="BB137">
            <v>455.88890488936164</v>
          </cell>
          <cell r="BC137">
            <v>0</v>
          </cell>
          <cell r="BE137">
            <v>0</v>
          </cell>
          <cell r="BF137">
            <v>0</v>
          </cell>
          <cell r="BH137">
            <v>0</v>
          </cell>
          <cell r="BI137">
            <v>0</v>
          </cell>
          <cell r="BK137">
            <v>244.67716239428793</v>
          </cell>
          <cell r="BL137">
            <v>0</v>
          </cell>
          <cell r="BN137">
            <v>0</v>
          </cell>
          <cell r="BO137">
            <v>0</v>
          </cell>
          <cell r="BT137">
            <v>8961.6078687236422</v>
          </cell>
          <cell r="BU137">
            <v>12836.005278348375</v>
          </cell>
          <cell r="BW137">
            <v>5018.5958157671275</v>
          </cell>
          <cell r="BX137">
            <v>5099.915592718613</v>
          </cell>
          <cell r="BZ137">
            <v>4893.7906000064904</v>
          </cell>
          <cell r="CA137">
            <v>3443.3969671702985</v>
          </cell>
          <cell r="CC137">
            <v>308.83916542367024</v>
          </cell>
          <cell r="CD137">
            <v>306.9017443954092</v>
          </cell>
          <cell r="CF137">
            <v>38.019973016171527</v>
          </cell>
          <cell r="CG137">
            <v>1369.9087027415303</v>
          </cell>
          <cell r="CI137">
            <v>842.28863297364626</v>
          </cell>
          <cell r="CJ137">
            <v>593.79564042203276</v>
          </cell>
          <cell r="CL137">
            <v>0</v>
          </cell>
          <cell r="CM137">
            <v>0</v>
          </cell>
          <cell r="CX137">
            <v>-0.13610358249570709</v>
          </cell>
          <cell r="CY137">
            <v>1932.6799111375331</v>
          </cell>
        </row>
        <row r="138">
          <cell r="I138">
            <v>2109.4717231050295</v>
          </cell>
          <cell r="J138">
            <v>2038.4404637063069</v>
          </cell>
          <cell r="L138">
            <v>335.54730995963172</v>
          </cell>
          <cell r="M138">
            <v>331.6361328410942</v>
          </cell>
          <cell r="O138">
            <v>568.32000000000005</v>
          </cell>
          <cell r="P138">
            <v>446.76094193548391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>
            <v>964.30804907366803</v>
          </cell>
          <cell r="Y138">
            <v>3226.328491710412</v>
          </cell>
          <cell r="AA138">
            <v>0</v>
          </cell>
          <cell r="AB138">
            <v>0</v>
          </cell>
          <cell r="AD138">
            <v>1808.2491553919824</v>
          </cell>
          <cell r="AE138">
            <v>1716.149821738876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1136.4211714723797</v>
          </cell>
          <cell r="AQ138">
            <v>850.92472229613099</v>
          </cell>
          <cell r="AS138">
            <v>6090.1891488953252</v>
          </cell>
          <cell r="AT138">
            <v>1672.462189253258</v>
          </cell>
          <cell r="AV138">
            <v>354.51183936379158</v>
          </cell>
          <cell r="AW138">
            <v>0</v>
          </cell>
          <cell r="AY138">
            <v>432.5264025534882</v>
          </cell>
          <cell r="AZ138">
            <v>0</v>
          </cell>
          <cell r="BB138">
            <v>265.25455075913317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78.787193100235982</v>
          </cell>
          <cell r="BL138">
            <v>0</v>
          </cell>
          <cell r="BN138">
            <v>0</v>
          </cell>
          <cell r="BO138">
            <v>0</v>
          </cell>
          <cell r="BT138">
            <v>6600.3234909493831</v>
          </cell>
          <cell r="BU138">
            <v>10100.134199889919</v>
          </cell>
          <cell r="BW138">
            <v>3281.8269221078772</v>
          </cell>
          <cell r="BX138">
            <v>3579.3262654812825</v>
          </cell>
          <cell r="BZ138">
            <v>910.49040106164421</v>
          </cell>
          <cell r="CA138">
            <v>1873.7889859181219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748.70100708768541</v>
          </cell>
          <cell r="CJ138">
            <v>398.33557869790081</v>
          </cell>
          <cell r="CL138">
            <v>0</v>
          </cell>
          <cell r="CM138">
            <v>0</v>
          </cell>
          <cell r="CX138">
            <v>-0.15403785750277166</v>
          </cell>
          <cell r="CY138">
            <v>-659.38535216254309</v>
          </cell>
        </row>
        <row r="139">
          <cell r="I139">
            <v>11191.873613308861</v>
          </cell>
          <cell r="J139">
            <v>10956.228334446854</v>
          </cell>
          <cell r="L139">
            <v>2283.1352684857343</v>
          </cell>
          <cell r="M139">
            <v>2256.5294541462808</v>
          </cell>
          <cell r="O139">
            <v>4923.1200000000017</v>
          </cell>
          <cell r="P139">
            <v>3869.8999026612892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>
            <v>7505.8604278254288</v>
          </cell>
          <cell r="Y139">
            <v>8338.5055209464517</v>
          </cell>
          <cell r="AA139">
            <v>0</v>
          </cell>
          <cell r="AB139">
            <v>0</v>
          </cell>
          <cell r="AD139">
            <v>14863.77385066983</v>
          </cell>
          <cell r="AE139">
            <v>14601.395502703479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9233.422018213083</v>
          </cell>
          <cell r="AQ139">
            <v>9085.7414773053042</v>
          </cell>
          <cell r="AS139">
            <v>32609.581849515522</v>
          </cell>
          <cell r="AT139">
            <v>12769</v>
          </cell>
          <cell r="AV139">
            <v>1855.4846703956953</v>
          </cell>
          <cell r="AW139">
            <v>0</v>
          </cell>
          <cell r="AY139">
            <v>2942.5534028547149</v>
          </cell>
          <cell r="AZ139">
            <v>0</v>
          </cell>
          <cell r="BB139">
            <v>2585.0395270709578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1046.5117185354666</v>
          </cell>
          <cell r="BL139">
            <v>806</v>
          </cell>
          <cell r="BN139">
            <v>0</v>
          </cell>
          <cell r="BO139">
            <v>0</v>
          </cell>
          <cell r="BT139">
            <v>27815.657935057578</v>
          </cell>
          <cell r="BU139">
            <v>39643.380530803559</v>
          </cell>
          <cell r="BW139">
            <v>20575.747127198294</v>
          </cell>
          <cell r="BX139">
            <v>20945.769715928258</v>
          </cell>
          <cell r="BZ139">
            <v>15151.360806661172</v>
          </cell>
          <cell r="CA139">
            <v>12289.232107690768</v>
          </cell>
          <cell r="CC139">
            <v>879.45629011121321</v>
          </cell>
          <cell r="CD139">
            <v>873.93925308787971</v>
          </cell>
          <cell r="CF139">
            <v>108.26639935081225</v>
          </cell>
          <cell r="CG139">
            <v>0</v>
          </cell>
          <cell r="CI139">
            <v>4847.8390208927622</v>
          </cell>
          <cell r="CJ139">
            <v>2873.9107116295227</v>
          </cell>
          <cell r="CL139">
            <v>0</v>
          </cell>
          <cell r="CM139">
            <v>0</v>
          </cell>
          <cell r="CX139">
            <v>9460.6992886234621</v>
          </cell>
          <cell r="CY139">
            <v>34791.680986380416</v>
          </cell>
        </row>
        <row r="140">
          <cell r="I140">
            <v>836.06943510328381</v>
          </cell>
          <cell r="J140">
            <v>818.25718489877056</v>
          </cell>
          <cell r="L140">
            <v>281.39571351276072</v>
          </cell>
          <cell r="M140">
            <v>278.1181325677959</v>
          </cell>
          <cell r="O140">
            <v>461.16</v>
          </cell>
          <cell r="P140">
            <v>362.43943629032265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>
            <v>480.28728157563927</v>
          </cell>
          <cell r="Y140">
            <v>1864.4697046137867</v>
          </cell>
          <cell r="AA140">
            <v>0</v>
          </cell>
          <cell r="AB140">
            <v>0</v>
          </cell>
          <cell r="AD140">
            <v>1450.7896392161256</v>
          </cell>
          <cell r="AE140">
            <v>1376.8967474958633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P140">
            <v>568.21058573618984</v>
          </cell>
          <cell r="AQ140">
            <v>711.74269759174217</v>
          </cell>
          <cell r="AS140">
            <v>4590.8806844035407</v>
          </cell>
          <cell r="AT140">
            <v>1982</v>
          </cell>
          <cell r="AV140">
            <v>282.3558587495657</v>
          </cell>
          <cell r="AW140">
            <v>0</v>
          </cell>
          <cell r="AY140">
            <v>362.42966944372938</v>
          </cell>
          <cell r="AZ140">
            <v>0</v>
          </cell>
          <cell r="BB140">
            <v>179.3944928587479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K140">
            <v>58.69262450035913</v>
          </cell>
          <cell r="BL140">
            <v>1018.8606752042521</v>
          </cell>
          <cell r="BN140">
            <v>0</v>
          </cell>
          <cell r="BO140">
            <v>0</v>
          </cell>
          <cell r="BT140">
            <v>3525.4869127511938</v>
          </cell>
          <cell r="BU140">
            <v>5033.8048539699976</v>
          </cell>
          <cell r="BW140">
            <v>2516.5072393903497</v>
          </cell>
          <cell r="BX140">
            <v>2571.6664935194599</v>
          </cell>
          <cell r="BZ140">
            <v>2166.5238165503351</v>
          </cell>
          <cell r="CA140">
            <v>1457.555174132299</v>
          </cell>
          <cell r="CC140">
            <v>0</v>
          </cell>
          <cell r="CD140">
            <v>0</v>
          </cell>
          <cell r="CF140">
            <v>0</v>
          </cell>
          <cell r="CG140">
            <v>0</v>
          </cell>
          <cell r="CI140">
            <v>18.717525177192137</v>
          </cell>
          <cell r="CJ140">
            <v>0</v>
          </cell>
          <cell r="CL140">
            <v>0</v>
          </cell>
          <cell r="CM140">
            <v>0</v>
          </cell>
          <cell r="CX140">
            <v>-329.23177476281671</v>
          </cell>
          <cell r="CY140">
            <v>34.4766796588533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509.16</v>
          </cell>
          <cell r="P141">
            <v>400.21323118279571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P141">
            <v>142.05264643404746</v>
          </cell>
          <cell r="AQ141">
            <v>93.429126284801754</v>
          </cell>
          <cell r="AS141">
            <v>3123.0193119924425</v>
          </cell>
          <cell r="AT141">
            <v>2434.1375100879682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B141">
            <v>225.05177326440105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T141">
            <v>334.97815055876504</v>
          </cell>
          <cell r="BU141">
            <v>622.39090115964393</v>
          </cell>
          <cell r="BW141">
            <v>0</v>
          </cell>
          <cell r="BX141">
            <v>16.134714416205487</v>
          </cell>
          <cell r="BZ141">
            <v>0</v>
          </cell>
          <cell r="CA141">
            <v>151.79235524847439</v>
          </cell>
          <cell r="CC141">
            <v>0</v>
          </cell>
          <cell r="CD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X141">
            <v>3915.1157413004148</v>
          </cell>
          <cell r="CY141">
            <v>4654.5125939441341</v>
          </cell>
        </row>
        <row r="142">
          <cell r="I142">
            <v>6054.7851322479301</v>
          </cell>
          <cell r="J142">
            <v>5996.4345527996211</v>
          </cell>
          <cell r="L142">
            <v>1202.5200519922423</v>
          </cell>
          <cell r="M142">
            <v>1188.5090333917167</v>
          </cell>
          <cell r="O142">
            <v>4055.3999999999992</v>
          </cell>
          <cell r="P142">
            <v>3187.5225758064516</v>
          </cell>
          <cell r="R142">
            <v>1197.5999999999997</v>
          </cell>
          <cell r="S142">
            <v>941.26856999999995</v>
          </cell>
          <cell r="U142">
            <v>0</v>
          </cell>
          <cell r="V142">
            <v>0</v>
          </cell>
          <cell r="X142">
            <v>5394.6334894290385</v>
          </cell>
          <cell r="Y142">
            <v>4384.2418625231448</v>
          </cell>
          <cell r="AA142">
            <v>0</v>
          </cell>
          <cell r="AB142">
            <v>0</v>
          </cell>
          <cell r="AD142">
            <v>14102.889629336174</v>
          </cell>
          <cell r="AE142">
            <v>13350.907047823288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1704.6317572085691</v>
          </cell>
          <cell r="AQ142">
            <v>1118.0178625095837</v>
          </cell>
          <cell r="AS142">
            <v>39971.153413274209</v>
          </cell>
          <cell r="AT142">
            <v>24231.822685276911</v>
          </cell>
          <cell r="AV142">
            <v>1124.6346405670176</v>
          </cell>
          <cell r="AW142">
            <v>0</v>
          </cell>
          <cell r="AY142">
            <v>1549.8224363833522</v>
          </cell>
          <cell r="AZ142">
            <v>0</v>
          </cell>
          <cell r="BB142">
            <v>2505.1613766477335</v>
          </cell>
          <cell r="BC142">
            <v>0</v>
          </cell>
          <cell r="BE142">
            <v>1409.5264689858579</v>
          </cell>
          <cell r="BF142">
            <v>0</v>
          </cell>
          <cell r="BH142">
            <v>0</v>
          </cell>
          <cell r="BI142">
            <v>0</v>
          </cell>
          <cell r="BK142">
            <v>724.43508708272213</v>
          </cell>
          <cell r="BL142">
            <v>1263.0374459231459</v>
          </cell>
          <cell r="BN142">
            <v>0</v>
          </cell>
          <cell r="BO142">
            <v>0</v>
          </cell>
          <cell r="BT142">
            <v>37849.612969520749</v>
          </cell>
          <cell r="BU142">
            <v>58343.175618335939</v>
          </cell>
          <cell r="BW142">
            <v>15462.479083582903</v>
          </cell>
          <cell r="BX142">
            <v>16092.608657415654</v>
          </cell>
          <cell r="BZ142">
            <v>16513.363511236526</v>
          </cell>
          <cell r="CA142">
            <v>13616.636386973352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3406.5895822489674</v>
          </cell>
          <cell r="CJ142">
            <v>2066.867196290023</v>
          </cell>
          <cell r="CL142">
            <v>0</v>
          </cell>
          <cell r="CM142">
            <v>0</v>
          </cell>
          <cell r="CX142">
            <v>5475.3636443072101</v>
          </cell>
          <cell r="CY142">
            <v>15613.190605917413</v>
          </cell>
        </row>
        <row r="143">
          <cell r="I143">
            <v>7896.6966553825159</v>
          </cell>
          <cell r="J143">
            <v>7700.6022575859106</v>
          </cell>
          <cell r="L143">
            <v>1452.2595062185435</v>
          </cell>
          <cell r="M143">
            <v>1435.3352204445237</v>
          </cell>
          <cell r="O143">
            <v>2851.1999999999994</v>
          </cell>
          <cell r="P143">
            <v>2241.050197311828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>
            <v>4072.4093137706654</v>
          </cell>
          <cell r="Y143">
            <v>5212.7711442906129</v>
          </cell>
          <cell r="AA143">
            <v>0</v>
          </cell>
          <cell r="AB143">
            <v>0</v>
          </cell>
          <cell r="AD143">
            <v>8749.2064832420747</v>
          </cell>
          <cell r="AE143">
            <v>8303.5842166991897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6676.4743824002298</v>
          </cell>
          <cell r="AQ143">
            <v>6288.5965984545592</v>
          </cell>
          <cell r="AS143">
            <v>26028.242005534124</v>
          </cell>
          <cell r="AT143">
            <v>2926</v>
          </cell>
          <cell r="AV143">
            <v>1258.1166188767129</v>
          </cell>
          <cell r="AW143">
            <v>809</v>
          </cell>
          <cell r="AY143">
            <v>1871.8716437381809</v>
          </cell>
          <cell r="AZ143">
            <v>0</v>
          </cell>
          <cell r="BB143">
            <v>1414.2557007532516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1033.4350242776941</v>
          </cell>
          <cell r="BK143">
            <v>519.14742865626056</v>
          </cell>
          <cell r="BL143">
            <v>795</v>
          </cell>
          <cell r="BN143">
            <v>0</v>
          </cell>
          <cell r="BO143">
            <v>0</v>
          </cell>
          <cell r="BT143">
            <v>12739.867904494198</v>
          </cell>
          <cell r="BU143">
            <v>20840.979230678371</v>
          </cell>
          <cell r="BW143">
            <v>11108.308677483119</v>
          </cell>
          <cell r="BX143">
            <v>11506.924561285305</v>
          </cell>
          <cell r="BZ143">
            <v>7303.4226794931774</v>
          </cell>
          <cell r="CA143">
            <v>5017.8318869219929</v>
          </cell>
          <cell r="CC143">
            <v>2007.7487077923558</v>
          </cell>
          <cell r="CD143">
            <v>1995.1536259457746</v>
          </cell>
          <cell r="CF143">
            <v>247.16603410322554</v>
          </cell>
          <cell r="CG143">
            <v>0</v>
          </cell>
          <cell r="CI143">
            <v>3313.0019563630071</v>
          </cell>
          <cell r="CJ143">
            <v>1769.4419342616889</v>
          </cell>
          <cell r="CL143">
            <v>0</v>
          </cell>
          <cell r="CM143">
            <v>0</v>
          </cell>
          <cell r="CX143">
            <v>1777.3251620380561</v>
          </cell>
          <cell r="CY143">
            <v>27737.752922211053</v>
          </cell>
        </row>
        <row r="144">
          <cell r="I144">
            <v>6411.1593710445241</v>
          </cell>
          <cell r="J144">
            <v>6318.7965296462671</v>
          </cell>
          <cell r="L144">
            <v>1285.3752697086582</v>
          </cell>
          <cell r="M144">
            <v>1270.3944982907519</v>
          </cell>
          <cell r="O144">
            <v>3600.8400000000006</v>
          </cell>
          <cell r="P144">
            <v>2830.53390672043</v>
          </cell>
          <cell r="R144">
            <v>1063.9199999999998</v>
          </cell>
          <cell r="S144">
            <v>836.28064572580638</v>
          </cell>
          <cell r="U144">
            <v>0</v>
          </cell>
          <cell r="V144">
            <v>0</v>
          </cell>
          <cell r="X144">
            <v>5292.8102146223391</v>
          </cell>
          <cell r="Y144">
            <v>4189.2906570642526</v>
          </cell>
          <cell r="AA144">
            <v>0</v>
          </cell>
          <cell r="AB144">
            <v>0</v>
          </cell>
          <cell r="AD144">
            <v>12041.040905709859</v>
          </cell>
          <cell r="AE144">
            <v>11450.075319280588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1562.579110774522</v>
          </cell>
          <cell r="AQ144">
            <v>1356.3263175186266</v>
          </cell>
          <cell r="AS144">
            <v>36208.926701410528</v>
          </cell>
          <cell r="AT144">
            <v>200.21124598823545</v>
          </cell>
          <cell r="AV144">
            <v>1110.2083740881446</v>
          </cell>
          <cell r="AW144">
            <v>0</v>
          </cell>
          <cell r="AY144">
            <v>1656.8612917752732</v>
          </cell>
          <cell r="AZ144">
            <v>0</v>
          </cell>
          <cell r="BB144">
            <v>2225.5889058904513</v>
          </cell>
          <cell r="BC144">
            <v>0</v>
          </cell>
          <cell r="BE144">
            <v>1280.8136499215125</v>
          </cell>
          <cell r="BF144">
            <v>0</v>
          </cell>
          <cell r="BH144">
            <v>0</v>
          </cell>
          <cell r="BI144">
            <v>382</v>
          </cell>
          <cell r="BK144">
            <v>709.27539010590624</v>
          </cell>
          <cell r="BL144">
            <v>0</v>
          </cell>
          <cell r="BN144">
            <v>0</v>
          </cell>
          <cell r="BO144">
            <v>0</v>
          </cell>
          <cell r="BT144">
            <v>31389.338637196688</v>
          </cell>
          <cell r="BU144">
            <v>42296.392305073765</v>
          </cell>
          <cell r="BW144">
            <v>20877.270179594056</v>
          </cell>
          <cell r="BX144">
            <v>21573.995663666472</v>
          </cell>
          <cell r="BZ144">
            <v>12206.392878465873</v>
          </cell>
          <cell r="CA144">
            <v>10126.726797275191</v>
          </cell>
          <cell r="CC144">
            <v>1717.7340248326038</v>
          </cell>
          <cell r="CD144">
            <v>1706.9582735897045</v>
          </cell>
          <cell r="CF144">
            <v>211.46346896613497</v>
          </cell>
          <cell r="CG144">
            <v>0</v>
          </cell>
          <cell r="CI144">
            <v>580.24328049295616</v>
          </cell>
          <cell r="CJ144">
            <v>312.53097403988102</v>
          </cell>
          <cell r="CL144">
            <v>0</v>
          </cell>
          <cell r="CM144">
            <v>0</v>
          </cell>
          <cell r="CX144">
            <v>7269.9100144799668</v>
          </cell>
          <cell r="CY144">
            <v>51167.504239344009</v>
          </cell>
        </row>
        <row r="145">
          <cell r="I145">
            <v>25277.081475628089</v>
          </cell>
          <cell r="J145">
            <v>20921.220177354924</v>
          </cell>
          <cell r="L145">
            <v>3922.462526725119</v>
          </cell>
          <cell r="M145">
            <v>3533.2479214342934</v>
          </cell>
          <cell r="O145">
            <v>10401.240000000003</v>
          </cell>
          <cell r="P145">
            <v>8175.9065322580627</v>
          </cell>
          <cell r="R145">
            <v>2185.3200000000006</v>
          </cell>
          <cell r="S145">
            <v>1717.9629462365594</v>
          </cell>
          <cell r="U145">
            <v>1250.1001677005297</v>
          </cell>
          <cell r="V145">
            <v>440.57237975971645</v>
          </cell>
          <cell r="X145">
            <v>11172.981298913786</v>
          </cell>
          <cell r="Y145">
            <v>11357.739104914925</v>
          </cell>
          <cell r="AA145">
            <v>0</v>
          </cell>
          <cell r="AB145">
            <v>0</v>
          </cell>
          <cell r="AD145">
            <v>29596.450706531625</v>
          </cell>
          <cell r="AE145">
            <v>28089.018293005804</v>
          </cell>
          <cell r="AJ145">
            <v>53588.408278909483</v>
          </cell>
          <cell r="AK145">
            <v>53061.339147886436</v>
          </cell>
          <cell r="AM145">
            <v>0</v>
          </cell>
          <cell r="AN145">
            <v>0</v>
          </cell>
          <cell r="AP145">
            <v>5587.4040930725341</v>
          </cell>
          <cell r="AQ145">
            <v>5372.4611588466078</v>
          </cell>
          <cell r="AS145">
            <v>102928.98718616011</v>
          </cell>
          <cell r="AT145">
            <v>53597.061646061193</v>
          </cell>
          <cell r="AV145">
            <v>1967.3756778440993</v>
          </cell>
          <cell r="AW145">
            <v>648</v>
          </cell>
          <cell r="AY145">
            <v>2340.4438870699346</v>
          </cell>
          <cell r="AZ145">
            <v>3296</v>
          </cell>
          <cell r="BB145">
            <v>2537.8956901924998</v>
          </cell>
          <cell r="BC145">
            <v>0</v>
          </cell>
          <cell r="BE145">
            <v>1079.8411689040149</v>
          </cell>
          <cell r="BF145">
            <v>0</v>
          </cell>
          <cell r="BH145">
            <v>634.10414095325257</v>
          </cell>
          <cell r="BI145">
            <v>12.8826444</v>
          </cell>
          <cell r="BK145">
            <v>1320.4697890563455</v>
          </cell>
          <cell r="BL145">
            <v>6458.3300385413404</v>
          </cell>
          <cell r="BN145">
            <v>710.06625734530007</v>
          </cell>
          <cell r="BO145">
            <v>0</v>
          </cell>
          <cell r="BT145">
            <v>92806.864021511414</v>
          </cell>
          <cell r="BU145">
            <v>101937.12610372066</v>
          </cell>
          <cell r="BW145">
            <v>68836.546951833836</v>
          </cell>
          <cell r="BX145">
            <v>77420.352854642042</v>
          </cell>
          <cell r="BZ145">
            <v>16879.075878796411</v>
          </cell>
          <cell r="CA145">
            <v>28090.773657529793</v>
          </cell>
          <cell r="CC145">
            <v>1573.6090809682246</v>
          </cell>
          <cell r="CD145">
            <v>1563.7374595385136</v>
          </cell>
          <cell r="CF145">
            <v>193.72081489192155</v>
          </cell>
          <cell r="CG145">
            <v>0</v>
          </cell>
          <cell r="CI145">
            <v>12259.978991060851</v>
          </cell>
          <cell r="CJ145">
            <v>13197.581757267635</v>
          </cell>
          <cell r="CL145">
            <v>18361.892198825484</v>
          </cell>
          <cell r="CM145">
            <v>19789.92998929054</v>
          </cell>
          <cell r="CX145">
            <v>14228.495660526271</v>
          </cell>
          <cell r="CY145">
            <v>48705.787424773174</v>
          </cell>
        </row>
        <row r="146"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D146">
            <v>0</v>
          </cell>
          <cell r="AE146">
            <v>0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P146">
            <v>568.21058573618984</v>
          </cell>
          <cell r="AQ146">
            <v>140.14368942720262</v>
          </cell>
          <cell r="AS146">
            <v>3613.4219715197546</v>
          </cell>
          <cell r="AT146">
            <v>2600</v>
          </cell>
          <cell r="AV146">
            <v>0</v>
          </cell>
          <cell r="AW146">
            <v>0</v>
          </cell>
          <cell r="AY146">
            <v>0</v>
          </cell>
          <cell r="AZ146">
            <v>0</v>
          </cell>
          <cell r="BB146">
            <v>0</v>
          </cell>
          <cell r="BC146">
            <v>0</v>
          </cell>
          <cell r="BE146">
            <v>0</v>
          </cell>
          <cell r="BF146">
            <v>0</v>
          </cell>
          <cell r="BH146">
            <v>0</v>
          </cell>
          <cell r="BI146">
            <v>0</v>
          </cell>
          <cell r="BK146">
            <v>0</v>
          </cell>
          <cell r="BL146">
            <v>0</v>
          </cell>
          <cell r="BN146">
            <v>0</v>
          </cell>
          <cell r="BO146">
            <v>0</v>
          </cell>
          <cell r="BT146">
            <v>813.51836564271491</v>
          </cell>
          <cell r="BU146">
            <v>1667.2419269918043</v>
          </cell>
          <cell r="BW146">
            <v>0</v>
          </cell>
          <cell r="BX146">
            <v>10.344420824952705</v>
          </cell>
          <cell r="BZ146">
            <v>0</v>
          </cell>
          <cell r="CA146">
            <v>406.58838255514422</v>
          </cell>
          <cell r="CC146">
            <v>0</v>
          </cell>
          <cell r="CD146">
            <v>0</v>
          </cell>
          <cell r="CF146">
            <v>0</v>
          </cell>
          <cell r="CG146">
            <v>0</v>
          </cell>
          <cell r="CI146">
            <v>0</v>
          </cell>
          <cell r="CJ146">
            <v>0</v>
          </cell>
          <cell r="CL146">
            <v>0</v>
          </cell>
          <cell r="CM146">
            <v>0</v>
          </cell>
          <cell r="CX146">
            <v>89.818892521609314</v>
          </cell>
          <cell r="CY146">
            <v>294.81789624107512</v>
          </cell>
        </row>
        <row r="147">
          <cell r="I147">
            <v>29721.329203998775</v>
          </cell>
          <cell r="J147">
            <v>24863.303898699571</v>
          </cell>
          <cell r="L147">
            <v>8376.0543394625074</v>
          </cell>
          <cell r="M147">
            <v>7529.4796925238743</v>
          </cell>
          <cell r="O147">
            <v>17383.320000000003</v>
          </cell>
          <cell r="P147">
            <v>13664.087507096776</v>
          </cell>
          <cell r="R147">
            <v>3785.6400000000012</v>
          </cell>
          <cell r="S147">
            <v>2975.9032077419356</v>
          </cell>
          <cell r="U147">
            <v>3457.4511614254002</v>
          </cell>
          <cell r="V147">
            <v>1232.5720029023114</v>
          </cell>
          <cell r="X147">
            <v>22693.627915030345</v>
          </cell>
          <cell r="Y147">
            <v>16204.33958677219</v>
          </cell>
          <cell r="AA147">
            <v>0</v>
          </cell>
          <cell r="AB147">
            <v>0</v>
          </cell>
          <cell r="AD147">
            <v>49523.193917353019</v>
          </cell>
          <cell r="AE147">
            <v>47000.83512262538</v>
          </cell>
          <cell r="AJ147">
            <v>124231.95810605968</v>
          </cell>
          <cell r="AK147">
            <v>114300.54339063044</v>
          </cell>
          <cell r="AM147">
            <v>6313.6886354837225</v>
          </cell>
          <cell r="AN147">
            <v>4961.2664857150276</v>
          </cell>
          <cell r="AP147">
            <v>10133.088778962052</v>
          </cell>
          <cell r="AQ147">
            <v>9873.7813892024478</v>
          </cell>
          <cell r="AS147">
            <v>210868.00857367172</v>
          </cell>
          <cell r="AT147">
            <v>194094.32494995027</v>
          </cell>
          <cell r="AV147">
            <v>980.42757152001911</v>
          </cell>
          <cell r="AW147">
            <v>5394</v>
          </cell>
          <cell r="AY147">
            <v>2020.998970345436</v>
          </cell>
          <cell r="AZ147">
            <v>20118</v>
          </cell>
          <cell r="BB147">
            <v>1468.3521030800036</v>
          </cell>
          <cell r="BC147">
            <v>0</v>
          </cell>
          <cell r="BE147">
            <v>618.16010783714466</v>
          </cell>
          <cell r="BF147">
            <v>4333.2999011257489</v>
          </cell>
          <cell r="BH147">
            <v>701.57432156236484</v>
          </cell>
          <cell r="BI147">
            <v>3291.8347354176581</v>
          </cell>
          <cell r="BK147">
            <v>999.6833985752528</v>
          </cell>
          <cell r="BL147">
            <v>13354.486858486063</v>
          </cell>
          <cell r="BN147">
            <v>1124.9624387438232</v>
          </cell>
          <cell r="BO147">
            <v>1216</v>
          </cell>
          <cell r="BT147">
            <v>144497.24505855216</v>
          </cell>
          <cell r="BU147">
            <v>153189.57822348934</v>
          </cell>
          <cell r="BW147">
            <v>88753.761994788205</v>
          </cell>
          <cell r="BX147">
            <v>103060.88043408119</v>
          </cell>
          <cell r="BZ147">
            <v>15580.685426581296</v>
          </cell>
          <cell r="CA147">
            <v>38862.765419089774</v>
          </cell>
          <cell r="CC147">
            <v>1720.6753502175916</v>
          </cell>
          <cell r="CD147">
            <v>1709.881147345852</v>
          </cell>
          <cell r="CF147">
            <v>211.82556394724136</v>
          </cell>
          <cell r="CG147">
            <v>0</v>
          </cell>
          <cell r="CI147">
            <v>7767.7729485347363</v>
          </cell>
          <cell r="CJ147">
            <v>8669.964945781494</v>
          </cell>
          <cell r="CL147">
            <v>27851.677463661883</v>
          </cell>
          <cell r="CM147">
            <v>29446.567162356827</v>
          </cell>
          <cell r="CX147">
            <v>14454.893980726862</v>
          </cell>
          <cell r="CY147">
            <v>-31820.145273240967</v>
          </cell>
        </row>
        <row r="148">
          <cell r="I148">
            <v>10589.838949515703</v>
          </cell>
          <cell r="J148">
            <v>8736.4465904962799</v>
          </cell>
          <cell r="L148">
            <v>2008.249866869611</v>
          </cell>
          <cell r="M148">
            <v>1872.9227995625497</v>
          </cell>
          <cell r="O148">
            <v>4423.4399999999996</v>
          </cell>
          <cell r="P148">
            <v>3477.066907526882</v>
          </cell>
          <cell r="R148">
            <v>934.32</v>
          </cell>
          <cell r="S148">
            <v>734.47650107526897</v>
          </cell>
          <cell r="U148">
            <v>709.3549077326212</v>
          </cell>
          <cell r="V148">
            <v>247.08024154033689</v>
          </cell>
          <cell r="X148">
            <v>7200.4900099314109</v>
          </cell>
          <cell r="Y148">
            <v>7790.9511637801716</v>
          </cell>
          <cell r="AA148">
            <v>0</v>
          </cell>
          <cell r="AB148">
            <v>0</v>
          </cell>
          <cell r="AD148">
            <v>12189.11295170471</v>
          </cell>
          <cell r="AE148">
            <v>11606.042641287731</v>
          </cell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P148">
            <v>2793.7020465362671</v>
          </cell>
          <cell r="AQ148">
            <v>2692.0016967313827</v>
          </cell>
          <cell r="AS148">
            <v>37704.767864327339</v>
          </cell>
          <cell r="AT148">
            <v>12920</v>
          </cell>
          <cell r="AV148">
            <v>1778.4455992733499</v>
          </cell>
          <cell r="AW148">
            <v>0</v>
          </cell>
          <cell r="AY148">
            <v>2588.5724901852714</v>
          </cell>
          <cell r="AZ148">
            <v>2890.710092458793</v>
          </cell>
          <cell r="BB148">
            <v>1740.2053212211661</v>
          </cell>
          <cell r="BC148">
            <v>1688</v>
          </cell>
          <cell r="BE148">
            <v>865.27994836956793</v>
          </cell>
          <cell r="BF148">
            <v>0</v>
          </cell>
          <cell r="BH148">
            <v>719.6828414324732</v>
          </cell>
          <cell r="BI148">
            <v>15.456925</v>
          </cell>
          <cell r="BK148">
            <v>995.48717196728137</v>
          </cell>
          <cell r="BL148">
            <v>13715.007484014468</v>
          </cell>
          <cell r="BN148">
            <v>1396.4533431190202</v>
          </cell>
          <cell r="BO148">
            <v>3063</v>
          </cell>
          <cell r="BT148">
            <v>41205.487194156478</v>
          </cell>
          <cell r="BU148">
            <v>76043.900883439987</v>
          </cell>
          <cell r="BW148">
            <v>17548.116708277237</v>
          </cell>
          <cell r="BX148">
            <v>19363.463887496295</v>
          </cell>
          <cell r="BZ148">
            <v>19457.249918961996</v>
          </cell>
          <cell r="CA148">
            <v>16684.906059486693</v>
          </cell>
          <cell r="CC148">
            <v>1670.6728186728062</v>
          </cell>
          <cell r="CD148">
            <v>1660.1922934913568</v>
          </cell>
          <cell r="CF148">
            <v>205.66994926843265</v>
          </cell>
          <cell r="CG148">
            <v>0</v>
          </cell>
          <cell r="CI148">
            <v>6027.043107055867</v>
          </cell>
          <cell r="CJ148">
            <v>2624.5412193390089</v>
          </cell>
          <cell r="CL148">
            <v>0</v>
          </cell>
          <cell r="CM148">
            <v>0</v>
          </cell>
          <cell r="CX148">
            <v>4241.0283897056652</v>
          </cell>
          <cell r="CY148">
            <v>-11448.400864072657</v>
          </cell>
        </row>
        <row r="149">
          <cell r="I149">
            <v>9916.1086947867552</v>
          </cell>
          <cell r="J149">
            <v>8282.9009051813809</v>
          </cell>
          <cell r="L149">
            <v>2249.4437278545552</v>
          </cell>
          <cell r="M149">
            <v>2069.6524916045523</v>
          </cell>
          <cell r="O149">
            <v>5365.32</v>
          </cell>
          <cell r="P149">
            <v>4217.4914427150543</v>
          </cell>
          <cell r="R149">
            <v>1143.3599999999999</v>
          </cell>
          <cell r="S149">
            <v>898.64623411290313</v>
          </cell>
          <cell r="U149">
            <v>726.81233085365818</v>
          </cell>
          <cell r="V149">
            <v>260.25641337576002</v>
          </cell>
          <cell r="X149">
            <v>6730.6303966831247</v>
          </cell>
          <cell r="Y149">
            <v>8169.662150077862</v>
          </cell>
          <cell r="AA149">
            <v>0</v>
          </cell>
          <cell r="AB149">
            <v>0</v>
          </cell>
          <cell r="AD149">
            <v>16126.170352532981</v>
          </cell>
          <cell r="AE149">
            <v>15304.818085111179</v>
          </cell>
          <cell r="AJ149">
            <v>36838.496087665488</v>
          </cell>
          <cell r="AK149">
            <v>36607.388527908763</v>
          </cell>
          <cell r="AM149">
            <v>3156.8443177418612</v>
          </cell>
          <cell r="AN149">
            <v>2741.2642376481886</v>
          </cell>
          <cell r="AP149">
            <v>3409.2635144171381</v>
          </cell>
          <cell r="AQ149">
            <v>3309.7038627321426</v>
          </cell>
          <cell r="AS149">
            <v>68468.787996827901</v>
          </cell>
          <cell r="AT149">
            <v>95763.758691118564</v>
          </cell>
          <cell r="AV149">
            <v>827.9733583788003</v>
          </cell>
          <cell r="AW149">
            <v>1206</v>
          </cell>
          <cell r="AY149">
            <v>1325.1039907172446</v>
          </cell>
          <cell r="AZ149">
            <v>14293</v>
          </cell>
          <cell r="BB149">
            <v>1064.92192263991</v>
          </cell>
          <cell r="BC149">
            <v>0</v>
          </cell>
          <cell r="BE149">
            <v>522.94427701185418</v>
          </cell>
          <cell r="BF149">
            <v>0</v>
          </cell>
          <cell r="BH149">
            <v>368.75010735482255</v>
          </cell>
          <cell r="BI149">
            <v>19.323966600000002</v>
          </cell>
          <cell r="BK149">
            <v>772.739818838617</v>
          </cell>
          <cell r="BL149">
            <v>8135.7766012940447</v>
          </cell>
          <cell r="BN149">
            <v>390.89290744138992</v>
          </cell>
          <cell r="BO149">
            <v>0</v>
          </cell>
          <cell r="BT149">
            <v>53609.024661430951</v>
          </cell>
          <cell r="BU149">
            <v>49804.04495849365</v>
          </cell>
          <cell r="BW149">
            <v>27203.437311498685</v>
          </cell>
          <cell r="BX149">
            <v>29681.072751603089</v>
          </cell>
          <cell r="BZ149">
            <v>8543.4091755754107</v>
          </cell>
          <cell r="CA149">
            <v>15882.276721279268</v>
          </cell>
          <cell r="CC149">
            <v>941.2241231959473</v>
          </cell>
          <cell r="CD149">
            <v>935.31960196696173</v>
          </cell>
          <cell r="CF149">
            <v>115.87039395404656</v>
          </cell>
          <cell r="CG149">
            <v>0</v>
          </cell>
          <cell r="CI149">
            <v>8385.4512793820759</v>
          </cell>
          <cell r="CJ149">
            <v>3314.1116828787381</v>
          </cell>
          <cell r="CL149">
            <v>9134.1522864697617</v>
          </cell>
          <cell r="CM149">
            <v>10272.10627608201</v>
          </cell>
          <cell r="CX149">
            <v>4786.4003600964497</v>
          </cell>
          <cell r="CY149">
            <v>-47811.330722140905</v>
          </cell>
        </row>
        <row r="150">
          <cell r="I150">
            <v>9915.5168928092371</v>
          </cell>
          <cell r="J150">
            <v>8282.1071154150522</v>
          </cell>
          <cell r="L150">
            <v>2249.4437278545552</v>
          </cell>
          <cell r="M150">
            <v>2036.9416665594129</v>
          </cell>
          <cell r="O150">
            <v>4790.16</v>
          </cell>
          <cell r="P150">
            <v>3764.9728875000005</v>
          </cell>
          <cell r="R150">
            <v>1177.56</v>
          </cell>
          <cell r="S150">
            <v>925.84478346774199</v>
          </cell>
          <cell r="U150">
            <v>726.81233085365818</v>
          </cell>
          <cell r="V150">
            <v>260.25641337576002</v>
          </cell>
          <cell r="X150">
            <v>7298.1059563086137</v>
          </cell>
          <cell r="Y150">
            <v>7714.7128246196844</v>
          </cell>
          <cell r="AA150">
            <v>0</v>
          </cell>
          <cell r="AB150">
            <v>0</v>
          </cell>
          <cell r="AD150">
            <v>16110.691842382781</v>
          </cell>
          <cell r="AE150">
            <v>15290.127940030323</v>
          </cell>
          <cell r="AJ150">
            <v>29784.395634815399</v>
          </cell>
          <cell r="AK150">
            <v>29597.418228436061</v>
          </cell>
          <cell r="AM150">
            <v>0</v>
          </cell>
          <cell r="AN150">
            <v>0</v>
          </cell>
          <cell r="AP150">
            <v>3409.2635144171381</v>
          </cell>
          <cell r="AQ150">
            <v>3251.279177085527</v>
          </cell>
          <cell r="AS150">
            <v>62171.906358242879</v>
          </cell>
          <cell r="AT150">
            <v>1650.5694479969218</v>
          </cell>
          <cell r="AV150">
            <v>827.9733583788003</v>
          </cell>
          <cell r="AW150">
            <v>351</v>
          </cell>
          <cell r="AY150">
            <v>1325.1039907172446</v>
          </cell>
          <cell r="AZ150">
            <v>1974</v>
          </cell>
          <cell r="BB150">
            <v>1903.4152532119217</v>
          </cell>
          <cell r="BC150">
            <v>0</v>
          </cell>
          <cell r="BE150">
            <v>659.51097617257381</v>
          </cell>
          <cell r="BF150">
            <v>0</v>
          </cell>
          <cell r="BH150">
            <v>368.75010735482255</v>
          </cell>
          <cell r="BI150">
            <v>19.323966600000002</v>
          </cell>
          <cell r="BK150">
            <v>803.28287652192228</v>
          </cell>
          <cell r="BL150">
            <v>492</v>
          </cell>
          <cell r="BN150">
            <v>378.89127046282334</v>
          </cell>
          <cell r="BO150">
            <v>0</v>
          </cell>
          <cell r="BT150">
            <v>48593.051362833678</v>
          </cell>
          <cell r="BU150">
            <v>54742.058935834903</v>
          </cell>
          <cell r="BW150">
            <v>37282.24348519848</v>
          </cell>
          <cell r="BX150">
            <v>41308.072219610585</v>
          </cell>
          <cell r="BZ150">
            <v>7530.6646228476266</v>
          </cell>
          <cell r="CA150">
            <v>11763.565259567127</v>
          </cell>
          <cell r="CC150">
            <v>941.2241231959473</v>
          </cell>
          <cell r="CD150">
            <v>935.31960196696173</v>
          </cell>
          <cell r="CF150">
            <v>115.87039395404656</v>
          </cell>
          <cell r="CG150">
            <v>0</v>
          </cell>
          <cell r="CI150">
            <v>7243.6822435733548</v>
          </cell>
          <cell r="CJ150">
            <v>1903.0565781056293</v>
          </cell>
          <cell r="CL150">
            <v>8946.9770346978403</v>
          </cell>
          <cell r="CM150">
            <v>10203.858587274761</v>
          </cell>
          <cell r="CX150">
            <v>4699.4131718335884</v>
          </cell>
          <cell r="CY150">
            <v>74405.027239864256</v>
          </cell>
        </row>
        <row r="151">
          <cell r="I151">
            <v>15677.035234992907</v>
          </cell>
          <cell r="J151">
            <v>12965.607086513795</v>
          </cell>
          <cell r="L151">
            <v>2445.3154780972104</v>
          </cell>
          <cell r="M151">
            <v>2287.7567646166694</v>
          </cell>
          <cell r="O151">
            <v>6062.8799999999983</v>
          </cell>
          <cell r="P151">
            <v>4765.7558056451626</v>
          </cell>
          <cell r="R151">
            <v>1400.64</v>
          </cell>
          <cell r="S151">
            <v>1100.7244661290324</v>
          </cell>
          <cell r="U151">
            <v>780.05784393801957</v>
          </cell>
          <cell r="V151">
            <v>340.08672307538808</v>
          </cell>
          <cell r="X151">
            <v>6765.6699599457943</v>
          </cell>
          <cell r="Y151">
            <v>5635.8826930512441</v>
          </cell>
          <cell r="AA151">
            <v>0</v>
          </cell>
          <cell r="AB151">
            <v>0</v>
          </cell>
          <cell r="AD151">
            <v>18357.513038135505</v>
          </cell>
          <cell r="AE151">
            <v>19142.719938763446</v>
          </cell>
          <cell r="AJ151">
            <v>41478.570579091407</v>
          </cell>
          <cell r="AK151">
            <v>41218.239766024308</v>
          </cell>
          <cell r="AM151">
            <v>0</v>
          </cell>
          <cell r="AN151">
            <v>0</v>
          </cell>
          <cell r="AP151">
            <v>3314.5617501277752</v>
          </cell>
          <cell r="AQ151">
            <v>3234.0893648492988</v>
          </cell>
          <cell r="AS151">
            <v>66276.03729887669</v>
          </cell>
          <cell r="AT151">
            <v>135108.67950366193</v>
          </cell>
          <cell r="AV151">
            <v>1240.6791587241366</v>
          </cell>
          <cell r="AW151">
            <v>371</v>
          </cell>
          <cell r="AY151">
            <v>1498.3557380609511</v>
          </cell>
          <cell r="AZ151">
            <v>0</v>
          </cell>
          <cell r="BB151">
            <v>1569.9120280542759</v>
          </cell>
          <cell r="BC151">
            <v>0</v>
          </cell>
          <cell r="BE151">
            <v>817.10735496454515</v>
          </cell>
          <cell r="BF151">
            <v>0</v>
          </cell>
          <cell r="BH151">
            <v>395.76741189229665</v>
          </cell>
          <cell r="BI151">
            <v>3860</v>
          </cell>
          <cell r="BK151">
            <v>763.74009071507896</v>
          </cell>
          <cell r="BL151">
            <v>6771</v>
          </cell>
          <cell r="BN151">
            <v>382.89181612234574</v>
          </cell>
          <cell r="BO151">
            <v>0</v>
          </cell>
          <cell r="BT151">
            <v>60047.428742577176</v>
          </cell>
          <cell r="BU151">
            <v>66463.77013571914</v>
          </cell>
          <cell r="BW151">
            <v>41533.404367949697</v>
          </cell>
          <cell r="BX151">
            <v>46067.123534812381</v>
          </cell>
          <cell r="BZ151">
            <v>10387.123617720867</v>
          </cell>
          <cell r="CA151">
            <v>16143.754838763449</v>
          </cell>
          <cell r="CC151">
            <v>705.91809239696033</v>
          </cell>
          <cell r="CD151">
            <v>701.48970147522118</v>
          </cell>
          <cell r="CF151">
            <v>86.902795465534894</v>
          </cell>
          <cell r="CG151">
            <v>0</v>
          </cell>
          <cell r="CI151">
            <v>14375.059336083557</v>
          </cell>
          <cell r="CJ151">
            <v>5529.708435861221</v>
          </cell>
          <cell r="CL151">
            <v>10294.638847455673</v>
          </cell>
          <cell r="CM151">
            <v>10650.402819896952</v>
          </cell>
          <cell r="CX151">
            <v>29572.427302333934</v>
          </cell>
          <cell r="CY151">
            <v>-61268.269894630386</v>
          </cell>
        </row>
        <row r="152">
          <cell r="I152">
            <v>18630.02566310397</v>
          </cell>
          <cell r="J152">
            <v>15427.759938430368</v>
          </cell>
          <cell r="L152">
            <v>3093.9480906412214</v>
          </cell>
          <cell r="M152">
            <v>2822.4257708508326</v>
          </cell>
          <cell r="O152">
            <v>7758.48</v>
          </cell>
          <cell r="P152">
            <v>6098.0109887096787</v>
          </cell>
          <cell r="R152">
            <v>1589.88</v>
          </cell>
          <cell r="S152">
            <v>1249.7213473118281</v>
          </cell>
          <cell r="U152">
            <v>833.30286687848127</v>
          </cell>
          <cell r="V152">
            <v>369.80482247905979</v>
          </cell>
          <cell r="X152">
            <v>7116.3846805404619</v>
          </cell>
          <cell r="Y152">
            <v>5896.1563168436305</v>
          </cell>
          <cell r="AA152">
            <v>0</v>
          </cell>
          <cell r="AB152">
            <v>0</v>
          </cell>
          <cell r="AD152">
            <v>22513.963354932464</v>
          </cell>
          <cell r="AE152">
            <v>21367.262405731562</v>
          </cell>
          <cell r="AJ152">
            <v>42638.522353643682</v>
          </cell>
          <cell r="AK152">
            <v>42371.040832287414</v>
          </cell>
          <cell r="AM152">
            <v>0</v>
          </cell>
          <cell r="AN152">
            <v>0</v>
          </cell>
          <cell r="AP152">
            <v>3646.0179251405516</v>
          </cell>
          <cell r="AQ152">
            <v>3634.9146304298642</v>
          </cell>
          <cell r="AS152">
            <v>77906.54847371974</v>
          </cell>
          <cell r="AT152">
            <v>88749.960388371299</v>
          </cell>
          <cell r="AV152">
            <v>1522.7735606482195</v>
          </cell>
          <cell r="AW152">
            <v>358</v>
          </cell>
          <cell r="AY152">
            <v>1799.1550947066944</v>
          </cell>
          <cell r="AZ152">
            <v>3757.3840385024223</v>
          </cell>
          <cell r="BB152">
            <v>1885.1996056536163</v>
          </cell>
          <cell r="BC152">
            <v>4901</v>
          </cell>
          <cell r="BE152">
            <v>894.59363597296931</v>
          </cell>
          <cell r="BF152">
            <v>0</v>
          </cell>
          <cell r="BH152">
            <v>422.7844713578213</v>
          </cell>
          <cell r="BI152">
            <v>20.605486199999998</v>
          </cell>
          <cell r="BK152">
            <v>834.81469293796044</v>
          </cell>
          <cell r="BL152">
            <v>12545.465083656109</v>
          </cell>
          <cell r="BN152">
            <v>485.26514130904343</v>
          </cell>
          <cell r="BO152">
            <v>0</v>
          </cell>
          <cell r="BT152">
            <v>77596.931858452983</v>
          </cell>
          <cell r="BU152">
            <v>86770.094634007677</v>
          </cell>
          <cell r="BW152">
            <v>45528.274774722988</v>
          </cell>
          <cell r="BX152">
            <v>51096.744792247453</v>
          </cell>
          <cell r="BZ152">
            <v>7790.3427132906481</v>
          </cell>
          <cell r="CA152">
            <v>26955.356532726437</v>
          </cell>
          <cell r="CC152">
            <v>588.2650769974673</v>
          </cell>
          <cell r="CD152">
            <v>584.57475122935091</v>
          </cell>
          <cell r="CF152">
            <v>72.418996221279116</v>
          </cell>
          <cell r="CG152">
            <v>0</v>
          </cell>
          <cell r="CI152">
            <v>12016.651163757348</v>
          </cell>
          <cell r="CJ152">
            <v>6526.4872394771555</v>
          </cell>
          <cell r="CL152">
            <v>10144.898646038135</v>
          </cell>
          <cell r="CM152">
            <v>13009.25435613757</v>
          </cell>
          <cell r="CX152">
            <v>10632.668591198686</v>
          </cell>
          <cell r="CY152">
            <v>-46010.429226755645</v>
          </cell>
        </row>
        <row r="153">
          <cell r="I153">
            <v>11571.008944052155</v>
          </cell>
          <cell r="J153">
            <v>9912.0868849446379</v>
          </cell>
          <cell r="L153">
            <v>3863.2235117050373</v>
          </cell>
          <cell r="M153">
            <v>3510.4166510337968</v>
          </cell>
          <cell r="O153">
            <v>10101.36</v>
          </cell>
          <cell r="P153">
            <v>7940.3492109677409</v>
          </cell>
          <cell r="R153">
            <v>2288.7599999999998</v>
          </cell>
          <cell r="S153">
            <v>1799.3780806451609</v>
          </cell>
          <cell r="U153">
            <v>2251.7219278659054</v>
          </cell>
          <cell r="V153">
            <v>809.80058977225838</v>
          </cell>
          <cell r="X153">
            <v>18288.335636414136</v>
          </cell>
          <cell r="Y153">
            <v>13453.741533769091</v>
          </cell>
          <cell r="AA153">
            <v>0</v>
          </cell>
          <cell r="AB153">
            <v>0</v>
          </cell>
          <cell r="AD153">
            <v>30156.755670642666</v>
          </cell>
          <cell r="AE153">
            <v>28620.785312728338</v>
          </cell>
          <cell r="AJ153">
            <v>62704.110433418864</v>
          </cell>
          <cell r="AK153">
            <v>62310.612966183769</v>
          </cell>
          <cell r="AM153">
            <v>6313.6886354837225</v>
          </cell>
          <cell r="AN153">
            <v>4445.9975958872938</v>
          </cell>
          <cell r="AP153">
            <v>6060.9129145193574</v>
          </cell>
          <cell r="AQ153">
            <v>5902.3611924986981</v>
          </cell>
          <cell r="AS153">
            <v>140943.94860369209</v>
          </cell>
          <cell r="AT153">
            <v>80473.373930069909</v>
          </cell>
          <cell r="AV153">
            <v>566.60269825880027</v>
          </cell>
          <cell r="AW153">
            <v>30351</v>
          </cell>
          <cell r="AY153">
            <v>988.17390963875403</v>
          </cell>
          <cell r="AZ153">
            <v>6220</v>
          </cell>
          <cell r="BB153">
            <v>513.13541491922399</v>
          </cell>
          <cell r="BC153">
            <v>342</v>
          </cell>
          <cell r="BE153">
            <v>463.01394901605153</v>
          </cell>
          <cell r="BF153">
            <v>0</v>
          </cell>
          <cell r="BH153">
            <v>685.39301428766191</v>
          </cell>
          <cell r="BI153">
            <v>20.605486199999998</v>
          </cell>
          <cell r="BK153">
            <v>706.91428536070816</v>
          </cell>
          <cell r="BL153">
            <v>1063</v>
          </cell>
          <cell r="BN153">
            <v>1118.5937498727455</v>
          </cell>
          <cell r="BO153">
            <v>0</v>
          </cell>
          <cell r="BT153">
            <v>103542.78377467573</v>
          </cell>
          <cell r="BU153">
            <v>110742.82556942126</v>
          </cell>
          <cell r="BW153">
            <v>51871.713640700887</v>
          </cell>
          <cell r="BX153">
            <v>65643.781616561013</v>
          </cell>
          <cell r="BZ153">
            <v>12464.548341265037</v>
          </cell>
          <cell r="CA153">
            <v>37534.518532585898</v>
          </cell>
          <cell r="CC153">
            <v>2981.0332776846649</v>
          </cell>
          <cell r="CD153">
            <v>2962.3325518547363</v>
          </cell>
          <cell r="CF153">
            <v>366.98326335133191</v>
          </cell>
          <cell r="CG153">
            <v>0</v>
          </cell>
          <cell r="CI153">
            <v>25680.444543107606</v>
          </cell>
          <cell r="CJ153">
            <v>29768.313859602393</v>
          </cell>
          <cell r="CL153">
            <v>26054.795046651456</v>
          </cell>
          <cell r="CM153">
            <v>21284.411308613504</v>
          </cell>
          <cell r="CX153">
            <v>9595.5437760984787</v>
          </cell>
          <cell r="CY153">
            <v>6519.0585519926026</v>
          </cell>
        </row>
        <row r="154">
          <cell r="I154">
            <v>26757.70188507529</v>
          </cell>
          <cell r="J154">
            <v>22399.057322713288</v>
          </cell>
          <cell r="L154">
            <v>4415.0746895207494</v>
          </cell>
          <cell r="M154">
            <v>4063.3067268199884</v>
          </cell>
          <cell r="O154">
            <v>15529.679999999998</v>
          </cell>
          <cell r="P154">
            <v>12206.003417338708</v>
          </cell>
          <cell r="R154">
            <v>3470.8799999999992</v>
          </cell>
          <cell r="S154">
            <v>2727.8615701612907</v>
          </cell>
          <cell r="U154">
            <v>4609.9343917566339</v>
          </cell>
          <cell r="V154">
            <v>1661.2277399987331</v>
          </cell>
          <cell r="X154">
            <v>24808.75476488467</v>
          </cell>
          <cell r="Y154">
            <v>21043.758468001775</v>
          </cell>
          <cell r="AA154">
            <v>0</v>
          </cell>
          <cell r="AB154">
            <v>0</v>
          </cell>
          <cell r="AD154">
            <v>44389.758853534237</v>
          </cell>
          <cell r="AE154">
            <v>42167.209263865363</v>
          </cell>
          <cell r="AJ154">
            <v>90740.289216684527</v>
          </cell>
          <cell r="AK154">
            <v>90171.015438538976</v>
          </cell>
          <cell r="AM154">
            <v>0</v>
          </cell>
          <cell r="AN154">
            <v>2481.8853163679551</v>
          </cell>
          <cell r="AP154">
            <v>7576.1411431491988</v>
          </cell>
          <cell r="AQ154">
            <v>7409.7226705955109</v>
          </cell>
          <cell r="AS154">
            <v>191367.01750452758</v>
          </cell>
          <cell r="AT154">
            <v>111791.86517302603</v>
          </cell>
          <cell r="AV154">
            <v>1313.0199237000613</v>
          </cell>
          <cell r="AW154">
            <v>6592.9981729397841</v>
          </cell>
          <cell r="AY154">
            <v>1762.2590807213044</v>
          </cell>
          <cell r="AZ154">
            <v>10101.331218634958</v>
          </cell>
          <cell r="BB154">
            <v>2188.1542531115529</v>
          </cell>
          <cell r="BC154">
            <v>0</v>
          </cell>
          <cell r="BE154">
            <v>1201.8649330612939</v>
          </cell>
          <cell r="BF154">
            <v>0</v>
          </cell>
          <cell r="BH154">
            <v>1403.1194206337796</v>
          </cell>
          <cell r="BI154">
            <v>0</v>
          </cell>
          <cell r="BK154">
            <v>1672.3335980942118</v>
          </cell>
          <cell r="BL154">
            <v>5452.3253207831131</v>
          </cell>
          <cell r="BN154">
            <v>762.07335091908692</v>
          </cell>
          <cell r="BO154">
            <v>12972</v>
          </cell>
          <cell r="BT154">
            <v>119870.43414309766</v>
          </cell>
          <cell r="BU154">
            <v>135908.37599939265</v>
          </cell>
          <cell r="BW154">
            <v>84790.938605165691</v>
          </cell>
          <cell r="BX154">
            <v>99147.410999784988</v>
          </cell>
          <cell r="BZ154">
            <v>20774.247235441733</v>
          </cell>
          <cell r="CA154">
            <v>37705.195620096798</v>
          </cell>
          <cell r="CC154">
            <v>2187.7578213535803</v>
          </cell>
          <cell r="CD154">
            <v>2174.033499821956</v>
          </cell>
          <cell r="CF154">
            <v>269.32624694693698</v>
          </cell>
          <cell r="CG154">
            <v>0</v>
          </cell>
          <cell r="CI154">
            <v>30621.87118988634</v>
          </cell>
          <cell r="CJ154">
            <v>21743.350791397497</v>
          </cell>
          <cell r="CL154">
            <v>17369.863364434303</v>
          </cell>
          <cell r="CM154">
            <v>20785.24973871982</v>
          </cell>
          <cell r="CX154">
            <v>21416.035261159617</v>
          </cell>
          <cell r="CY154">
            <v>56392.808637200993</v>
          </cell>
        </row>
        <row r="155"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236.75441072341246</v>
          </cell>
          <cell r="AQ155">
            <v>70.071844713601308</v>
          </cell>
          <cell r="AS155">
            <v>2113.5918291671687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0</v>
          </cell>
          <cell r="BF155">
            <v>0</v>
          </cell>
          <cell r="BH155">
            <v>0</v>
          </cell>
          <cell r="BI155">
            <v>0</v>
          </cell>
          <cell r="BK155">
            <v>0</v>
          </cell>
          <cell r="BL155">
            <v>0</v>
          </cell>
          <cell r="BN155">
            <v>0</v>
          </cell>
          <cell r="BO155">
            <v>0</v>
          </cell>
          <cell r="BT155">
            <v>215.34309678777765</v>
          </cell>
          <cell r="BU155">
            <v>1224.7771622384146</v>
          </cell>
          <cell r="BW155">
            <v>0</v>
          </cell>
          <cell r="BX155">
            <v>3.5729403598198584</v>
          </cell>
          <cell r="BZ155">
            <v>0</v>
          </cell>
          <cell r="CA155">
            <v>298.68719417428048</v>
          </cell>
          <cell r="CC155">
            <v>0</v>
          </cell>
          <cell r="CD155">
            <v>0</v>
          </cell>
          <cell r="CF155">
            <v>0</v>
          </cell>
          <cell r="CG155">
            <v>0</v>
          </cell>
          <cell r="CI155">
            <v>0</v>
          </cell>
          <cell r="CJ155">
            <v>0</v>
          </cell>
          <cell r="CL155">
            <v>0</v>
          </cell>
          <cell r="CM155">
            <v>0</v>
          </cell>
          <cell r="CX155">
            <v>15.252795985968305</v>
          </cell>
          <cell r="CY155">
            <v>1177.5490302166606</v>
          </cell>
        </row>
        <row r="156"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236.75441072341246</v>
          </cell>
          <cell r="AQ156">
            <v>93.429126284801754</v>
          </cell>
          <cell r="AS156">
            <v>2652.696404846834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0</v>
          </cell>
          <cell r="BH156">
            <v>0</v>
          </cell>
          <cell r="BI156">
            <v>0</v>
          </cell>
          <cell r="BK156">
            <v>0</v>
          </cell>
          <cell r="BL156">
            <v>0</v>
          </cell>
          <cell r="BN156">
            <v>0</v>
          </cell>
          <cell r="BO156">
            <v>0</v>
          </cell>
          <cell r="BT156">
            <v>957.08043016790054</v>
          </cell>
          <cell r="BU156">
            <v>1377.9852794227661</v>
          </cell>
          <cell r="BW156">
            <v>0</v>
          </cell>
          <cell r="BX156">
            <v>6.8231218795475899</v>
          </cell>
          <cell r="BZ156">
            <v>0</v>
          </cell>
          <cell r="CA156">
            <v>336.0408748940165</v>
          </cell>
          <cell r="CC156">
            <v>0</v>
          </cell>
          <cell r="CD156">
            <v>0</v>
          </cell>
          <cell r="CF156">
            <v>0</v>
          </cell>
          <cell r="CG156">
            <v>0</v>
          </cell>
          <cell r="CI156">
            <v>0</v>
          </cell>
          <cell r="CJ156">
            <v>0</v>
          </cell>
          <cell r="CL156">
            <v>0</v>
          </cell>
          <cell r="CM156">
            <v>0</v>
          </cell>
          <cell r="CX156">
            <v>115.28250511422425</v>
          </cell>
          <cell r="CY156">
            <v>2553.9859170226414</v>
          </cell>
        </row>
        <row r="157">
          <cell r="I157">
            <v>20625.612762451961</v>
          </cell>
          <cell r="J157">
            <v>17211.801717676535</v>
          </cell>
          <cell r="L157">
            <v>3527.0897913507779</v>
          </cell>
          <cell r="M157">
            <v>3215.4200840488484</v>
          </cell>
          <cell r="O157">
            <v>12571.92</v>
          </cell>
          <cell r="P157">
            <v>9882.1830159946239</v>
          </cell>
          <cell r="R157">
            <v>2342.64</v>
          </cell>
          <cell r="S157">
            <v>1840.9431270161292</v>
          </cell>
          <cell r="U157">
            <v>3457.4511614254002</v>
          </cell>
          <cell r="V157">
            <v>1309.3713096608872</v>
          </cell>
          <cell r="X157">
            <v>15615.975099385088</v>
          </cell>
          <cell r="Y157">
            <v>11525.306028505223</v>
          </cell>
          <cell r="AA157">
            <v>0</v>
          </cell>
          <cell r="AB157">
            <v>0</v>
          </cell>
          <cell r="AD157">
            <v>31748.476717193204</v>
          </cell>
          <cell r="AE157">
            <v>30131.435425380299</v>
          </cell>
          <cell r="AJ157">
            <v>70965.223866981061</v>
          </cell>
          <cell r="AK157">
            <v>70519.897241984261</v>
          </cell>
          <cell r="AM157">
            <v>0</v>
          </cell>
          <cell r="AN157">
            <v>1568.740563111608</v>
          </cell>
          <cell r="AP157">
            <v>5682.1058573619002</v>
          </cell>
          <cell r="AQ157">
            <v>5497.4941106324923</v>
          </cell>
          <cell r="AS157">
            <v>129933.42574774713</v>
          </cell>
          <cell r="AT157">
            <v>72492.821558685609</v>
          </cell>
          <cell r="AV157">
            <v>1713.6354169913027</v>
          </cell>
          <cell r="AW157">
            <v>16929.732779587001</v>
          </cell>
          <cell r="AY157">
            <v>2341.9396050431133</v>
          </cell>
          <cell r="AZ157">
            <v>15934.595092467254</v>
          </cell>
          <cell r="BB157">
            <v>2746.7723477039435</v>
          </cell>
          <cell r="BC157">
            <v>0</v>
          </cell>
          <cell r="BE157">
            <v>1143.8677440355241</v>
          </cell>
          <cell r="BF157">
            <v>0</v>
          </cell>
          <cell r="BH157">
            <v>1753.9358039059116</v>
          </cell>
          <cell r="BI157">
            <v>0</v>
          </cell>
          <cell r="BK157">
            <v>1388.5686105247341</v>
          </cell>
          <cell r="BL157">
            <v>10233.183642880589</v>
          </cell>
          <cell r="BN157">
            <v>858.12972459995842</v>
          </cell>
          <cell r="BO157">
            <v>0</v>
          </cell>
          <cell r="BT157">
            <v>109494.17865597284</v>
          </cell>
          <cell r="BU157">
            <v>142598.31457229398</v>
          </cell>
          <cell r="BW157">
            <v>43464.953605292132</v>
          </cell>
          <cell r="BX157">
            <v>50496.554848727959</v>
          </cell>
          <cell r="BZ157">
            <v>38951.713566453254</v>
          </cell>
          <cell r="CA157">
            <v>35023.318583370055</v>
          </cell>
          <cell r="CC157">
            <v>2207.1705688944967</v>
          </cell>
          <cell r="CD157">
            <v>2193.3244666125247</v>
          </cell>
          <cell r="CF157">
            <v>271.71607382223914</v>
          </cell>
          <cell r="CG157">
            <v>0</v>
          </cell>
          <cell r="CI157">
            <v>25979.924945942679</v>
          </cell>
          <cell r="CJ157">
            <v>17832.293343567169</v>
          </cell>
          <cell r="CL157">
            <v>10668.989350999522</v>
          </cell>
          <cell r="CM157">
            <v>13857.863029651095</v>
          </cell>
          <cell r="CX157">
            <v>16137.339571106248</v>
          </cell>
          <cell r="CY157">
            <v>27130.326549775018</v>
          </cell>
        </row>
        <row r="158">
          <cell r="I158">
            <v>10107.397816381092</v>
          </cell>
          <cell r="J158">
            <v>8620.2486775383841</v>
          </cell>
          <cell r="L158">
            <v>2818.7126271354537</v>
          </cell>
          <cell r="M158">
            <v>2582.9960205130319</v>
          </cell>
          <cell r="O158">
            <v>9513.8399999999983</v>
          </cell>
          <cell r="P158">
            <v>7478.1653547043006</v>
          </cell>
          <cell r="R158">
            <v>1938.36</v>
          </cell>
          <cell r="S158">
            <v>1523.2430844086025</v>
          </cell>
          <cell r="U158">
            <v>1090.3641185913455</v>
          </cell>
          <cell r="V158">
            <v>465.4042391146358</v>
          </cell>
          <cell r="X158">
            <v>12834.718424181272</v>
          </cell>
          <cell r="Y158">
            <v>9516.180267634576</v>
          </cell>
          <cell r="AA158">
            <v>0</v>
          </cell>
          <cell r="AB158">
            <v>0</v>
          </cell>
          <cell r="AD158">
            <v>26192.675014524557</v>
          </cell>
          <cell r="AE158">
            <v>24858.606693111655</v>
          </cell>
          <cell r="AJ158">
            <v>74280.498665686988</v>
          </cell>
          <cell r="AK158">
            <v>73814.390753940635</v>
          </cell>
          <cell r="AM158">
            <v>0</v>
          </cell>
          <cell r="AN158">
            <v>1045.3769813834533</v>
          </cell>
          <cell r="AP158">
            <v>4829.7899787576134</v>
          </cell>
          <cell r="AQ158">
            <v>4720.7358124040111</v>
          </cell>
          <cell r="AS158">
            <v>115620.46434241463</v>
          </cell>
          <cell r="AT158">
            <v>9899.6615315103427</v>
          </cell>
          <cell r="AV158">
            <v>518.65821468004685</v>
          </cell>
          <cell r="AW158">
            <v>659</v>
          </cell>
          <cell r="AY158">
            <v>720.85312188444175</v>
          </cell>
          <cell r="AZ158">
            <v>2777</v>
          </cell>
          <cell r="BB158">
            <v>468.109806074544</v>
          </cell>
          <cell r="BC158">
            <v>0</v>
          </cell>
          <cell r="BE158">
            <v>384.09316315831461</v>
          </cell>
          <cell r="BF158">
            <v>0</v>
          </cell>
          <cell r="BH158">
            <v>331.91870979101282</v>
          </cell>
          <cell r="BI158">
            <v>0</v>
          </cell>
          <cell r="BK158">
            <v>471.8681401886758</v>
          </cell>
          <cell r="BL158">
            <v>552</v>
          </cell>
          <cell r="BN158">
            <v>1106.6179815768044</v>
          </cell>
          <cell r="BO158">
            <v>0</v>
          </cell>
          <cell r="BT158">
            <v>85970.439508934505</v>
          </cell>
          <cell r="BU158">
            <v>88253.098862826853</v>
          </cell>
          <cell r="BW158">
            <v>38056.09575571031</v>
          </cell>
          <cell r="BX158">
            <v>44784.096797415121</v>
          </cell>
          <cell r="BZ158">
            <v>13009.872331195387</v>
          </cell>
          <cell r="CA158">
            <v>23877.470950746101</v>
          </cell>
          <cell r="CC158">
            <v>2470.7133233893619</v>
          </cell>
          <cell r="CD158">
            <v>2455.2139551632736</v>
          </cell>
          <cell r="CF158">
            <v>304.15978412937221</v>
          </cell>
          <cell r="CG158">
            <v>0</v>
          </cell>
          <cell r="CI158">
            <v>11848.193437162625</v>
          </cell>
          <cell r="CJ158">
            <v>4823.8404624644081</v>
          </cell>
          <cell r="CL158">
            <v>11005.904804188971</v>
          </cell>
          <cell r="CM158">
            <v>19613.974722386611</v>
          </cell>
          <cell r="CX158">
            <v>7641.5571163152053</v>
          </cell>
          <cell r="CY158">
            <v>119929.89379928084</v>
          </cell>
        </row>
        <row r="159"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P159">
            <v>236.75441072341246</v>
          </cell>
          <cell r="AQ159">
            <v>93.429126284801754</v>
          </cell>
          <cell r="AS159">
            <v>2036.6853319925365</v>
          </cell>
          <cell r="AT159">
            <v>0</v>
          </cell>
          <cell r="AV159">
            <v>0</v>
          </cell>
          <cell r="AW159">
            <v>0</v>
          </cell>
          <cell r="AY159">
            <v>0</v>
          </cell>
          <cell r="AZ159">
            <v>0</v>
          </cell>
          <cell r="BB159">
            <v>0</v>
          </cell>
          <cell r="BC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K159">
            <v>0</v>
          </cell>
          <cell r="BL159">
            <v>0</v>
          </cell>
          <cell r="BN159">
            <v>0</v>
          </cell>
          <cell r="BO159">
            <v>0</v>
          </cell>
          <cell r="BT159">
            <v>1100.6424946930854</v>
          </cell>
          <cell r="BU159">
            <v>2296.5948278425603</v>
          </cell>
          <cell r="BW159">
            <v>0</v>
          </cell>
          <cell r="BX159">
            <v>5.1609138530731284</v>
          </cell>
          <cell r="BZ159">
            <v>0</v>
          </cell>
          <cell r="CA159">
            <v>560.08080851773138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0</v>
          </cell>
          <cell r="CJ159">
            <v>0</v>
          </cell>
          <cell r="CL159">
            <v>0</v>
          </cell>
          <cell r="CM159">
            <v>0</v>
          </cell>
          <cell r="CX159">
            <v>182.18131510915964</v>
          </cell>
          <cell r="CY159">
            <v>684.76118820220017</v>
          </cell>
        </row>
        <row r="160"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X160">
            <v>0</v>
          </cell>
          <cell r="Y160">
            <v>0</v>
          </cell>
          <cell r="AA160">
            <v>0</v>
          </cell>
          <cell r="AB160">
            <v>0</v>
          </cell>
          <cell r="AD160">
            <v>0</v>
          </cell>
          <cell r="AE160">
            <v>0</v>
          </cell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P160">
            <v>331.45617501277735</v>
          </cell>
          <cell r="AQ160">
            <v>117.95256761001556</v>
          </cell>
          <cell r="AS160">
            <v>1939.4149335927589</v>
          </cell>
          <cell r="AT160">
            <v>0</v>
          </cell>
          <cell r="AV160">
            <v>0</v>
          </cell>
          <cell r="AW160">
            <v>0</v>
          </cell>
          <cell r="AY160">
            <v>0</v>
          </cell>
          <cell r="AZ160">
            <v>0</v>
          </cell>
          <cell r="BB160">
            <v>0</v>
          </cell>
          <cell r="BC160">
            <v>0</v>
          </cell>
          <cell r="BE160">
            <v>0</v>
          </cell>
          <cell r="BF160">
            <v>0</v>
          </cell>
          <cell r="BH160">
            <v>0</v>
          </cell>
          <cell r="BI160">
            <v>0</v>
          </cell>
          <cell r="BK160">
            <v>0</v>
          </cell>
          <cell r="BL160">
            <v>0</v>
          </cell>
          <cell r="BN160">
            <v>0</v>
          </cell>
          <cell r="BO160">
            <v>0</v>
          </cell>
          <cell r="BT160">
            <v>957.08043016790054</v>
          </cell>
          <cell r="BU160">
            <v>2296.5948278425603</v>
          </cell>
          <cell r="BW160">
            <v>0</v>
          </cell>
          <cell r="BX160">
            <v>5.2093276790869485</v>
          </cell>
          <cell r="BZ160">
            <v>0</v>
          </cell>
          <cell r="CA160">
            <v>560.08080851773138</v>
          </cell>
          <cell r="CC160">
            <v>0</v>
          </cell>
          <cell r="CD160">
            <v>0</v>
          </cell>
          <cell r="CF160">
            <v>0</v>
          </cell>
          <cell r="CG160">
            <v>0</v>
          </cell>
          <cell r="CI160">
            <v>0</v>
          </cell>
          <cell r="CJ160">
            <v>0</v>
          </cell>
          <cell r="CL160">
            <v>0</v>
          </cell>
          <cell r="CM160">
            <v>0</v>
          </cell>
          <cell r="CX160">
            <v>154.97815347187543</v>
          </cell>
          <cell r="CY160">
            <v>452.71496202072694</v>
          </cell>
        </row>
        <row r="161">
          <cell r="I161">
            <v>14086.156130760306</v>
          </cell>
          <cell r="J161">
            <v>11827.464254560422</v>
          </cell>
          <cell r="L161">
            <v>1864.152702285752</v>
          </cell>
          <cell r="M161">
            <v>1961.5673707178339</v>
          </cell>
          <cell r="O161">
            <v>8901.2400000000016</v>
          </cell>
          <cell r="P161">
            <v>6996.26284704301</v>
          </cell>
          <cell r="R161">
            <v>1868.1600000000005</v>
          </cell>
          <cell r="S161">
            <v>1468.2215416666668</v>
          </cell>
          <cell r="U161">
            <v>1728.7253356407509</v>
          </cell>
          <cell r="V161">
            <v>664.39921918791538</v>
          </cell>
          <cell r="X161">
            <v>15429.899657356016</v>
          </cell>
          <cell r="Y161">
            <v>12132.464587325687</v>
          </cell>
          <cell r="AA161">
            <v>0</v>
          </cell>
          <cell r="AB161">
            <v>0</v>
          </cell>
          <cell r="AD161">
            <v>25740.505829888225</v>
          </cell>
          <cell r="AE161">
            <v>24429.467786398756</v>
          </cell>
          <cell r="AJ161">
            <v>85841.511787988129</v>
          </cell>
          <cell r="AK161">
            <v>85302.859834478862</v>
          </cell>
          <cell r="AM161">
            <v>0</v>
          </cell>
          <cell r="AN161">
            <v>0</v>
          </cell>
          <cell r="AP161">
            <v>5066.544389481026</v>
          </cell>
          <cell r="AQ161">
            <v>5015.1552337716339</v>
          </cell>
          <cell r="AS161">
            <v>105825.06924715194</v>
          </cell>
          <cell r="AT161">
            <v>73753.094718186694</v>
          </cell>
          <cell r="AV161">
            <v>1018.8785603844714</v>
          </cell>
          <cell r="AW161">
            <v>1603.1672804069544</v>
          </cell>
          <cell r="AY161">
            <v>1270.1803176525073</v>
          </cell>
          <cell r="AZ161">
            <v>4410</v>
          </cell>
          <cell r="BB161">
            <v>2107.4458868333245</v>
          </cell>
          <cell r="BC161">
            <v>0</v>
          </cell>
          <cell r="BE161">
            <v>796.55683979232253</v>
          </cell>
          <cell r="BF161">
            <v>0</v>
          </cell>
          <cell r="BH161">
            <v>876.9679019529558</v>
          </cell>
          <cell r="BI161">
            <v>0</v>
          </cell>
          <cell r="BK161">
            <v>1392.9619780179046</v>
          </cell>
          <cell r="BL161">
            <v>12638.847426599454</v>
          </cell>
          <cell r="BN161">
            <v>1106.6179815768044</v>
          </cell>
          <cell r="BO161">
            <v>0</v>
          </cell>
          <cell r="BT161">
            <v>80724.998630992966</v>
          </cell>
          <cell r="BU161">
            <v>75145.037486950721</v>
          </cell>
          <cell r="BW161">
            <v>61419.932741280842</v>
          </cell>
          <cell r="BX161">
            <v>47360.632405400669</v>
          </cell>
          <cell r="BZ161">
            <v>9348.4112559487785</v>
          </cell>
          <cell r="CA161">
            <v>12630.568687832065</v>
          </cell>
          <cell r="CC161">
            <v>2701.607366110868</v>
          </cell>
          <cell r="CD161">
            <v>2684.6595450207947</v>
          </cell>
          <cell r="CF161">
            <v>332.5842401462242</v>
          </cell>
          <cell r="CG161">
            <v>0</v>
          </cell>
          <cell r="CI161">
            <v>27683.219737067175</v>
          </cell>
          <cell r="CJ161">
            <v>22836.632236205955</v>
          </cell>
          <cell r="CL161">
            <v>12128.9563148205</v>
          </cell>
          <cell r="CM161">
            <v>14972.37453556756</v>
          </cell>
          <cell r="CX161">
            <v>14008.578200244228</v>
          </cell>
          <cell r="CY161">
            <v>75722.667603214082</v>
          </cell>
        </row>
        <row r="162"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P162">
            <v>426.15793930214227</v>
          </cell>
          <cell r="AQ162">
            <v>140.14368942720262</v>
          </cell>
          <cell r="AS162">
            <v>162.45600000000002</v>
          </cell>
          <cell r="AT162">
            <v>769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0</v>
          </cell>
          <cell r="BC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T162">
            <v>0</v>
          </cell>
          <cell r="BU162">
            <v>0</v>
          </cell>
          <cell r="BW162">
            <v>0</v>
          </cell>
          <cell r="BX162">
            <v>3.4954782381977472</v>
          </cell>
          <cell r="BZ162">
            <v>0</v>
          </cell>
          <cell r="CA162">
            <v>0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X162">
            <v>-1.6727162570816745E-2</v>
          </cell>
          <cell r="CY162">
            <v>-388.84700119848037</v>
          </cell>
        </row>
        <row r="163"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106.5394848255356</v>
          </cell>
          <cell r="AQ163">
            <v>0</v>
          </cell>
          <cell r="AS163">
            <v>310.36516869351101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  <cell r="BK163">
            <v>0</v>
          </cell>
          <cell r="BL163">
            <v>0</v>
          </cell>
          <cell r="BN163">
            <v>0</v>
          </cell>
          <cell r="BO163">
            <v>0</v>
          </cell>
          <cell r="BT163">
            <v>0</v>
          </cell>
          <cell r="BU163">
            <v>0</v>
          </cell>
          <cell r="BW163">
            <v>0</v>
          </cell>
          <cell r="BX163">
            <v>1.3406325110465054</v>
          </cell>
          <cell r="BZ163">
            <v>0</v>
          </cell>
          <cell r="CA163">
            <v>0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0</v>
          </cell>
          <cell r="CJ163">
            <v>0</v>
          </cell>
          <cell r="CL163">
            <v>0</v>
          </cell>
          <cell r="CM163">
            <v>0</v>
          </cell>
          <cell r="CX163">
            <v>-5.584222855986809E-3</v>
          </cell>
          <cell r="CY163">
            <v>498.67124098674424</v>
          </cell>
        </row>
        <row r="164"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D164">
            <v>0</v>
          </cell>
          <cell r="AE164">
            <v>0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P164">
            <v>106.5394848255356</v>
          </cell>
          <cell r="AQ164">
            <v>0</v>
          </cell>
          <cell r="AS164">
            <v>424.9816527828757</v>
          </cell>
          <cell r="AT164">
            <v>0</v>
          </cell>
          <cell r="AV164">
            <v>0</v>
          </cell>
          <cell r="AW164">
            <v>0</v>
          </cell>
          <cell r="AY164">
            <v>0</v>
          </cell>
          <cell r="AZ164">
            <v>0</v>
          </cell>
          <cell r="BB164">
            <v>0</v>
          </cell>
          <cell r="BC164">
            <v>0</v>
          </cell>
          <cell r="BE164">
            <v>0</v>
          </cell>
          <cell r="BF164">
            <v>0</v>
          </cell>
          <cell r="BH164">
            <v>0</v>
          </cell>
          <cell r="BI164">
            <v>0</v>
          </cell>
          <cell r="BK164">
            <v>0</v>
          </cell>
          <cell r="BL164">
            <v>0</v>
          </cell>
          <cell r="BN164">
            <v>0</v>
          </cell>
          <cell r="BO164">
            <v>0</v>
          </cell>
          <cell r="BT164">
            <v>0</v>
          </cell>
          <cell r="BU164">
            <v>0</v>
          </cell>
          <cell r="BW164">
            <v>0</v>
          </cell>
          <cell r="BX164">
            <v>1.8528952494779598</v>
          </cell>
          <cell r="BZ164">
            <v>0</v>
          </cell>
          <cell r="CA164">
            <v>0</v>
          </cell>
          <cell r="CC164">
            <v>0</v>
          </cell>
          <cell r="CD164">
            <v>0</v>
          </cell>
          <cell r="CF164">
            <v>0</v>
          </cell>
          <cell r="CG164">
            <v>0</v>
          </cell>
          <cell r="CI164">
            <v>0</v>
          </cell>
          <cell r="CJ164">
            <v>0</v>
          </cell>
          <cell r="CL164">
            <v>0</v>
          </cell>
          <cell r="CM164">
            <v>0</v>
          </cell>
          <cell r="CX164">
            <v>3.4634869906511767E-2</v>
          </cell>
          <cell r="CY164">
            <v>635.63652570062652</v>
          </cell>
        </row>
        <row r="165"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D165">
            <v>0</v>
          </cell>
          <cell r="AE165">
            <v>0</v>
          </cell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P165">
            <v>284.10529286809492</v>
          </cell>
          <cell r="AQ165">
            <v>140.14368942720262</v>
          </cell>
          <cell r="AS165">
            <v>1980.3936856804623</v>
          </cell>
          <cell r="AT165">
            <v>0</v>
          </cell>
          <cell r="AV165">
            <v>0</v>
          </cell>
          <cell r="AW165">
            <v>0</v>
          </cell>
          <cell r="AY165">
            <v>0</v>
          </cell>
          <cell r="AZ165">
            <v>0</v>
          </cell>
          <cell r="BB165">
            <v>0</v>
          </cell>
          <cell r="BC165">
            <v>0</v>
          </cell>
          <cell r="BE165">
            <v>0</v>
          </cell>
          <cell r="BF165">
            <v>0</v>
          </cell>
          <cell r="BH165">
            <v>0</v>
          </cell>
          <cell r="BI165">
            <v>0</v>
          </cell>
          <cell r="BK165">
            <v>0</v>
          </cell>
          <cell r="BL165">
            <v>0</v>
          </cell>
          <cell r="BN165">
            <v>0</v>
          </cell>
          <cell r="BO165">
            <v>0</v>
          </cell>
          <cell r="BT165">
            <v>0</v>
          </cell>
          <cell r="BU165">
            <v>0</v>
          </cell>
          <cell r="BW165">
            <v>0</v>
          </cell>
          <cell r="BX165">
            <v>4.4314788744649203</v>
          </cell>
          <cell r="BZ165">
            <v>0</v>
          </cell>
          <cell r="CA165">
            <v>0</v>
          </cell>
          <cell r="CC165">
            <v>0</v>
          </cell>
          <cell r="CD165">
            <v>0</v>
          </cell>
          <cell r="CF165">
            <v>0</v>
          </cell>
          <cell r="CG165">
            <v>0</v>
          </cell>
          <cell r="CI165">
            <v>0</v>
          </cell>
          <cell r="CJ165">
            <v>0</v>
          </cell>
          <cell r="CL165">
            <v>0</v>
          </cell>
          <cell r="CM165">
            <v>0</v>
          </cell>
          <cell r="CX165">
            <v>67.92122574173186</v>
          </cell>
          <cell r="CY165">
            <v>2611.8297980379989</v>
          </cell>
        </row>
        <row r="166">
          <cell r="I166">
            <v>0.29707457968954226</v>
          </cell>
          <cell r="J166">
            <v>0.27806222273415621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D166">
            <v>0</v>
          </cell>
          <cell r="AE166">
            <v>0</v>
          </cell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P166">
            <v>378.80705715745984</v>
          </cell>
          <cell r="AQ166">
            <v>186.85825256960351</v>
          </cell>
          <cell r="AS166">
            <v>2948.0032961762176</v>
          </cell>
          <cell r="AT166">
            <v>0</v>
          </cell>
          <cell r="AV166">
            <v>1.4844325232435193E-2</v>
          </cell>
          <cell r="AW166">
            <v>0</v>
          </cell>
          <cell r="AY166">
            <v>0</v>
          </cell>
          <cell r="AZ166">
            <v>0</v>
          </cell>
          <cell r="BB166">
            <v>0</v>
          </cell>
          <cell r="BC166">
            <v>0</v>
          </cell>
          <cell r="BE166">
            <v>0</v>
          </cell>
          <cell r="BF166">
            <v>0</v>
          </cell>
          <cell r="BH166">
            <v>0</v>
          </cell>
          <cell r="BI166">
            <v>0</v>
          </cell>
          <cell r="BK166">
            <v>0</v>
          </cell>
          <cell r="BL166">
            <v>0</v>
          </cell>
          <cell r="BN166">
            <v>0</v>
          </cell>
          <cell r="BO166">
            <v>0</v>
          </cell>
          <cell r="BT166">
            <v>0</v>
          </cell>
          <cell r="BU166">
            <v>0</v>
          </cell>
          <cell r="BW166">
            <v>0</v>
          </cell>
          <cell r="BX166">
            <v>6.8295770563494305</v>
          </cell>
          <cell r="BZ166">
            <v>0</v>
          </cell>
          <cell r="CA166">
            <v>0</v>
          </cell>
          <cell r="CC166">
            <v>0</v>
          </cell>
          <cell r="CD166">
            <v>0</v>
          </cell>
          <cell r="CF166">
            <v>0</v>
          </cell>
          <cell r="CG166">
            <v>0</v>
          </cell>
          <cell r="CI166">
            <v>0</v>
          </cell>
          <cell r="CJ166">
            <v>0</v>
          </cell>
          <cell r="CL166">
            <v>0</v>
          </cell>
          <cell r="CM166">
            <v>0</v>
          </cell>
          <cell r="CX166">
            <v>99.813273313679019</v>
          </cell>
          <cell r="CY166">
            <v>3859.6009297815749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D167">
            <v>0</v>
          </cell>
          <cell r="AE167">
            <v>0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P167">
            <v>236.75441072341246</v>
          </cell>
          <cell r="AQ167">
            <v>116.78640785600219</v>
          </cell>
          <cell r="AS167">
            <v>2661.531840831618</v>
          </cell>
          <cell r="AT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E167">
            <v>0</v>
          </cell>
          <cell r="BF167">
            <v>0</v>
          </cell>
          <cell r="BH167">
            <v>0</v>
          </cell>
          <cell r="BI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T167">
            <v>0</v>
          </cell>
          <cell r="BU167">
            <v>131.50863020466909</v>
          </cell>
          <cell r="BW167">
            <v>0</v>
          </cell>
          <cell r="BX167">
            <v>5.8290246520638327</v>
          </cell>
          <cell r="BZ167">
            <v>0</v>
          </cell>
          <cell r="CA167">
            <v>0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X167">
            <v>87.016498133963069</v>
          </cell>
          <cell r="CY167">
            <v>3260.011124744718</v>
          </cell>
        </row>
        <row r="168"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P168">
            <v>331.45617501277735</v>
          </cell>
          <cell r="AQ168">
            <v>93.429126284801754</v>
          </cell>
          <cell r="AS168">
            <v>1719.6101674778683</v>
          </cell>
          <cell r="AT168">
            <v>0</v>
          </cell>
          <cell r="AV168">
            <v>0</v>
          </cell>
          <cell r="AW168">
            <v>0</v>
          </cell>
          <cell r="AY168">
            <v>0</v>
          </cell>
          <cell r="AZ168">
            <v>0</v>
          </cell>
          <cell r="BB168">
            <v>0</v>
          </cell>
          <cell r="BC168">
            <v>0</v>
          </cell>
          <cell r="BE168">
            <v>0</v>
          </cell>
          <cell r="BF168">
            <v>0</v>
          </cell>
          <cell r="BH168">
            <v>0</v>
          </cell>
          <cell r="BI168">
            <v>0</v>
          </cell>
          <cell r="BK168">
            <v>0</v>
          </cell>
          <cell r="BL168">
            <v>0</v>
          </cell>
          <cell r="BN168">
            <v>0</v>
          </cell>
          <cell r="BO168">
            <v>0</v>
          </cell>
          <cell r="BT168">
            <v>0</v>
          </cell>
          <cell r="BU168">
            <v>0</v>
          </cell>
          <cell r="BW168">
            <v>0</v>
          </cell>
          <cell r="BX168">
            <v>3.3050505225433922</v>
          </cell>
          <cell r="BZ168">
            <v>0</v>
          </cell>
          <cell r="CA168">
            <v>0</v>
          </cell>
          <cell r="CC168">
            <v>0</v>
          </cell>
          <cell r="CD168">
            <v>0</v>
          </cell>
          <cell r="CF168">
            <v>0</v>
          </cell>
          <cell r="CG168">
            <v>0</v>
          </cell>
          <cell r="CI168">
            <v>0</v>
          </cell>
          <cell r="CJ168">
            <v>0</v>
          </cell>
          <cell r="CL168">
            <v>0</v>
          </cell>
          <cell r="CM168">
            <v>0</v>
          </cell>
          <cell r="CX168">
            <v>61.600389011224934</v>
          </cell>
          <cell r="CY168">
            <v>2406.7989878311855</v>
          </cell>
        </row>
        <row r="169"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P169">
            <v>426.15793930214227</v>
          </cell>
          <cell r="AQ169">
            <v>93.429126284801754</v>
          </cell>
          <cell r="AS169">
            <v>2707.0823180135071</v>
          </cell>
          <cell r="AT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0</v>
          </cell>
          <cell r="BB169">
            <v>0</v>
          </cell>
          <cell r="BC169">
            <v>0</v>
          </cell>
          <cell r="BE169">
            <v>0</v>
          </cell>
          <cell r="BF169">
            <v>0</v>
          </cell>
          <cell r="BH169">
            <v>0</v>
          </cell>
          <cell r="BI169">
            <v>0</v>
          </cell>
          <cell r="BK169">
            <v>0</v>
          </cell>
          <cell r="BL169">
            <v>0</v>
          </cell>
          <cell r="BN169">
            <v>0</v>
          </cell>
          <cell r="BO169">
            <v>0</v>
          </cell>
          <cell r="BT169">
            <v>0</v>
          </cell>
          <cell r="BU169">
            <v>0</v>
          </cell>
          <cell r="BW169">
            <v>0</v>
          </cell>
          <cell r="BX169">
            <v>5.8167598161403333</v>
          </cell>
          <cell r="BZ169">
            <v>0</v>
          </cell>
          <cell r="CA169">
            <v>0</v>
          </cell>
          <cell r="CC169">
            <v>0</v>
          </cell>
          <cell r="CD169">
            <v>0</v>
          </cell>
          <cell r="CF169">
            <v>0</v>
          </cell>
          <cell r="CG169">
            <v>0</v>
          </cell>
          <cell r="CI169">
            <v>0</v>
          </cell>
          <cell r="CJ169">
            <v>0</v>
          </cell>
          <cell r="CL169">
            <v>0</v>
          </cell>
          <cell r="CM169">
            <v>0</v>
          </cell>
          <cell r="CX169">
            <v>94.031691221220626</v>
          </cell>
          <cell r="CY169">
            <v>3734.8249366788705</v>
          </cell>
        </row>
        <row r="170"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P170">
            <v>378.80705715745984</v>
          </cell>
          <cell r="AQ170">
            <v>163.50097099840306</v>
          </cell>
          <cell r="AS170">
            <v>4198.0550126458775</v>
          </cell>
          <cell r="AT170">
            <v>0</v>
          </cell>
          <cell r="AV170">
            <v>0</v>
          </cell>
          <cell r="AW170">
            <v>0</v>
          </cell>
          <cell r="AY170">
            <v>0</v>
          </cell>
          <cell r="AZ170">
            <v>0</v>
          </cell>
          <cell r="BB170">
            <v>0</v>
          </cell>
          <cell r="BC170">
            <v>0</v>
          </cell>
          <cell r="BE170">
            <v>0</v>
          </cell>
          <cell r="BF170">
            <v>0</v>
          </cell>
          <cell r="BH170">
            <v>0</v>
          </cell>
          <cell r="BI170">
            <v>0</v>
          </cell>
          <cell r="BK170">
            <v>0</v>
          </cell>
          <cell r="BL170">
            <v>0</v>
          </cell>
          <cell r="BN170">
            <v>0</v>
          </cell>
          <cell r="BO170">
            <v>0</v>
          </cell>
          <cell r="BT170">
            <v>0</v>
          </cell>
          <cell r="BU170">
            <v>0</v>
          </cell>
          <cell r="BW170">
            <v>0</v>
          </cell>
          <cell r="BX170">
            <v>10.641358957837463</v>
          </cell>
          <cell r="BZ170">
            <v>0</v>
          </cell>
          <cell r="CA170">
            <v>0</v>
          </cell>
          <cell r="CC170">
            <v>0</v>
          </cell>
          <cell r="CD170">
            <v>0</v>
          </cell>
          <cell r="CF170">
            <v>0</v>
          </cell>
          <cell r="CG170">
            <v>0</v>
          </cell>
          <cell r="CI170">
            <v>0</v>
          </cell>
          <cell r="CJ170">
            <v>0</v>
          </cell>
          <cell r="CL170">
            <v>0</v>
          </cell>
          <cell r="CM170">
            <v>0</v>
          </cell>
          <cell r="CX170">
            <v>149.44551623599432</v>
          </cell>
          <cell r="CY170">
            <v>5432.7092040525113</v>
          </cell>
        </row>
        <row r="171"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X171">
            <v>0</v>
          </cell>
          <cell r="Y171">
            <v>0</v>
          </cell>
          <cell r="AA171">
            <v>0</v>
          </cell>
          <cell r="AB171">
            <v>0</v>
          </cell>
          <cell r="AD171">
            <v>0</v>
          </cell>
          <cell r="AE171">
            <v>0</v>
          </cell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P171">
            <v>189.40352857872992</v>
          </cell>
          <cell r="AQ171">
            <v>70.071844713601308</v>
          </cell>
          <cell r="AS171">
            <v>1758.8982184726772</v>
          </cell>
          <cell r="AT171">
            <v>0</v>
          </cell>
          <cell r="AV171">
            <v>0</v>
          </cell>
          <cell r="AW171">
            <v>0</v>
          </cell>
          <cell r="AY171">
            <v>0</v>
          </cell>
          <cell r="AZ171">
            <v>0</v>
          </cell>
          <cell r="BB171">
            <v>0</v>
          </cell>
          <cell r="BC171">
            <v>0</v>
          </cell>
          <cell r="BE171">
            <v>0</v>
          </cell>
          <cell r="BF171">
            <v>0</v>
          </cell>
          <cell r="BH171">
            <v>0</v>
          </cell>
          <cell r="BI171">
            <v>0</v>
          </cell>
          <cell r="BK171">
            <v>0</v>
          </cell>
          <cell r="BL171">
            <v>0</v>
          </cell>
          <cell r="BN171">
            <v>0</v>
          </cell>
          <cell r="BO171">
            <v>0</v>
          </cell>
          <cell r="BT171">
            <v>0</v>
          </cell>
          <cell r="BU171">
            <v>0</v>
          </cell>
          <cell r="BW171">
            <v>0</v>
          </cell>
          <cell r="BX171">
            <v>4.8994791925985055</v>
          </cell>
          <cell r="BZ171">
            <v>0</v>
          </cell>
          <cell r="CA171">
            <v>0</v>
          </cell>
          <cell r="CC171">
            <v>0</v>
          </cell>
          <cell r="CD171">
            <v>0</v>
          </cell>
          <cell r="CF171">
            <v>0</v>
          </cell>
          <cell r="CG171">
            <v>0</v>
          </cell>
          <cell r="CI171">
            <v>0</v>
          </cell>
          <cell r="CJ171">
            <v>0</v>
          </cell>
          <cell r="CL171">
            <v>0</v>
          </cell>
          <cell r="CM171">
            <v>0</v>
          </cell>
          <cell r="CX171">
            <v>58.557903538311962</v>
          </cell>
          <cell r="CY171">
            <v>2306.5544113125607</v>
          </cell>
        </row>
        <row r="172">
          <cell r="I172">
            <v>16676.175840193606</v>
          </cell>
          <cell r="J172">
            <v>16284.979372516893</v>
          </cell>
          <cell r="L172">
            <v>3452.8130065169785</v>
          </cell>
          <cell r="M172">
            <v>3432.4036304075694</v>
          </cell>
          <cell r="O172">
            <v>5976.1200000000017</v>
          </cell>
          <cell r="P172">
            <v>5977.7999999999993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X172">
            <v>13072.031148694265</v>
          </cell>
          <cell r="Y172">
            <v>10666.176821672774</v>
          </cell>
          <cell r="AA172">
            <v>0</v>
          </cell>
          <cell r="AB172">
            <v>0</v>
          </cell>
          <cell r="AD172">
            <v>19367.934787746944</v>
          </cell>
          <cell r="AE172">
            <v>18381.470127791592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14063.211996970698</v>
          </cell>
          <cell r="AQ172">
            <v>11722.727372091347</v>
          </cell>
          <cell r="AS172">
            <v>62546.713719935135</v>
          </cell>
          <cell r="AT172">
            <v>38970</v>
          </cell>
          <cell r="AV172">
            <v>2728.3265049784609</v>
          </cell>
          <cell r="AW172">
            <v>2174</v>
          </cell>
          <cell r="AY172">
            <v>4450.1310750788462</v>
          </cell>
          <cell r="AZ172">
            <v>923</v>
          </cell>
          <cell r="BB172">
            <v>3665.0130763925531</v>
          </cell>
          <cell r="BC172">
            <v>0</v>
          </cell>
          <cell r="BE172">
            <v>0</v>
          </cell>
          <cell r="BF172">
            <v>0</v>
          </cell>
          <cell r="BH172">
            <v>0</v>
          </cell>
          <cell r="BI172">
            <v>0</v>
          </cell>
          <cell r="BK172">
            <v>1918.0614651354692</v>
          </cell>
          <cell r="BL172">
            <v>976</v>
          </cell>
          <cell r="BN172">
            <v>0</v>
          </cell>
          <cell r="BO172">
            <v>0</v>
          </cell>
          <cell r="BT172">
            <v>32176.742146567656</v>
          </cell>
          <cell r="BU172">
            <v>46631.928649394999</v>
          </cell>
          <cell r="BW172">
            <v>25195.995908840443</v>
          </cell>
          <cell r="BX172">
            <v>28366.563832920754</v>
          </cell>
          <cell r="BZ172">
            <v>12722.966389891159</v>
          </cell>
          <cell r="CA172">
            <v>9644.8643816117892</v>
          </cell>
          <cell r="CC172">
            <v>2653.6637623355746</v>
          </cell>
          <cell r="CD172">
            <v>2637.0167027956027</v>
          </cell>
          <cell r="CF172">
            <v>326.68209195418996</v>
          </cell>
          <cell r="CG172">
            <v>0</v>
          </cell>
          <cell r="CI172">
            <v>7468.2925456996609</v>
          </cell>
          <cell r="CJ172">
            <v>6287.9730639211366</v>
          </cell>
          <cell r="CL172">
            <v>0</v>
          </cell>
          <cell r="CM172">
            <v>0</v>
          </cell>
          <cell r="CX172">
            <v>11112.749439681997</v>
          </cell>
          <cell r="CY172">
            <v>41573.515253850615</v>
          </cell>
        </row>
        <row r="173">
          <cell r="I173">
            <v>7246.8986218241662</v>
          </cell>
          <cell r="J173">
            <v>6913.8281495269512</v>
          </cell>
          <cell r="L173">
            <v>1353.4305365480398</v>
          </cell>
          <cell r="M173">
            <v>1344.78355071697</v>
          </cell>
          <cell r="O173">
            <v>2985.2400000000002</v>
          </cell>
          <cell r="P173">
            <v>2985.84</v>
          </cell>
          <cell r="R173">
            <v>667.56000000000006</v>
          </cell>
          <cell r="S173">
            <v>667.68</v>
          </cell>
          <cell r="U173">
            <v>0</v>
          </cell>
          <cell r="V173">
            <v>0</v>
          </cell>
          <cell r="X173">
            <v>5031.678765618055</v>
          </cell>
          <cell r="Y173">
            <v>4907.6993969074738</v>
          </cell>
          <cell r="AA173">
            <v>0</v>
          </cell>
          <cell r="AB173">
            <v>0</v>
          </cell>
          <cell r="AD173">
            <v>8789.3992996541929</v>
          </cell>
          <cell r="AE173">
            <v>8341.7298972958943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2272.8423429447594</v>
          </cell>
          <cell r="AQ173">
            <v>2206.4795136925354</v>
          </cell>
          <cell r="AS173">
            <v>25833.173347294232</v>
          </cell>
          <cell r="AT173">
            <v>56437</v>
          </cell>
          <cell r="AV173">
            <v>1144.7436804979795</v>
          </cell>
          <cell r="AW173">
            <v>0</v>
          </cell>
          <cell r="AY173">
            <v>1744.4969349909506</v>
          </cell>
          <cell r="AZ173">
            <v>1858</v>
          </cell>
          <cell r="BB173">
            <v>1224.9330211872611</v>
          </cell>
          <cell r="BC173">
            <v>767</v>
          </cell>
          <cell r="BE173">
            <v>696.27999111277632</v>
          </cell>
          <cell r="BF173">
            <v>0</v>
          </cell>
          <cell r="BH173">
            <v>0</v>
          </cell>
          <cell r="BI173">
            <v>0</v>
          </cell>
          <cell r="BK173">
            <v>1116.5477701656484</v>
          </cell>
          <cell r="BL173">
            <v>0</v>
          </cell>
          <cell r="BN173">
            <v>0</v>
          </cell>
          <cell r="BO173">
            <v>0</v>
          </cell>
          <cell r="BT173">
            <v>26419.319275117046</v>
          </cell>
          <cell r="BU173">
            <v>32977.65187467869</v>
          </cell>
          <cell r="BW173">
            <v>10851.713154798017</v>
          </cell>
          <cell r="BX173">
            <v>12229.396846733318</v>
          </cell>
          <cell r="BZ173">
            <v>4560.5374278635609</v>
          </cell>
          <cell r="CA173">
            <v>5763.3451748644966</v>
          </cell>
          <cell r="CC173">
            <v>1536.9307534174329</v>
          </cell>
          <cell r="CD173">
            <v>1527.2892237993635</v>
          </cell>
          <cell r="CF173">
            <v>189.20549047752488</v>
          </cell>
          <cell r="CG173">
            <v>0</v>
          </cell>
          <cell r="CI173">
            <v>4417.3359418173441</v>
          </cell>
          <cell r="CJ173">
            <v>1207.5932526756023</v>
          </cell>
          <cell r="CL173">
            <v>0</v>
          </cell>
          <cell r="CM173">
            <v>0</v>
          </cell>
          <cell r="CX173">
            <v>1945.4803736052345</v>
          </cell>
          <cell r="CY173">
            <v>-36518.180257069558</v>
          </cell>
        </row>
        <row r="174">
          <cell r="I174">
            <v>1777.6970902092744</v>
          </cell>
          <cell r="J174">
            <v>1691.8367759594153</v>
          </cell>
          <cell r="L174">
            <v>288.49880767471757</v>
          </cell>
          <cell r="M174">
            <v>286.65587274793302</v>
          </cell>
          <cell r="O174">
            <v>663.84000000000015</v>
          </cell>
          <cell r="P174">
            <v>663.96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X174">
            <v>1260.3483591944548</v>
          </cell>
          <cell r="Y174">
            <v>1048.1248558483528</v>
          </cell>
          <cell r="AA174">
            <v>0</v>
          </cell>
          <cell r="AB174">
            <v>0</v>
          </cell>
          <cell r="AD174">
            <v>1598.4341020576601</v>
          </cell>
          <cell r="AE174">
            <v>1517.021252921835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94.701764289364959</v>
          </cell>
          <cell r="AQ174">
            <v>47.880722896414255</v>
          </cell>
          <cell r="AS174">
            <v>5034.5294386225805</v>
          </cell>
          <cell r="AT174">
            <v>2888</v>
          </cell>
          <cell r="AV174">
            <v>307.32114445056487</v>
          </cell>
          <cell r="AW174">
            <v>0</v>
          </cell>
          <cell r="AY174">
            <v>371.81057725317874</v>
          </cell>
          <cell r="AZ174">
            <v>0</v>
          </cell>
          <cell r="BB174">
            <v>212.59211250360707</v>
          </cell>
          <cell r="BC174">
            <v>0</v>
          </cell>
          <cell r="BE174">
            <v>0</v>
          </cell>
          <cell r="BF174">
            <v>0</v>
          </cell>
          <cell r="BH174">
            <v>0</v>
          </cell>
          <cell r="BI174">
            <v>0</v>
          </cell>
          <cell r="BK174">
            <v>230.53118778196279</v>
          </cell>
          <cell r="BL174">
            <v>0</v>
          </cell>
          <cell r="BN174">
            <v>108.71887928658184</v>
          </cell>
          <cell r="BO174">
            <v>0</v>
          </cell>
          <cell r="BT174">
            <v>0</v>
          </cell>
          <cell r="BU174">
            <v>0</v>
          </cell>
          <cell r="BW174">
            <v>206.93673321744163</v>
          </cell>
          <cell r="BX174">
            <v>1041.3558594026724</v>
          </cell>
          <cell r="BZ174">
            <v>0</v>
          </cell>
          <cell r="CA174">
            <v>0</v>
          </cell>
          <cell r="CC174">
            <v>88.239761549620042</v>
          </cell>
          <cell r="CD174">
            <v>87.686212684402648</v>
          </cell>
          <cell r="CF174">
            <v>10.862849433191862</v>
          </cell>
          <cell r="CG174">
            <v>0</v>
          </cell>
          <cell r="CI174">
            <v>1291.5092372262573</v>
          </cell>
          <cell r="CJ174">
            <v>665.19589595994773</v>
          </cell>
          <cell r="CL174">
            <v>0</v>
          </cell>
          <cell r="CM174">
            <v>0</v>
          </cell>
          <cell r="CX174">
            <v>375.27354629944875</v>
          </cell>
          <cell r="CY174">
            <v>4705.8990618948328</v>
          </cell>
        </row>
        <row r="175"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AA175">
            <v>0</v>
          </cell>
          <cell r="AB175">
            <v>0</v>
          </cell>
          <cell r="AD175">
            <v>0</v>
          </cell>
          <cell r="AE175">
            <v>0</v>
          </cell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P175">
            <v>189.40352857872992</v>
          </cell>
          <cell r="AQ175">
            <v>93.429126284801754</v>
          </cell>
          <cell r="AS175">
            <v>2097.0382102120825</v>
          </cell>
          <cell r="AT175">
            <v>0</v>
          </cell>
          <cell r="AV175">
            <v>0</v>
          </cell>
          <cell r="AW175">
            <v>0</v>
          </cell>
          <cell r="AY175">
            <v>0</v>
          </cell>
          <cell r="AZ175">
            <v>0</v>
          </cell>
          <cell r="BB175">
            <v>0</v>
          </cell>
          <cell r="BC175">
            <v>0</v>
          </cell>
          <cell r="BE175">
            <v>0</v>
          </cell>
          <cell r="BF175">
            <v>0</v>
          </cell>
          <cell r="BH175">
            <v>0</v>
          </cell>
          <cell r="BI175">
            <v>0</v>
          </cell>
          <cell r="BK175">
            <v>0</v>
          </cell>
          <cell r="BL175">
            <v>0</v>
          </cell>
          <cell r="BN175">
            <v>0</v>
          </cell>
          <cell r="BO175">
            <v>0</v>
          </cell>
          <cell r="BT175">
            <v>0</v>
          </cell>
          <cell r="BU175">
            <v>0</v>
          </cell>
          <cell r="BW175">
            <v>0</v>
          </cell>
          <cell r="BX175">
            <v>3.8505129622990881</v>
          </cell>
          <cell r="BZ175">
            <v>0</v>
          </cell>
          <cell r="CA175">
            <v>0</v>
          </cell>
          <cell r="CC175">
            <v>0</v>
          </cell>
          <cell r="CD175">
            <v>0</v>
          </cell>
          <cell r="CF175">
            <v>0</v>
          </cell>
          <cell r="CG175">
            <v>0</v>
          </cell>
          <cell r="CI175">
            <v>0</v>
          </cell>
          <cell r="CJ175">
            <v>0</v>
          </cell>
          <cell r="CL175">
            <v>0</v>
          </cell>
          <cell r="CM175">
            <v>0</v>
          </cell>
          <cell r="CX175">
            <v>41.229913451025482</v>
          </cell>
          <cell r="CY175">
            <v>2668.2244329034788</v>
          </cell>
        </row>
        <row r="176"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P176">
            <v>236.75441072341246</v>
          </cell>
          <cell r="AQ176">
            <v>116.78640785600219</v>
          </cell>
          <cell r="AS176">
            <v>2407.8772772934531</v>
          </cell>
          <cell r="AT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E176">
            <v>0</v>
          </cell>
          <cell r="BF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T176">
            <v>239.27010754197514</v>
          </cell>
          <cell r="BU176">
            <v>433.54939476027499</v>
          </cell>
          <cell r="BW176">
            <v>0</v>
          </cell>
          <cell r="BX176">
            <v>5.9000315968841015</v>
          </cell>
          <cell r="BZ176">
            <v>0</v>
          </cell>
          <cell r="CA176">
            <v>105.83317661289036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X176">
            <v>86.637845329390757</v>
          </cell>
          <cell r="CY176">
            <v>2752.8371870087385</v>
          </cell>
        </row>
        <row r="177"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P177">
            <v>142.05264643404746</v>
          </cell>
          <cell r="AQ177">
            <v>888.57227746430704</v>
          </cell>
          <cell r="AS177">
            <v>3113.6093182281188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0</v>
          </cell>
          <cell r="BC177">
            <v>0</v>
          </cell>
          <cell r="BE177">
            <v>0</v>
          </cell>
          <cell r="BF177">
            <v>0</v>
          </cell>
          <cell r="BH177">
            <v>0</v>
          </cell>
          <cell r="BI177">
            <v>0</v>
          </cell>
          <cell r="BK177">
            <v>0</v>
          </cell>
          <cell r="BL177">
            <v>0</v>
          </cell>
          <cell r="BN177">
            <v>0</v>
          </cell>
          <cell r="BO177">
            <v>0</v>
          </cell>
          <cell r="BT177">
            <v>119.63505377098757</v>
          </cell>
          <cell r="BU177">
            <v>748.44899109833375</v>
          </cell>
          <cell r="BW177">
            <v>0</v>
          </cell>
          <cell r="BX177">
            <v>7.3911774381097333</v>
          </cell>
          <cell r="BZ177">
            <v>0</v>
          </cell>
          <cell r="CA177">
            <v>184.62255833351833</v>
          </cell>
          <cell r="CC177">
            <v>0</v>
          </cell>
          <cell r="CD177">
            <v>0</v>
          </cell>
          <cell r="CF177">
            <v>0</v>
          </cell>
          <cell r="CG177">
            <v>0</v>
          </cell>
          <cell r="CI177">
            <v>0</v>
          </cell>
          <cell r="CJ177">
            <v>0</v>
          </cell>
          <cell r="CL177">
            <v>0</v>
          </cell>
          <cell r="CM177">
            <v>0</v>
          </cell>
          <cell r="CX177">
            <v>101.40357788021447</v>
          </cell>
          <cell r="CY177">
            <v>1956.917994798878</v>
          </cell>
        </row>
        <row r="178"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P178">
            <v>236.75441072341246</v>
          </cell>
          <cell r="AQ178">
            <v>93.429126284801754</v>
          </cell>
          <cell r="AS178">
            <v>2349.0642402983476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0</v>
          </cell>
          <cell r="BC178">
            <v>0</v>
          </cell>
          <cell r="BE178">
            <v>0</v>
          </cell>
          <cell r="BF178">
            <v>0</v>
          </cell>
          <cell r="BH178">
            <v>0</v>
          </cell>
          <cell r="BI178">
            <v>0</v>
          </cell>
          <cell r="BK178">
            <v>0</v>
          </cell>
          <cell r="BL178">
            <v>0</v>
          </cell>
          <cell r="BN178">
            <v>0</v>
          </cell>
          <cell r="BO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4.6638652393312503</v>
          </cell>
          <cell r="BZ178">
            <v>0</v>
          </cell>
          <cell r="CA178">
            <v>0</v>
          </cell>
          <cell r="CC178">
            <v>0</v>
          </cell>
          <cell r="CD178">
            <v>0</v>
          </cell>
          <cell r="CF178">
            <v>0</v>
          </cell>
          <cell r="CG178">
            <v>0</v>
          </cell>
          <cell r="CI178">
            <v>0</v>
          </cell>
          <cell r="CJ178">
            <v>0</v>
          </cell>
          <cell r="CL178">
            <v>0</v>
          </cell>
          <cell r="CM178">
            <v>0</v>
          </cell>
          <cell r="CX178">
            <v>46.41761877388808</v>
          </cell>
          <cell r="CY178">
            <v>3031.6884101710402</v>
          </cell>
        </row>
        <row r="179">
          <cell r="I179">
            <v>1487.393111876675</v>
          </cell>
          <cell r="J179">
            <v>1416.3110109380618</v>
          </cell>
          <cell r="L179">
            <v>227.546144853393</v>
          </cell>
          <cell r="M179">
            <v>226.09063194170312</v>
          </cell>
          <cell r="O179">
            <v>576.48</v>
          </cell>
          <cell r="P179">
            <v>576.48</v>
          </cell>
          <cell r="R179">
            <v>117.72000000000001</v>
          </cell>
          <cell r="S179">
            <v>117.96</v>
          </cell>
          <cell r="U179">
            <v>0</v>
          </cell>
          <cell r="V179">
            <v>0</v>
          </cell>
          <cell r="X179">
            <v>586.45441299394383</v>
          </cell>
          <cell r="Y179">
            <v>480.87362673242507</v>
          </cell>
          <cell r="AA179">
            <v>0</v>
          </cell>
          <cell r="AB179">
            <v>0</v>
          </cell>
          <cell r="AD179">
            <v>1680.4017925491817</v>
          </cell>
          <cell r="AE179">
            <v>1594.8140930323441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P179">
            <v>378.80705715745984</v>
          </cell>
          <cell r="AQ179">
            <v>373.71650513920702</v>
          </cell>
          <cell r="AS179">
            <v>4379.1196356314958</v>
          </cell>
          <cell r="AT179">
            <v>730</v>
          </cell>
          <cell r="AV179">
            <v>276.41195827442459</v>
          </cell>
          <cell r="AW179">
            <v>0</v>
          </cell>
          <cell r="AY179">
            <v>293.55584184695147</v>
          </cell>
          <cell r="AZ179">
            <v>0</v>
          </cell>
          <cell r="BB179">
            <v>133.88218512556958</v>
          </cell>
          <cell r="BC179">
            <v>0</v>
          </cell>
          <cell r="BE179">
            <v>171.95374160253516</v>
          </cell>
          <cell r="BF179">
            <v>0</v>
          </cell>
          <cell r="BH179">
            <v>0</v>
          </cell>
          <cell r="BI179">
            <v>0</v>
          </cell>
          <cell r="BK179">
            <v>78.348245973730187</v>
          </cell>
          <cell r="BL179">
            <v>0</v>
          </cell>
          <cell r="BN179">
            <v>0</v>
          </cell>
          <cell r="BO179">
            <v>0</v>
          </cell>
          <cell r="BT179">
            <v>4205.0259651604119</v>
          </cell>
          <cell r="BU179">
            <v>3894.1878909833331</v>
          </cell>
          <cell r="BW179">
            <v>2594.4342937098172</v>
          </cell>
          <cell r="BX179">
            <v>2484.2618497044996</v>
          </cell>
          <cell r="BZ179">
            <v>574.52596799678383</v>
          </cell>
          <cell r="CA179">
            <v>917.96973506136715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280.76287765788197</v>
          </cell>
          <cell r="CJ179">
            <v>36.925812755409332</v>
          </cell>
          <cell r="CL179">
            <v>0</v>
          </cell>
          <cell r="CM179">
            <v>0</v>
          </cell>
          <cell r="CX179">
            <v>324.81212110768956</v>
          </cell>
          <cell r="CY179">
            <v>6556.6906124539801</v>
          </cell>
        </row>
        <row r="180">
          <cell r="I180">
            <v>15915.449364211592</v>
          </cell>
          <cell r="J180">
            <v>15576.099030242713</v>
          </cell>
          <cell r="L180">
            <v>3281.4880495281341</v>
          </cell>
          <cell r="M180">
            <v>3243.2493061796595</v>
          </cell>
          <cell r="O180">
            <v>6112.32</v>
          </cell>
          <cell r="P180">
            <v>6111.3599999999979</v>
          </cell>
          <cell r="R180">
            <v>0</v>
          </cell>
          <cell r="S180">
            <v>0</v>
          </cell>
          <cell r="U180">
            <v>1294.4711018415646</v>
          </cell>
          <cell r="V180">
            <v>3367.4982906077012</v>
          </cell>
          <cell r="X180">
            <v>11711.248205125865</v>
          </cell>
          <cell r="Y180">
            <v>9462.9810221420994</v>
          </cell>
          <cell r="AA180">
            <v>0</v>
          </cell>
          <cell r="AB180">
            <v>0</v>
          </cell>
          <cell r="AD180">
            <v>19343.90461453034</v>
          </cell>
          <cell r="AE180">
            <v>18358.663880456119</v>
          </cell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18940.352857873</v>
          </cell>
          <cell r="AQ180">
            <v>11858.56123323658</v>
          </cell>
          <cell r="AS180">
            <v>56114.131644006564</v>
          </cell>
          <cell r="AT180">
            <v>3681.4319786993437</v>
          </cell>
          <cell r="AV180">
            <v>2580.5496832475001</v>
          </cell>
          <cell r="AW180">
            <v>215</v>
          </cell>
          <cell r="AY180">
            <v>4229.1776649693138</v>
          </cell>
          <cell r="AZ180">
            <v>0</v>
          </cell>
          <cell r="BB180">
            <v>3657.461409625545</v>
          </cell>
          <cell r="BC180">
            <v>0</v>
          </cell>
          <cell r="BE180">
            <v>0</v>
          </cell>
          <cell r="BF180">
            <v>0</v>
          </cell>
          <cell r="BH180">
            <v>1313.1883369600607</v>
          </cell>
          <cell r="BI180">
            <v>0</v>
          </cell>
          <cell r="BK180">
            <v>1720.8506683149737</v>
          </cell>
          <cell r="BL180">
            <v>2207</v>
          </cell>
          <cell r="BN180">
            <v>0</v>
          </cell>
          <cell r="BO180">
            <v>0</v>
          </cell>
          <cell r="BT180">
            <v>40136.279211105437</v>
          </cell>
          <cell r="BU180">
            <v>55049.242167405486</v>
          </cell>
          <cell r="BW180">
            <v>24909.299538851934</v>
          </cell>
          <cell r="BX180">
            <v>25763.616615050734</v>
          </cell>
          <cell r="BZ180">
            <v>15584.633680991748</v>
          </cell>
          <cell r="CA180">
            <v>13462.927561546287</v>
          </cell>
          <cell r="CC180">
            <v>2081.8701074940354</v>
          </cell>
          <cell r="CD180">
            <v>2068.8100446006729</v>
          </cell>
          <cell r="CF180">
            <v>256.29082762710669</v>
          </cell>
          <cell r="CG180">
            <v>0</v>
          </cell>
          <cell r="CI180">
            <v>7374.7049198136992</v>
          </cell>
          <cell r="CJ180">
            <v>10348.260950194162</v>
          </cell>
          <cell r="CL180">
            <v>0</v>
          </cell>
          <cell r="CM180">
            <v>0</v>
          </cell>
          <cell r="CX180">
            <v>14207.403736657954</v>
          </cell>
          <cell r="CY180">
            <v>81146.96750356612</v>
          </cell>
        </row>
        <row r="181">
          <cell r="I181">
            <v>22187.942703874636</v>
          </cell>
          <cell r="J181">
            <v>21181.711178185982</v>
          </cell>
          <cell r="L181">
            <v>4128.3503074907958</v>
          </cell>
          <cell r="M181">
            <v>4101.9720375170891</v>
          </cell>
          <cell r="O181">
            <v>8150.04</v>
          </cell>
          <cell r="P181">
            <v>8151</v>
          </cell>
          <cell r="R181">
            <v>2024.0400000000002</v>
          </cell>
          <cell r="S181">
            <v>2023.5600000000004</v>
          </cell>
          <cell r="U181">
            <v>1170.2323882178873</v>
          </cell>
          <cell r="V181">
            <v>819.94897252272676</v>
          </cell>
          <cell r="X181">
            <v>12399.077570578069</v>
          </cell>
          <cell r="Y181">
            <v>11439.482422246392</v>
          </cell>
          <cell r="AA181">
            <v>0</v>
          </cell>
          <cell r="AB181">
            <v>0</v>
          </cell>
          <cell r="AD181">
            <v>26964.975706051871</v>
          </cell>
          <cell r="AE181">
            <v>25591.571887726164</v>
          </cell>
          <cell r="AJ181">
            <v>86413.599575368164</v>
          </cell>
          <cell r="AK181">
            <v>85871.351731084374</v>
          </cell>
          <cell r="AM181">
            <v>0</v>
          </cell>
          <cell r="AN181">
            <v>0</v>
          </cell>
          <cell r="AP181">
            <v>5113.8952716257081</v>
          </cell>
          <cell r="AQ181">
            <v>4791.5200386322904</v>
          </cell>
          <cell r="AS181">
            <v>167426.28</v>
          </cell>
          <cell r="AT181">
            <v>171452.57219750449</v>
          </cell>
          <cell r="AV181">
            <v>1942.6684336048622</v>
          </cell>
          <cell r="AW181">
            <v>0</v>
          </cell>
          <cell r="AY181">
            <v>2729.3950916029771</v>
          </cell>
          <cell r="AZ181">
            <v>0</v>
          </cell>
          <cell r="BB181">
            <v>3285.0079130438467</v>
          </cell>
          <cell r="BC181">
            <v>1906</v>
          </cell>
          <cell r="BE181">
            <v>1117.4018823354661</v>
          </cell>
          <cell r="BF181">
            <v>0</v>
          </cell>
          <cell r="BH181">
            <v>593.65087276649558</v>
          </cell>
          <cell r="BI181">
            <v>2325</v>
          </cell>
          <cell r="BK181">
            <v>1409.5133746895701</v>
          </cell>
          <cell r="BL181">
            <v>2173</v>
          </cell>
          <cell r="BN181">
            <v>0</v>
          </cell>
          <cell r="BO181">
            <v>0</v>
          </cell>
          <cell r="BT181">
            <v>37694.87999999999</v>
          </cell>
          <cell r="BU181">
            <v>51795.575428442011</v>
          </cell>
          <cell r="BW181">
            <v>50822.399999999987</v>
          </cell>
          <cell r="BX181">
            <v>50626.872961058776</v>
          </cell>
          <cell r="BZ181">
            <v>6232.2741706325187</v>
          </cell>
          <cell r="CA181">
            <v>12532.685914796853</v>
          </cell>
          <cell r="CC181">
            <v>1764.7952309924015</v>
          </cell>
          <cell r="CD181">
            <v>1753.7242536880526</v>
          </cell>
          <cell r="CF181">
            <v>217.25698866383735</v>
          </cell>
          <cell r="CG181">
            <v>0</v>
          </cell>
          <cell r="CI181">
            <v>36237.128743043962</v>
          </cell>
          <cell r="CJ181">
            <v>30829.502180623313</v>
          </cell>
          <cell r="CL181">
            <v>7479.5230608059783</v>
          </cell>
          <cell r="CM181">
            <v>16270.500699669492</v>
          </cell>
          <cell r="CX181">
            <v>6610.2548575332476</v>
          </cell>
          <cell r="CY181">
            <v>-15149.61228443755</v>
          </cell>
        </row>
        <row r="182">
          <cell r="I182">
            <v>10668.342402104554</v>
          </cell>
          <cell r="J182">
            <v>10140.767841132081</v>
          </cell>
          <cell r="L182">
            <v>2668.9857465346995</v>
          </cell>
          <cell r="M182">
            <v>2651.9343304475451</v>
          </cell>
          <cell r="O182">
            <v>4058.52</v>
          </cell>
          <cell r="P182">
            <v>4059</v>
          </cell>
          <cell r="R182">
            <v>968.64000000000021</v>
          </cell>
          <cell r="S182">
            <v>968.7600000000001</v>
          </cell>
          <cell r="U182">
            <v>709.3549077326212</v>
          </cell>
          <cell r="V182">
            <v>497.02670275770947</v>
          </cell>
          <cell r="X182">
            <v>7965.4333604190297</v>
          </cell>
          <cell r="Y182">
            <v>7319.854959507953</v>
          </cell>
          <cell r="AA182">
            <v>0</v>
          </cell>
          <cell r="AB182">
            <v>0</v>
          </cell>
          <cell r="AD182">
            <v>11734.164476571807</v>
          </cell>
          <cell r="AE182">
            <v>11136.509708673442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P182">
            <v>2841.0529286809501</v>
          </cell>
          <cell r="AQ182">
            <v>2639.7617940438845</v>
          </cell>
          <cell r="AS182">
            <v>49149.42088606122</v>
          </cell>
          <cell r="AT182">
            <v>165753.5728807358</v>
          </cell>
          <cell r="AV182">
            <v>1786.6581775625391</v>
          </cell>
          <cell r="AW182">
            <v>1356</v>
          </cell>
          <cell r="AY182">
            <v>3440.1651412626084</v>
          </cell>
          <cell r="AZ182">
            <v>0</v>
          </cell>
          <cell r="BB182">
            <v>1482.2087925686594</v>
          </cell>
          <cell r="BC182">
            <v>0</v>
          </cell>
          <cell r="BE182">
            <v>1015.4632336225515</v>
          </cell>
          <cell r="BF182">
            <v>1654.7042563260297</v>
          </cell>
          <cell r="BH182">
            <v>719.6828414324732</v>
          </cell>
          <cell r="BI182">
            <v>0</v>
          </cell>
          <cell r="BK182">
            <v>1078.9051097586912</v>
          </cell>
          <cell r="BL182">
            <v>0</v>
          </cell>
          <cell r="BN182">
            <v>0</v>
          </cell>
          <cell r="BO182">
            <v>0</v>
          </cell>
          <cell r="BT182">
            <v>26449.953146650132</v>
          </cell>
          <cell r="BU182">
            <v>34171.6190167776</v>
          </cell>
          <cell r="BW182">
            <v>18183.83317721502</v>
          </cell>
          <cell r="BX182">
            <v>18916.561149846682</v>
          </cell>
          <cell r="BZ182">
            <v>5249.0886386653337</v>
          </cell>
          <cell r="CA182">
            <v>9089.2273694177056</v>
          </cell>
          <cell r="CC182">
            <v>1617.7289617430351</v>
          </cell>
          <cell r="CD182">
            <v>1607.5805658807153</v>
          </cell>
          <cell r="CF182">
            <v>199.15223960851753</v>
          </cell>
          <cell r="CG182">
            <v>0</v>
          </cell>
          <cell r="CI182">
            <v>8572.6265311539955</v>
          </cell>
          <cell r="CJ182">
            <v>2845.0628035952504</v>
          </cell>
          <cell r="CL182">
            <v>0</v>
          </cell>
          <cell r="CM182">
            <v>0</v>
          </cell>
          <cell r="CX182">
            <v>9608.1431607818377</v>
          </cell>
          <cell r="CY182">
            <v>-127490.13205497085</v>
          </cell>
        </row>
        <row r="183">
          <cell r="I183">
            <v>22177.203535734108</v>
          </cell>
          <cell r="J183">
            <v>21435.393650124177</v>
          </cell>
          <cell r="L183">
            <v>4126.2807160731199</v>
          </cell>
          <cell r="M183">
            <v>4099.9139953537697</v>
          </cell>
          <cell r="O183">
            <v>7950.3599999999979</v>
          </cell>
          <cell r="P183">
            <v>7949.1600000000008</v>
          </cell>
          <cell r="R183">
            <v>1938.24</v>
          </cell>
          <cell r="S183">
            <v>1939.6799999999994</v>
          </cell>
          <cell r="U183">
            <v>1170.2323882178873</v>
          </cell>
          <cell r="V183">
            <v>819.94897252272676</v>
          </cell>
          <cell r="X183">
            <v>12373.798053029876</v>
          </cell>
          <cell r="Y183">
            <v>11427.19010978064</v>
          </cell>
          <cell r="AA183">
            <v>0</v>
          </cell>
          <cell r="AB183">
            <v>0</v>
          </cell>
          <cell r="AD183">
            <v>26246.678766788929</v>
          </cell>
          <cell r="AE183">
            <v>24909.859878849569</v>
          </cell>
          <cell r="AJ183">
            <v>86413.599575368164</v>
          </cell>
          <cell r="AK183">
            <v>85871.351731084374</v>
          </cell>
          <cell r="AM183">
            <v>0</v>
          </cell>
          <cell r="AN183">
            <v>0</v>
          </cell>
          <cell r="AP183">
            <v>5113.8952716257081</v>
          </cell>
          <cell r="AQ183">
            <v>4880.2615574160855</v>
          </cell>
          <cell r="AS183">
            <v>163160.76</v>
          </cell>
          <cell r="AT183">
            <v>23576.732187532136</v>
          </cell>
          <cell r="AV183">
            <v>1941.5379193614233</v>
          </cell>
          <cell r="AW183">
            <v>311</v>
          </cell>
          <cell r="AY183">
            <v>2727.9968650502356</v>
          </cell>
          <cell r="AZ183">
            <v>2279</v>
          </cell>
          <cell r="BB183">
            <v>3185.3594306036866</v>
          </cell>
          <cell r="BC183">
            <v>0</v>
          </cell>
          <cell r="BE183">
            <v>1077.1662485258355</v>
          </cell>
          <cell r="BF183">
            <v>0</v>
          </cell>
          <cell r="BH183">
            <v>593.65087276649558</v>
          </cell>
          <cell r="BI183">
            <v>0</v>
          </cell>
          <cell r="BK183">
            <v>1378.455443689438</v>
          </cell>
          <cell r="BL183">
            <v>0</v>
          </cell>
          <cell r="BN183">
            <v>0</v>
          </cell>
          <cell r="BO183">
            <v>0</v>
          </cell>
          <cell r="BT183">
            <v>21152.519999999993</v>
          </cell>
          <cell r="BU183">
            <v>35000.259562485175</v>
          </cell>
          <cell r="BW183">
            <v>50515.079999999987</v>
          </cell>
          <cell r="BX183">
            <v>53815.484839013508</v>
          </cell>
          <cell r="BZ183">
            <v>9774.3599999999988</v>
          </cell>
          <cell r="CA183">
            <v>8680.8962096569867</v>
          </cell>
          <cell r="CC183">
            <v>1764.7952309924015</v>
          </cell>
          <cell r="CD183">
            <v>1753.7242536880526</v>
          </cell>
          <cell r="CF183">
            <v>217.25698866383735</v>
          </cell>
          <cell r="CG183">
            <v>0</v>
          </cell>
          <cell r="CI183">
            <v>11792.040861631045</v>
          </cell>
          <cell r="CJ183">
            <v>10557.336252104549</v>
          </cell>
          <cell r="CL183">
            <v>12381.642904712595</v>
          </cell>
          <cell r="CM183">
            <v>15843.696745853185</v>
          </cell>
          <cell r="CX183">
            <v>5648.6867125984427</v>
          </cell>
          <cell r="CY183">
            <v>166475.11206544208</v>
          </cell>
        </row>
        <row r="184">
          <cell r="I184">
            <v>22206.9858697864</v>
          </cell>
          <cell r="J184">
            <v>21198.983891513835</v>
          </cell>
          <cell r="L184">
            <v>3853.1609175115714</v>
          </cell>
          <cell r="M184">
            <v>3828.5464358190611</v>
          </cell>
          <cell r="O184">
            <v>8150.04</v>
          </cell>
          <cell r="P184">
            <v>8151.48</v>
          </cell>
          <cell r="R184">
            <v>2024.0400000000002</v>
          </cell>
          <cell r="S184">
            <v>2023.6799999999994</v>
          </cell>
          <cell r="U184">
            <v>1170.2323882178873</v>
          </cell>
          <cell r="V184">
            <v>819.94897252272676</v>
          </cell>
          <cell r="X184">
            <v>12477.171601431046</v>
          </cell>
          <cell r="Y184">
            <v>11477.997609755012</v>
          </cell>
          <cell r="AA184">
            <v>0</v>
          </cell>
          <cell r="AB184">
            <v>0</v>
          </cell>
          <cell r="AD184">
            <v>26955.355085102157</v>
          </cell>
          <cell r="AE184">
            <v>25582.441272689724</v>
          </cell>
          <cell r="AJ184">
            <v>74852.586453067022</v>
          </cell>
          <cell r="AK184">
            <v>74382.887953046229</v>
          </cell>
          <cell r="AM184">
            <v>0</v>
          </cell>
          <cell r="AN184">
            <v>525.28608976187343</v>
          </cell>
          <cell r="AP184">
            <v>5113.8952716257081</v>
          </cell>
          <cell r="AQ184">
            <v>4837.9338609897277</v>
          </cell>
          <cell r="AS184">
            <v>160692</v>
          </cell>
          <cell r="AT184">
            <v>38242.785626694764</v>
          </cell>
          <cell r="AV184">
            <v>1555.9009358339169</v>
          </cell>
          <cell r="AW184">
            <v>0</v>
          </cell>
          <cell r="AY184">
            <v>2103.21782314858</v>
          </cell>
          <cell r="AZ184">
            <v>2380.7224594662948</v>
          </cell>
          <cell r="BB184">
            <v>2628.0063304350774</v>
          </cell>
          <cell r="BC184">
            <v>6427</v>
          </cell>
          <cell r="BE184">
            <v>893.92150586837317</v>
          </cell>
          <cell r="BF184">
            <v>0</v>
          </cell>
          <cell r="BH184">
            <v>474.92069821319637</v>
          </cell>
          <cell r="BI184">
            <v>2325</v>
          </cell>
          <cell r="BK184">
            <v>1121.7607321388466</v>
          </cell>
          <cell r="BL184">
            <v>0</v>
          </cell>
          <cell r="BN184">
            <v>0</v>
          </cell>
          <cell r="BO184">
            <v>0</v>
          </cell>
          <cell r="BT184">
            <v>37726.560000000005</v>
          </cell>
          <cell r="BU184">
            <v>48992.625806998338</v>
          </cell>
          <cell r="BW184">
            <v>52132.079999999987</v>
          </cell>
          <cell r="BX184">
            <v>54154.777035733663</v>
          </cell>
          <cell r="BZ184">
            <v>9774.3599999999988</v>
          </cell>
          <cell r="CA184">
            <v>12596.527382756398</v>
          </cell>
          <cell r="CC184">
            <v>1764.7952309924015</v>
          </cell>
          <cell r="CD184">
            <v>1753.7242536880526</v>
          </cell>
          <cell r="CF184">
            <v>217.25698866383735</v>
          </cell>
          <cell r="CG184">
            <v>547.9634810966121</v>
          </cell>
          <cell r="CI184">
            <v>19073.158155558784</v>
          </cell>
          <cell r="CJ184">
            <v>16693.025324342641</v>
          </cell>
          <cell r="CL184">
            <v>28637.813521103966</v>
          </cell>
          <cell r="CM184">
            <v>25039.505522764055</v>
          </cell>
          <cell r="CX184">
            <v>14573.946589561536</v>
          </cell>
          <cell r="CY184">
            <v>150913.59842443324</v>
          </cell>
        </row>
        <row r="185">
          <cell r="I185">
            <v>13148.430492293752</v>
          </cell>
          <cell r="J185">
            <v>12586.83714496611</v>
          </cell>
          <cell r="L185">
            <v>1738.9838882484948</v>
          </cell>
          <cell r="M185">
            <v>1727.8733991175409</v>
          </cell>
          <cell r="O185">
            <v>5462.5199999999995</v>
          </cell>
          <cell r="P185">
            <v>5464.56</v>
          </cell>
          <cell r="R185">
            <v>1314.4799999999998</v>
          </cell>
          <cell r="S185">
            <v>1315.8000000000002</v>
          </cell>
          <cell r="U185">
            <v>780.05784393801957</v>
          </cell>
          <cell r="V185">
            <v>546.56355928777316</v>
          </cell>
          <cell r="X185">
            <v>6054.8506965501647</v>
          </cell>
          <cell r="Y185">
            <v>5433.7618546204312</v>
          </cell>
          <cell r="AA185">
            <v>0</v>
          </cell>
          <cell r="AB185">
            <v>0</v>
          </cell>
          <cell r="AD185">
            <v>17921.720288271346</v>
          </cell>
          <cell r="AE185">
            <v>17008.915495001951</v>
          </cell>
          <cell r="AJ185">
            <v>12540.741868718729</v>
          </cell>
          <cell r="AK185">
            <v>7623.6779074571205</v>
          </cell>
          <cell r="AM185">
            <v>0</v>
          </cell>
          <cell r="AN185">
            <v>1508.8995947564704</v>
          </cell>
          <cell r="AP185">
            <v>8097.0008467407069</v>
          </cell>
          <cell r="AQ185">
            <v>7708.7556248287483</v>
          </cell>
          <cell r="AS185">
            <v>59349.770628693259</v>
          </cell>
          <cell r="AT185">
            <v>49588.085982254735</v>
          </cell>
          <cell r="AV185">
            <v>1038.1512894669315</v>
          </cell>
          <cell r="AW185">
            <v>0</v>
          </cell>
          <cell r="AY185">
            <v>1143.6391981349548</v>
          </cell>
          <cell r="AZ185">
            <v>2742.5847351996208</v>
          </cell>
          <cell r="BB185">
            <v>2085.4564293650801</v>
          </cell>
          <cell r="BC185">
            <v>5164.7921815835853</v>
          </cell>
          <cell r="BE185">
            <v>813.43272506184121</v>
          </cell>
          <cell r="BF185">
            <v>0</v>
          </cell>
          <cell r="BH185">
            <v>395.76741189229665</v>
          </cell>
          <cell r="BI185">
            <v>0</v>
          </cell>
          <cell r="BK185">
            <v>976.96134145785265</v>
          </cell>
          <cell r="BL185">
            <v>0</v>
          </cell>
          <cell r="BN185">
            <v>0</v>
          </cell>
          <cell r="BO185">
            <v>0</v>
          </cell>
          <cell r="BT185">
            <v>44497.132417579349</v>
          </cell>
          <cell r="BU185">
            <v>54693.647872641333</v>
          </cell>
          <cell r="BW185">
            <v>55745.232081551141</v>
          </cell>
          <cell r="BX185">
            <v>58381.324444558617</v>
          </cell>
          <cell r="BZ185">
            <v>6670.3038416290974</v>
          </cell>
          <cell r="CA185">
            <v>13161.180956135653</v>
          </cell>
          <cell r="CC185">
            <v>1735.3819771425285</v>
          </cell>
          <cell r="CD185">
            <v>1724.4955161265852</v>
          </cell>
          <cell r="CF185">
            <v>213.63603885277328</v>
          </cell>
          <cell r="CG185">
            <v>0</v>
          </cell>
          <cell r="CI185">
            <v>22217.702385327062</v>
          </cell>
          <cell r="CJ185">
            <v>11070.19331095893</v>
          </cell>
          <cell r="CL185">
            <v>8441.603854913652</v>
          </cell>
          <cell r="CM185">
            <v>6127.899522723671</v>
          </cell>
          <cell r="CX185">
            <v>1654.9309450051369</v>
          </cell>
          <cell r="CY185">
            <v>12218.661077337354</v>
          </cell>
        </row>
        <row r="186">
          <cell r="I186">
            <v>2579.398261580056</v>
          </cell>
          <cell r="J186">
            <v>2479.8012248035766</v>
          </cell>
          <cell r="L186">
            <v>562.50067254770443</v>
          </cell>
          <cell r="M186">
            <v>555.94381704666671</v>
          </cell>
          <cell r="O186">
            <v>652.43999999999994</v>
          </cell>
          <cell r="P186">
            <v>512.77266612903225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>
            <v>1186.6969131526546</v>
          </cell>
          <cell r="Y186">
            <v>912.36135366457381</v>
          </cell>
          <cell r="AA186">
            <v>0</v>
          </cell>
          <cell r="AB186">
            <v>0</v>
          </cell>
          <cell r="AD186">
            <v>2048.978470711369</v>
          </cell>
          <cell r="AE186">
            <v>1939.545128534224</v>
          </cell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P186">
            <v>710.26323217023753</v>
          </cell>
          <cell r="AQ186">
            <v>465.83482336119897</v>
          </cell>
          <cell r="AS186">
            <v>6339.0902419702734</v>
          </cell>
          <cell r="AT186">
            <v>5677.6301701267284</v>
          </cell>
          <cell r="AV186">
            <v>498.45033674497455</v>
          </cell>
          <cell r="AW186">
            <v>0</v>
          </cell>
          <cell r="AY186">
            <v>725.15009336527589</v>
          </cell>
          <cell r="AZ186">
            <v>920</v>
          </cell>
          <cell r="BB186">
            <v>301.53362018930937</v>
          </cell>
          <cell r="BC186">
            <v>471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K186">
            <v>118.62766249183653</v>
          </cell>
          <cell r="BL186">
            <v>1604</v>
          </cell>
          <cell r="BN186">
            <v>0</v>
          </cell>
          <cell r="BO186">
            <v>0</v>
          </cell>
          <cell r="BT186">
            <v>6976.7928563141149</v>
          </cell>
          <cell r="BU186">
            <v>8791.2930700768411</v>
          </cell>
          <cell r="BW186">
            <v>2792.7387542893521</v>
          </cell>
          <cell r="BX186">
            <v>5452.9103631122307</v>
          </cell>
          <cell r="BZ186">
            <v>1910.6553203950436</v>
          </cell>
          <cell r="CA186">
            <v>2132.0429203855992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935.87625885960688</v>
          </cell>
          <cell r="CJ186">
            <v>250.21031497534261</v>
          </cell>
          <cell r="CL186">
            <v>0</v>
          </cell>
          <cell r="CM186">
            <v>0</v>
          </cell>
          <cell r="CX186">
            <v>427.05876626183499</v>
          </cell>
          <cell r="CY186">
            <v>-4164.3250226592172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>
            <v>1103.0813779293301</v>
          </cell>
          <cell r="Y187">
            <v>818.90365990784983</v>
          </cell>
          <cell r="AA187">
            <v>0</v>
          </cell>
          <cell r="AB187">
            <v>0</v>
          </cell>
          <cell r="AD187">
            <v>2365.3900041684665</v>
          </cell>
          <cell r="AE187">
            <v>2244.9138836272082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1041.7194071830147</v>
          </cell>
          <cell r="AQ187">
            <v>419.19206303890826</v>
          </cell>
          <cell r="AS187">
            <v>5044.0528940971808</v>
          </cell>
          <cell r="AT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K187">
            <v>70.795438516160814</v>
          </cell>
          <cell r="BL187">
            <v>0</v>
          </cell>
          <cell r="BN187">
            <v>113.06715224674896</v>
          </cell>
          <cell r="BO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17.855019033896529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2.4731035655487452</v>
          </cell>
          <cell r="CL187">
            <v>0</v>
          </cell>
          <cell r="CM187">
            <v>0</v>
          </cell>
          <cell r="CX187">
            <v>292.07247103091913</v>
          </cell>
          <cell r="CY187">
            <v>7773.7947249919071</v>
          </cell>
        </row>
        <row r="188">
          <cell r="I188">
            <v>1230.1488266744257</v>
          </cell>
          <cell r="J188">
            <v>1021.5359930882117</v>
          </cell>
          <cell r="L188">
            <v>242.04357779902338</v>
          </cell>
          <cell r="M188">
            <v>213.89874259819817</v>
          </cell>
          <cell r="O188">
            <v>538.08000000000015</v>
          </cell>
          <cell r="P188">
            <v>537.95999999999992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>
            <v>877.07551844672764</v>
          </cell>
          <cell r="Y188">
            <v>551.72808752413107</v>
          </cell>
          <cell r="AA188">
            <v>0</v>
          </cell>
          <cell r="AB188">
            <v>0</v>
          </cell>
          <cell r="AD188">
            <v>1534.3393873749321</v>
          </cell>
          <cell r="AE188">
            <v>1456.1910665234764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P188">
            <v>757.61411431491968</v>
          </cell>
          <cell r="AQ188">
            <v>496.02440477778987</v>
          </cell>
          <cell r="AS188">
            <v>7479.1881030821123</v>
          </cell>
          <cell r="AT188">
            <v>0</v>
          </cell>
          <cell r="AV188">
            <v>239.12420602741551</v>
          </cell>
          <cell r="AW188">
            <v>0</v>
          </cell>
          <cell r="AY188">
            <v>312.02690298803327</v>
          </cell>
          <cell r="AZ188">
            <v>0</v>
          </cell>
          <cell r="BB188">
            <v>245.49003678860257</v>
          </cell>
          <cell r="BC188">
            <v>0</v>
          </cell>
          <cell r="BE188">
            <v>0</v>
          </cell>
          <cell r="BF188">
            <v>0</v>
          </cell>
          <cell r="BH188">
            <v>0</v>
          </cell>
          <cell r="BI188">
            <v>0</v>
          </cell>
          <cell r="BK188">
            <v>220.05809326649594</v>
          </cell>
          <cell r="BL188">
            <v>0</v>
          </cell>
          <cell r="BN188">
            <v>167.44238903209089</v>
          </cell>
          <cell r="BO188">
            <v>0</v>
          </cell>
          <cell r="BT188">
            <v>0</v>
          </cell>
          <cell r="BU188">
            <v>0</v>
          </cell>
          <cell r="BW188">
            <v>214.72932986579724</v>
          </cell>
          <cell r="BX188">
            <v>279.92763850940025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861.00615815083847</v>
          </cell>
          <cell r="CJ188">
            <v>461.04754663816834</v>
          </cell>
          <cell r="CL188">
            <v>0</v>
          </cell>
          <cell r="CM188">
            <v>0</v>
          </cell>
          <cell r="CX188">
            <v>447.40002742630168</v>
          </cell>
          <cell r="CY188">
            <v>12327.463824408749</v>
          </cell>
        </row>
        <row r="189">
          <cell r="I189">
            <v>2706.0185374866146</v>
          </cell>
          <cell r="J189">
            <v>2600.8900569004636</v>
          </cell>
          <cell r="L189">
            <v>562.50067254770443</v>
          </cell>
          <cell r="M189">
            <v>555.94381704666671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>
            <v>1186.6969131526546</v>
          </cell>
          <cell r="Y189">
            <v>1151.9526586300283</v>
          </cell>
          <cell r="AA189">
            <v>0</v>
          </cell>
          <cell r="AB189">
            <v>0</v>
          </cell>
          <cell r="AD189">
            <v>2090.0264534301273</v>
          </cell>
          <cell r="AE189">
            <v>1983.5753910285234</v>
          </cell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P189">
            <v>284.10529286809492</v>
          </cell>
          <cell r="AQ189">
            <v>70.071844713601308</v>
          </cell>
          <cell r="AS189">
            <v>8133.1981569316076</v>
          </cell>
          <cell r="AT189">
            <v>9539.8772579591478</v>
          </cell>
          <cell r="AV189">
            <v>558.74578225816219</v>
          </cell>
          <cell r="AW189">
            <v>0</v>
          </cell>
          <cell r="AY189">
            <v>725.15009336527589</v>
          </cell>
          <cell r="AZ189">
            <v>0</v>
          </cell>
          <cell r="BB189">
            <v>0</v>
          </cell>
          <cell r="BC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K189">
            <v>118.62766249183653</v>
          </cell>
          <cell r="BL189">
            <v>0</v>
          </cell>
          <cell r="BN189">
            <v>0</v>
          </cell>
          <cell r="BO189">
            <v>0</v>
          </cell>
          <cell r="BT189">
            <v>7856.3143226337015</v>
          </cell>
          <cell r="BU189">
            <v>9444.2561524171415</v>
          </cell>
          <cell r="BW189">
            <v>1997.0929811724152</v>
          </cell>
          <cell r="BX189">
            <v>4642.8752047310836</v>
          </cell>
          <cell r="BZ189">
            <v>1636.3762409188041</v>
          </cell>
          <cell r="CA189">
            <v>1890.8053538781321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112.30515106315279</v>
          </cell>
          <cell r="CJ189">
            <v>60.591416542299775</v>
          </cell>
          <cell r="CL189">
            <v>0</v>
          </cell>
          <cell r="CM189">
            <v>0</v>
          </cell>
          <cell r="CX189">
            <v>-6.99123841823166E-2</v>
          </cell>
          <cell r="CY189">
            <v>-4768.4869846165038</v>
          </cell>
        </row>
        <row r="190">
          <cell r="I190">
            <v>855.65578586691515</v>
          </cell>
          <cell r="J190">
            <v>835.81532739599857</v>
          </cell>
          <cell r="L190">
            <v>340.27927506030727</v>
          </cell>
          <cell r="M190">
            <v>336.31530226389611</v>
          </cell>
          <cell r="O190">
            <v>497.28</v>
          </cell>
          <cell r="P190">
            <v>390.81561962365595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X190">
            <v>425.18133968942954</v>
          </cell>
          <cell r="Y190">
            <v>317.3129837710506</v>
          </cell>
          <cell r="AA190">
            <v>0</v>
          </cell>
          <cell r="AB190">
            <v>0</v>
          </cell>
          <cell r="AD190">
            <v>1402.0451597375995</v>
          </cell>
          <cell r="AE190">
            <v>1564.3787095775283</v>
          </cell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P190">
            <v>852.31587860428453</v>
          </cell>
          <cell r="AQ190">
            <v>767.50911445539566</v>
          </cell>
          <cell r="AS190">
            <v>3978.1685929491509</v>
          </cell>
          <cell r="AT190">
            <v>6621</v>
          </cell>
          <cell r="AV190">
            <v>331.90210098938223</v>
          </cell>
          <cell r="AW190">
            <v>389</v>
          </cell>
          <cell r="AY190">
            <v>438.46946070009994</v>
          </cell>
          <cell r="AZ190">
            <v>0</v>
          </cell>
          <cell r="BB190">
            <v>236.00725537516385</v>
          </cell>
          <cell r="BC190">
            <v>0</v>
          </cell>
          <cell r="BE190">
            <v>0</v>
          </cell>
          <cell r="BF190">
            <v>0</v>
          </cell>
          <cell r="BH190">
            <v>0</v>
          </cell>
          <cell r="BI190">
            <v>0</v>
          </cell>
          <cell r="BK190">
            <v>59.168551776459459</v>
          </cell>
          <cell r="BL190">
            <v>0</v>
          </cell>
          <cell r="BN190">
            <v>0</v>
          </cell>
          <cell r="BO190">
            <v>0</v>
          </cell>
          <cell r="BT190">
            <v>6926.4635453115443</v>
          </cell>
          <cell r="BU190">
            <v>8143.5378968646683</v>
          </cell>
          <cell r="BW190">
            <v>3599.2173190525968</v>
          </cell>
          <cell r="BX190">
            <v>3132.3749647890641</v>
          </cell>
          <cell r="BZ190">
            <v>1649.7644165687218</v>
          </cell>
          <cell r="CA190">
            <v>1793.1091295721599</v>
          </cell>
          <cell r="CC190">
            <v>179.42084848422755</v>
          </cell>
          <cell r="CD190">
            <v>178.29529912495207</v>
          </cell>
          <cell r="CF190">
            <v>22.087793847490122</v>
          </cell>
          <cell r="CG190">
            <v>0</v>
          </cell>
          <cell r="CI190">
            <v>112.30515106315279</v>
          </cell>
          <cell r="CJ190">
            <v>57.56416314524148</v>
          </cell>
          <cell r="CL190">
            <v>0</v>
          </cell>
          <cell r="CM190">
            <v>0</v>
          </cell>
          <cell r="CX190">
            <v>4569.2010299081776</v>
          </cell>
          <cell r="CY190">
            <v>1423.6457872996687</v>
          </cell>
        </row>
        <row r="191">
          <cell r="I191">
            <v>7964.8992230378617</v>
          </cell>
          <cell r="J191">
            <v>7763.6729744730446</v>
          </cell>
          <cell r="L191">
            <v>1653.764893629289</v>
          </cell>
          <cell r="M191">
            <v>1711.840509735297</v>
          </cell>
          <cell r="O191">
            <v>3104.1599999999994</v>
          </cell>
          <cell r="P191">
            <v>2439.9078230645164</v>
          </cell>
          <cell r="R191">
            <v>783.2399999999999</v>
          </cell>
          <cell r="S191">
            <v>615.77376919354833</v>
          </cell>
          <cell r="U191">
            <v>531.87068102458227</v>
          </cell>
          <cell r="V191">
            <v>1715.4647296763414</v>
          </cell>
          <cell r="X191">
            <v>5913.9870696057869</v>
          </cell>
          <cell r="Y191">
            <v>4639.9346204316525</v>
          </cell>
          <cell r="AA191">
            <v>0</v>
          </cell>
          <cell r="AB191">
            <v>0</v>
          </cell>
          <cell r="AD191">
            <v>9801.6168985095828</v>
          </cell>
          <cell r="AE191">
            <v>9302.3923406636986</v>
          </cell>
          <cell r="AJ191">
            <v>0</v>
          </cell>
          <cell r="AK191">
            <v>0</v>
          </cell>
          <cell r="AM191">
            <v>0</v>
          </cell>
          <cell r="AN191">
            <v>0</v>
          </cell>
          <cell r="AP191">
            <v>1751.9826393532514</v>
          </cell>
          <cell r="AQ191">
            <v>1626.7601256395717</v>
          </cell>
          <cell r="AS191">
            <v>22433.01226621597</v>
          </cell>
          <cell r="AT191">
            <v>1986.7001004483097</v>
          </cell>
          <cell r="AV191">
            <v>1409.0055861071714</v>
          </cell>
          <cell r="AW191">
            <v>0</v>
          </cell>
          <cell r="AY191">
            <v>2131.6319683440897</v>
          </cell>
          <cell r="AZ191">
            <v>2040</v>
          </cell>
          <cell r="BB191">
            <v>1751.3065641979583</v>
          </cell>
          <cell r="BC191">
            <v>0</v>
          </cell>
          <cell r="BE191">
            <v>892.53005789860288</v>
          </cell>
          <cell r="BF191">
            <v>0</v>
          </cell>
          <cell r="BH191">
            <v>539.76213107435467</v>
          </cell>
          <cell r="BI191">
            <v>0</v>
          </cell>
          <cell r="BK191">
            <v>778.36614519151806</v>
          </cell>
          <cell r="BL191">
            <v>728.30103163853278</v>
          </cell>
          <cell r="BN191">
            <v>0</v>
          </cell>
          <cell r="BO191">
            <v>0</v>
          </cell>
          <cell r="BT191">
            <v>23952.772400009209</v>
          </cell>
          <cell r="BU191">
            <v>39853.62040982426</v>
          </cell>
          <cell r="BW191">
            <v>23723.089747868158</v>
          </cell>
          <cell r="BX191">
            <v>21095.940773194354</v>
          </cell>
          <cell r="BZ191">
            <v>18637.515556641938</v>
          </cell>
          <cell r="CA191">
            <v>9960.0080281866594</v>
          </cell>
          <cell r="CC191">
            <v>1970.6880079415148</v>
          </cell>
          <cell r="CD191">
            <v>1958.3254166183256</v>
          </cell>
          <cell r="CF191">
            <v>242.60363734128498</v>
          </cell>
          <cell r="CG191">
            <v>0</v>
          </cell>
          <cell r="CI191">
            <v>4192.7256396910379</v>
          </cell>
          <cell r="CJ191">
            <v>2061.6848112638213</v>
          </cell>
          <cell r="CL191">
            <v>0</v>
          </cell>
          <cell r="CM191">
            <v>0</v>
          </cell>
          <cell r="CX191">
            <v>-20.467336419782441</v>
          </cell>
          <cell r="CY191">
            <v>29571.777043137692</v>
          </cell>
        </row>
        <row r="192">
          <cell r="I192">
            <v>437.8311589571756</v>
          </cell>
          <cell r="J192">
            <v>439.49257557608934</v>
          </cell>
          <cell r="L192">
            <v>242.04357779902338</v>
          </cell>
          <cell r="M192">
            <v>239.22253674075395</v>
          </cell>
          <cell r="O192">
            <v>483.72</v>
          </cell>
          <cell r="P192">
            <v>380.24656854838713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>
            <v>222.32045077229392</v>
          </cell>
          <cell r="Y192">
            <v>92.313823591757327</v>
          </cell>
          <cell r="AA192">
            <v>0</v>
          </cell>
          <cell r="AB192">
            <v>0</v>
          </cell>
          <cell r="AD192">
            <v>1514.9271122141863</v>
          </cell>
          <cell r="AE192">
            <v>1437.7675144054951</v>
          </cell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P192">
            <v>2320.193225089442</v>
          </cell>
          <cell r="AQ192">
            <v>378.61617200841994</v>
          </cell>
          <cell r="AS192">
            <v>2689.1297874743759</v>
          </cell>
          <cell r="AT192">
            <v>0</v>
          </cell>
          <cell r="AV192">
            <v>302.14115608652634</v>
          </cell>
          <cell r="AW192">
            <v>0</v>
          </cell>
          <cell r="AY192">
            <v>312.02690298803327</v>
          </cell>
          <cell r="AZ192">
            <v>0</v>
          </cell>
          <cell r="BB192">
            <v>251.31447327278588</v>
          </cell>
          <cell r="BC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K192">
            <v>1.6992893375900495</v>
          </cell>
          <cell r="BL192">
            <v>0</v>
          </cell>
          <cell r="BN192">
            <v>0</v>
          </cell>
          <cell r="BO192">
            <v>0</v>
          </cell>
          <cell r="BT192">
            <v>7454.6021415347677</v>
          </cell>
          <cell r="BU192">
            <v>9831.8229375228075</v>
          </cell>
          <cell r="BW192">
            <v>272.82746709964806</v>
          </cell>
          <cell r="BX192">
            <v>149.19429602975799</v>
          </cell>
          <cell r="BZ192">
            <v>2267.6271176852852</v>
          </cell>
          <cell r="CA192">
            <v>2367.6292926968981</v>
          </cell>
          <cell r="CC192">
            <v>0</v>
          </cell>
          <cell r="CD192">
            <v>0</v>
          </cell>
          <cell r="CF192">
            <v>0</v>
          </cell>
          <cell r="CG192">
            <v>0</v>
          </cell>
          <cell r="CI192">
            <v>0</v>
          </cell>
          <cell r="CJ192">
            <v>0</v>
          </cell>
          <cell r="CL192">
            <v>0</v>
          </cell>
          <cell r="CM192">
            <v>0</v>
          </cell>
          <cell r="CX192">
            <v>337.79536762664702</v>
          </cell>
          <cell r="CY192">
            <v>4485.1131394555587</v>
          </cell>
        </row>
        <row r="193">
          <cell r="I193">
            <v>2420.351146436115</v>
          </cell>
          <cell r="J193">
            <v>2331.3025332445177</v>
          </cell>
          <cell r="L193">
            <v>656.29564933002894</v>
          </cell>
          <cell r="M193">
            <v>648.64986123593189</v>
          </cell>
          <cell r="O193">
            <v>656.04</v>
          </cell>
          <cell r="P193">
            <v>515.63092500000005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X193">
            <v>1207.1775804244428</v>
          </cell>
          <cell r="Y193">
            <v>926.33986537294322</v>
          </cell>
          <cell r="AA193">
            <v>0</v>
          </cell>
          <cell r="AB193">
            <v>0</v>
          </cell>
          <cell r="AD193">
            <v>2028.0268961986692</v>
          </cell>
          <cell r="AE193">
            <v>1924.7336496825465</v>
          </cell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P193">
            <v>994.368525038332</v>
          </cell>
          <cell r="AQ193">
            <v>977.27457797925808</v>
          </cell>
          <cell r="AS193">
            <v>5705.6292066297428</v>
          </cell>
          <cell r="AT193">
            <v>1816</v>
          </cell>
          <cell r="AV193">
            <v>412.42731479678213</v>
          </cell>
          <cell r="AW193">
            <v>0</v>
          </cell>
          <cell r="AY193">
            <v>845.64910278683158</v>
          </cell>
          <cell r="AZ193">
            <v>0</v>
          </cell>
          <cell r="BB193">
            <v>300.39950777795787</v>
          </cell>
          <cell r="BC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K193">
            <v>118.62780668282814</v>
          </cell>
          <cell r="BL193">
            <v>0</v>
          </cell>
          <cell r="BN193">
            <v>0</v>
          </cell>
          <cell r="BO193">
            <v>0</v>
          </cell>
          <cell r="BT193">
            <v>9282.5882453127742</v>
          </cell>
          <cell r="BU193">
            <v>15066.984409126469</v>
          </cell>
          <cell r="BW193">
            <v>2402.6188285825042</v>
          </cell>
          <cell r="BX193">
            <v>4932.4298781095267</v>
          </cell>
          <cell r="BZ193">
            <v>2524.133001958282</v>
          </cell>
          <cell r="CA193">
            <v>2492.1255975852168</v>
          </cell>
          <cell r="CC193">
            <v>314.721816193645</v>
          </cell>
          <cell r="CD193">
            <v>312.74749190770279</v>
          </cell>
          <cell r="CF193">
            <v>38.744162978384317</v>
          </cell>
          <cell r="CG193">
            <v>0</v>
          </cell>
          <cell r="CI193">
            <v>1291.5092372262573</v>
          </cell>
          <cell r="CJ193">
            <v>928.64773193314113</v>
          </cell>
          <cell r="CL193">
            <v>0</v>
          </cell>
          <cell r="CM193">
            <v>0</v>
          </cell>
          <cell r="CX193">
            <v>-0.12963402428977133</v>
          </cell>
          <cell r="CY193">
            <v>-2008.3998254127009</v>
          </cell>
        </row>
        <row r="194">
          <cell r="I194">
            <v>14030.708236755463</v>
          </cell>
          <cell r="J194">
            <v>13756.874928720845</v>
          </cell>
          <cell r="L194">
            <v>2888.243232695495</v>
          </cell>
          <cell r="M194">
            <v>2910.4258743543419</v>
          </cell>
          <cell r="O194">
            <v>6469.3199999999988</v>
          </cell>
          <cell r="P194">
            <v>5085.1461267741943</v>
          </cell>
          <cell r="R194">
            <v>1542.24</v>
          </cell>
          <cell r="S194">
            <v>1212.1969981451614</v>
          </cell>
          <cell r="U194">
            <v>886.54788981894308</v>
          </cell>
          <cell r="V194">
            <v>2638.1407923908369</v>
          </cell>
          <cell r="X194">
            <v>10663.917230728825</v>
          </cell>
          <cell r="Y194">
            <v>8659.5145488824182</v>
          </cell>
          <cell r="AA194">
            <v>0</v>
          </cell>
          <cell r="AB194">
            <v>0</v>
          </cell>
          <cell r="AD194">
            <v>20246.361617928382</v>
          </cell>
          <cell r="AE194">
            <v>19215.156151385909</v>
          </cell>
          <cell r="AJ194">
            <v>0</v>
          </cell>
          <cell r="AK194">
            <v>0</v>
          </cell>
          <cell r="AM194">
            <v>0</v>
          </cell>
          <cell r="AN194">
            <v>0</v>
          </cell>
          <cell r="AP194">
            <v>3740.7196894299173</v>
          </cell>
          <cell r="AQ194">
            <v>3486.42767971794</v>
          </cell>
          <cell r="AS194">
            <v>52578.414744901522</v>
          </cell>
          <cell r="AT194">
            <v>16261</v>
          </cell>
          <cell r="AV194">
            <v>2342.030850270276</v>
          </cell>
          <cell r="AW194">
            <v>0</v>
          </cell>
          <cell r="AY194">
            <v>3722.4757732297953</v>
          </cell>
          <cell r="AZ194">
            <v>279</v>
          </cell>
          <cell r="BB194">
            <v>3452.7002900652528</v>
          </cell>
          <cell r="BC194">
            <v>0</v>
          </cell>
          <cell r="BE194">
            <v>1627.8648436196602</v>
          </cell>
          <cell r="BF194">
            <v>0</v>
          </cell>
          <cell r="BH194">
            <v>899.31230716887478</v>
          </cell>
          <cell r="BI194">
            <v>0</v>
          </cell>
          <cell r="BK194">
            <v>1514.2830787293954</v>
          </cell>
          <cell r="BL194">
            <v>1355</v>
          </cell>
          <cell r="BN194">
            <v>0</v>
          </cell>
          <cell r="BO194">
            <v>0</v>
          </cell>
          <cell r="BT194">
            <v>68924.956783255519</v>
          </cell>
          <cell r="BU194">
            <v>82461.952615727496</v>
          </cell>
          <cell r="BW194">
            <v>30732.035040525439</v>
          </cell>
          <cell r="BX194">
            <v>30385.979356848533</v>
          </cell>
          <cell r="BZ194">
            <v>15856.082862573627</v>
          </cell>
          <cell r="CA194">
            <v>21158.939463089246</v>
          </cell>
          <cell r="CC194">
            <v>2714.8433303433117</v>
          </cell>
          <cell r="CD194">
            <v>2697.8124769234551</v>
          </cell>
          <cell r="CF194">
            <v>334.21366756120307</v>
          </cell>
          <cell r="CG194">
            <v>1100.4676004207925</v>
          </cell>
          <cell r="CI194">
            <v>8797.2368332803035</v>
          </cell>
          <cell r="CJ194">
            <v>4613.2583328216169</v>
          </cell>
          <cell r="CL194">
            <v>0</v>
          </cell>
          <cell r="CM194">
            <v>0</v>
          </cell>
          <cell r="CX194">
            <v>6280.3100365425489</v>
          </cell>
          <cell r="CY194">
            <v>50304.968464556652</v>
          </cell>
        </row>
        <row r="195">
          <cell r="I195">
            <v>6598.1079400572626</v>
          </cell>
          <cell r="J195">
            <v>6428.3679530098525</v>
          </cell>
          <cell r="L195">
            <v>937.40060836497275</v>
          </cell>
          <cell r="M195">
            <v>926.47554571480271</v>
          </cell>
          <cell r="O195">
            <v>2549.2800000000002</v>
          </cell>
          <cell r="P195">
            <v>2003.8622465322578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>
            <v>4621.0145050713072</v>
          </cell>
          <cell r="Y195">
            <v>3902.6333565661203</v>
          </cell>
          <cell r="AA195">
            <v>0</v>
          </cell>
          <cell r="AB195">
            <v>0</v>
          </cell>
          <cell r="AD195">
            <v>8471.1491586378197</v>
          </cell>
          <cell r="AE195">
            <v>8039.689151890303</v>
          </cell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P195">
            <v>5113.8952716257081</v>
          </cell>
          <cell r="AQ195">
            <v>4400.9900341203202</v>
          </cell>
          <cell r="AS195">
            <v>17929.542342492292</v>
          </cell>
          <cell r="AT195">
            <v>0</v>
          </cell>
          <cell r="AV195">
            <v>1127.6788241314471</v>
          </cell>
          <cell r="AW195">
            <v>0</v>
          </cell>
          <cell r="AY195">
            <v>1208.3695267083779</v>
          </cell>
          <cell r="AZ195">
            <v>0</v>
          </cell>
          <cell r="BB195">
            <v>1566.8766719750254</v>
          </cell>
          <cell r="BC195">
            <v>0</v>
          </cell>
          <cell r="BE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593.6268608144552</v>
          </cell>
          <cell r="BL195">
            <v>0</v>
          </cell>
          <cell r="BN195">
            <v>0</v>
          </cell>
          <cell r="BO195">
            <v>0</v>
          </cell>
          <cell r="BT195">
            <v>31744.248360989874</v>
          </cell>
          <cell r="BU195">
            <v>38283.773704045911</v>
          </cell>
          <cell r="BW195">
            <v>14687.134872306369</v>
          </cell>
          <cell r="BX195">
            <v>14672.530412728362</v>
          </cell>
          <cell r="BZ195">
            <v>9296.0241382988024</v>
          </cell>
          <cell r="CA195">
            <v>9628.316827676168</v>
          </cell>
          <cell r="CC195">
            <v>0</v>
          </cell>
          <cell r="CD195">
            <v>0</v>
          </cell>
          <cell r="CF195">
            <v>0</v>
          </cell>
          <cell r="CG195">
            <v>0</v>
          </cell>
          <cell r="CI195">
            <v>6607.2863875488219</v>
          </cell>
          <cell r="CJ195">
            <v>5085.7664256154585</v>
          </cell>
          <cell r="CL195">
            <v>0</v>
          </cell>
          <cell r="CM195">
            <v>0</v>
          </cell>
          <cell r="CX195">
            <v>3391.9974371729622</v>
          </cell>
          <cell r="CY195">
            <v>27007.073210520524</v>
          </cell>
        </row>
        <row r="196">
          <cell r="I196">
            <v>559.6145152736716</v>
          </cell>
          <cell r="J196">
            <v>551.2984648239925</v>
          </cell>
          <cell r="L196">
            <v>279.91890436040342</v>
          </cell>
          <cell r="M196">
            <v>276.65589212317025</v>
          </cell>
          <cell r="O196">
            <v>383.52</v>
          </cell>
          <cell r="P196">
            <v>301.49983870967742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>
            <v>417.59548376558502</v>
          </cell>
          <cell r="Y196">
            <v>310.98848279909379</v>
          </cell>
          <cell r="AA196">
            <v>0</v>
          </cell>
          <cell r="AB196">
            <v>0</v>
          </cell>
          <cell r="AD196">
            <v>1223.7429848029922</v>
          </cell>
          <cell r="AE196">
            <v>1161.4142326357678</v>
          </cell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P196">
            <v>852.31587860428453</v>
          </cell>
          <cell r="AQ196">
            <v>710.69604669496789</v>
          </cell>
          <cell r="AS196">
            <v>4506.3953391134428</v>
          </cell>
          <cell r="AT196">
            <v>0</v>
          </cell>
          <cell r="AV196">
            <v>366.5099274166389</v>
          </cell>
          <cell r="AW196">
            <v>0</v>
          </cell>
          <cell r="AY196">
            <v>360.85612185121926</v>
          </cell>
          <cell r="AZ196">
            <v>0</v>
          </cell>
          <cell r="BB196">
            <v>155.13983125017546</v>
          </cell>
          <cell r="BC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K196">
            <v>59.168459612509928</v>
          </cell>
          <cell r="BL196">
            <v>0</v>
          </cell>
          <cell r="BN196">
            <v>0</v>
          </cell>
          <cell r="BO196">
            <v>0</v>
          </cell>
          <cell r="BT196">
            <v>5731.9272004193372</v>
          </cell>
          <cell r="BU196">
            <v>6779.5573099303874</v>
          </cell>
          <cell r="BW196">
            <v>1141.6958998302646</v>
          </cell>
          <cell r="BX196">
            <v>1271.240637063481</v>
          </cell>
          <cell r="BZ196">
            <v>1559.6856271691986</v>
          </cell>
          <cell r="CA196">
            <v>1944.4409341645519</v>
          </cell>
          <cell r="CC196">
            <v>0</v>
          </cell>
          <cell r="CD196">
            <v>0</v>
          </cell>
          <cell r="CF196">
            <v>0</v>
          </cell>
          <cell r="CG196">
            <v>0</v>
          </cell>
          <cell r="CI196">
            <v>1123.0515106315279</v>
          </cell>
          <cell r="CJ196">
            <v>334.94083988383829</v>
          </cell>
          <cell r="CL196">
            <v>0</v>
          </cell>
          <cell r="CM196">
            <v>0</v>
          </cell>
          <cell r="CX196">
            <v>-54.885220921502878</v>
          </cell>
          <cell r="CY196">
            <v>6039.2007854052863</v>
          </cell>
        </row>
        <row r="197">
          <cell r="I197">
            <v>5803.4744905215312</v>
          </cell>
          <cell r="J197">
            <v>5008.9190933455293</v>
          </cell>
          <cell r="L197">
            <v>2244.7122528977789</v>
          </cell>
          <cell r="M197">
            <v>2070.1408569755918</v>
          </cell>
          <cell r="O197">
            <v>5299.7999999999993</v>
          </cell>
          <cell r="P197">
            <v>4165.8424274193549</v>
          </cell>
          <cell r="R197">
            <v>1244.2800000000004</v>
          </cell>
          <cell r="S197">
            <v>977.89238225806469</v>
          </cell>
          <cell r="U197">
            <v>1152.4837204751339</v>
          </cell>
          <cell r="V197">
            <v>474.71851201184109</v>
          </cell>
          <cell r="X197">
            <v>8948.6029651194785</v>
          </cell>
          <cell r="Y197">
            <v>6093.3839754188721</v>
          </cell>
          <cell r="AA197">
            <v>0</v>
          </cell>
          <cell r="AB197">
            <v>0</v>
          </cell>
          <cell r="AD197">
            <v>16305.028385566904</v>
          </cell>
          <cell r="AE197">
            <v>15474.566363766509</v>
          </cell>
          <cell r="AJ197">
            <v>29784.395634815399</v>
          </cell>
          <cell r="AK197">
            <v>29597.418228436061</v>
          </cell>
          <cell r="AM197">
            <v>0</v>
          </cell>
          <cell r="AN197">
            <v>2478.1325003273128</v>
          </cell>
          <cell r="AP197">
            <v>3409.2635144171381</v>
          </cell>
          <cell r="AQ197">
            <v>3440.8343877742382</v>
          </cell>
          <cell r="AS197">
            <v>61705.078213439039</v>
          </cell>
          <cell r="AT197">
            <v>58955</v>
          </cell>
          <cell r="AV197">
            <v>609.01725000937734</v>
          </cell>
          <cell r="AW197">
            <v>1033</v>
          </cell>
          <cell r="AY197">
            <v>1322.1322165719887</v>
          </cell>
          <cell r="AZ197">
            <v>2798</v>
          </cell>
          <cell r="BB197">
            <v>1382.5564143997756</v>
          </cell>
          <cell r="BC197">
            <v>0</v>
          </cell>
          <cell r="BE197">
            <v>672.46542194277424</v>
          </cell>
          <cell r="BF197">
            <v>0</v>
          </cell>
          <cell r="BH197">
            <v>584.59680888900095</v>
          </cell>
          <cell r="BI197">
            <v>0</v>
          </cell>
          <cell r="BK197">
            <v>857.28084435898234</v>
          </cell>
          <cell r="BL197">
            <v>2327</v>
          </cell>
          <cell r="BN197">
            <v>579.97937687586591</v>
          </cell>
          <cell r="BO197">
            <v>0</v>
          </cell>
          <cell r="BT197">
            <v>58016.052294251633</v>
          </cell>
          <cell r="BU197">
            <v>69780.467154850659</v>
          </cell>
          <cell r="BW197">
            <v>29884.659103723461</v>
          </cell>
          <cell r="BX197">
            <v>34324.023482565404</v>
          </cell>
          <cell r="BZ197">
            <v>10906.47979860691</v>
          </cell>
          <cell r="CA197">
            <v>19181.016566140599</v>
          </cell>
          <cell r="CC197">
            <v>941.2241231959473</v>
          </cell>
          <cell r="CD197">
            <v>935.31960196696173</v>
          </cell>
          <cell r="CF197">
            <v>115.87039395404656</v>
          </cell>
          <cell r="CG197">
            <v>0</v>
          </cell>
          <cell r="CI197">
            <v>8572.6265311539955</v>
          </cell>
          <cell r="CJ197">
            <v>7236.9967118888853</v>
          </cell>
          <cell r="CL197">
            <v>13439.183077223954</v>
          </cell>
          <cell r="CM197">
            <v>15388.865013938845</v>
          </cell>
          <cell r="CX197">
            <v>9314.6886011078423</v>
          </cell>
          <cell r="CY197">
            <v>-12237.664710901652</v>
          </cell>
        </row>
        <row r="198">
          <cell r="I198">
            <v>53360.116306675358</v>
          </cell>
          <cell r="J198">
            <v>44219.70864107948</v>
          </cell>
          <cell r="L198">
            <v>8303.2430904713801</v>
          </cell>
          <cell r="M198">
            <v>7495.6515714245015</v>
          </cell>
          <cell r="O198">
            <v>22485.359999999997</v>
          </cell>
          <cell r="P198">
            <v>17673.509094999998</v>
          </cell>
          <cell r="R198">
            <v>5015.6400000000021</v>
          </cell>
          <cell r="S198">
            <v>3942.2792943548388</v>
          </cell>
          <cell r="U198">
            <v>2730.6383404278426</v>
          </cell>
          <cell r="V198">
            <v>1056.8590240774809</v>
          </cell>
          <cell r="X198">
            <v>35295.966128561238</v>
          </cell>
          <cell r="Y198">
            <v>27187.170898035027</v>
          </cell>
          <cell r="AA198">
            <v>0</v>
          </cell>
          <cell r="AB198">
            <v>0</v>
          </cell>
          <cell r="AD198">
            <v>65986.214278071813</v>
          </cell>
          <cell r="AE198">
            <v>62650.002261881978</v>
          </cell>
          <cell r="AJ198">
            <v>113650.94112339294</v>
          </cell>
          <cell r="AK198">
            <v>112937.53926163306</v>
          </cell>
          <cell r="AM198">
            <v>0</v>
          </cell>
          <cell r="AN198">
            <v>10188.099843911379</v>
          </cell>
          <cell r="AP198">
            <v>11600.966125447208</v>
          </cell>
          <cell r="AQ198">
            <v>11603.479132169865</v>
          </cell>
          <cell r="AS198">
            <v>230014.71734259636</v>
          </cell>
          <cell r="AT198">
            <v>121866.88310461356</v>
          </cell>
          <cell r="AV198">
            <v>4125.413561988581</v>
          </cell>
          <cell r="AW198">
            <v>4938.3604327541798</v>
          </cell>
          <cell r="AY198">
            <v>5116.4025963034574</v>
          </cell>
          <cell r="AZ198">
            <v>15671.135815707792</v>
          </cell>
          <cell r="BB198">
            <v>4911.5911368776024</v>
          </cell>
          <cell r="BC198">
            <v>0</v>
          </cell>
          <cell r="BE198">
            <v>2714.8521991340513</v>
          </cell>
          <cell r="BF198">
            <v>0</v>
          </cell>
          <cell r="BH198">
            <v>1385.1854514791391</v>
          </cell>
          <cell r="BI198">
            <v>0</v>
          </cell>
          <cell r="BK198">
            <v>4373.8545356393488</v>
          </cell>
          <cell r="BL198">
            <v>0</v>
          </cell>
          <cell r="BN198">
            <v>1414.4304200481445</v>
          </cell>
          <cell r="BO198">
            <v>0</v>
          </cell>
          <cell r="BT198">
            <v>215594.59621019627</v>
          </cell>
          <cell r="BU198">
            <v>241846.28594521096</v>
          </cell>
          <cell r="BW198">
            <v>131450.94725833155</v>
          </cell>
          <cell r="BX198">
            <v>142720.10682567675</v>
          </cell>
          <cell r="BZ198">
            <v>41548.494470883466</v>
          </cell>
          <cell r="CA198">
            <v>59174.20510887757</v>
          </cell>
          <cell r="CC198">
            <v>2100.1063248809573</v>
          </cell>
          <cell r="CD198">
            <v>2086.9318618887828</v>
          </cell>
          <cell r="CF198">
            <v>258.53581650996642</v>
          </cell>
          <cell r="CG198">
            <v>0</v>
          </cell>
          <cell r="CI198">
            <v>24800.720859779583</v>
          </cell>
          <cell r="CJ198">
            <v>11033.407184999136</v>
          </cell>
          <cell r="CL198">
            <v>15984.766501322089</v>
          </cell>
          <cell r="CM198">
            <v>21489.210736738631</v>
          </cell>
          <cell r="CX198">
            <v>19343.389905177988</v>
          </cell>
          <cell r="CY198">
            <v>120674.83875195798</v>
          </cell>
        </row>
        <row r="199">
          <cell r="I199">
            <v>2421.9278880584375</v>
          </cell>
          <cell r="J199">
            <v>2328.6538687100146</v>
          </cell>
          <cell r="L199">
            <v>538.23777175711905</v>
          </cell>
          <cell r="M199">
            <v>531.96307375480626</v>
          </cell>
          <cell r="O199">
            <v>575.16</v>
          </cell>
          <cell r="P199">
            <v>452.11485161290329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X199">
            <v>1186.6969131526546</v>
          </cell>
          <cell r="Y199">
            <v>910.5502923409847</v>
          </cell>
          <cell r="AA199">
            <v>0</v>
          </cell>
          <cell r="AB199">
            <v>0</v>
          </cell>
          <cell r="AD199">
            <v>2049.8336370180091</v>
          </cell>
          <cell r="AE199">
            <v>1945.4297104318209</v>
          </cell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852.31587860428453</v>
          </cell>
          <cell r="AQ199">
            <v>767.50911445539566</v>
          </cell>
          <cell r="AS199">
            <v>7065.6256210970996</v>
          </cell>
          <cell r="AT199">
            <v>21334</v>
          </cell>
          <cell r="AV199">
            <v>463.5249696805202</v>
          </cell>
          <cell r="AW199">
            <v>0</v>
          </cell>
          <cell r="AY199">
            <v>693.859784608008</v>
          </cell>
          <cell r="AZ199">
            <v>0</v>
          </cell>
          <cell r="BB199">
            <v>322.09581520189704</v>
          </cell>
          <cell r="BC199">
            <v>7348.7928293797668</v>
          </cell>
          <cell r="BE199">
            <v>0</v>
          </cell>
          <cell r="BF199">
            <v>0</v>
          </cell>
          <cell r="BH199">
            <v>0</v>
          </cell>
          <cell r="BI199">
            <v>0</v>
          </cell>
          <cell r="BK199">
            <v>118.62766249183653</v>
          </cell>
          <cell r="BL199">
            <v>0</v>
          </cell>
          <cell r="BN199">
            <v>0</v>
          </cell>
          <cell r="BO199">
            <v>0</v>
          </cell>
          <cell r="BT199">
            <v>7953.9374298782532</v>
          </cell>
          <cell r="BU199">
            <v>10421.474270723966</v>
          </cell>
          <cell r="BW199">
            <v>2161.9595333019247</v>
          </cell>
          <cell r="BX199">
            <v>4772.9979127744482</v>
          </cell>
          <cell r="BZ199">
            <v>3196.8704103435343</v>
          </cell>
          <cell r="CA199">
            <v>2114.9728541224254</v>
          </cell>
          <cell r="CC199">
            <v>0</v>
          </cell>
          <cell r="CD199">
            <v>0</v>
          </cell>
          <cell r="CF199">
            <v>0</v>
          </cell>
          <cell r="CG199">
            <v>0</v>
          </cell>
          <cell r="CI199">
            <v>1347.6618127578338</v>
          </cell>
          <cell r="CJ199">
            <v>589.74245827589391</v>
          </cell>
          <cell r="CL199">
            <v>0</v>
          </cell>
          <cell r="CM199">
            <v>0</v>
          </cell>
          <cell r="CX199">
            <v>928.51784645830412</v>
          </cell>
          <cell r="CY199">
            <v>-26155.321483898901</v>
          </cell>
        </row>
        <row r="200">
          <cell r="I200">
            <v>13403.185711049244</v>
          </cell>
          <cell r="J200">
            <v>11221.385453736551</v>
          </cell>
          <cell r="L200">
            <v>2304.4421002521094</v>
          </cell>
          <cell r="M200">
            <v>2230.4279524218746</v>
          </cell>
          <cell r="O200">
            <v>7849.3199999999988</v>
          </cell>
          <cell r="P200">
            <v>6169.9902693548393</v>
          </cell>
          <cell r="R200">
            <v>1639.0799999999997</v>
          </cell>
          <cell r="S200">
            <v>1288.5015467741937</v>
          </cell>
          <cell r="U200">
            <v>2251.7219278659054</v>
          </cell>
          <cell r="V200">
            <v>862.80657770796699</v>
          </cell>
          <cell r="X200">
            <v>8162.540167118611</v>
          </cell>
          <cell r="Y200">
            <v>6003.2021242229648</v>
          </cell>
          <cell r="AA200">
            <v>0</v>
          </cell>
          <cell r="AB200">
            <v>0</v>
          </cell>
          <cell r="AD200">
            <v>21971.574124945546</v>
          </cell>
          <cell r="AE200">
            <v>20852.498620232443</v>
          </cell>
          <cell r="AJ200">
            <v>38406.222517863724</v>
          </cell>
          <cell r="AK200">
            <v>38165.165269831014</v>
          </cell>
          <cell r="AM200">
            <v>0</v>
          </cell>
          <cell r="AN200">
            <v>2220.6448464404548</v>
          </cell>
          <cell r="AP200">
            <v>3788.0705715745994</v>
          </cell>
          <cell r="AQ200">
            <v>3720.5049466738519</v>
          </cell>
          <cell r="AS200">
            <v>86885.73969581275</v>
          </cell>
          <cell r="AT200">
            <v>49451.201321467641</v>
          </cell>
          <cell r="AV200">
            <v>662.30371474064452</v>
          </cell>
          <cell r="AW200">
            <v>352.16728040695443</v>
          </cell>
          <cell r="AY200">
            <v>885.25732630034918</v>
          </cell>
          <cell r="AZ200">
            <v>13468</v>
          </cell>
          <cell r="BB200">
            <v>1298.9721867050841</v>
          </cell>
          <cell r="BC200">
            <v>0</v>
          </cell>
          <cell r="BE200">
            <v>345.26973320305052</v>
          </cell>
          <cell r="BF200">
            <v>0</v>
          </cell>
          <cell r="BH200">
            <v>685.39301428766191</v>
          </cell>
          <cell r="BI200">
            <v>0</v>
          </cell>
          <cell r="BK200">
            <v>451.18739287290265</v>
          </cell>
          <cell r="BL200">
            <v>5727.1628156041215</v>
          </cell>
          <cell r="BN200">
            <v>591.6733403507975</v>
          </cell>
          <cell r="BO200">
            <v>0</v>
          </cell>
          <cell r="BT200">
            <v>72903.441853570854</v>
          </cell>
          <cell r="BU200">
            <v>80789.606704091348</v>
          </cell>
          <cell r="BW200">
            <v>36828.015082837046</v>
          </cell>
          <cell r="BX200">
            <v>44392.906382584712</v>
          </cell>
          <cell r="BZ200">
            <v>15580.685426581296</v>
          </cell>
          <cell r="CA200">
            <v>21324.081932689602</v>
          </cell>
          <cell r="CC200">
            <v>1800.0911356122494</v>
          </cell>
          <cell r="CD200">
            <v>1788.7987387618141</v>
          </cell>
          <cell r="CF200">
            <v>221.60212843711409</v>
          </cell>
          <cell r="CG200">
            <v>0</v>
          </cell>
          <cell r="CI200">
            <v>34571.269002273875</v>
          </cell>
          <cell r="CJ200">
            <v>22604.186897287454</v>
          </cell>
          <cell r="CL200">
            <v>7412.1399701680848</v>
          </cell>
          <cell r="CM200">
            <v>9464.9704816134199</v>
          </cell>
          <cell r="CX200">
            <v>11306.672250691699</v>
          </cell>
          <cell r="CY200">
            <v>33867.857805716136</v>
          </cell>
        </row>
        <row r="201">
          <cell r="I201">
            <v>1438.6869705392246</v>
          </cell>
          <cell r="J201">
            <v>1393.3101010711609</v>
          </cell>
          <cell r="L201">
            <v>538.23777175711905</v>
          </cell>
          <cell r="M201">
            <v>531.96307375480626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X201">
            <v>1186.6969131526546</v>
          </cell>
          <cell r="Y201">
            <v>909.90441204816352</v>
          </cell>
          <cell r="AA201">
            <v>0</v>
          </cell>
          <cell r="AB201">
            <v>0</v>
          </cell>
          <cell r="AD201">
            <v>1729.573855181028</v>
          </cell>
          <cell r="AE201">
            <v>1641.4816809963947</v>
          </cell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710.26323217023753</v>
          </cell>
          <cell r="AQ201">
            <v>210.21553414080392</v>
          </cell>
          <cell r="AS201">
            <v>6926.3796466665381</v>
          </cell>
          <cell r="AT201">
            <v>54355</v>
          </cell>
          <cell r="AV201">
            <v>319.40568632445223</v>
          </cell>
          <cell r="AW201">
            <v>0</v>
          </cell>
          <cell r="AY201">
            <v>693.859784608008</v>
          </cell>
          <cell r="AZ201">
            <v>0</v>
          </cell>
          <cell r="BB201">
            <v>0</v>
          </cell>
          <cell r="BC201">
            <v>0</v>
          </cell>
          <cell r="BE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118.62766249183653</v>
          </cell>
          <cell r="BL201">
            <v>0</v>
          </cell>
          <cell r="BN201">
            <v>0</v>
          </cell>
          <cell r="BO201">
            <v>0</v>
          </cell>
          <cell r="BT201">
            <v>8288.6088636423101</v>
          </cell>
          <cell r="BU201">
            <v>9953.4011721595234</v>
          </cell>
          <cell r="BW201">
            <v>2151.9698573207702</v>
          </cell>
          <cell r="BX201">
            <v>4711.7266547939907</v>
          </cell>
          <cell r="BZ201">
            <v>1637.8221712920438</v>
          </cell>
          <cell r="CA201">
            <v>2100.0457142982009</v>
          </cell>
          <cell r="CC201">
            <v>0</v>
          </cell>
          <cell r="CD201">
            <v>0</v>
          </cell>
          <cell r="CF201">
            <v>0</v>
          </cell>
          <cell r="CG201">
            <v>0</v>
          </cell>
          <cell r="CI201">
            <v>411.78555389822708</v>
          </cell>
          <cell r="CJ201">
            <v>337.16956540117292</v>
          </cell>
          <cell r="CL201">
            <v>0</v>
          </cell>
          <cell r="CM201">
            <v>0</v>
          </cell>
          <cell r="CX201">
            <v>-0.14156285333410779</v>
          </cell>
          <cell r="CY201">
            <v>-59990.901490397082</v>
          </cell>
        </row>
        <row r="202">
          <cell r="I202">
            <v>20567.99339344713</v>
          </cell>
          <cell r="J202">
            <v>17167.47759789004</v>
          </cell>
          <cell r="L202">
            <v>3527.0897913507779</v>
          </cell>
          <cell r="M202">
            <v>3209.0531317802488</v>
          </cell>
          <cell r="O202">
            <v>12019.200000000003</v>
          </cell>
          <cell r="P202">
            <v>9446.8808166666695</v>
          </cell>
          <cell r="R202">
            <v>2341.08</v>
          </cell>
          <cell r="S202">
            <v>1840.0788389784948</v>
          </cell>
          <cell r="U202">
            <v>1170.2323882178873</v>
          </cell>
          <cell r="V202">
            <v>432.86668051675673</v>
          </cell>
          <cell r="X202">
            <v>15632.696451587959</v>
          </cell>
          <cell r="Y202">
            <v>11692.820826615845</v>
          </cell>
          <cell r="AA202">
            <v>0</v>
          </cell>
          <cell r="AB202">
            <v>0</v>
          </cell>
          <cell r="AD202">
            <v>31858.408345911874</v>
          </cell>
          <cell r="AE202">
            <v>30235.76791986341</v>
          </cell>
          <cell r="AJ202">
            <v>84697.33621322806</v>
          </cell>
          <cell r="AK202">
            <v>84165.865987866622</v>
          </cell>
          <cell r="AM202">
            <v>0</v>
          </cell>
          <cell r="AN202">
            <v>0</v>
          </cell>
          <cell r="AP202">
            <v>5682.1058573619002</v>
          </cell>
          <cell r="AQ202">
            <v>5419.6402155703063</v>
          </cell>
          <cell r="AS202">
            <v>119099.64795409072</v>
          </cell>
          <cell r="AT202">
            <v>218249.2353920005</v>
          </cell>
          <cell r="AV202">
            <v>1711.935043428595</v>
          </cell>
          <cell r="AW202">
            <v>943</v>
          </cell>
          <cell r="AY202">
            <v>2341.9396050431133</v>
          </cell>
          <cell r="AZ202">
            <v>2462</v>
          </cell>
          <cell r="BB202">
            <v>2924.9722644413009</v>
          </cell>
          <cell r="BC202">
            <v>0</v>
          </cell>
          <cell r="BE202">
            <v>1204.5640437955815</v>
          </cell>
          <cell r="BF202">
            <v>0</v>
          </cell>
          <cell r="BH202">
            <v>593.65087276649558</v>
          </cell>
          <cell r="BI202">
            <v>293</v>
          </cell>
          <cell r="BK202">
            <v>1921.9578725387271</v>
          </cell>
          <cell r="BL202">
            <v>3532.4090683877221</v>
          </cell>
          <cell r="BN202">
            <v>858.12972459995842</v>
          </cell>
          <cell r="BO202">
            <v>0</v>
          </cell>
          <cell r="BT202">
            <v>104827.01642996732</v>
          </cell>
          <cell r="BU202">
            <v>79163.199425184648</v>
          </cell>
          <cell r="BW202">
            <v>58791.300234419243</v>
          </cell>
          <cell r="BX202">
            <v>38316.193209967569</v>
          </cell>
          <cell r="BZ202">
            <v>15580.685426581296</v>
          </cell>
          <cell r="CA202">
            <v>10889.535900781382</v>
          </cell>
          <cell r="CC202">
            <v>2289.5276796741418</v>
          </cell>
          <cell r="CD202">
            <v>2275.1649317846345</v>
          </cell>
          <cell r="CF202">
            <v>281.85473329321826</v>
          </cell>
          <cell r="CG202">
            <v>0</v>
          </cell>
          <cell r="CI202">
            <v>29367.797003014453</v>
          </cell>
          <cell r="CJ202">
            <v>17692.894983816968</v>
          </cell>
          <cell r="CL202">
            <v>16677.314932878191</v>
          </cell>
          <cell r="CM202">
            <v>16491.316899279078</v>
          </cell>
          <cell r="CX202">
            <v>16138.056486034424</v>
          </cell>
          <cell r="CY202">
            <v>-5401.9021923410073</v>
          </cell>
        </row>
        <row r="203">
          <cell r="I203">
            <v>10107.397816381092</v>
          </cell>
          <cell r="J203">
            <v>8630.8041190033764</v>
          </cell>
          <cell r="L203">
            <v>2818.7126271354537</v>
          </cell>
          <cell r="M203">
            <v>2706.4941893277319</v>
          </cell>
          <cell r="O203">
            <v>9816</v>
          </cell>
          <cell r="P203">
            <v>7715.8199913978497</v>
          </cell>
          <cell r="R203">
            <v>1811.5200000000002</v>
          </cell>
          <cell r="S203">
            <v>1423.9693849462367</v>
          </cell>
          <cell r="U203">
            <v>1090.3641185913455</v>
          </cell>
          <cell r="V203">
            <v>495.02206859133923</v>
          </cell>
          <cell r="X203">
            <v>12851.437516031443</v>
          </cell>
          <cell r="Y203">
            <v>9225.5648804528555</v>
          </cell>
          <cell r="AA203">
            <v>0</v>
          </cell>
          <cell r="AB203">
            <v>0</v>
          </cell>
          <cell r="AD203">
            <v>26168.30277478529</v>
          </cell>
          <cell r="AE203">
            <v>24835.475801686</v>
          </cell>
          <cell r="AJ203">
            <v>53690.285094516767</v>
          </cell>
          <cell r="AK203">
            <v>53353.333482574046</v>
          </cell>
          <cell r="AM203">
            <v>4735.2664766127937</v>
          </cell>
          <cell r="AN203">
            <v>0</v>
          </cell>
          <cell r="AP203">
            <v>4829.7899787576134</v>
          </cell>
          <cell r="AQ203">
            <v>4690.0749591401182</v>
          </cell>
          <cell r="AS203">
            <v>116695.30522629041</v>
          </cell>
          <cell r="AT203">
            <v>30493.077249676011</v>
          </cell>
          <cell r="AV203">
            <v>518.65821468004685</v>
          </cell>
          <cell r="AW203">
            <v>1068</v>
          </cell>
          <cell r="AY203">
            <v>720.85312188444175</v>
          </cell>
          <cell r="AZ203">
            <v>12715.422943737793</v>
          </cell>
          <cell r="BB203">
            <v>460.44911046176543</v>
          </cell>
          <cell r="BC203">
            <v>417.83672428403412</v>
          </cell>
          <cell r="BE203">
            <v>427.96207125221173</v>
          </cell>
          <cell r="BF203">
            <v>1148.5448070087323</v>
          </cell>
          <cell r="BH203">
            <v>331.91870979101282</v>
          </cell>
          <cell r="BI203">
            <v>0</v>
          </cell>
          <cell r="BK203">
            <v>685.1656155986617</v>
          </cell>
          <cell r="BL203">
            <v>974</v>
          </cell>
          <cell r="BN203">
            <v>1083.9309770510965</v>
          </cell>
          <cell r="BO203">
            <v>0</v>
          </cell>
          <cell r="BT203">
            <v>73087.77644891465</v>
          </cell>
          <cell r="BU203">
            <v>79334.143646263925</v>
          </cell>
          <cell r="BW203">
            <v>53208.330689056027</v>
          </cell>
          <cell r="BX203">
            <v>62906.001001694473</v>
          </cell>
          <cell r="BZ203">
            <v>9088.7331655057587</v>
          </cell>
          <cell r="CA203">
            <v>20661.885031103084</v>
          </cell>
          <cell r="CC203">
            <v>1821.2686783841591</v>
          </cell>
          <cell r="CD203">
            <v>1809.8434298060708</v>
          </cell>
          <cell r="CF203">
            <v>224.20921230108004</v>
          </cell>
          <cell r="CG203">
            <v>0</v>
          </cell>
          <cell r="CI203">
            <v>13581.436268570609</v>
          </cell>
          <cell r="CJ203">
            <v>16982.841922922842</v>
          </cell>
          <cell r="CL203">
            <v>9040.5646605838028</v>
          </cell>
          <cell r="CM203">
            <v>11682.638334021245</v>
          </cell>
          <cell r="CX203">
            <v>11807.833712235006</v>
          </cell>
          <cell r="CY203">
            <v>78557.647238834674</v>
          </cell>
        </row>
        <row r="204">
          <cell r="I204">
            <v>7982.534673161801</v>
          </cell>
          <cell r="J204">
            <v>6597.9100016741249</v>
          </cell>
          <cell r="L204">
            <v>1201.9316810220166</v>
          </cell>
          <cell r="M204">
            <v>1180.6583647552707</v>
          </cell>
          <cell r="O204">
            <v>3160.0800000000004</v>
          </cell>
          <cell r="P204">
            <v>2483.8335536559139</v>
          </cell>
          <cell r="R204">
            <v>738.7199999999998</v>
          </cell>
          <cell r="S204">
            <v>580.60373666666669</v>
          </cell>
          <cell r="U204">
            <v>390.17454427986803</v>
          </cell>
          <cell r="V204">
            <v>175.95820944642639</v>
          </cell>
          <cell r="X204">
            <v>2169.1228168048297</v>
          </cell>
          <cell r="Y204">
            <v>2266.3984362351061</v>
          </cell>
          <cell r="AA204">
            <v>0</v>
          </cell>
          <cell r="AB204">
            <v>0</v>
          </cell>
          <cell r="AD204">
            <v>9252.1297881775336</v>
          </cell>
          <cell r="AE204">
            <v>8780.8921902932507</v>
          </cell>
          <cell r="AJ204">
            <v>17243.520069488255</v>
          </cell>
          <cell r="AK204">
            <v>17135.34739541035</v>
          </cell>
          <cell r="AM204">
            <v>1578.4221588709306</v>
          </cell>
          <cell r="AN204">
            <v>1435.7166488529228</v>
          </cell>
          <cell r="AP204">
            <v>1704.6317572085691</v>
          </cell>
          <cell r="AQ204">
            <v>1629.9319504184243</v>
          </cell>
          <cell r="AS204">
            <v>32768.194578228235</v>
          </cell>
          <cell r="AT204">
            <v>42702.181626149126</v>
          </cell>
          <cell r="AV204">
            <v>638.76026908335007</v>
          </cell>
          <cell r="AW204">
            <v>306</v>
          </cell>
          <cell r="AY204">
            <v>797.49583455525669</v>
          </cell>
          <cell r="AZ204">
            <v>0</v>
          </cell>
          <cell r="BB204">
            <v>578.97626593541065</v>
          </cell>
          <cell r="BC204">
            <v>2097.6072908387187</v>
          </cell>
          <cell r="BE204">
            <v>409.86745939380518</v>
          </cell>
          <cell r="BF204">
            <v>402</v>
          </cell>
          <cell r="BH204">
            <v>197.88370594614832</v>
          </cell>
          <cell r="BI204">
            <v>0</v>
          </cell>
          <cell r="BK204">
            <v>261.75775971467539</v>
          </cell>
          <cell r="BL204">
            <v>4645.6449808026209</v>
          </cell>
          <cell r="BN204">
            <v>230.79347501263135</v>
          </cell>
          <cell r="BO204">
            <v>0</v>
          </cell>
          <cell r="BT204">
            <v>30668.285679755427</v>
          </cell>
          <cell r="BU204">
            <v>32110.544082190405</v>
          </cell>
          <cell r="BW204">
            <v>18380.593158255673</v>
          </cell>
          <cell r="BX204">
            <v>16260.591431962152</v>
          </cell>
          <cell r="BZ204">
            <v>7011.3084419615871</v>
          </cell>
          <cell r="CA204">
            <v>2984.3889220135547</v>
          </cell>
          <cell r="CC204">
            <v>780.92188971413759</v>
          </cell>
          <cell r="CD204">
            <v>776.02298225696336</v>
          </cell>
          <cell r="CF204">
            <v>96.136217483748013</v>
          </cell>
          <cell r="CG204">
            <v>0</v>
          </cell>
          <cell r="CI204">
            <v>4436.0534669945355</v>
          </cell>
          <cell r="CJ204">
            <v>5904.5335349882389</v>
          </cell>
          <cell r="CL204">
            <v>3949.3978123875399</v>
          </cell>
          <cell r="CM204">
            <v>4576.7780063113159</v>
          </cell>
          <cell r="CX204">
            <v>2625.8477958768635</v>
          </cell>
          <cell r="CY204">
            <v>-7461.1720139058434</v>
          </cell>
        </row>
        <row r="205">
          <cell r="I205">
            <v>15766.659882624015</v>
          </cell>
          <cell r="J205">
            <v>13039.859586512488</v>
          </cell>
          <cell r="L205">
            <v>2403.8633620440332</v>
          </cell>
          <cell r="M205">
            <v>2224.5361700135563</v>
          </cell>
          <cell r="O205">
            <v>6420.1200000000017</v>
          </cell>
          <cell r="P205">
            <v>5046.2946399999992</v>
          </cell>
          <cell r="R205">
            <v>1412.64</v>
          </cell>
          <cell r="S205">
            <v>1110.1477575806452</v>
          </cell>
          <cell r="U205">
            <v>780.05784393801957</v>
          </cell>
          <cell r="V205">
            <v>350.42879253131923</v>
          </cell>
          <cell r="X205">
            <v>7048.0746262724033</v>
          </cell>
          <cell r="Y205">
            <v>4902.3554026307929</v>
          </cell>
          <cell r="AA205">
            <v>0</v>
          </cell>
          <cell r="AB205">
            <v>0</v>
          </cell>
          <cell r="AD205">
            <v>18445.937234242163</v>
          </cell>
          <cell r="AE205">
            <v>17506.432563210004</v>
          </cell>
          <cell r="AJ205">
            <v>36838.496087665488</v>
          </cell>
          <cell r="AK205">
            <v>36607.388527908763</v>
          </cell>
          <cell r="AM205">
            <v>3156.8443177418612</v>
          </cell>
          <cell r="AN205">
            <v>3137.4060710075782</v>
          </cell>
          <cell r="AP205">
            <v>3409.2635144171381</v>
          </cell>
          <cell r="AQ205">
            <v>3302.1915972632059</v>
          </cell>
          <cell r="AS205">
            <v>60931.288465785219</v>
          </cell>
          <cell r="AT205">
            <v>45018.544244571</v>
          </cell>
          <cell r="AV205">
            <v>992.46698347594918</v>
          </cell>
          <cell r="AW205">
            <v>2073</v>
          </cell>
          <cell r="AY205">
            <v>1275.9933352884084</v>
          </cell>
          <cell r="AZ205">
            <v>10449</v>
          </cell>
          <cell r="BB205">
            <v>952.55758379960264</v>
          </cell>
          <cell r="BC205">
            <v>0</v>
          </cell>
          <cell r="BE205">
            <v>565.86085561064021</v>
          </cell>
          <cell r="BF205">
            <v>0</v>
          </cell>
          <cell r="BH205">
            <v>316.61392951383749</v>
          </cell>
          <cell r="BI205">
            <v>0</v>
          </cell>
          <cell r="BK205">
            <v>468.24530116215197</v>
          </cell>
          <cell r="BL205">
            <v>11231.897825139964</v>
          </cell>
          <cell r="BN205">
            <v>479.27278233266929</v>
          </cell>
          <cell r="BO205">
            <v>0</v>
          </cell>
          <cell r="BT205">
            <v>58992.192248584259</v>
          </cell>
          <cell r="BU205">
            <v>69422.433806404122</v>
          </cell>
          <cell r="BW205">
            <v>36696.0028846352</v>
          </cell>
          <cell r="BX205">
            <v>41530.466915682686</v>
          </cell>
          <cell r="BZ205">
            <v>13762.938793480154</v>
          </cell>
          <cell r="CA205">
            <v>16801.758368753293</v>
          </cell>
          <cell r="CC205">
            <v>1455.9560655687317</v>
          </cell>
          <cell r="CD205">
            <v>1446.8225092926434</v>
          </cell>
          <cell r="CF205">
            <v>179.23701564766577</v>
          </cell>
          <cell r="CG205">
            <v>0</v>
          </cell>
          <cell r="CI205">
            <v>8815.9543584574949</v>
          </cell>
          <cell r="CJ205">
            <v>11763.294748015463</v>
          </cell>
          <cell r="CL205">
            <v>7861.3605744206989</v>
          </cell>
          <cell r="CM205">
            <v>9132.7927303866672</v>
          </cell>
          <cell r="CX205">
            <v>5055.5223439507245</v>
          </cell>
          <cell r="CY205">
            <v>-14947.462708284966</v>
          </cell>
        </row>
        <row r="206">
          <cell r="I206">
            <v>7982.534673161801</v>
          </cell>
          <cell r="J206">
            <v>6595.8248649039306</v>
          </cell>
          <cell r="L206">
            <v>1201.9316810220166</v>
          </cell>
          <cell r="M206">
            <v>1173.2624497993256</v>
          </cell>
          <cell r="O206">
            <v>3157.3200000000011</v>
          </cell>
          <cell r="P206">
            <v>2481.6011235483875</v>
          </cell>
          <cell r="R206">
            <v>700.32</v>
          </cell>
          <cell r="S206">
            <v>550.45220854838715</v>
          </cell>
          <cell r="U206">
            <v>390.17454427986803</v>
          </cell>
          <cell r="V206">
            <v>213.46070914542298</v>
          </cell>
          <cell r="X206">
            <v>2169.1228168048297</v>
          </cell>
          <cell r="Y206">
            <v>4088.1305734159473</v>
          </cell>
          <cell r="AA206">
            <v>0</v>
          </cell>
          <cell r="AB206">
            <v>0</v>
          </cell>
          <cell r="AD206">
            <v>9153.4435963911837</v>
          </cell>
          <cell r="AE206">
            <v>8687.23237027496</v>
          </cell>
          <cell r="AJ206">
            <v>19594.976018177218</v>
          </cell>
          <cell r="AK206">
            <v>19472.041132498412</v>
          </cell>
          <cell r="AM206">
            <v>1578.4221588709306</v>
          </cell>
          <cell r="AN206">
            <v>1435.5534081837359</v>
          </cell>
          <cell r="AP206">
            <v>1704.6317572085691</v>
          </cell>
          <cell r="AQ206">
            <v>1624.4837825103173</v>
          </cell>
          <cell r="AS206">
            <v>35191.024019126038</v>
          </cell>
          <cell r="AT206">
            <v>29994.257579594148</v>
          </cell>
          <cell r="AV206">
            <v>638.76026908335007</v>
          </cell>
          <cell r="AW206">
            <v>575</v>
          </cell>
          <cell r="AY206">
            <v>797.49583455525669</v>
          </cell>
          <cell r="AZ206">
            <v>6789</v>
          </cell>
          <cell r="BB206">
            <v>558.74912333515374</v>
          </cell>
          <cell r="BC206">
            <v>0</v>
          </cell>
          <cell r="BE206">
            <v>387.40208663076743</v>
          </cell>
          <cell r="BF206">
            <v>0</v>
          </cell>
          <cell r="BH206">
            <v>197.88370594614832</v>
          </cell>
          <cell r="BI206">
            <v>0</v>
          </cell>
          <cell r="BK206">
            <v>261.75775971467539</v>
          </cell>
          <cell r="BL206">
            <v>924</v>
          </cell>
          <cell r="BN206">
            <v>167.44238903209089</v>
          </cell>
          <cell r="BO206">
            <v>0</v>
          </cell>
          <cell r="BT206">
            <v>33754.967616123038</v>
          </cell>
          <cell r="BU206">
            <v>39752.409026449437</v>
          </cell>
          <cell r="BW206">
            <v>18348.94006359209</v>
          </cell>
          <cell r="BX206">
            <v>20510.379427628424</v>
          </cell>
          <cell r="BZ206">
            <v>7011.3084419615871</v>
          </cell>
          <cell r="CA206">
            <v>8624.2444861547738</v>
          </cell>
          <cell r="CC206">
            <v>715.91859870591736</v>
          </cell>
          <cell r="CD206">
            <v>711.42747224612026</v>
          </cell>
          <cell r="CF206">
            <v>88.133918401296683</v>
          </cell>
          <cell r="CG206">
            <v>0</v>
          </cell>
          <cell r="CI206">
            <v>4398.6184166401517</v>
          </cell>
          <cell r="CJ206">
            <v>5860.1694063958557</v>
          </cell>
          <cell r="CL206">
            <v>3911.9627620331557</v>
          </cell>
          <cell r="CM206">
            <v>4551.1115272651205</v>
          </cell>
          <cell r="CX206">
            <v>2764.1492990434563</v>
          </cell>
          <cell r="CY206">
            <v>-9896.8098582752482</v>
          </cell>
        </row>
        <row r="207">
          <cell r="I207">
            <v>2850.9079096292044</v>
          </cell>
          <cell r="J207">
            <v>2752.2515284699152</v>
          </cell>
          <cell r="L207">
            <v>711.632320163641</v>
          </cell>
          <cell r="M207">
            <v>703.33765386493076</v>
          </cell>
          <cell r="O207">
            <v>904.32</v>
          </cell>
          <cell r="P207">
            <v>710.89994758064518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>
            <v>1207.1775804244428</v>
          </cell>
          <cell r="Y207">
            <v>3193.5467538781595</v>
          </cell>
          <cell r="AA207">
            <v>0</v>
          </cell>
          <cell r="AB207">
            <v>0</v>
          </cell>
          <cell r="AD207">
            <v>2577.8988313687064</v>
          </cell>
          <cell r="AE207">
            <v>2669.3860315437041</v>
          </cell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P207">
            <v>1136.4211714723797</v>
          </cell>
          <cell r="AQ207">
            <v>1137.6667783313646</v>
          </cell>
          <cell r="AS207">
            <v>7854.1532242102548</v>
          </cell>
          <cell r="AT207">
            <v>0</v>
          </cell>
          <cell r="AV207">
            <v>549.93657365564115</v>
          </cell>
          <cell r="AW207">
            <v>0</v>
          </cell>
          <cell r="AY207">
            <v>917.31938348910023</v>
          </cell>
          <cell r="AZ207">
            <v>0</v>
          </cell>
          <cell r="BB207">
            <v>465.46474878650037</v>
          </cell>
          <cell r="BC207">
            <v>0</v>
          </cell>
          <cell r="BE207">
            <v>0</v>
          </cell>
          <cell r="BF207">
            <v>0</v>
          </cell>
          <cell r="BH207">
            <v>0</v>
          </cell>
          <cell r="BI207">
            <v>0</v>
          </cell>
          <cell r="BK207">
            <v>118.62780668282814</v>
          </cell>
          <cell r="BL207">
            <v>0</v>
          </cell>
          <cell r="BN207">
            <v>0</v>
          </cell>
          <cell r="BO207">
            <v>0</v>
          </cell>
          <cell r="BT207">
            <v>5771.3146974083966</v>
          </cell>
          <cell r="BU207">
            <v>9318.9144780089009</v>
          </cell>
          <cell r="BW207">
            <v>5971.7950055201136</v>
          </cell>
          <cell r="BX207">
            <v>7165.0702762566971</v>
          </cell>
          <cell r="BZ207">
            <v>1876.0077721563641</v>
          </cell>
          <cell r="CA207">
            <v>2251.8111455196695</v>
          </cell>
          <cell r="CC207">
            <v>600.03037853741637</v>
          </cell>
          <cell r="CD207">
            <v>596.26624625393799</v>
          </cell>
          <cell r="CF207">
            <v>73.867376145704682</v>
          </cell>
          <cell r="CG207">
            <v>0</v>
          </cell>
          <cell r="CI207">
            <v>1048.1814099227595</v>
          </cell>
          <cell r="CJ207">
            <v>3034.0750671901178</v>
          </cell>
          <cell r="CL207">
            <v>0</v>
          </cell>
          <cell r="CM207">
            <v>0</v>
          </cell>
          <cell r="CX207">
            <v>-135.78742748815239</v>
          </cell>
          <cell r="CY207">
            <v>1186.4089117223461</v>
          </cell>
        </row>
        <row r="208">
          <cell r="I208">
            <v>7982.5327125862023</v>
          </cell>
          <cell r="J208">
            <v>6595.3524646232145</v>
          </cell>
          <cell r="L208">
            <v>1201.9316810220166</v>
          </cell>
          <cell r="M208">
            <v>1082.9403117981744</v>
          </cell>
          <cell r="O208">
            <v>3104.76</v>
          </cell>
          <cell r="P208">
            <v>2440.501935483871</v>
          </cell>
          <cell r="R208">
            <v>697.43999999999994</v>
          </cell>
          <cell r="S208">
            <v>548.32103225806452</v>
          </cell>
          <cell r="U208">
            <v>390.17454427986803</v>
          </cell>
          <cell r="V208">
            <v>177.07593400060793</v>
          </cell>
          <cell r="X208">
            <v>2169.1228168048297</v>
          </cell>
          <cell r="Y208">
            <v>1881.8170449161812</v>
          </cell>
          <cell r="AA208">
            <v>0</v>
          </cell>
          <cell r="AB208">
            <v>0</v>
          </cell>
          <cell r="AD208">
            <v>9129.3279065439128</v>
          </cell>
          <cell r="AE208">
            <v>8664.3449619169423</v>
          </cell>
          <cell r="AJ208">
            <v>17243.520069488255</v>
          </cell>
          <cell r="AK208">
            <v>17135.34739541035</v>
          </cell>
          <cell r="AM208">
            <v>1578.4221588709306</v>
          </cell>
          <cell r="AN208">
            <v>1307.0494621526097</v>
          </cell>
          <cell r="AP208">
            <v>1704.6317572085691</v>
          </cell>
          <cell r="AQ208">
            <v>1645.1339091603513</v>
          </cell>
          <cell r="AS208">
            <v>32911.605427138922</v>
          </cell>
          <cell r="AT208">
            <v>6348.989777642133</v>
          </cell>
          <cell r="AV208">
            <v>638.76026908335007</v>
          </cell>
          <cell r="AW208">
            <v>352.16728040695443</v>
          </cell>
          <cell r="AY208">
            <v>797.49583455525669</v>
          </cell>
          <cell r="AZ208">
            <v>0</v>
          </cell>
          <cell r="BB208">
            <v>548.06749701471347</v>
          </cell>
          <cell r="BC208">
            <v>0</v>
          </cell>
          <cell r="BE208">
            <v>358.88112544912764</v>
          </cell>
          <cell r="BF208">
            <v>429.10855592932234</v>
          </cell>
          <cell r="BH208">
            <v>197.88370594614832</v>
          </cell>
          <cell r="BI208">
            <v>0</v>
          </cell>
          <cell r="BK208">
            <v>261.75775971467539</v>
          </cell>
          <cell r="BL208">
            <v>2315.7129793396789</v>
          </cell>
          <cell r="BN208">
            <v>310.83025688569774</v>
          </cell>
          <cell r="BO208">
            <v>0</v>
          </cell>
          <cell r="BT208">
            <v>35265.969791856143</v>
          </cell>
          <cell r="BU208">
            <v>39924.543649349107</v>
          </cell>
          <cell r="BW208">
            <v>18005.645894991492</v>
          </cell>
          <cell r="BX208">
            <v>20927.364660742278</v>
          </cell>
          <cell r="BZ208">
            <v>7011.3084419615871</v>
          </cell>
          <cell r="CA208">
            <v>9378.3932272169295</v>
          </cell>
          <cell r="CC208">
            <v>709.15355032044647</v>
          </cell>
          <cell r="CD208">
            <v>704.70486260698249</v>
          </cell>
          <cell r="CF208">
            <v>87.301099944751954</v>
          </cell>
          <cell r="CG208">
            <v>0</v>
          </cell>
          <cell r="CI208">
            <v>280.76287765788197</v>
          </cell>
          <cell r="CJ208">
            <v>2811.1408751589456</v>
          </cell>
          <cell r="CL208">
            <v>7524.445121231237</v>
          </cell>
          <cell r="CM208">
            <v>4410.165633294022</v>
          </cell>
          <cell r="CX208">
            <v>4524.6812393328</v>
          </cell>
          <cell r="CY208">
            <v>29762.548855911929</v>
          </cell>
        </row>
        <row r="209">
          <cell r="I209">
            <v>15708.749268997466</v>
          </cell>
          <cell r="J209">
            <v>13007.114674957882</v>
          </cell>
          <cell r="L209">
            <v>2403.8633620440332</v>
          </cell>
          <cell r="M209">
            <v>2205.0248332392703</v>
          </cell>
          <cell r="O209">
            <v>6511.56</v>
          </cell>
          <cell r="P209">
            <v>5118.2291362903225</v>
          </cell>
          <cell r="R209">
            <v>1406.8799999999999</v>
          </cell>
          <cell r="S209">
            <v>1105.6055357526882</v>
          </cell>
          <cell r="U209">
            <v>780.05784393801957</v>
          </cell>
          <cell r="V209">
            <v>339.80388182879557</v>
          </cell>
          <cell r="X209">
            <v>9311.1715235843494</v>
          </cell>
          <cell r="Y209">
            <v>8168.0002033008159</v>
          </cell>
          <cell r="AA209">
            <v>0</v>
          </cell>
          <cell r="AB209">
            <v>0</v>
          </cell>
          <cell r="AD209">
            <v>18599.439586284185</v>
          </cell>
          <cell r="AE209">
            <v>17652.116598680386</v>
          </cell>
          <cell r="AJ209">
            <v>34487.04013897651</v>
          </cell>
          <cell r="AK209">
            <v>34270.6947908207</v>
          </cell>
          <cell r="AM209">
            <v>3156.8443177418612</v>
          </cell>
          <cell r="AN209">
            <v>1305.8732467398784</v>
          </cell>
          <cell r="AP209">
            <v>3361.9126322724574</v>
          </cell>
          <cell r="AQ209">
            <v>3288.4565997876207</v>
          </cell>
          <cell r="AS209">
            <v>59186.520766499983</v>
          </cell>
          <cell r="AT209">
            <v>232029.7538347868</v>
          </cell>
          <cell r="AV209">
            <v>1238.8836008541793</v>
          </cell>
          <cell r="AW209">
            <v>631</v>
          </cell>
          <cell r="AY209">
            <v>1594.9916691105107</v>
          </cell>
          <cell r="AZ209">
            <v>0</v>
          </cell>
          <cell r="BB209">
            <v>1211.5484121475738</v>
          </cell>
          <cell r="BC209">
            <v>0</v>
          </cell>
          <cell r="BE209">
            <v>660.95696655596566</v>
          </cell>
          <cell r="BF209">
            <v>858.1913451964266</v>
          </cell>
          <cell r="BH209">
            <v>395.76741189229665</v>
          </cell>
          <cell r="BI209">
            <v>0</v>
          </cell>
          <cell r="BK209">
            <v>586.08917204556553</v>
          </cell>
          <cell r="BL209">
            <v>11522</v>
          </cell>
          <cell r="BN209">
            <v>331.17498688247656</v>
          </cell>
          <cell r="BO209">
            <v>0</v>
          </cell>
          <cell r="BT209">
            <v>53920.212638926059</v>
          </cell>
          <cell r="BU209">
            <v>73325.190356691397</v>
          </cell>
          <cell r="BW209">
            <v>36011.019311861732</v>
          </cell>
          <cell r="BX209">
            <v>42359.478314812608</v>
          </cell>
          <cell r="BZ209">
            <v>15580.685426581296</v>
          </cell>
          <cell r="CA209">
            <v>16444.329758678854</v>
          </cell>
          <cell r="CC209">
            <v>1407.4241967164401</v>
          </cell>
          <cell r="CD209">
            <v>1398.5950923162218</v>
          </cell>
          <cell r="CF209">
            <v>173.26244845941025</v>
          </cell>
          <cell r="CG209">
            <v>0</v>
          </cell>
          <cell r="CI209">
            <v>561.52575531576394</v>
          </cell>
          <cell r="CJ209">
            <v>5521.4530101209439</v>
          </cell>
          <cell r="CL209">
            <v>15310.93559494317</v>
          </cell>
          <cell r="CM209">
            <v>8653.765027852558</v>
          </cell>
          <cell r="CX209">
            <v>8607.1295608424152</v>
          </cell>
          <cell r="CY209">
            <v>-225760.26149022501</v>
          </cell>
        </row>
        <row r="210">
          <cell r="I210">
            <v>7982.5327125862023</v>
          </cell>
          <cell r="J210">
            <v>6595.0236878710666</v>
          </cell>
          <cell r="L210">
            <v>1201.9316810220166</v>
          </cell>
          <cell r="M210">
            <v>1153.3753835081247</v>
          </cell>
          <cell r="O210">
            <v>3165.3599999999988</v>
          </cell>
          <cell r="P210">
            <v>2488.190637096774</v>
          </cell>
          <cell r="R210">
            <v>697.20000000000016</v>
          </cell>
          <cell r="S210">
            <v>548.06935645161298</v>
          </cell>
          <cell r="U210">
            <v>390.17454427986803</v>
          </cell>
          <cell r="V210">
            <v>195.59544825002899</v>
          </cell>
          <cell r="X210">
            <v>2169.1228168048297</v>
          </cell>
          <cell r="Y210">
            <v>2230.4691231075012</v>
          </cell>
          <cell r="AA210">
            <v>0</v>
          </cell>
          <cell r="AB210">
            <v>0</v>
          </cell>
          <cell r="AD210">
            <v>9115.4314540609994</v>
          </cell>
          <cell r="AE210">
            <v>8651.1562957531878</v>
          </cell>
          <cell r="AJ210">
            <v>17243.520069488255</v>
          </cell>
          <cell r="AK210">
            <v>17135.34739541035</v>
          </cell>
          <cell r="AM210">
            <v>1578.4221588709306</v>
          </cell>
          <cell r="AN210">
            <v>0</v>
          </cell>
          <cell r="AP210">
            <v>1704.6317572085691</v>
          </cell>
          <cell r="AQ210">
            <v>1691.7108050535633</v>
          </cell>
          <cell r="AS210">
            <v>29856.859433811882</v>
          </cell>
          <cell r="AT210">
            <v>1706.7916839687539</v>
          </cell>
          <cell r="AV210">
            <v>255.50410763334014</v>
          </cell>
          <cell r="AW210">
            <v>0</v>
          </cell>
          <cell r="AY210">
            <v>318.99833382210267</v>
          </cell>
          <cell r="AZ210">
            <v>0</v>
          </cell>
          <cell r="BB210">
            <v>264.03866605016998</v>
          </cell>
          <cell r="BC210">
            <v>0</v>
          </cell>
          <cell r="BE210">
            <v>141.53335086074676</v>
          </cell>
          <cell r="BF210">
            <v>429.10855592932234</v>
          </cell>
          <cell r="BH210">
            <v>79.153482378459373</v>
          </cell>
          <cell r="BI210">
            <v>0</v>
          </cell>
          <cell r="BK210">
            <v>104.70310388587016</v>
          </cell>
          <cell r="BL210">
            <v>0</v>
          </cell>
          <cell r="BN210">
            <v>167.44238903209089</v>
          </cell>
          <cell r="BO210">
            <v>0</v>
          </cell>
          <cell r="BT210">
            <v>35179.460129969004</v>
          </cell>
          <cell r="BU210">
            <v>39741.730455939032</v>
          </cell>
          <cell r="BW210">
            <v>18019.560009229168</v>
          </cell>
          <cell r="BX210">
            <v>21211.666703215029</v>
          </cell>
          <cell r="BZ210">
            <v>7011.3084419615871</v>
          </cell>
          <cell r="CA210">
            <v>9329.6026592339585</v>
          </cell>
          <cell r="CC210">
            <v>741.21399701680866</v>
          </cell>
          <cell r="CD210">
            <v>736.56418654898221</v>
          </cell>
          <cell r="CF210">
            <v>91.247935238811635</v>
          </cell>
          <cell r="CG210">
            <v>0</v>
          </cell>
          <cell r="CI210">
            <v>262.04535248068987</v>
          </cell>
          <cell r="CJ210">
            <v>2699.7712744821629</v>
          </cell>
          <cell r="CL210">
            <v>7487.010070876855</v>
          </cell>
          <cell r="CM210">
            <v>4234.7234062762855</v>
          </cell>
          <cell r="CX210">
            <v>4340.2728017169065</v>
          </cell>
          <cell r="CY210">
            <v>33679.683530285132</v>
          </cell>
        </row>
        <row r="211"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>
            <v>0</v>
          </cell>
          <cell r="Y211">
            <v>0</v>
          </cell>
          <cell r="AA211">
            <v>0</v>
          </cell>
          <cell r="AB211">
            <v>0</v>
          </cell>
          <cell r="AD211">
            <v>0</v>
          </cell>
          <cell r="AE211">
            <v>0</v>
          </cell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P211">
            <v>378.80705715745984</v>
          </cell>
          <cell r="AQ211">
            <v>69.865343839818038</v>
          </cell>
          <cell r="AS211">
            <v>1577.144690062951</v>
          </cell>
          <cell r="AT211">
            <v>0</v>
          </cell>
          <cell r="AV211">
            <v>0</v>
          </cell>
          <cell r="AW211">
            <v>0</v>
          </cell>
          <cell r="AY211">
            <v>0</v>
          </cell>
          <cell r="AZ211">
            <v>0</v>
          </cell>
          <cell r="BB211">
            <v>0</v>
          </cell>
          <cell r="BC211">
            <v>0</v>
          </cell>
          <cell r="BE211">
            <v>0</v>
          </cell>
          <cell r="BF211">
            <v>0</v>
          </cell>
          <cell r="BH211">
            <v>0</v>
          </cell>
          <cell r="BI211">
            <v>0</v>
          </cell>
          <cell r="BK211">
            <v>0</v>
          </cell>
          <cell r="BL211">
            <v>0</v>
          </cell>
          <cell r="BN211">
            <v>0</v>
          </cell>
          <cell r="BO211">
            <v>0</v>
          </cell>
          <cell r="BT211">
            <v>172.27447743022205</v>
          </cell>
          <cell r="BU211">
            <v>883.53207554617438</v>
          </cell>
          <cell r="BW211">
            <v>0</v>
          </cell>
          <cell r="BX211">
            <v>3.3889678209673448</v>
          </cell>
          <cell r="BZ211">
            <v>0</v>
          </cell>
          <cell r="CA211">
            <v>215.47319454158557</v>
          </cell>
          <cell r="CC211">
            <v>0</v>
          </cell>
          <cell r="CD211">
            <v>0</v>
          </cell>
          <cell r="CF211">
            <v>0</v>
          </cell>
          <cell r="CG211">
            <v>0</v>
          </cell>
          <cell r="CI211">
            <v>0</v>
          </cell>
          <cell r="CJ211">
            <v>0</v>
          </cell>
          <cell r="CL211">
            <v>0</v>
          </cell>
          <cell r="CM211">
            <v>0</v>
          </cell>
          <cell r="CX211">
            <v>38.368530419240301</v>
          </cell>
          <cell r="CY211">
            <v>1185.5285019017456</v>
          </cell>
        </row>
        <row r="212"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D212">
            <v>0</v>
          </cell>
          <cell r="AE212">
            <v>0</v>
          </cell>
          <cell r="AJ212">
            <v>0</v>
          </cell>
          <cell r="AK212">
            <v>0</v>
          </cell>
          <cell r="AM212">
            <v>0</v>
          </cell>
          <cell r="AN212">
            <v>0</v>
          </cell>
          <cell r="AP212">
            <v>378.80705715745984</v>
          </cell>
          <cell r="AQ212">
            <v>93.153791786424051</v>
          </cell>
          <cell r="AS212">
            <v>1758.4511114495356</v>
          </cell>
          <cell r="AT212">
            <v>0</v>
          </cell>
          <cell r="AV212">
            <v>0</v>
          </cell>
          <cell r="AW212">
            <v>0</v>
          </cell>
          <cell r="AY212">
            <v>0</v>
          </cell>
          <cell r="AZ212">
            <v>0</v>
          </cell>
          <cell r="BB212">
            <v>0</v>
          </cell>
          <cell r="BC212">
            <v>0</v>
          </cell>
          <cell r="BE212">
            <v>0</v>
          </cell>
          <cell r="BF212">
            <v>0</v>
          </cell>
          <cell r="BH212">
            <v>0</v>
          </cell>
          <cell r="BI212">
            <v>0</v>
          </cell>
          <cell r="BK212">
            <v>0</v>
          </cell>
          <cell r="BL212">
            <v>0</v>
          </cell>
          <cell r="BN212">
            <v>0</v>
          </cell>
          <cell r="BO212">
            <v>0</v>
          </cell>
          <cell r="BT212">
            <v>1052.7884731846905</v>
          </cell>
          <cell r="BU212">
            <v>1767.2860949014478</v>
          </cell>
          <cell r="BW212">
            <v>0</v>
          </cell>
          <cell r="BX212">
            <v>4.5412168800962416</v>
          </cell>
          <cell r="BZ212">
            <v>0</v>
          </cell>
          <cell r="CA212">
            <v>430.98195197907307</v>
          </cell>
          <cell r="CC212">
            <v>0</v>
          </cell>
          <cell r="CD212">
            <v>0</v>
          </cell>
          <cell r="CF212">
            <v>0</v>
          </cell>
          <cell r="CG212">
            <v>0</v>
          </cell>
          <cell r="CI212">
            <v>0</v>
          </cell>
          <cell r="CJ212">
            <v>0</v>
          </cell>
          <cell r="CL212">
            <v>0</v>
          </cell>
          <cell r="CM212">
            <v>0</v>
          </cell>
          <cell r="CX212">
            <v>57.544029849976596</v>
          </cell>
          <cell r="CY212">
            <v>1130.4443333435504</v>
          </cell>
        </row>
        <row r="213">
          <cell r="I213">
            <v>25110.13629871227</v>
          </cell>
          <cell r="J213">
            <v>20770.251751978918</v>
          </cell>
          <cell r="L213">
            <v>3911.7983276761447</v>
          </cell>
          <cell r="M213">
            <v>3717.335627349044</v>
          </cell>
          <cell r="O213">
            <v>9698.6400000000012</v>
          </cell>
          <cell r="P213">
            <v>7623.173058118281</v>
          </cell>
          <cell r="R213">
            <v>2109.7199999999998</v>
          </cell>
          <cell r="S213">
            <v>1658.4087657795701</v>
          </cell>
          <cell r="U213">
            <v>1250.1001677005297</v>
          </cell>
          <cell r="V213">
            <v>584.17636680235398</v>
          </cell>
          <cell r="X213">
            <v>11230.084594142594</v>
          </cell>
          <cell r="Y213">
            <v>8215.0353477035478</v>
          </cell>
          <cell r="AA213">
            <v>0</v>
          </cell>
          <cell r="AB213">
            <v>0</v>
          </cell>
          <cell r="AD213">
            <v>28830.90582882677</v>
          </cell>
          <cell r="AE213">
            <v>27362.464819172437</v>
          </cell>
          <cell r="AJ213">
            <v>38092.703971145762</v>
          </cell>
          <cell r="AK213">
            <v>37853.613499005369</v>
          </cell>
          <cell r="AM213">
            <v>4735.2664766127937</v>
          </cell>
          <cell r="AN213">
            <v>3923.8443227329899</v>
          </cell>
          <cell r="AP213">
            <v>5445.3514466384877</v>
          </cell>
          <cell r="AQ213">
            <v>5262.3456080000797</v>
          </cell>
          <cell r="AS213">
            <v>103124.78832055994</v>
          </cell>
          <cell r="AT213">
            <v>119392.42709988361</v>
          </cell>
          <cell r="AV213">
            <v>1962.2750472998769</v>
          </cell>
          <cell r="AW213">
            <v>965</v>
          </cell>
          <cell r="AY213">
            <v>2393.4827366160052</v>
          </cell>
          <cell r="AZ213">
            <v>0</v>
          </cell>
          <cell r="BB213">
            <v>2752.0241968388818</v>
          </cell>
          <cell r="BC213">
            <v>208</v>
          </cell>
          <cell r="BE213">
            <v>1166.5131219594202</v>
          </cell>
          <cell r="BF213">
            <v>0</v>
          </cell>
          <cell r="BH213">
            <v>634.10414095325257</v>
          </cell>
          <cell r="BI213">
            <v>0</v>
          </cell>
          <cell r="BK213">
            <v>1231.5713742880057</v>
          </cell>
          <cell r="BL213">
            <v>13353</v>
          </cell>
          <cell r="BN213">
            <v>716.05861632167455</v>
          </cell>
          <cell r="BO213">
            <v>0</v>
          </cell>
          <cell r="BT213">
            <v>88677.267834274913</v>
          </cell>
          <cell r="BU213">
            <v>98857.694179636397</v>
          </cell>
          <cell r="BW213">
            <v>73800.39478816987</v>
          </cell>
          <cell r="BX213">
            <v>81663.784412455469</v>
          </cell>
          <cell r="BZ213">
            <v>15580.685426581296</v>
          </cell>
          <cell r="CA213">
            <v>24199.093111850671</v>
          </cell>
          <cell r="CC213">
            <v>2187.7578213535803</v>
          </cell>
          <cell r="CD213">
            <v>2174.033499821956</v>
          </cell>
          <cell r="CF213">
            <v>269.32624694693698</v>
          </cell>
          <cell r="CG213">
            <v>0</v>
          </cell>
          <cell r="CI213">
            <v>26672.473377498794</v>
          </cell>
          <cell r="CJ213">
            <v>19098.462524444083</v>
          </cell>
          <cell r="CL213">
            <v>12072.803739288925</v>
          </cell>
          <cell r="CM213">
            <v>16135.873623435309</v>
          </cell>
          <cell r="CX213">
            <v>8680.939319512021</v>
          </cell>
          <cell r="CY213">
            <v>-26553.201141804071</v>
          </cell>
        </row>
        <row r="214">
          <cell r="I214">
            <v>11281.066102914156</v>
          </cell>
          <cell r="J214">
            <v>9314.8329392677661</v>
          </cell>
          <cell r="L214">
            <v>2342.0183398893819</v>
          </cell>
          <cell r="M214">
            <v>2134.1275016947961</v>
          </cell>
          <cell r="O214">
            <v>5428.2000000000007</v>
          </cell>
          <cell r="P214">
            <v>4266.5248379032255</v>
          </cell>
          <cell r="R214">
            <v>1067.8799999999999</v>
          </cell>
          <cell r="S214">
            <v>839.45704274193554</v>
          </cell>
          <cell r="U214">
            <v>709.3549077326212</v>
          </cell>
          <cell r="V214">
            <v>246.92464104289934</v>
          </cell>
          <cell r="X214">
            <v>8120.4954639428943</v>
          </cell>
          <cell r="Y214">
            <v>8327.195144400006</v>
          </cell>
          <cell r="AA214">
            <v>0</v>
          </cell>
          <cell r="AB214">
            <v>0</v>
          </cell>
          <cell r="AD214">
            <v>13970.424368437509</v>
          </cell>
          <cell r="AE214">
            <v>13258.870448255922</v>
          </cell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P214">
            <v>4261.5793930214249</v>
          </cell>
          <cell r="AQ214">
            <v>2718.0964839554758</v>
          </cell>
          <cell r="AS214">
            <v>45540.27132344347</v>
          </cell>
          <cell r="AT214">
            <v>3423</v>
          </cell>
          <cell r="AV214">
            <v>2012.9473341933781</v>
          </cell>
          <cell r="AW214">
            <v>0</v>
          </cell>
          <cell r="AY214">
            <v>3018.5931941110848</v>
          </cell>
          <cell r="AZ214">
            <v>8978</v>
          </cell>
          <cell r="BB214">
            <v>2097.5000345903368</v>
          </cell>
          <cell r="BC214">
            <v>342</v>
          </cell>
          <cell r="BE214">
            <v>1211.2783983132217</v>
          </cell>
          <cell r="BF214">
            <v>0</v>
          </cell>
          <cell r="BH214">
            <v>719.6828414324732</v>
          </cell>
          <cell r="BI214">
            <v>0</v>
          </cell>
          <cell r="BK214">
            <v>1123.0484366790481</v>
          </cell>
          <cell r="BL214">
            <v>6949.2939043331953</v>
          </cell>
          <cell r="BN214">
            <v>646.34779112686545</v>
          </cell>
          <cell r="BO214">
            <v>0</v>
          </cell>
          <cell r="BT214">
            <v>36365.144313712066</v>
          </cell>
          <cell r="BU214">
            <v>43429.510950560129</v>
          </cell>
          <cell r="BW214">
            <v>19150.297600868667</v>
          </cell>
          <cell r="BX214">
            <v>18265.904456021268</v>
          </cell>
          <cell r="BZ214">
            <v>12983.904522151081</v>
          </cell>
          <cell r="CA214">
            <v>7305.7370851719952</v>
          </cell>
          <cell r="CC214">
            <v>1124.4686946806585</v>
          </cell>
          <cell r="CD214">
            <v>1117.4146369749044</v>
          </cell>
          <cell r="CF214">
            <v>138.42891127697501</v>
          </cell>
          <cell r="CG214">
            <v>0</v>
          </cell>
          <cell r="CI214">
            <v>7805.2079988891192</v>
          </cell>
          <cell r="CJ214">
            <v>13929.843050883663</v>
          </cell>
          <cell r="CL214">
            <v>0</v>
          </cell>
          <cell r="CM214">
            <v>0</v>
          </cell>
          <cell r="CX214">
            <v>10852.562034312305</v>
          </cell>
          <cell r="CY214">
            <v>54378.250252151374</v>
          </cell>
        </row>
        <row r="215">
          <cell r="I215">
            <v>17025.797414123583</v>
          </cell>
          <cell r="J215">
            <v>14249.244954070675</v>
          </cell>
          <cell r="L215">
            <v>3515.3169803633659</v>
          </cell>
          <cell r="M215">
            <v>3509.9425296845225</v>
          </cell>
          <cell r="O215">
            <v>9806.0399999999991</v>
          </cell>
          <cell r="P215">
            <v>7707.3747774193562</v>
          </cell>
          <cell r="R215">
            <v>2004.8399999999995</v>
          </cell>
          <cell r="S215">
            <v>1576.2601161290322</v>
          </cell>
          <cell r="U215">
            <v>868.80020236398877</v>
          </cell>
          <cell r="V215">
            <v>346.9451687016105</v>
          </cell>
          <cell r="X215">
            <v>12800.859678555275</v>
          </cell>
          <cell r="Y215">
            <v>12759.715534298888</v>
          </cell>
          <cell r="AA215">
            <v>0</v>
          </cell>
          <cell r="AB215">
            <v>0</v>
          </cell>
          <cell r="AD215">
            <v>28284.625592144628</v>
          </cell>
          <cell r="AE215">
            <v>26844.008207147472</v>
          </cell>
          <cell r="AJ215">
            <v>86413.599575368164</v>
          </cell>
          <cell r="AK215">
            <v>76719.586293027547</v>
          </cell>
          <cell r="AM215">
            <v>0</v>
          </cell>
          <cell r="AN215">
            <v>1568.7460427464191</v>
          </cell>
          <cell r="AP215">
            <v>5113.8952716257081</v>
          </cell>
          <cell r="AQ215">
            <v>4974.4512441079878</v>
          </cell>
          <cell r="AS215">
            <v>104727.43492588289</v>
          </cell>
          <cell r="AT215">
            <v>68492.809988836947</v>
          </cell>
          <cell r="AV215">
            <v>1405.1963901911304</v>
          </cell>
          <cell r="AW215">
            <v>0</v>
          </cell>
          <cell r="AY215">
            <v>2042.365147209324</v>
          </cell>
          <cell r="AZ215">
            <v>9229.5210449493679</v>
          </cell>
          <cell r="BB215">
            <v>2263.9534977092271</v>
          </cell>
          <cell r="BC215">
            <v>2022</v>
          </cell>
          <cell r="BE215">
            <v>1050.7185398515492</v>
          </cell>
          <cell r="BF215">
            <v>858.1913451964266</v>
          </cell>
          <cell r="BH215">
            <v>440.7474669458515</v>
          </cell>
          <cell r="BI215">
            <v>16.749686000000001</v>
          </cell>
          <cell r="BK215">
            <v>1397.3555544636613</v>
          </cell>
          <cell r="BL215">
            <v>5139.050989858948</v>
          </cell>
          <cell r="BN215">
            <v>846.14500664720993</v>
          </cell>
          <cell r="BO215">
            <v>0</v>
          </cell>
          <cell r="BT215">
            <v>90683.476284610326</v>
          </cell>
          <cell r="BU215">
            <v>89684.977630584413</v>
          </cell>
          <cell r="BW215">
            <v>68286.366281141207</v>
          </cell>
          <cell r="BX215">
            <v>64766.331106482852</v>
          </cell>
          <cell r="BZ215">
            <v>9088.7331655057587</v>
          </cell>
          <cell r="CA215">
            <v>18165.781223819304</v>
          </cell>
          <cell r="CC215">
            <v>1864.8002940819713</v>
          </cell>
          <cell r="CD215">
            <v>1853.1019613970429</v>
          </cell>
          <cell r="CF215">
            <v>229.56821802145475</v>
          </cell>
          <cell r="CG215">
            <v>0</v>
          </cell>
          <cell r="CI215">
            <v>10388.226473341632</v>
          </cell>
          <cell r="CJ215">
            <v>15469.312313800132</v>
          </cell>
          <cell r="CL215">
            <v>15722.721148841398</v>
          </cell>
          <cell r="CM215">
            <v>13433.304874833735</v>
          </cell>
          <cell r="CX215">
            <v>14389.630269212859</v>
          </cell>
          <cell r="CY215">
            <v>58650.64156028883</v>
          </cell>
        </row>
        <row r="216">
          <cell r="I216">
            <v>24150.315152936015</v>
          </cell>
          <cell r="J216">
            <v>20214.453987182045</v>
          </cell>
          <cell r="L216">
            <v>4901.0205755142588</v>
          </cell>
          <cell r="M216">
            <v>4503.1279030368742</v>
          </cell>
          <cell r="O216">
            <v>14182.320000000002</v>
          </cell>
          <cell r="P216">
            <v>11147.244255376345</v>
          </cell>
          <cell r="R216">
            <v>2926.1999999999994</v>
          </cell>
          <cell r="S216">
            <v>2300.5892580645168</v>
          </cell>
          <cell r="U216">
            <v>2881.2090561158857</v>
          </cell>
          <cell r="V216">
            <v>1006.4863476163493</v>
          </cell>
          <cell r="X216">
            <v>22652.921184796931</v>
          </cell>
          <cell r="Y216">
            <v>17063.875352189541</v>
          </cell>
          <cell r="AA216">
            <v>0</v>
          </cell>
          <cell r="AB216">
            <v>0</v>
          </cell>
          <cell r="AD216">
            <v>40162.030425078759</v>
          </cell>
          <cell r="AE216">
            <v>38116.462628585752</v>
          </cell>
          <cell r="AJ216">
            <v>134813.1087853348</v>
          </cell>
          <cell r="AK216">
            <v>133967.07144833749</v>
          </cell>
          <cell r="AM216">
            <v>0</v>
          </cell>
          <cell r="AN216">
            <v>4317.198245087432</v>
          </cell>
          <cell r="AP216">
            <v>8475.807903898165</v>
          </cell>
          <cell r="AQ216">
            <v>8151.4644199628056</v>
          </cell>
          <cell r="AS216">
            <v>170676.28769850367</v>
          </cell>
          <cell r="AT216">
            <v>15031.703991078031</v>
          </cell>
          <cell r="AV216">
            <v>789.96670899985145</v>
          </cell>
          <cell r="AW216">
            <v>752</v>
          </cell>
          <cell r="AY216">
            <v>1163.0761038274982</v>
          </cell>
          <cell r="AZ216">
            <v>13209.819484086689</v>
          </cell>
          <cell r="BB216">
            <v>1290.984104581348</v>
          </cell>
          <cell r="BC216">
            <v>1052.2451267106485</v>
          </cell>
          <cell r="BE216">
            <v>608.34948959688325</v>
          </cell>
          <cell r="BF216">
            <v>0</v>
          </cell>
          <cell r="BH216">
            <v>584.62588433678263</v>
          </cell>
          <cell r="BI216">
            <v>7.7228418000000003</v>
          </cell>
          <cell r="BK216">
            <v>983.06450637295882</v>
          </cell>
          <cell r="BL216">
            <v>1924</v>
          </cell>
          <cell r="BN216">
            <v>941.51737692974393</v>
          </cell>
          <cell r="BO216">
            <v>0</v>
          </cell>
          <cell r="BT216">
            <v>122022.71937465992</v>
          </cell>
          <cell r="BU216">
            <v>128755.83448942075</v>
          </cell>
          <cell r="BW216">
            <v>90558.289272423091</v>
          </cell>
          <cell r="BX216">
            <v>99322.418809084542</v>
          </cell>
          <cell r="BZ216">
            <v>10387.123617720867</v>
          </cell>
          <cell r="CA216">
            <v>32333.632596173196</v>
          </cell>
          <cell r="CC216">
            <v>2601.6023030212996</v>
          </cell>
          <cell r="CD216">
            <v>2585.2818373118048</v>
          </cell>
          <cell r="CF216">
            <v>320.27301078860683</v>
          </cell>
          <cell r="CG216">
            <v>0</v>
          </cell>
          <cell r="CI216">
            <v>16134.506702739622</v>
          </cell>
          <cell r="CJ216">
            <v>7837.2317206558182</v>
          </cell>
          <cell r="CL216">
            <v>16471.422155929078</v>
          </cell>
          <cell r="CM216">
            <v>21159.983329691437</v>
          </cell>
          <cell r="CX216">
            <v>23545.030327073007</v>
          </cell>
          <cell r="CY216">
            <v>174647.70231425771</v>
          </cell>
        </row>
        <row r="217">
          <cell r="I217">
            <v>12126.729471310326</v>
          </cell>
          <cell r="J217">
            <v>11860.343982500632</v>
          </cell>
          <cell r="L217">
            <v>2294.9703277483673</v>
          </cell>
          <cell r="M217">
            <v>2268.227377703286</v>
          </cell>
          <cell r="O217">
            <v>4948.0800000000008</v>
          </cell>
          <cell r="P217">
            <v>3889.2182465053766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>
            <v>7550.671572693238</v>
          </cell>
          <cell r="Y217">
            <v>6013.9004130305648</v>
          </cell>
          <cell r="AA217">
            <v>0</v>
          </cell>
          <cell r="AB217">
            <v>0</v>
          </cell>
          <cell r="AD217">
            <v>14988.92743964671</v>
          </cell>
          <cell r="AE217">
            <v>14118.043670647898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P217">
            <v>11364.2117147238</v>
          </cell>
          <cell r="AQ217">
            <v>15252.285966437845</v>
          </cell>
          <cell r="AS217">
            <v>33460.181551837923</v>
          </cell>
          <cell r="AT217">
            <v>1739</v>
          </cell>
          <cell r="AV217">
            <v>1923.756069713859</v>
          </cell>
          <cell r="AW217">
            <v>0</v>
          </cell>
          <cell r="AY217">
            <v>2957.8778589546764</v>
          </cell>
          <cell r="AZ217">
            <v>0</v>
          </cell>
          <cell r="BB217">
            <v>2551.4679524894482</v>
          </cell>
          <cell r="BC217">
            <v>0</v>
          </cell>
          <cell r="BE217">
            <v>0</v>
          </cell>
          <cell r="BF217">
            <v>0</v>
          </cell>
          <cell r="BH217">
            <v>0</v>
          </cell>
          <cell r="BI217">
            <v>601.0903519414104</v>
          </cell>
          <cell r="BK217">
            <v>1061.5635798953522</v>
          </cell>
          <cell r="BL217">
            <v>471</v>
          </cell>
          <cell r="BN217">
            <v>0</v>
          </cell>
          <cell r="BO217">
            <v>0</v>
          </cell>
          <cell r="BT217">
            <v>21354.209324632277</v>
          </cell>
          <cell r="BU217">
            <v>33704.051686245883</v>
          </cell>
          <cell r="BW217">
            <v>14766.435285407899</v>
          </cell>
          <cell r="BX217">
            <v>15690.35126125323</v>
          </cell>
          <cell r="BZ217">
            <v>10152.15329450524</v>
          </cell>
          <cell r="CA217">
            <v>7472.9984032504544</v>
          </cell>
          <cell r="CC217">
            <v>1296.5362297024176</v>
          </cell>
          <cell r="CD217">
            <v>1288.4027517094896</v>
          </cell>
          <cell r="CF217">
            <v>159.6114676716991</v>
          </cell>
          <cell r="CG217">
            <v>0</v>
          </cell>
          <cell r="CI217">
            <v>4754.2513950068023</v>
          </cell>
          <cell r="CJ217">
            <v>1351.4479902938733</v>
          </cell>
          <cell r="CL217">
            <v>0</v>
          </cell>
          <cell r="CM217">
            <v>0</v>
          </cell>
          <cell r="CX217">
            <v>3544.3985568719945</v>
          </cell>
          <cell r="CY217">
            <v>41933.925478176083</v>
          </cell>
        </row>
        <row r="218">
          <cell r="I218">
            <v>12208.686691603745</v>
          </cell>
          <cell r="J218">
            <v>11940.72072505162</v>
          </cell>
          <cell r="L218">
            <v>2071.2716309647135</v>
          </cell>
          <cell r="M218">
            <v>2057.0500628460209</v>
          </cell>
          <cell r="O218">
            <v>4839.96</v>
          </cell>
          <cell r="P218">
            <v>3804.1878521505369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X218">
            <v>7654.5532455452876</v>
          </cell>
          <cell r="Y218">
            <v>6095.587454947191</v>
          </cell>
          <cell r="AA218">
            <v>0</v>
          </cell>
          <cell r="AB218">
            <v>0</v>
          </cell>
          <cell r="AD218">
            <v>15240.346333799105</v>
          </cell>
          <cell r="AE218">
            <v>14464.111633066626</v>
          </cell>
          <cell r="AJ218">
            <v>0</v>
          </cell>
          <cell r="AK218">
            <v>0</v>
          </cell>
          <cell r="AM218">
            <v>0</v>
          </cell>
          <cell r="AN218">
            <v>0</v>
          </cell>
          <cell r="AP218">
            <v>11364.2117147238</v>
          </cell>
          <cell r="AQ218">
            <v>4872.169811709683</v>
          </cell>
          <cell r="AS218">
            <v>54971.819103875612</v>
          </cell>
          <cell r="AT218">
            <v>475</v>
          </cell>
          <cell r="AV218">
            <v>1940.8522748715295</v>
          </cell>
          <cell r="AW218">
            <v>0</v>
          </cell>
          <cell r="AY218">
            <v>2669.3329242191721</v>
          </cell>
          <cell r="AZ218">
            <v>0</v>
          </cell>
          <cell r="BB218">
            <v>2590.0539375610874</v>
          </cell>
          <cell r="BC218">
            <v>0</v>
          </cell>
          <cell r="BE218">
            <v>0</v>
          </cell>
          <cell r="BF218">
            <v>0</v>
          </cell>
          <cell r="BH218">
            <v>0</v>
          </cell>
          <cell r="BI218">
            <v>0</v>
          </cell>
          <cell r="BK218">
            <v>1077.1086257719292</v>
          </cell>
          <cell r="BL218">
            <v>2533</v>
          </cell>
          <cell r="BN218">
            <v>0</v>
          </cell>
          <cell r="BO218">
            <v>0</v>
          </cell>
          <cell r="BT218">
            <v>18146.613371952822</v>
          </cell>
          <cell r="BU218">
            <v>28949.844547054759</v>
          </cell>
          <cell r="BW218">
            <v>15073.86936387581</v>
          </cell>
          <cell r="BX218">
            <v>15343.867409784496</v>
          </cell>
          <cell r="BZ218">
            <v>8232.9610519934795</v>
          </cell>
          <cell r="CA218">
            <v>8332.3398258269535</v>
          </cell>
          <cell r="CC218">
            <v>2098.6356621884647</v>
          </cell>
          <cell r="CD218">
            <v>2085.4704250107097</v>
          </cell>
          <cell r="CF218">
            <v>258.35476901941314</v>
          </cell>
          <cell r="CG218">
            <v>0</v>
          </cell>
          <cell r="CI218">
            <v>1665.8597407701002</v>
          </cell>
          <cell r="CJ218">
            <v>3096.6780305107413</v>
          </cell>
          <cell r="CL218">
            <v>0</v>
          </cell>
          <cell r="CM218">
            <v>0</v>
          </cell>
          <cell r="CX218">
            <v>9720.5414687167286</v>
          </cell>
          <cell r="CY218">
            <v>79385.896666448796</v>
          </cell>
        </row>
        <row r="219">
          <cell r="I219">
            <v>11844.95904490511</v>
          </cell>
          <cell r="J219">
            <v>11592.103160884992</v>
          </cell>
          <cell r="L219">
            <v>2071.2716309647135</v>
          </cell>
          <cell r="M219">
            <v>2047.1366224758897</v>
          </cell>
          <cell r="O219">
            <v>5304.4800000000005</v>
          </cell>
          <cell r="P219">
            <v>4169.2886814516132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>
            <v>7654.5532455452876</v>
          </cell>
          <cell r="Y219">
            <v>8367.858664163954</v>
          </cell>
          <cell r="AA219">
            <v>0</v>
          </cell>
          <cell r="AB219">
            <v>0</v>
          </cell>
          <cell r="AD219">
            <v>15270.704737684851</v>
          </cell>
          <cell r="AE219">
            <v>14492.923796070516</v>
          </cell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P219">
            <v>11364.2117147238</v>
          </cell>
          <cell r="AQ219">
            <v>10836.485247022882</v>
          </cell>
          <cell r="AS219">
            <v>55837.528169614998</v>
          </cell>
          <cell r="AT219">
            <v>91212.490092995518</v>
          </cell>
          <cell r="AV219">
            <v>1855.2655009093594</v>
          </cell>
          <cell r="AW219">
            <v>0</v>
          </cell>
          <cell r="AY219">
            <v>2669.3329242191721</v>
          </cell>
          <cell r="AZ219">
            <v>0</v>
          </cell>
          <cell r="BB219">
            <v>2824.0459151017808</v>
          </cell>
          <cell r="BC219">
            <v>0</v>
          </cell>
          <cell r="BE219">
            <v>0</v>
          </cell>
          <cell r="BF219">
            <v>0</v>
          </cell>
          <cell r="BH219">
            <v>0</v>
          </cell>
          <cell r="BI219">
            <v>0</v>
          </cell>
          <cell r="BK219">
            <v>1077.1086257719292</v>
          </cell>
          <cell r="BL219">
            <v>1792.527108619086</v>
          </cell>
          <cell r="BN219">
            <v>0</v>
          </cell>
          <cell r="BO219">
            <v>0</v>
          </cell>
          <cell r="BT219">
            <v>14752.568573674185</v>
          </cell>
          <cell r="BU219">
            <v>22369.351949149761</v>
          </cell>
          <cell r="BW219">
            <v>17736.339442890236</v>
          </cell>
          <cell r="BX219">
            <v>18497.772727714015</v>
          </cell>
          <cell r="BZ219">
            <v>7726.1845045018226</v>
          </cell>
          <cell r="CA219">
            <v>5525.9522932297605</v>
          </cell>
          <cell r="CC219">
            <v>2137.4611572702966</v>
          </cell>
          <cell r="CD219">
            <v>2124.0523585918472</v>
          </cell>
          <cell r="CF219">
            <v>263.13442277001764</v>
          </cell>
          <cell r="CG219">
            <v>0</v>
          </cell>
          <cell r="CI219">
            <v>8834.6718836346881</v>
          </cell>
          <cell r="CJ219">
            <v>10848.749661728656</v>
          </cell>
          <cell r="CL219">
            <v>0</v>
          </cell>
          <cell r="CM219">
            <v>0</v>
          </cell>
          <cell r="CX219">
            <v>8139.4842069813421</v>
          </cell>
          <cell r="CY219">
            <v>-33443.960836918144</v>
          </cell>
        </row>
        <row r="220">
          <cell r="I220">
            <v>8618.9934298018507</v>
          </cell>
          <cell r="J220">
            <v>8448.1057808183832</v>
          </cell>
          <cell r="L220">
            <v>1805.5589149282234</v>
          </cell>
          <cell r="M220">
            <v>1784.5182386211254</v>
          </cell>
          <cell r="O220">
            <v>3505.5600000000009</v>
          </cell>
          <cell r="P220">
            <v>2755.4826137096775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X220">
            <v>5699.3988123529525</v>
          </cell>
          <cell r="Y220">
            <v>6557.6753983601093</v>
          </cell>
          <cell r="AA220">
            <v>0</v>
          </cell>
          <cell r="AB220">
            <v>0</v>
          </cell>
          <cell r="AD220">
            <v>11465.642256286592</v>
          </cell>
          <cell r="AE220">
            <v>11022.313039623246</v>
          </cell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P220">
            <v>8239.0534931747534</v>
          </cell>
          <cell r="AQ220">
            <v>8035.1958023779653</v>
          </cell>
          <cell r="AS220">
            <v>30450.635308543089</v>
          </cell>
          <cell r="AT220">
            <v>6420.6320877822127</v>
          </cell>
          <cell r="AV220">
            <v>1363.3381440640351</v>
          </cell>
          <cell r="AW220">
            <v>1401</v>
          </cell>
          <cell r="AY220">
            <v>2327.2391081307514</v>
          </cell>
          <cell r="AZ220">
            <v>0</v>
          </cell>
          <cell r="BB220">
            <v>1794.1681606997545</v>
          </cell>
          <cell r="BC220">
            <v>0</v>
          </cell>
          <cell r="BE220">
            <v>0</v>
          </cell>
          <cell r="BF220">
            <v>0</v>
          </cell>
          <cell r="BH220">
            <v>0</v>
          </cell>
          <cell r="BI220">
            <v>1515.502816555887</v>
          </cell>
          <cell r="BK220">
            <v>782.97212660668436</v>
          </cell>
          <cell r="BL220">
            <v>534</v>
          </cell>
          <cell r="BN220">
            <v>0</v>
          </cell>
          <cell r="BO220">
            <v>0</v>
          </cell>
          <cell r="BT220">
            <v>19965.162902313605</v>
          </cell>
          <cell r="BU220">
            <v>27155.492289497182</v>
          </cell>
          <cell r="BW220">
            <v>11165.343505462866</v>
          </cell>
          <cell r="BX220">
            <v>11489.865925113163</v>
          </cell>
          <cell r="BZ220">
            <v>8386.3422794926937</v>
          </cell>
          <cell r="CA220">
            <v>6985.3756656529495</v>
          </cell>
          <cell r="CC220">
            <v>693.85865831851277</v>
          </cell>
          <cell r="CD220">
            <v>689.50591907501939</v>
          </cell>
          <cell r="CF220">
            <v>85.418206042998705</v>
          </cell>
          <cell r="CG220">
            <v>0</v>
          </cell>
          <cell r="CI220">
            <v>4810.4039705383775</v>
          </cell>
          <cell r="CJ220">
            <v>1913.5931426558177</v>
          </cell>
          <cell r="CL220">
            <v>0</v>
          </cell>
          <cell r="CM220">
            <v>0</v>
          </cell>
          <cell r="CX220">
            <v>3292.812867890716</v>
          </cell>
          <cell r="CY220">
            <v>32633.809536188699</v>
          </cell>
        </row>
        <row r="221">
          <cell r="I221">
            <v>8941.8927463619093</v>
          </cell>
          <cell r="J221">
            <v>8695.6522996364838</v>
          </cell>
          <cell r="L221">
            <v>2278.4033033850592</v>
          </cell>
          <cell r="M221">
            <v>2251.850284723479</v>
          </cell>
          <cell r="O221">
            <v>3412.4399999999991</v>
          </cell>
          <cell r="P221">
            <v>2682.2680925806453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X221">
            <v>9262.9953482213969</v>
          </cell>
          <cell r="Y221">
            <v>7508.5040121768061</v>
          </cell>
          <cell r="AA221">
            <v>0</v>
          </cell>
          <cell r="AB221">
            <v>0</v>
          </cell>
          <cell r="AD221">
            <v>10617.74486325223</v>
          </cell>
          <cell r="AE221">
            <v>9963.2884185076036</v>
          </cell>
          <cell r="AJ221">
            <v>0</v>
          </cell>
          <cell r="AK221">
            <v>0</v>
          </cell>
          <cell r="AM221">
            <v>0</v>
          </cell>
          <cell r="AN221">
            <v>0</v>
          </cell>
          <cell r="AP221">
            <v>4687.737332323567</v>
          </cell>
          <cell r="AQ221">
            <v>4473.8043073871049</v>
          </cell>
          <cell r="AS221">
            <v>41367.686205396662</v>
          </cell>
          <cell r="AT221">
            <v>2798</v>
          </cell>
          <cell r="AV221">
            <v>1611.8105373592023</v>
          </cell>
          <cell r="AW221">
            <v>0</v>
          </cell>
          <cell r="AY221">
            <v>2936.6098545642039</v>
          </cell>
          <cell r="AZ221">
            <v>0</v>
          </cell>
          <cell r="BB221">
            <v>1479.2203057050619</v>
          </cell>
          <cell r="BC221">
            <v>0</v>
          </cell>
          <cell r="BE221">
            <v>0</v>
          </cell>
          <cell r="BF221">
            <v>0</v>
          </cell>
          <cell r="BH221">
            <v>0</v>
          </cell>
          <cell r="BI221">
            <v>0</v>
          </cell>
          <cell r="BK221">
            <v>1336.9813191081341</v>
          </cell>
          <cell r="BL221">
            <v>953</v>
          </cell>
          <cell r="BN221">
            <v>0</v>
          </cell>
          <cell r="BO221">
            <v>0</v>
          </cell>
          <cell r="BT221">
            <v>15236.308578269329</v>
          </cell>
          <cell r="BU221">
            <v>20707.190792202899</v>
          </cell>
          <cell r="BW221">
            <v>16823.113752184865</v>
          </cell>
          <cell r="BX221">
            <v>17889.526508876526</v>
          </cell>
          <cell r="BZ221">
            <v>4534.2125761250963</v>
          </cell>
          <cell r="CA221">
            <v>4993.2226592719162</v>
          </cell>
          <cell r="CC221">
            <v>865.39675477097387</v>
          </cell>
          <cell r="CD221">
            <v>859.96791653349828</v>
          </cell>
          <cell r="CF221">
            <v>106.53558534112368</v>
          </cell>
          <cell r="CG221">
            <v>0</v>
          </cell>
          <cell r="CI221">
            <v>4772.9689201839956</v>
          </cell>
          <cell r="CJ221">
            <v>1559.3041222650086</v>
          </cell>
          <cell r="CL221">
            <v>0</v>
          </cell>
          <cell r="CM221">
            <v>0</v>
          </cell>
          <cell r="CX221">
            <v>3834.0504209366773</v>
          </cell>
          <cell r="CY221">
            <v>57757.824703005645</v>
          </cell>
        </row>
        <row r="222">
          <cell r="I222">
            <v>2485.4637890932681</v>
          </cell>
          <cell r="J222">
            <v>2407.994025670303</v>
          </cell>
          <cell r="L222">
            <v>424.61032164128068</v>
          </cell>
          <cell r="M222">
            <v>419.6630076075574</v>
          </cell>
          <cell r="O222">
            <v>1132.0800000000002</v>
          </cell>
          <cell r="P222">
            <v>889.84484935483886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X222">
            <v>1193.3481408246737</v>
          </cell>
          <cell r="Y222">
            <v>911.07022345438043</v>
          </cell>
          <cell r="AA222">
            <v>0</v>
          </cell>
          <cell r="AB222">
            <v>0</v>
          </cell>
          <cell r="AD222">
            <v>3261.6470518433616</v>
          </cell>
          <cell r="AE222">
            <v>3547.3324951485433</v>
          </cell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P222">
            <v>47.35088214468248</v>
          </cell>
          <cell r="AQ222">
            <v>0</v>
          </cell>
          <cell r="AS222">
            <v>9874.8214638166846</v>
          </cell>
          <cell r="AT222">
            <v>965</v>
          </cell>
          <cell r="AV222">
            <v>496.0062864474919</v>
          </cell>
          <cell r="AW222">
            <v>0</v>
          </cell>
          <cell r="AY222">
            <v>547.08186368453232</v>
          </cell>
          <cell r="AZ222">
            <v>0</v>
          </cell>
          <cell r="BB222">
            <v>498.03729157470099</v>
          </cell>
          <cell r="BC222">
            <v>0</v>
          </cell>
          <cell r="BE222">
            <v>0</v>
          </cell>
          <cell r="BF222">
            <v>0</v>
          </cell>
          <cell r="BH222">
            <v>0</v>
          </cell>
          <cell r="BI222">
            <v>0</v>
          </cell>
          <cell r="BK222">
            <v>86.286321688121362</v>
          </cell>
          <cell r="BL222">
            <v>0</v>
          </cell>
          <cell r="BN222">
            <v>0</v>
          </cell>
          <cell r="BO222">
            <v>0</v>
          </cell>
          <cell r="BT222">
            <v>4400.4240219082139</v>
          </cell>
          <cell r="BU222">
            <v>6301.7637899450992</v>
          </cell>
          <cell r="BW222">
            <v>206.02759694180023</v>
          </cell>
          <cell r="BX222">
            <v>201.84274113846686</v>
          </cell>
          <cell r="BZ222">
            <v>1899.2885003839617</v>
          </cell>
          <cell r="CA222">
            <v>1867.2186557661025</v>
          </cell>
          <cell r="CC222">
            <v>0</v>
          </cell>
          <cell r="CD222">
            <v>0</v>
          </cell>
          <cell r="CF222">
            <v>0</v>
          </cell>
          <cell r="CG222">
            <v>0</v>
          </cell>
          <cell r="CI222">
            <v>7093.9420421558216</v>
          </cell>
          <cell r="CJ222">
            <v>2542.5671615373594</v>
          </cell>
          <cell r="CL222">
            <v>0</v>
          </cell>
          <cell r="CM222">
            <v>0</v>
          </cell>
          <cell r="CX222">
            <v>1957.1813110216804</v>
          </cell>
          <cell r="CY222">
            <v>18267.723660452823</v>
          </cell>
        </row>
        <row r="223"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X223">
            <v>0</v>
          </cell>
          <cell r="Y223">
            <v>0</v>
          </cell>
          <cell r="AA223">
            <v>0</v>
          </cell>
          <cell r="AB223">
            <v>0</v>
          </cell>
          <cell r="AD223">
            <v>0</v>
          </cell>
          <cell r="AE223">
            <v>0</v>
          </cell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P223">
            <v>284.10529286809492</v>
          </cell>
          <cell r="AQ223">
            <v>140.14368942720262</v>
          </cell>
          <cell r="AS223">
            <v>1131.4896348573834</v>
          </cell>
          <cell r="AT223">
            <v>0</v>
          </cell>
          <cell r="AV223">
            <v>0</v>
          </cell>
          <cell r="AW223">
            <v>0</v>
          </cell>
          <cell r="AY223">
            <v>0</v>
          </cell>
          <cell r="AZ223">
            <v>0</v>
          </cell>
          <cell r="BB223">
            <v>0</v>
          </cell>
          <cell r="BC223">
            <v>0</v>
          </cell>
          <cell r="BE223">
            <v>0</v>
          </cell>
          <cell r="BF223">
            <v>0</v>
          </cell>
          <cell r="BH223">
            <v>0</v>
          </cell>
          <cell r="BI223">
            <v>0</v>
          </cell>
          <cell r="BK223">
            <v>0</v>
          </cell>
          <cell r="BL223">
            <v>0</v>
          </cell>
          <cell r="BN223">
            <v>0</v>
          </cell>
          <cell r="BO223">
            <v>0</v>
          </cell>
          <cell r="BT223">
            <v>0</v>
          </cell>
          <cell r="BU223">
            <v>0</v>
          </cell>
          <cell r="BW223">
            <v>0</v>
          </cell>
          <cell r="BX223">
            <v>2.0333806925804074</v>
          </cell>
          <cell r="BZ223">
            <v>0</v>
          </cell>
          <cell r="CA223">
            <v>0</v>
          </cell>
          <cell r="CC223">
            <v>0</v>
          </cell>
          <cell r="CD223">
            <v>0</v>
          </cell>
          <cell r="CF223">
            <v>0</v>
          </cell>
          <cell r="CG223">
            <v>0</v>
          </cell>
          <cell r="CI223">
            <v>0</v>
          </cell>
          <cell r="CJ223">
            <v>0</v>
          </cell>
          <cell r="CL223">
            <v>0</v>
          </cell>
          <cell r="CM223">
            <v>0</v>
          </cell>
          <cell r="CX223">
            <v>-0.11391327057413037</v>
          </cell>
          <cell r="CY223">
            <v>1527.9875158562606</v>
          </cell>
        </row>
        <row r="224">
          <cell r="I224">
            <v>698.27567215413421</v>
          </cell>
          <cell r="J224">
            <v>679.19974602713546</v>
          </cell>
          <cell r="L224">
            <v>232.27810995406858</v>
          </cell>
          <cell r="M224">
            <v>229.57174980622474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X224">
            <v>375.56586627074995</v>
          </cell>
          <cell r="Y224">
            <v>281.17021559791743</v>
          </cell>
          <cell r="AA224">
            <v>0</v>
          </cell>
          <cell r="AB224">
            <v>0</v>
          </cell>
          <cell r="AD224">
            <v>1084.7784599738609</v>
          </cell>
          <cell r="AE224">
            <v>1029.5275709982332</v>
          </cell>
          <cell r="AJ224">
            <v>0</v>
          </cell>
          <cell r="AK224">
            <v>0</v>
          </cell>
          <cell r="AM224">
            <v>0</v>
          </cell>
          <cell r="AN224">
            <v>0</v>
          </cell>
          <cell r="AP224">
            <v>378.80705715745984</v>
          </cell>
          <cell r="AQ224">
            <v>378.61617200841994</v>
          </cell>
          <cell r="AS224">
            <v>3602.1924818801854</v>
          </cell>
          <cell r="AT224">
            <v>0</v>
          </cell>
          <cell r="AV224">
            <v>257.68528249792439</v>
          </cell>
          <cell r="AW224">
            <v>0</v>
          </cell>
          <cell r="AY224">
            <v>299.20814551574625</v>
          </cell>
          <cell r="AZ224">
            <v>0</v>
          </cell>
          <cell r="BB224">
            <v>0</v>
          </cell>
          <cell r="BC224">
            <v>0</v>
          </cell>
          <cell r="BE224">
            <v>0</v>
          </cell>
          <cell r="BF224">
            <v>0</v>
          </cell>
          <cell r="BH224">
            <v>0</v>
          </cell>
          <cell r="BI224">
            <v>0</v>
          </cell>
          <cell r="BK224">
            <v>59.16844621010025</v>
          </cell>
          <cell r="BL224">
            <v>0</v>
          </cell>
          <cell r="BN224">
            <v>0</v>
          </cell>
          <cell r="BO224">
            <v>0</v>
          </cell>
          <cell r="BT224">
            <v>2731.5251432118857</v>
          </cell>
          <cell r="BU224">
            <v>4767.8284987263751</v>
          </cell>
          <cell r="BW224">
            <v>2198.4231831066804</v>
          </cell>
          <cell r="BX224">
            <v>2148.6040038167557</v>
          </cell>
          <cell r="BZ224">
            <v>1522.3509981138125</v>
          </cell>
          <cell r="CA224">
            <v>3230.9445363679624</v>
          </cell>
          <cell r="CC224">
            <v>0</v>
          </cell>
          <cell r="CD224">
            <v>0</v>
          </cell>
          <cell r="CF224">
            <v>0</v>
          </cell>
          <cell r="CG224">
            <v>0</v>
          </cell>
          <cell r="CI224">
            <v>1085.6164602771439</v>
          </cell>
          <cell r="CJ224">
            <v>187.47127131831269</v>
          </cell>
          <cell r="CL224">
            <v>0</v>
          </cell>
          <cell r="CM224">
            <v>0</v>
          </cell>
          <cell r="CX224">
            <v>-9.0367588499248086E-2</v>
          </cell>
          <cell r="CY224">
            <v>1911.4394823991956</v>
          </cell>
        </row>
        <row r="225">
          <cell r="I225">
            <v>2464.7135238410469</v>
          </cell>
          <cell r="J225">
            <v>2389.0904544917958</v>
          </cell>
          <cell r="L225">
            <v>368.98240618595196</v>
          </cell>
          <cell r="M225">
            <v>364.68276688963357</v>
          </cell>
          <cell r="O225">
            <v>898.91999999999973</v>
          </cell>
          <cell r="P225">
            <v>706.63291666666669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>
            <v>1287.418696715361</v>
          </cell>
          <cell r="Y225">
            <v>827.70061547956016</v>
          </cell>
          <cell r="AA225">
            <v>0</v>
          </cell>
          <cell r="AB225">
            <v>0</v>
          </cell>
          <cell r="AD225">
            <v>2571.485084068901</v>
          </cell>
          <cell r="AE225">
            <v>2440.51194796349</v>
          </cell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P225">
            <v>1704.6317572085691</v>
          </cell>
          <cell r="AQ225">
            <v>1677.4633174217784</v>
          </cell>
          <cell r="AS225">
            <v>8257.3594598138716</v>
          </cell>
          <cell r="AT225">
            <v>116.72791843775435</v>
          </cell>
          <cell r="AV225">
            <v>446.40561436294365</v>
          </cell>
          <cell r="AW225">
            <v>0</v>
          </cell>
          <cell r="AY225">
            <v>475.41207312616257</v>
          </cell>
          <cell r="AZ225">
            <v>0</v>
          </cell>
          <cell r="BB225">
            <v>409.68558631223772</v>
          </cell>
          <cell r="BC225">
            <v>0</v>
          </cell>
          <cell r="BE225">
            <v>0</v>
          </cell>
          <cell r="BF225">
            <v>0</v>
          </cell>
          <cell r="BH225">
            <v>0</v>
          </cell>
          <cell r="BI225">
            <v>0</v>
          </cell>
          <cell r="BK225">
            <v>88.461351592753303</v>
          </cell>
          <cell r="BL225">
            <v>0</v>
          </cell>
          <cell r="BN225">
            <v>0</v>
          </cell>
          <cell r="BO225">
            <v>0</v>
          </cell>
          <cell r="BT225">
            <v>6536.7329793739154</v>
          </cell>
          <cell r="BU225">
            <v>9041.1245409479416</v>
          </cell>
          <cell r="BW225">
            <v>5100.4351073940079</v>
          </cell>
          <cell r="BX225">
            <v>5135.4067659358898</v>
          </cell>
          <cell r="BZ225">
            <v>1636.7805120465707</v>
          </cell>
          <cell r="CA225">
            <v>2006.6545285593475</v>
          </cell>
          <cell r="CC225">
            <v>0</v>
          </cell>
          <cell r="CD225">
            <v>0</v>
          </cell>
          <cell r="CF225">
            <v>0</v>
          </cell>
          <cell r="CG225">
            <v>0</v>
          </cell>
          <cell r="CI225">
            <v>1085.6164602771439</v>
          </cell>
          <cell r="CJ225">
            <v>31.327200621181092</v>
          </cell>
          <cell r="CL225">
            <v>0</v>
          </cell>
          <cell r="CM225">
            <v>0</v>
          </cell>
          <cell r="CX225">
            <v>0.31126521666919871</v>
          </cell>
          <cell r="CY225">
            <v>10315.172431901956</v>
          </cell>
        </row>
        <row r="226">
          <cell r="I226">
            <v>2235.0703192830802</v>
          </cell>
          <cell r="J226">
            <v>2152.9334091911705</v>
          </cell>
          <cell r="L226">
            <v>416.62369073618646</v>
          </cell>
          <cell r="M226">
            <v>411.76690920657899</v>
          </cell>
          <cell r="O226">
            <v>617.04</v>
          </cell>
          <cell r="P226">
            <v>617.15999999999985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X226">
            <v>1186.6969131526546</v>
          </cell>
          <cell r="Y226">
            <v>910.62494182206456</v>
          </cell>
          <cell r="AA226">
            <v>0</v>
          </cell>
          <cell r="AB226">
            <v>0</v>
          </cell>
          <cell r="AD226">
            <v>1826.2076478314384</v>
          </cell>
          <cell r="AE226">
            <v>1733.1936364735727</v>
          </cell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P226">
            <v>1136.4211714723797</v>
          </cell>
          <cell r="AQ226">
            <v>1117.7584268315754</v>
          </cell>
          <cell r="AS226">
            <v>4947.2418703101212</v>
          </cell>
          <cell r="AT226">
            <v>0</v>
          </cell>
          <cell r="AV226">
            <v>431.76439172274848</v>
          </cell>
          <cell r="AW226">
            <v>0</v>
          </cell>
          <cell r="AY226">
            <v>537.05955931773622</v>
          </cell>
          <cell r="AZ226">
            <v>0</v>
          </cell>
          <cell r="BB226">
            <v>283.66741716210674</v>
          </cell>
          <cell r="BC226">
            <v>0</v>
          </cell>
          <cell r="BE226">
            <v>0</v>
          </cell>
          <cell r="BF226">
            <v>0</v>
          </cell>
          <cell r="BH226">
            <v>0</v>
          </cell>
          <cell r="BI226">
            <v>0</v>
          </cell>
          <cell r="BK226">
            <v>118.62766249183653</v>
          </cell>
          <cell r="BL226">
            <v>0</v>
          </cell>
          <cell r="BN226">
            <v>0</v>
          </cell>
          <cell r="BO226">
            <v>0</v>
          </cell>
          <cell r="BT226">
            <v>6378.8014678327081</v>
          </cell>
          <cell r="BU226">
            <v>9477.2846701666149</v>
          </cell>
          <cell r="BW226">
            <v>4606.0840837394617</v>
          </cell>
          <cell r="BX226">
            <v>4606.7903464882202</v>
          </cell>
          <cell r="BZ226">
            <v>1601.4672386300201</v>
          </cell>
          <cell r="CA226">
            <v>4060.0626828694958</v>
          </cell>
          <cell r="CC226">
            <v>0</v>
          </cell>
          <cell r="CD226">
            <v>0</v>
          </cell>
          <cell r="CF226">
            <v>0</v>
          </cell>
          <cell r="CG226">
            <v>0</v>
          </cell>
          <cell r="CI226">
            <v>1048.1814099227595</v>
          </cell>
          <cell r="CJ226">
            <v>114.779185499498</v>
          </cell>
          <cell r="CL226">
            <v>0</v>
          </cell>
          <cell r="CM226">
            <v>0</v>
          </cell>
          <cell r="CX226">
            <v>0.29418767370407295</v>
          </cell>
          <cell r="CY226">
            <v>2602.6149497414481</v>
          </cell>
        </row>
        <row r="227">
          <cell r="I227">
            <v>4668.105091719066</v>
          </cell>
          <cell r="J227">
            <v>4548.2396754993915</v>
          </cell>
          <cell r="L227">
            <v>911.35887063452685</v>
          </cell>
          <cell r="M227">
            <v>900.74011388939152</v>
          </cell>
          <cell r="O227">
            <v>1918.3200000000006</v>
          </cell>
          <cell r="P227">
            <v>1507.7866301075271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X227">
            <v>2897.8594680696533</v>
          </cell>
          <cell r="Y227">
            <v>2186.4778759124383</v>
          </cell>
          <cell r="AA227">
            <v>0</v>
          </cell>
          <cell r="AB227">
            <v>0</v>
          </cell>
          <cell r="AD227">
            <v>5482.0436087208791</v>
          </cell>
          <cell r="AE227">
            <v>5202.8273503225646</v>
          </cell>
          <cell r="AJ227">
            <v>0</v>
          </cell>
          <cell r="AK227">
            <v>0</v>
          </cell>
          <cell r="AM227">
            <v>0</v>
          </cell>
          <cell r="AN227">
            <v>0</v>
          </cell>
          <cell r="AP227">
            <v>3125.1582215490439</v>
          </cell>
          <cell r="AQ227">
            <v>3078.6821921228761</v>
          </cell>
          <cell r="AS227">
            <v>12135.48709974452</v>
          </cell>
          <cell r="AT227">
            <v>3443</v>
          </cell>
          <cell r="AV227">
            <v>829.54551827760827</v>
          </cell>
          <cell r="AW227">
            <v>914</v>
          </cell>
          <cell r="AY227">
            <v>1174.5740094673354</v>
          </cell>
          <cell r="AZ227">
            <v>0</v>
          </cell>
          <cell r="BB227">
            <v>869.50420069008499</v>
          </cell>
          <cell r="BC227">
            <v>610</v>
          </cell>
          <cell r="BE227">
            <v>0</v>
          </cell>
          <cell r="BF227">
            <v>0</v>
          </cell>
          <cell r="BH227">
            <v>0</v>
          </cell>
          <cell r="BI227">
            <v>740.44140585755144</v>
          </cell>
          <cell r="BK227">
            <v>349.45249236472927</v>
          </cell>
          <cell r="BL227">
            <v>0</v>
          </cell>
          <cell r="BN227">
            <v>0</v>
          </cell>
          <cell r="BO227">
            <v>0</v>
          </cell>
          <cell r="BT227">
            <v>19664.754060682972</v>
          </cell>
          <cell r="BU227">
            <v>27273.093509326773</v>
          </cell>
          <cell r="BW227">
            <v>7408.9623210196396</v>
          </cell>
          <cell r="BX227">
            <v>7602.3345604497208</v>
          </cell>
          <cell r="BZ227">
            <v>7858.0921337957734</v>
          </cell>
          <cell r="CA227">
            <v>6527.5567061806878</v>
          </cell>
          <cell r="CC227">
            <v>895.63357972864367</v>
          </cell>
          <cell r="CD227">
            <v>890.0150587466868</v>
          </cell>
          <cell r="CF227">
            <v>110.25792174689742</v>
          </cell>
          <cell r="CG227">
            <v>0</v>
          </cell>
          <cell r="CI227">
            <v>1703.2947911244837</v>
          </cell>
          <cell r="CJ227">
            <v>1614.3528489259315</v>
          </cell>
          <cell r="CL227">
            <v>0</v>
          </cell>
          <cell r="CM227">
            <v>0</v>
          </cell>
          <cell r="CX227">
            <v>61.015932796972265</v>
          </cell>
          <cell r="CY227">
            <v>6016.4424871901574</v>
          </cell>
        </row>
        <row r="228">
          <cell r="I228">
            <v>13074.966284395248</v>
          </cell>
          <cell r="J228">
            <v>12761.516945545225</v>
          </cell>
          <cell r="L228">
            <v>2577.5516057917689</v>
          </cell>
          <cell r="M228">
            <v>2547.5153026267822</v>
          </cell>
          <cell r="O228">
            <v>4425.96</v>
          </cell>
          <cell r="P228">
            <v>3478.9204854838717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X228">
            <v>7451.4887004477014</v>
          </cell>
          <cell r="Y228">
            <v>5922.2670617038711</v>
          </cell>
          <cell r="AA228">
            <v>0</v>
          </cell>
          <cell r="AB228">
            <v>0</v>
          </cell>
          <cell r="AD228">
            <v>13573.627202156176</v>
          </cell>
          <cell r="AE228">
            <v>12882.283303641669</v>
          </cell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P228">
            <v>9801.632603949276</v>
          </cell>
          <cell r="AQ228">
            <v>9350.9700435039504</v>
          </cell>
          <cell r="AS228">
            <v>44009.938971672447</v>
          </cell>
          <cell r="AT228">
            <v>6596.6587373646053</v>
          </cell>
          <cell r="AV228">
            <v>2030.1109963515739</v>
          </cell>
          <cell r="AW228">
            <v>0</v>
          </cell>
          <cell r="AY228">
            <v>3322.1713403248255</v>
          </cell>
          <cell r="AZ228">
            <v>0</v>
          </cell>
          <cell r="BB228">
            <v>2375.0202441269494</v>
          </cell>
          <cell r="BC228">
            <v>1111.7824366515142</v>
          </cell>
          <cell r="BE228">
            <v>0</v>
          </cell>
          <cell r="BF228">
            <v>0</v>
          </cell>
          <cell r="BH228">
            <v>0</v>
          </cell>
          <cell r="BI228">
            <v>0</v>
          </cell>
          <cell r="BK228">
            <v>1046.5116144968702</v>
          </cell>
          <cell r="BL228">
            <v>0</v>
          </cell>
          <cell r="BN228">
            <v>1205.3153536334314</v>
          </cell>
          <cell r="BO228">
            <v>0</v>
          </cell>
          <cell r="BT228">
            <v>20283.910233293365</v>
          </cell>
          <cell r="BU228">
            <v>37479.797447230056</v>
          </cell>
          <cell r="BW228">
            <v>13584.634958102375</v>
          </cell>
          <cell r="BX228">
            <v>14066.934885213794</v>
          </cell>
          <cell r="BZ228">
            <v>8794.4558870345081</v>
          </cell>
          <cell r="CA228">
            <v>7298.222534599181</v>
          </cell>
          <cell r="CC228">
            <v>1050.0531624404787</v>
          </cell>
          <cell r="CD228">
            <v>1043.4659309443914</v>
          </cell>
          <cell r="CF228">
            <v>129.26790825498321</v>
          </cell>
          <cell r="CG228">
            <v>0</v>
          </cell>
          <cell r="CI228">
            <v>9302.61001306449</v>
          </cell>
          <cell r="CJ228">
            <v>8306.1862354562036</v>
          </cell>
          <cell r="CL228">
            <v>0</v>
          </cell>
          <cell r="CM228">
            <v>0</v>
          </cell>
          <cell r="CX228">
            <v>9555.1675045562588</v>
          </cell>
          <cell r="CY228">
            <v>51786.414380041868</v>
          </cell>
        </row>
        <row r="229">
          <cell r="I229">
            <v>3621.9285974751042</v>
          </cell>
          <cell r="J229">
            <v>3482.9739261341056</v>
          </cell>
          <cell r="L229">
            <v>616.94302347239227</v>
          </cell>
          <cell r="M229">
            <v>609.75426540889009</v>
          </cell>
          <cell r="O229">
            <v>826.56</v>
          </cell>
          <cell r="P229">
            <v>649.7117016129032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>
            <v>1207.1775804244428</v>
          </cell>
          <cell r="Y229">
            <v>930.52672757263838</v>
          </cell>
          <cell r="AA229">
            <v>0</v>
          </cell>
          <cell r="AB229">
            <v>0</v>
          </cell>
          <cell r="AD229">
            <v>2579.6091639819879</v>
          </cell>
          <cell r="AE229">
            <v>2448.2222451053772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P229">
            <v>1704.6317572085691</v>
          </cell>
          <cell r="AQ229">
            <v>1320.9856409959561</v>
          </cell>
          <cell r="AS229">
            <v>9077.5663841859478</v>
          </cell>
          <cell r="AT229">
            <v>820</v>
          </cell>
          <cell r="AV229">
            <v>638.54415346269059</v>
          </cell>
          <cell r="AW229">
            <v>0</v>
          </cell>
          <cell r="AY229">
            <v>794.95558185331777</v>
          </cell>
          <cell r="AZ229">
            <v>0</v>
          </cell>
          <cell r="BB229">
            <v>399.37909082510834</v>
          </cell>
          <cell r="BC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K229">
            <v>118.62780668282814</v>
          </cell>
          <cell r="BL229">
            <v>0</v>
          </cell>
          <cell r="BN229">
            <v>0</v>
          </cell>
          <cell r="BO229">
            <v>0</v>
          </cell>
          <cell r="BT229">
            <v>9262.088929997557</v>
          </cell>
          <cell r="BU229">
            <v>11005.589344849377</v>
          </cell>
          <cell r="BW229">
            <v>4893.5140111140545</v>
          </cell>
          <cell r="BX229">
            <v>4675.2514429320108</v>
          </cell>
          <cell r="BZ229">
            <v>1679.370665762927</v>
          </cell>
          <cell r="CA229">
            <v>2620.0029606140297</v>
          </cell>
          <cell r="CC229">
            <v>0</v>
          </cell>
          <cell r="CD229">
            <v>0</v>
          </cell>
          <cell r="CF229">
            <v>0</v>
          </cell>
          <cell r="CG229">
            <v>0</v>
          </cell>
          <cell r="CI229">
            <v>748.70100708768541</v>
          </cell>
          <cell r="CJ229">
            <v>128.42908322504584</v>
          </cell>
          <cell r="CL229">
            <v>0</v>
          </cell>
          <cell r="CM229">
            <v>0</v>
          </cell>
          <cell r="CX229">
            <v>625.32269575846658</v>
          </cell>
          <cell r="CY229">
            <v>11999.103193859606</v>
          </cell>
        </row>
        <row r="230">
          <cell r="I230">
            <v>15577.871063430122</v>
          </cell>
          <cell r="J230">
            <v>15245.740563898325</v>
          </cell>
          <cell r="L230">
            <v>2374.2762040313514</v>
          </cell>
          <cell r="M230">
            <v>2346.60346553522</v>
          </cell>
          <cell r="O230">
            <v>6068.1600000000008</v>
          </cell>
          <cell r="P230">
            <v>4769.4597190860222</v>
          </cell>
          <cell r="R230">
            <v>1510.1999999999998</v>
          </cell>
          <cell r="S230">
            <v>1187.2106774193549</v>
          </cell>
          <cell r="U230">
            <v>780.05784393801957</v>
          </cell>
          <cell r="V230">
            <v>2237.0102038432801</v>
          </cell>
          <cell r="X230">
            <v>6473.3339252690866</v>
          </cell>
          <cell r="Y230">
            <v>4797.172978949201</v>
          </cell>
          <cell r="AA230">
            <v>0</v>
          </cell>
          <cell r="AB230">
            <v>0</v>
          </cell>
          <cell r="AD230">
            <v>17950.795942697136</v>
          </cell>
          <cell r="AE230">
            <v>17036.510242667649</v>
          </cell>
          <cell r="AJ230">
            <v>36838.496087665488</v>
          </cell>
          <cell r="AK230">
            <v>36607.388527908763</v>
          </cell>
          <cell r="AM230">
            <v>0</v>
          </cell>
          <cell r="AN230">
            <v>3137.4116039135224</v>
          </cell>
          <cell r="AP230">
            <v>3409.2635144171381</v>
          </cell>
          <cell r="AQ230">
            <v>3299.3382714119357</v>
          </cell>
          <cell r="AS230">
            <v>64506.322216330678</v>
          </cell>
          <cell r="AT230">
            <v>2756</v>
          </cell>
          <cell r="AV230">
            <v>1234.6387689054209</v>
          </cell>
          <cell r="AW230">
            <v>0</v>
          </cell>
          <cell r="AY230">
            <v>1576.0542873798988</v>
          </cell>
          <cell r="AZ230">
            <v>0</v>
          </cell>
          <cell r="BB230">
            <v>1589.1311367167064</v>
          </cell>
          <cell r="BC230">
            <v>0</v>
          </cell>
          <cell r="BE230">
            <v>874.33747876044481</v>
          </cell>
          <cell r="BF230">
            <v>0</v>
          </cell>
          <cell r="BH230">
            <v>395.76741189229665</v>
          </cell>
          <cell r="BI230">
            <v>0</v>
          </cell>
          <cell r="BK230">
            <v>1028.8017596543923</v>
          </cell>
          <cell r="BL230">
            <v>0</v>
          </cell>
          <cell r="BN230">
            <v>0</v>
          </cell>
          <cell r="BO230">
            <v>0</v>
          </cell>
          <cell r="BT230">
            <v>59109.046491992951</v>
          </cell>
          <cell r="BU230">
            <v>66767.705541709161</v>
          </cell>
          <cell r="BW230">
            <v>35725.54966449763</v>
          </cell>
          <cell r="BX230">
            <v>41319.839554600265</v>
          </cell>
          <cell r="BZ230">
            <v>11607.610642803063</v>
          </cell>
          <cell r="CA230">
            <v>16511.427593563436</v>
          </cell>
          <cell r="CC230">
            <v>529.43856929772039</v>
          </cell>
          <cell r="CD230">
            <v>526.11727610641594</v>
          </cell>
          <cell r="CF230">
            <v>65.177096599151199</v>
          </cell>
          <cell r="CG230">
            <v>0</v>
          </cell>
          <cell r="CI230">
            <v>8235.7110779645391</v>
          </cell>
          <cell r="CJ230">
            <v>23524.525674433018</v>
          </cell>
          <cell r="CL230">
            <v>12353.56661694681</v>
          </cell>
          <cell r="CM230">
            <v>35286.818694607871</v>
          </cell>
          <cell r="CX230">
            <v>8736.4706385719619</v>
          </cell>
          <cell r="CY230">
            <v>23685.263292415915</v>
          </cell>
        </row>
        <row r="231"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0</v>
          </cell>
          <cell r="AA231">
            <v>0</v>
          </cell>
          <cell r="AB231">
            <v>0</v>
          </cell>
          <cell r="AD231">
            <v>0</v>
          </cell>
          <cell r="AE231">
            <v>0</v>
          </cell>
          <cell r="AJ231">
            <v>0</v>
          </cell>
          <cell r="AK231">
            <v>0</v>
          </cell>
          <cell r="AM231">
            <v>0</v>
          </cell>
          <cell r="AN231">
            <v>0</v>
          </cell>
          <cell r="AP231">
            <v>568.21058573618984</v>
          </cell>
          <cell r="AQ231">
            <v>186.85825256960351</v>
          </cell>
          <cell r="AS231">
            <v>3284.905260764182</v>
          </cell>
          <cell r="AT231">
            <v>0</v>
          </cell>
          <cell r="AV231">
            <v>0</v>
          </cell>
          <cell r="AW231">
            <v>0</v>
          </cell>
          <cell r="AY231">
            <v>0</v>
          </cell>
          <cell r="AZ231">
            <v>0</v>
          </cell>
          <cell r="BB231">
            <v>0</v>
          </cell>
          <cell r="BC231">
            <v>0</v>
          </cell>
          <cell r="BE231">
            <v>0</v>
          </cell>
          <cell r="BF231">
            <v>0</v>
          </cell>
          <cell r="BH231">
            <v>0</v>
          </cell>
          <cell r="BI231">
            <v>0</v>
          </cell>
          <cell r="BK231">
            <v>0</v>
          </cell>
          <cell r="BL231">
            <v>0</v>
          </cell>
          <cell r="BN231">
            <v>0</v>
          </cell>
          <cell r="BO231">
            <v>0</v>
          </cell>
          <cell r="BT231">
            <v>526.39423659234524</v>
          </cell>
          <cell r="BU231">
            <v>969.88201075569941</v>
          </cell>
          <cell r="BW231">
            <v>0</v>
          </cell>
          <cell r="BX231">
            <v>7.4137705569161829</v>
          </cell>
          <cell r="BZ231">
            <v>0</v>
          </cell>
          <cell r="CA231">
            <v>236.52043880353611</v>
          </cell>
          <cell r="CC231">
            <v>0</v>
          </cell>
          <cell r="CD231">
            <v>0</v>
          </cell>
          <cell r="CF231">
            <v>0</v>
          </cell>
          <cell r="CG231">
            <v>0</v>
          </cell>
          <cell r="CI231">
            <v>0</v>
          </cell>
          <cell r="CJ231">
            <v>0</v>
          </cell>
          <cell r="CL231">
            <v>0</v>
          </cell>
          <cell r="CM231">
            <v>0</v>
          </cell>
          <cell r="CX231">
            <v>78.707900288738301</v>
          </cell>
          <cell r="CY231">
            <v>3653.3106327770938</v>
          </cell>
        </row>
        <row r="232">
          <cell r="I232">
            <v>1963.9362206505518</v>
          </cell>
          <cell r="J232">
            <v>1897.4155123902974</v>
          </cell>
          <cell r="L232">
            <v>335.54730995963172</v>
          </cell>
          <cell r="M232">
            <v>331.6361328410942</v>
          </cell>
          <cell r="O232">
            <v>573</v>
          </cell>
          <cell r="P232">
            <v>450.38546397849461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X232">
            <v>964.30804907366803</v>
          </cell>
          <cell r="Y232">
            <v>726.1465717569605</v>
          </cell>
          <cell r="AA232">
            <v>0</v>
          </cell>
          <cell r="AB232">
            <v>0</v>
          </cell>
          <cell r="AD232">
            <v>1751.808179153689</v>
          </cell>
          <cell r="AE232">
            <v>1662.5835468584003</v>
          </cell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P232">
            <v>1136.4211714723797</v>
          </cell>
          <cell r="AQ232">
            <v>995.45843103994389</v>
          </cell>
          <cell r="AS232">
            <v>5590.043375413542</v>
          </cell>
          <cell r="AT232">
            <v>30</v>
          </cell>
          <cell r="AV232">
            <v>330.2834567508126</v>
          </cell>
          <cell r="AW232">
            <v>2377</v>
          </cell>
          <cell r="AY232">
            <v>432.5264025534882</v>
          </cell>
          <cell r="AZ232">
            <v>0</v>
          </cell>
          <cell r="BB232">
            <v>286.66466480475628</v>
          </cell>
          <cell r="BC232">
            <v>0</v>
          </cell>
          <cell r="BE232">
            <v>0</v>
          </cell>
          <cell r="BF232">
            <v>0</v>
          </cell>
          <cell r="BH232">
            <v>0</v>
          </cell>
          <cell r="BI232">
            <v>0</v>
          </cell>
          <cell r="BK232">
            <v>78.787193100235982</v>
          </cell>
          <cell r="BL232">
            <v>0</v>
          </cell>
          <cell r="BN232">
            <v>0</v>
          </cell>
          <cell r="BO232">
            <v>0</v>
          </cell>
          <cell r="BT232">
            <v>5851.6610563297218</v>
          </cell>
          <cell r="BU232">
            <v>8262.4999210605674</v>
          </cell>
          <cell r="BW232">
            <v>3491.3960214390759</v>
          </cell>
          <cell r="BX232">
            <v>3616.9946713913414</v>
          </cell>
          <cell r="BZ232">
            <v>1099.3634233244854</v>
          </cell>
          <cell r="CA232">
            <v>1985.2916620524077</v>
          </cell>
          <cell r="CC232">
            <v>0</v>
          </cell>
          <cell r="CD232">
            <v>0</v>
          </cell>
          <cell r="CF232">
            <v>0</v>
          </cell>
          <cell r="CG232">
            <v>0</v>
          </cell>
          <cell r="CI232">
            <v>692.54843155610922</v>
          </cell>
          <cell r="CJ232">
            <v>1336.2972453423388</v>
          </cell>
          <cell r="CL232">
            <v>0</v>
          </cell>
          <cell r="CM232">
            <v>0</v>
          </cell>
          <cell r="CX232">
            <v>-0.11394669856781547</v>
          </cell>
          <cell r="CY232">
            <v>1087.7890095457872</v>
          </cell>
        </row>
        <row r="233">
          <cell r="I233">
            <v>2001.0646017729425</v>
          </cell>
          <cell r="J233">
            <v>1935.6775964968929</v>
          </cell>
          <cell r="L233">
            <v>335.54730995963172</v>
          </cell>
          <cell r="M233">
            <v>331.6361328410942</v>
          </cell>
          <cell r="O233">
            <v>645.12</v>
          </cell>
          <cell r="P233">
            <v>507.0878193548387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X233">
            <v>964.30804907366803</v>
          </cell>
          <cell r="Y233">
            <v>727.5064905644582</v>
          </cell>
          <cell r="AA233">
            <v>0</v>
          </cell>
          <cell r="AB233">
            <v>0</v>
          </cell>
          <cell r="AD233">
            <v>1926.6896888617337</v>
          </cell>
          <cell r="AE233">
            <v>1828.5578379653286</v>
          </cell>
          <cell r="AJ233">
            <v>0</v>
          </cell>
          <cell r="AK233">
            <v>0</v>
          </cell>
          <cell r="AM233">
            <v>0</v>
          </cell>
          <cell r="AN233">
            <v>0</v>
          </cell>
          <cell r="AP233">
            <v>994.368525038332</v>
          </cell>
          <cell r="AQ233">
            <v>852.13083803655081</v>
          </cell>
          <cell r="AS233">
            <v>4019.6880665971307</v>
          </cell>
          <cell r="AT233">
            <v>0</v>
          </cell>
          <cell r="AV233">
            <v>349.31330119830955</v>
          </cell>
          <cell r="AW233">
            <v>0</v>
          </cell>
          <cell r="AY233">
            <v>432.5264025534882</v>
          </cell>
          <cell r="AZ233">
            <v>0</v>
          </cell>
          <cell r="BB233">
            <v>323.16543218430274</v>
          </cell>
          <cell r="BC233">
            <v>0</v>
          </cell>
          <cell r="BE233">
            <v>0</v>
          </cell>
          <cell r="BF233">
            <v>0</v>
          </cell>
          <cell r="BH233">
            <v>0</v>
          </cell>
          <cell r="BI233">
            <v>0</v>
          </cell>
          <cell r="BK233">
            <v>78.787193100235982</v>
          </cell>
          <cell r="BL233">
            <v>700</v>
          </cell>
          <cell r="BN233">
            <v>0</v>
          </cell>
          <cell r="BO233">
            <v>0</v>
          </cell>
          <cell r="BT233">
            <v>5990.314936341696</v>
          </cell>
          <cell r="BU233">
            <v>7717.8329186588262</v>
          </cell>
          <cell r="BW233">
            <v>4817.5680772898786</v>
          </cell>
          <cell r="BX233">
            <v>4937.5136709612052</v>
          </cell>
          <cell r="BZ233">
            <v>1067.105797582991</v>
          </cell>
          <cell r="CA233">
            <v>1789.8534020942502</v>
          </cell>
          <cell r="CC233">
            <v>0</v>
          </cell>
          <cell r="CD233">
            <v>0</v>
          </cell>
          <cell r="CF233">
            <v>0</v>
          </cell>
          <cell r="CG233">
            <v>0</v>
          </cell>
          <cell r="CI233">
            <v>954.59378403679909</v>
          </cell>
          <cell r="CJ233">
            <v>155.34346981042791</v>
          </cell>
          <cell r="CL233">
            <v>0</v>
          </cell>
          <cell r="CM233">
            <v>0</v>
          </cell>
          <cell r="CX233">
            <v>746.8066012906329</v>
          </cell>
          <cell r="CY233">
            <v>4847.2317878593558</v>
          </cell>
        </row>
        <row r="234">
          <cell r="I234">
            <v>8474.0987855531221</v>
          </cell>
          <cell r="J234">
            <v>8241.078914652735</v>
          </cell>
          <cell r="L234">
            <v>1795.7939372271687</v>
          </cell>
          <cell r="M234">
            <v>1774.8674516865963</v>
          </cell>
          <cell r="O234">
            <v>3143.76</v>
          </cell>
          <cell r="P234">
            <v>2471.0960185483873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X234">
            <v>5638.3629122357806</v>
          </cell>
          <cell r="Y234">
            <v>4653.3741161610105</v>
          </cell>
          <cell r="AA234">
            <v>0</v>
          </cell>
          <cell r="AB234">
            <v>0</v>
          </cell>
          <cell r="AD234">
            <v>8990.3633817147838</v>
          </cell>
          <cell r="AE234">
            <v>8532.4583002794061</v>
          </cell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P234">
            <v>5682.1058573619002</v>
          </cell>
          <cell r="AQ234">
            <v>5231.776489931166</v>
          </cell>
          <cell r="AS234">
            <v>28158.610268269334</v>
          </cell>
          <cell r="AT234">
            <v>9500</v>
          </cell>
          <cell r="AV234">
            <v>1498.8275399726424</v>
          </cell>
          <cell r="AW234">
            <v>1250</v>
          </cell>
          <cell r="AY234">
            <v>2314.420350658464</v>
          </cell>
          <cell r="AZ234">
            <v>0</v>
          </cell>
          <cell r="BB234">
            <v>1350.1942452430567</v>
          </cell>
          <cell r="BC234">
            <v>0</v>
          </cell>
          <cell r="BE234">
            <v>0</v>
          </cell>
          <cell r="BF234">
            <v>0</v>
          </cell>
          <cell r="BH234">
            <v>0</v>
          </cell>
          <cell r="BI234">
            <v>0</v>
          </cell>
          <cell r="BK234">
            <v>773.7601988996729</v>
          </cell>
          <cell r="BL234">
            <v>537</v>
          </cell>
          <cell r="BN234">
            <v>0</v>
          </cell>
          <cell r="BO234">
            <v>0</v>
          </cell>
          <cell r="BT234">
            <v>13045.919843614813</v>
          </cell>
          <cell r="BU234">
            <v>20555.471503123408</v>
          </cell>
          <cell r="BW234">
            <v>11558.847373394687</v>
          </cell>
          <cell r="BX234">
            <v>12167.943856497935</v>
          </cell>
          <cell r="BZ234">
            <v>5275.8649899651718</v>
          </cell>
          <cell r="CA234">
            <v>4887.3437874502206</v>
          </cell>
          <cell r="CC234">
            <v>1111.8209955252125</v>
          </cell>
          <cell r="CD234">
            <v>1104.8462798234734</v>
          </cell>
          <cell r="CF234">
            <v>136.87190285821751</v>
          </cell>
          <cell r="CG234">
            <v>1364.4765505177534</v>
          </cell>
          <cell r="CI234">
            <v>2714.0411506928581</v>
          </cell>
          <cell r="CJ234">
            <v>2291.863536048515</v>
          </cell>
          <cell r="CL234">
            <v>0</v>
          </cell>
          <cell r="CM234">
            <v>0</v>
          </cell>
          <cell r="CX234">
            <v>5927.5735201757343</v>
          </cell>
          <cell r="CY234">
            <v>26447.653834335288</v>
          </cell>
        </row>
        <row r="235">
          <cell r="I235">
            <v>10576.650791960601</v>
          </cell>
          <cell r="J235">
            <v>10319.822681322084</v>
          </cell>
          <cell r="L235">
            <v>1485.1013300356437</v>
          </cell>
          <cell r="M235">
            <v>1467.7969583152126</v>
          </cell>
          <cell r="O235">
            <v>3751.9199999999996</v>
          </cell>
          <cell r="P235">
            <v>2949.1229180107525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X235">
            <v>4638.6032487870307</v>
          </cell>
          <cell r="Y235">
            <v>3569.7900561693405</v>
          </cell>
          <cell r="AA235">
            <v>0</v>
          </cell>
          <cell r="AB235">
            <v>0</v>
          </cell>
          <cell r="AD235">
            <v>11937.694057552317</v>
          </cell>
          <cell r="AE235">
            <v>11321.96264519145</v>
          </cell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P235">
            <v>9801.632603949276</v>
          </cell>
          <cell r="AQ235">
            <v>8721.63424413953</v>
          </cell>
          <cell r="AS235">
            <v>31649.352892887346</v>
          </cell>
          <cell r="AT235">
            <v>1644.9399138966321</v>
          </cell>
          <cell r="AV235">
            <v>1660.7203621814176</v>
          </cell>
          <cell r="AW235">
            <v>0</v>
          </cell>
          <cell r="AY235">
            <v>1914.1159177535098</v>
          </cell>
          <cell r="AZ235">
            <v>0</v>
          </cell>
          <cell r="BB235">
            <v>2076.7730066581944</v>
          </cell>
          <cell r="BC235">
            <v>0</v>
          </cell>
          <cell r="BE235">
            <v>0</v>
          </cell>
          <cell r="BF235">
            <v>0</v>
          </cell>
          <cell r="BH235">
            <v>0</v>
          </cell>
          <cell r="BI235">
            <v>0</v>
          </cell>
          <cell r="BK235">
            <v>679.39534353161719</v>
          </cell>
          <cell r="BL235">
            <v>946.55031513112704</v>
          </cell>
          <cell r="BN235">
            <v>0</v>
          </cell>
          <cell r="BO235">
            <v>0</v>
          </cell>
          <cell r="BT235">
            <v>35734.96275987335</v>
          </cell>
          <cell r="BU235">
            <v>50198.086458118851</v>
          </cell>
          <cell r="BW235">
            <v>17610.996208438119</v>
          </cell>
          <cell r="BX235">
            <v>18085.237276187003</v>
          </cell>
          <cell r="BZ235">
            <v>11415.572781579454</v>
          </cell>
          <cell r="CA235">
            <v>13891.520873551519</v>
          </cell>
          <cell r="CC235">
            <v>0</v>
          </cell>
          <cell r="CD235">
            <v>0</v>
          </cell>
          <cell r="CF235">
            <v>0</v>
          </cell>
          <cell r="CG235">
            <v>0</v>
          </cell>
          <cell r="CI235">
            <v>2040.2102443139422</v>
          </cell>
          <cell r="CJ235">
            <v>2085.9486023924601</v>
          </cell>
          <cell r="CL235">
            <v>0</v>
          </cell>
          <cell r="CM235">
            <v>0</v>
          </cell>
          <cell r="CX235">
            <v>4210.3181405977884</v>
          </cell>
          <cell r="CY235">
            <v>30335.864469088847</v>
          </cell>
        </row>
        <row r="236">
          <cell r="I236">
            <v>12203.162180260404</v>
          </cell>
          <cell r="J236">
            <v>11935.559451196896</v>
          </cell>
          <cell r="L236">
            <v>2071.2716309647135</v>
          </cell>
          <cell r="M236">
            <v>2047.1366224758897</v>
          </cell>
          <cell r="O236">
            <v>4878</v>
          </cell>
          <cell r="P236">
            <v>3833.966653225807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X236">
            <v>8752.9973079959491</v>
          </cell>
          <cell r="Y236">
            <v>7231.0189712593974</v>
          </cell>
          <cell r="AA236">
            <v>0</v>
          </cell>
          <cell r="AB236">
            <v>0</v>
          </cell>
          <cell r="AD236">
            <v>15219.822342439724</v>
          </cell>
          <cell r="AE236">
            <v>14444.632987655545</v>
          </cell>
          <cell r="AJ236">
            <v>0</v>
          </cell>
          <cell r="AK236">
            <v>0</v>
          </cell>
          <cell r="AM236">
            <v>0</v>
          </cell>
          <cell r="AN236">
            <v>0</v>
          </cell>
          <cell r="AP236">
            <v>11364.2117147238</v>
          </cell>
          <cell r="AQ236">
            <v>9302.0483708875836</v>
          </cell>
          <cell r="AS236">
            <v>57807.459922215552</v>
          </cell>
          <cell r="AT236">
            <v>29450.311656640039</v>
          </cell>
          <cell r="AV236">
            <v>1940.8217125497979</v>
          </cell>
          <cell r="AW236">
            <v>6755</v>
          </cell>
          <cell r="AY236">
            <v>2669.3329242191721</v>
          </cell>
          <cell r="AZ236">
            <v>0</v>
          </cell>
          <cell r="BB236">
            <v>2819.8391242299531</v>
          </cell>
          <cell r="BC236">
            <v>0</v>
          </cell>
          <cell r="BE236">
            <v>0</v>
          </cell>
          <cell r="BF236">
            <v>0</v>
          </cell>
          <cell r="BH236">
            <v>0</v>
          </cell>
          <cell r="BI236">
            <v>0</v>
          </cell>
          <cell r="BK236">
            <v>1077.0682812303669</v>
          </cell>
          <cell r="BL236">
            <v>913</v>
          </cell>
          <cell r="BN236">
            <v>0</v>
          </cell>
          <cell r="BO236">
            <v>0</v>
          </cell>
          <cell r="BT236">
            <v>24630.791468198426</v>
          </cell>
          <cell r="BU236">
            <v>34801.654923276183</v>
          </cell>
          <cell r="BW236">
            <v>17537.290709166267</v>
          </cell>
          <cell r="BX236">
            <v>18189.881836124412</v>
          </cell>
          <cell r="BZ236">
            <v>11532.489885130921</v>
          </cell>
          <cell r="CA236">
            <v>8411.1292327339543</v>
          </cell>
          <cell r="CC236">
            <v>1834.7987751550993</v>
          </cell>
          <cell r="CD236">
            <v>1823.2886490843455</v>
          </cell>
          <cell r="CF236">
            <v>225.87484921416953</v>
          </cell>
          <cell r="CG236">
            <v>0</v>
          </cell>
          <cell r="CI236">
            <v>1871.7525177192138</v>
          </cell>
          <cell r="CJ236">
            <v>2119.5868698794561</v>
          </cell>
          <cell r="CL236">
            <v>0</v>
          </cell>
          <cell r="CM236">
            <v>0</v>
          </cell>
          <cell r="CX236">
            <v>6510.2275855037915</v>
          </cell>
          <cell r="CY236">
            <v>39124.750530672609</v>
          </cell>
        </row>
        <row r="237">
          <cell r="I237">
            <v>12204.091458040617</v>
          </cell>
          <cell r="J237">
            <v>11937.547491008914</v>
          </cell>
          <cell r="L237">
            <v>2071.2716309647135</v>
          </cell>
          <cell r="M237">
            <v>2047.1366224758897</v>
          </cell>
          <cell r="O237">
            <v>4921.68</v>
          </cell>
          <cell r="P237">
            <v>3868.7785919354847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X237">
            <v>7654.5532455452876</v>
          </cell>
          <cell r="Y237">
            <v>6158.5861888254267</v>
          </cell>
          <cell r="AA237">
            <v>0</v>
          </cell>
          <cell r="AB237">
            <v>0</v>
          </cell>
          <cell r="AD237">
            <v>15286.952897511032</v>
          </cell>
          <cell r="AE237">
            <v>14508.344390354288</v>
          </cell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P237">
            <v>11364.2117147238</v>
          </cell>
          <cell r="AQ237">
            <v>10632.483365803233</v>
          </cell>
          <cell r="AS237">
            <v>57920.574094346521</v>
          </cell>
          <cell r="AT237">
            <v>46704.034016412399</v>
          </cell>
          <cell r="AV237">
            <v>1941.1583105102109</v>
          </cell>
          <cell r="AW237">
            <v>628</v>
          </cell>
          <cell r="AY237">
            <v>2669.3329242191721</v>
          </cell>
          <cell r="AZ237">
            <v>0</v>
          </cell>
          <cell r="BB237">
            <v>2836.7505904415775</v>
          </cell>
          <cell r="BC237">
            <v>0</v>
          </cell>
          <cell r="BE237">
            <v>0</v>
          </cell>
          <cell r="BF237">
            <v>0</v>
          </cell>
          <cell r="BH237">
            <v>0</v>
          </cell>
          <cell r="BI237">
            <v>0</v>
          </cell>
          <cell r="BK237">
            <v>1077.1086257719292</v>
          </cell>
          <cell r="BL237">
            <v>1132.007111349609</v>
          </cell>
          <cell r="BN237">
            <v>0</v>
          </cell>
          <cell r="BO237">
            <v>0</v>
          </cell>
          <cell r="BT237">
            <v>29070.594141452053</v>
          </cell>
          <cell r="BU237">
            <v>46427.419796216513</v>
          </cell>
          <cell r="BW237">
            <v>18943.709525455732</v>
          </cell>
          <cell r="BX237">
            <v>19552.207074889582</v>
          </cell>
          <cell r="BZ237">
            <v>12000.26749062252</v>
          </cell>
          <cell r="CA237">
            <v>12199.908518850829</v>
          </cell>
          <cell r="CC237">
            <v>2533.0694215510935</v>
          </cell>
          <cell r="CD237">
            <v>2517.1788787935857</v>
          </cell>
          <cell r="CF237">
            <v>311.83619772882781</v>
          </cell>
          <cell r="CG237">
            <v>0</v>
          </cell>
          <cell r="CI237">
            <v>4529.6410928804953</v>
          </cell>
          <cell r="CJ237">
            <v>3896.626516490488</v>
          </cell>
          <cell r="CL237">
            <v>0</v>
          </cell>
          <cell r="CM237">
            <v>0</v>
          </cell>
          <cell r="CX237">
            <v>7759.7459658813314</v>
          </cell>
          <cell r="CY237">
            <v>13911.59972391251</v>
          </cell>
        </row>
        <row r="238">
          <cell r="I238">
            <v>12208.686691603745</v>
          </cell>
          <cell r="J238">
            <v>11940.827071481588</v>
          </cell>
          <cell r="L238">
            <v>2071.2716309647135</v>
          </cell>
          <cell r="M238">
            <v>2068.9493419766386</v>
          </cell>
          <cell r="O238">
            <v>4921.68</v>
          </cell>
          <cell r="P238">
            <v>3868.7705833333343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X238">
            <v>7654.5532455452876</v>
          </cell>
          <cell r="Y238">
            <v>6178.6347043479227</v>
          </cell>
          <cell r="AA238">
            <v>0</v>
          </cell>
          <cell r="AB238">
            <v>0</v>
          </cell>
          <cell r="AD238">
            <v>15239.91875064578</v>
          </cell>
          <cell r="AE238">
            <v>14463.705827953896</v>
          </cell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P238">
            <v>11364.2117147238</v>
          </cell>
          <cell r="AQ238">
            <v>8800.1504779552979</v>
          </cell>
          <cell r="AS238">
            <v>52698.378885483246</v>
          </cell>
          <cell r="AT238">
            <v>18618.491368753239</v>
          </cell>
          <cell r="AV238">
            <v>1940.8522748715295</v>
          </cell>
          <cell r="AW238">
            <v>6978.4688276844427</v>
          </cell>
          <cell r="AY238">
            <v>2669.3329242191721</v>
          </cell>
          <cell r="AZ238">
            <v>0</v>
          </cell>
          <cell r="BB238">
            <v>2836.7505904415775</v>
          </cell>
          <cell r="BC238">
            <v>0</v>
          </cell>
          <cell r="BE238">
            <v>0</v>
          </cell>
          <cell r="BF238">
            <v>0</v>
          </cell>
          <cell r="BH238">
            <v>0</v>
          </cell>
          <cell r="BI238">
            <v>0</v>
          </cell>
          <cell r="BK238">
            <v>1077.1086257719292</v>
          </cell>
          <cell r="BL238">
            <v>0</v>
          </cell>
          <cell r="BN238">
            <v>0</v>
          </cell>
          <cell r="BO238">
            <v>0</v>
          </cell>
          <cell r="BT238">
            <v>27514.777863092113</v>
          </cell>
          <cell r="BU238">
            <v>45228.169766585415</v>
          </cell>
          <cell r="BW238">
            <v>18349.83466811604</v>
          </cell>
          <cell r="BX238">
            <v>18506.325966756413</v>
          </cell>
          <cell r="BZ238">
            <v>11947.974829839761</v>
          </cell>
          <cell r="CA238">
            <v>8021.8550823110854</v>
          </cell>
          <cell r="CC238">
            <v>2104.8124454969379</v>
          </cell>
          <cell r="CD238">
            <v>2091.6084598986181</v>
          </cell>
          <cell r="CF238">
            <v>259.11516847973667</v>
          </cell>
          <cell r="CG238">
            <v>0</v>
          </cell>
          <cell r="CI238">
            <v>7674.1853226487738</v>
          </cell>
          <cell r="CJ238">
            <v>11405.529392147953</v>
          </cell>
          <cell r="CL238">
            <v>0</v>
          </cell>
          <cell r="CM238">
            <v>0</v>
          </cell>
          <cell r="CX238">
            <v>11045.285241667054</v>
          </cell>
          <cell r="CY238">
            <v>40279.63575457703</v>
          </cell>
        </row>
        <row r="239">
          <cell r="I239">
            <v>12203.78218892445</v>
          </cell>
          <cell r="J239">
            <v>11937.030860168727</v>
          </cell>
          <cell r="L239">
            <v>2071.2716309647135</v>
          </cell>
          <cell r="M239">
            <v>2047.1366224758897</v>
          </cell>
          <cell r="O239">
            <v>4869.1200000000008</v>
          </cell>
          <cell r="P239">
            <v>3827.1915535483868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X239">
            <v>7654.5532455452876</v>
          </cell>
          <cell r="Y239">
            <v>6243.2321689019118</v>
          </cell>
          <cell r="AA239">
            <v>0</v>
          </cell>
          <cell r="AB239">
            <v>0</v>
          </cell>
          <cell r="AD239">
            <v>15273.09920334345</v>
          </cell>
          <cell r="AE239">
            <v>14495.196304701811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P239">
            <v>11364.2117147238</v>
          </cell>
          <cell r="AQ239">
            <v>10605.727004333188</v>
          </cell>
          <cell r="AS239">
            <v>57733.034533392471</v>
          </cell>
          <cell r="AT239">
            <v>21498.175520571931</v>
          </cell>
          <cell r="AV239">
            <v>1940.8522748715295</v>
          </cell>
          <cell r="AW239">
            <v>0</v>
          </cell>
          <cell r="AY239">
            <v>2669.3329242191721</v>
          </cell>
          <cell r="AZ239">
            <v>0</v>
          </cell>
          <cell r="BB239">
            <v>2816.399268264744</v>
          </cell>
          <cell r="BC239">
            <v>0</v>
          </cell>
          <cell r="BE239">
            <v>0</v>
          </cell>
          <cell r="BF239">
            <v>0</v>
          </cell>
          <cell r="BH239">
            <v>0</v>
          </cell>
          <cell r="BI239">
            <v>0</v>
          </cell>
          <cell r="BK239">
            <v>1077.1086257719292</v>
          </cell>
          <cell r="BL239">
            <v>0</v>
          </cell>
          <cell r="BN239">
            <v>0</v>
          </cell>
          <cell r="BO239">
            <v>0</v>
          </cell>
          <cell r="BT239">
            <v>37179.350918292024</v>
          </cell>
          <cell r="BU239">
            <v>50007.163434674694</v>
          </cell>
          <cell r="BW239">
            <v>18724.332367992207</v>
          </cell>
          <cell r="BX239">
            <v>18858.5863391155</v>
          </cell>
          <cell r="BZ239">
            <v>10507.974241264294</v>
          </cell>
          <cell r="CA239">
            <v>11376.155741486882</v>
          </cell>
          <cell r="CC239">
            <v>2098.3415296499657</v>
          </cell>
          <cell r="CD239">
            <v>2085.178137635095</v>
          </cell>
          <cell r="CF239">
            <v>258.31855952130252</v>
          </cell>
          <cell r="CG239">
            <v>1089.5034426699817</v>
          </cell>
          <cell r="CI239">
            <v>7393.4224449908916</v>
          </cell>
          <cell r="CJ239">
            <v>4504.6027650783726</v>
          </cell>
          <cell r="CL239">
            <v>0</v>
          </cell>
          <cell r="CM239">
            <v>0</v>
          </cell>
          <cell r="CX239">
            <v>7513.6731939212914</v>
          </cell>
          <cell r="CY239">
            <v>52225.224125565153</v>
          </cell>
        </row>
        <row r="240">
          <cell r="I240">
            <v>16665.768352416268</v>
          </cell>
          <cell r="J240">
            <v>16028.167386738634</v>
          </cell>
          <cell r="L240">
            <v>3399.8474647446478</v>
          </cell>
          <cell r="M240">
            <v>3443.6161088851022</v>
          </cell>
          <cell r="O240">
            <v>6639.7199999999975</v>
          </cell>
          <cell r="P240">
            <v>6641.6400000000021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>
            <v>12732.814155356185</v>
          </cell>
          <cell r="Y240">
            <v>11855.332032823479</v>
          </cell>
          <cell r="AA240">
            <v>0</v>
          </cell>
          <cell r="AB240">
            <v>0</v>
          </cell>
          <cell r="AD240">
            <v>19550.384519268766</v>
          </cell>
          <cell r="AE240">
            <v>18554.627169393862</v>
          </cell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P240">
            <v>13921.159350536653</v>
          </cell>
          <cell r="AQ240">
            <v>13282.502951327115</v>
          </cell>
          <cell r="AS240">
            <v>60237.709106676331</v>
          </cell>
          <cell r="AT240">
            <v>8828</v>
          </cell>
          <cell r="AV240">
            <v>2718.9857743579219</v>
          </cell>
          <cell r="AW240">
            <v>4726.6464957170501</v>
          </cell>
          <cell r="AY240">
            <v>4381.8986440394083</v>
          </cell>
          <cell r="AZ240">
            <v>0</v>
          </cell>
          <cell r="BB240">
            <v>2483.0060505546044</v>
          </cell>
          <cell r="BC240">
            <v>0</v>
          </cell>
          <cell r="BE240">
            <v>0</v>
          </cell>
          <cell r="BF240">
            <v>0</v>
          </cell>
          <cell r="BH240">
            <v>0</v>
          </cell>
          <cell r="BI240">
            <v>0</v>
          </cell>
          <cell r="BK240">
            <v>1996.0577553651658</v>
          </cell>
          <cell r="BL240">
            <v>0</v>
          </cell>
          <cell r="BN240">
            <v>0</v>
          </cell>
          <cell r="BO240">
            <v>0</v>
          </cell>
          <cell r="BT240">
            <v>47993.715734727703</v>
          </cell>
          <cell r="BU240">
            <v>65221.499334283842</v>
          </cell>
          <cell r="BW240">
            <v>25310.408174288445</v>
          </cell>
          <cell r="BX240">
            <v>24574.085379452667</v>
          </cell>
          <cell r="BZ240">
            <v>7086.6917854606791</v>
          </cell>
          <cell r="CA240">
            <v>12824.246862702148</v>
          </cell>
          <cell r="CC240">
            <v>588.2650769974673</v>
          </cell>
          <cell r="CD240">
            <v>584.57475122935091</v>
          </cell>
          <cell r="CF240">
            <v>72.418996221279116</v>
          </cell>
          <cell r="CG240">
            <v>553.29059442920754</v>
          </cell>
          <cell r="CI240">
            <v>4641.9462439436493</v>
          </cell>
          <cell r="CJ240">
            <v>3729.4269569034745</v>
          </cell>
          <cell r="CL240">
            <v>0</v>
          </cell>
          <cell r="CM240">
            <v>0</v>
          </cell>
          <cell r="CX240">
            <v>9222.9633780538134</v>
          </cell>
          <cell r="CY240">
            <v>56710.732771336887</v>
          </cell>
        </row>
        <row r="241">
          <cell r="I241">
            <v>16669.157679782616</v>
          </cell>
          <cell r="J241">
            <v>16033.170762679412</v>
          </cell>
          <cell r="L241">
            <v>3400.4402470099662</v>
          </cell>
          <cell r="M241">
            <v>3444.0415670181169</v>
          </cell>
          <cell r="O241">
            <v>6855.6000000000013</v>
          </cell>
          <cell r="P241">
            <v>6856.6800000000012</v>
          </cell>
          <cell r="R241">
            <v>0</v>
          </cell>
          <cell r="S241">
            <v>0</v>
          </cell>
          <cell r="U241">
            <v>1294.4711018415646</v>
          </cell>
          <cell r="V241">
            <v>907.00118901907285</v>
          </cell>
          <cell r="X241">
            <v>12740.737128070783</v>
          </cell>
          <cell r="Y241">
            <v>11863.980675841914</v>
          </cell>
          <cell r="AA241">
            <v>0</v>
          </cell>
          <cell r="AB241">
            <v>0</v>
          </cell>
          <cell r="AD241">
            <v>19573.901592701386</v>
          </cell>
          <cell r="AE241">
            <v>18576.946450594056</v>
          </cell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P241">
            <v>14205.264643404744</v>
          </cell>
          <cell r="AQ241">
            <v>13494.96028566048</v>
          </cell>
          <cell r="AS241">
            <v>68701.142956935088</v>
          </cell>
          <cell r="AT241">
            <v>108517.40517930624</v>
          </cell>
          <cell r="AV241">
            <v>2719.7205850661035</v>
          </cell>
          <cell r="AW241">
            <v>0</v>
          </cell>
          <cell r="AY241">
            <v>4382.8307950745648</v>
          </cell>
          <cell r="AZ241">
            <v>1508</v>
          </cell>
          <cell r="BB241">
            <v>2466.0344534120486</v>
          </cell>
          <cell r="BC241">
            <v>0</v>
          </cell>
          <cell r="BE241">
            <v>0</v>
          </cell>
          <cell r="BF241">
            <v>0</v>
          </cell>
          <cell r="BH241">
            <v>1313.1883369600607</v>
          </cell>
          <cell r="BI241">
            <v>0</v>
          </cell>
          <cell r="BK241">
            <v>1997.2923467174544</v>
          </cell>
          <cell r="BL241">
            <v>0</v>
          </cell>
          <cell r="BN241">
            <v>0</v>
          </cell>
          <cell r="BO241">
            <v>0</v>
          </cell>
          <cell r="BT241">
            <v>47182.833221608562</v>
          </cell>
          <cell r="BU241">
            <v>59880.09700581104</v>
          </cell>
          <cell r="BW241">
            <v>25279.878155768656</v>
          </cell>
          <cell r="BX241">
            <v>24541.705602536698</v>
          </cell>
          <cell r="BZ241">
            <v>7598.3195864855434</v>
          </cell>
          <cell r="CA241">
            <v>12224.580698039932</v>
          </cell>
          <cell r="CC241">
            <v>588.2650769974673</v>
          </cell>
          <cell r="CD241">
            <v>584.57475122935091</v>
          </cell>
          <cell r="CF241">
            <v>72.418996221279116</v>
          </cell>
          <cell r="CG241">
            <v>0</v>
          </cell>
          <cell r="CI241">
            <v>5652.6926035120241</v>
          </cell>
          <cell r="CJ241">
            <v>3159.0782469469768</v>
          </cell>
          <cell r="CL241">
            <v>0</v>
          </cell>
          <cell r="CM241">
            <v>0</v>
          </cell>
          <cell r="CX241">
            <v>11686.092590916101</v>
          </cell>
          <cell r="CY241">
            <v>-34991.54689761989</v>
          </cell>
        </row>
        <row r="242">
          <cell r="I242">
            <v>11475.951943116366</v>
          </cell>
          <cell r="J242">
            <v>11090.3492878982</v>
          </cell>
          <cell r="L242">
            <v>2283.1352684857343</v>
          </cell>
          <cell r="M242">
            <v>2333.8748229194557</v>
          </cell>
          <cell r="O242">
            <v>4766.76</v>
          </cell>
          <cell r="P242">
            <v>4765.3200000000006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X242">
            <v>7432.3828375278399</v>
          </cell>
          <cell r="Y242">
            <v>6815.6349708283033</v>
          </cell>
          <cell r="AA242">
            <v>0</v>
          </cell>
          <cell r="AB242">
            <v>0</v>
          </cell>
          <cell r="AD242">
            <v>13720.844081844394</v>
          </cell>
          <cell r="AE242">
            <v>13022.002003954911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P242">
            <v>9943.6852503833234</v>
          </cell>
          <cell r="AQ242">
            <v>9590.5208397375118</v>
          </cell>
          <cell r="AS242">
            <v>41070.643391573009</v>
          </cell>
          <cell r="AT242">
            <v>12114.576717611302</v>
          </cell>
          <cell r="AV242">
            <v>1872.4864454471726</v>
          </cell>
          <cell r="AW242">
            <v>0</v>
          </cell>
          <cell r="AY242">
            <v>2942.5534028547149</v>
          </cell>
          <cell r="AZ242">
            <v>3509</v>
          </cell>
          <cell r="BB242">
            <v>1770.2885804307064</v>
          </cell>
          <cell r="BC242">
            <v>0</v>
          </cell>
          <cell r="BE242">
            <v>0</v>
          </cell>
          <cell r="BF242">
            <v>0</v>
          </cell>
          <cell r="BH242">
            <v>0</v>
          </cell>
          <cell r="BI242">
            <v>0</v>
          </cell>
          <cell r="BK242">
            <v>1125.4035227710551</v>
          </cell>
          <cell r="BL242">
            <v>1463</v>
          </cell>
          <cell r="BN242">
            <v>0</v>
          </cell>
          <cell r="BO242">
            <v>0</v>
          </cell>
          <cell r="BT242">
            <v>45716.526763614609</v>
          </cell>
          <cell r="BU242">
            <v>60508.653715687404</v>
          </cell>
          <cell r="BW242">
            <v>18489.026258935453</v>
          </cell>
          <cell r="BX242">
            <v>17946.786774228727</v>
          </cell>
          <cell r="BZ242">
            <v>6043.9367124109222</v>
          </cell>
          <cell r="CA242">
            <v>11303.534540048369</v>
          </cell>
          <cell r="CC242">
            <v>294.13253849873365</v>
          </cell>
          <cell r="CD242">
            <v>292.28737561467545</v>
          </cell>
          <cell r="CF242">
            <v>36.209498110639558</v>
          </cell>
          <cell r="CG242">
            <v>0</v>
          </cell>
          <cell r="CI242">
            <v>3930.6802872103494</v>
          </cell>
          <cell r="CJ242">
            <v>2320.5596617902766</v>
          </cell>
          <cell r="CL242">
            <v>0</v>
          </cell>
          <cell r="CM242">
            <v>0</v>
          </cell>
          <cell r="CX242">
            <v>10348.383860142028</v>
          </cell>
          <cell r="CY242">
            <v>29354.639147617068</v>
          </cell>
        </row>
        <row r="243">
          <cell r="I243">
            <v>21823.956786575414</v>
          </cell>
          <cell r="J243">
            <v>20961.841150989112</v>
          </cell>
          <cell r="L243">
            <v>4538.1596979672458</v>
          </cell>
          <cell r="M243">
            <v>4574.4947267266334</v>
          </cell>
          <cell r="O243">
            <v>8748.8399999999983</v>
          </cell>
          <cell r="P243">
            <v>8747.6400000000012</v>
          </cell>
          <cell r="R243">
            <v>0</v>
          </cell>
          <cell r="S243">
            <v>0</v>
          </cell>
          <cell r="U243">
            <v>2003.535255096368</v>
          </cell>
          <cell r="V243">
            <v>1403.8206245946485</v>
          </cell>
          <cell r="X243">
            <v>20188.383495777289</v>
          </cell>
          <cell r="Y243">
            <v>18838.633836138179</v>
          </cell>
          <cell r="AA243">
            <v>0</v>
          </cell>
          <cell r="AB243">
            <v>0</v>
          </cell>
          <cell r="AD243">
            <v>26752.167570644309</v>
          </cell>
          <cell r="AE243">
            <v>25379.629292847421</v>
          </cell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P243">
            <v>15199.633168443075</v>
          </cell>
          <cell r="AQ243">
            <v>14841.586905778986</v>
          </cell>
          <cell r="AS243">
            <v>92220.446755540339</v>
          </cell>
          <cell r="AT243">
            <v>19856.621250813638</v>
          </cell>
          <cell r="AV243">
            <v>3586.2517104456761</v>
          </cell>
          <cell r="AW243">
            <v>29837.4245853256</v>
          </cell>
          <cell r="AY243">
            <v>5849.096344318531</v>
          </cell>
          <cell r="AZ243">
            <v>1275</v>
          </cell>
          <cell r="BB243">
            <v>3405.6976121344578</v>
          </cell>
          <cell r="BC243">
            <v>0</v>
          </cell>
          <cell r="BE243">
            <v>0</v>
          </cell>
          <cell r="BF243">
            <v>0</v>
          </cell>
          <cell r="BH243">
            <v>2032.8706882486333</v>
          </cell>
          <cell r="BI243">
            <v>0</v>
          </cell>
          <cell r="BK243">
            <v>3130.1207916871576</v>
          </cell>
          <cell r="BL243">
            <v>617</v>
          </cell>
          <cell r="BN243">
            <v>0</v>
          </cell>
          <cell r="BO243">
            <v>0</v>
          </cell>
          <cell r="BT243">
            <v>60028.113653942593</v>
          </cell>
          <cell r="BU243">
            <v>81186.277120952247</v>
          </cell>
          <cell r="BW243">
            <v>32498.280943143789</v>
          </cell>
          <cell r="BX243">
            <v>31902.974307075445</v>
          </cell>
          <cell r="BZ243">
            <v>11387.194080187057</v>
          </cell>
          <cell r="CA243">
            <v>16619.304024767996</v>
          </cell>
          <cell r="CC243">
            <v>882.39761549620073</v>
          </cell>
          <cell r="CD243">
            <v>876.86212684402631</v>
          </cell>
          <cell r="CF243">
            <v>108.62849433191867</v>
          </cell>
          <cell r="CG243">
            <v>547.9634810966121</v>
          </cell>
          <cell r="CI243">
            <v>2882.4988772875895</v>
          </cell>
          <cell r="CJ243">
            <v>1469.2967686449301</v>
          </cell>
          <cell r="CL243">
            <v>0</v>
          </cell>
          <cell r="CM243">
            <v>0</v>
          </cell>
          <cell r="CX243">
            <v>14326.761750478894</v>
          </cell>
          <cell r="CY243">
            <v>60322.645756885453</v>
          </cell>
        </row>
        <row r="244">
          <cell r="I244">
            <v>10556.306878763235</v>
          </cell>
          <cell r="J244">
            <v>10200.443100897879</v>
          </cell>
          <cell r="L244">
            <v>2230.1697267134045</v>
          </cell>
          <cell r="M244">
            <v>2251.8155718918488</v>
          </cell>
          <cell r="O244">
            <v>4088.1599999999994</v>
          </cell>
          <cell r="P244">
            <v>4088.3999999999992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X244">
            <v>7044.0863737187074</v>
          </cell>
          <cell r="Y244">
            <v>6347.787153741353</v>
          </cell>
          <cell r="AA244">
            <v>0</v>
          </cell>
          <cell r="AB244">
            <v>0</v>
          </cell>
          <cell r="AD244">
            <v>11834.646517602099</v>
          </cell>
          <cell r="AE244">
            <v>11231.873910165197</v>
          </cell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P244">
            <v>4261.5793930214249</v>
          </cell>
          <cell r="AQ244">
            <v>8170.5520498701007</v>
          </cell>
          <cell r="AS244">
            <v>47306.824999313518</v>
          </cell>
          <cell r="AT244">
            <v>12893</v>
          </cell>
          <cell r="AV244">
            <v>1761.7417485155004</v>
          </cell>
          <cell r="AW244">
            <v>5042.0019601349413</v>
          </cell>
          <cell r="AY244">
            <v>2874.3209718152834</v>
          </cell>
          <cell r="AZ244">
            <v>1976</v>
          </cell>
          <cell r="BB244">
            <v>1510.7208812997071</v>
          </cell>
          <cell r="BC244">
            <v>0</v>
          </cell>
          <cell r="BE244">
            <v>0</v>
          </cell>
          <cell r="BF244">
            <v>0</v>
          </cell>
          <cell r="BH244">
            <v>0</v>
          </cell>
          <cell r="BI244">
            <v>0</v>
          </cell>
          <cell r="BK244">
            <v>1056.6837643250167</v>
          </cell>
          <cell r="BL244">
            <v>0</v>
          </cell>
          <cell r="BN244">
            <v>0</v>
          </cell>
          <cell r="BO244">
            <v>0</v>
          </cell>
          <cell r="BT244">
            <v>35552.557631170777</v>
          </cell>
          <cell r="BU244">
            <v>47025.500678796183</v>
          </cell>
          <cell r="BW244">
            <v>18477.662840629626</v>
          </cell>
          <cell r="BX244">
            <v>17981.832560973249</v>
          </cell>
          <cell r="BZ244">
            <v>4922.4696699727238</v>
          </cell>
          <cell r="CA244">
            <v>9169.0579292170096</v>
          </cell>
          <cell r="CC244">
            <v>588.2650769974673</v>
          </cell>
          <cell r="CD244">
            <v>584.57475122935091</v>
          </cell>
          <cell r="CF244">
            <v>72.418996221279116</v>
          </cell>
          <cell r="CG244">
            <v>0</v>
          </cell>
          <cell r="CI244">
            <v>9807.9831928486801</v>
          </cell>
          <cell r="CJ244">
            <v>10695.623333140713</v>
          </cell>
          <cell r="CL244">
            <v>0</v>
          </cell>
          <cell r="CM244">
            <v>0</v>
          </cell>
          <cell r="CX244">
            <v>3933.8416044858604</v>
          </cell>
          <cell r="CY244">
            <v>23479.604399930606</v>
          </cell>
        </row>
        <row r="245">
          <cell r="I245">
            <v>16697.379022998055</v>
          </cell>
          <cell r="J245">
            <v>15899.795603692506</v>
          </cell>
          <cell r="L245">
            <v>3404.2886753675061</v>
          </cell>
          <cell r="M245">
            <v>3382.5392984256096</v>
          </cell>
          <cell r="O245">
            <v>6925.3199999999988</v>
          </cell>
          <cell r="P245">
            <v>6925.44</v>
          </cell>
          <cell r="R245">
            <v>0</v>
          </cell>
          <cell r="S245">
            <v>0</v>
          </cell>
          <cell r="U245">
            <v>1321.0938583837451</v>
          </cell>
          <cell r="V245">
            <v>925.6552354111468</v>
          </cell>
          <cell r="X245">
            <v>12728.483352989218</v>
          </cell>
          <cell r="Y245">
            <v>12001.223346916224</v>
          </cell>
          <cell r="AA245">
            <v>0</v>
          </cell>
          <cell r="AB245">
            <v>0</v>
          </cell>
          <cell r="AD245">
            <v>19584.59117153439</v>
          </cell>
          <cell r="AE245">
            <v>18587.091578412328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P245">
            <v>14205.264643404744</v>
          </cell>
          <cell r="AQ245">
            <v>14188.8730497938</v>
          </cell>
          <cell r="AS245">
            <v>67767.605680559791</v>
          </cell>
          <cell r="AT245">
            <v>5423.7739008834169</v>
          </cell>
          <cell r="AV245">
            <v>2726.0289986663761</v>
          </cell>
          <cell r="AW245">
            <v>0</v>
          </cell>
          <cell r="AY245">
            <v>4387.842192329912</v>
          </cell>
          <cell r="AZ245">
            <v>2072</v>
          </cell>
          <cell r="BB245">
            <v>2515.8781281670199</v>
          </cell>
          <cell r="BC245">
            <v>4576</v>
          </cell>
          <cell r="BE245">
            <v>0</v>
          </cell>
          <cell r="BF245">
            <v>0</v>
          </cell>
          <cell r="BH245">
            <v>1340.0602642586261</v>
          </cell>
          <cell r="BI245">
            <v>0</v>
          </cell>
          <cell r="BK245">
            <v>2005.6681296940276</v>
          </cell>
          <cell r="BL245">
            <v>0</v>
          </cell>
          <cell r="BN245">
            <v>0</v>
          </cell>
          <cell r="BO245">
            <v>0</v>
          </cell>
          <cell r="BT245">
            <v>46901.221256499826</v>
          </cell>
          <cell r="BU245">
            <v>64230.805811922684</v>
          </cell>
          <cell r="BW245">
            <v>23530.503568926724</v>
          </cell>
          <cell r="BX245">
            <v>26121.210811111774</v>
          </cell>
          <cell r="BZ245">
            <v>8373.3111465369348</v>
          </cell>
          <cell r="CA245">
            <v>14158.706897667878</v>
          </cell>
          <cell r="CC245">
            <v>588.2650769974673</v>
          </cell>
          <cell r="CD245">
            <v>584.57475122935091</v>
          </cell>
          <cell r="CF245">
            <v>72.418996221279116</v>
          </cell>
          <cell r="CG245">
            <v>549.58309579295144</v>
          </cell>
          <cell r="CI245">
            <v>5371.9297258541419</v>
          </cell>
          <cell r="CJ245">
            <v>3286.921159723212</v>
          </cell>
          <cell r="CL245">
            <v>0</v>
          </cell>
          <cell r="CM245">
            <v>0</v>
          </cell>
          <cell r="CX245">
            <v>10338.365332732279</v>
          </cell>
          <cell r="CY245">
            <v>67377.916550820548</v>
          </cell>
        </row>
        <row r="246">
          <cell r="I246">
            <v>21846.394664144256</v>
          </cell>
          <cell r="J246">
            <v>20820.596378538135</v>
          </cell>
          <cell r="L246">
            <v>4541.414853915564</v>
          </cell>
          <cell r="M246">
            <v>4553.9097099045639</v>
          </cell>
          <cell r="O246">
            <v>9030.48</v>
          </cell>
          <cell r="P246">
            <v>9030.8399999999983</v>
          </cell>
          <cell r="R246">
            <v>0</v>
          </cell>
          <cell r="S246">
            <v>0</v>
          </cell>
          <cell r="U246">
            <v>2003.535255096368</v>
          </cell>
          <cell r="V246">
            <v>1403.8206245946485</v>
          </cell>
          <cell r="X246">
            <v>20668.593163651782</v>
          </cell>
          <cell r="Y246">
            <v>22141.224959408071</v>
          </cell>
          <cell r="AA246">
            <v>0</v>
          </cell>
          <cell r="AB246">
            <v>0</v>
          </cell>
          <cell r="AD246">
            <v>26557.617235883521</v>
          </cell>
          <cell r="AE246">
            <v>25204.961356827462</v>
          </cell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P246">
            <v>18040.686097124028</v>
          </cell>
          <cell r="AQ246">
            <v>17100.437979818278</v>
          </cell>
          <cell r="AS246">
            <v>77749.597419176484</v>
          </cell>
          <cell r="AT246">
            <v>68105.354788433513</v>
          </cell>
          <cell r="AV246">
            <v>3591.3880761832247</v>
          </cell>
          <cell r="AW246">
            <v>0</v>
          </cell>
          <cell r="AY246">
            <v>5853.175590538719</v>
          </cell>
          <cell r="AZ246">
            <v>858</v>
          </cell>
          <cell r="BB246">
            <v>3411.6345498281385</v>
          </cell>
          <cell r="BC246">
            <v>0</v>
          </cell>
          <cell r="BE246">
            <v>0</v>
          </cell>
          <cell r="BF246">
            <v>0</v>
          </cell>
          <cell r="BH246">
            <v>2032.8706882486333</v>
          </cell>
          <cell r="BI246">
            <v>1602</v>
          </cell>
          <cell r="BK246">
            <v>3257.9610079019617</v>
          </cell>
          <cell r="BL246">
            <v>4578.1014713253662</v>
          </cell>
          <cell r="BN246">
            <v>0</v>
          </cell>
          <cell r="BO246">
            <v>0</v>
          </cell>
          <cell r="BT246">
            <v>74307.641991793163</v>
          </cell>
          <cell r="BU246">
            <v>89635.779301200193</v>
          </cell>
          <cell r="BW246">
            <v>35037.784306407884</v>
          </cell>
          <cell r="BX246">
            <v>39718.491688157497</v>
          </cell>
          <cell r="BZ246">
            <v>12418.892147486282</v>
          </cell>
          <cell r="CA246">
            <v>21588.736515326957</v>
          </cell>
          <cell r="CC246">
            <v>3553.7093301416985</v>
          </cell>
          <cell r="CD246">
            <v>3531.4160721765097</v>
          </cell>
          <cell r="CF246">
            <v>437.4831561727471</v>
          </cell>
          <cell r="CG246">
            <v>0</v>
          </cell>
          <cell r="CI246">
            <v>18549.067450597406</v>
          </cell>
          <cell r="CJ246">
            <v>18767.893263459639</v>
          </cell>
          <cell r="CL246">
            <v>0</v>
          </cell>
          <cell r="CM246">
            <v>0</v>
          </cell>
          <cell r="CX246">
            <v>16429.027618849832</v>
          </cell>
          <cell r="CY246">
            <v>9527.0630689950267</v>
          </cell>
        </row>
        <row r="247">
          <cell r="I247">
            <v>12505.585950830615</v>
          </cell>
          <cell r="J247">
            <v>11885.863167676531</v>
          </cell>
          <cell r="L247">
            <v>2282.542486220415</v>
          </cell>
          <cell r="M247">
            <v>2267.96246397698</v>
          </cell>
          <cell r="O247">
            <v>4647.84</v>
          </cell>
          <cell r="P247">
            <v>4648.3200000000006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X247">
            <v>7340.2341870411219</v>
          </cell>
          <cell r="Y247">
            <v>6788.4582452735776</v>
          </cell>
          <cell r="AA247">
            <v>0</v>
          </cell>
          <cell r="AB247">
            <v>0</v>
          </cell>
          <cell r="AD247">
            <v>13560.457641033912</v>
          </cell>
          <cell r="AE247">
            <v>12895.756033384334</v>
          </cell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P247">
            <v>8523.1587860428499</v>
          </cell>
          <cell r="AQ247">
            <v>8368.0675457271645</v>
          </cell>
          <cell r="AS247">
            <v>47054.131836328685</v>
          </cell>
          <cell r="AT247">
            <v>104432</v>
          </cell>
          <cell r="AV247">
            <v>2196.5301685076433</v>
          </cell>
          <cell r="AW247">
            <v>0</v>
          </cell>
          <cell r="AY247">
            <v>2941.9120062973689</v>
          </cell>
          <cell r="AZ247">
            <v>1741</v>
          </cell>
          <cell r="BB247">
            <v>1847.4865521523907</v>
          </cell>
          <cell r="BC247">
            <v>3769</v>
          </cell>
          <cell r="BE247">
            <v>0</v>
          </cell>
          <cell r="BF247">
            <v>0</v>
          </cell>
          <cell r="BH247">
            <v>0</v>
          </cell>
          <cell r="BI247">
            <v>0</v>
          </cell>
          <cell r="BK247">
            <v>1203.324112177607</v>
          </cell>
          <cell r="BL247">
            <v>3183</v>
          </cell>
          <cell r="BN247">
            <v>0</v>
          </cell>
          <cell r="BO247">
            <v>0</v>
          </cell>
          <cell r="BT247">
            <v>16091.088439180307</v>
          </cell>
          <cell r="BU247">
            <v>26533.488509176983</v>
          </cell>
          <cell r="BW247">
            <v>21193.547509350985</v>
          </cell>
          <cell r="BX247">
            <v>23562.552553111429</v>
          </cell>
          <cell r="BZ247">
            <v>6114.9203019381794</v>
          </cell>
          <cell r="CA247">
            <v>7322.8619390987715</v>
          </cell>
          <cell r="CC247">
            <v>1939.2158263221502</v>
          </cell>
          <cell r="CD247">
            <v>1927.0506674275553</v>
          </cell>
          <cell r="CF247">
            <v>238.7292210434465</v>
          </cell>
          <cell r="CG247">
            <v>0</v>
          </cell>
          <cell r="CI247">
            <v>5690.1276538664097</v>
          </cell>
          <cell r="CJ247">
            <v>6224.3000245571347</v>
          </cell>
          <cell r="CL247">
            <v>0</v>
          </cell>
          <cell r="CM247">
            <v>0</v>
          </cell>
          <cell r="CX247">
            <v>9671.0007859991019</v>
          </cell>
          <cell r="CY247">
            <v>-74543.61737929254</v>
          </cell>
        </row>
        <row r="248">
          <cell r="I248">
            <v>12278.505592711197</v>
          </cell>
          <cell r="J248">
            <v>11669.94970213648</v>
          </cell>
          <cell r="L248">
            <v>2282.542486220415</v>
          </cell>
          <cell r="M248">
            <v>2267.96246397698</v>
          </cell>
          <cell r="O248">
            <v>4634.28</v>
          </cell>
          <cell r="P248">
            <v>4634.04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X248">
            <v>7342.878448528375</v>
          </cell>
          <cell r="Y248">
            <v>6809.1006603103779</v>
          </cell>
          <cell r="AA248">
            <v>0</v>
          </cell>
          <cell r="AB248">
            <v>0</v>
          </cell>
          <cell r="AD248">
            <v>13534.289552050694</v>
          </cell>
          <cell r="AE248">
            <v>12854.28275086324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P248">
            <v>8097.0008467407069</v>
          </cell>
          <cell r="AQ248">
            <v>7730.9190536899259</v>
          </cell>
          <cell r="AS248">
            <v>42987.131350440148</v>
          </cell>
          <cell r="AT248">
            <v>4013.5573774764557</v>
          </cell>
          <cell r="AV248">
            <v>2183.3875509932777</v>
          </cell>
          <cell r="AW248">
            <v>0</v>
          </cell>
          <cell r="AY248">
            <v>2941.9120062973689</v>
          </cell>
          <cell r="AZ248">
            <v>5336</v>
          </cell>
          <cell r="BB248">
            <v>1862.332916412691</v>
          </cell>
          <cell r="BC248">
            <v>5126.5482284402133</v>
          </cell>
          <cell r="BE248">
            <v>0</v>
          </cell>
          <cell r="BF248">
            <v>0</v>
          </cell>
          <cell r="BH248">
            <v>0</v>
          </cell>
          <cell r="BI248">
            <v>0</v>
          </cell>
          <cell r="BK248">
            <v>1203.7497185719883</v>
          </cell>
          <cell r="BL248">
            <v>0</v>
          </cell>
          <cell r="BN248">
            <v>0</v>
          </cell>
          <cell r="BO248">
            <v>0</v>
          </cell>
          <cell r="BT248">
            <v>29743.926898308364</v>
          </cell>
          <cell r="BU248">
            <v>36653.202976237779</v>
          </cell>
          <cell r="BW248">
            <v>20933.820931264683</v>
          </cell>
          <cell r="BX248">
            <v>23259.302512366667</v>
          </cell>
          <cell r="BZ248">
            <v>6114.9203019381794</v>
          </cell>
          <cell r="CA248">
            <v>9598.1305189389204</v>
          </cell>
          <cell r="CC248">
            <v>1882.4482463918946</v>
          </cell>
          <cell r="CD248">
            <v>1870.6392039339235</v>
          </cell>
          <cell r="CF248">
            <v>231.74078790809313</v>
          </cell>
          <cell r="CG248">
            <v>0</v>
          </cell>
          <cell r="CI248">
            <v>6569.8513371944391</v>
          </cell>
          <cell r="CJ248">
            <v>4892.4271126273561</v>
          </cell>
          <cell r="CL248">
            <v>0</v>
          </cell>
          <cell r="CM248">
            <v>0</v>
          </cell>
          <cell r="CX248">
            <v>10023.577233632954</v>
          </cell>
          <cell r="CY248">
            <v>43753.964926802037</v>
          </cell>
        </row>
        <row r="249">
          <cell r="I249">
            <v>15934.913577688725</v>
          </cell>
          <cell r="J249">
            <v>15180.595603290409</v>
          </cell>
          <cell r="L249">
            <v>3375.5850540979595</v>
          </cell>
          <cell r="M249">
            <v>3354.0207141624824</v>
          </cell>
          <cell r="O249">
            <v>6606.3599999999979</v>
          </cell>
          <cell r="P249">
            <v>6604.7999999999984</v>
          </cell>
          <cell r="R249">
            <v>0</v>
          </cell>
          <cell r="S249">
            <v>0</v>
          </cell>
          <cell r="U249">
            <v>1294.4711018415646</v>
          </cell>
          <cell r="V249">
            <v>907.00118901907285</v>
          </cell>
          <cell r="X249">
            <v>13603.496107390622</v>
          </cell>
          <cell r="Y249">
            <v>12599.534724589419</v>
          </cell>
          <cell r="AA249">
            <v>0</v>
          </cell>
          <cell r="AB249">
            <v>0</v>
          </cell>
          <cell r="AD249">
            <v>19055.670810877058</v>
          </cell>
          <cell r="AE249">
            <v>18085.110653964239</v>
          </cell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P249">
            <v>7670.8429074385649</v>
          </cell>
          <cell r="AQ249">
            <v>12300.953703838513</v>
          </cell>
          <cell r="AS249">
            <v>61497.72835874989</v>
          </cell>
          <cell r="AT249">
            <v>7342.3135880406071</v>
          </cell>
          <cell r="AV249">
            <v>2649.9189143213425</v>
          </cell>
          <cell r="AW249">
            <v>0</v>
          </cell>
          <cell r="AY249">
            <v>4350.6088254260403</v>
          </cell>
          <cell r="AZ249">
            <v>0</v>
          </cell>
          <cell r="BB249">
            <v>2475.7371298877242</v>
          </cell>
          <cell r="BC249">
            <v>2702</v>
          </cell>
          <cell r="BE249">
            <v>0</v>
          </cell>
          <cell r="BF249">
            <v>0</v>
          </cell>
          <cell r="BH249">
            <v>1313.1883369600607</v>
          </cell>
          <cell r="BI249">
            <v>0</v>
          </cell>
          <cell r="BK249">
            <v>1948.3121048901876</v>
          </cell>
          <cell r="BL249">
            <v>0</v>
          </cell>
          <cell r="BN249">
            <v>0</v>
          </cell>
          <cell r="BO249">
            <v>0</v>
          </cell>
          <cell r="BT249">
            <v>48678.282120990196</v>
          </cell>
          <cell r="BU249">
            <v>55372.686094343902</v>
          </cell>
          <cell r="BW249">
            <v>25994.151267303718</v>
          </cell>
          <cell r="BX249">
            <v>28808.49817535359</v>
          </cell>
          <cell r="BZ249">
            <v>7665.2604647351318</v>
          </cell>
          <cell r="CA249">
            <v>14594.970412726543</v>
          </cell>
          <cell r="CC249">
            <v>2476.5959741593374</v>
          </cell>
          <cell r="CD249">
            <v>2461.0597026755672</v>
          </cell>
          <cell r="CF249">
            <v>304.88397409158512</v>
          </cell>
          <cell r="CG249">
            <v>0</v>
          </cell>
          <cell r="CI249">
            <v>9396.1976389504543</v>
          </cell>
          <cell r="CJ249">
            <v>7350.9814031910091</v>
          </cell>
          <cell r="CL249">
            <v>0</v>
          </cell>
          <cell r="CM249">
            <v>0</v>
          </cell>
          <cell r="CX249">
            <v>14221.554396239815</v>
          </cell>
          <cell r="CY249">
            <v>72574.768841765574</v>
          </cell>
        </row>
        <row r="250">
          <cell r="I250">
            <v>10772.29007987258</v>
          </cell>
          <cell r="J250">
            <v>10313.617080672275</v>
          </cell>
          <cell r="L250">
            <v>2189.6310461812272</v>
          </cell>
          <cell r="M250">
            <v>2175.6445726509787</v>
          </cell>
          <cell r="O250">
            <v>5245.32</v>
          </cell>
          <cell r="P250">
            <v>5244.6000000000013</v>
          </cell>
          <cell r="R250">
            <v>1324.44</v>
          </cell>
          <cell r="S250">
            <v>1324.92</v>
          </cell>
          <cell r="U250">
            <v>0</v>
          </cell>
          <cell r="V250">
            <v>0</v>
          </cell>
          <cell r="X250">
            <v>4543.479888157337</v>
          </cell>
          <cell r="Y250">
            <v>3938.7475494983141</v>
          </cell>
          <cell r="AA250">
            <v>0</v>
          </cell>
          <cell r="AB250">
            <v>0</v>
          </cell>
          <cell r="AD250">
            <v>15692.72931001209</v>
          </cell>
          <cell r="AE250">
            <v>14893.453442335893</v>
          </cell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P250">
            <v>2746.351164391584</v>
          </cell>
          <cell r="AQ250">
            <v>2623.9787998051438</v>
          </cell>
          <cell r="AS250">
            <v>30661.917425691656</v>
          </cell>
          <cell r="AT250">
            <v>14228</v>
          </cell>
          <cell r="AV250">
            <v>1828.4897654681938</v>
          </cell>
          <cell r="AW250">
            <v>0</v>
          </cell>
          <cell r="AY250">
            <v>2822.0543934331595</v>
          </cell>
          <cell r="AZ250">
            <v>0</v>
          </cell>
          <cell r="BB250">
            <v>2259.0427486137705</v>
          </cell>
          <cell r="BC250">
            <v>0</v>
          </cell>
          <cell r="BE250">
            <v>1355.1322550396417</v>
          </cell>
          <cell r="BF250">
            <v>0</v>
          </cell>
          <cell r="BH250">
            <v>0</v>
          </cell>
          <cell r="BI250">
            <v>0</v>
          </cell>
          <cell r="BK250">
            <v>1131.8305790749851</v>
          </cell>
          <cell r="BL250">
            <v>752</v>
          </cell>
          <cell r="BN250">
            <v>0</v>
          </cell>
          <cell r="BO250">
            <v>0</v>
          </cell>
          <cell r="BT250">
            <v>41210.333779840206</v>
          </cell>
          <cell r="BU250">
            <v>46170.525008688979</v>
          </cell>
          <cell r="BW250">
            <v>20187.280227339532</v>
          </cell>
          <cell r="BX250">
            <v>22795.95619663029</v>
          </cell>
          <cell r="BZ250">
            <v>5760.7164396901981</v>
          </cell>
          <cell r="CA250">
            <v>12155.99401117834</v>
          </cell>
          <cell r="CC250">
            <v>2451.8888409254432</v>
          </cell>
          <cell r="CD250">
            <v>2436.5075631239351</v>
          </cell>
          <cell r="CF250">
            <v>301.84237625029124</v>
          </cell>
          <cell r="CG250">
            <v>0</v>
          </cell>
          <cell r="CI250">
            <v>14318.906760551983</v>
          </cell>
          <cell r="CJ250">
            <v>14300.916165482249</v>
          </cell>
          <cell r="CL250">
            <v>0</v>
          </cell>
          <cell r="CM250">
            <v>0</v>
          </cell>
          <cell r="CX250">
            <v>10006.947503359363</v>
          </cell>
          <cell r="CY250">
            <v>26145.527531920365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D251">
            <v>0</v>
          </cell>
          <cell r="AE251">
            <v>0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P251">
            <v>568.21058573618984</v>
          </cell>
          <cell r="AQ251">
            <v>188.60749220062357</v>
          </cell>
          <cell r="AS251">
            <v>3903.4659180532931</v>
          </cell>
          <cell r="AT251">
            <v>2579</v>
          </cell>
          <cell r="AV251">
            <v>0</v>
          </cell>
          <cell r="AW251">
            <v>0</v>
          </cell>
          <cell r="AY251">
            <v>0</v>
          </cell>
          <cell r="AZ251">
            <v>0</v>
          </cell>
          <cell r="BB251">
            <v>0</v>
          </cell>
          <cell r="BC251">
            <v>0</v>
          </cell>
          <cell r="BE251">
            <v>0</v>
          </cell>
          <cell r="BF251">
            <v>0</v>
          </cell>
          <cell r="BH251">
            <v>0</v>
          </cell>
          <cell r="BI251">
            <v>0</v>
          </cell>
          <cell r="BK251">
            <v>0</v>
          </cell>
          <cell r="BL251">
            <v>0</v>
          </cell>
          <cell r="BN251">
            <v>0</v>
          </cell>
          <cell r="BO251">
            <v>0</v>
          </cell>
          <cell r="BT251">
            <v>765.66434413432</v>
          </cell>
          <cell r="BU251">
            <v>1669.0878833216457</v>
          </cell>
          <cell r="BW251">
            <v>0</v>
          </cell>
          <cell r="BX251">
            <v>8.901688809740893</v>
          </cell>
          <cell r="BZ251">
            <v>0</v>
          </cell>
          <cell r="CA251">
            <v>407.03716605546634</v>
          </cell>
          <cell r="CC251">
            <v>0</v>
          </cell>
          <cell r="CD251">
            <v>0</v>
          </cell>
          <cell r="CF251">
            <v>0</v>
          </cell>
          <cell r="CG251">
            <v>0</v>
          </cell>
          <cell r="CI251">
            <v>0</v>
          </cell>
          <cell r="CJ251">
            <v>0</v>
          </cell>
          <cell r="CL251">
            <v>0</v>
          </cell>
          <cell r="CM251">
            <v>0</v>
          </cell>
          <cell r="CX251">
            <v>282.91098249143624</v>
          </cell>
          <cell r="CY251">
            <v>744.55892353502827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P252">
            <v>331.45617501277735</v>
          </cell>
          <cell r="AQ252">
            <v>283.96212900631497</v>
          </cell>
          <cell r="AS252">
            <v>1812.8902300686079</v>
          </cell>
          <cell r="AT252">
            <v>0</v>
          </cell>
          <cell r="AV252">
            <v>0</v>
          </cell>
          <cell r="AW252">
            <v>0</v>
          </cell>
          <cell r="AY252">
            <v>0</v>
          </cell>
          <cell r="AZ252">
            <v>0</v>
          </cell>
          <cell r="BB252">
            <v>0</v>
          </cell>
          <cell r="BC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T252">
            <v>404.36648174593779</v>
          </cell>
          <cell r="BU252">
            <v>1079.9284987057799</v>
          </cell>
          <cell r="BW252">
            <v>0</v>
          </cell>
          <cell r="BX252">
            <v>4.715506653745992</v>
          </cell>
          <cell r="BZ252">
            <v>0</v>
          </cell>
          <cell r="CA252">
            <v>263.36276638879917</v>
          </cell>
          <cell r="CC252">
            <v>0</v>
          </cell>
          <cell r="CD252">
            <v>0</v>
          </cell>
          <cell r="CF252">
            <v>0</v>
          </cell>
          <cell r="CG252">
            <v>0</v>
          </cell>
          <cell r="CI252">
            <v>0</v>
          </cell>
          <cell r="CJ252">
            <v>0</v>
          </cell>
          <cell r="CL252">
            <v>0</v>
          </cell>
          <cell r="CM252">
            <v>0</v>
          </cell>
          <cell r="CX252">
            <v>45.824535807211873</v>
          </cell>
          <cell r="CY252">
            <v>1145.9173190944318</v>
          </cell>
        </row>
        <row r="253">
          <cell r="I253">
            <v>11568.956497100577</v>
          </cell>
          <cell r="J253">
            <v>9634.0549214521943</v>
          </cell>
          <cell r="L253">
            <v>1942.5627882281135</v>
          </cell>
          <cell r="M253">
            <v>1763.990784038119</v>
          </cell>
          <cell r="O253">
            <v>5849.1600000000008</v>
          </cell>
          <cell r="P253">
            <v>4597.7447521505374</v>
          </cell>
          <cell r="R253">
            <v>1259.5200000000002</v>
          </cell>
          <cell r="S253">
            <v>990.20152365591412</v>
          </cell>
          <cell r="U253">
            <v>780.05784393801957</v>
          </cell>
          <cell r="V253">
            <v>308.79054811580824</v>
          </cell>
          <cell r="X253">
            <v>8315.9107814878898</v>
          </cell>
          <cell r="Y253">
            <v>5902.1024849471241</v>
          </cell>
          <cell r="AA253">
            <v>0</v>
          </cell>
          <cell r="AB253">
            <v>0</v>
          </cell>
          <cell r="AD253">
            <v>17063.560899557302</v>
          </cell>
          <cell r="AE253">
            <v>16194.505214262354</v>
          </cell>
          <cell r="AJ253">
            <v>41478.570579091407</v>
          </cell>
          <cell r="AK253">
            <v>40152.252872445664</v>
          </cell>
          <cell r="AM253">
            <v>0</v>
          </cell>
          <cell r="AN253">
            <v>0</v>
          </cell>
          <cell r="AP253">
            <v>3219.8599858384096</v>
          </cell>
          <cell r="AQ253">
            <v>3028.5995710522925</v>
          </cell>
          <cell r="AS253">
            <v>74602.500155427479</v>
          </cell>
          <cell r="AT253">
            <v>114497.50286784041</v>
          </cell>
          <cell r="AV253">
            <v>961.69406720715915</v>
          </cell>
          <cell r="AW253">
            <v>950</v>
          </cell>
          <cell r="AY253">
            <v>1297.8229016329078</v>
          </cell>
          <cell r="AZ253">
            <v>0</v>
          </cell>
          <cell r="BB253">
            <v>1804.883735314449</v>
          </cell>
          <cell r="BC253">
            <v>0</v>
          </cell>
          <cell r="BE253">
            <v>656.49589741022794</v>
          </cell>
          <cell r="BF253">
            <v>0</v>
          </cell>
          <cell r="BH253">
            <v>395.76741189229665</v>
          </cell>
          <cell r="BI253">
            <v>0</v>
          </cell>
          <cell r="BK253">
            <v>1092.5591927780767</v>
          </cell>
          <cell r="BL253">
            <v>7260.4141765209279</v>
          </cell>
          <cell r="BN253">
            <v>564.96887113974969</v>
          </cell>
          <cell r="BO253">
            <v>0</v>
          </cell>
          <cell r="BT253">
            <v>44130.311091500247</v>
          </cell>
          <cell r="BU253">
            <v>39176.175457960802</v>
          </cell>
          <cell r="BW253">
            <v>48375.845955197088</v>
          </cell>
          <cell r="BX253">
            <v>31808.080645764196</v>
          </cell>
          <cell r="BZ253">
            <v>6491.9522610755403</v>
          </cell>
          <cell r="CA253">
            <v>3824.1261995553655</v>
          </cell>
          <cell r="CC253">
            <v>1474.1922829556524</v>
          </cell>
          <cell r="CD253">
            <v>1464.9443265807536</v>
          </cell>
          <cell r="CF253">
            <v>181.48200453052547</v>
          </cell>
          <cell r="CG253">
            <v>0</v>
          </cell>
          <cell r="CI253">
            <v>3855.810186501581</v>
          </cell>
          <cell r="CJ253">
            <v>7222.455778718645</v>
          </cell>
          <cell r="CL253">
            <v>12016.651163757348</v>
          </cell>
          <cell r="CM253">
            <v>6244.1788899660041</v>
          </cell>
          <cell r="CX253">
            <v>8676.6341357255042</v>
          </cell>
          <cell r="CY253">
            <v>1909.8047819674521</v>
          </cell>
        </row>
        <row r="254">
          <cell r="I254">
            <v>26973.089258327891</v>
          </cell>
          <cell r="J254">
            <v>26662.712314275283</v>
          </cell>
          <cell r="L254">
            <v>8124.4370392286701</v>
          </cell>
          <cell r="M254">
            <v>8145.6165425259323</v>
          </cell>
          <cell r="O254">
            <v>15837.719999999996</v>
          </cell>
          <cell r="P254">
            <v>15838.799999999997</v>
          </cell>
          <cell r="R254">
            <v>3603.1200000000008</v>
          </cell>
          <cell r="S254">
            <v>3605.3999999999992</v>
          </cell>
          <cell r="U254">
            <v>1170.2323882178873</v>
          </cell>
          <cell r="V254">
            <v>3204.9685200455406</v>
          </cell>
          <cell r="X254">
            <v>24412.139173749758</v>
          </cell>
          <cell r="Y254">
            <v>22099.295282755775</v>
          </cell>
          <cell r="AA254">
            <v>0</v>
          </cell>
          <cell r="AB254">
            <v>0</v>
          </cell>
          <cell r="AD254">
            <v>48477.753107484612</v>
          </cell>
          <cell r="AE254">
            <v>46008.64162199838</v>
          </cell>
          <cell r="AJ254">
            <v>89353.053207837758</v>
          </cell>
          <cell r="AK254">
            <v>88792.249224858504</v>
          </cell>
          <cell r="AM254">
            <v>9470.5329532255873</v>
          </cell>
          <cell r="AN254">
            <v>7843.5981646717</v>
          </cell>
          <cell r="AP254">
            <v>10227.790543251416</v>
          </cell>
          <cell r="AQ254">
            <v>9977.2051461227347</v>
          </cell>
          <cell r="AS254">
            <v>199378.74588414482</v>
          </cell>
          <cell r="AT254">
            <v>12018.583060685882</v>
          </cell>
          <cell r="AV254">
            <v>2132.0641849026724</v>
          </cell>
          <cell r="AW254">
            <v>4934.3555195575163</v>
          </cell>
          <cell r="AY254">
            <v>5373.5146163070895</v>
          </cell>
          <cell r="AZ254">
            <v>6340</v>
          </cell>
          <cell r="BB254">
            <v>4472.7789092458415</v>
          </cell>
          <cell r="BC254">
            <v>883</v>
          </cell>
          <cell r="BE254">
            <v>1728.7653925644852</v>
          </cell>
          <cell r="BF254">
            <v>0</v>
          </cell>
          <cell r="BH254">
            <v>593.65087276649558</v>
          </cell>
          <cell r="BI254">
            <v>0</v>
          </cell>
          <cell r="BK254">
            <v>3112.3210858872571</v>
          </cell>
          <cell r="BL254">
            <v>11708.433598105185</v>
          </cell>
          <cell r="BN254">
            <v>0</v>
          </cell>
          <cell r="BO254">
            <v>0</v>
          </cell>
          <cell r="BT254">
            <v>123661.47422939987</v>
          </cell>
          <cell r="BU254">
            <v>128935.36557401664</v>
          </cell>
          <cell r="BW254">
            <v>126423.20923852352</v>
          </cell>
          <cell r="BX254">
            <v>137627.99655022533</v>
          </cell>
          <cell r="BZ254">
            <v>11008.639493405839</v>
          </cell>
          <cell r="CA254">
            <v>29164.762197992794</v>
          </cell>
          <cell r="CC254">
            <v>3897.3737881236207</v>
          </cell>
          <cell r="CD254">
            <v>3872.924641844696</v>
          </cell>
          <cell r="CF254">
            <v>479.79033376521812</v>
          </cell>
          <cell r="CG254">
            <v>1369.9087027415303</v>
          </cell>
          <cell r="CI254">
            <v>15513.084866856838</v>
          </cell>
          <cell r="CJ254">
            <v>16132.352799150691</v>
          </cell>
          <cell r="CL254">
            <v>21899.504457314793</v>
          </cell>
          <cell r="CM254">
            <v>25860.409079096047</v>
          </cell>
          <cell r="CX254">
            <v>23072.327970561499</v>
          </cell>
          <cell r="CY254">
            <v>198630.17575119575</v>
          </cell>
        </row>
        <row r="255">
          <cell r="I255">
            <v>33788.062790497868</v>
          </cell>
          <cell r="J255">
            <v>33331.498604124448</v>
          </cell>
          <cell r="L255">
            <v>9478.1632316935211</v>
          </cell>
          <cell r="M255">
            <v>9423.2362345422025</v>
          </cell>
          <cell r="O255">
            <v>18192.719999999998</v>
          </cell>
          <cell r="P255">
            <v>18198.599999999995</v>
          </cell>
          <cell r="R255">
            <v>3952.9199999999996</v>
          </cell>
          <cell r="S255">
            <v>3951.6000000000008</v>
          </cell>
          <cell r="U255">
            <v>1365.1735479030635</v>
          </cell>
          <cell r="V255">
            <v>3707.5136948836371</v>
          </cell>
          <cell r="X255">
            <v>22764.789841589169</v>
          </cell>
          <cell r="Y255">
            <v>23287.028772340662</v>
          </cell>
          <cell r="AA255">
            <v>0</v>
          </cell>
          <cell r="AB255">
            <v>0</v>
          </cell>
          <cell r="AD255">
            <v>56519.309471981433</v>
          </cell>
          <cell r="AE255">
            <v>53640.618377127961</v>
          </cell>
          <cell r="AJ255">
            <v>169300.28262091972</v>
          </cell>
          <cell r="AK255">
            <v>168116.3906669438</v>
          </cell>
          <cell r="AM255">
            <v>4735.2664766127937</v>
          </cell>
          <cell r="AN255">
            <v>3004.2298965028635</v>
          </cell>
          <cell r="AP255">
            <v>11885.071418315309</v>
          </cell>
          <cell r="AQ255">
            <v>9633.8437337966134</v>
          </cell>
          <cell r="AS255">
            <v>243877.53709069974</v>
          </cell>
          <cell r="AT255">
            <v>378220.89661545795</v>
          </cell>
          <cell r="AV255">
            <v>2756.7173454829358</v>
          </cell>
          <cell r="AW255">
            <v>0</v>
          </cell>
          <cell r="AY255">
            <v>6268.8140207556853</v>
          </cell>
          <cell r="AZ255">
            <v>5464.0783749639049</v>
          </cell>
          <cell r="BB255">
            <v>4937.001410919047</v>
          </cell>
          <cell r="BC255">
            <v>543</v>
          </cell>
          <cell r="BE255">
            <v>1873.6597970360642</v>
          </cell>
          <cell r="BF255">
            <v>0</v>
          </cell>
          <cell r="BH255">
            <v>692.52015965609053</v>
          </cell>
          <cell r="BI255">
            <v>0</v>
          </cell>
          <cell r="BK255">
            <v>3254.6927853582233</v>
          </cell>
          <cell r="BL255">
            <v>810</v>
          </cell>
          <cell r="BN255">
            <v>0</v>
          </cell>
          <cell r="BO255">
            <v>0</v>
          </cell>
          <cell r="BT255">
            <v>169589.09082470727</v>
          </cell>
          <cell r="BU255">
            <v>171257.02598019209</v>
          </cell>
          <cell r="BW255">
            <v>115400.5409521067</v>
          </cell>
          <cell r="BX255">
            <v>120216.72828889079</v>
          </cell>
          <cell r="BZ255">
            <v>11451.803788537256</v>
          </cell>
          <cell r="CA255">
            <v>41453.401620989032</v>
          </cell>
          <cell r="CC255">
            <v>4500.816104107621</v>
          </cell>
          <cell r="CD255">
            <v>4472.5814216557646</v>
          </cell>
          <cell r="CF255">
            <v>554.0777400890064</v>
          </cell>
          <cell r="CG255">
            <v>0</v>
          </cell>
          <cell r="CI255">
            <v>19990.3168892412</v>
          </cell>
          <cell r="CJ255">
            <v>21018.404053124777</v>
          </cell>
          <cell r="CL255">
            <v>27645.784686712777</v>
          </cell>
          <cell r="CM255">
            <v>34040.922899822137</v>
          </cell>
          <cell r="CX255">
            <v>13033.500406093139</v>
          </cell>
          <cell r="CY255">
            <v>-177786.25908243051</v>
          </cell>
        </row>
        <row r="256">
          <cell r="I256">
            <v>14778.064138593274</v>
          </cell>
          <cell r="J256">
            <v>14564.298412724354</v>
          </cell>
          <cell r="L256">
            <v>2324.860493836351</v>
          </cell>
          <cell r="M256">
            <v>2345.7308836059074</v>
          </cell>
          <cell r="O256">
            <v>8412.6</v>
          </cell>
          <cell r="P256">
            <v>8411.8799999999992</v>
          </cell>
          <cell r="R256">
            <v>1944.12</v>
          </cell>
          <cell r="S256">
            <v>1945.1999999999996</v>
          </cell>
          <cell r="U256">
            <v>585.1157039650443</v>
          </cell>
          <cell r="V256">
            <v>1522.1461651787099</v>
          </cell>
          <cell r="X256">
            <v>11745.559742291814</v>
          </cell>
          <cell r="Y256">
            <v>12386.928487003597</v>
          </cell>
          <cell r="AA256">
            <v>0</v>
          </cell>
          <cell r="AB256">
            <v>0</v>
          </cell>
          <cell r="AD256">
            <v>24328.113157840275</v>
          </cell>
          <cell r="AE256">
            <v>23089.012338026125</v>
          </cell>
          <cell r="AJ256">
            <v>86413.599575368164</v>
          </cell>
          <cell r="AK256">
            <v>85871.362658236394</v>
          </cell>
          <cell r="AM256">
            <v>0</v>
          </cell>
          <cell r="AN256">
            <v>0</v>
          </cell>
          <cell r="AP256">
            <v>5113.8952716257081</v>
          </cell>
          <cell r="AQ256">
            <v>5044.0197800748801</v>
          </cell>
          <cell r="AS256">
            <v>105179.08388894559</v>
          </cell>
          <cell r="AT256">
            <v>147593.64351676503</v>
          </cell>
          <cell r="AV256">
            <v>1223.0524661633051</v>
          </cell>
          <cell r="AW256">
            <v>358</v>
          </cell>
          <cell r="AY256">
            <v>1567.0283868514341</v>
          </cell>
          <cell r="AZ256">
            <v>0</v>
          </cell>
          <cell r="BB256">
            <v>2062.7285304522206</v>
          </cell>
          <cell r="BC256">
            <v>0</v>
          </cell>
          <cell r="BE256">
            <v>1083.3718009514098</v>
          </cell>
          <cell r="BF256">
            <v>888</v>
          </cell>
          <cell r="BH256">
            <v>296.75274776379348</v>
          </cell>
          <cell r="BI256">
            <v>0</v>
          </cell>
          <cell r="BK256">
            <v>1514.400586237809</v>
          </cell>
          <cell r="BL256">
            <v>0</v>
          </cell>
          <cell r="BN256">
            <v>0</v>
          </cell>
          <cell r="BO256">
            <v>0</v>
          </cell>
          <cell r="BT256">
            <v>74256.576721583391</v>
          </cell>
          <cell r="BU256">
            <v>78605.706411382751</v>
          </cell>
          <cell r="BW256">
            <v>32818.851983453773</v>
          </cell>
          <cell r="BX256">
            <v>36244.508879093381</v>
          </cell>
          <cell r="BZ256">
            <v>11321.964743315744</v>
          </cell>
          <cell r="CA256">
            <v>20100.127027333612</v>
          </cell>
          <cell r="CC256">
            <v>2710.7254748043288</v>
          </cell>
          <cell r="CD256">
            <v>2693.7204536648496</v>
          </cell>
          <cell r="CF256">
            <v>333.70673458765413</v>
          </cell>
          <cell r="CG256">
            <v>0</v>
          </cell>
          <cell r="CI256">
            <v>17163.97058748519</v>
          </cell>
          <cell r="CJ256">
            <v>11447.661479509525</v>
          </cell>
          <cell r="CL256">
            <v>9545.9378403679912</v>
          </cell>
          <cell r="CM256">
            <v>11631.182805992965</v>
          </cell>
          <cell r="CX256">
            <v>7425.0233082188352</v>
          </cell>
          <cell r="CY256">
            <v>-50197.835158310467</v>
          </cell>
        </row>
        <row r="257">
          <cell r="I257">
            <v>15610.118296738723</v>
          </cell>
          <cell r="J257">
            <v>15454.705969218434</v>
          </cell>
          <cell r="L257">
            <v>2379.6009513973468</v>
          </cell>
          <cell r="M257">
            <v>2351.8675311358725</v>
          </cell>
          <cell r="O257">
            <v>9936.2400000000034</v>
          </cell>
          <cell r="P257">
            <v>9936.8399999999983</v>
          </cell>
          <cell r="R257">
            <v>1986.7199999999996</v>
          </cell>
          <cell r="S257">
            <v>1990.0799999999997</v>
          </cell>
          <cell r="U257">
            <v>780.05784393801957</v>
          </cell>
          <cell r="V257">
            <v>2029.2717075714145</v>
          </cell>
          <cell r="X257">
            <v>7814.7896704404629</v>
          </cell>
          <cell r="Y257">
            <v>6962.6387810469259</v>
          </cell>
          <cell r="AA257">
            <v>0</v>
          </cell>
          <cell r="AB257">
            <v>0</v>
          </cell>
          <cell r="AD257">
            <v>29141.459473083378</v>
          </cell>
          <cell r="AE257">
            <v>27657.201072548873</v>
          </cell>
          <cell r="AJ257">
            <v>57609.066383578764</v>
          </cell>
          <cell r="AK257">
            <v>57247.539527502915</v>
          </cell>
          <cell r="AM257">
            <v>0</v>
          </cell>
          <cell r="AN257">
            <v>0</v>
          </cell>
          <cell r="AP257">
            <v>4261.5793930214249</v>
          </cell>
          <cell r="AQ257">
            <v>3693.5278577429822</v>
          </cell>
          <cell r="AS257">
            <v>89239.403482151843</v>
          </cell>
          <cell r="AT257">
            <v>12944.145629098077</v>
          </cell>
          <cell r="AV257">
            <v>733.88638053240402</v>
          </cell>
          <cell r="AW257">
            <v>15225</v>
          </cell>
          <cell r="AY257">
            <v>947.60805588229516</v>
          </cell>
          <cell r="AZ257">
            <v>0</v>
          </cell>
          <cell r="BB257">
            <v>1586.2383804804301</v>
          </cell>
          <cell r="BC257">
            <v>33106.158005999998</v>
          </cell>
          <cell r="BE257">
            <v>548.66782316481806</v>
          </cell>
          <cell r="BF257">
            <v>0</v>
          </cell>
          <cell r="BH257">
            <v>237.46044713537802</v>
          </cell>
          <cell r="BI257">
            <v>0</v>
          </cell>
          <cell r="BK257">
            <v>535.50420489191015</v>
          </cell>
          <cell r="BL257">
            <v>699</v>
          </cell>
          <cell r="BN257">
            <v>0</v>
          </cell>
          <cell r="BO257">
            <v>0</v>
          </cell>
          <cell r="BT257">
            <v>79430.153865510511</v>
          </cell>
          <cell r="BU257">
            <v>89701.470731193825</v>
          </cell>
          <cell r="BW257">
            <v>49549.657838705061</v>
          </cell>
          <cell r="BX257">
            <v>54088.01995064388</v>
          </cell>
          <cell r="BZ257">
            <v>21527.313697726499</v>
          </cell>
          <cell r="CA257">
            <v>16623.934559553811</v>
          </cell>
          <cell r="CC257">
            <v>2367.0316035685587</v>
          </cell>
          <cell r="CD257">
            <v>2352.182655259101</v>
          </cell>
          <cell r="CF257">
            <v>291.39593604537168</v>
          </cell>
          <cell r="CG257">
            <v>0</v>
          </cell>
          <cell r="CI257">
            <v>22610.770414048096</v>
          </cell>
          <cell r="CJ257">
            <v>18242.6502651419</v>
          </cell>
          <cell r="CL257">
            <v>9545.9378403679912</v>
          </cell>
          <cell r="CM257">
            <v>17398.774999107492</v>
          </cell>
          <cell r="CX257">
            <v>3980.8056211088842</v>
          </cell>
          <cell r="CY257">
            <v>29139.5889086815</v>
          </cell>
        </row>
        <row r="258">
          <cell r="I258">
            <v>8636.6782406116563</v>
          </cell>
          <cell r="J258">
            <v>8484.8024501394339</v>
          </cell>
          <cell r="L258">
            <v>1387.1612886911716</v>
          </cell>
          <cell r="M258">
            <v>1370.996640880996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390.17454427986803</v>
          </cell>
          <cell r="V258">
            <v>1015.0206227860051</v>
          </cell>
          <cell r="X258">
            <v>3340.8380127039786</v>
          </cell>
          <cell r="Y258">
            <v>5366.1171891665799</v>
          </cell>
          <cell r="AA258">
            <v>0</v>
          </cell>
          <cell r="AB258">
            <v>0</v>
          </cell>
          <cell r="AD258">
            <v>12074.093083461528</v>
          </cell>
          <cell r="AE258">
            <v>11459.124773294485</v>
          </cell>
          <cell r="AJ258">
            <v>14978.432129831192</v>
          </cell>
          <cell r="AK258">
            <v>14646.313811173459</v>
          </cell>
          <cell r="AM258">
            <v>0</v>
          </cell>
          <cell r="AN258">
            <v>0</v>
          </cell>
          <cell r="AP258">
            <v>1704.6317572085691</v>
          </cell>
          <cell r="AQ258">
            <v>1546.4543649843658</v>
          </cell>
          <cell r="AS258">
            <v>36397.508308716904</v>
          </cell>
          <cell r="AT258">
            <v>8212</v>
          </cell>
          <cell r="AV258">
            <v>426.7357792822782</v>
          </cell>
          <cell r="AW258">
            <v>364</v>
          </cell>
          <cell r="AY258">
            <v>550.04534384095462</v>
          </cell>
          <cell r="AZ258">
            <v>0</v>
          </cell>
          <cell r="BB258">
            <v>0</v>
          </cell>
          <cell r="BC258">
            <v>0</v>
          </cell>
          <cell r="BE258">
            <v>0</v>
          </cell>
          <cell r="BF258">
            <v>0</v>
          </cell>
          <cell r="BH258">
            <v>118.73022356768901</v>
          </cell>
          <cell r="BI258">
            <v>0</v>
          </cell>
          <cell r="BK258">
            <v>286.28114353368375</v>
          </cell>
          <cell r="BL258">
            <v>0</v>
          </cell>
          <cell r="BN258">
            <v>0</v>
          </cell>
          <cell r="BO258">
            <v>0</v>
          </cell>
          <cell r="BT258">
            <v>38541.152555361652</v>
          </cell>
          <cell r="BU258">
            <v>48811.236601212855</v>
          </cell>
          <cell r="BW258">
            <v>23012.397748913445</v>
          </cell>
          <cell r="BX258">
            <v>24976.44598569236</v>
          </cell>
          <cell r="BZ258">
            <v>11919.224351334697</v>
          </cell>
          <cell r="CA258">
            <v>12270.397483484423</v>
          </cell>
          <cell r="CC258">
            <v>1045.4941080937483</v>
          </cell>
          <cell r="CD258">
            <v>1038.9354766223641</v>
          </cell>
          <cell r="CF258">
            <v>128.70666103426825</v>
          </cell>
          <cell r="CG258">
            <v>0</v>
          </cell>
          <cell r="CI258">
            <v>1909.1875680735982</v>
          </cell>
          <cell r="CJ258">
            <v>3471.8376952743638</v>
          </cell>
          <cell r="CL258">
            <v>4042.9854382734998</v>
          </cell>
          <cell r="CM258">
            <v>5000.6095583104316</v>
          </cell>
          <cell r="CX258">
            <v>4833.7700558228025</v>
          </cell>
          <cell r="CY258">
            <v>20261.168816373462</v>
          </cell>
        </row>
        <row r="259">
          <cell r="I259">
            <v>9015.1116576327877</v>
          </cell>
          <cell r="J259">
            <v>8854.2748961322395</v>
          </cell>
          <cell r="L259">
            <v>1829.8218157188096</v>
          </cell>
          <cell r="M259">
            <v>1808.4989819129862</v>
          </cell>
          <cell r="O259">
            <v>3916.6799999999989</v>
          </cell>
          <cell r="P259">
            <v>3078.6889720430117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X259">
            <v>6898.8732812150893</v>
          </cell>
          <cell r="Y259">
            <v>5528.918476109031</v>
          </cell>
          <cell r="AA259">
            <v>0</v>
          </cell>
          <cell r="AB259">
            <v>0</v>
          </cell>
          <cell r="AD259">
            <v>12172.864791878537</v>
          </cell>
          <cell r="AE259">
            <v>11542.720626517046</v>
          </cell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P259">
            <v>8949.3167253449919</v>
          </cell>
          <cell r="AQ259">
            <v>8296.7778285589575</v>
          </cell>
          <cell r="AS259">
            <v>34615.977280484891</v>
          </cell>
          <cell r="AT259">
            <v>27797</v>
          </cell>
          <cell r="AV259">
            <v>1368.7608611583591</v>
          </cell>
          <cell r="AW259">
            <v>443</v>
          </cell>
          <cell r="AY259">
            <v>2358.2381722663035</v>
          </cell>
          <cell r="AZ259">
            <v>0</v>
          </cell>
          <cell r="BB259">
            <v>2206.9999042560471</v>
          </cell>
          <cell r="BC259">
            <v>437</v>
          </cell>
          <cell r="BE259">
            <v>0</v>
          </cell>
          <cell r="BF259">
            <v>0</v>
          </cell>
          <cell r="BH259">
            <v>0</v>
          </cell>
          <cell r="BI259">
            <v>1067.3185707928915</v>
          </cell>
          <cell r="BK259">
            <v>954.67898494974099</v>
          </cell>
          <cell r="BL259">
            <v>0</v>
          </cell>
          <cell r="BN259">
            <v>0</v>
          </cell>
          <cell r="BO259">
            <v>0</v>
          </cell>
          <cell r="BT259">
            <v>16309.006492194856</v>
          </cell>
          <cell r="BU259">
            <v>28930.386032705937</v>
          </cell>
          <cell r="BW259">
            <v>19161.75430557549</v>
          </cell>
          <cell r="BX259">
            <v>19971.988639883944</v>
          </cell>
          <cell r="BZ259">
            <v>8678.9080165856631</v>
          </cell>
          <cell r="CA259">
            <v>8550.0629502729171</v>
          </cell>
          <cell r="CC259">
            <v>598.55971584492295</v>
          </cell>
          <cell r="CD259">
            <v>594.80480937586458</v>
          </cell>
          <cell r="CF259">
            <v>73.686328655151485</v>
          </cell>
          <cell r="CG259">
            <v>0</v>
          </cell>
          <cell r="CI259">
            <v>2938.6514528191651</v>
          </cell>
          <cell r="CJ259">
            <v>2606.0659743931801</v>
          </cell>
          <cell r="CL259">
            <v>0</v>
          </cell>
          <cell r="CM259">
            <v>0</v>
          </cell>
          <cell r="CX259">
            <v>3822.4922561030617</v>
          </cell>
          <cell r="CY259">
            <v>6870.9518895624078</v>
          </cell>
        </row>
        <row r="260">
          <cell r="I260">
            <v>7766.9514848117915</v>
          </cell>
          <cell r="J260">
            <v>7590.6815759906895</v>
          </cell>
          <cell r="L260">
            <v>1369.1140241682106</v>
          </cell>
          <cell r="M260">
            <v>1363.0707478266941</v>
          </cell>
          <cell r="O260">
            <v>2845.9199999999996</v>
          </cell>
          <cell r="P260">
            <v>2236.8991443548389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X260">
            <v>4611.3113992049221</v>
          </cell>
          <cell r="Y260">
            <v>3594.9405286461056</v>
          </cell>
          <cell r="AA260">
            <v>0</v>
          </cell>
          <cell r="AB260">
            <v>0</v>
          </cell>
          <cell r="AD260">
            <v>9820.3022823096817</v>
          </cell>
          <cell r="AE260">
            <v>9320.1260240900356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P260">
            <v>6108.2637966640423</v>
          </cell>
          <cell r="AQ260">
            <v>5819.6338550320115</v>
          </cell>
          <cell r="AS260">
            <v>24562.675663462083</v>
          </cell>
          <cell r="AT260">
            <v>210206.36856500214</v>
          </cell>
          <cell r="AV260">
            <v>1257.8367990749434</v>
          </cell>
          <cell r="AW260">
            <v>0</v>
          </cell>
          <cell r="AY260">
            <v>1764.8322982023592</v>
          </cell>
          <cell r="AZ260">
            <v>0</v>
          </cell>
          <cell r="BB260">
            <v>1290.6919343424536</v>
          </cell>
          <cell r="BC260">
            <v>0</v>
          </cell>
          <cell r="BE260">
            <v>0</v>
          </cell>
          <cell r="BF260">
            <v>0</v>
          </cell>
          <cell r="BH260">
            <v>0</v>
          </cell>
          <cell r="BI260">
            <v>0</v>
          </cell>
          <cell r="BK260">
            <v>619.15263517957965</v>
          </cell>
          <cell r="BL260">
            <v>0</v>
          </cell>
          <cell r="BN260">
            <v>0</v>
          </cell>
          <cell r="BO260">
            <v>0</v>
          </cell>
          <cell r="BT260">
            <v>11876.648990378237</v>
          </cell>
          <cell r="BU260">
            <v>23714.518887203831</v>
          </cell>
          <cell r="BW260">
            <v>11645.617480436065</v>
          </cell>
          <cell r="BX260">
            <v>15093.566865455099</v>
          </cell>
          <cell r="BZ260">
            <v>7720.0732091517102</v>
          </cell>
          <cell r="CA260">
            <v>7174.7060350102593</v>
          </cell>
          <cell r="CC260">
            <v>1648.9070108239005</v>
          </cell>
          <cell r="CD260">
            <v>1638.5630276958709</v>
          </cell>
          <cell r="CF260">
            <v>202.99044640824525</v>
          </cell>
          <cell r="CG260">
            <v>0</v>
          </cell>
          <cell r="CI260">
            <v>449.22060425261117</v>
          </cell>
          <cell r="CJ260">
            <v>305.71553180601353</v>
          </cell>
          <cell r="CL260">
            <v>0</v>
          </cell>
          <cell r="CM260">
            <v>0</v>
          </cell>
          <cell r="CX260">
            <v>2862.2279293549873</v>
          </cell>
          <cell r="CY260">
            <v>-228135.7089457362</v>
          </cell>
        </row>
        <row r="261">
          <cell r="I261">
            <v>10063.962877146287</v>
          </cell>
          <cell r="J261">
            <v>9809.0360876080576</v>
          </cell>
          <cell r="L261">
            <v>1813.2547913555015</v>
          </cell>
          <cell r="M261">
            <v>1814.1173884274695</v>
          </cell>
          <cell r="O261">
            <v>4135.2</v>
          </cell>
          <cell r="P261">
            <v>3250.2028639784944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X261">
            <v>6760.0709430514844</v>
          </cell>
          <cell r="Y261">
            <v>5474.1506205013575</v>
          </cell>
          <cell r="AA261">
            <v>0</v>
          </cell>
          <cell r="AB261">
            <v>0</v>
          </cell>
          <cell r="AD261">
            <v>11002.142118087277</v>
          </cell>
          <cell r="AE261">
            <v>10606.122426334185</v>
          </cell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P261">
            <v>8239.0534931747534</v>
          </cell>
          <cell r="AQ261">
            <v>7676.2087009899287</v>
          </cell>
          <cell r="AS261">
            <v>38857.356723759396</v>
          </cell>
          <cell r="AT261">
            <v>53945</v>
          </cell>
          <cell r="AV261">
            <v>1630.9894102159412</v>
          </cell>
          <cell r="AW261">
            <v>0</v>
          </cell>
          <cell r="AY261">
            <v>2337.261412497548</v>
          </cell>
          <cell r="AZ261">
            <v>0</v>
          </cell>
          <cell r="BB261">
            <v>1437.852631880578</v>
          </cell>
          <cell r="BC261">
            <v>2937</v>
          </cell>
          <cell r="BE261">
            <v>0</v>
          </cell>
          <cell r="BF261">
            <v>0</v>
          </cell>
          <cell r="BH261">
            <v>0</v>
          </cell>
          <cell r="BI261">
            <v>1059.0296082014213</v>
          </cell>
          <cell r="BK261">
            <v>933.73207326345789</v>
          </cell>
          <cell r="BL261">
            <v>0</v>
          </cell>
          <cell r="BN261">
            <v>0</v>
          </cell>
          <cell r="BO261">
            <v>0</v>
          </cell>
          <cell r="BT261">
            <v>13564.90365818369</v>
          </cell>
          <cell r="BU261">
            <v>21591.450949817587</v>
          </cell>
          <cell r="BW261">
            <v>14666.704783747287</v>
          </cell>
          <cell r="BX261">
            <v>15683.725238863022</v>
          </cell>
          <cell r="BZ261">
            <v>7302.6141372376469</v>
          </cell>
          <cell r="CA261">
            <v>5036.9820492573499</v>
          </cell>
          <cell r="CC261">
            <v>979.75548573928188</v>
          </cell>
          <cell r="CD261">
            <v>973.60924817248429</v>
          </cell>
          <cell r="CF261">
            <v>120.61383820654038</v>
          </cell>
          <cell r="CG261">
            <v>0</v>
          </cell>
          <cell r="CI261">
            <v>4024.2679130963093</v>
          </cell>
          <cell r="CJ261">
            <v>2375.6413809006358</v>
          </cell>
          <cell r="CL261">
            <v>0</v>
          </cell>
          <cell r="CM261">
            <v>0</v>
          </cell>
          <cell r="CX261">
            <v>1969.7564512284589</v>
          </cell>
          <cell r="CY261">
            <v>-15265.291875662402</v>
          </cell>
        </row>
        <row r="262">
          <cell r="I262">
            <v>12210.223783511528</v>
          </cell>
          <cell r="J262">
            <v>11942.481466860812</v>
          </cell>
          <cell r="L262">
            <v>2071.8644132300337</v>
          </cell>
          <cell r="M262">
            <v>2047.7215186537401</v>
          </cell>
          <cell r="O262">
            <v>5222.16</v>
          </cell>
          <cell r="P262">
            <v>4104.9498000000003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X262">
            <v>7629.2753774146186</v>
          </cell>
          <cell r="Y262">
            <v>6131.0913306574976</v>
          </cell>
          <cell r="AA262">
            <v>0</v>
          </cell>
          <cell r="AB262">
            <v>0</v>
          </cell>
          <cell r="AD262">
            <v>15255.739327318637</v>
          </cell>
          <cell r="AE262">
            <v>14478.720617124938</v>
          </cell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P262">
            <v>11364.2117147238</v>
          </cell>
          <cell r="AQ262">
            <v>10569.240000366823</v>
          </cell>
          <cell r="AS262">
            <v>57374.439324629515</v>
          </cell>
          <cell r="AT262">
            <v>42261.779450817987</v>
          </cell>
          <cell r="AV262">
            <v>1941.2189983180372</v>
          </cell>
          <cell r="AW262">
            <v>682</v>
          </cell>
          <cell r="AY262">
            <v>2670.2650752543364</v>
          </cell>
          <cell r="AZ262">
            <v>0</v>
          </cell>
          <cell r="BB262">
            <v>2675.2102145267922</v>
          </cell>
          <cell r="BC262">
            <v>0</v>
          </cell>
          <cell r="BE262">
            <v>0</v>
          </cell>
          <cell r="BF262">
            <v>0</v>
          </cell>
          <cell r="BH262">
            <v>0</v>
          </cell>
          <cell r="BI262">
            <v>1820.1866671432276</v>
          </cell>
          <cell r="BK262">
            <v>1077.4931120872545</v>
          </cell>
          <cell r="BL262">
            <v>0</v>
          </cell>
          <cell r="BN262">
            <v>0</v>
          </cell>
          <cell r="BO262">
            <v>0</v>
          </cell>
          <cell r="BT262">
            <v>29148.809471370809</v>
          </cell>
          <cell r="BU262">
            <v>41493.54494049443</v>
          </cell>
          <cell r="BW262">
            <v>17971.49413016417</v>
          </cell>
          <cell r="BX262">
            <v>19026.404670256215</v>
          </cell>
          <cell r="BZ262">
            <v>8708.1099946521008</v>
          </cell>
          <cell r="CA262">
            <v>9239.7561120779792</v>
          </cell>
          <cell r="CC262">
            <v>2077.7522519550539</v>
          </cell>
          <cell r="CD262">
            <v>2064.7180213420675</v>
          </cell>
          <cell r="CF262">
            <v>255.78389465355784</v>
          </cell>
          <cell r="CG262">
            <v>0</v>
          </cell>
          <cell r="CI262">
            <v>5727.5627042207934</v>
          </cell>
          <cell r="CJ262">
            <v>2378.713298125208</v>
          </cell>
          <cell r="CL262">
            <v>0</v>
          </cell>
          <cell r="CM262">
            <v>0</v>
          </cell>
          <cell r="CX262">
            <v>6527.9634543627217</v>
          </cell>
          <cell r="CY262">
            <v>24696.330527294896</v>
          </cell>
        </row>
        <row r="263">
          <cell r="I263">
            <v>12877.539021209617</v>
          </cell>
          <cell r="J263">
            <v>12570.738061840964</v>
          </cell>
          <cell r="L263">
            <v>2304.1425231841026</v>
          </cell>
          <cell r="M263">
            <v>2297.1201492002265</v>
          </cell>
          <cell r="O263">
            <v>5095.32</v>
          </cell>
          <cell r="P263">
            <v>4004.8737397849463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X263">
            <v>10078.499790986953</v>
          </cell>
          <cell r="Y263">
            <v>8214.3907592317519</v>
          </cell>
          <cell r="AA263">
            <v>0</v>
          </cell>
          <cell r="AB263">
            <v>0</v>
          </cell>
          <cell r="AD263">
            <v>15528.537379137058</v>
          </cell>
          <cell r="AE263">
            <v>14904.004375266895</v>
          </cell>
          <cell r="AJ263">
            <v>0</v>
          </cell>
          <cell r="AK263">
            <v>0</v>
          </cell>
          <cell r="AM263">
            <v>0</v>
          </cell>
          <cell r="AN263">
            <v>0</v>
          </cell>
          <cell r="AP263">
            <v>10653.94848255356</v>
          </cell>
          <cell r="AQ263">
            <v>9928.4383653715358</v>
          </cell>
          <cell r="AS263">
            <v>45062.90189396483</v>
          </cell>
          <cell r="AT263">
            <v>277978.9953672401</v>
          </cell>
          <cell r="AV263">
            <v>2079.8486131865361</v>
          </cell>
          <cell r="AW263">
            <v>0</v>
          </cell>
          <cell r="AY263">
            <v>2969.7644653917991</v>
          </cell>
          <cell r="AZ263">
            <v>0</v>
          </cell>
          <cell r="BB263">
            <v>2567.4502082701674</v>
          </cell>
          <cell r="BC263">
            <v>1748</v>
          </cell>
          <cell r="BE263">
            <v>0</v>
          </cell>
          <cell r="BF263">
            <v>0</v>
          </cell>
          <cell r="BH263">
            <v>0</v>
          </cell>
          <cell r="BI263">
            <v>2509</v>
          </cell>
          <cell r="BK263">
            <v>1377.6536715304339</v>
          </cell>
          <cell r="BL263">
            <v>0</v>
          </cell>
          <cell r="BN263">
            <v>0</v>
          </cell>
          <cell r="BO263">
            <v>0</v>
          </cell>
          <cell r="BT263">
            <v>24821.248539396747</v>
          </cell>
          <cell r="BU263">
            <v>38947.816910815673</v>
          </cell>
          <cell r="BW263">
            <v>21198.185837661687</v>
          </cell>
          <cell r="BX263">
            <v>28079.017008640432</v>
          </cell>
          <cell r="BZ263">
            <v>12252.311658071581</v>
          </cell>
          <cell r="CA263">
            <v>10882.329760607254</v>
          </cell>
          <cell r="CC263">
            <v>2728.3734271142516</v>
          </cell>
          <cell r="CD263">
            <v>2711.2576962017297</v>
          </cell>
          <cell r="CF263">
            <v>335.87930447429244</v>
          </cell>
          <cell r="CG263">
            <v>0</v>
          </cell>
          <cell r="CI263">
            <v>3425.3071074261607</v>
          </cell>
          <cell r="CJ263">
            <v>6319.9026292139706</v>
          </cell>
          <cell r="CL263">
            <v>0</v>
          </cell>
          <cell r="CM263">
            <v>0</v>
          </cell>
          <cell r="CX263">
            <v>4714.5756917282743</v>
          </cell>
          <cell r="CY263">
            <v>-290172.19178809854</v>
          </cell>
        </row>
        <row r="264">
          <cell r="I264">
            <v>5601.4898671624005</v>
          </cell>
          <cell r="J264">
            <v>5459.1488028813692</v>
          </cell>
          <cell r="L264">
            <v>1398.1079097716722</v>
          </cell>
          <cell r="M264">
            <v>1381.8172201712255</v>
          </cell>
          <cell r="O264">
            <v>1981.8000000000004</v>
          </cell>
          <cell r="P264">
            <v>1557.7876986559145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X264">
            <v>3933.4630306264939</v>
          </cell>
          <cell r="Y264">
            <v>3079.0414840936696</v>
          </cell>
          <cell r="AA264">
            <v>0</v>
          </cell>
          <cell r="AB264">
            <v>0</v>
          </cell>
          <cell r="AD264">
            <v>5841.2134575100181</v>
          </cell>
          <cell r="AE264">
            <v>5543.7036450165015</v>
          </cell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P264">
            <v>2841.0529286809501</v>
          </cell>
          <cell r="AQ264">
            <v>2231.2395229385211</v>
          </cell>
          <cell r="AS264">
            <v>16179.911866608325</v>
          </cell>
          <cell r="AT264">
            <v>8895.9370267106242</v>
          </cell>
          <cell r="AV264">
            <v>1001.7790737636645</v>
          </cell>
          <cell r="AW264">
            <v>0</v>
          </cell>
          <cell r="AY264">
            <v>1801.7749106284225</v>
          </cell>
          <cell r="AZ264">
            <v>0</v>
          </cell>
          <cell r="BB264">
            <v>963.89916963247276</v>
          </cell>
          <cell r="BC264">
            <v>0</v>
          </cell>
          <cell r="BE264">
            <v>0</v>
          </cell>
          <cell r="BF264">
            <v>0</v>
          </cell>
          <cell r="BH264">
            <v>0</v>
          </cell>
          <cell r="BI264">
            <v>1211.4153617716138</v>
          </cell>
          <cell r="BK264">
            <v>480.08864742659665</v>
          </cell>
          <cell r="BL264">
            <v>0</v>
          </cell>
          <cell r="BN264">
            <v>0</v>
          </cell>
          <cell r="BO264">
            <v>0</v>
          </cell>
          <cell r="BT264">
            <v>13403.862647075272</v>
          </cell>
          <cell r="BU264">
            <v>20904.42626455655</v>
          </cell>
          <cell r="BW264">
            <v>12343.006837403214</v>
          </cell>
          <cell r="BX264">
            <v>12808.073858116151</v>
          </cell>
          <cell r="BZ264">
            <v>6338.9280762704911</v>
          </cell>
          <cell r="CA264">
            <v>6903.914306454496</v>
          </cell>
          <cell r="CC264">
            <v>1014.7572578206309</v>
          </cell>
          <cell r="CD264">
            <v>1008.3914458706306</v>
          </cell>
          <cell r="CF264">
            <v>124.92276848170648</v>
          </cell>
          <cell r="CG264">
            <v>0</v>
          </cell>
          <cell r="CI264">
            <v>1197.9216113402967</v>
          </cell>
          <cell r="CJ264">
            <v>823.55625849913383</v>
          </cell>
          <cell r="CL264">
            <v>0</v>
          </cell>
          <cell r="CM264">
            <v>0</v>
          </cell>
          <cell r="CX264">
            <v>2307.8639277568473</v>
          </cell>
          <cell r="CY264">
            <v>7875.2965251163268</v>
          </cell>
        </row>
        <row r="265">
          <cell r="I265">
            <v>5702.541516653172</v>
          </cell>
          <cell r="J265">
            <v>5567.3825583989164</v>
          </cell>
          <cell r="L265">
            <v>1089.1946296639073</v>
          </cell>
          <cell r="M265">
            <v>1088.4006944640109</v>
          </cell>
          <cell r="O265">
            <v>2200.5600000000004</v>
          </cell>
          <cell r="P265">
            <v>1729.7989360215058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X265">
            <v>2759.0624222044357</v>
          </cell>
          <cell r="Y265">
            <v>2076.0054973280776</v>
          </cell>
          <cell r="AA265">
            <v>0</v>
          </cell>
          <cell r="AB265">
            <v>0</v>
          </cell>
          <cell r="AD265">
            <v>6432.560958552137</v>
          </cell>
          <cell r="AE265">
            <v>6130.6094133821198</v>
          </cell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P265">
            <v>4545.6846858895187</v>
          </cell>
          <cell r="AQ265">
            <v>4048.010000857455</v>
          </cell>
          <cell r="AS265">
            <v>15101.925537695899</v>
          </cell>
          <cell r="AT265">
            <v>2422</v>
          </cell>
          <cell r="AV265">
            <v>954.22272985364179</v>
          </cell>
          <cell r="AW265">
            <v>0</v>
          </cell>
          <cell r="AY265">
            <v>1403.9761763511399</v>
          </cell>
          <cell r="AZ265">
            <v>0</v>
          </cell>
          <cell r="BB265">
            <v>1036.2949495964508</v>
          </cell>
          <cell r="BC265">
            <v>0</v>
          </cell>
          <cell r="BE265">
            <v>0</v>
          </cell>
          <cell r="BF265">
            <v>0</v>
          </cell>
          <cell r="BH265">
            <v>0</v>
          </cell>
          <cell r="BI265">
            <v>0</v>
          </cell>
          <cell r="BK265">
            <v>328.51922665841101</v>
          </cell>
          <cell r="BL265">
            <v>0</v>
          </cell>
          <cell r="BN265">
            <v>0</v>
          </cell>
          <cell r="BO265">
            <v>0</v>
          </cell>
          <cell r="BT265">
            <v>21764.308933889086</v>
          </cell>
          <cell r="BU265">
            <v>29425.692218109405</v>
          </cell>
          <cell r="BW265">
            <v>7547.5755567315509</v>
          </cell>
          <cell r="BX265">
            <v>8219.0679318604743</v>
          </cell>
          <cell r="BZ265">
            <v>6799.4288014622862</v>
          </cell>
          <cell r="CA265">
            <v>6759.6117608640097</v>
          </cell>
          <cell r="CC265">
            <v>873.5736393412385</v>
          </cell>
          <cell r="CD265">
            <v>868.09350557558616</v>
          </cell>
          <cell r="CF265">
            <v>107.54220938859952</v>
          </cell>
          <cell r="CG265">
            <v>0</v>
          </cell>
          <cell r="CI265">
            <v>3294.2844311858166</v>
          </cell>
          <cell r="CJ265">
            <v>2069.0286763420495</v>
          </cell>
          <cell r="CL265">
            <v>0</v>
          </cell>
          <cell r="CM265">
            <v>0</v>
          </cell>
          <cell r="CX265">
            <v>2880.7923138592287</v>
          </cell>
          <cell r="CY265">
            <v>16725.858568155669</v>
          </cell>
        </row>
        <row r="266">
          <cell r="I266">
            <v>10007.541067425476</v>
          </cell>
          <cell r="J266">
            <v>9768.6648780162141</v>
          </cell>
          <cell r="L266">
            <v>1578.0127700748317</v>
          </cell>
          <cell r="M266">
            <v>1559.6256582377027</v>
          </cell>
          <cell r="O266">
            <v>3639.8400000000006</v>
          </cell>
          <cell r="P266">
            <v>2860.9137978494628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X266">
            <v>6555.9561916103348</v>
          </cell>
          <cell r="Y266">
            <v>5254.0852760512771</v>
          </cell>
          <cell r="AA266">
            <v>0</v>
          </cell>
          <cell r="AB266">
            <v>0</v>
          </cell>
          <cell r="AD266">
            <v>11092.789746591201</v>
          </cell>
          <cell r="AE266">
            <v>10527.802039577125</v>
          </cell>
          <cell r="AJ266">
            <v>0</v>
          </cell>
          <cell r="AK266">
            <v>0</v>
          </cell>
          <cell r="AM266">
            <v>0</v>
          </cell>
          <cell r="AN266">
            <v>0</v>
          </cell>
          <cell r="AP266">
            <v>7954.948200306656</v>
          </cell>
          <cell r="AQ266">
            <v>7325.6065217548294</v>
          </cell>
          <cell r="AS266">
            <v>32946.363004077532</v>
          </cell>
          <cell r="AT266">
            <v>3895</v>
          </cell>
          <cell r="AV266">
            <v>1627.9531490506042</v>
          </cell>
          <cell r="AW266">
            <v>0</v>
          </cell>
          <cell r="AY266">
            <v>2033.6832662837996</v>
          </cell>
          <cell r="AZ266">
            <v>0</v>
          </cell>
          <cell r="BB266">
            <v>1796.4142790237477</v>
          </cell>
          <cell r="BC266">
            <v>0</v>
          </cell>
          <cell r="BE266">
            <v>0</v>
          </cell>
          <cell r="BF266">
            <v>0</v>
          </cell>
          <cell r="BH266">
            <v>0</v>
          </cell>
          <cell r="BI266">
            <v>0</v>
          </cell>
          <cell r="BK266">
            <v>890.60525345086819</v>
          </cell>
          <cell r="BL266">
            <v>0</v>
          </cell>
          <cell r="BN266">
            <v>0</v>
          </cell>
          <cell r="BO266">
            <v>0</v>
          </cell>
          <cell r="BT266">
            <v>27509.540400612965</v>
          </cell>
          <cell r="BU266">
            <v>36614.993609975725</v>
          </cell>
          <cell r="BW266">
            <v>17628.323574693532</v>
          </cell>
          <cell r="BX266">
            <v>18461.542870729016</v>
          </cell>
          <cell r="BZ266">
            <v>8301.9705143155115</v>
          </cell>
          <cell r="CA266">
            <v>11041.882995790778</v>
          </cell>
          <cell r="CC266">
            <v>0</v>
          </cell>
          <cell r="CD266">
            <v>0</v>
          </cell>
          <cell r="CF266">
            <v>0</v>
          </cell>
          <cell r="CG266">
            <v>0</v>
          </cell>
          <cell r="CI266">
            <v>1647.1422155929083</v>
          </cell>
          <cell r="CJ266">
            <v>372.9578707352025</v>
          </cell>
          <cell r="CL266">
            <v>0</v>
          </cell>
          <cell r="CM266">
            <v>0</v>
          </cell>
          <cell r="CX266">
            <v>4040.4196402680536</v>
          </cell>
          <cell r="CY266">
            <v>37074.029377539206</v>
          </cell>
        </row>
        <row r="267">
          <cell r="I267">
            <v>6179.4671072140818</v>
          </cell>
          <cell r="J267">
            <v>6037.1393001338402</v>
          </cell>
          <cell r="L267">
            <v>1168.4921735006017</v>
          </cell>
          <cell r="M267">
            <v>1178.060151161184</v>
          </cell>
          <cell r="O267">
            <v>2579.0400000000004</v>
          </cell>
          <cell r="P267">
            <v>2027.2142107526884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>
            <v>3285.2964814571128</v>
          </cell>
          <cell r="Y267">
            <v>2566.6456172672792</v>
          </cell>
          <cell r="AA267">
            <v>0</v>
          </cell>
          <cell r="AB267">
            <v>0</v>
          </cell>
          <cell r="AD267">
            <v>7993.2394681716059</v>
          </cell>
          <cell r="AE267">
            <v>7586.5265825037341</v>
          </cell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P267">
            <v>4971.8426251916617</v>
          </cell>
          <cell r="AQ267">
            <v>4322.2139622708301</v>
          </cell>
          <cell r="AS267">
            <v>22128.324776385038</v>
          </cell>
          <cell r="AT267">
            <v>3814</v>
          </cell>
          <cell r="AV267">
            <v>1021.3550171155492</v>
          </cell>
          <cell r="AW267">
            <v>0</v>
          </cell>
          <cell r="AY267">
            <v>1506.0041246316141</v>
          </cell>
          <cell r="AZ267">
            <v>0</v>
          </cell>
          <cell r="BB267">
            <v>1324.6729239194649</v>
          </cell>
          <cell r="BC267">
            <v>0</v>
          </cell>
          <cell r="BE267">
            <v>0</v>
          </cell>
          <cell r="BF267">
            <v>0</v>
          </cell>
          <cell r="BH267">
            <v>0</v>
          </cell>
          <cell r="BI267">
            <v>0</v>
          </cell>
          <cell r="BK267">
            <v>419.40006742127804</v>
          </cell>
          <cell r="BL267">
            <v>0</v>
          </cell>
          <cell r="BN267">
            <v>0</v>
          </cell>
          <cell r="BO267">
            <v>0</v>
          </cell>
          <cell r="BT267">
            <v>15795.927283743817</v>
          </cell>
          <cell r="BU267">
            <v>25472.836582721604</v>
          </cell>
          <cell r="BW267">
            <v>9033.8853168233418</v>
          </cell>
          <cell r="BX267">
            <v>9187.9622610699971</v>
          </cell>
          <cell r="BZ267">
            <v>8724.2808397627796</v>
          </cell>
          <cell r="CA267">
            <v>5340.7367045178598</v>
          </cell>
          <cell r="CC267">
            <v>1494.1932955735665</v>
          </cell>
          <cell r="CD267">
            <v>1484.8198681225515</v>
          </cell>
          <cell r="CF267">
            <v>183.94425040204894</v>
          </cell>
          <cell r="CG267">
            <v>0</v>
          </cell>
          <cell r="CI267">
            <v>3743.5050354384275</v>
          </cell>
          <cell r="CJ267">
            <v>2740.494356509008</v>
          </cell>
          <cell r="CL267">
            <v>0</v>
          </cell>
          <cell r="CM267">
            <v>0</v>
          </cell>
          <cell r="CX267">
            <v>2247.5550558976392</v>
          </cell>
          <cell r="CY267">
            <v>26000.620483563311</v>
          </cell>
        </row>
        <row r="268">
          <cell r="I268">
            <v>0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X268">
            <v>0</v>
          </cell>
          <cell r="Y268">
            <v>0</v>
          </cell>
          <cell r="AA268">
            <v>0</v>
          </cell>
          <cell r="AB268">
            <v>0</v>
          </cell>
          <cell r="AD268">
            <v>0</v>
          </cell>
          <cell r="AE268">
            <v>0</v>
          </cell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P268">
            <v>852.31587860428453</v>
          </cell>
          <cell r="AQ268">
            <v>420.43106828160785</v>
          </cell>
          <cell r="AS268">
            <v>2712.737955636871</v>
          </cell>
          <cell r="AT268">
            <v>546</v>
          </cell>
          <cell r="AV268">
            <v>0</v>
          </cell>
          <cell r="AW268">
            <v>0</v>
          </cell>
          <cell r="AY268">
            <v>0</v>
          </cell>
          <cell r="AZ268">
            <v>0</v>
          </cell>
          <cell r="BB268">
            <v>0</v>
          </cell>
          <cell r="BC268">
            <v>0</v>
          </cell>
          <cell r="BE268">
            <v>0</v>
          </cell>
          <cell r="BF268">
            <v>0</v>
          </cell>
          <cell r="BH268">
            <v>0</v>
          </cell>
          <cell r="BI268">
            <v>0</v>
          </cell>
          <cell r="BK268">
            <v>0</v>
          </cell>
          <cell r="BL268">
            <v>0</v>
          </cell>
          <cell r="BN268">
            <v>0</v>
          </cell>
          <cell r="BO268">
            <v>0</v>
          </cell>
          <cell r="BT268">
            <v>598.17526885493771</v>
          </cell>
          <cell r="BU268">
            <v>2055.3676176210488</v>
          </cell>
          <cell r="BW268">
            <v>0</v>
          </cell>
          <cell r="BX268">
            <v>8.8855508677362867</v>
          </cell>
          <cell r="BZ268">
            <v>0</v>
          </cell>
          <cell r="CA268">
            <v>437.20756543236246</v>
          </cell>
          <cell r="CC268">
            <v>0</v>
          </cell>
          <cell r="CD268">
            <v>0</v>
          </cell>
          <cell r="CF268">
            <v>0</v>
          </cell>
          <cell r="CG268">
            <v>0</v>
          </cell>
          <cell r="CI268">
            <v>0</v>
          </cell>
          <cell r="CJ268">
            <v>0</v>
          </cell>
          <cell r="CL268">
            <v>0</v>
          </cell>
          <cell r="CM268">
            <v>0</v>
          </cell>
          <cell r="CX268">
            <v>125.00507628468699</v>
          </cell>
          <cell r="CY268">
            <v>959.40983735669329</v>
          </cell>
        </row>
        <row r="269"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X269">
            <v>496.71169409021098</v>
          </cell>
          <cell r="Y269">
            <v>304.69458772226835</v>
          </cell>
          <cell r="AA269">
            <v>0</v>
          </cell>
          <cell r="AB269">
            <v>0</v>
          </cell>
          <cell r="AD269">
            <v>1303.7010344739074</v>
          </cell>
          <cell r="AE269">
            <v>1237.299788716442</v>
          </cell>
          <cell r="AJ269">
            <v>0</v>
          </cell>
          <cell r="AK269">
            <v>0</v>
          </cell>
          <cell r="AM269">
            <v>0</v>
          </cell>
          <cell r="AN269">
            <v>0</v>
          </cell>
          <cell r="AP269">
            <v>0</v>
          </cell>
          <cell r="AQ269">
            <v>0</v>
          </cell>
          <cell r="AS269">
            <v>5080.8618426359717</v>
          </cell>
          <cell r="AT269">
            <v>39459</v>
          </cell>
          <cell r="AV269">
            <v>0</v>
          </cell>
          <cell r="AW269">
            <v>0</v>
          </cell>
          <cell r="AY269">
            <v>0</v>
          </cell>
          <cell r="AZ269">
            <v>0</v>
          </cell>
          <cell r="BB269">
            <v>0</v>
          </cell>
          <cell r="BC269">
            <v>0</v>
          </cell>
          <cell r="BE269">
            <v>0</v>
          </cell>
          <cell r="BF269">
            <v>0</v>
          </cell>
          <cell r="BH269">
            <v>0</v>
          </cell>
          <cell r="BI269">
            <v>0</v>
          </cell>
          <cell r="BK269">
            <v>138.35105058558756</v>
          </cell>
          <cell r="BL269">
            <v>0</v>
          </cell>
          <cell r="BN269">
            <v>0</v>
          </cell>
          <cell r="BO269">
            <v>0</v>
          </cell>
          <cell r="BT269">
            <v>0</v>
          </cell>
          <cell r="BU269">
            <v>0</v>
          </cell>
          <cell r="BW269">
            <v>233.77789945066627</v>
          </cell>
          <cell r="BX269">
            <v>9.8409170344089834</v>
          </cell>
          <cell r="BZ269">
            <v>0</v>
          </cell>
          <cell r="CA269">
            <v>0</v>
          </cell>
          <cell r="CC269">
            <v>0</v>
          </cell>
          <cell r="CD269">
            <v>0</v>
          </cell>
          <cell r="CF269">
            <v>0</v>
          </cell>
          <cell r="CG269">
            <v>0</v>
          </cell>
          <cell r="CI269">
            <v>93.587625885960676</v>
          </cell>
          <cell r="CJ269">
            <v>268.37108299772859</v>
          </cell>
          <cell r="CL269">
            <v>0</v>
          </cell>
          <cell r="CM269">
            <v>0</v>
          </cell>
          <cell r="CX269">
            <v>650.1706234532362</v>
          </cell>
          <cell r="CY269">
            <v>-40068.487651765034</v>
          </cell>
        </row>
        <row r="270">
          <cell r="I270">
            <v>10557.819091454143</v>
          </cell>
          <cell r="J270">
            <v>10042.249609723771</v>
          </cell>
          <cell r="L270">
            <v>1994.6359706671176</v>
          </cell>
          <cell r="M270">
            <v>1981.8946032757092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7091.9799450983883</v>
          </cell>
          <cell r="Y270">
            <v>6407.5812291719731</v>
          </cell>
          <cell r="AA270">
            <v>0</v>
          </cell>
          <cell r="AB270">
            <v>0</v>
          </cell>
          <cell r="AD270">
            <v>11810.872894277485</v>
          </cell>
          <cell r="AE270">
            <v>11209.311145897358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2841.0529286809501</v>
          </cell>
          <cell r="AQ270">
            <v>2719.7402455979723</v>
          </cell>
          <cell r="AS270">
            <v>37124.116289866673</v>
          </cell>
          <cell r="AT270">
            <v>50967</v>
          </cell>
          <cell r="AV270">
            <v>1762.1071081468469</v>
          </cell>
          <cell r="AW270">
            <v>2207.2848737934137</v>
          </cell>
          <cell r="AY270">
            <v>2570.742825601536</v>
          </cell>
          <cell r="AZ270">
            <v>2619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  <cell r="BK270">
            <v>1589.7287286988139</v>
          </cell>
          <cell r="BL270">
            <v>591</v>
          </cell>
          <cell r="BN270">
            <v>0</v>
          </cell>
          <cell r="BO270">
            <v>0</v>
          </cell>
          <cell r="BT270">
            <v>44146.139217553166</v>
          </cell>
          <cell r="BU270">
            <v>50923.222306000142</v>
          </cell>
          <cell r="BW270">
            <v>17884.226859669368</v>
          </cell>
          <cell r="BX270">
            <v>19700.068995363355</v>
          </cell>
          <cell r="BZ270">
            <v>8751.7712764509397</v>
          </cell>
          <cell r="CA270">
            <v>11070.999237861659</v>
          </cell>
          <cell r="CC270">
            <v>1723.6166756025787</v>
          </cell>
          <cell r="CD270">
            <v>1712.8040211019982</v>
          </cell>
          <cell r="CF270">
            <v>212.18765892834779</v>
          </cell>
          <cell r="CG270">
            <v>0</v>
          </cell>
          <cell r="CI270">
            <v>6682.1564882575904</v>
          </cell>
          <cell r="CJ270">
            <v>1918.0673340755066</v>
          </cell>
          <cell r="CL270">
            <v>0</v>
          </cell>
          <cell r="CM270">
            <v>0</v>
          </cell>
          <cell r="CX270">
            <v>2135.3052492552943</v>
          </cell>
          <cell r="CY270">
            <v>-18657.178322235442</v>
          </cell>
        </row>
        <row r="271">
          <cell r="I271">
            <v>16637.6481848074</v>
          </cell>
          <cell r="J271">
            <v>13784.096861678248</v>
          </cell>
          <cell r="L271">
            <v>2558.6575653181258</v>
          </cell>
          <cell r="M271">
            <v>2405.2598258413645</v>
          </cell>
          <cell r="O271">
            <v>6718.2000000000016</v>
          </cell>
          <cell r="P271">
            <v>5280.7351620967747</v>
          </cell>
          <cell r="R271">
            <v>1347.7199999999996</v>
          </cell>
          <cell r="S271">
            <v>1059.568266935484</v>
          </cell>
          <cell r="U271">
            <v>531.87068102458227</v>
          </cell>
          <cell r="V271">
            <v>247.50040361586088</v>
          </cell>
          <cell r="X271">
            <v>7241.8591629076373</v>
          </cell>
          <cell r="Y271">
            <v>5290.1788023461067</v>
          </cell>
          <cell r="AA271">
            <v>0</v>
          </cell>
          <cell r="AB271">
            <v>0</v>
          </cell>
          <cell r="AD271">
            <v>18799.976085191451</v>
          </cell>
          <cell r="AE271">
            <v>17877.223862859555</v>
          </cell>
          <cell r="AJ271">
            <v>42638.522353643682</v>
          </cell>
          <cell r="AK271">
            <v>42371.02976647552</v>
          </cell>
          <cell r="AM271">
            <v>0</v>
          </cell>
          <cell r="AN271">
            <v>0</v>
          </cell>
          <cell r="AP271">
            <v>3788.0705715745994</v>
          </cell>
          <cell r="AQ271">
            <v>3749.32010689457</v>
          </cell>
          <cell r="AS271">
            <v>61933.085589067923</v>
          </cell>
          <cell r="AT271">
            <v>8155</v>
          </cell>
          <cell r="AV271">
            <v>1286.4451247283018</v>
          </cell>
          <cell r="AW271">
            <v>1342.8907635597841</v>
          </cell>
          <cell r="AY271">
            <v>1494.394984156788</v>
          </cell>
          <cell r="AZ271">
            <v>3094</v>
          </cell>
          <cell r="BB271">
            <v>1360.6626241905344</v>
          </cell>
          <cell r="BC271">
            <v>0</v>
          </cell>
          <cell r="BE271">
            <v>772.12588337701925</v>
          </cell>
          <cell r="BF271">
            <v>0</v>
          </cell>
          <cell r="BH271">
            <v>269.88106553717734</v>
          </cell>
          <cell r="BI271">
            <v>0</v>
          </cell>
          <cell r="BK271">
            <v>799.38644007811627</v>
          </cell>
          <cell r="BL271">
            <v>4903.7579875076235</v>
          </cell>
          <cell r="BN271">
            <v>479.27278233266929</v>
          </cell>
          <cell r="BO271">
            <v>0</v>
          </cell>
          <cell r="BT271">
            <v>71741.615754021608</v>
          </cell>
          <cell r="BU271">
            <v>71208.279774834955</v>
          </cell>
          <cell r="BW271">
            <v>47604.688404427259</v>
          </cell>
          <cell r="BX271">
            <v>53235.48892131773</v>
          </cell>
          <cell r="BZ271">
            <v>4933.8837184174117</v>
          </cell>
          <cell r="CA271">
            <v>18365.048463892261</v>
          </cell>
          <cell r="CC271">
            <v>1405.9535340239463</v>
          </cell>
          <cell r="CD271">
            <v>1397.1336554381489</v>
          </cell>
          <cell r="CF271">
            <v>173.08140096885708</v>
          </cell>
          <cell r="CG271">
            <v>1648.7492873788544</v>
          </cell>
          <cell r="CI271">
            <v>16415.269580397504</v>
          </cell>
          <cell r="CJ271">
            <v>43006.048293344204</v>
          </cell>
          <cell r="CL271">
            <v>5877.3029056383302</v>
          </cell>
          <cell r="CM271">
            <v>6875.0288233151186</v>
          </cell>
          <cell r="CX271">
            <v>4522.6507250028626</v>
          </cell>
          <cell r="CY271">
            <v>18338.533164801403</v>
          </cell>
        </row>
        <row r="272">
          <cell r="I272">
            <v>16637.347627451596</v>
          </cell>
          <cell r="J272">
            <v>14069.007806662268</v>
          </cell>
          <cell r="L272">
            <v>2358.0366949383151</v>
          </cell>
          <cell r="M272">
            <v>2251.2693413187844</v>
          </cell>
          <cell r="O272">
            <v>7045.6800000000012</v>
          </cell>
          <cell r="P272">
            <v>5538.2878567204307</v>
          </cell>
          <cell r="R272">
            <v>1455.8399999999995</v>
          </cell>
          <cell r="S272">
            <v>1144.1297387096774</v>
          </cell>
          <cell r="U272">
            <v>833.30286687848127</v>
          </cell>
          <cell r="V272">
            <v>377.37127409024208</v>
          </cell>
          <cell r="X272">
            <v>7004.3397157717127</v>
          </cell>
          <cell r="Y272">
            <v>5077.1798878329173</v>
          </cell>
          <cell r="AA272">
            <v>0</v>
          </cell>
          <cell r="AB272">
            <v>0</v>
          </cell>
          <cell r="AD272">
            <v>20319.179028938845</v>
          </cell>
          <cell r="AE272">
            <v>19284.264762083978</v>
          </cell>
          <cell r="AJ272">
            <v>35725.605519273005</v>
          </cell>
          <cell r="AK272">
            <v>29622.205875759468</v>
          </cell>
          <cell r="AM272">
            <v>0</v>
          </cell>
          <cell r="AN272">
            <v>3875.0934287514465</v>
          </cell>
          <cell r="AP272">
            <v>3788.0705715745994</v>
          </cell>
          <cell r="AQ272">
            <v>3702.3324799199577</v>
          </cell>
          <cell r="AS272">
            <v>68793.323041119729</v>
          </cell>
          <cell r="AT272">
            <v>14346.41620470116</v>
          </cell>
          <cell r="AV272">
            <v>1029.1560997826414</v>
          </cell>
          <cell r="AW272">
            <v>4245.3894632361389</v>
          </cell>
          <cell r="AY272">
            <v>1111.4041540851915</v>
          </cell>
          <cell r="AZ272">
            <v>1220</v>
          </cell>
          <cell r="BB272">
            <v>1379.4653112763287</v>
          </cell>
          <cell r="BC272">
            <v>0</v>
          </cell>
          <cell r="BE272">
            <v>667.0073416075569</v>
          </cell>
          <cell r="BF272">
            <v>0</v>
          </cell>
          <cell r="BH272">
            <v>338.22757708625721</v>
          </cell>
          <cell r="BI272">
            <v>0</v>
          </cell>
          <cell r="BK272">
            <v>630.97134106334943</v>
          </cell>
          <cell r="BL272">
            <v>7223.0639787842392</v>
          </cell>
          <cell r="BN272">
            <v>473.28042335629448</v>
          </cell>
          <cell r="BO272">
            <v>0</v>
          </cell>
          <cell r="BT272">
            <v>63852.676023079752</v>
          </cell>
          <cell r="BU272">
            <v>73177.249499337981</v>
          </cell>
          <cell r="BW272">
            <v>41186.125528421479</v>
          </cell>
          <cell r="BX272">
            <v>46757.571178253616</v>
          </cell>
          <cell r="BZ272">
            <v>7530.6646228476266</v>
          </cell>
          <cell r="CA272">
            <v>18624.067384363792</v>
          </cell>
          <cell r="CC272">
            <v>1571.8442857372327</v>
          </cell>
          <cell r="CD272">
            <v>1561.9837352848256</v>
          </cell>
          <cell r="CF272">
            <v>193.50355790325776</v>
          </cell>
          <cell r="CG272">
            <v>0</v>
          </cell>
          <cell r="CI272">
            <v>4248.8782152226131</v>
          </cell>
          <cell r="CJ272">
            <v>2239.1265070430859</v>
          </cell>
          <cell r="CL272">
            <v>23808.692025388398</v>
          </cell>
          <cell r="CM272">
            <v>19635.106549658838</v>
          </cell>
          <cell r="CX272">
            <v>5419.8241126350185</v>
          </cell>
          <cell r="CY272">
            <v>51033.629656984616</v>
          </cell>
        </row>
        <row r="273">
          <cell r="I273">
            <v>6521.0759053359825</v>
          </cell>
          <cell r="J273">
            <v>5350.233706959044</v>
          </cell>
          <cell r="L273">
            <v>1435.4095696798076</v>
          </cell>
          <cell r="M273">
            <v>1291.8174441116339</v>
          </cell>
          <cell r="O273">
            <v>2220.7199999999998</v>
          </cell>
          <cell r="P273">
            <v>1745.5854895161292</v>
          </cell>
          <cell r="R273">
            <v>539.04000000000008</v>
          </cell>
          <cell r="S273">
            <v>423.63794166666668</v>
          </cell>
          <cell r="U273">
            <v>212.6898274279298</v>
          </cell>
          <cell r="V273">
            <v>71.853419991524319</v>
          </cell>
          <cell r="X273">
            <v>2565.6953314145953</v>
          </cell>
          <cell r="Y273">
            <v>1452.145201767564</v>
          </cell>
          <cell r="AA273">
            <v>0</v>
          </cell>
          <cell r="AB273">
            <v>0</v>
          </cell>
          <cell r="AD273">
            <v>6750.2552414691936</v>
          </cell>
          <cell r="AE273">
            <v>6406.4453146823453</v>
          </cell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P273">
            <v>568.21058573618984</v>
          </cell>
          <cell r="AQ273">
            <v>326.03827125248421</v>
          </cell>
          <cell r="AS273">
            <v>26167.94777580196</v>
          </cell>
          <cell r="AT273">
            <v>4442.8121278436947</v>
          </cell>
          <cell r="AV273">
            <v>1177.4874086718121</v>
          </cell>
          <cell r="AW273">
            <v>0</v>
          </cell>
          <cell r="AY273">
            <v>1714.7481482563896</v>
          </cell>
          <cell r="AZ273">
            <v>0</v>
          </cell>
          <cell r="BB273">
            <v>1046.4017712720649</v>
          </cell>
          <cell r="BC273">
            <v>0</v>
          </cell>
          <cell r="BE273">
            <v>639.2299292562808</v>
          </cell>
          <cell r="BF273">
            <v>0</v>
          </cell>
          <cell r="BH273">
            <v>215.84670153417849</v>
          </cell>
          <cell r="BI273">
            <v>0</v>
          </cell>
          <cell r="BK273">
            <v>553.11184355419323</v>
          </cell>
          <cell r="BL273">
            <v>1657.3338849372135</v>
          </cell>
          <cell r="BN273">
            <v>191.44566298922325</v>
          </cell>
          <cell r="BO273">
            <v>0</v>
          </cell>
          <cell r="BT273">
            <v>28102.468708286397</v>
          </cell>
          <cell r="BU273">
            <v>38137.655973655863</v>
          </cell>
          <cell r="BW273">
            <v>12134.695382117476</v>
          </cell>
          <cell r="BX273">
            <v>13555.867009663913</v>
          </cell>
          <cell r="BZ273">
            <v>12983.904522151081</v>
          </cell>
          <cell r="CA273">
            <v>7692.460232083311</v>
          </cell>
          <cell r="CC273">
            <v>941.2241231959473</v>
          </cell>
          <cell r="CD273">
            <v>935.31960196696173</v>
          </cell>
          <cell r="CF273">
            <v>115.87039395404656</v>
          </cell>
          <cell r="CG273">
            <v>0</v>
          </cell>
          <cell r="CI273">
            <v>3893.2452368559625</v>
          </cell>
          <cell r="CJ273">
            <v>478.74915596901735</v>
          </cell>
          <cell r="CL273">
            <v>0</v>
          </cell>
          <cell r="CM273">
            <v>0</v>
          </cell>
          <cell r="CX273">
            <v>1327.5311172471702</v>
          </cell>
          <cell r="CY273">
            <v>33394.854268719166</v>
          </cell>
        </row>
        <row r="274">
          <cell r="I274">
            <v>2908.6610907202726</v>
          </cell>
          <cell r="J274">
            <v>2380.8880309385595</v>
          </cell>
          <cell r="L274">
            <v>433.78300722091518</v>
          </cell>
          <cell r="M274">
            <v>436.82612218715803</v>
          </cell>
          <cell r="O274">
            <v>805.68</v>
          </cell>
          <cell r="P274">
            <v>633.33145483870965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X274">
            <v>1454.500092173831</v>
          </cell>
          <cell r="Y274">
            <v>957.38348119633315</v>
          </cell>
          <cell r="AA274">
            <v>0</v>
          </cell>
          <cell r="AB274">
            <v>0</v>
          </cell>
          <cell r="AD274">
            <v>2698.4772806050601</v>
          </cell>
          <cell r="AE274">
            <v>2561.0360664445607</v>
          </cell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P274">
            <v>1562.579110774522</v>
          </cell>
          <cell r="AQ274">
            <v>1328.2838501756241</v>
          </cell>
          <cell r="AS274">
            <v>5248.5597123362022</v>
          </cell>
          <cell r="AT274">
            <v>0</v>
          </cell>
          <cell r="AV274">
            <v>550.79826680800022</v>
          </cell>
          <cell r="AW274">
            <v>0</v>
          </cell>
          <cell r="AY274">
            <v>558.96847012165529</v>
          </cell>
          <cell r="AZ274">
            <v>0</v>
          </cell>
          <cell r="BB274">
            <v>407.48074181264582</v>
          </cell>
          <cell r="BC274">
            <v>664</v>
          </cell>
          <cell r="BE274">
            <v>0</v>
          </cell>
          <cell r="BF274">
            <v>0</v>
          </cell>
          <cell r="BH274">
            <v>0</v>
          </cell>
          <cell r="BI274">
            <v>305.83164913890846</v>
          </cell>
          <cell r="BK274">
            <v>267.11038291810968</v>
          </cell>
          <cell r="BL274">
            <v>0</v>
          </cell>
          <cell r="BN274">
            <v>91.722285835089508</v>
          </cell>
          <cell r="BO274">
            <v>0</v>
          </cell>
          <cell r="BT274">
            <v>9102.5818921891332</v>
          </cell>
          <cell r="BU274">
            <v>14943.757456585126</v>
          </cell>
          <cell r="BW274">
            <v>4400.477160667554</v>
          </cell>
          <cell r="BX274">
            <v>5493.7140886308116</v>
          </cell>
          <cell r="BZ274">
            <v>3895.1713566453241</v>
          </cell>
          <cell r="CA274">
            <v>2928.4946588739704</v>
          </cell>
          <cell r="CC274">
            <v>0</v>
          </cell>
          <cell r="CD274">
            <v>0</v>
          </cell>
          <cell r="CF274">
            <v>0</v>
          </cell>
          <cell r="CG274">
            <v>0</v>
          </cell>
          <cell r="CI274">
            <v>505.37317978418747</v>
          </cell>
          <cell r="CJ274">
            <v>629.09598513228241</v>
          </cell>
          <cell r="CL274">
            <v>0</v>
          </cell>
          <cell r="CM274">
            <v>0</v>
          </cell>
          <cell r="CX274">
            <v>-0.14883673500116856</v>
          </cell>
          <cell r="CY274">
            <v>1954.9885870295507</v>
          </cell>
        </row>
        <row r="275"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>
            <v>0</v>
          </cell>
          <cell r="Y275">
            <v>0</v>
          </cell>
          <cell r="AA275">
            <v>0</v>
          </cell>
          <cell r="AB275">
            <v>0</v>
          </cell>
          <cell r="AD275">
            <v>0</v>
          </cell>
          <cell r="AE275">
            <v>0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P275">
            <v>426.15793930214227</v>
          </cell>
          <cell r="AQ275">
            <v>283.96212900631497</v>
          </cell>
          <cell r="AS275">
            <v>2388.0050205839611</v>
          </cell>
          <cell r="AT275">
            <v>0</v>
          </cell>
          <cell r="AV275">
            <v>0</v>
          </cell>
          <cell r="AW275">
            <v>0</v>
          </cell>
          <cell r="AY275">
            <v>0</v>
          </cell>
          <cell r="AZ275">
            <v>0</v>
          </cell>
          <cell r="BB275">
            <v>0</v>
          </cell>
          <cell r="BC275">
            <v>0</v>
          </cell>
          <cell r="BE275">
            <v>0</v>
          </cell>
          <cell r="BF275">
            <v>0</v>
          </cell>
          <cell r="BH275">
            <v>0</v>
          </cell>
          <cell r="BI275">
            <v>0</v>
          </cell>
          <cell r="BK275">
            <v>0</v>
          </cell>
          <cell r="BL275">
            <v>0</v>
          </cell>
          <cell r="BN275">
            <v>0</v>
          </cell>
          <cell r="BO275">
            <v>0</v>
          </cell>
          <cell r="BT275">
            <v>239.27010754197514</v>
          </cell>
          <cell r="BU275">
            <v>918.58287167881099</v>
          </cell>
          <cell r="BW275">
            <v>0</v>
          </cell>
          <cell r="BX275">
            <v>4.137768329981081</v>
          </cell>
          <cell r="BZ275">
            <v>0</v>
          </cell>
          <cell r="CA275">
            <v>224.01539563071037</v>
          </cell>
          <cell r="CC275">
            <v>0</v>
          </cell>
          <cell r="CD275">
            <v>0</v>
          </cell>
          <cell r="CF275">
            <v>0</v>
          </cell>
          <cell r="CG275">
            <v>0</v>
          </cell>
          <cell r="CI275">
            <v>0</v>
          </cell>
          <cell r="CJ275">
            <v>0</v>
          </cell>
          <cell r="CL275">
            <v>0</v>
          </cell>
          <cell r="CM275">
            <v>0</v>
          </cell>
          <cell r="CX275">
            <v>54.920319086306108</v>
          </cell>
          <cell r="CY275">
            <v>2002.2022024250191</v>
          </cell>
        </row>
        <row r="276">
          <cell r="I276">
            <v>15763.311855159316</v>
          </cell>
          <cell r="J276">
            <v>13028.943065786782</v>
          </cell>
          <cell r="L276">
            <v>2445.3154780972104</v>
          </cell>
          <cell r="M276">
            <v>2327.4410552490258</v>
          </cell>
          <cell r="O276">
            <v>5950.9199999999992</v>
          </cell>
          <cell r="P276">
            <v>4677.803507311829</v>
          </cell>
          <cell r="R276">
            <v>1328.4000000000003</v>
          </cell>
          <cell r="S276">
            <v>1044.0990854838712</v>
          </cell>
          <cell r="U276">
            <v>780.05784393801957</v>
          </cell>
          <cell r="V276">
            <v>312.71216372982406</v>
          </cell>
          <cell r="X276">
            <v>6774.8959264327068</v>
          </cell>
          <cell r="Y276">
            <v>4895.0175947101443</v>
          </cell>
          <cell r="AA276">
            <v>0</v>
          </cell>
          <cell r="AB276">
            <v>0</v>
          </cell>
          <cell r="AD276">
            <v>18029.300209646761</v>
          </cell>
          <cell r="AE276">
            <v>17111.016061365041</v>
          </cell>
          <cell r="AJ276">
            <v>34487.04013897651</v>
          </cell>
          <cell r="AK276">
            <v>34270.678222670809</v>
          </cell>
          <cell r="AM276">
            <v>0</v>
          </cell>
          <cell r="AN276">
            <v>2214.4484462880901</v>
          </cell>
          <cell r="AP276">
            <v>3409.2635144171381</v>
          </cell>
          <cell r="AQ276">
            <v>3149.4344316239913</v>
          </cell>
          <cell r="AS276">
            <v>60388.055510335369</v>
          </cell>
          <cell r="AT276">
            <v>123687.36990607438</v>
          </cell>
          <cell r="AV276">
            <v>1240.5837293449365</v>
          </cell>
          <cell r="AW276">
            <v>1301</v>
          </cell>
          <cell r="AY276">
            <v>1498.3557380609511</v>
          </cell>
          <cell r="AZ276">
            <v>0</v>
          </cell>
          <cell r="BB276">
            <v>1874.1393256250349</v>
          </cell>
          <cell r="BC276">
            <v>0</v>
          </cell>
          <cell r="BE276">
            <v>694.43415276689484</v>
          </cell>
          <cell r="BF276">
            <v>0</v>
          </cell>
          <cell r="BH276">
            <v>395.76741189229665</v>
          </cell>
          <cell r="BI276">
            <v>1044</v>
          </cell>
          <cell r="BK276">
            <v>763.74000887404327</v>
          </cell>
          <cell r="BL276">
            <v>3330.3432915853305</v>
          </cell>
          <cell r="BN276">
            <v>614.00142415151981</v>
          </cell>
          <cell r="BO276">
            <v>0</v>
          </cell>
          <cell r="BT276">
            <v>63830.114963281558</v>
          </cell>
          <cell r="BU276">
            <v>68975.621536129664</v>
          </cell>
          <cell r="BW276">
            <v>36380.577854186486</v>
          </cell>
          <cell r="BX276">
            <v>36248.524278494995</v>
          </cell>
          <cell r="BZ276">
            <v>12724.226431708057</v>
          </cell>
          <cell r="CA276">
            <v>18388.348274381984</v>
          </cell>
          <cell r="CC276">
            <v>1964.80535717154</v>
          </cell>
          <cell r="CD276">
            <v>1952.4796691060321</v>
          </cell>
          <cell r="CF276">
            <v>241.8794473790721</v>
          </cell>
          <cell r="CG276">
            <v>0</v>
          </cell>
          <cell r="CI276">
            <v>8460.3213800908452</v>
          </cell>
          <cell r="CJ276">
            <v>3456.220802825434</v>
          </cell>
          <cell r="CL276">
            <v>6251.653409182175</v>
          </cell>
          <cell r="CM276">
            <v>7133.5268728530937</v>
          </cell>
          <cell r="CX276">
            <v>8509.2466671379516</v>
          </cell>
          <cell r="CY276">
            <v>-66200.193918804362</v>
          </cell>
        </row>
        <row r="277"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X277">
            <v>0</v>
          </cell>
          <cell r="Y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P277">
            <v>284.10529286809492</v>
          </cell>
          <cell r="AQ277">
            <v>214.4439856880754</v>
          </cell>
          <cell r="AS277">
            <v>1924.9943200186433</v>
          </cell>
          <cell r="AT277">
            <v>0</v>
          </cell>
          <cell r="AV277">
            <v>0</v>
          </cell>
          <cell r="AW277">
            <v>0</v>
          </cell>
          <cell r="AY277">
            <v>0</v>
          </cell>
          <cell r="AZ277">
            <v>0</v>
          </cell>
          <cell r="BB277">
            <v>0</v>
          </cell>
          <cell r="BC277">
            <v>0</v>
          </cell>
          <cell r="BE277">
            <v>0</v>
          </cell>
          <cell r="BF277">
            <v>0</v>
          </cell>
          <cell r="BH277">
            <v>0</v>
          </cell>
          <cell r="BI277">
            <v>0</v>
          </cell>
          <cell r="BK277">
            <v>0</v>
          </cell>
          <cell r="BL277">
            <v>0</v>
          </cell>
          <cell r="BN277">
            <v>0</v>
          </cell>
          <cell r="BO277">
            <v>0</v>
          </cell>
          <cell r="BT277">
            <v>765.66434413432</v>
          </cell>
          <cell r="BU277">
            <v>1531.1745427391395</v>
          </cell>
          <cell r="BW277">
            <v>0</v>
          </cell>
          <cell r="BX277">
            <v>5.564362403188289</v>
          </cell>
          <cell r="BZ277">
            <v>0</v>
          </cell>
          <cell r="CA277">
            <v>373.38827099109318</v>
          </cell>
          <cell r="CC277">
            <v>0</v>
          </cell>
          <cell r="CD277">
            <v>0</v>
          </cell>
          <cell r="CF277">
            <v>0</v>
          </cell>
          <cell r="CG277">
            <v>0</v>
          </cell>
          <cell r="CI277">
            <v>0</v>
          </cell>
          <cell r="CJ277">
            <v>0</v>
          </cell>
          <cell r="CL277">
            <v>0</v>
          </cell>
          <cell r="CM277">
            <v>0</v>
          </cell>
          <cell r="CX277">
            <v>53.563251574729293</v>
          </cell>
          <cell r="CY277">
            <v>1073.7946058142047</v>
          </cell>
        </row>
        <row r="278">
          <cell r="I278">
            <v>497.81400243106344</v>
          </cell>
          <cell r="J278">
            <v>490.64951676502795</v>
          </cell>
          <cell r="L278">
            <v>227.546144853393</v>
          </cell>
          <cell r="M278">
            <v>224.89258038342274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X278">
            <v>425.18133968942954</v>
          </cell>
          <cell r="Y278">
            <v>315.2779740042219</v>
          </cell>
          <cell r="AA278">
            <v>0</v>
          </cell>
          <cell r="AB278">
            <v>0</v>
          </cell>
          <cell r="AD278">
            <v>1116.8471964728913</v>
          </cell>
          <cell r="AE278">
            <v>1059.962954453049</v>
          </cell>
          <cell r="AJ278">
            <v>0</v>
          </cell>
          <cell r="AK278">
            <v>0</v>
          </cell>
          <cell r="AM278">
            <v>0</v>
          </cell>
          <cell r="AN278">
            <v>0</v>
          </cell>
          <cell r="AP278">
            <v>568.21058573618984</v>
          </cell>
          <cell r="AQ278">
            <v>496.0150382230737</v>
          </cell>
          <cell r="AS278">
            <v>3741.4568785432825</v>
          </cell>
          <cell r="AT278">
            <v>0</v>
          </cell>
          <cell r="AV278">
            <v>217.85153657885772</v>
          </cell>
          <cell r="AW278">
            <v>0</v>
          </cell>
          <cell r="AY278">
            <v>293.55584184695147</v>
          </cell>
          <cell r="AZ278">
            <v>0</v>
          </cell>
          <cell r="BB278">
            <v>151.88545680503069</v>
          </cell>
          <cell r="BC278">
            <v>0</v>
          </cell>
          <cell r="BE278">
            <v>0</v>
          </cell>
          <cell r="BF278">
            <v>0</v>
          </cell>
          <cell r="BH278">
            <v>0</v>
          </cell>
          <cell r="BI278">
            <v>0</v>
          </cell>
          <cell r="BK278">
            <v>59.168551776459459</v>
          </cell>
          <cell r="BL278">
            <v>0</v>
          </cell>
          <cell r="BN278">
            <v>0</v>
          </cell>
          <cell r="BO278">
            <v>0</v>
          </cell>
          <cell r="BT278">
            <v>3960.8377920116641</v>
          </cell>
          <cell r="BU278">
            <v>5737.5026809270048</v>
          </cell>
          <cell r="BW278">
            <v>2319.4303036996516</v>
          </cell>
          <cell r="BX278">
            <v>2430.5502594488898</v>
          </cell>
          <cell r="BZ278">
            <v>2030.3403589887732</v>
          </cell>
          <cell r="CA278">
            <v>1348.035481184372</v>
          </cell>
          <cell r="CC278">
            <v>0</v>
          </cell>
          <cell r="CD278">
            <v>0</v>
          </cell>
          <cell r="CF278">
            <v>0</v>
          </cell>
          <cell r="CG278">
            <v>0</v>
          </cell>
          <cell r="CI278">
            <v>935.87625885960688</v>
          </cell>
          <cell r="CJ278">
            <v>1429.2931800911363</v>
          </cell>
          <cell r="CL278">
            <v>0</v>
          </cell>
          <cell r="CM278">
            <v>0</v>
          </cell>
          <cell r="CX278">
            <v>297.71730204810592</v>
          </cell>
          <cell r="CY278">
            <v>3914.3044014237621</v>
          </cell>
        </row>
        <row r="279"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X279">
            <v>0</v>
          </cell>
          <cell r="Y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0</v>
          </cell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P279">
            <v>378.80705715745984</v>
          </cell>
          <cell r="AQ279">
            <v>141.30984918121601</v>
          </cell>
          <cell r="AS279">
            <v>4172.9388429361361</v>
          </cell>
          <cell r="AT279">
            <v>0</v>
          </cell>
          <cell r="AV279">
            <v>0</v>
          </cell>
          <cell r="AW279">
            <v>0</v>
          </cell>
          <cell r="AY279">
            <v>0</v>
          </cell>
          <cell r="AZ279">
            <v>0</v>
          </cell>
          <cell r="BB279">
            <v>0</v>
          </cell>
          <cell r="BC279">
            <v>0</v>
          </cell>
          <cell r="BE279">
            <v>0</v>
          </cell>
          <cell r="BF279">
            <v>0</v>
          </cell>
          <cell r="BH279">
            <v>0</v>
          </cell>
          <cell r="BI279">
            <v>0</v>
          </cell>
          <cell r="BK279">
            <v>0</v>
          </cell>
          <cell r="BL279">
            <v>0</v>
          </cell>
          <cell r="BN279">
            <v>0</v>
          </cell>
          <cell r="BO279">
            <v>0</v>
          </cell>
          <cell r="BT279">
            <v>0</v>
          </cell>
          <cell r="BU279">
            <v>0</v>
          </cell>
          <cell r="BW279">
            <v>0</v>
          </cell>
          <cell r="BX279">
            <v>8.1593434775289975</v>
          </cell>
          <cell r="BZ279">
            <v>0</v>
          </cell>
          <cell r="CA279">
            <v>0</v>
          </cell>
          <cell r="CC279">
            <v>0</v>
          </cell>
          <cell r="CD279">
            <v>0</v>
          </cell>
          <cell r="CF279">
            <v>0</v>
          </cell>
          <cell r="CG279">
            <v>0</v>
          </cell>
          <cell r="CI279">
            <v>0</v>
          </cell>
          <cell r="CJ279">
            <v>0</v>
          </cell>
          <cell r="CL279">
            <v>0</v>
          </cell>
          <cell r="CM279">
            <v>0</v>
          </cell>
          <cell r="CX279">
            <v>136.38491988768533</v>
          </cell>
          <cell r="CY279">
            <v>5419.116968809506</v>
          </cell>
        </row>
        <row r="280">
          <cell r="I280">
            <v>3949.8225616604327</v>
          </cell>
          <cell r="J280">
            <v>3856.5282501205402</v>
          </cell>
          <cell r="L280">
            <v>705.12249841090397</v>
          </cell>
          <cell r="M280">
            <v>696.90379590857776</v>
          </cell>
          <cell r="O280">
            <v>1889.2800000000004</v>
          </cell>
          <cell r="P280">
            <v>1485.093270967742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>
            <v>2933.6583979877742</v>
          </cell>
          <cell r="Y280">
            <v>2256.4348107454507</v>
          </cell>
          <cell r="AA280">
            <v>0</v>
          </cell>
          <cell r="AB280">
            <v>0</v>
          </cell>
          <cell r="AD280">
            <v>5635.1183776095831</v>
          </cell>
          <cell r="AE280">
            <v>5348.1055806802187</v>
          </cell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P280">
            <v>2556.9476358128541</v>
          </cell>
          <cell r="AQ280">
            <v>2121.2679330099008</v>
          </cell>
          <cell r="AS280">
            <v>15654.634561050747</v>
          </cell>
          <cell r="AT280">
            <v>10368.515652742077</v>
          </cell>
          <cell r="AV280">
            <v>760.68954818548775</v>
          </cell>
          <cell r="AW280">
            <v>460</v>
          </cell>
          <cell r="AY280">
            <v>908.87013657091518</v>
          </cell>
          <cell r="AZ280">
            <v>0</v>
          </cell>
          <cell r="BB280">
            <v>952.62342012223451</v>
          </cell>
          <cell r="BC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378</v>
          </cell>
          <cell r="BK280">
            <v>354.89402947662137</v>
          </cell>
          <cell r="BL280">
            <v>0</v>
          </cell>
          <cell r="BN280">
            <v>0</v>
          </cell>
          <cell r="BO280">
            <v>0</v>
          </cell>
          <cell r="BT280">
            <v>9813.4132625032762</v>
          </cell>
          <cell r="BU280">
            <v>15399.455964276403</v>
          </cell>
          <cell r="BW280">
            <v>8955.2897177212453</v>
          </cell>
          <cell r="BX280">
            <v>11718.14337289934</v>
          </cell>
          <cell r="BZ280">
            <v>5198.4130623936398</v>
          </cell>
          <cell r="CA280">
            <v>5801.5190699860314</v>
          </cell>
          <cell r="CC280">
            <v>1405.3652689469488</v>
          </cell>
          <cell r="CD280">
            <v>1396.5490806869198</v>
          </cell>
          <cell r="CF280">
            <v>173.00898197263575</v>
          </cell>
          <cell r="CG280">
            <v>0</v>
          </cell>
          <cell r="CI280">
            <v>3088.3916542367024</v>
          </cell>
          <cell r="CJ280">
            <v>1107.5030738228095</v>
          </cell>
          <cell r="CL280">
            <v>0</v>
          </cell>
          <cell r="CM280">
            <v>0</v>
          </cell>
          <cell r="CX280">
            <v>1941.5482624055876</v>
          </cell>
          <cell r="CY280">
            <v>4991.3761729847884</v>
          </cell>
        </row>
        <row r="281">
          <cell r="I281">
            <v>26457.216169771706</v>
          </cell>
          <cell r="J281">
            <v>25237.401855945911</v>
          </cell>
          <cell r="L281">
            <v>4490.2296195147919</v>
          </cell>
          <cell r="M281">
            <v>4461.5414040511632</v>
          </cell>
          <cell r="O281">
            <v>8565.1200000000008</v>
          </cell>
          <cell r="P281">
            <v>8566.92</v>
          </cell>
          <cell r="R281">
            <v>2172.12</v>
          </cell>
          <cell r="S281">
            <v>2174.0400000000004</v>
          </cell>
          <cell r="U281">
            <v>1250.1001677005297</v>
          </cell>
          <cell r="V281">
            <v>875.9111116989493</v>
          </cell>
          <cell r="X281">
            <v>10084.677440066289</v>
          </cell>
          <cell r="Y281">
            <v>10661.866790576078</v>
          </cell>
          <cell r="AA281">
            <v>0</v>
          </cell>
          <cell r="AB281">
            <v>0</v>
          </cell>
          <cell r="AD281">
            <v>28948.876020827873</v>
          </cell>
          <cell r="AE281">
            <v>27348.221059715586</v>
          </cell>
          <cell r="AJ281">
            <v>52114.804261030855</v>
          </cell>
          <cell r="AK281">
            <v>51787.749841944998</v>
          </cell>
          <cell r="AM281">
            <v>1578.4221588709306</v>
          </cell>
          <cell r="AN281">
            <v>0</v>
          </cell>
          <cell r="AP281">
            <v>5303.2988002044376</v>
          </cell>
          <cell r="AQ281">
            <v>5123.5205295869846</v>
          </cell>
          <cell r="AS281">
            <v>138941.75999999998</v>
          </cell>
          <cell r="AT281">
            <v>73612</v>
          </cell>
          <cell r="AV281">
            <v>2127.0322516732763</v>
          </cell>
          <cell r="AW281">
            <v>3837</v>
          </cell>
          <cell r="AY281">
            <v>2962.410674261333</v>
          </cell>
          <cell r="AZ281">
            <v>1331</v>
          </cell>
          <cell r="BB281">
            <v>3594.0212437855839</v>
          </cell>
          <cell r="BC281">
            <v>19903.576188440977</v>
          </cell>
          <cell r="BE281">
            <v>1212.9835507155915</v>
          </cell>
          <cell r="BF281">
            <v>4307</v>
          </cell>
          <cell r="BH281">
            <v>634.10414095325257</v>
          </cell>
          <cell r="BI281">
            <v>0</v>
          </cell>
          <cell r="BK281">
            <v>821.24248283863255</v>
          </cell>
          <cell r="BL281">
            <v>2954</v>
          </cell>
          <cell r="BN281">
            <v>0</v>
          </cell>
          <cell r="BO281">
            <v>0</v>
          </cell>
          <cell r="BT281">
            <v>42039.960000000014</v>
          </cell>
          <cell r="BU281">
            <v>57176.342868202482</v>
          </cell>
          <cell r="BW281">
            <v>53737.44000000001</v>
          </cell>
          <cell r="BX281">
            <v>55832.764413020064</v>
          </cell>
          <cell r="BZ281">
            <v>16740.719999999998</v>
          </cell>
          <cell r="CA281">
            <v>13883.357347500947</v>
          </cell>
          <cell r="CC281">
            <v>647.09158469721388</v>
          </cell>
          <cell r="CD281">
            <v>643.0322263522861</v>
          </cell>
          <cell r="CF281">
            <v>79.660895843407005</v>
          </cell>
          <cell r="CG281">
            <v>0</v>
          </cell>
          <cell r="CI281">
            <v>13289.442875806415</v>
          </cell>
          <cell r="CJ281">
            <v>12803.772703753883</v>
          </cell>
          <cell r="CL281">
            <v>19934.164313709625</v>
          </cell>
          <cell r="CM281">
            <v>19205.790519429916</v>
          </cell>
          <cell r="CX281">
            <v>11296.721617273884</v>
          </cell>
          <cell r="CY281">
            <v>54496.829367735787</v>
          </cell>
        </row>
        <row r="282">
          <cell r="I282">
            <v>14447.582047866892</v>
          </cell>
          <cell r="J282">
            <v>13809.759240485839</v>
          </cell>
          <cell r="L282">
            <v>2751.2452411223985</v>
          </cell>
          <cell r="M282">
            <v>2733.6680049336228</v>
          </cell>
          <cell r="O282">
            <v>5501.04</v>
          </cell>
          <cell r="P282">
            <v>5502.3599999999979</v>
          </cell>
          <cell r="R282">
            <v>1495.6800000000003</v>
          </cell>
          <cell r="S282">
            <v>1496.0400000000002</v>
          </cell>
          <cell r="U282">
            <v>780.05784393801957</v>
          </cell>
          <cell r="V282">
            <v>546.56355928777316</v>
          </cell>
          <cell r="X282">
            <v>6259.6654386403425</v>
          </cell>
          <cell r="Y282">
            <v>5763.3305270461979</v>
          </cell>
          <cell r="AA282">
            <v>0</v>
          </cell>
          <cell r="AB282">
            <v>0</v>
          </cell>
          <cell r="AD282">
            <v>17909.876234924373</v>
          </cell>
          <cell r="AE282">
            <v>16997.674693379307</v>
          </cell>
          <cell r="AJ282">
            <v>41478.570579091407</v>
          </cell>
          <cell r="AK282">
            <v>41218.234305574617</v>
          </cell>
          <cell r="AM282">
            <v>0</v>
          </cell>
          <cell r="AN282">
            <v>0</v>
          </cell>
          <cell r="AP282">
            <v>3361.9126322724574</v>
          </cell>
          <cell r="AQ282">
            <v>3289.3622090541612</v>
          </cell>
          <cell r="AS282">
            <v>93113.88</v>
          </cell>
          <cell r="AT282">
            <v>83239.246066220323</v>
          </cell>
          <cell r="AV282">
            <v>1081.6800050073205</v>
          </cell>
          <cell r="AW282">
            <v>2403.8535805925976</v>
          </cell>
          <cell r="AY282">
            <v>1818.9168533652817</v>
          </cell>
          <cell r="AZ282">
            <v>1042</v>
          </cell>
          <cell r="BB282">
            <v>2250.7642963954763</v>
          </cell>
          <cell r="BC282">
            <v>43382</v>
          </cell>
          <cell r="BE282">
            <v>890.42151739741564</v>
          </cell>
          <cell r="BF282">
            <v>1485</v>
          </cell>
          <cell r="BH282">
            <v>395.76741189229665</v>
          </cell>
          <cell r="BI282">
            <v>9773</v>
          </cell>
          <cell r="BK282">
            <v>430.16392829767398</v>
          </cell>
          <cell r="BL282">
            <v>8245.9144761069019</v>
          </cell>
          <cell r="BN282">
            <v>0</v>
          </cell>
          <cell r="BO282">
            <v>0</v>
          </cell>
          <cell r="BT282">
            <v>46308.600000000006</v>
          </cell>
          <cell r="BU282">
            <v>52410.829143556504</v>
          </cell>
          <cell r="BW282">
            <v>35141.279999999992</v>
          </cell>
          <cell r="BX282">
            <v>36543.283343780917</v>
          </cell>
          <cell r="BZ282">
            <v>10979.280000000004</v>
          </cell>
          <cell r="CA282">
            <v>12728.151871912673</v>
          </cell>
          <cell r="CC282">
            <v>1323.5964232443011</v>
          </cell>
          <cell r="CD282">
            <v>1315.2931902660396</v>
          </cell>
          <cell r="CF282">
            <v>162.94274149787793</v>
          </cell>
          <cell r="CG282">
            <v>0</v>
          </cell>
          <cell r="CI282">
            <v>27739.372312598734</v>
          </cell>
          <cell r="CJ282">
            <v>22229.318455586457</v>
          </cell>
          <cell r="CL282">
            <v>9096.7172361153771</v>
          </cell>
          <cell r="CM282">
            <v>12029.966984716544</v>
          </cell>
          <cell r="CX282">
            <v>5868.4447075988937</v>
          </cell>
          <cell r="CY282">
            <v>-58290.55958300054</v>
          </cell>
        </row>
        <row r="283">
          <cell r="I283">
            <v>6681.5613634031242</v>
          </cell>
          <cell r="J283">
            <v>6523.8428352382252</v>
          </cell>
          <cell r="L283">
            <v>1264.6587694881073</v>
          </cell>
          <cell r="M283">
            <v>1249.9231320659933</v>
          </cell>
          <cell r="O283">
            <v>2763.48</v>
          </cell>
          <cell r="P283">
            <v>2172.1199650537637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>
            <v>3655.6266636660862</v>
          </cell>
          <cell r="Y283">
            <v>2950.5743546551453</v>
          </cell>
          <cell r="AA283">
            <v>0</v>
          </cell>
          <cell r="AB283">
            <v>0</v>
          </cell>
          <cell r="AD283">
            <v>8836.0058633661156</v>
          </cell>
          <cell r="AE283">
            <v>8385.9626545835599</v>
          </cell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P283">
            <v>5113.8952716257081</v>
          </cell>
          <cell r="AQ283">
            <v>5038.574476575699</v>
          </cell>
          <cell r="AS283">
            <v>16975.272975328025</v>
          </cell>
          <cell r="AT283">
            <v>908</v>
          </cell>
          <cell r="AV283">
            <v>1151.9342551156299</v>
          </cell>
          <cell r="AW283">
            <v>0</v>
          </cell>
          <cell r="AY283">
            <v>1629.9409837160067</v>
          </cell>
          <cell r="AZ283">
            <v>0</v>
          </cell>
          <cell r="BB283">
            <v>1606.6710917432122</v>
          </cell>
          <cell r="BC283">
            <v>3665.8612763976348</v>
          </cell>
          <cell r="BE283">
            <v>0</v>
          </cell>
          <cell r="BF283">
            <v>0</v>
          </cell>
          <cell r="BH283">
            <v>0</v>
          </cell>
          <cell r="BI283">
            <v>0</v>
          </cell>
          <cell r="BK283">
            <v>475.15199954789972</v>
          </cell>
          <cell r="BL283">
            <v>133.007111349609</v>
          </cell>
          <cell r="BN283">
            <v>0</v>
          </cell>
          <cell r="BO283">
            <v>0</v>
          </cell>
          <cell r="BT283">
            <v>6602.9642841710456</v>
          </cell>
          <cell r="BU283">
            <v>11081.549330702115</v>
          </cell>
          <cell r="BW283">
            <v>10302.622135061249</v>
          </cell>
          <cell r="BX283">
            <v>13373.401909026079</v>
          </cell>
          <cell r="BZ283">
            <v>4252.6093879154441</v>
          </cell>
          <cell r="CA283">
            <v>5105.0471665541363</v>
          </cell>
          <cell r="CC283">
            <v>737.68440655482391</v>
          </cell>
          <cell r="CD283">
            <v>733.0567380416062</v>
          </cell>
          <cell r="CF283">
            <v>90.813421261483995</v>
          </cell>
          <cell r="CG283">
            <v>0</v>
          </cell>
          <cell r="CI283">
            <v>2901.2164024647814</v>
          </cell>
          <cell r="CJ283">
            <v>2953.9642654313802</v>
          </cell>
          <cell r="CL283">
            <v>0</v>
          </cell>
          <cell r="CM283">
            <v>0</v>
          </cell>
          <cell r="CX283">
            <v>1801.9088706855218</v>
          </cell>
          <cell r="CY283">
            <v>14722.577741190064</v>
          </cell>
        </row>
        <row r="284">
          <cell r="I284">
            <v>16598.287152161811</v>
          </cell>
          <cell r="J284">
            <v>15924.826765734655</v>
          </cell>
          <cell r="L284">
            <v>3397.7778733269683</v>
          </cell>
          <cell r="M284">
            <v>3376.0711659123235</v>
          </cell>
          <cell r="O284">
            <v>7011.3599999999979</v>
          </cell>
          <cell r="P284">
            <v>7010.52</v>
          </cell>
          <cell r="R284">
            <v>0</v>
          </cell>
          <cell r="S284">
            <v>0</v>
          </cell>
          <cell r="U284">
            <v>1294.4711018415646</v>
          </cell>
          <cell r="V284">
            <v>907.00118901907285</v>
          </cell>
          <cell r="X284">
            <v>13474.599422090063</v>
          </cell>
          <cell r="Y284">
            <v>12503.034782626806</v>
          </cell>
          <cell r="AA284">
            <v>0</v>
          </cell>
          <cell r="AB284">
            <v>0</v>
          </cell>
          <cell r="AD284">
            <v>25489.514518889158</v>
          </cell>
          <cell r="AE284">
            <v>24864.085062133523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P284">
            <v>13352.94876480046</v>
          </cell>
          <cell r="AQ284">
            <v>12848.446139005886</v>
          </cell>
          <cell r="AS284">
            <v>71191.786975089912</v>
          </cell>
          <cell r="AT284">
            <v>18238.612411059428</v>
          </cell>
          <cell r="AV284">
            <v>2740.8123502456219</v>
          </cell>
          <cell r="AW284">
            <v>5950.1174201706708</v>
          </cell>
          <cell r="AY284">
            <v>4379.3929454117269</v>
          </cell>
          <cell r="AZ284">
            <v>3344</v>
          </cell>
          <cell r="BB284">
            <v>2589.3638818952413</v>
          </cell>
          <cell r="BC284">
            <v>1520</v>
          </cell>
          <cell r="BE284">
            <v>0</v>
          </cell>
          <cell r="BF284">
            <v>0</v>
          </cell>
          <cell r="BH284">
            <v>1313.1883369600607</v>
          </cell>
          <cell r="BI284">
            <v>0</v>
          </cell>
          <cell r="BK284">
            <v>1993.1246172078954</v>
          </cell>
          <cell r="BL284">
            <v>4136</v>
          </cell>
          <cell r="BN284">
            <v>0</v>
          </cell>
          <cell r="BO284">
            <v>0</v>
          </cell>
          <cell r="BT284">
            <v>43008.647389873026</v>
          </cell>
          <cell r="BU284">
            <v>52067.555445123413</v>
          </cell>
          <cell r="BW284">
            <v>26322.685603861773</v>
          </cell>
          <cell r="BX284">
            <v>30185.307826260883</v>
          </cell>
          <cell r="BZ284">
            <v>9971.4497592776079</v>
          </cell>
          <cell r="CA284">
            <v>13252.530354763663</v>
          </cell>
          <cell r="CC284">
            <v>1073.5837655203775</v>
          </cell>
          <cell r="CD284">
            <v>1066.8489209935656</v>
          </cell>
          <cell r="CF284">
            <v>132.16466810383434</v>
          </cell>
          <cell r="CG284">
            <v>0</v>
          </cell>
          <cell r="CI284">
            <v>1104.333985454336</v>
          </cell>
          <cell r="CJ284">
            <v>1666.8421809360264</v>
          </cell>
          <cell r="CL284">
            <v>0</v>
          </cell>
          <cell r="CM284">
            <v>0</v>
          </cell>
          <cell r="CX284">
            <v>19336.458265586305</v>
          </cell>
          <cell r="CY284">
            <v>64429.690403512082</v>
          </cell>
        </row>
        <row r="285">
          <cell r="I285">
            <v>4673.4706286176142</v>
          </cell>
          <cell r="J285">
            <v>4564.9326600528921</v>
          </cell>
          <cell r="L285">
            <v>714.88796625585871</v>
          </cell>
          <cell r="M285">
            <v>706.55458284310726</v>
          </cell>
          <cell r="O285">
            <v>2073.2400000000002</v>
          </cell>
          <cell r="P285">
            <v>1629.5736301075269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X285">
            <v>2969.7558275587112</v>
          </cell>
          <cell r="Y285">
            <v>4571.3416077151742</v>
          </cell>
          <cell r="AA285">
            <v>0</v>
          </cell>
          <cell r="AB285">
            <v>0</v>
          </cell>
          <cell r="AD285">
            <v>6211.9280514388047</v>
          </cell>
          <cell r="AE285">
            <v>5895.5366777541713</v>
          </cell>
          <cell r="AJ285">
            <v>0</v>
          </cell>
          <cell r="AK285">
            <v>0</v>
          </cell>
          <cell r="AM285">
            <v>0</v>
          </cell>
          <cell r="AN285">
            <v>0</v>
          </cell>
          <cell r="AP285">
            <v>4545.6846858895187</v>
          </cell>
          <cell r="AQ285">
            <v>4407.1351529984504</v>
          </cell>
          <cell r="AS285">
            <v>16402.124844244358</v>
          </cell>
          <cell r="AT285">
            <v>0</v>
          </cell>
          <cell r="AV285">
            <v>747.42372480879703</v>
          </cell>
          <cell r="AW285">
            <v>473</v>
          </cell>
          <cell r="AY285">
            <v>921.68889404320214</v>
          </cell>
          <cell r="AZ285">
            <v>0</v>
          </cell>
          <cell r="BB285">
            <v>1034.5376849620941</v>
          </cell>
          <cell r="BC285">
            <v>0</v>
          </cell>
          <cell r="BE285">
            <v>0</v>
          </cell>
          <cell r="BF285">
            <v>0</v>
          </cell>
          <cell r="BH285">
            <v>0</v>
          </cell>
          <cell r="BI285">
            <v>0</v>
          </cell>
          <cell r="BK285">
            <v>360.33684092152436</v>
          </cell>
          <cell r="BL285">
            <v>0</v>
          </cell>
          <cell r="BN285">
            <v>0</v>
          </cell>
          <cell r="BO285">
            <v>0</v>
          </cell>
          <cell r="BT285">
            <v>9461.8111332516692</v>
          </cell>
          <cell r="BU285">
            <v>14278.864605865014</v>
          </cell>
          <cell r="BW285">
            <v>9563.0509340207736</v>
          </cell>
          <cell r="BX285">
            <v>9947.6532363309234</v>
          </cell>
          <cell r="BZ285">
            <v>4788.5879134735414</v>
          </cell>
          <cell r="CA285">
            <v>3487.5119580422843</v>
          </cell>
          <cell r="CC285">
            <v>1448.6027521062626</v>
          </cell>
          <cell r="CD285">
            <v>1439.5153249022769</v>
          </cell>
          <cell r="CF285">
            <v>178.33177819489978</v>
          </cell>
          <cell r="CG285">
            <v>0</v>
          </cell>
          <cell r="CI285">
            <v>3125.8267045910875</v>
          </cell>
          <cell r="CJ285">
            <v>2871.3708064235352</v>
          </cell>
          <cell r="CL285">
            <v>0</v>
          </cell>
          <cell r="CM285">
            <v>0</v>
          </cell>
          <cell r="CX285">
            <v>1235.1715627455524</v>
          </cell>
          <cell r="CY285">
            <v>19173.131708357589</v>
          </cell>
        </row>
        <row r="286">
          <cell r="I286">
            <v>14611.936795662727</v>
          </cell>
          <cell r="J286">
            <v>14290.850118949362</v>
          </cell>
          <cell r="L286">
            <v>2850.9601982555346</v>
          </cell>
          <cell r="M286">
            <v>2817.7373367935988</v>
          </cell>
          <cell r="O286">
            <v>5529.6000000000013</v>
          </cell>
          <cell r="P286">
            <v>4346.5627362903242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X286">
            <v>10397.130250358758</v>
          </cell>
          <cell r="Y286">
            <v>8342.0258187901109</v>
          </cell>
          <cell r="AA286">
            <v>0</v>
          </cell>
          <cell r="AB286">
            <v>0</v>
          </cell>
          <cell r="AD286">
            <v>18010.272759324002</v>
          </cell>
          <cell r="AE286">
            <v>17091.699737999053</v>
          </cell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P286">
            <v>12784.738179064276</v>
          </cell>
          <cell r="AQ286">
            <v>11139.708178463774</v>
          </cell>
          <cell r="AS286">
            <v>52938.477699839095</v>
          </cell>
          <cell r="AT286">
            <v>19272.244154030512</v>
          </cell>
          <cell r="AV286">
            <v>2341.2061018613631</v>
          </cell>
          <cell r="AW286">
            <v>3222.5444295781217</v>
          </cell>
          <cell r="AY286">
            <v>3674.5787054017655</v>
          </cell>
          <cell r="AZ286">
            <v>0</v>
          </cell>
          <cell r="BB286">
            <v>2991.2679034611992</v>
          </cell>
          <cell r="BC286">
            <v>0</v>
          </cell>
          <cell r="BE286">
            <v>0</v>
          </cell>
          <cell r="BF286">
            <v>0</v>
          </cell>
          <cell r="BH286">
            <v>0</v>
          </cell>
          <cell r="BI286">
            <v>0</v>
          </cell>
          <cell r="BK286">
            <v>1457.3789296653183</v>
          </cell>
          <cell r="BL286">
            <v>0</v>
          </cell>
          <cell r="BN286">
            <v>0</v>
          </cell>
          <cell r="BO286">
            <v>0</v>
          </cell>
          <cell r="BT286">
            <v>32677.938481910693</v>
          </cell>
          <cell r="BU286">
            <v>47649.77060229428</v>
          </cell>
          <cell r="BW286">
            <v>21392.850124463959</v>
          </cell>
          <cell r="BX286">
            <v>22567.530052249178</v>
          </cell>
          <cell r="BZ286">
            <v>13578.644046536219</v>
          </cell>
          <cell r="CA286">
            <v>13192.221939154404</v>
          </cell>
          <cell r="CC286">
            <v>772.68617863617317</v>
          </cell>
          <cell r="CD286">
            <v>767.83893573975251</v>
          </cell>
          <cell r="CF286">
            <v>95.122351536650115</v>
          </cell>
          <cell r="CG286">
            <v>0</v>
          </cell>
          <cell r="CI286">
            <v>4155.2905893366542</v>
          </cell>
          <cell r="CJ286">
            <v>2752.8605527150035</v>
          </cell>
          <cell r="CL286">
            <v>0</v>
          </cell>
          <cell r="CM286">
            <v>0</v>
          </cell>
          <cell r="CX286">
            <v>6.9848456227773568</v>
          </cell>
          <cell r="CY286">
            <v>39374.766488343033</v>
          </cell>
        </row>
        <row r="287">
          <cell r="I287">
            <v>12057.035431527025</v>
          </cell>
          <cell r="J287">
            <v>11773.557098106627</v>
          </cell>
          <cell r="L287">
            <v>2283.1352684857343</v>
          </cell>
          <cell r="M287">
            <v>2281.1994540720989</v>
          </cell>
          <cell r="O287">
            <v>4158.1200000000008</v>
          </cell>
          <cell r="P287">
            <v>3268.1835959677419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>
            <v>7451.4887004477014</v>
          </cell>
          <cell r="Y287">
            <v>5897.1470563872208</v>
          </cell>
          <cell r="AA287">
            <v>0</v>
          </cell>
          <cell r="AB287">
            <v>0</v>
          </cell>
          <cell r="AD287">
            <v>13698.053899772416</v>
          </cell>
          <cell r="AE287">
            <v>13000.372591446354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P287">
            <v>11364.2117147238</v>
          </cell>
          <cell r="AQ287">
            <v>10748.044705309214</v>
          </cell>
          <cell r="AS287">
            <v>40007.32320234392</v>
          </cell>
          <cell r="AT287">
            <v>13550</v>
          </cell>
          <cell r="AV287">
            <v>1907.071994649662</v>
          </cell>
          <cell r="AW287">
            <v>0</v>
          </cell>
          <cell r="AY287">
            <v>2942.5534028547149</v>
          </cell>
          <cell r="AZ287">
            <v>1841</v>
          </cell>
          <cell r="BB287">
            <v>2612.1491099034452</v>
          </cell>
          <cell r="BC287">
            <v>0</v>
          </cell>
          <cell r="BE287">
            <v>0</v>
          </cell>
          <cell r="BF287">
            <v>0</v>
          </cell>
          <cell r="BH287">
            <v>0</v>
          </cell>
          <cell r="BI287">
            <v>0</v>
          </cell>
          <cell r="BK287">
            <v>1046.5116144968702</v>
          </cell>
          <cell r="BL287">
            <v>0</v>
          </cell>
          <cell r="BN287">
            <v>0</v>
          </cell>
          <cell r="BO287">
            <v>0</v>
          </cell>
          <cell r="BT287">
            <v>32993.52131265615</v>
          </cell>
          <cell r="BU287">
            <v>48713.675002910095</v>
          </cell>
          <cell r="BW287">
            <v>17500.470577010863</v>
          </cell>
          <cell r="BX287">
            <v>17630.650651469594</v>
          </cell>
          <cell r="BZ287">
            <v>10232.030848843373</v>
          </cell>
          <cell r="CA287">
            <v>10760.799516260437</v>
          </cell>
          <cell r="CC287">
            <v>2079.5170471860461</v>
          </cell>
          <cell r="CD287">
            <v>2066.4717455957552</v>
          </cell>
          <cell r="CF287">
            <v>256.0011516422216</v>
          </cell>
          <cell r="CG287">
            <v>0</v>
          </cell>
          <cell r="CI287">
            <v>2807.6287765788215</v>
          </cell>
          <cell r="CJ287">
            <v>1904.9344264621959</v>
          </cell>
          <cell r="CL287">
            <v>0</v>
          </cell>
          <cell r="CM287">
            <v>0</v>
          </cell>
          <cell r="CX287">
            <v>-7.8288637472869596</v>
          </cell>
          <cell r="CY287">
            <v>26345.116987215202</v>
          </cell>
        </row>
        <row r="288">
          <cell r="I288">
            <v>4996.7560822214327</v>
          </cell>
          <cell r="J288">
            <v>4894.7507407737876</v>
          </cell>
          <cell r="L288">
            <v>889.75883367083907</v>
          </cell>
          <cell r="M288">
            <v>879.39140339785695</v>
          </cell>
          <cell r="O288">
            <v>2313.7199999999998</v>
          </cell>
          <cell r="P288">
            <v>1818.6312733870973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X288">
            <v>2820.0983189582298</v>
          </cell>
          <cell r="Y288">
            <v>2131.9250991692361</v>
          </cell>
          <cell r="AA288">
            <v>0</v>
          </cell>
          <cell r="AB288">
            <v>0</v>
          </cell>
          <cell r="AD288">
            <v>6872.1164401655105</v>
          </cell>
          <cell r="AE288">
            <v>6342.7339119835979</v>
          </cell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P288">
            <v>3835.4214537192825</v>
          </cell>
          <cell r="AQ288">
            <v>2837.4587313913908</v>
          </cell>
          <cell r="AS288">
            <v>13899.280212255167</v>
          </cell>
          <cell r="AT288">
            <v>4538.0577563406077</v>
          </cell>
          <cell r="AV288">
            <v>827.30919472547509</v>
          </cell>
          <cell r="AW288">
            <v>0</v>
          </cell>
          <cell r="AY288">
            <v>1146.7215503729049</v>
          </cell>
          <cell r="AZ288">
            <v>0</v>
          </cell>
          <cell r="BB288">
            <v>988.71379778245785</v>
          </cell>
          <cell r="BC288">
            <v>474</v>
          </cell>
          <cell r="BE288">
            <v>0</v>
          </cell>
          <cell r="BF288">
            <v>0</v>
          </cell>
          <cell r="BH288">
            <v>0</v>
          </cell>
          <cell r="BI288">
            <v>1255.0218409575091</v>
          </cell>
          <cell r="BK288">
            <v>337.73115767901049</v>
          </cell>
          <cell r="BL288">
            <v>0</v>
          </cell>
          <cell r="BN288">
            <v>0</v>
          </cell>
          <cell r="BO288">
            <v>0</v>
          </cell>
          <cell r="BT288">
            <v>5458.4353602773672</v>
          </cell>
          <cell r="BU288">
            <v>8646.2742343350783</v>
          </cell>
          <cell r="BW288">
            <v>11200.812834820792</v>
          </cell>
          <cell r="BX288">
            <v>11608.913672550851</v>
          </cell>
          <cell r="BZ288">
            <v>3484.5376654696952</v>
          </cell>
          <cell r="CA288">
            <v>2363.6968487849604</v>
          </cell>
          <cell r="CC288">
            <v>1469.7802948781712</v>
          </cell>
          <cell r="CD288">
            <v>1460.5600159465334</v>
          </cell>
          <cell r="CF288">
            <v>180.93886205886577</v>
          </cell>
          <cell r="CG288">
            <v>0</v>
          </cell>
          <cell r="CI288">
            <v>842.28863297364626</v>
          </cell>
          <cell r="CJ288">
            <v>1149.334749661283</v>
          </cell>
          <cell r="CL288">
            <v>0</v>
          </cell>
          <cell r="CM288">
            <v>0</v>
          </cell>
          <cell r="CX288">
            <v>143.61516956539708</v>
          </cell>
          <cell r="CY288">
            <v>13540.019665584257</v>
          </cell>
        </row>
        <row r="289">
          <cell r="I289">
            <v>11569.897967399103</v>
          </cell>
          <cell r="J289">
            <v>11051.555818354567</v>
          </cell>
          <cell r="L289">
            <v>2297.6322112874664</v>
          </cell>
          <cell r="M289">
            <v>2282.9567711668719</v>
          </cell>
          <cell r="O289">
            <v>5182.68</v>
          </cell>
          <cell r="P289">
            <v>5183.2799999999988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>
            <v>7985.5610440075116</v>
          </cell>
          <cell r="Y289">
            <v>7033.400200568637</v>
          </cell>
          <cell r="AA289">
            <v>0</v>
          </cell>
          <cell r="AB289">
            <v>0</v>
          </cell>
          <cell r="AD289">
            <v>15863.07843829494</v>
          </cell>
          <cell r="AE289">
            <v>15057.155224811528</v>
          </cell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P289">
            <v>9375.474664647134</v>
          </cell>
          <cell r="AQ289">
            <v>9079.3294109574999</v>
          </cell>
          <cell r="AS289">
            <v>39541.125883720124</v>
          </cell>
          <cell r="AT289">
            <v>195938.69977529789</v>
          </cell>
          <cell r="AV289">
            <v>1893.6166085164348</v>
          </cell>
          <cell r="AW289">
            <v>1105.4626722118337</v>
          </cell>
          <cell r="AY289">
            <v>2961.3152184736136</v>
          </cell>
          <cell r="AZ289">
            <v>0</v>
          </cell>
          <cell r="BB289">
            <v>1971.0598078944429</v>
          </cell>
          <cell r="BC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K289">
            <v>1381.5350366937619</v>
          </cell>
          <cell r="BL289">
            <v>810</v>
          </cell>
          <cell r="BN289">
            <v>0</v>
          </cell>
          <cell r="BO289">
            <v>0</v>
          </cell>
          <cell r="BT289">
            <v>25915.124694134065</v>
          </cell>
          <cell r="BU289">
            <v>34453.619646389263</v>
          </cell>
          <cell r="BW289">
            <v>17167.235405899824</v>
          </cell>
          <cell r="BX289">
            <v>18970.064393521741</v>
          </cell>
          <cell r="BZ289">
            <v>5316.0295169149249</v>
          </cell>
          <cell r="CA289">
            <v>6383.8984937056939</v>
          </cell>
          <cell r="CC289">
            <v>1248.151427119376</v>
          </cell>
          <cell r="CD289">
            <v>1240.3214784208756</v>
          </cell>
          <cell r="CF289">
            <v>153.65500523249895</v>
          </cell>
          <cell r="CG289">
            <v>0</v>
          </cell>
          <cell r="CI289">
            <v>3144.5442297682785</v>
          </cell>
          <cell r="CJ289">
            <v>2598.7747259173207</v>
          </cell>
          <cell r="CL289">
            <v>0</v>
          </cell>
          <cell r="CM289">
            <v>0</v>
          </cell>
          <cell r="CX289">
            <v>9194.1994079957803</v>
          </cell>
          <cell r="CY289">
            <v>-180670.76233358841</v>
          </cell>
        </row>
        <row r="290">
          <cell r="I290">
            <v>8302.5151554574222</v>
          </cell>
          <cell r="J290">
            <v>8088.1637386468719</v>
          </cell>
          <cell r="L290">
            <v>1710.5783736152587</v>
          </cell>
          <cell r="M290">
            <v>1690.6424020761601</v>
          </cell>
          <cell r="O290">
            <v>3259.8000000000006</v>
          </cell>
          <cell r="P290">
            <v>2562.4062045698929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X290">
            <v>7437.2124830322382</v>
          </cell>
          <cell r="Y290">
            <v>5905.913572499524</v>
          </cell>
          <cell r="AA290">
            <v>0</v>
          </cell>
          <cell r="AB290">
            <v>0</v>
          </cell>
          <cell r="AD290">
            <v>11613.158444182132</v>
          </cell>
          <cell r="AE290">
            <v>11164.510261451869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P290">
            <v>4687.737332323567</v>
          </cell>
          <cell r="AQ290">
            <v>4119.7175341428319</v>
          </cell>
          <cell r="AS290">
            <v>30225.812647105879</v>
          </cell>
          <cell r="AT290">
            <v>117508</v>
          </cell>
          <cell r="AV290">
            <v>1493.0900498192123</v>
          </cell>
          <cell r="AW290">
            <v>0</v>
          </cell>
          <cell r="AY290">
            <v>2204.8753064949697</v>
          </cell>
          <cell r="AZ290">
            <v>0</v>
          </cell>
          <cell r="BB290">
            <v>1427.3557587604225</v>
          </cell>
          <cell r="BC290">
            <v>480.39198214586401</v>
          </cell>
          <cell r="BE290">
            <v>0</v>
          </cell>
          <cell r="BF290">
            <v>0</v>
          </cell>
          <cell r="BH290">
            <v>0</v>
          </cell>
          <cell r="BI290">
            <v>0</v>
          </cell>
          <cell r="BK290">
            <v>1019.548497893585</v>
          </cell>
          <cell r="BL290">
            <v>633</v>
          </cell>
          <cell r="BN290">
            <v>0</v>
          </cell>
          <cell r="BO290">
            <v>3845</v>
          </cell>
          <cell r="BT290">
            <v>19737.881047330633</v>
          </cell>
          <cell r="BU290">
            <v>28178.992219796502</v>
          </cell>
          <cell r="BW290">
            <v>14839.013655426495</v>
          </cell>
          <cell r="BX290">
            <v>15627.626553930768</v>
          </cell>
          <cell r="BZ290">
            <v>10682.472024274603</v>
          </cell>
          <cell r="CA290">
            <v>7578.9367369470156</v>
          </cell>
          <cell r="CC290">
            <v>1763.9128333769049</v>
          </cell>
          <cell r="CD290">
            <v>1752.847391561209</v>
          </cell>
          <cell r="CF290">
            <v>217.14836016950539</v>
          </cell>
          <cell r="CG290">
            <v>0</v>
          </cell>
          <cell r="CI290">
            <v>4398.6184166401517</v>
          </cell>
          <cell r="CJ290">
            <v>1981.0090276361705</v>
          </cell>
          <cell r="CL290">
            <v>0</v>
          </cell>
          <cell r="CM290">
            <v>0</v>
          </cell>
          <cell r="CX290">
            <v>5125.003536916458</v>
          </cell>
          <cell r="CY290">
            <v>-98190.709150485578</v>
          </cell>
        </row>
        <row r="291">
          <cell r="I291">
            <v>1937.2978454247802</v>
          </cell>
          <cell r="J291">
            <v>1812.1393007264196</v>
          </cell>
          <cell r="L291">
            <v>334.3612552850916</v>
          </cell>
          <cell r="M291">
            <v>332.22680636427117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X291">
            <v>378.20546734311733</v>
          </cell>
          <cell r="Y291">
            <v>335.38091887062296</v>
          </cell>
          <cell r="AA291">
            <v>0</v>
          </cell>
          <cell r="AB291">
            <v>0</v>
          </cell>
          <cell r="AD291">
            <v>1285.7425420344505</v>
          </cell>
          <cell r="AE291">
            <v>1217.3449951931661</v>
          </cell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P291">
            <v>947.01764289364985</v>
          </cell>
          <cell r="AQ291">
            <v>280.28737885440523</v>
          </cell>
          <cell r="AS291">
            <v>3510.0269344658295</v>
          </cell>
          <cell r="AT291">
            <v>1054</v>
          </cell>
          <cell r="AV291">
            <v>374.52482092463612</v>
          </cell>
          <cell r="AW291">
            <v>0</v>
          </cell>
          <cell r="AY291">
            <v>430.95285496097796</v>
          </cell>
          <cell r="AZ291">
            <v>0</v>
          </cell>
          <cell r="BB291">
            <v>0</v>
          </cell>
          <cell r="BC291">
            <v>0</v>
          </cell>
          <cell r="BE291">
            <v>0</v>
          </cell>
          <cell r="BF291">
            <v>0</v>
          </cell>
          <cell r="BH291">
            <v>0</v>
          </cell>
          <cell r="BI291">
            <v>0</v>
          </cell>
          <cell r="BK291">
            <v>59.168610702023365</v>
          </cell>
          <cell r="BL291">
            <v>0</v>
          </cell>
          <cell r="BN291">
            <v>0</v>
          </cell>
          <cell r="BO291">
            <v>0</v>
          </cell>
          <cell r="BT291">
            <v>3789.4555103094522</v>
          </cell>
          <cell r="BU291">
            <v>4163.691258735741</v>
          </cell>
          <cell r="BW291">
            <v>2193.4912133478815</v>
          </cell>
          <cell r="BX291">
            <v>2539.3970724842802</v>
          </cell>
          <cell r="BZ291">
            <v>377.74604452568263</v>
          </cell>
          <cell r="CA291">
            <v>1149.9624543908494</v>
          </cell>
          <cell r="CC291">
            <v>0</v>
          </cell>
          <cell r="CD291">
            <v>0</v>
          </cell>
          <cell r="CF291">
            <v>0</v>
          </cell>
          <cell r="CG291">
            <v>0</v>
          </cell>
          <cell r="CI291">
            <v>0</v>
          </cell>
          <cell r="CJ291">
            <v>0</v>
          </cell>
          <cell r="CL291">
            <v>0</v>
          </cell>
          <cell r="CM291">
            <v>0</v>
          </cell>
          <cell r="CX291">
            <v>429.49110933891257</v>
          </cell>
          <cell r="CY291">
            <v>3709.7637772562948</v>
          </cell>
        </row>
        <row r="292">
          <cell r="I292">
            <v>6167.5010965697556</v>
          </cell>
          <cell r="J292">
            <v>6037.5339917312222</v>
          </cell>
          <cell r="L292">
            <v>1166.4230722268235</v>
          </cell>
          <cell r="M292">
            <v>1162.7438069129821</v>
          </cell>
          <cell r="O292">
            <v>2738.7599999999998</v>
          </cell>
          <cell r="P292">
            <v>2152.7659069892475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>
            <v>3277.376148320835</v>
          </cell>
          <cell r="Y292">
            <v>4679.1707436302722</v>
          </cell>
          <cell r="AA292">
            <v>0</v>
          </cell>
          <cell r="AB292">
            <v>0</v>
          </cell>
          <cell r="AD292">
            <v>8341.2921549744096</v>
          </cell>
          <cell r="AE292">
            <v>7916.4461391539362</v>
          </cell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P292">
            <v>5398.0005644938037</v>
          </cell>
          <cell r="AQ292">
            <v>4970.2861266255277</v>
          </cell>
          <cell r="AS292">
            <v>13631.97314080336</v>
          </cell>
          <cell r="AT292">
            <v>4220</v>
          </cell>
          <cell r="AV292">
            <v>1018.7425463430262</v>
          </cell>
          <cell r="AW292">
            <v>0</v>
          </cell>
          <cell r="AY292">
            <v>1503.4989161478395</v>
          </cell>
          <cell r="AZ292">
            <v>0</v>
          </cell>
          <cell r="BB292">
            <v>1493.2565303283902</v>
          </cell>
          <cell r="BC292">
            <v>0</v>
          </cell>
          <cell r="BE292">
            <v>0</v>
          </cell>
          <cell r="BF292">
            <v>0</v>
          </cell>
          <cell r="BH292">
            <v>0</v>
          </cell>
          <cell r="BI292">
            <v>0</v>
          </cell>
          <cell r="BK292">
            <v>418.166019251828</v>
          </cell>
          <cell r="BL292">
            <v>263</v>
          </cell>
          <cell r="BN292">
            <v>0</v>
          </cell>
          <cell r="BO292">
            <v>0</v>
          </cell>
          <cell r="BT292">
            <v>21019.683030942371</v>
          </cell>
          <cell r="BU292">
            <v>27604.564381667136</v>
          </cell>
          <cell r="BW292">
            <v>9054.9231062835479</v>
          </cell>
          <cell r="BX292">
            <v>9638.9488992639872</v>
          </cell>
          <cell r="BZ292">
            <v>6791.3433789069431</v>
          </cell>
          <cell r="CA292">
            <v>6703.0806727128693</v>
          </cell>
          <cell r="CC292">
            <v>832.39508395141581</v>
          </cell>
          <cell r="CD292">
            <v>827.1732729895316</v>
          </cell>
          <cell r="CF292">
            <v>102.4728796531099</v>
          </cell>
          <cell r="CG292">
            <v>0</v>
          </cell>
          <cell r="CI292">
            <v>7093.9420421558216</v>
          </cell>
          <cell r="CJ292">
            <v>2159.0005390217921</v>
          </cell>
          <cell r="CL292">
            <v>0</v>
          </cell>
          <cell r="CM292">
            <v>0</v>
          </cell>
          <cell r="CX292">
            <v>2161.1403463760507</v>
          </cell>
          <cell r="CY292">
            <v>16219.182623161794</v>
          </cell>
        </row>
        <row r="293">
          <cell r="I293">
            <v>14611.936795662727</v>
          </cell>
          <cell r="J293">
            <v>14303.752776809051</v>
          </cell>
          <cell r="L293">
            <v>2854.2153542038536</v>
          </cell>
          <cell r="M293">
            <v>2833.3459832408503</v>
          </cell>
          <cell r="O293">
            <v>5765.04</v>
          </cell>
          <cell r="P293">
            <v>4531.5236462365592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10124.033222615551</v>
          </cell>
          <cell r="Y293">
            <v>8257.0643082995866</v>
          </cell>
          <cell r="AA293">
            <v>0</v>
          </cell>
          <cell r="AB293">
            <v>0</v>
          </cell>
          <cell r="AD293">
            <v>18902.168458835029</v>
          </cell>
          <cell r="AE293">
            <v>18479.959028651378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12642.685532630223</v>
          </cell>
          <cell r="AQ293">
            <v>11373.619538941002</v>
          </cell>
          <cell r="AS293">
            <v>47618.331938384217</v>
          </cell>
          <cell r="AT293">
            <v>16524</v>
          </cell>
          <cell r="AV293">
            <v>2341.2061018613631</v>
          </cell>
          <cell r="AW293">
            <v>7487.5317046204882</v>
          </cell>
          <cell r="AY293">
            <v>3678.6579516219567</v>
          </cell>
          <cell r="AZ293">
            <v>0</v>
          </cell>
          <cell r="BB293">
            <v>2795.7458479114321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1477.4685484033084</v>
          </cell>
          <cell r="BK293">
            <v>1457.3787839677098</v>
          </cell>
          <cell r="BL293">
            <v>433</v>
          </cell>
          <cell r="BN293">
            <v>0</v>
          </cell>
          <cell r="BO293">
            <v>0</v>
          </cell>
          <cell r="BT293">
            <v>29372.26276032336</v>
          </cell>
          <cell r="BU293">
            <v>45467.104776077686</v>
          </cell>
          <cell r="BW293">
            <v>21560.532085653522</v>
          </cell>
          <cell r="BX293">
            <v>22795.299503551174</v>
          </cell>
          <cell r="BZ293">
            <v>12517.198044741968</v>
          </cell>
          <cell r="CA293">
            <v>12505.730210303082</v>
          </cell>
          <cell r="CC293">
            <v>2027.4555878717704</v>
          </cell>
          <cell r="CD293">
            <v>2014.736880111958</v>
          </cell>
          <cell r="CF293">
            <v>249.59207047663847</v>
          </cell>
          <cell r="CG293">
            <v>0</v>
          </cell>
          <cell r="CI293">
            <v>5877.3029056383302</v>
          </cell>
          <cell r="CJ293">
            <v>3396.2693316397308</v>
          </cell>
          <cell r="CL293">
            <v>0</v>
          </cell>
          <cell r="CM293">
            <v>0</v>
          </cell>
          <cell r="CX293">
            <v>15819.42786912038</v>
          </cell>
          <cell r="CY293">
            <v>42837.832515737005</v>
          </cell>
        </row>
        <row r="294">
          <cell r="I294">
            <v>8348.2416425228384</v>
          </cell>
          <cell r="J294">
            <v>8168.2206635497969</v>
          </cell>
          <cell r="L294">
            <v>1537.4745796865539</v>
          </cell>
          <cell r="M294">
            <v>1581.5676852780068</v>
          </cell>
          <cell r="O294">
            <v>3489.48</v>
          </cell>
          <cell r="P294">
            <v>3490.4399999999991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4806.9480188412608</v>
          </cell>
          <cell r="Y294">
            <v>5948.4075824304527</v>
          </cell>
          <cell r="AA294">
            <v>0</v>
          </cell>
          <cell r="AB294">
            <v>0</v>
          </cell>
          <cell r="AD294">
            <v>10874.038205352483</v>
          </cell>
          <cell r="AE294">
            <v>10320.192143904007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6534.4217359661843</v>
          </cell>
          <cell r="AQ294">
            <v>6403.1458322959525</v>
          </cell>
          <cell r="AS294">
            <v>36876.090533898852</v>
          </cell>
          <cell r="AT294">
            <v>7982.1585764675801</v>
          </cell>
          <cell r="AV294">
            <v>1405.9648922256026</v>
          </cell>
          <cell r="AW294">
            <v>503.99848642048795</v>
          </cell>
          <cell r="AY294">
            <v>1981.4161977577769</v>
          </cell>
          <cell r="AZ294">
            <v>1337</v>
          </cell>
          <cell r="BB294">
            <v>1767.8746577982554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  <cell r="BK294">
            <v>664.47614255436054</v>
          </cell>
          <cell r="BL294">
            <v>0</v>
          </cell>
          <cell r="BN294">
            <v>0</v>
          </cell>
          <cell r="BO294">
            <v>0</v>
          </cell>
          <cell r="BT294">
            <v>19137.180098445679</v>
          </cell>
          <cell r="BU294">
            <v>28977.436082343378</v>
          </cell>
          <cell r="BW294">
            <v>9592.8196947864708</v>
          </cell>
          <cell r="BX294">
            <v>10038.77598448591</v>
          </cell>
          <cell r="BZ294">
            <v>10872.783609701424</v>
          </cell>
          <cell r="CA294">
            <v>6638.7049905731092</v>
          </cell>
          <cell r="CC294">
            <v>0</v>
          </cell>
          <cell r="CD294">
            <v>0</v>
          </cell>
          <cell r="CF294">
            <v>0</v>
          </cell>
          <cell r="CG294">
            <v>0</v>
          </cell>
          <cell r="CI294">
            <v>6214.2183588277876</v>
          </cell>
          <cell r="CJ294">
            <v>3574.5942669764472</v>
          </cell>
          <cell r="CL294">
            <v>0</v>
          </cell>
          <cell r="CM294">
            <v>0</v>
          </cell>
          <cell r="CX294">
            <v>6775.4059579613531</v>
          </cell>
          <cell r="CY294">
            <v>41741.949246329837</v>
          </cell>
        </row>
        <row r="295">
          <cell r="I295">
            <v>10053.210238036487</v>
          </cell>
          <cell r="J295">
            <v>9856.3864740670451</v>
          </cell>
          <cell r="L295">
            <v>1976.2910896517481</v>
          </cell>
          <cell r="M295">
            <v>1953.2607859309242</v>
          </cell>
          <cell r="O295">
            <v>3651</v>
          </cell>
          <cell r="P295">
            <v>3649.9199999999996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X295">
            <v>6453.6273520491532</v>
          </cell>
          <cell r="Y295">
            <v>7472.150929608516</v>
          </cell>
          <cell r="AA295">
            <v>0</v>
          </cell>
          <cell r="AB295">
            <v>0</v>
          </cell>
          <cell r="AD295">
            <v>12822.1925685109</v>
          </cell>
          <cell r="AE295">
            <v>12176.831695670315</v>
          </cell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P295">
            <v>9091.3693717790375</v>
          </cell>
          <cell r="AQ295">
            <v>8021.8096195505004</v>
          </cell>
          <cell r="AS295">
            <v>33861.412797721299</v>
          </cell>
          <cell r="AT295">
            <v>1902.4893429557408</v>
          </cell>
          <cell r="AV295">
            <v>1611.6447012401443</v>
          </cell>
          <cell r="AW295">
            <v>0</v>
          </cell>
          <cell r="AY295">
            <v>2547.2603672051077</v>
          </cell>
          <cell r="AZ295">
            <v>0</v>
          </cell>
          <cell r="BB295">
            <v>1679.1683726037834</v>
          </cell>
          <cell r="BC295">
            <v>0</v>
          </cell>
          <cell r="BE295">
            <v>0</v>
          </cell>
          <cell r="BF295">
            <v>0</v>
          </cell>
          <cell r="BH295">
            <v>0</v>
          </cell>
          <cell r="BI295">
            <v>0</v>
          </cell>
          <cell r="BK295">
            <v>917.10405527719467</v>
          </cell>
          <cell r="BL295">
            <v>460</v>
          </cell>
          <cell r="BN295">
            <v>0</v>
          </cell>
          <cell r="BO295">
            <v>0</v>
          </cell>
          <cell r="BT295">
            <v>21246.601775871331</v>
          </cell>
          <cell r="BU295">
            <v>39286.289474145669</v>
          </cell>
          <cell r="BW295">
            <v>12591.043234585935</v>
          </cell>
          <cell r="BX295">
            <v>12982.875187792259</v>
          </cell>
          <cell r="BZ295">
            <v>10602.142970375096</v>
          </cell>
          <cell r="CA295">
            <v>9234.6123317253514</v>
          </cell>
          <cell r="CC295">
            <v>0</v>
          </cell>
          <cell r="CD295">
            <v>0</v>
          </cell>
          <cell r="CF295">
            <v>0</v>
          </cell>
          <cell r="CG295">
            <v>0</v>
          </cell>
          <cell r="CI295">
            <v>3911.9627620331557</v>
          </cell>
          <cell r="CJ295">
            <v>3301.2574206180893</v>
          </cell>
          <cell r="CL295">
            <v>0</v>
          </cell>
          <cell r="CM295">
            <v>0</v>
          </cell>
          <cell r="CX295">
            <v>7291.4720116715544</v>
          </cell>
          <cell r="CY295">
            <v>34553.250085522726</v>
          </cell>
        </row>
        <row r="296">
          <cell r="I296">
            <v>9167.8211414411962</v>
          </cell>
          <cell r="J296">
            <v>8960.7066364664079</v>
          </cell>
          <cell r="L296">
            <v>1547.8328297968294</v>
          </cell>
          <cell r="M296">
            <v>1529.7959531673396</v>
          </cell>
          <cell r="O296">
            <v>3550.9199999999996</v>
          </cell>
          <cell r="P296">
            <v>3551.28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X296">
            <v>5192.9153978461336</v>
          </cell>
          <cell r="Y296">
            <v>4067.3108065095657</v>
          </cell>
          <cell r="AA296">
            <v>0</v>
          </cell>
          <cell r="AB296">
            <v>0</v>
          </cell>
          <cell r="AD296">
            <v>11134.26531246328</v>
          </cell>
          <cell r="AE296">
            <v>10616.673359265185</v>
          </cell>
          <cell r="AJ296">
            <v>0</v>
          </cell>
          <cell r="AK296">
            <v>0</v>
          </cell>
          <cell r="AM296">
            <v>0</v>
          </cell>
          <cell r="AN296">
            <v>0</v>
          </cell>
          <cell r="AP296">
            <v>8381.1061396087989</v>
          </cell>
          <cell r="AQ296">
            <v>6601.7300243817999</v>
          </cell>
          <cell r="AS296">
            <v>38721.135783042286</v>
          </cell>
          <cell r="AT296">
            <v>1913.9269898916828</v>
          </cell>
          <cell r="AV296">
            <v>1465.5743256567923</v>
          </cell>
          <cell r="AW296">
            <v>0</v>
          </cell>
          <cell r="AY296">
            <v>1994.8763517874106</v>
          </cell>
          <cell r="AZ296">
            <v>0</v>
          </cell>
          <cell r="BB296">
            <v>1973.147644759455</v>
          </cell>
          <cell r="BC296">
            <v>0</v>
          </cell>
          <cell r="BE296">
            <v>0</v>
          </cell>
          <cell r="BF296">
            <v>0</v>
          </cell>
          <cell r="BH296">
            <v>0</v>
          </cell>
          <cell r="BI296">
            <v>0</v>
          </cell>
          <cell r="BK296">
            <v>706.39549299709142</v>
          </cell>
          <cell r="BL296">
            <v>5868</v>
          </cell>
          <cell r="BN296">
            <v>0</v>
          </cell>
          <cell r="BO296">
            <v>0</v>
          </cell>
          <cell r="BT296">
            <v>30183.919909133649</v>
          </cell>
          <cell r="BU296">
            <v>46740.517957599353</v>
          </cell>
          <cell r="BW296">
            <v>13855.835959290611</v>
          </cell>
          <cell r="BX296">
            <v>13807.496888411224</v>
          </cell>
          <cell r="BZ296">
            <v>14712.239222807424</v>
          </cell>
          <cell r="CA296">
            <v>9899.411694292201</v>
          </cell>
          <cell r="CC296">
            <v>1363.8925810186274</v>
          </cell>
          <cell r="CD296">
            <v>1355.3365607252501</v>
          </cell>
          <cell r="CF296">
            <v>167.90344273903565</v>
          </cell>
          <cell r="CG296">
            <v>0</v>
          </cell>
          <cell r="CI296">
            <v>2770.1937262244369</v>
          </cell>
          <cell r="CJ296">
            <v>2055.7180115552474</v>
          </cell>
          <cell r="CL296">
            <v>0</v>
          </cell>
          <cell r="CM296">
            <v>0</v>
          </cell>
          <cell r="CX296">
            <v>2616.2696872643282</v>
          </cell>
          <cell r="CY296">
            <v>38522.754141281708</v>
          </cell>
        </row>
        <row r="297">
          <cell r="I297">
            <v>5979.6044053708438</v>
          </cell>
          <cell r="J297">
            <v>5920.1166943287835</v>
          </cell>
          <cell r="L297">
            <v>1163.1679162785056</v>
          </cell>
          <cell r="M297">
            <v>1149.6134375646748</v>
          </cell>
          <cell r="O297">
            <v>4172.04</v>
          </cell>
          <cell r="P297">
            <v>4171.5600000000004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X297">
            <v>4987.4155590041328</v>
          </cell>
          <cell r="Y297">
            <v>8104.9691526365477</v>
          </cell>
          <cell r="AA297">
            <v>0</v>
          </cell>
          <cell r="AB297">
            <v>0</v>
          </cell>
          <cell r="AD297">
            <v>11890.659910687076</v>
          </cell>
          <cell r="AE297">
            <v>11978.555317590008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P297">
            <v>1231.1229357617449</v>
          </cell>
          <cell r="AQ297">
            <v>1165.5425482200017</v>
          </cell>
          <cell r="AS297">
            <v>27254.670527671096</v>
          </cell>
          <cell r="AT297">
            <v>1034.876931670555</v>
          </cell>
          <cell r="AV297">
            <v>1079.5151822299279</v>
          </cell>
          <cell r="AW297">
            <v>0</v>
          </cell>
          <cell r="AY297">
            <v>1499.1289154498384</v>
          </cell>
          <cell r="AZ297">
            <v>982</v>
          </cell>
          <cell r="BB297">
            <v>1922.5956799134422</v>
          </cell>
          <cell r="BC297">
            <v>0</v>
          </cell>
          <cell r="BE297">
            <v>0</v>
          </cell>
          <cell r="BF297">
            <v>0</v>
          </cell>
          <cell r="BH297">
            <v>0</v>
          </cell>
          <cell r="BI297">
            <v>0</v>
          </cell>
          <cell r="BK297">
            <v>691.70062561757595</v>
          </cell>
          <cell r="BL297">
            <v>789</v>
          </cell>
          <cell r="BN297">
            <v>0</v>
          </cell>
          <cell r="BO297">
            <v>0</v>
          </cell>
          <cell r="BT297">
            <v>32369.471354068559</v>
          </cell>
          <cell r="BU297">
            <v>47106.571366703385</v>
          </cell>
          <cell r="BW297">
            <v>11976.364337756902</v>
          </cell>
          <cell r="BX297">
            <v>13427.73420195329</v>
          </cell>
          <cell r="BZ297">
            <v>16574.550136830159</v>
          </cell>
          <cell r="CA297">
            <v>11019.105556691013</v>
          </cell>
          <cell r="CC297">
            <v>0</v>
          </cell>
          <cell r="CD297">
            <v>0</v>
          </cell>
          <cell r="CF297">
            <v>0</v>
          </cell>
          <cell r="CG297">
            <v>0</v>
          </cell>
          <cell r="CI297">
            <v>5839.8678552839447</v>
          </cell>
          <cell r="CJ297">
            <v>4373.2097902624655</v>
          </cell>
          <cell r="CL297">
            <v>0</v>
          </cell>
          <cell r="CM297">
            <v>0</v>
          </cell>
          <cell r="CX297">
            <v>8613.2695896915102</v>
          </cell>
          <cell r="CY297">
            <v>29504.094002855116</v>
          </cell>
        </row>
        <row r="298">
          <cell r="I298">
            <v>9167.8211414411962</v>
          </cell>
          <cell r="J298">
            <v>8960.4031946529049</v>
          </cell>
          <cell r="L298">
            <v>1547.8328297968294</v>
          </cell>
          <cell r="M298">
            <v>1537.728805921085</v>
          </cell>
          <cell r="O298">
            <v>3546.6000000000008</v>
          </cell>
          <cell r="P298">
            <v>3545.52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X298">
            <v>5111.2148237847105</v>
          </cell>
          <cell r="Y298">
            <v>6395.5438003428917</v>
          </cell>
          <cell r="AA298">
            <v>0</v>
          </cell>
          <cell r="AB298">
            <v>0</v>
          </cell>
          <cell r="AD298">
            <v>11098.006261061711</v>
          </cell>
          <cell r="AE298">
            <v>10532.75286195244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P298">
            <v>8523.1587860428499</v>
          </cell>
          <cell r="AQ298">
            <v>5829.6266206381752</v>
          </cell>
          <cell r="AS298">
            <v>39862.949284951093</v>
          </cell>
          <cell r="AT298">
            <v>143371.56001727842</v>
          </cell>
          <cell r="AV298">
            <v>1465.5743256567923</v>
          </cell>
          <cell r="AW298">
            <v>0</v>
          </cell>
          <cell r="AY298">
            <v>1994.8763517874106</v>
          </cell>
          <cell r="AZ298">
            <v>1482</v>
          </cell>
          <cell r="BB298">
            <v>1971.3242466643442</v>
          </cell>
          <cell r="BC298">
            <v>0</v>
          </cell>
          <cell r="BE298">
            <v>0</v>
          </cell>
          <cell r="BF298">
            <v>0</v>
          </cell>
          <cell r="BH298">
            <v>0</v>
          </cell>
          <cell r="BI298">
            <v>0</v>
          </cell>
          <cell r="BK298">
            <v>706.39559549727301</v>
          </cell>
          <cell r="BL298">
            <v>14085.929256077703</v>
          </cell>
          <cell r="BN298">
            <v>0</v>
          </cell>
          <cell r="BO298">
            <v>0</v>
          </cell>
          <cell r="BT298">
            <v>24082.416805923476</v>
          </cell>
          <cell r="BU298">
            <v>35869.464937874131</v>
          </cell>
          <cell r="BW298">
            <v>14133.751067740457</v>
          </cell>
          <cell r="BX298">
            <v>15638.014043023113</v>
          </cell>
          <cell r="BZ298">
            <v>12770.313340273506</v>
          </cell>
          <cell r="CA298">
            <v>8720.2420510659394</v>
          </cell>
          <cell r="CC298">
            <v>1646.7892565467093</v>
          </cell>
          <cell r="CD298">
            <v>1636.4585585914447</v>
          </cell>
          <cell r="CF298">
            <v>202.72973802184876</v>
          </cell>
          <cell r="CG298">
            <v>0</v>
          </cell>
          <cell r="CI298">
            <v>4473.4885173489201</v>
          </cell>
          <cell r="CJ298">
            <v>2246.1489701535311</v>
          </cell>
          <cell r="CL298">
            <v>0</v>
          </cell>
          <cell r="CM298">
            <v>0</v>
          </cell>
          <cell r="CX298">
            <v>3409.1491529530176</v>
          </cell>
          <cell r="CY298">
            <v>-137646.23174108611</v>
          </cell>
        </row>
        <row r="299">
          <cell r="I299">
            <v>983.04867320109759</v>
          </cell>
          <cell r="J299">
            <v>946.86101794456181</v>
          </cell>
          <cell r="L299">
            <v>341.4648395909478</v>
          </cell>
          <cell r="M299">
            <v>339.28295092422019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X299">
            <v>570.04441949578143</v>
          </cell>
          <cell r="Y299">
            <v>505.44577769129671</v>
          </cell>
          <cell r="AA299">
            <v>0</v>
          </cell>
          <cell r="AB299">
            <v>0</v>
          </cell>
          <cell r="AD299">
            <v>1596.1679113450621</v>
          </cell>
          <cell r="AE299">
            <v>1514.8704858243614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P299">
            <v>378.80705715745984</v>
          </cell>
          <cell r="AQ299">
            <v>921.9582317325461</v>
          </cell>
          <cell r="AS299">
            <v>4728.1104098047344</v>
          </cell>
          <cell r="AT299">
            <v>173</v>
          </cell>
          <cell r="AV299">
            <v>368.74084918649328</v>
          </cell>
          <cell r="AW299">
            <v>0</v>
          </cell>
          <cell r="AY299">
            <v>440.04300829261018</v>
          </cell>
          <cell r="AZ299">
            <v>0</v>
          </cell>
          <cell r="BB299">
            <v>0</v>
          </cell>
          <cell r="BC299">
            <v>0</v>
          </cell>
          <cell r="BE299">
            <v>0</v>
          </cell>
          <cell r="BF299">
            <v>0</v>
          </cell>
          <cell r="BH299">
            <v>0</v>
          </cell>
          <cell r="BI299">
            <v>0</v>
          </cell>
          <cell r="BK299">
            <v>138.33972898124702</v>
          </cell>
          <cell r="BL299">
            <v>0</v>
          </cell>
          <cell r="BN299">
            <v>0</v>
          </cell>
          <cell r="BO299">
            <v>0</v>
          </cell>
          <cell r="BT299">
            <v>3159.8946551968456</v>
          </cell>
          <cell r="BU299">
            <v>9948.3388916431504</v>
          </cell>
          <cell r="BW299">
            <v>2545.064648668686</v>
          </cell>
          <cell r="BX299">
            <v>3091.8262248543183</v>
          </cell>
          <cell r="BZ299">
            <v>1373.41675302004</v>
          </cell>
          <cell r="CA299">
            <v>1277.6654252844839</v>
          </cell>
          <cell r="CC299">
            <v>0</v>
          </cell>
          <cell r="CD299">
            <v>0</v>
          </cell>
          <cell r="CF299">
            <v>0</v>
          </cell>
          <cell r="CG299">
            <v>0</v>
          </cell>
          <cell r="CI299">
            <v>935.87625885960688</v>
          </cell>
          <cell r="CJ299">
            <v>236.40074673001101</v>
          </cell>
          <cell r="CL299">
            <v>0</v>
          </cell>
          <cell r="CM299">
            <v>0</v>
          </cell>
          <cell r="CX299">
            <v>388.41694463926478</v>
          </cell>
          <cell r="CY299">
            <v>-1287.53970315474</v>
          </cell>
        </row>
        <row r="300">
          <cell r="I300">
            <v>10599.207212682422</v>
          </cell>
          <cell r="J300">
            <v>10383.932408076493</v>
          </cell>
          <cell r="L300">
            <v>2199.9892962915023</v>
          </cell>
          <cell r="M300">
            <v>2179.3082613433853</v>
          </cell>
          <cell r="O300">
            <v>3832.4399999999991</v>
          </cell>
          <cell r="P300">
            <v>3833.6400000000012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X300">
            <v>6626.1586153783146</v>
          </cell>
          <cell r="Y300">
            <v>7768.3089522396785</v>
          </cell>
          <cell r="AA300">
            <v>0</v>
          </cell>
          <cell r="AB300">
            <v>0</v>
          </cell>
          <cell r="AD300">
            <v>13832.315009915015</v>
          </cell>
          <cell r="AE300">
            <v>14645.912323570057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P300">
            <v>9091.3693717790375</v>
          </cell>
          <cell r="AQ300">
            <v>8292.4975491025507</v>
          </cell>
          <cell r="AS300">
            <v>31047.439778521311</v>
          </cell>
          <cell r="AT300">
            <v>32459.971363071651</v>
          </cell>
          <cell r="AV300">
            <v>1732.639864504373</v>
          </cell>
          <cell r="AW300">
            <v>6158</v>
          </cell>
          <cell r="AY300">
            <v>2835.5140573188933</v>
          </cell>
          <cell r="AZ300">
            <v>2195</v>
          </cell>
          <cell r="BB300">
            <v>1892.4630568844098</v>
          </cell>
          <cell r="BC300">
            <v>0</v>
          </cell>
          <cell r="BE300">
            <v>0</v>
          </cell>
          <cell r="BF300">
            <v>0</v>
          </cell>
          <cell r="BH300">
            <v>0</v>
          </cell>
          <cell r="BI300">
            <v>0</v>
          </cell>
          <cell r="BK300">
            <v>938.15733420702065</v>
          </cell>
          <cell r="BL300">
            <v>97</v>
          </cell>
          <cell r="BN300">
            <v>0</v>
          </cell>
          <cell r="BO300">
            <v>0</v>
          </cell>
          <cell r="BT300">
            <v>35162.874384559014</v>
          </cell>
          <cell r="BU300">
            <v>46236.029586115808</v>
          </cell>
          <cell r="BW300">
            <v>13016.752984547116</v>
          </cell>
          <cell r="BX300">
            <v>15157.795259890669</v>
          </cell>
          <cell r="BZ300">
            <v>13743.796365174276</v>
          </cell>
          <cell r="CA300">
            <v>12107.241703195883</v>
          </cell>
          <cell r="CC300">
            <v>36.766567312341706</v>
          </cell>
          <cell r="CD300">
            <v>36.535921951834432</v>
          </cell>
          <cell r="CF300">
            <v>4.5261872638299447</v>
          </cell>
          <cell r="CG300">
            <v>0</v>
          </cell>
          <cell r="CI300">
            <v>6139.3482581190192</v>
          </cell>
          <cell r="CJ300">
            <v>3752.4995672794021</v>
          </cell>
          <cell r="CL300">
            <v>0</v>
          </cell>
          <cell r="CM300">
            <v>0</v>
          </cell>
          <cell r="CX300">
            <v>19390.009986650519</v>
          </cell>
          <cell r="CY300">
            <v>4303.7125249951387</v>
          </cell>
        </row>
        <row r="301">
          <cell r="I301">
            <v>9301.5837003672586</v>
          </cell>
          <cell r="J301">
            <v>9078.146294017537</v>
          </cell>
          <cell r="L301">
            <v>1503.446701194913</v>
          </cell>
          <cell r="M301">
            <v>1485.928739828571</v>
          </cell>
          <cell r="O301">
            <v>3449.28</v>
          </cell>
          <cell r="P301">
            <v>3448.1999999999994</v>
          </cell>
          <cell r="R301">
            <v>890.64000000000021</v>
          </cell>
          <cell r="S301">
            <v>890.7600000000001</v>
          </cell>
          <cell r="U301">
            <v>0</v>
          </cell>
          <cell r="V301">
            <v>0</v>
          </cell>
          <cell r="X301">
            <v>5890.0165967236089</v>
          </cell>
          <cell r="Y301">
            <v>6616.1483012811432</v>
          </cell>
          <cell r="AA301">
            <v>0</v>
          </cell>
          <cell r="AB301">
            <v>0</v>
          </cell>
          <cell r="AD301">
            <v>10639.722637332903</v>
          </cell>
          <cell r="AE301">
            <v>10939.044940818596</v>
          </cell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P301">
            <v>2509.5967536681719</v>
          </cell>
          <cell r="AQ301">
            <v>2390.0541109601036</v>
          </cell>
          <cell r="AS301">
            <v>24640.952173556256</v>
          </cell>
          <cell r="AT301">
            <v>4069.8349421111989</v>
          </cell>
          <cell r="AV301">
            <v>1507.1604035991033</v>
          </cell>
          <cell r="AW301">
            <v>0</v>
          </cell>
          <cell r="AY301">
            <v>1937.5983761499381</v>
          </cell>
          <cell r="AZ301">
            <v>0</v>
          </cell>
          <cell r="BB301">
            <v>1857.5122851610065</v>
          </cell>
          <cell r="BC301">
            <v>0</v>
          </cell>
          <cell r="BE301">
            <v>859.00382534297398</v>
          </cell>
          <cell r="BF301">
            <v>0</v>
          </cell>
          <cell r="BH301">
            <v>0</v>
          </cell>
          <cell r="BI301">
            <v>1132.2781252673831</v>
          </cell>
          <cell r="BK301">
            <v>802.30821170871957</v>
          </cell>
          <cell r="BL301">
            <v>0</v>
          </cell>
          <cell r="BN301">
            <v>0</v>
          </cell>
          <cell r="BO301">
            <v>0</v>
          </cell>
          <cell r="BT301">
            <v>31534.156893250536</v>
          </cell>
          <cell r="BU301">
            <v>48329.649084859448</v>
          </cell>
          <cell r="BW301">
            <v>14101.440988423417</v>
          </cell>
          <cell r="BX301">
            <v>14971.330423517804</v>
          </cell>
          <cell r="BZ301">
            <v>17568.792674547876</v>
          </cell>
          <cell r="CA301">
            <v>8810.7165996232525</v>
          </cell>
          <cell r="CC301">
            <v>0</v>
          </cell>
          <cell r="CD301">
            <v>0</v>
          </cell>
          <cell r="CF301">
            <v>0</v>
          </cell>
          <cell r="CG301">
            <v>0</v>
          </cell>
          <cell r="CI301">
            <v>2489.4308485665547</v>
          </cell>
          <cell r="CJ301">
            <v>2275.86119265141</v>
          </cell>
          <cell r="CL301">
            <v>0</v>
          </cell>
          <cell r="CM301">
            <v>0</v>
          </cell>
          <cell r="CX301">
            <v>13136.468316488113</v>
          </cell>
          <cell r="CY301">
            <v>33590.096694076266</v>
          </cell>
        </row>
        <row r="302">
          <cell r="I302">
            <v>9717.7945867555864</v>
          </cell>
          <cell r="J302">
            <v>9489.4189704248547</v>
          </cell>
          <cell r="L302">
            <v>1509.0734763484122</v>
          </cell>
          <cell r="M302">
            <v>1491.4852535181483</v>
          </cell>
          <cell r="O302">
            <v>3807.9599999999996</v>
          </cell>
          <cell r="P302">
            <v>3809.0400000000004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X302">
            <v>5874.4722520955074</v>
          </cell>
          <cell r="Y302">
            <v>8900.5537593495756</v>
          </cell>
          <cell r="AA302">
            <v>0</v>
          </cell>
          <cell r="AB302">
            <v>0</v>
          </cell>
          <cell r="AD302">
            <v>11036.776353506226</v>
          </cell>
          <cell r="AE302">
            <v>10474.641569809377</v>
          </cell>
          <cell r="AJ302">
            <v>0</v>
          </cell>
          <cell r="AK302">
            <v>0</v>
          </cell>
          <cell r="AM302">
            <v>0</v>
          </cell>
          <cell r="AN302">
            <v>0</v>
          </cell>
          <cell r="AP302">
            <v>9091.3693717790375</v>
          </cell>
          <cell r="AQ302">
            <v>8361.8026611493133</v>
          </cell>
          <cell r="AS302">
            <v>28346.262436634646</v>
          </cell>
          <cell r="AT302">
            <v>5062.2860856536754</v>
          </cell>
          <cell r="AV302">
            <v>1534.1877248073981</v>
          </cell>
          <cell r="AW302">
            <v>1043.3356188650919</v>
          </cell>
          <cell r="AY302">
            <v>1945.1149818890601</v>
          </cell>
          <cell r="AZ302">
            <v>0</v>
          </cell>
          <cell r="BB302">
            <v>1718.8657011071552</v>
          </cell>
          <cell r="BC302">
            <v>0</v>
          </cell>
          <cell r="BE302">
            <v>0</v>
          </cell>
          <cell r="BF302">
            <v>0</v>
          </cell>
          <cell r="BH302">
            <v>0</v>
          </cell>
          <cell r="BI302">
            <v>1550.0918599176036</v>
          </cell>
          <cell r="BK302">
            <v>804.47265151148974</v>
          </cell>
          <cell r="BL302">
            <v>9340.9114363486951</v>
          </cell>
          <cell r="BN302">
            <v>0</v>
          </cell>
          <cell r="BO302">
            <v>0</v>
          </cell>
          <cell r="BT302">
            <v>32029.899910783748</v>
          </cell>
          <cell r="BU302">
            <v>40927.162057433452</v>
          </cell>
          <cell r="BW302">
            <v>13721.790799714241</v>
          </cell>
          <cell r="BX302">
            <v>15776.009329604329</v>
          </cell>
          <cell r="BZ302">
            <v>10871.523567884526</v>
          </cell>
          <cell r="CA302">
            <v>12294.580468597705</v>
          </cell>
          <cell r="CC302">
            <v>0</v>
          </cell>
          <cell r="CD302">
            <v>0</v>
          </cell>
          <cell r="CF302">
            <v>0</v>
          </cell>
          <cell r="CG302">
            <v>0</v>
          </cell>
          <cell r="CI302">
            <v>4436.0534669945355</v>
          </cell>
          <cell r="CJ302">
            <v>2916.9552618626003</v>
          </cell>
          <cell r="CL302">
            <v>0</v>
          </cell>
          <cell r="CM302">
            <v>0</v>
          </cell>
          <cell r="CX302">
            <v>2486.5392618261285</v>
          </cell>
          <cell r="CY302">
            <v>8495.3508009586876</v>
          </cell>
        </row>
        <row r="303">
          <cell r="I303">
            <v>17403.700479700427</v>
          </cell>
          <cell r="J303">
            <v>16944.758998345576</v>
          </cell>
          <cell r="L303">
            <v>3699.2973047949599</v>
          </cell>
          <cell r="M303">
            <v>3664.1188604956837</v>
          </cell>
          <cell r="O303">
            <v>5923.7999999999993</v>
          </cell>
          <cell r="P303">
            <v>4656.1152362903222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X303">
            <v>20360.371703417663</v>
          </cell>
          <cell r="Y303">
            <v>16844.622987427239</v>
          </cell>
          <cell r="AA303">
            <v>0</v>
          </cell>
          <cell r="AB303">
            <v>0</v>
          </cell>
          <cell r="AD303">
            <v>21208.551987845287</v>
          </cell>
          <cell r="AE303">
            <v>22712.506354434416</v>
          </cell>
          <cell r="AJ303">
            <v>0</v>
          </cell>
          <cell r="AK303">
            <v>0</v>
          </cell>
          <cell r="AM303">
            <v>0</v>
          </cell>
          <cell r="AN303">
            <v>0</v>
          </cell>
          <cell r="AP303">
            <v>10511.895836119516</v>
          </cell>
          <cell r="AQ303">
            <v>9574.9098402391464</v>
          </cell>
          <cell r="AS303">
            <v>85381.227256183731</v>
          </cell>
          <cell r="AT303">
            <v>13061.092165254649</v>
          </cell>
          <cell r="AV303">
            <v>3061.1019280008609</v>
          </cell>
          <cell r="AW303">
            <v>1812</v>
          </cell>
          <cell r="AY303">
            <v>4768.1015263573827</v>
          </cell>
          <cell r="AZ303">
            <v>0</v>
          </cell>
          <cell r="BB303">
            <v>2942.0345814026255</v>
          </cell>
          <cell r="BC303">
            <v>10333.96273986187</v>
          </cell>
          <cell r="BE303">
            <v>0</v>
          </cell>
          <cell r="BF303">
            <v>0</v>
          </cell>
          <cell r="BH303">
            <v>0</v>
          </cell>
          <cell r="BI303">
            <v>0</v>
          </cell>
          <cell r="BK303">
            <v>3022.758050626006</v>
          </cell>
          <cell r="BL303">
            <v>5447.0489151035745</v>
          </cell>
          <cell r="BN303">
            <v>0</v>
          </cell>
          <cell r="BO303">
            <v>0</v>
          </cell>
          <cell r="BT303">
            <v>24684.162750077139</v>
          </cell>
          <cell r="BU303">
            <v>48503.962834011509</v>
          </cell>
          <cell r="BW303">
            <v>46817.711769225985</v>
          </cell>
          <cell r="BX303">
            <v>53934.572933844684</v>
          </cell>
          <cell r="BZ303">
            <v>12053.011650966662</v>
          </cell>
          <cell r="CA303">
            <v>11106.22115044356</v>
          </cell>
          <cell r="CC303">
            <v>823.57110779645416</v>
          </cell>
          <cell r="CD303">
            <v>818.40465172109134</v>
          </cell>
          <cell r="CF303">
            <v>101.38659470979071</v>
          </cell>
          <cell r="CG303">
            <v>0</v>
          </cell>
          <cell r="CI303">
            <v>4623.2287187664579</v>
          </cell>
          <cell r="CJ303">
            <v>4599.4908373750313</v>
          </cell>
          <cell r="CL303">
            <v>0</v>
          </cell>
          <cell r="CM303">
            <v>0</v>
          </cell>
          <cell r="CX303">
            <v>39410.384104810902</v>
          </cell>
          <cell r="CY303">
            <v>91456.933794182012</v>
          </cell>
        </row>
        <row r="304"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X304">
            <v>0</v>
          </cell>
          <cell r="Y304">
            <v>0</v>
          </cell>
          <cell r="AA304">
            <v>0</v>
          </cell>
          <cell r="AB304">
            <v>0</v>
          </cell>
          <cell r="AD304">
            <v>0</v>
          </cell>
          <cell r="AE304">
            <v>0</v>
          </cell>
          <cell r="AJ304">
            <v>0</v>
          </cell>
          <cell r="AK304">
            <v>0</v>
          </cell>
          <cell r="AM304">
            <v>0</v>
          </cell>
          <cell r="AN304">
            <v>0</v>
          </cell>
          <cell r="AP304">
            <v>378.80705715745984</v>
          </cell>
          <cell r="AQ304">
            <v>186.85825256960351</v>
          </cell>
          <cell r="AS304">
            <v>2430.2958936730929</v>
          </cell>
          <cell r="AT304">
            <v>860</v>
          </cell>
          <cell r="AV304">
            <v>0</v>
          </cell>
          <cell r="AW304">
            <v>0</v>
          </cell>
          <cell r="AY304">
            <v>0</v>
          </cell>
          <cell r="AZ304">
            <v>0</v>
          </cell>
          <cell r="BB304">
            <v>0</v>
          </cell>
          <cell r="BC304">
            <v>0</v>
          </cell>
          <cell r="BE304">
            <v>0</v>
          </cell>
          <cell r="BF304">
            <v>0</v>
          </cell>
          <cell r="BH304">
            <v>0</v>
          </cell>
          <cell r="BI304">
            <v>0</v>
          </cell>
          <cell r="BK304">
            <v>0</v>
          </cell>
          <cell r="BL304">
            <v>0</v>
          </cell>
          <cell r="BN304">
            <v>0</v>
          </cell>
          <cell r="BO304">
            <v>0</v>
          </cell>
          <cell r="BT304">
            <v>191.41608603358</v>
          </cell>
          <cell r="BU304">
            <v>294.60245761241339</v>
          </cell>
          <cell r="BW304">
            <v>0</v>
          </cell>
          <cell r="BX304">
            <v>6.4906802742526972</v>
          </cell>
          <cell r="BZ304">
            <v>0</v>
          </cell>
          <cell r="CA304">
            <v>71.852611141165525</v>
          </cell>
          <cell r="CC304">
            <v>0</v>
          </cell>
          <cell r="CD304">
            <v>0</v>
          </cell>
          <cell r="CF304">
            <v>0</v>
          </cell>
          <cell r="CG304">
            <v>0</v>
          </cell>
          <cell r="CI304">
            <v>0</v>
          </cell>
          <cell r="CJ304">
            <v>0</v>
          </cell>
          <cell r="CL304">
            <v>0</v>
          </cell>
          <cell r="CM304">
            <v>0</v>
          </cell>
          <cell r="CX304">
            <v>90.097155763040291</v>
          </cell>
          <cell r="CY304">
            <v>1986.9551980830777</v>
          </cell>
        </row>
        <row r="305"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X305">
            <v>0</v>
          </cell>
          <cell r="Y305">
            <v>0</v>
          </cell>
          <cell r="AA305">
            <v>0</v>
          </cell>
          <cell r="AB305">
            <v>0</v>
          </cell>
          <cell r="AD305">
            <v>0</v>
          </cell>
          <cell r="AE305">
            <v>0</v>
          </cell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P305">
            <v>568.21058573618984</v>
          </cell>
          <cell r="AQ305">
            <v>280.28737885440523</v>
          </cell>
          <cell r="AS305">
            <v>2957.2018922620732</v>
          </cell>
          <cell r="AT305">
            <v>537</v>
          </cell>
          <cell r="AV305">
            <v>0</v>
          </cell>
          <cell r="AW305">
            <v>0</v>
          </cell>
          <cell r="AY305">
            <v>0</v>
          </cell>
          <cell r="AZ305">
            <v>0</v>
          </cell>
          <cell r="BB305">
            <v>0</v>
          </cell>
          <cell r="BC305">
            <v>0</v>
          </cell>
          <cell r="BE305">
            <v>0</v>
          </cell>
          <cell r="BF305">
            <v>0</v>
          </cell>
          <cell r="BH305">
            <v>0</v>
          </cell>
          <cell r="BI305">
            <v>0</v>
          </cell>
          <cell r="BK305">
            <v>0</v>
          </cell>
          <cell r="BL305">
            <v>0</v>
          </cell>
          <cell r="BN305">
            <v>0</v>
          </cell>
          <cell r="BO305">
            <v>0</v>
          </cell>
          <cell r="BT305">
            <v>119.63505377098757</v>
          </cell>
          <cell r="BU305">
            <v>324.07767701957022</v>
          </cell>
          <cell r="BW305">
            <v>0</v>
          </cell>
          <cell r="BX305">
            <v>7.8533680971216606</v>
          </cell>
          <cell r="BZ305">
            <v>0</v>
          </cell>
          <cell r="CA305">
            <v>79.03589248400543</v>
          </cell>
          <cell r="CC305">
            <v>0</v>
          </cell>
          <cell r="CD305">
            <v>0</v>
          </cell>
          <cell r="CF305">
            <v>0</v>
          </cell>
          <cell r="CG305">
            <v>0</v>
          </cell>
          <cell r="CI305">
            <v>0</v>
          </cell>
          <cell r="CJ305">
            <v>0</v>
          </cell>
          <cell r="CL305">
            <v>0</v>
          </cell>
          <cell r="CM305">
            <v>0</v>
          </cell>
          <cell r="CX305">
            <v>109.3829618768998</v>
          </cell>
          <cell r="CY305">
            <v>3009.5348202538771</v>
          </cell>
        </row>
        <row r="306"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473.50882144682492</v>
          </cell>
          <cell r="AQ306">
            <v>140.14368942720262</v>
          </cell>
          <cell r="AS306">
            <v>3848.7759752988836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  <cell r="BK306">
            <v>0</v>
          </cell>
          <cell r="BL306">
            <v>0</v>
          </cell>
          <cell r="BN306">
            <v>0</v>
          </cell>
          <cell r="BO306">
            <v>0</v>
          </cell>
          <cell r="BT306">
            <v>526.39423659234524</v>
          </cell>
          <cell r="BU306">
            <v>707.10579285345409</v>
          </cell>
          <cell r="BW306">
            <v>0</v>
          </cell>
          <cell r="BX306">
            <v>10.525165775404298</v>
          </cell>
          <cell r="BZ306">
            <v>0</v>
          </cell>
          <cell r="CA306">
            <v>172.4383476536907</v>
          </cell>
          <cell r="CC306">
            <v>0</v>
          </cell>
          <cell r="CD306">
            <v>0</v>
          </cell>
          <cell r="CF306">
            <v>0</v>
          </cell>
          <cell r="CG306">
            <v>0</v>
          </cell>
          <cell r="CI306">
            <v>0</v>
          </cell>
          <cell r="CJ306">
            <v>0</v>
          </cell>
          <cell r="CL306">
            <v>0</v>
          </cell>
          <cell r="CM306">
            <v>0</v>
          </cell>
          <cell r="CX306">
            <v>126.86515999433635</v>
          </cell>
          <cell r="CY306">
            <v>4709.0244051482978</v>
          </cell>
        </row>
        <row r="307">
          <cell r="I307">
            <v>0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X307">
            <v>0</v>
          </cell>
          <cell r="Y307">
            <v>0</v>
          </cell>
          <cell r="AA307">
            <v>0</v>
          </cell>
          <cell r="AB307">
            <v>0</v>
          </cell>
          <cell r="AD307">
            <v>0</v>
          </cell>
          <cell r="AE307">
            <v>0</v>
          </cell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P307">
            <v>520.85970359150735</v>
          </cell>
          <cell r="AQ307">
            <v>140.14368942720262</v>
          </cell>
          <cell r="AS307">
            <v>2932.2265221325019</v>
          </cell>
          <cell r="AT307">
            <v>581</v>
          </cell>
          <cell r="AV307">
            <v>0</v>
          </cell>
          <cell r="AW307">
            <v>0</v>
          </cell>
          <cell r="AY307">
            <v>0</v>
          </cell>
          <cell r="AZ307">
            <v>0</v>
          </cell>
          <cell r="BB307">
            <v>0</v>
          </cell>
          <cell r="BC307">
            <v>0</v>
          </cell>
          <cell r="BE307">
            <v>0</v>
          </cell>
          <cell r="BF307">
            <v>0</v>
          </cell>
          <cell r="BH307">
            <v>0</v>
          </cell>
          <cell r="BI307">
            <v>0</v>
          </cell>
          <cell r="BK307">
            <v>0</v>
          </cell>
          <cell r="BL307">
            <v>0</v>
          </cell>
          <cell r="BN307">
            <v>0</v>
          </cell>
          <cell r="BO307">
            <v>0</v>
          </cell>
          <cell r="BT307">
            <v>119.63505377098757</v>
          </cell>
          <cell r="BU307">
            <v>324.07767701957022</v>
          </cell>
          <cell r="BW307">
            <v>0</v>
          </cell>
          <cell r="BX307">
            <v>7.7913983998239731</v>
          </cell>
          <cell r="BZ307">
            <v>0</v>
          </cell>
          <cell r="CA307">
            <v>79.03589248400543</v>
          </cell>
          <cell r="CC307">
            <v>0</v>
          </cell>
          <cell r="CD307">
            <v>0</v>
          </cell>
          <cell r="CF307">
            <v>0</v>
          </cell>
          <cell r="CG307">
            <v>0</v>
          </cell>
          <cell r="CI307">
            <v>0</v>
          </cell>
          <cell r="CJ307">
            <v>0</v>
          </cell>
          <cell r="CL307">
            <v>0</v>
          </cell>
          <cell r="CM307">
            <v>0</v>
          </cell>
          <cell r="CX307">
            <v>107.13446460600358</v>
          </cell>
          <cell r="CY307">
            <v>3035.9416112032773</v>
          </cell>
        </row>
        <row r="308">
          <cell r="I308">
            <v>948.30193137987169</v>
          </cell>
          <cell r="J308">
            <v>885.18085730801454</v>
          </cell>
          <cell r="L308">
            <v>163.62908056156724</v>
          </cell>
          <cell r="M308">
            <v>162.58533090216102</v>
          </cell>
          <cell r="O308">
            <v>247.67999999999995</v>
          </cell>
          <cell r="P308">
            <v>247.67999999999995</v>
          </cell>
          <cell r="R308">
            <v>74.64</v>
          </cell>
          <cell r="S308">
            <v>74.64</v>
          </cell>
          <cell r="U308">
            <v>0</v>
          </cell>
          <cell r="V308">
            <v>0</v>
          </cell>
          <cell r="X308">
            <v>478.03660508653621</v>
          </cell>
          <cell r="Y308">
            <v>354.43040645016356</v>
          </cell>
          <cell r="AA308">
            <v>0</v>
          </cell>
          <cell r="AB308">
            <v>0</v>
          </cell>
          <cell r="AD308">
            <v>634.53339952747729</v>
          </cell>
          <cell r="AE308">
            <v>602.21478729262049</v>
          </cell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P308">
            <v>189.40352857872992</v>
          </cell>
          <cell r="AQ308">
            <v>140.30961905365103</v>
          </cell>
          <cell r="AS308">
            <v>3464.4124204057975</v>
          </cell>
          <cell r="AT308">
            <v>18998</v>
          </cell>
          <cell r="AV308">
            <v>207.00823328023128</v>
          </cell>
          <cell r="AW308">
            <v>0</v>
          </cell>
          <cell r="AY308">
            <v>210.640351264906</v>
          </cell>
          <cell r="AZ308">
            <v>0</v>
          </cell>
          <cell r="BB308">
            <v>68.781696635810889</v>
          </cell>
          <cell r="BC308">
            <v>0</v>
          </cell>
          <cell r="BE308">
            <v>107.74096686304495</v>
          </cell>
          <cell r="BF308">
            <v>0</v>
          </cell>
          <cell r="BH308">
            <v>0</v>
          </cell>
          <cell r="BI308">
            <v>0</v>
          </cell>
          <cell r="BK308">
            <v>59.168522736971717</v>
          </cell>
          <cell r="BL308">
            <v>0</v>
          </cell>
          <cell r="BN308">
            <v>0</v>
          </cell>
          <cell r="BO308">
            <v>0</v>
          </cell>
          <cell r="BT308">
            <v>0</v>
          </cell>
          <cell r="BU308">
            <v>12.169513394308666</v>
          </cell>
          <cell r="BW308">
            <v>181.82725512829609</v>
          </cell>
          <cell r="BX308">
            <v>688.51010180554329</v>
          </cell>
          <cell r="BZ308">
            <v>0</v>
          </cell>
          <cell r="CA308">
            <v>1.9242707749234265</v>
          </cell>
          <cell r="CC308">
            <v>0</v>
          </cell>
          <cell r="CD308">
            <v>0</v>
          </cell>
          <cell r="CF308">
            <v>0</v>
          </cell>
          <cell r="CG308">
            <v>0</v>
          </cell>
          <cell r="CI308">
            <v>112.30515106315279</v>
          </cell>
          <cell r="CJ308">
            <v>86.142095049442887</v>
          </cell>
          <cell r="CL308">
            <v>0</v>
          </cell>
          <cell r="CM308">
            <v>0</v>
          </cell>
          <cell r="CX308">
            <v>17.509028985128225</v>
          </cell>
          <cell r="CY308">
            <v>-18109.304378436987</v>
          </cell>
        </row>
        <row r="309">
          <cell r="I309">
            <v>12026.004378248761</v>
          </cell>
          <cell r="J309">
            <v>11699.171702942262</v>
          </cell>
          <cell r="L309">
            <v>2442.0323839466259</v>
          </cell>
          <cell r="M309">
            <v>2413.5740778990739</v>
          </cell>
          <cell r="O309">
            <v>4603.4399999999996</v>
          </cell>
          <cell r="P309">
            <v>3618.3216206989255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X309">
            <v>11046.880108241552</v>
          </cell>
          <cell r="Y309">
            <v>9163.8810629406453</v>
          </cell>
          <cell r="AA309">
            <v>0</v>
          </cell>
          <cell r="AB309">
            <v>0</v>
          </cell>
          <cell r="AD309">
            <v>14543.813377040171</v>
          </cell>
          <cell r="AE309">
            <v>13834.428314846271</v>
          </cell>
          <cell r="AJ309">
            <v>0</v>
          </cell>
          <cell r="AK309">
            <v>0</v>
          </cell>
          <cell r="AM309">
            <v>0</v>
          </cell>
          <cell r="AN309">
            <v>0</v>
          </cell>
          <cell r="AP309">
            <v>4261.5793930214249</v>
          </cell>
          <cell r="AQ309">
            <v>6031.2737625012041</v>
          </cell>
          <cell r="AS309">
            <v>39064.712832016616</v>
          </cell>
          <cell r="AT309">
            <v>19903.801188992897</v>
          </cell>
          <cell r="AV309">
            <v>2173.1652836344169</v>
          </cell>
          <cell r="AW309">
            <v>0</v>
          </cell>
          <cell r="AY309">
            <v>3147.5414504508276</v>
          </cell>
          <cell r="AZ309">
            <v>0</v>
          </cell>
          <cell r="BB309">
            <v>2282.7850430841886</v>
          </cell>
          <cell r="BC309">
            <v>851.26294267612695</v>
          </cell>
          <cell r="BE309">
            <v>0</v>
          </cell>
          <cell r="BF309">
            <v>0</v>
          </cell>
          <cell r="BH309">
            <v>0</v>
          </cell>
          <cell r="BI309">
            <v>955.92363551270068</v>
          </cell>
          <cell r="BK309">
            <v>1602.0621898523902</v>
          </cell>
          <cell r="BL309">
            <v>100</v>
          </cell>
          <cell r="BN309">
            <v>0</v>
          </cell>
          <cell r="BO309">
            <v>0</v>
          </cell>
          <cell r="BT309">
            <v>36064.913864536189</v>
          </cell>
          <cell r="BU309">
            <v>51686.23304373389</v>
          </cell>
          <cell r="BW309">
            <v>26440.898816706944</v>
          </cell>
          <cell r="BX309">
            <v>33512.342550239155</v>
          </cell>
          <cell r="BZ309">
            <v>14917.461611528028</v>
          </cell>
          <cell r="CA309">
            <v>14035.678821738853</v>
          </cell>
          <cell r="CC309">
            <v>2169.3157111897103</v>
          </cell>
          <cell r="CD309">
            <v>2155.7070813709165</v>
          </cell>
          <cell r="CF309">
            <v>267.05591141539986</v>
          </cell>
          <cell r="CG309">
            <v>0</v>
          </cell>
          <cell r="CI309">
            <v>6925.4843155610906</v>
          </cell>
          <cell r="CJ309">
            <v>4473.8212023075503</v>
          </cell>
          <cell r="CL309">
            <v>0</v>
          </cell>
          <cell r="CM309">
            <v>0</v>
          </cell>
          <cell r="CX309">
            <v>8866.1239954307639</v>
          </cell>
          <cell r="CY309">
            <v>20318.594789919443</v>
          </cell>
        </row>
        <row r="310">
          <cell r="I310">
            <v>7675.7089439292149</v>
          </cell>
          <cell r="J310">
            <v>7435.2640282645461</v>
          </cell>
          <cell r="L310">
            <v>1868.8831969547291</v>
          </cell>
          <cell r="M310">
            <v>1847.1021296511028</v>
          </cell>
          <cell r="O310">
            <v>1672.5600000000004</v>
          </cell>
          <cell r="P310">
            <v>1314.6957960483869</v>
          </cell>
          <cell r="R310">
            <v>407.6400000000001</v>
          </cell>
          <cell r="S310">
            <v>320.43256201612905</v>
          </cell>
          <cell r="U310">
            <v>0</v>
          </cell>
          <cell r="V310">
            <v>0</v>
          </cell>
          <cell r="X310">
            <v>2958.1811648159219</v>
          </cell>
          <cell r="Y310">
            <v>2217.8373904078007</v>
          </cell>
          <cell r="AA310">
            <v>0</v>
          </cell>
          <cell r="AB310">
            <v>0</v>
          </cell>
          <cell r="AD310">
            <v>5175.4664877901523</v>
          </cell>
          <cell r="AE310">
            <v>5059.9839506412973</v>
          </cell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P310">
            <v>994.368525038332</v>
          </cell>
          <cell r="AQ310">
            <v>908.32471577050455</v>
          </cell>
          <cell r="AS310">
            <v>12546.043901389841</v>
          </cell>
          <cell r="AT310">
            <v>62256.502155805458</v>
          </cell>
          <cell r="AV310">
            <v>1457.8072437572298</v>
          </cell>
          <cell r="AW310">
            <v>0</v>
          </cell>
          <cell r="AY310">
            <v>2408.9312030559172</v>
          </cell>
          <cell r="AZ310">
            <v>0</v>
          </cell>
          <cell r="BB310">
            <v>972.61814393057512</v>
          </cell>
          <cell r="BC310">
            <v>0</v>
          </cell>
          <cell r="BE310">
            <v>435.69922948434851</v>
          </cell>
          <cell r="BF310">
            <v>0</v>
          </cell>
          <cell r="BH310">
            <v>0</v>
          </cell>
          <cell r="BI310">
            <v>0</v>
          </cell>
          <cell r="BK310">
            <v>341.97962820739434</v>
          </cell>
          <cell r="BL310">
            <v>4337</v>
          </cell>
          <cell r="BN310">
            <v>0</v>
          </cell>
          <cell r="BO310">
            <v>0</v>
          </cell>
          <cell r="BT310">
            <v>18727.564110620187</v>
          </cell>
          <cell r="BU310">
            <v>27840.836259845535</v>
          </cell>
          <cell r="BW310">
            <v>7995.0390941254918</v>
          </cell>
          <cell r="BX310">
            <v>8458.936875578418</v>
          </cell>
          <cell r="BZ310">
            <v>5363.4709241644887</v>
          </cell>
          <cell r="CA310">
            <v>6035.9774800808218</v>
          </cell>
          <cell r="CC310">
            <v>916.81112250055241</v>
          </cell>
          <cell r="CD310">
            <v>911.05974979094344</v>
          </cell>
          <cell r="CF310">
            <v>112.86500561086353</v>
          </cell>
          <cell r="CG310">
            <v>0</v>
          </cell>
          <cell r="CI310">
            <v>1366.3793379350261</v>
          </cell>
          <cell r="CJ310">
            <v>822.26403568513615</v>
          </cell>
          <cell r="CL310">
            <v>0</v>
          </cell>
          <cell r="CM310">
            <v>0</v>
          </cell>
          <cell r="CX310">
            <v>1826.4992840276827</v>
          </cell>
          <cell r="CY310">
            <v>-65815.34055550331</v>
          </cell>
        </row>
        <row r="311">
          <cell r="I311">
            <v>14287.504651554105</v>
          </cell>
          <cell r="J311">
            <v>13941.607666891099</v>
          </cell>
          <cell r="L311">
            <v>2865.4571410572662</v>
          </cell>
          <cell r="M311">
            <v>2847.5223918148358</v>
          </cell>
          <cell r="O311">
            <v>5438.2799999999988</v>
          </cell>
          <cell r="P311">
            <v>4274.6969543010755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X311">
            <v>14032.225965713786</v>
          </cell>
          <cell r="Y311">
            <v>11469.795668283321</v>
          </cell>
          <cell r="AA311">
            <v>0</v>
          </cell>
          <cell r="AB311">
            <v>0</v>
          </cell>
          <cell r="AD311">
            <v>19181.807841106576</v>
          </cell>
          <cell r="AE311">
            <v>17082.378418140677</v>
          </cell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P311">
            <v>8949.3167253449919</v>
          </cell>
          <cell r="AQ311">
            <v>7169.6335998675877</v>
          </cell>
          <cell r="AS311">
            <v>43062.724006882003</v>
          </cell>
          <cell r="AT311">
            <v>7084.0921652546504</v>
          </cell>
          <cell r="AV311">
            <v>2579.5611341037534</v>
          </cell>
          <cell r="AW311">
            <v>2951</v>
          </cell>
          <cell r="AY311">
            <v>3693.0497665428497</v>
          </cell>
          <cell r="AZ311">
            <v>1382</v>
          </cell>
          <cell r="BB311">
            <v>2522.8422228112031</v>
          </cell>
          <cell r="BC311">
            <v>1105</v>
          </cell>
          <cell r="BE311">
            <v>0</v>
          </cell>
          <cell r="BF311">
            <v>0</v>
          </cell>
          <cell r="BH311">
            <v>0</v>
          </cell>
          <cell r="BI311">
            <v>0</v>
          </cell>
          <cell r="BK311">
            <v>0</v>
          </cell>
          <cell r="BL311">
            <v>2898</v>
          </cell>
          <cell r="BN311">
            <v>0</v>
          </cell>
          <cell r="BO311">
            <v>0</v>
          </cell>
          <cell r="BT311">
            <v>75124.436615371393</v>
          </cell>
          <cell r="BU311">
            <v>85659.255080330331</v>
          </cell>
          <cell r="BW311">
            <v>30325.663828000237</v>
          </cell>
          <cell r="BX311">
            <v>37681.918003586259</v>
          </cell>
          <cell r="BZ311">
            <v>15846.333127073614</v>
          </cell>
          <cell r="CA311">
            <v>20809.308593996226</v>
          </cell>
          <cell r="CC311">
            <v>1169.1768405324658</v>
          </cell>
          <cell r="CD311">
            <v>1161.8423180683351</v>
          </cell>
          <cell r="CF311">
            <v>143.93275498979219</v>
          </cell>
          <cell r="CG311">
            <v>1364.4765505177534</v>
          </cell>
          <cell r="CI311">
            <v>2077.6452946683271</v>
          </cell>
          <cell r="CJ311">
            <v>10076.303877302915</v>
          </cell>
          <cell r="CL311">
            <v>0</v>
          </cell>
          <cell r="CM311">
            <v>0</v>
          </cell>
          <cell r="CX311">
            <v>-1250.1494989027888</v>
          </cell>
          <cell r="CY311">
            <v>13559.202453973912</v>
          </cell>
        </row>
        <row r="312">
          <cell r="I312">
            <v>10877.550523694379</v>
          </cell>
          <cell r="J312">
            <v>10602.041685853701</v>
          </cell>
          <cell r="L312">
            <v>2298.2249935527861</v>
          </cell>
          <cell r="M312">
            <v>2326.8966228449499</v>
          </cell>
          <cell r="O312">
            <v>4090.0800000000004</v>
          </cell>
          <cell r="P312">
            <v>3214.7352177419357</v>
          </cell>
          <cell r="R312">
            <v>1177.56</v>
          </cell>
          <cell r="S312">
            <v>925.37415725806454</v>
          </cell>
          <cell r="U312">
            <v>0</v>
          </cell>
          <cell r="V312">
            <v>0</v>
          </cell>
          <cell r="X312">
            <v>10315.53625451643</v>
          </cell>
          <cell r="Y312">
            <v>8234.5329174335893</v>
          </cell>
          <cell r="AA312">
            <v>0</v>
          </cell>
          <cell r="AB312">
            <v>0</v>
          </cell>
          <cell r="AD312">
            <v>14208.16060168365</v>
          </cell>
          <cell r="AE312">
            <v>13301.21664456383</v>
          </cell>
          <cell r="AJ312">
            <v>0</v>
          </cell>
          <cell r="AK312">
            <v>0</v>
          </cell>
          <cell r="AM312">
            <v>0</v>
          </cell>
          <cell r="AN312">
            <v>0</v>
          </cell>
          <cell r="AP312">
            <v>1846.6844036426171</v>
          </cell>
          <cell r="AQ312">
            <v>1500.1199998799402</v>
          </cell>
          <cell r="AS312">
            <v>39971.423198093136</v>
          </cell>
          <cell r="AT312">
            <v>34202.195242418762</v>
          </cell>
          <cell r="AV312">
            <v>2001.9872785339096</v>
          </cell>
          <cell r="AW312">
            <v>3247</v>
          </cell>
          <cell r="AY312">
            <v>2961.9566150309606</v>
          </cell>
          <cell r="AZ312">
            <v>0</v>
          </cell>
          <cell r="BB312">
            <v>2435.6050820057662</v>
          </cell>
          <cell r="BC312">
            <v>1528</v>
          </cell>
          <cell r="BE312">
            <v>1197.4818654364203</v>
          </cell>
          <cell r="BF312">
            <v>0</v>
          </cell>
          <cell r="BH312">
            <v>0</v>
          </cell>
          <cell r="BI312">
            <v>0</v>
          </cell>
          <cell r="BK312">
            <v>1442.4827038778769</v>
          </cell>
          <cell r="BL312">
            <v>313.37374749755588</v>
          </cell>
          <cell r="BN312">
            <v>0</v>
          </cell>
          <cell r="BO312">
            <v>0</v>
          </cell>
          <cell r="BT312">
            <v>48969.183789418508</v>
          </cell>
          <cell r="BU312">
            <v>62630.368705170302</v>
          </cell>
          <cell r="BW312">
            <v>28069.284323628559</v>
          </cell>
          <cell r="BX312">
            <v>33825.895828493085</v>
          </cell>
          <cell r="BZ312">
            <v>22812.484103251434</v>
          </cell>
          <cell r="CA312">
            <v>15326.366133072828</v>
          </cell>
          <cell r="CC312">
            <v>1088.2903924453146</v>
          </cell>
          <cell r="CD312">
            <v>1081.4632897742995</v>
          </cell>
          <cell r="CF312">
            <v>133.97514300936638</v>
          </cell>
          <cell r="CG312">
            <v>0</v>
          </cell>
          <cell r="CI312">
            <v>5540.3874524488738</v>
          </cell>
          <cell r="CJ312">
            <v>3674.5740212475598</v>
          </cell>
          <cell r="CL312">
            <v>0</v>
          </cell>
          <cell r="CM312">
            <v>0</v>
          </cell>
          <cell r="CX312">
            <v>869.10353087600379</v>
          </cell>
          <cell r="CY312">
            <v>7474.1249440995089</v>
          </cell>
        </row>
        <row r="313">
          <cell r="I313">
            <v>10748.182953153366</v>
          </cell>
          <cell r="J313">
            <v>10504.111217910286</v>
          </cell>
          <cell r="L313">
            <v>1997.2983443501153</v>
          </cell>
          <cell r="M313">
            <v>2031.7665223549343</v>
          </cell>
          <cell r="O313">
            <v>4606.5600000000004</v>
          </cell>
          <cell r="P313">
            <v>3620.9552953225802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X313">
            <v>13639.509817695702</v>
          </cell>
          <cell r="Y313">
            <v>10975.568624551912</v>
          </cell>
          <cell r="AA313">
            <v>0</v>
          </cell>
          <cell r="AB313">
            <v>0</v>
          </cell>
          <cell r="AD313">
            <v>16988.135231311589</v>
          </cell>
          <cell r="AE313">
            <v>16179.693327647679</v>
          </cell>
          <cell r="AJ313">
            <v>0</v>
          </cell>
          <cell r="AK313">
            <v>0</v>
          </cell>
          <cell r="AM313">
            <v>0</v>
          </cell>
          <cell r="AN313">
            <v>0</v>
          </cell>
          <cell r="AP313">
            <v>7386.7376145704684</v>
          </cell>
          <cell r="AQ313">
            <v>6809.8300398402316</v>
          </cell>
          <cell r="AS313">
            <v>44437.123719192976</v>
          </cell>
          <cell r="AT313">
            <v>53300.982088409393</v>
          </cell>
          <cell r="AV313">
            <v>1856.4158400493</v>
          </cell>
          <cell r="AW313">
            <v>1248</v>
          </cell>
          <cell r="AY313">
            <v>2574.1806752643743</v>
          </cell>
          <cell r="AZ313">
            <v>4504.1659052734631</v>
          </cell>
          <cell r="BB313">
            <v>3241.1822673533702</v>
          </cell>
          <cell r="BC313">
            <v>0</v>
          </cell>
          <cell r="BE313">
            <v>0</v>
          </cell>
          <cell r="BF313">
            <v>0</v>
          </cell>
          <cell r="BH313">
            <v>0</v>
          </cell>
          <cell r="BI313">
            <v>0</v>
          </cell>
          <cell r="BK313">
            <v>1902.4777559307922</v>
          </cell>
          <cell r="BL313">
            <v>208.92442055244328</v>
          </cell>
          <cell r="BN313">
            <v>0</v>
          </cell>
          <cell r="BO313">
            <v>0</v>
          </cell>
          <cell r="BT313">
            <v>50567.445380225399</v>
          </cell>
          <cell r="BU313">
            <v>63815.997991377997</v>
          </cell>
          <cell r="BW313">
            <v>39555.183312102949</v>
          </cell>
          <cell r="BX313">
            <v>45312.824733837362</v>
          </cell>
          <cell r="BZ313">
            <v>19869.773672862982</v>
          </cell>
          <cell r="CA313">
            <v>14141.06194072735</v>
          </cell>
          <cell r="CC313">
            <v>823.57110779645416</v>
          </cell>
          <cell r="CD313">
            <v>818.40465172109134</v>
          </cell>
          <cell r="CF313">
            <v>101.38659470979071</v>
          </cell>
          <cell r="CG313">
            <v>0</v>
          </cell>
          <cell r="CI313">
            <v>2938.6514528191651</v>
          </cell>
          <cell r="CJ313">
            <v>5318.4419632631634</v>
          </cell>
          <cell r="CL313">
            <v>0</v>
          </cell>
          <cell r="CM313">
            <v>0</v>
          </cell>
          <cell r="CX313">
            <v>6384.4611127334065</v>
          </cell>
          <cell r="CY313">
            <v>-12283.834467347873</v>
          </cell>
        </row>
        <row r="314">
          <cell r="I314">
            <v>27749.003639911138</v>
          </cell>
          <cell r="J314">
            <v>27211.443726423953</v>
          </cell>
          <cell r="L314">
            <v>5722.9276512094393</v>
          </cell>
          <cell r="M314">
            <v>5666.1519282710142</v>
          </cell>
          <cell r="O314">
            <v>12421.08</v>
          </cell>
          <cell r="P314">
            <v>9762.6790436559149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X314">
            <v>30842.814962177581</v>
          </cell>
          <cell r="Y314">
            <v>25231.826089562626</v>
          </cell>
          <cell r="AA314">
            <v>0</v>
          </cell>
          <cell r="AB314">
            <v>0</v>
          </cell>
          <cell r="AD314">
            <v>38901.94287224354</v>
          </cell>
          <cell r="AE314">
            <v>37078.413150220171</v>
          </cell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P314">
            <v>22870.476075881641</v>
          </cell>
          <cell r="AQ314">
            <v>21786.285490493265</v>
          </cell>
          <cell r="AS314">
            <v>106927.42150655383</v>
          </cell>
          <cell r="AT314">
            <v>26836</v>
          </cell>
          <cell r="AV314">
            <v>4607.0534736612744</v>
          </cell>
          <cell r="AW314">
            <v>0</v>
          </cell>
          <cell r="AY314">
            <v>7376.0777188628008</v>
          </cell>
          <cell r="AZ314">
            <v>1329.9675561136937</v>
          </cell>
          <cell r="BB314">
            <v>6446.9516973452592</v>
          </cell>
          <cell r="BC314">
            <v>1015.3260962040786</v>
          </cell>
          <cell r="BE314">
            <v>0</v>
          </cell>
          <cell r="BF314">
            <v>0</v>
          </cell>
          <cell r="BH314">
            <v>0</v>
          </cell>
          <cell r="BI314">
            <v>0</v>
          </cell>
          <cell r="BK314">
            <v>4458.098803733501</v>
          </cell>
          <cell r="BL314">
            <v>1735.928128110673</v>
          </cell>
          <cell r="BN314">
            <v>0</v>
          </cell>
          <cell r="BO314">
            <v>497</v>
          </cell>
          <cell r="BT314">
            <v>78616.250428590924</v>
          </cell>
          <cell r="BU314">
            <v>103161.51790810221</v>
          </cell>
          <cell r="BW314">
            <v>54502.533873578279</v>
          </cell>
          <cell r="BX314">
            <v>55580.82329117538</v>
          </cell>
          <cell r="BZ314">
            <v>25351.312551110135</v>
          </cell>
          <cell r="CA314">
            <v>26169.980907988134</v>
          </cell>
          <cell r="CC314">
            <v>908.86954396108683</v>
          </cell>
          <cell r="CD314">
            <v>903.1679906493473</v>
          </cell>
          <cell r="CF314">
            <v>111.88734916187623</v>
          </cell>
          <cell r="CG314">
            <v>0</v>
          </cell>
          <cell r="CI314">
            <v>14655.822213741443</v>
          </cell>
          <cell r="CJ314">
            <v>6219.5080977706793</v>
          </cell>
          <cell r="CL314">
            <v>0</v>
          </cell>
          <cell r="CM314">
            <v>0</v>
          </cell>
          <cell r="CX314">
            <v>14249.250765931414</v>
          </cell>
          <cell r="CY314">
            <v>124990.65671431064</v>
          </cell>
        </row>
        <row r="315">
          <cell r="I315">
            <v>9071.3163002271285</v>
          </cell>
          <cell r="J315">
            <v>8867.5678331480703</v>
          </cell>
          <cell r="L315">
            <v>1727.144907834667</v>
          </cell>
          <cell r="M315">
            <v>1707.0194950559667</v>
          </cell>
          <cell r="O315">
            <v>3524.1599999999994</v>
          </cell>
          <cell r="P315">
            <v>2770.2399638172046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X315">
            <v>5292.8102146223391</v>
          </cell>
          <cell r="Y315">
            <v>4117.8868474447518</v>
          </cell>
          <cell r="AA315">
            <v>0</v>
          </cell>
          <cell r="AB315">
            <v>0</v>
          </cell>
          <cell r="AD315">
            <v>11157.611352634574</v>
          </cell>
          <cell r="AE315">
            <v>10589.322094667126</v>
          </cell>
          <cell r="AJ315">
            <v>0</v>
          </cell>
          <cell r="AK315">
            <v>0</v>
          </cell>
          <cell r="AM315">
            <v>0</v>
          </cell>
          <cell r="AN315">
            <v>0</v>
          </cell>
          <cell r="AP315">
            <v>8239.0534931747534</v>
          </cell>
          <cell r="AQ315">
            <v>7467.8692191663213</v>
          </cell>
          <cell r="AS315">
            <v>27992.411614330918</v>
          </cell>
          <cell r="AT315">
            <v>85</v>
          </cell>
          <cell r="AV315">
            <v>1462.8832484301468</v>
          </cell>
          <cell r="AW315">
            <v>0</v>
          </cell>
          <cell r="AY315">
            <v>2225.8525564076244</v>
          </cell>
          <cell r="AZ315">
            <v>0</v>
          </cell>
          <cell r="BB315">
            <v>1882.0036634758555</v>
          </cell>
          <cell r="BC315">
            <v>0</v>
          </cell>
          <cell r="BE315">
            <v>0</v>
          </cell>
          <cell r="BF315">
            <v>0</v>
          </cell>
          <cell r="BH315">
            <v>0</v>
          </cell>
          <cell r="BI315">
            <v>0</v>
          </cell>
          <cell r="BK315">
            <v>709.27539010590624</v>
          </cell>
          <cell r="BL315">
            <v>1273</v>
          </cell>
          <cell r="BN315">
            <v>0</v>
          </cell>
          <cell r="BO315">
            <v>0</v>
          </cell>
          <cell r="BT315">
            <v>34851.962423806748</v>
          </cell>
          <cell r="BU315">
            <v>43038.233904915105</v>
          </cell>
          <cell r="BW315">
            <v>13191.986615649004</v>
          </cell>
          <cell r="BX315">
            <v>14194.277265085651</v>
          </cell>
          <cell r="BZ315">
            <v>8638.2919900745383</v>
          </cell>
          <cell r="CA315">
            <v>9200.9675971546549</v>
          </cell>
          <cell r="CC315">
            <v>682.38748931706186</v>
          </cell>
          <cell r="CD315">
            <v>678.10671142604713</v>
          </cell>
          <cell r="CF315">
            <v>84.006035616683747</v>
          </cell>
          <cell r="CG315">
            <v>0</v>
          </cell>
          <cell r="CI315">
            <v>6420.1111357769014</v>
          </cell>
          <cell r="CJ315">
            <v>4009.4567657811804</v>
          </cell>
          <cell r="CL315">
            <v>0</v>
          </cell>
          <cell r="CM315">
            <v>0</v>
          </cell>
          <cell r="CX315">
            <v>3243.9578822181429</v>
          </cell>
          <cell r="CY315">
            <v>38229.14276280551</v>
          </cell>
        </row>
        <row r="316">
          <cell r="I316">
            <v>8206.4462167745805</v>
          </cell>
          <cell r="J316">
            <v>8008.6276255617013</v>
          </cell>
          <cell r="L316">
            <v>1727.144907834667</v>
          </cell>
          <cell r="M316">
            <v>1721.8896556111631</v>
          </cell>
          <cell r="O316">
            <v>3195.3599999999988</v>
          </cell>
          <cell r="P316">
            <v>2511.5780532258068</v>
          </cell>
          <cell r="R316">
            <v>723.4799999999999</v>
          </cell>
          <cell r="S316">
            <v>568.48445322580642</v>
          </cell>
          <cell r="U316">
            <v>531.87068102458227</v>
          </cell>
          <cell r="V316">
            <v>1383.6293250714459</v>
          </cell>
          <cell r="X316">
            <v>5456.2142638286823</v>
          </cell>
          <cell r="Y316">
            <v>4192.7771339490846</v>
          </cell>
          <cell r="AA316">
            <v>0</v>
          </cell>
          <cell r="AB316">
            <v>0</v>
          </cell>
          <cell r="AD316">
            <v>11199.6855349213</v>
          </cell>
          <cell r="AE316">
            <v>10283.913166825867</v>
          </cell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P316">
            <v>1894.0352857872997</v>
          </cell>
          <cell r="AQ316">
            <v>1852.1558525389692</v>
          </cell>
          <cell r="AS316">
            <v>29617.768520036112</v>
          </cell>
          <cell r="AT316">
            <v>16650</v>
          </cell>
          <cell r="AV316">
            <v>1411.2959241761789</v>
          </cell>
          <cell r="AW316">
            <v>1191</v>
          </cell>
          <cell r="AY316">
            <v>2225.8525564076244</v>
          </cell>
          <cell r="AZ316">
            <v>846</v>
          </cell>
          <cell r="BB316">
            <v>1679.2866323541082</v>
          </cell>
          <cell r="BC316">
            <v>0</v>
          </cell>
          <cell r="BE316">
            <v>788.47384890198884</v>
          </cell>
          <cell r="BF316">
            <v>0</v>
          </cell>
          <cell r="BH316">
            <v>539.76213107435467</v>
          </cell>
          <cell r="BI316">
            <v>0</v>
          </cell>
          <cell r="BK316">
            <v>709.27546737042348</v>
          </cell>
          <cell r="BL316">
            <v>450</v>
          </cell>
          <cell r="BN316">
            <v>0</v>
          </cell>
          <cell r="BO316">
            <v>0</v>
          </cell>
          <cell r="BT316">
            <v>47293.049967837702</v>
          </cell>
          <cell r="BU316">
            <v>59285.379944904642</v>
          </cell>
          <cell r="BW316">
            <v>17837.301537490104</v>
          </cell>
          <cell r="BX316">
            <v>18784.153773121961</v>
          </cell>
          <cell r="BZ316">
            <v>13233.785648660485</v>
          </cell>
          <cell r="CA316">
            <v>12509.798823438434</v>
          </cell>
          <cell r="CC316">
            <v>352.95904619848017</v>
          </cell>
          <cell r="CD316">
            <v>350.74485073761059</v>
          </cell>
          <cell r="CF316">
            <v>43.451397732767447</v>
          </cell>
          <cell r="CG316">
            <v>0</v>
          </cell>
          <cell r="CI316">
            <v>4866.5565460699554</v>
          </cell>
          <cell r="CJ316">
            <v>3917.6038336012721</v>
          </cell>
          <cell r="CL316">
            <v>0</v>
          </cell>
          <cell r="CM316">
            <v>0</v>
          </cell>
          <cell r="CX316">
            <v>-1364.1873373776725</v>
          </cell>
          <cell r="CY316">
            <v>9466.1962098234908</v>
          </cell>
        </row>
        <row r="317">
          <cell r="I317">
            <v>17739.145151751738</v>
          </cell>
          <cell r="J317">
            <v>14657.768352478412</v>
          </cell>
          <cell r="L317">
            <v>3424.7031478005524</v>
          </cell>
          <cell r="M317">
            <v>3130.8251947119998</v>
          </cell>
          <cell r="O317">
            <v>7628.3999999999987</v>
          </cell>
          <cell r="P317">
            <v>5995.7646120698919</v>
          </cell>
          <cell r="R317">
            <v>0</v>
          </cell>
          <cell r="S317">
            <v>0</v>
          </cell>
          <cell r="U317">
            <v>0</v>
          </cell>
          <cell r="V317">
            <v>18.246158780325992</v>
          </cell>
          <cell r="X317">
            <v>14197.455239699817</v>
          </cell>
          <cell r="Y317">
            <v>10537.226478774726</v>
          </cell>
          <cell r="AA317">
            <v>0</v>
          </cell>
          <cell r="AB317">
            <v>0</v>
          </cell>
          <cell r="AD317">
            <v>21492.467201650026</v>
          </cell>
          <cell r="AE317">
            <v>20397.793991417497</v>
          </cell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P317">
            <v>13068.843471932369</v>
          </cell>
          <cell r="AQ317">
            <v>12486.186438704141</v>
          </cell>
          <cell r="AS317">
            <v>55400.15817332032</v>
          </cell>
          <cell r="AT317">
            <v>100066.60259707741</v>
          </cell>
          <cell r="AV317">
            <v>3221.9314909501445</v>
          </cell>
          <cell r="AW317">
            <v>5946.3891914070591</v>
          </cell>
          <cell r="AY317">
            <v>4413.8298592101164</v>
          </cell>
          <cell r="AZ317">
            <v>0</v>
          </cell>
          <cell r="BB317">
            <v>2993.2513453773249</v>
          </cell>
          <cell r="BC317">
            <v>823.6264687756086</v>
          </cell>
          <cell r="BE317">
            <v>0</v>
          </cell>
          <cell r="BF317">
            <v>0</v>
          </cell>
          <cell r="BH317">
            <v>0</v>
          </cell>
          <cell r="BI317">
            <v>382</v>
          </cell>
          <cell r="BK317">
            <v>1928.056317713337</v>
          </cell>
          <cell r="BL317">
            <v>8253</v>
          </cell>
          <cell r="BN317">
            <v>1426.1243835230764</v>
          </cell>
          <cell r="BO317">
            <v>0</v>
          </cell>
          <cell r="BT317">
            <v>43323.696336898523</v>
          </cell>
          <cell r="BU317">
            <v>60160.099243067671</v>
          </cell>
          <cell r="BW317">
            <v>24442.098295916086</v>
          </cell>
          <cell r="BX317">
            <v>22668.148708228589</v>
          </cell>
          <cell r="BZ317">
            <v>21013.239485160346</v>
          </cell>
          <cell r="CA317">
            <v>14847.653711618694</v>
          </cell>
          <cell r="CC317">
            <v>94.122412319594744</v>
          </cell>
          <cell r="CD317">
            <v>93.531960196696161</v>
          </cell>
          <cell r="CF317">
            <v>11.587039395404654</v>
          </cell>
          <cell r="CG317">
            <v>0</v>
          </cell>
          <cell r="CI317">
            <v>11717.170760922274</v>
          </cell>
          <cell r="CJ317">
            <v>3660.7088581579328</v>
          </cell>
          <cell r="CL317">
            <v>0</v>
          </cell>
          <cell r="CM317">
            <v>0</v>
          </cell>
          <cell r="CX317">
            <v>5970.4638637506796</v>
          </cell>
          <cell r="CY317">
            <v>-37936.686358559979</v>
          </cell>
        </row>
        <row r="318">
          <cell r="I318">
            <v>8741.8362571723101</v>
          </cell>
          <cell r="J318">
            <v>7256.7300517080057</v>
          </cell>
          <cell r="L318">
            <v>1756.440821225633</v>
          </cell>
          <cell r="M318">
            <v>1643.4875574465723</v>
          </cell>
          <cell r="O318">
            <v>4660.9199999999992</v>
          </cell>
          <cell r="P318">
            <v>3663.5037075</v>
          </cell>
          <cell r="R318">
            <v>0</v>
          </cell>
          <cell r="S318">
            <v>0</v>
          </cell>
          <cell r="U318">
            <v>0</v>
          </cell>
          <cell r="V318">
            <v>18.246158780325992</v>
          </cell>
          <cell r="X318">
            <v>5638.3949738002302</v>
          </cell>
          <cell r="Y318">
            <v>4125.4205264310385</v>
          </cell>
          <cell r="AA318">
            <v>0</v>
          </cell>
          <cell r="AB318">
            <v>0</v>
          </cell>
          <cell r="AD318">
            <v>12145.542228381368</v>
          </cell>
          <cell r="AE318">
            <v>11526.934807631817</v>
          </cell>
          <cell r="AJ318">
            <v>0</v>
          </cell>
          <cell r="AK318">
            <v>0</v>
          </cell>
          <cell r="AM318">
            <v>0</v>
          </cell>
          <cell r="AN318">
            <v>0</v>
          </cell>
          <cell r="AP318">
            <v>6960.5796752683264</v>
          </cell>
          <cell r="AQ318">
            <v>6562.8636888291003</v>
          </cell>
          <cell r="AS318">
            <v>22652.867651855457</v>
          </cell>
          <cell r="AT318">
            <v>81181.132802864202</v>
          </cell>
          <cell r="AV318">
            <v>1564.4845581632455</v>
          </cell>
          <cell r="AW318">
            <v>559</v>
          </cell>
          <cell r="AY318">
            <v>2264.0175842027684</v>
          </cell>
          <cell r="AZ318">
            <v>3256</v>
          </cell>
          <cell r="BB318">
            <v>1718.8148244414317</v>
          </cell>
          <cell r="BC318">
            <v>0</v>
          </cell>
          <cell r="BE318">
            <v>0</v>
          </cell>
          <cell r="BF318">
            <v>0</v>
          </cell>
          <cell r="BH318">
            <v>0</v>
          </cell>
          <cell r="BI318">
            <v>127</v>
          </cell>
          <cell r="BK318">
            <v>736.91220825665243</v>
          </cell>
          <cell r="BL318">
            <v>0</v>
          </cell>
          <cell r="BN318">
            <v>716.05861632167455</v>
          </cell>
          <cell r="BO318">
            <v>3381</v>
          </cell>
          <cell r="BT318">
            <v>15797.366218826957</v>
          </cell>
          <cell r="BU318">
            <v>27288.586966538285</v>
          </cell>
          <cell r="BW318">
            <v>13523.085065784042</v>
          </cell>
          <cell r="BX318">
            <v>14647.117325176987</v>
          </cell>
          <cell r="BZ318">
            <v>10734.670228190153</v>
          </cell>
          <cell r="CA318">
            <v>6562.9246668973828</v>
          </cell>
          <cell r="CC318">
            <v>691.21146547202397</v>
          </cell>
          <cell r="CD318">
            <v>686.87533269448738</v>
          </cell>
          <cell r="CF318">
            <v>85.092320560002932</v>
          </cell>
          <cell r="CG318">
            <v>0</v>
          </cell>
          <cell r="CI318">
            <v>3425.3071074261607</v>
          </cell>
          <cell r="CJ318">
            <v>1306.8265875024822</v>
          </cell>
          <cell r="CL318">
            <v>0</v>
          </cell>
          <cell r="CM318">
            <v>0</v>
          </cell>
          <cell r="CX318">
            <v>6781.0778335818759</v>
          </cell>
          <cell r="CY318">
            <v>-65194.980216000818</v>
          </cell>
        </row>
        <row r="319">
          <cell r="I319">
            <v>11192.281308598291</v>
          </cell>
          <cell r="J319">
            <v>9254.131037325933</v>
          </cell>
          <cell r="L319">
            <v>2292.9007363306891</v>
          </cell>
          <cell r="M319">
            <v>2104.230527539984</v>
          </cell>
          <cell r="O319">
            <v>5228.8799999999983</v>
          </cell>
          <cell r="P319">
            <v>4109.8719998924735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X319">
            <v>7567.5008022023421</v>
          </cell>
          <cell r="Y319">
            <v>5714.1773665485634</v>
          </cell>
          <cell r="AA319">
            <v>0</v>
          </cell>
          <cell r="AB319">
            <v>0</v>
          </cell>
          <cell r="AD319">
            <v>14090.489717889877</v>
          </cell>
          <cell r="AE319">
            <v>13372.820523910754</v>
          </cell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P319">
            <v>9091.3693717790375</v>
          </cell>
          <cell r="AQ319">
            <v>8871.6459711848929</v>
          </cell>
          <cell r="AS319">
            <v>28303.21256689481</v>
          </cell>
          <cell r="AT319">
            <v>11539.421393622875</v>
          </cell>
          <cell r="AV319">
            <v>1956.4068735127164</v>
          </cell>
          <cell r="AW319">
            <v>0</v>
          </cell>
          <cell r="AY319">
            <v>2955.3721603270023</v>
          </cell>
          <cell r="AZ319">
            <v>0</v>
          </cell>
          <cell r="BB319">
            <v>1801.2445972308549</v>
          </cell>
          <cell r="BC319">
            <v>0</v>
          </cell>
          <cell r="BE319">
            <v>0</v>
          </cell>
          <cell r="BF319">
            <v>0</v>
          </cell>
          <cell r="BH319">
            <v>0</v>
          </cell>
          <cell r="BI319">
            <v>0</v>
          </cell>
          <cell r="BK319">
            <v>1059.1218128437079</v>
          </cell>
          <cell r="BL319">
            <v>3175.4067486946074</v>
          </cell>
          <cell r="BN319">
            <v>642.34724546734287</v>
          </cell>
          <cell r="BO319">
            <v>0</v>
          </cell>
          <cell r="BT319">
            <v>38840.379677347344</v>
          </cell>
          <cell r="BU319">
            <v>65436.492971575703</v>
          </cell>
          <cell r="BW319">
            <v>15822.277566476756</v>
          </cell>
          <cell r="BX319">
            <v>16326.331893568211</v>
          </cell>
          <cell r="BZ319">
            <v>25417.539343971406</v>
          </cell>
          <cell r="CA319">
            <v>15346.810998158791</v>
          </cell>
          <cell r="CC319">
            <v>1180.0597444569189</v>
          </cell>
          <cell r="CD319">
            <v>1172.6569509660783</v>
          </cell>
          <cell r="CF319">
            <v>145.2725064198859</v>
          </cell>
          <cell r="CG319">
            <v>0</v>
          </cell>
          <cell r="CI319">
            <v>8647.4966318627648</v>
          </cell>
          <cell r="CJ319">
            <v>6271.3292506299877</v>
          </cell>
          <cell r="CL319">
            <v>0</v>
          </cell>
          <cell r="CM319">
            <v>0</v>
          </cell>
          <cell r="CX319">
            <v>-3.6631963340914808</v>
          </cell>
          <cell r="CY319">
            <v>16242.926839657397</v>
          </cell>
        </row>
        <row r="320">
          <cell r="I320">
            <v>18170.507677565616</v>
          </cell>
          <cell r="J320">
            <v>15048.55299211602</v>
          </cell>
          <cell r="L320">
            <v>4097.0014675747325</v>
          </cell>
          <cell r="M320">
            <v>3695.7590983302171</v>
          </cell>
          <cell r="O320">
            <v>7888.9199999999992</v>
          </cell>
          <cell r="P320">
            <v>6200.7950834946223</v>
          </cell>
          <cell r="R320">
            <v>1789.9200000000003</v>
          </cell>
          <cell r="S320">
            <v>1407.2307190322579</v>
          </cell>
          <cell r="U320">
            <v>1241.2255887572035</v>
          </cell>
          <cell r="V320">
            <v>419.32816451242837</v>
          </cell>
          <cell r="X320">
            <v>17855.41348975318</v>
          </cell>
          <cell r="Y320">
            <v>13785.326579773071</v>
          </cell>
          <cell r="AA320">
            <v>0</v>
          </cell>
          <cell r="AB320">
            <v>0</v>
          </cell>
          <cell r="AD320">
            <v>24633.877870779703</v>
          </cell>
          <cell r="AE320">
            <v>23548.830111261483</v>
          </cell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P320">
            <v>4024.824982298011</v>
          </cell>
          <cell r="AQ320">
            <v>3981.3188149678099</v>
          </cell>
          <cell r="AS320">
            <v>80888.298194232746</v>
          </cell>
          <cell r="AT320">
            <v>164238.186941038</v>
          </cell>
          <cell r="AV320">
            <v>3252.5407145402864</v>
          </cell>
          <cell r="AW320">
            <v>685</v>
          </cell>
          <cell r="AY320">
            <v>5103.6454218171393</v>
          </cell>
          <cell r="AZ320">
            <v>7337.0688737719811</v>
          </cell>
          <cell r="BB320">
            <v>2938.8569816829331</v>
          </cell>
          <cell r="BC320">
            <v>0</v>
          </cell>
          <cell r="BE320">
            <v>1626.3997111552865</v>
          </cell>
          <cell r="BF320">
            <v>0</v>
          </cell>
          <cell r="BH320">
            <v>1259.1537278851117</v>
          </cell>
          <cell r="BI320">
            <v>25.7652888</v>
          </cell>
          <cell r="BK320">
            <v>2563.2115873070479</v>
          </cell>
          <cell r="BL320">
            <v>7757.9220122403749</v>
          </cell>
          <cell r="BN320">
            <v>1392.4189594078643</v>
          </cell>
          <cell r="BO320">
            <v>0</v>
          </cell>
          <cell r="BT320">
            <v>39989.082565605982</v>
          </cell>
          <cell r="BU320">
            <v>63164.021551304191</v>
          </cell>
          <cell r="BW320">
            <v>33906.564393333982</v>
          </cell>
          <cell r="BX320">
            <v>36122.237053593773</v>
          </cell>
          <cell r="BZ320">
            <v>23018.966533788935</v>
          </cell>
          <cell r="CA320">
            <v>15134.503462193545</v>
          </cell>
          <cell r="CC320">
            <v>2590.1311340198481</v>
          </cell>
          <cell r="CD320">
            <v>2573.8826296628326</v>
          </cell>
          <cell r="CF320">
            <v>318.86084036229198</v>
          </cell>
          <cell r="CG320">
            <v>0</v>
          </cell>
          <cell r="CI320">
            <v>14637.104688564244</v>
          </cell>
          <cell r="CJ320">
            <v>9914.4602935624516</v>
          </cell>
          <cell r="CL320">
            <v>0</v>
          </cell>
          <cell r="CM320">
            <v>0</v>
          </cell>
          <cell r="CX320">
            <v>19871.848163481482</v>
          </cell>
          <cell r="CY320">
            <v>-78352.067603586038</v>
          </cell>
        </row>
        <row r="321">
          <cell r="I321">
            <v>12867.870894705018</v>
          </cell>
          <cell r="J321">
            <v>10614.160778880138</v>
          </cell>
          <cell r="L321">
            <v>2577.5516057917689</v>
          </cell>
          <cell r="M321">
            <v>2353.0084342205009</v>
          </cell>
          <cell r="O321">
            <v>4938.6000000000013</v>
          </cell>
          <cell r="P321">
            <v>3881.7822661290315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X321">
            <v>7483.2875172838276</v>
          </cell>
          <cell r="Y321">
            <v>5643.6022105800357</v>
          </cell>
          <cell r="AA321">
            <v>0</v>
          </cell>
          <cell r="AB321">
            <v>0</v>
          </cell>
          <cell r="AD321">
            <v>13640.330174074159</v>
          </cell>
          <cell r="AE321">
            <v>12945.588901227684</v>
          </cell>
          <cell r="AJ321">
            <v>0</v>
          </cell>
          <cell r="AK321">
            <v>0</v>
          </cell>
          <cell r="AM321">
            <v>0</v>
          </cell>
          <cell r="AN321">
            <v>0</v>
          </cell>
          <cell r="AP321">
            <v>9943.6852503833234</v>
          </cell>
          <cell r="AQ321">
            <v>9785.3383927155846</v>
          </cell>
          <cell r="AS321">
            <v>35703.925922525443</v>
          </cell>
          <cell r="AT321">
            <v>9264.7806092044048</v>
          </cell>
          <cell r="AV321">
            <v>2136.3301969187974</v>
          </cell>
          <cell r="AW321">
            <v>0</v>
          </cell>
          <cell r="AY321">
            <v>3322.1713403248255</v>
          </cell>
          <cell r="AZ321">
            <v>8180</v>
          </cell>
          <cell r="BB321">
            <v>1901.6462389546689</v>
          </cell>
          <cell r="BC321">
            <v>0</v>
          </cell>
          <cell r="BE321">
            <v>0</v>
          </cell>
          <cell r="BF321">
            <v>0</v>
          </cell>
          <cell r="BH321">
            <v>0</v>
          </cell>
          <cell r="BI321">
            <v>0</v>
          </cell>
          <cell r="BK321">
            <v>1046.5116147666126</v>
          </cell>
          <cell r="BL321">
            <v>3384.0444958526728</v>
          </cell>
          <cell r="BN321">
            <v>1205.3153536334314</v>
          </cell>
          <cell r="BO321">
            <v>0</v>
          </cell>
          <cell r="BT321">
            <v>26185.239122697705</v>
          </cell>
          <cell r="BU321">
            <v>38059.639913895466</v>
          </cell>
          <cell r="BW321">
            <v>17138.005175897935</v>
          </cell>
          <cell r="BX321">
            <v>16370.034006994796</v>
          </cell>
          <cell r="BZ321">
            <v>11765.654210101062</v>
          </cell>
          <cell r="CA321">
            <v>6407.6549976118858</v>
          </cell>
          <cell r="CC321">
            <v>867.69098857126426</v>
          </cell>
          <cell r="CD321">
            <v>862.24775806329262</v>
          </cell>
          <cell r="CF321">
            <v>106.81801942638664</v>
          </cell>
          <cell r="CG321">
            <v>0</v>
          </cell>
          <cell r="CI321">
            <v>5858.585380461137</v>
          </cell>
          <cell r="CJ321">
            <v>3667.7387889902302</v>
          </cell>
          <cell r="CL321">
            <v>0</v>
          </cell>
          <cell r="CM321">
            <v>0</v>
          </cell>
          <cell r="CX321">
            <v>3887.1371921791506</v>
          </cell>
          <cell r="CY321">
            <v>36610.654134761135</v>
          </cell>
        </row>
        <row r="322">
          <cell r="I322">
            <v>0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X322">
            <v>0</v>
          </cell>
          <cell r="Y322">
            <v>0</v>
          </cell>
          <cell r="AA322">
            <v>0</v>
          </cell>
          <cell r="AB322">
            <v>0</v>
          </cell>
          <cell r="AD322">
            <v>0</v>
          </cell>
          <cell r="AE322">
            <v>0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P322">
            <v>284.10529286809492</v>
          </cell>
          <cell r="AQ322">
            <v>95.761445792828511</v>
          </cell>
          <cell r="AS322">
            <v>2230.0267930443974</v>
          </cell>
          <cell r="AT322">
            <v>0</v>
          </cell>
          <cell r="AV322">
            <v>0</v>
          </cell>
          <cell r="AW322">
            <v>0</v>
          </cell>
          <cell r="AY322">
            <v>0</v>
          </cell>
          <cell r="AZ322">
            <v>0</v>
          </cell>
          <cell r="BB322">
            <v>0</v>
          </cell>
          <cell r="BC322">
            <v>0</v>
          </cell>
          <cell r="BE322">
            <v>0</v>
          </cell>
          <cell r="BF322">
            <v>0</v>
          </cell>
          <cell r="BH322">
            <v>0</v>
          </cell>
          <cell r="BI322">
            <v>0</v>
          </cell>
          <cell r="BK322">
            <v>0</v>
          </cell>
          <cell r="BL322">
            <v>0</v>
          </cell>
          <cell r="BN322">
            <v>0</v>
          </cell>
          <cell r="BO322">
            <v>0</v>
          </cell>
          <cell r="BT322">
            <v>0</v>
          </cell>
          <cell r="BU322">
            <v>0</v>
          </cell>
          <cell r="BW322">
            <v>0</v>
          </cell>
          <cell r="BX322">
            <v>4.925299899805875</v>
          </cell>
          <cell r="BZ322">
            <v>0</v>
          </cell>
          <cell r="CA322">
            <v>0</v>
          </cell>
          <cell r="CC322">
            <v>0</v>
          </cell>
          <cell r="CD322">
            <v>0</v>
          </cell>
          <cell r="CF322">
            <v>0</v>
          </cell>
          <cell r="CG322">
            <v>0</v>
          </cell>
          <cell r="CI322">
            <v>0</v>
          </cell>
          <cell r="CJ322">
            <v>0</v>
          </cell>
          <cell r="CL322">
            <v>0</v>
          </cell>
          <cell r="CM322">
            <v>0</v>
          </cell>
          <cell r="CX322">
            <v>75.321496905009894</v>
          </cell>
          <cell r="CY322">
            <v>2971.4559051688384</v>
          </cell>
        </row>
        <row r="323">
          <cell r="I323">
            <v>6848.5487103924706</v>
          </cell>
          <cell r="J323">
            <v>6716.3186657184833</v>
          </cell>
          <cell r="L323">
            <v>995.10252653307373</v>
          </cell>
          <cell r="M323">
            <v>983.50292305520259</v>
          </cell>
          <cell r="O323">
            <v>2886.48</v>
          </cell>
          <cell r="P323">
            <v>2268.8225623387098</v>
          </cell>
          <cell r="R323">
            <v>730.56000000000006</v>
          </cell>
          <cell r="S323">
            <v>574.11017774193556</v>
          </cell>
          <cell r="U323">
            <v>390.17454427986803</v>
          </cell>
          <cell r="V323">
            <v>1015.0206227860051</v>
          </cell>
          <cell r="X323">
            <v>4026.9231051092593</v>
          </cell>
          <cell r="Y323">
            <v>3009.6126188257067</v>
          </cell>
          <cell r="AA323">
            <v>0</v>
          </cell>
          <cell r="AB323">
            <v>0</v>
          </cell>
          <cell r="AD323">
            <v>9121.503134838149</v>
          </cell>
          <cell r="AE323">
            <v>8656.918728353965</v>
          </cell>
          <cell r="AJ323">
            <v>28804.533191789382</v>
          </cell>
          <cell r="AK323">
            <v>28623.82863710239</v>
          </cell>
          <cell r="AM323">
            <v>0</v>
          </cell>
          <cell r="AN323">
            <v>0</v>
          </cell>
          <cell r="AP323">
            <v>2272.8423429447594</v>
          </cell>
          <cell r="AQ323">
            <v>2237.3977669961937</v>
          </cell>
          <cell r="AS323">
            <v>31516.637539694566</v>
          </cell>
          <cell r="AT323">
            <v>15088.592342132079</v>
          </cell>
          <cell r="AV323">
            <v>432.87177683302201</v>
          </cell>
          <cell r="AW323">
            <v>0</v>
          </cell>
          <cell r="AY323">
            <v>509.23686020386782</v>
          </cell>
          <cell r="AZ323">
            <v>0</v>
          </cell>
          <cell r="BB323">
            <v>656.9664998190334</v>
          </cell>
          <cell r="BC323">
            <v>0</v>
          </cell>
          <cell r="BE323">
            <v>346.11677269454282</v>
          </cell>
          <cell r="BF323">
            <v>0</v>
          </cell>
          <cell r="BH323">
            <v>158.30696475691875</v>
          </cell>
          <cell r="BI323">
            <v>0</v>
          </cell>
          <cell r="BK323">
            <v>318.64338832935732</v>
          </cell>
          <cell r="BL323">
            <v>416.37097428614572</v>
          </cell>
          <cell r="BN323">
            <v>0</v>
          </cell>
          <cell r="BO323">
            <v>0</v>
          </cell>
          <cell r="BT323">
            <v>42270.553804429939</v>
          </cell>
          <cell r="BU323">
            <v>43217.542295194435</v>
          </cell>
          <cell r="BW323">
            <v>19306.819854607755</v>
          </cell>
          <cell r="BX323">
            <v>23549.43701723226</v>
          </cell>
          <cell r="BZ323">
            <v>5323.4008540819432</v>
          </cell>
          <cell r="CA323">
            <v>10947.701319813792</v>
          </cell>
          <cell r="CC323">
            <v>147.06626924936683</v>
          </cell>
          <cell r="CD323">
            <v>146.14368780733773</v>
          </cell>
          <cell r="CF323">
            <v>18.104749055319779</v>
          </cell>
          <cell r="CG323">
            <v>0</v>
          </cell>
          <cell r="CI323">
            <v>9527.2203151907979</v>
          </cell>
          <cell r="CJ323">
            <v>6415.3351003041498</v>
          </cell>
          <cell r="CL323">
            <v>1984.0576687823659</v>
          </cell>
          <cell r="CM323">
            <v>4838.7009546573199</v>
          </cell>
          <cell r="CX323">
            <v>3179.9149516610778</v>
          </cell>
          <cell r="CY323">
            <v>15044.692326784658</v>
          </cell>
        </row>
        <row r="324">
          <cell r="I324">
            <v>23350.05547961294</v>
          </cell>
          <cell r="J324">
            <v>22864.211512095739</v>
          </cell>
          <cell r="L324">
            <v>3601.0630779653734</v>
          </cell>
          <cell r="M324">
            <v>3582.891800480033</v>
          </cell>
          <cell r="O324">
            <v>9552.1200000000008</v>
          </cell>
          <cell r="P324">
            <v>7508.5797599999996</v>
          </cell>
          <cell r="R324">
            <v>2026.6799999999994</v>
          </cell>
          <cell r="S324">
            <v>1593.3448038709676</v>
          </cell>
          <cell r="U324">
            <v>1170.2323882178873</v>
          </cell>
          <cell r="V324">
            <v>3044.2923303574198</v>
          </cell>
          <cell r="X324">
            <v>10352.567174297759</v>
          </cell>
          <cell r="Y324">
            <v>8210.04711573241</v>
          </cell>
          <cell r="AA324">
            <v>0</v>
          </cell>
          <cell r="AB324">
            <v>0</v>
          </cell>
          <cell r="AD324">
            <v>27453.53221703575</v>
          </cell>
          <cell r="AE324">
            <v>26055.244809532465</v>
          </cell>
          <cell r="AJ324">
            <v>86413.599575368164</v>
          </cell>
          <cell r="AK324">
            <v>85563.722021921873</v>
          </cell>
          <cell r="AM324">
            <v>0</v>
          </cell>
          <cell r="AN324">
            <v>0</v>
          </cell>
          <cell r="AP324">
            <v>5113.8952716257081</v>
          </cell>
          <cell r="AQ324">
            <v>4929.2805866418748</v>
          </cell>
          <cell r="AS324">
            <v>95085.172004512322</v>
          </cell>
          <cell r="AT324">
            <v>19700.737430402991</v>
          </cell>
          <cell r="AV324">
            <v>729.48044401535981</v>
          </cell>
          <cell r="AW324">
            <v>3974.7386148679561</v>
          </cell>
          <cell r="AY324">
            <v>955.8062918082054</v>
          </cell>
          <cell r="AZ324">
            <v>4416</v>
          </cell>
          <cell r="BB324">
            <v>934.82827505759951</v>
          </cell>
          <cell r="BC324">
            <v>0</v>
          </cell>
          <cell r="BE324">
            <v>395.01264682016841</v>
          </cell>
          <cell r="BF324">
            <v>0</v>
          </cell>
          <cell r="BH324">
            <v>237.46034910659819</v>
          </cell>
          <cell r="BI324">
            <v>0</v>
          </cell>
          <cell r="BK324">
            <v>555.86113931838338</v>
          </cell>
          <cell r="BL324">
            <v>897</v>
          </cell>
          <cell r="BN324">
            <v>0</v>
          </cell>
          <cell r="BO324">
            <v>0</v>
          </cell>
          <cell r="BT324">
            <v>66816.524533540316</v>
          </cell>
          <cell r="BU324">
            <v>76048.707363668378</v>
          </cell>
          <cell r="BW324">
            <v>52199.057926026348</v>
          </cell>
          <cell r="BX324">
            <v>60047.632625619299</v>
          </cell>
          <cell r="BZ324">
            <v>15944.234753201526</v>
          </cell>
          <cell r="CA324">
            <v>21807.574007051491</v>
          </cell>
          <cell r="CC324">
            <v>1032.4052101305549</v>
          </cell>
          <cell r="CD324">
            <v>1025.9286884075109</v>
          </cell>
          <cell r="CF324">
            <v>127.09533836834485</v>
          </cell>
          <cell r="CG324">
            <v>0</v>
          </cell>
          <cell r="CI324">
            <v>10575.401725113557</v>
          </cell>
          <cell r="CJ324">
            <v>6054.1612236158944</v>
          </cell>
          <cell r="CL324">
            <v>14824.27994033617</v>
          </cell>
          <cell r="CM324">
            <v>15951.135025161146</v>
          </cell>
          <cell r="CX324">
            <v>12018.401086225145</v>
          </cell>
          <cell r="CY324">
            <v>79423.764336687091</v>
          </cell>
        </row>
        <row r="325">
          <cell r="I325">
            <v>11134.256695023521</v>
          </cell>
          <cell r="J325">
            <v>10894.144870998522</v>
          </cell>
          <cell r="L325">
            <v>2283.1352684857343</v>
          </cell>
          <cell r="M325">
            <v>2284.5310551462144</v>
          </cell>
          <cell r="O325">
            <v>4590.72</v>
          </cell>
          <cell r="P325">
            <v>3608.2911505376351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X325">
            <v>7587.5615074685948</v>
          </cell>
          <cell r="Y325">
            <v>5960.6423166502027</v>
          </cell>
          <cell r="AA325">
            <v>0</v>
          </cell>
          <cell r="AB325">
            <v>0</v>
          </cell>
          <cell r="AD325">
            <v>14429.050058688974</v>
          </cell>
          <cell r="AE325">
            <v>13694.137012171059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P325">
            <v>9091.3693717790375</v>
          </cell>
          <cell r="AQ325">
            <v>8251.2092927653575</v>
          </cell>
          <cell r="AS325">
            <v>32472.682989833163</v>
          </cell>
          <cell r="AT325">
            <v>7611.6160394370354</v>
          </cell>
          <cell r="AV325">
            <v>1851.793658936361</v>
          </cell>
          <cell r="AW325">
            <v>0</v>
          </cell>
          <cell r="AY325">
            <v>2942.5534028547149</v>
          </cell>
          <cell r="AZ325">
            <v>0</v>
          </cell>
          <cell r="BB325">
            <v>2353.4759721805249</v>
          </cell>
          <cell r="BC325">
            <v>0</v>
          </cell>
          <cell r="BE325">
            <v>0</v>
          </cell>
          <cell r="BF325">
            <v>0</v>
          </cell>
          <cell r="BH325">
            <v>0</v>
          </cell>
          <cell r="BI325">
            <v>0</v>
          </cell>
          <cell r="BK325">
            <v>1046.5116410375374</v>
          </cell>
          <cell r="BL325">
            <v>0</v>
          </cell>
          <cell r="BN325">
            <v>0</v>
          </cell>
          <cell r="BO325">
            <v>0</v>
          </cell>
          <cell r="BT325">
            <v>34379.645641709729</v>
          </cell>
          <cell r="BU325">
            <v>44721.78609564319</v>
          </cell>
          <cell r="BW325">
            <v>23714.87253357892</v>
          </cell>
          <cell r="BX325">
            <v>23958.736248034798</v>
          </cell>
          <cell r="BZ325">
            <v>14217.685266015986</v>
          </cell>
          <cell r="CA325">
            <v>9689.7193816229119</v>
          </cell>
          <cell r="CC325">
            <v>782.39255240663158</v>
          </cell>
          <cell r="CD325">
            <v>777.48441913503689</v>
          </cell>
          <cell r="CF325">
            <v>96.31726497430121</v>
          </cell>
          <cell r="CG325">
            <v>0</v>
          </cell>
          <cell r="CI325">
            <v>6607.2863875488219</v>
          </cell>
          <cell r="CJ325">
            <v>2998.6153631817124</v>
          </cell>
          <cell r="CL325">
            <v>0</v>
          </cell>
          <cell r="CM325">
            <v>0</v>
          </cell>
          <cell r="CX325">
            <v>4070.0277449729329</v>
          </cell>
          <cell r="CY325">
            <v>46226.504105611588</v>
          </cell>
        </row>
        <row r="326">
          <cell r="I326">
            <v>22136.816144382086</v>
          </cell>
          <cell r="J326">
            <v>21657.001327006405</v>
          </cell>
          <cell r="L326">
            <v>3525.0167689258028</v>
          </cell>
          <cell r="M326">
            <v>3523.1423078579401</v>
          </cell>
          <cell r="O326">
            <v>6826.56</v>
          </cell>
          <cell r="P326">
            <v>5365.6165283870969</v>
          </cell>
          <cell r="R326">
            <v>1583.88</v>
          </cell>
          <cell r="S326">
            <v>1244.8236372043011</v>
          </cell>
          <cell r="U326">
            <v>886.54788981894308</v>
          </cell>
          <cell r="V326">
            <v>2306.3053877859415</v>
          </cell>
          <cell r="X326">
            <v>6688.2601892845187</v>
          </cell>
          <cell r="Y326">
            <v>5087.2863605167286</v>
          </cell>
          <cell r="AA326">
            <v>0</v>
          </cell>
          <cell r="AB326">
            <v>0</v>
          </cell>
          <cell r="AD326">
            <v>22474.540188196333</v>
          </cell>
          <cell r="AE326">
            <v>21369.834127518137</v>
          </cell>
          <cell r="AJ326">
            <v>46910.262688904157</v>
          </cell>
          <cell r="AK326">
            <v>46615.97947318606</v>
          </cell>
          <cell r="AM326">
            <v>0</v>
          </cell>
          <cell r="AN326">
            <v>0</v>
          </cell>
          <cell r="AP326">
            <v>4261.5793930214249</v>
          </cell>
          <cell r="AQ326">
            <v>3568.370779780163</v>
          </cell>
          <cell r="AS326">
            <v>76640.18548070328</v>
          </cell>
          <cell r="AT326">
            <v>14555.846264334823</v>
          </cell>
          <cell r="AV326">
            <v>1796.4188438354784</v>
          </cell>
          <cell r="AW326">
            <v>2734.2964790199908</v>
          </cell>
          <cell r="AY326">
            <v>2293.3372546358951</v>
          </cell>
          <cell r="AZ326">
            <v>1717</v>
          </cell>
          <cell r="BB326">
            <v>2359.0374521045601</v>
          </cell>
          <cell r="BC326">
            <v>0</v>
          </cell>
          <cell r="BE326">
            <v>907.54292594961828</v>
          </cell>
          <cell r="BF326">
            <v>616.4757719159312</v>
          </cell>
          <cell r="BH326">
            <v>449.65615358443739</v>
          </cell>
          <cell r="BI326">
            <v>0</v>
          </cell>
          <cell r="BK326">
            <v>1932.4458299031037</v>
          </cell>
          <cell r="BL326">
            <v>7607.3347809886609</v>
          </cell>
          <cell r="BN326">
            <v>0</v>
          </cell>
          <cell r="BO326">
            <v>0</v>
          </cell>
          <cell r="BT326">
            <v>52050.056293242211</v>
          </cell>
          <cell r="BU326">
            <v>52151.915875407809</v>
          </cell>
          <cell r="BW326">
            <v>62854.56870241883</v>
          </cell>
          <cell r="BX326">
            <v>69167.882886154097</v>
          </cell>
          <cell r="BZ326">
            <v>5271.4652359933416</v>
          </cell>
          <cell r="CA326">
            <v>15878.570148942843</v>
          </cell>
          <cell r="CC326">
            <v>811.80580625650452</v>
          </cell>
          <cell r="CD326">
            <v>806.71315669650437</v>
          </cell>
          <cell r="CF326">
            <v>99.93821478536519</v>
          </cell>
          <cell r="CG326">
            <v>0</v>
          </cell>
          <cell r="CI326">
            <v>15105.042817994048</v>
          </cell>
          <cell r="CJ326">
            <v>18594.914788328944</v>
          </cell>
          <cell r="CL326">
            <v>35525.862786310681</v>
          </cell>
          <cell r="CM326">
            <v>26710.578083773453</v>
          </cell>
          <cell r="CX326">
            <v>12026.577527699337</v>
          </cell>
          <cell r="CY326">
            <v>74559.704202233057</v>
          </cell>
        </row>
        <row r="327">
          <cell r="I327">
            <v>20698.653542308279</v>
          </cell>
          <cell r="J327">
            <v>20419.848162363622</v>
          </cell>
          <cell r="L327">
            <v>4080.120651970336</v>
          </cell>
          <cell r="M327">
            <v>4101.523820226329</v>
          </cell>
          <cell r="O327">
            <v>12537.360000000002</v>
          </cell>
          <cell r="P327">
            <v>9854.1994517204275</v>
          </cell>
          <cell r="R327">
            <v>2953.8000000000006</v>
          </cell>
          <cell r="S327">
            <v>2321.8438459677423</v>
          </cell>
          <cell r="U327">
            <v>1560.4064423538555</v>
          </cell>
          <cell r="V327">
            <v>4350.5499008680454</v>
          </cell>
          <cell r="X327">
            <v>14719.156725206989</v>
          </cell>
          <cell r="Y327">
            <v>11670.009045933775</v>
          </cell>
          <cell r="AA327">
            <v>0</v>
          </cell>
          <cell r="AB327">
            <v>0</v>
          </cell>
          <cell r="AD327">
            <v>36129.493706114044</v>
          </cell>
          <cell r="AE327">
            <v>34518.226315687287</v>
          </cell>
          <cell r="AJ327">
            <v>71325.536226641983</v>
          </cell>
          <cell r="AK327">
            <v>70878.072252917569</v>
          </cell>
          <cell r="AM327">
            <v>0</v>
          </cell>
          <cell r="AN327">
            <v>5746.7263522956837</v>
          </cell>
          <cell r="AP327">
            <v>6723.8252645449147</v>
          </cell>
          <cell r="AQ327">
            <v>6740.0910627921257</v>
          </cell>
          <cell r="AS327">
            <v>115536.98906538064</v>
          </cell>
          <cell r="AT327">
            <v>34730.40189152048</v>
          </cell>
          <cell r="AV327">
            <v>1715.7508332818977</v>
          </cell>
          <cell r="AW327">
            <v>767.51412344306414</v>
          </cell>
          <cell r="AY327">
            <v>2721.1559648707766</v>
          </cell>
          <cell r="AZ327">
            <v>9584.2208215740684</v>
          </cell>
          <cell r="BB327">
            <v>3053.4925117328207</v>
          </cell>
          <cell r="BC327">
            <v>2996</v>
          </cell>
          <cell r="BE327">
            <v>1615.264638505975</v>
          </cell>
          <cell r="BF327">
            <v>0</v>
          </cell>
          <cell r="BH327">
            <v>791.53457871264402</v>
          </cell>
          <cell r="BI327">
            <v>0</v>
          </cell>
          <cell r="BK327">
            <v>2203.4840808411795</v>
          </cell>
          <cell r="BL327">
            <v>1378.007111349609</v>
          </cell>
          <cell r="BN327">
            <v>0</v>
          </cell>
          <cell r="BO327">
            <v>0</v>
          </cell>
          <cell r="BT327">
            <v>141219.73044890192</v>
          </cell>
          <cell r="BU327">
            <v>162547.09914555802</v>
          </cell>
          <cell r="BW327">
            <v>79532.024558684119</v>
          </cell>
          <cell r="BX327">
            <v>90483.72506390755</v>
          </cell>
          <cell r="BZ327">
            <v>12355.483543278975</v>
          </cell>
          <cell r="CA327">
            <v>38892.311282950366</v>
          </cell>
          <cell r="CC327">
            <v>1800.0911356122494</v>
          </cell>
          <cell r="CD327">
            <v>1788.7987387618141</v>
          </cell>
          <cell r="CF327">
            <v>221.60212843711409</v>
          </cell>
          <cell r="CG327">
            <v>2747.9154789647573</v>
          </cell>
          <cell r="CI327">
            <v>12690.482070136264</v>
          </cell>
          <cell r="CJ327">
            <v>4157.9216831511276</v>
          </cell>
          <cell r="CL327">
            <v>16246.811853802776</v>
          </cell>
          <cell r="CM327">
            <v>19679.408226001236</v>
          </cell>
          <cell r="CX327">
            <v>16414.910034416265</v>
          </cell>
          <cell r="CY327">
            <v>42908.313466454354</v>
          </cell>
        </row>
        <row r="328">
          <cell r="I328">
            <v>949.86496079474375</v>
          </cell>
          <cell r="J328">
            <v>964.39591915712288</v>
          </cell>
          <cell r="L328">
            <v>306.25090642476692</v>
          </cell>
          <cell r="M328">
            <v>302.68377203750657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X328">
            <v>29.052098881275089</v>
          </cell>
          <cell r="Y328">
            <v>48.036544794115713</v>
          </cell>
          <cell r="AA328">
            <v>0</v>
          </cell>
          <cell r="AB328">
            <v>0</v>
          </cell>
          <cell r="AD328">
            <v>1258.2061869606159</v>
          </cell>
          <cell r="AE328">
            <v>1194.1221247218766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P328">
            <v>568.21058573618984</v>
          </cell>
          <cell r="AQ328">
            <v>233.57281571200437</v>
          </cell>
          <cell r="AS328">
            <v>2080.3470427563648</v>
          </cell>
          <cell r="AT328">
            <v>0</v>
          </cell>
          <cell r="AV328">
            <v>213.51233637407825</v>
          </cell>
          <cell r="AW328">
            <v>0</v>
          </cell>
          <cell r="AY328">
            <v>394.65163909226175</v>
          </cell>
          <cell r="AZ328">
            <v>0</v>
          </cell>
          <cell r="BB328">
            <v>0</v>
          </cell>
          <cell r="BC328">
            <v>0</v>
          </cell>
          <cell r="BE328">
            <v>0</v>
          </cell>
          <cell r="BF328">
            <v>0</v>
          </cell>
          <cell r="BH328">
            <v>0</v>
          </cell>
          <cell r="BI328">
            <v>0</v>
          </cell>
          <cell r="BK328">
            <v>0</v>
          </cell>
          <cell r="BL328">
            <v>0</v>
          </cell>
          <cell r="BN328">
            <v>0</v>
          </cell>
          <cell r="BO328">
            <v>0</v>
          </cell>
          <cell r="BT328">
            <v>2028.7352096325501</v>
          </cell>
          <cell r="BU328">
            <v>3791.1809276201125</v>
          </cell>
          <cell r="BW328">
            <v>86.584407203950491</v>
          </cell>
          <cell r="BX328">
            <v>463.24204134331012</v>
          </cell>
          <cell r="BZ328">
            <v>1625.0094209077208</v>
          </cell>
          <cell r="CA328">
            <v>868.11720424062241</v>
          </cell>
          <cell r="CC328">
            <v>0</v>
          </cell>
          <cell r="CD328">
            <v>0</v>
          </cell>
          <cell r="CF328">
            <v>0</v>
          </cell>
          <cell r="CG328">
            <v>0</v>
          </cell>
          <cell r="CI328">
            <v>0</v>
          </cell>
          <cell r="CJ328">
            <v>0</v>
          </cell>
          <cell r="CL328">
            <v>0</v>
          </cell>
          <cell r="CM328">
            <v>0</v>
          </cell>
          <cell r="CX328">
            <v>449.25024628257961</v>
          </cell>
          <cell r="CY328">
            <v>2459.338380447995</v>
          </cell>
        </row>
        <row r="329">
          <cell r="I329">
            <v>19569.915101881736</v>
          </cell>
          <cell r="J329">
            <v>19090.852755071344</v>
          </cell>
          <cell r="L329">
            <v>3100.6991623379367</v>
          </cell>
          <cell r="M329">
            <v>3064.5635238464074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U329">
            <v>265.93583065619049</v>
          </cell>
          <cell r="V329">
            <v>691.81466253572296</v>
          </cell>
          <cell r="X329">
            <v>7218.0153656303655</v>
          </cell>
          <cell r="Y329">
            <v>6065.0092456859857</v>
          </cell>
          <cell r="AA329">
            <v>0</v>
          </cell>
          <cell r="AB329">
            <v>0</v>
          </cell>
          <cell r="AD329">
            <v>15036.38916966527</v>
          </cell>
          <cell r="AE329">
            <v>14270.542594293998</v>
          </cell>
          <cell r="AJ329">
            <v>11262.602292333329</v>
          </cell>
          <cell r="AK329">
            <v>11571.504173617324</v>
          </cell>
          <cell r="AM329">
            <v>1671.2076051064405</v>
          </cell>
          <cell r="AN329">
            <v>1717.0449955583772</v>
          </cell>
          <cell r="AP329">
            <v>4687.737332323567</v>
          </cell>
          <cell r="AQ329">
            <v>4016.8352638785354</v>
          </cell>
          <cell r="AS329">
            <v>39920.534742815093</v>
          </cell>
          <cell r="AT329">
            <v>45074.254254453932</v>
          </cell>
          <cell r="AV329">
            <v>1540.5238514849541</v>
          </cell>
          <cell r="AW329">
            <v>0</v>
          </cell>
          <cell r="AY329">
            <v>1998.3139563783013</v>
          </cell>
          <cell r="AZ329">
            <v>0</v>
          </cell>
          <cell r="BB329">
            <v>0</v>
          </cell>
          <cell r="BC329">
            <v>0</v>
          </cell>
          <cell r="BE329">
            <v>0</v>
          </cell>
          <cell r="BF329">
            <v>0</v>
          </cell>
          <cell r="BH329">
            <v>134.94041023261386</v>
          </cell>
          <cell r="BI329">
            <v>1065.4917767572531</v>
          </cell>
          <cell r="BK329">
            <v>464.21379665170258</v>
          </cell>
          <cell r="BL329">
            <v>20955.515330597278</v>
          </cell>
          <cell r="BN329">
            <v>0</v>
          </cell>
          <cell r="BO329">
            <v>0</v>
          </cell>
          <cell r="BT329">
            <v>18989.787469130857</v>
          </cell>
          <cell r="BU329">
            <v>30862.391559790802</v>
          </cell>
          <cell r="BW329">
            <v>30970.590298323004</v>
          </cell>
          <cell r="BX329">
            <v>33744.138436392568</v>
          </cell>
          <cell r="BZ329">
            <v>13694.286373852277</v>
          </cell>
          <cell r="CA329">
            <v>8115.6795547977626</v>
          </cell>
          <cell r="CC329">
            <v>100.29919562806818</v>
          </cell>
          <cell r="CD329">
            <v>99.669995084604338</v>
          </cell>
          <cell r="CF329">
            <v>12.347438855728086</v>
          </cell>
          <cell r="CG329">
            <v>0</v>
          </cell>
          <cell r="CI329">
            <v>2657.8885751612829</v>
          </cell>
          <cell r="CJ329">
            <v>2788.5203730677476</v>
          </cell>
          <cell r="CL329">
            <v>7674.1853226487738</v>
          </cell>
          <cell r="CM329">
            <v>7930.3852494811108</v>
          </cell>
          <cell r="CX329">
            <v>3950.4140506830445</v>
          </cell>
          <cell r="CY329">
            <v>-32234.146493892888</v>
          </cell>
        </row>
        <row r="330">
          <cell r="I330">
            <v>16688.859023244317</v>
          </cell>
          <cell r="J330">
            <v>15896.133492173971</v>
          </cell>
          <cell r="L330">
            <v>2723.1348922620737</v>
          </cell>
          <cell r="M330">
            <v>2726.5057488748898</v>
          </cell>
          <cell r="O330">
            <v>5394.7200000000012</v>
          </cell>
          <cell r="P330">
            <v>5395.9199999999992</v>
          </cell>
          <cell r="R330">
            <v>1334.8799999999999</v>
          </cell>
          <cell r="S330">
            <v>1333.44</v>
          </cell>
          <cell r="U330">
            <v>780.05784393801957</v>
          </cell>
          <cell r="V330">
            <v>581.90637992304585</v>
          </cell>
          <cell r="X330">
            <v>5848.6386851058187</v>
          </cell>
          <cell r="Y330">
            <v>7094.2227469142517</v>
          </cell>
          <cell r="AA330">
            <v>0</v>
          </cell>
          <cell r="AB330">
            <v>0</v>
          </cell>
          <cell r="AD330">
            <v>17761.3766057762</v>
          </cell>
          <cell r="AE330">
            <v>16856.738577727869</v>
          </cell>
          <cell r="AJ330">
            <v>57609.066383578764</v>
          </cell>
          <cell r="AK330">
            <v>57012.64827679735</v>
          </cell>
          <cell r="AM330">
            <v>0</v>
          </cell>
          <cell r="AN330">
            <v>0</v>
          </cell>
          <cell r="AP330">
            <v>3361.9126322724574</v>
          </cell>
          <cell r="AQ330">
            <v>3248.0050240414694</v>
          </cell>
          <cell r="AS330">
            <v>64286.113883039427</v>
          </cell>
          <cell r="AT330">
            <v>21949.757604076232</v>
          </cell>
          <cell r="AV330">
            <v>1347.0946604824205</v>
          </cell>
          <cell r="AW330">
            <v>0</v>
          </cell>
          <cell r="AY330">
            <v>1800.7662454309241</v>
          </cell>
          <cell r="AZ330">
            <v>22422</v>
          </cell>
          <cell r="BB330">
            <v>2257.6615520544465</v>
          </cell>
          <cell r="BC330">
            <v>766</v>
          </cell>
          <cell r="BE330">
            <v>750.79405270754012</v>
          </cell>
          <cell r="BF330">
            <v>0</v>
          </cell>
          <cell r="BH330">
            <v>395.76741189229665</v>
          </cell>
          <cell r="BI330">
            <v>0</v>
          </cell>
          <cell r="BK330">
            <v>754.97673302799979</v>
          </cell>
          <cell r="BL330">
            <v>0</v>
          </cell>
          <cell r="BN330">
            <v>0</v>
          </cell>
          <cell r="BO330">
            <v>0</v>
          </cell>
          <cell r="BT330">
            <v>59037.363636104325</v>
          </cell>
          <cell r="BU330">
            <v>62416.606237428605</v>
          </cell>
          <cell r="BW330">
            <v>39715.59195901698</v>
          </cell>
          <cell r="BX330">
            <v>44187.927511083049</v>
          </cell>
          <cell r="BZ330">
            <v>5182.1477604157435</v>
          </cell>
          <cell r="CA330">
            <v>13653.858258495709</v>
          </cell>
          <cell r="CC330">
            <v>1428.6899792498987</v>
          </cell>
          <cell r="CD330">
            <v>1419.7274695731635</v>
          </cell>
          <cell r="CF330">
            <v>175.88039517280956</v>
          </cell>
          <cell r="CG330">
            <v>0</v>
          </cell>
          <cell r="CI330">
            <v>10893.599653125822</v>
          </cell>
          <cell r="CJ330">
            <v>9188.8302944305833</v>
          </cell>
          <cell r="CL330">
            <v>7075.2245169786283</v>
          </cell>
          <cell r="CM330">
            <v>8560.8333116121139</v>
          </cell>
          <cell r="CX330">
            <v>3763.2677941477559</v>
          </cell>
          <cell r="CY330">
            <v>18035.176880217256</v>
          </cell>
        </row>
        <row r="331">
          <cell r="I331">
            <v>10560.273266605662</v>
          </cell>
          <cell r="J331">
            <v>10043.360571830146</v>
          </cell>
          <cell r="L331">
            <v>1994.6359706671176</v>
          </cell>
          <cell r="M331">
            <v>1981.8946032757092</v>
          </cell>
          <cell r="O331">
            <v>3989.6400000000012</v>
          </cell>
          <cell r="P331">
            <v>3989.76</v>
          </cell>
          <cell r="R331">
            <v>0</v>
          </cell>
          <cell r="S331">
            <v>0</v>
          </cell>
          <cell r="U331">
            <v>709.3549077326212</v>
          </cell>
          <cell r="V331">
            <v>497.02670275770947</v>
          </cell>
          <cell r="X331">
            <v>7117.2089417404241</v>
          </cell>
          <cell r="Y331">
            <v>6399.0777372263556</v>
          </cell>
          <cell r="AA331">
            <v>0</v>
          </cell>
          <cell r="AB331">
            <v>0</v>
          </cell>
          <cell r="AD331">
            <v>11754.688467931184</v>
          </cell>
          <cell r="AE331">
            <v>11155.98835408452</v>
          </cell>
          <cell r="AJ331">
            <v>0</v>
          </cell>
          <cell r="AK331">
            <v>0</v>
          </cell>
          <cell r="AM331">
            <v>0</v>
          </cell>
          <cell r="AN331">
            <v>0</v>
          </cell>
          <cell r="AP331">
            <v>5113.8952716257081</v>
          </cell>
          <cell r="AQ331">
            <v>8298.2700325011865</v>
          </cell>
          <cell r="AS331">
            <v>53329.723146108328</v>
          </cell>
          <cell r="AT331">
            <v>246610.29574616152</v>
          </cell>
          <cell r="AV331">
            <v>1762.5192382403166</v>
          </cell>
          <cell r="AW331">
            <v>2157.9286421498714</v>
          </cell>
          <cell r="AY331">
            <v>2570.742825601536</v>
          </cell>
          <cell r="AZ331">
            <v>740</v>
          </cell>
          <cell r="BB331">
            <v>1622.6636730312914</v>
          </cell>
          <cell r="BC331">
            <v>5996.7069380407793</v>
          </cell>
          <cell r="BE331">
            <v>0</v>
          </cell>
          <cell r="BF331">
            <v>0</v>
          </cell>
          <cell r="BH331">
            <v>719.6828414324732</v>
          </cell>
          <cell r="BI331">
            <v>0</v>
          </cell>
          <cell r="BK331">
            <v>1096.5140291304153</v>
          </cell>
          <cell r="BL331">
            <v>0</v>
          </cell>
          <cell r="BN331">
            <v>0</v>
          </cell>
          <cell r="BO331">
            <v>0</v>
          </cell>
          <cell r="BT331">
            <v>30878.606239611745</v>
          </cell>
          <cell r="BU331">
            <v>22002.333810796648</v>
          </cell>
          <cell r="BW331">
            <v>17895.910733788773</v>
          </cell>
          <cell r="BX331">
            <v>12120.088229279494</v>
          </cell>
          <cell r="BZ331">
            <v>4450.1978536420775</v>
          </cell>
          <cell r="CA331">
            <v>2950.1881878354206</v>
          </cell>
          <cell r="CC331">
            <v>1745.9707485284823</v>
          </cell>
          <cell r="CD331">
            <v>1735.017861648714</v>
          </cell>
          <cell r="CF331">
            <v>214.93958078475637</v>
          </cell>
          <cell r="CG331">
            <v>0</v>
          </cell>
          <cell r="CI331">
            <v>3893.2452368559625</v>
          </cell>
          <cell r="CJ331">
            <v>2141.8178818442575</v>
          </cell>
          <cell r="CL331">
            <v>0</v>
          </cell>
          <cell r="CM331">
            <v>0</v>
          </cell>
          <cell r="CX331">
            <v>9683.9844323293946</v>
          </cell>
          <cell r="CY331">
            <v>-203195.22635931868</v>
          </cell>
        </row>
        <row r="332">
          <cell r="I332">
            <v>14720.923099001353</v>
          </cell>
          <cell r="J332">
            <v>14013.909914691407</v>
          </cell>
          <cell r="L332">
            <v>3401.9170561623246</v>
          </cell>
          <cell r="M332">
            <v>3400.9555663966935</v>
          </cell>
          <cell r="O332">
            <v>5622.6000000000013</v>
          </cell>
          <cell r="P332">
            <v>5624.5199999999995</v>
          </cell>
          <cell r="R332">
            <v>0</v>
          </cell>
          <cell r="S332">
            <v>0</v>
          </cell>
          <cell r="U332">
            <v>1063.7413620491645</v>
          </cell>
          <cell r="V332">
            <v>745.33278695443005</v>
          </cell>
          <cell r="X332">
            <v>13059.700475338088</v>
          </cell>
          <cell r="Y332">
            <v>12059.892105774263</v>
          </cell>
          <cell r="AA332">
            <v>0</v>
          </cell>
          <cell r="AB332">
            <v>0</v>
          </cell>
          <cell r="AD332">
            <v>18078.600547224607</v>
          </cell>
          <cell r="AE332">
            <v>17881.802292486067</v>
          </cell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P332">
            <v>8523.1587860428499</v>
          </cell>
          <cell r="AQ332">
            <v>8515.5072824039071</v>
          </cell>
          <cell r="AS332">
            <v>56781.651276453085</v>
          </cell>
          <cell r="AT332">
            <v>173794.96296211262</v>
          </cell>
          <cell r="AV332">
            <v>2605.0040886677584</v>
          </cell>
          <cell r="AW332">
            <v>0</v>
          </cell>
          <cell r="AY332">
            <v>4384.4043426670896</v>
          </cell>
          <cell r="AZ332">
            <v>0</v>
          </cell>
          <cell r="BB332">
            <v>2144.0677753435439</v>
          </cell>
          <cell r="BC332">
            <v>0</v>
          </cell>
          <cell r="BE332">
            <v>0</v>
          </cell>
          <cell r="BF332">
            <v>0</v>
          </cell>
          <cell r="BH332">
            <v>1079.2330175269931</v>
          </cell>
          <cell r="BI332">
            <v>0</v>
          </cell>
          <cell r="BK332">
            <v>1961.2852925757813</v>
          </cell>
          <cell r="BL332">
            <v>0</v>
          </cell>
          <cell r="BN332">
            <v>0</v>
          </cell>
          <cell r="BO332">
            <v>0</v>
          </cell>
          <cell r="BT332">
            <v>38012.312505550326</v>
          </cell>
          <cell r="BU332">
            <v>44270.065472235627</v>
          </cell>
          <cell r="BW332">
            <v>27316.069253584214</v>
          </cell>
          <cell r="BX332">
            <v>30026.586448332135</v>
          </cell>
          <cell r="BZ332">
            <v>5036.4949127777136</v>
          </cell>
          <cell r="CA332">
            <v>9211.9125500673799</v>
          </cell>
          <cell r="CC332">
            <v>2405.6806191272922</v>
          </cell>
          <cell r="CD332">
            <v>2390.5892164148695</v>
          </cell>
          <cell r="CF332">
            <v>296.15386409710982</v>
          </cell>
          <cell r="CG332">
            <v>0</v>
          </cell>
          <cell r="CI332">
            <v>10406.943998518829</v>
          </cell>
          <cell r="CJ332">
            <v>7167.6111118823492</v>
          </cell>
          <cell r="CL332">
            <v>0</v>
          </cell>
          <cell r="CM332">
            <v>0</v>
          </cell>
          <cell r="CX332">
            <v>23092.749272750269</v>
          </cell>
          <cell r="CY332">
            <v>-111551.69725170212</v>
          </cell>
        </row>
        <row r="333">
          <cell r="I333">
            <v>10466.363603962474</v>
          </cell>
          <cell r="J333">
            <v>9958.6576312391462</v>
          </cell>
          <cell r="L333">
            <v>1973.0359337034299</v>
          </cell>
          <cell r="M333">
            <v>1981.2004797302641</v>
          </cell>
          <cell r="O333">
            <v>3965.0400000000004</v>
          </cell>
          <cell r="P333">
            <v>3964.1999999999994</v>
          </cell>
          <cell r="R333">
            <v>0</v>
          </cell>
          <cell r="S333">
            <v>0</v>
          </cell>
          <cell r="U333">
            <v>0</v>
          </cell>
          <cell r="V333">
            <v>22.855347475559377</v>
          </cell>
          <cell r="X333">
            <v>6877.0892667905891</v>
          </cell>
          <cell r="Y333">
            <v>8734.9170060775396</v>
          </cell>
          <cell r="AA333">
            <v>0</v>
          </cell>
          <cell r="AB333">
            <v>0</v>
          </cell>
          <cell r="AD333">
            <v>11721.76456512551</v>
          </cell>
          <cell r="AE333">
            <v>11124.741360404243</v>
          </cell>
          <cell r="AJ333">
            <v>0</v>
          </cell>
          <cell r="AK333">
            <v>0</v>
          </cell>
          <cell r="AM333">
            <v>0</v>
          </cell>
          <cell r="AN333">
            <v>0</v>
          </cell>
          <cell r="AP333">
            <v>4261.5793930214249</v>
          </cell>
          <cell r="AQ333">
            <v>8154.4053695020921</v>
          </cell>
          <cell r="AS333">
            <v>44842.804339079681</v>
          </cell>
          <cell r="AT333">
            <v>96908</v>
          </cell>
          <cell r="AV333">
            <v>1742.1760128130584</v>
          </cell>
          <cell r="AW333">
            <v>21049</v>
          </cell>
          <cell r="AY333">
            <v>2542.8903665071061</v>
          </cell>
          <cell r="AZ333">
            <v>5929.5886881801425</v>
          </cell>
          <cell r="BB333">
            <v>1570.3866530252556</v>
          </cell>
          <cell r="BC333">
            <v>0</v>
          </cell>
          <cell r="BE333">
            <v>0</v>
          </cell>
          <cell r="BF333">
            <v>0</v>
          </cell>
          <cell r="BH333">
            <v>0</v>
          </cell>
          <cell r="BI333">
            <v>0</v>
          </cell>
          <cell r="BK333">
            <v>1068.4658678571939</v>
          </cell>
          <cell r="BL333">
            <v>2258</v>
          </cell>
          <cell r="BN333">
            <v>0</v>
          </cell>
          <cell r="BO333">
            <v>0</v>
          </cell>
          <cell r="BT333">
            <v>27632.676585895617</v>
          </cell>
          <cell r="BU333">
            <v>32045.110201279698</v>
          </cell>
          <cell r="BW333">
            <v>17933.510829790193</v>
          </cell>
          <cell r="BX333">
            <v>20367.271890898312</v>
          </cell>
          <cell r="BZ333">
            <v>4332.1298995594188</v>
          </cell>
          <cell r="CA333">
            <v>8191.4294089271152</v>
          </cell>
          <cell r="CC333">
            <v>1740.0292712508078</v>
          </cell>
          <cell r="CD333">
            <v>1729.1136566612972</v>
          </cell>
          <cell r="CF333">
            <v>214.20814892292148</v>
          </cell>
          <cell r="CG333">
            <v>0</v>
          </cell>
          <cell r="CI333">
            <v>9040.5646605838028</v>
          </cell>
          <cell r="CJ333">
            <v>1866.5929836576167</v>
          </cell>
          <cell r="CL333">
            <v>0</v>
          </cell>
          <cell r="CM333">
            <v>0</v>
          </cell>
          <cell r="CX333">
            <v>9131.1415225338351</v>
          </cell>
          <cell r="CY333">
            <v>-89701.300828839609</v>
          </cell>
        </row>
        <row r="334">
          <cell r="I334">
            <v>16760.465275760496</v>
          </cell>
          <cell r="J334">
            <v>16130.481562408151</v>
          </cell>
          <cell r="L334">
            <v>2743.2586102173027</v>
          </cell>
          <cell r="M334">
            <v>2725.7298423036791</v>
          </cell>
          <cell r="O334">
            <v>5508.7200000000012</v>
          </cell>
          <cell r="P334">
            <v>5510.3999999999987</v>
          </cell>
          <cell r="R334">
            <v>1372.92</v>
          </cell>
          <cell r="S334">
            <v>1373.2800000000004</v>
          </cell>
          <cell r="U334">
            <v>780.05784393801957</v>
          </cell>
          <cell r="V334">
            <v>546.56355928777316</v>
          </cell>
          <cell r="X334">
            <v>5933.7110582707346</v>
          </cell>
          <cell r="Y334">
            <v>9628.5430766321151</v>
          </cell>
          <cell r="AA334">
            <v>0</v>
          </cell>
          <cell r="AB334">
            <v>0</v>
          </cell>
          <cell r="AD334">
            <v>18159.67031309415</v>
          </cell>
          <cell r="AE334">
            <v>17234.746040236685</v>
          </cell>
          <cell r="AJ334">
            <v>57609.066383578764</v>
          </cell>
          <cell r="AK334">
            <v>57247.528571222269</v>
          </cell>
          <cell r="AM334">
            <v>0</v>
          </cell>
          <cell r="AN334">
            <v>0</v>
          </cell>
          <cell r="AP334">
            <v>3314.5617501277752</v>
          </cell>
          <cell r="AQ334">
            <v>3168.054924233551</v>
          </cell>
          <cell r="AS334">
            <v>67617.604504482631</v>
          </cell>
          <cell r="AT334">
            <v>217721</v>
          </cell>
          <cell r="AV334">
            <v>1359.7023268161711</v>
          </cell>
          <cell r="AW334">
            <v>0</v>
          </cell>
          <cell r="AY334">
            <v>1813.7603239429789</v>
          </cell>
          <cell r="AZ334">
            <v>598</v>
          </cell>
          <cell r="BB334">
            <v>2313.0735438896427</v>
          </cell>
          <cell r="BC334">
            <v>0</v>
          </cell>
          <cell r="BE334">
            <v>769.25055422379694</v>
          </cell>
          <cell r="BF334">
            <v>0</v>
          </cell>
          <cell r="BH334">
            <v>395.76741189229665</v>
          </cell>
          <cell r="BI334">
            <v>3724</v>
          </cell>
          <cell r="BK334">
            <v>663.98270230905234</v>
          </cell>
          <cell r="BL334">
            <v>7372</v>
          </cell>
          <cell r="BN334">
            <v>0</v>
          </cell>
          <cell r="BO334">
            <v>0</v>
          </cell>
          <cell r="BT334">
            <v>53611.783582264623</v>
          </cell>
          <cell r="BU334">
            <v>53885.639971242475</v>
          </cell>
          <cell r="BW334">
            <v>38862.86198845577</v>
          </cell>
          <cell r="BX334">
            <v>43329.836576560105</v>
          </cell>
          <cell r="BZ334">
            <v>5182.1477604157435</v>
          </cell>
          <cell r="CA334">
            <v>12705.859407285063</v>
          </cell>
          <cell r="CC334">
            <v>1838.328365617085</v>
          </cell>
          <cell r="CD334">
            <v>1826.7960975917215</v>
          </cell>
          <cell r="CF334">
            <v>226.30936319149711</v>
          </cell>
          <cell r="CG334">
            <v>0</v>
          </cell>
          <cell r="CI334">
            <v>15273.500544588785</v>
          </cell>
          <cell r="CJ334">
            <v>16756.308198290273</v>
          </cell>
          <cell r="CL334">
            <v>8535.1914807996127</v>
          </cell>
          <cell r="CM334">
            <v>12095.175596271549</v>
          </cell>
          <cell r="CX334">
            <v>5438.0751745476737</v>
          </cell>
          <cell r="CY334">
            <v>-202083.02210827847</v>
          </cell>
        </row>
        <row r="335">
          <cell r="I335">
            <v>10602.033687406496</v>
          </cell>
          <cell r="J335">
            <v>10078.954891895311</v>
          </cell>
          <cell r="L335">
            <v>1994.6359706671176</v>
          </cell>
          <cell r="M335">
            <v>1981.8946032757092</v>
          </cell>
          <cell r="O335">
            <v>4073.6400000000012</v>
          </cell>
          <cell r="P335">
            <v>4073.6400000000012</v>
          </cell>
          <cell r="R335">
            <v>0</v>
          </cell>
          <cell r="S335">
            <v>0</v>
          </cell>
          <cell r="U335">
            <v>0</v>
          </cell>
          <cell r="V335">
            <v>22.855347475559377</v>
          </cell>
          <cell r="X335">
            <v>7078.7185516227737</v>
          </cell>
          <cell r="Y335">
            <v>6381.9265124651974</v>
          </cell>
          <cell r="AA335">
            <v>0</v>
          </cell>
          <cell r="AB335">
            <v>0</v>
          </cell>
          <cell r="AD335">
            <v>11596.268909625976</v>
          </cell>
          <cell r="AE335">
            <v>11005.637559817731</v>
          </cell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P335">
            <v>4261.5793930214249</v>
          </cell>
          <cell r="AQ335">
            <v>8018.5437496734066</v>
          </cell>
          <cell r="AS335">
            <v>44596.511716667803</v>
          </cell>
          <cell r="AT335">
            <v>8067.5154578328984</v>
          </cell>
          <cell r="AV335">
            <v>1772.5636049072607</v>
          </cell>
          <cell r="AW335">
            <v>14755</v>
          </cell>
          <cell r="AY335">
            <v>2570.742825601536</v>
          </cell>
          <cell r="AZ335">
            <v>3093</v>
          </cell>
          <cell r="BB335">
            <v>1851.4567615129483</v>
          </cell>
          <cell r="BC335">
            <v>773</v>
          </cell>
          <cell r="BE335">
            <v>0</v>
          </cell>
          <cell r="BF335">
            <v>0</v>
          </cell>
          <cell r="BH335">
            <v>0</v>
          </cell>
          <cell r="BI335">
            <v>0</v>
          </cell>
          <cell r="BK335">
            <v>1293.6349022285513</v>
          </cell>
          <cell r="BL335">
            <v>1505</v>
          </cell>
          <cell r="BN335">
            <v>0</v>
          </cell>
          <cell r="BO335">
            <v>0</v>
          </cell>
          <cell r="BT335">
            <v>31178.516270870266</v>
          </cell>
          <cell r="BU335">
            <v>37548.206919308606</v>
          </cell>
          <cell r="BW335">
            <v>18103.892940241025</v>
          </cell>
          <cell r="BX335">
            <v>20513.099290036887</v>
          </cell>
          <cell r="BZ335">
            <v>5060.0370950554106</v>
          </cell>
          <cell r="CA335">
            <v>9145.9764970824763</v>
          </cell>
          <cell r="CC335">
            <v>1741.1175616432536</v>
          </cell>
          <cell r="CD335">
            <v>1730.1951199510718</v>
          </cell>
          <cell r="CF335">
            <v>214.3421240659309</v>
          </cell>
          <cell r="CG335">
            <v>0</v>
          </cell>
          <cell r="CI335">
            <v>14262.754185020405</v>
          </cell>
          <cell r="CJ335">
            <v>4650.602021611392</v>
          </cell>
          <cell r="CL335">
            <v>0</v>
          </cell>
          <cell r="CM335">
            <v>0</v>
          </cell>
          <cell r="CX335">
            <v>9735.8641998101957</v>
          </cell>
          <cell r="CY335">
            <v>32424.742435488537</v>
          </cell>
        </row>
        <row r="336">
          <cell r="I336">
            <v>1940.3939468588233</v>
          </cell>
          <cell r="J336">
            <v>1845.4334420765679</v>
          </cell>
          <cell r="L336">
            <v>440.88610138287208</v>
          </cell>
          <cell r="M336">
            <v>458.83729092124105</v>
          </cell>
          <cell r="O336">
            <v>643.32000000000005</v>
          </cell>
          <cell r="P336">
            <v>643.43999999999994</v>
          </cell>
          <cell r="R336">
            <v>0</v>
          </cell>
          <cell r="S336">
            <v>0</v>
          </cell>
          <cell r="U336">
            <v>0</v>
          </cell>
          <cell r="V336">
            <v>22.855347475559377</v>
          </cell>
          <cell r="X336">
            <v>740.16659976359904</v>
          </cell>
          <cell r="Y336">
            <v>643.55438966969325</v>
          </cell>
          <cell r="AA336">
            <v>0</v>
          </cell>
          <cell r="AB336">
            <v>0</v>
          </cell>
          <cell r="AD336">
            <v>2018.6200668256199</v>
          </cell>
          <cell r="AE336">
            <v>1915.8059372024675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1515.2282286298394</v>
          </cell>
          <cell r="AQ336">
            <v>1045.9964902507268</v>
          </cell>
          <cell r="AS336">
            <v>7033.509641157817</v>
          </cell>
          <cell r="AT336">
            <v>25789</v>
          </cell>
          <cell r="AV336">
            <v>362.57990794235297</v>
          </cell>
          <cell r="AW336">
            <v>0</v>
          </cell>
          <cell r="AY336">
            <v>568.34986807500434</v>
          </cell>
          <cell r="AZ336">
            <v>0</v>
          </cell>
          <cell r="BB336">
            <v>189.01238177322887</v>
          </cell>
          <cell r="BC336">
            <v>0</v>
          </cell>
          <cell r="BE336">
            <v>0</v>
          </cell>
          <cell r="BF336">
            <v>0</v>
          </cell>
          <cell r="BH336">
            <v>0</v>
          </cell>
          <cell r="BI336">
            <v>0</v>
          </cell>
          <cell r="BK336">
            <v>59.168569815476367</v>
          </cell>
          <cell r="BL336">
            <v>1967</v>
          </cell>
          <cell r="BN336">
            <v>0</v>
          </cell>
          <cell r="BO336">
            <v>0</v>
          </cell>
          <cell r="BT336">
            <v>4783.0159378190847</v>
          </cell>
          <cell r="BU336">
            <v>5588.0264103122954</v>
          </cell>
          <cell r="BW336">
            <v>3689.3640880357739</v>
          </cell>
          <cell r="BX336">
            <v>5171.7498674832277</v>
          </cell>
          <cell r="BZ336">
            <v>546.94107444141378</v>
          </cell>
          <cell r="CA336">
            <v>1466.0887390481184</v>
          </cell>
          <cell r="CC336">
            <v>0</v>
          </cell>
          <cell r="CD336">
            <v>0</v>
          </cell>
          <cell r="CF336">
            <v>0</v>
          </cell>
          <cell r="CG336">
            <v>0</v>
          </cell>
          <cell r="CI336">
            <v>1291.5092372262573</v>
          </cell>
          <cell r="CJ336">
            <v>761.03113350233855</v>
          </cell>
          <cell r="CL336">
            <v>0</v>
          </cell>
          <cell r="CM336">
            <v>0</v>
          </cell>
          <cell r="CX336">
            <v>4.1220303408408654E-2</v>
          </cell>
          <cell r="CY336">
            <v>-25796.062857530684</v>
          </cell>
        </row>
        <row r="337">
          <cell r="I337">
            <v>25557.643661762428</v>
          </cell>
          <cell r="J337">
            <v>24762.245861805994</v>
          </cell>
          <cell r="L337">
            <v>4132.1987358483357</v>
          </cell>
          <cell r="M337">
            <v>4105.7941158203948</v>
          </cell>
          <cell r="O337">
            <v>7999.2000000000016</v>
          </cell>
          <cell r="P337">
            <v>7999.6800000000012</v>
          </cell>
          <cell r="R337">
            <v>1958.1600000000005</v>
          </cell>
          <cell r="S337">
            <v>1956.4799999999998</v>
          </cell>
          <cell r="U337">
            <v>1170.2323882178873</v>
          </cell>
          <cell r="V337">
            <v>819.94897252272676</v>
          </cell>
          <cell r="X337">
            <v>9792.9723616390947</v>
          </cell>
          <cell r="Y337">
            <v>10177.384146738443</v>
          </cell>
          <cell r="AA337">
            <v>0</v>
          </cell>
          <cell r="AB337">
            <v>0</v>
          </cell>
          <cell r="AD337">
            <v>26561.465484263408</v>
          </cell>
          <cell r="AE337">
            <v>25208.613602842037</v>
          </cell>
          <cell r="AJ337">
            <v>86993.575462644279</v>
          </cell>
          <cell r="AK337">
            <v>86447.718273925246</v>
          </cell>
          <cell r="AM337">
            <v>0</v>
          </cell>
          <cell r="AN337">
            <v>0</v>
          </cell>
          <cell r="AP337">
            <v>5303.2988002044376</v>
          </cell>
          <cell r="AQ337">
            <v>5141.6646695649642</v>
          </cell>
          <cell r="AS337">
            <v>100343.63630206817</v>
          </cell>
          <cell r="AT337">
            <v>115629.82428597074</v>
          </cell>
          <cell r="AV337">
            <v>2045.812989492026</v>
          </cell>
          <cell r="AW337">
            <v>375</v>
          </cell>
          <cell r="AY337">
            <v>2731.9007902306498</v>
          </cell>
          <cell r="AZ337">
            <v>920.53022283516236</v>
          </cell>
          <cell r="BB337">
            <v>3335.3079682086477</v>
          </cell>
          <cell r="BC337">
            <v>3058</v>
          </cell>
          <cell r="BE337">
            <v>1089.9073491874246</v>
          </cell>
          <cell r="BF337">
            <v>0</v>
          </cell>
          <cell r="BH337">
            <v>593.65087276649558</v>
          </cell>
          <cell r="BI337">
            <v>0</v>
          </cell>
          <cell r="BK337">
            <v>840.98279011434113</v>
          </cell>
          <cell r="BL337">
            <v>16012.277688680177</v>
          </cell>
          <cell r="BN337">
            <v>0</v>
          </cell>
          <cell r="BO337">
            <v>0</v>
          </cell>
          <cell r="BT337">
            <v>95912.364043766822</v>
          </cell>
          <cell r="BU337">
            <v>85773.318530346063</v>
          </cell>
          <cell r="BW337">
            <v>50331.283277959308</v>
          </cell>
          <cell r="BX337">
            <v>55487.755632554203</v>
          </cell>
          <cell r="BZ337">
            <v>4804.0446731959</v>
          </cell>
          <cell r="CA337">
            <v>24624.313895995856</v>
          </cell>
          <cell r="CC337">
            <v>1935.3921033216668</v>
          </cell>
          <cell r="CD337">
            <v>1923.2509315445648</v>
          </cell>
          <cell r="CF337">
            <v>238.25849756800824</v>
          </cell>
          <cell r="CG337">
            <v>0</v>
          </cell>
          <cell r="CI337">
            <v>34589.986527451059</v>
          </cell>
          <cell r="CJ337">
            <v>14657.350653904849</v>
          </cell>
          <cell r="CL337">
            <v>14880.432515867747</v>
          </cell>
          <cell r="CM337">
            <v>17697.018534395986</v>
          </cell>
          <cell r="CX337">
            <v>8680.910885066347</v>
          </cell>
          <cell r="CY337">
            <v>-14882.844023336831</v>
          </cell>
        </row>
        <row r="338">
          <cell r="I338">
            <v>11398.692405787981</v>
          </cell>
          <cell r="J338">
            <v>10950.590491624622</v>
          </cell>
          <cell r="L338">
            <v>1470.0395431708582</v>
          </cell>
          <cell r="M338">
            <v>1460.621923909468</v>
          </cell>
          <cell r="O338">
            <v>5145.4800000000005</v>
          </cell>
          <cell r="P338">
            <v>5145.96</v>
          </cell>
          <cell r="R338">
            <v>1308.5999999999997</v>
          </cell>
          <cell r="S338">
            <v>1307.1600000000005</v>
          </cell>
          <cell r="U338">
            <v>797.80651168077293</v>
          </cell>
          <cell r="V338">
            <v>558.99959021582254</v>
          </cell>
          <cell r="X338">
            <v>5591.3186475954608</v>
          </cell>
          <cell r="Y338">
            <v>5622.8927192647125</v>
          </cell>
          <cell r="AA338">
            <v>0</v>
          </cell>
          <cell r="AB338">
            <v>0</v>
          </cell>
          <cell r="AD338">
            <v>18633.261413711833</v>
          </cell>
          <cell r="AE338">
            <v>17684.215783097403</v>
          </cell>
          <cell r="AJ338">
            <v>37841.755437162974</v>
          </cell>
          <cell r="AK338">
            <v>37604.358252863305</v>
          </cell>
          <cell r="AM338">
            <v>0</v>
          </cell>
          <cell r="AN338">
            <v>529.43833385488267</v>
          </cell>
          <cell r="AP338">
            <v>3030.4564572596787</v>
          </cell>
          <cell r="AQ338">
            <v>2980.9213371655696</v>
          </cell>
          <cell r="AS338">
            <v>67475.247037002089</v>
          </cell>
          <cell r="AT338">
            <v>4554</v>
          </cell>
          <cell r="AV338">
            <v>3366.2912382541449</v>
          </cell>
          <cell r="AW338">
            <v>0</v>
          </cell>
          <cell r="AY338">
            <v>849.08173880708057</v>
          </cell>
          <cell r="AZ338">
            <v>0</v>
          </cell>
          <cell r="BB338">
            <v>2139.7907802454893</v>
          </cell>
          <cell r="BC338">
            <v>0</v>
          </cell>
          <cell r="BE338">
            <v>761.39520776621657</v>
          </cell>
          <cell r="BF338">
            <v>944</v>
          </cell>
          <cell r="BH338">
            <v>404.82147576979145</v>
          </cell>
          <cell r="BI338">
            <v>1372</v>
          </cell>
          <cell r="BK338">
            <v>676.92000670106563</v>
          </cell>
          <cell r="BL338">
            <v>12236.594018265057</v>
          </cell>
          <cell r="BN338">
            <v>0</v>
          </cell>
          <cell r="BO338">
            <v>0</v>
          </cell>
          <cell r="BT338">
            <v>45446.252879595057</v>
          </cell>
          <cell r="BU338">
            <v>42744.164944023491</v>
          </cell>
          <cell r="BW338">
            <v>31014.746404590933</v>
          </cell>
          <cell r="BX338">
            <v>36202.324316388462</v>
          </cell>
          <cell r="BZ338">
            <v>1687.9075878796402</v>
          </cell>
          <cell r="CA338">
            <v>12418.486059986364</v>
          </cell>
          <cell r="CC338">
            <v>1155.9408763000229</v>
          </cell>
          <cell r="CD338">
            <v>1148.6893861656747</v>
          </cell>
          <cell r="CF338">
            <v>142.30332757481344</v>
          </cell>
          <cell r="CG338">
            <v>0</v>
          </cell>
          <cell r="CI338">
            <v>14075.578933248484</v>
          </cell>
          <cell r="CJ338">
            <v>12746.304384700597</v>
          </cell>
          <cell r="CL338">
            <v>21113.368399872728</v>
          </cell>
          <cell r="CM338">
            <v>19114.948816703105</v>
          </cell>
          <cell r="CX338">
            <v>290.63242802748573</v>
          </cell>
          <cell r="CY338">
            <v>58131.095570125748</v>
          </cell>
        </row>
        <row r="339">
          <cell r="I339">
            <v>34450.740750134755</v>
          </cell>
          <cell r="J339">
            <v>33203.032762195944</v>
          </cell>
          <cell r="L339">
            <v>5986.8791754864469</v>
          </cell>
          <cell r="M339">
            <v>5948.6238700604408</v>
          </cell>
          <cell r="O339">
            <v>11681.759999999997</v>
          </cell>
          <cell r="P339">
            <v>11677.679999999998</v>
          </cell>
          <cell r="R339">
            <v>2881.6799999999989</v>
          </cell>
          <cell r="S339">
            <v>2877.2400000000002</v>
          </cell>
          <cell r="U339">
            <v>1666.6057337569625</v>
          </cell>
          <cell r="V339">
            <v>1167.7433041438428</v>
          </cell>
          <cell r="X339">
            <v>14546.520726982812</v>
          </cell>
          <cell r="Y339">
            <v>14527.353856197296</v>
          </cell>
          <cell r="AA339">
            <v>0</v>
          </cell>
          <cell r="AB339">
            <v>0</v>
          </cell>
          <cell r="AD339">
            <v>42568.468411965987</v>
          </cell>
          <cell r="AE339">
            <v>41260.649942612741</v>
          </cell>
          <cell r="AJ339">
            <v>82965.029258078925</v>
          </cell>
          <cell r="AK339">
            <v>82444.434993284987</v>
          </cell>
          <cell r="AM339">
            <v>0</v>
          </cell>
          <cell r="AN339">
            <v>0</v>
          </cell>
          <cell r="AP339">
            <v>6250.3164430980878</v>
          </cell>
          <cell r="AQ339">
            <v>6029.1592460039137</v>
          </cell>
          <cell r="AS339">
            <v>153431.60187685929</v>
          </cell>
          <cell r="AT339">
            <v>44114.541720278503</v>
          </cell>
          <cell r="AV339">
            <v>2859.8790133263842</v>
          </cell>
          <cell r="AW339">
            <v>2610</v>
          </cell>
          <cell r="AY339">
            <v>3950.0361758303247</v>
          </cell>
          <cell r="AZ339">
            <v>1899.9316313038789</v>
          </cell>
          <cell r="BB339">
            <v>4615.6082679616793</v>
          </cell>
          <cell r="BC339">
            <v>625</v>
          </cell>
          <cell r="BE339">
            <v>1547.0429264838394</v>
          </cell>
          <cell r="BF339">
            <v>0</v>
          </cell>
          <cell r="BH339">
            <v>845.42356547673432</v>
          </cell>
          <cell r="BI339">
            <v>0</v>
          </cell>
          <cell r="BK339">
            <v>1048.3069248834015</v>
          </cell>
          <cell r="BL339">
            <v>2949</v>
          </cell>
          <cell r="BN339">
            <v>0</v>
          </cell>
          <cell r="BO339">
            <v>0</v>
          </cell>
          <cell r="BT339">
            <v>121497.37169752392</v>
          </cell>
          <cell r="BU339">
            <v>117869.98484240827</v>
          </cell>
          <cell r="BW339">
            <v>80646.118287132864</v>
          </cell>
          <cell r="BX339">
            <v>97322.425756304729</v>
          </cell>
          <cell r="BZ339">
            <v>4544.3665827528794</v>
          </cell>
          <cell r="CA339">
            <v>30745.258764807</v>
          </cell>
          <cell r="CC339">
            <v>2408.3572252276308</v>
          </cell>
          <cell r="CD339">
            <v>2393.2490315329624</v>
          </cell>
          <cell r="CF339">
            <v>296.48337052991667</v>
          </cell>
          <cell r="CG339">
            <v>0</v>
          </cell>
          <cell r="CI339">
            <v>19222.898356976322</v>
          </cell>
          <cell r="CJ339">
            <v>14887.251638132931</v>
          </cell>
          <cell r="CL339">
            <v>17220.123163016764</v>
          </cell>
          <cell r="CM339">
            <v>23470.092776389087</v>
          </cell>
          <cell r="CX339">
            <v>2082.8084798168275</v>
          </cell>
          <cell r="CY339">
            <v>97013.565037212189</v>
          </cell>
        </row>
        <row r="340">
          <cell r="I340">
            <v>10822.331302894216</v>
          </cell>
          <cell r="J340">
            <v>10372.188627505087</v>
          </cell>
          <cell r="L340">
            <v>2726.3900482103918</v>
          </cell>
          <cell r="M340">
            <v>2729.7398151315329</v>
          </cell>
          <cell r="O340">
            <v>4637.8799999999992</v>
          </cell>
          <cell r="P340">
            <v>4637.76</v>
          </cell>
          <cell r="R340">
            <v>1143.96</v>
          </cell>
          <cell r="S340">
            <v>1142.4000000000003</v>
          </cell>
          <cell r="U340">
            <v>780.05784393801957</v>
          </cell>
          <cell r="V340">
            <v>581.69474626654721</v>
          </cell>
          <cell r="X340">
            <v>9220.0590975250634</v>
          </cell>
          <cell r="Y340">
            <v>11337.201617987057</v>
          </cell>
          <cell r="AA340">
            <v>0</v>
          </cell>
          <cell r="AB340">
            <v>0</v>
          </cell>
          <cell r="AD340">
            <v>15313.035469863571</v>
          </cell>
          <cell r="AE340">
            <v>14533.098502230872</v>
          </cell>
          <cell r="AJ340">
            <v>34455.755132608909</v>
          </cell>
          <cell r="AK340">
            <v>34239.60385952465</v>
          </cell>
          <cell r="AM340">
            <v>0</v>
          </cell>
          <cell r="AN340">
            <v>1568.740563111608</v>
          </cell>
          <cell r="AP340">
            <v>3030.4564572596787</v>
          </cell>
          <cell r="AQ340">
            <v>2830.093354841857</v>
          </cell>
          <cell r="AS340">
            <v>74199.708290545546</v>
          </cell>
          <cell r="AT340">
            <v>18627</v>
          </cell>
          <cell r="AV340">
            <v>873.45748577359427</v>
          </cell>
          <cell r="AW340">
            <v>0</v>
          </cell>
          <cell r="AY340">
            <v>1802.8058685410185</v>
          </cell>
          <cell r="AZ340">
            <v>0</v>
          </cell>
          <cell r="BB340">
            <v>1887.9244632684904</v>
          </cell>
          <cell r="BC340">
            <v>396</v>
          </cell>
          <cell r="BE340">
            <v>656.32542044597585</v>
          </cell>
          <cell r="BF340">
            <v>0</v>
          </cell>
          <cell r="BH340">
            <v>395.76741189229665</v>
          </cell>
          <cell r="BI340">
            <v>2086.9562993772511</v>
          </cell>
          <cell r="BK340">
            <v>1274.5443349308352</v>
          </cell>
          <cell r="BL340">
            <v>0</v>
          </cell>
          <cell r="BN340">
            <v>0</v>
          </cell>
          <cell r="BO340">
            <v>0</v>
          </cell>
          <cell r="BT340">
            <v>33176.698267451829</v>
          </cell>
          <cell r="BU340">
            <v>38936.657165827361</v>
          </cell>
          <cell r="BW340">
            <v>46556.312240141735</v>
          </cell>
          <cell r="BX340">
            <v>54523.571884354358</v>
          </cell>
          <cell r="BZ340">
            <v>4231.6052863416116</v>
          </cell>
          <cell r="CA340">
            <v>7752.5994627287937</v>
          </cell>
          <cell r="CC340">
            <v>1452.426475106746</v>
          </cell>
          <cell r="CD340">
            <v>1443.3150607852676</v>
          </cell>
          <cell r="CF340">
            <v>178.80250167033807</v>
          </cell>
          <cell r="CG340">
            <v>0</v>
          </cell>
          <cell r="CI340">
            <v>4494.0777950438323</v>
          </cell>
          <cell r="CJ340">
            <v>3328.3235487818547</v>
          </cell>
          <cell r="CL340">
            <v>5540.3874524488738</v>
          </cell>
          <cell r="CM340">
            <v>6062.6230399150263</v>
          </cell>
          <cell r="CX340">
            <v>7764.1576249169011</v>
          </cell>
          <cell r="CY340">
            <v>57829.598941957076</v>
          </cell>
        </row>
        <row r="341">
          <cell r="I341">
            <v>10901.522606441815</v>
          </cell>
          <cell r="J341">
            <v>10922.350810567219</v>
          </cell>
          <cell r="L341">
            <v>1561.1530306581078</v>
          </cell>
          <cell r="M341">
            <v>1580.6079519468014</v>
          </cell>
          <cell r="O341">
            <v>5338.7999999999993</v>
          </cell>
          <cell r="P341">
            <v>5340.1200000000017</v>
          </cell>
          <cell r="R341">
            <v>1378.6800000000003</v>
          </cell>
          <cell r="S341">
            <v>1376.76</v>
          </cell>
          <cell r="U341">
            <v>780.05784393801957</v>
          </cell>
          <cell r="V341">
            <v>725.1583960324806</v>
          </cell>
          <cell r="X341">
            <v>9293.6486021166183</v>
          </cell>
          <cell r="Y341">
            <v>8747.3116157622917</v>
          </cell>
          <cell r="AA341">
            <v>0</v>
          </cell>
          <cell r="AB341">
            <v>0</v>
          </cell>
          <cell r="AD341">
            <v>17418.882499966556</v>
          </cell>
          <cell r="AE341">
            <v>16531.688682430442</v>
          </cell>
          <cell r="AJ341">
            <v>41478.570579091407</v>
          </cell>
          <cell r="AK341">
            <v>41218.234305574617</v>
          </cell>
          <cell r="AM341">
            <v>0</v>
          </cell>
          <cell r="AN341">
            <v>0</v>
          </cell>
          <cell r="AP341">
            <v>3030.4564572596787</v>
          </cell>
          <cell r="AQ341">
            <v>2206.4486980792149</v>
          </cell>
          <cell r="AS341">
            <v>82252.474250542728</v>
          </cell>
          <cell r="AT341">
            <v>161268</v>
          </cell>
          <cell r="AV341">
            <v>882.19659065611506</v>
          </cell>
          <cell r="AW341">
            <v>735</v>
          </cell>
          <cell r="AY341">
            <v>1051.9885615022647</v>
          </cell>
          <cell r="AZ341">
            <v>1972.0225180314887</v>
          </cell>
          <cell r="BB341">
            <v>2140.9332461612007</v>
          </cell>
          <cell r="BC341">
            <v>766</v>
          </cell>
          <cell r="BE341">
            <v>792.16419287732231</v>
          </cell>
          <cell r="BF341">
            <v>0</v>
          </cell>
          <cell r="BH341">
            <v>395.76741189229665</v>
          </cell>
          <cell r="BI341">
            <v>2176</v>
          </cell>
          <cell r="BK341">
            <v>1085.3744004546863</v>
          </cell>
          <cell r="BL341">
            <v>9540</v>
          </cell>
          <cell r="BN341">
            <v>0</v>
          </cell>
          <cell r="BO341">
            <v>0</v>
          </cell>
          <cell r="BT341">
            <v>43818.104018457052</v>
          </cell>
          <cell r="BU341">
            <v>38491.260004465228</v>
          </cell>
          <cell r="BW341">
            <v>43104.167770304113</v>
          </cell>
          <cell r="BX341">
            <v>38727.383171140435</v>
          </cell>
          <cell r="BZ341">
            <v>7826.5113062970513</v>
          </cell>
          <cell r="CA341">
            <v>10353.023115773378</v>
          </cell>
          <cell r="CC341">
            <v>1696.8506145991944</v>
          </cell>
          <cell r="CD341">
            <v>1686.2058699210634</v>
          </cell>
          <cell r="CF341">
            <v>208.89259460027949</v>
          </cell>
          <cell r="CG341">
            <v>0</v>
          </cell>
          <cell r="CI341">
            <v>7898.7956247750799</v>
          </cell>
          <cell r="CJ341">
            <v>5102.7977260484213</v>
          </cell>
          <cell r="CL341">
            <v>7861.3605744206989</v>
          </cell>
          <cell r="CM341">
            <v>8531.8909560420434</v>
          </cell>
          <cell r="CX341">
            <v>3512.6966675852163</v>
          </cell>
          <cell r="CY341">
            <v>-87448.396586178133</v>
          </cell>
        </row>
        <row r="342">
          <cell r="I342">
            <v>16154.018060364875</v>
          </cell>
          <cell r="J342">
            <v>15413.844547409055</v>
          </cell>
          <cell r="L342">
            <v>2761.6034912326741</v>
          </cell>
          <cell r="M342">
            <v>2764.7265319079474</v>
          </cell>
          <cell r="O342">
            <v>5678.04</v>
          </cell>
          <cell r="P342">
            <v>5677.2000000000007</v>
          </cell>
          <cell r="R342">
            <v>1368.8399999999995</v>
          </cell>
          <cell r="S342">
            <v>1368.8399999999995</v>
          </cell>
          <cell r="U342">
            <v>780.05784393801957</v>
          </cell>
          <cell r="V342">
            <v>582.32964723604312</v>
          </cell>
          <cell r="X342">
            <v>6117.9087078999501</v>
          </cell>
          <cell r="Y342">
            <v>6594.6641198139259</v>
          </cell>
          <cell r="AA342">
            <v>0</v>
          </cell>
          <cell r="AB342">
            <v>0</v>
          </cell>
          <cell r="AD342">
            <v>18759.355685626015</v>
          </cell>
          <cell r="AE342">
            <v>17803.88771084174</v>
          </cell>
          <cell r="AJ342">
            <v>27268.359161175551</v>
          </cell>
          <cell r="AK342">
            <v>26769.416553877472</v>
          </cell>
          <cell r="AM342">
            <v>1578.4221588709306</v>
          </cell>
          <cell r="AN342">
            <v>1702.0133310640174</v>
          </cell>
          <cell r="AP342">
            <v>3551.3161608511859</v>
          </cell>
          <cell r="AQ342">
            <v>3374.2901069245854</v>
          </cell>
          <cell r="AS342">
            <v>78022.16388841132</v>
          </cell>
          <cell r="AT342">
            <v>121659.22161218962</v>
          </cell>
          <cell r="AV342">
            <v>1272.2652768709759</v>
          </cell>
          <cell r="AW342">
            <v>0</v>
          </cell>
          <cell r="AY342">
            <v>1825.6469303801014</v>
          </cell>
          <cell r="AZ342">
            <v>1267</v>
          </cell>
          <cell r="BB342">
            <v>2392.783400101333</v>
          </cell>
          <cell r="BC342">
            <v>1986</v>
          </cell>
          <cell r="BE342">
            <v>795.6374938276382</v>
          </cell>
          <cell r="BF342">
            <v>0</v>
          </cell>
          <cell r="BH342">
            <v>395.76741189229665</v>
          </cell>
          <cell r="BI342">
            <v>0</v>
          </cell>
          <cell r="BK342">
            <v>967.57549578016881</v>
          </cell>
          <cell r="BL342">
            <v>5091</v>
          </cell>
          <cell r="BN342">
            <v>0</v>
          </cell>
          <cell r="BO342">
            <v>0</v>
          </cell>
          <cell r="BT342">
            <v>48452.388579439772</v>
          </cell>
          <cell r="BU342">
            <v>35365.00874359216</v>
          </cell>
          <cell r="BW342">
            <v>32714.31730000061</v>
          </cell>
          <cell r="BX342">
            <v>19467.046512424768</v>
          </cell>
          <cell r="BZ342">
            <v>7242.7579897464775</v>
          </cell>
          <cell r="CA342">
            <v>5550.038137318139</v>
          </cell>
          <cell r="CC342">
            <v>1588.3157078931611</v>
          </cell>
          <cell r="CD342">
            <v>1578.3518283192475</v>
          </cell>
          <cell r="CF342">
            <v>195.5312897974535</v>
          </cell>
          <cell r="CG342">
            <v>0</v>
          </cell>
          <cell r="CI342">
            <v>6588.5688623716333</v>
          </cell>
          <cell r="CJ342">
            <v>9268.2712698800988</v>
          </cell>
          <cell r="CL342">
            <v>6214.2183588277885</v>
          </cell>
          <cell r="CM342">
            <v>4654.6592212374389</v>
          </cell>
          <cell r="CX342">
            <v>4641.2088936400905</v>
          </cell>
          <cell r="CY342">
            <v>-13661.131848843484</v>
          </cell>
        </row>
        <row r="343">
          <cell r="I343">
            <v>11729.268685975936</v>
          </cell>
          <cell r="J343">
            <v>11371.889656495881</v>
          </cell>
          <cell r="L343">
            <v>2000.2617655328179</v>
          </cell>
          <cell r="M343">
            <v>2008.2490338767354</v>
          </cell>
          <cell r="O343">
            <v>6679.6800000000012</v>
          </cell>
          <cell r="P343">
            <v>6680.04</v>
          </cell>
          <cell r="R343">
            <v>1551.9599999999998</v>
          </cell>
          <cell r="S343">
            <v>1551.24</v>
          </cell>
          <cell r="U343">
            <v>797.80651168077293</v>
          </cell>
          <cell r="V343">
            <v>594.13077719459659</v>
          </cell>
          <cell r="X343">
            <v>7624.32905712314</v>
          </cell>
          <cell r="Y343">
            <v>7295.4787265828427</v>
          </cell>
          <cell r="AA343">
            <v>0</v>
          </cell>
          <cell r="AB343">
            <v>0</v>
          </cell>
          <cell r="AD343">
            <v>22332.240514771311</v>
          </cell>
          <cell r="AE343">
            <v>21194.795232820943</v>
          </cell>
          <cell r="AJ343">
            <v>37504.706287365108</v>
          </cell>
          <cell r="AK343">
            <v>37269.428223566778</v>
          </cell>
          <cell r="AM343">
            <v>0</v>
          </cell>
          <cell r="AN343">
            <v>0</v>
          </cell>
          <cell r="AP343">
            <v>3172.5091036937265</v>
          </cell>
          <cell r="AQ343">
            <v>3120.6520248452057</v>
          </cell>
          <cell r="AS343">
            <v>85563.633166265063</v>
          </cell>
          <cell r="AT343">
            <v>11839.20151114414</v>
          </cell>
          <cell r="AV343">
            <v>1100.3676954919524</v>
          </cell>
          <cell r="AW343">
            <v>0</v>
          </cell>
          <cell r="AY343">
            <v>1310.1712145579525</v>
          </cell>
          <cell r="AZ343">
            <v>0</v>
          </cell>
          <cell r="BB343">
            <v>3132.0217920108812</v>
          </cell>
          <cell r="BC343">
            <v>0</v>
          </cell>
          <cell r="BE343">
            <v>867.2626865033443</v>
          </cell>
          <cell r="BF343">
            <v>0</v>
          </cell>
          <cell r="BH343">
            <v>404.82147576979145</v>
          </cell>
          <cell r="BI343">
            <v>0</v>
          </cell>
          <cell r="BK343">
            <v>857.52417112585692</v>
          </cell>
          <cell r="BL343">
            <v>17245.987803522155</v>
          </cell>
          <cell r="BN343">
            <v>0</v>
          </cell>
          <cell r="BO343">
            <v>0</v>
          </cell>
          <cell r="BT343">
            <v>42456.95403215949</v>
          </cell>
          <cell r="BU343">
            <v>43697.517847173396</v>
          </cell>
          <cell r="BW343">
            <v>52579.651609778601</v>
          </cell>
          <cell r="BX343">
            <v>52327.545171045917</v>
          </cell>
          <cell r="BZ343">
            <v>3815.1018592087066</v>
          </cell>
          <cell r="CA343">
            <v>8482.1293954472512</v>
          </cell>
          <cell r="CC343">
            <v>1266.2405782370479</v>
          </cell>
          <cell r="CD343">
            <v>1258.2971520211779</v>
          </cell>
          <cell r="CF343">
            <v>155.88188936630323</v>
          </cell>
          <cell r="CG343">
            <v>0</v>
          </cell>
          <cell r="CI343">
            <v>12522.024343541538</v>
          </cell>
          <cell r="CJ343">
            <v>10079.623925466794</v>
          </cell>
          <cell r="CL343">
            <v>12016.651163757348</v>
          </cell>
          <cell r="CM343">
            <v>13005.922600252034</v>
          </cell>
          <cell r="CX343">
            <v>9223.9564752999722</v>
          </cell>
          <cell r="CY343">
            <v>84126.685102252959</v>
          </cell>
        </row>
        <row r="344">
          <cell r="I344">
            <v>10616.892024399451</v>
          </cell>
          <cell r="J344">
            <v>10334.190294532889</v>
          </cell>
          <cell r="L344">
            <v>2721.658573253615</v>
          </cell>
          <cell r="M344">
            <v>2740.1595766449946</v>
          </cell>
          <cell r="O344">
            <v>5026.4399999999996</v>
          </cell>
          <cell r="P344">
            <v>5025.84</v>
          </cell>
          <cell r="R344">
            <v>1220.2800000000002</v>
          </cell>
          <cell r="S344">
            <v>1220.04</v>
          </cell>
          <cell r="U344">
            <v>780.05784393801957</v>
          </cell>
          <cell r="V344">
            <v>546.56355928777316</v>
          </cell>
          <cell r="X344">
            <v>9196.9065357224372</v>
          </cell>
          <cell r="Y344">
            <v>8441.1642034401721</v>
          </cell>
          <cell r="AA344">
            <v>0</v>
          </cell>
          <cell r="AB344">
            <v>0</v>
          </cell>
          <cell r="AD344">
            <v>16831.212214042996</v>
          </cell>
          <cell r="AE344">
            <v>15973.950135493125</v>
          </cell>
          <cell r="AJ344">
            <v>41478.570579091407</v>
          </cell>
          <cell r="AK344">
            <v>41218.230665577561</v>
          </cell>
          <cell r="AM344">
            <v>0</v>
          </cell>
          <cell r="AN344">
            <v>0</v>
          </cell>
          <cell r="AP344">
            <v>3409.2635144171381</v>
          </cell>
          <cell r="AQ344">
            <v>3261.2087160199749</v>
          </cell>
          <cell r="AS344">
            <v>89585.134836105324</v>
          </cell>
          <cell r="AT344">
            <v>103032.40530027036</v>
          </cell>
          <cell r="AV344">
            <v>485.26905014436051</v>
          </cell>
          <cell r="AW344">
            <v>0</v>
          </cell>
          <cell r="AY344">
            <v>1079.9006036806279</v>
          </cell>
          <cell r="AZ344">
            <v>0</v>
          </cell>
          <cell r="BB344">
            <v>1284.1042070213362</v>
          </cell>
          <cell r="BC344">
            <v>1485.2848737934137</v>
          </cell>
          <cell r="BE344">
            <v>429.72755535611037</v>
          </cell>
          <cell r="BF344">
            <v>0</v>
          </cell>
          <cell r="BH344">
            <v>237.46044713537802</v>
          </cell>
          <cell r="BI344">
            <v>0</v>
          </cell>
          <cell r="BK344">
            <v>822.09871507764683</v>
          </cell>
          <cell r="BL344">
            <v>0</v>
          </cell>
          <cell r="BN344">
            <v>0</v>
          </cell>
          <cell r="BO344">
            <v>0</v>
          </cell>
          <cell r="BT344">
            <v>39633.621221015906</v>
          </cell>
          <cell r="BU344">
            <v>49073.870981667438</v>
          </cell>
          <cell r="BW344">
            <v>42984.075128674827</v>
          </cell>
          <cell r="BX344">
            <v>48399.777740392703</v>
          </cell>
          <cell r="BZ344">
            <v>6838.3932158540283</v>
          </cell>
          <cell r="CA344">
            <v>8277.7461753163952</v>
          </cell>
          <cell r="CC344">
            <v>1413.600980024913</v>
          </cell>
          <cell r="CD344">
            <v>1404.7331272041306</v>
          </cell>
          <cell r="CF344">
            <v>174.02284791973372</v>
          </cell>
          <cell r="CG344">
            <v>0</v>
          </cell>
          <cell r="CI344">
            <v>5259.6245747909916</v>
          </cell>
          <cell r="CJ344">
            <v>1980.4120722127946</v>
          </cell>
          <cell r="CL344">
            <v>6326.5235098909388</v>
          </cell>
          <cell r="CM344">
            <v>7724.6058841844906</v>
          </cell>
          <cell r="CX344">
            <v>5217.5541869314475</v>
          </cell>
          <cell r="CY344">
            <v>-21548.859967245848</v>
          </cell>
        </row>
        <row r="345">
          <cell r="I345">
            <v>25374.437549592709</v>
          </cell>
          <cell r="J345">
            <v>24281.41351936763</v>
          </cell>
          <cell r="L345">
            <v>4139.5920943442088</v>
          </cell>
          <cell r="M345">
            <v>4149.0364404481688</v>
          </cell>
          <cell r="O345">
            <v>8214.48</v>
          </cell>
          <cell r="P345">
            <v>8213.1600000000017</v>
          </cell>
          <cell r="R345">
            <v>1934.88</v>
          </cell>
          <cell r="S345">
            <v>1936.5600000000004</v>
          </cell>
          <cell r="U345">
            <v>1170.2323882178873</v>
          </cell>
          <cell r="V345">
            <v>819.94897252272676</v>
          </cell>
          <cell r="X345">
            <v>9846.7953099173737</v>
          </cell>
          <cell r="Y345">
            <v>11535.230614266758</v>
          </cell>
          <cell r="AA345">
            <v>0</v>
          </cell>
          <cell r="AB345">
            <v>0</v>
          </cell>
          <cell r="AD345">
            <v>26970.833595252359</v>
          </cell>
          <cell r="AE345">
            <v>25597.131417770583</v>
          </cell>
          <cell r="AJ345">
            <v>86413.599575368164</v>
          </cell>
          <cell r="AK345">
            <v>85871.357228354653</v>
          </cell>
          <cell r="AM345">
            <v>0</v>
          </cell>
          <cell r="AN345">
            <v>0</v>
          </cell>
          <cell r="AP345">
            <v>5113.8952716257081</v>
          </cell>
          <cell r="AQ345">
            <v>4829.8890651018082</v>
          </cell>
          <cell r="AS345">
            <v>119790.64123548624</v>
          </cell>
          <cell r="AT345">
            <v>110374.95831735324</v>
          </cell>
          <cell r="AV345">
            <v>2044.0764602940471</v>
          </cell>
          <cell r="AW345">
            <v>0</v>
          </cell>
          <cell r="AY345">
            <v>2736.4458668964667</v>
          </cell>
          <cell r="AZ345">
            <v>0</v>
          </cell>
          <cell r="BB345">
            <v>6902.7085316133061</v>
          </cell>
          <cell r="BC345">
            <v>2075</v>
          </cell>
          <cell r="BE345">
            <v>2191.6728433297608</v>
          </cell>
          <cell r="BF345">
            <v>3859</v>
          </cell>
          <cell r="BH345">
            <v>593.65087276649558</v>
          </cell>
          <cell r="BI345">
            <v>497.05365631992424</v>
          </cell>
          <cell r="BK345">
            <v>2362.2684840502652</v>
          </cell>
          <cell r="BL345">
            <v>2631.6009819560759</v>
          </cell>
          <cell r="BN345">
            <v>0</v>
          </cell>
          <cell r="BO345">
            <v>0</v>
          </cell>
          <cell r="BT345">
            <v>38204.291416470434</v>
          </cell>
          <cell r="BU345">
            <v>59434.420637748161</v>
          </cell>
          <cell r="BW345">
            <v>36018.253720044253</v>
          </cell>
          <cell r="BX345">
            <v>38550.640195278429</v>
          </cell>
          <cell r="BZ345">
            <v>8688.1590240906935</v>
          </cell>
          <cell r="CA345">
            <v>15316.591140156779</v>
          </cell>
          <cell r="CC345">
            <v>2316.2937406775263</v>
          </cell>
          <cell r="CD345">
            <v>2301.7630829655691</v>
          </cell>
          <cell r="CF345">
            <v>285.14979762128644</v>
          </cell>
          <cell r="CG345">
            <v>1099.1661915859029</v>
          </cell>
          <cell r="CI345">
            <v>29817.017607267077</v>
          </cell>
          <cell r="CJ345">
            <v>19635.494097009465</v>
          </cell>
          <cell r="CL345">
            <v>11567.430559504735</v>
          </cell>
          <cell r="CM345">
            <v>15350.903836362988</v>
          </cell>
          <cell r="CX345">
            <v>7800.1328666828194</v>
          </cell>
          <cell r="CY345">
            <v>1003.9167265173455</v>
          </cell>
        </row>
        <row r="346">
          <cell r="I346">
            <v>25312.016068750319</v>
          </cell>
          <cell r="J346">
            <v>24222.127291892382</v>
          </cell>
          <cell r="L346">
            <v>4147.8812431807082</v>
          </cell>
          <cell r="M346">
            <v>4157.2686091014421</v>
          </cell>
          <cell r="O346">
            <v>8234.2800000000025</v>
          </cell>
          <cell r="P346">
            <v>8237.1600000000017</v>
          </cell>
          <cell r="R346">
            <v>1933.9200000000003</v>
          </cell>
          <cell r="S346">
            <v>1932.9599999999998</v>
          </cell>
          <cell r="U346">
            <v>1170.2323882178873</v>
          </cell>
          <cell r="V346">
            <v>819.94897252272676</v>
          </cell>
          <cell r="X346">
            <v>9914.2902635317732</v>
          </cell>
          <cell r="Y346">
            <v>9110.1285644231084</v>
          </cell>
          <cell r="AA346">
            <v>0</v>
          </cell>
          <cell r="AB346">
            <v>0</v>
          </cell>
          <cell r="AD346">
            <v>27043.437214686153</v>
          </cell>
          <cell r="AE346">
            <v>25666.037125912284</v>
          </cell>
          <cell r="AJ346">
            <v>86413.599575368164</v>
          </cell>
          <cell r="AK346">
            <v>85871.36273069265</v>
          </cell>
          <cell r="AM346">
            <v>0</v>
          </cell>
          <cell r="AN346">
            <v>2481.6127499852887</v>
          </cell>
          <cell r="AP346">
            <v>5019.1935073363438</v>
          </cell>
          <cell r="AQ346">
            <v>4736.4671618577213</v>
          </cell>
          <cell r="AS346">
            <v>117867.25457260704</v>
          </cell>
          <cell r="AT346">
            <v>31044.502410985362</v>
          </cell>
          <cell r="AV346">
            <v>2046.6116167010289</v>
          </cell>
          <cell r="AW346">
            <v>0</v>
          </cell>
          <cell r="AY346">
            <v>2741.9230945974464</v>
          </cell>
          <cell r="AZ346">
            <v>0</v>
          </cell>
          <cell r="BB346">
            <v>6713.6697995061731</v>
          </cell>
          <cell r="BC346">
            <v>634</v>
          </cell>
          <cell r="BE346">
            <v>2192.0995414858194</v>
          </cell>
          <cell r="BF346">
            <v>2080</v>
          </cell>
          <cell r="BH346">
            <v>593.65087276649558</v>
          </cell>
          <cell r="BI346">
            <v>0</v>
          </cell>
          <cell r="BK346">
            <v>2372.6484981695335</v>
          </cell>
          <cell r="BL346">
            <v>5221</v>
          </cell>
          <cell r="BN346">
            <v>0</v>
          </cell>
          <cell r="BO346">
            <v>0</v>
          </cell>
          <cell r="BT346">
            <v>38834.236141667985</v>
          </cell>
          <cell r="BU346">
            <v>54291.510125253641</v>
          </cell>
          <cell r="BW346">
            <v>39601.062759245571</v>
          </cell>
          <cell r="BX346">
            <v>42388.593666228313</v>
          </cell>
          <cell r="BZ346">
            <v>8664.6168418129982</v>
          </cell>
          <cell r="CA346">
            <v>13723.469420577656</v>
          </cell>
          <cell r="CC346">
            <v>2453.0653710794381</v>
          </cell>
          <cell r="CD346">
            <v>2437.6767126263935</v>
          </cell>
          <cell r="CF346">
            <v>301.9872142427339</v>
          </cell>
          <cell r="CG346">
            <v>1106.5811888584151</v>
          </cell>
          <cell r="CI346">
            <v>19316.485982862283</v>
          </cell>
          <cell r="CJ346">
            <v>10376.976248302934</v>
          </cell>
          <cell r="CL346">
            <v>10893.599653125822</v>
          </cell>
          <cell r="CM346">
            <v>14368.835929910076</v>
          </cell>
          <cell r="CX346">
            <v>7625.6853348698351</v>
          </cell>
          <cell r="CY346">
            <v>102273.93730904357</v>
          </cell>
        </row>
        <row r="347">
          <cell r="I347">
            <v>25281.123134828973</v>
          </cell>
          <cell r="J347">
            <v>24199.317463961241</v>
          </cell>
          <cell r="L347">
            <v>4125.0951515424777</v>
          </cell>
          <cell r="M347">
            <v>4134.6301453049391</v>
          </cell>
          <cell r="O347">
            <v>8256.48</v>
          </cell>
          <cell r="P347">
            <v>8255.1600000000017</v>
          </cell>
          <cell r="R347">
            <v>1998</v>
          </cell>
          <cell r="S347">
            <v>1995.7199999999996</v>
          </cell>
          <cell r="U347">
            <v>1170.2323882178873</v>
          </cell>
          <cell r="V347">
            <v>819.94897252272676</v>
          </cell>
          <cell r="X347">
            <v>9728.5361645948105</v>
          </cell>
          <cell r="Y347">
            <v>8931.8003201789106</v>
          </cell>
          <cell r="AA347">
            <v>0</v>
          </cell>
          <cell r="AB347">
            <v>0</v>
          </cell>
          <cell r="AD347">
            <v>27088.205170838799</v>
          </cell>
          <cell r="AE347">
            <v>25708.524921215205</v>
          </cell>
          <cell r="AJ347">
            <v>51730.560208464776</v>
          </cell>
          <cell r="AK347">
            <v>51406.020061622985</v>
          </cell>
          <cell r="AM347">
            <v>0</v>
          </cell>
          <cell r="AN347">
            <v>266.0109811433166</v>
          </cell>
          <cell r="AP347">
            <v>5113.8952716257081</v>
          </cell>
          <cell r="AQ347">
            <v>4982.4314280075369</v>
          </cell>
          <cell r="AS347">
            <v>117368.2142299745</v>
          </cell>
          <cell r="AT347">
            <v>28862.774515173824</v>
          </cell>
          <cell r="AV347">
            <v>2033.6873449741872</v>
          </cell>
          <cell r="AW347">
            <v>0</v>
          </cell>
          <cell r="AY347">
            <v>2727.2100912539804</v>
          </cell>
          <cell r="AZ347">
            <v>3696</v>
          </cell>
          <cell r="BB347">
            <v>6943.4845185070271</v>
          </cell>
          <cell r="BC347">
            <v>9625</v>
          </cell>
          <cell r="BE347">
            <v>2210.136569664422</v>
          </cell>
          <cell r="BF347">
            <v>0</v>
          </cell>
          <cell r="BH347">
            <v>593.65087276649558</v>
          </cell>
          <cell r="BI347">
            <v>0</v>
          </cell>
          <cell r="BK347">
            <v>2344.6002256413972</v>
          </cell>
          <cell r="BL347">
            <v>2139</v>
          </cell>
          <cell r="BN347">
            <v>0</v>
          </cell>
          <cell r="BO347">
            <v>0</v>
          </cell>
          <cell r="BT347">
            <v>40252.155290175171</v>
          </cell>
          <cell r="BU347">
            <v>52001.668178617241</v>
          </cell>
          <cell r="BW347">
            <v>40994.208532711084</v>
          </cell>
          <cell r="BX347">
            <v>43643.464095629752</v>
          </cell>
          <cell r="BZ347">
            <v>9727.228428556944</v>
          </cell>
          <cell r="CA347">
            <v>12676.799687184692</v>
          </cell>
          <cell r="CC347">
            <v>2452.4771060024405</v>
          </cell>
          <cell r="CD347">
            <v>2437.0921378751641</v>
          </cell>
          <cell r="CF347">
            <v>301.9147952465126</v>
          </cell>
          <cell r="CG347">
            <v>0</v>
          </cell>
          <cell r="CI347">
            <v>14356.34181090637</v>
          </cell>
          <cell r="CJ347">
            <v>14262.821052966319</v>
          </cell>
          <cell r="CL347">
            <v>21506.436428593763</v>
          </cell>
          <cell r="CM347">
            <v>21393.446782668692</v>
          </cell>
          <cell r="CX347">
            <v>7254.7515178947579</v>
          </cell>
          <cell r="CY347">
            <v>99494.243107112925</v>
          </cell>
        </row>
        <row r="348">
          <cell r="I348">
            <v>25165.885377107097</v>
          </cell>
          <cell r="J348">
            <v>24373.266783562111</v>
          </cell>
          <cell r="L348">
            <v>4132.1987358483357</v>
          </cell>
          <cell r="M348">
            <v>4141.6862898648887</v>
          </cell>
          <cell r="O348">
            <v>8256.48</v>
          </cell>
          <cell r="P348">
            <v>8257.7999999999975</v>
          </cell>
          <cell r="R348">
            <v>1947.8399999999995</v>
          </cell>
          <cell r="S348">
            <v>1948.5600000000004</v>
          </cell>
          <cell r="U348">
            <v>1170.2323882178873</v>
          </cell>
          <cell r="V348">
            <v>819.94897252272676</v>
          </cell>
          <cell r="X348">
            <v>9787.5191660890323</v>
          </cell>
          <cell r="Y348">
            <v>9044.1034425549751</v>
          </cell>
          <cell r="AA348">
            <v>0</v>
          </cell>
          <cell r="AB348">
            <v>0</v>
          </cell>
          <cell r="AD348">
            <v>27140.199282282567</v>
          </cell>
          <cell r="AE348">
            <v>25757.87082292328</v>
          </cell>
          <cell r="AJ348">
            <v>51730.560208464776</v>
          </cell>
          <cell r="AK348">
            <v>51406.020061622985</v>
          </cell>
          <cell r="AM348">
            <v>0</v>
          </cell>
          <cell r="AN348">
            <v>3137.4061460073203</v>
          </cell>
          <cell r="AP348">
            <v>5019.1935073363438</v>
          </cell>
          <cell r="AQ348">
            <v>4839.983912528277</v>
          </cell>
          <cell r="AS348">
            <v>117781.48222047184</v>
          </cell>
          <cell r="AT348">
            <v>143526.26639010775</v>
          </cell>
          <cell r="AV348">
            <v>2030.2870879926729</v>
          </cell>
          <cell r="AW348">
            <v>2079</v>
          </cell>
          <cell r="AY348">
            <v>2731.9007902306498</v>
          </cell>
          <cell r="AZ348">
            <v>8869</v>
          </cell>
          <cell r="BB348">
            <v>6943.4845185070271</v>
          </cell>
          <cell r="BC348">
            <v>6672</v>
          </cell>
          <cell r="BE348">
            <v>2204.1407716309268</v>
          </cell>
          <cell r="BF348">
            <v>0</v>
          </cell>
          <cell r="BH348">
            <v>593.65087276649558</v>
          </cell>
          <cell r="BI348">
            <v>0</v>
          </cell>
          <cell r="BK348">
            <v>2353.4276713693712</v>
          </cell>
          <cell r="BL348">
            <v>7272.722776164459</v>
          </cell>
          <cell r="BN348">
            <v>0</v>
          </cell>
          <cell r="BO348">
            <v>6462</v>
          </cell>
          <cell r="BT348">
            <v>39915.019414996699</v>
          </cell>
          <cell r="BU348">
            <v>52960.859089186037</v>
          </cell>
          <cell r="BW348">
            <v>35403.871397600429</v>
          </cell>
          <cell r="BX348">
            <v>37837.453038618558</v>
          </cell>
          <cell r="BZ348">
            <v>9963.3643367222685</v>
          </cell>
          <cell r="CA348">
            <v>12677.280563934348</v>
          </cell>
          <cell r="CC348">
            <v>2280.9978360576797</v>
          </cell>
          <cell r="CD348">
            <v>2266.6885978918085</v>
          </cell>
          <cell r="CF348">
            <v>280.8046578480097</v>
          </cell>
          <cell r="CG348">
            <v>0</v>
          </cell>
          <cell r="CI348">
            <v>23378.188946312981</v>
          </cell>
          <cell r="CJ348">
            <v>29713.839067792687</v>
          </cell>
          <cell r="CL348">
            <v>11848.193437162625</v>
          </cell>
          <cell r="CM348">
            <v>15612.568732485133</v>
          </cell>
          <cell r="CX348">
            <v>7058.652849981183</v>
          </cell>
          <cell r="CY348">
            <v>-74082.229625320819</v>
          </cell>
        </row>
        <row r="349">
          <cell r="I349">
            <v>20256.851710837651</v>
          </cell>
          <cell r="J349">
            <v>19455.700081467381</v>
          </cell>
          <cell r="L349">
            <v>4020.0456441653569</v>
          </cell>
          <cell r="M349">
            <v>4071.7632708394599</v>
          </cell>
          <cell r="O349">
            <v>8752.7999999999975</v>
          </cell>
          <cell r="P349">
            <v>8755.08</v>
          </cell>
          <cell r="R349">
            <v>0</v>
          </cell>
          <cell r="S349">
            <v>0</v>
          </cell>
          <cell r="U349">
            <v>2003.535255096368</v>
          </cell>
          <cell r="V349">
            <v>1403.8206245946485</v>
          </cell>
          <cell r="X349">
            <v>19236.150720431728</v>
          </cell>
          <cell r="Y349">
            <v>17982.825132686878</v>
          </cell>
          <cell r="AA349">
            <v>0</v>
          </cell>
          <cell r="AB349">
            <v>0</v>
          </cell>
          <cell r="AD349">
            <v>25073.818177231053</v>
          </cell>
          <cell r="AE349">
            <v>23796.736454628772</v>
          </cell>
          <cell r="AJ349">
            <v>0</v>
          </cell>
          <cell r="AK349">
            <v>0</v>
          </cell>
          <cell r="AM349">
            <v>0</v>
          </cell>
          <cell r="AN349">
            <v>0</v>
          </cell>
          <cell r="AP349">
            <v>10156.764220034396</v>
          </cell>
          <cell r="AQ349">
            <v>16165.084746265034</v>
          </cell>
          <cell r="AS349">
            <v>94471.276353353634</v>
          </cell>
          <cell r="AT349">
            <v>109689.30649080742</v>
          </cell>
          <cell r="AV349">
            <v>3313.2970745495372</v>
          </cell>
          <cell r="AW349">
            <v>2908.9904224499974</v>
          </cell>
          <cell r="AY349">
            <v>5181.2242265907335</v>
          </cell>
          <cell r="AZ349">
            <v>3587.5483076742426</v>
          </cell>
          <cell r="BB349">
            <v>3298.4582542339144</v>
          </cell>
          <cell r="BC349">
            <v>8504.35461268172</v>
          </cell>
          <cell r="BE349">
            <v>0</v>
          </cell>
          <cell r="BF349">
            <v>0</v>
          </cell>
          <cell r="BH349">
            <v>2032.8706882486333</v>
          </cell>
          <cell r="BI349">
            <v>0</v>
          </cell>
          <cell r="BK349">
            <v>3000.3150390429578</v>
          </cell>
          <cell r="BL349">
            <v>532</v>
          </cell>
          <cell r="BN349">
            <v>0</v>
          </cell>
          <cell r="BO349">
            <v>0</v>
          </cell>
          <cell r="BT349">
            <v>52172.925994354562</v>
          </cell>
          <cell r="BU349">
            <v>62119.086672010832</v>
          </cell>
          <cell r="BW349">
            <v>35977.393763388609</v>
          </cell>
          <cell r="BX349">
            <v>34505.946999973537</v>
          </cell>
          <cell r="BZ349">
            <v>7712.3448292905314</v>
          </cell>
          <cell r="CA349">
            <v>12481.451154959519</v>
          </cell>
          <cell r="CC349">
            <v>2616.8971950232331</v>
          </cell>
          <cell r="CD349">
            <v>2600.4807808437681</v>
          </cell>
          <cell r="CF349">
            <v>322.1559046903601</v>
          </cell>
          <cell r="CG349">
            <v>0</v>
          </cell>
          <cell r="CI349">
            <v>12933.809897439765</v>
          </cell>
          <cell r="CJ349">
            <v>5124.0212909255379</v>
          </cell>
          <cell r="CL349">
            <v>0</v>
          </cell>
          <cell r="CM349">
            <v>0</v>
          </cell>
          <cell r="CX349">
            <v>17692.398062396416</v>
          </cell>
          <cell r="CY349">
            <v>-7689.1164513704607</v>
          </cell>
        </row>
        <row r="350">
          <cell r="I350">
            <v>15911.278140835862</v>
          </cell>
          <cell r="J350">
            <v>15319.368893627528</v>
          </cell>
          <cell r="L350">
            <v>3018.4372170307429</v>
          </cell>
          <cell r="M350">
            <v>3076.5528818633029</v>
          </cell>
          <cell r="O350">
            <v>6267.96</v>
          </cell>
          <cell r="P350">
            <v>6267.8399999999992</v>
          </cell>
          <cell r="R350">
            <v>0</v>
          </cell>
          <cell r="S350">
            <v>0</v>
          </cell>
          <cell r="U350">
            <v>957.54158050215835</v>
          </cell>
          <cell r="V350">
            <v>670.92386856826749</v>
          </cell>
          <cell r="X350">
            <v>12409.101421501944</v>
          </cell>
          <cell r="Y350">
            <v>11593.464408657825</v>
          </cell>
          <cell r="AA350">
            <v>0</v>
          </cell>
          <cell r="AB350">
            <v>0</v>
          </cell>
          <cell r="AD350">
            <v>19102.362891219647</v>
          </cell>
          <cell r="AE350">
            <v>18129.424572274449</v>
          </cell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P350">
            <v>7670.8429074385649</v>
          </cell>
          <cell r="AQ350">
            <v>12481.465256553693</v>
          </cell>
          <cell r="AS350">
            <v>76686.304701939313</v>
          </cell>
          <cell r="AT350">
            <v>23278.128391439495</v>
          </cell>
          <cell r="AV350">
            <v>2644.7093072454318</v>
          </cell>
          <cell r="AW350">
            <v>7491</v>
          </cell>
          <cell r="AY350">
            <v>3890.2304539220272</v>
          </cell>
          <cell r="AZ350">
            <v>2673</v>
          </cell>
          <cell r="BB350">
            <v>2614.4027370529166</v>
          </cell>
          <cell r="BC350">
            <v>6971</v>
          </cell>
          <cell r="BE350">
            <v>0</v>
          </cell>
          <cell r="BF350">
            <v>0</v>
          </cell>
          <cell r="BH350">
            <v>971.45504399881258</v>
          </cell>
          <cell r="BI350">
            <v>0</v>
          </cell>
          <cell r="BK350">
            <v>1940.3738462764074</v>
          </cell>
          <cell r="BL350">
            <v>1720</v>
          </cell>
          <cell r="BN350">
            <v>0</v>
          </cell>
          <cell r="BO350">
            <v>0</v>
          </cell>
          <cell r="BT350">
            <v>46034.72862603009</v>
          </cell>
          <cell r="BU350">
            <v>57310.25654162313</v>
          </cell>
          <cell r="BW350">
            <v>26241.167613477595</v>
          </cell>
          <cell r="BX350">
            <v>25124.585985873338</v>
          </cell>
          <cell r="BZ350">
            <v>7232.3446330987108</v>
          </cell>
          <cell r="CA350">
            <v>11221.603067621176</v>
          </cell>
          <cell r="CC350">
            <v>2463.0658773883952</v>
          </cell>
          <cell r="CD350">
            <v>2447.6144833972921</v>
          </cell>
          <cell r="CF350">
            <v>303.21833717849563</v>
          </cell>
          <cell r="CG350">
            <v>0</v>
          </cell>
          <cell r="CI350">
            <v>8984.4120850522231</v>
          </cell>
          <cell r="CJ350">
            <v>5352.7800243866805</v>
          </cell>
          <cell r="CL350">
            <v>0</v>
          </cell>
          <cell r="CM350">
            <v>0</v>
          </cell>
          <cell r="CX350">
            <v>14685.195094572802</v>
          </cell>
          <cell r="CY350">
            <v>55743.109948936602</v>
          </cell>
        </row>
        <row r="351">
          <cell r="I351">
            <v>10559.355693218024</v>
          </cell>
          <cell r="J351">
            <v>10204.41540165514</v>
          </cell>
          <cell r="L351">
            <v>1994.6359706671176</v>
          </cell>
          <cell r="M351">
            <v>2059.2920411373043</v>
          </cell>
          <cell r="O351">
            <v>4134.3599999999988</v>
          </cell>
          <cell r="P351">
            <v>4133.28</v>
          </cell>
          <cell r="R351">
            <v>0</v>
          </cell>
          <cell r="S351">
            <v>0</v>
          </cell>
          <cell r="U351">
            <v>957.54158050215835</v>
          </cell>
          <cell r="V351">
            <v>670.92386856826749</v>
          </cell>
          <cell r="X351">
            <v>7112.3912528375431</v>
          </cell>
          <cell r="Y351">
            <v>6410.4621374371291</v>
          </cell>
          <cell r="AA351">
            <v>0</v>
          </cell>
          <cell r="AB351">
            <v>0</v>
          </cell>
          <cell r="AD351">
            <v>11886.042012631211</v>
          </cell>
          <cell r="AE351">
            <v>11280.651684715445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P351">
            <v>5113.8952716257081</v>
          </cell>
          <cell r="AQ351">
            <v>7882.3340217397044</v>
          </cell>
          <cell r="AS351">
            <v>50598.445824721428</v>
          </cell>
          <cell r="AT351">
            <v>42009.64889292419</v>
          </cell>
          <cell r="AV351">
            <v>1762.4738315933535</v>
          </cell>
          <cell r="AW351">
            <v>3294.6817949790502</v>
          </cell>
          <cell r="AY351">
            <v>2570.742825601536</v>
          </cell>
          <cell r="AZ351">
            <v>1993.1811706349574</v>
          </cell>
          <cell r="BB351">
            <v>1497.0038800552859</v>
          </cell>
          <cell r="BC351">
            <v>6843.031046198721</v>
          </cell>
          <cell r="BE351">
            <v>0</v>
          </cell>
          <cell r="BF351">
            <v>0</v>
          </cell>
          <cell r="BH351">
            <v>971.45504399881258</v>
          </cell>
          <cell r="BI351">
            <v>0</v>
          </cell>
          <cell r="BK351">
            <v>1056.7240487077254</v>
          </cell>
          <cell r="BL351">
            <v>0</v>
          </cell>
          <cell r="BN351">
            <v>0</v>
          </cell>
          <cell r="BO351">
            <v>0</v>
          </cell>
          <cell r="BT351">
            <v>29801.05653412965</v>
          </cell>
          <cell r="BU351">
            <v>42628.559703482228</v>
          </cell>
          <cell r="BW351">
            <v>17700.750142547182</v>
          </cell>
          <cell r="BX351">
            <v>17797.947249834731</v>
          </cell>
          <cell r="BZ351">
            <v>7113.9196363218844</v>
          </cell>
          <cell r="CA351">
            <v>10545.847049417403</v>
          </cell>
          <cell r="CC351">
            <v>1732.7347842960396</v>
          </cell>
          <cell r="CD351">
            <v>1721.8649297460529</v>
          </cell>
          <cell r="CF351">
            <v>213.31015336977757</v>
          </cell>
          <cell r="CG351">
            <v>0</v>
          </cell>
          <cell r="CI351">
            <v>5091.1668481962597</v>
          </cell>
          <cell r="CJ351">
            <v>3757.3996143624022</v>
          </cell>
          <cell r="CL351">
            <v>0</v>
          </cell>
          <cell r="CM351">
            <v>0</v>
          </cell>
          <cell r="CX351">
            <v>9031.6535979751279</v>
          </cell>
          <cell r="CY351">
            <v>-4606.9647281992638</v>
          </cell>
        </row>
        <row r="352">
          <cell r="I352">
            <v>10559.355693218024</v>
          </cell>
          <cell r="J352">
            <v>10043.645248759334</v>
          </cell>
          <cell r="L352">
            <v>1994.6359706671176</v>
          </cell>
          <cell r="M352">
            <v>2023.2500285952758</v>
          </cell>
          <cell r="O352">
            <v>4134.3599999999988</v>
          </cell>
          <cell r="P352">
            <v>4135.2</v>
          </cell>
          <cell r="R352">
            <v>0</v>
          </cell>
          <cell r="S352">
            <v>0</v>
          </cell>
          <cell r="U352">
            <v>957.54158050215835</v>
          </cell>
          <cell r="V352">
            <v>670.92386856826749</v>
          </cell>
          <cell r="X352">
            <v>7112.3912528375431</v>
          </cell>
          <cell r="Y352">
            <v>6462.6122381333398</v>
          </cell>
          <cell r="AA352">
            <v>0</v>
          </cell>
          <cell r="AB352">
            <v>0</v>
          </cell>
          <cell r="AD352">
            <v>11811.129444169479</v>
          </cell>
          <cell r="AE352">
            <v>11209.554628964996</v>
          </cell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P352">
            <v>5113.8952716257081</v>
          </cell>
          <cell r="AQ352">
            <v>7944.8693196659215</v>
          </cell>
          <cell r="AS352">
            <v>50816.053649047804</v>
          </cell>
          <cell r="AT352">
            <v>39573.757595482821</v>
          </cell>
          <cell r="AV352">
            <v>1762.4738315933535</v>
          </cell>
          <cell r="AW352">
            <v>0</v>
          </cell>
          <cell r="AY352">
            <v>2570.742825601536</v>
          </cell>
          <cell r="AZ352">
            <v>3608</v>
          </cell>
          <cell r="BB352">
            <v>1497.0038800552859</v>
          </cell>
          <cell r="BC352">
            <v>3510</v>
          </cell>
          <cell r="BE352">
            <v>0</v>
          </cell>
          <cell r="BF352">
            <v>0</v>
          </cell>
          <cell r="BH352">
            <v>971.45504399881258</v>
          </cell>
          <cell r="BI352">
            <v>0</v>
          </cell>
          <cell r="BK352">
            <v>1056.7240487077254</v>
          </cell>
          <cell r="BL352">
            <v>2420</v>
          </cell>
          <cell r="BN352">
            <v>0</v>
          </cell>
          <cell r="BO352">
            <v>0</v>
          </cell>
          <cell r="BT352">
            <v>28191.789996259267</v>
          </cell>
          <cell r="BU352">
            <v>42005.502817103159</v>
          </cell>
          <cell r="BW352">
            <v>17709.536720344513</v>
          </cell>
          <cell r="BX352">
            <v>19500.973088721392</v>
          </cell>
          <cell r="BZ352">
            <v>6932.9535152673061</v>
          </cell>
          <cell r="CA352">
            <v>9731.0024085342229</v>
          </cell>
          <cell r="CC352">
            <v>1539.1955739638722</v>
          </cell>
          <cell r="CD352">
            <v>1529.5398365915967</v>
          </cell>
          <cell r="CF352">
            <v>189.48430361297679</v>
          </cell>
          <cell r="CG352">
            <v>0</v>
          </cell>
          <cell r="CI352">
            <v>5914.737955992714</v>
          </cell>
          <cell r="CJ352">
            <v>3361.9313684138397</v>
          </cell>
          <cell r="CL352">
            <v>0</v>
          </cell>
          <cell r="CM352">
            <v>0</v>
          </cell>
          <cell r="CX352">
            <v>9736.2473310417845</v>
          </cell>
          <cell r="CY352">
            <v>1461.8850629590124</v>
          </cell>
        </row>
        <row r="353">
          <cell r="I353">
            <v>10558.129340858119</v>
          </cell>
          <cell r="J353">
            <v>10040.854704472311</v>
          </cell>
          <cell r="L353">
            <v>1994.6359706671176</v>
          </cell>
          <cell r="M353">
            <v>2023.3998670928106</v>
          </cell>
          <cell r="O353">
            <v>4134.3599999999988</v>
          </cell>
          <cell r="P353">
            <v>4134.3599999999988</v>
          </cell>
          <cell r="R353">
            <v>0</v>
          </cell>
          <cell r="S353">
            <v>0</v>
          </cell>
          <cell r="U353">
            <v>957.54158050215835</v>
          </cell>
          <cell r="V353">
            <v>670.92386856826749</v>
          </cell>
          <cell r="X353">
            <v>7111.2161971472497</v>
          </cell>
          <cell r="Y353">
            <v>6460.6141272044333</v>
          </cell>
          <cell r="AA353">
            <v>0</v>
          </cell>
          <cell r="AB353">
            <v>0</v>
          </cell>
          <cell r="AD353">
            <v>11730.316228191921</v>
          </cell>
          <cell r="AE353">
            <v>11132.857462658863</v>
          </cell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P353">
            <v>5113.8952716257081</v>
          </cell>
          <cell r="AQ353">
            <v>8084.3797482084719</v>
          </cell>
          <cell r="AS353">
            <v>48473.015952967377</v>
          </cell>
          <cell r="AT353">
            <v>36215.128391439488</v>
          </cell>
          <cell r="AV353">
            <v>1762.1223893077106</v>
          </cell>
          <cell r="AW353">
            <v>1959.6145470694528</v>
          </cell>
          <cell r="AY353">
            <v>2570.742825601536</v>
          </cell>
          <cell r="AZ353">
            <v>4952</v>
          </cell>
          <cell r="BB353">
            <v>1497.0038800552859</v>
          </cell>
          <cell r="BC353">
            <v>5201.0825100578704</v>
          </cell>
          <cell r="BE353">
            <v>0</v>
          </cell>
          <cell r="BF353">
            <v>0</v>
          </cell>
          <cell r="BH353">
            <v>971.45504399881258</v>
          </cell>
          <cell r="BI353">
            <v>0</v>
          </cell>
          <cell r="BK353">
            <v>1056.6698839242524</v>
          </cell>
          <cell r="BL353">
            <v>0</v>
          </cell>
          <cell r="BN353">
            <v>0</v>
          </cell>
          <cell r="BO353">
            <v>0</v>
          </cell>
          <cell r="BT353">
            <v>38730.553401715908</v>
          </cell>
          <cell r="BU353">
            <v>46275.215214032272</v>
          </cell>
          <cell r="BW353">
            <v>17428.870993901473</v>
          </cell>
          <cell r="BX353">
            <v>19505.276500743697</v>
          </cell>
          <cell r="BZ353">
            <v>6972.3094999615287</v>
          </cell>
          <cell r="CA353">
            <v>11777.104724151184</v>
          </cell>
          <cell r="CC353">
            <v>1538.9014414253743</v>
          </cell>
          <cell r="CD353">
            <v>1529.2475492159826</v>
          </cell>
          <cell r="CF353">
            <v>189.44809411486611</v>
          </cell>
          <cell r="CG353">
            <v>0</v>
          </cell>
          <cell r="CI353">
            <v>6232.9358840049817</v>
          </cell>
          <cell r="CJ353">
            <v>3544.9695894258257</v>
          </cell>
          <cell r="CL353">
            <v>0</v>
          </cell>
          <cell r="CM353">
            <v>0</v>
          </cell>
          <cell r="CX353">
            <v>4166.7513440343319</v>
          </cell>
          <cell r="CY353">
            <v>-1212.7345652091317</v>
          </cell>
        </row>
        <row r="354">
          <cell r="I354">
            <v>20821.922201690792</v>
          </cell>
          <cell r="J354">
            <v>19839.753438779415</v>
          </cell>
          <cell r="L354">
            <v>4018.5688350129999</v>
          </cell>
          <cell r="M354">
            <v>4034.4010666783097</v>
          </cell>
          <cell r="O354">
            <v>8666.7599999999984</v>
          </cell>
          <cell r="P354">
            <v>8667.8399999999983</v>
          </cell>
          <cell r="R354">
            <v>0</v>
          </cell>
          <cell r="S354">
            <v>0</v>
          </cell>
          <cell r="U354">
            <v>2003.535255096368</v>
          </cell>
          <cell r="V354">
            <v>1403.8206245946485</v>
          </cell>
          <cell r="X354">
            <v>19492.740594040373</v>
          </cell>
          <cell r="Y354">
            <v>18129.465353926906</v>
          </cell>
          <cell r="AA354">
            <v>0</v>
          </cell>
          <cell r="AB354">
            <v>0</v>
          </cell>
          <cell r="AD354">
            <v>24759.587317855898</v>
          </cell>
          <cell r="AE354">
            <v>23498.145052681397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P354">
            <v>9801.632603949276</v>
          </cell>
          <cell r="AQ354">
            <v>15742.837910101334</v>
          </cell>
          <cell r="AS354">
            <v>96389.216206295227</v>
          </cell>
          <cell r="AT354">
            <v>86630.520621751028</v>
          </cell>
          <cell r="AV354">
            <v>3475.8108485028879</v>
          </cell>
          <cell r="AW354">
            <v>0</v>
          </cell>
          <cell r="AY354">
            <v>5179.6511691421147</v>
          </cell>
          <cell r="AZ354">
            <v>2166</v>
          </cell>
          <cell r="BB354">
            <v>3265.1041597453618</v>
          </cell>
          <cell r="BC354">
            <v>0</v>
          </cell>
          <cell r="BE354">
            <v>0</v>
          </cell>
          <cell r="BF354">
            <v>0</v>
          </cell>
          <cell r="BH354">
            <v>2032.8706882486333</v>
          </cell>
          <cell r="BI354">
            <v>0</v>
          </cell>
          <cell r="BK354">
            <v>2997.8333569021902</v>
          </cell>
          <cell r="BL354">
            <v>3873</v>
          </cell>
          <cell r="BN354">
            <v>0</v>
          </cell>
          <cell r="BO354">
            <v>0</v>
          </cell>
          <cell r="BT354">
            <v>53563.008794588117</v>
          </cell>
          <cell r="BU354">
            <v>66919.956125247438</v>
          </cell>
          <cell r="BW354">
            <v>36345.43135042565</v>
          </cell>
          <cell r="BX354">
            <v>38726.614076039412</v>
          </cell>
          <cell r="BZ354">
            <v>7476.2089211252096</v>
          </cell>
          <cell r="CA354">
            <v>12679.239446870119</v>
          </cell>
          <cell r="CC354">
            <v>2328.059042217476</v>
          </cell>
          <cell r="CD354">
            <v>2313.4545779901568</v>
          </cell>
          <cell r="CF354">
            <v>286.59817754571196</v>
          </cell>
          <cell r="CG354">
            <v>0</v>
          </cell>
          <cell r="CI354">
            <v>5072.4493230190674</v>
          </cell>
          <cell r="CJ354">
            <v>6234.9207598312296</v>
          </cell>
          <cell r="CL354">
            <v>0</v>
          </cell>
          <cell r="CM354">
            <v>0</v>
          </cell>
          <cell r="CX354">
            <v>17365.693385516017</v>
          </cell>
          <cell r="CY354">
            <v>13906.117134610322</v>
          </cell>
        </row>
        <row r="355">
          <cell r="I355">
            <v>15936.450669596505</v>
          </cell>
          <cell r="J355">
            <v>15181.009128723821</v>
          </cell>
          <cell r="L355">
            <v>3022.2856453882796</v>
          </cell>
          <cell r="M355">
            <v>3065.2511022798471</v>
          </cell>
          <cell r="O355">
            <v>6481.6800000000012</v>
          </cell>
          <cell r="P355">
            <v>6481.7999999999984</v>
          </cell>
          <cell r="R355">
            <v>0</v>
          </cell>
          <cell r="S355">
            <v>0</v>
          </cell>
          <cell r="U355">
            <v>1294.4711018415646</v>
          </cell>
          <cell r="V355">
            <v>907.00118901907285</v>
          </cell>
          <cell r="X355">
            <v>12462.80685555126</v>
          </cell>
          <cell r="Y355">
            <v>11679.992309837737</v>
          </cell>
          <cell r="AA355">
            <v>0</v>
          </cell>
          <cell r="AB355">
            <v>0</v>
          </cell>
          <cell r="AD355">
            <v>19008.209080858491</v>
          </cell>
          <cell r="AE355">
            <v>18040.066286451107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7670.8429074385649</v>
          </cell>
          <cell r="AQ355">
            <v>12339.690692924318</v>
          </cell>
          <cell r="AS355">
            <v>70849.67341440836</v>
          </cell>
          <cell r="AT355">
            <v>123051.7833270471</v>
          </cell>
          <cell r="AV355">
            <v>2650.2856377678509</v>
          </cell>
          <cell r="AW355">
            <v>0</v>
          </cell>
          <cell r="AY355">
            <v>3895.5321155112865</v>
          </cell>
          <cell r="AZ355">
            <v>9496</v>
          </cell>
          <cell r="BB355">
            <v>2562.4782126077039</v>
          </cell>
          <cell r="BC355">
            <v>0</v>
          </cell>
          <cell r="BE355">
            <v>0</v>
          </cell>
          <cell r="BF355">
            <v>0</v>
          </cell>
          <cell r="BH355">
            <v>1313.1883369600607</v>
          </cell>
          <cell r="BI355">
            <v>0</v>
          </cell>
          <cell r="BK355">
            <v>1948.379122663521</v>
          </cell>
          <cell r="BL355">
            <v>1622</v>
          </cell>
          <cell r="BN355">
            <v>0</v>
          </cell>
          <cell r="BO355">
            <v>0</v>
          </cell>
          <cell r="BT355">
            <v>55304.158361704838</v>
          </cell>
          <cell r="BU355">
            <v>67994.174971670756</v>
          </cell>
          <cell r="BW355">
            <v>26380.503750194312</v>
          </cell>
          <cell r="BX355">
            <v>28212.296124939916</v>
          </cell>
          <cell r="BZ355">
            <v>6799.7858441564467</v>
          </cell>
          <cell r="CA355">
            <v>14579.088773001373</v>
          </cell>
          <cell r="CC355">
            <v>2762.4928015801065</v>
          </cell>
          <cell r="CD355">
            <v>2745.1630317730323</v>
          </cell>
          <cell r="CF355">
            <v>340.07960625512669</v>
          </cell>
          <cell r="CG355">
            <v>0</v>
          </cell>
          <cell r="CI355">
            <v>5970.8905315242919</v>
          </cell>
          <cell r="CJ355">
            <v>2988.127458807357</v>
          </cell>
          <cell r="CL355">
            <v>0</v>
          </cell>
          <cell r="CM355">
            <v>0</v>
          </cell>
          <cell r="CX355">
            <v>14895.847204789723</v>
          </cell>
          <cell r="CY355">
            <v>-71179.25327577049</v>
          </cell>
        </row>
        <row r="356">
          <cell r="I356">
            <v>16553.628677439028</v>
          </cell>
          <cell r="J356">
            <v>15766.784703752484</v>
          </cell>
          <cell r="L356">
            <v>3400.4402470099662</v>
          </cell>
          <cell r="M356">
            <v>3420.2224839394048</v>
          </cell>
          <cell r="O356">
            <v>6715.56</v>
          </cell>
          <cell r="P356">
            <v>6717.7199999999975</v>
          </cell>
          <cell r="R356">
            <v>0</v>
          </cell>
          <cell r="S356">
            <v>0</v>
          </cell>
          <cell r="U356">
            <v>1294.4711018415646</v>
          </cell>
          <cell r="V356">
            <v>907.00118901907285</v>
          </cell>
          <cell r="X356">
            <v>12785.882931109018</v>
          </cell>
          <cell r="Y356">
            <v>11962.498958202637</v>
          </cell>
          <cell r="AA356">
            <v>0</v>
          </cell>
          <cell r="AB356">
            <v>0</v>
          </cell>
          <cell r="AD356">
            <v>19631.197735246318</v>
          </cell>
          <cell r="AE356">
            <v>18631.324335699996</v>
          </cell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P356">
            <v>13921.159350536653</v>
          </cell>
          <cell r="AQ356">
            <v>13258.344436270567</v>
          </cell>
          <cell r="AS356">
            <v>62963.907750457838</v>
          </cell>
          <cell r="AT356">
            <v>233490.31868449572</v>
          </cell>
          <cell r="AV356">
            <v>2712.6293166252549</v>
          </cell>
          <cell r="AW356">
            <v>0</v>
          </cell>
          <cell r="AY356">
            <v>4382.8307950745648</v>
          </cell>
          <cell r="AZ356">
            <v>0</v>
          </cell>
          <cell r="BB356">
            <v>2668.6717501175244</v>
          </cell>
          <cell r="BC356">
            <v>0</v>
          </cell>
          <cell r="BE356">
            <v>0</v>
          </cell>
          <cell r="BF356">
            <v>0</v>
          </cell>
          <cell r="BH356">
            <v>1313.1883369600607</v>
          </cell>
          <cell r="BI356">
            <v>0</v>
          </cell>
          <cell r="BK356">
            <v>1997.2925723511646</v>
          </cell>
          <cell r="BL356">
            <v>1154</v>
          </cell>
          <cell r="BN356">
            <v>0</v>
          </cell>
          <cell r="BO356">
            <v>5120</v>
          </cell>
          <cell r="BT356">
            <v>43269.801873237295</v>
          </cell>
          <cell r="BU356">
            <v>50582.283127006929</v>
          </cell>
          <cell r="BW356">
            <v>25886.587247389121</v>
          </cell>
          <cell r="BX356">
            <v>28069.546688721279</v>
          </cell>
          <cell r="BZ356">
            <v>7201.0740709598285</v>
          </cell>
          <cell r="CA356">
            <v>13217.012468967387</v>
          </cell>
          <cell r="CC356">
            <v>1607.7284554340779</v>
          </cell>
          <cell r="CD356">
            <v>1597.6427951098165</v>
          </cell>
          <cell r="CF356">
            <v>197.9211166727558</v>
          </cell>
          <cell r="CG356">
            <v>0</v>
          </cell>
          <cell r="CI356">
            <v>6775.7441141435529</v>
          </cell>
          <cell r="CJ356">
            <v>5395.431190058137</v>
          </cell>
          <cell r="CL356">
            <v>0</v>
          </cell>
          <cell r="CM356">
            <v>0</v>
          </cell>
          <cell r="CX356">
            <v>13441.53906887339</v>
          </cell>
          <cell r="CY356">
            <v>-195370.95727349204</v>
          </cell>
        </row>
        <row r="357">
          <cell r="I357">
            <v>16665.768352416268</v>
          </cell>
          <cell r="J357">
            <v>15869.965292194935</v>
          </cell>
          <cell r="L357">
            <v>3399.8474647446478</v>
          </cell>
          <cell r="M357">
            <v>3419.6344718927435</v>
          </cell>
          <cell r="O357">
            <v>6602.52</v>
          </cell>
          <cell r="P357">
            <v>6603.7199999999975</v>
          </cell>
          <cell r="R357">
            <v>0</v>
          </cell>
          <cell r="S357">
            <v>0</v>
          </cell>
          <cell r="U357">
            <v>1294.4711018415646</v>
          </cell>
          <cell r="V357">
            <v>907.00118901907285</v>
          </cell>
          <cell r="X357">
            <v>13051.571895403118</v>
          </cell>
          <cell r="Y357">
            <v>12087.189111004964</v>
          </cell>
          <cell r="AA357">
            <v>0</v>
          </cell>
          <cell r="AB357">
            <v>0</v>
          </cell>
          <cell r="AD357">
            <v>19526.439862682819</v>
          </cell>
          <cell r="AE357">
            <v>18531.902083080928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P357">
            <v>14205.264643404744</v>
          </cell>
          <cell r="AQ357">
            <v>13721.483029679292</v>
          </cell>
          <cell r="AS357">
            <v>62741.013640897094</v>
          </cell>
          <cell r="AT357">
            <v>69364.8707697879</v>
          </cell>
          <cell r="AV357">
            <v>2718.9857743579219</v>
          </cell>
          <cell r="AW357">
            <v>0</v>
          </cell>
          <cell r="AY357">
            <v>4381.8986440394083</v>
          </cell>
          <cell r="AZ357">
            <v>3086</v>
          </cell>
          <cell r="BB357">
            <v>2670.7447259383075</v>
          </cell>
          <cell r="BC357">
            <v>10240</v>
          </cell>
          <cell r="BE357">
            <v>0</v>
          </cell>
          <cell r="BF357">
            <v>0</v>
          </cell>
          <cell r="BH357">
            <v>1313.1883369600607</v>
          </cell>
          <cell r="BI357">
            <v>0</v>
          </cell>
          <cell r="BK357">
            <v>1996.1253186136071</v>
          </cell>
          <cell r="BL357">
            <v>5476.3353175311267</v>
          </cell>
          <cell r="BN357">
            <v>0</v>
          </cell>
          <cell r="BO357">
            <v>0</v>
          </cell>
          <cell r="BT357">
            <v>42225.863817858044</v>
          </cell>
          <cell r="BU357">
            <v>50398.519974454182</v>
          </cell>
          <cell r="BW357">
            <v>25753.337962039226</v>
          </cell>
          <cell r="BX357">
            <v>30294.526988622023</v>
          </cell>
          <cell r="BZ357">
            <v>6004.5807277166978</v>
          </cell>
          <cell r="CA357">
            <v>12560.378457589348</v>
          </cell>
          <cell r="CC357">
            <v>3200.1620188662218</v>
          </cell>
          <cell r="CD357">
            <v>3180.0866466876691</v>
          </cell>
          <cell r="CF357">
            <v>393.95933944375832</v>
          </cell>
          <cell r="CG357">
            <v>0</v>
          </cell>
          <cell r="CI357">
            <v>8179.558502432963</v>
          </cell>
          <cell r="CJ357">
            <v>5013.9370636819567</v>
          </cell>
          <cell r="CL357">
            <v>0</v>
          </cell>
          <cell r="CM357">
            <v>0</v>
          </cell>
          <cell r="CX357">
            <v>14187.877444412174</v>
          </cell>
          <cell r="CY357">
            <v>-15128.420474271366</v>
          </cell>
        </row>
        <row r="358">
          <cell r="I358">
            <v>16669.157679782616</v>
          </cell>
          <cell r="J358">
            <v>15871.869593568339</v>
          </cell>
          <cell r="L358">
            <v>3400.4402470099662</v>
          </cell>
          <cell r="M358">
            <v>3420.2224839394048</v>
          </cell>
          <cell r="O358">
            <v>6646.7999999999984</v>
          </cell>
          <cell r="P358">
            <v>6648.7199999999975</v>
          </cell>
          <cell r="R358">
            <v>0</v>
          </cell>
          <cell r="S358">
            <v>0</v>
          </cell>
          <cell r="U358">
            <v>1294.4711018415646</v>
          </cell>
          <cell r="V358">
            <v>907.00118901907285</v>
          </cell>
          <cell r="X358">
            <v>13062.133425939652</v>
          </cell>
          <cell r="Y358">
            <v>12090.69605438295</v>
          </cell>
          <cell r="AA358">
            <v>0</v>
          </cell>
          <cell r="AB358">
            <v>0</v>
          </cell>
          <cell r="AD358">
            <v>19471.281635904488</v>
          </cell>
          <cell r="AE358">
            <v>18479.553223538645</v>
          </cell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P358">
            <v>14205.264643404744</v>
          </cell>
          <cell r="AQ358">
            <v>13759.689715073844</v>
          </cell>
          <cell r="AS358">
            <v>75728.520229907823</v>
          </cell>
          <cell r="AT358">
            <v>71469.511218864529</v>
          </cell>
          <cell r="AV358">
            <v>2719.7205850661035</v>
          </cell>
          <cell r="AW358">
            <v>4437.7833806935578</v>
          </cell>
          <cell r="AY358">
            <v>4382.8307950745648</v>
          </cell>
          <cell r="AZ358">
            <v>6266.3321903764472</v>
          </cell>
          <cell r="BB358">
            <v>2759.3771445596376</v>
          </cell>
          <cell r="BC358">
            <v>1804.0310461987206</v>
          </cell>
          <cell r="BE358">
            <v>0</v>
          </cell>
          <cell r="BF358">
            <v>0</v>
          </cell>
          <cell r="BH358">
            <v>1313.1883369600607</v>
          </cell>
          <cell r="BI358">
            <v>0</v>
          </cell>
          <cell r="BK358">
            <v>1997.7706901532031</v>
          </cell>
          <cell r="BL358">
            <v>3805</v>
          </cell>
          <cell r="BN358">
            <v>0</v>
          </cell>
          <cell r="BO358">
            <v>0</v>
          </cell>
          <cell r="BT358">
            <v>40341.985917784965</v>
          </cell>
          <cell r="BU358">
            <v>51710.042823121956</v>
          </cell>
          <cell r="BW358">
            <v>26136.142748600705</v>
          </cell>
          <cell r="BX358">
            <v>31011.308697645291</v>
          </cell>
          <cell r="BZ358">
            <v>6516.2085287415621</v>
          </cell>
          <cell r="CA358">
            <v>10857.950409322026</v>
          </cell>
          <cell r="CC358">
            <v>3204.2798744052047</v>
          </cell>
          <cell r="CD358">
            <v>3184.178669946275</v>
          </cell>
          <cell r="CF358">
            <v>394.46627241730721</v>
          </cell>
          <cell r="CG358">
            <v>2739.8174054830606</v>
          </cell>
          <cell r="CI358">
            <v>9751.8306173170986</v>
          </cell>
          <cell r="CJ358">
            <v>9804.1491186174353</v>
          </cell>
          <cell r="CL358">
            <v>0</v>
          </cell>
          <cell r="CM358">
            <v>0</v>
          </cell>
          <cell r="CX358">
            <v>5963.9154301545059</v>
          </cell>
          <cell r="CY358">
            <v>-15962.468663749813</v>
          </cell>
        </row>
        <row r="359">
          <cell r="I359">
            <v>21897.866155661861</v>
          </cell>
          <cell r="J359">
            <v>20865.678557681575</v>
          </cell>
          <cell r="L359">
            <v>4540.8220716502447</v>
          </cell>
          <cell r="M359">
            <v>4553.3216978579021</v>
          </cell>
          <cell r="O359">
            <v>9159.1200000000008</v>
          </cell>
          <cell r="P359">
            <v>9162</v>
          </cell>
          <cell r="R359">
            <v>0</v>
          </cell>
          <cell r="S359">
            <v>0</v>
          </cell>
          <cell r="U359">
            <v>2003.535255096368</v>
          </cell>
          <cell r="V359">
            <v>1403.8206245946485</v>
          </cell>
          <cell r="X359">
            <v>20874.483872528137</v>
          </cell>
          <cell r="Y359">
            <v>19112.106726362083</v>
          </cell>
          <cell r="AA359">
            <v>0</v>
          </cell>
          <cell r="AB359">
            <v>0</v>
          </cell>
          <cell r="AD359">
            <v>26399.967327254297</v>
          </cell>
          <cell r="AE359">
            <v>25055.341011763587</v>
          </cell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P359">
            <v>18182.738743558075</v>
          </cell>
          <cell r="AQ359">
            <v>17802.488525405384</v>
          </cell>
          <cell r="AS359">
            <v>68041.645441087792</v>
          </cell>
          <cell r="AT359">
            <v>14310.989866368102</v>
          </cell>
          <cell r="AV359">
            <v>3593.3219295226049</v>
          </cell>
          <cell r="AW359">
            <v>0</v>
          </cell>
          <cell r="AY359">
            <v>5852.5341939813698</v>
          </cell>
          <cell r="AZ359">
            <v>3591</v>
          </cell>
          <cell r="BB359">
            <v>3465.8389732460087</v>
          </cell>
          <cell r="BC359">
            <v>0</v>
          </cell>
          <cell r="BE359">
            <v>0</v>
          </cell>
          <cell r="BF359">
            <v>0</v>
          </cell>
          <cell r="BH359">
            <v>2032.8706882486333</v>
          </cell>
          <cell r="BI359">
            <v>547.82598461304462</v>
          </cell>
          <cell r="BK359">
            <v>3255.1479730590704</v>
          </cell>
          <cell r="BL359">
            <v>8066</v>
          </cell>
          <cell r="BN359">
            <v>0</v>
          </cell>
          <cell r="BO359">
            <v>0</v>
          </cell>
          <cell r="BT359">
            <v>58208.429822338927</v>
          </cell>
          <cell r="BU359">
            <v>72175.373796326749</v>
          </cell>
          <cell r="BW359">
            <v>35059.883044671609</v>
          </cell>
          <cell r="BX359">
            <v>37918.080890069708</v>
          </cell>
          <cell r="BZ359">
            <v>8066.5486915385145</v>
          </cell>
          <cell r="CA359">
            <v>14395.668430869546</v>
          </cell>
          <cell r="CC359">
            <v>3769.0143483227716</v>
          </cell>
          <cell r="CD359">
            <v>3745.3704311264528</v>
          </cell>
          <cell r="CF359">
            <v>463.98850878973514</v>
          </cell>
          <cell r="CG359">
            <v>547.9634810966121</v>
          </cell>
          <cell r="CI359">
            <v>10257.203797101291</v>
          </cell>
          <cell r="CJ359">
            <v>10180.207412301628</v>
          </cell>
          <cell r="CL359">
            <v>0</v>
          </cell>
          <cell r="CM359">
            <v>0</v>
          </cell>
          <cell r="CX359">
            <v>18300.766994811158</v>
          </cell>
          <cell r="CY359">
            <v>68330.835076275544</v>
          </cell>
        </row>
        <row r="360">
          <cell r="I360">
            <v>6806.4524349835447</v>
          </cell>
          <cell r="J360">
            <v>6643.7243619077508</v>
          </cell>
          <cell r="L360">
            <v>1101.0296889265398</v>
          </cell>
          <cell r="M360">
            <v>1088.1993388903979</v>
          </cell>
          <cell r="O360">
            <v>3431.1599999999994</v>
          </cell>
          <cell r="P360">
            <v>2697.0432161827957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X360">
            <v>4990.7132705970835</v>
          </cell>
          <cell r="Y360">
            <v>4005.7791338371876</v>
          </cell>
          <cell r="AA360">
            <v>0</v>
          </cell>
          <cell r="AB360">
            <v>0</v>
          </cell>
          <cell r="AD360">
            <v>10246.987511008112</v>
          </cell>
          <cell r="AE360">
            <v>8588.8246304377244</v>
          </cell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P360">
            <v>3977.474100153328</v>
          </cell>
          <cell r="AQ360">
            <v>3766.5226710617007</v>
          </cell>
          <cell r="AS360">
            <v>22099.888390479635</v>
          </cell>
          <cell r="AT360">
            <v>9720.0497783650681</v>
          </cell>
          <cell r="AV360">
            <v>1241.130694619156</v>
          </cell>
          <cell r="AW360">
            <v>1187</v>
          </cell>
          <cell r="AY360">
            <v>1419.0098779732841</v>
          </cell>
          <cell r="AZ360">
            <v>0</v>
          </cell>
          <cell r="BB360">
            <v>1928.8566633283365</v>
          </cell>
          <cell r="BC360">
            <v>0</v>
          </cell>
          <cell r="BE360">
            <v>0</v>
          </cell>
          <cell r="BF360">
            <v>0</v>
          </cell>
          <cell r="BH360">
            <v>0</v>
          </cell>
          <cell r="BI360">
            <v>0</v>
          </cell>
          <cell r="BK360">
            <v>645.5407983755922</v>
          </cell>
          <cell r="BL360">
            <v>913</v>
          </cell>
          <cell r="BN360">
            <v>0</v>
          </cell>
          <cell r="BO360">
            <v>0</v>
          </cell>
          <cell r="BT360">
            <v>33133.033687510957</v>
          </cell>
          <cell r="BU360">
            <v>39373.170450396443</v>
          </cell>
          <cell r="BW360">
            <v>23028.772139705219</v>
          </cell>
          <cell r="BX360">
            <v>25131.232521019883</v>
          </cell>
          <cell r="BZ360">
            <v>6641.6478199912444</v>
          </cell>
          <cell r="CA360">
            <v>9649.3722325930321</v>
          </cell>
          <cell r="CC360">
            <v>541.2038708376698</v>
          </cell>
          <cell r="CD360">
            <v>537.80877113100291</v>
          </cell>
          <cell r="CF360">
            <v>66.625476523576779</v>
          </cell>
          <cell r="CG360">
            <v>0</v>
          </cell>
          <cell r="CI360">
            <v>2433.2782730349777</v>
          </cell>
          <cell r="CJ360">
            <v>2942.8070773848735</v>
          </cell>
          <cell r="CL360">
            <v>0</v>
          </cell>
          <cell r="CM360">
            <v>0</v>
          </cell>
          <cell r="CX360">
            <v>-10941.205637657908</v>
          </cell>
          <cell r="CY360">
            <v>-1955.2810198494335</v>
          </cell>
        </row>
        <row r="361">
          <cell r="I361">
            <v>13007.607676147936</v>
          </cell>
          <cell r="J361">
            <v>12794.546612128272</v>
          </cell>
          <cell r="L361">
            <v>2407.4117231896657</v>
          </cell>
          <cell r="M361">
            <v>2379.357651494834</v>
          </cell>
          <cell r="O361">
            <v>6563.7599999999984</v>
          </cell>
          <cell r="P361">
            <v>5159.1064786827956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X361">
            <v>10442.424278323857</v>
          </cell>
          <cell r="Y361">
            <v>8379.1058904755082</v>
          </cell>
          <cell r="AA361">
            <v>0</v>
          </cell>
          <cell r="AB361">
            <v>0</v>
          </cell>
          <cell r="AD361">
            <v>19216.142768318201</v>
          </cell>
          <cell r="AE361">
            <v>18548.256029123986</v>
          </cell>
          <cell r="AJ361">
            <v>0</v>
          </cell>
          <cell r="AK361">
            <v>0</v>
          </cell>
          <cell r="AM361">
            <v>0</v>
          </cell>
          <cell r="AN361">
            <v>0</v>
          </cell>
          <cell r="AP361">
            <v>11790.369654025939</v>
          </cell>
          <cell r="AQ361">
            <v>11236.558022190091</v>
          </cell>
          <cell r="AS361">
            <v>43279.407778981171</v>
          </cell>
          <cell r="AT361">
            <v>11553.942260838425</v>
          </cell>
          <cell r="AV361">
            <v>2116.1210502326226</v>
          </cell>
          <cell r="AW361">
            <v>2051</v>
          </cell>
          <cell r="AY361">
            <v>3102.7914778078243</v>
          </cell>
          <cell r="AZ361">
            <v>0</v>
          </cell>
          <cell r="BB361">
            <v>2712.8050698910993</v>
          </cell>
          <cell r="BC361">
            <v>0</v>
          </cell>
          <cell r="BE361">
            <v>0</v>
          </cell>
          <cell r="BF361">
            <v>0</v>
          </cell>
          <cell r="BH361">
            <v>0</v>
          </cell>
          <cell r="BI361">
            <v>0</v>
          </cell>
          <cell r="BK361">
            <v>1457.3785947186122</v>
          </cell>
          <cell r="BL361">
            <v>125</v>
          </cell>
          <cell r="BN361">
            <v>0</v>
          </cell>
          <cell r="BO361">
            <v>0</v>
          </cell>
          <cell r="BT361">
            <v>34086.052430333904</v>
          </cell>
          <cell r="BU361">
            <v>47857.191660515855</v>
          </cell>
          <cell r="BW361">
            <v>21473.392231375983</v>
          </cell>
          <cell r="BX361">
            <v>26261.643219125115</v>
          </cell>
          <cell r="BZ361">
            <v>10929.118981761863</v>
          </cell>
          <cell r="CA361">
            <v>12001.355378245824</v>
          </cell>
          <cell r="CC361">
            <v>0</v>
          </cell>
          <cell r="CD361">
            <v>0</v>
          </cell>
          <cell r="CF361">
            <v>0</v>
          </cell>
          <cell r="CG361">
            <v>0</v>
          </cell>
          <cell r="CI361">
            <v>4230.1606900454226</v>
          </cell>
          <cell r="CJ361">
            <v>4215.9632120070646</v>
          </cell>
          <cell r="CL361">
            <v>0</v>
          </cell>
          <cell r="CM361">
            <v>0</v>
          </cell>
          <cell r="CX361">
            <v>6056.6667138150915</v>
          </cell>
          <cell r="CY361">
            <v>35158.968302206704</v>
          </cell>
        </row>
        <row r="362">
          <cell r="I362">
            <v>8986.890777027782</v>
          </cell>
          <cell r="J362">
            <v>8731.8199351144631</v>
          </cell>
          <cell r="L362">
            <v>1704.0680617186219</v>
          </cell>
          <cell r="M362">
            <v>1684.2085441198071</v>
          </cell>
          <cell r="O362">
            <v>3948.6000000000008</v>
          </cell>
          <cell r="P362">
            <v>3103.5099602150535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X362">
            <v>7491.5842130864557</v>
          </cell>
          <cell r="Y362">
            <v>5898.7839741203279</v>
          </cell>
          <cell r="AA362">
            <v>0</v>
          </cell>
          <cell r="AB362">
            <v>0</v>
          </cell>
          <cell r="AD362">
            <v>11657.413300550796</v>
          </cell>
          <cell r="AE362">
            <v>11117.855012621798</v>
          </cell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P362">
            <v>4261.5793930214249</v>
          </cell>
          <cell r="AQ362">
            <v>4187.2367525320005</v>
          </cell>
          <cell r="AS362">
            <v>30470.677943615276</v>
          </cell>
          <cell r="AT362">
            <v>10296.716954052536</v>
          </cell>
          <cell r="AV362">
            <v>1710.4634120916244</v>
          </cell>
          <cell r="AW362">
            <v>818</v>
          </cell>
          <cell r="AY362">
            <v>2196.4265497206843</v>
          </cell>
          <cell r="AZ362">
            <v>2836</v>
          </cell>
          <cell r="BB362">
            <v>1769.2270019340947</v>
          </cell>
          <cell r="BC362">
            <v>367.97798214586402</v>
          </cell>
          <cell r="BE362">
            <v>0</v>
          </cell>
          <cell r="BF362">
            <v>0</v>
          </cell>
          <cell r="BH362">
            <v>0</v>
          </cell>
          <cell r="BI362">
            <v>0</v>
          </cell>
          <cell r="BK362">
            <v>1019.5485993260555</v>
          </cell>
          <cell r="BL362">
            <v>0</v>
          </cell>
          <cell r="BN362">
            <v>0</v>
          </cell>
          <cell r="BO362">
            <v>0</v>
          </cell>
          <cell r="BT362">
            <v>24075.735583134494</v>
          </cell>
          <cell r="BU362">
            <v>39392.235900429849</v>
          </cell>
          <cell r="BW362">
            <v>18679.014971488581</v>
          </cell>
          <cell r="BX362">
            <v>21347.847770872351</v>
          </cell>
          <cell r="BZ362">
            <v>13502.000661220218</v>
          </cell>
          <cell r="CA362">
            <v>9448.6192171510756</v>
          </cell>
          <cell r="CC362">
            <v>955.93075012088423</v>
          </cell>
          <cell r="CD362">
            <v>949.93397074769541</v>
          </cell>
          <cell r="CF362">
            <v>117.68086885957852</v>
          </cell>
          <cell r="CG362">
            <v>0</v>
          </cell>
          <cell r="CI362">
            <v>6738.3090637891701</v>
          </cell>
          <cell r="CJ362">
            <v>4935.0182422077751</v>
          </cell>
          <cell r="CL362">
            <v>0</v>
          </cell>
          <cell r="CM362">
            <v>0</v>
          </cell>
          <cell r="CX362">
            <v>-1173.721380846875</v>
          </cell>
          <cell r="CY362">
            <v>15829.542940403284</v>
          </cell>
        </row>
        <row r="363">
          <cell r="I363">
            <v>6848.5487103924706</v>
          </cell>
          <cell r="J363">
            <v>6735.6120350429364</v>
          </cell>
          <cell r="L363">
            <v>995.69530879839385</v>
          </cell>
          <cell r="M363">
            <v>984.08781923305287</v>
          </cell>
          <cell r="O363">
            <v>3314.6400000000012</v>
          </cell>
          <cell r="P363">
            <v>2605.4279645161287</v>
          </cell>
          <cell r="R363">
            <v>768.4799999999999</v>
          </cell>
          <cell r="S363">
            <v>603.88539623655913</v>
          </cell>
          <cell r="U363">
            <v>390.17454427986803</v>
          </cell>
          <cell r="V363">
            <v>1015.0206227860051</v>
          </cell>
          <cell r="X363">
            <v>4043.8909126957878</v>
          </cell>
          <cell r="Y363">
            <v>3615.5939168675686</v>
          </cell>
          <cell r="AA363">
            <v>0</v>
          </cell>
          <cell r="AB363">
            <v>0</v>
          </cell>
          <cell r="AD363">
            <v>10285.085169968965</v>
          </cell>
          <cell r="AE363">
            <v>9761.2361816284993</v>
          </cell>
          <cell r="AJ363">
            <v>19594.976018177218</v>
          </cell>
          <cell r="AK363">
            <v>19472.002171809872</v>
          </cell>
          <cell r="AM363">
            <v>0</v>
          </cell>
          <cell r="AN363">
            <v>0</v>
          </cell>
          <cell r="AP363">
            <v>2272.8423429447594</v>
          </cell>
          <cell r="AQ363">
            <v>2294.2136437470926</v>
          </cell>
          <cell r="AS363">
            <v>31656.586802638321</v>
          </cell>
          <cell r="AT363">
            <v>2184.5969674833068</v>
          </cell>
          <cell r="AV363">
            <v>216.43588841651101</v>
          </cell>
          <cell r="AW363">
            <v>775</v>
          </cell>
          <cell r="AY363">
            <v>265.8576572715985</v>
          </cell>
          <cell r="AZ363">
            <v>0</v>
          </cell>
          <cell r="BB363">
            <v>338.18783662012248</v>
          </cell>
          <cell r="BC363">
            <v>0</v>
          </cell>
          <cell r="BE363">
            <v>172.88532945079211</v>
          </cell>
          <cell r="BF363">
            <v>0</v>
          </cell>
          <cell r="BH363">
            <v>79.153482378459373</v>
          </cell>
          <cell r="BI363">
            <v>0</v>
          </cell>
          <cell r="BK363">
            <v>156.21811853270933</v>
          </cell>
          <cell r="BL363">
            <v>5279.3339420043221</v>
          </cell>
          <cell r="BN363">
            <v>0</v>
          </cell>
          <cell r="BO363">
            <v>0</v>
          </cell>
          <cell r="BT363">
            <v>38634.50698905973</v>
          </cell>
          <cell r="BU363">
            <v>39704.523316453029</v>
          </cell>
          <cell r="BW363">
            <v>23684.560494760521</v>
          </cell>
          <cell r="BX363">
            <v>24008.047090188389</v>
          </cell>
          <cell r="BZ363">
            <v>9737.9283916133136</v>
          </cell>
          <cell r="CA363">
            <v>8874.028084619933</v>
          </cell>
          <cell r="CC363">
            <v>0</v>
          </cell>
          <cell r="CD363">
            <v>0</v>
          </cell>
          <cell r="CF363">
            <v>0</v>
          </cell>
          <cell r="CG363">
            <v>0</v>
          </cell>
          <cell r="CI363">
            <v>3968.1153375647318</v>
          </cell>
          <cell r="CJ363">
            <v>2484.1073048297262</v>
          </cell>
          <cell r="CL363">
            <v>7505.7275960540474</v>
          </cell>
          <cell r="CM363">
            <v>7152.0586408747367</v>
          </cell>
          <cell r="CX363">
            <v>4949.1636820580461</v>
          </cell>
          <cell r="CY363">
            <v>37807.229882014595</v>
          </cell>
        </row>
        <row r="364">
          <cell r="I364">
            <v>8678.3128882212313</v>
          </cell>
          <cell r="J364">
            <v>8516.1477000544037</v>
          </cell>
          <cell r="L364">
            <v>1746.6758435245777</v>
          </cell>
          <cell r="M364">
            <v>1726.3210689250254</v>
          </cell>
          <cell r="O364">
            <v>4330.3200000000006</v>
          </cell>
          <cell r="P364">
            <v>3403.4892456451612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5851.3814185755864</v>
          </cell>
          <cell r="Y364">
            <v>4824.1251086356724</v>
          </cell>
          <cell r="AA364">
            <v>0</v>
          </cell>
          <cell r="AB364">
            <v>0</v>
          </cell>
          <cell r="AD364">
            <v>12869.26947369148</v>
          </cell>
          <cell r="AE364">
            <v>12222.533477805833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6960.5796752683264</v>
          </cell>
          <cell r="AQ364">
            <v>6349.8383791670276</v>
          </cell>
          <cell r="AS364">
            <v>32734.271923466502</v>
          </cell>
          <cell r="AT364">
            <v>14618.275866012982</v>
          </cell>
          <cell r="AV364">
            <v>1459.8713435868913</v>
          </cell>
          <cell r="AW364">
            <v>14859</v>
          </cell>
          <cell r="AY364">
            <v>2251.1988267304814</v>
          </cell>
          <cell r="AZ364">
            <v>0</v>
          </cell>
          <cell r="BB364">
            <v>2141.9433672058194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  <cell r="BK364">
            <v>727.69954995328419</v>
          </cell>
          <cell r="BL364">
            <v>1827</v>
          </cell>
          <cell r="BN364">
            <v>0</v>
          </cell>
          <cell r="BO364">
            <v>0</v>
          </cell>
          <cell r="BT364">
            <v>26305.128911679316</v>
          </cell>
          <cell r="BU364">
            <v>36547.623670031651</v>
          </cell>
          <cell r="BW364">
            <v>13201.956053764188</v>
          </cell>
          <cell r="BX364">
            <v>18775.094096195662</v>
          </cell>
          <cell r="BZ364">
            <v>9292.3384697152924</v>
          </cell>
          <cell r="CA364">
            <v>7829.586521300851</v>
          </cell>
          <cell r="CC364">
            <v>526.4972439127331</v>
          </cell>
          <cell r="CD364">
            <v>523.19440235026912</v>
          </cell>
          <cell r="CF364">
            <v>64.815001618044818</v>
          </cell>
          <cell r="CG364">
            <v>0</v>
          </cell>
          <cell r="CI364">
            <v>4099.1380138050781</v>
          </cell>
          <cell r="CJ364">
            <v>1912.2770527915879</v>
          </cell>
          <cell r="CL364">
            <v>0</v>
          </cell>
          <cell r="CM364">
            <v>0</v>
          </cell>
          <cell r="CX364">
            <v>8090.9623943373754</v>
          </cell>
          <cell r="CY364">
            <v>7259.2320933006504</v>
          </cell>
        </row>
        <row r="365">
          <cell r="I365">
            <v>6222.1158769224503</v>
          </cell>
          <cell r="J365">
            <v>6084.9410811296284</v>
          </cell>
          <cell r="L365">
            <v>1038.8909714306749</v>
          </cell>
          <cell r="M365">
            <v>1026.7852402161213</v>
          </cell>
          <cell r="O365">
            <v>2746.9199999999996</v>
          </cell>
          <cell r="P365">
            <v>2159.0725483333331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3258.660011758127</v>
          </cell>
          <cell r="Y365">
            <v>2430.6564320656339</v>
          </cell>
          <cell r="AA365">
            <v>0</v>
          </cell>
          <cell r="AB365">
            <v>0</v>
          </cell>
          <cell r="AD365">
            <v>7918.5834496018624</v>
          </cell>
          <cell r="AE365">
            <v>7515.2672047081924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5682.1058573619002</v>
          </cell>
          <cell r="AQ365">
            <v>5094.0414582503099</v>
          </cell>
          <cell r="AS365">
            <v>20708.836443737393</v>
          </cell>
          <cell r="AT365">
            <v>4652.7866765078652</v>
          </cell>
          <cell r="AV365">
            <v>1011.4566116891505</v>
          </cell>
          <cell r="AW365">
            <v>0</v>
          </cell>
          <cell r="AY365">
            <v>1338.8908404967292</v>
          </cell>
          <cell r="AZ365">
            <v>0</v>
          </cell>
          <cell r="BB365">
            <v>1196.9568431124032</v>
          </cell>
          <cell r="BC365">
            <v>313.81393033431453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  <cell r="BK365">
            <v>389.68052365915952</v>
          </cell>
          <cell r="BL365">
            <v>0</v>
          </cell>
          <cell r="BN365">
            <v>0</v>
          </cell>
          <cell r="BO365">
            <v>0</v>
          </cell>
          <cell r="BT365">
            <v>24473.158007042697</v>
          </cell>
          <cell r="BU365">
            <v>29440.631216641232</v>
          </cell>
          <cell r="BW365">
            <v>8078.3031759048572</v>
          </cell>
          <cell r="BX365">
            <v>10467.551433222498</v>
          </cell>
          <cell r="BZ365">
            <v>5960.3734894892759</v>
          </cell>
          <cell r="CA365">
            <v>7106.0095756538094</v>
          </cell>
          <cell r="CC365">
            <v>0</v>
          </cell>
          <cell r="CD365">
            <v>0</v>
          </cell>
          <cell r="CF365">
            <v>0</v>
          </cell>
          <cell r="CG365">
            <v>0</v>
          </cell>
          <cell r="CI365">
            <v>580.24328049295616</v>
          </cell>
          <cell r="CJ365">
            <v>419.36568965924317</v>
          </cell>
          <cell r="CL365">
            <v>0</v>
          </cell>
          <cell r="CM365">
            <v>0</v>
          </cell>
          <cell r="CX365">
            <v>2174.2695407604624</v>
          </cell>
          <cell r="CY365">
            <v>18847.373015933394</v>
          </cell>
        </row>
        <row r="366">
          <cell r="I366">
            <v>11165.576120983598</v>
          </cell>
          <cell r="J366">
            <v>10925.169232222848</v>
          </cell>
          <cell r="L366">
            <v>2288.4595257078313</v>
          </cell>
          <cell r="M366">
            <v>2332.7514018000779</v>
          </cell>
          <cell r="O366">
            <v>4702.6799999999994</v>
          </cell>
          <cell r="P366">
            <v>3696.3090766129026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7629.8149617938498</v>
          </cell>
          <cell r="Y366">
            <v>5997.2779352123844</v>
          </cell>
          <cell r="AA366">
            <v>0</v>
          </cell>
          <cell r="AB366">
            <v>0</v>
          </cell>
          <cell r="AD366">
            <v>14539.323753930301</v>
          </cell>
          <cell r="AE366">
            <v>13751.957789663822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9091.3693717790375</v>
          </cell>
          <cell r="AQ366">
            <v>8308.4947996244027</v>
          </cell>
          <cell r="AS366">
            <v>43454.168163723691</v>
          </cell>
          <cell r="AT366">
            <v>246.55041654926396</v>
          </cell>
          <cell r="AV366">
            <v>1858.8368832448157</v>
          </cell>
          <cell r="AW366">
            <v>1075</v>
          </cell>
          <cell r="AY366">
            <v>2949.4286120364909</v>
          </cell>
          <cell r="AZ366">
            <v>2965</v>
          </cell>
          <cell r="BB366">
            <v>2195.6646772248323</v>
          </cell>
          <cell r="BC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  <cell r="BK366">
            <v>1052.8171621137847</v>
          </cell>
          <cell r="BL366">
            <v>0</v>
          </cell>
          <cell r="BN366">
            <v>0</v>
          </cell>
          <cell r="BO366">
            <v>0</v>
          </cell>
          <cell r="BT366">
            <v>17761.049342461734</v>
          </cell>
          <cell r="BU366">
            <v>31266.966874202139</v>
          </cell>
          <cell r="BW366">
            <v>21105.416624243375</v>
          </cell>
          <cell r="BX366">
            <v>28784.11501616973</v>
          </cell>
          <cell r="BZ366">
            <v>10301.848853420945</v>
          </cell>
          <cell r="CA366">
            <v>7248.9698401823343</v>
          </cell>
          <cell r="CC366">
            <v>700.03544162698608</v>
          </cell>
          <cell r="CD366">
            <v>695.64395396292775</v>
          </cell>
          <cell r="CF366">
            <v>86.178605503322117</v>
          </cell>
          <cell r="CG366">
            <v>0</v>
          </cell>
          <cell r="CI366">
            <v>5109.8843733734529</v>
          </cell>
          <cell r="CJ366">
            <v>4742.0632122870402</v>
          </cell>
          <cell r="CL366">
            <v>0</v>
          </cell>
          <cell r="CM366">
            <v>0</v>
          </cell>
          <cell r="CX366">
            <v>-479.06296780169214</v>
          </cell>
          <cell r="CY366">
            <v>40268.476541812161</v>
          </cell>
        </row>
        <row r="367">
          <cell r="I367">
            <v>5374.2936535920626</v>
          </cell>
          <cell r="J367">
            <v>5241.303408843849</v>
          </cell>
          <cell r="L367">
            <v>930.88980632443679</v>
          </cell>
          <cell r="M367">
            <v>933.03702022581126</v>
          </cell>
          <cell r="O367">
            <v>2179.4399999999996</v>
          </cell>
          <cell r="P367">
            <v>1713.1016193548387</v>
          </cell>
          <cell r="R367">
            <v>0</v>
          </cell>
          <cell r="S367">
            <v>0</v>
          </cell>
          <cell r="U367">
            <v>0</v>
          </cell>
          <cell r="V367">
            <v>0</v>
          </cell>
          <cell r="X367">
            <v>3078.7900674992229</v>
          </cell>
          <cell r="Y367">
            <v>2300.8669460933852</v>
          </cell>
          <cell r="AA367">
            <v>0</v>
          </cell>
          <cell r="AB367">
            <v>0</v>
          </cell>
          <cell r="AD367">
            <v>6390.657809526735</v>
          </cell>
          <cell r="AE367">
            <v>6065.163214875678</v>
          </cell>
          <cell r="AJ367">
            <v>0</v>
          </cell>
          <cell r="AK367">
            <v>0</v>
          </cell>
          <cell r="AM367">
            <v>0</v>
          </cell>
          <cell r="AN367">
            <v>0</v>
          </cell>
          <cell r="AP367">
            <v>4545.6846858895187</v>
          </cell>
          <cell r="AQ367">
            <v>4117.8632241462483</v>
          </cell>
          <cell r="AS367">
            <v>20188.701100501145</v>
          </cell>
          <cell r="AT367">
            <v>4611.7660532452237</v>
          </cell>
          <cell r="AV367">
            <v>892.01370037999766</v>
          </cell>
          <cell r="AW367">
            <v>0</v>
          </cell>
          <cell r="AY367">
            <v>1199.9207699340923</v>
          </cell>
          <cell r="AZ367">
            <v>0</v>
          </cell>
          <cell r="BB367">
            <v>906.91239594808542</v>
          </cell>
          <cell r="BC367">
            <v>297</v>
          </cell>
          <cell r="BE367">
            <v>0</v>
          </cell>
          <cell r="BF367">
            <v>0</v>
          </cell>
          <cell r="BH367">
            <v>0</v>
          </cell>
          <cell r="BI367">
            <v>0</v>
          </cell>
          <cell r="BK367">
            <v>360.33701886344971</v>
          </cell>
          <cell r="BL367">
            <v>93</v>
          </cell>
          <cell r="BN367">
            <v>0</v>
          </cell>
          <cell r="BO367">
            <v>0</v>
          </cell>
          <cell r="BT367">
            <v>20101.367936049628</v>
          </cell>
          <cell r="BU367">
            <v>25520.618855165922</v>
          </cell>
          <cell r="BW367">
            <v>9497.2622932488648</v>
          </cell>
          <cell r="BX367">
            <v>13341.164910567919</v>
          </cell>
          <cell r="BZ367">
            <v>5477.1391242753134</v>
          </cell>
          <cell r="CA367">
            <v>5604.5555025576095</v>
          </cell>
          <cell r="CC367">
            <v>247.07133233893617</v>
          </cell>
          <cell r="CD367">
            <v>245.52139551632737</v>
          </cell>
          <cell r="CF367">
            <v>30.415978412937225</v>
          </cell>
          <cell r="CG367">
            <v>0</v>
          </cell>
          <cell r="CI367">
            <v>1684.5772659472925</v>
          </cell>
          <cell r="CJ367">
            <v>1811.5459185417199</v>
          </cell>
          <cell r="CL367">
            <v>0</v>
          </cell>
          <cell r="CM367">
            <v>0</v>
          </cell>
          <cell r="CX367">
            <v>2496.8700735219318</v>
          </cell>
          <cell r="CY367">
            <v>15923.630317038547</v>
          </cell>
        </row>
      </sheetData>
      <sheetData sheetId="4"/>
      <sheetData sheetId="5"/>
      <sheetData sheetId="6"/>
      <sheetData sheetId="7"/>
      <sheetData sheetId="8">
        <row r="11"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537</v>
          </cell>
          <cell r="AE11">
            <v>393.88469205461456</v>
          </cell>
          <cell r="AF11">
            <v>0</v>
          </cell>
          <cell r="AH11">
            <v>441.90731036293738</v>
          </cell>
          <cell r="AI11">
            <v>0</v>
          </cell>
          <cell r="AK11">
            <v>261.26962980340727</v>
          </cell>
          <cell r="AL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T11">
            <v>158.07341495569472</v>
          </cell>
          <cell r="AU11">
            <v>0</v>
          </cell>
          <cell r="AW11">
            <v>0</v>
          </cell>
          <cell r="AX11">
            <v>0</v>
          </cell>
        </row>
        <row r="12">
          <cell r="I12">
            <v>11.4</v>
          </cell>
          <cell r="J12">
            <v>3618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1443</v>
          </cell>
          <cell r="AE12">
            <v>1275.680154624456</v>
          </cell>
          <cell r="AF12">
            <v>0</v>
          </cell>
          <cell r="AH12">
            <v>2144.1599713385599</v>
          </cell>
          <cell r="AI12">
            <v>0</v>
          </cell>
          <cell r="AK12">
            <v>1455.2971221181449</v>
          </cell>
          <cell r="AL12">
            <v>1767</v>
          </cell>
          <cell r="AN12">
            <v>0</v>
          </cell>
          <cell r="AO12">
            <v>0</v>
          </cell>
          <cell r="AQ12">
            <v>0</v>
          </cell>
          <cell r="AR12">
            <v>0</v>
          </cell>
          <cell r="AT12">
            <v>649.84801623748729</v>
          </cell>
          <cell r="AU12">
            <v>460</v>
          </cell>
          <cell r="AW12">
            <v>402.89454441995593</v>
          </cell>
          <cell r="AX12">
            <v>0</v>
          </cell>
        </row>
        <row r="13"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216</v>
          </cell>
          <cell r="P13">
            <v>69131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1</v>
          </cell>
          <cell r="X13">
            <v>461.7281101697663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1490</v>
          </cell>
          <cell r="AE13">
            <v>1736.5007848946891</v>
          </cell>
          <cell r="AF13">
            <v>0</v>
          </cell>
          <cell r="AH13">
            <v>2547.2603672051077</v>
          </cell>
          <cell r="AI13">
            <v>0</v>
          </cell>
          <cell r="AK13">
            <v>2008.157574395105</v>
          </cell>
          <cell r="AL13">
            <v>0</v>
          </cell>
          <cell r="AN13">
            <v>0</v>
          </cell>
          <cell r="AO13">
            <v>0</v>
          </cell>
          <cell r="AQ13">
            <v>719.6828414324732</v>
          </cell>
          <cell r="AR13">
            <v>0</v>
          </cell>
          <cell r="AT13">
            <v>954.36378428623402</v>
          </cell>
          <cell r="AU13">
            <v>931</v>
          </cell>
          <cell r="AW13">
            <v>0</v>
          </cell>
          <cell r="AX13">
            <v>0</v>
          </cell>
        </row>
        <row r="14">
          <cell r="I14">
            <v>50.739999999999995</v>
          </cell>
          <cell r="J14">
            <v>82847</v>
          </cell>
          <cell r="L14">
            <v>0</v>
          </cell>
          <cell r="M14">
            <v>692</v>
          </cell>
          <cell r="O14">
            <v>9</v>
          </cell>
          <cell r="P14">
            <v>2679</v>
          </cell>
          <cell r="R14">
            <v>7</v>
          </cell>
          <cell r="S14">
            <v>243569</v>
          </cell>
          <cell r="U14">
            <v>9732</v>
          </cell>
          <cell r="V14">
            <v>0</v>
          </cell>
          <cell r="W14">
            <v>4</v>
          </cell>
          <cell r="X14">
            <v>288</v>
          </cell>
          <cell r="Y14">
            <v>6340</v>
          </cell>
          <cell r="Z14">
            <v>0</v>
          </cell>
          <cell r="AA14">
            <v>0</v>
          </cell>
          <cell r="AB14">
            <v>2178</v>
          </cell>
          <cell r="AC14">
            <v>882</v>
          </cell>
          <cell r="AD14">
            <v>0</v>
          </cell>
          <cell r="AE14">
            <v>1171.1209214259991</v>
          </cell>
          <cell r="AF14">
            <v>0</v>
          </cell>
          <cell r="AH14">
            <v>1645.433502069015</v>
          </cell>
          <cell r="AI14">
            <v>3695</v>
          </cell>
          <cell r="AK14">
            <v>1986.6789211948192</v>
          </cell>
          <cell r="AL14">
            <v>0</v>
          </cell>
          <cell r="AN14">
            <v>646.23445642325851</v>
          </cell>
          <cell r="AO14">
            <v>0</v>
          </cell>
          <cell r="AQ14">
            <v>356.19052365989728</v>
          </cell>
          <cell r="AR14">
            <v>0</v>
          </cell>
          <cell r="AT14">
            <v>838.65387638673394</v>
          </cell>
          <cell r="AU14">
            <v>439</v>
          </cell>
          <cell r="AW14">
            <v>0</v>
          </cell>
          <cell r="AX14">
            <v>0</v>
          </cell>
        </row>
        <row r="15">
          <cell r="I15">
            <v>6.22</v>
          </cell>
          <cell r="J15">
            <v>12823</v>
          </cell>
          <cell r="L15">
            <v>0</v>
          </cell>
          <cell r="M15">
            <v>0</v>
          </cell>
          <cell r="O15">
            <v>142.5</v>
          </cell>
          <cell r="P15">
            <v>45202</v>
          </cell>
          <cell r="R15">
            <v>6</v>
          </cell>
          <cell r="S15">
            <v>203135.57498519309</v>
          </cell>
          <cell r="U15">
            <v>548</v>
          </cell>
          <cell r="V15">
            <v>0</v>
          </cell>
          <cell r="W15">
            <v>0</v>
          </cell>
          <cell r="X15">
            <v>502.68092406723639</v>
          </cell>
          <cell r="Y15">
            <v>56534.469846583357</v>
          </cell>
          <cell r="Z15">
            <v>0</v>
          </cell>
          <cell r="AA15">
            <v>0</v>
          </cell>
          <cell r="AB15">
            <v>781</v>
          </cell>
          <cell r="AC15">
            <v>2268</v>
          </cell>
          <cell r="AD15">
            <v>2755</v>
          </cell>
          <cell r="AE15">
            <v>1149.6382596650008</v>
          </cell>
          <cell r="AF15">
            <v>0</v>
          </cell>
          <cell r="AH15">
            <v>1625.9951276560384</v>
          </cell>
          <cell r="AI15">
            <v>985</v>
          </cell>
          <cell r="AK15">
            <v>2085.3863774385813</v>
          </cell>
          <cell r="AL15">
            <v>719.28487379341368</v>
          </cell>
          <cell r="AN15">
            <v>652.43151498238683</v>
          </cell>
          <cell r="AO15">
            <v>0</v>
          </cell>
          <cell r="AQ15">
            <v>356.19052365989728</v>
          </cell>
          <cell r="AR15">
            <v>7754.8875732244178</v>
          </cell>
          <cell r="AT15">
            <v>817.69904065707567</v>
          </cell>
          <cell r="AU15">
            <v>0</v>
          </cell>
          <cell r="AW15">
            <v>0</v>
          </cell>
          <cell r="AX15">
            <v>3674</v>
          </cell>
        </row>
        <row r="16"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H16">
            <v>0</v>
          </cell>
          <cell r="AI16">
            <v>0</v>
          </cell>
          <cell r="AK16">
            <v>0</v>
          </cell>
          <cell r="AL16">
            <v>0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T16">
            <v>0</v>
          </cell>
          <cell r="AU16">
            <v>0</v>
          </cell>
          <cell r="AW16">
            <v>0</v>
          </cell>
          <cell r="AX16">
            <v>0</v>
          </cell>
        </row>
        <row r="17"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1</v>
          </cell>
          <cell r="S17">
            <v>2179</v>
          </cell>
          <cell r="U17">
            <v>0</v>
          </cell>
          <cell r="V17">
            <v>0</v>
          </cell>
          <cell r="W17">
            <v>3</v>
          </cell>
          <cell r="X17">
            <v>892.54341450816332</v>
          </cell>
          <cell r="Y17">
            <v>84161</v>
          </cell>
          <cell r="Z17">
            <v>0</v>
          </cell>
          <cell r="AA17">
            <v>0</v>
          </cell>
          <cell r="AB17">
            <v>7564</v>
          </cell>
          <cell r="AC17">
            <v>3961.320861820544</v>
          </cell>
          <cell r="AD17">
            <v>6510</v>
          </cell>
          <cell r="AE17">
            <v>1138.6768985519086</v>
          </cell>
          <cell r="AF17">
            <v>9458</v>
          </cell>
          <cell r="AH17">
            <v>1370.8439651512381</v>
          </cell>
          <cell r="AI17">
            <v>2092</v>
          </cell>
          <cell r="AK17">
            <v>1348.8768585263208</v>
          </cell>
          <cell r="AL17">
            <v>663</v>
          </cell>
          <cell r="AN17">
            <v>632.59131205310621</v>
          </cell>
          <cell r="AO17">
            <v>2474.295231359828</v>
          </cell>
          <cell r="AQ17">
            <v>395.76741189229665</v>
          </cell>
          <cell r="AR17">
            <v>0</v>
          </cell>
          <cell r="AT17">
            <v>707.09293208318377</v>
          </cell>
          <cell r="AU17">
            <v>7759.4661192619114</v>
          </cell>
          <cell r="AW17">
            <v>323.17389556343255</v>
          </cell>
          <cell r="AX17">
            <v>5921</v>
          </cell>
        </row>
        <row r="18"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3325.7533764369227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380.11671333253418</v>
          </cell>
          <cell r="AD18">
            <v>0</v>
          </cell>
          <cell r="AE18">
            <v>406.17784979833885</v>
          </cell>
          <cell r="AF18">
            <v>0</v>
          </cell>
          <cell r="AH18">
            <v>548.01401471969587</v>
          </cell>
          <cell r="AI18">
            <v>0</v>
          </cell>
          <cell r="AK18">
            <v>189.01238177322887</v>
          </cell>
          <cell r="AL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T18">
            <v>118.62766249183653</v>
          </cell>
          <cell r="AU18">
            <v>0</v>
          </cell>
          <cell r="AW18">
            <v>167.44238903209089</v>
          </cell>
          <cell r="AX18">
            <v>0</v>
          </cell>
        </row>
        <row r="19"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3281.7533764369227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406.17784979833885</v>
          </cell>
          <cell r="AF19">
            <v>0</v>
          </cell>
          <cell r="AH19">
            <v>548.01401471969587</v>
          </cell>
          <cell r="AI19">
            <v>0</v>
          </cell>
          <cell r="AK19">
            <v>183.69665744080805</v>
          </cell>
          <cell r="AL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T19">
            <v>118.62766249183653</v>
          </cell>
          <cell r="AU19">
            <v>0</v>
          </cell>
          <cell r="AW19">
            <v>163.44184337256877</v>
          </cell>
          <cell r="AX19">
            <v>0</v>
          </cell>
        </row>
        <row r="20">
          <cell r="I20">
            <v>1</v>
          </cell>
          <cell r="J20">
            <v>359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3</v>
          </cell>
          <cell r="X20">
            <v>956.68033025717182</v>
          </cell>
          <cell r="Y20">
            <v>1350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3824</v>
          </cell>
          <cell r="AE20">
            <v>2835.3453908674055</v>
          </cell>
          <cell r="AF20">
            <v>0</v>
          </cell>
          <cell r="AH20">
            <v>4401.3023463595528</v>
          </cell>
          <cell r="AI20">
            <v>0</v>
          </cell>
          <cell r="AK20">
            <v>2648.0499950002359</v>
          </cell>
          <cell r="AL20">
            <v>0</v>
          </cell>
          <cell r="AN20">
            <v>0</v>
          </cell>
          <cell r="AO20">
            <v>0</v>
          </cell>
          <cell r="AQ20">
            <v>0</v>
          </cell>
          <cell r="AR20">
            <v>875</v>
          </cell>
          <cell r="AT20">
            <v>1987.2495874348169</v>
          </cell>
          <cell r="AU20">
            <v>453</v>
          </cell>
          <cell r="AW20">
            <v>961.52059537125353</v>
          </cell>
          <cell r="AX20">
            <v>0</v>
          </cell>
        </row>
        <row r="21"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9649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622.70701360390387</v>
          </cell>
          <cell r="AF21">
            <v>0</v>
          </cell>
          <cell r="AH21">
            <v>978.03471864550966</v>
          </cell>
          <cell r="AI21">
            <v>0</v>
          </cell>
          <cell r="AK21">
            <v>428.57095447096913</v>
          </cell>
          <cell r="AL21">
            <v>3938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T21">
            <v>237.15890333675827</v>
          </cell>
          <cell r="AU21">
            <v>127</v>
          </cell>
          <cell r="AW21">
            <v>0</v>
          </cell>
          <cell r="AX21">
            <v>0</v>
          </cell>
        </row>
        <row r="22"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705</v>
          </cell>
          <cell r="AE22">
            <v>0</v>
          </cell>
          <cell r="AF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I23">
            <v>0</v>
          </cell>
          <cell r="J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738</v>
          </cell>
          <cell r="AE23">
            <v>1410.4226414909742</v>
          </cell>
          <cell r="AF23">
            <v>0</v>
          </cell>
          <cell r="AH23">
            <v>2187.9777929463976</v>
          </cell>
          <cell r="AI23">
            <v>0</v>
          </cell>
          <cell r="AK23">
            <v>2012.4976716116134</v>
          </cell>
          <cell r="AL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1088</v>
          </cell>
          <cell r="AT23">
            <v>681.63919774673593</v>
          </cell>
          <cell r="AU23">
            <v>218.46854642875923</v>
          </cell>
          <cell r="AW23">
            <v>0</v>
          </cell>
          <cell r="AX23">
            <v>0</v>
          </cell>
        </row>
        <row r="24">
          <cell r="I24">
            <v>18</v>
          </cell>
          <cell r="J24">
            <v>23192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4332</v>
          </cell>
          <cell r="Z24">
            <v>0</v>
          </cell>
          <cell r="AA24">
            <v>0</v>
          </cell>
          <cell r="AB24">
            <v>0</v>
          </cell>
          <cell r="AC24">
            <v>17492.128794552144</v>
          </cell>
          <cell r="AD24">
            <v>0</v>
          </cell>
          <cell r="AE24">
            <v>986.5383280712781</v>
          </cell>
          <cell r="AF24">
            <v>0</v>
          </cell>
          <cell r="AH24">
            <v>1524.4756759165948</v>
          </cell>
          <cell r="AI24">
            <v>0</v>
          </cell>
          <cell r="AK24">
            <v>895.34576072880884</v>
          </cell>
          <cell r="AL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T24">
            <v>524.02558227152133</v>
          </cell>
          <cell r="AU24">
            <v>998.12744007748609</v>
          </cell>
          <cell r="AW24">
            <v>0</v>
          </cell>
          <cell r="AX24">
            <v>0</v>
          </cell>
        </row>
        <row r="25">
          <cell r="I25">
            <v>27</v>
          </cell>
          <cell r="J25">
            <v>7699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2</v>
          </cell>
          <cell r="S25">
            <v>98694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450</v>
          </cell>
          <cell r="AD25">
            <v>1083</v>
          </cell>
          <cell r="AE25">
            <v>1065.1080528000637</v>
          </cell>
          <cell r="AF25">
            <v>0</v>
          </cell>
          <cell r="AH25">
            <v>1202.5998747442443</v>
          </cell>
          <cell r="AI25">
            <v>0</v>
          </cell>
          <cell r="AK25">
            <v>1024.0808864585176</v>
          </cell>
          <cell r="AL25">
            <v>0</v>
          </cell>
          <cell r="AN25">
            <v>607.04393653984562</v>
          </cell>
          <cell r="AO25">
            <v>0</v>
          </cell>
          <cell r="AQ25">
            <v>395.76741189229665</v>
          </cell>
          <cell r="AR25">
            <v>0</v>
          </cell>
          <cell r="AT25">
            <v>1251.243363109031</v>
          </cell>
          <cell r="AU25">
            <v>0</v>
          </cell>
          <cell r="AW25">
            <v>0</v>
          </cell>
          <cell r="AX25">
            <v>0</v>
          </cell>
        </row>
        <row r="26"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2229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I28">
            <v>1.42</v>
          </cell>
          <cell r="J28">
            <v>733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H28">
            <v>0</v>
          </cell>
          <cell r="AI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I29">
            <v>12.8</v>
          </cell>
          <cell r="J29">
            <v>8278.0274057154656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I30">
            <v>22.8</v>
          </cell>
          <cell r="J30">
            <v>8376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H30">
            <v>0</v>
          </cell>
          <cell r="AI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I31">
            <v>14.85</v>
          </cell>
          <cell r="J31">
            <v>3593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H32">
            <v>0</v>
          </cell>
          <cell r="AI32">
            <v>0</v>
          </cell>
          <cell r="AK32">
            <v>0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I33">
            <v>2</v>
          </cell>
          <cell r="J33">
            <v>461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I34">
            <v>30</v>
          </cell>
          <cell r="J34">
            <v>12982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X34">
            <v>329.64889292417809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1396.2086358316283</v>
          </cell>
          <cell r="AF34">
            <v>0</v>
          </cell>
          <cell r="AH34">
            <v>1770.7758464928704</v>
          </cell>
          <cell r="AI34">
            <v>0</v>
          </cell>
          <cell r="AK34">
            <v>1714.5807661110878</v>
          </cell>
          <cell r="AL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T34">
            <v>623.00202163195547</v>
          </cell>
          <cell r="AU34">
            <v>133.007111349609</v>
          </cell>
          <cell r="AW34">
            <v>0</v>
          </cell>
          <cell r="AX34">
            <v>0</v>
          </cell>
        </row>
        <row r="35">
          <cell r="I35">
            <v>3</v>
          </cell>
          <cell r="J35">
            <v>1378.0650357129612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2091.610453209425</v>
          </cell>
          <cell r="AD35">
            <v>0</v>
          </cell>
          <cell r="AE35">
            <v>1104.5251336916506</v>
          </cell>
          <cell r="AF35">
            <v>0</v>
          </cell>
          <cell r="AH35">
            <v>1214.0218303771728</v>
          </cell>
          <cell r="AI35">
            <v>0</v>
          </cell>
          <cell r="AK35">
            <v>1670.5555872544812</v>
          </cell>
          <cell r="AL35">
            <v>0</v>
          </cell>
          <cell r="AN35">
            <v>998.27527358523878</v>
          </cell>
          <cell r="AO35">
            <v>0</v>
          </cell>
          <cell r="AQ35">
            <v>0</v>
          </cell>
          <cell r="AR35">
            <v>0</v>
          </cell>
          <cell r="AT35">
            <v>597.47671338573207</v>
          </cell>
          <cell r="AU35">
            <v>0</v>
          </cell>
          <cell r="AW35">
            <v>0</v>
          </cell>
          <cell r="AX35">
            <v>0</v>
          </cell>
        </row>
        <row r="36"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8988</v>
          </cell>
          <cell r="Z36">
            <v>0</v>
          </cell>
          <cell r="AA36">
            <v>0</v>
          </cell>
          <cell r="AB36">
            <v>0</v>
          </cell>
          <cell r="AC36">
            <v>25648.370460657239</v>
          </cell>
          <cell r="AD36">
            <v>1267</v>
          </cell>
          <cell r="AE36">
            <v>1666.780568349227</v>
          </cell>
          <cell r="AF36">
            <v>613</v>
          </cell>
          <cell r="AH36">
            <v>2500.0046959344322</v>
          </cell>
          <cell r="AI36">
            <v>0</v>
          </cell>
          <cell r="AK36">
            <v>2427.9756690953336</v>
          </cell>
          <cell r="AL36">
            <v>1299.9893863603036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T36">
            <v>1094.438969058577</v>
          </cell>
          <cell r="AU36">
            <v>0</v>
          </cell>
          <cell r="AW36">
            <v>0</v>
          </cell>
          <cell r="AX36">
            <v>0</v>
          </cell>
        </row>
        <row r="37">
          <cell r="I37">
            <v>0</v>
          </cell>
          <cell r="J37">
            <v>0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97</v>
          </cell>
          <cell r="AE37">
            <v>820.02986108049629</v>
          </cell>
          <cell r="AF37">
            <v>1499</v>
          </cell>
          <cell r="AH37">
            <v>1069.108211524024</v>
          </cell>
          <cell r="AI37">
            <v>0</v>
          </cell>
          <cell r="AK37">
            <v>553.36969120853234</v>
          </cell>
          <cell r="AL37">
            <v>0</v>
          </cell>
          <cell r="AN37">
            <v>370.18299840996019</v>
          </cell>
          <cell r="AO37">
            <v>0</v>
          </cell>
          <cell r="AQ37">
            <v>0</v>
          </cell>
          <cell r="AR37">
            <v>0</v>
          </cell>
          <cell r="AT37">
            <v>177.79635838721791</v>
          </cell>
          <cell r="AU37">
            <v>0</v>
          </cell>
          <cell r="AW37">
            <v>354.54550466262327</v>
          </cell>
          <cell r="AX37">
            <v>0</v>
          </cell>
        </row>
        <row r="38">
          <cell r="I38">
            <v>8</v>
          </cell>
          <cell r="J38">
            <v>1558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559</v>
          </cell>
          <cell r="AD38">
            <v>0</v>
          </cell>
          <cell r="AE38">
            <v>809.53784551423257</v>
          </cell>
          <cell r="AF38">
            <v>0</v>
          </cell>
          <cell r="AH38">
            <v>1069.108211524024</v>
          </cell>
          <cell r="AI38">
            <v>0</v>
          </cell>
          <cell r="AK38">
            <v>634.63666133940603</v>
          </cell>
          <cell r="AL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T38">
            <v>177.79635838721791</v>
          </cell>
          <cell r="AU38">
            <v>0</v>
          </cell>
          <cell r="AW38">
            <v>0</v>
          </cell>
          <cell r="AX38">
            <v>0</v>
          </cell>
        </row>
        <row r="39"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8364</v>
          </cell>
          <cell r="Z39">
            <v>0</v>
          </cell>
          <cell r="AA39">
            <v>0</v>
          </cell>
          <cell r="AB39">
            <v>0</v>
          </cell>
          <cell r="AC39">
            <v>16959</v>
          </cell>
          <cell r="AD39">
            <v>0</v>
          </cell>
          <cell r="AE39">
            <v>1015.3422893615108</v>
          </cell>
          <cell r="AF39">
            <v>0</v>
          </cell>
          <cell r="AH39">
            <v>1351.7095979690157</v>
          </cell>
          <cell r="AI39">
            <v>605</v>
          </cell>
          <cell r="AK39">
            <v>1182.3068432020484</v>
          </cell>
          <cell r="AL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T39">
            <v>394.35343658054012</v>
          </cell>
          <cell r="AU39">
            <v>1104</v>
          </cell>
          <cell r="AW39">
            <v>0</v>
          </cell>
          <cell r="AX39">
            <v>0</v>
          </cell>
        </row>
        <row r="40">
          <cell r="I40">
            <v>7.13</v>
          </cell>
          <cell r="J40">
            <v>3702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426</v>
          </cell>
          <cell r="AE40">
            <v>804.96705409443678</v>
          </cell>
          <cell r="AF40">
            <v>808</v>
          </cell>
          <cell r="AH40">
            <v>1161.7552519950484</v>
          </cell>
          <cell r="AI40">
            <v>0</v>
          </cell>
          <cell r="AK40">
            <v>805.76996270419556</v>
          </cell>
          <cell r="AL40">
            <v>4290.0723236204876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T40">
            <v>344.01005165057478</v>
          </cell>
          <cell r="AU40">
            <v>0</v>
          </cell>
          <cell r="AW40">
            <v>0</v>
          </cell>
          <cell r="AX40">
            <v>0</v>
          </cell>
        </row>
        <row r="41">
          <cell r="I41">
            <v>10</v>
          </cell>
          <cell r="J41">
            <v>2346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0</v>
          </cell>
          <cell r="X41">
            <v>259.00984444042558</v>
          </cell>
          <cell r="Y41">
            <v>3285</v>
          </cell>
          <cell r="Z41">
            <v>0</v>
          </cell>
          <cell r="AA41">
            <v>0</v>
          </cell>
          <cell r="AB41">
            <v>0</v>
          </cell>
          <cell r="AC41">
            <v>2772</v>
          </cell>
          <cell r="AD41">
            <v>0</v>
          </cell>
          <cell r="AE41">
            <v>881.52168481373383</v>
          </cell>
          <cell r="AF41">
            <v>0</v>
          </cell>
          <cell r="AH41">
            <v>1199.9207699340923</v>
          </cell>
          <cell r="AI41">
            <v>0</v>
          </cell>
          <cell r="AK41">
            <v>1148.1747516299097</v>
          </cell>
          <cell r="AL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T41">
            <v>360.33684092152436</v>
          </cell>
          <cell r="AU41">
            <v>0</v>
          </cell>
          <cell r="AW41">
            <v>0</v>
          </cell>
          <cell r="AX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353.19524241876223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5537.941134621442</v>
          </cell>
          <cell r="AD42">
            <v>0</v>
          </cell>
          <cell r="AE42">
            <v>1015.3422893615108</v>
          </cell>
          <cell r="AF42">
            <v>534.67626702048801</v>
          </cell>
          <cell r="AH42">
            <v>1351.7095979690157</v>
          </cell>
          <cell r="AI42">
            <v>0</v>
          </cell>
          <cell r="AK42">
            <v>1648.2240323758767</v>
          </cell>
          <cell r="AL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T42">
            <v>420.22302392221758</v>
          </cell>
          <cell r="AU42">
            <v>126</v>
          </cell>
          <cell r="AW42">
            <v>0</v>
          </cell>
          <cell r="AX42">
            <v>0</v>
          </cell>
        </row>
        <row r="43">
          <cell r="I43">
            <v>9</v>
          </cell>
          <cell r="J43">
            <v>2080</v>
          </cell>
          <cell r="L43">
            <v>0</v>
          </cell>
          <cell r="M43">
            <v>0</v>
          </cell>
          <cell r="O43">
            <v>22</v>
          </cell>
          <cell r="P43">
            <v>7885</v>
          </cell>
          <cell r="R43">
            <v>2</v>
          </cell>
          <cell r="S43">
            <v>14058.403926086521</v>
          </cell>
          <cell r="U43">
            <v>0</v>
          </cell>
          <cell r="V43">
            <v>0</v>
          </cell>
          <cell r="W43">
            <v>0</v>
          </cell>
          <cell r="X43">
            <v>449.12979778812513</v>
          </cell>
          <cell r="Y43">
            <v>7188</v>
          </cell>
          <cell r="Z43">
            <v>0</v>
          </cell>
          <cell r="AA43">
            <v>0</v>
          </cell>
          <cell r="AB43">
            <v>1495</v>
          </cell>
          <cell r="AC43">
            <v>496</v>
          </cell>
          <cell r="AD43">
            <v>2376</v>
          </cell>
          <cell r="AE43">
            <v>269.54884536706112</v>
          </cell>
          <cell r="AF43">
            <v>0</v>
          </cell>
          <cell r="AH43">
            <v>365.06529543467622</v>
          </cell>
          <cell r="AI43">
            <v>0</v>
          </cell>
          <cell r="AK43">
            <v>460.16199283065652</v>
          </cell>
          <cell r="AL43">
            <v>0</v>
          </cell>
          <cell r="AN43">
            <v>180.55669859969183</v>
          </cell>
          <cell r="AO43">
            <v>0</v>
          </cell>
          <cell r="AQ43">
            <v>79.153482378459373</v>
          </cell>
          <cell r="AR43">
            <v>0</v>
          </cell>
          <cell r="AT43">
            <v>209.1678366590919</v>
          </cell>
          <cell r="AU43">
            <v>0</v>
          </cell>
          <cell r="AW43">
            <v>0</v>
          </cell>
          <cell r="AX43">
            <v>0</v>
          </cell>
        </row>
        <row r="44">
          <cell r="I44">
            <v>17.920000000000002</v>
          </cell>
          <cell r="J44">
            <v>15056</v>
          </cell>
          <cell r="L44">
            <v>0</v>
          </cell>
          <cell r="M44">
            <v>0</v>
          </cell>
          <cell r="O44">
            <v>469.5</v>
          </cell>
          <cell r="P44">
            <v>152020</v>
          </cell>
          <cell r="R44">
            <v>3</v>
          </cell>
          <cell r="S44">
            <v>31753</v>
          </cell>
          <cell r="U44">
            <v>32799</v>
          </cell>
          <cell r="V44">
            <v>0</v>
          </cell>
          <cell r="W44">
            <v>0</v>
          </cell>
          <cell r="X44">
            <v>874.98234721874701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4634</v>
          </cell>
          <cell r="AD44">
            <v>4435</v>
          </cell>
          <cell r="AE44">
            <v>487.345871931879</v>
          </cell>
          <cell r="AF44">
            <v>1033</v>
          </cell>
          <cell r="AH44">
            <v>1090.3829948048372</v>
          </cell>
          <cell r="AI44">
            <v>0</v>
          </cell>
          <cell r="AK44">
            <v>1269.7645829022561</v>
          </cell>
          <cell r="AL44">
            <v>2461.0811386210121</v>
          </cell>
          <cell r="AN44">
            <v>426.22138417942557</v>
          </cell>
          <cell r="AO44">
            <v>0</v>
          </cell>
          <cell r="AQ44">
            <v>237.46034910659819</v>
          </cell>
          <cell r="AR44">
            <v>0</v>
          </cell>
          <cell r="AT44">
            <v>293.22961990256812</v>
          </cell>
          <cell r="AU44">
            <v>8542.1798823253248</v>
          </cell>
          <cell r="AW44">
            <v>0</v>
          </cell>
          <cell r="AX44">
            <v>0</v>
          </cell>
        </row>
        <row r="45">
          <cell r="I45">
            <v>35.599999999999994</v>
          </cell>
          <cell r="J45">
            <v>13487</v>
          </cell>
          <cell r="L45">
            <v>0</v>
          </cell>
          <cell r="M45">
            <v>0</v>
          </cell>
          <cell r="O45">
            <v>160</v>
          </cell>
          <cell r="P45">
            <v>45049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W45">
            <v>39</v>
          </cell>
          <cell r="X45">
            <v>31186</v>
          </cell>
          <cell r="Y45">
            <v>3743</v>
          </cell>
          <cell r="Z45">
            <v>0</v>
          </cell>
          <cell r="AA45">
            <v>0</v>
          </cell>
          <cell r="AB45">
            <v>0</v>
          </cell>
          <cell r="AC45">
            <v>515</v>
          </cell>
          <cell r="AD45">
            <v>2291</v>
          </cell>
          <cell r="AE45">
            <v>320.45047565595661</v>
          </cell>
          <cell r="AF45">
            <v>735</v>
          </cell>
          <cell r="AH45">
            <v>414.91032129229774</v>
          </cell>
          <cell r="AI45">
            <v>0</v>
          </cell>
          <cell r="AK45">
            <v>824.57199215471235</v>
          </cell>
          <cell r="AL45">
            <v>3330</v>
          </cell>
          <cell r="AN45">
            <v>307.73051461375809</v>
          </cell>
          <cell r="AO45">
            <v>0</v>
          </cell>
          <cell r="AQ45">
            <v>158.30696475691875</v>
          </cell>
          <cell r="AR45">
            <v>0</v>
          </cell>
          <cell r="AT45">
            <v>269.9515758206856</v>
          </cell>
          <cell r="AU45">
            <v>0</v>
          </cell>
          <cell r="AW45">
            <v>0</v>
          </cell>
          <cell r="AX45">
            <v>0</v>
          </cell>
        </row>
        <row r="46">
          <cell r="I46">
            <v>13.44</v>
          </cell>
          <cell r="J46">
            <v>7904</v>
          </cell>
          <cell r="L46">
            <v>0</v>
          </cell>
          <cell r="M46">
            <v>0</v>
          </cell>
          <cell r="O46">
            <v>133.5</v>
          </cell>
          <cell r="P46">
            <v>40129</v>
          </cell>
          <cell r="R46">
            <v>4</v>
          </cell>
          <cell r="S46">
            <v>184516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316</v>
          </cell>
          <cell r="AD46">
            <v>2174</v>
          </cell>
          <cell r="AE46">
            <v>2132.0278268019524</v>
          </cell>
          <cell r="AF46">
            <v>1606.1249901208598</v>
          </cell>
          <cell r="AH46">
            <v>2817.4968103362316</v>
          </cell>
          <cell r="AI46">
            <v>0</v>
          </cell>
          <cell r="AK46">
            <v>5518.3640090701838</v>
          </cell>
          <cell r="AL46">
            <v>790.158006</v>
          </cell>
          <cell r="AN46">
            <v>1621.5486582729091</v>
          </cell>
          <cell r="AO46">
            <v>0</v>
          </cell>
          <cell r="AQ46">
            <v>593.65087276649558</v>
          </cell>
          <cell r="AR46">
            <v>13659</v>
          </cell>
          <cell r="AT46">
            <v>1650.4204119001797</v>
          </cell>
          <cell r="AU46">
            <v>0</v>
          </cell>
          <cell r="AW46">
            <v>0</v>
          </cell>
          <cell r="AX46">
            <v>0</v>
          </cell>
        </row>
        <row r="47"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30</v>
          </cell>
          <cell r="P47">
            <v>10965.2446272</v>
          </cell>
          <cell r="R47">
            <v>9</v>
          </cell>
          <cell r="S47">
            <v>114846.14794127167</v>
          </cell>
          <cell r="U47">
            <v>325</v>
          </cell>
          <cell r="V47">
            <v>0</v>
          </cell>
          <cell r="W47">
            <v>0</v>
          </cell>
          <cell r="X47">
            <v>186.21798686002549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1110.3494130842366</v>
          </cell>
          <cell r="AD47">
            <v>2919.5369796859495</v>
          </cell>
          <cell r="AE47">
            <v>1425.7963852370538</v>
          </cell>
          <cell r="AF47">
            <v>0</v>
          </cell>
          <cell r="AH47">
            <v>1880.9713511304637</v>
          </cell>
          <cell r="AI47">
            <v>0</v>
          </cell>
          <cell r="AK47">
            <v>3652.9958850726071</v>
          </cell>
          <cell r="AL47">
            <v>0</v>
          </cell>
          <cell r="AN47">
            <v>1115.3547935970032</v>
          </cell>
          <cell r="AO47">
            <v>0</v>
          </cell>
          <cell r="AQ47">
            <v>395.76741189229665</v>
          </cell>
          <cell r="AR47">
            <v>2067</v>
          </cell>
          <cell r="AT47">
            <v>1344.6098205881692</v>
          </cell>
          <cell r="AU47">
            <v>16614.941049814784</v>
          </cell>
          <cell r="AW47">
            <v>0</v>
          </cell>
          <cell r="AX47">
            <v>0</v>
          </cell>
        </row>
        <row r="48">
          <cell r="I48">
            <v>101</v>
          </cell>
          <cell r="J48">
            <v>23452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733</v>
          </cell>
          <cell r="AC48">
            <v>308.86052674384905</v>
          </cell>
          <cell r="AD48">
            <v>900.0826210935428</v>
          </cell>
          <cell r="AE48">
            <v>1872.5354698673661</v>
          </cell>
          <cell r="AF48">
            <v>1362</v>
          </cell>
          <cell r="AH48">
            <v>2633.3224628282733</v>
          </cell>
          <cell r="AI48">
            <v>1989</v>
          </cell>
          <cell r="AK48">
            <v>2510.2724936459113</v>
          </cell>
          <cell r="AL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T48">
            <v>997.54414079296782</v>
          </cell>
          <cell r="AU48">
            <v>8183.0071113496087</v>
          </cell>
          <cell r="AW48">
            <v>0</v>
          </cell>
          <cell r="AX48">
            <v>0</v>
          </cell>
        </row>
        <row r="49">
          <cell r="I49">
            <v>4</v>
          </cell>
          <cell r="J49">
            <v>353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H49">
            <v>0</v>
          </cell>
          <cell r="AI49">
            <v>0</v>
          </cell>
          <cell r="AK49">
            <v>0</v>
          </cell>
          <cell r="AL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I51">
            <v>0</v>
          </cell>
          <cell r="J51">
            <v>0</v>
          </cell>
          <cell r="L51">
            <v>0</v>
          </cell>
          <cell r="M51">
            <v>2131.6402572925035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48995</v>
          </cell>
          <cell r="Z51">
            <v>0</v>
          </cell>
          <cell r="AA51">
            <v>0</v>
          </cell>
          <cell r="AB51">
            <v>987</v>
          </cell>
          <cell r="AC51">
            <v>494</v>
          </cell>
          <cell r="AD51">
            <v>5064</v>
          </cell>
          <cell r="AE51">
            <v>1445.8560122761871</v>
          </cell>
          <cell r="AF51">
            <v>1929.988175457047</v>
          </cell>
          <cell r="AH51">
            <v>2109.9775394071216</v>
          </cell>
          <cell r="AI51">
            <v>1137</v>
          </cell>
          <cell r="AK51">
            <v>1159.5837594450445</v>
          </cell>
          <cell r="AL51">
            <v>0</v>
          </cell>
          <cell r="AN51">
            <v>645.2645870476066</v>
          </cell>
          <cell r="AO51">
            <v>0</v>
          </cell>
          <cell r="AQ51">
            <v>539.76213107435467</v>
          </cell>
          <cell r="AR51">
            <v>2269.7228418</v>
          </cell>
          <cell r="AT51">
            <v>781.47915860748481</v>
          </cell>
          <cell r="AU51">
            <v>3094</v>
          </cell>
          <cell r="AW51">
            <v>710.06625734530007</v>
          </cell>
          <cell r="AX51">
            <v>0</v>
          </cell>
        </row>
        <row r="52">
          <cell r="I52">
            <v>0</v>
          </cell>
          <cell r="J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414</v>
          </cell>
          <cell r="AD52">
            <v>5536</v>
          </cell>
          <cell r="AE52">
            <v>813.6518482278293</v>
          </cell>
          <cell r="AF52">
            <v>16569</v>
          </cell>
          <cell r="AH52">
            <v>1589.067066534845</v>
          </cell>
          <cell r="AI52">
            <v>0</v>
          </cell>
          <cell r="AK52">
            <v>471.67638399792878</v>
          </cell>
          <cell r="AL52">
            <v>0</v>
          </cell>
          <cell r="AN52">
            <v>485.13023518137766</v>
          </cell>
          <cell r="AO52">
            <v>0</v>
          </cell>
          <cell r="AQ52">
            <v>0</v>
          </cell>
          <cell r="AR52">
            <v>0</v>
          </cell>
          <cell r="AT52">
            <v>383.45556615286887</v>
          </cell>
          <cell r="AU52">
            <v>0</v>
          </cell>
          <cell r="AW52">
            <v>327.17444122295461</v>
          </cell>
          <cell r="AX52">
            <v>0</v>
          </cell>
        </row>
        <row r="53">
          <cell r="I53">
            <v>0</v>
          </cell>
          <cell r="J53">
            <v>0</v>
          </cell>
          <cell r="L53">
            <v>0</v>
          </cell>
          <cell r="M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2400</v>
          </cell>
          <cell r="AC53">
            <v>0</v>
          </cell>
          <cell r="AD53">
            <v>1768</v>
          </cell>
          <cell r="AE53">
            <v>1781.8458562548649</v>
          </cell>
          <cell r="AF53">
            <v>951.97722752600112</v>
          </cell>
          <cell r="AH53">
            <v>2588.5724901852714</v>
          </cell>
          <cell r="AI53">
            <v>2821.7797941782142</v>
          </cell>
          <cell r="AK53">
            <v>1351.5474110711737</v>
          </cell>
          <cell r="AL53">
            <v>0</v>
          </cell>
          <cell r="AN53">
            <v>804.09927932111657</v>
          </cell>
          <cell r="AO53">
            <v>0</v>
          </cell>
          <cell r="AQ53">
            <v>719.6828414324732</v>
          </cell>
          <cell r="AR53">
            <v>7.7228418000000003</v>
          </cell>
          <cell r="AT53">
            <v>1114.1153981148859</v>
          </cell>
          <cell r="AU53">
            <v>544</v>
          </cell>
          <cell r="AW53">
            <v>239.1276183740359</v>
          </cell>
          <cell r="AX53">
            <v>0</v>
          </cell>
        </row>
        <row r="54"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I55">
            <v>5.6</v>
          </cell>
          <cell r="J55">
            <v>1069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W55">
            <v>0</v>
          </cell>
          <cell r="X55">
            <v>376.74159191334633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2830</v>
          </cell>
          <cell r="AD55">
            <v>0</v>
          </cell>
          <cell r="AE55">
            <v>1195.806626689124</v>
          </cell>
          <cell r="AF55">
            <v>0</v>
          </cell>
          <cell r="AH55">
            <v>1595.2133154398005</v>
          </cell>
          <cell r="AI55">
            <v>0</v>
          </cell>
          <cell r="AK55">
            <v>2034.5764909897841</v>
          </cell>
          <cell r="AL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249</v>
          </cell>
          <cell r="AT55">
            <v>734.84064535446623</v>
          </cell>
          <cell r="AU55">
            <v>0</v>
          </cell>
          <cell r="AW55">
            <v>0</v>
          </cell>
          <cell r="AX55">
            <v>0</v>
          </cell>
        </row>
        <row r="56"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215</v>
          </cell>
          <cell r="Z56">
            <v>0</v>
          </cell>
          <cell r="AA56">
            <v>0</v>
          </cell>
          <cell r="AB56">
            <v>0</v>
          </cell>
          <cell r="AC56">
            <v>1037</v>
          </cell>
          <cell r="AD56">
            <v>628</v>
          </cell>
          <cell r="AE56">
            <v>1908.5416160660241</v>
          </cell>
          <cell r="AF56">
            <v>3943.8750602537534</v>
          </cell>
          <cell r="AH56">
            <v>2944.4177049250416</v>
          </cell>
          <cell r="AI56">
            <v>0</v>
          </cell>
          <cell r="AK56">
            <v>2195.3066993215712</v>
          </cell>
          <cell r="AL56">
            <v>1664</v>
          </cell>
          <cell r="AN56">
            <v>0</v>
          </cell>
          <cell r="AO56">
            <v>0</v>
          </cell>
          <cell r="AQ56">
            <v>0</v>
          </cell>
          <cell r="AR56">
            <v>2477.1850515697056</v>
          </cell>
          <cell r="AT56">
            <v>1047.7724342826871</v>
          </cell>
          <cell r="AU56">
            <v>127</v>
          </cell>
          <cell r="AW56">
            <v>0</v>
          </cell>
          <cell r="AX56">
            <v>0</v>
          </cell>
        </row>
        <row r="57">
          <cell r="I57">
            <v>7</v>
          </cell>
          <cell r="J57">
            <v>1338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2198</v>
          </cell>
          <cell r="AE57">
            <v>847.14809329777665</v>
          </cell>
          <cell r="AF57">
            <v>0</v>
          </cell>
          <cell r="AH57">
            <v>1507.5776722241242</v>
          </cell>
          <cell r="AI57">
            <v>0</v>
          </cell>
          <cell r="AK57">
            <v>1433.4987980214655</v>
          </cell>
          <cell r="AL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603.48322308377033</v>
          </cell>
          <cell r="AT57">
            <v>420.23637517991398</v>
          </cell>
          <cell r="AU57">
            <v>776.00711134960898</v>
          </cell>
          <cell r="AW57">
            <v>0</v>
          </cell>
          <cell r="AX57">
            <v>0</v>
          </cell>
        </row>
        <row r="58"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50061.943738545539</v>
          </cell>
          <cell r="Z58">
            <v>0</v>
          </cell>
          <cell r="AA58">
            <v>0</v>
          </cell>
          <cell r="AB58">
            <v>693</v>
          </cell>
          <cell r="AC58">
            <v>5311.4236627943292</v>
          </cell>
          <cell r="AD58">
            <v>4855</v>
          </cell>
          <cell r="AE58">
            <v>1526.2000276066613</v>
          </cell>
          <cell r="AF58">
            <v>1603</v>
          </cell>
          <cell r="AH58">
            <v>2085.0176936307607</v>
          </cell>
          <cell r="AI58">
            <v>4830</v>
          </cell>
          <cell r="AK58">
            <v>2571.9076560052531</v>
          </cell>
          <cell r="AL58">
            <v>0</v>
          </cell>
          <cell r="AN58">
            <v>984.69261566631769</v>
          </cell>
          <cell r="AO58">
            <v>0</v>
          </cell>
          <cell r="AQ58">
            <v>413.87553964728585</v>
          </cell>
          <cell r="AR58">
            <v>0</v>
          </cell>
          <cell r="AT58">
            <v>442.51900014871444</v>
          </cell>
          <cell r="AU58">
            <v>17224</v>
          </cell>
          <cell r="AW58">
            <v>0</v>
          </cell>
          <cell r="AX58">
            <v>0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3865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1443</v>
          </cell>
          <cell r="AE59">
            <v>747.42372480879703</v>
          </cell>
          <cell r="AF59">
            <v>0</v>
          </cell>
          <cell r="AH59">
            <v>921.68889404320214</v>
          </cell>
          <cell r="AI59">
            <v>0</v>
          </cell>
          <cell r="AK59">
            <v>1124.3885378347391</v>
          </cell>
          <cell r="AL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T59">
            <v>360.33684092152436</v>
          </cell>
          <cell r="AU59">
            <v>0</v>
          </cell>
          <cell r="AW59">
            <v>0</v>
          </cell>
          <cell r="AX59">
            <v>0</v>
          </cell>
        </row>
        <row r="60"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310.76677167265194</v>
          </cell>
          <cell r="AF60">
            <v>0</v>
          </cell>
          <cell r="AH60">
            <v>369.30487862550513</v>
          </cell>
          <cell r="AI60">
            <v>0</v>
          </cell>
          <cell r="AK60">
            <v>72.621968049984375</v>
          </cell>
          <cell r="AL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T60">
            <v>78.787193100235982</v>
          </cell>
          <cell r="AU60">
            <v>0</v>
          </cell>
          <cell r="AW60">
            <v>0</v>
          </cell>
          <cell r="AX60">
            <v>0</v>
          </cell>
        </row>
        <row r="61"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1427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I63">
            <v>3</v>
          </cell>
          <cell r="J63">
            <v>402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217.97192103557893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1906</v>
          </cell>
          <cell r="AD63">
            <v>0</v>
          </cell>
          <cell r="AE63">
            <v>1037.8597924756773</v>
          </cell>
          <cell r="AF63">
            <v>0</v>
          </cell>
          <cell r="AH63">
            <v>1503.4989161478395</v>
          </cell>
          <cell r="AI63">
            <v>0</v>
          </cell>
          <cell r="AK63">
            <v>1474.9544612997895</v>
          </cell>
          <cell r="AL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T63">
            <v>394.35347880783615</v>
          </cell>
          <cell r="AU63">
            <v>0</v>
          </cell>
          <cell r="AW63">
            <v>0</v>
          </cell>
          <cell r="AX63">
            <v>0</v>
          </cell>
        </row>
        <row r="64"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X64">
            <v>294.66574510365297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633.01885653095781</v>
          </cell>
          <cell r="AF64">
            <v>0</v>
          </cell>
          <cell r="AH64">
            <v>1028.7282395790235</v>
          </cell>
          <cell r="AI64">
            <v>0</v>
          </cell>
          <cell r="AK64">
            <v>525.16579787405601</v>
          </cell>
          <cell r="AL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T64">
            <v>250.67306348165042</v>
          </cell>
          <cell r="AU64">
            <v>0</v>
          </cell>
          <cell r="AW64">
            <v>0</v>
          </cell>
          <cell r="AX64">
            <v>0</v>
          </cell>
        </row>
        <row r="65">
          <cell r="I65">
            <v>31</v>
          </cell>
          <cell r="J65">
            <v>11714.223899416529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1443</v>
          </cell>
          <cell r="AE65">
            <v>640.36330953954393</v>
          </cell>
          <cell r="AF65">
            <v>0</v>
          </cell>
          <cell r="AH65">
            <v>854.45311191405517</v>
          </cell>
          <cell r="AI65">
            <v>0</v>
          </cell>
          <cell r="AK65">
            <v>914.65560379504529</v>
          </cell>
          <cell r="AL65">
            <v>0</v>
          </cell>
          <cell r="AN65">
            <v>518.31461263183485</v>
          </cell>
          <cell r="AO65">
            <v>0</v>
          </cell>
          <cell r="AQ65">
            <v>211.31966959543126</v>
          </cell>
          <cell r="AR65">
            <v>2391.9159078243188</v>
          </cell>
          <cell r="AT65">
            <v>621.38583075357792</v>
          </cell>
          <cell r="AU65">
            <v>0</v>
          </cell>
          <cell r="AW65">
            <v>0</v>
          </cell>
          <cell r="AX65">
            <v>0</v>
          </cell>
        </row>
        <row r="66"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3583</v>
          </cell>
          <cell r="Z66">
            <v>0</v>
          </cell>
          <cell r="AA66">
            <v>0</v>
          </cell>
          <cell r="AB66">
            <v>0</v>
          </cell>
          <cell r="AC66">
            <v>1115.4073979074426</v>
          </cell>
          <cell r="AD66">
            <v>0</v>
          </cell>
          <cell r="AE66">
            <v>899.78292798016798</v>
          </cell>
          <cell r="AF66">
            <v>0</v>
          </cell>
          <cell r="AH66">
            <v>1503.4989161478395</v>
          </cell>
          <cell r="AI66">
            <v>0</v>
          </cell>
          <cell r="AK66">
            <v>1135.347303295345</v>
          </cell>
          <cell r="AL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T66">
            <v>418.16597706575902</v>
          </cell>
          <cell r="AU66">
            <v>0</v>
          </cell>
          <cell r="AW66">
            <v>0</v>
          </cell>
          <cell r="AX66">
            <v>0</v>
          </cell>
        </row>
        <row r="67"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I69">
            <v>12</v>
          </cell>
          <cell r="J69">
            <v>4181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1</v>
          </cell>
          <cell r="S69">
            <v>3557.21673410224</v>
          </cell>
          <cell r="U69">
            <v>625.73787870407091</v>
          </cell>
          <cell r="V69">
            <v>0</v>
          </cell>
          <cell r="W69">
            <v>8</v>
          </cell>
          <cell r="X69">
            <v>3059.2312017363461</v>
          </cell>
          <cell r="Y69">
            <v>48657.024802570333</v>
          </cell>
          <cell r="Z69">
            <v>0</v>
          </cell>
          <cell r="AA69">
            <v>0</v>
          </cell>
          <cell r="AB69">
            <v>1362.9924963093104</v>
          </cell>
          <cell r="AC69">
            <v>6570</v>
          </cell>
          <cell r="AD69">
            <v>11935.921355498582</v>
          </cell>
          <cell r="AE69">
            <v>478.01020968523716</v>
          </cell>
          <cell r="AF69">
            <v>980.16728040695443</v>
          </cell>
          <cell r="AH69">
            <v>643.60658418528624</v>
          </cell>
          <cell r="AI69">
            <v>2835</v>
          </cell>
          <cell r="AK69">
            <v>1317.4428399445619</v>
          </cell>
          <cell r="AL69">
            <v>0</v>
          </cell>
          <cell r="AN69">
            <v>542.01835825490218</v>
          </cell>
          <cell r="AO69">
            <v>858.1913451964266</v>
          </cell>
          <cell r="AQ69">
            <v>467.73559800676429</v>
          </cell>
          <cell r="AR69">
            <v>0</v>
          </cell>
          <cell r="AT69">
            <v>742.91309362602863</v>
          </cell>
          <cell r="AU69">
            <v>5560.8863751726149</v>
          </cell>
          <cell r="AW69">
            <v>1396.4533431190202</v>
          </cell>
          <cell r="AX69">
            <v>11858</v>
          </cell>
        </row>
        <row r="70"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N71">
            <v>0</v>
          </cell>
          <cell r="AO71">
            <v>0</v>
          </cell>
          <cell r="AQ71">
            <v>0</v>
          </cell>
          <cell r="AR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I72">
            <v>79</v>
          </cell>
          <cell r="J72">
            <v>34179</v>
          </cell>
          <cell r="L72">
            <v>0</v>
          </cell>
          <cell r="M72">
            <v>0</v>
          </cell>
          <cell r="O72">
            <v>0</v>
          </cell>
          <cell r="P72">
            <v>0</v>
          </cell>
          <cell r="R72">
            <v>5</v>
          </cell>
          <cell r="S72">
            <v>116486</v>
          </cell>
          <cell r="U72">
            <v>6044.6101309980277</v>
          </cell>
          <cell r="V72">
            <v>0</v>
          </cell>
          <cell r="W72">
            <v>0</v>
          </cell>
          <cell r="X72">
            <v>235.46349494584149</v>
          </cell>
          <cell r="Y72">
            <v>0</v>
          </cell>
          <cell r="Z72">
            <v>0</v>
          </cell>
          <cell r="AA72">
            <v>0</v>
          </cell>
          <cell r="AB72">
            <v>4717</v>
          </cell>
          <cell r="AC72">
            <v>2673.8845761948805</v>
          </cell>
          <cell r="AD72">
            <v>5608.1478604789572</v>
          </cell>
          <cell r="AE72">
            <v>1568.8123340820982</v>
          </cell>
          <cell r="AF72">
            <v>657.38771878991452</v>
          </cell>
          <cell r="AH72">
            <v>2107.8464941106845</v>
          </cell>
          <cell r="AI72">
            <v>2689</v>
          </cell>
          <cell r="AK72">
            <v>2902.2550345034015</v>
          </cell>
          <cell r="AL72">
            <v>4155</v>
          </cell>
          <cell r="AN72">
            <v>1113.8321563382149</v>
          </cell>
          <cell r="AO72">
            <v>1287.2999011257489</v>
          </cell>
          <cell r="AQ72">
            <v>1753.9358039059116</v>
          </cell>
          <cell r="AR72">
            <v>0</v>
          </cell>
          <cell r="AT72">
            <v>1414.930392504355</v>
          </cell>
          <cell r="AU72">
            <v>7807</v>
          </cell>
          <cell r="AW72">
            <v>852.13736562358417</v>
          </cell>
          <cell r="AX72">
            <v>11622</v>
          </cell>
        </row>
        <row r="73">
          <cell r="I73">
            <v>0</v>
          </cell>
          <cell r="J73">
            <v>3204</v>
          </cell>
          <cell r="L73">
            <v>0</v>
          </cell>
          <cell r="M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8248.7833849532126</v>
          </cell>
          <cell r="AE73">
            <v>1452.568654252739</v>
          </cell>
          <cell r="AF73">
            <v>2382.9381212080389</v>
          </cell>
          <cell r="AH73">
            <v>2047.7847604631097</v>
          </cell>
          <cell r="AI73">
            <v>2370.3930450573271</v>
          </cell>
          <cell r="AK73">
            <v>587.96062854940965</v>
          </cell>
          <cell r="AL73">
            <v>0</v>
          </cell>
          <cell r="AN73">
            <v>688.52768239675095</v>
          </cell>
          <cell r="AO73">
            <v>0</v>
          </cell>
          <cell r="AQ73">
            <v>539.76213107435467</v>
          </cell>
          <cell r="AR73">
            <v>0</v>
          </cell>
          <cell r="AT73">
            <v>735.41896384928611</v>
          </cell>
          <cell r="AU73">
            <v>17783.33634215191</v>
          </cell>
          <cell r="AW73">
            <v>733.74444862908138</v>
          </cell>
          <cell r="AX73">
            <v>2133</v>
          </cell>
        </row>
        <row r="74">
          <cell r="I74">
            <v>6.8</v>
          </cell>
          <cell r="J74">
            <v>4678</v>
          </cell>
          <cell r="L74">
            <v>0</v>
          </cell>
          <cell r="M74">
            <v>0</v>
          </cell>
          <cell r="O74">
            <v>0</v>
          </cell>
          <cell r="P74">
            <v>0</v>
          </cell>
          <cell r="R74">
            <v>1</v>
          </cell>
          <cell r="S74">
            <v>9334</v>
          </cell>
          <cell r="U74">
            <v>0</v>
          </cell>
          <cell r="V74">
            <v>0</v>
          </cell>
          <cell r="W74">
            <v>7</v>
          </cell>
          <cell r="X74">
            <v>1105.069663676534</v>
          </cell>
          <cell r="Y74">
            <v>850</v>
          </cell>
          <cell r="Z74">
            <v>0</v>
          </cell>
          <cell r="AA74">
            <v>0</v>
          </cell>
          <cell r="AB74">
            <v>4792</v>
          </cell>
          <cell r="AC74">
            <v>5735</v>
          </cell>
          <cell r="AD74">
            <v>16596.450747931845</v>
          </cell>
          <cell r="AE74">
            <v>1035.8937732639563</v>
          </cell>
          <cell r="AF74">
            <v>1814</v>
          </cell>
          <cell r="AH74">
            <v>1420.4777869412935</v>
          </cell>
          <cell r="AI74">
            <v>4069</v>
          </cell>
          <cell r="AK74">
            <v>1107.8780740234904</v>
          </cell>
          <cell r="AL74">
            <v>2677</v>
          </cell>
          <cell r="AN74">
            <v>691.97958726118429</v>
          </cell>
          <cell r="AO74">
            <v>0</v>
          </cell>
          <cell r="AQ74">
            <v>1169.2516706447873</v>
          </cell>
          <cell r="AR74">
            <v>0</v>
          </cell>
          <cell r="AT74">
            <v>1412.354089855826</v>
          </cell>
          <cell r="AU74">
            <v>0</v>
          </cell>
          <cell r="AW74">
            <v>1373.0659063130572</v>
          </cell>
          <cell r="AX74">
            <v>0</v>
          </cell>
        </row>
        <row r="75">
          <cell r="I75">
            <v>235</v>
          </cell>
          <cell r="J75">
            <v>106389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2100</v>
          </cell>
          <cell r="Z75">
            <v>0</v>
          </cell>
          <cell r="AA75">
            <v>0</v>
          </cell>
          <cell r="AB75">
            <v>0</v>
          </cell>
          <cell r="AC75">
            <v>3119</v>
          </cell>
          <cell r="AD75">
            <v>5204</v>
          </cell>
          <cell r="AE75">
            <v>1543.0954202121859</v>
          </cell>
          <cell r="AF75">
            <v>2979.846033698891</v>
          </cell>
          <cell r="AH75">
            <v>2047.7847604631097</v>
          </cell>
          <cell r="AI75">
            <v>2157</v>
          </cell>
          <cell r="AK75">
            <v>1429.2670450907278</v>
          </cell>
          <cell r="AL75">
            <v>0</v>
          </cell>
          <cell r="AN75">
            <v>706.30561336435619</v>
          </cell>
          <cell r="AO75">
            <v>0</v>
          </cell>
          <cell r="AQ75">
            <v>539.76213107435467</v>
          </cell>
          <cell r="AR75">
            <v>0</v>
          </cell>
          <cell r="AT75">
            <v>735.41896384928611</v>
          </cell>
          <cell r="AU75">
            <v>6350.8002312702101</v>
          </cell>
          <cell r="AW75">
            <v>733.74444862908138</v>
          </cell>
          <cell r="AX75">
            <v>3815</v>
          </cell>
        </row>
        <row r="76">
          <cell r="I76">
            <v>185.70999999999998</v>
          </cell>
          <cell r="J76">
            <v>77252.429940783491</v>
          </cell>
          <cell r="L76">
            <v>0</v>
          </cell>
          <cell r="M76">
            <v>0</v>
          </cell>
          <cell r="O76">
            <v>172.8</v>
          </cell>
          <cell r="P76">
            <v>51211</v>
          </cell>
          <cell r="R76">
            <v>3</v>
          </cell>
          <cell r="S76">
            <v>23293.654976897742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25659</v>
          </cell>
          <cell r="Z76">
            <v>0</v>
          </cell>
          <cell r="AA76">
            <v>0</v>
          </cell>
          <cell r="AB76">
            <v>9040</v>
          </cell>
          <cell r="AC76">
            <v>1441</v>
          </cell>
          <cell r="AD76">
            <v>12530.22132013382</v>
          </cell>
          <cell r="AE76">
            <v>2593.2803124522607</v>
          </cell>
          <cell r="AF76">
            <v>1327.2678302007387</v>
          </cell>
          <cell r="AH76">
            <v>3551.194467353233</v>
          </cell>
          <cell r="AI76">
            <v>14935.478574721892</v>
          </cell>
          <cell r="AK76">
            <v>4141.6309918311208</v>
          </cell>
          <cell r="AL76">
            <v>7593</v>
          </cell>
          <cell r="AN76">
            <v>1739.2972062302358</v>
          </cell>
          <cell r="AO76">
            <v>0</v>
          </cell>
          <cell r="AQ76">
            <v>2923.1291766119671</v>
          </cell>
          <cell r="AR76">
            <v>0</v>
          </cell>
          <cell r="AT76">
            <v>3530.885224639565</v>
          </cell>
          <cell r="AU76">
            <v>7040.2096977603178</v>
          </cell>
          <cell r="AW76">
            <v>1396.4533431190202</v>
          </cell>
          <cell r="AX76">
            <v>13118</v>
          </cell>
        </row>
        <row r="77">
          <cell r="I77">
            <v>15.5</v>
          </cell>
          <cell r="J77">
            <v>3191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618</v>
          </cell>
          <cell r="AE77">
            <v>0</v>
          </cell>
          <cell r="AF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1228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I79">
            <v>0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H79">
            <v>0</v>
          </cell>
          <cell r="AI79">
            <v>0</v>
          </cell>
          <cell r="AK79">
            <v>100.58685768636319</v>
          </cell>
          <cell r="AL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N80">
            <v>0</v>
          </cell>
          <cell r="AO80">
            <v>0</v>
          </cell>
          <cell r="AQ80">
            <v>0</v>
          </cell>
          <cell r="AR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  <row r="81"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N81">
            <v>0</v>
          </cell>
          <cell r="AO81">
            <v>0</v>
          </cell>
          <cell r="AQ81">
            <v>0</v>
          </cell>
          <cell r="AR81">
            <v>0</v>
          </cell>
          <cell r="AT81">
            <v>0</v>
          </cell>
          <cell r="AU81">
            <v>0</v>
          </cell>
          <cell r="AW81">
            <v>0</v>
          </cell>
          <cell r="AX81">
            <v>0</v>
          </cell>
        </row>
        <row r="82"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573</v>
          </cell>
          <cell r="AE82">
            <v>0</v>
          </cell>
          <cell r="AF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</row>
        <row r="83"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202.27572483693362</v>
          </cell>
          <cell r="AF83">
            <v>0</v>
          </cell>
          <cell r="AH83">
            <v>261.33387219841921</v>
          </cell>
          <cell r="AI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0</v>
          </cell>
          <cell r="AT83">
            <v>0</v>
          </cell>
          <cell r="AU83">
            <v>0</v>
          </cell>
          <cell r="AW83">
            <v>59.350540321018372</v>
          </cell>
          <cell r="AX83">
            <v>0</v>
          </cell>
        </row>
        <row r="84"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H84">
            <v>0</v>
          </cell>
          <cell r="AI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</row>
        <row r="85">
          <cell r="I85">
            <v>89.3</v>
          </cell>
          <cell r="J85">
            <v>50360</v>
          </cell>
          <cell r="L85">
            <v>0</v>
          </cell>
          <cell r="M85">
            <v>0</v>
          </cell>
          <cell r="O85">
            <v>88.5</v>
          </cell>
          <cell r="P85">
            <v>25533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W85">
            <v>6</v>
          </cell>
          <cell r="X85">
            <v>515.6303435246997</v>
          </cell>
          <cell r="Y85">
            <v>444</v>
          </cell>
          <cell r="Z85">
            <v>0</v>
          </cell>
          <cell r="AA85">
            <v>0</v>
          </cell>
          <cell r="AB85">
            <v>4166</v>
          </cell>
          <cell r="AC85">
            <v>9247</v>
          </cell>
          <cell r="AD85">
            <v>0</v>
          </cell>
          <cell r="AE85">
            <v>1091.1817641504535</v>
          </cell>
          <cell r="AF85">
            <v>0</v>
          </cell>
          <cell r="AH85">
            <v>1485.0604330471435</v>
          </cell>
          <cell r="AI85">
            <v>2771</v>
          </cell>
          <cell r="AK85">
            <v>1118.2333935851082</v>
          </cell>
          <cell r="AL85">
            <v>0</v>
          </cell>
          <cell r="AN85">
            <v>703.36053087110997</v>
          </cell>
          <cell r="AO85">
            <v>0</v>
          </cell>
          <cell r="AQ85">
            <v>316.61392951383749</v>
          </cell>
          <cell r="AR85">
            <v>0</v>
          </cell>
          <cell r="AT85">
            <v>748.28962900451654</v>
          </cell>
          <cell r="AU85">
            <v>6003</v>
          </cell>
          <cell r="AW85">
            <v>0</v>
          </cell>
          <cell r="AX85">
            <v>0</v>
          </cell>
        </row>
        <row r="86">
          <cell r="I86">
            <v>406</v>
          </cell>
          <cell r="J86">
            <v>118184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1</v>
          </cell>
          <cell r="S86">
            <v>3512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4487</v>
          </cell>
          <cell r="Z86">
            <v>0</v>
          </cell>
          <cell r="AA86">
            <v>0</v>
          </cell>
          <cell r="AB86">
            <v>0</v>
          </cell>
          <cell r="AC86">
            <v>408</v>
          </cell>
          <cell r="AD86">
            <v>0</v>
          </cell>
          <cell r="AE86">
            <v>724.8247219294434</v>
          </cell>
          <cell r="AF86">
            <v>0</v>
          </cell>
          <cell r="AH86">
            <v>1002.8045804300408</v>
          </cell>
          <cell r="AI86">
            <v>0</v>
          </cell>
          <cell r="AK86">
            <v>1367.5193129020824</v>
          </cell>
          <cell r="AL86">
            <v>0</v>
          </cell>
          <cell r="AN86">
            <v>472.23331305450262</v>
          </cell>
          <cell r="AO86">
            <v>0</v>
          </cell>
          <cell r="AQ86">
            <v>134.94041023261386</v>
          </cell>
          <cell r="AR86">
            <v>0</v>
          </cell>
          <cell r="AT86">
            <v>288.20418046042994</v>
          </cell>
          <cell r="AU86">
            <v>3299</v>
          </cell>
          <cell r="AW86">
            <v>0</v>
          </cell>
          <cell r="AX86">
            <v>0</v>
          </cell>
        </row>
        <row r="87">
          <cell r="I87">
            <v>161.4</v>
          </cell>
          <cell r="J87">
            <v>42656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6129</v>
          </cell>
          <cell r="Z87">
            <v>0</v>
          </cell>
          <cell r="AA87">
            <v>0</v>
          </cell>
          <cell r="AB87">
            <v>1083</v>
          </cell>
          <cell r="AC87">
            <v>4599.7097028403559</v>
          </cell>
          <cell r="AD87">
            <v>2361</v>
          </cell>
          <cell r="AE87">
            <v>1235.6449539551052</v>
          </cell>
          <cell r="AF87">
            <v>3566</v>
          </cell>
          <cell r="AH87">
            <v>1966.0154725674336</v>
          </cell>
          <cell r="AI87">
            <v>2017</v>
          </cell>
          <cell r="AK87">
            <v>2562.6809545418446</v>
          </cell>
          <cell r="AL87">
            <v>568</v>
          </cell>
          <cell r="AN87">
            <v>855.59474479502251</v>
          </cell>
          <cell r="AO87">
            <v>0</v>
          </cell>
          <cell r="AQ87">
            <v>422.7844713578213</v>
          </cell>
          <cell r="AR87">
            <v>0</v>
          </cell>
          <cell r="AT87">
            <v>803.98695897561413</v>
          </cell>
          <cell r="AU87">
            <v>6436</v>
          </cell>
          <cell r="AW87">
            <v>0</v>
          </cell>
          <cell r="AX87">
            <v>0</v>
          </cell>
        </row>
        <row r="88">
          <cell r="I88">
            <v>147</v>
          </cell>
          <cell r="J88">
            <v>44997</v>
          </cell>
          <cell r="L88">
            <v>0</v>
          </cell>
          <cell r="M88">
            <v>0</v>
          </cell>
          <cell r="O88">
            <v>25</v>
          </cell>
          <cell r="P88">
            <v>5022</v>
          </cell>
          <cell r="R88">
            <v>4</v>
          </cell>
          <cell r="S88">
            <v>53852</v>
          </cell>
          <cell r="U88">
            <v>355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4705</v>
          </cell>
          <cell r="AD88">
            <v>10610</v>
          </cell>
          <cell r="AE88">
            <v>433.60636013152885</v>
          </cell>
          <cell r="AF88">
            <v>4806.1672804069549</v>
          </cell>
          <cell r="AH88">
            <v>581.16168083670448</v>
          </cell>
          <cell r="AI88">
            <v>4730</v>
          </cell>
          <cell r="AK88">
            <v>473.91012344400514</v>
          </cell>
          <cell r="AL88">
            <v>640</v>
          </cell>
          <cell r="AN88">
            <v>326.17543078214203</v>
          </cell>
          <cell r="AO88">
            <v>0</v>
          </cell>
          <cell r="AQ88">
            <v>158.30696475691875</v>
          </cell>
          <cell r="AR88">
            <v>0</v>
          </cell>
          <cell r="AT88">
            <v>498.30127005787989</v>
          </cell>
          <cell r="AU88">
            <v>3526.5587923167172</v>
          </cell>
          <cell r="AW88">
            <v>564.96887113974969</v>
          </cell>
          <cell r="AX88">
            <v>5542</v>
          </cell>
        </row>
        <row r="89"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25.10285692206676</v>
          </cell>
          <cell r="AF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I90">
            <v>123.4</v>
          </cell>
          <cell r="J90">
            <v>37718</v>
          </cell>
          <cell r="L90">
            <v>0</v>
          </cell>
          <cell r="M90">
            <v>0</v>
          </cell>
          <cell r="O90">
            <v>182</v>
          </cell>
          <cell r="P90">
            <v>50823</v>
          </cell>
          <cell r="R90">
            <v>0</v>
          </cell>
          <cell r="S90">
            <v>371</v>
          </cell>
          <cell r="U90">
            <v>0</v>
          </cell>
          <cell r="V90">
            <v>0</v>
          </cell>
          <cell r="W90">
            <v>13</v>
          </cell>
          <cell r="X90">
            <v>4601.996392984548</v>
          </cell>
          <cell r="Y90">
            <v>0</v>
          </cell>
          <cell r="Z90">
            <v>0</v>
          </cell>
          <cell r="AA90">
            <v>0</v>
          </cell>
          <cell r="AB90">
            <v>5202</v>
          </cell>
          <cell r="AC90">
            <v>4243</v>
          </cell>
          <cell r="AD90">
            <v>6437.2640773887515</v>
          </cell>
          <cell r="AE90">
            <v>1212.4194363021111</v>
          </cell>
          <cell r="AF90">
            <v>926</v>
          </cell>
          <cell r="AH90">
            <v>1648.3735524371007</v>
          </cell>
          <cell r="AI90">
            <v>0</v>
          </cell>
          <cell r="AK90">
            <v>2047.1136935254328</v>
          </cell>
          <cell r="AL90">
            <v>810.4161813659432</v>
          </cell>
          <cell r="AN90">
            <v>852.49617581444784</v>
          </cell>
          <cell r="AO90">
            <v>0</v>
          </cell>
          <cell r="AQ90">
            <v>1403.1194206337796</v>
          </cell>
          <cell r="AR90">
            <v>0</v>
          </cell>
          <cell r="AT90">
            <v>1606.8982976713498</v>
          </cell>
          <cell r="AU90">
            <v>5984</v>
          </cell>
          <cell r="AW90">
            <v>1124.2953543713022</v>
          </cell>
          <cell r="AX90">
            <v>0</v>
          </cell>
        </row>
        <row r="91"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</row>
        <row r="92">
          <cell r="I92">
            <v>7</v>
          </cell>
          <cell r="J92">
            <v>3882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X92">
            <v>250.80225975945632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1116.3125366109275</v>
          </cell>
          <cell r="AF92">
            <v>0</v>
          </cell>
          <cell r="AH92">
            <v>1509.151219816634</v>
          </cell>
          <cell r="AI92">
            <v>0</v>
          </cell>
          <cell r="AK92">
            <v>451.77413353083608</v>
          </cell>
          <cell r="AL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T92">
            <v>421.07272522121121</v>
          </cell>
          <cell r="AU92">
            <v>1265</v>
          </cell>
          <cell r="AW92">
            <v>473.28042335629448</v>
          </cell>
          <cell r="AX92">
            <v>0</v>
          </cell>
        </row>
        <row r="93">
          <cell r="I93">
            <v>27</v>
          </cell>
          <cell r="J93">
            <v>11233.331417028639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2.2000000000000002</v>
          </cell>
          <cell r="S93">
            <v>1102.3941182482911</v>
          </cell>
          <cell r="U93">
            <v>501.46671936717797</v>
          </cell>
          <cell r="V93">
            <v>0</v>
          </cell>
          <cell r="W93">
            <v>0</v>
          </cell>
          <cell r="X93">
            <v>0</v>
          </cell>
          <cell r="Y93">
            <v>1461.450710299772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5600.9678045054225</v>
          </cell>
          <cell r="AE93">
            <v>804.82111829554799</v>
          </cell>
          <cell r="AF93">
            <v>0</v>
          </cell>
          <cell r="AH93">
            <v>1098.9157016247339</v>
          </cell>
          <cell r="AI93">
            <v>10031.516163137878</v>
          </cell>
          <cell r="AK93">
            <v>1276.7204083081631</v>
          </cell>
          <cell r="AL93">
            <v>0</v>
          </cell>
          <cell r="AN93">
            <v>544.4228685805025</v>
          </cell>
          <cell r="AO93">
            <v>429.10855592932234</v>
          </cell>
          <cell r="AQ93">
            <v>935.41294708918633</v>
          </cell>
          <cell r="AR93">
            <v>1292</v>
          </cell>
          <cell r="AT93">
            <v>1071.2655317808997</v>
          </cell>
          <cell r="AU93">
            <v>1347.2935906247985</v>
          </cell>
          <cell r="AW93">
            <v>1124.2953543713022</v>
          </cell>
          <cell r="AX93">
            <v>0</v>
          </cell>
        </row>
        <row r="94">
          <cell r="I94">
            <v>27.3</v>
          </cell>
          <cell r="J94">
            <v>9077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U94">
            <v>20398.153049100831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2380</v>
          </cell>
          <cell r="AC94">
            <v>3460</v>
          </cell>
          <cell r="AD94">
            <v>4747.490567970327</v>
          </cell>
          <cell r="AE94">
            <v>827.02650309721764</v>
          </cell>
          <cell r="AF94">
            <v>0</v>
          </cell>
          <cell r="AH94">
            <v>1177.7199251516181</v>
          </cell>
          <cell r="AI94">
            <v>17479.209087975214</v>
          </cell>
          <cell r="AK94">
            <v>1282.2190610583937</v>
          </cell>
          <cell r="AL94">
            <v>0</v>
          </cell>
          <cell r="AN94">
            <v>564.07051262259631</v>
          </cell>
          <cell r="AO94">
            <v>0</v>
          </cell>
          <cell r="AQ94">
            <v>395.76741189229665</v>
          </cell>
          <cell r="AR94">
            <v>0</v>
          </cell>
          <cell r="AT94">
            <v>860.61258572156987</v>
          </cell>
          <cell r="AU94">
            <v>5887</v>
          </cell>
          <cell r="AW94">
            <v>390.89290744138992</v>
          </cell>
          <cell r="AX94">
            <v>0</v>
          </cell>
        </row>
        <row r="95">
          <cell r="I95">
            <v>86.2</v>
          </cell>
          <cell r="J95">
            <v>36232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R95">
            <v>7</v>
          </cell>
          <cell r="S95">
            <v>165788.25793960859</v>
          </cell>
          <cell r="U95">
            <v>35495.871010820425</v>
          </cell>
          <cell r="V95">
            <v>0</v>
          </cell>
          <cell r="W95">
            <v>1</v>
          </cell>
          <cell r="X95">
            <v>489.59562377217969</v>
          </cell>
          <cell r="Y95">
            <v>750.47111043057976</v>
          </cell>
          <cell r="Z95">
            <v>0</v>
          </cell>
          <cell r="AA95">
            <v>0</v>
          </cell>
          <cell r="AB95">
            <v>194.13056640554791</v>
          </cell>
          <cell r="AC95">
            <v>1174.2822253366453</v>
          </cell>
          <cell r="AD95">
            <v>9033.6982877839619</v>
          </cell>
          <cell r="AE95">
            <v>1226.5213027942252</v>
          </cell>
          <cell r="AF95">
            <v>1441.1554558640014</v>
          </cell>
          <cell r="AH95">
            <v>1482.0715550304631</v>
          </cell>
          <cell r="AI95">
            <v>0</v>
          </cell>
          <cell r="AK95">
            <v>1453.4206022027356</v>
          </cell>
          <cell r="AL95">
            <v>0</v>
          </cell>
          <cell r="AN95">
            <v>673.25545045629633</v>
          </cell>
          <cell r="AO95">
            <v>0</v>
          </cell>
          <cell r="AQ95">
            <v>395.76741189229665</v>
          </cell>
          <cell r="AR95">
            <v>2252</v>
          </cell>
          <cell r="AT95">
            <v>754.28173151102328</v>
          </cell>
          <cell r="AU95">
            <v>4730</v>
          </cell>
          <cell r="AW95">
            <v>394.89345310091193</v>
          </cell>
          <cell r="AX95">
            <v>0</v>
          </cell>
        </row>
        <row r="96"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U96">
            <v>22206.253498503</v>
          </cell>
          <cell r="V96">
            <v>0</v>
          </cell>
          <cell r="W96">
            <v>0</v>
          </cell>
          <cell r="X96">
            <v>116.11714065043498</v>
          </cell>
          <cell r="Y96">
            <v>7684</v>
          </cell>
          <cell r="Z96">
            <v>0</v>
          </cell>
          <cell r="AA96">
            <v>0</v>
          </cell>
          <cell r="AB96">
            <v>1701</v>
          </cell>
          <cell r="AC96">
            <v>2780.028042300406</v>
          </cell>
          <cell r="AD96">
            <v>6328.7110361683581</v>
          </cell>
          <cell r="AE96">
            <v>1347.8432605358166</v>
          </cell>
          <cell r="AF96">
            <v>425.98817545704691</v>
          </cell>
          <cell r="AH96">
            <v>1603.6406617782084</v>
          </cell>
          <cell r="AI96">
            <v>1466</v>
          </cell>
          <cell r="AK96">
            <v>1498.4823027180209</v>
          </cell>
          <cell r="AL96">
            <v>2439.3741091389384</v>
          </cell>
          <cell r="AN96">
            <v>700.59062252596152</v>
          </cell>
          <cell r="AO96">
            <v>0</v>
          </cell>
          <cell r="AQ96">
            <v>422.7844713578213</v>
          </cell>
          <cell r="AR96">
            <v>0</v>
          </cell>
          <cell r="AT96">
            <v>775.64627416704468</v>
          </cell>
          <cell r="AU96">
            <v>7190.1547551024423</v>
          </cell>
          <cell r="AW96">
            <v>323.17389556343255</v>
          </cell>
          <cell r="AX96">
            <v>2412</v>
          </cell>
        </row>
        <row r="97">
          <cell r="I97">
            <v>10.67</v>
          </cell>
          <cell r="J97">
            <v>10472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2</v>
          </cell>
          <cell r="S97">
            <v>95215</v>
          </cell>
          <cell r="U97">
            <v>625.73787870407091</v>
          </cell>
          <cell r="V97">
            <v>0</v>
          </cell>
          <cell r="W97">
            <v>0</v>
          </cell>
          <cell r="X97">
            <v>116.11714065043498</v>
          </cell>
          <cell r="Y97">
            <v>6588</v>
          </cell>
          <cell r="Z97">
            <v>0</v>
          </cell>
          <cell r="AA97">
            <v>0</v>
          </cell>
          <cell r="AB97">
            <v>0</v>
          </cell>
          <cell r="AC97">
            <v>1606</v>
          </cell>
          <cell r="AD97">
            <v>6631.2225612194125</v>
          </cell>
          <cell r="AE97">
            <v>1940.0165124283587</v>
          </cell>
          <cell r="AF97">
            <v>1841.134263420488</v>
          </cell>
          <cell r="AH97">
            <v>2671.3948400443719</v>
          </cell>
          <cell r="AI97">
            <v>0</v>
          </cell>
          <cell r="AK97">
            <v>4246.1806401246949</v>
          </cell>
          <cell r="AL97">
            <v>0</v>
          </cell>
          <cell r="AN97">
            <v>1557.2763862988356</v>
          </cell>
          <cell r="AO97">
            <v>1817</v>
          </cell>
          <cell r="AQ97">
            <v>2338.5323677229662</v>
          </cell>
          <cell r="AR97">
            <v>0</v>
          </cell>
          <cell r="AT97">
            <v>1835.3146988894723</v>
          </cell>
          <cell r="AU97">
            <v>2254.1404501924517</v>
          </cell>
          <cell r="AW97">
            <v>1118.5937498727455</v>
          </cell>
          <cell r="AX97">
            <v>0</v>
          </cell>
        </row>
        <row r="98">
          <cell r="I98">
            <v>18.809999999999999</v>
          </cell>
          <cell r="J98">
            <v>9673</v>
          </cell>
          <cell r="L98">
            <v>0</v>
          </cell>
          <cell r="M98">
            <v>0</v>
          </cell>
          <cell r="O98">
            <v>83.5</v>
          </cell>
          <cell r="P98">
            <v>26245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W98">
            <v>0</v>
          </cell>
          <cell r="X98">
            <v>550.98457817326914</v>
          </cell>
          <cell r="Y98">
            <v>465</v>
          </cell>
          <cell r="Z98">
            <v>0</v>
          </cell>
          <cell r="AA98">
            <v>0</v>
          </cell>
          <cell r="AB98">
            <v>16198</v>
          </cell>
          <cell r="AC98">
            <v>770</v>
          </cell>
          <cell r="AD98">
            <v>5572.1261315998445</v>
          </cell>
          <cell r="AE98">
            <v>1618.063542798154</v>
          </cell>
          <cell r="AF98">
            <v>4510.817335233668</v>
          </cell>
          <cell r="AH98">
            <v>2461.5173043234017</v>
          </cell>
          <cell r="AI98">
            <v>4250</v>
          </cell>
          <cell r="AK98">
            <v>2766.0248753394776</v>
          </cell>
          <cell r="AL98">
            <v>0</v>
          </cell>
          <cell r="AN98">
            <v>1109.4507192130609</v>
          </cell>
          <cell r="AO98">
            <v>1575</v>
          </cell>
          <cell r="AQ98">
            <v>1169.3389950169108</v>
          </cell>
          <cell r="AR98">
            <v>19.323966600000002</v>
          </cell>
          <cell r="AT98">
            <v>1923.1874940680243</v>
          </cell>
          <cell r="AU98">
            <v>1269.4142389754811</v>
          </cell>
          <cell r="AW98">
            <v>762.07335091908692</v>
          </cell>
          <cell r="AX98">
            <v>5646</v>
          </cell>
        </row>
        <row r="99">
          <cell r="I99">
            <v>106.35</v>
          </cell>
          <cell r="J99">
            <v>20030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393.42988603280099</v>
          </cell>
          <cell r="AF99">
            <v>0</v>
          </cell>
          <cell r="AH99">
            <v>450.99746369456966</v>
          </cell>
          <cell r="AI99">
            <v>0</v>
          </cell>
          <cell r="AK99">
            <v>275.06486022799919</v>
          </cell>
          <cell r="AL99">
            <v>0</v>
          </cell>
          <cell r="AN99">
            <v>0</v>
          </cell>
          <cell r="AO99">
            <v>0</v>
          </cell>
          <cell r="AQ99">
            <v>0</v>
          </cell>
          <cell r="AR99">
            <v>0</v>
          </cell>
          <cell r="AT99">
            <v>79.609844577948294</v>
          </cell>
          <cell r="AU99">
            <v>0</v>
          </cell>
          <cell r="AW99">
            <v>0</v>
          </cell>
          <cell r="AX99">
            <v>0</v>
          </cell>
        </row>
        <row r="100">
          <cell r="I100">
            <v>22</v>
          </cell>
          <cell r="J100">
            <v>49150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968</v>
          </cell>
          <cell r="AB100">
            <v>0</v>
          </cell>
          <cell r="AC100">
            <v>0</v>
          </cell>
          <cell r="AD100">
            <v>34804</v>
          </cell>
          <cell r="AE100">
            <v>1669.7180592819384</v>
          </cell>
          <cell r="AF100">
            <v>0</v>
          </cell>
          <cell r="AH100">
            <v>1214.0218303771728</v>
          </cell>
          <cell r="AI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T100">
            <v>726.96398860742875</v>
          </cell>
          <cell r="AU100">
            <v>0</v>
          </cell>
          <cell r="AW100">
            <v>0</v>
          </cell>
          <cell r="AX100">
            <v>0</v>
          </cell>
        </row>
        <row r="101">
          <cell r="I101">
            <v>29.5</v>
          </cell>
          <cell r="J101">
            <v>17342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109.74192315099162</v>
          </cell>
          <cell r="AD101">
            <v>0</v>
          </cell>
          <cell r="AE101">
            <v>369.88259994927745</v>
          </cell>
          <cell r="AF101">
            <v>0</v>
          </cell>
          <cell r="AH101">
            <v>445.34516002577487</v>
          </cell>
          <cell r="AI101">
            <v>0</v>
          </cell>
          <cell r="AK101">
            <v>224.88784326123502</v>
          </cell>
          <cell r="AL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T101">
            <v>79.238667330205828</v>
          </cell>
          <cell r="AU101">
            <v>0</v>
          </cell>
          <cell r="AW101">
            <v>0</v>
          </cell>
          <cell r="AX101">
            <v>0</v>
          </cell>
        </row>
        <row r="102">
          <cell r="I102">
            <v>99.32</v>
          </cell>
          <cell r="J102">
            <v>19215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375.7494945091467</v>
          </cell>
          <cell r="AF102">
            <v>0</v>
          </cell>
          <cell r="AH102">
            <v>527.03725495094034</v>
          </cell>
          <cell r="AI102">
            <v>0</v>
          </cell>
          <cell r="AK102">
            <v>161.57824736809303</v>
          </cell>
          <cell r="AL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T102">
            <v>59.168551776459459</v>
          </cell>
          <cell r="AU102">
            <v>0</v>
          </cell>
          <cell r="AW102">
            <v>0</v>
          </cell>
          <cell r="AX102">
            <v>0</v>
          </cell>
        </row>
        <row r="103">
          <cell r="I103">
            <v>58</v>
          </cell>
          <cell r="J103">
            <v>14799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778.98413731632706</v>
          </cell>
          <cell r="AF103">
            <v>0</v>
          </cell>
          <cell r="AH103">
            <v>948.60920210246843</v>
          </cell>
          <cell r="AI103">
            <v>0</v>
          </cell>
          <cell r="AK103">
            <v>384.71973377700328</v>
          </cell>
          <cell r="AL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T103">
            <v>177.79633895512248</v>
          </cell>
          <cell r="AU103">
            <v>0</v>
          </cell>
          <cell r="AW103">
            <v>0</v>
          </cell>
          <cell r="AX103">
            <v>0</v>
          </cell>
        </row>
        <row r="104">
          <cell r="I104">
            <v>8</v>
          </cell>
          <cell r="J104">
            <v>1650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821.24397331095224</v>
          </cell>
          <cell r="AF104">
            <v>0</v>
          </cell>
          <cell r="AH104">
            <v>1138.2727935986193</v>
          </cell>
          <cell r="AI104">
            <v>0</v>
          </cell>
          <cell r="AK104">
            <v>617.3558311371778</v>
          </cell>
          <cell r="AL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T104">
            <v>177.79633895512248</v>
          </cell>
          <cell r="AU104">
            <v>0</v>
          </cell>
          <cell r="AW104">
            <v>0</v>
          </cell>
          <cell r="AX104">
            <v>0</v>
          </cell>
        </row>
        <row r="105">
          <cell r="I105">
            <v>4</v>
          </cell>
          <cell r="J105">
            <v>1076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628.41888790764006</v>
          </cell>
          <cell r="AF105">
            <v>0</v>
          </cell>
          <cell r="AH105">
            <v>952.68795817875343</v>
          </cell>
          <cell r="AI105">
            <v>0</v>
          </cell>
          <cell r="AK105">
            <v>234.02220349919818</v>
          </cell>
          <cell r="AL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T105">
            <v>118.62780668282814</v>
          </cell>
          <cell r="AU105">
            <v>0</v>
          </cell>
          <cell r="AW105">
            <v>0</v>
          </cell>
          <cell r="AX105">
            <v>0</v>
          </cell>
        </row>
        <row r="106">
          <cell r="I106">
            <v>12</v>
          </cell>
          <cell r="J106">
            <v>2648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1338</v>
          </cell>
          <cell r="AD106">
            <v>0</v>
          </cell>
          <cell r="AE106">
            <v>446.27552779950105</v>
          </cell>
          <cell r="AF106">
            <v>0</v>
          </cell>
          <cell r="AH106">
            <v>914.81368486142617</v>
          </cell>
          <cell r="AI106">
            <v>1385</v>
          </cell>
          <cell r="AK106">
            <v>223.8188890228131</v>
          </cell>
          <cell r="AL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T106">
            <v>118.62780668282814</v>
          </cell>
          <cell r="AU106">
            <v>0</v>
          </cell>
          <cell r="AW106">
            <v>0</v>
          </cell>
          <cell r="AX106">
            <v>0</v>
          </cell>
        </row>
        <row r="107">
          <cell r="I107">
            <v>114.77</v>
          </cell>
          <cell r="J107">
            <v>22497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625</v>
          </cell>
          <cell r="AE107">
            <v>618.00739330426507</v>
          </cell>
          <cell r="AF107">
            <v>0</v>
          </cell>
          <cell r="AH107">
            <v>763.02436668260316</v>
          </cell>
          <cell r="AI107">
            <v>0</v>
          </cell>
          <cell r="AK107">
            <v>221.28829516597003</v>
          </cell>
          <cell r="AL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T107">
            <v>118.62766249183653</v>
          </cell>
          <cell r="AU107">
            <v>0</v>
          </cell>
          <cell r="AW107">
            <v>0</v>
          </cell>
          <cell r="AX107">
            <v>0</v>
          </cell>
        </row>
        <row r="108"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5261</v>
          </cell>
          <cell r="AD108">
            <v>0</v>
          </cell>
          <cell r="AE108">
            <v>768.58353548401794</v>
          </cell>
          <cell r="AF108">
            <v>0</v>
          </cell>
          <cell r="AH108">
            <v>1258.7718030201743</v>
          </cell>
          <cell r="AI108">
            <v>0</v>
          </cell>
          <cell r="AK108">
            <v>794.11016348623605</v>
          </cell>
          <cell r="AL108">
            <v>0</v>
          </cell>
          <cell r="AN108">
            <v>0</v>
          </cell>
          <cell r="AO108">
            <v>0</v>
          </cell>
          <cell r="AQ108">
            <v>0</v>
          </cell>
          <cell r="AR108">
            <v>0</v>
          </cell>
          <cell r="AT108">
            <v>215.49717539708286</v>
          </cell>
          <cell r="AU108">
            <v>261</v>
          </cell>
          <cell r="AW108">
            <v>0</v>
          </cell>
          <cell r="AX108">
            <v>0</v>
          </cell>
        </row>
        <row r="109"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9320</v>
          </cell>
          <cell r="AD109">
            <v>0</v>
          </cell>
          <cell r="AE109">
            <v>895.65617756303675</v>
          </cell>
          <cell r="AF109">
            <v>1149</v>
          </cell>
          <cell r="AH109">
            <v>1205.8638280807043</v>
          </cell>
          <cell r="AI109">
            <v>0</v>
          </cell>
          <cell r="AK109">
            <v>1000.2115013796479</v>
          </cell>
          <cell r="AL109">
            <v>910</v>
          </cell>
          <cell r="AN109">
            <v>0</v>
          </cell>
          <cell r="AO109">
            <v>0</v>
          </cell>
          <cell r="AQ109">
            <v>0</v>
          </cell>
          <cell r="AR109">
            <v>0</v>
          </cell>
          <cell r="AT109">
            <v>362.91232416152599</v>
          </cell>
          <cell r="AU109">
            <v>126</v>
          </cell>
          <cell r="AW109">
            <v>0</v>
          </cell>
          <cell r="AX109">
            <v>0</v>
          </cell>
        </row>
        <row r="110">
          <cell r="I110">
            <v>0</v>
          </cell>
          <cell r="J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284</v>
          </cell>
          <cell r="AD110">
            <v>0</v>
          </cell>
          <cell r="AE110">
            <v>400.76271578958375</v>
          </cell>
          <cell r="AF110">
            <v>0</v>
          </cell>
          <cell r="AH110">
            <v>889.46692439466995</v>
          </cell>
          <cell r="AI110">
            <v>0</v>
          </cell>
          <cell r="AK110">
            <v>165.8791055208878</v>
          </cell>
          <cell r="AL110">
            <v>0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T110">
            <v>118.62780668282814</v>
          </cell>
          <cell r="AU110">
            <v>0</v>
          </cell>
          <cell r="AW110">
            <v>0</v>
          </cell>
          <cell r="AX110">
            <v>0</v>
          </cell>
        </row>
        <row r="111">
          <cell r="I111">
            <v>0</v>
          </cell>
          <cell r="J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1093.9336000106091</v>
          </cell>
          <cell r="AE111">
            <v>878.1214278322185</v>
          </cell>
          <cell r="AF111">
            <v>0</v>
          </cell>
          <cell r="AH111">
            <v>1199.9207699340923</v>
          </cell>
          <cell r="AI111">
            <v>0</v>
          </cell>
          <cell r="AK111">
            <v>987.14380804143718</v>
          </cell>
          <cell r="AL111">
            <v>0</v>
          </cell>
          <cell r="AN111">
            <v>0</v>
          </cell>
          <cell r="AO111">
            <v>0</v>
          </cell>
          <cell r="AQ111">
            <v>0</v>
          </cell>
          <cell r="AR111">
            <v>0</v>
          </cell>
          <cell r="AT111">
            <v>360.33688608548937</v>
          </cell>
          <cell r="AU111">
            <v>0</v>
          </cell>
          <cell r="AW111">
            <v>0</v>
          </cell>
          <cell r="AX111">
            <v>0</v>
          </cell>
        </row>
        <row r="112"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175</v>
          </cell>
          <cell r="AD112">
            <v>0</v>
          </cell>
          <cell r="AE112">
            <v>568.80140155377376</v>
          </cell>
          <cell r="AF112">
            <v>0</v>
          </cell>
          <cell r="AH112">
            <v>706.67854208029485</v>
          </cell>
          <cell r="AI112">
            <v>0</v>
          </cell>
          <cell r="AK112">
            <v>298.12881982235933</v>
          </cell>
          <cell r="AL112">
            <v>518.61230642048793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T112">
            <v>209.02272712943946</v>
          </cell>
          <cell r="AU112">
            <v>208.19931220172629</v>
          </cell>
          <cell r="AW112">
            <v>0</v>
          </cell>
          <cell r="AX112">
            <v>0</v>
          </cell>
        </row>
        <row r="113"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5087.5446491460189</v>
          </cell>
          <cell r="Z113">
            <v>0</v>
          </cell>
          <cell r="AA113">
            <v>0</v>
          </cell>
          <cell r="AB113">
            <v>0</v>
          </cell>
          <cell r="AC113">
            <v>3149.3187964657959</v>
          </cell>
          <cell r="AD113">
            <v>0</v>
          </cell>
          <cell r="AE113">
            <v>1466.5742598894792</v>
          </cell>
          <cell r="AF113">
            <v>597.16855885903601</v>
          </cell>
          <cell r="AH113">
            <v>2225.8525564076244</v>
          </cell>
          <cell r="AI113">
            <v>0</v>
          </cell>
          <cell r="AK113">
            <v>1882.0003370704183</v>
          </cell>
          <cell r="AL113">
            <v>0</v>
          </cell>
          <cell r="AN113">
            <v>0</v>
          </cell>
          <cell r="AO113">
            <v>0</v>
          </cell>
          <cell r="AQ113">
            <v>0</v>
          </cell>
          <cell r="AR113">
            <v>0</v>
          </cell>
          <cell r="AT113">
            <v>649.81614847557319</v>
          </cell>
          <cell r="AU113">
            <v>0</v>
          </cell>
          <cell r="AW113">
            <v>0</v>
          </cell>
          <cell r="AX113">
            <v>0</v>
          </cell>
        </row>
        <row r="114"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141.27809696750489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1948</v>
          </cell>
          <cell r="AD114">
            <v>0</v>
          </cell>
          <cell r="AE114">
            <v>1018.7425463430262</v>
          </cell>
          <cell r="AF114">
            <v>0</v>
          </cell>
          <cell r="AH114">
            <v>1503.4989161478395</v>
          </cell>
          <cell r="AI114">
            <v>0</v>
          </cell>
          <cell r="AK114">
            <v>1443.9845843902519</v>
          </cell>
          <cell r="AL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T114">
            <v>418.16606863024731</v>
          </cell>
          <cell r="AU114">
            <v>0</v>
          </cell>
          <cell r="AW114">
            <v>0</v>
          </cell>
          <cell r="AX114">
            <v>0</v>
          </cell>
        </row>
        <row r="115"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R115">
            <v>1</v>
          </cell>
          <cell r="S115">
            <v>104747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6269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508.85009456710986</v>
          </cell>
          <cell r="AE115">
            <v>631.64397880652859</v>
          </cell>
          <cell r="AF115">
            <v>0</v>
          </cell>
          <cell r="AH115">
            <v>845.07220410460593</v>
          </cell>
          <cell r="AI115">
            <v>0</v>
          </cell>
          <cell r="AK115">
            <v>1035.1799582332012</v>
          </cell>
          <cell r="AL115">
            <v>0</v>
          </cell>
          <cell r="AN115">
            <v>372.18331362209648</v>
          </cell>
          <cell r="AO115">
            <v>0</v>
          </cell>
          <cell r="AQ115">
            <v>211.31966959543126</v>
          </cell>
          <cell r="AR115">
            <v>0</v>
          </cell>
          <cell r="AT115">
            <v>520.07745196582243</v>
          </cell>
          <cell r="AU115">
            <v>3071</v>
          </cell>
          <cell r="AW115">
            <v>0</v>
          </cell>
          <cell r="AX115">
            <v>0</v>
          </cell>
        </row>
        <row r="116"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  <cell r="P116">
            <v>0</v>
          </cell>
          <cell r="R116">
            <v>1</v>
          </cell>
          <cell r="S116">
            <v>16581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1848</v>
          </cell>
          <cell r="AE116">
            <v>1252.1014524376478</v>
          </cell>
          <cell r="AF116">
            <v>820.68830455751629</v>
          </cell>
          <cell r="AH116">
            <v>1592.0198949652577</v>
          </cell>
          <cell r="AI116">
            <v>1160</v>
          </cell>
          <cell r="AK116">
            <v>1644.2861141645119</v>
          </cell>
          <cell r="AL116">
            <v>0</v>
          </cell>
          <cell r="AN116">
            <v>686.20535737135094</v>
          </cell>
          <cell r="AO116">
            <v>0</v>
          </cell>
          <cell r="AQ116">
            <v>395.76741189229665</v>
          </cell>
          <cell r="AR116">
            <v>0</v>
          </cell>
          <cell r="AT116">
            <v>1038.4043343240171</v>
          </cell>
          <cell r="AU116">
            <v>1017.0996561008632</v>
          </cell>
          <cell r="AW116">
            <v>0</v>
          </cell>
          <cell r="AX116">
            <v>0</v>
          </cell>
        </row>
        <row r="117"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H117">
            <v>0</v>
          </cell>
          <cell r="AI117">
            <v>0</v>
          </cell>
          <cell r="AK117">
            <v>0</v>
          </cell>
          <cell r="AL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T117">
            <v>0</v>
          </cell>
          <cell r="AU117">
            <v>0</v>
          </cell>
          <cell r="AW117">
            <v>0</v>
          </cell>
          <cell r="AX117">
            <v>0</v>
          </cell>
        </row>
        <row r="118"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391.70012268032747</v>
          </cell>
          <cell r="AF118">
            <v>0</v>
          </cell>
          <cell r="AH118">
            <v>541.42956001573725</v>
          </cell>
          <cell r="AI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T118">
            <v>91.330284162915746</v>
          </cell>
          <cell r="AU118">
            <v>0</v>
          </cell>
          <cell r="AW118">
            <v>0</v>
          </cell>
          <cell r="AX118">
            <v>0</v>
          </cell>
        </row>
        <row r="119"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H119">
            <v>0</v>
          </cell>
          <cell r="AI119">
            <v>0</v>
          </cell>
          <cell r="AK119">
            <v>0</v>
          </cell>
          <cell r="AL119">
            <v>0</v>
          </cell>
          <cell r="AN119">
            <v>0</v>
          </cell>
          <cell r="AO119">
            <v>0</v>
          </cell>
          <cell r="AQ119">
            <v>0</v>
          </cell>
          <cell r="AR119">
            <v>0</v>
          </cell>
          <cell r="AT119">
            <v>0</v>
          </cell>
          <cell r="AU119">
            <v>0</v>
          </cell>
          <cell r="AW119">
            <v>0</v>
          </cell>
          <cell r="AX119">
            <v>0</v>
          </cell>
        </row>
        <row r="120"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Q120">
            <v>0</v>
          </cell>
          <cell r="AR120">
            <v>0</v>
          </cell>
          <cell r="AT120">
            <v>0</v>
          </cell>
          <cell r="AU120">
            <v>0</v>
          </cell>
          <cell r="AW120">
            <v>0</v>
          </cell>
          <cell r="AX120">
            <v>0</v>
          </cell>
        </row>
        <row r="121"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H121">
            <v>0</v>
          </cell>
          <cell r="AI121">
            <v>0</v>
          </cell>
          <cell r="AK121">
            <v>0</v>
          </cell>
          <cell r="AL121">
            <v>0</v>
          </cell>
          <cell r="AN121">
            <v>0</v>
          </cell>
          <cell r="AO121">
            <v>0</v>
          </cell>
          <cell r="AQ121">
            <v>0</v>
          </cell>
          <cell r="AR121">
            <v>0</v>
          </cell>
          <cell r="AT121">
            <v>0</v>
          </cell>
          <cell r="AU121">
            <v>0</v>
          </cell>
          <cell r="AW121">
            <v>0</v>
          </cell>
          <cell r="AX121">
            <v>0</v>
          </cell>
        </row>
        <row r="122">
          <cell r="I122">
            <v>8.5</v>
          </cell>
          <cell r="J122">
            <v>1625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H122">
            <v>0</v>
          </cell>
          <cell r="AI122">
            <v>0</v>
          </cell>
          <cell r="AK122">
            <v>0</v>
          </cell>
          <cell r="AL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T122">
            <v>0</v>
          </cell>
          <cell r="AU122">
            <v>0</v>
          </cell>
          <cell r="AW122">
            <v>0</v>
          </cell>
          <cell r="AX122">
            <v>0</v>
          </cell>
        </row>
        <row r="123">
          <cell r="I123">
            <v>10</v>
          </cell>
          <cell r="J123">
            <v>4927</v>
          </cell>
          <cell r="L123">
            <v>2</v>
          </cell>
          <cell r="M123">
            <v>87667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27095</v>
          </cell>
          <cell r="Z123">
            <v>0</v>
          </cell>
          <cell r="AA123">
            <v>0</v>
          </cell>
          <cell r="AB123">
            <v>0</v>
          </cell>
          <cell r="AC123">
            <v>2711</v>
          </cell>
          <cell r="AD123">
            <v>1443</v>
          </cell>
          <cell r="AE123">
            <v>1760.5062053184092</v>
          </cell>
          <cell r="AF123">
            <v>1941</v>
          </cell>
          <cell r="AH123">
            <v>2878.690972513285</v>
          </cell>
          <cell r="AI123">
            <v>1800</v>
          </cell>
          <cell r="AK123">
            <v>1793.2732745772648</v>
          </cell>
          <cell r="AL123">
            <v>1545</v>
          </cell>
          <cell r="AN123">
            <v>0</v>
          </cell>
          <cell r="AO123">
            <v>0</v>
          </cell>
          <cell r="AQ123">
            <v>719.6828414324732</v>
          </cell>
          <cell r="AR123">
            <v>0</v>
          </cell>
          <cell r="AT123">
            <v>1298.2546461686622</v>
          </cell>
          <cell r="AU123">
            <v>2640</v>
          </cell>
          <cell r="AW123">
            <v>0</v>
          </cell>
          <cell r="AX123">
            <v>0</v>
          </cell>
        </row>
        <row r="124"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H124">
            <v>0</v>
          </cell>
          <cell r="AI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T124">
            <v>0</v>
          </cell>
          <cell r="AU124">
            <v>0</v>
          </cell>
          <cell r="AW124">
            <v>0</v>
          </cell>
          <cell r="AX124">
            <v>0</v>
          </cell>
        </row>
        <row r="125"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H125">
            <v>0</v>
          </cell>
          <cell r="AI125">
            <v>0</v>
          </cell>
          <cell r="AK125">
            <v>0</v>
          </cell>
          <cell r="AL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T125">
            <v>0</v>
          </cell>
          <cell r="AU125">
            <v>0</v>
          </cell>
          <cell r="AW125">
            <v>0</v>
          </cell>
          <cell r="AX125">
            <v>0</v>
          </cell>
        </row>
        <row r="126"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H126">
            <v>0</v>
          </cell>
          <cell r="AI126">
            <v>0</v>
          </cell>
          <cell r="AK126">
            <v>0</v>
          </cell>
          <cell r="AL126">
            <v>0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T126">
            <v>0</v>
          </cell>
          <cell r="AU126">
            <v>0</v>
          </cell>
          <cell r="AW126">
            <v>0</v>
          </cell>
          <cell r="AX126">
            <v>0</v>
          </cell>
        </row>
        <row r="127">
          <cell r="I127">
            <v>0.9</v>
          </cell>
          <cell r="J127">
            <v>378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9</v>
          </cell>
          <cell r="X127">
            <v>1565.4634949458414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1640</v>
          </cell>
          <cell r="AE127">
            <v>1864.1579130546477</v>
          </cell>
          <cell r="AF127">
            <v>0</v>
          </cell>
          <cell r="AH127">
            <v>2941.9120062973689</v>
          </cell>
          <cell r="AI127">
            <v>0</v>
          </cell>
          <cell r="AK127">
            <v>1793.8057321216502</v>
          </cell>
          <cell r="AL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T127">
            <v>1558.9163486434293</v>
          </cell>
          <cell r="AU127">
            <v>4954</v>
          </cell>
          <cell r="AW127">
            <v>0</v>
          </cell>
          <cell r="AX127">
            <v>0</v>
          </cell>
        </row>
        <row r="128">
          <cell r="I128">
            <v>7</v>
          </cell>
          <cell r="J128">
            <v>2833.0986883497731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3</v>
          </cell>
          <cell r="S128">
            <v>131080</v>
          </cell>
          <cell r="U128">
            <v>36346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18687.677674680388</v>
          </cell>
          <cell r="AD128">
            <v>7000</v>
          </cell>
          <cell r="AE128">
            <v>1970.7759348256152</v>
          </cell>
          <cell r="AF128">
            <v>0</v>
          </cell>
          <cell r="AH128">
            <v>2353.0803165712614</v>
          </cell>
          <cell r="AI128">
            <v>0</v>
          </cell>
          <cell r="AK128">
            <v>2232.0196605652586</v>
          </cell>
          <cell r="AL128">
            <v>0</v>
          </cell>
          <cell r="AN128">
            <v>1136.8640410315986</v>
          </cell>
          <cell r="AO128">
            <v>0</v>
          </cell>
          <cell r="AQ128">
            <v>634.10414095325257</v>
          </cell>
          <cell r="AR128">
            <v>5465.3785898137121</v>
          </cell>
          <cell r="AT128">
            <v>1320.4697977905525</v>
          </cell>
          <cell r="AU128">
            <v>8049.6071585080781</v>
          </cell>
          <cell r="AW128">
            <v>478.61464761695726</v>
          </cell>
          <cell r="AX128">
            <v>0</v>
          </cell>
        </row>
        <row r="129">
          <cell r="I129">
            <v>1</v>
          </cell>
          <cell r="J129">
            <v>2889.7562731489329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6</v>
          </cell>
          <cell r="S129">
            <v>221987.1887945894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5879</v>
          </cell>
          <cell r="AC129">
            <v>2709</v>
          </cell>
          <cell r="AD129">
            <v>15698</v>
          </cell>
          <cell r="AE129">
            <v>2216.8447038712529</v>
          </cell>
          <cell r="AF129">
            <v>631</v>
          </cell>
          <cell r="AH129">
            <v>2851.1469503383723</v>
          </cell>
          <cell r="AI129">
            <v>0</v>
          </cell>
          <cell r="AK129">
            <v>3935.2562316470835</v>
          </cell>
          <cell r="AL129">
            <v>0</v>
          </cell>
          <cell r="AN129">
            <v>1430.9247220667485</v>
          </cell>
          <cell r="AO129">
            <v>0</v>
          </cell>
          <cell r="AQ129">
            <v>634.10414095325257</v>
          </cell>
          <cell r="AR129">
            <v>294.13123099999996</v>
          </cell>
          <cell r="AT129">
            <v>1341.8675289495609</v>
          </cell>
          <cell r="AU129">
            <v>3556</v>
          </cell>
          <cell r="AW129">
            <v>490.6162845955235</v>
          </cell>
          <cell r="AX129">
            <v>0</v>
          </cell>
        </row>
        <row r="130"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H130">
            <v>0</v>
          </cell>
          <cell r="AI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T130">
            <v>0</v>
          </cell>
          <cell r="AU130">
            <v>0</v>
          </cell>
          <cell r="AW130">
            <v>0</v>
          </cell>
          <cell r="AX130">
            <v>0</v>
          </cell>
        </row>
        <row r="131"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H131">
            <v>0</v>
          </cell>
          <cell r="AI131">
            <v>0</v>
          </cell>
          <cell r="AK131">
            <v>0</v>
          </cell>
          <cell r="AL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T131">
            <v>0</v>
          </cell>
          <cell r="AU131">
            <v>0</v>
          </cell>
          <cell r="AW131">
            <v>0</v>
          </cell>
          <cell r="AX131">
            <v>0</v>
          </cell>
        </row>
        <row r="132"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H132">
            <v>0</v>
          </cell>
          <cell r="AI132">
            <v>0</v>
          </cell>
          <cell r="AK132">
            <v>0</v>
          </cell>
          <cell r="AL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</row>
        <row r="133">
          <cell r="I133">
            <v>156</v>
          </cell>
          <cell r="J133">
            <v>48367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1</v>
          </cell>
          <cell r="S133">
            <v>1342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11127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749.97295389459441</v>
          </cell>
          <cell r="AF133">
            <v>368</v>
          </cell>
          <cell r="AH133">
            <v>918.14046628767017</v>
          </cell>
          <cell r="AI133">
            <v>0</v>
          </cell>
          <cell r="AK133">
            <v>2015.3764471703334</v>
          </cell>
          <cell r="AL133">
            <v>0</v>
          </cell>
          <cell r="AN133">
            <v>669.55845203206354</v>
          </cell>
          <cell r="AO133">
            <v>0</v>
          </cell>
          <cell r="AQ133">
            <v>197.88370594614832</v>
          </cell>
          <cell r="AR133">
            <v>0</v>
          </cell>
          <cell r="AT133">
            <v>260.28476034010987</v>
          </cell>
          <cell r="AU133">
            <v>0</v>
          </cell>
          <cell r="AW133">
            <v>0</v>
          </cell>
          <cell r="AX133">
            <v>0</v>
          </cell>
        </row>
        <row r="134"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H134">
            <v>0</v>
          </cell>
          <cell r="AI134">
            <v>0</v>
          </cell>
          <cell r="AK134">
            <v>0</v>
          </cell>
          <cell r="AL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T134">
            <v>0</v>
          </cell>
          <cell r="AU134">
            <v>0</v>
          </cell>
          <cell r="AW134">
            <v>0</v>
          </cell>
          <cell r="AX134">
            <v>0</v>
          </cell>
        </row>
        <row r="135"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12096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H135">
            <v>0</v>
          </cell>
          <cell r="AI135">
            <v>0</v>
          </cell>
          <cell r="AK135">
            <v>65.048332709546671</v>
          </cell>
          <cell r="AL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T135">
            <v>0</v>
          </cell>
          <cell r="AU135">
            <v>2050</v>
          </cell>
          <cell r="AW135">
            <v>0</v>
          </cell>
          <cell r="AX135">
            <v>0</v>
          </cell>
        </row>
        <row r="136">
          <cell r="I136">
            <v>60</v>
          </cell>
          <cell r="J136">
            <v>14092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5953.9972084848177</v>
          </cell>
          <cell r="Y136">
            <v>2890</v>
          </cell>
          <cell r="Z136">
            <v>0</v>
          </cell>
          <cell r="AA136">
            <v>0</v>
          </cell>
          <cell r="AB136">
            <v>0</v>
          </cell>
          <cell r="AC136">
            <v>3680.8120139435382</v>
          </cell>
          <cell r="AD136">
            <v>671</v>
          </cell>
          <cell r="AE136">
            <v>860.44005602076561</v>
          </cell>
          <cell r="AF136">
            <v>400</v>
          </cell>
          <cell r="AH136">
            <v>1174.5740094673354</v>
          </cell>
          <cell r="AI136">
            <v>0</v>
          </cell>
          <cell r="AK136">
            <v>1174.9843043850026</v>
          </cell>
          <cell r="AL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T136">
            <v>349.45267117081045</v>
          </cell>
          <cell r="AU136">
            <v>264</v>
          </cell>
          <cell r="AW136">
            <v>0</v>
          </cell>
          <cell r="AX136">
            <v>0</v>
          </cell>
        </row>
        <row r="137"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10</v>
          </cell>
          <cell r="S137">
            <v>162959.44115863141</v>
          </cell>
          <cell r="U137">
            <v>406.57322985824641</v>
          </cell>
          <cell r="V137">
            <v>0</v>
          </cell>
          <cell r="W137">
            <v>4</v>
          </cell>
          <cell r="X137">
            <v>3164.6123758679641</v>
          </cell>
          <cell r="Y137">
            <v>0</v>
          </cell>
          <cell r="Z137">
            <v>0</v>
          </cell>
          <cell r="AA137">
            <v>0</v>
          </cell>
          <cell r="AB137">
            <v>2581</v>
          </cell>
          <cell r="AC137">
            <v>1458</v>
          </cell>
          <cell r="AD137">
            <v>7818.1347107664606</v>
          </cell>
          <cell r="AE137">
            <v>968.61593634290193</v>
          </cell>
          <cell r="AF137">
            <v>610</v>
          </cell>
          <cell r="AH137">
            <v>1301.1151289848876</v>
          </cell>
          <cell r="AI137">
            <v>0</v>
          </cell>
          <cell r="AK137">
            <v>1470.8501088812288</v>
          </cell>
          <cell r="AL137">
            <v>426.6062064460242</v>
          </cell>
          <cell r="AN137">
            <v>597.02457128481444</v>
          </cell>
          <cell r="AO137">
            <v>0</v>
          </cell>
          <cell r="AQ137">
            <v>395.76741189229665</v>
          </cell>
          <cell r="AR137">
            <v>0</v>
          </cell>
          <cell r="AT137">
            <v>863.94389620380832</v>
          </cell>
          <cell r="AU137">
            <v>4929.2974655791331</v>
          </cell>
          <cell r="AW137">
            <v>394.89345310091193</v>
          </cell>
          <cell r="AX137">
            <v>0</v>
          </cell>
        </row>
        <row r="138"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1246.6926820617689</v>
          </cell>
          <cell r="AC138">
            <v>617.76790573994549</v>
          </cell>
          <cell r="AD138">
            <v>0</v>
          </cell>
          <cell r="AE138">
            <v>857.03979903924903</v>
          </cell>
          <cell r="AF138">
            <v>0</v>
          </cell>
          <cell r="AH138">
            <v>1174.5740094673354</v>
          </cell>
          <cell r="AI138">
            <v>0</v>
          </cell>
          <cell r="AK138">
            <v>1115.367375233762</v>
          </cell>
          <cell r="AL138">
            <v>0</v>
          </cell>
          <cell r="AN138">
            <v>0</v>
          </cell>
          <cell r="AO138">
            <v>0</v>
          </cell>
          <cell r="AQ138">
            <v>0</v>
          </cell>
          <cell r="AR138">
            <v>0</v>
          </cell>
          <cell r="AT138">
            <v>349.45267117081045</v>
          </cell>
          <cell r="AU138">
            <v>0</v>
          </cell>
          <cell r="AW138">
            <v>0</v>
          </cell>
          <cell r="AX138">
            <v>0</v>
          </cell>
        </row>
        <row r="139"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1284.6019576058593</v>
          </cell>
          <cell r="Z139">
            <v>0</v>
          </cell>
          <cell r="AA139">
            <v>0</v>
          </cell>
          <cell r="AB139">
            <v>0</v>
          </cell>
          <cell r="AC139">
            <v>5769.7650679723974</v>
          </cell>
          <cell r="AD139">
            <v>0</v>
          </cell>
          <cell r="AE139">
            <v>575.39784503202395</v>
          </cell>
          <cell r="AF139">
            <v>0</v>
          </cell>
          <cell r="AH139">
            <v>896.34213357644524</v>
          </cell>
          <cell r="AI139">
            <v>0</v>
          </cell>
          <cell r="AK139">
            <v>455.88890488936164</v>
          </cell>
          <cell r="AL139">
            <v>0</v>
          </cell>
          <cell r="AN139">
            <v>0</v>
          </cell>
          <cell r="AO139">
            <v>0</v>
          </cell>
          <cell r="AQ139">
            <v>0</v>
          </cell>
          <cell r="AR139">
            <v>0</v>
          </cell>
          <cell r="AT139">
            <v>244.67716239428793</v>
          </cell>
          <cell r="AU139">
            <v>0</v>
          </cell>
          <cell r="AW139">
            <v>0</v>
          </cell>
          <cell r="AX139">
            <v>0</v>
          </cell>
        </row>
        <row r="140">
          <cell r="I140">
            <v>5</v>
          </cell>
          <cell r="J140">
            <v>1020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114.46218925325803</v>
          </cell>
          <cell r="AD140">
            <v>538</v>
          </cell>
          <cell r="AE140">
            <v>354.51183936379158</v>
          </cell>
          <cell r="AF140">
            <v>0</v>
          </cell>
          <cell r="AH140">
            <v>432.5264025534882</v>
          </cell>
          <cell r="AI140">
            <v>0</v>
          </cell>
          <cell r="AK140">
            <v>265.25455075913317</v>
          </cell>
          <cell r="AL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T140">
            <v>78.787193100235982</v>
          </cell>
          <cell r="AU140">
            <v>0</v>
          </cell>
          <cell r="AW140">
            <v>0</v>
          </cell>
          <cell r="AX140">
            <v>0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12305</v>
          </cell>
          <cell r="AD141">
            <v>464</v>
          </cell>
          <cell r="AE141">
            <v>1855.4846703956953</v>
          </cell>
          <cell r="AF141">
            <v>0</v>
          </cell>
          <cell r="AH141">
            <v>2942.5534028547149</v>
          </cell>
          <cell r="AI141">
            <v>0</v>
          </cell>
          <cell r="AK141">
            <v>2585.0395270709578</v>
          </cell>
          <cell r="AL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T141">
            <v>1046.5117185354666</v>
          </cell>
          <cell r="AU141">
            <v>806</v>
          </cell>
          <cell r="AW141">
            <v>0</v>
          </cell>
          <cell r="AX141">
            <v>0</v>
          </cell>
        </row>
        <row r="142"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1982</v>
          </cell>
          <cell r="AE142">
            <v>282.3558587495657</v>
          </cell>
          <cell r="AF142">
            <v>0</v>
          </cell>
          <cell r="AH142">
            <v>362.42966944372938</v>
          </cell>
          <cell r="AI142">
            <v>0</v>
          </cell>
          <cell r="AK142">
            <v>179.3944928587479</v>
          </cell>
          <cell r="AL142">
            <v>0</v>
          </cell>
          <cell r="AN142">
            <v>0</v>
          </cell>
          <cell r="AO142">
            <v>0</v>
          </cell>
          <cell r="AQ142">
            <v>0</v>
          </cell>
          <cell r="AR142">
            <v>0</v>
          </cell>
          <cell r="AT142">
            <v>58.69262450035913</v>
          </cell>
          <cell r="AU142">
            <v>1018.8606752042521</v>
          </cell>
          <cell r="AW142">
            <v>0</v>
          </cell>
          <cell r="AX142">
            <v>0</v>
          </cell>
        </row>
        <row r="143"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2434.1375100879682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K143">
            <v>225.05177326440105</v>
          </cell>
          <cell r="AL143">
            <v>0</v>
          </cell>
          <cell r="AN143">
            <v>0</v>
          </cell>
          <cell r="AO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W143">
            <v>0</v>
          </cell>
          <cell r="AX143">
            <v>0</v>
          </cell>
        </row>
        <row r="144"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3069.822685276913</v>
          </cell>
          <cell r="Z144">
            <v>0</v>
          </cell>
          <cell r="AA144">
            <v>0</v>
          </cell>
          <cell r="AB144">
            <v>0</v>
          </cell>
          <cell r="AC144">
            <v>18205</v>
          </cell>
          <cell r="AD144">
            <v>2957</v>
          </cell>
          <cell r="AE144">
            <v>1124.6346405670176</v>
          </cell>
          <cell r="AF144">
            <v>0</v>
          </cell>
          <cell r="AH144">
            <v>1549.8224363833522</v>
          </cell>
          <cell r="AI144">
            <v>0</v>
          </cell>
          <cell r="AK144">
            <v>2505.1613766477335</v>
          </cell>
          <cell r="AL144">
            <v>0</v>
          </cell>
          <cell r="AN144">
            <v>1409.5264689858579</v>
          </cell>
          <cell r="AO144">
            <v>0</v>
          </cell>
          <cell r="AQ144">
            <v>0</v>
          </cell>
          <cell r="AR144">
            <v>0</v>
          </cell>
          <cell r="AT144">
            <v>724.43508708272213</v>
          </cell>
          <cell r="AU144">
            <v>1263.0374459231459</v>
          </cell>
          <cell r="AW144">
            <v>0</v>
          </cell>
          <cell r="AX144">
            <v>0</v>
          </cell>
        </row>
        <row r="145">
          <cell r="I145">
            <v>0</v>
          </cell>
          <cell r="J145">
            <v>0</v>
          </cell>
          <cell r="L145">
            <v>0</v>
          </cell>
          <cell r="M145">
            <v>1483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1443</v>
          </cell>
          <cell r="AE145">
            <v>1258.1166188767129</v>
          </cell>
          <cell r="AF145">
            <v>809</v>
          </cell>
          <cell r="AH145">
            <v>1871.8716437381809</v>
          </cell>
          <cell r="AI145">
            <v>0</v>
          </cell>
          <cell r="AK145">
            <v>1414.2557007532516</v>
          </cell>
          <cell r="AL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1033.4350242776941</v>
          </cell>
          <cell r="AT145">
            <v>519.14742865626056</v>
          </cell>
          <cell r="AU145">
            <v>795</v>
          </cell>
          <cell r="AW145">
            <v>0</v>
          </cell>
          <cell r="AX145">
            <v>0</v>
          </cell>
        </row>
        <row r="146"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200.21124598823545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1110.2083740881446</v>
          </cell>
          <cell r="AF146">
            <v>0</v>
          </cell>
          <cell r="AH146">
            <v>1656.8612917752732</v>
          </cell>
          <cell r="AI146">
            <v>0</v>
          </cell>
          <cell r="AK146">
            <v>2225.5889058904513</v>
          </cell>
          <cell r="AL146">
            <v>0</v>
          </cell>
          <cell r="AN146">
            <v>1280.8136499215125</v>
          </cell>
          <cell r="AO146">
            <v>0</v>
          </cell>
          <cell r="AQ146">
            <v>0</v>
          </cell>
          <cell r="AR146">
            <v>382</v>
          </cell>
          <cell r="AT146">
            <v>709.27539010590624</v>
          </cell>
          <cell r="AU146">
            <v>0</v>
          </cell>
          <cell r="AW146">
            <v>0</v>
          </cell>
          <cell r="AX146">
            <v>0</v>
          </cell>
        </row>
        <row r="147"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  <cell r="P147">
            <v>0</v>
          </cell>
          <cell r="R147">
            <v>2</v>
          </cell>
          <cell r="S147">
            <v>16931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3418</v>
          </cell>
          <cell r="Z147">
            <v>0</v>
          </cell>
          <cell r="AA147">
            <v>0</v>
          </cell>
          <cell r="AB147">
            <v>0</v>
          </cell>
          <cell r="AC147">
            <v>31302</v>
          </cell>
          <cell r="AD147">
            <v>1946.0616460611909</v>
          </cell>
          <cell r="AE147">
            <v>1967.3756778440993</v>
          </cell>
          <cell r="AF147">
            <v>648</v>
          </cell>
          <cell r="AH147">
            <v>2340.4438870699346</v>
          </cell>
          <cell r="AI147">
            <v>3296</v>
          </cell>
          <cell r="AK147">
            <v>2537.8956901924998</v>
          </cell>
          <cell r="AL147">
            <v>0</v>
          </cell>
          <cell r="AN147">
            <v>1079.8411689040149</v>
          </cell>
          <cell r="AO147">
            <v>0</v>
          </cell>
          <cell r="AQ147">
            <v>634.10414095325257</v>
          </cell>
          <cell r="AR147">
            <v>12.8826444</v>
          </cell>
          <cell r="AT147">
            <v>1320.4697890563455</v>
          </cell>
          <cell r="AU147">
            <v>6458.3300385413404</v>
          </cell>
          <cell r="AW147">
            <v>710.06625734530007</v>
          </cell>
          <cell r="AX147">
            <v>0</v>
          </cell>
        </row>
        <row r="148">
          <cell r="I148">
            <v>9</v>
          </cell>
          <cell r="J148">
            <v>2600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H148">
            <v>0</v>
          </cell>
          <cell r="AI148">
            <v>0</v>
          </cell>
          <cell r="AK148">
            <v>0</v>
          </cell>
          <cell r="AL148">
            <v>0</v>
          </cell>
          <cell r="AN148">
            <v>0</v>
          </cell>
          <cell r="AO148">
            <v>0</v>
          </cell>
          <cell r="AQ148">
            <v>0</v>
          </cell>
          <cell r="AR148">
            <v>0</v>
          </cell>
          <cell r="AT148">
            <v>0</v>
          </cell>
          <cell r="AU148">
            <v>0</v>
          </cell>
          <cell r="AW148">
            <v>0</v>
          </cell>
          <cell r="AX148">
            <v>0</v>
          </cell>
        </row>
        <row r="149">
          <cell r="I149">
            <v>167.57999999999998</v>
          </cell>
          <cell r="J149">
            <v>80979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7</v>
          </cell>
          <cell r="S149">
            <v>65005.673046566357</v>
          </cell>
          <cell r="U149">
            <v>0</v>
          </cell>
          <cell r="V149">
            <v>0</v>
          </cell>
          <cell r="W149">
            <v>5</v>
          </cell>
          <cell r="X149">
            <v>4444</v>
          </cell>
          <cell r="Y149">
            <v>1206.0052220678383</v>
          </cell>
          <cell r="Z149">
            <v>0</v>
          </cell>
          <cell r="AA149">
            <v>0</v>
          </cell>
          <cell r="AB149">
            <v>545</v>
          </cell>
          <cell r="AC149">
            <v>38112.143722618144</v>
          </cell>
          <cell r="AD149">
            <v>3802.5029586979199</v>
          </cell>
          <cell r="AE149">
            <v>980.42757152001911</v>
          </cell>
          <cell r="AF149">
            <v>5394</v>
          </cell>
          <cell r="AH149">
            <v>2020.998970345436</v>
          </cell>
          <cell r="AI149">
            <v>20118</v>
          </cell>
          <cell r="AK149">
            <v>1468.3521030800036</v>
          </cell>
          <cell r="AL149">
            <v>0</v>
          </cell>
          <cell r="AN149">
            <v>618.16010783714466</v>
          </cell>
          <cell r="AO149">
            <v>4333.2999011257489</v>
          </cell>
          <cell r="AQ149">
            <v>701.57432156236484</v>
          </cell>
          <cell r="AR149">
            <v>3291.8347354176581</v>
          </cell>
          <cell r="AT149">
            <v>999.6833985752528</v>
          </cell>
          <cell r="AU149">
            <v>13354.486858486063</v>
          </cell>
          <cell r="AW149">
            <v>1124.9624387438232</v>
          </cell>
          <cell r="AX149">
            <v>1216</v>
          </cell>
        </row>
        <row r="150">
          <cell r="I150">
            <v>23.5</v>
          </cell>
          <cell r="J150">
            <v>11671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1249</v>
          </cell>
          <cell r="AE150">
            <v>1778.4455992733499</v>
          </cell>
          <cell r="AF150">
            <v>0</v>
          </cell>
          <cell r="AH150">
            <v>2588.5724901852714</v>
          </cell>
          <cell r="AI150">
            <v>2890.710092458793</v>
          </cell>
          <cell r="AK150">
            <v>1740.2053212211661</v>
          </cell>
          <cell r="AL150">
            <v>1688</v>
          </cell>
          <cell r="AN150">
            <v>865.27994836956793</v>
          </cell>
          <cell r="AO150">
            <v>0</v>
          </cell>
          <cell r="AQ150">
            <v>719.6828414324732</v>
          </cell>
          <cell r="AR150">
            <v>15.456925</v>
          </cell>
          <cell r="AT150">
            <v>995.48717196728137</v>
          </cell>
          <cell r="AU150">
            <v>13715.007484014468</v>
          </cell>
          <cell r="AW150">
            <v>1396.4533431190202</v>
          </cell>
          <cell r="AX150">
            <v>3063</v>
          </cell>
        </row>
        <row r="151">
          <cell r="I151">
            <v>39.200000000000003</v>
          </cell>
          <cell r="J151">
            <v>13833</v>
          </cell>
          <cell r="L151">
            <v>0</v>
          </cell>
          <cell r="M151">
            <v>0</v>
          </cell>
          <cell r="O151">
            <v>0</v>
          </cell>
          <cell r="P151">
            <v>0</v>
          </cell>
          <cell r="R151">
            <v>4</v>
          </cell>
          <cell r="S151">
            <v>60321</v>
          </cell>
          <cell r="U151">
            <v>9906.1218846242973</v>
          </cell>
          <cell r="V151">
            <v>0</v>
          </cell>
          <cell r="W151">
            <v>1</v>
          </cell>
          <cell r="X151">
            <v>541</v>
          </cell>
          <cell r="Y151">
            <v>0</v>
          </cell>
          <cell r="Z151">
            <v>0</v>
          </cell>
          <cell r="AA151">
            <v>0</v>
          </cell>
          <cell r="AB151">
            <v>2352</v>
          </cell>
          <cell r="AC151">
            <v>6757</v>
          </cell>
          <cell r="AD151">
            <v>2053.6368064942744</v>
          </cell>
          <cell r="AE151">
            <v>827.9733583788003</v>
          </cell>
          <cell r="AF151">
            <v>1206</v>
          </cell>
          <cell r="AH151">
            <v>1325.1039907172446</v>
          </cell>
          <cell r="AI151">
            <v>14293</v>
          </cell>
          <cell r="AK151">
            <v>1064.92192263991</v>
          </cell>
          <cell r="AL151">
            <v>0</v>
          </cell>
          <cell r="AN151">
            <v>522.94427701185418</v>
          </cell>
          <cell r="AO151">
            <v>0</v>
          </cell>
          <cell r="AQ151">
            <v>368.75010735482255</v>
          </cell>
          <cell r="AR151">
            <v>19.323966600000002</v>
          </cell>
          <cell r="AT151">
            <v>772.739818838617</v>
          </cell>
          <cell r="AU151">
            <v>8135.7766012940447</v>
          </cell>
          <cell r="AW151">
            <v>390.89290744138992</v>
          </cell>
          <cell r="AX151">
            <v>0</v>
          </cell>
        </row>
        <row r="152"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258.06799046064225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783</v>
          </cell>
          <cell r="AD152">
            <v>609.5014575362801</v>
          </cell>
          <cell r="AE152">
            <v>827.9733583788003</v>
          </cell>
          <cell r="AF152">
            <v>351</v>
          </cell>
          <cell r="AH152">
            <v>1325.1039907172446</v>
          </cell>
          <cell r="AI152">
            <v>1974</v>
          </cell>
          <cell r="AK152">
            <v>1903.4152532119217</v>
          </cell>
          <cell r="AL152">
            <v>0</v>
          </cell>
          <cell r="AN152">
            <v>659.51097617257381</v>
          </cell>
          <cell r="AO152">
            <v>0</v>
          </cell>
          <cell r="AQ152">
            <v>368.75010735482255</v>
          </cell>
          <cell r="AR152">
            <v>19.323966600000002</v>
          </cell>
          <cell r="AT152">
            <v>803.28287652192228</v>
          </cell>
          <cell r="AU152">
            <v>492</v>
          </cell>
          <cell r="AW152">
            <v>378.89127046282334</v>
          </cell>
          <cell r="AX152">
            <v>0</v>
          </cell>
        </row>
        <row r="153">
          <cell r="I153">
            <v>24.7</v>
          </cell>
          <cell r="J153">
            <v>12967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1</v>
          </cell>
          <cell r="S153">
            <v>62309</v>
          </cell>
          <cell r="U153">
            <v>51368.872368517652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2355.8393334149077</v>
          </cell>
          <cell r="AD153">
            <v>6107.9678017293536</v>
          </cell>
          <cell r="AE153">
            <v>1240.6791587241366</v>
          </cell>
          <cell r="AF153">
            <v>371</v>
          </cell>
          <cell r="AH153">
            <v>1498.3557380609511</v>
          </cell>
          <cell r="AI153">
            <v>0</v>
          </cell>
          <cell r="AK153">
            <v>1569.9120280542759</v>
          </cell>
          <cell r="AL153">
            <v>0</v>
          </cell>
          <cell r="AN153">
            <v>817.10735496454515</v>
          </cell>
          <cell r="AO153">
            <v>0</v>
          </cell>
          <cell r="AQ153">
            <v>395.76741189229665</v>
          </cell>
          <cell r="AR153">
            <v>3860</v>
          </cell>
          <cell r="AT153">
            <v>763.74009071507896</v>
          </cell>
          <cell r="AU153">
            <v>6771</v>
          </cell>
          <cell r="AW153">
            <v>382.89181612234574</v>
          </cell>
          <cell r="AX153">
            <v>0</v>
          </cell>
        </row>
        <row r="154"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R154">
            <v>3</v>
          </cell>
          <cell r="S154">
            <v>56497.231087556698</v>
          </cell>
          <cell r="U154">
            <v>312.88391847490385</v>
          </cell>
          <cell r="V154">
            <v>0</v>
          </cell>
          <cell r="W154">
            <v>0</v>
          </cell>
          <cell r="X154">
            <v>0</v>
          </cell>
          <cell r="Y154">
            <v>542.4639640286714</v>
          </cell>
          <cell r="Z154">
            <v>0</v>
          </cell>
          <cell r="AA154">
            <v>3811.1745766482672</v>
          </cell>
          <cell r="AB154">
            <v>9508.3677414892682</v>
          </cell>
          <cell r="AC154">
            <v>12841.657986691373</v>
          </cell>
          <cell r="AD154">
            <v>5236.1811134821091</v>
          </cell>
          <cell r="AE154">
            <v>1522.7735606482195</v>
          </cell>
          <cell r="AF154">
            <v>358</v>
          </cell>
          <cell r="AH154">
            <v>1799.1550947066944</v>
          </cell>
          <cell r="AI154">
            <v>3757.3840385024223</v>
          </cell>
          <cell r="AK154">
            <v>1885.1996056536163</v>
          </cell>
          <cell r="AL154">
            <v>4901</v>
          </cell>
          <cell r="AN154">
            <v>894.59363597296931</v>
          </cell>
          <cell r="AO154">
            <v>0</v>
          </cell>
          <cell r="AQ154">
            <v>422.7844713578213</v>
          </cell>
          <cell r="AR154">
            <v>20.605486199999998</v>
          </cell>
          <cell r="AT154">
            <v>834.81469293796044</v>
          </cell>
          <cell r="AU154">
            <v>12545.465083656109</v>
          </cell>
          <cell r="AW154">
            <v>485.26514130904343</v>
          </cell>
          <cell r="AX154">
            <v>0</v>
          </cell>
        </row>
        <row r="155">
          <cell r="I155">
            <v>16.7</v>
          </cell>
          <cell r="J155">
            <v>11263.561941764372</v>
          </cell>
          <cell r="L155">
            <v>0</v>
          </cell>
          <cell r="M155">
            <v>0</v>
          </cell>
          <cell r="O155">
            <v>101</v>
          </cell>
          <cell r="P155">
            <v>34332</v>
          </cell>
          <cell r="R155">
            <v>2</v>
          </cell>
          <cell r="S155">
            <v>4406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8834</v>
          </cell>
          <cell r="Z155">
            <v>0</v>
          </cell>
          <cell r="AA155">
            <v>0</v>
          </cell>
          <cell r="AB155">
            <v>3663</v>
          </cell>
          <cell r="AC155">
            <v>5499</v>
          </cell>
          <cell r="AD155">
            <v>12475.811988305522</v>
          </cell>
          <cell r="AE155">
            <v>566.60269825880027</v>
          </cell>
          <cell r="AF155">
            <v>30351</v>
          </cell>
          <cell r="AH155">
            <v>988.17390963875403</v>
          </cell>
          <cell r="AI155">
            <v>6220</v>
          </cell>
          <cell r="AK155">
            <v>513.13541491922399</v>
          </cell>
          <cell r="AL155">
            <v>342</v>
          </cell>
          <cell r="AN155">
            <v>463.01394901605153</v>
          </cell>
          <cell r="AO155">
            <v>0</v>
          </cell>
          <cell r="AQ155">
            <v>685.39301428766191</v>
          </cell>
          <cell r="AR155">
            <v>20.605486199999998</v>
          </cell>
          <cell r="AT155">
            <v>706.91428536070816</v>
          </cell>
          <cell r="AU155">
            <v>1063</v>
          </cell>
          <cell r="AW155">
            <v>1118.5937498727455</v>
          </cell>
          <cell r="AX155">
            <v>0</v>
          </cell>
        </row>
        <row r="156">
          <cell r="I156">
            <v>16</v>
          </cell>
          <cell r="J156">
            <v>8584.2906490312089</v>
          </cell>
          <cell r="L156">
            <v>0</v>
          </cell>
          <cell r="M156">
            <v>0</v>
          </cell>
          <cell r="O156">
            <v>119.3</v>
          </cell>
          <cell r="P156">
            <v>33570</v>
          </cell>
          <cell r="R156">
            <v>2</v>
          </cell>
          <cell r="S156">
            <v>28020</v>
          </cell>
          <cell r="U156">
            <v>31163.675381971807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183</v>
          </cell>
          <cell r="AC156">
            <v>0</v>
          </cell>
          <cell r="AD156">
            <v>10270.899142023012</v>
          </cell>
          <cell r="AE156">
            <v>1313.0199237000613</v>
          </cell>
          <cell r="AF156">
            <v>6592.9981729397841</v>
          </cell>
          <cell r="AH156">
            <v>1762.2590807213044</v>
          </cell>
          <cell r="AI156">
            <v>10101.331218634958</v>
          </cell>
          <cell r="AK156">
            <v>2188.1542531115529</v>
          </cell>
          <cell r="AL156">
            <v>0</v>
          </cell>
          <cell r="AN156">
            <v>1201.8649330612939</v>
          </cell>
          <cell r="AO156">
            <v>0</v>
          </cell>
          <cell r="AQ156">
            <v>1403.1194206337796</v>
          </cell>
          <cell r="AR156">
            <v>0</v>
          </cell>
          <cell r="AT156">
            <v>1672.3335980942118</v>
          </cell>
          <cell r="AU156">
            <v>5452.3253207831131</v>
          </cell>
          <cell r="AW156">
            <v>762.07335091908692</v>
          </cell>
          <cell r="AX156">
            <v>12972</v>
          </cell>
        </row>
        <row r="157"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H157">
            <v>0</v>
          </cell>
          <cell r="AI157">
            <v>0</v>
          </cell>
          <cell r="AK157">
            <v>0</v>
          </cell>
          <cell r="AL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T157">
            <v>0</v>
          </cell>
          <cell r="AU157">
            <v>0</v>
          </cell>
          <cell r="AW157">
            <v>0</v>
          </cell>
          <cell r="AX157">
            <v>0</v>
          </cell>
        </row>
        <row r="158"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H158">
            <v>0</v>
          </cell>
          <cell r="AI158">
            <v>0</v>
          </cell>
          <cell r="AK158">
            <v>0</v>
          </cell>
          <cell r="AL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T158">
            <v>0</v>
          </cell>
          <cell r="AU158">
            <v>0</v>
          </cell>
          <cell r="AW158">
            <v>0</v>
          </cell>
          <cell r="AX158">
            <v>0</v>
          </cell>
        </row>
        <row r="159">
          <cell r="I159">
            <v>95</v>
          </cell>
          <cell r="J159">
            <v>31813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R159">
            <v>2</v>
          </cell>
          <cell r="S159">
            <v>11770</v>
          </cell>
          <cell r="U159">
            <v>8830.237688871679</v>
          </cell>
          <cell r="V159">
            <v>0</v>
          </cell>
          <cell r="W159">
            <v>0</v>
          </cell>
          <cell r="X159">
            <v>813</v>
          </cell>
          <cell r="Y159">
            <v>9146</v>
          </cell>
          <cell r="Z159">
            <v>0</v>
          </cell>
          <cell r="AA159">
            <v>0</v>
          </cell>
          <cell r="AB159">
            <v>0</v>
          </cell>
          <cell r="AC159">
            <v>1296</v>
          </cell>
          <cell r="AD159">
            <v>8824.5838698139396</v>
          </cell>
          <cell r="AE159">
            <v>1713.6354169913027</v>
          </cell>
          <cell r="AF159">
            <v>16929.732779587001</v>
          </cell>
          <cell r="AH159">
            <v>2341.9396050431133</v>
          </cell>
          <cell r="AI159">
            <v>15934.595092467254</v>
          </cell>
          <cell r="AK159">
            <v>2746.7723477039435</v>
          </cell>
          <cell r="AL159">
            <v>0</v>
          </cell>
          <cell r="AN159">
            <v>1143.8677440355241</v>
          </cell>
          <cell r="AO159">
            <v>0</v>
          </cell>
          <cell r="AQ159">
            <v>1753.9358039059116</v>
          </cell>
          <cell r="AR159">
            <v>0</v>
          </cell>
          <cell r="AT159">
            <v>1388.5686105247341</v>
          </cell>
          <cell r="AU159">
            <v>10233.183642880589</v>
          </cell>
          <cell r="AW159">
            <v>858.12972459995842</v>
          </cell>
          <cell r="AX159">
            <v>0</v>
          </cell>
        </row>
        <row r="160"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8</v>
          </cell>
          <cell r="S160">
            <v>4649.3175536183189</v>
          </cell>
          <cell r="U160">
            <v>0</v>
          </cell>
          <cell r="V160">
            <v>0</v>
          </cell>
          <cell r="W160">
            <v>4</v>
          </cell>
          <cell r="X160">
            <v>281.51320287426466</v>
          </cell>
          <cell r="Y160">
            <v>943</v>
          </cell>
          <cell r="Z160">
            <v>0</v>
          </cell>
          <cell r="AA160">
            <v>0</v>
          </cell>
          <cell r="AB160">
            <v>569</v>
          </cell>
          <cell r="AC160">
            <v>1082</v>
          </cell>
          <cell r="AD160">
            <v>2374.8307750177564</v>
          </cell>
          <cell r="AE160">
            <v>518.65821468004685</v>
          </cell>
          <cell r="AF160">
            <v>659</v>
          </cell>
          <cell r="AH160">
            <v>720.85312188444175</v>
          </cell>
          <cell r="AI160">
            <v>2777</v>
          </cell>
          <cell r="AK160">
            <v>468.109806074544</v>
          </cell>
          <cell r="AL160">
            <v>0</v>
          </cell>
          <cell r="AN160">
            <v>384.09316315831461</v>
          </cell>
          <cell r="AO160">
            <v>0</v>
          </cell>
          <cell r="AQ160">
            <v>331.91870979101282</v>
          </cell>
          <cell r="AR160">
            <v>0</v>
          </cell>
          <cell r="AT160">
            <v>471.8681401886758</v>
          </cell>
          <cell r="AU160">
            <v>552</v>
          </cell>
          <cell r="AW160">
            <v>1106.6179815768044</v>
          </cell>
          <cell r="AX160">
            <v>0</v>
          </cell>
        </row>
        <row r="161"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H161">
            <v>0</v>
          </cell>
          <cell r="AI161">
            <v>0</v>
          </cell>
          <cell r="AK161">
            <v>0</v>
          </cell>
          <cell r="AL161">
            <v>0</v>
          </cell>
          <cell r="AN161">
            <v>0</v>
          </cell>
          <cell r="AO161">
            <v>0</v>
          </cell>
          <cell r="AQ161">
            <v>0</v>
          </cell>
          <cell r="AR161">
            <v>0</v>
          </cell>
          <cell r="AT161">
            <v>0</v>
          </cell>
          <cell r="AU161">
            <v>0</v>
          </cell>
          <cell r="AW161">
            <v>0</v>
          </cell>
          <cell r="AX161">
            <v>0</v>
          </cell>
        </row>
        <row r="162"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H162">
            <v>0</v>
          </cell>
          <cell r="AI162">
            <v>0</v>
          </cell>
          <cell r="AK162">
            <v>0</v>
          </cell>
          <cell r="AL162">
            <v>0</v>
          </cell>
          <cell r="AN162">
            <v>0</v>
          </cell>
          <cell r="AO162">
            <v>0</v>
          </cell>
          <cell r="AQ162">
            <v>0</v>
          </cell>
          <cell r="AR162">
            <v>0</v>
          </cell>
          <cell r="AT162">
            <v>0</v>
          </cell>
          <cell r="AU162">
            <v>0</v>
          </cell>
          <cell r="AW162">
            <v>0</v>
          </cell>
          <cell r="AX162">
            <v>0</v>
          </cell>
        </row>
        <row r="163">
          <cell r="I163">
            <v>62.8</v>
          </cell>
          <cell r="J163">
            <v>23802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1</v>
          </cell>
          <cell r="S163">
            <v>5543.3143099058398</v>
          </cell>
          <cell r="U163">
            <v>13479.914949861221</v>
          </cell>
          <cell r="V163">
            <v>0</v>
          </cell>
          <cell r="W163">
            <v>20</v>
          </cell>
          <cell r="X163">
            <v>18770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2541</v>
          </cell>
          <cell r="AD163">
            <v>9616.8654584196338</v>
          </cell>
          <cell r="AE163">
            <v>1018.8785603844714</v>
          </cell>
          <cell r="AF163">
            <v>1603.1672804069544</v>
          </cell>
          <cell r="AH163">
            <v>1270.1803176525073</v>
          </cell>
          <cell r="AI163">
            <v>4410</v>
          </cell>
          <cell r="AK163">
            <v>2107.4458868333245</v>
          </cell>
          <cell r="AL163">
            <v>0</v>
          </cell>
          <cell r="AN163">
            <v>796.55683979232253</v>
          </cell>
          <cell r="AO163">
            <v>0</v>
          </cell>
          <cell r="AQ163">
            <v>876.9679019529558</v>
          </cell>
          <cell r="AR163">
            <v>0</v>
          </cell>
          <cell r="AT163">
            <v>1392.9619780179046</v>
          </cell>
          <cell r="AU163">
            <v>12638.847426599454</v>
          </cell>
          <cell r="AW163">
            <v>1106.6179815768044</v>
          </cell>
          <cell r="AX163">
            <v>0</v>
          </cell>
        </row>
        <row r="164">
          <cell r="I164">
            <v>1.4</v>
          </cell>
          <cell r="J164">
            <v>769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H164">
            <v>0</v>
          </cell>
          <cell r="AI164">
            <v>0</v>
          </cell>
          <cell r="AK164">
            <v>0</v>
          </cell>
          <cell r="AL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</row>
        <row r="165"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H165">
            <v>0</v>
          </cell>
          <cell r="AI165">
            <v>0</v>
          </cell>
          <cell r="AK165">
            <v>0</v>
          </cell>
          <cell r="AL165">
            <v>0</v>
          </cell>
          <cell r="AN165">
            <v>0</v>
          </cell>
          <cell r="AO165">
            <v>0</v>
          </cell>
          <cell r="AQ165">
            <v>0</v>
          </cell>
          <cell r="AR165">
            <v>0</v>
          </cell>
          <cell r="AT165">
            <v>0</v>
          </cell>
          <cell r="AU165">
            <v>0</v>
          </cell>
          <cell r="AW165">
            <v>0</v>
          </cell>
          <cell r="AX165">
            <v>0</v>
          </cell>
        </row>
        <row r="166">
          <cell r="I166">
            <v>0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H166">
            <v>0</v>
          </cell>
          <cell r="AI166">
            <v>0</v>
          </cell>
          <cell r="AK166">
            <v>0</v>
          </cell>
          <cell r="AL166">
            <v>0</v>
          </cell>
          <cell r="AN166">
            <v>0</v>
          </cell>
          <cell r="AO166">
            <v>0</v>
          </cell>
          <cell r="AQ166">
            <v>0</v>
          </cell>
          <cell r="AR166">
            <v>0</v>
          </cell>
          <cell r="AT166">
            <v>0</v>
          </cell>
          <cell r="AU166">
            <v>0</v>
          </cell>
          <cell r="AW166">
            <v>0</v>
          </cell>
          <cell r="AX166">
            <v>0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H167">
            <v>0</v>
          </cell>
          <cell r="AI167">
            <v>0</v>
          </cell>
          <cell r="AK167">
            <v>0</v>
          </cell>
          <cell r="AL167">
            <v>0</v>
          </cell>
          <cell r="AN167">
            <v>0</v>
          </cell>
          <cell r="AO167">
            <v>0</v>
          </cell>
          <cell r="AQ167">
            <v>0</v>
          </cell>
          <cell r="AR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</row>
        <row r="168"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1.4844325232435193E-2</v>
          </cell>
          <cell r="AF168">
            <v>0</v>
          </cell>
          <cell r="AH168">
            <v>0</v>
          </cell>
          <cell r="AI168">
            <v>0</v>
          </cell>
          <cell r="AK168">
            <v>0</v>
          </cell>
          <cell r="AL168">
            <v>0</v>
          </cell>
          <cell r="AN168">
            <v>0</v>
          </cell>
          <cell r="AO168">
            <v>0</v>
          </cell>
          <cell r="AQ168">
            <v>0</v>
          </cell>
          <cell r="AR168">
            <v>0</v>
          </cell>
          <cell r="AT168">
            <v>0</v>
          </cell>
          <cell r="AU168">
            <v>0</v>
          </cell>
          <cell r="AW168">
            <v>0</v>
          </cell>
          <cell r="AX168">
            <v>0</v>
          </cell>
        </row>
        <row r="169"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</row>
        <row r="170"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H170">
            <v>0</v>
          </cell>
          <cell r="AI170">
            <v>0</v>
          </cell>
          <cell r="AK170">
            <v>0</v>
          </cell>
          <cell r="AL170">
            <v>0</v>
          </cell>
          <cell r="AN170">
            <v>0</v>
          </cell>
          <cell r="AO170">
            <v>0</v>
          </cell>
          <cell r="AQ170">
            <v>0</v>
          </cell>
          <cell r="AR170">
            <v>0</v>
          </cell>
          <cell r="AT170">
            <v>0</v>
          </cell>
          <cell r="AU170">
            <v>0</v>
          </cell>
          <cell r="AW170">
            <v>0</v>
          </cell>
          <cell r="AX170">
            <v>0</v>
          </cell>
        </row>
        <row r="171"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H171">
            <v>0</v>
          </cell>
          <cell r="AI171">
            <v>0</v>
          </cell>
          <cell r="AK171">
            <v>0</v>
          </cell>
          <cell r="AL171">
            <v>0</v>
          </cell>
          <cell r="AN171">
            <v>0</v>
          </cell>
          <cell r="AO171">
            <v>0</v>
          </cell>
          <cell r="AQ171">
            <v>0</v>
          </cell>
          <cell r="AR171">
            <v>0</v>
          </cell>
          <cell r="AT171">
            <v>0</v>
          </cell>
          <cell r="AU171">
            <v>0</v>
          </cell>
          <cell r="AW171">
            <v>0</v>
          </cell>
          <cell r="AX171">
            <v>0</v>
          </cell>
        </row>
        <row r="172"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H172">
            <v>0</v>
          </cell>
          <cell r="AI172">
            <v>0</v>
          </cell>
          <cell r="AK172">
            <v>0</v>
          </cell>
          <cell r="AL172">
            <v>0</v>
          </cell>
          <cell r="AN172">
            <v>0</v>
          </cell>
          <cell r="AO172">
            <v>0</v>
          </cell>
          <cell r="AQ172">
            <v>0</v>
          </cell>
          <cell r="AR172">
            <v>0</v>
          </cell>
          <cell r="AT172">
            <v>0</v>
          </cell>
          <cell r="AU172">
            <v>0</v>
          </cell>
          <cell r="AW172">
            <v>0</v>
          </cell>
          <cell r="AX172">
            <v>0</v>
          </cell>
        </row>
        <row r="173"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H173">
            <v>0</v>
          </cell>
          <cell r="AI173">
            <v>0</v>
          </cell>
          <cell r="AK173">
            <v>0</v>
          </cell>
          <cell r="AL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T173">
            <v>0</v>
          </cell>
          <cell r="AU173">
            <v>0</v>
          </cell>
          <cell r="AW173">
            <v>0</v>
          </cell>
          <cell r="AX173">
            <v>0</v>
          </cell>
        </row>
        <row r="174">
          <cell r="I174">
            <v>6</v>
          </cell>
          <cell r="J174">
            <v>1408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31935</v>
          </cell>
          <cell r="Z174">
            <v>0</v>
          </cell>
          <cell r="AA174">
            <v>0</v>
          </cell>
          <cell r="AB174">
            <v>0</v>
          </cell>
          <cell r="AC174">
            <v>4184</v>
          </cell>
          <cell r="AD174">
            <v>1443</v>
          </cell>
          <cell r="AE174">
            <v>2728.3265049784609</v>
          </cell>
          <cell r="AF174">
            <v>2174</v>
          </cell>
          <cell r="AH174">
            <v>4450.1310750788462</v>
          </cell>
          <cell r="AI174">
            <v>923</v>
          </cell>
          <cell r="AK174">
            <v>3665.0130763925531</v>
          </cell>
          <cell r="AL174">
            <v>0</v>
          </cell>
          <cell r="AN174">
            <v>0</v>
          </cell>
          <cell r="AO174">
            <v>0</v>
          </cell>
          <cell r="AQ174">
            <v>0</v>
          </cell>
          <cell r="AR174">
            <v>0</v>
          </cell>
          <cell r="AT174">
            <v>1918.0614651354692</v>
          </cell>
          <cell r="AU174">
            <v>976</v>
          </cell>
          <cell r="AW174">
            <v>0</v>
          </cell>
          <cell r="AX174">
            <v>0</v>
          </cell>
        </row>
        <row r="175">
          <cell r="I175">
            <v>17.600000000000001</v>
          </cell>
          <cell r="J175">
            <v>3980</v>
          </cell>
          <cell r="L175">
            <v>0</v>
          </cell>
          <cell r="M175">
            <v>12021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430</v>
          </cell>
          <cell r="Z175">
            <v>0</v>
          </cell>
          <cell r="AA175">
            <v>0</v>
          </cell>
          <cell r="AB175">
            <v>0</v>
          </cell>
          <cell r="AC175">
            <v>39197</v>
          </cell>
          <cell r="AD175">
            <v>809</v>
          </cell>
          <cell r="AE175">
            <v>1144.7436804979795</v>
          </cell>
          <cell r="AF175">
            <v>0</v>
          </cell>
          <cell r="AH175">
            <v>1744.4969349909506</v>
          </cell>
          <cell r="AI175">
            <v>1858</v>
          </cell>
          <cell r="AK175">
            <v>1224.9330211872611</v>
          </cell>
          <cell r="AL175">
            <v>767</v>
          </cell>
          <cell r="AN175">
            <v>696.27999111277632</v>
          </cell>
          <cell r="AO175">
            <v>0</v>
          </cell>
          <cell r="AQ175">
            <v>0</v>
          </cell>
          <cell r="AR175">
            <v>0</v>
          </cell>
          <cell r="AT175">
            <v>1116.5477701656484</v>
          </cell>
          <cell r="AU175">
            <v>0</v>
          </cell>
          <cell r="AW175">
            <v>0</v>
          </cell>
          <cell r="AX175">
            <v>0</v>
          </cell>
        </row>
        <row r="176">
          <cell r="I176">
            <v>4.5</v>
          </cell>
          <cell r="J176">
            <v>1654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566</v>
          </cell>
          <cell r="AB176">
            <v>0</v>
          </cell>
          <cell r="AC176">
            <v>668</v>
          </cell>
          <cell r="AD176">
            <v>0</v>
          </cell>
          <cell r="AE176">
            <v>307.32114445056487</v>
          </cell>
          <cell r="AF176">
            <v>0</v>
          </cell>
          <cell r="AH176">
            <v>371.81057725317874</v>
          </cell>
          <cell r="AI176">
            <v>0</v>
          </cell>
          <cell r="AK176">
            <v>212.59211250360707</v>
          </cell>
          <cell r="AL176">
            <v>0</v>
          </cell>
          <cell r="AN176">
            <v>0</v>
          </cell>
          <cell r="AO176">
            <v>0</v>
          </cell>
          <cell r="AQ176">
            <v>0</v>
          </cell>
          <cell r="AR176">
            <v>0</v>
          </cell>
          <cell r="AT176">
            <v>230.53118778196279</v>
          </cell>
          <cell r="AU176">
            <v>0</v>
          </cell>
          <cell r="AW176">
            <v>108.71887928658184</v>
          </cell>
          <cell r="AX176">
            <v>0</v>
          </cell>
        </row>
        <row r="177"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H177">
            <v>0</v>
          </cell>
          <cell r="AI177">
            <v>0</v>
          </cell>
          <cell r="AK177">
            <v>0</v>
          </cell>
          <cell r="AL177">
            <v>0</v>
          </cell>
          <cell r="AN177">
            <v>0</v>
          </cell>
          <cell r="AO177">
            <v>0</v>
          </cell>
          <cell r="AQ177">
            <v>0</v>
          </cell>
          <cell r="AR177">
            <v>0</v>
          </cell>
          <cell r="AT177">
            <v>0</v>
          </cell>
          <cell r="AU177">
            <v>0</v>
          </cell>
          <cell r="AW177">
            <v>0</v>
          </cell>
          <cell r="AX177">
            <v>0</v>
          </cell>
        </row>
        <row r="178"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</row>
        <row r="179"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H179">
            <v>0</v>
          </cell>
          <cell r="AI179">
            <v>0</v>
          </cell>
          <cell r="AK179">
            <v>0</v>
          </cell>
          <cell r="AL179">
            <v>0</v>
          </cell>
          <cell r="AN179">
            <v>0</v>
          </cell>
          <cell r="AO179">
            <v>0</v>
          </cell>
          <cell r="AQ179">
            <v>0</v>
          </cell>
          <cell r="AR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</row>
        <row r="180"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H180">
            <v>0</v>
          </cell>
          <cell r="AI180">
            <v>0</v>
          </cell>
          <cell r="AK180">
            <v>0</v>
          </cell>
          <cell r="AL180">
            <v>0</v>
          </cell>
          <cell r="AN180">
            <v>0</v>
          </cell>
          <cell r="AO180">
            <v>0</v>
          </cell>
          <cell r="AQ180">
            <v>0</v>
          </cell>
          <cell r="AR180">
            <v>0</v>
          </cell>
          <cell r="AT180">
            <v>0</v>
          </cell>
          <cell r="AU180">
            <v>0</v>
          </cell>
          <cell r="AW180">
            <v>0</v>
          </cell>
          <cell r="AX180">
            <v>0</v>
          </cell>
        </row>
        <row r="181">
          <cell r="I181">
            <v>2</v>
          </cell>
          <cell r="J181">
            <v>730</v>
          </cell>
          <cell r="L181">
            <v>0</v>
          </cell>
          <cell r="M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276.41195827442459</v>
          </cell>
          <cell r="AF181">
            <v>0</v>
          </cell>
          <cell r="AH181">
            <v>293.55584184695147</v>
          </cell>
          <cell r="AI181">
            <v>0</v>
          </cell>
          <cell r="AK181">
            <v>133.88218512556958</v>
          </cell>
          <cell r="AL181">
            <v>0</v>
          </cell>
          <cell r="AN181">
            <v>171.95374160253516</v>
          </cell>
          <cell r="AO181">
            <v>0</v>
          </cell>
          <cell r="AQ181">
            <v>0</v>
          </cell>
          <cell r="AR181">
            <v>0</v>
          </cell>
          <cell r="AT181">
            <v>78.348245973730187</v>
          </cell>
          <cell r="AU181">
            <v>0</v>
          </cell>
          <cell r="AW181">
            <v>0</v>
          </cell>
          <cell r="AX181">
            <v>0</v>
          </cell>
        </row>
        <row r="182"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894.76128079419755</v>
          </cell>
          <cell r="Y182">
            <v>1343.6706979051455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1443</v>
          </cell>
          <cell r="AE182">
            <v>2580.5496832475001</v>
          </cell>
          <cell r="AF182">
            <v>215</v>
          </cell>
          <cell r="AH182">
            <v>4229.1776649693138</v>
          </cell>
          <cell r="AI182">
            <v>0</v>
          </cell>
          <cell r="AK182">
            <v>3657.461409625545</v>
          </cell>
          <cell r="AL182">
            <v>0</v>
          </cell>
          <cell r="AN182">
            <v>0</v>
          </cell>
          <cell r="AO182">
            <v>0</v>
          </cell>
          <cell r="AQ182">
            <v>1313.1883369600607</v>
          </cell>
          <cell r="AR182">
            <v>0</v>
          </cell>
          <cell r="AT182">
            <v>1720.8506683149737</v>
          </cell>
          <cell r="AU182">
            <v>2207</v>
          </cell>
          <cell r="AW182">
            <v>0</v>
          </cell>
          <cell r="AX182">
            <v>0</v>
          </cell>
        </row>
        <row r="183">
          <cell r="I183">
            <v>58.5</v>
          </cell>
          <cell r="J183">
            <v>132099</v>
          </cell>
          <cell r="L183">
            <v>0</v>
          </cell>
          <cell r="M183">
            <v>0</v>
          </cell>
          <cell r="O183">
            <v>29</v>
          </cell>
          <cell r="P183">
            <v>9943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W183">
            <v>17</v>
          </cell>
          <cell r="X183">
            <v>1217.5721975044833</v>
          </cell>
          <cell r="Y183">
            <v>15962</v>
          </cell>
          <cell r="Z183">
            <v>0</v>
          </cell>
          <cell r="AA183">
            <v>0</v>
          </cell>
          <cell r="AB183">
            <v>5535</v>
          </cell>
          <cell r="AC183">
            <v>6150</v>
          </cell>
          <cell r="AD183">
            <v>546</v>
          </cell>
          <cell r="AE183">
            <v>1942.6684336048622</v>
          </cell>
          <cell r="AF183">
            <v>0</v>
          </cell>
          <cell r="AH183">
            <v>2729.3950916029771</v>
          </cell>
          <cell r="AI183">
            <v>0</v>
          </cell>
          <cell r="AK183">
            <v>3285.0079130438467</v>
          </cell>
          <cell r="AL183">
            <v>1906</v>
          </cell>
          <cell r="AN183">
            <v>1117.4018823354661</v>
          </cell>
          <cell r="AO183">
            <v>0</v>
          </cell>
          <cell r="AQ183">
            <v>593.65087276649558</v>
          </cell>
          <cell r="AR183">
            <v>2325</v>
          </cell>
          <cell r="AT183">
            <v>1409.5133746895701</v>
          </cell>
          <cell r="AU183">
            <v>2173</v>
          </cell>
          <cell r="AW183">
            <v>0</v>
          </cell>
          <cell r="AX183">
            <v>0</v>
          </cell>
        </row>
        <row r="184">
          <cell r="I184">
            <v>322</v>
          </cell>
          <cell r="J184">
            <v>88307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W184">
            <v>6</v>
          </cell>
          <cell r="X184">
            <v>440.57288073581003</v>
          </cell>
          <cell r="Y184">
            <v>16242</v>
          </cell>
          <cell r="Z184">
            <v>0</v>
          </cell>
          <cell r="AA184">
            <v>0</v>
          </cell>
          <cell r="AB184">
            <v>4739</v>
          </cell>
          <cell r="AC184">
            <v>54242</v>
          </cell>
          <cell r="AD184">
            <v>1783</v>
          </cell>
          <cell r="AE184">
            <v>1786.6581775625391</v>
          </cell>
          <cell r="AF184">
            <v>1356</v>
          </cell>
          <cell r="AH184">
            <v>3440.1651412626084</v>
          </cell>
          <cell r="AI184">
            <v>0</v>
          </cell>
          <cell r="AK184">
            <v>1482.2087925686594</v>
          </cell>
          <cell r="AL184">
            <v>0</v>
          </cell>
          <cell r="AN184">
            <v>1015.4632336225515</v>
          </cell>
          <cell r="AO184">
            <v>1654.7042563260297</v>
          </cell>
          <cell r="AQ184">
            <v>719.6828414324732</v>
          </cell>
          <cell r="AR184">
            <v>0</v>
          </cell>
          <cell r="AT184">
            <v>1078.9051097586912</v>
          </cell>
          <cell r="AU184">
            <v>0</v>
          </cell>
          <cell r="AW184">
            <v>0</v>
          </cell>
          <cell r="AX184">
            <v>0</v>
          </cell>
        </row>
        <row r="185">
          <cell r="I185">
            <v>3.5</v>
          </cell>
          <cell r="J185">
            <v>231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1</v>
          </cell>
          <cell r="S185">
            <v>1236</v>
          </cell>
          <cell r="U185">
            <v>18366</v>
          </cell>
          <cell r="V185">
            <v>0</v>
          </cell>
          <cell r="W185">
            <v>3</v>
          </cell>
          <cell r="X185">
            <v>752.04966947527487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2593.6825180568612</v>
          </cell>
          <cell r="AD185">
            <v>398</v>
          </cell>
          <cell r="AE185">
            <v>1941.5379193614233</v>
          </cell>
          <cell r="AF185">
            <v>311</v>
          </cell>
          <cell r="AH185">
            <v>2727.9968650502356</v>
          </cell>
          <cell r="AI185">
            <v>2279</v>
          </cell>
          <cell r="AK185">
            <v>3185.3594306036866</v>
          </cell>
          <cell r="AL185">
            <v>0</v>
          </cell>
          <cell r="AN185">
            <v>1077.1662485258355</v>
          </cell>
          <cell r="AO185">
            <v>0</v>
          </cell>
          <cell r="AQ185">
            <v>593.65087276649558</v>
          </cell>
          <cell r="AR185">
            <v>0</v>
          </cell>
          <cell r="AT185">
            <v>1378.455443689438</v>
          </cell>
          <cell r="AU185">
            <v>0</v>
          </cell>
          <cell r="AW185">
            <v>0</v>
          </cell>
          <cell r="AX185">
            <v>0</v>
          </cell>
        </row>
        <row r="186">
          <cell r="I186">
            <v>3.5</v>
          </cell>
          <cell r="J186">
            <v>947</v>
          </cell>
          <cell r="L186">
            <v>0</v>
          </cell>
          <cell r="M186">
            <v>0</v>
          </cell>
          <cell r="O186">
            <v>55.5</v>
          </cell>
          <cell r="P186">
            <v>16167</v>
          </cell>
          <cell r="R186">
            <v>2</v>
          </cell>
          <cell r="S186">
            <v>5112.5351129853607</v>
          </cell>
          <cell r="U186">
            <v>0</v>
          </cell>
          <cell r="V186">
            <v>0</v>
          </cell>
          <cell r="W186">
            <v>26</v>
          </cell>
          <cell r="X186">
            <v>3733.624451262911</v>
          </cell>
          <cell r="Y186">
            <v>0</v>
          </cell>
          <cell r="Z186">
            <v>0</v>
          </cell>
          <cell r="AA186">
            <v>0</v>
          </cell>
          <cell r="AB186">
            <v>3290</v>
          </cell>
          <cell r="AC186">
            <v>7650.6260624464867</v>
          </cell>
          <cell r="AD186">
            <v>1342</v>
          </cell>
          <cell r="AE186">
            <v>1555.9009358339169</v>
          </cell>
          <cell r="AF186">
            <v>0</v>
          </cell>
          <cell r="AH186">
            <v>2103.21782314858</v>
          </cell>
          <cell r="AI186">
            <v>2380.7224594662948</v>
          </cell>
          <cell r="AK186">
            <v>2628.0063304350774</v>
          </cell>
          <cell r="AL186">
            <v>6427</v>
          </cell>
          <cell r="AN186">
            <v>893.92150586837317</v>
          </cell>
          <cell r="AO186">
            <v>0</v>
          </cell>
          <cell r="AQ186">
            <v>474.92069821319637</v>
          </cell>
          <cell r="AR186">
            <v>2325</v>
          </cell>
          <cell r="AT186">
            <v>1121.7607321388466</v>
          </cell>
          <cell r="AU186">
            <v>0</v>
          </cell>
          <cell r="AW186">
            <v>0</v>
          </cell>
          <cell r="AX186">
            <v>0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2</v>
          </cell>
          <cell r="S187">
            <v>32040.709391246062</v>
          </cell>
          <cell r="U187">
            <v>0</v>
          </cell>
          <cell r="V187">
            <v>0</v>
          </cell>
          <cell r="W187">
            <v>0</v>
          </cell>
          <cell r="X187">
            <v>329.64889292417809</v>
          </cell>
          <cell r="Y187">
            <v>3210</v>
          </cell>
          <cell r="Z187">
            <v>0</v>
          </cell>
          <cell r="AA187">
            <v>0</v>
          </cell>
          <cell r="AB187">
            <v>0</v>
          </cell>
          <cell r="AC187">
            <v>12243</v>
          </cell>
          <cell r="AD187">
            <v>1764.7276980844927</v>
          </cell>
          <cell r="AE187">
            <v>1038.1512894669315</v>
          </cell>
          <cell r="AF187">
            <v>0</v>
          </cell>
          <cell r="AH187">
            <v>1143.6391981349548</v>
          </cell>
          <cell r="AI187">
            <v>2742.5847351996208</v>
          </cell>
          <cell r="AK187">
            <v>2085.4564293650801</v>
          </cell>
          <cell r="AL187">
            <v>5164.7921815835853</v>
          </cell>
          <cell r="AN187">
            <v>813.43272506184121</v>
          </cell>
          <cell r="AO187">
            <v>0</v>
          </cell>
          <cell r="AQ187">
            <v>395.76741189229665</v>
          </cell>
          <cell r="AR187">
            <v>0</v>
          </cell>
          <cell r="AT187">
            <v>976.96134145785265</v>
          </cell>
          <cell r="AU187">
            <v>0</v>
          </cell>
          <cell r="AW187">
            <v>0</v>
          </cell>
          <cell r="AX187">
            <v>0</v>
          </cell>
        </row>
        <row r="188">
          <cell r="I188">
            <v>28.3</v>
          </cell>
          <cell r="J188">
            <v>2815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2862.6301701267284</v>
          </cell>
          <cell r="AD188">
            <v>0</v>
          </cell>
          <cell r="AE188">
            <v>498.45033674497455</v>
          </cell>
          <cell r="AF188">
            <v>0</v>
          </cell>
          <cell r="AH188">
            <v>725.15009336527589</v>
          </cell>
          <cell r="AI188">
            <v>920</v>
          </cell>
          <cell r="AK188">
            <v>301.53362018930937</v>
          </cell>
          <cell r="AL188">
            <v>471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T188">
            <v>118.62766249183653</v>
          </cell>
          <cell r="AU188">
            <v>1604</v>
          </cell>
          <cell r="AW188">
            <v>0</v>
          </cell>
          <cell r="AX188">
            <v>0</v>
          </cell>
        </row>
        <row r="189"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T189">
            <v>70.795438516160814</v>
          </cell>
          <cell r="AU189">
            <v>0</v>
          </cell>
          <cell r="AW189">
            <v>113.06715224674896</v>
          </cell>
          <cell r="AX189">
            <v>0</v>
          </cell>
        </row>
        <row r="190"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239.12420602741551</v>
          </cell>
          <cell r="AF190">
            <v>0</v>
          </cell>
          <cell r="AH190">
            <v>312.02690298803327</v>
          </cell>
          <cell r="AI190">
            <v>0</v>
          </cell>
          <cell r="AK190">
            <v>245.49003678860257</v>
          </cell>
          <cell r="AL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T190">
            <v>220.05809326649594</v>
          </cell>
          <cell r="AU190">
            <v>0</v>
          </cell>
          <cell r="AW190">
            <v>167.44238903209089</v>
          </cell>
          <cell r="AX190">
            <v>0</v>
          </cell>
        </row>
        <row r="191">
          <cell r="I191">
            <v>32</v>
          </cell>
          <cell r="J191">
            <v>7519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214.87725795914787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1806</v>
          </cell>
          <cell r="AD191">
            <v>0</v>
          </cell>
          <cell r="AE191">
            <v>558.74578225816219</v>
          </cell>
          <cell r="AF191">
            <v>0</v>
          </cell>
          <cell r="AH191">
            <v>725.15009336527589</v>
          </cell>
          <cell r="AI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T191">
            <v>118.62766249183653</v>
          </cell>
          <cell r="AU191">
            <v>0</v>
          </cell>
          <cell r="AW191">
            <v>0</v>
          </cell>
          <cell r="AX191">
            <v>0</v>
          </cell>
        </row>
        <row r="192">
          <cell r="I192">
            <v>17</v>
          </cell>
          <cell r="J192">
            <v>6621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331.90210098938223</v>
          </cell>
          <cell r="AF192">
            <v>389</v>
          </cell>
          <cell r="AH192">
            <v>438.46946070009994</v>
          </cell>
          <cell r="AI192">
            <v>0</v>
          </cell>
          <cell r="AK192">
            <v>236.00725537516385</v>
          </cell>
          <cell r="AL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T192">
            <v>59.168551776459459</v>
          </cell>
          <cell r="AU192">
            <v>0</v>
          </cell>
          <cell r="AW192">
            <v>0</v>
          </cell>
          <cell r="AX192">
            <v>0</v>
          </cell>
        </row>
        <row r="193"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1841.7001004483097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145</v>
          </cell>
          <cell r="AE193">
            <v>1409.0055861071714</v>
          </cell>
          <cell r="AF193">
            <v>0</v>
          </cell>
          <cell r="AH193">
            <v>2131.6319683440897</v>
          </cell>
          <cell r="AI193">
            <v>2040</v>
          </cell>
          <cell r="AK193">
            <v>1751.3065641979583</v>
          </cell>
          <cell r="AL193">
            <v>0</v>
          </cell>
          <cell r="AN193">
            <v>892.53005789860288</v>
          </cell>
          <cell r="AO193">
            <v>0</v>
          </cell>
          <cell r="AQ193">
            <v>539.76213107435467</v>
          </cell>
          <cell r="AR193">
            <v>0</v>
          </cell>
          <cell r="AT193">
            <v>778.36614519151806</v>
          </cell>
          <cell r="AU193">
            <v>728.30103163853278</v>
          </cell>
          <cell r="AW193">
            <v>0</v>
          </cell>
          <cell r="AX193">
            <v>0</v>
          </cell>
        </row>
        <row r="194"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302.14115608652634</v>
          </cell>
          <cell r="AF194">
            <v>0</v>
          </cell>
          <cell r="AH194">
            <v>312.02690298803327</v>
          </cell>
          <cell r="AI194">
            <v>0</v>
          </cell>
          <cell r="AK194">
            <v>251.31447327278588</v>
          </cell>
          <cell r="AL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T194">
            <v>1.6992893375900495</v>
          </cell>
          <cell r="AU194">
            <v>0</v>
          </cell>
          <cell r="AW194">
            <v>0</v>
          </cell>
          <cell r="AX194">
            <v>0</v>
          </cell>
        </row>
        <row r="195"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1816</v>
          </cell>
          <cell r="AE195">
            <v>412.42731479678213</v>
          </cell>
          <cell r="AF195">
            <v>0</v>
          </cell>
          <cell r="AH195">
            <v>845.64910278683158</v>
          </cell>
          <cell r="AI195">
            <v>0</v>
          </cell>
          <cell r="AK195">
            <v>300.39950777795787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R195">
            <v>0</v>
          </cell>
          <cell r="AT195">
            <v>118.62780668282814</v>
          </cell>
          <cell r="AU195">
            <v>0</v>
          </cell>
          <cell r="AW195">
            <v>0</v>
          </cell>
          <cell r="AX195">
            <v>0</v>
          </cell>
        </row>
        <row r="196"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1204</v>
          </cell>
          <cell r="Z196">
            <v>0</v>
          </cell>
          <cell r="AA196">
            <v>0</v>
          </cell>
          <cell r="AB196">
            <v>14067</v>
          </cell>
          <cell r="AC196">
            <v>0</v>
          </cell>
          <cell r="AD196">
            <v>990</v>
          </cell>
          <cell r="AE196">
            <v>2342.030850270276</v>
          </cell>
          <cell r="AF196">
            <v>0</v>
          </cell>
          <cell r="AH196">
            <v>3722.4757732297953</v>
          </cell>
          <cell r="AI196">
            <v>279</v>
          </cell>
          <cell r="AK196">
            <v>3452.7002900652528</v>
          </cell>
          <cell r="AL196">
            <v>0</v>
          </cell>
          <cell r="AN196">
            <v>1627.8648436196602</v>
          </cell>
          <cell r="AO196">
            <v>0</v>
          </cell>
          <cell r="AQ196">
            <v>899.31230716887478</v>
          </cell>
          <cell r="AR196">
            <v>0</v>
          </cell>
          <cell r="AT196">
            <v>1514.2830787293954</v>
          </cell>
          <cell r="AU196">
            <v>1355</v>
          </cell>
          <cell r="AW196">
            <v>0</v>
          </cell>
          <cell r="AX196">
            <v>0</v>
          </cell>
        </row>
        <row r="197"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1127.6788241314471</v>
          </cell>
          <cell r="AF197">
            <v>0</v>
          </cell>
          <cell r="AH197">
            <v>1208.3695267083779</v>
          </cell>
          <cell r="AI197">
            <v>0</v>
          </cell>
          <cell r="AK197">
            <v>1566.8766719750254</v>
          </cell>
          <cell r="AL197">
            <v>0</v>
          </cell>
          <cell r="AN197">
            <v>0</v>
          </cell>
          <cell r="AO197">
            <v>0</v>
          </cell>
          <cell r="AQ197">
            <v>0</v>
          </cell>
          <cell r="AR197">
            <v>0</v>
          </cell>
          <cell r="AT197">
            <v>593.6268608144552</v>
          </cell>
          <cell r="AU197">
            <v>0</v>
          </cell>
          <cell r="AW197">
            <v>0</v>
          </cell>
          <cell r="AX197">
            <v>0</v>
          </cell>
        </row>
        <row r="198"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366.5099274166389</v>
          </cell>
          <cell r="AF198">
            <v>0</v>
          </cell>
          <cell r="AH198">
            <v>360.85612185121926</v>
          </cell>
          <cell r="AI198">
            <v>0</v>
          </cell>
          <cell r="AK198">
            <v>155.13983125017546</v>
          </cell>
          <cell r="AL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T198">
            <v>59.168459612509928</v>
          </cell>
          <cell r="AU198">
            <v>0</v>
          </cell>
          <cell r="AW198">
            <v>0</v>
          </cell>
          <cell r="AX198">
            <v>0</v>
          </cell>
        </row>
        <row r="199">
          <cell r="I199">
            <v>150</v>
          </cell>
          <cell r="J199">
            <v>57286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866</v>
          </cell>
          <cell r="Z199">
            <v>0</v>
          </cell>
          <cell r="AA199">
            <v>0</v>
          </cell>
          <cell r="AB199">
            <v>0</v>
          </cell>
          <cell r="AC199">
            <v>391</v>
          </cell>
          <cell r="AD199">
            <v>412</v>
          </cell>
          <cell r="AE199">
            <v>609.01725000937734</v>
          </cell>
          <cell r="AF199">
            <v>1033</v>
          </cell>
          <cell r="AH199">
            <v>1322.1322165719887</v>
          </cell>
          <cell r="AI199">
            <v>2798</v>
          </cell>
          <cell r="AK199">
            <v>1382.5564143997756</v>
          </cell>
          <cell r="AL199">
            <v>0</v>
          </cell>
          <cell r="AN199">
            <v>672.46542194277424</v>
          </cell>
          <cell r="AO199">
            <v>0</v>
          </cell>
          <cell r="AQ199">
            <v>584.59680888900095</v>
          </cell>
          <cell r="AR199">
            <v>0</v>
          </cell>
          <cell r="AT199">
            <v>857.28084435898234</v>
          </cell>
          <cell r="AU199">
            <v>2327</v>
          </cell>
          <cell r="AW199">
            <v>579.97937687586591</v>
          </cell>
          <cell r="AX199">
            <v>0</v>
          </cell>
        </row>
        <row r="200"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R200">
            <v>5</v>
          </cell>
          <cell r="S200">
            <v>61561</v>
          </cell>
          <cell r="U200">
            <v>0</v>
          </cell>
          <cell r="V200">
            <v>0</v>
          </cell>
          <cell r="W200">
            <v>2</v>
          </cell>
          <cell r="X200">
            <v>841.45537172953118</v>
          </cell>
          <cell r="Y200">
            <v>5290.7967786923182</v>
          </cell>
          <cell r="Z200">
            <v>0</v>
          </cell>
          <cell r="AA200">
            <v>0</v>
          </cell>
          <cell r="AB200">
            <v>32530</v>
          </cell>
          <cell r="AC200">
            <v>9425</v>
          </cell>
          <cell r="AD200">
            <v>12218.630954191754</v>
          </cell>
          <cell r="AE200">
            <v>4125.413561988581</v>
          </cell>
          <cell r="AF200">
            <v>4938.3604327541798</v>
          </cell>
          <cell r="AH200">
            <v>5116.4025963034574</v>
          </cell>
          <cell r="AI200">
            <v>15671.135815707792</v>
          </cell>
          <cell r="AK200">
            <v>4911.5911368776024</v>
          </cell>
          <cell r="AL200">
            <v>0</v>
          </cell>
          <cell r="AN200">
            <v>2714.8521991340513</v>
          </cell>
          <cell r="AO200">
            <v>0</v>
          </cell>
          <cell r="AQ200">
            <v>1385.1854514791391</v>
          </cell>
          <cell r="AR200">
            <v>0</v>
          </cell>
          <cell r="AT200">
            <v>4373.8545356393488</v>
          </cell>
          <cell r="AU200">
            <v>0</v>
          </cell>
          <cell r="AW200">
            <v>1414.4304200481445</v>
          </cell>
          <cell r="AX200">
            <v>0</v>
          </cell>
        </row>
        <row r="201">
          <cell r="I201">
            <v>28.5</v>
          </cell>
          <cell r="J201">
            <v>21334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463.5249696805202</v>
          </cell>
          <cell r="AF201">
            <v>0</v>
          </cell>
          <cell r="AH201">
            <v>693.859784608008</v>
          </cell>
          <cell r="AI201">
            <v>0</v>
          </cell>
          <cell r="AK201">
            <v>322.09581520189704</v>
          </cell>
          <cell r="AL201">
            <v>7348.7928293797668</v>
          </cell>
          <cell r="AN201">
            <v>0</v>
          </cell>
          <cell r="AO201">
            <v>0</v>
          </cell>
          <cell r="AQ201">
            <v>0</v>
          </cell>
          <cell r="AR201">
            <v>0</v>
          </cell>
          <cell r="AT201">
            <v>118.62766249183653</v>
          </cell>
          <cell r="AU201">
            <v>0</v>
          </cell>
          <cell r="AW201">
            <v>0</v>
          </cell>
          <cell r="AX201">
            <v>0</v>
          </cell>
        </row>
        <row r="202">
          <cell r="I202">
            <v>13.5</v>
          </cell>
          <cell r="J202">
            <v>5019</v>
          </cell>
          <cell r="L202">
            <v>0</v>
          </cell>
          <cell r="M202">
            <v>0</v>
          </cell>
          <cell r="O202">
            <v>115.8</v>
          </cell>
          <cell r="P202">
            <v>36967</v>
          </cell>
          <cell r="R202">
            <v>1</v>
          </cell>
          <cell r="S202">
            <v>2062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759</v>
          </cell>
          <cell r="AD202">
            <v>4644.2013214676408</v>
          </cell>
          <cell r="AE202">
            <v>662.30371474064452</v>
          </cell>
          <cell r="AF202">
            <v>352.16728040695443</v>
          </cell>
          <cell r="AH202">
            <v>885.25732630034918</v>
          </cell>
          <cell r="AI202">
            <v>13468</v>
          </cell>
          <cell r="AK202">
            <v>1298.9721867050841</v>
          </cell>
          <cell r="AL202">
            <v>0</v>
          </cell>
          <cell r="AN202">
            <v>345.26973320305052</v>
          </cell>
          <cell r="AO202">
            <v>0</v>
          </cell>
          <cell r="AQ202">
            <v>685.39301428766191</v>
          </cell>
          <cell r="AR202">
            <v>0</v>
          </cell>
          <cell r="AT202">
            <v>451.18739287290265</v>
          </cell>
          <cell r="AU202">
            <v>5727.1628156041215</v>
          </cell>
          <cell r="AW202">
            <v>591.6733403507975</v>
          </cell>
          <cell r="AX202">
            <v>0</v>
          </cell>
        </row>
        <row r="203">
          <cell r="I203">
            <v>251.6</v>
          </cell>
          <cell r="J203">
            <v>54355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319.40568632445223</v>
          </cell>
          <cell r="AF203">
            <v>0</v>
          </cell>
          <cell r="AH203">
            <v>693.859784608008</v>
          </cell>
          <cell r="AI203">
            <v>0</v>
          </cell>
          <cell r="AK203">
            <v>0</v>
          </cell>
          <cell r="AL203">
            <v>0</v>
          </cell>
          <cell r="AN203">
            <v>0</v>
          </cell>
          <cell r="AO203">
            <v>0</v>
          </cell>
          <cell r="AQ203">
            <v>0</v>
          </cell>
          <cell r="AR203">
            <v>0</v>
          </cell>
          <cell r="AT203">
            <v>118.62766249183653</v>
          </cell>
          <cell r="AU203">
            <v>0</v>
          </cell>
          <cell r="AW203">
            <v>0</v>
          </cell>
          <cell r="AX203">
            <v>0</v>
          </cell>
        </row>
        <row r="204">
          <cell r="I204">
            <v>44.8</v>
          </cell>
          <cell r="J204">
            <v>13991</v>
          </cell>
          <cell r="L204">
            <v>1</v>
          </cell>
          <cell r="M204">
            <v>130856</v>
          </cell>
          <cell r="O204">
            <v>113</v>
          </cell>
          <cell r="P204">
            <v>33517</v>
          </cell>
          <cell r="R204">
            <v>1</v>
          </cell>
          <cell r="S204">
            <v>3272</v>
          </cell>
          <cell r="U204">
            <v>469.29591946661907</v>
          </cell>
          <cell r="V204">
            <v>0</v>
          </cell>
          <cell r="W204">
            <v>0</v>
          </cell>
          <cell r="X204">
            <v>0</v>
          </cell>
          <cell r="Y204">
            <v>19229</v>
          </cell>
          <cell r="Z204">
            <v>0</v>
          </cell>
          <cell r="AA204">
            <v>0</v>
          </cell>
          <cell r="AB204">
            <v>691.93947253388149</v>
          </cell>
          <cell r="AC204">
            <v>11241</v>
          </cell>
          <cell r="AD204">
            <v>4982</v>
          </cell>
          <cell r="AE204">
            <v>1711.935043428595</v>
          </cell>
          <cell r="AF204">
            <v>943</v>
          </cell>
          <cell r="AH204">
            <v>2341.9396050431133</v>
          </cell>
          <cell r="AI204">
            <v>2462</v>
          </cell>
          <cell r="AK204">
            <v>2924.9722644413009</v>
          </cell>
          <cell r="AL204">
            <v>0</v>
          </cell>
          <cell r="AN204">
            <v>1204.5640437955815</v>
          </cell>
          <cell r="AO204">
            <v>0</v>
          </cell>
          <cell r="AQ204">
            <v>593.65087276649558</v>
          </cell>
          <cell r="AR204">
            <v>293</v>
          </cell>
          <cell r="AT204">
            <v>1921.9578725387271</v>
          </cell>
          <cell r="AU204">
            <v>3532.4090683877221</v>
          </cell>
          <cell r="AW204">
            <v>858.12972459995842</v>
          </cell>
          <cell r="AX204">
            <v>0</v>
          </cell>
        </row>
        <row r="205">
          <cell r="I205">
            <v>11.8</v>
          </cell>
          <cell r="J205">
            <v>5677.8891296986358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1</v>
          </cell>
          <cell r="S205">
            <v>18772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2355</v>
          </cell>
          <cell r="AD205">
            <v>3688.1881199773734</v>
          </cell>
          <cell r="AE205">
            <v>518.65821468004685</v>
          </cell>
          <cell r="AF205">
            <v>1068</v>
          </cell>
          <cell r="AH205">
            <v>720.85312188444175</v>
          </cell>
          <cell r="AI205">
            <v>12715.422943737793</v>
          </cell>
          <cell r="AK205">
            <v>460.44911046176543</v>
          </cell>
          <cell r="AL205">
            <v>417.83672428403412</v>
          </cell>
          <cell r="AN205">
            <v>427.96207125221173</v>
          </cell>
          <cell r="AO205">
            <v>1148.5448070087323</v>
          </cell>
          <cell r="AQ205">
            <v>331.91870979101282</v>
          </cell>
          <cell r="AR205">
            <v>0</v>
          </cell>
          <cell r="AT205">
            <v>685.1656155986617</v>
          </cell>
          <cell r="AU205">
            <v>974</v>
          </cell>
          <cell r="AW205">
            <v>1083.9309770510965</v>
          </cell>
          <cell r="AX205">
            <v>0</v>
          </cell>
        </row>
        <row r="206"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R206">
            <v>2</v>
          </cell>
          <cell r="S206">
            <v>22874</v>
          </cell>
          <cell r="U206">
            <v>0</v>
          </cell>
          <cell r="V206">
            <v>0</v>
          </cell>
          <cell r="W206">
            <v>0</v>
          </cell>
          <cell r="X206">
            <v>819.68206354860945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14830.737942358806</v>
          </cell>
          <cell r="AD206">
            <v>4177.7616202417112</v>
          </cell>
          <cell r="AE206">
            <v>638.76026908335007</v>
          </cell>
          <cell r="AF206">
            <v>306</v>
          </cell>
          <cell r="AH206">
            <v>797.49583455525669</v>
          </cell>
          <cell r="AI206">
            <v>0</v>
          </cell>
          <cell r="AK206">
            <v>578.97626593541065</v>
          </cell>
          <cell r="AL206">
            <v>2097.6072908387187</v>
          </cell>
          <cell r="AN206">
            <v>409.86745939380518</v>
          </cell>
          <cell r="AO206">
            <v>402</v>
          </cell>
          <cell r="AQ206">
            <v>197.88370594614832</v>
          </cell>
          <cell r="AR206">
            <v>0</v>
          </cell>
          <cell r="AT206">
            <v>261.75775971467539</v>
          </cell>
          <cell r="AU206">
            <v>4645.6449808026209</v>
          </cell>
          <cell r="AW206">
            <v>230.79347501263135</v>
          </cell>
          <cell r="AX206">
            <v>0</v>
          </cell>
        </row>
        <row r="207">
          <cell r="I207">
            <v>0.5</v>
          </cell>
          <cell r="J207">
            <v>857.33859195696277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3</v>
          </cell>
          <cell r="S207">
            <v>27328</v>
          </cell>
          <cell r="U207">
            <v>0</v>
          </cell>
          <cell r="V207">
            <v>0</v>
          </cell>
          <cell r="W207">
            <v>9</v>
          </cell>
          <cell r="X207">
            <v>2365.0073191212305</v>
          </cell>
          <cell r="Y207">
            <v>3847</v>
          </cell>
          <cell r="Z207">
            <v>0</v>
          </cell>
          <cell r="AA207">
            <v>0</v>
          </cell>
          <cell r="AB207">
            <v>1616.1969059053629</v>
          </cell>
          <cell r="AC207">
            <v>5897.5438335941426</v>
          </cell>
          <cell r="AD207">
            <v>3107.4575939932947</v>
          </cell>
          <cell r="AE207">
            <v>992.46698347594918</v>
          </cell>
          <cell r="AF207">
            <v>2073</v>
          </cell>
          <cell r="AH207">
            <v>1275.9933352884084</v>
          </cell>
          <cell r="AI207">
            <v>10449</v>
          </cell>
          <cell r="AK207">
            <v>952.55758379960264</v>
          </cell>
          <cell r="AL207">
            <v>0</v>
          </cell>
          <cell r="AN207">
            <v>565.86085561064021</v>
          </cell>
          <cell r="AO207">
            <v>0</v>
          </cell>
          <cell r="AQ207">
            <v>316.61392951383749</v>
          </cell>
          <cell r="AR207">
            <v>0</v>
          </cell>
          <cell r="AT207">
            <v>468.24530116215197</v>
          </cell>
          <cell r="AU207">
            <v>11231.897825139964</v>
          </cell>
          <cell r="AW207">
            <v>479.27278233266929</v>
          </cell>
          <cell r="AX207">
            <v>0</v>
          </cell>
        </row>
        <row r="208"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R208">
            <v>3</v>
          </cell>
          <cell r="S208">
            <v>23252.781687729257</v>
          </cell>
          <cell r="U208">
            <v>173.81774176478288</v>
          </cell>
          <cell r="V208">
            <v>0</v>
          </cell>
          <cell r="W208">
            <v>4</v>
          </cell>
          <cell r="X208">
            <v>2509.1952424187621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3021.2195824815362</v>
          </cell>
          <cell r="AD208">
            <v>1037.2433251998054</v>
          </cell>
          <cell r="AE208">
            <v>638.76026908335007</v>
          </cell>
          <cell r="AF208">
            <v>575</v>
          </cell>
          <cell r="AH208">
            <v>797.49583455525669</v>
          </cell>
          <cell r="AI208">
            <v>6789</v>
          </cell>
          <cell r="AK208">
            <v>558.74912333515374</v>
          </cell>
          <cell r="AL208">
            <v>0</v>
          </cell>
          <cell r="AN208">
            <v>387.40208663076743</v>
          </cell>
          <cell r="AO208">
            <v>0</v>
          </cell>
          <cell r="AQ208">
            <v>197.88370594614832</v>
          </cell>
          <cell r="AR208">
            <v>0</v>
          </cell>
          <cell r="AT208">
            <v>261.75775971467539</v>
          </cell>
          <cell r="AU208">
            <v>924</v>
          </cell>
          <cell r="AW208">
            <v>167.44238903209089</v>
          </cell>
          <cell r="AX208">
            <v>0</v>
          </cell>
        </row>
        <row r="209"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549.93657365564115</v>
          </cell>
          <cell r="AF209">
            <v>0</v>
          </cell>
          <cell r="AH209">
            <v>917.31938348910023</v>
          </cell>
          <cell r="AI209">
            <v>0</v>
          </cell>
          <cell r="AK209">
            <v>465.46474878650037</v>
          </cell>
          <cell r="AL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T209">
            <v>118.62780668282814</v>
          </cell>
          <cell r="AU209">
            <v>0</v>
          </cell>
          <cell r="AW209">
            <v>0</v>
          </cell>
          <cell r="AX209">
            <v>0</v>
          </cell>
        </row>
        <row r="210"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R210">
            <v>1</v>
          </cell>
          <cell r="S210">
            <v>3198</v>
          </cell>
          <cell r="U210">
            <v>156.44195923745193</v>
          </cell>
          <cell r="V210">
            <v>0</v>
          </cell>
          <cell r="W210">
            <v>1</v>
          </cell>
          <cell r="X210">
            <v>992.55619393500956</v>
          </cell>
          <cell r="Y210">
            <v>0</v>
          </cell>
          <cell r="Z210">
            <v>0</v>
          </cell>
          <cell r="AA210">
            <v>0</v>
          </cell>
          <cell r="AB210">
            <v>490.99162446967171</v>
          </cell>
          <cell r="AC210">
            <v>0</v>
          </cell>
          <cell r="AD210">
            <v>1511</v>
          </cell>
          <cell r="AE210">
            <v>638.76026908335007</v>
          </cell>
          <cell r="AF210">
            <v>352.16728040695443</v>
          </cell>
          <cell r="AH210">
            <v>797.49583455525669</v>
          </cell>
          <cell r="AI210">
            <v>0</v>
          </cell>
          <cell r="AK210">
            <v>548.06749701471347</v>
          </cell>
          <cell r="AL210">
            <v>0</v>
          </cell>
          <cell r="AN210">
            <v>358.88112544912764</v>
          </cell>
          <cell r="AO210">
            <v>429.10855592932234</v>
          </cell>
          <cell r="AQ210">
            <v>197.88370594614832</v>
          </cell>
          <cell r="AR210">
            <v>0</v>
          </cell>
          <cell r="AT210">
            <v>261.75775971467539</v>
          </cell>
          <cell r="AU210">
            <v>2315.7129793396789</v>
          </cell>
          <cell r="AW210">
            <v>310.83025688569774</v>
          </cell>
          <cell r="AX210">
            <v>0</v>
          </cell>
        </row>
        <row r="211"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R211">
            <v>4</v>
          </cell>
          <cell r="S211">
            <v>28636.50264564528</v>
          </cell>
          <cell r="U211">
            <v>0</v>
          </cell>
          <cell r="V211">
            <v>0</v>
          </cell>
          <cell r="W211">
            <v>8</v>
          </cell>
          <cell r="X211">
            <v>2246.3626998173195</v>
          </cell>
          <cell r="Y211">
            <v>0</v>
          </cell>
          <cell r="Z211">
            <v>0</v>
          </cell>
          <cell r="AA211">
            <v>0</v>
          </cell>
          <cell r="AB211">
            <v>6809</v>
          </cell>
          <cell r="AC211">
            <v>186980.79097925118</v>
          </cell>
          <cell r="AD211">
            <v>7357.0975100730093</v>
          </cell>
          <cell r="AE211">
            <v>1238.8836008541793</v>
          </cell>
          <cell r="AF211">
            <v>631</v>
          </cell>
          <cell r="AH211">
            <v>1594.9916691105107</v>
          </cell>
          <cell r="AI211">
            <v>0</v>
          </cell>
          <cell r="AK211">
            <v>1211.5484121475738</v>
          </cell>
          <cell r="AL211">
            <v>0</v>
          </cell>
          <cell r="AN211">
            <v>660.95696655596566</v>
          </cell>
          <cell r="AO211">
            <v>858.1913451964266</v>
          </cell>
          <cell r="AQ211">
            <v>395.76741189229665</v>
          </cell>
          <cell r="AR211">
            <v>0</v>
          </cell>
          <cell r="AT211">
            <v>586.08917204556553</v>
          </cell>
          <cell r="AU211">
            <v>11522</v>
          </cell>
          <cell r="AW211">
            <v>331.17498688247656</v>
          </cell>
          <cell r="AX211">
            <v>0</v>
          </cell>
        </row>
        <row r="212"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156.44195923745193</v>
          </cell>
          <cell r="V212">
            <v>0</v>
          </cell>
          <cell r="W212">
            <v>1</v>
          </cell>
          <cell r="X212">
            <v>822.34972473130165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330</v>
          </cell>
          <cell r="AD212">
            <v>398</v>
          </cell>
          <cell r="AE212">
            <v>255.50410763334014</v>
          </cell>
          <cell r="AF212">
            <v>0</v>
          </cell>
          <cell r="AH212">
            <v>318.99833382210267</v>
          </cell>
          <cell r="AI212">
            <v>0</v>
          </cell>
          <cell r="AK212">
            <v>264.03866605016998</v>
          </cell>
          <cell r="AL212">
            <v>0</v>
          </cell>
          <cell r="AN212">
            <v>141.53335086074676</v>
          </cell>
          <cell r="AO212">
            <v>429.10855592932234</v>
          </cell>
          <cell r="AQ212">
            <v>79.153482378459373</v>
          </cell>
          <cell r="AR212">
            <v>0</v>
          </cell>
          <cell r="AT212">
            <v>104.70310388587016</v>
          </cell>
          <cell r="AU212">
            <v>0</v>
          </cell>
          <cell r="AW212">
            <v>167.44238903209089</v>
          </cell>
          <cell r="AX212">
            <v>0</v>
          </cell>
        </row>
        <row r="213">
          <cell r="I213">
            <v>0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H213">
            <v>0</v>
          </cell>
          <cell r="AI213">
            <v>0</v>
          </cell>
          <cell r="AK213">
            <v>0</v>
          </cell>
          <cell r="AL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T213">
            <v>0</v>
          </cell>
          <cell r="AU213">
            <v>0</v>
          </cell>
          <cell r="AW213">
            <v>0</v>
          </cell>
          <cell r="AX213">
            <v>0</v>
          </cell>
        </row>
        <row r="214"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H214">
            <v>0</v>
          </cell>
          <cell r="AI214">
            <v>0</v>
          </cell>
          <cell r="AK214">
            <v>0</v>
          </cell>
          <cell r="AL214">
            <v>0</v>
          </cell>
          <cell r="AN214">
            <v>0</v>
          </cell>
          <cell r="AO214">
            <v>0</v>
          </cell>
          <cell r="AQ214">
            <v>0</v>
          </cell>
          <cell r="AR214">
            <v>0</v>
          </cell>
          <cell r="AT214">
            <v>0</v>
          </cell>
          <cell r="AU214">
            <v>0</v>
          </cell>
          <cell r="AW214">
            <v>0</v>
          </cell>
          <cell r="AX214">
            <v>0</v>
          </cell>
        </row>
        <row r="215">
          <cell r="I215">
            <v>0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R215">
            <v>3</v>
          </cell>
          <cell r="S215">
            <v>26855.260167190681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63347</v>
          </cell>
          <cell r="Z215">
            <v>0</v>
          </cell>
          <cell r="AA215">
            <v>0</v>
          </cell>
          <cell r="AB215">
            <v>8781</v>
          </cell>
          <cell r="AC215">
            <v>5118.613172377396</v>
          </cell>
          <cell r="AD215">
            <v>15290.553760315543</v>
          </cell>
          <cell r="AE215">
            <v>1962.2750472998769</v>
          </cell>
          <cell r="AF215">
            <v>965</v>
          </cell>
          <cell r="AH215">
            <v>2393.4827366160052</v>
          </cell>
          <cell r="AI215">
            <v>0</v>
          </cell>
          <cell r="AK215">
            <v>2752.0241968388818</v>
          </cell>
          <cell r="AL215">
            <v>208</v>
          </cell>
          <cell r="AN215">
            <v>1166.5131219594202</v>
          </cell>
          <cell r="AO215">
            <v>0</v>
          </cell>
          <cell r="AQ215">
            <v>634.10414095325257</v>
          </cell>
          <cell r="AR215">
            <v>0</v>
          </cell>
          <cell r="AT215">
            <v>1231.5713742880057</v>
          </cell>
          <cell r="AU215">
            <v>13353</v>
          </cell>
          <cell r="AW215">
            <v>716.05861632167455</v>
          </cell>
          <cell r="AX215">
            <v>0</v>
          </cell>
        </row>
        <row r="216">
          <cell r="I216">
            <v>0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3179</v>
          </cell>
          <cell r="AD216">
            <v>244</v>
          </cell>
          <cell r="AE216">
            <v>2012.9473341933781</v>
          </cell>
          <cell r="AF216">
            <v>0</v>
          </cell>
          <cell r="AH216">
            <v>3018.5931941110848</v>
          </cell>
          <cell r="AI216">
            <v>8978</v>
          </cell>
          <cell r="AK216">
            <v>2097.5000345903368</v>
          </cell>
          <cell r="AL216">
            <v>342</v>
          </cell>
          <cell r="AN216">
            <v>1211.2783983132217</v>
          </cell>
          <cell r="AO216">
            <v>0</v>
          </cell>
          <cell r="AQ216">
            <v>719.6828414324732</v>
          </cell>
          <cell r="AR216">
            <v>0</v>
          </cell>
          <cell r="AT216">
            <v>1123.0484366790481</v>
          </cell>
          <cell r="AU216">
            <v>6949.2939043331953</v>
          </cell>
          <cell r="AW216">
            <v>646.34779112686545</v>
          </cell>
          <cell r="AX216">
            <v>0</v>
          </cell>
        </row>
        <row r="217">
          <cell r="I217">
            <v>0</v>
          </cell>
          <cell r="J217">
            <v>48045</v>
          </cell>
          <cell r="L217">
            <v>0</v>
          </cell>
          <cell r="M217">
            <v>0</v>
          </cell>
          <cell r="O217">
            <v>14</v>
          </cell>
          <cell r="P217">
            <v>5063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1035.5011754875404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5812</v>
          </cell>
          <cell r="AD217">
            <v>8537.3088133494111</v>
          </cell>
          <cell r="AE217">
            <v>1405.1963901911304</v>
          </cell>
          <cell r="AF217">
            <v>0</v>
          </cell>
          <cell r="AH217">
            <v>2042.365147209324</v>
          </cell>
          <cell r="AI217">
            <v>9229.5210449493679</v>
          </cell>
          <cell r="AK217">
            <v>2263.9534977092271</v>
          </cell>
          <cell r="AL217">
            <v>2022</v>
          </cell>
          <cell r="AN217">
            <v>1050.7185398515492</v>
          </cell>
          <cell r="AO217">
            <v>858.1913451964266</v>
          </cell>
          <cell r="AQ217">
            <v>440.7474669458515</v>
          </cell>
          <cell r="AR217">
            <v>16.749686000000001</v>
          </cell>
          <cell r="AT217">
            <v>1397.3555544636613</v>
          </cell>
          <cell r="AU217">
            <v>5139.050989858948</v>
          </cell>
          <cell r="AW217">
            <v>846.14500664720993</v>
          </cell>
          <cell r="AX217">
            <v>0</v>
          </cell>
        </row>
        <row r="218"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R218">
            <v>1</v>
          </cell>
          <cell r="S218">
            <v>1031</v>
          </cell>
          <cell r="U218">
            <v>0</v>
          </cell>
          <cell r="V218">
            <v>0</v>
          </cell>
          <cell r="W218">
            <v>0</v>
          </cell>
          <cell r="X218">
            <v>292.2438348699244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2383</v>
          </cell>
          <cell r="AD218">
            <v>11325.460156208108</v>
          </cell>
          <cell r="AE218">
            <v>789.96670899985145</v>
          </cell>
          <cell r="AF218">
            <v>752</v>
          </cell>
          <cell r="AH218">
            <v>1163.0761038274982</v>
          </cell>
          <cell r="AI218">
            <v>13209.819484086689</v>
          </cell>
          <cell r="AK218">
            <v>1290.984104581348</v>
          </cell>
          <cell r="AL218">
            <v>1052.2451267106485</v>
          </cell>
          <cell r="AN218">
            <v>608.34948959688325</v>
          </cell>
          <cell r="AO218">
            <v>0</v>
          </cell>
          <cell r="AQ218">
            <v>584.62588433678263</v>
          </cell>
          <cell r="AR218">
            <v>7.7228418000000003</v>
          </cell>
          <cell r="AT218">
            <v>983.06450637295882</v>
          </cell>
          <cell r="AU218">
            <v>1924</v>
          </cell>
          <cell r="AW218">
            <v>941.51737692974393</v>
          </cell>
          <cell r="AX218">
            <v>0</v>
          </cell>
        </row>
        <row r="219">
          <cell r="I219">
            <v>1.6</v>
          </cell>
          <cell r="J219">
            <v>296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1443</v>
          </cell>
          <cell r="AE219">
            <v>1923.756069713859</v>
          </cell>
          <cell r="AF219">
            <v>0</v>
          </cell>
          <cell r="AH219">
            <v>2957.8778589546764</v>
          </cell>
          <cell r="AI219">
            <v>0</v>
          </cell>
          <cell r="AK219">
            <v>2551.4679524894482</v>
          </cell>
          <cell r="AL219">
            <v>0</v>
          </cell>
          <cell r="AN219">
            <v>0</v>
          </cell>
          <cell r="AO219">
            <v>0</v>
          </cell>
          <cell r="AQ219">
            <v>0</v>
          </cell>
          <cell r="AR219">
            <v>601.0903519414104</v>
          </cell>
          <cell r="AT219">
            <v>1061.5635798953522</v>
          </cell>
          <cell r="AU219">
            <v>471</v>
          </cell>
          <cell r="AW219">
            <v>0</v>
          </cell>
          <cell r="AX219">
            <v>0</v>
          </cell>
        </row>
        <row r="220">
          <cell r="I220">
            <v>0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475</v>
          </cell>
          <cell r="AE220">
            <v>1940.8522748715295</v>
          </cell>
          <cell r="AF220">
            <v>0</v>
          </cell>
          <cell r="AH220">
            <v>2669.3329242191721</v>
          </cell>
          <cell r="AI220">
            <v>0</v>
          </cell>
          <cell r="AK220">
            <v>2590.0539375610874</v>
          </cell>
          <cell r="AL220">
            <v>0</v>
          </cell>
          <cell r="AN220">
            <v>0</v>
          </cell>
          <cell r="AO220">
            <v>0</v>
          </cell>
          <cell r="AQ220">
            <v>0</v>
          </cell>
          <cell r="AR220">
            <v>0</v>
          </cell>
          <cell r="AT220">
            <v>1077.1086257719292</v>
          </cell>
          <cell r="AU220">
            <v>2533</v>
          </cell>
          <cell r="AW220">
            <v>0</v>
          </cell>
          <cell r="AX220">
            <v>0</v>
          </cell>
        </row>
        <row r="221">
          <cell r="I221">
            <v>0</v>
          </cell>
          <cell r="J221">
            <v>0</v>
          </cell>
          <cell r="L221">
            <v>2</v>
          </cell>
          <cell r="M221">
            <v>85743.051413091685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1108</v>
          </cell>
          <cell r="Z221">
            <v>0</v>
          </cell>
          <cell r="AA221">
            <v>0</v>
          </cell>
          <cell r="AB221">
            <v>0</v>
          </cell>
          <cell r="AC221">
            <v>1915.7572882798436</v>
          </cell>
          <cell r="AD221">
            <v>2445.6813916239926</v>
          </cell>
          <cell r="AE221">
            <v>1855.2655009093594</v>
          </cell>
          <cell r="AF221">
            <v>0</v>
          </cell>
          <cell r="AH221">
            <v>2669.3329242191721</v>
          </cell>
          <cell r="AI221">
            <v>0</v>
          </cell>
          <cell r="AK221">
            <v>2824.0459151017808</v>
          </cell>
          <cell r="AL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T221">
            <v>1077.1086257719292</v>
          </cell>
          <cell r="AU221">
            <v>1792.527108619086</v>
          </cell>
          <cell r="AW221">
            <v>0</v>
          </cell>
          <cell r="AX221">
            <v>0</v>
          </cell>
        </row>
        <row r="222">
          <cell r="I222">
            <v>11</v>
          </cell>
          <cell r="J222">
            <v>2518.6320877822127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1764</v>
          </cell>
          <cell r="Z222">
            <v>0</v>
          </cell>
          <cell r="AA222">
            <v>0</v>
          </cell>
          <cell r="AB222">
            <v>0</v>
          </cell>
          <cell r="AC222">
            <v>414</v>
          </cell>
          <cell r="AD222">
            <v>1724</v>
          </cell>
          <cell r="AE222">
            <v>1363.3381440640351</v>
          </cell>
          <cell r="AF222">
            <v>1401</v>
          </cell>
          <cell r="AH222">
            <v>2327.2391081307514</v>
          </cell>
          <cell r="AI222">
            <v>0</v>
          </cell>
          <cell r="AK222">
            <v>1794.1681606997545</v>
          </cell>
          <cell r="AL222">
            <v>0</v>
          </cell>
          <cell r="AN222">
            <v>0</v>
          </cell>
          <cell r="AO222">
            <v>0</v>
          </cell>
          <cell r="AQ222">
            <v>0</v>
          </cell>
          <cell r="AR222">
            <v>1515.502816555887</v>
          </cell>
          <cell r="AT222">
            <v>782.97212660668436</v>
          </cell>
          <cell r="AU222">
            <v>534</v>
          </cell>
          <cell r="AW222">
            <v>0</v>
          </cell>
          <cell r="AX222">
            <v>0</v>
          </cell>
        </row>
        <row r="223"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389</v>
          </cell>
          <cell r="AD223">
            <v>2409</v>
          </cell>
          <cell r="AE223">
            <v>1611.8105373592023</v>
          </cell>
          <cell r="AF223">
            <v>0</v>
          </cell>
          <cell r="AH223">
            <v>2936.6098545642039</v>
          </cell>
          <cell r="AI223">
            <v>0</v>
          </cell>
          <cell r="AK223">
            <v>1479.2203057050619</v>
          </cell>
          <cell r="AL223">
            <v>0</v>
          </cell>
          <cell r="AN223">
            <v>0</v>
          </cell>
          <cell r="AO223">
            <v>0</v>
          </cell>
          <cell r="AQ223">
            <v>0</v>
          </cell>
          <cell r="AR223">
            <v>0</v>
          </cell>
          <cell r="AT223">
            <v>1336.9813191081341</v>
          </cell>
          <cell r="AU223">
            <v>953</v>
          </cell>
          <cell r="AW223">
            <v>0</v>
          </cell>
          <cell r="AX223">
            <v>0</v>
          </cell>
        </row>
        <row r="224"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965</v>
          </cell>
          <cell r="AE224">
            <v>496.0062864474919</v>
          </cell>
          <cell r="AF224">
            <v>0</v>
          </cell>
          <cell r="AH224">
            <v>547.08186368453232</v>
          </cell>
          <cell r="AI224">
            <v>0</v>
          </cell>
          <cell r="AK224">
            <v>498.03729157470099</v>
          </cell>
          <cell r="AL224">
            <v>0</v>
          </cell>
          <cell r="AN224">
            <v>0</v>
          </cell>
          <cell r="AO224">
            <v>0</v>
          </cell>
          <cell r="AQ224">
            <v>0</v>
          </cell>
          <cell r="AR224">
            <v>0</v>
          </cell>
          <cell r="AT224">
            <v>86.286321688121362</v>
          </cell>
          <cell r="AU224">
            <v>0</v>
          </cell>
          <cell r="AW224">
            <v>0</v>
          </cell>
          <cell r="AX224">
            <v>0</v>
          </cell>
        </row>
        <row r="225"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H225">
            <v>0</v>
          </cell>
          <cell r="AI225">
            <v>0</v>
          </cell>
          <cell r="AK225">
            <v>0</v>
          </cell>
          <cell r="AL225">
            <v>0</v>
          </cell>
          <cell r="AN225">
            <v>0</v>
          </cell>
          <cell r="AO225">
            <v>0</v>
          </cell>
          <cell r="AQ225">
            <v>0</v>
          </cell>
          <cell r="AR225">
            <v>0</v>
          </cell>
          <cell r="AT225">
            <v>0</v>
          </cell>
          <cell r="AU225">
            <v>0</v>
          </cell>
          <cell r="AW225">
            <v>0</v>
          </cell>
          <cell r="AX225">
            <v>0</v>
          </cell>
        </row>
        <row r="226">
          <cell r="I226">
            <v>0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257.68528249792439</v>
          </cell>
          <cell r="AF226">
            <v>0</v>
          </cell>
          <cell r="AH226">
            <v>299.20814551574625</v>
          </cell>
          <cell r="AI226">
            <v>0</v>
          </cell>
          <cell r="AK226">
            <v>0</v>
          </cell>
          <cell r="AL226">
            <v>0</v>
          </cell>
          <cell r="AN226">
            <v>0</v>
          </cell>
          <cell r="AO226">
            <v>0</v>
          </cell>
          <cell r="AQ226">
            <v>0</v>
          </cell>
          <cell r="AR226">
            <v>0</v>
          </cell>
          <cell r="AT226">
            <v>59.16844621010025</v>
          </cell>
          <cell r="AU226">
            <v>0</v>
          </cell>
          <cell r="AW226">
            <v>0</v>
          </cell>
          <cell r="AX226">
            <v>0</v>
          </cell>
        </row>
        <row r="227"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116.72791843775435</v>
          </cell>
          <cell r="AD227">
            <v>0</v>
          </cell>
          <cell r="AE227">
            <v>446.40561436294365</v>
          </cell>
          <cell r="AF227">
            <v>0</v>
          </cell>
          <cell r="AH227">
            <v>475.41207312616257</v>
          </cell>
          <cell r="AI227">
            <v>0</v>
          </cell>
          <cell r="AK227">
            <v>409.68558631223772</v>
          </cell>
          <cell r="AL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T227">
            <v>88.461351592753303</v>
          </cell>
          <cell r="AU227">
            <v>0</v>
          </cell>
          <cell r="AW227">
            <v>0</v>
          </cell>
          <cell r="AX227">
            <v>0</v>
          </cell>
        </row>
        <row r="228"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431.76439172274848</v>
          </cell>
          <cell r="AF228">
            <v>0</v>
          </cell>
          <cell r="AH228">
            <v>537.05955931773622</v>
          </cell>
          <cell r="AI228">
            <v>0</v>
          </cell>
          <cell r="AK228">
            <v>283.66741716210674</v>
          </cell>
          <cell r="AL228">
            <v>0</v>
          </cell>
          <cell r="AN228">
            <v>0</v>
          </cell>
          <cell r="AO228">
            <v>0</v>
          </cell>
          <cell r="AQ228">
            <v>0</v>
          </cell>
          <cell r="AR228">
            <v>0</v>
          </cell>
          <cell r="AT228">
            <v>118.62766249183653</v>
          </cell>
          <cell r="AU228">
            <v>0</v>
          </cell>
          <cell r="AW228">
            <v>0</v>
          </cell>
          <cell r="AX228">
            <v>0</v>
          </cell>
        </row>
        <row r="229">
          <cell r="I229">
            <v>2</v>
          </cell>
          <cell r="J229">
            <v>1555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445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1443</v>
          </cell>
          <cell r="AE229">
            <v>829.54551827760827</v>
          </cell>
          <cell r="AF229">
            <v>914</v>
          </cell>
          <cell r="AH229">
            <v>1174.5740094673354</v>
          </cell>
          <cell r="AI229">
            <v>0</v>
          </cell>
          <cell r="AK229">
            <v>869.50420069008499</v>
          </cell>
          <cell r="AL229">
            <v>610</v>
          </cell>
          <cell r="AN229">
            <v>0</v>
          </cell>
          <cell r="AO229">
            <v>0</v>
          </cell>
          <cell r="AQ229">
            <v>0</v>
          </cell>
          <cell r="AR229">
            <v>740.44140585755144</v>
          </cell>
          <cell r="AT229">
            <v>349.45249236472927</v>
          </cell>
          <cell r="AU229">
            <v>0</v>
          </cell>
          <cell r="AW229">
            <v>0</v>
          </cell>
          <cell r="AX229">
            <v>0</v>
          </cell>
        </row>
        <row r="230">
          <cell r="I230">
            <v>0</v>
          </cell>
          <cell r="J230">
            <v>980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588.65873736460367</v>
          </cell>
          <cell r="Y230">
            <v>470</v>
          </cell>
          <cell r="Z230">
            <v>0</v>
          </cell>
          <cell r="AA230">
            <v>0</v>
          </cell>
          <cell r="AB230">
            <v>0</v>
          </cell>
          <cell r="AC230">
            <v>3115</v>
          </cell>
          <cell r="AD230">
            <v>1443</v>
          </cell>
          <cell r="AE230">
            <v>2030.1109963515739</v>
          </cell>
          <cell r="AF230">
            <v>0</v>
          </cell>
          <cell r="AH230">
            <v>3322.1713403248255</v>
          </cell>
          <cell r="AI230">
            <v>0</v>
          </cell>
          <cell r="AK230">
            <v>2375.0202441269494</v>
          </cell>
          <cell r="AL230">
            <v>1111.7824366515142</v>
          </cell>
          <cell r="AN230">
            <v>0</v>
          </cell>
          <cell r="AO230">
            <v>0</v>
          </cell>
          <cell r="AQ230">
            <v>0</v>
          </cell>
          <cell r="AR230">
            <v>0</v>
          </cell>
          <cell r="AT230">
            <v>1046.5116144968702</v>
          </cell>
          <cell r="AU230">
            <v>0</v>
          </cell>
          <cell r="AW230">
            <v>1205.3153536334314</v>
          </cell>
          <cell r="AX230">
            <v>0</v>
          </cell>
        </row>
        <row r="231"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820</v>
          </cell>
          <cell r="AD231">
            <v>0</v>
          </cell>
          <cell r="AE231">
            <v>638.54415346269059</v>
          </cell>
          <cell r="AF231">
            <v>0</v>
          </cell>
          <cell r="AH231">
            <v>794.95558185331777</v>
          </cell>
          <cell r="AI231">
            <v>0</v>
          </cell>
          <cell r="AK231">
            <v>399.37909082510834</v>
          </cell>
          <cell r="AL231">
            <v>0</v>
          </cell>
          <cell r="AN231">
            <v>0</v>
          </cell>
          <cell r="AO231">
            <v>0</v>
          </cell>
          <cell r="AQ231">
            <v>0</v>
          </cell>
          <cell r="AR231">
            <v>0</v>
          </cell>
          <cell r="AT231">
            <v>118.62780668282814</v>
          </cell>
          <cell r="AU231">
            <v>0</v>
          </cell>
          <cell r="AW231">
            <v>0</v>
          </cell>
          <cell r="AX231">
            <v>0</v>
          </cell>
        </row>
        <row r="232"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2666</v>
          </cell>
          <cell r="AD232">
            <v>90</v>
          </cell>
          <cell r="AE232">
            <v>1234.6387689054209</v>
          </cell>
          <cell r="AF232">
            <v>0</v>
          </cell>
          <cell r="AH232">
            <v>1576.0542873798988</v>
          </cell>
          <cell r="AI232">
            <v>0</v>
          </cell>
          <cell r="AK232">
            <v>1589.1311367167064</v>
          </cell>
          <cell r="AL232">
            <v>0</v>
          </cell>
          <cell r="AN232">
            <v>874.33747876044481</v>
          </cell>
          <cell r="AO232">
            <v>0</v>
          </cell>
          <cell r="AQ232">
            <v>395.76741189229665</v>
          </cell>
          <cell r="AR232">
            <v>0</v>
          </cell>
          <cell r="AT232">
            <v>1028.8017596543923</v>
          </cell>
          <cell r="AU232">
            <v>0</v>
          </cell>
          <cell r="AW232">
            <v>0</v>
          </cell>
          <cell r="AX232">
            <v>0</v>
          </cell>
        </row>
        <row r="233"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H233">
            <v>0</v>
          </cell>
          <cell r="AI233">
            <v>0</v>
          </cell>
          <cell r="AK233">
            <v>0</v>
          </cell>
          <cell r="AL233">
            <v>0</v>
          </cell>
          <cell r="AN233">
            <v>0</v>
          </cell>
          <cell r="AO233">
            <v>0</v>
          </cell>
          <cell r="AQ233">
            <v>0</v>
          </cell>
          <cell r="AR233">
            <v>0</v>
          </cell>
          <cell r="AT233">
            <v>0</v>
          </cell>
          <cell r="AU233">
            <v>0</v>
          </cell>
          <cell r="AW233">
            <v>0</v>
          </cell>
          <cell r="AX233">
            <v>0</v>
          </cell>
        </row>
        <row r="234"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30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330.2834567508126</v>
          </cell>
          <cell r="AF234">
            <v>2377</v>
          </cell>
          <cell r="AH234">
            <v>432.5264025534882</v>
          </cell>
          <cell r="AI234">
            <v>0</v>
          </cell>
          <cell r="AK234">
            <v>286.66466480475628</v>
          </cell>
          <cell r="AL234">
            <v>0</v>
          </cell>
          <cell r="AN234">
            <v>0</v>
          </cell>
          <cell r="AO234">
            <v>0</v>
          </cell>
          <cell r="AQ234">
            <v>0</v>
          </cell>
          <cell r="AR234">
            <v>0</v>
          </cell>
          <cell r="AT234">
            <v>78.787193100235982</v>
          </cell>
          <cell r="AU234">
            <v>0</v>
          </cell>
          <cell r="AW234">
            <v>0</v>
          </cell>
          <cell r="AX234">
            <v>0</v>
          </cell>
        </row>
        <row r="235"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349.31330119830955</v>
          </cell>
          <cell r="AF235">
            <v>0</v>
          </cell>
          <cell r="AH235">
            <v>432.5264025534882</v>
          </cell>
          <cell r="AI235">
            <v>0</v>
          </cell>
          <cell r="AK235">
            <v>323.16543218430274</v>
          </cell>
          <cell r="AL235">
            <v>0</v>
          </cell>
          <cell r="AN235">
            <v>0</v>
          </cell>
          <cell r="AO235">
            <v>0</v>
          </cell>
          <cell r="AQ235">
            <v>0</v>
          </cell>
          <cell r="AR235">
            <v>0</v>
          </cell>
          <cell r="AT235">
            <v>78.787193100235982</v>
          </cell>
          <cell r="AU235">
            <v>700</v>
          </cell>
          <cell r="AW235">
            <v>0</v>
          </cell>
          <cell r="AX235">
            <v>0</v>
          </cell>
        </row>
        <row r="236">
          <cell r="I236">
            <v>5.6</v>
          </cell>
          <cell r="J236">
            <v>1071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5965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2464</v>
          </cell>
          <cell r="AE236">
            <v>1498.8275399726424</v>
          </cell>
          <cell r="AF236">
            <v>1250</v>
          </cell>
          <cell r="AH236">
            <v>2314.420350658464</v>
          </cell>
          <cell r="AI236">
            <v>0</v>
          </cell>
          <cell r="AK236">
            <v>1350.1942452430567</v>
          </cell>
          <cell r="AL236">
            <v>0</v>
          </cell>
          <cell r="AN236">
            <v>0</v>
          </cell>
          <cell r="AO236">
            <v>0</v>
          </cell>
          <cell r="AQ236">
            <v>0</v>
          </cell>
          <cell r="AR236">
            <v>0</v>
          </cell>
          <cell r="AT236">
            <v>773.7601988996729</v>
          </cell>
          <cell r="AU236">
            <v>537</v>
          </cell>
          <cell r="AW236">
            <v>0</v>
          </cell>
          <cell r="AX236">
            <v>0</v>
          </cell>
        </row>
        <row r="237"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523.93991389663245</v>
          </cell>
          <cell r="Y237">
            <v>963</v>
          </cell>
          <cell r="Z237">
            <v>0</v>
          </cell>
          <cell r="AA237">
            <v>0</v>
          </cell>
          <cell r="AB237">
            <v>0</v>
          </cell>
          <cell r="AC237">
            <v>158</v>
          </cell>
          <cell r="AD237">
            <v>0</v>
          </cell>
          <cell r="AE237">
            <v>1660.7203621814176</v>
          </cell>
          <cell r="AF237">
            <v>0</v>
          </cell>
          <cell r="AH237">
            <v>1914.1159177535098</v>
          </cell>
          <cell r="AI237">
            <v>0</v>
          </cell>
          <cell r="AK237">
            <v>2076.7730066581944</v>
          </cell>
          <cell r="AL237">
            <v>0</v>
          </cell>
          <cell r="AN237">
            <v>0</v>
          </cell>
          <cell r="AO237">
            <v>0</v>
          </cell>
          <cell r="AQ237">
            <v>0</v>
          </cell>
          <cell r="AR237">
            <v>0</v>
          </cell>
          <cell r="AT237">
            <v>679.39534353161719</v>
          </cell>
          <cell r="AU237">
            <v>946.55031513112704</v>
          </cell>
          <cell r="AW237">
            <v>0</v>
          </cell>
          <cell r="AX237">
            <v>0</v>
          </cell>
        </row>
        <row r="238">
          <cell r="I238">
            <v>80</v>
          </cell>
          <cell r="J238">
            <v>21753</v>
          </cell>
          <cell r="L238">
            <v>0</v>
          </cell>
          <cell r="M238">
            <v>0</v>
          </cell>
          <cell r="O238">
            <v>17</v>
          </cell>
          <cell r="P238">
            <v>5584.6823871066745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4</v>
          </cell>
          <cell r="X238">
            <v>314.62926953336381</v>
          </cell>
          <cell r="Y238">
            <v>278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1520</v>
          </cell>
          <cell r="AE238">
            <v>1940.8217125497979</v>
          </cell>
          <cell r="AF238">
            <v>6755</v>
          </cell>
          <cell r="AH238">
            <v>2669.3329242191721</v>
          </cell>
          <cell r="AI238">
            <v>0</v>
          </cell>
          <cell r="AK238">
            <v>2819.8391242299531</v>
          </cell>
          <cell r="AL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T238">
            <v>1077.0682812303669</v>
          </cell>
          <cell r="AU238">
            <v>913</v>
          </cell>
          <cell r="AW238">
            <v>0</v>
          </cell>
          <cell r="AX238">
            <v>0</v>
          </cell>
        </row>
        <row r="239"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O239">
            <v>10</v>
          </cell>
          <cell r="P239">
            <v>2415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6157.0340164124036</v>
          </cell>
          <cell r="Y239">
            <v>30048</v>
          </cell>
          <cell r="Z239">
            <v>0</v>
          </cell>
          <cell r="AA239">
            <v>0</v>
          </cell>
          <cell r="AB239">
            <v>4826</v>
          </cell>
          <cell r="AC239">
            <v>0</v>
          </cell>
          <cell r="AD239">
            <v>3258</v>
          </cell>
          <cell r="AE239">
            <v>1941.1583105102109</v>
          </cell>
          <cell r="AF239">
            <v>628</v>
          </cell>
          <cell r="AH239">
            <v>2669.3329242191721</v>
          </cell>
          <cell r="AI239">
            <v>0</v>
          </cell>
          <cell r="AK239">
            <v>2836.7505904415775</v>
          </cell>
          <cell r="AL239">
            <v>0</v>
          </cell>
          <cell r="AN239">
            <v>0</v>
          </cell>
          <cell r="AO239">
            <v>0</v>
          </cell>
          <cell r="AQ239">
            <v>0</v>
          </cell>
          <cell r="AR239">
            <v>0</v>
          </cell>
          <cell r="AT239">
            <v>1077.1086257719292</v>
          </cell>
          <cell r="AU239">
            <v>1132.007111349609</v>
          </cell>
          <cell r="AW239">
            <v>0</v>
          </cell>
          <cell r="AX239">
            <v>0</v>
          </cell>
        </row>
        <row r="240">
          <cell r="I240">
            <v>2</v>
          </cell>
          <cell r="J240">
            <v>1604.4913687532407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14324</v>
          </cell>
          <cell r="Z240">
            <v>0</v>
          </cell>
          <cell r="AA240">
            <v>0</v>
          </cell>
          <cell r="AB240">
            <v>0</v>
          </cell>
          <cell r="AC240">
            <v>63</v>
          </cell>
          <cell r="AD240">
            <v>2627</v>
          </cell>
          <cell r="AE240">
            <v>1940.8522748715295</v>
          </cell>
          <cell r="AF240">
            <v>6978.4688276844427</v>
          </cell>
          <cell r="AH240">
            <v>2669.3329242191721</v>
          </cell>
          <cell r="AI240">
            <v>0</v>
          </cell>
          <cell r="AK240">
            <v>2836.7505904415775</v>
          </cell>
          <cell r="AL240">
            <v>0</v>
          </cell>
          <cell r="AN240">
            <v>0</v>
          </cell>
          <cell r="AO240">
            <v>0</v>
          </cell>
          <cell r="AQ240">
            <v>0</v>
          </cell>
          <cell r="AR240">
            <v>0</v>
          </cell>
          <cell r="AT240">
            <v>1077.1086257719292</v>
          </cell>
          <cell r="AU240">
            <v>0</v>
          </cell>
          <cell r="AW240">
            <v>0</v>
          </cell>
          <cell r="AX240">
            <v>0</v>
          </cell>
        </row>
        <row r="241">
          <cell r="I241">
            <v>2.4</v>
          </cell>
          <cell r="J241">
            <v>1310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W241">
            <v>16</v>
          </cell>
          <cell r="X241">
            <v>15596.175520571929</v>
          </cell>
          <cell r="Y241">
            <v>0</v>
          </cell>
          <cell r="Z241">
            <v>0</v>
          </cell>
          <cell r="AA241">
            <v>0</v>
          </cell>
          <cell r="AB241">
            <v>3985</v>
          </cell>
          <cell r="AC241">
            <v>0</v>
          </cell>
          <cell r="AD241">
            <v>607</v>
          </cell>
          <cell r="AE241">
            <v>1940.8522748715295</v>
          </cell>
          <cell r="AF241">
            <v>0</v>
          </cell>
          <cell r="AH241">
            <v>2669.3329242191721</v>
          </cell>
          <cell r="AI241">
            <v>0</v>
          </cell>
          <cell r="AK241">
            <v>2816.399268264744</v>
          </cell>
          <cell r="AL241">
            <v>0</v>
          </cell>
          <cell r="AN241">
            <v>0</v>
          </cell>
          <cell r="AO241">
            <v>0</v>
          </cell>
          <cell r="AQ241">
            <v>0</v>
          </cell>
          <cell r="AR241">
            <v>0</v>
          </cell>
          <cell r="AT241">
            <v>1077.1086257719292</v>
          </cell>
          <cell r="AU241">
            <v>0</v>
          </cell>
          <cell r="AW241">
            <v>0</v>
          </cell>
          <cell r="AX241">
            <v>0</v>
          </cell>
        </row>
        <row r="242">
          <cell r="I242">
            <v>0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W242">
            <v>7</v>
          </cell>
          <cell r="X242">
            <v>900</v>
          </cell>
          <cell r="Y242">
            <v>6029</v>
          </cell>
          <cell r="Z242">
            <v>0</v>
          </cell>
          <cell r="AA242">
            <v>0</v>
          </cell>
          <cell r="AB242">
            <v>438</v>
          </cell>
          <cell r="AC242">
            <v>0</v>
          </cell>
          <cell r="AD242">
            <v>1461</v>
          </cell>
          <cell r="AE242">
            <v>2718.9857743579219</v>
          </cell>
          <cell r="AF242">
            <v>4726.6464957170501</v>
          </cell>
          <cell r="AH242">
            <v>4381.8986440394083</v>
          </cell>
          <cell r="AI242">
            <v>0</v>
          </cell>
          <cell r="AK242">
            <v>2483.0060505546044</v>
          </cell>
          <cell r="AL242">
            <v>0</v>
          </cell>
          <cell r="AN242">
            <v>0</v>
          </cell>
          <cell r="AO242">
            <v>0</v>
          </cell>
          <cell r="AQ242">
            <v>0</v>
          </cell>
          <cell r="AR242">
            <v>0</v>
          </cell>
          <cell r="AT242">
            <v>1996.0577553651658</v>
          </cell>
          <cell r="AU242">
            <v>0</v>
          </cell>
          <cell r="AW242">
            <v>0</v>
          </cell>
          <cell r="AX242">
            <v>0</v>
          </cell>
        </row>
        <row r="243">
          <cell r="I243">
            <v>400</v>
          </cell>
          <cell r="J243">
            <v>96425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W243">
            <v>10</v>
          </cell>
          <cell r="X243">
            <v>674.73448140108098</v>
          </cell>
          <cell r="Y243">
            <v>1055.6706979051455</v>
          </cell>
          <cell r="Z243">
            <v>0</v>
          </cell>
          <cell r="AA243">
            <v>5396</v>
          </cell>
          <cell r="AB243">
            <v>0</v>
          </cell>
          <cell r="AC243">
            <v>3234</v>
          </cell>
          <cell r="AD243">
            <v>1732</v>
          </cell>
          <cell r="AE243">
            <v>2719.7205850661035</v>
          </cell>
          <cell r="AF243">
            <v>0</v>
          </cell>
          <cell r="AH243">
            <v>4382.8307950745648</v>
          </cell>
          <cell r="AI243">
            <v>1508</v>
          </cell>
          <cell r="AK243">
            <v>2466.0344534120486</v>
          </cell>
          <cell r="AL243">
            <v>0</v>
          </cell>
          <cell r="AN243">
            <v>0</v>
          </cell>
          <cell r="AO243">
            <v>0</v>
          </cell>
          <cell r="AQ243">
            <v>1313.1883369600607</v>
          </cell>
          <cell r="AR243">
            <v>0</v>
          </cell>
          <cell r="AT243">
            <v>1997.2923467174544</v>
          </cell>
          <cell r="AU243">
            <v>0</v>
          </cell>
          <cell r="AW243">
            <v>0</v>
          </cell>
          <cell r="AX243">
            <v>0</v>
          </cell>
        </row>
        <row r="244">
          <cell r="I244">
            <v>1.6</v>
          </cell>
          <cell r="J244">
            <v>266.03132216097328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17.100000000000001</v>
          </cell>
          <cell r="X244">
            <v>2563.5453954503287</v>
          </cell>
          <cell r="Y244">
            <v>5617</v>
          </cell>
          <cell r="Z244">
            <v>0</v>
          </cell>
          <cell r="AA244">
            <v>0</v>
          </cell>
          <cell r="AB244">
            <v>0</v>
          </cell>
          <cell r="AC244">
            <v>1097</v>
          </cell>
          <cell r="AD244">
            <v>2571</v>
          </cell>
          <cell r="AE244">
            <v>1872.4864454471726</v>
          </cell>
          <cell r="AF244">
            <v>0</v>
          </cell>
          <cell r="AH244">
            <v>2942.5534028547149</v>
          </cell>
          <cell r="AI244">
            <v>3509</v>
          </cell>
          <cell r="AK244">
            <v>1770.2885804307064</v>
          </cell>
          <cell r="AL244">
            <v>0</v>
          </cell>
          <cell r="AN244">
            <v>0</v>
          </cell>
          <cell r="AO244">
            <v>0</v>
          </cell>
          <cell r="AQ244">
            <v>0</v>
          </cell>
          <cell r="AR244">
            <v>0</v>
          </cell>
          <cell r="AT244">
            <v>1125.4035227710551</v>
          </cell>
          <cell r="AU244">
            <v>1463</v>
          </cell>
          <cell r="AW244">
            <v>0</v>
          </cell>
          <cell r="AX244">
            <v>0</v>
          </cell>
        </row>
        <row r="245"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W245">
            <v>23.6</v>
          </cell>
          <cell r="X245">
            <v>1615.9629868341692</v>
          </cell>
          <cell r="Y245">
            <v>5946</v>
          </cell>
          <cell r="Z245">
            <v>0</v>
          </cell>
          <cell r="AA245">
            <v>0</v>
          </cell>
          <cell r="AB245">
            <v>0</v>
          </cell>
          <cell r="AC245">
            <v>8582</v>
          </cell>
          <cell r="AD245">
            <v>3712.6582639794706</v>
          </cell>
          <cell r="AE245">
            <v>3586.2517104456761</v>
          </cell>
          <cell r="AF245">
            <v>29837.4245853256</v>
          </cell>
          <cell r="AH245">
            <v>5849.096344318531</v>
          </cell>
          <cell r="AI245">
            <v>1275</v>
          </cell>
          <cell r="AK245">
            <v>3405.6976121344578</v>
          </cell>
          <cell r="AL245">
            <v>0</v>
          </cell>
          <cell r="AN245">
            <v>0</v>
          </cell>
          <cell r="AO245">
            <v>0</v>
          </cell>
          <cell r="AQ245">
            <v>2032.8706882486333</v>
          </cell>
          <cell r="AR245">
            <v>0</v>
          </cell>
          <cell r="AT245">
            <v>3130.1207916871576</v>
          </cell>
          <cell r="AU245">
            <v>617</v>
          </cell>
          <cell r="AW245">
            <v>0</v>
          </cell>
          <cell r="AX245">
            <v>0</v>
          </cell>
        </row>
        <row r="246">
          <cell r="I246">
            <v>56.5</v>
          </cell>
          <cell r="J246">
            <v>5158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W246">
            <v>5</v>
          </cell>
          <cell r="X246">
            <v>332</v>
          </cell>
          <cell r="Y246">
            <v>615</v>
          </cell>
          <cell r="Z246">
            <v>0</v>
          </cell>
          <cell r="AA246">
            <v>0</v>
          </cell>
          <cell r="AB246">
            <v>203</v>
          </cell>
          <cell r="AC246">
            <v>2757</v>
          </cell>
          <cell r="AD246">
            <v>3828</v>
          </cell>
          <cell r="AE246">
            <v>1761.7417485155004</v>
          </cell>
          <cell r="AF246">
            <v>5042.0019601349413</v>
          </cell>
          <cell r="AH246">
            <v>2874.3209718152834</v>
          </cell>
          <cell r="AI246">
            <v>1976</v>
          </cell>
          <cell r="AK246">
            <v>1510.7208812997071</v>
          </cell>
          <cell r="AL246">
            <v>0</v>
          </cell>
          <cell r="AN246">
            <v>0</v>
          </cell>
          <cell r="AO246">
            <v>0</v>
          </cell>
          <cell r="AQ246">
            <v>0</v>
          </cell>
          <cell r="AR246">
            <v>0</v>
          </cell>
          <cell r="AT246">
            <v>1056.6837643250167</v>
          </cell>
          <cell r="AU246">
            <v>0</v>
          </cell>
          <cell r="AW246">
            <v>0</v>
          </cell>
          <cell r="AX246">
            <v>0</v>
          </cell>
        </row>
        <row r="247"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W247">
            <v>25</v>
          </cell>
          <cell r="X247">
            <v>4851.7739008834169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572</v>
          </cell>
          <cell r="AE247">
            <v>2726.0289986663761</v>
          </cell>
          <cell r="AF247">
            <v>0</v>
          </cell>
          <cell r="AH247">
            <v>4387.842192329912</v>
          </cell>
          <cell r="AI247">
            <v>2072</v>
          </cell>
          <cell r="AK247">
            <v>2515.8781281670199</v>
          </cell>
          <cell r="AL247">
            <v>4576</v>
          </cell>
          <cell r="AN247">
            <v>0</v>
          </cell>
          <cell r="AO247">
            <v>0</v>
          </cell>
          <cell r="AQ247">
            <v>1340.0602642586261</v>
          </cell>
          <cell r="AR247">
            <v>0</v>
          </cell>
          <cell r="AT247">
            <v>2005.6681296940276</v>
          </cell>
          <cell r="AU247">
            <v>0</v>
          </cell>
          <cell r="AW247">
            <v>0</v>
          </cell>
          <cell r="AX247">
            <v>0</v>
          </cell>
        </row>
        <row r="248">
          <cell r="I248">
            <v>0</v>
          </cell>
          <cell r="J248">
            <v>0</v>
          </cell>
          <cell r="L248">
            <v>1</v>
          </cell>
          <cell r="M248">
            <v>52285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14</v>
          </cell>
          <cell r="X248">
            <v>1016</v>
          </cell>
          <cell r="Y248">
            <v>5763.0723346168297</v>
          </cell>
          <cell r="Z248">
            <v>0</v>
          </cell>
          <cell r="AA248">
            <v>0</v>
          </cell>
          <cell r="AB248">
            <v>4186</v>
          </cell>
          <cell r="AC248">
            <v>2006.4134109018471</v>
          </cell>
          <cell r="AD248">
            <v>2848.8690429148346</v>
          </cell>
          <cell r="AE248">
            <v>3591.3880761832247</v>
          </cell>
          <cell r="AF248">
            <v>0</v>
          </cell>
          <cell r="AH248">
            <v>5853.175590538719</v>
          </cell>
          <cell r="AI248">
            <v>858</v>
          </cell>
          <cell r="AK248">
            <v>3411.6345498281385</v>
          </cell>
          <cell r="AL248">
            <v>0</v>
          </cell>
          <cell r="AN248">
            <v>0</v>
          </cell>
          <cell r="AO248">
            <v>0</v>
          </cell>
          <cell r="AQ248">
            <v>2032.8706882486333</v>
          </cell>
          <cell r="AR248">
            <v>1602</v>
          </cell>
          <cell r="AT248">
            <v>3257.9610079019617</v>
          </cell>
          <cell r="AU248">
            <v>4578.1014713253662</v>
          </cell>
          <cell r="AW248">
            <v>0</v>
          </cell>
          <cell r="AX248">
            <v>0</v>
          </cell>
        </row>
        <row r="249">
          <cell r="I249">
            <v>9</v>
          </cell>
          <cell r="J249">
            <v>2358</v>
          </cell>
          <cell r="L249">
            <v>1</v>
          </cell>
          <cell r="M249">
            <v>38572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4398</v>
          </cell>
          <cell r="Z249">
            <v>0</v>
          </cell>
          <cell r="AA249">
            <v>0</v>
          </cell>
          <cell r="AB249">
            <v>0</v>
          </cell>
          <cell r="AC249">
            <v>55188</v>
          </cell>
          <cell r="AD249">
            <v>3916</v>
          </cell>
          <cell r="AE249">
            <v>2196.5301685076433</v>
          </cell>
          <cell r="AF249">
            <v>0</v>
          </cell>
          <cell r="AH249">
            <v>2941.9120062973689</v>
          </cell>
          <cell r="AI249">
            <v>1741</v>
          </cell>
          <cell r="AK249">
            <v>1847.4865521523907</v>
          </cell>
          <cell r="AL249">
            <v>3769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T249">
            <v>1203.324112177607</v>
          </cell>
          <cell r="AU249">
            <v>3183</v>
          </cell>
          <cell r="AW249">
            <v>0</v>
          </cell>
          <cell r="AX249">
            <v>0</v>
          </cell>
        </row>
        <row r="250"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1535</v>
          </cell>
          <cell r="AC250">
            <v>1883.5573774764557</v>
          </cell>
          <cell r="AD250">
            <v>595</v>
          </cell>
          <cell r="AE250">
            <v>2183.3875509932777</v>
          </cell>
          <cell r="AF250">
            <v>0</v>
          </cell>
          <cell r="AH250">
            <v>2941.9120062973689</v>
          </cell>
          <cell r="AI250">
            <v>5336</v>
          </cell>
          <cell r="AK250">
            <v>1862.332916412691</v>
          </cell>
          <cell r="AL250">
            <v>5126.5482284402133</v>
          </cell>
          <cell r="AN250">
            <v>0</v>
          </cell>
          <cell r="AO250">
            <v>0</v>
          </cell>
          <cell r="AQ250">
            <v>0</v>
          </cell>
          <cell r="AR250">
            <v>0</v>
          </cell>
          <cell r="AT250">
            <v>1203.7497185719883</v>
          </cell>
          <cell r="AU250">
            <v>0</v>
          </cell>
          <cell r="AW250">
            <v>0</v>
          </cell>
          <cell r="AX250">
            <v>0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W251">
            <v>12.8</v>
          </cell>
          <cell r="X251">
            <v>1827.3135880406071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567</v>
          </cell>
          <cell r="AD251">
            <v>4948</v>
          </cell>
          <cell r="AE251">
            <v>2649.9189143213425</v>
          </cell>
          <cell r="AF251">
            <v>0</v>
          </cell>
          <cell r="AH251">
            <v>4350.6088254260403</v>
          </cell>
          <cell r="AI251">
            <v>0</v>
          </cell>
          <cell r="AK251">
            <v>2475.7371298877242</v>
          </cell>
          <cell r="AL251">
            <v>2702</v>
          </cell>
          <cell r="AN251">
            <v>0</v>
          </cell>
          <cell r="AO251">
            <v>0</v>
          </cell>
          <cell r="AQ251">
            <v>1313.1883369600607</v>
          </cell>
          <cell r="AR251">
            <v>0</v>
          </cell>
          <cell r="AT251">
            <v>1948.3121048901876</v>
          </cell>
          <cell r="AU251">
            <v>0</v>
          </cell>
          <cell r="AW251">
            <v>0</v>
          </cell>
          <cell r="AX251">
            <v>0</v>
          </cell>
        </row>
        <row r="252">
          <cell r="I252">
            <v>20.7</v>
          </cell>
          <cell r="J252">
            <v>12036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1315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877</v>
          </cell>
          <cell r="AE252">
            <v>1828.4897654681938</v>
          </cell>
          <cell r="AF252">
            <v>0</v>
          </cell>
          <cell r="AH252">
            <v>2822.0543934331595</v>
          </cell>
          <cell r="AI252">
            <v>0</v>
          </cell>
          <cell r="AK252">
            <v>2259.0427486137705</v>
          </cell>
          <cell r="AL252">
            <v>0</v>
          </cell>
          <cell r="AN252">
            <v>1355.1322550396417</v>
          </cell>
          <cell r="AO252">
            <v>0</v>
          </cell>
          <cell r="AQ252">
            <v>0</v>
          </cell>
          <cell r="AR252">
            <v>0</v>
          </cell>
          <cell r="AT252">
            <v>1131.8305790749851</v>
          </cell>
          <cell r="AU252">
            <v>752</v>
          </cell>
          <cell r="AW252">
            <v>0</v>
          </cell>
          <cell r="AX252">
            <v>0</v>
          </cell>
        </row>
        <row r="253"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W253">
            <v>6</v>
          </cell>
          <cell r="X253">
            <v>2579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H253">
            <v>0</v>
          </cell>
          <cell r="AI253">
            <v>0</v>
          </cell>
          <cell r="AK253">
            <v>0</v>
          </cell>
          <cell r="AL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</row>
        <row r="254"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T254">
            <v>0</v>
          </cell>
          <cell r="AU254">
            <v>0</v>
          </cell>
          <cell r="AW254">
            <v>0</v>
          </cell>
          <cell r="AX254">
            <v>0</v>
          </cell>
        </row>
        <row r="255">
          <cell r="I255">
            <v>0</v>
          </cell>
          <cell r="J255">
            <v>20635</v>
          </cell>
          <cell r="L255">
            <v>0</v>
          </cell>
          <cell r="M255">
            <v>0</v>
          </cell>
          <cell r="O255">
            <v>54</v>
          </cell>
          <cell r="P255">
            <v>15651</v>
          </cell>
          <cell r="R255">
            <v>2</v>
          </cell>
          <cell r="S255">
            <v>72251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542</v>
          </cell>
          <cell r="AC255">
            <v>0</v>
          </cell>
          <cell r="AD255">
            <v>5418.5028678404151</v>
          </cell>
          <cell r="AE255">
            <v>961.69406720715915</v>
          </cell>
          <cell r="AF255">
            <v>950</v>
          </cell>
          <cell r="AH255">
            <v>1297.8229016329078</v>
          </cell>
          <cell r="AI255">
            <v>0</v>
          </cell>
          <cell r="AK255">
            <v>1804.883735314449</v>
          </cell>
          <cell r="AL255">
            <v>0</v>
          </cell>
          <cell r="AN255">
            <v>656.49589741022794</v>
          </cell>
          <cell r="AO255">
            <v>0</v>
          </cell>
          <cell r="AQ255">
            <v>395.76741189229665</v>
          </cell>
          <cell r="AR255">
            <v>0</v>
          </cell>
          <cell r="AT255">
            <v>1092.5591927780767</v>
          </cell>
          <cell r="AU255">
            <v>7260.4141765209279</v>
          </cell>
          <cell r="AW255">
            <v>564.96887113974969</v>
          </cell>
          <cell r="AX255">
            <v>0</v>
          </cell>
        </row>
        <row r="256"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R256">
            <v>4</v>
          </cell>
          <cell r="S256">
            <v>6625.2744262621</v>
          </cell>
          <cell r="U256">
            <v>0</v>
          </cell>
          <cell r="V256">
            <v>0</v>
          </cell>
          <cell r="W256">
            <v>0</v>
          </cell>
          <cell r="X256">
            <v>694.68458537450272</v>
          </cell>
          <cell r="Y256">
            <v>299</v>
          </cell>
          <cell r="Z256">
            <v>0</v>
          </cell>
          <cell r="AA256">
            <v>0</v>
          </cell>
          <cell r="AB256">
            <v>149</v>
          </cell>
          <cell r="AC256">
            <v>459.62404904927871</v>
          </cell>
          <cell r="AD256">
            <v>3791</v>
          </cell>
          <cell r="AE256">
            <v>2132.0641849026724</v>
          </cell>
          <cell r="AF256">
            <v>4934.3555195575163</v>
          </cell>
          <cell r="AH256">
            <v>5373.5146163070895</v>
          </cell>
          <cell r="AI256">
            <v>6340</v>
          </cell>
          <cell r="AK256">
            <v>4472.7789092458415</v>
          </cell>
          <cell r="AL256">
            <v>883</v>
          </cell>
          <cell r="AN256">
            <v>1728.7653925644852</v>
          </cell>
          <cell r="AO256">
            <v>0</v>
          </cell>
          <cell r="AQ256">
            <v>593.65087276649558</v>
          </cell>
          <cell r="AR256">
            <v>0</v>
          </cell>
          <cell r="AT256">
            <v>3112.3210858872571</v>
          </cell>
          <cell r="AU256">
            <v>11708.433598105185</v>
          </cell>
          <cell r="AW256">
            <v>0</v>
          </cell>
          <cell r="AX256">
            <v>0</v>
          </cell>
        </row>
        <row r="257">
          <cell r="I257">
            <v>70.56</v>
          </cell>
          <cell r="J257">
            <v>19087</v>
          </cell>
          <cell r="L257">
            <v>0</v>
          </cell>
          <cell r="M257">
            <v>0</v>
          </cell>
          <cell r="O257">
            <v>115.5</v>
          </cell>
          <cell r="P257">
            <v>32272.444587862581</v>
          </cell>
          <cell r="R257">
            <v>9</v>
          </cell>
          <cell r="S257">
            <v>302997.79950094369</v>
          </cell>
          <cell r="U257">
            <v>11250.863304253755</v>
          </cell>
          <cell r="V257">
            <v>0</v>
          </cell>
          <cell r="W257">
            <v>0</v>
          </cell>
          <cell r="X257">
            <v>0</v>
          </cell>
          <cell r="Y257">
            <v>1972</v>
          </cell>
          <cell r="Z257">
            <v>0</v>
          </cell>
          <cell r="AA257">
            <v>0</v>
          </cell>
          <cell r="AB257">
            <v>673</v>
          </cell>
          <cell r="AC257">
            <v>2570.9979346452519</v>
          </cell>
          <cell r="AD257">
            <v>7396.7912877526996</v>
          </cell>
          <cell r="AE257">
            <v>2756.7173454829358</v>
          </cell>
          <cell r="AF257">
            <v>0</v>
          </cell>
          <cell r="AH257">
            <v>6268.8140207556853</v>
          </cell>
          <cell r="AI257">
            <v>5464.0783749639049</v>
          </cell>
          <cell r="AK257">
            <v>4937.001410919047</v>
          </cell>
          <cell r="AL257">
            <v>543</v>
          </cell>
          <cell r="AN257">
            <v>1873.6597970360642</v>
          </cell>
          <cell r="AO257">
            <v>0</v>
          </cell>
          <cell r="AQ257">
            <v>692.52015965609053</v>
          </cell>
          <cell r="AR257">
            <v>0</v>
          </cell>
          <cell r="AT257">
            <v>3254.6927853582233</v>
          </cell>
          <cell r="AU257">
            <v>810</v>
          </cell>
          <cell r="AW257">
            <v>0</v>
          </cell>
          <cell r="AX257">
            <v>0</v>
          </cell>
        </row>
        <row r="258">
          <cell r="I258">
            <v>28</v>
          </cell>
          <cell r="J258">
            <v>8046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R258">
            <v>2</v>
          </cell>
          <cell r="S258">
            <v>130173.69635990597</v>
          </cell>
          <cell r="U258">
            <v>514.75108498197608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960.91635960613041</v>
          </cell>
          <cell r="AD258">
            <v>7898.279712270959</v>
          </cell>
          <cell r="AE258">
            <v>1223.0524661633051</v>
          </cell>
          <cell r="AF258">
            <v>358</v>
          </cell>
          <cell r="AH258">
            <v>1567.0283868514341</v>
          </cell>
          <cell r="AI258">
            <v>0</v>
          </cell>
          <cell r="AK258">
            <v>2062.7285304522206</v>
          </cell>
          <cell r="AL258">
            <v>0</v>
          </cell>
          <cell r="AN258">
            <v>1083.3718009514098</v>
          </cell>
          <cell r="AO258">
            <v>888</v>
          </cell>
          <cell r="AQ258">
            <v>296.75274776379348</v>
          </cell>
          <cell r="AR258">
            <v>0</v>
          </cell>
          <cell r="AT258">
            <v>1514.400586237809</v>
          </cell>
          <cell r="AU258">
            <v>0</v>
          </cell>
          <cell r="AW258">
            <v>0</v>
          </cell>
          <cell r="AX258">
            <v>0</v>
          </cell>
        </row>
        <row r="259"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R259">
            <v>1</v>
          </cell>
          <cell r="S259">
            <v>1351</v>
          </cell>
          <cell r="U259">
            <v>0</v>
          </cell>
          <cell r="V259">
            <v>0</v>
          </cell>
          <cell r="W259">
            <v>0</v>
          </cell>
          <cell r="X259">
            <v>553.4064884069976</v>
          </cell>
          <cell r="Y259">
            <v>4502</v>
          </cell>
          <cell r="Z259">
            <v>0</v>
          </cell>
          <cell r="AA259">
            <v>0</v>
          </cell>
          <cell r="AB259">
            <v>4098</v>
          </cell>
          <cell r="AC259">
            <v>0</v>
          </cell>
          <cell r="AD259">
            <v>2439.7391406910797</v>
          </cell>
          <cell r="AE259">
            <v>733.88638053240402</v>
          </cell>
          <cell r="AF259">
            <v>15225</v>
          </cell>
          <cell r="AH259">
            <v>947.60805588229516</v>
          </cell>
          <cell r="AI259">
            <v>0</v>
          </cell>
          <cell r="AK259">
            <v>1586.2383804804301</v>
          </cell>
          <cell r="AL259">
            <v>33106.158005999998</v>
          </cell>
          <cell r="AN259">
            <v>548.66782316481806</v>
          </cell>
          <cell r="AO259">
            <v>0</v>
          </cell>
          <cell r="AQ259">
            <v>237.46044713537802</v>
          </cell>
          <cell r="AR259">
            <v>0</v>
          </cell>
          <cell r="AT259">
            <v>535.50420489191015</v>
          </cell>
          <cell r="AU259">
            <v>699</v>
          </cell>
          <cell r="AW259">
            <v>0</v>
          </cell>
          <cell r="AX259">
            <v>0</v>
          </cell>
        </row>
        <row r="260">
          <cell r="I260">
            <v>0</v>
          </cell>
          <cell r="J260">
            <v>568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R260">
            <v>1</v>
          </cell>
          <cell r="S260">
            <v>2787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4251</v>
          </cell>
          <cell r="AC260">
            <v>0</v>
          </cell>
          <cell r="AD260">
            <v>606</v>
          </cell>
          <cell r="AE260">
            <v>426.7357792822782</v>
          </cell>
          <cell r="AF260">
            <v>364</v>
          </cell>
          <cell r="AH260">
            <v>550.04534384095462</v>
          </cell>
          <cell r="AI260">
            <v>0</v>
          </cell>
          <cell r="AK260">
            <v>0</v>
          </cell>
          <cell r="AL260">
            <v>0</v>
          </cell>
          <cell r="AN260">
            <v>0</v>
          </cell>
          <cell r="AO260">
            <v>0</v>
          </cell>
          <cell r="AQ260">
            <v>118.73022356768901</v>
          </cell>
          <cell r="AR260">
            <v>0</v>
          </cell>
          <cell r="AT260">
            <v>286.28114353368375</v>
          </cell>
          <cell r="AU260">
            <v>0</v>
          </cell>
          <cell r="AW260">
            <v>0</v>
          </cell>
          <cell r="AX260">
            <v>0</v>
          </cell>
        </row>
        <row r="261"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27110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687</v>
          </cell>
          <cell r="AE261">
            <v>1368.7608611583591</v>
          </cell>
          <cell r="AF261">
            <v>443</v>
          </cell>
          <cell r="AH261">
            <v>2358.2381722663035</v>
          </cell>
          <cell r="AI261">
            <v>0</v>
          </cell>
          <cell r="AK261">
            <v>2206.9999042560471</v>
          </cell>
          <cell r="AL261">
            <v>437</v>
          </cell>
          <cell r="AN261">
            <v>0</v>
          </cell>
          <cell r="AO261">
            <v>0</v>
          </cell>
          <cell r="AQ261">
            <v>0</v>
          </cell>
          <cell r="AR261">
            <v>1067.3185707928915</v>
          </cell>
          <cell r="AT261">
            <v>954.67898494974099</v>
          </cell>
          <cell r="AU261">
            <v>0</v>
          </cell>
          <cell r="AW261">
            <v>0</v>
          </cell>
          <cell r="AX261">
            <v>0</v>
          </cell>
        </row>
        <row r="262">
          <cell r="I262">
            <v>393.5</v>
          </cell>
          <cell r="J262">
            <v>209157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512.36856500215094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537</v>
          </cell>
          <cell r="AE262">
            <v>1257.8367990749434</v>
          </cell>
          <cell r="AF262">
            <v>0</v>
          </cell>
          <cell r="AH262">
            <v>1764.8322982023592</v>
          </cell>
          <cell r="AI262">
            <v>0</v>
          </cell>
          <cell r="AK262">
            <v>1290.6919343424536</v>
          </cell>
          <cell r="AL262">
            <v>0</v>
          </cell>
          <cell r="AN262">
            <v>0</v>
          </cell>
          <cell r="AO262">
            <v>0</v>
          </cell>
          <cell r="AQ262">
            <v>0</v>
          </cell>
          <cell r="AR262">
            <v>0</v>
          </cell>
          <cell r="AT262">
            <v>619.15263517957965</v>
          </cell>
          <cell r="AU262">
            <v>0</v>
          </cell>
          <cell r="AW262">
            <v>0</v>
          </cell>
          <cell r="AX262">
            <v>0</v>
          </cell>
        </row>
        <row r="263">
          <cell r="I263">
            <v>0</v>
          </cell>
          <cell r="J263">
            <v>0</v>
          </cell>
          <cell r="L263">
            <v>1</v>
          </cell>
          <cell r="M263">
            <v>50536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1764</v>
          </cell>
          <cell r="AC263">
            <v>340</v>
          </cell>
          <cell r="AD263">
            <v>1305</v>
          </cell>
          <cell r="AE263">
            <v>1630.9894102159412</v>
          </cell>
          <cell r="AF263">
            <v>0</v>
          </cell>
          <cell r="AH263">
            <v>2337.261412497548</v>
          </cell>
          <cell r="AI263">
            <v>0</v>
          </cell>
          <cell r="AK263">
            <v>1437.852631880578</v>
          </cell>
          <cell r="AL263">
            <v>2937</v>
          </cell>
          <cell r="AN263">
            <v>0</v>
          </cell>
          <cell r="AO263">
            <v>0</v>
          </cell>
          <cell r="AQ263">
            <v>0</v>
          </cell>
          <cell r="AR263">
            <v>1059.0296082014213</v>
          </cell>
          <cell r="AT263">
            <v>933.73207326345789</v>
          </cell>
          <cell r="AU263">
            <v>0</v>
          </cell>
          <cell r="AW263">
            <v>0</v>
          </cell>
          <cell r="AX263">
            <v>0</v>
          </cell>
        </row>
        <row r="264">
          <cell r="I264">
            <v>69.900000000000006</v>
          </cell>
          <cell r="J264">
            <v>17914.434116485703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W264">
            <v>10.5</v>
          </cell>
          <cell r="X264">
            <v>7060</v>
          </cell>
          <cell r="Y264">
            <v>733</v>
          </cell>
          <cell r="Z264">
            <v>0</v>
          </cell>
          <cell r="AA264">
            <v>0</v>
          </cell>
          <cell r="AB264">
            <v>12015</v>
          </cell>
          <cell r="AC264">
            <v>3096.3453343322808</v>
          </cell>
          <cell r="AD264">
            <v>1443</v>
          </cell>
          <cell r="AE264">
            <v>1941.2189983180372</v>
          </cell>
          <cell r="AF264">
            <v>682</v>
          </cell>
          <cell r="AH264">
            <v>2670.2650752543364</v>
          </cell>
          <cell r="AI264">
            <v>0</v>
          </cell>
          <cell r="AK264">
            <v>2675.2102145267922</v>
          </cell>
          <cell r="AL264">
            <v>0</v>
          </cell>
          <cell r="AN264">
            <v>0</v>
          </cell>
          <cell r="AO264">
            <v>0</v>
          </cell>
          <cell r="AQ264">
            <v>0</v>
          </cell>
          <cell r="AR264">
            <v>1820.1866671432276</v>
          </cell>
          <cell r="AT264">
            <v>1077.4931120872545</v>
          </cell>
          <cell r="AU264">
            <v>0</v>
          </cell>
          <cell r="AW264">
            <v>0</v>
          </cell>
          <cell r="AX264">
            <v>0</v>
          </cell>
        </row>
        <row r="265">
          <cell r="I265">
            <v>502.05</v>
          </cell>
          <cell r="J265">
            <v>272283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9.1999999999999993</v>
          </cell>
          <cell r="X265">
            <v>3521.995367240143</v>
          </cell>
          <cell r="Y265">
            <v>907</v>
          </cell>
          <cell r="Z265">
            <v>0</v>
          </cell>
          <cell r="AA265">
            <v>0</v>
          </cell>
          <cell r="AB265">
            <v>0</v>
          </cell>
          <cell r="AC265">
            <v>1128</v>
          </cell>
          <cell r="AD265">
            <v>139</v>
          </cell>
          <cell r="AE265">
            <v>2079.8486131865361</v>
          </cell>
          <cell r="AF265">
            <v>0</v>
          </cell>
          <cell r="AH265">
            <v>2969.7644653917991</v>
          </cell>
          <cell r="AI265">
            <v>0</v>
          </cell>
          <cell r="AK265">
            <v>2567.4502082701674</v>
          </cell>
          <cell r="AL265">
            <v>1748</v>
          </cell>
          <cell r="AN265">
            <v>0</v>
          </cell>
          <cell r="AO265">
            <v>0</v>
          </cell>
          <cell r="AQ265">
            <v>0</v>
          </cell>
          <cell r="AR265">
            <v>2509</v>
          </cell>
          <cell r="AT265">
            <v>1377.6536715304339</v>
          </cell>
          <cell r="AU265">
            <v>0</v>
          </cell>
          <cell r="AW265">
            <v>0</v>
          </cell>
          <cell r="AX265">
            <v>0</v>
          </cell>
        </row>
        <row r="266">
          <cell r="I266">
            <v>14</v>
          </cell>
          <cell r="J266">
            <v>3206.1835422240815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1154.1799146083156</v>
          </cell>
          <cell r="Z266">
            <v>0</v>
          </cell>
          <cell r="AA266">
            <v>0</v>
          </cell>
          <cell r="AB266">
            <v>3651</v>
          </cell>
          <cell r="AC266">
            <v>884.57356987822641</v>
          </cell>
          <cell r="AD266">
            <v>0</v>
          </cell>
          <cell r="AE266">
            <v>1001.7790737636645</v>
          </cell>
          <cell r="AF266">
            <v>0</v>
          </cell>
          <cell r="AH266">
            <v>1801.7749106284225</v>
          </cell>
          <cell r="AI266">
            <v>0</v>
          </cell>
          <cell r="AK266">
            <v>963.89916963247276</v>
          </cell>
          <cell r="AL266">
            <v>0</v>
          </cell>
          <cell r="AN266">
            <v>0</v>
          </cell>
          <cell r="AO266">
            <v>0</v>
          </cell>
          <cell r="AQ266">
            <v>0</v>
          </cell>
          <cell r="AR266">
            <v>1211.4153617716138</v>
          </cell>
          <cell r="AT266">
            <v>480.08864742659665</v>
          </cell>
          <cell r="AU266">
            <v>0</v>
          </cell>
          <cell r="AW266">
            <v>0</v>
          </cell>
          <cell r="AX266">
            <v>0</v>
          </cell>
        </row>
        <row r="267">
          <cell r="I267">
            <v>2.8</v>
          </cell>
          <cell r="J267">
            <v>535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242</v>
          </cell>
          <cell r="AD267">
            <v>1645</v>
          </cell>
          <cell r="AE267">
            <v>954.22272985364179</v>
          </cell>
          <cell r="AF267">
            <v>0</v>
          </cell>
          <cell r="AH267">
            <v>1403.9761763511399</v>
          </cell>
          <cell r="AI267">
            <v>0</v>
          </cell>
          <cell r="AK267">
            <v>1036.2949495964508</v>
          </cell>
          <cell r="AL267">
            <v>0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T267">
            <v>328.51922665841101</v>
          </cell>
          <cell r="AU267">
            <v>0</v>
          </cell>
          <cell r="AW267">
            <v>0</v>
          </cell>
          <cell r="AX267">
            <v>0</v>
          </cell>
        </row>
        <row r="268">
          <cell r="I268">
            <v>0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3895</v>
          </cell>
          <cell r="AD268">
            <v>0</v>
          </cell>
          <cell r="AE268">
            <v>1627.9531490506042</v>
          </cell>
          <cell r="AF268">
            <v>0</v>
          </cell>
          <cell r="AH268">
            <v>2033.6832662837996</v>
          </cell>
          <cell r="AI268">
            <v>0</v>
          </cell>
          <cell r="AK268">
            <v>1796.4142790237477</v>
          </cell>
          <cell r="AL268">
            <v>0</v>
          </cell>
          <cell r="AN268">
            <v>0</v>
          </cell>
          <cell r="AO268">
            <v>0</v>
          </cell>
          <cell r="AQ268">
            <v>0</v>
          </cell>
          <cell r="AR268">
            <v>0</v>
          </cell>
          <cell r="AT268">
            <v>890.60525345086819</v>
          </cell>
          <cell r="AU268">
            <v>0</v>
          </cell>
          <cell r="AW268">
            <v>0</v>
          </cell>
          <cell r="AX268">
            <v>0</v>
          </cell>
        </row>
        <row r="269">
          <cell r="I269">
            <v>18.3</v>
          </cell>
          <cell r="J269">
            <v>2371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1443</v>
          </cell>
          <cell r="AE269">
            <v>1021.3550171155492</v>
          </cell>
          <cell r="AF269">
            <v>0</v>
          </cell>
          <cell r="AH269">
            <v>1506.0041246316141</v>
          </cell>
          <cell r="AI269">
            <v>0</v>
          </cell>
          <cell r="AK269">
            <v>1324.6729239194649</v>
          </cell>
          <cell r="AL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T269">
            <v>419.40006742127804</v>
          </cell>
          <cell r="AU269">
            <v>0</v>
          </cell>
          <cell r="AW269">
            <v>0</v>
          </cell>
          <cell r="AX269">
            <v>0</v>
          </cell>
        </row>
        <row r="270"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546</v>
          </cell>
          <cell r="AE270">
            <v>0</v>
          </cell>
          <cell r="AF270">
            <v>0</v>
          </cell>
          <cell r="AH270">
            <v>0</v>
          </cell>
          <cell r="AI270">
            <v>0</v>
          </cell>
          <cell r="AK270">
            <v>0</v>
          </cell>
          <cell r="AL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T270">
            <v>0</v>
          </cell>
          <cell r="AU270">
            <v>0</v>
          </cell>
          <cell r="AW270">
            <v>0</v>
          </cell>
          <cell r="AX270">
            <v>0</v>
          </cell>
        </row>
        <row r="271">
          <cell r="I271">
            <v>148</v>
          </cell>
          <cell r="J271">
            <v>39459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H271">
            <v>0</v>
          </cell>
          <cell r="AI271">
            <v>0</v>
          </cell>
          <cell r="AK271">
            <v>0</v>
          </cell>
          <cell r="AL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T271">
            <v>138.35105058558756</v>
          </cell>
          <cell r="AU271">
            <v>0</v>
          </cell>
          <cell r="AW271">
            <v>0</v>
          </cell>
          <cell r="AX271">
            <v>0</v>
          </cell>
        </row>
        <row r="272"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522</v>
          </cell>
          <cell r="Z272">
            <v>0</v>
          </cell>
          <cell r="AA272">
            <v>1283</v>
          </cell>
          <cell r="AB272">
            <v>0</v>
          </cell>
          <cell r="AC272">
            <v>42141</v>
          </cell>
          <cell r="AD272">
            <v>7021</v>
          </cell>
          <cell r="AE272">
            <v>1762.1071081468469</v>
          </cell>
          <cell r="AF272">
            <v>2207.2848737934137</v>
          </cell>
          <cell r="AH272">
            <v>2570.742825601536</v>
          </cell>
          <cell r="AI272">
            <v>2619</v>
          </cell>
          <cell r="AK272">
            <v>0</v>
          </cell>
          <cell r="AL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T272">
            <v>1589.7287286988139</v>
          </cell>
          <cell r="AU272">
            <v>591</v>
          </cell>
          <cell r="AW272">
            <v>0</v>
          </cell>
          <cell r="AX272">
            <v>0</v>
          </cell>
        </row>
        <row r="273"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4</v>
          </cell>
          <cell r="X273">
            <v>250</v>
          </cell>
          <cell r="Y273">
            <v>239</v>
          </cell>
          <cell r="Z273">
            <v>0</v>
          </cell>
          <cell r="AA273">
            <v>0</v>
          </cell>
          <cell r="AB273">
            <v>2311</v>
          </cell>
          <cell r="AC273">
            <v>4494</v>
          </cell>
          <cell r="AD273">
            <v>861</v>
          </cell>
          <cell r="AE273">
            <v>1286.4451247283018</v>
          </cell>
          <cell r="AF273">
            <v>1342.8907635597841</v>
          </cell>
          <cell r="AH273">
            <v>1494.394984156788</v>
          </cell>
          <cell r="AI273">
            <v>3094</v>
          </cell>
          <cell r="AK273">
            <v>1360.6626241905344</v>
          </cell>
          <cell r="AL273">
            <v>0</v>
          </cell>
          <cell r="AN273">
            <v>772.12588337701925</v>
          </cell>
          <cell r="AO273">
            <v>0</v>
          </cell>
          <cell r="AQ273">
            <v>269.88106553717734</v>
          </cell>
          <cell r="AR273">
            <v>0</v>
          </cell>
          <cell r="AT273">
            <v>799.38644007811627</v>
          </cell>
          <cell r="AU273">
            <v>4903.7579875076235</v>
          </cell>
          <cell r="AW273">
            <v>479.27278233266929</v>
          </cell>
          <cell r="AX273">
            <v>0</v>
          </cell>
        </row>
        <row r="274">
          <cell r="I274">
            <v>8.6999999999999993</v>
          </cell>
          <cell r="J274">
            <v>3022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R274">
            <v>1</v>
          </cell>
          <cell r="S274">
            <v>2026</v>
          </cell>
          <cell r="U274">
            <v>0</v>
          </cell>
          <cell r="V274">
            <v>0</v>
          </cell>
          <cell r="W274">
            <v>9</v>
          </cell>
          <cell r="X274">
            <v>656.79153063759497</v>
          </cell>
          <cell r="Y274">
            <v>240</v>
          </cell>
          <cell r="Z274">
            <v>0</v>
          </cell>
          <cell r="AA274">
            <v>0</v>
          </cell>
          <cell r="AB274">
            <v>6618</v>
          </cell>
          <cell r="AC274">
            <v>0</v>
          </cell>
          <cell r="AD274">
            <v>1783.624674063564</v>
          </cell>
          <cell r="AE274">
            <v>1029.1560997826414</v>
          </cell>
          <cell r="AF274">
            <v>4245.3894632361389</v>
          </cell>
          <cell r="AH274">
            <v>1111.4041540851915</v>
          </cell>
          <cell r="AI274">
            <v>1220</v>
          </cell>
          <cell r="AK274">
            <v>1379.4653112763287</v>
          </cell>
          <cell r="AL274">
            <v>0</v>
          </cell>
          <cell r="AN274">
            <v>667.0073416075569</v>
          </cell>
          <cell r="AO274">
            <v>0</v>
          </cell>
          <cell r="AQ274">
            <v>338.22757708625721</v>
          </cell>
          <cell r="AR274">
            <v>0</v>
          </cell>
          <cell r="AT274">
            <v>630.97134106334943</v>
          </cell>
          <cell r="AU274">
            <v>7223.0639787842392</v>
          </cell>
          <cell r="AW274">
            <v>473.28042335629448</v>
          </cell>
          <cell r="AX274">
            <v>0</v>
          </cell>
        </row>
        <row r="275">
          <cell r="I275">
            <v>2.5</v>
          </cell>
          <cell r="J275">
            <v>1327.812127843695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3115</v>
          </cell>
          <cell r="AC275">
            <v>0</v>
          </cell>
          <cell r="AD275">
            <v>0</v>
          </cell>
          <cell r="AE275">
            <v>1177.4874086718121</v>
          </cell>
          <cell r="AF275">
            <v>0</v>
          </cell>
          <cell r="AH275">
            <v>1714.7481482563896</v>
          </cell>
          <cell r="AI275">
            <v>0</v>
          </cell>
          <cell r="AK275">
            <v>1046.4017712720649</v>
          </cell>
          <cell r="AL275">
            <v>0</v>
          </cell>
          <cell r="AN275">
            <v>639.2299292562808</v>
          </cell>
          <cell r="AO275">
            <v>0</v>
          </cell>
          <cell r="AQ275">
            <v>215.84670153417849</v>
          </cell>
          <cell r="AR275">
            <v>0</v>
          </cell>
          <cell r="AT275">
            <v>553.11184355419323</v>
          </cell>
          <cell r="AU275">
            <v>1657.3338849372135</v>
          </cell>
          <cell r="AW275">
            <v>191.44566298922325</v>
          </cell>
          <cell r="AX275">
            <v>0</v>
          </cell>
        </row>
        <row r="276"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550.79826680800022</v>
          </cell>
          <cell r="AF276">
            <v>0</v>
          </cell>
          <cell r="AH276">
            <v>558.96847012165529</v>
          </cell>
          <cell r="AI276">
            <v>0</v>
          </cell>
          <cell r="AK276">
            <v>407.48074181264582</v>
          </cell>
          <cell r="AL276">
            <v>664</v>
          </cell>
          <cell r="AN276">
            <v>0</v>
          </cell>
          <cell r="AO276">
            <v>0</v>
          </cell>
          <cell r="AQ276">
            <v>0</v>
          </cell>
          <cell r="AR276">
            <v>305.83164913890846</v>
          </cell>
          <cell r="AT276">
            <v>267.11038291810968</v>
          </cell>
          <cell r="AU276">
            <v>0</v>
          </cell>
          <cell r="AW276">
            <v>91.722285835089508</v>
          </cell>
          <cell r="AX276">
            <v>0</v>
          </cell>
        </row>
        <row r="277"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H277">
            <v>0</v>
          </cell>
          <cell r="AI277">
            <v>0</v>
          </cell>
          <cell r="AK277">
            <v>0</v>
          </cell>
          <cell r="AL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</row>
        <row r="278">
          <cell r="I278">
            <v>152.5</v>
          </cell>
          <cell r="J278">
            <v>53564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R278">
            <v>2</v>
          </cell>
          <cell r="S278">
            <v>29430</v>
          </cell>
          <cell r="U278">
            <v>0</v>
          </cell>
          <cell r="V278">
            <v>0</v>
          </cell>
          <cell r="W278">
            <v>3</v>
          </cell>
          <cell r="X278">
            <v>621.15271740710705</v>
          </cell>
          <cell r="Y278">
            <v>17213</v>
          </cell>
          <cell r="Z278">
            <v>0</v>
          </cell>
          <cell r="AA278">
            <v>0</v>
          </cell>
          <cell r="AB278">
            <v>9155.7565825090805</v>
          </cell>
          <cell r="AC278">
            <v>7307</v>
          </cell>
          <cell r="AD278">
            <v>6396.4606061582017</v>
          </cell>
          <cell r="AE278">
            <v>1240.5837293449365</v>
          </cell>
          <cell r="AF278">
            <v>1301</v>
          </cell>
          <cell r="AH278">
            <v>1498.3557380609511</v>
          </cell>
          <cell r="AI278">
            <v>0</v>
          </cell>
          <cell r="AK278">
            <v>1874.1393256250349</v>
          </cell>
          <cell r="AL278">
            <v>0</v>
          </cell>
          <cell r="AN278">
            <v>694.43415276689484</v>
          </cell>
          <cell r="AO278">
            <v>0</v>
          </cell>
          <cell r="AQ278">
            <v>395.76741189229665</v>
          </cell>
          <cell r="AR278">
            <v>1044</v>
          </cell>
          <cell r="AT278">
            <v>763.74000887404327</v>
          </cell>
          <cell r="AU278">
            <v>3330.3432915853305</v>
          </cell>
          <cell r="AW278">
            <v>614.00142415151981</v>
          </cell>
          <cell r="AX278">
            <v>0</v>
          </cell>
        </row>
        <row r="279"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H279">
            <v>0</v>
          </cell>
          <cell r="AI279">
            <v>0</v>
          </cell>
          <cell r="AK279">
            <v>0</v>
          </cell>
          <cell r="AL279">
            <v>0</v>
          </cell>
          <cell r="AN279">
            <v>0</v>
          </cell>
          <cell r="AO279">
            <v>0</v>
          </cell>
          <cell r="AQ279">
            <v>0</v>
          </cell>
          <cell r="AR279">
            <v>0</v>
          </cell>
          <cell r="AT279">
            <v>0</v>
          </cell>
          <cell r="AU279">
            <v>0</v>
          </cell>
          <cell r="AW279">
            <v>0</v>
          </cell>
          <cell r="AX279">
            <v>0</v>
          </cell>
        </row>
        <row r="280"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217.85153657885772</v>
          </cell>
          <cell r="AF280">
            <v>0</v>
          </cell>
          <cell r="AH280">
            <v>293.55584184695147</v>
          </cell>
          <cell r="AI280">
            <v>0</v>
          </cell>
          <cell r="AK280">
            <v>151.88545680503069</v>
          </cell>
          <cell r="AL280">
            <v>0</v>
          </cell>
          <cell r="AN280">
            <v>0</v>
          </cell>
          <cell r="AO280">
            <v>0</v>
          </cell>
          <cell r="AQ280">
            <v>0</v>
          </cell>
          <cell r="AR280">
            <v>0</v>
          </cell>
          <cell r="AT280">
            <v>59.168551776459459</v>
          </cell>
          <cell r="AU280">
            <v>0</v>
          </cell>
          <cell r="AW280">
            <v>0</v>
          </cell>
          <cell r="AX280">
            <v>0</v>
          </cell>
        </row>
        <row r="281"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H281">
            <v>0</v>
          </cell>
          <cell r="AI281">
            <v>0</v>
          </cell>
          <cell r="AK281">
            <v>0</v>
          </cell>
          <cell r="AL281">
            <v>0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T281">
            <v>0</v>
          </cell>
          <cell r="AU281">
            <v>0</v>
          </cell>
          <cell r="AW281">
            <v>0</v>
          </cell>
          <cell r="AX281">
            <v>0</v>
          </cell>
        </row>
        <row r="282">
          <cell r="I282">
            <v>30</v>
          </cell>
          <cell r="J282">
            <v>7039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536.51565274207735</v>
          </cell>
          <cell r="AD282">
            <v>2793</v>
          </cell>
          <cell r="AE282">
            <v>760.68954818548775</v>
          </cell>
          <cell r="AF282">
            <v>460</v>
          </cell>
          <cell r="AH282">
            <v>908.87013657091518</v>
          </cell>
          <cell r="AI282">
            <v>0</v>
          </cell>
          <cell r="AK282">
            <v>952.62342012223451</v>
          </cell>
          <cell r="AL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378</v>
          </cell>
          <cell r="AT282">
            <v>354.89402947662137</v>
          </cell>
          <cell r="AU282">
            <v>0</v>
          </cell>
          <cell r="AW282">
            <v>0</v>
          </cell>
          <cell r="AX282">
            <v>0</v>
          </cell>
        </row>
        <row r="283">
          <cell r="I283">
            <v>141.21</v>
          </cell>
          <cell r="J283">
            <v>46928</v>
          </cell>
          <cell r="L283">
            <v>0</v>
          </cell>
          <cell r="M283">
            <v>0</v>
          </cell>
          <cell r="O283">
            <v>49</v>
          </cell>
          <cell r="P283">
            <v>12557</v>
          </cell>
          <cell r="R283">
            <v>1</v>
          </cell>
          <cell r="S283">
            <v>1347</v>
          </cell>
          <cell r="U283">
            <v>0</v>
          </cell>
          <cell r="V283">
            <v>0</v>
          </cell>
          <cell r="W283">
            <v>29.5</v>
          </cell>
          <cell r="X283">
            <v>1999</v>
          </cell>
          <cell r="Y283">
            <v>3477</v>
          </cell>
          <cell r="Z283">
            <v>0</v>
          </cell>
          <cell r="AA283">
            <v>0</v>
          </cell>
          <cell r="AB283">
            <v>4359</v>
          </cell>
          <cell r="AC283">
            <v>975</v>
          </cell>
          <cell r="AD283">
            <v>1970</v>
          </cell>
          <cell r="AE283">
            <v>2127.0322516732763</v>
          </cell>
          <cell r="AF283">
            <v>3837</v>
          </cell>
          <cell r="AH283">
            <v>2962.410674261333</v>
          </cell>
          <cell r="AI283">
            <v>1331</v>
          </cell>
          <cell r="AK283">
            <v>3594.0212437855839</v>
          </cell>
          <cell r="AL283">
            <v>19903.576188440977</v>
          </cell>
          <cell r="AN283">
            <v>1212.9835507155915</v>
          </cell>
          <cell r="AO283">
            <v>4307</v>
          </cell>
          <cell r="AQ283">
            <v>634.10414095325257</v>
          </cell>
          <cell r="AR283">
            <v>0</v>
          </cell>
          <cell r="AT283">
            <v>821.24248283863255</v>
          </cell>
          <cell r="AU283">
            <v>2954</v>
          </cell>
          <cell r="AW283">
            <v>0</v>
          </cell>
          <cell r="AX283">
            <v>0</v>
          </cell>
        </row>
        <row r="284">
          <cell r="I284">
            <v>134</v>
          </cell>
          <cell r="J284">
            <v>34822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R284">
            <v>2</v>
          </cell>
          <cell r="S284">
            <v>6204.2460662203202</v>
          </cell>
          <cell r="U284">
            <v>0</v>
          </cell>
          <cell r="V284">
            <v>0</v>
          </cell>
          <cell r="W284">
            <v>43</v>
          </cell>
          <cell r="X284">
            <v>24221</v>
          </cell>
          <cell r="Y284">
            <v>280</v>
          </cell>
          <cell r="Z284">
            <v>0</v>
          </cell>
          <cell r="AA284">
            <v>0</v>
          </cell>
          <cell r="AB284">
            <v>266</v>
          </cell>
          <cell r="AC284">
            <v>0</v>
          </cell>
          <cell r="AD284">
            <v>17446</v>
          </cell>
          <cell r="AE284">
            <v>1081.6800050073205</v>
          </cell>
          <cell r="AF284">
            <v>2403.8535805925976</v>
          </cell>
          <cell r="AH284">
            <v>1818.9168533652817</v>
          </cell>
          <cell r="AI284">
            <v>1042</v>
          </cell>
          <cell r="AK284">
            <v>2250.7642963954763</v>
          </cell>
          <cell r="AL284">
            <v>43382</v>
          </cell>
          <cell r="AN284">
            <v>890.42151739741564</v>
          </cell>
          <cell r="AO284">
            <v>1485</v>
          </cell>
          <cell r="AQ284">
            <v>395.76741189229665</v>
          </cell>
          <cell r="AR284">
            <v>9773</v>
          </cell>
          <cell r="AT284">
            <v>430.16392829767398</v>
          </cell>
          <cell r="AU284">
            <v>8245.9144761069019</v>
          </cell>
          <cell r="AW284">
            <v>0</v>
          </cell>
          <cell r="AX284">
            <v>0</v>
          </cell>
        </row>
        <row r="285"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908</v>
          </cell>
          <cell r="AD285">
            <v>0</v>
          </cell>
          <cell r="AE285">
            <v>1151.9342551156299</v>
          </cell>
          <cell r="AF285">
            <v>0</v>
          </cell>
          <cell r="AH285">
            <v>1629.9409837160067</v>
          </cell>
          <cell r="AI285">
            <v>0</v>
          </cell>
          <cell r="AK285">
            <v>1606.6710917432122</v>
          </cell>
          <cell r="AL285">
            <v>3665.8612763976348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T285">
            <v>475.15199954789972</v>
          </cell>
          <cell r="AU285">
            <v>133.007111349609</v>
          </cell>
          <cell r="AW285">
            <v>0</v>
          </cell>
          <cell r="AX285">
            <v>0</v>
          </cell>
        </row>
        <row r="286">
          <cell r="I286">
            <v>0</v>
          </cell>
          <cell r="J286">
            <v>0</v>
          </cell>
          <cell r="L286">
            <v>0</v>
          </cell>
          <cell r="M286">
            <v>1598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W286">
            <v>2</v>
          </cell>
          <cell r="X286">
            <v>167.61241105942892</v>
          </cell>
          <cell r="Y286">
            <v>4083</v>
          </cell>
          <cell r="Z286">
            <v>0</v>
          </cell>
          <cell r="AA286">
            <v>0</v>
          </cell>
          <cell r="AB286">
            <v>8912</v>
          </cell>
          <cell r="AC286">
            <v>316</v>
          </cell>
          <cell r="AD286">
            <v>3162</v>
          </cell>
          <cell r="AE286">
            <v>2740.8123502456219</v>
          </cell>
          <cell r="AF286">
            <v>5950.1174201706708</v>
          </cell>
          <cell r="AH286">
            <v>4379.3929454117269</v>
          </cell>
          <cell r="AI286">
            <v>3344</v>
          </cell>
          <cell r="AK286">
            <v>2589.3638818952413</v>
          </cell>
          <cell r="AL286">
            <v>1520</v>
          </cell>
          <cell r="AN286">
            <v>0</v>
          </cell>
          <cell r="AO286">
            <v>0</v>
          </cell>
          <cell r="AQ286">
            <v>1313.1883369600607</v>
          </cell>
          <cell r="AR286">
            <v>0</v>
          </cell>
          <cell r="AT286">
            <v>1993.1246172078954</v>
          </cell>
          <cell r="AU286">
            <v>4136</v>
          </cell>
          <cell r="AW286">
            <v>0</v>
          </cell>
          <cell r="AX286">
            <v>0</v>
          </cell>
        </row>
        <row r="287"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747.42372480879703</v>
          </cell>
          <cell r="AF287">
            <v>473</v>
          </cell>
          <cell r="AH287">
            <v>921.68889404320214</v>
          </cell>
          <cell r="AI287">
            <v>0</v>
          </cell>
          <cell r="AK287">
            <v>1034.5376849620941</v>
          </cell>
          <cell r="AL287">
            <v>0</v>
          </cell>
          <cell r="AN287">
            <v>0</v>
          </cell>
          <cell r="AO287">
            <v>0</v>
          </cell>
          <cell r="AQ287">
            <v>0</v>
          </cell>
          <cell r="AR287">
            <v>0</v>
          </cell>
          <cell r="AT287">
            <v>360.33684092152436</v>
          </cell>
          <cell r="AU287">
            <v>0</v>
          </cell>
          <cell r="AW287">
            <v>0</v>
          </cell>
          <cell r="AX287">
            <v>0</v>
          </cell>
        </row>
        <row r="288"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6</v>
          </cell>
          <cell r="X288">
            <v>6070.5712816806954</v>
          </cell>
          <cell r="Y288">
            <v>7859.6728723498181</v>
          </cell>
          <cell r="Z288">
            <v>0</v>
          </cell>
          <cell r="AA288">
            <v>0</v>
          </cell>
          <cell r="AB288">
            <v>407</v>
          </cell>
          <cell r="AC288">
            <v>230</v>
          </cell>
          <cell r="AD288">
            <v>4705</v>
          </cell>
          <cell r="AE288">
            <v>2341.2061018613631</v>
          </cell>
          <cell r="AF288">
            <v>3222.5444295781217</v>
          </cell>
          <cell r="AH288">
            <v>3674.5787054017655</v>
          </cell>
          <cell r="AI288">
            <v>0</v>
          </cell>
          <cell r="AK288">
            <v>2991.2679034611992</v>
          </cell>
          <cell r="AL288">
            <v>0</v>
          </cell>
          <cell r="AN288">
            <v>0</v>
          </cell>
          <cell r="AO288">
            <v>0</v>
          </cell>
          <cell r="AQ288">
            <v>0</v>
          </cell>
          <cell r="AR288">
            <v>0</v>
          </cell>
          <cell r="AT288">
            <v>1457.3789296653183</v>
          </cell>
          <cell r="AU288">
            <v>0</v>
          </cell>
          <cell r="AW288">
            <v>0</v>
          </cell>
          <cell r="AX288">
            <v>0</v>
          </cell>
        </row>
        <row r="289"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4530</v>
          </cell>
          <cell r="AD289">
            <v>9020</v>
          </cell>
          <cell r="AE289">
            <v>1907.071994649662</v>
          </cell>
          <cell r="AF289">
            <v>0</v>
          </cell>
          <cell r="AH289">
            <v>2942.5534028547149</v>
          </cell>
          <cell r="AI289">
            <v>1841</v>
          </cell>
          <cell r="AK289">
            <v>2612.1491099034452</v>
          </cell>
          <cell r="AL289">
            <v>0</v>
          </cell>
          <cell r="AN289">
            <v>0</v>
          </cell>
          <cell r="AO289">
            <v>0</v>
          </cell>
          <cell r="AQ289">
            <v>0</v>
          </cell>
          <cell r="AR289">
            <v>0</v>
          </cell>
          <cell r="AT289">
            <v>1046.5116144968702</v>
          </cell>
          <cell r="AU289">
            <v>0</v>
          </cell>
          <cell r="AW289">
            <v>0</v>
          </cell>
          <cell r="AX289">
            <v>0</v>
          </cell>
        </row>
        <row r="290">
          <cell r="I290">
            <v>4.2699999999999996</v>
          </cell>
          <cell r="J290">
            <v>1322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1773.0577563406075</v>
          </cell>
          <cell r="AD290">
            <v>1443</v>
          </cell>
          <cell r="AE290">
            <v>827.30919472547509</v>
          </cell>
          <cell r="AF290">
            <v>0</v>
          </cell>
          <cell r="AH290">
            <v>1146.7215503729049</v>
          </cell>
          <cell r="AI290">
            <v>0</v>
          </cell>
          <cell r="AK290">
            <v>988.71379778245785</v>
          </cell>
          <cell r="AL290">
            <v>474</v>
          </cell>
          <cell r="AN290">
            <v>0</v>
          </cell>
          <cell r="AO290">
            <v>0</v>
          </cell>
          <cell r="AQ290">
            <v>0</v>
          </cell>
          <cell r="AR290">
            <v>1255.0218409575091</v>
          </cell>
          <cell r="AT290">
            <v>337.73115767901049</v>
          </cell>
          <cell r="AU290">
            <v>0</v>
          </cell>
          <cell r="AW290">
            <v>0</v>
          </cell>
          <cell r="AX290">
            <v>0</v>
          </cell>
        </row>
        <row r="291">
          <cell r="I291">
            <v>183.5</v>
          </cell>
          <cell r="J291">
            <v>193138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5</v>
          </cell>
          <cell r="X291">
            <v>990.69977529783864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1810</v>
          </cell>
          <cell r="AE291">
            <v>1893.6166085164348</v>
          </cell>
          <cell r="AF291">
            <v>1105.4626722118337</v>
          </cell>
          <cell r="AH291">
            <v>2961.3152184736136</v>
          </cell>
          <cell r="AI291">
            <v>0</v>
          </cell>
          <cell r="AK291">
            <v>1971.0598078944429</v>
          </cell>
          <cell r="AL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T291">
            <v>1381.5350366937619</v>
          </cell>
          <cell r="AU291">
            <v>810</v>
          </cell>
          <cell r="AW291">
            <v>0</v>
          </cell>
          <cell r="AX291">
            <v>0</v>
          </cell>
        </row>
        <row r="292">
          <cell r="I292">
            <v>50.4</v>
          </cell>
          <cell r="J292">
            <v>116438</v>
          </cell>
          <cell r="L292">
            <v>0</v>
          </cell>
          <cell r="M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1070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1493.0900498192123</v>
          </cell>
          <cell r="AF292">
            <v>0</v>
          </cell>
          <cell r="AH292">
            <v>2204.8753064949697</v>
          </cell>
          <cell r="AI292">
            <v>0</v>
          </cell>
          <cell r="AK292">
            <v>1427.3557587604225</v>
          </cell>
          <cell r="AL292">
            <v>480.39198214586401</v>
          </cell>
          <cell r="AN292">
            <v>0</v>
          </cell>
          <cell r="AO292">
            <v>0</v>
          </cell>
          <cell r="AQ292">
            <v>0</v>
          </cell>
          <cell r="AR292">
            <v>0</v>
          </cell>
          <cell r="AT292">
            <v>1019.548497893585</v>
          </cell>
          <cell r="AU292">
            <v>633</v>
          </cell>
          <cell r="AW292">
            <v>0</v>
          </cell>
          <cell r="AX292">
            <v>3845</v>
          </cell>
        </row>
        <row r="293">
          <cell r="I293">
            <v>0.5</v>
          </cell>
          <cell r="J293">
            <v>1054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374.52482092463612</v>
          </cell>
          <cell r="AF293">
            <v>0</v>
          </cell>
          <cell r="AH293">
            <v>430.95285496097796</v>
          </cell>
          <cell r="AI293">
            <v>0</v>
          </cell>
          <cell r="AK293">
            <v>0</v>
          </cell>
          <cell r="AL293">
            <v>0</v>
          </cell>
          <cell r="AN293">
            <v>0</v>
          </cell>
          <cell r="AO293">
            <v>0</v>
          </cell>
          <cell r="AQ293">
            <v>0</v>
          </cell>
          <cell r="AR293">
            <v>0</v>
          </cell>
          <cell r="AT293">
            <v>59.168610702023365</v>
          </cell>
          <cell r="AU293">
            <v>0</v>
          </cell>
          <cell r="AW293">
            <v>0</v>
          </cell>
          <cell r="AX293">
            <v>0</v>
          </cell>
        </row>
        <row r="294"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2242</v>
          </cell>
          <cell r="AD294">
            <v>1978</v>
          </cell>
          <cell r="AE294">
            <v>1018.7425463430262</v>
          </cell>
          <cell r="AF294">
            <v>0</v>
          </cell>
          <cell r="AH294">
            <v>1503.4989161478395</v>
          </cell>
          <cell r="AI294">
            <v>0</v>
          </cell>
          <cell r="AK294">
            <v>1493.2565303283902</v>
          </cell>
          <cell r="AL294">
            <v>0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T294">
            <v>418.166019251828</v>
          </cell>
          <cell r="AU294">
            <v>263</v>
          </cell>
          <cell r="AW294">
            <v>0</v>
          </cell>
          <cell r="AX294">
            <v>0</v>
          </cell>
        </row>
        <row r="295">
          <cell r="I295">
            <v>18</v>
          </cell>
          <cell r="J295">
            <v>4408</v>
          </cell>
          <cell r="L295">
            <v>0</v>
          </cell>
          <cell r="M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4</v>
          </cell>
          <cell r="X295">
            <v>3108</v>
          </cell>
          <cell r="Y295">
            <v>0</v>
          </cell>
          <cell r="Z295">
            <v>0</v>
          </cell>
          <cell r="AA295">
            <v>0</v>
          </cell>
          <cell r="AB295">
            <v>7403</v>
          </cell>
          <cell r="AC295">
            <v>162</v>
          </cell>
          <cell r="AD295">
            <v>1443</v>
          </cell>
          <cell r="AE295">
            <v>2341.2061018613631</v>
          </cell>
          <cell r="AF295">
            <v>7487.5317046204882</v>
          </cell>
          <cell r="AH295">
            <v>3678.6579516219567</v>
          </cell>
          <cell r="AI295">
            <v>0</v>
          </cell>
          <cell r="AK295">
            <v>2795.7458479114321</v>
          </cell>
          <cell r="AL295">
            <v>0</v>
          </cell>
          <cell r="AN295">
            <v>0</v>
          </cell>
          <cell r="AO295">
            <v>0</v>
          </cell>
          <cell r="AQ295">
            <v>0</v>
          </cell>
          <cell r="AR295">
            <v>1477.4685484033084</v>
          </cell>
          <cell r="AT295">
            <v>1457.3787839677098</v>
          </cell>
          <cell r="AU295">
            <v>433</v>
          </cell>
          <cell r="AW295">
            <v>0</v>
          </cell>
          <cell r="AX295">
            <v>0</v>
          </cell>
        </row>
        <row r="296">
          <cell r="I296">
            <v>2.4</v>
          </cell>
          <cell r="J296">
            <v>4009</v>
          </cell>
          <cell r="L296">
            <v>0</v>
          </cell>
          <cell r="M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3973.1585764675801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1405.9648922256026</v>
          </cell>
          <cell r="AF296">
            <v>503.99848642048795</v>
          </cell>
          <cell r="AH296">
            <v>1981.4161977577769</v>
          </cell>
          <cell r="AI296">
            <v>1337</v>
          </cell>
          <cell r="AK296">
            <v>1767.8746577982554</v>
          </cell>
          <cell r="AL296">
            <v>0</v>
          </cell>
          <cell r="AN296">
            <v>0</v>
          </cell>
          <cell r="AO296">
            <v>0</v>
          </cell>
          <cell r="AQ296">
            <v>0</v>
          </cell>
          <cell r="AR296">
            <v>0</v>
          </cell>
          <cell r="AT296">
            <v>664.47614255436054</v>
          </cell>
          <cell r="AU296">
            <v>0</v>
          </cell>
          <cell r="AW296">
            <v>0</v>
          </cell>
          <cell r="AX296">
            <v>0</v>
          </cell>
        </row>
        <row r="297">
          <cell r="I297">
            <v>1</v>
          </cell>
          <cell r="J297">
            <v>415</v>
          </cell>
          <cell r="L297">
            <v>0</v>
          </cell>
          <cell r="M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341.48934295574026</v>
          </cell>
          <cell r="Y297">
            <v>1146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1611.6447012401443</v>
          </cell>
          <cell r="AF297">
            <v>0</v>
          </cell>
          <cell r="AH297">
            <v>2547.2603672051077</v>
          </cell>
          <cell r="AI297">
            <v>0</v>
          </cell>
          <cell r="AK297">
            <v>1679.1683726037834</v>
          </cell>
          <cell r="AL297">
            <v>0</v>
          </cell>
          <cell r="AN297">
            <v>0</v>
          </cell>
          <cell r="AO297">
            <v>0</v>
          </cell>
          <cell r="AQ297">
            <v>0</v>
          </cell>
          <cell r="AR297">
            <v>0</v>
          </cell>
          <cell r="AT297">
            <v>917.10405527719467</v>
          </cell>
          <cell r="AU297">
            <v>460</v>
          </cell>
          <cell r="AW297">
            <v>0</v>
          </cell>
          <cell r="AX297">
            <v>0</v>
          </cell>
        </row>
        <row r="298">
          <cell r="I298">
            <v>0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470.92698989168298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1443</v>
          </cell>
          <cell r="AE298">
            <v>1465.5743256567923</v>
          </cell>
          <cell r="AF298">
            <v>0</v>
          </cell>
          <cell r="AH298">
            <v>1994.8763517874106</v>
          </cell>
          <cell r="AI298">
            <v>0</v>
          </cell>
          <cell r="AK298">
            <v>1973.147644759455</v>
          </cell>
          <cell r="AL298">
            <v>0</v>
          </cell>
          <cell r="AN298">
            <v>0</v>
          </cell>
          <cell r="AO298">
            <v>0</v>
          </cell>
          <cell r="AQ298">
            <v>0</v>
          </cell>
          <cell r="AR298">
            <v>0</v>
          </cell>
          <cell r="AT298">
            <v>706.39549299709142</v>
          </cell>
          <cell r="AU298">
            <v>5868</v>
          </cell>
          <cell r="AW298">
            <v>0</v>
          </cell>
          <cell r="AX298">
            <v>0</v>
          </cell>
        </row>
        <row r="299"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2.4</v>
          </cell>
          <cell r="X299">
            <v>208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826.876931670555</v>
          </cell>
          <cell r="AD299">
            <v>0</v>
          </cell>
          <cell r="AE299">
            <v>1079.5151822299279</v>
          </cell>
          <cell r="AF299">
            <v>0</v>
          </cell>
          <cell r="AH299">
            <v>1499.1289154498384</v>
          </cell>
          <cell r="AI299">
            <v>982</v>
          </cell>
          <cell r="AK299">
            <v>1922.5956799134422</v>
          </cell>
          <cell r="AL299">
            <v>0</v>
          </cell>
          <cell r="AN299">
            <v>0</v>
          </cell>
          <cell r="AO299">
            <v>0</v>
          </cell>
          <cell r="AQ299">
            <v>0</v>
          </cell>
          <cell r="AR299">
            <v>0</v>
          </cell>
          <cell r="AT299">
            <v>691.70062561757595</v>
          </cell>
          <cell r="AU299">
            <v>789</v>
          </cell>
          <cell r="AW299">
            <v>0</v>
          </cell>
          <cell r="AX299">
            <v>0</v>
          </cell>
        </row>
        <row r="300">
          <cell r="I300">
            <v>0</v>
          </cell>
          <cell r="J300">
            <v>3246</v>
          </cell>
          <cell r="L300">
            <v>2</v>
          </cell>
          <cell r="M300">
            <v>126058.60571047867</v>
          </cell>
          <cell r="O300">
            <v>12</v>
          </cell>
          <cell r="P300">
            <v>4424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6</v>
          </cell>
          <cell r="X300">
            <v>382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5149.9543067997402</v>
          </cell>
          <cell r="AD300">
            <v>4111</v>
          </cell>
          <cell r="AE300">
            <v>1465.5743256567923</v>
          </cell>
          <cell r="AF300">
            <v>0</v>
          </cell>
          <cell r="AH300">
            <v>1994.8763517874106</v>
          </cell>
          <cell r="AI300">
            <v>1482</v>
          </cell>
          <cell r="AK300">
            <v>1971.3242466643442</v>
          </cell>
          <cell r="AL300">
            <v>0</v>
          </cell>
          <cell r="AN300">
            <v>0</v>
          </cell>
          <cell r="AO300">
            <v>0</v>
          </cell>
          <cell r="AQ300">
            <v>0</v>
          </cell>
          <cell r="AR300">
            <v>0</v>
          </cell>
          <cell r="AT300">
            <v>706.39559549727301</v>
          </cell>
          <cell r="AU300">
            <v>14085.929256077703</v>
          </cell>
          <cell r="AW300">
            <v>0</v>
          </cell>
          <cell r="AX300">
            <v>0</v>
          </cell>
        </row>
        <row r="301">
          <cell r="I301">
            <v>0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173</v>
          </cell>
          <cell r="AE301">
            <v>368.74084918649328</v>
          </cell>
          <cell r="AF301">
            <v>0</v>
          </cell>
          <cell r="AH301">
            <v>440.04300829261018</v>
          </cell>
          <cell r="AI301">
            <v>0</v>
          </cell>
          <cell r="AK301">
            <v>0</v>
          </cell>
          <cell r="AL301">
            <v>0</v>
          </cell>
          <cell r="AN301">
            <v>0</v>
          </cell>
          <cell r="AO301">
            <v>0</v>
          </cell>
          <cell r="AQ301">
            <v>0</v>
          </cell>
          <cell r="AR301">
            <v>0</v>
          </cell>
          <cell r="AT301">
            <v>138.33972898124702</v>
          </cell>
          <cell r="AU301">
            <v>0</v>
          </cell>
          <cell r="AW301">
            <v>0</v>
          </cell>
          <cell r="AX301">
            <v>0</v>
          </cell>
        </row>
        <row r="302">
          <cell r="I302">
            <v>5.4</v>
          </cell>
          <cell r="J302">
            <v>1207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211.91714545125728</v>
          </cell>
          <cell r="Y302">
            <v>17729.054217620396</v>
          </cell>
          <cell r="Z302">
            <v>0</v>
          </cell>
          <cell r="AA302">
            <v>0</v>
          </cell>
          <cell r="AB302">
            <v>0</v>
          </cell>
          <cell r="AC302">
            <v>12957</v>
          </cell>
          <cell r="AD302">
            <v>355</v>
          </cell>
          <cell r="AE302">
            <v>1732.639864504373</v>
          </cell>
          <cell r="AF302">
            <v>6158</v>
          </cell>
          <cell r="AH302">
            <v>2835.5140573188933</v>
          </cell>
          <cell r="AI302">
            <v>2195</v>
          </cell>
          <cell r="AK302">
            <v>1892.4630568844098</v>
          </cell>
          <cell r="AL302">
            <v>0</v>
          </cell>
          <cell r="AN302">
            <v>0</v>
          </cell>
          <cell r="AO302">
            <v>0</v>
          </cell>
          <cell r="AQ302">
            <v>0</v>
          </cell>
          <cell r="AR302">
            <v>0</v>
          </cell>
          <cell r="AT302">
            <v>938.15733420702065</v>
          </cell>
          <cell r="AU302">
            <v>97</v>
          </cell>
          <cell r="AW302">
            <v>0</v>
          </cell>
          <cell r="AX302">
            <v>0</v>
          </cell>
        </row>
        <row r="303">
          <cell r="I303">
            <v>17.8</v>
          </cell>
          <cell r="J303">
            <v>3999.1958936274464</v>
          </cell>
          <cell r="L303">
            <v>0</v>
          </cell>
          <cell r="M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70.639048483752447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1507.1604035991033</v>
          </cell>
          <cell r="AF303">
            <v>0</v>
          </cell>
          <cell r="AH303">
            <v>1937.5983761499381</v>
          </cell>
          <cell r="AI303">
            <v>0</v>
          </cell>
          <cell r="AK303">
            <v>1857.5122851610065</v>
          </cell>
          <cell r="AL303">
            <v>0</v>
          </cell>
          <cell r="AN303">
            <v>859.00382534297398</v>
          </cell>
          <cell r="AO303">
            <v>0</v>
          </cell>
          <cell r="AQ303">
            <v>0</v>
          </cell>
          <cell r="AR303">
            <v>1132.2781252673831</v>
          </cell>
          <cell r="AT303">
            <v>802.30821170871957</v>
          </cell>
          <cell r="AU303">
            <v>0</v>
          </cell>
          <cell r="AW303">
            <v>0</v>
          </cell>
          <cell r="AX303">
            <v>0</v>
          </cell>
        </row>
        <row r="304">
          <cell r="I304">
            <v>14</v>
          </cell>
          <cell r="J304">
            <v>3206.1835422240815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306.10254342959388</v>
          </cell>
          <cell r="Y304">
            <v>1550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1534.1877248073981</v>
          </cell>
          <cell r="AF304">
            <v>1043.3356188650919</v>
          </cell>
          <cell r="AH304">
            <v>1945.1149818890601</v>
          </cell>
          <cell r="AI304">
            <v>0</v>
          </cell>
          <cell r="AK304">
            <v>1718.8657011071552</v>
          </cell>
          <cell r="AL304">
            <v>0</v>
          </cell>
          <cell r="AN304">
            <v>0</v>
          </cell>
          <cell r="AO304">
            <v>0</v>
          </cell>
          <cell r="AQ304">
            <v>0</v>
          </cell>
          <cell r="AR304">
            <v>1550.0918599176036</v>
          </cell>
          <cell r="AT304">
            <v>804.47265151148974</v>
          </cell>
          <cell r="AU304">
            <v>9340.9114363486951</v>
          </cell>
          <cell r="AW304">
            <v>0</v>
          </cell>
          <cell r="AX304">
            <v>0</v>
          </cell>
        </row>
        <row r="305">
          <cell r="I305">
            <v>15</v>
          </cell>
          <cell r="J305">
            <v>4179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607.09216525464956</v>
          </cell>
          <cell r="Y305">
            <v>4095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4180</v>
          </cell>
          <cell r="AE305">
            <v>3061.1019280008609</v>
          </cell>
          <cell r="AF305">
            <v>1812</v>
          </cell>
          <cell r="AH305">
            <v>4768.1015263573827</v>
          </cell>
          <cell r="AI305">
            <v>0</v>
          </cell>
          <cell r="AK305">
            <v>2942.0345814026255</v>
          </cell>
          <cell r="AL305">
            <v>10333.96273986187</v>
          </cell>
          <cell r="AN305">
            <v>0</v>
          </cell>
          <cell r="AO305">
            <v>0</v>
          </cell>
          <cell r="AQ305">
            <v>0</v>
          </cell>
          <cell r="AR305">
            <v>0</v>
          </cell>
          <cell r="AT305">
            <v>3022.758050626006</v>
          </cell>
          <cell r="AU305">
            <v>5447.0489151035745</v>
          </cell>
          <cell r="AW305">
            <v>0</v>
          </cell>
          <cell r="AX305">
            <v>0</v>
          </cell>
        </row>
        <row r="306">
          <cell r="I306">
            <v>4.5</v>
          </cell>
          <cell r="J306">
            <v>860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H306">
            <v>0</v>
          </cell>
          <cell r="AI306">
            <v>0</v>
          </cell>
          <cell r="AK306">
            <v>0</v>
          </cell>
          <cell r="AL306">
            <v>0</v>
          </cell>
          <cell r="AN306">
            <v>0</v>
          </cell>
          <cell r="AO306">
            <v>0</v>
          </cell>
          <cell r="AQ306">
            <v>0</v>
          </cell>
          <cell r="AR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</row>
        <row r="307">
          <cell r="I307">
            <v>0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537</v>
          </cell>
          <cell r="AE307">
            <v>0</v>
          </cell>
          <cell r="AF307">
            <v>0</v>
          </cell>
          <cell r="AH307">
            <v>0</v>
          </cell>
          <cell r="AI307">
            <v>0</v>
          </cell>
          <cell r="AK307">
            <v>0</v>
          </cell>
          <cell r="AL307">
            <v>0</v>
          </cell>
          <cell r="AN307">
            <v>0</v>
          </cell>
          <cell r="AO307">
            <v>0</v>
          </cell>
          <cell r="AQ307">
            <v>0</v>
          </cell>
          <cell r="AR307">
            <v>0</v>
          </cell>
          <cell r="AT307">
            <v>0</v>
          </cell>
          <cell r="AU307">
            <v>0</v>
          </cell>
          <cell r="AW307">
            <v>0</v>
          </cell>
          <cell r="AX307">
            <v>0</v>
          </cell>
        </row>
        <row r="308"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H308">
            <v>0</v>
          </cell>
          <cell r="AI308">
            <v>0</v>
          </cell>
          <cell r="AK308">
            <v>0</v>
          </cell>
          <cell r="AL308">
            <v>0</v>
          </cell>
          <cell r="AN308">
            <v>0</v>
          </cell>
          <cell r="AO308">
            <v>0</v>
          </cell>
          <cell r="AQ308">
            <v>0</v>
          </cell>
          <cell r="AR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</row>
        <row r="309"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581</v>
          </cell>
          <cell r="AE309">
            <v>0</v>
          </cell>
          <cell r="AF309">
            <v>0</v>
          </cell>
          <cell r="AH309">
            <v>0</v>
          </cell>
          <cell r="AI309">
            <v>0</v>
          </cell>
          <cell r="AK309">
            <v>0</v>
          </cell>
          <cell r="AL309">
            <v>0</v>
          </cell>
          <cell r="AN309">
            <v>0</v>
          </cell>
          <cell r="AO309">
            <v>0</v>
          </cell>
          <cell r="AQ309">
            <v>0</v>
          </cell>
          <cell r="AR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</row>
        <row r="310"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11673</v>
          </cell>
          <cell r="Z310">
            <v>0</v>
          </cell>
          <cell r="AA310">
            <v>0</v>
          </cell>
          <cell r="AB310">
            <v>0</v>
          </cell>
          <cell r="AC310">
            <v>857</v>
          </cell>
          <cell r="AD310">
            <v>6468</v>
          </cell>
          <cell r="AE310">
            <v>207.00823328023128</v>
          </cell>
          <cell r="AF310">
            <v>0</v>
          </cell>
          <cell r="AH310">
            <v>210.640351264906</v>
          </cell>
          <cell r="AI310">
            <v>0</v>
          </cell>
          <cell r="AK310">
            <v>68.781696635810889</v>
          </cell>
          <cell r="AL310">
            <v>0</v>
          </cell>
          <cell r="AN310">
            <v>107.74096686304495</v>
          </cell>
          <cell r="AO310">
            <v>0</v>
          </cell>
          <cell r="AQ310">
            <v>0</v>
          </cell>
          <cell r="AR310">
            <v>0</v>
          </cell>
          <cell r="AT310">
            <v>59.168522736971717</v>
          </cell>
          <cell r="AU310">
            <v>0</v>
          </cell>
          <cell r="AW310">
            <v>0</v>
          </cell>
          <cell r="AX310">
            <v>0</v>
          </cell>
        </row>
        <row r="311">
          <cell r="I311">
            <v>22</v>
          </cell>
          <cell r="J311">
            <v>2678</v>
          </cell>
          <cell r="L311">
            <v>0</v>
          </cell>
          <cell r="M311">
            <v>953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4652</v>
          </cell>
          <cell r="AC311">
            <v>10346.801188992895</v>
          </cell>
          <cell r="AD311">
            <v>1274</v>
          </cell>
          <cell r="AE311">
            <v>2173.1652836344169</v>
          </cell>
          <cell r="AF311">
            <v>0</v>
          </cell>
          <cell r="AH311">
            <v>3147.5414504508276</v>
          </cell>
          <cell r="AI311">
            <v>0</v>
          </cell>
          <cell r="AK311">
            <v>2282.7850430841886</v>
          </cell>
          <cell r="AL311">
            <v>851.26294267612695</v>
          </cell>
          <cell r="AN311">
            <v>0</v>
          </cell>
          <cell r="AO311">
            <v>0</v>
          </cell>
          <cell r="AQ311">
            <v>0</v>
          </cell>
          <cell r="AR311">
            <v>955.92363551270068</v>
          </cell>
          <cell r="AT311">
            <v>1602.0621898523902</v>
          </cell>
          <cell r="AU311">
            <v>100</v>
          </cell>
          <cell r="AW311">
            <v>0</v>
          </cell>
          <cell r="AX311">
            <v>0</v>
          </cell>
        </row>
        <row r="312">
          <cell r="I312">
            <v>3.6</v>
          </cell>
          <cell r="J312">
            <v>1303</v>
          </cell>
          <cell r="L312">
            <v>1</v>
          </cell>
          <cell r="M312">
            <v>56378.525424605832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4401.9767311996275</v>
          </cell>
          <cell r="AD312">
            <v>173</v>
          </cell>
          <cell r="AE312">
            <v>1457.8072437572298</v>
          </cell>
          <cell r="AF312">
            <v>0</v>
          </cell>
          <cell r="AH312">
            <v>2408.9312030559172</v>
          </cell>
          <cell r="AI312">
            <v>0</v>
          </cell>
          <cell r="AK312">
            <v>972.61814393057512</v>
          </cell>
          <cell r="AL312">
            <v>0</v>
          </cell>
          <cell r="AN312">
            <v>435.69922948434851</v>
          </cell>
          <cell r="AO312">
            <v>0</v>
          </cell>
          <cell r="AQ312">
            <v>0</v>
          </cell>
          <cell r="AR312">
            <v>0</v>
          </cell>
          <cell r="AT312">
            <v>341.97962820739434</v>
          </cell>
          <cell r="AU312">
            <v>4337</v>
          </cell>
          <cell r="AW312">
            <v>0</v>
          </cell>
          <cell r="AX312">
            <v>0</v>
          </cell>
        </row>
        <row r="313">
          <cell r="I313">
            <v>13</v>
          </cell>
          <cell r="J313">
            <v>2175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607.09216525464956</v>
          </cell>
          <cell r="Y313">
            <v>1453</v>
          </cell>
          <cell r="Z313">
            <v>0</v>
          </cell>
          <cell r="AA313">
            <v>0</v>
          </cell>
          <cell r="AB313">
            <v>265</v>
          </cell>
          <cell r="AC313">
            <v>1141</v>
          </cell>
          <cell r="AD313">
            <v>1443</v>
          </cell>
          <cell r="AE313">
            <v>2579.5611341037534</v>
          </cell>
          <cell r="AF313">
            <v>2951</v>
          </cell>
          <cell r="AH313">
            <v>3693.0497665428497</v>
          </cell>
          <cell r="AI313">
            <v>1382</v>
          </cell>
          <cell r="AK313">
            <v>2522.8422228112031</v>
          </cell>
          <cell r="AL313">
            <v>1105</v>
          </cell>
          <cell r="AN313">
            <v>0</v>
          </cell>
          <cell r="AO313">
            <v>0</v>
          </cell>
          <cell r="AQ313">
            <v>0</v>
          </cell>
          <cell r="AR313">
            <v>0</v>
          </cell>
          <cell r="AT313">
            <v>0</v>
          </cell>
          <cell r="AU313">
            <v>2898</v>
          </cell>
          <cell r="AW313">
            <v>0</v>
          </cell>
          <cell r="AX313">
            <v>0</v>
          </cell>
        </row>
        <row r="314">
          <cell r="I314">
            <v>126</v>
          </cell>
          <cell r="J314">
            <v>30289</v>
          </cell>
          <cell r="L314">
            <v>0</v>
          </cell>
          <cell r="M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353.19524241876223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3560</v>
          </cell>
          <cell r="AD314">
            <v>0</v>
          </cell>
          <cell r="AE314">
            <v>2001.9872785339096</v>
          </cell>
          <cell r="AF314">
            <v>3247</v>
          </cell>
          <cell r="AH314">
            <v>2961.9566150309606</v>
          </cell>
          <cell r="AI314">
            <v>0</v>
          </cell>
          <cell r="AK314">
            <v>2435.6050820057662</v>
          </cell>
          <cell r="AL314">
            <v>1528</v>
          </cell>
          <cell r="AN314">
            <v>1197.4818654364203</v>
          </cell>
          <cell r="AO314">
            <v>0</v>
          </cell>
          <cell r="AQ314">
            <v>0</v>
          </cell>
          <cell r="AR314">
            <v>0</v>
          </cell>
          <cell r="AT314">
            <v>1442.4827038778769</v>
          </cell>
          <cell r="AU314">
            <v>313.37374749755588</v>
          </cell>
          <cell r="AW314">
            <v>0</v>
          </cell>
          <cell r="AX314">
            <v>0</v>
          </cell>
        </row>
        <row r="315">
          <cell r="I315">
            <v>82</v>
          </cell>
          <cell r="J315">
            <v>18260</v>
          </cell>
          <cell r="L315">
            <v>0</v>
          </cell>
          <cell r="M315">
            <v>0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270.85029447198787</v>
          </cell>
          <cell r="Y315">
            <v>3437.1317939374003</v>
          </cell>
          <cell r="Z315">
            <v>0</v>
          </cell>
          <cell r="AA315">
            <v>0</v>
          </cell>
          <cell r="AB315">
            <v>0</v>
          </cell>
          <cell r="AC315">
            <v>27742</v>
          </cell>
          <cell r="AD315">
            <v>3591</v>
          </cell>
          <cell r="AE315">
            <v>1856.4158400493</v>
          </cell>
          <cell r="AF315">
            <v>1248</v>
          </cell>
          <cell r="AH315">
            <v>2574.1806752643743</v>
          </cell>
          <cell r="AI315">
            <v>4504.1659052734631</v>
          </cell>
          <cell r="AK315">
            <v>3241.1822673533702</v>
          </cell>
          <cell r="AL315">
            <v>0</v>
          </cell>
          <cell r="AN315">
            <v>0</v>
          </cell>
          <cell r="AO315">
            <v>0</v>
          </cell>
          <cell r="AQ315">
            <v>0</v>
          </cell>
          <cell r="AR315">
            <v>0</v>
          </cell>
          <cell r="AT315">
            <v>1902.4777559307922</v>
          </cell>
          <cell r="AU315">
            <v>208.92442055244328</v>
          </cell>
          <cell r="AW315">
            <v>0</v>
          </cell>
          <cell r="AX315">
            <v>0</v>
          </cell>
        </row>
        <row r="316">
          <cell r="I316">
            <v>0</v>
          </cell>
          <cell r="J316">
            <v>1265</v>
          </cell>
          <cell r="L316">
            <v>0</v>
          </cell>
          <cell r="M316">
            <v>0</v>
          </cell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  <cell r="W316">
            <v>15</v>
          </cell>
          <cell r="X316">
            <v>2263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23308</v>
          </cell>
          <cell r="AD316">
            <v>0</v>
          </cell>
          <cell r="AE316">
            <v>4607.0534736612744</v>
          </cell>
          <cell r="AF316">
            <v>0</v>
          </cell>
          <cell r="AH316">
            <v>7376.0777188628008</v>
          </cell>
          <cell r="AI316">
            <v>1329.9675561136937</v>
          </cell>
          <cell r="AK316">
            <v>6446.9516973452592</v>
          </cell>
          <cell r="AL316">
            <v>1015.3260962040786</v>
          </cell>
          <cell r="AN316">
            <v>0</v>
          </cell>
          <cell r="AO316">
            <v>0</v>
          </cell>
          <cell r="AQ316">
            <v>0</v>
          </cell>
          <cell r="AR316">
            <v>0</v>
          </cell>
          <cell r="AT316">
            <v>4458.098803733501</v>
          </cell>
          <cell r="AU316">
            <v>1735.928128110673</v>
          </cell>
          <cell r="AW316">
            <v>0</v>
          </cell>
          <cell r="AX316">
            <v>497</v>
          </cell>
        </row>
        <row r="317">
          <cell r="I317">
            <v>0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85</v>
          </cell>
          <cell r="AE317">
            <v>1462.8832484301468</v>
          </cell>
          <cell r="AF317">
            <v>0</v>
          </cell>
          <cell r="AH317">
            <v>2225.8525564076244</v>
          </cell>
          <cell r="AI317">
            <v>0</v>
          </cell>
          <cell r="AK317">
            <v>1882.0036634758555</v>
          </cell>
          <cell r="AL317">
            <v>0</v>
          </cell>
          <cell r="AN317">
            <v>0</v>
          </cell>
          <cell r="AO317">
            <v>0</v>
          </cell>
          <cell r="AQ317">
            <v>0</v>
          </cell>
          <cell r="AR317">
            <v>0</v>
          </cell>
          <cell r="AT317">
            <v>709.27539010590624</v>
          </cell>
          <cell r="AU317">
            <v>1273</v>
          </cell>
          <cell r="AW317">
            <v>0</v>
          </cell>
          <cell r="AX317">
            <v>0</v>
          </cell>
        </row>
        <row r="318">
          <cell r="I318">
            <v>31.14</v>
          </cell>
          <cell r="J318">
            <v>14016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2634</v>
          </cell>
          <cell r="AE318">
            <v>1411.2959241761789</v>
          </cell>
          <cell r="AF318">
            <v>1191</v>
          </cell>
          <cell r="AH318">
            <v>2225.8525564076244</v>
          </cell>
          <cell r="AI318">
            <v>846</v>
          </cell>
          <cell r="AK318">
            <v>1679.2866323541082</v>
          </cell>
          <cell r="AL318">
            <v>0</v>
          </cell>
          <cell r="AN318">
            <v>788.47384890198884</v>
          </cell>
          <cell r="AO318">
            <v>0</v>
          </cell>
          <cell r="AQ318">
            <v>539.76213107435467</v>
          </cell>
          <cell r="AR318">
            <v>0</v>
          </cell>
          <cell r="AT318">
            <v>709.27546737042348</v>
          </cell>
          <cell r="AU318">
            <v>450</v>
          </cell>
          <cell r="AW318">
            <v>0</v>
          </cell>
          <cell r="AX318">
            <v>0</v>
          </cell>
        </row>
        <row r="319">
          <cell r="I319">
            <v>0</v>
          </cell>
          <cell r="J319">
            <v>0</v>
          </cell>
          <cell r="L319">
            <v>1</v>
          </cell>
          <cell r="M319">
            <v>66208.894333527802</v>
          </cell>
          <cell r="O319">
            <v>0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33857.708263549612</v>
          </cell>
          <cell r="AD319">
            <v>0</v>
          </cell>
          <cell r="AE319">
            <v>3221.9314909501445</v>
          </cell>
          <cell r="AF319">
            <v>5946.3891914070591</v>
          </cell>
          <cell r="AH319">
            <v>4413.8298592101164</v>
          </cell>
          <cell r="AI319">
            <v>0</v>
          </cell>
          <cell r="AK319">
            <v>2993.2513453773249</v>
          </cell>
          <cell r="AL319">
            <v>823.6264687756086</v>
          </cell>
          <cell r="AN319">
            <v>0</v>
          </cell>
          <cell r="AO319">
            <v>0</v>
          </cell>
          <cell r="AQ319">
            <v>0</v>
          </cell>
          <cell r="AR319">
            <v>382</v>
          </cell>
          <cell r="AT319">
            <v>1928.056317713337</v>
          </cell>
          <cell r="AU319">
            <v>8253</v>
          </cell>
          <cell r="AW319">
            <v>1426.1243835230764</v>
          </cell>
          <cell r="AX319">
            <v>0</v>
          </cell>
        </row>
        <row r="320">
          <cell r="I320">
            <v>5</v>
          </cell>
          <cell r="J320">
            <v>1340</v>
          </cell>
          <cell r="L320">
            <v>1</v>
          </cell>
          <cell r="M320">
            <v>58466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19450.132802864206</v>
          </cell>
          <cell r="AD320">
            <v>1925</v>
          </cell>
          <cell r="AE320">
            <v>1564.4845581632455</v>
          </cell>
          <cell r="AF320">
            <v>559</v>
          </cell>
          <cell r="AH320">
            <v>2264.0175842027684</v>
          </cell>
          <cell r="AI320">
            <v>3256</v>
          </cell>
          <cell r="AK320">
            <v>1718.8148244414317</v>
          </cell>
          <cell r="AL320">
            <v>0</v>
          </cell>
          <cell r="AN320">
            <v>0</v>
          </cell>
          <cell r="AO320">
            <v>0</v>
          </cell>
          <cell r="AQ320">
            <v>0</v>
          </cell>
          <cell r="AR320">
            <v>127</v>
          </cell>
          <cell r="AT320">
            <v>736.91220825665243</v>
          </cell>
          <cell r="AU320">
            <v>0</v>
          </cell>
          <cell r="AW320">
            <v>716.05861632167455</v>
          </cell>
          <cell r="AX320">
            <v>3381</v>
          </cell>
        </row>
        <row r="321">
          <cell r="I321">
            <v>2</v>
          </cell>
          <cell r="J321">
            <v>402</v>
          </cell>
          <cell r="L321">
            <v>0</v>
          </cell>
          <cell r="M321">
            <v>0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262.91181092809956</v>
          </cell>
          <cell r="Y321">
            <v>8681.9202290158955</v>
          </cell>
          <cell r="Z321">
            <v>0</v>
          </cell>
          <cell r="AA321">
            <v>0</v>
          </cell>
          <cell r="AB321">
            <v>0</v>
          </cell>
          <cell r="AC321">
            <v>1170.5893536788819</v>
          </cell>
          <cell r="AD321">
            <v>1022</v>
          </cell>
          <cell r="AE321">
            <v>1956.4068735127164</v>
          </cell>
          <cell r="AF321">
            <v>0</v>
          </cell>
          <cell r="AH321">
            <v>2955.3721603270023</v>
          </cell>
          <cell r="AI321">
            <v>0</v>
          </cell>
          <cell r="AK321">
            <v>1801.2445972308549</v>
          </cell>
          <cell r="AL321">
            <v>0</v>
          </cell>
          <cell r="AN321">
            <v>0</v>
          </cell>
          <cell r="AO321">
            <v>0</v>
          </cell>
          <cell r="AQ321">
            <v>0</v>
          </cell>
          <cell r="AR321">
            <v>0</v>
          </cell>
          <cell r="AT321">
            <v>1059.1218128437079</v>
          </cell>
          <cell r="AU321">
            <v>3175.4067486946074</v>
          </cell>
          <cell r="AW321">
            <v>642.34724546734287</v>
          </cell>
          <cell r="AX321">
            <v>0</v>
          </cell>
        </row>
        <row r="322">
          <cell r="I322">
            <v>78.8</v>
          </cell>
          <cell r="J322">
            <v>24730</v>
          </cell>
          <cell r="L322">
            <v>1</v>
          </cell>
          <cell r="M322">
            <v>40541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80547</v>
          </cell>
          <cell r="Z322">
            <v>0</v>
          </cell>
          <cell r="AA322">
            <v>0</v>
          </cell>
          <cell r="AB322">
            <v>6403</v>
          </cell>
          <cell r="AC322">
            <v>6881</v>
          </cell>
          <cell r="AD322">
            <v>5136.1869410379877</v>
          </cell>
          <cell r="AE322">
            <v>3252.5407145402864</v>
          </cell>
          <cell r="AF322">
            <v>685</v>
          </cell>
          <cell r="AH322">
            <v>5103.6454218171393</v>
          </cell>
          <cell r="AI322">
            <v>7337.0688737719811</v>
          </cell>
          <cell r="AK322">
            <v>2938.8569816829331</v>
          </cell>
          <cell r="AL322">
            <v>0</v>
          </cell>
          <cell r="AN322">
            <v>1626.3997111552865</v>
          </cell>
          <cell r="AO322">
            <v>0</v>
          </cell>
          <cell r="AQ322">
            <v>1259.1537278851117</v>
          </cell>
          <cell r="AR322">
            <v>25.7652888</v>
          </cell>
          <cell r="AT322">
            <v>2563.2115873070479</v>
          </cell>
          <cell r="AU322">
            <v>7757.9220122403749</v>
          </cell>
          <cell r="AW322">
            <v>1392.4189594078643</v>
          </cell>
          <cell r="AX322">
            <v>0</v>
          </cell>
        </row>
        <row r="323">
          <cell r="I323">
            <v>0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8559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705.7806092044051</v>
          </cell>
          <cell r="AE323">
            <v>2136.3301969187974</v>
          </cell>
          <cell r="AF323">
            <v>0</v>
          </cell>
          <cell r="AH323">
            <v>3322.1713403248255</v>
          </cell>
          <cell r="AI323">
            <v>8180</v>
          </cell>
          <cell r="AK323">
            <v>1901.6462389546689</v>
          </cell>
          <cell r="AL323">
            <v>0</v>
          </cell>
          <cell r="AN323">
            <v>0</v>
          </cell>
          <cell r="AO323">
            <v>0</v>
          </cell>
          <cell r="AQ323">
            <v>0</v>
          </cell>
          <cell r="AR323">
            <v>0</v>
          </cell>
          <cell r="AT323">
            <v>1046.5116147666126</v>
          </cell>
          <cell r="AU323">
            <v>3384.0444958526728</v>
          </cell>
          <cell r="AW323">
            <v>1205.3153536334314</v>
          </cell>
          <cell r="AX323">
            <v>0</v>
          </cell>
        </row>
        <row r="324">
          <cell r="I324">
            <v>0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N324">
            <v>0</v>
          </cell>
          <cell r="AO324">
            <v>0</v>
          </cell>
          <cell r="AQ324">
            <v>0</v>
          </cell>
          <cell r="AR324">
            <v>0</v>
          </cell>
          <cell r="AT324">
            <v>0</v>
          </cell>
          <cell r="AU324">
            <v>0</v>
          </cell>
          <cell r="AW324">
            <v>0</v>
          </cell>
          <cell r="AX324">
            <v>0</v>
          </cell>
        </row>
        <row r="325">
          <cell r="I325">
            <v>0</v>
          </cell>
          <cell r="J325">
            <v>9392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U325">
            <v>208.56930681944473</v>
          </cell>
          <cell r="V325">
            <v>0</v>
          </cell>
          <cell r="W325">
            <v>0</v>
          </cell>
          <cell r="X325">
            <v>32.023035312634434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1305</v>
          </cell>
          <cell r="AD325">
            <v>4151</v>
          </cell>
          <cell r="AE325">
            <v>432.87177683302201</v>
          </cell>
          <cell r="AF325">
            <v>0</v>
          </cell>
          <cell r="AH325">
            <v>509.23686020386782</v>
          </cell>
          <cell r="AI325">
            <v>0</v>
          </cell>
          <cell r="AK325">
            <v>656.9664998190334</v>
          </cell>
          <cell r="AL325">
            <v>0</v>
          </cell>
          <cell r="AN325">
            <v>346.11677269454282</v>
          </cell>
          <cell r="AO325">
            <v>0</v>
          </cell>
          <cell r="AQ325">
            <v>158.30696475691875</v>
          </cell>
          <cell r="AR325">
            <v>0</v>
          </cell>
          <cell r="AT325">
            <v>318.64338832935732</v>
          </cell>
          <cell r="AU325">
            <v>416.37097428614572</v>
          </cell>
          <cell r="AW325">
            <v>0</v>
          </cell>
          <cell r="AX325">
            <v>0</v>
          </cell>
        </row>
        <row r="326"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R326">
            <v>1</v>
          </cell>
          <cell r="S326">
            <v>14432</v>
          </cell>
          <cell r="U326">
            <v>562.17694020393299</v>
          </cell>
          <cell r="V326">
            <v>0</v>
          </cell>
          <cell r="W326">
            <v>0</v>
          </cell>
          <cell r="X326">
            <v>310.27361105434881</v>
          </cell>
          <cell r="Y326">
            <v>0</v>
          </cell>
          <cell r="Z326">
            <v>0</v>
          </cell>
          <cell r="AA326">
            <v>0</v>
          </cell>
          <cell r="AB326">
            <v>2594.5226821060592</v>
          </cell>
          <cell r="AC326">
            <v>826.7641970386519</v>
          </cell>
          <cell r="AD326">
            <v>975</v>
          </cell>
          <cell r="AE326">
            <v>729.48044401535981</v>
          </cell>
          <cell r="AF326">
            <v>3974.7386148679561</v>
          </cell>
          <cell r="AH326">
            <v>955.8062918082054</v>
          </cell>
          <cell r="AI326">
            <v>4416</v>
          </cell>
          <cell r="AK326">
            <v>934.82827505759951</v>
          </cell>
          <cell r="AL326">
            <v>0</v>
          </cell>
          <cell r="AN326">
            <v>395.01264682016841</v>
          </cell>
          <cell r="AO326">
            <v>0</v>
          </cell>
          <cell r="AQ326">
            <v>237.46034910659819</v>
          </cell>
          <cell r="AR326">
            <v>0</v>
          </cell>
          <cell r="AT326">
            <v>555.86113931838338</v>
          </cell>
          <cell r="AU326">
            <v>897</v>
          </cell>
          <cell r="AW326">
            <v>0</v>
          </cell>
          <cell r="AX326">
            <v>0</v>
          </cell>
        </row>
        <row r="327"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W327">
            <v>4</v>
          </cell>
          <cell r="X327">
            <v>3839</v>
          </cell>
          <cell r="Y327">
            <v>0</v>
          </cell>
          <cell r="Z327">
            <v>0</v>
          </cell>
          <cell r="AA327">
            <v>0</v>
          </cell>
          <cell r="AB327">
            <v>745</v>
          </cell>
          <cell r="AC327">
            <v>1352.7925119252593</v>
          </cell>
          <cell r="AD327">
            <v>1674.8235275117765</v>
          </cell>
          <cell r="AE327">
            <v>1851.793658936361</v>
          </cell>
          <cell r="AF327">
            <v>0</v>
          </cell>
          <cell r="AH327">
            <v>2942.5534028547149</v>
          </cell>
          <cell r="AI327">
            <v>0</v>
          </cell>
          <cell r="AK327">
            <v>2353.4759721805249</v>
          </cell>
          <cell r="AL327">
            <v>0</v>
          </cell>
          <cell r="AN327">
            <v>0</v>
          </cell>
          <cell r="AO327">
            <v>0</v>
          </cell>
          <cell r="AQ327">
            <v>0</v>
          </cell>
          <cell r="AR327">
            <v>0</v>
          </cell>
          <cell r="AT327">
            <v>1046.5116410375374</v>
          </cell>
          <cell r="AU327">
            <v>0</v>
          </cell>
          <cell r="AW327">
            <v>0</v>
          </cell>
          <cell r="AX327">
            <v>0</v>
          </cell>
        </row>
        <row r="328"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R328">
            <v>1</v>
          </cell>
          <cell r="S328">
            <v>1963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2410</v>
          </cell>
          <cell r="Z328">
            <v>0</v>
          </cell>
          <cell r="AA328">
            <v>0</v>
          </cell>
          <cell r="AB328">
            <v>0</v>
          </cell>
          <cell r="AC328">
            <v>988.84626433482299</v>
          </cell>
          <cell r="AD328">
            <v>9194</v>
          </cell>
          <cell r="AE328">
            <v>1796.4188438354784</v>
          </cell>
          <cell r="AF328">
            <v>2734.2964790199908</v>
          </cell>
          <cell r="AH328">
            <v>2293.3372546358951</v>
          </cell>
          <cell r="AI328">
            <v>1717</v>
          </cell>
          <cell r="AK328">
            <v>2359.0374521045601</v>
          </cell>
          <cell r="AL328">
            <v>0</v>
          </cell>
          <cell r="AN328">
            <v>907.54292594961828</v>
          </cell>
          <cell r="AO328">
            <v>616.4757719159312</v>
          </cell>
          <cell r="AQ328">
            <v>449.65615358443739</v>
          </cell>
          <cell r="AR328">
            <v>0</v>
          </cell>
          <cell r="AT328">
            <v>1932.4458299031037</v>
          </cell>
          <cell r="AU328">
            <v>7607.3347809886609</v>
          </cell>
          <cell r="AW328">
            <v>0</v>
          </cell>
          <cell r="AX328">
            <v>0</v>
          </cell>
        </row>
        <row r="329">
          <cell r="I329">
            <v>0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R329">
            <v>1</v>
          </cell>
          <cell r="S329">
            <v>1147</v>
          </cell>
          <cell r="U329">
            <v>0</v>
          </cell>
          <cell r="V329">
            <v>0</v>
          </cell>
          <cell r="W329">
            <v>1</v>
          </cell>
          <cell r="X329">
            <v>771</v>
          </cell>
          <cell r="Y329">
            <v>3555</v>
          </cell>
          <cell r="Z329">
            <v>0</v>
          </cell>
          <cell r="AA329">
            <v>0</v>
          </cell>
          <cell r="AB329">
            <v>17346</v>
          </cell>
          <cell r="AC329">
            <v>1655</v>
          </cell>
          <cell r="AD329">
            <v>10256.401891520476</v>
          </cell>
          <cell r="AE329">
            <v>1715.7508332818977</v>
          </cell>
          <cell r="AF329">
            <v>767.51412344306414</v>
          </cell>
          <cell r="AH329">
            <v>2721.1559648707766</v>
          </cell>
          <cell r="AI329">
            <v>9584.2208215740684</v>
          </cell>
          <cell r="AK329">
            <v>3053.4925117328207</v>
          </cell>
          <cell r="AL329">
            <v>2996</v>
          </cell>
          <cell r="AN329">
            <v>1615.264638505975</v>
          </cell>
          <cell r="AO329">
            <v>0</v>
          </cell>
          <cell r="AQ329">
            <v>791.53457871264402</v>
          </cell>
          <cell r="AR329">
            <v>0</v>
          </cell>
          <cell r="AT329">
            <v>2203.4840808411795</v>
          </cell>
          <cell r="AU329">
            <v>1378.007111349609</v>
          </cell>
          <cell r="AW329">
            <v>0</v>
          </cell>
          <cell r="AX329">
            <v>0</v>
          </cell>
        </row>
        <row r="330"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213.51233637407825</v>
          </cell>
          <cell r="AF330">
            <v>0</v>
          </cell>
          <cell r="AH330">
            <v>394.65163909226175</v>
          </cell>
          <cell r="AI330">
            <v>0</v>
          </cell>
          <cell r="AK330">
            <v>0</v>
          </cell>
          <cell r="AL330">
            <v>0</v>
          </cell>
          <cell r="AN330">
            <v>0</v>
          </cell>
          <cell r="AO330">
            <v>0</v>
          </cell>
          <cell r="AQ330">
            <v>0</v>
          </cell>
          <cell r="AR330">
            <v>0</v>
          </cell>
          <cell r="AT330">
            <v>0</v>
          </cell>
          <cell r="AU330">
            <v>0</v>
          </cell>
          <cell r="AW330">
            <v>0</v>
          </cell>
          <cell r="AX330">
            <v>0</v>
          </cell>
        </row>
        <row r="331">
          <cell r="I331">
            <v>7</v>
          </cell>
          <cell r="J331">
            <v>12112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10758</v>
          </cell>
          <cell r="AC331">
            <v>18795</v>
          </cell>
          <cell r="AD331">
            <v>3409.254254453931</v>
          </cell>
          <cell r="AE331">
            <v>1540.5238514849541</v>
          </cell>
          <cell r="AF331">
            <v>0</v>
          </cell>
          <cell r="AH331">
            <v>1998.3139563783013</v>
          </cell>
          <cell r="AI331">
            <v>0</v>
          </cell>
          <cell r="AK331">
            <v>0</v>
          </cell>
          <cell r="AL331">
            <v>0</v>
          </cell>
          <cell r="AN331">
            <v>0</v>
          </cell>
          <cell r="AO331">
            <v>0</v>
          </cell>
          <cell r="AQ331">
            <v>134.94041023261386</v>
          </cell>
          <cell r="AR331">
            <v>1065.4917767572531</v>
          </cell>
          <cell r="AT331">
            <v>464.21379665170258</v>
          </cell>
          <cell r="AU331">
            <v>20955.515330597278</v>
          </cell>
          <cell r="AW331">
            <v>0</v>
          </cell>
          <cell r="AX331">
            <v>0</v>
          </cell>
        </row>
        <row r="332">
          <cell r="I332">
            <v>2.5</v>
          </cell>
          <cell r="J332">
            <v>2997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R332">
            <v>2</v>
          </cell>
          <cell r="S332">
            <v>13013</v>
          </cell>
          <cell r="U332">
            <v>0</v>
          </cell>
          <cell r="V332">
            <v>0</v>
          </cell>
          <cell r="W332">
            <v>0</v>
          </cell>
          <cell r="X332">
            <v>278.51967687879534</v>
          </cell>
          <cell r="Y332">
            <v>0</v>
          </cell>
          <cell r="Z332">
            <v>0</v>
          </cell>
          <cell r="AA332">
            <v>0</v>
          </cell>
          <cell r="AB332">
            <v>745</v>
          </cell>
          <cell r="AC332">
            <v>1321.2379271974373</v>
          </cell>
          <cell r="AD332">
            <v>3595</v>
          </cell>
          <cell r="AE332">
            <v>1347.0946604824205</v>
          </cell>
          <cell r="AF332">
            <v>0</v>
          </cell>
          <cell r="AH332">
            <v>1800.7662454309241</v>
          </cell>
          <cell r="AI332">
            <v>22422</v>
          </cell>
          <cell r="AK332">
            <v>2257.6615520544465</v>
          </cell>
          <cell r="AL332">
            <v>766</v>
          </cell>
          <cell r="AN332">
            <v>750.79405270754012</v>
          </cell>
          <cell r="AO332">
            <v>0</v>
          </cell>
          <cell r="AQ332">
            <v>395.76741189229665</v>
          </cell>
          <cell r="AR332">
            <v>0</v>
          </cell>
          <cell r="AT332">
            <v>754.97673302799979</v>
          </cell>
          <cell r="AU332">
            <v>0</v>
          </cell>
          <cell r="AW332">
            <v>0</v>
          </cell>
          <cell r="AX332">
            <v>0</v>
          </cell>
        </row>
        <row r="333">
          <cell r="I333">
            <v>0</v>
          </cell>
          <cell r="J333">
            <v>0</v>
          </cell>
          <cell r="L333">
            <v>0</v>
          </cell>
          <cell r="M333">
            <v>22328</v>
          </cell>
          <cell r="O333">
            <v>0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670.19638190013507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95854.288885618123</v>
          </cell>
          <cell r="AD333">
            <v>127757.81047864327</v>
          </cell>
          <cell r="AE333">
            <v>1762.5192382403166</v>
          </cell>
          <cell r="AF333">
            <v>2157.9286421498714</v>
          </cell>
          <cell r="AH333">
            <v>2570.742825601536</v>
          </cell>
          <cell r="AI333">
            <v>740</v>
          </cell>
          <cell r="AK333">
            <v>1622.6636730312914</v>
          </cell>
          <cell r="AL333">
            <v>5996.7069380407793</v>
          </cell>
          <cell r="AN333">
            <v>0</v>
          </cell>
          <cell r="AO333">
            <v>0</v>
          </cell>
          <cell r="AQ333">
            <v>719.6828414324732</v>
          </cell>
          <cell r="AR333">
            <v>0</v>
          </cell>
          <cell r="AT333">
            <v>1096.5140291304153</v>
          </cell>
          <cell r="AU333">
            <v>0</v>
          </cell>
          <cell r="AW333">
            <v>0</v>
          </cell>
          <cell r="AX333">
            <v>0</v>
          </cell>
        </row>
        <row r="334">
          <cell r="I334">
            <v>358.48</v>
          </cell>
          <cell r="J334">
            <v>110405</v>
          </cell>
          <cell r="L334">
            <v>0</v>
          </cell>
          <cell r="M334">
            <v>9089</v>
          </cell>
          <cell r="O334">
            <v>0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1946.9629621126326</v>
          </cell>
          <cell r="Z334">
            <v>0</v>
          </cell>
          <cell r="AA334">
            <v>0</v>
          </cell>
          <cell r="AB334">
            <v>0</v>
          </cell>
          <cell r="AC334">
            <v>52354</v>
          </cell>
          <cell r="AD334">
            <v>0</v>
          </cell>
          <cell r="AE334">
            <v>2605.0040886677584</v>
          </cell>
          <cell r="AF334">
            <v>0</v>
          </cell>
          <cell r="AH334">
            <v>4384.4043426670896</v>
          </cell>
          <cell r="AI334">
            <v>0</v>
          </cell>
          <cell r="AK334">
            <v>2144.0677753435439</v>
          </cell>
          <cell r="AL334">
            <v>0</v>
          </cell>
          <cell r="AN334">
            <v>0</v>
          </cell>
          <cell r="AO334">
            <v>0</v>
          </cell>
          <cell r="AQ334">
            <v>1079.2330175269931</v>
          </cell>
          <cell r="AR334">
            <v>0</v>
          </cell>
          <cell r="AT334">
            <v>1961.2852925757813</v>
          </cell>
          <cell r="AU334">
            <v>0</v>
          </cell>
          <cell r="AW334">
            <v>0</v>
          </cell>
          <cell r="AX334">
            <v>0</v>
          </cell>
        </row>
        <row r="335">
          <cell r="I335">
            <v>0</v>
          </cell>
          <cell r="J335">
            <v>0</v>
          </cell>
          <cell r="L335">
            <v>1</v>
          </cell>
          <cell r="M335">
            <v>17491</v>
          </cell>
          <cell r="O335">
            <v>0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21</v>
          </cell>
          <cell r="X335">
            <v>12277</v>
          </cell>
          <cell r="Y335">
            <v>1824</v>
          </cell>
          <cell r="Z335">
            <v>0</v>
          </cell>
          <cell r="AA335">
            <v>0</v>
          </cell>
          <cell r="AB335">
            <v>2473</v>
          </cell>
          <cell r="AC335">
            <v>62843</v>
          </cell>
          <cell r="AD335">
            <v>0</v>
          </cell>
          <cell r="AE335">
            <v>1742.1760128130584</v>
          </cell>
          <cell r="AF335">
            <v>21049</v>
          </cell>
          <cell r="AH335">
            <v>2542.8903665071061</v>
          </cell>
          <cell r="AI335">
            <v>5929.5886881801425</v>
          </cell>
          <cell r="AK335">
            <v>1570.3866530252556</v>
          </cell>
          <cell r="AL335">
            <v>0</v>
          </cell>
          <cell r="AN335">
            <v>0</v>
          </cell>
          <cell r="AO335">
            <v>0</v>
          </cell>
          <cell r="AQ335">
            <v>0</v>
          </cell>
          <cell r="AR335">
            <v>0</v>
          </cell>
          <cell r="AT335">
            <v>1068.4658678571939</v>
          </cell>
          <cell r="AU335">
            <v>2258</v>
          </cell>
          <cell r="AW335">
            <v>0</v>
          </cell>
          <cell r="AX335">
            <v>0</v>
          </cell>
        </row>
        <row r="336">
          <cell r="I336">
            <v>0</v>
          </cell>
          <cell r="J336">
            <v>22483</v>
          </cell>
          <cell r="L336">
            <v>0</v>
          </cell>
          <cell r="M336">
            <v>127885</v>
          </cell>
          <cell r="O336">
            <v>0</v>
          </cell>
          <cell r="P336">
            <v>0</v>
          </cell>
          <cell r="R336">
            <v>3</v>
          </cell>
          <cell r="S336">
            <v>4444</v>
          </cell>
          <cell r="U336">
            <v>0</v>
          </cell>
          <cell r="V336">
            <v>0</v>
          </cell>
          <cell r="W336">
            <v>2</v>
          </cell>
          <cell r="X336">
            <v>1617</v>
          </cell>
          <cell r="Y336">
            <v>40464</v>
          </cell>
          <cell r="Z336">
            <v>0</v>
          </cell>
          <cell r="AA336">
            <v>0</v>
          </cell>
          <cell r="AB336">
            <v>0</v>
          </cell>
          <cell r="AC336">
            <v>19229</v>
          </cell>
          <cell r="AD336">
            <v>1599</v>
          </cell>
          <cell r="AE336">
            <v>1359.7023268161711</v>
          </cell>
          <cell r="AF336">
            <v>0</v>
          </cell>
          <cell r="AH336">
            <v>1813.7603239429789</v>
          </cell>
          <cell r="AI336">
            <v>598</v>
          </cell>
          <cell r="AK336">
            <v>2313.0735438896427</v>
          </cell>
          <cell r="AL336">
            <v>0</v>
          </cell>
          <cell r="AN336">
            <v>769.25055422379694</v>
          </cell>
          <cell r="AO336">
            <v>0</v>
          </cell>
          <cell r="AQ336">
            <v>395.76741189229665</v>
          </cell>
          <cell r="AR336">
            <v>3724</v>
          </cell>
          <cell r="AT336">
            <v>663.98270230905234</v>
          </cell>
          <cell r="AU336">
            <v>7372</v>
          </cell>
          <cell r="AW336">
            <v>0</v>
          </cell>
          <cell r="AX336">
            <v>0</v>
          </cell>
        </row>
        <row r="337">
          <cell r="I337">
            <v>2.8</v>
          </cell>
          <cell r="J337">
            <v>819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167.51545783289862</v>
          </cell>
          <cell r="Y337">
            <v>430</v>
          </cell>
          <cell r="Z337">
            <v>0</v>
          </cell>
          <cell r="AA337">
            <v>0</v>
          </cell>
          <cell r="AB337">
            <v>3906</v>
          </cell>
          <cell r="AC337">
            <v>0</v>
          </cell>
          <cell r="AD337">
            <v>2745</v>
          </cell>
          <cell r="AE337">
            <v>1772.5636049072607</v>
          </cell>
          <cell r="AF337">
            <v>14755</v>
          </cell>
          <cell r="AH337">
            <v>2570.742825601536</v>
          </cell>
          <cell r="AI337">
            <v>3093</v>
          </cell>
          <cell r="AK337">
            <v>1851.4567615129483</v>
          </cell>
          <cell r="AL337">
            <v>773</v>
          </cell>
          <cell r="AN337">
            <v>0</v>
          </cell>
          <cell r="AO337">
            <v>0</v>
          </cell>
          <cell r="AQ337">
            <v>0</v>
          </cell>
          <cell r="AR337">
            <v>0</v>
          </cell>
          <cell r="AT337">
            <v>1293.6349022285513</v>
          </cell>
          <cell r="AU337">
            <v>1505</v>
          </cell>
          <cell r="AW337">
            <v>0</v>
          </cell>
          <cell r="AX337">
            <v>0</v>
          </cell>
        </row>
        <row r="338">
          <cell r="I338">
            <v>0.5</v>
          </cell>
          <cell r="J338">
            <v>1044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9947</v>
          </cell>
          <cell r="Z338">
            <v>0</v>
          </cell>
          <cell r="AA338">
            <v>0</v>
          </cell>
          <cell r="AB338">
            <v>0</v>
          </cell>
          <cell r="AC338">
            <v>14798</v>
          </cell>
          <cell r="AD338">
            <v>0</v>
          </cell>
          <cell r="AE338">
            <v>362.57990794235297</v>
          </cell>
          <cell r="AF338">
            <v>0</v>
          </cell>
          <cell r="AH338">
            <v>568.34986807500434</v>
          </cell>
          <cell r="AI338">
            <v>0</v>
          </cell>
          <cell r="AK338">
            <v>189.01238177322887</v>
          </cell>
          <cell r="AL338">
            <v>0</v>
          </cell>
          <cell r="AN338">
            <v>0</v>
          </cell>
          <cell r="AO338">
            <v>0</v>
          </cell>
          <cell r="AQ338">
            <v>0</v>
          </cell>
          <cell r="AR338">
            <v>0</v>
          </cell>
          <cell r="AT338">
            <v>59.168569815476367</v>
          </cell>
          <cell r="AU338">
            <v>1967</v>
          </cell>
          <cell r="AW338">
            <v>0</v>
          </cell>
          <cell r="AX338">
            <v>0</v>
          </cell>
        </row>
        <row r="339">
          <cell r="I339">
            <v>37</v>
          </cell>
          <cell r="J339">
            <v>59798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R339">
            <v>3</v>
          </cell>
          <cell r="S339">
            <v>43710.824285970739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2398</v>
          </cell>
          <cell r="Z339">
            <v>0</v>
          </cell>
          <cell r="AA339">
            <v>0</v>
          </cell>
          <cell r="AB339">
            <v>0</v>
          </cell>
          <cell r="AC339">
            <v>2028</v>
          </cell>
          <cell r="AD339">
            <v>7695</v>
          </cell>
          <cell r="AE339">
            <v>2045.812989492026</v>
          </cell>
          <cell r="AF339">
            <v>375</v>
          </cell>
          <cell r="AH339">
            <v>2731.9007902306498</v>
          </cell>
          <cell r="AI339">
            <v>920.53022283516236</v>
          </cell>
          <cell r="AK339">
            <v>3335.3079682086477</v>
          </cell>
          <cell r="AL339">
            <v>3058</v>
          </cell>
          <cell r="AN339">
            <v>1089.9073491874246</v>
          </cell>
          <cell r="AO339">
            <v>0</v>
          </cell>
          <cell r="AQ339">
            <v>593.65087276649558</v>
          </cell>
          <cell r="AR339">
            <v>0</v>
          </cell>
          <cell r="AT339">
            <v>840.98279011434113</v>
          </cell>
          <cell r="AU339">
            <v>16012.277688680177</v>
          </cell>
          <cell r="AW339">
            <v>0</v>
          </cell>
          <cell r="AX339">
            <v>0</v>
          </cell>
        </row>
        <row r="340"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643</v>
          </cell>
          <cell r="Z340">
            <v>0</v>
          </cell>
          <cell r="AA340">
            <v>0</v>
          </cell>
          <cell r="AB340">
            <v>0</v>
          </cell>
          <cell r="AC340">
            <v>3793</v>
          </cell>
          <cell r="AD340">
            <v>118</v>
          </cell>
          <cell r="AE340">
            <v>3366.2912382541449</v>
          </cell>
          <cell r="AF340">
            <v>0</v>
          </cell>
          <cell r="AH340">
            <v>849.08173880708057</v>
          </cell>
          <cell r="AI340">
            <v>0</v>
          </cell>
          <cell r="AK340">
            <v>2139.7907802454893</v>
          </cell>
          <cell r="AL340">
            <v>0</v>
          </cell>
          <cell r="AN340">
            <v>761.39520776621657</v>
          </cell>
          <cell r="AO340">
            <v>944</v>
          </cell>
          <cell r="AQ340">
            <v>404.82147576979145</v>
          </cell>
          <cell r="AR340">
            <v>1372</v>
          </cell>
          <cell r="AT340">
            <v>676.92000670106563</v>
          </cell>
          <cell r="AU340">
            <v>12236.594018265057</v>
          </cell>
          <cell r="AW340">
            <v>0</v>
          </cell>
          <cell r="AX340">
            <v>0</v>
          </cell>
        </row>
        <row r="341">
          <cell r="I341">
            <v>56</v>
          </cell>
          <cell r="J341">
            <v>21490</v>
          </cell>
          <cell r="L341">
            <v>0</v>
          </cell>
          <cell r="M341">
            <v>0</v>
          </cell>
          <cell r="O341">
            <v>0</v>
          </cell>
          <cell r="P341">
            <v>0</v>
          </cell>
          <cell r="R341">
            <v>1</v>
          </cell>
          <cell r="S341">
            <v>11285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295.54172027850609</v>
          </cell>
          <cell r="Z341">
            <v>0</v>
          </cell>
          <cell r="AA341">
            <v>0</v>
          </cell>
          <cell r="AB341">
            <v>8069</v>
          </cell>
          <cell r="AC341">
            <v>0</v>
          </cell>
          <cell r="AD341">
            <v>2975</v>
          </cell>
          <cell r="AE341">
            <v>2859.8790133263842</v>
          </cell>
          <cell r="AF341">
            <v>2610</v>
          </cell>
          <cell r="AH341">
            <v>3950.0361758303247</v>
          </cell>
          <cell r="AI341">
            <v>1899.9316313038789</v>
          </cell>
          <cell r="AK341">
            <v>4615.6082679616793</v>
          </cell>
          <cell r="AL341">
            <v>625</v>
          </cell>
          <cell r="AN341">
            <v>1547.0429264838394</v>
          </cell>
          <cell r="AO341">
            <v>0</v>
          </cell>
          <cell r="AQ341">
            <v>845.42356547673432</v>
          </cell>
          <cell r="AR341">
            <v>0</v>
          </cell>
          <cell r="AT341">
            <v>1048.3069248834015</v>
          </cell>
          <cell r="AU341">
            <v>2949</v>
          </cell>
          <cell r="AW341">
            <v>0</v>
          </cell>
          <cell r="AX341">
            <v>0</v>
          </cell>
        </row>
        <row r="342">
          <cell r="I342">
            <v>29.08</v>
          </cell>
          <cell r="J342">
            <v>9462</v>
          </cell>
          <cell r="L342">
            <v>0</v>
          </cell>
          <cell r="M342">
            <v>0</v>
          </cell>
          <cell r="O342">
            <v>0</v>
          </cell>
          <cell r="P342">
            <v>0</v>
          </cell>
          <cell r="R342">
            <v>1</v>
          </cell>
          <cell r="S342">
            <v>7008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316</v>
          </cell>
          <cell r="AD342">
            <v>1841</v>
          </cell>
          <cell r="AE342">
            <v>873.45748577359427</v>
          </cell>
          <cell r="AF342">
            <v>0</v>
          </cell>
          <cell r="AH342">
            <v>1802.8058685410185</v>
          </cell>
          <cell r="AI342">
            <v>0</v>
          </cell>
          <cell r="AK342">
            <v>1887.9244632684904</v>
          </cell>
          <cell r="AL342">
            <v>396</v>
          </cell>
          <cell r="AN342">
            <v>656.32542044597585</v>
          </cell>
          <cell r="AO342">
            <v>0</v>
          </cell>
          <cell r="AQ342">
            <v>395.76741189229665</v>
          </cell>
          <cell r="AR342">
            <v>2086.9562993772511</v>
          </cell>
          <cell r="AT342">
            <v>1274.5443349308352</v>
          </cell>
          <cell r="AU342">
            <v>0</v>
          </cell>
          <cell r="AW342">
            <v>0</v>
          </cell>
          <cell r="AX342">
            <v>0</v>
          </cell>
        </row>
        <row r="343">
          <cell r="I343">
            <v>200.9</v>
          </cell>
          <cell r="J343">
            <v>70470</v>
          </cell>
          <cell r="L343">
            <v>0</v>
          </cell>
          <cell r="M343">
            <v>0</v>
          </cell>
          <cell r="O343">
            <v>253</v>
          </cell>
          <cell r="P343">
            <v>77324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12031</v>
          </cell>
          <cell r="AD343">
            <v>1443</v>
          </cell>
          <cell r="AE343">
            <v>882.19659065611506</v>
          </cell>
          <cell r="AF343">
            <v>735</v>
          </cell>
          <cell r="AH343">
            <v>1051.9885615022647</v>
          </cell>
          <cell r="AI343">
            <v>1972.0225180314887</v>
          </cell>
          <cell r="AK343">
            <v>2140.9332461612007</v>
          </cell>
          <cell r="AL343">
            <v>766</v>
          </cell>
          <cell r="AN343">
            <v>792.16419287732231</v>
          </cell>
          <cell r="AO343">
            <v>0</v>
          </cell>
          <cell r="AQ343">
            <v>395.76741189229665</v>
          </cell>
          <cell r="AR343">
            <v>2176</v>
          </cell>
          <cell r="AT343">
            <v>1085.3744004546863</v>
          </cell>
          <cell r="AU343">
            <v>9540</v>
          </cell>
          <cell r="AW343">
            <v>0</v>
          </cell>
          <cell r="AX343">
            <v>0</v>
          </cell>
        </row>
        <row r="344">
          <cell r="I344">
            <v>32</v>
          </cell>
          <cell r="J344">
            <v>10345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R344">
            <v>3</v>
          </cell>
          <cell r="S344">
            <v>83539</v>
          </cell>
          <cell r="U344">
            <v>19770</v>
          </cell>
          <cell r="V344">
            <v>0</v>
          </cell>
          <cell r="W344">
            <v>0</v>
          </cell>
          <cell r="X344">
            <v>0</v>
          </cell>
          <cell r="Y344">
            <v>6007</v>
          </cell>
          <cell r="Z344">
            <v>0</v>
          </cell>
          <cell r="AA344">
            <v>0</v>
          </cell>
          <cell r="AB344">
            <v>0</v>
          </cell>
          <cell r="AC344">
            <v>479.2216121896131</v>
          </cell>
          <cell r="AD344">
            <v>1519</v>
          </cell>
          <cell r="AE344">
            <v>1272.2652768709759</v>
          </cell>
          <cell r="AF344">
            <v>0</v>
          </cell>
          <cell r="AH344">
            <v>1825.6469303801014</v>
          </cell>
          <cell r="AI344">
            <v>1267</v>
          </cell>
          <cell r="AK344">
            <v>2392.783400101333</v>
          </cell>
          <cell r="AL344">
            <v>1986</v>
          </cell>
          <cell r="AN344">
            <v>795.6374938276382</v>
          </cell>
          <cell r="AO344">
            <v>0</v>
          </cell>
          <cell r="AQ344">
            <v>395.76741189229665</v>
          </cell>
          <cell r="AR344">
            <v>0</v>
          </cell>
          <cell r="AT344">
            <v>967.57549578016881</v>
          </cell>
          <cell r="AU344">
            <v>5091</v>
          </cell>
          <cell r="AW344">
            <v>0</v>
          </cell>
          <cell r="AX344">
            <v>0</v>
          </cell>
        </row>
        <row r="345"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  <cell r="P345">
            <v>0</v>
          </cell>
          <cell r="R345">
            <v>2</v>
          </cell>
          <cell r="S345">
            <v>5155.3681260085395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58</v>
          </cell>
          <cell r="Z345">
            <v>0</v>
          </cell>
          <cell r="AA345">
            <v>0</v>
          </cell>
          <cell r="AB345">
            <v>629</v>
          </cell>
          <cell r="AC345">
            <v>1301</v>
          </cell>
          <cell r="AD345">
            <v>4695.8333851356001</v>
          </cell>
          <cell r="AE345">
            <v>1100.3676954919524</v>
          </cell>
          <cell r="AF345">
            <v>0</v>
          </cell>
          <cell r="AH345">
            <v>1310.1712145579525</v>
          </cell>
          <cell r="AI345">
            <v>0</v>
          </cell>
          <cell r="AK345">
            <v>3132.0217920108812</v>
          </cell>
          <cell r="AL345">
            <v>0</v>
          </cell>
          <cell r="AN345">
            <v>867.2626865033443</v>
          </cell>
          <cell r="AO345">
            <v>0</v>
          </cell>
          <cell r="AQ345">
            <v>404.82147576979145</v>
          </cell>
          <cell r="AR345">
            <v>0</v>
          </cell>
          <cell r="AT345">
            <v>857.52417112585692</v>
          </cell>
          <cell r="AU345">
            <v>17245.987803522155</v>
          </cell>
          <cell r="AW345">
            <v>0</v>
          </cell>
          <cell r="AX345">
            <v>0</v>
          </cell>
        </row>
        <row r="346">
          <cell r="I346">
            <v>137.35</v>
          </cell>
          <cell r="J346">
            <v>65663</v>
          </cell>
          <cell r="L346">
            <v>0</v>
          </cell>
          <cell r="M346">
            <v>4087</v>
          </cell>
          <cell r="O346">
            <v>0</v>
          </cell>
          <cell r="P346">
            <v>2882</v>
          </cell>
          <cell r="R346">
            <v>2</v>
          </cell>
          <cell r="S346">
            <v>10885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2793</v>
          </cell>
          <cell r="AC346">
            <v>6194</v>
          </cell>
          <cell r="AD346">
            <v>10528.40530027036</v>
          </cell>
          <cell r="AE346">
            <v>485.26905014436051</v>
          </cell>
          <cell r="AF346">
            <v>0</v>
          </cell>
          <cell r="AH346">
            <v>1079.9006036806279</v>
          </cell>
          <cell r="AI346">
            <v>0</v>
          </cell>
          <cell r="AK346">
            <v>1284.1042070213362</v>
          </cell>
          <cell r="AL346">
            <v>1485.2848737934137</v>
          </cell>
          <cell r="AN346">
            <v>429.72755535611037</v>
          </cell>
          <cell r="AO346">
            <v>0</v>
          </cell>
          <cell r="AQ346">
            <v>237.46044713537802</v>
          </cell>
          <cell r="AR346">
            <v>0</v>
          </cell>
          <cell r="AT346">
            <v>822.09871507764683</v>
          </cell>
          <cell r="AU346">
            <v>0</v>
          </cell>
          <cell r="AW346">
            <v>0</v>
          </cell>
          <cell r="AX346">
            <v>0</v>
          </cell>
        </row>
        <row r="347">
          <cell r="I347">
            <v>16.899999999999999</v>
          </cell>
          <cell r="J347">
            <v>9333</v>
          </cell>
          <cell r="L347">
            <v>0</v>
          </cell>
          <cell r="M347">
            <v>6840</v>
          </cell>
          <cell r="O347">
            <v>0</v>
          </cell>
          <cell r="P347">
            <v>0</v>
          </cell>
          <cell r="R347">
            <v>3</v>
          </cell>
          <cell r="S347">
            <v>18238.23733776512</v>
          </cell>
          <cell r="U347">
            <v>39695</v>
          </cell>
          <cell r="V347">
            <v>0</v>
          </cell>
          <cell r="W347">
            <v>17.5</v>
          </cell>
          <cell r="X347">
            <v>5923.720979588129</v>
          </cell>
          <cell r="Y347">
            <v>0</v>
          </cell>
          <cell r="Z347">
            <v>0</v>
          </cell>
          <cell r="AA347">
            <v>0</v>
          </cell>
          <cell r="AB347">
            <v>6165</v>
          </cell>
          <cell r="AC347">
            <v>20636</v>
          </cell>
          <cell r="AD347">
            <v>3544</v>
          </cell>
          <cell r="AE347">
            <v>2044.0764602940471</v>
          </cell>
          <cell r="AF347">
            <v>0</v>
          </cell>
          <cell r="AH347">
            <v>2736.4458668964667</v>
          </cell>
          <cell r="AI347">
            <v>0</v>
          </cell>
          <cell r="AK347">
            <v>6902.7085316133061</v>
          </cell>
          <cell r="AL347">
            <v>2075</v>
          </cell>
          <cell r="AN347">
            <v>2191.6728433297608</v>
          </cell>
          <cell r="AO347">
            <v>3859</v>
          </cell>
          <cell r="AQ347">
            <v>593.65087276649558</v>
          </cell>
          <cell r="AR347">
            <v>497.05365631992424</v>
          </cell>
          <cell r="AT347">
            <v>2362.2684840502652</v>
          </cell>
          <cell r="AU347">
            <v>2631.6009819560759</v>
          </cell>
          <cell r="AW347">
            <v>0</v>
          </cell>
          <cell r="AX347">
            <v>0</v>
          </cell>
        </row>
        <row r="348">
          <cell r="I348">
            <v>41.2</v>
          </cell>
          <cell r="J348">
            <v>12151</v>
          </cell>
          <cell r="L348">
            <v>0</v>
          </cell>
          <cell r="M348">
            <v>0</v>
          </cell>
          <cell r="O348">
            <v>0</v>
          </cell>
          <cell r="P348">
            <v>0</v>
          </cell>
          <cell r="R348">
            <v>1</v>
          </cell>
          <cell r="S348">
            <v>1278</v>
          </cell>
          <cell r="U348">
            <v>0</v>
          </cell>
          <cell r="V348">
            <v>0</v>
          </cell>
          <cell r="W348">
            <v>0</v>
          </cell>
          <cell r="X348">
            <v>3268.5024109853603</v>
          </cell>
          <cell r="Y348">
            <v>0</v>
          </cell>
          <cell r="Z348">
            <v>0</v>
          </cell>
          <cell r="AA348">
            <v>0</v>
          </cell>
          <cell r="AB348">
            <v>11480</v>
          </cell>
          <cell r="AC348">
            <v>1085</v>
          </cell>
          <cell r="AD348">
            <v>1782</v>
          </cell>
          <cell r="AE348">
            <v>2046.6116167010289</v>
          </cell>
          <cell r="AF348">
            <v>0</v>
          </cell>
          <cell r="AH348">
            <v>2741.9230945974464</v>
          </cell>
          <cell r="AI348">
            <v>0</v>
          </cell>
          <cell r="AK348">
            <v>6713.6697995061731</v>
          </cell>
          <cell r="AL348">
            <v>634</v>
          </cell>
          <cell r="AN348">
            <v>2192.0995414858194</v>
          </cell>
          <cell r="AO348">
            <v>2080</v>
          </cell>
          <cell r="AQ348">
            <v>593.65087276649558</v>
          </cell>
          <cell r="AR348">
            <v>0</v>
          </cell>
          <cell r="AT348">
            <v>2372.6484981695335</v>
          </cell>
          <cell r="AU348">
            <v>5221</v>
          </cell>
          <cell r="AW348">
            <v>0</v>
          </cell>
          <cell r="AX348">
            <v>0</v>
          </cell>
        </row>
        <row r="349">
          <cell r="I349">
            <v>19.880000000000003</v>
          </cell>
          <cell r="J349">
            <v>10291</v>
          </cell>
          <cell r="L349">
            <v>0</v>
          </cell>
          <cell r="M349">
            <v>0</v>
          </cell>
          <cell r="O349">
            <v>0</v>
          </cell>
          <cell r="P349">
            <v>0</v>
          </cell>
          <cell r="R349">
            <v>3</v>
          </cell>
          <cell r="S349">
            <v>6333.67801085272</v>
          </cell>
          <cell r="U349">
            <v>0</v>
          </cell>
          <cell r="V349">
            <v>0</v>
          </cell>
          <cell r="W349">
            <v>0</v>
          </cell>
          <cell r="X349">
            <v>3113.0965043211054</v>
          </cell>
          <cell r="Y349">
            <v>0</v>
          </cell>
          <cell r="Z349">
            <v>0</v>
          </cell>
          <cell r="AA349">
            <v>0</v>
          </cell>
          <cell r="AB349">
            <v>3825</v>
          </cell>
          <cell r="AC349">
            <v>2283</v>
          </cell>
          <cell r="AD349">
            <v>3017</v>
          </cell>
          <cell r="AE349">
            <v>2033.6873449741872</v>
          </cell>
          <cell r="AF349">
            <v>0</v>
          </cell>
          <cell r="AH349">
            <v>2727.2100912539804</v>
          </cell>
          <cell r="AI349">
            <v>3696</v>
          </cell>
          <cell r="AK349">
            <v>6943.4845185070271</v>
          </cell>
          <cell r="AL349">
            <v>9625</v>
          </cell>
          <cell r="AN349">
            <v>2210.136569664422</v>
          </cell>
          <cell r="AO349">
            <v>0</v>
          </cell>
          <cell r="AQ349">
            <v>593.65087276649558</v>
          </cell>
          <cell r="AR349">
            <v>0</v>
          </cell>
          <cell r="AT349">
            <v>2344.6002256413972</v>
          </cell>
          <cell r="AU349">
            <v>2139</v>
          </cell>
          <cell r="AW349">
            <v>0</v>
          </cell>
          <cell r="AX349">
            <v>0</v>
          </cell>
        </row>
        <row r="350">
          <cell r="I350">
            <v>40</v>
          </cell>
          <cell r="J350">
            <v>16026</v>
          </cell>
          <cell r="L350">
            <v>0</v>
          </cell>
          <cell r="M350">
            <v>0</v>
          </cell>
          <cell r="O350">
            <v>0</v>
          </cell>
          <cell r="P350">
            <v>0</v>
          </cell>
          <cell r="R350">
            <v>3</v>
          </cell>
          <cell r="S350">
            <v>3993.9231255413602</v>
          </cell>
          <cell r="U350">
            <v>19386</v>
          </cell>
          <cell r="V350">
            <v>0</v>
          </cell>
          <cell r="W350">
            <v>0</v>
          </cell>
          <cell r="X350">
            <v>2489.320068567436</v>
          </cell>
          <cell r="Y350">
            <v>39066.843291845289</v>
          </cell>
          <cell r="Z350">
            <v>0</v>
          </cell>
          <cell r="AA350">
            <v>0</v>
          </cell>
          <cell r="AB350">
            <v>7576</v>
          </cell>
          <cell r="AC350">
            <v>50522.179904153702</v>
          </cell>
          <cell r="AD350">
            <v>4466</v>
          </cell>
          <cell r="AE350">
            <v>2030.2870879926729</v>
          </cell>
          <cell r="AF350">
            <v>2079</v>
          </cell>
          <cell r="AH350">
            <v>2731.9007902306498</v>
          </cell>
          <cell r="AI350">
            <v>8869</v>
          </cell>
          <cell r="AK350">
            <v>6943.4845185070271</v>
          </cell>
          <cell r="AL350">
            <v>6672</v>
          </cell>
          <cell r="AN350">
            <v>2204.1407716309268</v>
          </cell>
          <cell r="AO350">
            <v>0</v>
          </cell>
          <cell r="AQ350">
            <v>593.65087276649558</v>
          </cell>
          <cell r="AR350">
            <v>0</v>
          </cell>
          <cell r="AT350">
            <v>2353.4276713693712</v>
          </cell>
          <cell r="AU350">
            <v>7272.722776164459</v>
          </cell>
          <cell r="AW350">
            <v>0</v>
          </cell>
          <cell r="AX350">
            <v>6462</v>
          </cell>
        </row>
        <row r="351">
          <cell r="I351">
            <v>0</v>
          </cell>
          <cell r="J351">
            <v>0</v>
          </cell>
          <cell r="L351">
            <v>2</v>
          </cell>
          <cell r="M351">
            <v>103994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601.30649080740886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2364</v>
          </cell>
          <cell r="AD351">
            <v>2730</v>
          </cell>
          <cell r="AE351">
            <v>3313.2970745495372</v>
          </cell>
          <cell r="AF351">
            <v>2908.9904224499974</v>
          </cell>
          <cell r="AH351">
            <v>5181.2242265907335</v>
          </cell>
          <cell r="AI351">
            <v>3587.5483076742426</v>
          </cell>
          <cell r="AK351">
            <v>3298.4582542339144</v>
          </cell>
          <cell r="AL351">
            <v>8504.35461268172</v>
          </cell>
          <cell r="AN351">
            <v>0</v>
          </cell>
          <cell r="AO351">
            <v>0</v>
          </cell>
          <cell r="AQ351">
            <v>2032.8706882486333</v>
          </cell>
          <cell r="AR351">
            <v>0</v>
          </cell>
          <cell r="AT351">
            <v>3000.3150390429578</v>
          </cell>
          <cell r="AU351">
            <v>532</v>
          </cell>
          <cell r="AW351">
            <v>0</v>
          </cell>
          <cell r="AX351">
            <v>0</v>
          </cell>
        </row>
        <row r="352">
          <cell r="I352">
            <v>62</v>
          </cell>
          <cell r="J352">
            <v>15515</v>
          </cell>
          <cell r="L352">
            <v>0</v>
          </cell>
          <cell r="M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6</v>
          </cell>
          <cell r="X352">
            <v>828.12839143949282</v>
          </cell>
          <cell r="Y352">
            <v>3481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3454</v>
          </cell>
          <cell r="AE352">
            <v>2644.7093072454318</v>
          </cell>
          <cell r="AF352">
            <v>7491</v>
          </cell>
          <cell r="AH352">
            <v>3890.2304539220272</v>
          </cell>
          <cell r="AI352">
            <v>2673</v>
          </cell>
          <cell r="AK352">
            <v>2614.4027370529166</v>
          </cell>
          <cell r="AL352">
            <v>6971</v>
          </cell>
          <cell r="AN352">
            <v>0</v>
          </cell>
          <cell r="AO352">
            <v>0</v>
          </cell>
          <cell r="AQ352">
            <v>971.45504399881258</v>
          </cell>
          <cell r="AR352">
            <v>0</v>
          </cell>
          <cell r="AT352">
            <v>1940.3738462764074</v>
          </cell>
          <cell r="AU352">
            <v>1720</v>
          </cell>
          <cell r="AW352">
            <v>0</v>
          </cell>
          <cell r="AX352">
            <v>0</v>
          </cell>
        </row>
        <row r="353">
          <cell r="I353">
            <v>132</v>
          </cell>
          <cell r="J353">
            <v>35608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329.64889292417809</v>
          </cell>
          <cell r="Y353">
            <v>2383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3689</v>
          </cell>
          <cell r="AE353">
            <v>1762.4738315933535</v>
          </cell>
          <cell r="AF353">
            <v>3294.6817949790502</v>
          </cell>
          <cell r="AH353">
            <v>2570.742825601536</v>
          </cell>
          <cell r="AI353">
            <v>1993.1811706349574</v>
          </cell>
          <cell r="AK353">
            <v>1497.0038800552859</v>
          </cell>
          <cell r="AL353">
            <v>6843.031046198721</v>
          </cell>
          <cell r="AN353">
            <v>0</v>
          </cell>
          <cell r="AO353">
            <v>0</v>
          </cell>
          <cell r="AQ353">
            <v>971.45504399881258</v>
          </cell>
          <cell r="AR353">
            <v>0</v>
          </cell>
          <cell r="AT353">
            <v>1056.7240487077254</v>
          </cell>
          <cell r="AU353">
            <v>0</v>
          </cell>
          <cell r="AW353">
            <v>0</v>
          </cell>
          <cell r="AX353">
            <v>0</v>
          </cell>
        </row>
        <row r="354">
          <cell r="I354">
            <v>66</v>
          </cell>
          <cell r="J354">
            <v>20530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11420.757595482819</v>
          </cell>
          <cell r="Y354">
            <v>0</v>
          </cell>
          <cell r="Z354">
            <v>0</v>
          </cell>
          <cell r="AA354">
            <v>0</v>
          </cell>
          <cell r="AB354">
            <v>4743</v>
          </cell>
          <cell r="AC354">
            <v>0</v>
          </cell>
          <cell r="AD354">
            <v>2880</v>
          </cell>
          <cell r="AE354">
            <v>1762.4738315933535</v>
          </cell>
          <cell r="AF354">
            <v>0</v>
          </cell>
          <cell r="AH354">
            <v>2570.742825601536</v>
          </cell>
          <cell r="AI354">
            <v>3608</v>
          </cell>
          <cell r="AK354">
            <v>1497.0038800552859</v>
          </cell>
          <cell r="AL354">
            <v>3510</v>
          </cell>
          <cell r="AN354">
            <v>0</v>
          </cell>
          <cell r="AO354">
            <v>0</v>
          </cell>
          <cell r="AQ354">
            <v>971.45504399881258</v>
          </cell>
          <cell r="AR354">
            <v>0</v>
          </cell>
          <cell r="AT354">
            <v>1056.7240487077254</v>
          </cell>
          <cell r="AU354">
            <v>2420</v>
          </cell>
          <cell r="AW354">
            <v>0</v>
          </cell>
          <cell r="AX354">
            <v>0</v>
          </cell>
        </row>
        <row r="355">
          <cell r="I355">
            <v>70.5</v>
          </cell>
          <cell r="J355">
            <v>19696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412.12839143949276</v>
          </cell>
          <cell r="Y355">
            <v>11907</v>
          </cell>
          <cell r="Z355">
            <v>0</v>
          </cell>
          <cell r="AA355">
            <v>0</v>
          </cell>
          <cell r="AB355">
            <v>537</v>
          </cell>
          <cell r="AC355">
            <v>1372</v>
          </cell>
          <cell r="AD355">
            <v>2291</v>
          </cell>
          <cell r="AE355">
            <v>1762.1223893077106</v>
          </cell>
          <cell r="AF355">
            <v>1959.6145470694528</v>
          </cell>
          <cell r="AH355">
            <v>2570.742825601536</v>
          </cell>
          <cell r="AI355">
            <v>4952</v>
          </cell>
          <cell r="AK355">
            <v>1497.0038800552859</v>
          </cell>
          <cell r="AL355">
            <v>5201.0825100578704</v>
          </cell>
          <cell r="AN355">
            <v>0</v>
          </cell>
          <cell r="AO355">
            <v>0</v>
          </cell>
          <cell r="AQ355">
            <v>971.45504399881258</v>
          </cell>
          <cell r="AR355">
            <v>0</v>
          </cell>
          <cell r="AT355">
            <v>1056.6698839242524</v>
          </cell>
          <cell r="AU355">
            <v>0</v>
          </cell>
          <cell r="AW355">
            <v>0</v>
          </cell>
          <cell r="AX355">
            <v>0</v>
          </cell>
        </row>
        <row r="356">
          <cell r="I356">
            <v>238.8</v>
          </cell>
          <cell r="J356">
            <v>60277</v>
          </cell>
          <cell r="L356">
            <v>0</v>
          </cell>
          <cell r="M356">
            <v>0</v>
          </cell>
          <cell r="O356">
            <v>30</v>
          </cell>
          <cell r="P356">
            <v>8493.3232345489687</v>
          </cell>
          <cell r="R356">
            <v>0</v>
          </cell>
          <cell r="S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930.82083316304647</v>
          </cell>
          <cell r="Y356">
            <v>753</v>
          </cell>
          <cell r="Z356">
            <v>0</v>
          </cell>
          <cell r="AA356">
            <v>0</v>
          </cell>
          <cell r="AB356">
            <v>1626</v>
          </cell>
          <cell r="AC356">
            <v>11444.146024941976</v>
          </cell>
          <cell r="AD356">
            <v>3106.2305290970289</v>
          </cell>
          <cell r="AE356">
            <v>3475.8108485028879</v>
          </cell>
          <cell r="AF356">
            <v>0</v>
          </cell>
          <cell r="AH356">
            <v>5179.6511691421147</v>
          </cell>
          <cell r="AI356">
            <v>2166</v>
          </cell>
          <cell r="AK356">
            <v>3265.1041597453618</v>
          </cell>
          <cell r="AL356">
            <v>0</v>
          </cell>
          <cell r="AN356">
            <v>0</v>
          </cell>
          <cell r="AO356">
            <v>0</v>
          </cell>
          <cell r="AQ356">
            <v>2032.8706882486333</v>
          </cell>
          <cell r="AR356">
            <v>0</v>
          </cell>
          <cell r="AT356">
            <v>2997.8333569021902</v>
          </cell>
          <cell r="AU356">
            <v>3873</v>
          </cell>
          <cell r="AW356">
            <v>0</v>
          </cell>
          <cell r="AX356">
            <v>0</v>
          </cell>
        </row>
        <row r="357">
          <cell r="I357">
            <v>1.8</v>
          </cell>
          <cell r="J357">
            <v>14927</v>
          </cell>
          <cell r="L357">
            <v>0</v>
          </cell>
          <cell r="M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27</v>
          </cell>
          <cell r="X357">
            <v>19328.629269533365</v>
          </cell>
          <cell r="Y357">
            <v>64549</v>
          </cell>
          <cell r="Z357">
            <v>0</v>
          </cell>
          <cell r="AA357">
            <v>0</v>
          </cell>
          <cell r="AB357">
            <v>17645</v>
          </cell>
          <cell r="AC357">
            <v>4295.1540575137342</v>
          </cell>
          <cell r="AD357">
            <v>2307</v>
          </cell>
          <cell r="AE357">
            <v>2650.2856377678509</v>
          </cell>
          <cell r="AF357">
            <v>0</v>
          </cell>
          <cell r="AH357">
            <v>3895.5321155112865</v>
          </cell>
          <cell r="AI357">
            <v>9496</v>
          </cell>
          <cell r="AK357">
            <v>2562.4782126077039</v>
          </cell>
          <cell r="AL357">
            <v>0</v>
          </cell>
          <cell r="AN357">
            <v>0</v>
          </cell>
          <cell r="AO357">
            <v>0</v>
          </cell>
          <cell r="AQ357">
            <v>1313.1883369600607</v>
          </cell>
          <cell r="AR357">
            <v>0</v>
          </cell>
          <cell r="AT357">
            <v>1948.379122663521</v>
          </cell>
          <cell r="AU357">
            <v>1622</v>
          </cell>
          <cell r="AW357">
            <v>0</v>
          </cell>
          <cell r="AX357">
            <v>0</v>
          </cell>
        </row>
        <row r="358">
          <cell r="I358">
            <v>1.05</v>
          </cell>
          <cell r="J358">
            <v>69</v>
          </cell>
          <cell r="L358">
            <v>0</v>
          </cell>
          <cell r="M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10951.060424982963</v>
          </cell>
          <cell r="Y358">
            <v>218878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3592.2582595126873</v>
          </cell>
          <cell r="AE358">
            <v>2712.6293166252549</v>
          </cell>
          <cell r="AF358">
            <v>0</v>
          </cell>
          <cell r="AH358">
            <v>4382.8307950745648</v>
          </cell>
          <cell r="AI358">
            <v>0</v>
          </cell>
          <cell r="AK358">
            <v>2668.6717501175244</v>
          </cell>
          <cell r="AL358">
            <v>0</v>
          </cell>
          <cell r="AN358">
            <v>0</v>
          </cell>
          <cell r="AO358">
            <v>0</v>
          </cell>
          <cell r="AQ358">
            <v>1313.1883369600607</v>
          </cell>
          <cell r="AR358">
            <v>0</v>
          </cell>
          <cell r="AT358">
            <v>1997.2925723511646</v>
          </cell>
          <cell r="AU358">
            <v>1154</v>
          </cell>
          <cell r="AW358">
            <v>0</v>
          </cell>
          <cell r="AX358">
            <v>5120</v>
          </cell>
        </row>
        <row r="359">
          <cell r="I359">
            <v>0</v>
          </cell>
          <cell r="J359">
            <v>0</v>
          </cell>
          <cell r="L359">
            <v>1</v>
          </cell>
          <cell r="M359">
            <v>58073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5</v>
          </cell>
          <cell r="X359">
            <v>2140.9829873767653</v>
          </cell>
          <cell r="Y359">
            <v>805</v>
          </cell>
          <cell r="Z359">
            <v>0</v>
          </cell>
          <cell r="AA359">
            <v>0</v>
          </cell>
          <cell r="AB359">
            <v>3497</v>
          </cell>
          <cell r="AC359">
            <v>2135.6001995328306</v>
          </cell>
          <cell r="AD359">
            <v>2713.2875828783076</v>
          </cell>
          <cell r="AE359">
            <v>2718.9857743579219</v>
          </cell>
          <cell r="AF359">
            <v>0</v>
          </cell>
          <cell r="AH359">
            <v>4381.8986440394083</v>
          </cell>
          <cell r="AI359">
            <v>3086</v>
          </cell>
          <cell r="AK359">
            <v>2670.7447259383075</v>
          </cell>
          <cell r="AL359">
            <v>10240</v>
          </cell>
          <cell r="AN359">
            <v>0</v>
          </cell>
          <cell r="AO359">
            <v>0</v>
          </cell>
          <cell r="AQ359">
            <v>1313.1883369600607</v>
          </cell>
          <cell r="AR359">
            <v>0</v>
          </cell>
          <cell r="AT359">
            <v>1996.1253186136071</v>
          </cell>
          <cell r="AU359">
            <v>5476.3353175311267</v>
          </cell>
          <cell r="AW359">
            <v>0</v>
          </cell>
          <cell r="AX359">
            <v>0</v>
          </cell>
        </row>
        <row r="360">
          <cell r="I360">
            <v>0</v>
          </cell>
          <cell r="J360">
            <v>0</v>
          </cell>
          <cell r="L360">
            <v>1</v>
          </cell>
          <cell r="M360">
            <v>56497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635.75143635377185</v>
          </cell>
          <cell r="Y360">
            <v>2562</v>
          </cell>
          <cell r="Z360">
            <v>0</v>
          </cell>
          <cell r="AA360">
            <v>0</v>
          </cell>
          <cell r="AB360">
            <v>0</v>
          </cell>
          <cell r="AC360">
            <v>5353.7597825107605</v>
          </cell>
          <cell r="AD360">
            <v>6421</v>
          </cell>
          <cell r="AE360">
            <v>2719.7205850661035</v>
          </cell>
          <cell r="AF360">
            <v>4437.7833806935578</v>
          </cell>
          <cell r="AH360">
            <v>4382.8307950745648</v>
          </cell>
          <cell r="AI360">
            <v>6266.3321903764472</v>
          </cell>
          <cell r="AK360">
            <v>2759.3771445596376</v>
          </cell>
          <cell r="AL360">
            <v>1804.0310461987206</v>
          </cell>
          <cell r="AN360">
            <v>0</v>
          </cell>
          <cell r="AO360">
            <v>0</v>
          </cell>
          <cell r="AQ360">
            <v>1313.1883369600607</v>
          </cell>
          <cell r="AR360">
            <v>0</v>
          </cell>
          <cell r="AT360">
            <v>1997.7706901532031</v>
          </cell>
          <cell r="AU360">
            <v>3805</v>
          </cell>
          <cell r="AW360">
            <v>0</v>
          </cell>
          <cell r="AX360">
            <v>0</v>
          </cell>
        </row>
        <row r="361">
          <cell r="I361">
            <v>10.199999999999999</v>
          </cell>
          <cell r="J361">
            <v>3501</v>
          </cell>
          <cell r="L361">
            <v>0</v>
          </cell>
          <cell r="M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5893</v>
          </cell>
          <cell r="Z361">
            <v>0</v>
          </cell>
          <cell r="AA361">
            <v>0</v>
          </cell>
          <cell r="AB361">
            <v>0</v>
          </cell>
          <cell r="AC361">
            <v>4078.989866368101</v>
          </cell>
          <cell r="AD361">
            <v>838</v>
          </cell>
          <cell r="AE361">
            <v>3593.3219295226049</v>
          </cell>
          <cell r="AF361">
            <v>0</v>
          </cell>
          <cell r="AH361">
            <v>5852.5341939813698</v>
          </cell>
          <cell r="AI361">
            <v>3591</v>
          </cell>
          <cell r="AK361">
            <v>3465.8389732460087</v>
          </cell>
          <cell r="AL361">
            <v>0</v>
          </cell>
          <cell r="AN361">
            <v>0</v>
          </cell>
          <cell r="AO361">
            <v>0</v>
          </cell>
          <cell r="AQ361">
            <v>2032.8706882486333</v>
          </cell>
          <cell r="AR361">
            <v>547.82598461304462</v>
          </cell>
          <cell r="AT361">
            <v>3255.1479730590704</v>
          </cell>
          <cell r="AU361">
            <v>8066</v>
          </cell>
          <cell r="AW361">
            <v>0</v>
          </cell>
          <cell r="AX361">
            <v>0</v>
          </cell>
        </row>
        <row r="362">
          <cell r="I362">
            <v>0</v>
          </cell>
          <cell r="J362">
            <v>0</v>
          </cell>
          <cell r="L362">
            <v>0</v>
          </cell>
          <cell r="M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1315.2318074831999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8156.1958454717515</v>
          </cell>
          <cell r="AD362">
            <v>248.62212541011559</v>
          </cell>
          <cell r="AE362">
            <v>1241.130694619156</v>
          </cell>
          <cell r="AF362">
            <v>1187</v>
          </cell>
          <cell r="AH362">
            <v>1419.0098779732841</v>
          </cell>
          <cell r="AI362">
            <v>0</v>
          </cell>
          <cell r="AK362">
            <v>1928.8566633283365</v>
          </cell>
          <cell r="AL362">
            <v>0</v>
          </cell>
          <cell r="AN362">
            <v>0</v>
          </cell>
          <cell r="AO362">
            <v>0</v>
          </cell>
          <cell r="AQ362">
            <v>0</v>
          </cell>
          <cell r="AR362">
            <v>0</v>
          </cell>
          <cell r="AT362">
            <v>645.5407983755922</v>
          </cell>
          <cell r="AU362">
            <v>913</v>
          </cell>
          <cell r="AW362">
            <v>0</v>
          </cell>
          <cell r="AX362">
            <v>0</v>
          </cell>
        </row>
        <row r="363">
          <cell r="I363">
            <v>11.1</v>
          </cell>
          <cell r="J363">
            <v>2804.9422608384243</v>
          </cell>
          <cell r="L363">
            <v>0</v>
          </cell>
          <cell r="M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6802</v>
          </cell>
          <cell r="AC363">
            <v>1947</v>
          </cell>
          <cell r="AD363">
            <v>0</v>
          </cell>
          <cell r="AE363">
            <v>2116.1210502326226</v>
          </cell>
          <cell r="AF363">
            <v>2051</v>
          </cell>
          <cell r="AH363">
            <v>3102.7914778078243</v>
          </cell>
          <cell r="AI363">
            <v>0</v>
          </cell>
          <cell r="AK363">
            <v>2712.8050698910993</v>
          </cell>
          <cell r="AL363">
            <v>0</v>
          </cell>
          <cell r="AN363">
            <v>0</v>
          </cell>
          <cell r="AO363">
            <v>0</v>
          </cell>
          <cell r="AQ363">
            <v>0</v>
          </cell>
          <cell r="AR363">
            <v>0</v>
          </cell>
          <cell r="AT363">
            <v>1457.3785947186122</v>
          </cell>
          <cell r="AU363">
            <v>125</v>
          </cell>
          <cell r="AW363">
            <v>0</v>
          </cell>
          <cell r="AX363">
            <v>0</v>
          </cell>
        </row>
        <row r="364">
          <cell r="I364">
            <v>5.04</v>
          </cell>
          <cell r="J364">
            <v>4949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529.3219366382516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4624.3950174142865</v>
          </cell>
          <cell r="AD364">
            <v>194</v>
          </cell>
          <cell r="AE364">
            <v>1710.4634120916244</v>
          </cell>
          <cell r="AF364">
            <v>818</v>
          </cell>
          <cell r="AH364">
            <v>2196.4265497206843</v>
          </cell>
          <cell r="AI364">
            <v>2836</v>
          </cell>
          <cell r="AK364">
            <v>1769.2270019340947</v>
          </cell>
          <cell r="AL364">
            <v>367.97798214586402</v>
          </cell>
          <cell r="AN364">
            <v>0</v>
          </cell>
          <cell r="AO364">
            <v>0</v>
          </cell>
          <cell r="AQ364">
            <v>0</v>
          </cell>
          <cell r="AR364">
            <v>0</v>
          </cell>
          <cell r="AT364">
            <v>1019.5485993260555</v>
          </cell>
          <cell r="AU364">
            <v>0</v>
          </cell>
          <cell r="AW364">
            <v>0</v>
          </cell>
          <cell r="AX364">
            <v>0</v>
          </cell>
        </row>
        <row r="365"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208.56930681944473</v>
          </cell>
          <cell r="V365">
            <v>0</v>
          </cell>
          <cell r="W365">
            <v>2</v>
          </cell>
          <cell r="X365">
            <v>1308</v>
          </cell>
          <cell r="Y365">
            <v>366.14130193897972</v>
          </cell>
          <cell r="Z365">
            <v>0</v>
          </cell>
          <cell r="AA365">
            <v>0</v>
          </cell>
          <cell r="AB365">
            <v>0</v>
          </cell>
          <cell r="AC365">
            <v>301.8863587248822</v>
          </cell>
          <cell r="AD365">
            <v>0</v>
          </cell>
          <cell r="AE365">
            <v>216.43588841651101</v>
          </cell>
          <cell r="AF365">
            <v>775</v>
          </cell>
          <cell r="AH365">
            <v>265.8576572715985</v>
          </cell>
          <cell r="AI365">
            <v>0</v>
          </cell>
          <cell r="AK365">
            <v>338.18783662012248</v>
          </cell>
          <cell r="AL365">
            <v>0</v>
          </cell>
          <cell r="AN365">
            <v>172.88532945079211</v>
          </cell>
          <cell r="AO365">
            <v>0</v>
          </cell>
          <cell r="AQ365">
            <v>79.153482378459373</v>
          </cell>
          <cell r="AR365">
            <v>0</v>
          </cell>
          <cell r="AT365">
            <v>156.21811853270933</v>
          </cell>
          <cell r="AU365">
            <v>5279.3339420043221</v>
          </cell>
          <cell r="AW365">
            <v>0</v>
          </cell>
          <cell r="AX365">
            <v>0</v>
          </cell>
        </row>
        <row r="366">
          <cell r="I366">
            <v>70</v>
          </cell>
          <cell r="J366">
            <v>14153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465.2758660129827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1459.8713435868913</v>
          </cell>
          <cell r="AF366">
            <v>14859</v>
          </cell>
          <cell r="AH366">
            <v>2251.1988267304814</v>
          </cell>
          <cell r="AI366">
            <v>0</v>
          </cell>
          <cell r="AK366">
            <v>2141.9433672058194</v>
          </cell>
          <cell r="AL366">
            <v>0</v>
          </cell>
          <cell r="AN366">
            <v>0</v>
          </cell>
          <cell r="AO366">
            <v>0</v>
          </cell>
          <cell r="AQ366">
            <v>0</v>
          </cell>
          <cell r="AR366">
            <v>0</v>
          </cell>
          <cell r="AT366">
            <v>727.69954995328419</v>
          </cell>
          <cell r="AU366">
            <v>1827</v>
          </cell>
          <cell r="AW366">
            <v>0</v>
          </cell>
          <cell r="AX366">
            <v>0</v>
          </cell>
        </row>
        <row r="367"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2</v>
          </cell>
          <cell r="X367">
            <v>2146.6012900613878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2506.185386446477</v>
          </cell>
          <cell r="AD367">
            <v>0</v>
          </cell>
          <cell r="AE367">
            <v>1011.4566116891505</v>
          </cell>
          <cell r="AF367">
            <v>0</v>
          </cell>
          <cell r="AH367">
            <v>1338.8908404967292</v>
          </cell>
          <cell r="AI367">
            <v>0</v>
          </cell>
          <cell r="AK367">
            <v>1196.9568431124032</v>
          </cell>
          <cell r="AL367">
            <v>313.81393033431453</v>
          </cell>
          <cell r="AN367">
            <v>0</v>
          </cell>
          <cell r="AO367">
            <v>0</v>
          </cell>
          <cell r="AQ367">
            <v>0</v>
          </cell>
          <cell r="AR367">
            <v>0</v>
          </cell>
          <cell r="AT367">
            <v>389.68052365915952</v>
          </cell>
          <cell r="AU367">
            <v>0</v>
          </cell>
          <cell r="AW367">
            <v>0</v>
          </cell>
          <cell r="AX367">
            <v>0</v>
          </cell>
        </row>
        <row r="368"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246.55041654926396</v>
          </cell>
          <cell r="AE368">
            <v>1858.8368832448157</v>
          </cell>
          <cell r="AF368">
            <v>1075</v>
          </cell>
          <cell r="AH368">
            <v>2949.4286120364909</v>
          </cell>
          <cell r="AI368">
            <v>2965</v>
          </cell>
          <cell r="AK368">
            <v>2195.6646772248323</v>
          </cell>
          <cell r="AL368">
            <v>0</v>
          </cell>
          <cell r="AN368">
            <v>0</v>
          </cell>
          <cell r="AO368">
            <v>0</v>
          </cell>
          <cell r="AQ368">
            <v>0</v>
          </cell>
          <cell r="AR368">
            <v>0</v>
          </cell>
          <cell r="AT368">
            <v>1052.8171621137847</v>
          </cell>
          <cell r="AU368">
            <v>0</v>
          </cell>
          <cell r="AW368">
            <v>0</v>
          </cell>
          <cell r="AX368">
            <v>0</v>
          </cell>
        </row>
        <row r="369"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4570.7660532452237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41</v>
          </cell>
          <cell r="AE369">
            <v>892.01370037999766</v>
          </cell>
          <cell r="AF369">
            <v>0</v>
          </cell>
          <cell r="AH369">
            <v>1199.9207699340923</v>
          </cell>
          <cell r="AI369">
            <v>0</v>
          </cell>
          <cell r="AK369">
            <v>906.91239594808542</v>
          </cell>
          <cell r="AL369">
            <v>297</v>
          </cell>
          <cell r="AN369">
            <v>0</v>
          </cell>
          <cell r="AO369">
            <v>0</v>
          </cell>
          <cell r="AQ369">
            <v>0</v>
          </cell>
          <cell r="AR369">
            <v>0</v>
          </cell>
          <cell r="AT369">
            <v>360.33701886344971</v>
          </cell>
          <cell r="AU369">
            <v>93</v>
          </cell>
          <cell r="AW369">
            <v>0</v>
          </cell>
          <cell r="AX369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поточний ремонт"/>
      <sheetName val="Лист2"/>
      <sheetName val="ДЗ нас "/>
      <sheetName val="ДЗ нежит"/>
      <sheetName val="кошти 01.03.23"/>
      <sheetName val="ПР будинок"/>
      <sheetName val="накладні витрати"/>
      <sheetName val="первичка 1"/>
      <sheetName val="первичка 2"/>
      <sheetName val="Лист4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  <sheetName val="паркан аморт"/>
      <sheetName val="Лист1"/>
    </sheetNames>
    <sheetDataSet>
      <sheetData sheetId="0"/>
      <sheetData sheetId="1"/>
      <sheetData sheetId="2"/>
      <sheetData sheetId="3">
        <row r="9">
          <cell r="I9">
            <v>351.19381183098398</v>
          </cell>
          <cell r="J9">
            <v>429.24927870975944</v>
          </cell>
          <cell r="L9">
            <v>57.108400686931418</v>
          </cell>
          <cell r="M9">
            <v>72.941639472140423</v>
          </cell>
          <cell r="O9">
            <v>110.78</v>
          </cell>
          <cell r="P9">
            <v>110.78</v>
          </cell>
          <cell r="R9">
            <v>0</v>
          </cell>
          <cell r="S9">
            <v>0</v>
          </cell>
          <cell r="U9">
            <v>0</v>
          </cell>
          <cell r="V9">
            <v>0</v>
          </cell>
          <cell r="X9">
            <v>74.281131288571572</v>
          </cell>
          <cell r="Y9">
            <v>67.520864066287089</v>
          </cell>
          <cell r="AA9">
            <v>0</v>
          </cell>
          <cell r="AB9">
            <v>0</v>
          </cell>
          <cell r="AD9">
            <v>265.67166592974343</v>
          </cell>
          <cell r="AE9">
            <v>291.9639219000573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252.53803810497325</v>
          </cell>
          <cell r="AQ9">
            <v>0</v>
          </cell>
          <cell r="AS9">
            <v>1071.8596995211831</v>
          </cell>
          <cell r="AT9">
            <v>0</v>
          </cell>
          <cell r="AV9">
            <v>65.647448675769112</v>
          </cell>
          <cell r="AW9">
            <v>0</v>
          </cell>
          <cell r="AY9">
            <v>73.651218393822916</v>
          </cell>
          <cell r="AZ9">
            <v>0</v>
          </cell>
          <cell r="BB9">
            <v>43.544938300567878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26.345569159282459</v>
          </cell>
          <cell r="BL9">
            <v>0</v>
          </cell>
          <cell r="BN9">
            <v>0</v>
          </cell>
          <cell r="BO9">
            <v>0</v>
          </cell>
          <cell r="BT9">
            <v>684.93316134050997</v>
          </cell>
          <cell r="BU9">
            <v>1010.4740811539934</v>
          </cell>
          <cell r="BW9">
            <v>354.88780966588178</v>
          </cell>
          <cell r="BX9">
            <v>1623.7270537000215</v>
          </cell>
          <cell r="BZ9">
            <v>109.5189842624678</v>
          </cell>
          <cell r="CA9">
            <v>1085.2782187917428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X9">
            <v>4.5747407172711974E-2</v>
          </cell>
          <cell r="CY9">
            <v>-1379.9220693528025</v>
          </cell>
        </row>
        <row r="10">
          <cell r="I10">
            <v>1175.1168727202646</v>
          </cell>
          <cell r="J10">
            <v>1296.3716848312833</v>
          </cell>
          <cell r="L10">
            <v>277.25497855505745</v>
          </cell>
          <cell r="M10">
            <v>305.12328599515558</v>
          </cell>
          <cell r="O10">
            <v>405.28</v>
          </cell>
          <cell r="P10">
            <v>405.26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  <cell r="X10">
            <v>789.36594858569674</v>
          </cell>
          <cell r="Y10">
            <v>2839.7071070286843</v>
          </cell>
          <cell r="AA10">
            <v>0</v>
          </cell>
          <cell r="AB10">
            <v>0</v>
          </cell>
          <cell r="AD10">
            <v>1311.7538505281082</v>
          </cell>
          <cell r="AE10">
            <v>1441.5718643815328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710.2632321702373</v>
          </cell>
          <cell r="AQ10">
            <v>2151.3721285901001</v>
          </cell>
          <cell r="AS10">
            <v>4484.602370255906</v>
          </cell>
          <cell r="AT10">
            <v>0</v>
          </cell>
          <cell r="AV10">
            <v>212.61335910407598</v>
          </cell>
          <cell r="AW10">
            <v>0</v>
          </cell>
          <cell r="AY10">
            <v>357.35999522309328</v>
          </cell>
          <cell r="AZ10">
            <v>0</v>
          </cell>
          <cell r="BB10">
            <v>242.54952035302418</v>
          </cell>
          <cell r="BC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K10">
            <v>108.30800270624789</v>
          </cell>
          <cell r="BL10">
            <v>0</v>
          </cell>
          <cell r="BN10">
            <v>67.149090736659304</v>
          </cell>
          <cell r="BO10">
            <v>0</v>
          </cell>
          <cell r="BT10">
            <v>2462.018433176389</v>
          </cell>
          <cell r="BU10">
            <v>2802.2721471223294</v>
          </cell>
          <cell r="BW10">
            <v>2405.289666019376</v>
          </cell>
          <cell r="BX10">
            <v>2863.4901789755677</v>
          </cell>
          <cell r="BZ10">
            <v>1536.232840287282</v>
          </cell>
          <cell r="CA10">
            <v>2727.9484954229906</v>
          </cell>
          <cell r="CC10">
            <v>191.97050346017346</v>
          </cell>
          <cell r="CD10">
            <v>194.087603758466</v>
          </cell>
          <cell r="CF10">
            <v>23.632732433544081</v>
          </cell>
          <cell r="CG10">
            <v>0</v>
          </cell>
          <cell r="CI10">
            <v>268.28452753975392</v>
          </cell>
          <cell r="CJ10">
            <v>235.39774890871846</v>
          </cell>
          <cell r="CL10">
            <v>0</v>
          </cell>
          <cell r="CM10">
            <v>0</v>
          </cell>
          <cell r="CX10">
            <v>393.32489137413722</v>
          </cell>
          <cell r="CY10">
            <v>113.05730598220907</v>
          </cell>
        </row>
        <row r="11">
          <cell r="I11">
            <v>1741.171546975178</v>
          </cell>
          <cell r="J11">
            <v>1925.4805907416767</v>
          </cell>
          <cell r="L11">
            <v>329.38184827529136</v>
          </cell>
          <cell r="M11">
            <v>362.48993723970909</v>
          </cell>
          <cell r="O11">
            <v>650.04</v>
          </cell>
          <cell r="P11">
            <v>650.24</v>
          </cell>
          <cell r="R11">
            <v>0</v>
          </cell>
          <cell r="S11">
            <v>0</v>
          </cell>
          <cell r="U11">
            <v>118.22581795543685</v>
          </cell>
          <cell r="V11">
            <v>337.2583303091327</v>
          </cell>
          <cell r="X11">
            <v>1121.9174967746451</v>
          </cell>
          <cell r="Y11">
            <v>1084.0619869884415</v>
          </cell>
          <cell r="AA11">
            <v>0</v>
          </cell>
          <cell r="AB11">
            <v>0</v>
          </cell>
          <cell r="AD11">
            <v>1999.4358360133112</v>
          </cell>
          <cell r="AE11">
            <v>2197.3104517074908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852.31587860428476</v>
          </cell>
          <cell r="AQ11">
            <v>3885.593933315005</v>
          </cell>
          <cell r="AS11">
            <v>8205.6088792881528</v>
          </cell>
          <cell r="AT11">
            <v>69.428838593435316</v>
          </cell>
          <cell r="AV11">
            <v>289.4167974824482</v>
          </cell>
          <cell r="AW11">
            <v>0</v>
          </cell>
          <cell r="AY11">
            <v>424.54339453418447</v>
          </cell>
          <cell r="AZ11">
            <v>0</v>
          </cell>
          <cell r="BB11">
            <v>334.69292906585082</v>
          </cell>
          <cell r="BC11">
            <v>0</v>
          </cell>
          <cell r="BE11">
            <v>0</v>
          </cell>
          <cell r="BF11">
            <v>0</v>
          </cell>
          <cell r="BH11">
            <v>119.94714023874553</v>
          </cell>
          <cell r="BI11">
            <v>0</v>
          </cell>
          <cell r="BK11">
            <v>159.06063071437234</v>
          </cell>
          <cell r="BL11">
            <v>0</v>
          </cell>
          <cell r="BN11">
            <v>0</v>
          </cell>
          <cell r="BO11">
            <v>0</v>
          </cell>
          <cell r="BT11">
            <v>4471.7402756929214</v>
          </cell>
          <cell r="BU11">
            <v>4048.9626283443936</v>
          </cell>
          <cell r="BW11">
            <v>2740.7748392235353</v>
          </cell>
          <cell r="BX11">
            <v>2121.0567103358981</v>
          </cell>
          <cell r="BZ11">
            <v>1923.4887250634042</v>
          </cell>
          <cell r="CA11">
            <v>2781.9583173492501</v>
          </cell>
          <cell r="CC11">
            <v>281.63190561253742</v>
          </cell>
          <cell r="CD11">
            <v>284.73781501337771</v>
          </cell>
          <cell r="CF11">
            <v>34.670594440937371</v>
          </cell>
          <cell r="CG11">
            <v>0</v>
          </cell>
          <cell r="CI11">
            <v>1553.5545897069471</v>
          </cell>
          <cell r="CJ11">
            <v>1300.54327611401</v>
          </cell>
          <cell r="CL11">
            <v>0</v>
          </cell>
          <cell r="CM11">
            <v>0</v>
          </cell>
          <cell r="CX11">
            <v>1529.2570492053783</v>
          </cell>
          <cell r="CY11">
            <v>9092.252620737816</v>
          </cell>
        </row>
        <row r="12">
          <cell r="I12">
            <v>3690.6182841072077</v>
          </cell>
          <cell r="J12">
            <v>4613.7636071059023</v>
          </cell>
          <cell r="L12">
            <v>691.46079665397417</v>
          </cell>
          <cell r="M12">
            <v>906.15571598054999</v>
          </cell>
          <cell r="O12">
            <v>1315.5</v>
          </cell>
          <cell r="P12">
            <v>1315.6</v>
          </cell>
          <cell r="R12">
            <v>317.12</v>
          </cell>
          <cell r="S12">
            <v>316.95999999999998</v>
          </cell>
          <cell r="U12">
            <v>195.03873136964788</v>
          </cell>
          <cell r="V12">
            <v>427.68050599091657</v>
          </cell>
          <cell r="X12">
            <v>2075.5296592115569</v>
          </cell>
          <cell r="Y12">
            <v>2539.8074289582974</v>
          </cell>
          <cell r="AA12">
            <v>0</v>
          </cell>
          <cell r="AB12">
            <v>0</v>
          </cell>
          <cell r="AD12">
            <v>4343.9669086856302</v>
          </cell>
          <cell r="AE12">
            <v>4773.8685675246998</v>
          </cell>
          <cell r="AJ12">
            <v>10369.642644772852</v>
          </cell>
          <cell r="AK12">
            <v>10483.97921383816</v>
          </cell>
          <cell r="AM12">
            <v>0</v>
          </cell>
          <cell r="AN12">
            <v>0</v>
          </cell>
          <cell r="AP12">
            <v>828.64043753194358</v>
          </cell>
          <cell r="AQ12">
            <v>0</v>
          </cell>
          <cell r="AS12">
            <v>23649.783105325576</v>
          </cell>
          <cell r="AT12">
            <v>0</v>
          </cell>
          <cell r="AV12">
            <v>195.1868202376665</v>
          </cell>
          <cell r="AW12">
            <v>0</v>
          </cell>
          <cell r="AY12">
            <v>274.23891701150251</v>
          </cell>
          <cell r="AZ12">
            <v>0</v>
          </cell>
          <cell r="BB12">
            <v>331.11315353246988</v>
          </cell>
          <cell r="BC12">
            <v>0</v>
          </cell>
          <cell r="BE12">
            <v>107.70574273720977</v>
          </cell>
          <cell r="BF12">
            <v>0</v>
          </cell>
          <cell r="BH12">
            <v>59.365087276649547</v>
          </cell>
          <cell r="BI12">
            <v>0</v>
          </cell>
          <cell r="BK12">
            <v>139.77564606445563</v>
          </cell>
          <cell r="BL12">
            <v>0</v>
          </cell>
          <cell r="BN12">
            <v>0</v>
          </cell>
          <cell r="BO12">
            <v>0</v>
          </cell>
          <cell r="BT12">
            <v>8210.50479603438</v>
          </cell>
          <cell r="BU12">
            <v>3673.2913385102765</v>
          </cell>
          <cell r="BW12">
            <v>9199.5616633053905</v>
          </cell>
          <cell r="BX12">
            <v>10873.738972606357</v>
          </cell>
          <cell r="BZ12">
            <v>1174.5728391613313</v>
          </cell>
          <cell r="CA12">
            <v>4300.262504173822</v>
          </cell>
          <cell r="CC12">
            <v>362.61639787918875</v>
          </cell>
          <cell r="CD12">
            <v>366.61542517910448</v>
          </cell>
          <cell r="CF12">
            <v>44.640276254066798</v>
          </cell>
          <cell r="CG12">
            <v>0</v>
          </cell>
          <cell r="CI12">
            <v>2330.3318845604208</v>
          </cell>
          <cell r="CJ12">
            <v>2450.5593688627109</v>
          </cell>
          <cell r="CL12">
            <v>3500.1772081349295</v>
          </cell>
          <cell r="CM12">
            <v>3674.6075338466426</v>
          </cell>
          <cell r="CX12">
            <v>1320.7508001823153</v>
          </cell>
          <cell r="CY12">
            <v>28548.991780907072</v>
          </cell>
        </row>
        <row r="13">
          <cell r="I13">
            <v>3637.0548092005447</v>
          </cell>
          <cell r="J13">
            <v>4558.153532398449</v>
          </cell>
          <cell r="L13">
            <v>683.02839453546585</v>
          </cell>
          <cell r="M13">
            <v>895.38454123984525</v>
          </cell>
          <cell r="O13">
            <v>1382.42</v>
          </cell>
          <cell r="P13">
            <v>1382.28</v>
          </cell>
          <cell r="R13">
            <v>322.08</v>
          </cell>
          <cell r="S13">
            <v>322.14</v>
          </cell>
          <cell r="U13">
            <v>195.03873136964788</v>
          </cell>
          <cell r="V13">
            <v>427.68050599091657</v>
          </cell>
          <cell r="X13">
            <v>2385.2813197332594</v>
          </cell>
          <cell r="Y13">
            <v>2912.7787438323876</v>
          </cell>
          <cell r="AA13">
            <v>0</v>
          </cell>
          <cell r="AB13">
            <v>0</v>
          </cell>
          <cell r="AD13">
            <v>4501.0253272861037</v>
          </cell>
          <cell r="AE13">
            <v>4946.4703077273653</v>
          </cell>
          <cell r="AJ13">
            <v>10369.642644772852</v>
          </cell>
          <cell r="AK13">
            <v>10483.97921383816</v>
          </cell>
          <cell r="AM13">
            <v>0</v>
          </cell>
          <cell r="AN13">
            <v>132.7382131909072</v>
          </cell>
          <cell r="AP13">
            <v>836.53225122272397</v>
          </cell>
          <cell r="AQ13">
            <v>0</v>
          </cell>
          <cell r="AS13">
            <v>23655.905738538444</v>
          </cell>
          <cell r="AT13">
            <v>1808.2769265188349</v>
          </cell>
          <cell r="AV13">
            <v>191.60637661083345</v>
          </cell>
          <cell r="AW13">
            <v>0</v>
          </cell>
          <cell r="AY13">
            <v>270.99918794267313</v>
          </cell>
          <cell r="AZ13">
            <v>0</v>
          </cell>
          <cell r="BB13">
            <v>347.5643962397636</v>
          </cell>
          <cell r="BC13">
            <v>719.28487379341368</v>
          </cell>
          <cell r="BE13">
            <v>108.73858583039781</v>
          </cell>
          <cell r="BF13">
            <v>0</v>
          </cell>
          <cell r="BH13">
            <v>59.365087276649547</v>
          </cell>
          <cell r="BI13">
            <v>7754.8875732244178</v>
          </cell>
          <cell r="BK13">
            <v>136.28317344284591</v>
          </cell>
          <cell r="BL13">
            <v>0</v>
          </cell>
          <cell r="BN13">
            <v>0</v>
          </cell>
          <cell r="BO13">
            <v>0</v>
          </cell>
          <cell r="BT13">
            <v>8574.9266840098862</v>
          </cell>
          <cell r="BU13">
            <v>5760.4899616286157</v>
          </cell>
          <cell r="BW13">
            <v>9291.8807730131321</v>
          </cell>
          <cell r="BX13">
            <v>13934.536472035004</v>
          </cell>
          <cell r="BZ13">
            <v>1295.7322026423385</v>
          </cell>
          <cell r="CA13">
            <v>5331.136438262979</v>
          </cell>
          <cell r="CC13">
            <v>446.54221553082732</v>
          </cell>
          <cell r="CD13">
            <v>451.46679842591084</v>
          </cell>
          <cell r="CF13">
            <v>54.972053048302612</v>
          </cell>
          <cell r="CG13">
            <v>0</v>
          </cell>
          <cell r="CI13">
            <v>1653.3813906519715</v>
          </cell>
          <cell r="CJ13">
            <v>1885.7557415423157</v>
          </cell>
          <cell r="CL13">
            <v>2480.0720859779581</v>
          </cell>
          <cell r="CM13">
            <v>2827.3970605306995</v>
          </cell>
          <cell r="CX13">
            <v>2297.0918853480252</v>
          </cell>
          <cell r="CY13">
            <v>9911.3757149837184</v>
          </cell>
        </row>
        <row r="14"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P14">
            <v>71.02632321702373</v>
          </cell>
          <cell r="AQ14">
            <v>0</v>
          </cell>
          <cell r="AS14">
            <v>626.69242284976622</v>
          </cell>
          <cell r="AT14">
            <v>0</v>
          </cell>
          <cell r="AV14">
            <v>0</v>
          </cell>
          <cell r="AW14">
            <v>0</v>
          </cell>
          <cell r="AY14">
            <v>0</v>
          </cell>
          <cell r="AZ14">
            <v>0</v>
          </cell>
          <cell r="BB14">
            <v>0</v>
          </cell>
          <cell r="BC14">
            <v>0</v>
          </cell>
          <cell r="BE14">
            <v>0</v>
          </cell>
          <cell r="BF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N14">
            <v>0</v>
          </cell>
          <cell r="BO14">
            <v>0</v>
          </cell>
          <cell r="BT14">
            <v>0</v>
          </cell>
          <cell r="BU14">
            <v>0</v>
          </cell>
          <cell r="BW14">
            <v>0</v>
          </cell>
          <cell r="BX14">
            <v>1.0717079334128867</v>
          </cell>
          <cell r="BZ14">
            <v>0</v>
          </cell>
          <cell r="CA14">
            <v>0</v>
          </cell>
          <cell r="CC14">
            <v>0</v>
          </cell>
          <cell r="CD14">
            <v>0</v>
          </cell>
          <cell r="CF14">
            <v>0</v>
          </cell>
          <cell r="CG14">
            <v>0</v>
          </cell>
          <cell r="CI14">
            <v>0</v>
          </cell>
          <cell r="CJ14">
            <v>0</v>
          </cell>
          <cell r="CL14">
            <v>0</v>
          </cell>
          <cell r="CM14">
            <v>0</v>
          </cell>
          <cell r="CX14">
            <v>37.697504719852191</v>
          </cell>
          <cell r="CY14">
            <v>873.67395047990453</v>
          </cell>
        </row>
        <row r="15">
          <cell r="I15">
            <v>2539.5135045074321</v>
          </cell>
          <cell r="J15">
            <v>2197.8905370515586</v>
          </cell>
          <cell r="L15">
            <v>380.28171978113971</v>
          </cell>
          <cell r="M15">
            <v>342.88899044107143</v>
          </cell>
          <cell r="O15">
            <v>1105.18</v>
          </cell>
          <cell r="P15">
            <v>1105.2</v>
          </cell>
          <cell r="R15">
            <v>219.88</v>
          </cell>
          <cell r="S15">
            <v>219.92</v>
          </cell>
          <cell r="U15">
            <v>130.00964065633656</v>
          </cell>
          <cell r="V15">
            <v>45.569938929811315</v>
          </cell>
          <cell r="X15">
            <v>922.900498752364</v>
          </cell>
          <cell r="Y15">
            <v>737.15779717730265</v>
          </cell>
          <cell r="AA15">
            <v>0</v>
          </cell>
          <cell r="AB15">
            <v>0</v>
          </cell>
          <cell r="AD15">
            <v>2966.9995008902729</v>
          </cell>
          <cell r="AE15">
            <v>3260.6292715630325</v>
          </cell>
          <cell r="AJ15">
            <v>9601.5110639297945</v>
          </cell>
          <cell r="AK15">
            <v>9707.3764795125717</v>
          </cell>
          <cell r="AM15">
            <v>0</v>
          </cell>
          <cell r="AN15">
            <v>0</v>
          </cell>
          <cell r="AP15">
            <v>560.31877204540945</v>
          </cell>
          <cell r="AQ15">
            <v>0</v>
          </cell>
          <cell r="AS15">
            <v>10225.707110585236</v>
          </cell>
          <cell r="AT15">
            <v>1128.8642763287075</v>
          </cell>
          <cell r="AV15">
            <v>189.77948309198482</v>
          </cell>
          <cell r="AW15">
            <v>0</v>
          </cell>
          <cell r="AY15">
            <v>228.47399419187306</v>
          </cell>
          <cell r="AZ15">
            <v>0</v>
          </cell>
          <cell r="BB15">
            <v>224.81280975438688</v>
          </cell>
          <cell r="BC15">
            <v>0</v>
          </cell>
          <cell r="BE15">
            <v>105.43188534218436</v>
          </cell>
          <cell r="BF15">
            <v>912.29523135982788</v>
          </cell>
          <cell r="BH15">
            <v>65.961235315382794</v>
          </cell>
          <cell r="BI15">
            <v>0</v>
          </cell>
          <cell r="BK15">
            <v>117.84882201386395</v>
          </cell>
          <cell r="BL15">
            <v>0</v>
          </cell>
          <cell r="BN15">
            <v>53.862315927238761</v>
          </cell>
          <cell r="BO15">
            <v>0</v>
          </cell>
          <cell r="BT15">
            <v>11359.058791014731</v>
          </cell>
          <cell r="BU15">
            <v>10550.297373421168</v>
          </cell>
          <cell r="BW15">
            <v>6745.5553781553781</v>
          </cell>
          <cell r="BX15">
            <v>11555.309739018208</v>
          </cell>
          <cell r="BZ15">
            <v>2157.0593379467</v>
          </cell>
          <cell r="CA15">
            <v>10129.6253473492</v>
          </cell>
          <cell r="CC15">
            <v>283.34767875377997</v>
          </cell>
          <cell r="CD15">
            <v>286.47251014400752</v>
          </cell>
          <cell r="CF15">
            <v>34.881816513249433</v>
          </cell>
          <cell r="CG15">
            <v>0</v>
          </cell>
          <cell r="CI15">
            <v>2140.0370452589677</v>
          </cell>
          <cell r="CJ15">
            <v>1992.6628164202209</v>
          </cell>
          <cell r="CL15">
            <v>2249.2226087925883</v>
          </cell>
          <cell r="CM15">
            <v>2986.5110563940807</v>
          </cell>
          <cell r="CX15">
            <v>1057.9579841356463</v>
          </cell>
          <cell r="CY15">
            <v>-2003.2856381329184</v>
          </cell>
        </row>
        <row r="16">
          <cell r="I16">
            <v>175.87277271292075</v>
          </cell>
          <cell r="J16">
            <v>155.21684510611129</v>
          </cell>
          <cell r="L16">
            <v>70.86718398443351</v>
          </cell>
          <cell r="M16">
            <v>63.899815752019151</v>
          </cell>
          <cell r="O16">
            <v>109.36</v>
          </cell>
          <cell r="P16">
            <v>109.34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>
            <v>98.891409429387878</v>
          </cell>
          <cell r="Y16">
            <v>77.357280624528073</v>
          </cell>
          <cell r="AA16">
            <v>0</v>
          </cell>
          <cell r="AB16">
            <v>0</v>
          </cell>
          <cell r="AD16">
            <v>292.13193673438764</v>
          </cell>
          <cell r="AE16">
            <v>321.04283933607962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189.40352857872995</v>
          </cell>
          <cell r="AQ16">
            <v>503.68810246675991</v>
          </cell>
          <cell r="AS16">
            <v>879.2372180236606</v>
          </cell>
          <cell r="AT16">
            <v>399.45892302046599</v>
          </cell>
          <cell r="AV16">
            <v>67.696308299723157</v>
          </cell>
          <cell r="AW16">
            <v>0</v>
          </cell>
          <cell r="AY16">
            <v>91.335669119949301</v>
          </cell>
          <cell r="AZ16">
            <v>0</v>
          </cell>
          <cell r="BB16">
            <v>31.502063628871475</v>
          </cell>
          <cell r="BC16">
            <v>0</v>
          </cell>
          <cell r="BE16">
            <v>0</v>
          </cell>
          <cell r="BF16">
            <v>0</v>
          </cell>
          <cell r="BH16">
            <v>0</v>
          </cell>
          <cell r="BI16">
            <v>0</v>
          </cell>
          <cell r="BK16">
            <v>19.771277081972755</v>
          </cell>
          <cell r="BL16">
            <v>0</v>
          </cell>
          <cell r="BN16">
            <v>27.907064838681809</v>
          </cell>
          <cell r="BO16">
            <v>0</v>
          </cell>
          <cell r="BT16">
            <v>1101.9723394183075</v>
          </cell>
          <cell r="BU16">
            <v>1131.9851947086361</v>
          </cell>
          <cell r="BW16">
            <v>619.92379792893234</v>
          </cell>
          <cell r="BX16">
            <v>1854.3406344988225</v>
          </cell>
          <cell r="BZ16">
            <v>300.36379342842406</v>
          </cell>
          <cell r="CA16">
            <v>1075.1883283996799</v>
          </cell>
          <cell r="CC16">
            <v>0</v>
          </cell>
          <cell r="CD16">
            <v>0</v>
          </cell>
          <cell r="CF16">
            <v>0</v>
          </cell>
          <cell r="CG16">
            <v>0</v>
          </cell>
          <cell r="CI16">
            <v>218.37112706724159</v>
          </cell>
          <cell r="CJ16">
            <v>223.04229575167668</v>
          </cell>
          <cell r="CL16">
            <v>0</v>
          </cell>
          <cell r="CM16">
            <v>0</v>
          </cell>
          <cell r="CX16">
            <v>3.1011669250801788E-2</v>
          </cell>
          <cell r="CY16">
            <v>-1943.9123115977345</v>
          </cell>
        </row>
        <row r="17">
          <cell r="I17">
            <v>175.87277271292075</v>
          </cell>
          <cell r="J17">
            <v>155.04999522762952</v>
          </cell>
          <cell r="L17">
            <v>70.86718398443351</v>
          </cell>
          <cell r="M17">
            <v>63.899815752019151</v>
          </cell>
          <cell r="O17">
            <v>107.16</v>
          </cell>
          <cell r="P17">
            <v>107.18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>
            <v>98.891409429387878</v>
          </cell>
          <cell r="Y17">
            <v>77.286377330128488</v>
          </cell>
          <cell r="AA17">
            <v>0</v>
          </cell>
          <cell r="AB17">
            <v>0</v>
          </cell>
          <cell r="AD17">
            <v>287.8561052011836</v>
          </cell>
          <cell r="AE17">
            <v>316.3438491767439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189.40352857872995</v>
          </cell>
          <cell r="AQ17">
            <v>575.64354567629709</v>
          </cell>
          <cell r="AS17">
            <v>848.99000114935666</v>
          </cell>
          <cell r="AT17">
            <v>19.342209687931785</v>
          </cell>
          <cell r="AV17">
            <v>67.696308299723157</v>
          </cell>
          <cell r="AW17">
            <v>0</v>
          </cell>
          <cell r="AY17">
            <v>91.335669119949301</v>
          </cell>
          <cell r="AZ17">
            <v>0</v>
          </cell>
          <cell r="BB17">
            <v>30.616109573468009</v>
          </cell>
          <cell r="BC17">
            <v>0</v>
          </cell>
          <cell r="BE17">
            <v>0</v>
          </cell>
          <cell r="BF17">
            <v>0</v>
          </cell>
          <cell r="BH17">
            <v>0</v>
          </cell>
          <cell r="BI17">
            <v>0</v>
          </cell>
          <cell r="BK17">
            <v>19.771277081972755</v>
          </cell>
          <cell r="BL17">
            <v>0</v>
          </cell>
          <cell r="BN17">
            <v>27.240307228761459</v>
          </cell>
          <cell r="BO17">
            <v>0</v>
          </cell>
          <cell r="BT17">
            <v>888.46755129148744</v>
          </cell>
          <cell r="BU17">
            <v>1106.4322594004514</v>
          </cell>
          <cell r="BW17">
            <v>631.88048155811032</v>
          </cell>
          <cell r="BX17">
            <v>1869.3736937978474</v>
          </cell>
          <cell r="BZ17">
            <v>345.48841878418835</v>
          </cell>
          <cell r="CA17">
            <v>1058.6053047245173</v>
          </cell>
          <cell r="CC17">
            <v>0</v>
          </cell>
          <cell r="CD17">
            <v>0</v>
          </cell>
          <cell r="CF17">
            <v>0</v>
          </cell>
          <cell r="CG17">
            <v>0</v>
          </cell>
          <cell r="CI17">
            <v>308.83916542367018</v>
          </cell>
          <cell r="CJ17">
            <v>131.55759316777699</v>
          </cell>
          <cell r="CL17">
            <v>0</v>
          </cell>
          <cell r="CM17">
            <v>0</v>
          </cell>
          <cell r="CX17">
            <v>125.68845269918893</v>
          </cell>
          <cell r="CY17">
            <v>-1422.7175727296117</v>
          </cell>
        </row>
        <row r="18">
          <cell r="I18">
            <v>2739.4930041117791</v>
          </cell>
          <cell r="J18">
            <v>2370.9844600956817</v>
          </cell>
          <cell r="L18">
            <v>569.15627999259948</v>
          </cell>
          <cell r="M18">
            <v>513.19956408771952</v>
          </cell>
          <cell r="O18">
            <v>1280.7</v>
          </cell>
          <cell r="P18">
            <v>1280.3800000000001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>
            <v>2359.2676634497793</v>
          </cell>
          <cell r="Y18">
            <v>1903.7740184117533</v>
          </cell>
          <cell r="AA18">
            <v>0</v>
          </cell>
          <cell r="AB18">
            <v>0</v>
          </cell>
          <cell r="AD18">
            <v>3485.301546573487</v>
          </cell>
          <cell r="AE18">
            <v>3830.2251953771729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2604.2985179575371</v>
          </cell>
          <cell r="AQ18">
            <v>7339.4552073727873</v>
          </cell>
          <cell r="AS18">
            <v>7400.7728820642214</v>
          </cell>
          <cell r="AT18">
            <v>368.5689749258147</v>
          </cell>
          <cell r="AV18">
            <v>472.55756514456755</v>
          </cell>
          <cell r="AW18">
            <v>0</v>
          </cell>
          <cell r="AY18">
            <v>733.55039105992546</v>
          </cell>
          <cell r="AZ18">
            <v>0</v>
          </cell>
          <cell r="BB18">
            <v>441.34166583337264</v>
          </cell>
          <cell r="BC18">
            <v>0</v>
          </cell>
          <cell r="BE18">
            <v>0</v>
          </cell>
          <cell r="BF18">
            <v>0</v>
          </cell>
          <cell r="BH18">
            <v>0</v>
          </cell>
          <cell r="BI18">
            <v>0</v>
          </cell>
          <cell r="BK18">
            <v>331.20826457246949</v>
          </cell>
          <cell r="BL18">
            <v>0</v>
          </cell>
          <cell r="BN18">
            <v>160.2534325618756</v>
          </cell>
          <cell r="BO18">
            <v>0</v>
          </cell>
          <cell r="BT18">
            <v>12700.329515779938</v>
          </cell>
          <cell r="BU18">
            <v>13869.932663667685</v>
          </cell>
          <cell r="BW18">
            <v>4328.9121256616163</v>
          </cell>
          <cell r="BX18">
            <v>9895.3398213836444</v>
          </cell>
          <cell r="BZ18">
            <v>6309.1240987888905</v>
          </cell>
          <cell r="CA18">
            <v>12681.615753871658</v>
          </cell>
          <cell r="CC18">
            <v>301.73096240995085</v>
          </cell>
          <cell r="CD18">
            <v>305.05852940075539</v>
          </cell>
          <cell r="CF18">
            <v>37.144910145164403</v>
          </cell>
          <cell r="CG18">
            <v>0</v>
          </cell>
          <cell r="CI18">
            <v>1725.1319038312085</v>
          </cell>
          <cell r="CJ18">
            <v>1997.2970187595581</v>
          </cell>
          <cell r="CL18">
            <v>0</v>
          </cell>
          <cell r="CM18">
            <v>0</v>
          </cell>
          <cell r="CX18">
            <v>2601.7903240739543</v>
          </cell>
          <cell r="CY18">
            <v>-7448.8774488250747</v>
          </cell>
        </row>
        <row r="19">
          <cell r="I19">
            <v>621.03896781351762</v>
          </cell>
          <cell r="J19">
            <v>679.36545860972114</v>
          </cell>
          <cell r="L19">
            <v>126.49526282106204</v>
          </cell>
          <cell r="M19">
            <v>139.21046399458805</v>
          </cell>
          <cell r="O19">
            <v>170.88</v>
          </cell>
          <cell r="P19">
            <v>170.86666666666667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>
            <v>376.00662446244172</v>
          </cell>
          <cell r="Y19">
            <v>329.124287629023</v>
          </cell>
          <cell r="AA19">
            <v>0</v>
          </cell>
          <cell r="AB19">
            <v>0</v>
          </cell>
          <cell r="AD19">
            <v>536.83064899376529</v>
          </cell>
          <cell r="AE19">
            <v>668.19640065753458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497.18426251916611</v>
          </cell>
          <cell r="AQ19">
            <v>0</v>
          </cell>
          <cell r="AS19">
            <v>1617.6290010005876</v>
          </cell>
          <cell r="AT19">
            <v>0</v>
          </cell>
          <cell r="AV19">
            <v>103.78450226731735</v>
          </cell>
          <cell r="AW19">
            <v>0</v>
          </cell>
          <cell r="AY19">
            <v>163.00578644091831</v>
          </cell>
          <cell r="AZ19">
            <v>0</v>
          </cell>
          <cell r="BB19">
            <v>71.428492411828188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K19">
            <v>39.526483889459712</v>
          </cell>
          <cell r="BL19">
            <v>0</v>
          </cell>
          <cell r="BN19">
            <v>0</v>
          </cell>
          <cell r="BO19">
            <v>0</v>
          </cell>
          <cell r="BT19">
            <v>1446.2540173647089</v>
          </cell>
          <cell r="BU19">
            <v>1443.9077480901408</v>
          </cell>
          <cell r="BW19">
            <v>925.15193998895006</v>
          </cell>
          <cell r="BX19">
            <v>1938.9924479633546</v>
          </cell>
          <cell r="BZ19">
            <v>620.65129044285891</v>
          </cell>
          <cell r="CA19">
            <v>1306.4087621238837</v>
          </cell>
          <cell r="CC19">
            <v>75.984239112172844</v>
          </cell>
          <cell r="CD19">
            <v>76.8222129278913</v>
          </cell>
          <cell r="CF19">
            <v>9.3541203452485515</v>
          </cell>
          <cell r="CG19">
            <v>0</v>
          </cell>
          <cell r="CI19">
            <v>290.12164024647802</v>
          </cell>
          <cell r="CJ19">
            <v>284.91014357320307</v>
          </cell>
          <cell r="CL19">
            <v>0</v>
          </cell>
          <cell r="CM19">
            <v>0</v>
          </cell>
          <cell r="CX19">
            <v>-160.83273614457721</v>
          </cell>
          <cell r="CY19">
            <v>623.39448931679317</v>
          </cell>
        </row>
        <row r="20"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D20">
            <v>0</v>
          </cell>
          <cell r="AE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78.91813690780414</v>
          </cell>
          <cell r="AQ20">
            <v>0</v>
          </cell>
          <cell r="AS20">
            <v>464.34536742130445</v>
          </cell>
          <cell r="AT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B20">
            <v>0</v>
          </cell>
          <cell r="BC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T20">
            <v>15.951340502798338</v>
          </cell>
          <cell r="BU20">
            <v>36.881322329389512</v>
          </cell>
          <cell r="BW20">
            <v>0</v>
          </cell>
          <cell r="BX20">
            <v>1.0456580634020911</v>
          </cell>
          <cell r="BZ20">
            <v>0</v>
          </cell>
          <cell r="CA20">
            <v>34.698482396317097</v>
          </cell>
          <cell r="CC20">
            <v>0</v>
          </cell>
          <cell r="CD20">
            <v>0</v>
          </cell>
          <cell r="CF20">
            <v>0</v>
          </cell>
          <cell r="CG20">
            <v>0</v>
          </cell>
          <cell r="CI20">
            <v>0</v>
          </cell>
          <cell r="CJ20">
            <v>0</v>
          </cell>
          <cell r="CL20">
            <v>0</v>
          </cell>
          <cell r="CM20">
            <v>0</v>
          </cell>
          <cell r="CX20">
            <v>16.782186201711738</v>
          </cell>
          <cell r="CY20">
            <v>600.68944465306959</v>
          </cell>
        </row>
        <row r="21">
          <cell r="I21">
            <v>1451.5629398755198</v>
          </cell>
          <cell r="J21">
            <v>1620.3460082913602</v>
          </cell>
          <cell r="L21">
            <v>282.92637332764753</v>
          </cell>
          <cell r="M21">
            <v>311.36469081362634</v>
          </cell>
          <cell r="O21">
            <v>618.74</v>
          </cell>
          <cell r="P21">
            <v>618.73333333333335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883.51669266117415</v>
          </cell>
          <cell r="Y21">
            <v>859.58014126875082</v>
          </cell>
          <cell r="AA21">
            <v>0</v>
          </cell>
          <cell r="AB21">
            <v>0</v>
          </cell>
          <cell r="AD21">
            <v>2100.5735045453639</v>
          </cell>
          <cell r="AE21">
            <v>2404.4732645320701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1278.4738179064273</v>
          </cell>
          <cell r="AQ21">
            <v>0</v>
          </cell>
          <cell r="AS21">
            <v>5217.8459568311582</v>
          </cell>
          <cell r="AT21">
            <v>0</v>
          </cell>
          <cell r="AV21">
            <v>235.07044024849569</v>
          </cell>
          <cell r="AW21">
            <v>0</v>
          </cell>
          <cell r="AY21">
            <v>364.66296549106636</v>
          </cell>
          <cell r="AZ21">
            <v>0</v>
          </cell>
          <cell r="BB21">
            <v>335.41627860193557</v>
          </cell>
          <cell r="BC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K21">
            <v>113.60653295778928</v>
          </cell>
          <cell r="BL21">
            <v>218.46854642875923</v>
          </cell>
          <cell r="BN21">
            <v>0</v>
          </cell>
          <cell r="BO21">
            <v>0</v>
          </cell>
          <cell r="BT21">
            <v>4347.4199743444433</v>
          </cell>
          <cell r="BU21">
            <v>4236.7685842526589</v>
          </cell>
          <cell r="BW21">
            <v>1956.9435953144853</v>
          </cell>
          <cell r="BX21">
            <v>4564.9359025622744</v>
          </cell>
          <cell r="BZ21">
            <v>1920.5993200533412</v>
          </cell>
          <cell r="CA21">
            <v>4118.0767094971416</v>
          </cell>
          <cell r="CC21">
            <v>231.72741824725227</v>
          </cell>
          <cell r="CD21">
            <v>234.28296807105949</v>
          </cell>
          <cell r="CF21">
            <v>28.527049594832192</v>
          </cell>
          <cell r="CG21">
            <v>0</v>
          </cell>
          <cell r="CI21">
            <v>620.79791837687242</v>
          </cell>
          <cell r="CJ21">
            <v>1952.7610252382769</v>
          </cell>
          <cell r="CL21">
            <v>0</v>
          </cell>
          <cell r="CM21">
            <v>0</v>
          </cell>
          <cell r="CX21">
            <v>2349.987065946636</v>
          </cell>
          <cell r="CY21">
            <v>3368.3305908528291</v>
          </cell>
        </row>
        <row r="22">
          <cell r="I22">
            <v>980.11058656366777</v>
          </cell>
          <cell r="J22">
            <v>1075.9852241289627</v>
          </cell>
          <cell r="L22">
            <v>197.11639363741926</v>
          </cell>
          <cell r="M22">
            <v>216.92952225589414</v>
          </cell>
          <cell r="O22">
            <v>349.12</v>
          </cell>
          <cell r="P22">
            <v>349.13333333333333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>
            <v>704.04373794736694</v>
          </cell>
          <cell r="Y22">
            <v>662.8087634438283</v>
          </cell>
          <cell r="AA22">
            <v>0</v>
          </cell>
          <cell r="AB22">
            <v>0</v>
          </cell>
          <cell r="AD22">
            <v>1047.2437854982186</v>
          </cell>
          <cell r="AE22">
            <v>1173.9878697581621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P22">
            <v>686.58779109789612</v>
          </cell>
          <cell r="AQ22">
            <v>0</v>
          </cell>
          <cell r="AS22">
            <v>3708.0836556568615</v>
          </cell>
          <cell r="AT22">
            <v>444.12879455214471</v>
          </cell>
          <cell r="AV22">
            <v>164.42305467854635</v>
          </cell>
          <cell r="AW22">
            <v>0</v>
          </cell>
          <cell r="AY22">
            <v>254.07927931943252</v>
          </cell>
          <cell r="AZ22">
            <v>0</v>
          </cell>
          <cell r="BB22">
            <v>149.22429345480151</v>
          </cell>
          <cell r="BC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K22">
            <v>87.33759704525356</v>
          </cell>
          <cell r="BL22">
            <v>0</v>
          </cell>
          <cell r="BN22">
            <v>0</v>
          </cell>
          <cell r="BO22">
            <v>0</v>
          </cell>
          <cell r="BT22">
            <v>2297.3567290374276</v>
          </cell>
          <cell r="BU22">
            <v>2225.5065682702207</v>
          </cell>
          <cell r="BW22">
            <v>2251.4238286090226</v>
          </cell>
          <cell r="BX22">
            <v>4510.9218625642197</v>
          </cell>
          <cell r="BZ22">
            <v>817.64122088344482</v>
          </cell>
          <cell r="CA22">
            <v>2200.6240675375593</v>
          </cell>
          <cell r="CC22">
            <v>327.95778042608794</v>
          </cell>
          <cell r="CD22">
            <v>331.57458354038243</v>
          </cell>
          <cell r="CF22">
            <v>40.373590393363102</v>
          </cell>
          <cell r="CG22">
            <v>0</v>
          </cell>
          <cell r="CI22">
            <v>586.48245555202027</v>
          </cell>
          <cell r="CJ22">
            <v>483.31198570570984</v>
          </cell>
          <cell r="CL22">
            <v>0</v>
          </cell>
          <cell r="CM22">
            <v>0</v>
          </cell>
          <cell r="CX22">
            <v>182.09306423900489</v>
          </cell>
          <cell r="CY22">
            <v>1350.5249098914983</v>
          </cell>
        </row>
        <row r="23">
          <cell r="I23">
            <v>1986.8518445396794</v>
          </cell>
          <cell r="J23">
            <v>2432.6312441695864</v>
          </cell>
          <cell r="L23">
            <v>306.30279651169889</v>
          </cell>
          <cell r="M23">
            <v>414.20908016240082</v>
          </cell>
          <cell r="O23">
            <v>612.38</v>
          </cell>
          <cell r="P23">
            <v>612.58000000000004</v>
          </cell>
          <cell r="R23">
            <v>142.96</v>
          </cell>
          <cell r="S23">
            <v>142.78</v>
          </cell>
          <cell r="U23">
            <v>130.00964065633656</v>
          </cell>
          <cell r="V23">
            <v>106.46261844006062</v>
          </cell>
          <cell r="X23">
            <v>1250.523613259714</v>
          </cell>
          <cell r="Y23">
            <v>1507.6501162443474</v>
          </cell>
          <cell r="AA23">
            <v>0</v>
          </cell>
          <cell r="AB23">
            <v>0</v>
          </cell>
          <cell r="AD23">
            <v>2909.4895667686783</v>
          </cell>
          <cell r="AE23">
            <v>3197.4278539199672</v>
          </cell>
          <cell r="AJ23">
            <v>6098.459378714083</v>
          </cell>
          <cell r="AK23">
            <v>6973.4744251318098</v>
          </cell>
          <cell r="AM23">
            <v>0</v>
          </cell>
          <cell r="AN23">
            <v>657.05859175387445</v>
          </cell>
          <cell r="AP23">
            <v>426.15793930214238</v>
          </cell>
          <cell r="AQ23">
            <v>0</v>
          </cell>
          <cell r="AS23">
            <v>12832.580826908254</v>
          </cell>
          <cell r="AT23">
            <v>0</v>
          </cell>
          <cell r="AV23">
            <v>177.51800880001062</v>
          </cell>
          <cell r="AW23">
            <v>0</v>
          </cell>
          <cell r="AY23">
            <v>200.43331245737406</v>
          </cell>
          <cell r="AZ23">
            <v>0</v>
          </cell>
          <cell r="BB23">
            <v>170.68014774308622</v>
          </cell>
          <cell r="BC23">
            <v>0</v>
          </cell>
          <cell r="BE23">
            <v>101.1739894233076</v>
          </cell>
          <cell r="BF23">
            <v>0</v>
          </cell>
          <cell r="BH23">
            <v>65.961235315382794</v>
          </cell>
          <cell r="BI23">
            <v>0</v>
          </cell>
          <cell r="BK23">
            <v>208.54056051817184</v>
          </cell>
          <cell r="BL23">
            <v>0</v>
          </cell>
          <cell r="BN23">
            <v>0</v>
          </cell>
          <cell r="BO23">
            <v>0</v>
          </cell>
          <cell r="BT23">
            <v>9261.253440929102</v>
          </cell>
          <cell r="BU23">
            <v>4601.3445047540918</v>
          </cell>
          <cell r="BW23">
            <v>4004.0829469997734</v>
          </cell>
          <cell r="BX23">
            <v>6357.6900735506633</v>
          </cell>
          <cell r="BZ23">
            <v>864.93761305377711</v>
          </cell>
          <cell r="CA23">
            <v>4661.2881221751304</v>
          </cell>
          <cell r="CC23">
            <v>299.03474747371246</v>
          </cell>
          <cell r="CD23">
            <v>302.33257990976574</v>
          </cell>
          <cell r="CF23">
            <v>36.812989745816871</v>
          </cell>
          <cell r="CG23">
            <v>0</v>
          </cell>
          <cell r="CI23">
            <v>1591.9255163201908</v>
          </cell>
          <cell r="CJ23">
            <v>3007.3196759029388</v>
          </cell>
          <cell r="CL23">
            <v>1977.8184937233023</v>
          </cell>
          <cell r="CM23">
            <v>2665.7395084068557</v>
          </cell>
          <cell r="CX23">
            <v>526.53366900367837</v>
          </cell>
          <cell r="CY23">
            <v>10145.613926574206</v>
          </cell>
        </row>
        <row r="24"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P24">
            <v>78.91813690780414</v>
          </cell>
          <cell r="AQ24">
            <v>0</v>
          </cell>
          <cell r="AS24">
            <v>510.56207864335602</v>
          </cell>
          <cell r="AT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T24">
            <v>27.914845879897086</v>
          </cell>
          <cell r="BU24">
            <v>92.477896106310226</v>
          </cell>
          <cell r="BW24">
            <v>0</v>
          </cell>
          <cell r="BX24">
            <v>1.0721149626318054</v>
          </cell>
          <cell r="BZ24">
            <v>0</v>
          </cell>
          <cell r="CA24">
            <v>87.009839291183113</v>
          </cell>
          <cell r="CC24">
            <v>0</v>
          </cell>
          <cell r="CD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X24">
            <v>18.505926282731366</v>
          </cell>
          <cell r="CY24">
            <v>542.70817956784981</v>
          </cell>
        </row>
        <row r="25">
          <cell r="I25">
            <v>0</v>
          </cell>
          <cell r="J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D25">
            <v>0</v>
          </cell>
          <cell r="AE25">
            <v>0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P25">
            <v>78.91813690780414</v>
          </cell>
          <cell r="AQ25">
            <v>0</v>
          </cell>
          <cell r="AS25">
            <v>574.69669133791456</v>
          </cell>
          <cell r="AT25">
            <v>0</v>
          </cell>
          <cell r="AV25">
            <v>0</v>
          </cell>
          <cell r="AW25">
            <v>0</v>
          </cell>
          <cell r="AY25">
            <v>0</v>
          </cell>
          <cell r="AZ25">
            <v>0</v>
          </cell>
          <cell r="BB25">
            <v>0</v>
          </cell>
          <cell r="BC25">
            <v>0</v>
          </cell>
          <cell r="BE25">
            <v>0</v>
          </cell>
          <cell r="BF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N25">
            <v>0</v>
          </cell>
          <cell r="BO25">
            <v>0</v>
          </cell>
          <cell r="BT25">
            <v>35.890516131296266</v>
          </cell>
          <cell r="BU25">
            <v>115.60403931813357</v>
          </cell>
          <cell r="BW25">
            <v>0</v>
          </cell>
          <cell r="BX25">
            <v>1.215389247691181</v>
          </cell>
          <cell r="BZ25">
            <v>0</v>
          </cell>
          <cell r="CA25">
            <v>108.76843361223003</v>
          </cell>
          <cell r="CC25">
            <v>0</v>
          </cell>
          <cell r="CD25">
            <v>0</v>
          </cell>
          <cell r="CF25">
            <v>0</v>
          </cell>
          <cell r="CG25">
            <v>0</v>
          </cell>
          <cell r="CI25">
            <v>0</v>
          </cell>
          <cell r="CJ25">
            <v>0</v>
          </cell>
          <cell r="CL25">
            <v>0</v>
          </cell>
          <cell r="CM25">
            <v>0</v>
          </cell>
          <cell r="CX25">
            <v>12.433586747582012</v>
          </cell>
          <cell r="CY25">
            <v>569.13456538633432</v>
          </cell>
        </row>
        <row r="26"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94.701764289364974</v>
          </cell>
          <cell r="AQ26">
            <v>0</v>
          </cell>
          <cell r="AS26">
            <v>570.43433432923587</v>
          </cell>
          <cell r="AT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B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K26">
            <v>0</v>
          </cell>
          <cell r="BL26">
            <v>0</v>
          </cell>
          <cell r="BN26">
            <v>0</v>
          </cell>
          <cell r="BO26">
            <v>0</v>
          </cell>
          <cell r="BT26">
            <v>27.914845879897086</v>
          </cell>
          <cell r="BU26">
            <v>98.272770279757651</v>
          </cell>
          <cell r="BW26">
            <v>0</v>
          </cell>
          <cell r="BX26">
            <v>1.2145751892533436</v>
          </cell>
          <cell r="BZ26">
            <v>0</v>
          </cell>
          <cell r="CA26">
            <v>92.461756867947088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0</v>
          </cell>
          <cell r="CJ26">
            <v>0</v>
          </cell>
          <cell r="CL26">
            <v>0</v>
          </cell>
          <cell r="CM26">
            <v>0</v>
          </cell>
          <cell r="CX26">
            <v>12.478866601802451</v>
          </cell>
          <cell r="CY26">
            <v>613.80107719565035</v>
          </cell>
        </row>
        <row r="27"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185.37516178579278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78.91813690780414</v>
          </cell>
          <cell r="AQ27">
            <v>0</v>
          </cell>
          <cell r="AS27">
            <v>550.12377861382879</v>
          </cell>
          <cell r="AT27">
            <v>8278.0274057154656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T27">
            <v>15.951340502798338</v>
          </cell>
          <cell r="BU27">
            <v>57.788681288575219</v>
          </cell>
          <cell r="BW27">
            <v>0</v>
          </cell>
          <cell r="BX27">
            <v>0.96343816118051739</v>
          </cell>
          <cell r="BZ27">
            <v>0</v>
          </cell>
          <cell r="CA27">
            <v>54.371947809612749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6.2391750590640456</v>
          </cell>
          <cell r="CJ27">
            <v>141.21852000382717</v>
          </cell>
          <cell r="CL27">
            <v>0</v>
          </cell>
          <cell r="CM27">
            <v>0</v>
          </cell>
          <cell r="CX27">
            <v>38.281082699805665</v>
          </cell>
          <cell r="CY27">
            <v>-9641.5341857173426</v>
          </cell>
        </row>
        <row r="28">
          <cell r="I28">
            <v>0</v>
          </cell>
          <cell r="J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P28">
            <v>86.809950598584564</v>
          </cell>
          <cell r="AQ28">
            <v>0</v>
          </cell>
          <cell r="AS28">
            <v>601.82121739763295</v>
          </cell>
          <cell r="AT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N28">
            <v>0</v>
          </cell>
          <cell r="BO28">
            <v>0</v>
          </cell>
          <cell r="BT28">
            <v>23.927010754197507</v>
          </cell>
          <cell r="BU28">
            <v>75.14662706793429</v>
          </cell>
          <cell r="BW28">
            <v>0</v>
          </cell>
          <cell r="BX28">
            <v>1.2849912441262754</v>
          </cell>
          <cell r="BZ28">
            <v>0</v>
          </cell>
          <cell r="CA28">
            <v>70.703162546900202</v>
          </cell>
          <cell r="CC28">
            <v>0</v>
          </cell>
          <cell r="CD28">
            <v>0</v>
          </cell>
          <cell r="CF28">
            <v>0</v>
          </cell>
          <cell r="CG28">
            <v>0</v>
          </cell>
          <cell r="CI28">
            <v>0</v>
          </cell>
          <cell r="CJ28">
            <v>0</v>
          </cell>
          <cell r="CL28">
            <v>0</v>
          </cell>
          <cell r="CM28">
            <v>0</v>
          </cell>
          <cell r="CX28">
            <v>21.370185499502099</v>
          </cell>
          <cell r="CY28">
            <v>699.87826296924709</v>
          </cell>
        </row>
        <row r="29"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187.88128987077184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P29">
            <v>94.701764289364974</v>
          </cell>
          <cell r="AQ29">
            <v>0</v>
          </cell>
          <cell r="AS29">
            <v>528.83181241499767</v>
          </cell>
          <cell r="AT29">
            <v>0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T29">
            <v>15.951340502798338</v>
          </cell>
          <cell r="BU29">
            <v>55.300884058046066</v>
          </cell>
          <cell r="BW29">
            <v>0</v>
          </cell>
          <cell r="BX29">
            <v>0.97646309618591531</v>
          </cell>
          <cell r="BZ29">
            <v>0</v>
          </cell>
          <cell r="CA29">
            <v>50.86725949836908</v>
          </cell>
          <cell r="CC29">
            <v>0</v>
          </cell>
          <cell r="CD29">
            <v>0</v>
          </cell>
          <cell r="CF29">
            <v>0</v>
          </cell>
          <cell r="CG29">
            <v>0</v>
          </cell>
          <cell r="CI29">
            <v>62.391750590640456</v>
          </cell>
          <cell r="CJ29">
            <v>156.08733540922549</v>
          </cell>
          <cell r="CL29">
            <v>0</v>
          </cell>
          <cell r="CM29">
            <v>0</v>
          </cell>
          <cell r="CX29">
            <v>0.68799864263849031</v>
          </cell>
          <cell r="CY29">
            <v>301.60412168088203</v>
          </cell>
        </row>
        <row r="30"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0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47.350882144682487</v>
          </cell>
          <cell r="AQ30">
            <v>0</v>
          </cell>
          <cell r="AS30">
            <v>346.58547648362503</v>
          </cell>
          <cell r="AT30">
            <v>0</v>
          </cell>
          <cell r="AV30">
            <v>0</v>
          </cell>
          <cell r="AW30">
            <v>0</v>
          </cell>
          <cell r="AY30">
            <v>0</v>
          </cell>
          <cell r="AZ30">
            <v>0</v>
          </cell>
          <cell r="BB30">
            <v>0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K30">
            <v>0</v>
          </cell>
          <cell r="BL30">
            <v>0</v>
          </cell>
          <cell r="BN30">
            <v>0</v>
          </cell>
          <cell r="BO30">
            <v>0</v>
          </cell>
          <cell r="BT30">
            <v>11.963505377098754</v>
          </cell>
          <cell r="BU30">
            <v>36.867256038697377</v>
          </cell>
          <cell r="BW30">
            <v>0</v>
          </cell>
          <cell r="BX30">
            <v>0.55193162085373126</v>
          </cell>
          <cell r="BZ30">
            <v>0</v>
          </cell>
          <cell r="CA30">
            <v>33.911506332246056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18.717525177192133</v>
          </cell>
          <cell r="CJ30">
            <v>0</v>
          </cell>
          <cell r="CL30">
            <v>0</v>
          </cell>
          <cell r="CM30">
            <v>0</v>
          </cell>
          <cell r="CX30">
            <v>7.2591329808818728</v>
          </cell>
          <cell r="CY30">
            <v>431.2031672098434</v>
          </cell>
        </row>
        <row r="31"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180.04963960521235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78.91813690780414</v>
          </cell>
          <cell r="AQ31">
            <v>0</v>
          </cell>
          <cell r="AS31">
            <v>533.71609377250206</v>
          </cell>
          <cell r="AT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T31">
            <v>27.914845879897086</v>
          </cell>
          <cell r="BU31">
            <v>73.734512077394754</v>
          </cell>
          <cell r="BW31">
            <v>0</v>
          </cell>
          <cell r="BX31">
            <v>0.93576017429404723</v>
          </cell>
          <cell r="BZ31">
            <v>0</v>
          </cell>
          <cell r="CA31">
            <v>67.823012664492111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I31">
            <v>46.793812942980331</v>
          </cell>
          <cell r="CJ31">
            <v>49.562718017994385</v>
          </cell>
          <cell r="CL31">
            <v>0</v>
          </cell>
          <cell r="CM31">
            <v>0</v>
          </cell>
          <cell r="CX31">
            <v>20.608532596179657</v>
          </cell>
          <cell r="CY31">
            <v>398.89322895273483</v>
          </cell>
        </row>
        <row r="32">
          <cell r="I32">
            <v>1404.8915285558232</v>
          </cell>
          <cell r="J32">
            <v>1550.4008965385151</v>
          </cell>
          <cell r="L32">
            <v>228.97416816351449</v>
          </cell>
          <cell r="M32">
            <v>251.98993541008667</v>
          </cell>
          <cell r="O32">
            <v>547.20000000000005</v>
          </cell>
          <cell r="P32">
            <v>547.20000000000005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>
            <v>802.53212698495156</v>
          </cell>
          <cell r="Y32">
            <v>765.21587329782653</v>
          </cell>
          <cell r="AA32">
            <v>0</v>
          </cell>
          <cell r="AB32">
            <v>0</v>
          </cell>
          <cell r="AD32">
            <v>1544.7154052288406</v>
          </cell>
          <cell r="AE32">
            <v>1697.588511562672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1018.0439661106735</v>
          </cell>
          <cell r="AQ32">
            <v>0</v>
          </cell>
          <cell r="AS32">
            <v>3240.9237804053437</v>
          </cell>
          <cell r="AT32">
            <v>56.549419732020127</v>
          </cell>
          <cell r="AV32">
            <v>232.70143930527138</v>
          </cell>
          <cell r="AW32">
            <v>0</v>
          </cell>
          <cell r="AY32">
            <v>295.12930774881175</v>
          </cell>
          <cell r="AZ32">
            <v>0</v>
          </cell>
          <cell r="BB32">
            <v>285.7634610185147</v>
          </cell>
          <cell r="BC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K32">
            <v>103.83367027199259</v>
          </cell>
          <cell r="BL32">
            <v>0</v>
          </cell>
          <cell r="BN32">
            <v>0</v>
          </cell>
          <cell r="BO32">
            <v>0</v>
          </cell>
          <cell r="BT32">
            <v>4265.4749211737553</v>
          </cell>
          <cell r="BU32">
            <v>3839.2001572975496</v>
          </cell>
          <cell r="BW32">
            <v>2268.4796377658272</v>
          </cell>
          <cell r="BX32">
            <v>4676.5349182109458</v>
          </cell>
          <cell r="BZ32">
            <v>1226.8934002743631</v>
          </cell>
          <cell r="CA32">
            <v>3736.1858051159393</v>
          </cell>
          <cell r="CC32">
            <v>223.05050836153961</v>
          </cell>
          <cell r="CD32">
            <v>225.51036698187445</v>
          </cell>
          <cell r="CF32">
            <v>27.458869400568325</v>
          </cell>
          <cell r="CG32">
            <v>0</v>
          </cell>
          <cell r="CI32">
            <v>489.77524213652754</v>
          </cell>
          <cell r="CJ32">
            <v>322.12747310485764</v>
          </cell>
          <cell r="CL32">
            <v>0</v>
          </cell>
          <cell r="CM32">
            <v>0</v>
          </cell>
          <cell r="CX32">
            <v>545.95028051242116</v>
          </cell>
          <cell r="CY32">
            <v>1190.7559712972579</v>
          </cell>
        </row>
        <row r="33">
          <cell r="I33">
            <v>1092.2517325889678</v>
          </cell>
          <cell r="J33">
            <v>1215.2385892191073</v>
          </cell>
          <cell r="L33">
            <v>157.0219321963082</v>
          </cell>
          <cell r="M33">
            <v>172.8055038435744</v>
          </cell>
          <cell r="O33">
            <v>538.36</v>
          </cell>
          <cell r="P33">
            <v>538.36666666666667</v>
          </cell>
          <cell r="R33">
            <v>133.74</v>
          </cell>
          <cell r="S33">
            <v>133.75</v>
          </cell>
          <cell r="U33">
            <v>0</v>
          </cell>
          <cell r="V33">
            <v>0</v>
          </cell>
          <cell r="X33">
            <v>761.05043981804761</v>
          </cell>
          <cell r="Y33">
            <v>728.10407072624412</v>
          </cell>
          <cell r="AA33">
            <v>0</v>
          </cell>
          <cell r="AB33">
            <v>0</v>
          </cell>
          <cell r="AD33">
            <v>1650.1645372235407</v>
          </cell>
          <cell r="AE33">
            <v>1825.2209159404949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252.53803810497325</v>
          </cell>
          <cell r="AQ33">
            <v>0</v>
          </cell>
          <cell r="AS33">
            <v>4387.3632503741846</v>
          </cell>
          <cell r="AT33">
            <v>1425.6754889223862</v>
          </cell>
          <cell r="AV33">
            <v>184.08752228194177</v>
          </cell>
          <cell r="AW33">
            <v>0</v>
          </cell>
          <cell r="AY33">
            <v>202.33697172952878</v>
          </cell>
          <cell r="AZ33">
            <v>0</v>
          </cell>
          <cell r="BB33">
            <v>278.42593120908015</v>
          </cell>
          <cell r="BC33">
            <v>0</v>
          </cell>
          <cell r="BE33">
            <v>166.3792122642065</v>
          </cell>
          <cell r="BF33">
            <v>0</v>
          </cell>
          <cell r="BH33">
            <v>0</v>
          </cell>
          <cell r="BI33">
            <v>0</v>
          </cell>
          <cell r="BK33">
            <v>99.57945223095534</v>
          </cell>
          <cell r="BL33">
            <v>0</v>
          </cell>
          <cell r="BN33">
            <v>0</v>
          </cell>
          <cell r="BO33">
            <v>0</v>
          </cell>
          <cell r="BT33">
            <v>7227.9308855987092</v>
          </cell>
          <cell r="BU33">
            <v>5960.2313604301407</v>
          </cell>
          <cell r="BW33">
            <v>3758.0864221511893</v>
          </cell>
          <cell r="BX33">
            <v>5915.5549059008627</v>
          </cell>
          <cell r="BZ33">
            <v>2305.6537305012353</v>
          </cell>
          <cell r="CA33">
            <v>4969.5483348802854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474.17730448886743</v>
          </cell>
          <cell r="CJ33">
            <v>738.47443379741435</v>
          </cell>
          <cell r="CL33">
            <v>0</v>
          </cell>
          <cell r="CM33">
            <v>0</v>
          </cell>
          <cell r="CX33">
            <v>580.52316468592107</v>
          </cell>
          <cell r="CY33">
            <v>635.93567560738666</v>
          </cell>
        </row>
        <row r="34">
          <cell r="I34">
            <v>1639.0758812242188</v>
          </cell>
          <cell r="J34">
            <v>1821.4135488058891</v>
          </cell>
          <cell r="L34">
            <v>323.26680624618496</v>
          </cell>
          <cell r="M34">
            <v>355.76007465283612</v>
          </cell>
          <cell r="O34">
            <v>762.1</v>
          </cell>
          <cell r="P34">
            <v>762.1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>
            <v>1358.3859075355863</v>
          </cell>
          <cell r="Y34">
            <v>1311.263977055919</v>
          </cell>
          <cell r="AA34">
            <v>0</v>
          </cell>
          <cell r="AB34">
            <v>0</v>
          </cell>
          <cell r="AD34">
            <v>2318.4485003197747</v>
          </cell>
          <cell r="AE34">
            <v>2547.8942758452613</v>
          </cell>
          <cell r="AJ34">
            <v>0</v>
          </cell>
          <cell r="AK34">
            <v>0</v>
          </cell>
          <cell r="AM34">
            <v>0</v>
          </cell>
          <cell r="AN34">
            <v>0</v>
          </cell>
          <cell r="AP34">
            <v>1207.4474946894034</v>
          </cell>
          <cell r="AQ34">
            <v>3657.4784419570906</v>
          </cell>
          <cell r="AS34">
            <v>4323.9715266595067</v>
          </cell>
          <cell r="AT34">
            <v>1009.3704606572395</v>
          </cell>
          <cell r="AV34">
            <v>277.79676139153776</v>
          </cell>
          <cell r="AW34">
            <v>0</v>
          </cell>
          <cell r="AY34">
            <v>416.66744932240522</v>
          </cell>
          <cell r="AZ34">
            <v>0</v>
          </cell>
          <cell r="BB34">
            <v>404.66261151588901</v>
          </cell>
          <cell r="BC34">
            <v>0</v>
          </cell>
          <cell r="BE34">
            <v>0</v>
          </cell>
          <cell r="BF34">
            <v>0</v>
          </cell>
          <cell r="BH34">
            <v>0</v>
          </cell>
          <cell r="BI34">
            <v>0</v>
          </cell>
          <cell r="BK34">
            <v>182.40649484309614</v>
          </cell>
          <cell r="BL34">
            <v>0</v>
          </cell>
          <cell r="BN34">
            <v>0</v>
          </cell>
          <cell r="BO34">
            <v>0</v>
          </cell>
          <cell r="BT34">
            <v>6821.3572378848621</v>
          </cell>
          <cell r="BU34">
            <v>6329.7243129999879</v>
          </cell>
          <cell r="BW34">
            <v>4435.9907341832659</v>
          </cell>
          <cell r="BX34">
            <v>7657.0004638688242</v>
          </cell>
          <cell r="BZ34">
            <v>2860.879907325454</v>
          </cell>
          <cell r="CA34">
            <v>5391.6537475819723</v>
          </cell>
          <cell r="CC34">
            <v>169.12620963677182</v>
          </cell>
          <cell r="CD34">
            <v>170.99137716208062</v>
          </cell>
          <cell r="CF34">
            <v>20.820461413617743</v>
          </cell>
          <cell r="CG34">
            <v>0</v>
          </cell>
          <cell r="CI34">
            <v>386.82885366197075</v>
          </cell>
          <cell r="CJ34">
            <v>532.62308695615548</v>
          </cell>
          <cell r="CL34">
            <v>0</v>
          </cell>
          <cell r="CM34">
            <v>0</v>
          </cell>
          <cell r="CX34">
            <v>-10.499405424248835</v>
          </cell>
          <cell r="CY34">
            <v>-4376.1485210518986</v>
          </cell>
        </row>
        <row r="35">
          <cell r="I35">
            <v>754.72357126679117</v>
          </cell>
          <cell r="J35">
            <v>825.10498181708158</v>
          </cell>
          <cell r="L35">
            <v>138.23324054312235</v>
          </cell>
          <cell r="M35">
            <v>152.12745831455373</v>
          </cell>
          <cell r="O35">
            <v>209.56</v>
          </cell>
          <cell r="P35">
            <v>209.55</v>
          </cell>
          <cell r="R35">
            <v>51.74</v>
          </cell>
          <cell r="S35">
            <v>51.75</v>
          </cell>
          <cell r="U35">
            <v>0</v>
          </cell>
          <cell r="V35">
            <v>0</v>
          </cell>
          <cell r="X35">
            <v>275.97152374268182</v>
          </cell>
          <cell r="Y35">
            <v>255.27019853525863</v>
          </cell>
          <cell r="AA35">
            <v>0</v>
          </cell>
          <cell r="AB35">
            <v>0</v>
          </cell>
          <cell r="AD35">
            <v>658.83437540785349</v>
          </cell>
          <cell r="AE35">
            <v>722.5480535005172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126.26901905248663</v>
          </cell>
          <cell r="AQ35">
            <v>0</v>
          </cell>
          <cell r="AS35">
            <v>1612.6337968136643</v>
          </cell>
          <cell r="AT35">
            <v>0</v>
          </cell>
          <cell r="AV35">
            <v>136.67164351341606</v>
          </cell>
          <cell r="AW35">
            <v>0</v>
          </cell>
          <cell r="AY35">
            <v>178.18470192067068</v>
          </cell>
          <cell r="AZ35">
            <v>0</v>
          </cell>
          <cell r="BB35">
            <v>92.228281868088715</v>
          </cell>
          <cell r="BC35">
            <v>0</v>
          </cell>
          <cell r="BE35">
            <v>61.697166401660027</v>
          </cell>
          <cell r="BF35">
            <v>0</v>
          </cell>
          <cell r="BH35">
            <v>0</v>
          </cell>
          <cell r="BI35">
            <v>0</v>
          </cell>
          <cell r="BK35">
            <v>29.632726397869654</v>
          </cell>
          <cell r="BL35">
            <v>0</v>
          </cell>
          <cell r="BN35">
            <v>59.090917443770564</v>
          </cell>
          <cell r="BO35">
            <v>0</v>
          </cell>
          <cell r="BT35">
            <v>2217.985281707286</v>
          </cell>
          <cell r="BU35">
            <v>2017.0681369641816</v>
          </cell>
          <cell r="BW35">
            <v>1211.3714592213919</v>
          </cell>
          <cell r="BX35">
            <v>3024.9408078288043</v>
          </cell>
          <cell r="BZ35">
            <v>761.99191271804148</v>
          </cell>
          <cell r="CA35">
            <v>1723.0766271929976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436.74225413448318</v>
          </cell>
          <cell r="CJ35">
            <v>332.06014604986035</v>
          </cell>
          <cell r="CL35">
            <v>0</v>
          </cell>
          <cell r="CM35">
            <v>0</v>
          </cell>
          <cell r="CX35">
            <v>250.74575341606578</v>
          </cell>
          <cell r="CY35">
            <v>-109.17569224390536</v>
          </cell>
        </row>
        <row r="36">
          <cell r="I36">
            <v>725.91388676437407</v>
          </cell>
          <cell r="J36">
            <v>790.55641888143259</v>
          </cell>
          <cell r="L36">
            <v>138.23324054312235</v>
          </cell>
          <cell r="M36">
            <v>152.12745831455373</v>
          </cell>
          <cell r="O36">
            <v>198.6</v>
          </cell>
          <cell r="P36">
            <v>198.6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275.97152374268182</v>
          </cell>
          <cell r="Y36">
            <v>253.90707034042552</v>
          </cell>
          <cell r="AA36">
            <v>0</v>
          </cell>
          <cell r="AB36">
            <v>0</v>
          </cell>
          <cell r="AD36">
            <v>647.9310049981832</v>
          </cell>
          <cell r="AE36">
            <v>712.05364214466761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307.78073394043616</v>
          </cell>
          <cell r="AQ36">
            <v>788.30176151866249</v>
          </cell>
          <cell r="AS36">
            <v>2178.8177220652046</v>
          </cell>
          <cell r="AT36">
            <v>0</v>
          </cell>
          <cell r="AV36">
            <v>134.92297425237206</v>
          </cell>
          <cell r="AW36">
            <v>0</v>
          </cell>
          <cell r="AY36">
            <v>178.18470192067068</v>
          </cell>
          <cell r="AZ36">
            <v>0</v>
          </cell>
          <cell r="BB36">
            <v>105.77277688990097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29.632726397869654</v>
          </cell>
          <cell r="BL36">
            <v>0</v>
          </cell>
          <cell r="BN36">
            <v>0</v>
          </cell>
          <cell r="BO36">
            <v>0</v>
          </cell>
          <cell r="BT36">
            <v>2782.7782267533348</v>
          </cell>
          <cell r="BU36">
            <v>2025.6614315704551</v>
          </cell>
          <cell r="BW36">
            <v>1133.3408699124648</v>
          </cell>
          <cell r="BX36">
            <v>2909.3306651767789</v>
          </cell>
          <cell r="BZ36">
            <v>430.90234740318891</v>
          </cell>
          <cell r="CA36">
            <v>1748.6884993667609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180.9360767128573</v>
          </cell>
          <cell r="CJ36">
            <v>294.87301053031172</v>
          </cell>
          <cell r="CL36">
            <v>0</v>
          </cell>
          <cell r="CM36">
            <v>0</v>
          </cell>
          <cell r="CX36">
            <v>1.3774252440070995</v>
          </cell>
          <cell r="CY36">
            <v>-507.87994941285797</v>
          </cell>
        </row>
        <row r="37">
          <cell r="I37">
            <v>1018.6981411229349</v>
          </cell>
          <cell r="J37">
            <v>1130.7477812159409</v>
          </cell>
          <cell r="L37">
            <v>174.77607321260498</v>
          </cell>
          <cell r="M37">
            <v>192.34381457965691</v>
          </cell>
          <cell r="O37">
            <v>474.54</v>
          </cell>
          <cell r="P37">
            <v>474.53333333333342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>
            <v>534.8229636829783</v>
          </cell>
          <cell r="Y37">
            <v>495.68654890071264</v>
          </cell>
          <cell r="AA37">
            <v>0</v>
          </cell>
          <cell r="AB37">
            <v>0</v>
          </cell>
          <cell r="AD37">
            <v>1330.5675092742056</v>
          </cell>
          <cell r="AE37">
            <v>1462.2474210826099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875.99131967662606</v>
          </cell>
          <cell r="AQ37">
            <v>2508.2328775593805</v>
          </cell>
          <cell r="AS37">
            <v>3816.6006608944781</v>
          </cell>
          <cell r="AT37">
            <v>0</v>
          </cell>
          <cell r="AV37">
            <v>169.22371489358517</v>
          </cell>
          <cell r="AW37">
            <v>0</v>
          </cell>
          <cell r="AY37">
            <v>225.284932994836</v>
          </cell>
          <cell r="AZ37">
            <v>0</v>
          </cell>
          <cell r="BB37">
            <v>197.05114053367473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65.725572763423372</v>
          </cell>
          <cell r="BL37">
            <v>0</v>
          </cell>
          <cell r="BN37">
            <v>0</v>
          </cell>
          <cell r="BO37">
            <v>0</v>
          </cell>
          <cell r="BT37">
            <v>2470.0777213196375</v>
          </cell>
          <cell r="BU37">
            <v>2635.6529265791005</v>
          </cell>
          <cell r="BW37">
            <v>1421.4723490536485</v>
          </cell>
          <cell r="BX37">
            <v>3578.2364236296576</v>
          </cell>
          <cell r="BZ37">
            <v>1171.8608259426294</v>
          </cell>
          <cell r="CA37">
            <v>2588.3945971545409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374.35050354384265</v>
          </cell>
          <cell r="CJ37">
            <v>136.31257155553749</v>
          </cell>
          <cell r="CL37">
            <v>0</v>
          </cell>
          <cell r="CM37">
            <v>0</v>
          </cell>
          <cell r="CX37">
            <v>515.62788530907346</v>
          </cell>
          <cell r="CY37">
            <v>-541.98595470856799</v>
          </cell>
        </row>
        <row r="38">
          <cell r="I38">
            <v>739.26346231697892</v>
          </cell>
          <cell r="J38">
            <v>814.61069845712871</v>
          </cell>
          <cell r="L38">
            <v>150.26564882224523</v>
          </cell>
          <cell r="M38">
            <v>165.37009114678744</v>
          </cell>
          <cell r="O38">
            <v>264.62</v>
          </cell>
          <cell r="P38">
            <v>264.61666666666667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>
            <v>490.57790749522491</v>
          </cell>
          <cell r="Y38">
            <v>445.80714120555035</v>
          </cell>
          <cell r="AA38">
            <v>0</v>
          </cell>
          <cell r="AB38">
            <v>0</v>
          </cell>
          <cell r="AD38">
            <v>835.78966340950194</v>
          </cell>
          <cell r="AE38">
            <v>918.50377479508086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426.15793930214238</v>
          </cell>
          <cell r="AQ38">
            <v>0</v>
          </cell>
          <cell r="AS38">
            <v>2208.9486094834106</v>
          </cell>
          <cell r="AT38">
            <v>0</v>
          </cell>
          <cell r="AV38">
            <v>134.16117568240614</v>
          </cell>
          <cell r="AW38">
            <v>0</v>
          </cell>
          <cell r="AY38">
            <v>193.62587533250806</v>
          </cell>
          <cell r="AZ38">
            <v>0</v>
          </cell>
          <cell r="BB38">
            <v>134.29499378403258</v>
          </cell>
          <cell r="BC38">
            <v>378.07232362048796</v>
          </cell>
          <cell r="BE38">
            <v>0</v>
          </cell>
          <cell r="BF38">
            <v>0</v>
          </cell>
          <cell r="BH38">
            <v>0</v>
          </cell>
          <cell r="BI38">
            <v>0</v>
          </cell>
          <cell r="BK38">
            <v>57.335008608429149</v>
          </cell>
          <cell r="BL38">
            <v>0</v>
          </cell>
          <cell r="BN38">
            <v>0</v>
          </cell>
          <cell r="BO38">
            <v>0</v>
          </cell>
          <cell r="BT38">
            <v>3483.0594556997635</v>
          </cell>
          <cell r="BU38">
            <v>3345.6460835227999</v>
          </cell>
          <cell r="BW38">
            <v>1340.796661716583</v>
          </cell>
          <cell r="BX38">
            <v>2909.1113871396706</v>
          </cell>
          <cell r="BZ38">
            <v>1062.8919321674925</v>
          </cell>
          <cell r="CA38">
            <v>3177.530153224734</v>
          </cell>
          <cell r="CC38">
            <v>48.041647954793149</v>
          </cell>
          <cell r="CD38">
            <v>48.571463657634503</v>
          </cell>
          <cell r="CF38">
            <v>5.9142180247377931</v>
          </cell>
          <cell r="CG38">
            <v>0</v>
          </cell>
          <cell r="CI38">
            <v>461.69895437073933</v>
          </cell>
          <cell r="CJ38">
            <v>183.32166864236751</v>
          </cell>
          <cell r="CL38">
            <v>0</v>
          </cell>
          <cell r="CM38">
            <v>0</v>
          </cell>
          <cell r="CX38">
            <v>340.3882149948131</v>
          </cell>
          <cell r="CY38">
            <v>-396.07374249468921</v>
          </cell>
        </row>
        <row r="39">
          <cell r="I39">
            <v>866.85730196865711</v>
          </cell>
          <cell r="J39">
            <v>958.64243052230347</v>
          </cell>
          <cell r="L39">
            <v>155.14830105407276</v>
          </cell>
          <cell r="M39">
            <v>170.74312659921014</v>
          </cell>
          <cell r="O39">
            <v>341.66</v>
          </cell>
          <cell r="P39">
            <v>341.66666666666669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>
            <v>494.95930459311847</v>
          </cell>
          <cell r="Y39">
            <v>468.54583614904942</v>
          </cell>
          <cell r="AA39">
            <v>0</v>
          </cell>
          <cell r="AB39">
            <v>0</v>
          </cell>
          <cell r="AD39">
            <v>1032.1144682565648</v>
          </cell>
          <cell r="AE39">
            <v>1134.2579079609789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P39">
            <v>639.23690895321363</v>
          </cell>
          <cell r="AQ39">
            <v>1721.0977028720804</v>
          </cell>
          <cell r="AS39">
            <v>2184.8415673809905</v>
          </cell>
          <cell r="AT39">
            <v>44.431686932301531</v>
          </cell>
          <cell r="AV39">
            <v>146.92028080228897</v>
          </cell>
          <cell r="AW39">
            <v>0</v>
          </cell>
          <cell r="AY39">
            <v>199.98679498901538</v>
          </cell>
          <cell r="AZ39">
            <v>0</v>
          </cell>
          <cell r="BB39">
            <v>191.36245860498491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K39">
            <v>60.056140153587386</v>
          </cell>
          <cell r="BL39">
            <v>0</v>
          </cell>
          <cell r="BN39">
            <v>0</v>
          </cell>
          <cell r="BO39">
            <v>0</v>
          </cell>
          <cell r="BT39">
            <v>4579.0736492066962</v>
          </cell>
          <cell r="BU39">
            <v>4537.9471020304636</v>
          </cell>
          <cell r="BW39">
            <v>1496.5194226195499</v>
          </cell>
          <cell r="BX39">
            <v>3103.9236651260967</v>
          </cell>
          <cell r="BZ39">
            <v>2056.5181750025595</v>
          </cell>
          <cell r="CA39">
            <v>4395.4155688318888</v>
          </cell>
          <cell r="CC39">
            <v>150.9880364293499</v>
          </cell>
          <cell r="CD39">
            <v>152.65317149542273</v>
          </cell>
          <cell r="CF39">
            <v>18.587542363461637</v>
          </cell>
          <cell r="CG39">
            <v>0</v>
          </cell>
          <cell r="CI39">
            <v>414.90514142775902</v>
          </cell>
          <cell r="CJ39">
            <v>54.629701197515246</v>
          </cell>
          <cell r="CL39">
            <v>0</v>
          </cell>
          <cell r="CM39">
            <v>0</v>
          </cell>
          <cell r="CX39">
            <v>5.7407432959735161E-2</v>
          </cell>
          <cell r="CY39">
            <v>-2465.0054796607728</v>
          </cell>
        </row>
        <row r="40">
          <cell r="I40">
            <v>1018.6978960509853</v>
          </cell>
          <cell r="J40">
            <v>1141.8117744944177</v>
          </cell>
          <cell r="L40">
            <v>174.77607321260498</v>
          </cell>
          <cell r="M40">
            <v>192.34381457965691</v>
          </cell>
          <cell r="O40">
            <v>448.74</v>
          </cell>
          <cell r="P40">
            <v>448.73333333333335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>
            <v>595.03968650449883</v>
          </cell>
          <cell r="Y40">
            <v>567.95800658944154</v>
          </cell>
          <cell r="AA40">
            <v>0</v>
          </cell>
          <cell r="AB40">
            <v>0</v>
          </cell>
          <cell r="AD40">
            <v>1508.9409480677004</v>
          </cell>
          <cell r="AE40">
            <v>1658.2736272295635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875.99131967662606</v>
          </cell>
          <cell r="AQ40">
            <v>0</v>
          </cell>
          <cell r="AS40">
            <v>2320.279880842194</v>
          </cell>
          <cell r="AT40">
            <v>2279.5297986200349</v>
          </cell>
          <cell r="AV40">
            <v>169.22371489358517</v>
          </cell>
          <cell r="AW40">
            <v>534.67626702048801</v>
          </cell>
          <cell r="AY40">
            <v>225.284932994836</v>
          </cell>
          <cell r="AZ40">
            <v>0</v>
          </cell>
          <cell r="BB40">
            <v>274.70400539597944</v>
          </cell>
          <cell r="BC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K40">
            <v>70.037170653702944</v>
          </cell>
          <cell r="BL40">
            <v>0</v>
          </cell>
          <cell r="BN40">
            <v>0</v>
          </cell>
          <cell r="BO40">
            <v>0</v>
          </cell>
          <cell r="BT40">
            <v>3708.3464369723051</v>
          </cell>
          <cell r="BU40">
            <v>3946.5696713088059</v>
          </cell>
          <cell r="BW40">
            <v>1655.3174169644992</v>
          </cell>
          <cell r="BX40">
            <v>3443.8756986160856</v>
          </cell>
          <cell r="BZ40">
            <v>1901.983641235742</v>
          </cell>
          <cell r="CA40">
            <v>3809.3094748907383</v>
          </cell>
          <cell r="CC40">
            <v>0</v>
          </cell>
          <cell r="CD40">
            <v>0</v>
          </cell>
          <cell r="CF40">
            <v>0</v>
          </cell>
          <cell r="CG40">
            <v>0</v>
          </cell>
          <cell r="CI40">
            <v>514.73194237278358</v>
          </cell>
          <cell r="CJ40">
            <v>760.68204253384329</v>
          </cell>
          <cell r="CL40">
            <v>0</v>
          </cell>
          <cell r="CM40">
            <v>0</v>
          </cell>
          <cell r="CX40">
            <v>-10.634079005649255</v>
          </cell>
          <cell r="CY40">
            <v>-3996.636211059691</v>
          </cell>
        </row>
        <row r="41">
          <cell r="I41">
            <v>1250.1361702082252</v>
          </cell>
          <cell r="J41">
            <v>1566.8092614952775</v>
          </cell>
          <cell r="L41">
            <v>230.05995536213632</v>
          </cell>
          <cell r="M41">
            <v>316.82758221427554</v>
          </cell>
          <cell r="O41">
            <v>481.94</v>
          </cell>
          <cell r="P41">
            <v>482</v>
          </cell>
          <cell r="R41">
            <v>121.18</v>
          </cell>
          <cell r="S41">
            <v>121.06</v>
          </cell>
          <cell r="U41">
            <v>65.029090713311319</v>
          </cell>
          <cell r="V41">
            <v>53.251495533727706</v>
          </cell>
          <cell r="X41">
            <v>639.57049507040438</v>
          </cell>
          <cell r="Y41">
            <v>759.34271978430581</v>
          </cell>
          <cell r="AA41">
            <v>0</v>
          </cell>
          <cell r="AB41">
            <v>0</v>
          </cell>
          <cell r="AD41">
            <v>1578.045512030166</v>
          </cell>
          <cell r="AE41">
            <v>1734.2171398546936</v>
          </cell>
          <cell r="AJ41">
            <v>3456.5475482576176</v>
          </cell>
          <cell r="AK41">
            <v>3494.6672474487841</v>
          </cell>
          <cell r="AM41">
            <v>0</v>
          </cell>
          <cell r="AN41">
            <v>0</v>
          </cell>
          <cell r="AP41">
            <v>276.21347917731453</v>
          </cell>
          <cell r="AQ41">
            <v>143.32759300339319</v>
          </cell>
          <cell r="AS41">
            <v>8193.6179222916762</v>
          </cell>
          <cell r="AT41">
            <v>14135.449625296924</v>
          </cell>
          <cell r="AV41">
            <v>44.924807561176856</v>
          </cell>
          <cell r="AW41">
            <v>0</v>
          </cell>
          <cell r="AY41">
            <v>60.844215905779357</v>
          </cell>
          <cell r="AZ41">
            <v>0</v>
          </cell>
          <cell r="BB41">
            <v>76.6936654717761</v>
          </cell>
          <cell r="BC41">
            <v>0</v>
          </cell>
          <cell r="BE41">
            <v>30.092783099948647</v>
          </cell>
          <cell r="BF41">
            <v>0</v>
          </cell>
          <cell r="BH41">
            <v>13.192247063076561</v>
          </cell>
          <cell r="BI41">
            <v>0</v>
          </cell>
          <cell r="BK41">
            <v>34.861306109848641</v>
          </cell>
          <cell r="BL41">
            <v>0</v>
          </cell>
          <cell r="BN41">
            <v>0</v>
          </cell>
          <cell r="BO41">
            <v>0</v>
          </cell>
          <cell r="BT41">
            <v>3625.3196930000076</v>
          </cell>
          <cell r="BU41">
            <v>1640.828655087204</v>
          </cell>
          <cell r="BW41">
            <v>3154.1013903507978</v>
          </cell>
          <cell r="BX41">
            <v>2101.1705651120478</v>
          </cell>
          <cell r="BZ41">
            <v>981.01697653478436</v>
          </cell>
          <cell r="CA41">
            <v>1726.6484500194949</v>
          </cell>
          <cell r="CC41">
            <v>122.2120697462238</v>
          </cell>
          <cell r="CD41">
            <v>123.55985601886</v>
          </cell>
          <cell r="CF41">
            <v>15.045046464970735</v>
          </cell>
          <cell r="CG41">
            <v>0</v>
          </cell>
          <cell r="CI41">
            <v>761.17935720581352</v>
          </cell>
          <cell r="CJ41">
            <v>3011.9768130108105</v>
          </cell>
          <cell r="CL41">
            <v>948.35460897773487</v>
          </cell>
          <cell r="CM41">
            <v>1102.2420806885227</v>
          </cell>
          <cell r="CX41">
            <v>797.36599127665249</v>
          </cell>
          <cell r="CY41">
            <v>-6826.4749014819845</v>
          </cell>
        </row>
        <row r="42">
          <cell r="I42">
            <v>2651.857488636876</v>
          </cell>
          <cell r="J42">
            <v>3363.9938242442454</v>
          </cell>
          <cell r="L42">
            <v>687.17092668746682</v>
          </cell>
          <cell r="M42">
            <v>900.67564462124392</v>
          </cell>
          <cell r="O42">
            <v>1294.46</v>
          </cell>
          <cell r="P42">
            <v>1294.7</v>
          </cell>
          <cell r="R42">
            <v>315.64</v>
          </cell>
          <cell r="S42">
            <v>315.48</v>
          </cell>
          <cell r="U42">
            <v>195.03873136964788</v>
          </cell>
          <cell r="V42">
            <v>427.68050599091657</v>
          </cell>
          <cell r="X42">
            <v>2053.8089537204951</v>
          </cell>
          <cell r="Y42">
            <v>5653.2713609864568</v>
          </cell>
          <cell r="AA42">
            <v>0</v>
          </cell>
          <cell r="AB42">
            <v>0</v>
          </cell>
          <cell r="AD42">
            <v>4242.5441847180309</v>
          </cell>
          <cell r="AE42">
            <v>4662.4085209452569</v>
          </cell>
          <cell r="AJ42">
            <v>14402.266595894693</v>
          </cell>
          <cell r="AK42">
            <v>14561.070339958776</v>
          </cell>
          <cell r="AM42">
            <v>0</v>
          </cell>
          <cell r="AN42">
            <v>0</v>
          </cell>
          <cell r="AP42">
            <v>828.64043753194358</v>
          </cell>
          <cell r="AQ42">
            <v>0</v>
          </cell>
          <cell r="AS42">
            <v>26305.34239474616</v>
          </cell>
          <cell r="AT42">
            <v>150.09831694584773</v>
          </cell>
          <cell r="AV42">
            <v>81.224311988646505</v>
          </cell>
          <cell r="AW42">
            <v>0</v>
          </cell>
          <cell r="AY42">
            <v>181.73049913413948</v>
          </cell>
          <cell r="AZ42">
            <v>0</v>
          </cell>
          <cell r="BB42">
            <v>211.62743048370936</v>
          </cell>
          <cell r="BC42">
            <v>2461.0811386210121</v>
          </cell>
          <cell r="BE42">
            <v>71.036897363237614</v>
          </cell>
          <cell r="BF42">
            <v>0</v>
          </cell>
          <cell r="BH42">
            <v>39.576724851099698</v>
          </cell>
          <cell r="BI42">
            <v>0</v>
          </cell>
          <cell r="BK42">
            <v>48.871603317094689</v>
          </cell>
          <cell r="BL42">
            <v>0</v>
          </cell>
          <cell r="BN42">
            <v>0</v>
          </cell>
          <cell r="BO42">
            <v>0</v>
          </cell>
          <cell r="BT42">
            <v>3731.1760995542918</v>
          </cell>
          <cell r="BU42">
            <v>1612.1300347808301</v>
          </cell>
          <cell r="BW42">
            <v>9679.5399225995043</v>
          </cell>
          <cell r="BX42">
            <v>6444.1135150813398</v>
          </cell>
          <cell r="BZ42">
            <v>1371.6925209018348</v>
          </cell>
          <cell r="CA42">
            <v>1757.112113021788</v>
          </cell>
          <cell r="CC42">
            <v>366.65581807457136</v>
          </cell>
          <cell r="CD42">
            <v>370.69939314378723</v>
          </cell>
          <cell r="CF42">
            <v>45.137553361452916</v>
          </cell>
          <cell r="CG42">
            <v>0</v>
          </cell>
          <cell r="CI42">
            <v>3858.9297740311113</v>
          </cell>
          <cell r="CJ42">
            <v>1986.0688087211345</v>
          </cell>
          <cell r="CL42">
            <v>1808.11293211676</v>
          </cell>
          <cell r="CM42">
            <v>3117.243346564298</v>
          </cell>
          <cell r="CX42">
            <v>897.88183870069042</v>
          </cell>
          <cell r="CY42">
            <v>31370.987763647696</v>
          </cell>
        </row>
        <row r="43">
          <cell r="I43">
            <v>1743.9826197680936</v>
          </cell>
          <cell r="J43">
            <v>2211.1955275643404</v>
          </cell>
          <cell r="L43">
            <v>256.3944898366467</v>
          </cell>
          <cell r="M43">
            <v>350.4638822817393</v>
          </cell>
          <cell r="O43">
            <v>833.48</v>
          </cell>
          <cell r="P43">
            <v>833.42</v>
          </cell>
          <cell r="R43">
            <v>213.26</v>
          </cell>
          <cell r="S43">
            <v>213.5</v>
          </cell>
          <cell r="U43">
            <v>130.00964065633656</v>
          </cell>
          <cell r="V43">
            <v>106.46261844006062</v>
          </cell>
          <cell r="X43">
            <v>1502.8490254426088</v>
          </cell>
          <cell r="Y43">
            <v>4265.0780409753097</v>
          </cell>
          <cell r="AA43">
            <v>0</v>
          </cell>
          <cell r="AB43">
            <v>0</v>
          </cell>
          <cell r="AD43">
            <v>2749.8228909329519</v>
          </cell>
          <cell r="AE43">
            <v>3021.9597297201071</v>
          </cell>
          <cell r="AJ43">
            <v>9601.5110639297945</v>
          </cell>
          <cell r="AK43">
            <v>9707.3764795125717</v>
          </cell>
          <cell r="AM43">
            <v>0</v>
          </cell>
          <cell r="AN43">
            <v>0</v>
          </cell>
          <cell r="AP43">
            <v>552.42695835462905</v>
          </cell>
          <cell r="AQ43">
            <v>286.65518600678638</v>
          </cell>
          <cell r="AS43">
            <v>16720.365882700298</v>
          </cell>
          <cell r="AT43">
            <v>0</v>
          </cell>
          <cell r="AV43">
            <v>53.40841260932612</v>
          </cell>
          <cell r="AW43">
            <v>0</v>
          </cell>
          <cell r="AY43">
            <v>69.151720215382937</v>
          </cell>
          <cell r="AZ43">
            <v>0</v>
          </cell>
          <cell r="BB43">
            <v>137.42866535911875</v>
          </cell>
          <cell r="BC43">
            <v>0</v>
          </cell>
          <cell r="BE43">
            <v>51.28841910229302</v>
          </cell>
          <cell r="BF43">
            <v>0</v>
          </cell>
          <cell r="BH43">
            <v>26.384494126153122</v>
          </cell>
          <cell r="BI43">
            <v>0</v>
          </cell>
          <cell r="BK43">
            <v>44.991929303447613</v>
          </cell>
          <cell r="BL43">
            <v>0</v>
          </cell>
          <cell r="BN43">
            <v>0</v>
          </cell>
          <cell r="BO43">
            <v>0</v>
          </cell>
          <cell r="BT43">
            <v>2005.4847189565644</v>
          </cell>
          <cell r="BU43">
            <v>1074.9143420353487</v>
          </cell>
          <cell r="BW43">
            <v>6682.5429803204406</v>
          </cell>
          <cell r="BX43">
            <v>4363.2318424916193</v>
          </cell>
          <cell r="BZ43">
            <v>929.83506697780592</v>
          </cell>
          <cell r="CA43">
            <v>1248.1876195149564</v>
          </cell>
          <cell r="CC43">
            <v>198.00022049939747</v>
          </cell>
          <cell r="CD43">
            <v>200.18381807467932</v>
          </cell>
          <cell r="CF43">
            <v>24.37502714481219</v>
          </cell>
          <cell r="CG43">
            <v>0</v>
          </cell>
          <cell r="CI43">
            <v>109.18556353362079</v>
          </cell>
          <cell r="CJ43">
            <v>245.25996915880762</v>
          </cell>
          <cell r="CL43">
            <v>789.8795624775081</v>
          </cell>
          <cell r="CM43">
            <v>1801.8614490569953</v>
          </cell>
          <cell r="CX43">
            <v>544.7487773033281</v>
          </cell>
          <cell r="CY43">
            <v>19140.319394200014</v>
          </cell>
        </row>
        <row r="44">
          <cell r="I44">
            <v>4353.7176469955293</v>
          </cell>
          <cell r="J44">
            <v>5525.5472011833599</v>
          </cell>
          <cell r="L44">
            <v>710.84243395378007</v>
          </cell>
          <cell r="M44">
            <v>930.91052108637984</v>
          </cell>
          <cell r="O44">
            <v>2088.58</v>
          </cell>
          <cell r="P44">
            <v>2088.2600000000002</v>
          </cell>
          <cell r="R44">
            <v>493.3</v>
          </cell>
          <cell r="S44">
            <v>492.7</v>
          </cell>
          <cell r="U44">
            <v>195.03873136964788</v>
          </cell>
          <cell r="V44">
            <v>159.7141139737883</v>
          </cell>
          <cell r="X44">
            <v>2756.495322043857</v>
          </cell>
          <cell r="Y44">
            <v>3396.4163063447804</v>
          </cell>
          <cell r="AA44">
            <v>0</v>
          </cell>
          <cell r="AB44">
            <v>0</v>
          </cell>
          <cell r="AD44">
            <v>6975.8338603892607</v>
          </cell>
          <cell r="AE44">
            <v>7666.1988220492658</v>
          </cell>
          <cell r="AJ44">
            <v>9264.4841968999954</v>
          </cell>
          <cell r="AK44">
            <v>9366.6327931388587</v>
          </cell>
          <cell r="AM44">
            <v>0</v>
          </cell>
          <cell r="AN44">
            <v>664.7433134077753</v>
          </cell>
          <cell r="AP44">
            <v>1270.582004215647</v>
          </cell>
          <cell r="AQ44">
            <v>7360.788436863043</v>
          </cell>
          <cell r="AS44">
            <v>37388.389636342414</v>
          </cell>
          <cell r="AT44">
            <v>0</v>
          </cell>
          <cell r="AV44">
            <v>355.3379711336587</v>
          </cell>
          <cell r="AW44">
            <v>1606.1249901208598</v>
          </cell>
          <cell r="AY44">
            <v>469.58280172270531</v>
          </cell>
          <cell r="AZ44">
            <v>0</v>
          </cell>
          <cell r="BB44">
            <v>919.72733484503044</v>
          </cell>
          <cell r="BC44">
            <v>790.158006</v>
          </cell>
          <cell r="BE44">
            <v>270.25810971215151</v>
          </cell>
          <cell r="BF44">
            <v>0</v>
          </cell>
          <cell r="BH44">
            <v>98.941812127749259</v>
          </cell>
          <cell r="BI44">
            <v>0</v>
          </cell>
          <cell r="BK44">
            <v>275.07006865002995</v>
          </cell>
          <cell r="BL44">
            <v>0</v>
          </cell>
          <cell r="BN44">
            <v>0</v>
          </cell>
          <cell r="BO44">
            <v>0</v>
          </cell>
          <cell r="BT44">
            <v>9649.1544464226172</v>
          </cell>
          <cell r="BU44">
            <v>8557.5369486404707</v>
          </cell>
          <cell r="BW44">
            <v>10262.439334125222</v>
          </cell>
          <cell r="BX44">
            <v>17448.759664794248</v>
          </cell>
          <cell r="BZ44">
            <v>1794.9509296043527</v>
          </cell>
          <cell r="CA44">
            <v>8000.0187705212293</v>
          </cell>
          <cell r="CC44">
            <v>387.77943654775538</v>
          </cell>
          <cell r="CD44">
            <v>392.05596833774098</v>
          </cell>
          <cell r="CF44">
            <v>47.737998817432</v>
          </cell>
          <cell r="CG44">
            <v>0</v>
          </cell>
          <cell r="CI44">
            <v>7134.4966800397351</v>
          </cell>
          <cell r="CJ44">
            <v>7585.5516364044161</v>
          </cell>
          <cell r="CL44">
            <v>3210.0555678884512</v>
          </cell>
          <cell r="CM44">
            <v>6149.3169928912585</v>
          </cell>
          <cell r="CX44">
            <v>3001.7144113835748</v>
          </cell>
          <cell r="CY44">
            <v>17631.348617091026</v>
          </cell>
        </row>
        <row r="45">
          <cell r="I45">
            <v>2906.2925569482009</v>
          </cell>
          <cell r="J45">
            <v>3690.1912468286191</v>
          </cell>
          <cell r="L45">
            <v>475.65393657303974</v>
          </cell>
          <cell r="M45">
            <v>630.51442554006076</v>
          </cell>
          <cell r="O45">
            <v>1413.28</v>
          </cell>
          <cell r="P45">
            <v>1413.52</v>
          </cell>
          <cell r="R45">
            <v>333.6</v>
          </cell>
          <cell r="S45">
            <v>333.62</v>
          </cell>
          <cell r="U45">
            <v>130.00964065633656</v>
          </cell>
          <cell r="V45">
            <v>285.05745518476795</v>
          </cell>
          <cell r="X45">
            <v>1691.0760126715447</v>
          </cell>
          <cell r="Y45">
            <v>8262.3890724456796</v>
          </cell>
          <cell r="AA45">
            <v>0</v>
          </cell>
          <cell r="AB45">
            <v>0</v>
          </cell>
          <cell r="AD45">
            <v>4690.5159280659282</v>
          </cell>
          <cell r="AE45">
            <v>5154.7138882885911</v>
          </cell>
          <cell r="AJ45">
            <v>4702.7782007695241</v>
          </cell>
          <cell r="AK45">
            <v>4754.6416534989612</v>
          </cell>
          <cell r="AM45">
            <v>0</v>
          </cell>
          <cell r="AN45">
            <v>266.0109811433166</v>
          </cell>
          <cell r="AP45">
            <v>852.31587860428476</v>
          </cell>
          <cell r="AQ45">
            <v>382.20691467571515</v>
          </cell>
          <cell r="AS45">
            <v>26210.551572664823</v>
          </cell>
          <cell r="AT45">
            <v>84685.223613041497</v>
          </cell>
          <cell r="AV45">
            <v>237.6327308728423</v>
          </cell>
          <cell r="AW45">
            <v>0</v>
          </cell>
          <cell r="AY45">
            <v>313.4952251884107</v>
          </cell>
          <cell r="AZ45">
            <v>0</v>
          </cell>
          <cell r="BB45">
            <v>608.83264751210118</v>
          </cell>
          <cell r="BC45">
            <v>0</v>
          </cell>
          <cell r="BE45">
            <v>185.8924655995005</v>
          </cell>
          <cell r="BF45">
            <v>0</v>
          </cell>
          <cell r="BH45">
            <v>65.961235315382794</v>
          </cell>
          <cell r="BI45">
            <v>0</v>
          </cell>
          <cell r="BK45">
            <v>224.10163676469494</v>
          </cell>
          <cell r="BL45">
            <v>0</v>
          </cell>
          <cell r="BN45">
            <v>0</v>
          </cell>
          <cell r="BO45">
            <v>0</v>
          </cell>
          <cell r="BT45">
            <v>10495.309041736185</v>
          </cell>
          <cell r="BU45">
            <v>9105.301361711332</v>
          </cell>
          <cell r="BW45">
            <v>6575.8146224775537</v>
          </cell>
          <cell r="BX45">
            <v>11285.521004713286</v>
          </cell>
          <cell r="BZ45">
            <v>2473.5922026423386</v>
          </cell>
          <cell r="CA45">
            <v>8678.4165952873955</v>
          </cell>
          <cell r="CC45">
            <v>375.52391411030817</v>
          </cell>
          <cell r="CD45">
            <v>379.66528883324236</v>
          </cell>
          <cell r="CF45">
            <v>46.229269729488692</v>
          </cell>
          <cell r="CG45">
            <v>0</v>
          </cell>
          <cell r="CI45">
            <v>3372.2741194241162</v>
          </cell>
          <cell r="CJ45">
            <v>1711.1215321050399</v>
          </cell>
          <cell r="CL45">
            <v>1285.2700621671934</v>
          </cell>
          <cell r="CM45">
            <v>2173.9514215807949</v>
          </cell>
          <cell r="CX45">
            <v>1262.8365194074431</v>
          </cell>
          <cell r="CY45">
            <v>-86968.439745853946</v>
          </cell>
        </row>
        <row r="46">
          <cell r="I46">
            <v>1926.546003696857</v>
          </cell>
          <cell r="J46">
            <v>2138.5129211056001</v>
          </cell>
          <cell r="L46">
            <v>340.52688035073152</v>
          </cell>
          <cell r="M46">
            <v>374.75565453513855</v>
          </cell>
          <cell r="O46">
            <v>751.9</v>
          </cell>
          <cell r="P46">
            <v>751.9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>
            <v>1196.982628269664</v>
          </cell>
          <cell r="Y46">
            <v>1300.0188366942443</v>
          </cell>
          <cell r="AA46">
            <v>0</v>
          </cell>
          <cell r="AB46">
            <v>0</v>
          </cell>
          <cell r="AD46">
            <v>2456.3013089502729</v>
          </cell>
          <cell r="AE46">
            <v>2699.3897185822434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1680.9563161362285</v>
          </cell>
          <cell r="AQ46">
            <v>573.31037201357276</v>
          </cell>
          <cell r="AS46">
            <v>7215.6825472452292</v>
          </cell>
          <cell r="AT46">
            <v>1208.9431478373917</v>
          </cell>
          <cell r="AV46">
            <v>312.08924497789428</v>
          </cell>
          <cell r="AW46">
            <v>0</v>
          </cell>
          <cell r="AY46">
            <v>438.88707713804558</v>
          </cell>
          <cell r="AZ46">
            <v>0</v>
          </cell>
          <cell r="BB46">
            <v>418.3787489409853</v>
          </cell>
          <cell r="BC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166.257356798828</v>
          </cell>
          <cell r="BL46">
            <v>0</v>
          </cell>
          <cell r="BN46">
            <v>0</v>
          </cell>
          <cell r="BO46">
            <v>0</v>
          </cell>
          <cell r="BT46">
            <v>6613.7108670434091</v>
          </cell>
          <cell r="BU46">
            <v>6578.2654772477754</v>
          </cell>
          <cell r="BW46">
            <v>5107.9566969305752</v>
          </cell>
          <cell r="BX46">
            <v>7092.5486206177411</v>
          </cell>
          <cell r="BZ46">
            <v>3432.9468113931639</v>
          </cell>
          <cell r="CA46">
            <v>5280.8213560969161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917.15873368241455</v>
          </cell>
          <cell r="CJ46">
            <v>693.66669416718037</v>
          </cell>
          <cell r="CL46">
            <v>0</v>
          </cell>
          <cell r="CM46">
            <v>0</v>
          </cell>
          <cell r="CX46">
            <v>10.262534134835732</v>
          </cell>
          <cell r="CY46">
            <v>5151.2406413226345</v>
          </cell>
        </row>
        <row r="47"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94.701764289364974</v>
          </cell>
          <cell r="AQ47">
            <v>0</v>
          </cell>
          <cell r="AS47">
            <v>13.128</v>
          </cell>
          <cell r="AT47">
            <v>0</v>
          </cell>
          <cell r="AV47">
            <v>0</v>
          </cell>
          <cell r="AW47">
            <v>0</v>
          </cell>
          <cell r="AY47">
            <v>0</v>
          </cell>
          <cell r="AZ47">
            <v>0</v>
          </cell>
          <cell r="BB47">
            <v>0</v>
          </cell>
          <cell r="BC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K47">
            <v>0</v>
          </cell>
          <cell r="BL47">
            <v>0</v>
          </cell>
          <cell r="BN47">
            <v>0</v>
          </cell>
          <cell r="BO47">
            <v>0</v>
          </cell>
          <cell r="BT47">
            <v>27.914845879897086</v>
          </cell>
          <cell r="BU47">
            <v>62.687577263568912</v>
          </cell>
          <cell r="BW47">
            <v>0</v>
          </cell>
          <cell r="BX47">
            <v>0.99396535259941854</v>
          </cell>
          <cell r="BZ47">
            <v>0</v>
          </cell>
          <cell r="CA47">
            <v>58.977604876537264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0</v>
          </cell>
          <cell r="CJ47">
            <v>0</v>
          </cell>
          <cell r="CL47">
            <v>0</v>
          </cell>
          <cell r="CM47">
            <v>0</v>
          </cell>
          <cell r="CX47">
            <v>4.086467796885529</v>
          </cell>
          <cell r="CY47">
            <v>19.789023008753276</v>
          </cell>
        </row>
        <row r="48"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78.91813690780414</v>
          </cell>
          <cell r="AQ48">
            <v>0</v>
          </cell>
          <cell r="AS48">
            <v>612.2526097829134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K48">
            <v>0</v>
          </cell>
          <cell r="BL48">
            <v>0</v>
          </cell>
          <cell r="BN48">
            <v>0</v>
          </cell>
          <cell r="BO48">
            <v>0</v>
          </cell>
          <cell r="BT48">
            <v>15.951340502798338</v>
          </cell>
          <cell r="BU48">
            <v>33.171848703664047</v>
          </cell>
          <cell r="BW48">
            <v>0</v>
          </cell>
          <cell r="BX48">
            <v>1.3175535816397699</v>
          </cell>
          <cell r="BZ48">
            <v>0</v>
          </cell>
          <cell r="CA48">
            <v>31.209003762281775</v>
          </cell>
          <cell r="CC48">
            <v>0</v>
          </cell>
          <cell r="CD48">
            <v>0</v>
          </cell>
          <cell r="CF48">
            <v>0</v>
          </cell>
          <cell r="CG48">
            <v>0</v>
          </cell>
          <cell r="CI48">
            <v>0</v>
          </cell>
          <cell r="CJ48">
            <v>0</v>
          </cell>
          <cell r="CL48">
            <v>0</v>
          </cell>
          <cell r="CM48">
            <v>0</v>
          </cell>
          <cell r="CX48">
            <v>21.233495367780961</v>
          </cell>
          <cell r="CY48">
            <v>790.94191274289733</v>
          </cell>
        </row>
        <row r="49">
          <cell r="I49">
            <v>1278.6362450629172</v>
          </cell>
          <cell r="J49">
            <v>1102.3943488622849</v>
          </cell>
          <cell r="L49">
            <v>294.46879922751515</v>
          </cell>
          <cell r="M49">
            <v>286.28383449823849</v>
          </cell>
          <cell r="O49">
            <v>552.96</v>
          </cell>
          <cell r="P49">
            <v>552.9666666666667</v>
          </cell>
          <cell r="R49">
            <v>108.48</v>
          </cell>
          <cell r="S49">
            <v>108.46666666666667</v>
          </cell>
          <cell r="U49">
            <v>88.645113504097054</v>
          </cell>
          <cell r="V49">
            <v>31.071198405688563</v>
          </cell>
          <cell r="X49">
            <v>967.70110311905819</v>
          </cell>
          <cell r="Y49">
            <v>2792.3141952032838</v>
          </cell>
          <cell r="AA49">
            <v>0</v>
          </cell>
          <cell r="AB49">
            <v>0</v>
          </cell>
          <cell r="AD49">
            <v>1560.6072457605824</v>
          </cell>
          <cell r="AE49">
            <v>1715.0530916548696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236.75441072341243</v>
          </cell>
          <cell r="AQ49">
            <v>0</v>
          </cell>
          <cell r="AS49">
            <v>4876.9028539962819</v>
          </cell>
          <cell r="AT49">
            <v>2131.6402572925035</v>
          </cell>
          <cell r="AV49">
            <v>240.97600204603114</v>
          </cell>
          <cell r="AW49">
            <v>425.98817545704691</v>
          </cell>
          <cell r="AY49">
            <v>351.66292323452029</v>
          </cell>
          <cell r="AZ49">
            <v>0</v>
          </cell>
          <cell r="BB49">
            <v>193.26395990750746</v>
          </cell>
          <cell r="BC49">
            <v>0</v>
          </cell>
          <cell r="BE49">
            <v>107.54409784126776</v>
          </cell>
          <cell r="BF49">
            <v>0</v>
          </cell>
          <cell r="BH49">
            <v>89.960355179059135</v>
          </cell>
          <cell r="BI49">
            <v>7.7228418000000003</v>
          </cell>
          <cell r="BK49">
            <v>130.2465264345808</v>
          </cell>
          <cell r="BL49">
            <v>0</v>
          </cell>
          <cell r="BN49">
            <v>118.34437622421669</v>
          </cell>
          <cell r="BO49">
            <v>0</v>
          </cell>
          <cell r="BT49">
            <v>6348.3673242622444</v>
          </cell>
          <cell r="BU49">
            <v>4712.973645934755</v>
          </cell>
          <cell r="BW49">
            <v>2934.5000493459806</v>
          </cell>
          <cell r="BX49">
            <v>3822.5759636574571</v>
          </cell>
          <cell r="BZ49">
            <v>822.31395306956858</v>
          </cell>
          <cell r="CA49">
            <v>4485.7941547437404</v>
          </cell>
          <cell r="CC49">
            <v>101.18159324356435</v>
          </cell>
          <cell r="CD49">
            <v>102.29744998914043</v>
          </cell>
          <cell r="CF49">
            <v>12.456067350060005</v>
          </cell>
          <cell r="CG49">
            <v>0</v>
          </cell>
          <cell r="CI49">
            <v>692.54843155610899</v>
          </cell>
          <cell r="CJ49">
            <v>436.20224191186031</v>
          </cell>
          <cell r="CL49">
            <v>0</v>
          </cell>
          <cell r="CM49">
            <v>0</v>
          </cell>
          <cell r="CX49">
            <v>1324.6942826937084</v>
          </cell>
          <cell r="CY49">
            <v>598.42632070695072</v>
          </cell>
        </row>
        <row r="50">
          <cell r="I50">
            <v>924.36445027596199</v>
          </cell>
          <cell r="J50">
            <v>788.94536627325647</v>
          </cell>
          <cell r="L50">
            <v>226.46199146776917</v>
          </cell>
          <cell r="M50">
            <v>204.19481832517187</v>
          </cell>
          <cell r="O50">
            <v>283.3</v>
          </cell>
          <cell r="P50">
            <v>283.3</v>
          </cell>
          <cell r="R50">
            <v>55.46</v>
          </cell>
          <cell r="S50">
            <v>55.45000000000001</v>
          </cell>
          <cell r="U50">
            <v>0</v>
          </cell>
          <cell r="V50">
            <v>0</v>
          </cell>
          <cell r="X50">
            <v>475.34409908085331</v>
          </cell>
          <cell r="Y50">
            <v>359.94338705412292</v>
          </cell>
          <cell r="AA50">
            <v>0</v>
          </cell>
          <cell r="AB50">
            <v>0</v>
          </cell>
          <cell r="AD50">
            <v>836.01058137205086</v>
          </cell>
          <cell r="AE50">
            <v>918.74655595331319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284.10529286809492</v>
          </cell>
          <cell r="AQ50">
            <v>1147.2040374428266</v>
          </cell>
          <cell r="AS50">
            <v>2348.1552161167724</v>
          </cell>
          <cell r="AT50">
            <v>0</v>
          </cell>
          <cell r="AV50">
            <v>135.60864137130488</v>
          </cell>
          <cell r="AW50">
            <v>0</v>
          </cell>
          <cell r="AY50">
            <v>264.84451108914089</v>
          </cell>
          <cell r="AZ50">
            <v>0</v>
          </cell>
          <cell r="BB50">
            <v>78.612730666321482</v>
          </cell>
          <cell r="BC50">
            <v>0</v>
          </cell>
          <cell r="BE50">
            <v>80.855039196896257</v>
          </cell>
          <cell r="BF50">
            <v>0</v>
          </cell>
          <cell r="BH50">
            <v>0</v>
          </cell>
          <cell r="BI50">
            <v>0</v>
          </cell>
          <cell r="BK50">
            <v>63.909261025478145</v>
          </cell>
          <cell r="BL50">
            <v>0</v>
          </cell>
          <cell r="BN50">
            <v>54.529073537159114</v>
          </cell>
          <cell r="BO50">
            <v>0</v>
          </cell>
          <cell r="BT50">
            <v>3083.8504256899096</v>
          </cell>
          <cell r="BU50">
            <v>1209.0627178028581</v>
          </cell>
          <cell r="BW50">
            <v>1315.9470971797632</v>
          </cell>
          <cell r="BX50">
            <v>1658.8487886255068</v>
          </cell>
          <cell r="BZ50">
            <v>1125.2717252530938</v>
          </cell>
          <cell r="CA50">
            <v>1712.1303842233501</v>
          </cell>
          <cell r="CC50">
            <v>99.759952640820472</v>
          </cell>
          <cell r="CD50">
            <v>100.86013116661857</v>
          </cell>
          <cell r="CF50">
            <v>12.281054775858582</v>
          </cell>
          <cell r="CG50">
            <v>0</v>
          </cell>
          <cell r="CI50">
            <v>271.40411506928592</v>
          </cell>
          <cell r="CJ50">
            <v>175.94261662852909</v>
          </cell>
          <cell r="CL50">
            <v>0</v>
          </cell>
          <cell r="CM50">
            <v>0</v>
          </cell>
          <cell r="CX50">
            <v>18.309689588159017</v>
          </cell>
          <cell r="CY50">
            <v>4104.845435805335</v>
          </cell>
        </row>
        <row r="51">
          <cell r="I51">
            <v>1774.4772626132697</v>
          </cell>
          <cell r="J51">
            <v>1526.0976036270204</v>
          </cell>
          <cell r="L51">
            <v>334.70831114493518</v>
          </cell>
          <cell r="M51">
            <v>301.80100870490878</v>
          </cell>
          <cell r="O51">
            <v>687.92</v>
          </cell>
          <cell r="P51">
            <v>687.93333333333339</v>
          </cell>
          <cell r="R51">
            <v>148.96</v>
          </cell>
          <cell r="S51">
            <v>148.96666666666667</v>
          </cell>
          <cell r="U51">
            <v>118.22581795543685</v>
          </cell>
          <cell r="V51">
            <v>41.439785192903869</v>
          </cell>
          <cell r="X51">
            <v>1252.3001528107757</v>
          </cell>
          <cell r="Y51">
            <v>3200.9355541361729</v>
          </cell>
          <cell r="AA51">
            <v>0</v>
          </cell>
          <cell r="AB51">
            <v>0</v>
          </cell>
          <cell r="AD51">
            <v>1954.8389131219933</v>
          </cell>
          <cell r="AE51">
            <v>2148.29998434562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473.50882144682487</v>
          </cell>
          <cell r="AQ51">
            <v>0</v>
          </cell>
          <cell r="AS51">
            <v>9576.3677377268014</v>
          </cell>
          <cell r="AT51">
            <v>0</v>
          </cell>
          <cell r="AV51">
            <v>296.97430937581089</v>
          </cell>
          <cell r="AW51">
            <v>951.97722752600112</v>
          </cell>
          <cell r="AY51">
            <v>431.42874836421191</v>
          </cell>
          <cell r="AZ51">
            <v>2821.7797941782142</v>
          </cell>
          <cell r="BB51">
            <v>225.25790184519559</v>
          </cell>
          <cell r="BC51">
            <v>0</v>
          </cell>
          <cell r="BE51">
            <v>134.01654655351942</v>
          </cell>
          <cell r="BF51">
            <v>0</v>
          </cell>
          <cell r="BH51">
            <v>119.94714023874553</v>
          </cell>
          <cell r="BI51">
            <v>7.7228418000000003</v>
          </cell>
          <cell r="BK51">
            <v>185.68589968581432</v>
          </cell>
          <cell r="BL51">
            <v>0</v>
          </cell>
          <cell r="BN51">
            <v>39.854603062339315</v>
          </cell>
          <cell r="BO51">
            <v>0</v>
          </cell>
          <cell r="BT51">
            <v>2638.5371036827164</v>
          </cell>
          <cell r="BU51">
            <v>2746.9903500970281</v>
          </cell>
          <cell r="BW51">
            <v>2944.2932400040918</v>
          </cell>
          <cell r="BX51">
            <v>3489.3873300782388</v>
          </cell>
          <cell r="BZ51">
            <v>1298.3904522151083</v>
          </cell>
          <cell r="CA51">
            <v>2686.0406996581878</v>
          </cell>
          <cell r="CC51">
            <v>243.39467560770206</v>
          </cell>
          <cell r="CD51">
            <v>246.07889495934211</v>
          </cell>
          <cell r="CF51">
            <v>29.963359686554227</v>
          </cell>
          <cell r="CG51">
            <v>0</v>
          </cell>
          <cell r="CI51">
            <v>1060.6597600408875</v>
          </cell>
          <cell r="CJ51">
            <v>552.5991442238826</v>
          </cell>
          <cell r="CL51">
            <v>0</v>
          </cell>
          <cell r="CM51">
            <v>0</v>
          </cell>
          <cell r="CX51">
            <v>1568.9870913807208</v>
          </cell>
          <cell r="CY51">
            <v>6862.9797377669765</v>
          </cell>
        </row>
        <row r="52">
          <cell r="I52">
            <v>0</v>
          </cell>
          <cell r="J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94.701764289364974</v>
          </cell>
          <cell r="AQ52">
            <v>0</v>
          </cell>
          <cell r="AS52">
            <v>541.63964571106783</v>
          </cell>
          <cell r="AT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B52">
            <v>0</v>
          </cell>
          <cell r="BC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K52">
            <v>0</v>
          </cell>
          <cell r="BL52">
            <v>0</v>
          </cell>
          <cell r="BN52">
            <v>0</v>
          </cell>
          <cell r="BO52">
            <v>0</v>
          </cell>
          <cell r="BT52">
            <v>0</v>
          </cell>
          <cell r="BU52">
            <v>0</v>
          </cell>
          <cell r="BW52">
            <v>0</v>
          </cell>
          <cell r="BX52">
            <v>1.0167589888588648</v>
          </cell>
          <cell r="BZ52">
            <v>0</v>
          </cell>
          <cell r="CA52">
            <v>0</v>
          </cell>
          <cell r="CC52">
            <v>0</v>
          </cell>
          <cell r="CD52">
            <v>0</v>
          </cell>
          <cell r="CF52">
            <v>0</v>
          </cell>
          <cell r="CG52">
            <v>0</v>
          </cell>
          <cell r="CI52">
            <v>0</v>
          </cell>
          <cell r="CJ52">
            <v>0</v>
          </cell>
          <cell r="CL52">
            <v>0</v>
          </cell>
          <cell r="CM52">
            <v>0</v>
          </cell>
          <cell r="CX52">
            <v>53.910307999480665</v>
          </cell>
          <cell r="CY52">
            <v>816.2998892133694</v>
          </cell>
        </row>
        <row r="53">
          <cell r="I53">
            <v>1104.1718947595289</v>
          </cell>
          <cell r="J53">
            <v>1243.4936593568361</v>
          </cell>
          <cell r="L53">
            <v>206.28899752640388</v>
          </cell>
          <cell r="M53">
            <v>227.0243161362034</v>
          </cell>
          <cell r="O53">
            <v>716.7</v>
          </cell>
          <cell r="P53">
            <v>716.7</v>
          </cell>
          <cell r="R53">
            <v>0</v>
          </cell>
          <cell r="S53">
            <v>0</v>
          </cell>
          <cell r="U53">
            <v>0</v>
          </cell>
          <cell r="V53">
            <v>22.855347475559377</v>
          </cell>
          <cell r="X53">
            <v>887.98203486775833</v>
          </cell>
          <cell r="Y53">
            <v>867.14078910163687</v>
          </cell>
          <cell r="AA53">
            <v>0</v>
          </cell>
          <cell r="AB53">
            <v>0</v>
          </cell>
          <cell r="AD53">
            <v>2058.8556415530697</v>
          </cell>
          <cell r="AE53">
            <v>2262.6029199714603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228.86259703263201</v>
          </cell>
          <cell r="AQ53">
            <v>0</v>
          </cell>
          <cell r="AS53">
            <v>3968.7186887636053</v>
          </cell>
          <cell r="AT53">
            <v>64.627908265165871</v>
          </cell>
          <cell r="AV53">
            <v>199.30110444818735</v>
          </cell>
          <cell r="AW53">
            <v>0</v>
          </cell>
          <cell r="AY53">
            <v>265.86888590663347</v>
          </cell>
          <cell r="AZ53">
            <v>0</v>
          </cell>
          <cell r="BB53">
            <v>339.09608183163061</v>
          </cell>
          <cell r="BC53">
            <v>0</v>
          </cell>
          <cell r="BE53">
            <v>0</v>
          </cell>
          <cell r="BF53">
            <v>0</v>
          </cell>
          <cell r="BH53">
            <v>0</v>
          </cell>
          <cell r="BI53">
            <v>0</v>
          </cell>
          <cell r="BK53">
            <v>122.47344089241105</v>
          </cell>
          <cell r="BL53">
            <v>0</v>
          </cell>
          <cell r="BN53">
            <v>0</v>
          </cell>
          <cell r="BO53">
            <v>0</v>
          </cell>
          <cell r="BT53">
            <v>5000.3184534389857</v>
          </cell>
          <cell r="BU53">
            <v>4455.6046336402242</v>
          </cell>
          <cell r="BW53">
            <v>2778.9371192187477</v>
          </cell>
          <cell r="BX53">
            <v>5267.6352386164799</v>
          </cell>
          <cell r="BZ53">
            <v>1892.1901414312354</v>
          </cell>
          <cell r="CA53">
            <v>3363.7019725217733</v>
          </cell>
          <cell r="CC53">
            <v>0</v>
          </cell>
          <cell r="CD53">
            <v>0</v>
          </cell>
          <cell r="CF53">
            <v>0</v>
          </cell>
          <cell r="CG53">
            <v>0</v>
          </cell>
          <cell r="CI53">
            <v>483.53606707746354</v>
          </cell>
          <cell r="CJ53">
            <v>768.07115921838363</v>
          </cell>
          <cell r="CL53">
            <v>0</v>
          </cell>
          <cell r="CM53">
            <v>0</v>
          </cell>
          <cell r="CX53">
            <v>1217.0786215020526</v>
          </cell>
          <cell r="CY53">
            <v>2409.6904668355346</v>
          </cell>
        </row>
        <row r="54">
          <cell r="I54">
            <v>2010.5870585823509</v>
          </cell>
          <cell r="J54">
            <v>2222.6060466406698</v>
          </cell>
          <cell r="L54">
            <v>380.72022052671252</v>
          </cell>
          <cell r="M54">
            <v>418.98821911821437</v>
          </cell>
          <cell r="O54">
            <v>807.92</v>
          </cell>
          <cell r="P54">
            <v>807.91666666666674</v>
          </cell>
          <cell r="R54">
            <v>0</v>
          </cell>
          <cell r="S54">
            <v>0</v>
          </cell>
          <cell r="U54">
            <v>0</v>
          </cell>
          <cell r="V54">
            <v>22.855347475559377</v>
          </cell>
          <cell r="X54">
            <v>1243.2842644426239</v>
          </cell>
          <cell r="Y54">
            <v>1203.5681484093316</v>
          </cell>
          <cell r="AA54">
            <v>0</v>
          </cell>
          <cell r="AB54">
            <v>0</v>
          </cell>
          <cell r="AD54">
            <v>2294.3399368583928</v>
          </cell>
          <cell r="AE54">
            <v>2521.3998029968734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1894.0352857872995</v>
          </cell>
          <cell r="AQ54">
            <v>5597.0672948283482</v>
          </cell>
          <cell r="AS54">
            <v>4952.8335367596737</v>
          </cell>
          <cell r="AT54">
            <v>0</v>
          </cell>
          <cell r="AV54">
            <v>318.0902693443374</v>
          </cell>
          <cell r="AW54">
            <v>2630.8750602537534</v>
          </cell>
          <cell r="AY54">
            <v>490.73628415417375</v>
          </cell>
          <cell r="AZ54">
            <v>0</v>
          </cell>
          <cell r="BB54">
            <v>365.88444988692856</v>
          </cell>
          <cell r="BC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2477.1850515697056</v>
          </cell>
          <cell r="BK54">
            <v>174.62873904711446</v>
          </cell>
          <cell r="BL54">
            <v>0</v>
          </cell>
          <cell r="BN54">
            <v>0</v>
          </cell>
          <cell r="BO54">
            <v>0</v>
          </cell>
          <cell r="BT54">
            <v>6121.5088890601883</v>
          </cell>
          <cell r="BU54">
            <v>5721.0144737951559</v>
          </cell>
          <cell r="BW54">
            <v>3159.8576901785882</v>
          </cell>
          <cell r="BX54">
            <v>5428.7668633143603</v>
          </cell>
          <cell r="BZ54">
            <v>2681.7669477046475</v>
          </cell>
          <cell r="CA54">
            <v>4259.5767894079981</v>
          </cell>
          <cell r="CC54">
            <v>328.59506759283516</v>
          </cell>
          <cell r="CD54">
            <v>332.21889887461634</v>
          </cell>
          <cell r="CF54">
            <v>40.452044305936148</v>
          </cell>
          <cell r="CG54">
            <v>0</v>
          </cell>
          <cell r="CI54">
            <v>745.58141955815336</v>
          </cell>
          <cell r="CJ54">
            <v>334.46279692049552</v>
          </cell>
          <cell r="CL54">
            <v>0</v>
          </cell>
          <cell r="CM54">
            <v>0</v>
          </cell>
          <cell r="CX54">
            <v>1181.4934754520582</v>
          </cell>
          <cell r="CY54">
            <v>-5979.7217523260952</v>
          </cell>
        </row>
        <row r="55">
          <cell r="I55">
            <v>899.77845885533634</v>
          </cell>
          <cell r="J55">
            <v>1002.7793350934437</v>
          </cell>
          <cell r="L55">
            <v>194.94628967187373</v>
          </cell>
          <cell r="M55">
            <v>214.54150649926183</v>
          </cell>
          <cell r="O55">
            <v>390.32</v>
          </cell>
          <cell r="P55">
            <v>390.31666666666666</v>
          </cell>
          <cell r="R55">
            <v>0</v>
          </cell>
          <cell r="S55">
            <v>0</v>
          </cell>
          <cell r="U55">
            <v>0</v>
          </cell>
          <cell r="V55">
            <v>22.855347475559377</v>
          </cell>
          <cell r="X55">
            <v>548.47906295308962</v>
          </cell>
          <cell r="Y55">
            <v>526.20060614161468</v>
          </cell>
          <cell r="AA55">
            <v>0</v>
          </cell>
          <cell r="AB55">
            <v>0</v>
          </cell>
          <cell r="AD55">
            <v>1333.8456467829953</v>
          </cell>
          <cell r="AE55">
            <v>1465.849980204767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875.99131967662606</v>
          </cell>
          <cell r="AQ55">
            <v>1870.8415234479653</v>
          </cell>
          <cell r="AS55">
            <v>3203.0702278670028</v>
          </cell>
          <cell r="AT55">
            <v>0</v>
          </cell>
          <cell r="AV55">
            <v>141.19134888296281</v>
          </cell>
          <cell r="AW55">
            <v>0</v>
          </cell>
          <cell r="AY55">
            <v>251.26294537068739</v>
          </cell>
          <cell r="AZ55">
            <v>0</v>
          </cell>
          <cell r="BB55">
            <v>238.9164663369109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603.48322308377033</v>
          </cell>
          <cell r="BK55">
            <v>70.039395863319015</v>
          </cell>
          <cell r="BL55">
            <v>0</v>
          </cell>
          <cell r="BN55">
            <v>0</v>
          </cell>
          <cell r="BO55">
            <v>0</v>
          </cell>
          <cell r="BT55">
            <v>1850.3408731043698</v>
          </cell>
          <cell r="BU55">
            <v>1989.7746893698654</v>
          </cell>
          <cell r="BW55">
            <v>1334.3614911240522</v>
          </cell>
          <cell r="BX55">
            <v>3078.8851464754548</v>
          </cell>
          <cell r="BZ55">
            <v>1080.2244591477311</v>
          </cell>
          <cell r="CA55">
            <v>1716.4919307294001</v>
          </cell>
          <cell r="CC55">
            <v>86.965187216125557</v>
          </cell>
          <cell r="CD55">
            <v>87.924261763922033</v>
          </cell>
          <cell r="CF55">
            <v>10.705941608045761</v>
          </cell>
          <cell r="CG55">
            <v>0</v>
          </cell>
          <cell r="CI55">
            <v>720.62471932189726</v>
          </cell>
          <cell r="CJ55">
            <v>723.7565884525452</v>
          </cell>
          <cell r="CL55">
            <v>0</v>
          </cell>
          <cell r="CM55">
            <v>0</v>
          </cell>
          <cell r="CX55">
            <v>798.34339946037289</v>
          </cell>
          <cell r="CY55">
            <v>243.17903351491896</v>
          </cell>
        </row>
        <row r="56">
          <cell r="I56">
            <v>1346.766002270316</v>
          </cell>
          <cell r="J56">
            <v>1520.0158975315862</v>
          </cell>
          <cell r="L56">
            <v>269.61123728666183</v>
          </cell>
          <cell r="M56">
            <v>461.01665175972494</v>
          </cell>
          <cell r="O56">
            <v>925.9</v>
          </cell>
          <cell r="P56">
            <v>925.9</v>
          </cell>
          <cell r="R56">
            <v>194.12</v>
          </cell>
          <cell r="S56">
            <v>194.11666666666667</v>
          </cell>
          <cell r="U56">
            <v>67.987120313120343</v>
          </cell>
          <cell r="V56">
            <v>193.94463615358382</v>
          </cell>
          <cell r="X56">
            <v>665.50686720275428</v>
          </cell>
          <cell r="Y56">
            <v>657.47234569228556</v>
          </cell>
          <cell r="AA56">
            <v>0</v>
          </cell>
          <cell r="AB56">
            <v>0</v>
          </cell>
          <cell r="AD56">
            <v>2586.8780775884347</v>
          </cell>
          <cell r="AE56">
            <v>2842.8890463980897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205.18715596029077</v>
          </cell>
          <cell r="AQ56">
            <v>0</v>
          </cell>
          <cell r="AS56">
            <v>7932.9238123057485</v>
          </cell>
          <cell r="AT56">
            <v>17903.36740133987</v>
          </cell>
          <cell r="AV56">
            <v>254.36667126777695</v>
          </cell>
          <cell r="AW56">
            <v>0</v>
          </cell>
          <cell r="AY56">
            <v>347.50294893846012</v>
          </cell>
          <cell r="AZ56">
            <v>0</v>
          </cell>
          <cell r="BB56">
            <v>428.65127600087555</v>
          </cell>
          <cell r="BC56">
            <v>0</v>
          </cell>
          <cell r="BE56">
            <v>164.11543594438629</v>
          </cell>
          <cell r="BF56">
            <v>0</v>
          </cell>
          <cell r="BH56">
            <v>68.97925660788097</v>
          </cell>
          <cell r="BI56">
            <v>0</v>
          </cell>
          <cell r="BK56">
            <v>73.753166691452407</v>
          </cell>
          <cell r="BL56">
            <v>0</v>
          </cell>
          <cell r="BN56">
            <v>0</v>
          </cell>
          <cell r="BO56">
            <v>0</v>
          </cell>
          <cell r="BT56">
            <v>2284.608499797233</v>
          </cell>
          <cell r="BU56">
            <v>2775.8179757745811</v>
          </cell>
          <cell r="BW56">
            <v>2641.5643180941433</v>
          </cell>
          <cell r="BX56">
            <v>5860.6932821923065</v>
          </cell>
          <cell r="BZ56">
            <v>1436.8101838578243</v>
          </cell>
          <cell r="CA56">
            <v>2719.1417609853474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411.78555389822696</v>
          </cell>
          <cell r="CJ56">
            <v>897.26636019833336</v>
          </cell>
          <cell r="CL56">
            <v>0</v>
          </cell>
          <cell r="CM56">
            <v>0</v>
          </cell>
          <cell r="CX56">
            <v>669.5188991692994</v>
          </cell>
          <cell r="CY56">
            <v>-16904.03042963085</v>
          </cell>
        </row>
        <row r="57">
          <cell r="I57">
            <v>778.91177143626908</v>
          </cell>
          <cell r="J57">
            <v>864.24883537131336</v>
          </cell>
          <cell r="L57">
            <v>119.14799437597647</v>
          </cell>
          <cell r="M57">
            <v>131.12377427326498</v>
          </cell>
          <cell r="O57">
            <v>336.02</v>
          </cell>
          <cell r="P57">
            <v>336.01666666666671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494.95930459311847</v>
          </cell>
          <cell r="Y57">
            <v>460.09856428913668</v>
          </cell>
          <cell r="AA57">
            <v>0</v>
          </cell>
          <cell r="AB57">
            <v>0</v>
          </cell>
          <cell r="AD57">
            <v>1047.0798786227788</v>
          </cell>
          <cell r="AE57">
            <v>1150.7043735186539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1010.152152419893</v>
          </cell>
          <cell r="AQ57">
            <v>0</v>
          </cell>
          <cell r="AS57">
            <v>2572.1818483559537</v>
          </cell>
          <cell r="AT57">
            <v>0</v>
          </cell>
          <cell r="AV57">
            <v>124.57062080146615</v>
          </cell>
          <cell r="AW57">
            <v>0</v>
          </cell>
          <cell r="AY57">
            <v>153.61481567386699</v>
          </cell>
          <cell r="AZ57">
            <v>0</v>
          </cell>
          <cell r="BB57">
            <v>187.39808963912321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60.056140153587386</v>
          </cell>
          <cell r="BL57">
            <v>0</v>
          </cell>
          <cell r="BN57">
            <v>0</v>
          </cell>
          <cell r="BO57">
            <v>0</v>
          </cell>
          <cell r="BT57">
            <v>3640.4352898710845</v>
          </cell>
          <cell r="BU57">
            <v>3363.4673474301253</v>
          </cell>
          <cell r="BW57">
            <v>1221.3599418250965</v>
          </cell>
          <cell r="BX57">
            <v>3341.0965052242009</v>
          </cell>
          <cell r="BZ57">
            <v>1030.4528251461522</v>
          </cell>
          <cell r="CA57">
            <v>3192.7408134858997</v>
          </cell>
          <cell r="CC57">
            <v>162.94942632829839</v>
          </cell>
          <cell r="CD57">
            <v>164.74647469181332</v>
          </cell>
          <cell r="CF57">
            <v>20.060061953294309</v>
          </cell>
          <cell r="CG57">
            <v>0</v>
          </cell>
          <cell r="CI57">
            <v>639.51544355406463</v>
          </cell>
          <cell r="CJ57">
            <v>730.90415304023895</v>
          </cell>
          <cell r="CL57">
            <v>0</v>
          </cell>
          <cell r="CM57">
            <v>0</v>
          </cell>
          <cell r="CX57">
            <v>-3.2987257000258978</v>
          </cell>
          <cell r="CY57">
            <v>-166.83700958957434</v>
          </cell>
        </row>
        <row r="58">
          <cell r="I58">
            <v>242.61489492325532</v>
          </cell>
          <cell r="J58">
            <v>265.82243967875525</v>
          </cell>
          <cell r="L58">
            <v>47.738284400156573</v>
          </cell>
          <cell r="M58">
            <v>52.536346645910811</v>
          </cell>
          <cell r="O58">
            <v>64.08</v>
          </cell>
          <cell r="P58">
            <v>64.066666666666663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>
            <v>160.71800817894464</v>
          </cell>
          <cell r="Y58">
            <v>146.55217993083815</v>
          </cell>
          <cell r="AA58">
            <v>0</v>
          </cell>
          <cell r="AB58">
            <v>0</v>
          </cell>
          <cell r="AD58">
            <v>180.65388227787005</v>
          </cell>
          <cell r="AE58">
            <v>198.53233423193274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94.701764289364974</v>
          </cell>
          <cell r="AQ58">
            <v>287.82177283814855</v>
          </cell>
          <cell r="AS58">
            <v>840.80559216705501</v>
          </cell>
          <cell r="AT58">
            <v>0</v>
          </cell>
          <cell r="AV58">
            <v>51.794461945442009</v>
          </cell>
          <cell r="AW58">
            <v>0</v>
          </cell>
          <cell r="AY58">
            <v>61.550813104250835</v>
          </cell>
          <cell r="AZ58">
            <v>0</v>
          </cell>
          <cell r="BB58">
            <v>12.103661341664061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13.131198850039331</v>
          </cell>
          <cell r="BL58">
            <v>0</v>
          </cell>
          <cell r="BN58">
            <v>0</v>
          </cell>
          <cell r="BO58">
            <v>0</v>
          </cell>
          <cell r="BT58">
            <v>0</v>
          </cell>
          <cell r="BU58">
            <v>0</v>
          </cell>
          <cell r="BW58">
            <v>31.459001284102019</v>
          </cell>
          <cell r="BX58">
            <v>652.10359762342136</v>
          </cell>
          <cell r="BZ58">
            <v>0</v>
          </cell>
          <cell r="CA58">
            <v>0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40.554637883916286</v>
          </cell>
          <cell r="CJ58">
            <v>19.815022536495807</v>
          </cell>
          <cell r="CL58">
            <v>0</v>
          </cell>
          <cell r="CM58">
            <v>0</v>
          </cell>
          <cell r="CX58">
            <v>33.132559224727174</v>
          </cell>
          <cell r="CY58">
            <v>218.71956781739721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0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P59">
            <v>94.701764289364974</v>
          </cell>
          <cell r="AQ59">
            <v>0</v>
          </cell>
          <cell r="AS59">
            <v>449.68071273131363</v>
          </cell>
          <cell r="AT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N59">
            <v>0</v>
          </cell>
          <cell r="BO59">
            <v>0</v>
          </cell>
          <cell r="BT59">
            <v>27.914845879897086</v>
          </cell>
          <cell r="BU59">
            <v>75.361793277366203</v>
          </cell>
          <cell r="BW59">
            <v>0</v>
          </cell>
          <cell r="BX59">
            <v>0.81650061315087374</v>
          </cell>
          <cell r="BZ59">
            <v>0</v>
          </cell>
          <cell r="CA59">
            <v>69.319830237767789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I59">
            <v>0</v>
          </cell>
          <cell r="CJ59">
            <v>0</v>
          </cell>
          <cell r="CL59">
            <v>0</v>
          </cell>
          <cell r="CM59">
            <v>0</v>
          </cell>
          <cell r="CX59">
            <v>17.183212519309336</v>
          </cell>
          <cell r="CY59">
            <v>529.34225104605821</v>
          </cell>
        </row>
        <row r="60"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47.350882144682487</v>
          </cell>
          <cell r="AQ60">
            <v>0</v>
          </cell>
          <cell r="AS60">
            <v>190.93821728022763</v>
          </cell>
          <cell r="AT60">
            <v>0</v>
          </cell>
          <cell r="AV60">
            <v>0</v>
          </cell>
          <cell r="AW60">
            <v>0</v>
          </cell>
          <cell r="AY60">
            <v>0</v>
          </cell>
          <cell r="AZ60">
            <v>0</v>
          </cell>
          <cell r="BB60">
            <v>0</v>
          </cell>
          <cell r="BC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K60">
            <v>0</v>
          </cell>
          <cell r="BL60">
            <v>0</v>
          </cell>
          <cell r="BN60">
            <v>0</v>
          </cell>
          <cell r="BO60">
            <v>0</v>
          </cell>
          <cell r="BT60">
            <v>11.963505377098754</v>
          </cell>
          <cell r="BU60">
            <v>37.667558268191534</v>
          </cell>
          <cell r="BW60">
            <v>0</v>
          </cell>
          <cell r="BX60">
            <v>0.34109048545385451</v>
          </cell>
          <cell r="BZ60">
            <v>0</v>
          </cell>
          <cell r="CA60">
            <v>34.647646122381644</v>
          </cell>
          <cell r="CC60">
            <v>0</v>
          </cell>
          <cell r="CD60">
            <v>0</v>
          </cell>
          <cell r="CF60">
            <v>0</v>
          </cell>
          <cell r="CG60">
            <v>0</v>
          </cell>
          <cell r="CI60">
            <v>0</v>
          </cell>
          <cell r="CJ60">
            <v>0</v>
          </cell>
          <cell r="CL60">
            <v>0</v>
          </cell>
          <cell r="CM60">
            <v>0</v>
          </cell>
          <cell r="CX60">
            <v>7.4968742375893953</v>
          </cell>
          <cell r="CY60">
            <v>220.61244614876756</v>
          </cell>
        </row>
        <row r="61">
          <cell r="I61">
            <v>1042.9318580776642</v>
          </cell>
          <cell r="J61">
            <v>1157.5524971996083</v>
          </cell>
          <cell r="L61">
            <v>194.40384537113721</v>
          </cell>
          <cell r="M61">
            <v>213.94450256010376</v>
          </cell>
          <cell r="O61">
            <v>399.14</v>
          </cell>
          <cell r="P61">
            <v>399.15000000000003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>
            <v>516.65099587113502</v>
          </cell>
          <cell r="Y61">
            <v>493.1296247515989</v>
          </cell>
          <cell r="AA61">
            <v>0</v>
          </cell>
          <cell r="AB61">
            <v>0</v>
          </cell>
          <cell r="AD61">
            <v>1350.307598185831</v>
          </cell>
          <cell r="AE61">
            <v>1483.9410923182097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781.28955538726109</v>
          </cell>
          <cell r="AQ61">
            <v>2152.247068713622</v>
          </cell>
          <cell r="AS61">
            <v>3798.1378183901502</v>
          </cell>
          <cell r="AT61">
            <v>37.391861210560251</v>
          </cell>
          <cell r="AV61">
            <v>172.97663207927951</v>
          </cell>
          <cell r="AW61">
            <v>0</v>
          </cell>
          <cell r="AY61">
            <v>250.58315269130659</v>
          </cell>
          <cell r="AZ61">
            <v>0</v>
          </cell>
          <cell r="BB61">
            <v>245.82574354996487</v>
          </cell>
          <cell r="BC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K61">
            <v>65.725579801306026</v>
          </cell>
          <cell r="BL61">
            <v>0</v>
          </cell>
          <cell r="BN61">
            <v>0</v>
          </cell>
          <cell r="BO61">
            <v>0</v>
          </cell>
          <cell r="BT61">
            <v>1555.6207516672716</v>
          </cell>
          <cell r="BU61">
            <v>1856.7188958057079</v>
          </cell>
          <cell r="BW61">
            <v>1299.4342977627225</v>
          </cell>
          <cell r="BX61">
            <v>3743.0105390645667</v>
          </cell>
          <cell r="BZ61">
            <v>870.46063115447839</v>
          </cell>
          <cell r="CA61">
            <v>1844.9457806817049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486.65565460699548</v>
          </cell>
          <cell r="CJ61">
            <v>622.03727280258443</v>
          </cell>
          <cell r="CL61">
            <v>0</v>
          </cell>
          <cell r="CM61">
            <v>0</v>
          </cell>
          <cell r="CX61">
            <v>543.80706248419847</v>
          </cell>
          <cell r="CY61">
            <v>-624.90296212992143</v>
          </cell>
        </row>
        <row r="62">
          <cell r="I62">
            <v>599.7820158470247</v>
          </cell>
          <cell r="J62">
            <v>658.80479426206205</v>
          </cell>
          <cell r="L62">
            <v>133.00565640834853</v>
          </cell>
          <cell r="M62">
            <v>146.37451126448497</v>
          </cell>
          <cell r="O62">
            <v>189.66</v>
          </cell>
          <cell r="P62">
            <v>189.65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>
            <v>391.21773853144077</v>
          </cell>
          <cell r="Y62">
            <v>352.01169265343822</v>
          </cell>
          <cell r="AA62">
            <v>0</v>
          </cell>
          <cell r="AB62">
            <v>0</v>
          </cell>
          <cell r="AD62">
            <v>603.9612040650685</v>
          </cell>
          <cell r="AE62">
            <v>663.73236000616555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402.48249822980114</v>
          </cell>
          <cell r="AQ62">
            <v>143.32759300339319</v>
          </cell>
          <cell r="AS62">
            <v>1683.3915846033244</v>
          </cell>
          <cell r="AT62">
            <v>50.548256821683296</v>
          </cell>
          <cell r="AV62">
            <v>105.50314275515966</v>
          </cell>
          <cell r="AW62">
            <v>0</v>
          </cell>
          <cell r="AY62">
            <v>171.45470659650391</v>
          </cell>
          <cell r="AZ62">
            <v>0</v>
          </cell>
          <cell r="BB62">
            <v>87.527632979009326</v>
          </cell>
          <cell r="BC62">
            <v>0</v>
          </cell>
          <cell r="BE62">
            <v>0</v>
          </cell>
          <cell r="BF62">
            <v>0</v>
          </cell>
          <cell r="BH62">
            <v>0</v>
          </cell>
          <cell r="BI62">
            <v>0</v>
          </cell>
          <cell r="BK62">
            <v>41.778843913608405</v>
          </cell>
          <cell r="BL62">
            <v>0</v>
          </cell>
          <cell r="BN62">
            <v>0</v>
          </cell>
          <cell r="BO62">
            <v>0</v>
          </cell>
          <cell r="BT62">
            <v>2170.9213886355342</v>
          </cell>
          <cell r="BU62">
            <v>2023.082451374471</v>
          </cell>
          <cell r="BW62">
            <v>1077.1597071967265</v>
          </cell>
          <cell r="BX62">
            <v>2561.2827535269889</v>
          </cell>
          <cell r="BZ62">
            <v>566.34955270334569</v>
          </cell>
          <cell r="CA62">
            <v>1793.9300050360603</v>
          </cell>
          <cell r="CC62">
            <v>136.28140950441323</v>
          </cell>
          <cell r="CD62">
            <v>137.7843560900244</v>
          </cell>
          <cell r="CF62">
            <v>16.777067457929661</v>
          </cell>
          <cell r="CG62">
            <v>0</v>
          </cell>
          <cell r="CI62">
            <v>308.83916542367018</v>
          </cell>
          <cell r="CJ62">
            <v>223.03223108097473</v>
          </cell>
          <cell r="CL62">
            <v>0</v>
          </cell>
          <cell r="CM62">
            <v>0</v>
          </cell>
          <cell r="CX62">
            <v>0.10802217890886823</v>
          </cell>
          <cell r="CY62">
            <v>-308.85320614369539</v>
          </cell>
        </row>
        <row r="63">
          <cell r="I63">
            <v>1368.0478903158062</v>
          </cell>
          <cell r="J63">
            <v>1527.9361266535345</v>
          </cell>
          <cell r="L63">
            <v>215.01852599342138</v>
          </cell>
          <cell r="M63">
            <v>263.44707627834794</v>
          </cell>
          <cell r="O63">
            <v>672.92</v>
          </cell>
          <cell r="P63">
            <v>672.91666666666674</v>
          </cell>
          <cell r="R63">
            <v>145.9</v>
          </cell>
          <cell r="S63">
            <v>145.9</v>
          </cell>
          <cell r="U63">
            <v>69.466216803674769</v>
          </cell>
          <cell r="V63">
            <v>258.417452453132</v>
          </cell>
          <cell r="X63">
            <v>576.55334155569881</v>
          </cell>
          <cell r="Y63">
            <v>505.83640191888793</v>
          </cell>
          <cell r="AA63">
            <v>0</v>
          </cell>
          <cell r="AB63">
            <v>0</v>
          </cell>
          <cell r="AD63">
            <v>1921.5586910218888</v>
          </cell>
          <cell r="AE63">
            <v>2111.7261776054575</v>
          </cell>
          <cell r="AJ63">
            <v>3553.2101961369735</v>
          </cell>
          <cell r="AK63">
            <v>3592.3959159769925</v>
          </cell>
          <cell r="AM63">
            <v>0</v>
          </cell>
          <cell r="AN63">
            <v>0</v>
          </cell>
          <cell r="AP63">
            <v>307.78073394043616</v>
          </cell>
          <cell r="AQ63">
            <v>0</v>
          </cell>
          <cell r="AS63">
            <v>6555.680786383632</v>
          </cell>
          <cell r="AT63">
            <v>11714.223899416529</v>
          </cell>
          <cell r="AV63">
            <v>106.72721825659063</v>
          </cell>
          <cell r="AW63">
            <v>0</v>
          </cell>
          <cell r="AY63">
            <v>142.40885198567582</v>
          </cell>
          <cell r="AZ63">
            <v>0</v>
          </cell>
          <cell r="BB63">
            <v>152.44260063250758</v>
          </cell>
          <cell r="BC63">
            <v>0</v>
          </cell>
          <cell r="BE63">
            <v>86.385768771972465</v>
          </cell>
          <cell r="BF63">
            <v>0</v>
          </cell>
          <cell r="BH63">
            <v>35.219944932571877</v>
          </cell>
          <cell r="BI63">
            <v>0</v>
          </cell>
          <cell r="BK63">
            <v>103.56430512559632</v>
          </cell>
          <cell r="BL63">
            <v>0</v>
          </cell>
          <cell r="BN63">
            <v>0</v>
          </cell>
          <cell r="BO63">
            <v>0</v>
          </cell>
          <cell r="BT63">
            <v>5875.9117312974586</v>
          </cell>
          <cell r="BU63">
            <v>2044.4199438444884</v>
          </cell>
          <cell r="BW63">
            <v>4463.2329351666622</v>
          </cell>
          <cell r="BX63">
            <v>4236.6528216838497</v>
          </cell>
          <cell r="BZ63">
            <v>1081.9920435125903</v>
          </cell>
          <cell r="CA63">
            <v>3060.598985736121</v>
          </cell>
          <cell r="CC63">
            <v>140.69339758189423</v>
          </cell>
          <cell r="CD63">
            <v>142.24500071164391</v>
          </cell>
          <cell r="CF63">
            <v>17.320209929589254</v>
          </cell>
          <cell r="CG63">
            <v>0</v>
          </cell>
          <cell r="CI63">
            <v>1606.5875777089918</v>
          </cell>
          <cell r="CJ63">
            <v>1214.3369147943722</v>
          </cell>
          <cell r="CL63">
            <v>471.05771695933538</v>
          </cell>
          <cell r="CM63">
            <v>4102.0949279684364</v>
          </cell>
          <cell r="CX63">
            <v>177.90317918443907</v>
          </cell>
          <cell r="CY63">
            <v>-6930.2579740501569</v>
          </cell>
        </row>
        <row r="64">
          <cell r="I64">
            <v>910.76891337889401</v>
          </cell>
          <cell r="J64">
            <v>1018.1525107540283</v>
          </cell>
          <cell r="L64">
            <v>194.40384537113721</v>
          </cell>
          <cell r="M64">
            <v>213.94450256010376</v>
          </cell>
          <cell r="O64">
            <v>442.66</v>
          </cell>
          <cell r="P64">
            <v>442.65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>
            <v>564.40132585881236</v>
          </cell>
          <cell r="Y64">
            <v>525.65210060480558</v>
          </cell>
          <cell r="AA64">
            <v>0</v>
          </cell>
          <cell r="AB64">
            <v>0</v>
          </cell>
          <cell r="AD64">
            <v>1326.3629415998882</v>
          </cell>
          <cell r="AE64">
            <v>1519.3401515185383</v>
          </cell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P64">
            <v>536.64333097306826</v>
          </cell>
          <cell r="AQ64">
            <v>0</v>
          </cell>
          <cell r="AS64">
            <v>3781.5843644521588</v>
          </cell>
          <cell r="AT64">
            <v>1115.4073979074426</v>
          </cell>
          <cell r="AV64">
            <v>149.96382133002803</v>
          </cell>
          <cell r="AW64">
            <v>0</v>
          </cell>
          <cell r="AY64">
            <v>250.58315269130659</v>
          </cell>
          <cell r="AZ64">
            <v>0</v>
          </cell>
          <cell r="BB64">
            <v>189.22455054922412</v>
          </cell>
          <cell r="BC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K64">
            <v>69.694329510959818</v>
          </cell>
          <cell r="BL64">
            <v>0</v>
          </cell>
          <cell r="BN64">
            <v>0</v>
          </cell>
          <cell r="BO64">
            <v>0</v>
          </cell>
          <cell r="BT64">
            <v>4252.7385324115112</v>
          </cell>
          <cell r="BU64">
            <v>3691.3667089141654</v>
          </cell>
          <cell r="BW64">
            <v>1277.0347140781084</v>
          </cell>
          <cell r="BX64">
            <v>2950.0299392762563</v>
          </cell>
          <cell r="BZ64">
            <v>1055.0056852432697</v>
          </cell>
          <cell r="CA64">
            <v>3600.8511839481635</v>
          </cell>
          <cell r="CC64">
            <v>131.86942142693221</v>
          </cell>
          <cell r="CD64">
            <v>133.32371146840489</v>
          </cell>
          <cell r="CF64">
            <v>16.233924986270065</v>
          </cell>
          <cell r="CG64">
            <v>0</v>
          </cell>
          <cell r="CI64">
            <v>745.58141955815336</v>
          </cell>
          <cell r="CJ64">
            <v>557.65606273270146</v>
          </cell>
          <cell r="CL64">
            <v>0</v>
          </cell>
          <cell r="CM64">
            <v>0</v>
          </cell>
          <cell r="CX64">
            <v>1139.0148718963355</v>
          </cell>
          <cell r="CY64">
            <v>1290.6708763784682</v>
          </cell>
        </row>
        <row r="65"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63.134509526243313</v>
          </cell>
          <cell r="AQ65">
            <v>0</v>
          </cell>
          <cell r="AS65">
            <v>674.80434284954276</v>
          </cell>
          <cell r="AT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T65">
            <v>0</v>
          </cell>
          <cell r="BU65">
            <v>0</v>
          </cell>
          <cell r="BW65">
            <v>0</v>
          </cell>
          <cell r="BX65">
            <v>1.2239368612884731</v>
          </cell>
          <cell r="BZ65">
            <v>0</v>
          </cell>
          <cell r="CA65">
            <v>0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0</v>
          </cell>
          <cell r="CJ65">
            <v>0</v>
          </cell>
          <cell r="CL65">
            <v>0</v>
          </cell>
          <cell r="CM65">
            <v>0</v>
          </cell>
          <cell r="CX65">
            <v>22.173377149056819</v>
          </cell>
          <cell r="CY65">
            <v>906.2312757664539</v>
          </cell>
        </row>
        <row r="66"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94.701764289364974</v>
          </cell>
          <cell r="AQ66">
            <v>0</v>
          </cell>
          <cell r="AS66">
            <v>729.82033441028</v>
          </cell>
          <cell r="AT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B66">
            <v>0</v>
          </cell>
          <cell r="BC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K66">
            <v>0</v>
          </cell>
          <cell r="BL66">
            <v>0</v>
          </cell>
          <cell r="BN66">
            <v>0</v>
          </cell>
          <cell r="BO66">
            <v>0</v>
          </cell>
          <cell r="BT66">
            <v>0</v>
          </cell>
          <cell r="BU66">
            <v>0</v>
          </cell>
          <cell r="BW66">
            <v>0</v>
          </cell>
          <cell r="BX66">
            <v>1.194630757526328</v>
          </cell>
          <cell r="BZ66">
            <v>0</v>
          </cell>
          <cell r="CA66">
            <v>0</v>
          </cell>
          <cell r="CC66">
            <v>0</v>
          </cell>
          <cell r="CD66">
            <v>0</v>
          </cell>
          <cell r="CF66">
            <v>0</v>
          </cell>
          <cell r="CG66">
            <v>0</v>
          </cell>
          <cell r="CI66">
            <v>0</v>
          </cell>
          <cell r="CJ66">
            <v>0</v>
          </cell>
          <cell r="CL66">
            <v>0</v>
          </cell>
          <cell r="CM66">
            <v>0</v>
          </cell>
          <cell r="CX66">
            <v>14.813481560426112</v>
          </cell>
          <cell r="CY66">
            <v>1002.8064430909684</v>
          </cell>
        </row>
        <row r="67">
          <cell r="I67">
            <v>2347.6975260114577</v>
          </cell>
          <cell r="J67">
            <v>2131.5084902181611</v>
          </cell>
          <cell r="L67">
            <v>392.40867719068791</v>
          </cell>
          <cell r="M67">
            <v>405.53834584528977</v>
          </cell>
          <cell r="O67">
            <v>2124.54</v>
          </cell>
          <cell r="P67">
            <v>2124.5333333333333</v>
          </cell>
          <cell r="R67">
            <v>461.52</v>
          </cell>
          <cell r="S67">
            <v>461.51666666666671</v>
          </cell>
          <cell r="U67">
            <v>384.16124015837795</v>
          </cell>
          <cell r="V67">
            <v>176.02165823369404</v>
          </cell>
          <cell r="X67">
            <v>3318.3688345038936</v>
          </cell>
          <cell r="Y67">
            <v>2624.8697502889095</v>
          </cell>
          <cell r="AA67">
            <v>0</v>
          </cell>
          <cell r="AB67">
            <v>0</v>
          </cell>
          <cell r="AD67">
            <v>6016.8432377363724</v>
          </cell>
          <cell r="AE67">
            <v>6612.3014774631929</v>
          </cell>
          <cell r="AJ67">
            <v>17507.437174486666</v>
          </cell>
          <cell r="AK67">
            <v>17700.491185323663</v>
          </cell>
          <cell r="AM67">
            <v>263.07035981182185</v>
          </cell>
          <cell r="AN67">
            <v>0</v>
          </cell>
          <cell r="AP67">
            <v>1104.8539167092581</v>
          </cell>
          <cell r="AQ67">
            <v>6284.1087069662426</v>
          </cell>
          <cell r="AS67">
            <v>27894.71780304578</v>
          </cell>
          <cell r="AT67">
            <v>10908.069373334411</v>
          </cell>
          <cell r="AV67">
            <v>79.668368280872841</v>
          </cell>
          <cell r="AW67">
            <v>352.16728040695443</v>
          </cell>
          <cell r="AY67">
            <v>107.26776403088104</v>
          </cell>
          <cell r="AZ67">
            <v>0</v>
          </cell>
          <cell r="BB67">
            <v>219.57380665742699</v>
          </cell>
          <cell r="BC67">
            <v>0</v>
          </cell>
          <cell r="BE67">
            <v>90.336393042483721</v>
          </cell>
          <cell r="BF67">
            <v>858.1913451964266</v>
          </cell>
          <cell r="BH67">
            <v>77.955933001127377</v>
          </cell>
          <cell r="BI67">
            <v>0</v>
          </cell>
          <cell r="BK67">
            <v>123.81884893767143</v>
          </cell>
          <cell r="BL67">
            <v>0</v>
          </cell>
          <cell r="BN67">
            <v>232.74222385317006</v>
          </cell>
          <cell r="BO67">
            <v>0</v>
          </cell>
          <cell r="BT67">
            <v>16382.728790387599</v>
          </cell>
          <cell r="BU67">
            <v>4015.4096884110195</v>
          </cell>
          <cell r="BW67">
            <v>14646.095343258816</v>
          </cell>
          <cell r="BX67">
            <v>5062.9618124625813</v>
          </cell>
          <cell r="BZ67">
            <v>649.19522610755416</v>
          </cell>
          <cell r="CA67">
            <v>4094.8370228174599</v>
          </cell>
          <cell r="CC67">
            <v>708.61430733319889</v>
          </cell>
          <cell r="CD67">
            <v>716.42908895010896</v>
          </cell>
          <cell r="CF67">
            <v>87.234715864882446</v>
          </cell>
          <cell r="CG67">
            <v>0</v>
          </cell>
          <cell r="CI67">
            <v>2870.0205271694608</v>
          </cell>
          <cell r="CJ67">
            <v>2032.1418914326832</v>
          </cell>
          <cell r="CL67">
            <v>2657.8885751612834</v>
          </cell>
          <cell r="CM67">
            <v>3957.5880660722023</v>
          </cell>
          <cell r="CX67">
            <v>2242.6284887111397</v>
          </cell>
          <cell r="CY67">
            <v>38518.717779892417</v>
          </cell>
        </row>
        <row r="68"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118.37720536170622</v>
          </cell>
          <cell r="AQ68">
            <v>0</v>
          </cell>
          <cell r="AS68">
            <v>543.55058287898601</v>
          </cell>
          <cell r="AT68">
            <v>0</v>
          </cell>
          <cell r="AV68">
            <v>0</v>
          </cell>
          <cell r="AW68">
            <v>0</v>
          </cell>
          <cell r="AY68">
            <v>0</v>
          </cell>
          <cell r="AZ68">
            <v>0</v>
          </cell>
          <cell r="BB68">
            <v>0</v>
          </cell>
          <cell r="BC68">
            <v>0</v>
          </cell>
          <cell r="BE68">
            <v>0</v>
          </cell>
          <cell r="BF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N68">
            <v>0</v>
          </cell>
          <cell r="BO68">
            <v>0</v>
          </cell>
          <cell r="BT68">
            <v>0</v>
          </cell>
          <cell r="BU68">
            <v>0</v>
          </cell>
          <cell r="BW68">
            <v>0</v>
          </cell>
          <cell r="BX68">
            <v>0.71189410388877272</v>
          </cell>
          <cell r="BZ68">
            <v>0</v>
          </cell>
          <cell r="CA68">
            <v>0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0</v>
          </cell>
          <cell r="CJ68">
            <v>0</v>
          </cell>
          <cell r="CL68">
            <v>0</v>
          </cell>
          <cell r="CM68">
            <v>0</v>
          </cell>
          <cell r="CX68">
            <v>11.90665411116936</v>
          </cell>
          <cell r="CY68">
            <v>805.36572707533355</v>
          </cell>
        </row>
        <row r="69"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0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P69">
            <v>55.242695835462904</v>
          </cell>
          <cell r="AQ69">
            <v>0</v>
          </cell>
          <cell r="AS69">
            <v>339.49057757246862</v>
          </cell>
          <cell r="AT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H69">
            <v>0</v>
          </cell>
          <cell r="BI69">
            <v>0</v>
          </cell>
          <cell r="BK69">
            <v>0</v>
          </cell>
          <cell r="BL69">
            <v>0</v>
          </cell>
          <cell r="BN69">
            <v>0</v>
          </cell>
          <cell r="BO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0.55722300069967412</v>
          </cell>
          <cell r="BZ69">
            <v>0</v>
          </cell>
          <cell r="CA69">
            <v>0</v>
          </cell>
          <cell r="CC69">
            <v>0</v>
          </cell>
          <cell r="CD69">
            <v>0</v>
          </cell>
          <cell r="CF69">
            <v>0</v>
          </cell>
          <cell r="CG69">
            <v>0</v>
          </cell>
          <cell r="CI69">
            <v>0</v>
          </cell>
          <cell r="CJ69">
            <v>0</v>
          </cell>
          <cell r="CL69">
            <v>0</v>
          </cell>
          <cell r="CM69">
            <v>0</v>
          </cell>
          <cell r="CX69">
            <v>11.860071910482247</v>
          </cell>
          <cell r="CY69">
            <v>484.87133239916045</v>
          </cell>
        </row>
        <row r="70">
          <cell r="I70">
            <v>3198.5741164837109</v>
          </cell>
          <cell r="J70">
            <v>2817.4659163953493</v>
          </cell>
          <cell r="L70">
            <v>527.33756749000668</v>
          </cell>
          <cell r="M70">
            <v>527.20146059652461</v>
          </cell>
          <cell r="O70">
            <v>1900.94</v>
          </cell>
          <cell r="P70">
            <v>1900.95</v>
          </cell>
          <cell r="R70">
            <v>411.2</v>
          </cell>
          <cell r="S70">
            <v>411.18333333333334</v>
          </cell>
          <cell r="U70">
            <v>576.24186023756681</v>
          </cell>
          <cell r="V70">
            <v>243.34834843867881</v>
          </cell>
          <cell r="X70">
            <v>2627.0034835670463</v>
          </cell>
          <cell r="Y70">
            <v>2146.13856646062</v>
          </cell>
          <cell r="AA70">
            <v>0</v>
          </cell>
          <cell r="AB70">
            <v>0</v>
          </cell>
          <cell r="AD70">
            <v>5426.3865349303405</v>
          </cell>
          <cell r="AE70">
            <v>5963.4100947102634</v>
          </cell>
          <cell r="AJ70">
            <v>10940.504879909146</v>
          </cell>
          <cell r="AK70">
            <v>11061.137065157705</v>
          </cell>
          <cell r="AM70">
            <v>526.14071962364369</v>
          </cell>
          <cell r="AN70">
            <v>532.00510021686796</v>
          </cell>
          <cell r="AP70">
            <v>923.34220182130855</v>
          </cell>
          <cell r="AQ70">
            <v>5036.8810246675994</v>
          </cell>
          <cell r="AS70">
            <v>20978.873295414356</v>
          </cell>
          <cell r="AT70">
            <v>10444.035010337595</v>
          </cell>
          <cell r="AV70">
            <v>261.46872234701635</v>
          </cell>
          <cell r="AW70">
            <v>0</v>
          </cell>
          <cell r="AY70">
            <v>351.30774901844745</v>
          </cell>
          <cell r="AZ70">
            <v>0</v>
          </cell>
          <cell r="BB70">
            <v>483.70917241723362</v>
          </cell>
          <cell r="BC70">
            <v>0</v>
          </cell>
          <cell r="BE70">
            <v>185.6386927230358</v>
          </cell>
          <cell r="BF70">
            <v>1287.2999011257489</v>
          </cell>
          <cell r="BH70">
            <v>292.3226339843186</v>
          </cell>
          <cell r="BI70">
            <v>0</v>
          </cell>
          <cell r="BK70">
            <v>235.82173208405922</v>
          </cell>
          <cell r="BL70">
            <v>0</v>
          </cell>
          <cell r="BN70">
            <v>142.02289427059736</v>
          </cell>
          <cell r="BO70">
            <v>0</v>
          </cell>
          <cell r="BT70">
            <v>13789.566830533042</v>
          </cell>
          <cell r="BU70">
            <v>8970.5042567962264</v>
          </cell>
          <cell r="BW70">
            <v>10503.156030901628</v>
          </cell>
          <cell r="BX70">
            <v>9660.995496525451</v>
          </cell>
          <cell r="BZ70">
            <v>1731.1872696201444</v>
          </cell>
          <cell r="CA70">
            <v>6736.1559442059861</v>
          </cell>
          <cell r="CC70">
            <v>457.18000900653158</v>
          </cell>
          <cell r="CD70">
            <v>462.2219082358157</v>
          </cell>
          <cell r="CF70">
            <v>56.281629896637412</v>
          </cell>
          <cell r="CG70">
            <v>0</v>
          </cell>
          <cell r="CI70">
            <v>2738.9978509291154</v>
          </cell>
          <cell r="CJ70">
            <v>2582.1572207132958</v>
          </cell>
          <cell r="CL70">
            <v>4108.4967763936729</v>
          </cell>
          <cell r="CM70">
            <v>3875.7139669708431</v>
          </cell>
          <cell r="CX70">
            <v>1742.2168156768894</v>
          </cell>
          <cell r="CY70">
            <v>12200.094462134519</v>
          </cell>
        </row>
        <row r="71">
          <cell r="I71">
            <v>1344.3932896630999</v>
          </cell>
          <cell r="J71">
            <v>1165.5634768576883</v>
          </cell>
          <cell r="L71">
            <v>286.23374612549731</v>
          </cell>
          <cell r="M71">
            <v>299.45772154308361</v>
          </cell>
          <cell r="O71">
            <v>638.55999999999995</v>
          </cell>
          <cell r="P71">
            <v>638.56666666666672</v>
          </cell>
          <cell r="R71">
            <v>133.26</v>
          </cell>
          <cell r="S71">
            <v>133.26666666666665</v>
          </cell>
          <cell r="U71">
            <v>88.645113504097054</v>
          </cell>
          <cell r="V71">
            <v>72.439476229413017</v>
          </cell>
          <cell r="X71">
            <v>895.69712760030052</v>
          </cell>
          <cell r="Y71">
            <v>2923.589380469713</v>
          </cell>
          <cell r="AA71">
            <v>0</v>
          </cell>
          <cell r="AB71">
            <v>0</v>
          </cell>
          <cell r="AD71">
            <v>1774.3774432631174</v>
          </cell>
          <cell r="AE71">
            <v>1949.9791046708572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P71">
            <v>355.13161608511865</v>
          </cell>
          <cell r="AQ71">
            <v>0</v>
          </cell>
          <cell r="AS71">
            <v>4098.2820626538005</v>
          </cell>
          <cell r="AT71">
            <v>81.783384953212092</v>
          </cell>
          <cell r="AV71">
            <v>242.09477570878985</v>
          </cell>
          <cell r="AW71">
            <v>861.93812120803887</v>
          </cell>
          <cell r="AY71">
            <v>341.29746007718495</v>
          </cell>
          <cell r="AZ71">
            <v>2370.3930450573271</v>
          </cell>
          <cell r="BB71">
            <v>97.993438091568279</v>
          </cell>
          <cell r="BC71">
            <v>0</v>
          </cell>
          <cell r="BE71">
            <v>114.75461373279184</v>
          </cell>
          <cell r="BF71">
            <v>0</v>
          </cell>
          <cell r="BH71">
            <v>89.960355179059135</v>
          </cell>
          <cell r="BI71">
            <v>0</v>
          </cell>
          <cell r="BK71">
            <v>122.56982730821436</v>
          </cell>
          <cell r="BL71">
            <v>2161.3363421519093</v>
          </cell>
          <cell r="BN71">
            <v>122.29074143818023</v>
          </cell>
          <cell r="BO71">
            <v>0</v>
          </cell>
          <cell r="BT71">
            <v>8812.6475364995222</v>
          </cell>
          <cell r="BU71">
            <v>5993.7871482305127</v>
          </cell>
          <cell r="BW71">
            <v>3764.0620259892066</v>
          </cell>
          <cell r="BX71">
            <v>3429.6639568922492</v>
          </cell>
          <cell r="BZ71">
            <v>2077.424723544173</v>
          </cell>
          <cell r="CA71">
            <v>4031.031460022401</v>
          </cell>
          <cell r="CC71">
            <v>247.85568577493282</v>
          </cell>
          <cell r="CD71">
            <v>250.58910229897964</v>
          </cell>
          <cell r="CF71">
            <v>30.512537074565593</v>
          </cell>
          <cell r="CG71">
            <v>0</v>
          </cell>
          <cell r="CI71">
            <v>798.61440756019783</v>
          </cell>
          <cell r="CJ71">
            <v>673.93218899630028</v>
          </cell>
          <cell r="CL71">
            <v>0</v>
          </cell>
          <cell r="CM71">
            <v>0</v>
          </cell>
          <cell r="CX71">
            <v>31.509767751897016</v>
          </cell>
          <cell r="CY71">
            <v>-641.2806914980174</v>
          </cell>
        </row>
        <row r="72">
          <cell r="I72">
            <v>5217.213045238298</v>
          </cell>
          <cell r="J72">
            <v>4571.1392922296809</v>
          </cell>
          <cell r="L72">
            <v>888.72599853759777</v>
          </cell>
          <cell r="M72">
            <v>853.05939367293126</v>
          </cell>
          <cell r="O72">
            <v>2878.24</v>
          </cell>
          <cell r="P72">
            <v>2878.2333333333336</v>
          </cell>
          <cell r="R72">
            <v>624.70000000000005</v>
          </cell>
          <cell r="S72">
            <v>624.70000000000005</v>
          </cell>
          <cell r="U72">
            <v>960.40301870529493</v>
          </cell>
          <cell r="V72">
            <v>388.34379830457954</v>
          </cell>
          <cell r="X72">
            <v>4855.2149582976526</v>
          </cell>
          <cell r="Y72">
            <v>3903.0555958317141</v>
          </cell>
          <cell r="AA72">
            <v>0</v>
          </cell>
          <cell r="AB72">
            <v>0</v>
          </cell>
          <cell r="AD72">
            <v>8108.081176767575</v>
          </cell>
          <cell r="AE72">
            <v>8910.4992478916211</v>
          </cell>
          <cell r="AJ72">
            <v>21125.935881063131</v>
          </cell>
          <cell r="AK72">
            <v>21358.884366043254</v>
          </cell>
          <cell r="AM72">
            <v>263.07035981182185</v>
          </cell>
          <cell r="AN72">
            <v>0</v>
          </cell>
          <cell r="AP72">
            <v>1436.3100917220356</v>
          </cell>
          <cell r="AQ72">
            <v>8554.4073206704106</v>
          </cell>
          <cell r="AS72">
            <v>32711.222227285507</v>
          </cell>
          <cell r="AT72">
            <v>3020.035864262451</v>
          </cell>
          <cell r="AV72">
            <v>172.64896221065933</v>
          </cell>
          <cell r="AW72">
            <v>0</v>
          </cell>
          <cell r="AY72">
            <v>236.7462978235489</v>
          </cell>
          <cell r="AZ72">
            <v>0</v>
          </cell>
          <cell r="BB72">
            <v>184.64634567058175</v>
          </cell>
          <cell r="BC72">
            <v>0</v>
          </cell>
          <cell r="BE72">
            <v>115.32993121019737</v>
          </cell>
          <cell r="BF72">
            <v>0</v>
          </cell>
          <cell r="BH72">
            <v>194.87527844079784</v>
          </cell>
          <cell r="BI72">
            <v>0</v>
          </cell>
          <cell r="BK72">
            <v>235.39234830930431</v>
          </cell>
          <cell r="BL72">
            <v>0</v>
          </cell>
          <cell r="BN72">
            <v>228.84431771884292</v>
          </cell>
          <cell r="BO72">
            <v>0</v>
          </cell>
          <cell r="BT72">
            <v>29334.669546950514</v>
          </cell>
          <cell r="BU72">
            <v>22865.215324828918</v>
          </cell>
          <cell r="BW72">
            <v>17312.470647145135</v>
          </cell>
          <cell r="BX72">
            <v>28393.774542955587</v>
          </cell>
          <cell r="BZ72">
            <v>3245.976130537771</v>
          </cell>
          <cell r="CA72">
            <v>22413.602578920858</v>
          </cell>
          <cell r="CC72">
            <v>528.26203914372547</v>
          </cell>
          <cell r="CD72">
            <v>534.0878493619075</v>
          </cell>
          <cell r="CF72">
            <v>65.032258606708638</v>
          </cell>
          <cell r="CG72">
            <v>0</v>
          </cell>
          <cell r="CI72">
            <v>5066.2101479600042</v>
          </cell>
          <cell r="CJ72">
            <v>5429.2283983906636</v>
          </cell>
          <cell r="CL72">
            <v>2685.9648629270714</v>
          </cell>
          <cell r="CM72">
            <v>5393.9004215238447</v>
          </cell>
          <cell r="CX72">
            <v>3384.1569534994924</v>
          </cell>
          <cell r="CY72">
            <v>1684.9792061338812</v>
          </cell>
        </row>
        <row r="73">
          <cell r="I73">
            <v>1344.4919233260202</v>
          </cell>
          <cell r="J73">
            <v>1165.4205186607915</v>
          </cell>
          <cell r="L73">
            <v>286.23374612549731</v>
          </cell>
          <cell r="M73">
            <v>299.45772154308361</v>
          </cell>
          <cell r="O73">
            <v>639.96</v>
          </cell>
          <cell r="P73">
            <v>639.9666666666667</v>
          </cell>
          <cell r="R73">
            <v>135.58000000000001</v>
          </cell>
          <cell r="S73">
            <v>135.58333333333334</v>
          </cell>
          <cell r="U73">
            <v>88.645113504097054</v>
          </cell>
          <cell r="V73">
            <v>72.439476229413017</v>
          </cell>
          <cell r="X73">
            <v>895.69712760030052</v>
          </cell>
          <cell r="Y73">
            <v>730.33363760496673</v>
          </cell>
          <cell r="AA73">
            <v>0</v>
          </cell>
          <cell r="AB73">
            <v>0</v>
          </cell>
          <cell r="AD73">
            <v>1768.3413944154113</v>
          </cell>
          <cell r="AE73">
            <v>1943.3456968959285</v>
          </cell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P73">
            <v>355.13161608511865</v>
          </cell>
          <cell r="AQ73">
            <v>0</v>
          </cell>
          <cell r="AS73">
            <v>7397.8271065027866</v>
          </cell>
          <cell r="AT73">
            <v>0</v>
          </cell>
          <cell r="AV73">
            <v>257.18257003536439</v>
          </cell>
          <cell r="AW73">
            <v>346.84603369889084</v>
          </cell>
          <cell r="AY73">
            <v>341.29746007718495</v>
          </cell>
          <cell r="AZ73">
            <v>0</v>
          </cell>
          <cell r="BB73">
            <v>238.21117418178792</v>
          </cell>
          <cell r="BC73">
            <v>0</v>
          </cell>
          <cell r="BE73">
            <v>117.71760222739266</v>
          </cell>
          <cell r="BF73">
            <v>0</v>
          </cell>
          <cell r="BH73">
            <v>89.960355179059135</v>
          </cell>
          <cell r="BI73">
            <v>0</v>
          </cell>
          <cell r="BK73">
            <v>122.56982730821436</v>
          </cell>
          <cell r="BL73">
            <v>3451.8002312702101</v>
          </cell>
          <cell r="BN73">
            <v>122.29074143818023</v>
          </cell>
          <cell r="BO73">
            <v>0</v>
          </cell>
          <cell r="BT73">
            <v>7237.1423175673672</v>
          </cell>
          <cell r="BU73">
            <v>5505.7242997198</v>
          </cell>
          <cell r="BW73">
            <v>3468.9014645131238</v>
          </cell>
          <cell r="BX73">
            <v>6796.4919841950032</v>
          </cell>
          <cell r="BZ73">
            <v>294.30183583542453</v>
          </cell>
          <cell r="CA73">
            <v>5202.9324718227817</v>
          </cell>
          <cell r="CC73">
            <v>264.86635091810956</v>
          </cell>
          <cell r="CD73">
            <v>267.78736545122365</v>
          </cell>
          <cell r="CF73">
            <v>32.606653048630918</v>
          </cell>
          <cell r="CG73">
            <v>0</v>
          </cell>
          <cell r="CI73">
            <v>814.21234520785777</v>
          </cell>
          <cell r="CJ73">
            <v>426.21924561334782</v>
          </cell>
          <cell r="CL73">
            <v>0</v>
          </cell>
          <cell r="CM73">
            <v>0</v>
          </cell>
          <cell r="CX73">
            <v>630.49752988368346</v>
          </cell>
          <cell r="CY73">
            <v>-174.91841924652908</v>
          </cell>
        </row>
        <row r="74">
          <cell r="I74">
            <v>5236.4195015732439</v>
          </cell>
          <cell r="J74">
            <v>4588.9014380141325</v>
          </cell>
          <cell r="L74">
            <v>888.72599853759777</v>
          </cell>
          <cell r="M74">
            <v>863.40146312886236</v>
          </cell>
          <cell r="O74">
            <v>2768.78</v>
          </cell>
          <cell r="P74">
            <v>2768.7666666666669</v>
          </cell>
          <cell r="R74">
            <v>626.34</v>
          </cell>
          <cell r="S74">
            <v>626.35</v>
          </cell>
          <cell r="U74">
            <v>960.40301870529493</v>
          </cell>
          <cell r="V74">
            <v>378.00172884864838</v>
          </cell>
          <cell r="X74">
            <v>4855.2149582976526</v>
          </cell>
          <cell r="Y74">
            <v>3958.6514961160883</v>
          </cell>
          <cell r="AA74">
            <v>0</v>
          </cell>
          <cell r="AB74">
            <v>0</v>
          </cell>
          <cell r="AD74">
            <v>8164.3083614292082</v>
          </cell>
          <cell r="AE74">
            <v>8973.7868136876095</v>
          </cell>
          <cell r="AJ74">
            <v>23908.429695261148</v>
          </cell>
          <cell r="AK74">
            <v>24172.052976490522</v>
          </cell>
          <cell r="AM74">
            <v>0</v>
          </cell>
          <cell r="AN74">
            <v>0</v>
          </cell>
          <cell r="AP74">
            <v>1452.0937191035962</v>
          </cell>
          <cell r="AQ74">
            <v>0</v>
          </cell>
          <cell r="AS74">
            <v>32883.1927937488</v>
          </cell>
          <cell r="AT74">
            <v>24155.30623781505</v>
          </cell>
          <cell r="AV74">
            <v>432.21338540871011</v>
          </cell>
          <cell r="AW74">
            <v>0</v>
          </cell>
          <cell r="AY74">
            <v>591.86574455887205</v>
          </cell>
          <cell r="AZ74">
            <v>8106.5454623041142</v>
          </cell>
          <cell r="BB74">
            <v>690.27183197185354</v>
          </cell>
          <cell r="BC74">
            <v>0</v>
          </cell>
          <cell r="BE74">
            <v>289.88286770503936</v>
          </cell>
          <cell r="BF74">
            <v>0</v>
          </cell>
          <cell r="BH74">
            <v>487.18819610199455</v>
          </cell>
          <cell r="BI74">
            <v>0</v>
          </cell>
          <cell r="BK74">
            <v>588.48087077326079</v>
          </cell>
          <cell r="BL74">
            <v>0</v>
          </cell>
          <cell r="BN74">
            <v>232.74222385317006</v>
          </cell>
          <cell r="BO74">
            <v>0</v>
          </cell>
          <cell r="BT74">
            <v>24406.647181947399</v>
          </cell>
          <cell r="BU74">
            <v>5549.6593380879131</v>
          </cell>
          <cell r="BW74">
            <v>17054.735181625801</v>
          </cell>
          <cell r="BX74">
            <v>10236.368677582435</v>
          </cell>
          <cell r="BZ74">
            <v>4544.3665827528803</v>
          </cell>
          <cell r="CA74">
            <v>5904.4289891756243</v>
          </cell>
          <cell r="CC74">
            <v>378.74466540686927</v>
          </cell>
          <cell r="CD74">
            <v>382.92155940702457</v>
          </cell>
          <cell r="CF74">
            <v>46.625763733800198</v>
          </cell>
          <cell r="CG74">
            <v>0</v>
          </cell>
          <cell r="CI74">
            <v>5240.9070496137983</v>
          </cell>
          <cell r="CJ74">
            <v>3746.7804474291443</v>
          </cell>
          <cell r="CL74">
            <v>2314.733946912761</v>
          </cell>
          <cell r="CM74">
            <v>4004.6374218418405</v>
          </cell>
          <cell r="CX74">
            <v>944.56375317269703</v>
          </cell>
          <cell r="CY74">
            <v>37696.667140085192</v>
          </cell>
        </row>
        <row r="75"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P75">
            <v>78.91813690780414</v>
          </cell>
          <cell r="AQ75">
            <v>0</v>
          </cell>
          <cell r="AS75">
            <v>568.91798965145097</v>
          </cell>
          <cell r="AT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T75">
            <v>0</v>
          </cell>
          <cell r="BU75">
            <v>0</v>
          </cell>
          <cell r="BW75">
            <v>0</v>
          </cell>
          <cell r="BX75">
            <v>0.87918311286435058</v>
          </cell>
          <cell r="BZ75">
            <v>0</v>
          </cell>
          <cell r="CA75">
            <v>0</v>
          </cell>
          <cell r="CC75">
            <v>0</v>
          </cell>
          <cell r="CD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L75">
            <v>0</v>
          </cell>
          <cell r="CM75">
            <v>0</v>
          </cell>
          <cell r="CX75">
            <v>11.636648128893853</v>
          </cell>
          <cell r="CY75">
            <v>787.98498026456275</v>
          </cell>
        </row>
        <row r="76"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P76">
            <v>63.134509526243313</v>
          </cell>
          <cell r="AQ76">
            <v>0</v>
          </cell>
          <cell r="AS76">
            <v>483.41008641630623</v>
          </cell>
          <cell r="AT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T76">
            <v>0</v>
          </cell>
          <cell r="BU76">
            <v>0</v>
          </cell>
          <cell r="BW76">
            <v>0</v>
          </cell>
          <cell r="BX76">
            <v>0.88243934661570012</v>
          </cell>
          <cell r="BZ76">
            <v>0</v>
          </cell>
          <cell r="CA76">
            <v>0</v>
          </cell>
          <cell r="CC76">
            <v>0</v>
          </cell>
          <cell r="CD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X76">
            <v>29.486484868940579</v>
          </cell>
          <cell r="CY76">
            <v>684.28107278406117</v>
          </cell>
        </row>
        <row r="77">
          <cell r="I77">
            <v>0</v>
          </cell>
          <cell r="J77">
            <v>0</v>
          </cell>
          <cell r="L77">
            <v>0</v>
          </cell>
          <cell r="M77">
            <v>0</v>
          </cell>
          <cell r="O77">
            <v>44.9</v>
          </cell>
          <cell r="P77">
            <v>44.9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63.134509526243313</v>
          </cell>
          <cell r="AQ77">
            <v>0</v>
          </cell>
          <cell r="AS77">
            <v>494.22706795266049</v>
          </cell>
          <cell r="AT77">
            <v>0</v>
          </cell>
          <cell r="AV77">
            <v>0</v>
          </cell>
          <cell r="AW77">
            <v>0</v>
          </cell>
          <cell r="AY77">
            <v>0</v>
          </cell>
          <cell r="AZ77">
            <v>0</v>
          </cell>
          <cell r="BB77">
            <v>16.764476281060535</v>
          </cell>
          <cell r="BC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N77">
            <v>0</v>
          </cell>
          <cell r="BO77">
            <v>0</v>
          </cell>
          <cell r="BT77">
            <v>0</v>
          </cell>
          <cell r="BU77">
            <v>0</v>
          </cell>
          <cell r="BW77">
            <v>0</v>
          </cell>
          <cell r="BX77">
            <v>0.87389173301840772</v>
          </cell>
          <cell r="BZ77">
            <v>0</v>
          </cell>
          <cell r="CA77">
            <v>0</v>
          </cell>
          <cell r="CC77">
            <v>0</v>
          </cell>
          <cell r="CD77">
            <v>0</v>
          </cell>
          <cell r="CF77">
            <v>0</v>
          </cell>
          <cell r="CG77">
            <v>0</v>
          </cell>
          <cell r="CI77">
            <v>0</v>
          </cell>
          <cell r="CJ77">
            <v>0</v>
          </cell>
          <cell r="CL77">
            <v>0</v>
          </cell>
          <cell r="CM77">
            <v>0</v>
          </cell>
          <cell r="CX77">
            <v>18.568735488042876</v>
          </cell>
          <cell r="CY77">
            <v>706.47132992037791</v>
          </cell>
        </row>
        <row r="78"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D78">
            <v>0</v>
          </cell>
          <cell r="AE78">
            <v>0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110.48539167092581</v>
          </cell>
          <cell r="AQ78">
            <v>0</v>
          </cell>
          <cell r="AS78">
            <v>1075.2062017177741</v>
          </cell>
          <cell r="AT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B78">
            <v>0</v>
          </cell>
          <cell r="BC78">
            <v>0</v>
          </cell>
          <cell r="BE78">
            <v>0</v>
          </cell>
          <cell r="BF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N78">
            <v>0</v>
          </cell>
          <cell r="BO78">
            <v>0</v>
          </cell>
          <cell r="BT78">
            <v>0</v>
          </cell>
          <cell r="BU78">
            <v>0</v>
          </cell>
          <cell r="BW78">
            <v>0</v>
          </cell>
          <cell r="BX78">
            <v>1.6191622328585125</v>
          </cell>
          <cell r="BZ78">
            <v>0</v>
          </cell>
          <cell r="CA78">
            <v>0</v>
          </cell>
          <cell r="CC78">
            <v>0</v>
          </cell>
          <cell r="CD78">
            <v>0</v>
          </cell>
          <cell r="CF78">
            <v>0</v>
          </cell>
          <cell r="CG78">
            <v>0</v>
          </cell>
          <cell r="CI78">
            <v>0</v>
          </cell>
          <cell r="CJ78">
            <v>0</v>
          </cell>
          <cell r="CL78">
            <v>0</v>
          </cell>
          <cell r="CM78">
            <v>0</v>
          </cell>
          <cell r="CX78">
            <v>35.570087933560217</v>
          </cell>
          <cell r="CY78">
            <v>1456.4570053205698</v>
          </cell>
        </row>
        <row r="79">
          <cell r="I79">
            <v>0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D79">
            <v>0</v>
          </cell>
          <cell r="AE79">
            <v>0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102.59357798014538</v>
          </cell>
          <cell r="AQ79">
            <v>0</v>
          </cell>
          <cell r="AS79">
            <v>625.77037335856789</v>
          </cell>
          <cell r="AT79">
            <v>0</v>
          </cell>
          <cell r="AV79">
            <v>0</v>
          </cell>
          <cell r="AW79">
            <v>0</v>
          </cell>
          <cell r="AY79">
            <v>0</v>
          </cell>
          <cell r="AZ79">
            <v>0</v>
          </cell>
          <cell r="BB79">
            <v>0</v>
          </cell>
          <cell r="BC79">
            <v>0</v>
          </cell>
          <cell r="BE79">
            <v>0</v>
          </cell>
          <cell r="BF79">
            <v>0</v>
          </cell>
          <cell r="BH79">
            <v>0</v>
          </cell>
          <cell r="BI79">
            <v>0</v>
          </cell>
          <cell r="BK79">
            <v>0</v>
          </cell>
          <cell r="BL79">
            <v>0</v>
          </cell>
          <cell r="BN79">
            <v>0</v>
          </cell>
          <cell r="BO79">
            <v>0</v>
          </cell>
          <cell r="BT79">
            <v>51.841856634094597</v>
          </cell>
          <cell r="BU79">
            <v>134.12473070577778</v>
          </cell>
          <cell r="BW79">
            <v>0</v>
          </cell>
          <cell r="BX79">
            <v>0.99966376166428006</v>
          </cell>
          <cell r="BZ79">
            <v>0</v>
          </cell>
          <cell r="CA79">
            <v>126.19128878940214</v>
          </cell>
          <cell r="CC79">
            <v>0</v>
          </cell>
          <cell r="CD79">
            <v>0</v>
          </cell>
          <cell r="CF79">
            <v>0</v>
          </cell>
          <cell r="CG79">
            <v>0</v>
          </cell>
          <cell r="CI79">
            <v>0</v>
          </cell>
          <cell r="CJ79">
            <v>0</v>
          </cell>
          <cell r="CL79">
            <v>0</v>
          </cell>
          <cell r="CM79">
            <v>0</v>
          </cell>
          <cell r="CX79">
            <v>14.013030432630558</v>
          </cell>
          <cell r="CY79">
            <v>636.68118009178693</v>
          </cell>
        </row>
        <row r="80"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0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78.91813690780414</v>
          </cell>
          <cell r="AQ80">
            <v>0</v>
          </cell>
          <cell r="AS80">
            <v>475.69300020619374</v>
          </cell>
          <cell r="AT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N80">
            <v>0</v>
          </cell>
          <cell r="BO80">
            <v>0</v>
          </cell>
          <cell r="BT80">
            <v>207.36742653637839</v>
          </cell>
          <cell r="BU80">
            <v>306.57594250507157</v>
          </cell>
          <cell r="BW80">
            <v>0</v>
          </cell>
          <cell r="BX80">
            <v>1.1510786311020293</v>
          </cell>
          <cell r="BZ80">
            <v>0</v>
          </cell>
          <cell r="CA80">
            <v>288.45458708574154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0</v>
          </cell>
          <cell r="CJ80">
            <v>0</v>
          </cell>
          <cell r="CL80">
            <v>0</v>
          </cell>
          <cell r="CM80">
            <v>0</v>
          </cell>
          <cell r="CX80">
            <v>164.70572361954839</v>
          </cell>
          <cell r="CY80">
            <v>363.66207013370183</v>
          </cell>
        </row>
        <row r="81">
          <cell r="I81">
            <v>180.05647189063268</v>
          </cell>
          <cell r="J81">
            <v>153.07795635459451</v>
          </cell>
          <cell r="L81">
            <v>33.781743632914562</v>
          </cell>
          <cell r="M81">
            <v>30.46024620051017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X81">
            <v>4.8420164802125161</v>
          </cell>
          <cell r="Y81">
            <v>48.271204916510953</v>
          </cell>
          <cell r="AA81">
            <v>0</v>
          </cell>
          <cell r="AB81">
            <v>0</v>
          </cell>
          <cell r="AD81">
            <v>122.2887818496351</v>
          </cell>
          <cell r="AE81">
            <v>134.3911185570006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78.91813690780414</v>
          </cell>
          <cell r="AQ81">
            <v>0</v>
          </cell>
          <cell r="AS81">
            <v>522.37939601726362</v>
          </cell>
          <cell r="AT81">
            <v>0</v>
          </cell>
          <cell r="AV81">
            <v>33.712620806155606</v>
          </cell>
          <cell r="AW81">
            <v>0</v>
          </cell>
          <cell r="AY81">
            <v>43.555645366403205</v>
          </cell>
          <cell r="AZ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N81">
            <v>9.891756720169731</v>
          </cell>
          <cell r="BO81">
            <v>0</v>
          </cell>
          <cell r="BT81">
            <v>15.951340502798338</v>
          </cell>
          <cell r="BU81">
            <v>229.93862606404952</v>
          </cell>
          <cell r="BW81">
            <v>23.666404635746474</v>
          </cell>
          <cell r="BX81">
            <v>370.88087668291917</v>
          </cell>
          <cell r="BZ81">
            <v>13.118661564740098</v>
          </cell>
          <cell r="CA81">
            <v>216.34707481255731</v>
          </cell>
          <cell r="CC81">
            <v>0</v>
          </cell>
          <cell r="CD81">
            <v>0</v>
          </cell>
          <cell r="CF81">
            <v>0</v>
          </cell>
          <cell r="CG81">
            <v>0</v>
          </cell>
          <cell r="CI81">
            <v>3.1195875295320227E-4</v>
          </cell>
          <cell r="CJ81">
            <v>0</v>
          </cell>
          <cell r="CL81">
            <v>0</v>
          </cell>
          <cell r="CM81">
            <v>0</v>
          </cell>
          <cell r="CX81">
            <v>32.464054000125316</v>
          </cell>
          <cell r="CY81">
            <v>-88.9805243057707</v>
          </cell>
        </row>
        <row r="82"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D82">
            <v>0</v>
          </cell>
          <cell r="AE82">
            <v>0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47.350882144682487</v>
          </cell>
          <cell r="AQ82">
            <v>0</v>
          </cell>
          <cell r="AS82">
            <v>259.94663363461746</v>
          </cell>
          <cell r="AT82">
            <v>0</v>
          </cell>
          <cell r="AV82">
            <v>0</v>
          </cell>
          <cell r="AW82">
            <v>0</v>
          </cell>
          <cell r="AY82">
            <v>0</v>
          </cell>
          <cell r="AZ82">
            <v>0</v>
          </cell>
          <cell r="BB82">
            <v>0</v>
          </cell>
          <cell r="BC82">
            <v>0</v>
          </cell>
          <cell r="BE82">
            <v>0</v>
          </cell>
          <cell r="BF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N82">
            <v>0</v>
          </cell>
          <cell r="BO82">
            <v>0</v>
          </cell>
          <cell r="BT82">
            <v>91.720207891090439</v>
          </cell>
          <cell r="BU82">
            <v>249.10738210829405</v>
          </cell>
          <cell r="BW82">
            <v>0</v>
          </cell>
          <cell r="BX82">
            <v>0.6170562958807202</v>
          </cell>
          <cell r="BZ82">
            <v>0</v>
          </cell>
          <cell r="CA82">
            <v>234.37709519218305</v>
          </cell>
          <cell r="CC82">
            <v>0</v>
          </cell>
          <cell r="CD82">
            <v>0</v>
          </cell>
          <cell r="CF82">
            <v>0</v>
          </cell>
          <cell r="CG82">
            <v>0</v>
          </cell>
          <cell r="CI82">
            <v>0</v>
          </cell>
          <cell r="CJ82">
            <v>0</v>
          </cell>
          <cell r="CL82">
            <v>0</v>
          </cell>
          <cell r="CM82">
            <v>0</v>
          </cell>
          <cell r="CX82">
            <v>11.958731595531503</v>
          </cell>
          <cell r="CY82">
            <v>-90.141840315629395</v>
          </cell>
        </row>
        <row r="83">
          <cell r="I83">
            <v>2624.201831481359</v>
          </cell>
          <cell r="J83">
            <v>3302.18605997742</v>
          </cell>
          <cell r="L83">
            <v>468.2074626304846</v>
          </cell>
          <cell r="M83">
            <v>621.0030373187368</v>
          </cell>
          <cell r="O83">
            <v>1079.48</v>
          </cell>
          <cell r="P83">
            <v>1079.3800000000001</v>
          </cell>
          <cell r="R83">
            <v>257.26</v>
          </cell>
          <cell r="S83">
            <v>257.44</v>
          </cell>
          <cell r="U83">
            <v>130.00964065633656</v>
          </cell>
          <cell r="V83">
            <v>106.46261844006062</v>
          </cell>
          <cell r="X83">
            <v>1636.4362498778764</v>
          </cell>
          <cell r="Y83">
            <v>5457.6410058509318</v>
          </cell>
          <cell r="AA83">
            <v>0</v>
          </cell>
          <cell r="AB83">
            <v>0</v>
          </cell>
          <cell r="AD83">
            <v>3597.2570688845462</v>
          </cell>
          <cell r="AE83">
            <v>3953.2604210491127</v>
          </cell>
          <cell r="AJ83">
            <v>6913.0950965152351</v>
          </cell>
          <cell r="AK83">
            <v>6989.3119663893776</v>
          </cell>
          <cell r="AM83">
            <v>0</v>
          </cell>
          <cell r="AN83">
            <v>532.00510021686796</v>
          </cell>
          <cell r="AP83">
            <v>639.23690895321363</v>
          </cell>
          <cell r="AQ83">
            <v>0</v>
          </cell>
          <cell r="AS83">
            <v>18881.948881576231</v>
          </cell>
          <cell r="AT83">
            <v>22.065814393392344</v>
          </cell>
          <cell r="AV83">
            <v>181.86362735840896</v>
          </cell>
          <cell r="AW83">
            <v>0</v>
          </cell>
          <cell r="AY83">
            <v>247.51007217452394</v>
          </cell>
          <cell r="AZ83">
            <v>0</v>
          </cell>
          <cell r="BB83">
            <v>186.3722322641847</v>
          </cell>
          <cell r="BC83">
            <v>0</v>
          </cell>
          <cell r="BE83">
            <v>117.22675514518498</v>
          </cell>
          <cell r="BF83">
            <v>0</v>
          </cell>
          <cell r="BH83">
            <v>52.768988252306244</v>
          </cell>
          <cell r="BI83">
            <v>0</v>
          </cell>
          <cell r="BK83">
            <v>124.71493816741945</v>
          </cell>
          <cell r="BL83">
            <v>0</v>
          </cell>
          <cell r="BN83">
            <v>0</v>
          </cell>
          <cell r="BO83">
            <v>0</v>
          </cell>
          <cell r="BT83">
            <v>6311.2730490459644</v>
          </cell>
          <cell r="BU83">
            <v>3015.596425149497</v>
          </cell>
          <cell r="BW83">
            <v>7288.5770829861058</v>
          </cell>
          <cell r="BX83">
            <v>9029.9905324846222</v>
          </cell>
          <cell r="BZ83">
            <v>962.89443045881319</v>
          </cell>
          <cell r="CA83">
            <v>3459.0605056932545</v>
          </cell>
          <cell r="CC83">
            <v>317.95727411713102</v>
          </cell>
          <cell r="CD83">
            <v>321.46378906471159</v>
          </cell>
          <cell r="CF83">
            <v>39.142467457601356</v>
          </cell>
          <cell r="CG83">
            <v>0</v>
          </cell>
          <cell r="CI83">
            <v>2620.4535248068992</v>
          </cell>
          <cell r="CJ83">
            <v>2452.7607263193067</v>
          </cell>
          <cell r="CL83">
            <v>1166.7257360449762</v>
          </cell>
          <cell r="CM83">
            <v>1293.3353235021048</v>
          </cell>
          <cell r="CX83">
            <v>662.56401737424312</v>
          </cell>
          <cell r="CY83">
            <v>17404.544008980731</v>
          </cell>
        </row>
        <row r="84">
          <cell r="I84">
            <v>1426.7025312298838</v>
          </cell>
          <cell r="J84">
            <v>1793.779059023567</v>
          </cell>
          <cell r="L84">
            <v>253.38653072550332</v>
          </cell>
          <cell r="M84">
            <v>344.40747298662552</v>
          </cell>
          <cell r="O84">
            <v>572.74</v>
          </cell>
          <cell r="P84">
            <v>572.9</v>
          </cell>
          <cell r="R84">
            <v>138.22</v>
          </cell>
          <cell r="S84">
            <v>138.12</v>
          </cell>
          <cell r="U84">
            <v>44.32263844269842</v>
          </cell>
          <cell r="V84">
            <v>71.426179006690006</v>
          </cell>
          <cell r="X84">
            <v>551.29715865472485</v>
          </cell>
          <cell r="Y84">
            <v>1146.2765690501483</v>
          </cell>
          <cell r="AA84">
            <v>0</v>
          </cell>
          <cell r="AB84">
            <v>0</v>
          </cell>
          <cell r="AD84">
            <v>1856.7798432938478</v>
          </cell>
          <cell r="AE84">
            <v>2040.5364766915213</v>
          </cell>
          <cell r="AJ84">
            <v>3456.5475482576176</v>
          </cell>
          <cell r="AK84">
            <v>3494.6672474487841</v>
          </cell>
          <cell r="AM84">
            <v>0</v>
          </cell>
          <cell r="AN84">
            <v>0</v>
          </cell>
          <cell r="AP84">
            <v>315.67254763121656</v>
          </cell>
          <cell r="AQ84">
            <v>0</v>
          </cell>
          <cell r="AS84">
            <v>8088.1051498008674</v>
          </cell>
          <cell r="AT84">
            <v>0</v>
          </cell>
          <cell r="AV84">
            <v>120.80412032157389</v>
          </cell>
          <cell r="AW84">
            <v>0</v>
          </cell>
          <cell r="AY84">
            <v>167.13409673834016</v>
          </cell>
          <cell r="AZ84">
            <v>0</v>
          </cell>
          <cell r="BB84">
            <v>227.91988548368033</v>
          </cell>
          <cell r="BC84">
            <v>0</v>
          </cell>
          <cell r="BE84">
            <v>78.705552175750455</v>
          </cell>
          <cell r="BF84">
            <v>0</v>
          </cell>
          <cell r="BH84">
            <v>22.490068372102311</v>
          </cell>
          <cell r="BI84">
            <v>0</v>
          </cell>
          <cell r="BK84">
            <v>48.034030076738333</v>
          </cell>
          <cell r="BL84">
            <v>0</v>
          </cell>
          <cell r="BN84">
            <v>0</v>
          </cell>
          <cell r="BO84">
            <v>0</v>
          </cell>
          <cell r="BT84">
            <v>3117.5987474900976</v>
          </cell>
          <cell r="BU84">
            <v>1831.176238239171</v>
          </cell>
          <cell r="BW84">
            <v>3322.2959011682083</v>
          </cell>
          <cell r="BX84">
            <v>5033.9260930144765</v>
          </cell>
          <cell r="BZ84">
            <v>436.01745392402893</v>
          </cell>
          <cell r="CA84">
            <v>1679.1518506918592</v>
          </cell>
          <cell r="CC84">
            <v>149.86052836510476</v>
          </cell>
          <cell r="CD84">
            <v>151.51322898100884</v>
          </cell>
          <cell r="CF84">
            <v>18.448739287370852</v>
          </cell>
          <cell r="CG84">
            <v>0</v>
          </cell>
          <cell r="CI84">
            <v>452.34019178214317</v>
          </cell>
          <cell r="CJ84">
            <v>986.13705382685703</v>
          </cell>
          <cell r="CL84">
            <v>655.11338120172479</v>
          </cell>
          <cell r="CM84">
            <v>941.58093096417178</v>
          </cell>
          <cell r="CX84">
            <v>-1.363973307867127</v>
          </cell>
          <cell r="CY84">
            <v>6352.5619200901456</v>
          </cell>
        </row>
        <row r="85">
          <cell r="I85">
            <v>2570.6085682782468</v>
          </cell>
          <cell r="J85">
            <v>3231.8371535247811</v>
          </cell>
          <cell r="L85">
            <v>496.56402804018524</v>
          </cell>
          <cell r="M85">
            <v>655.00783933992807</v>
          </cell>
          <cell r="O85">
            <v>997.88</v>
          </cell>
          <cell r="P85">
            <v>997.6</v>
          </cell>
          <cell r="R85">
            <v>251.96</v>
          </cell>
          <cell r="S85">
            <v>251.74</v>
          </cell>
          <cell r="U85">
            <v>138.88381114641354</v>
          </cell>
          <cell r="V85">
            <v>148.86087834989678</v>
          </cell>
          <cell r="X85">
            <v>1085.9097597306229</v>
          </cell>
          <cell r="Y85">
            <v>1311.7267095843454</v>
          </cell>
          <cell r="AA85">
            <v>0</v>
          </cell>
          <cell r="AB85">
            <v>0</v>
          </cell>
          <cell r="AD85">
            <v>3322.1073097228668</v>
          </cell>
          <cell r="AE85">
            <v>3650.8804042958609</v>
          </cell>
          <cell r="AJ85">
            <v>5954.2675865454994</v>
          </cell>
          <cell r="AK85">
            <v>6019.9102589737886</v>
          </cell>
          <cell r="AM85">
            <v>0</v>
          </cell>
          <cell r="AN85">
            <v>0</v>
          </cell>
          <cell r="AP85">
            <v>631.34509526243312</v>
          </cell>
          <cell r="AQ85">
            <v>0</v>
          </cell>
          <cell r="AS85">
            <v>15031.684612411525</v>
          </cell>
          <cell r="AT85">
            <v>522.70970284035616</v>
          </cell>
          <cell r="AV85">
            <v>205.94082565918421</v>
          </cell>
          <cell r="AW85">
            <v>0</v>
          </cell>
          <cell r="AY85">
            <v>327.66924542790565</v>
          </cell>
          <cell r="AZ85">
            <v>0</v>
          </cell>
          <cell r="BB85">
            <v>427.11349242364076</v>
          </cell>
          <cell r="BC85">
            <v>0</v>
          </cell>
          <cell r="BE85">
            <v>142.59912413250379</v>
          </cell>
          <cell r="BF85">
            <v>0</v>
          </cell>
          <cell r="BH85">
            <v>70.464078559636903</v>
          </cell>
          <cell r="BI85">
            <v>0</v>
          </cell>
          <cell r="BK85">
            <v>133.9978264959357</v>
          </cell>
          <cell r="BL85">
            <v>0</v>
          </cell>
          <cell r="BN85">
            <v>0</v>
          </cell>
          <cell r="BO85">
            <v>0</v>
          </cell>
          <cell r="BT85">
            <v>6266.3320480143602</v>
          </cell>
          <cell r="BU85">
            <v>3620.5683235605579</v>
          </cell>
          <cell r="BW85">
            <v>6942.4981817021162</v>
          </cell>
          <cell r="BX85">
            <v>10091.511708126483</v>
          </cell>
          <cell r="BZ85">
            <v>986.97411219931678</v>
          </cell>
          <cell r="CA85">
            <v>3475.2447848417542</v>
          </cell>
          <cell r="CC85">
            <v>259.91511985338093</v>
          </cell>
          <cell r="CD85">
            <v>262.78153093140622</v>
          </cell>
          <cell r="CF85">
            <v>31.997126497101817</v>
          </cell>
          <cell r="CG85">
            <v>0</v>
          </cell>
          <cell r="CI85">
            <v>985.78965933211919</v>
          </cell>
          <cell r="CJ85">
            <v>1189.2435509936147</v>
          </cell>
          <cell r="CL85">
            <v>1310.2267624034496</v>
          </cell>
          <cell r="CM85">
            <v>1506.4650756501824</v>
          </cell>
          <cell r="CX85">
            <v>-2.9340486061410047</v>
          </cell>
          <cell r="CY85">
            <v>13961.03449478445</v>
          </cell>
        </row>
        <row r="86">
          <cell r="I86">
            <v>2153.8903249409314</v>
          </cell>
          <cell r="J86">
            <v>1886.910263589783</v>
          </cell>
          <cell r="L86">
            <v>363.90338522543288</v>
          </cell>
          <cell r="M86">
            <v>328.12577622418189</v>
          </cell>
          <cell r="O86">
            <v>1200.52</v>
          </cell>
          <cell r="P86">
            <v>1200.5166666666667</v>
          </cell>
          <cell r="R86">
            <v>260.92</v>
          </cell>
          <cell r="S86">
            <v>260.91666666666669</v>
          </cell>
          <cell r="U86">
            <v>130.00964065633656</v>
          </cell>
          <cell r="V86">
            <v>45.569938929811315</v>
          </cell>
          <cell r="X86">
            <v>1728.5388552515153</v>
          </cell>
          <cell r="Y86">
            <v>1291.5121742090887</v>
          </cell>
          <cell r="AA86">
            <v>0</v>
          </cell>
          <cell r="AB86">
            <v>0</v>
          </cell>
          <cell r="AD86">
            <v>3360.269106156713</v>
          </cell>
          <cell r="AE86">
            <v>3692.8188914679322</v>
          </cell>
          <cell r="AJ86">
            <v>9506.1630993664548</v>
          </cell>
          <cell r="AK86">
            <v>9610.9769929675713</v>
          </cell>
          <cell r="AM86">
            <v>0</v>
          </cell>
          <cell r="AN86">
            <v>532.00510021686796</v>
          </cell>
          <cell r="AP86">
            <v>583.99421311775063</v>
          </cell>
          <cell r="AQ86">
            <v>0</v>
          </cell>
          <cell r="AS86">
            <v>15405.051077608774</v>
          </cell>
          <cell r="AT86">
            <v>0</v>
          </cell>
          <cell r="AV86">
            <v>72.267726688588141</v>
          </cell>
          <cell r="AW86">
            <v>352.16728040695443</v>
          </cell>
          <cell r="AY86">
            <v>96.860280139450751</v>
          </cell>
          <cell r="AZ86">
            <v>0</v>
          </cell>
          <cell r="BB86">
            <v>78.98502057400087</v>
          </cell>
          <cell r="BC86">
            <v>0</v>
          </cell>
          <cell r="BE86">
            <v>54.362571797023676</v>
          </cell>
          <cell r="BF86">
            <v>0</v>
          </cell>
          <cell r="BH86">
            <v>26.384494126153122</v>
          </cell>
          <cell r="BI86">
            <v>0</v>
          </cell>
          <cell r="BK86">
            <v>83.05021167631331</v>
          </cell>
          <cell r="BL86">
            <v>0</v>
          </cell>
          <cell r="BN86">
            <v>94.161478523291592</v>
          </cell>
          <cell r="BO86">
            <v>0</v>
          </cell>
          <cell r="BT86">
            <v>11930.409499728048</v>
          </cell>
          <cell r="BU86">
            <v>7178.0013494522464</v>
          </cell>
          <cell r="BW86">
            <v>6918.4548581166655</v>
          </cell>
          <cell r="BX86">
            <v>8820.8744849280483</v>
          </cell>
          <cell r="BZ86">
            <v>2596.7809044302167</v>
          </cell>
          <cell r="CA86">
            <v>7238.3973396931005</v>
          </cell>
          <cell r="CC86">
            <v>330.0167081955791</v>
          </cell>
          <cell r="CD86">
            <v>333.65621769713823</v>
          </cell>
          <cell r="CF86">
            <v>40.62705688013758</v>
          </cell>
          <cell r="CG86">
            <v>0</v>
          </cell>
          <cell r="CI86">
            <v>4074.1813135688208</v>
          </cell>
          <cell r="CJ86">
            <v>2934.0021952875459</v>
          </cell>
          <cell r="CL86">
            <v>1065.6511000881387</v>
          </cell>
          <cell r="CM86">
            <v>2220.4298965475523</v>
          </cell>
          <cell r="CX86">
            <v>744.6964877723949</v>
          </cell>
          <cell r="CY86">
            <v>17818.982518058616</v>
          </cell>
        </row>
        <row r="87">
          <cell r="I87">
            <v>24.995415117984283</v>
          </cell>
          <cell r="J87">
            <v>20.701595606983098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P87">
            <v>94.701764289364974</v>
          </cell>
          <cell r="AQ87">
            <v>0</v>
          </cell>
          <cell r="AS87">
            <v>451.01894199054971</v>
          </cell>
          <cell r="AT87">
            <v>0</v>
          </cell>
          <cell r="AV87">
            <v>4.1838094870111275</v>
          </cell>
          <cell r="AW87">
            <v>0</v>
          </cell>
          <cell r="AY87">
            <v>0</v>
          </cell>
          <cell r="AZ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T87">
            <v>119.63505377098753</v>
          </cell>
          <cell r="BU87">
            <v>134.12473070577778</v>
          </cell>
          <cell r="BW87">
            <v>0</v>
          </cell>
          <cell r="BX87">
            <v>1.05217053090479</v>
          </cell>
          <cell r="BZ87">
            <v>0</v>
          </cell>
          <cell r="CA87">
            <v>126.19128878940214</v>
          </cell>
          <cell r="CC87">
            <v>0</v>
          </cell>
          <cell r="CD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X87">
            <v>37.498018412922988</v>
          </cell>
          <cell r="CY87">
            <v>532.45625724031879</v>
          </cell>
        </row>
        <row r="88">
          <cell r="I88">
            <v>4130.388322134093</v>
          </cell>
          <cell r="J88">
            <v>3636.7044061077058</v>
          </cell>
          <cell r="L88">
            <v>686.77639203578588</v>
          </cell>
          <cell r="M88">
            <v>660.79121419620287</v>
          </cell>
          <cell r="O88">
            <v>2516.1</v>
          </cell>
          <cell r="P88">
            <v>2516.1000000000004</v>
          </cell>
          <cell r="R88">
            <v>523.84</v>
          </cell>
          <cell r="S88">
            <v>523.83333333333337</v>
          </cell>
          <cell r="U88">
            <v>768.32239862610584</v>
          </cell>
          <cell r="V88">
            <v>342.7859663562665</v>
          </cell>
          <cell r="X88">
            <v>3607.1769392430233</v>
          </cell>
          <cell r="Y88">
            <v>2888.0082341478146</v>
          </cell>
          <cell r="AA88">
            <v>0</v>
          </cell>
          <cell r="AB88">
            <v>0</v>
          </cell>
          <cell r="AD88">
            <v>6939.5320506723583</v>
          </cell>
          <cell r="AE88">
            <v>7626.3043955965059</v>
          </cell>
          <cell r="AJ88">
            <v>12606.097227462427</v>
          </cell>
          <cell r="AK88">
            <v>12745.097995343634</v>
          </cell>
          <cell r="AM88">
            <v>1052.2814392472874</v>
          </cell>
          <cell r="AN88">
            <v>930.74305317124833</v>
          </cell>
          <cell r="AP88">
            <v>1183.7720536170623</v>
          </cell>
          <cell r="AQ88">
            <v>0</v>
          </cell>
          <cell r="AS88">
            <v>29765.741970449177</v>
          </cell>
          <cell r="AT88">
            <v>1337.8998141806067</v>
          </cell>
          <cell r="AV88">
            <v>202.06990605035185</v>
          </cell>
          <cell r="AW88">
            <v>0</v>
          </cell>
          <cell r="AY88">
            <v>274.72892540618346</v>
          </cell>
          <cell r="AZ88">
            <v>0</v>
          </cell>
          <cell r="BB88">
            <v>341.18561558757222</v>
          </cell>
          <cell r="BC88">
            <v>810.4161813659432</v>
          </cell>
          <cell r="BE88">
            <v>142.08269596907468</v>
          </cell>
          <cell r="BF88">
            <v>0</v>
          </cell>
          <cell r="BH88">
            <v>233.85323677229661</v>
          </cell>
          <cell r="BI88">
            <v>0</v>
          </cell>
          <cell r="BK88">
            <v>267.81638294522492</v>
          </cell>
          <cell r="BL88">
            <v>0</v>
          </cell>
          <cell r="BN88">
            <v>187.38255906188371</v>
          </cell>
          <cell r="BO88">
            <v>0</v>
          </cell>
          <cell r="BT88">
            <v>21559.947714302514</v>
          </cell>
          <cell r="BU88">
            <v>19109.759372436361</v>
          </cell>
          <cell r="BW88">
            <v>14346.243679882051</v>
          </cell>
          <cell r="BX88">
            <v>18707.183694437233</v>
          </cell>
          <cell r="BZ88">
            <v>5193.5618088604333</v>
          </cell>
          <cell r="CA88">
            <v>18798.205878330882</v>
          </cell>
          <cell r="CC88">
            <v>497.08399006285975</v>
          </cell>
          <cell r="CD88">
            <v>502.56596070246303</v>
          </cell>
          <cell r="CF88">
            <v>61.194051806980845</v>
          </cell>
          <cell r="CG88">
            <v>0</v>
          </cell>
          <cell r="CI88">
            <v>3846.4514239129835</v>
          </cell>
          <cell r="CJ88">
            <v>3771.5718711088434</v>
          </cell>
          <cell r="CL88">
            <v>5764.9977545751781</v>
          </cell>
          <cell r="CM88">
            <v>5662.3140784650641</v>
          </cell>
          <cell r="CX88">
            <v>3467.2657535805192</v>
          </cell>
          <cell r="CY88">
            <v>22821.277460863879</v>
          </cell>
        </row>
        <row r="89"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118.37720536170622</v>
          </cell>
          <cell r="AQ89">
            <v>0</v>
          </cell>
          <cell r="AS89">
            <v>496.33189943305825</v>
          </cell>
          <cell r="AT89">
            <v>0</v>
          </cell>
          <cell r="AV89">
            <v>0</v>
          </cell>
          <cell r="AW89">
            <v>0</v>
          </cell>
          <cell r="AY89">
            <v>0</v>
          </cell>
          <cell r="AZ89">
            <v>0</v>
          </cell>
          <cell r="BB89">
            <v>0</v>
          </cell>
          <cell r="BC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K89">
            <v>0</v>
          </cell>
          <cell r="BL89">
            <v>0</v>
          </cell>
          <cell r="BN89">
            <v>0</v>
          </cell>
          <cell r="BO89">
            <v>0</v>
          </cell>
          <cell r="BT89">
            <v>247.24577779337423</v>
          </cell>
          <cell r="BU89">
            <v>421.53191716660479</v>
          </cell>
          <cell r="BW89">
            <v>0</v>
          </cell>
          <cell r="BX89">
            <v>1.0192011641723768</v>
          </cell>
          <cell r="BZ89">
            <v>0</v>
          </cell>
          <cell r="CA89">
            <v>396.61585549551802</v>
          </cell>
          <cell r="CC89">
            <v>0</v>
          </cell>
          <cell r="CD89">
            <v>0</v>
          </cell>
          <cell r="CF89">
            <v>0</v>
          </cell>
          <cell r="CG89">
            <v>0</v>
          </cell>
          <cell r="CI89">
            <v>0</v>
          </cell>
          <cell r="CJ89">
            <v>0</v>
          </cell>
          <cell r="CL89">
            <v>0</v>
          </cell>
          <cell r="CM89">
            <v>0</v>
          </cell>
          <cell r="CX89">
            <v>23.734140894233406</v>
          </cell>
          <cell r="CY89">
            <v>75.079631408445721</v>
          </cell>
        </row>
        <row r="90">
          <cell r="I90">
            <v>1033.2350606552918</v>
          </cell>
          <cell r="J90">
            <v>894.83372554730988</v>
          </cell>
          <cell r="L90">
            <v>195.14396545096372</v>
          </cell>
          <cell r="M90">
            <v>175.95794775973542</v>
          </cell>
          <cell r="O90">
            <v>468.48</v>
          </cell>
          <cell r="P90">
            <v>468.48333333333329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X90">
            <v>525.29805736846345</v>
          </cell>
          <cell r="Y90">
            <v>429.60025457018105</v>
          </cell>
          <cell r="AA90">
            <v>0</v>
          </cell>
          <cell r="AB90">
            <v>0</v>
          </cell>
          <cell r="AD90">
            <v>1353.3505649602944</v>
          </cell>
          <cell r="AE90">
            <v>1487.2852069816033</v>
          </cell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P90">
            <v>899.66676074896725</v>
          </cell>
          <cell r="AQ90">
            <v>2446.4850691242623</v>
          </cell>
          <cell r="AS90">
            <v>2729.1030731621481</v>
          </cell>
          <cell r="AT90">
            <v>43.023721787953278</v>
          </cell>
          <cell r="AV90">
            <v>186.05208943515458</v>
          </cell>
          <cell r="AW90">
            <v>0</v>
          </cell>
          <cell r="AY90">
            <v>251.52520330277241</v>
          </cell>
          <cell r="AZ90">
            <v>0</v>
          </cell>
          <cell r="BB90">
            <v>75.295688921806018</v>
          </cell>
          <cell r="BC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0</v>
          </cell>
          <cell r="BK90">
            <v>70.178787536868555</v>
          </cell>
          <cell r="BL90">
            <v>0</v>
          </cell>
          <cell r="BN90">
            <v>78.880070559382432</v>
          </cell>
          <cell r="BO90">
            <v>0</v>
          </cell>
          <cell r="BT90">
            <v>2852.316725013673</v>
          </cell>
          <cell r="BU90">
            <v>2858.1796894023551</v>
          </cell>
          <cell r="BW90">
            <v>1353.912359438375</v>
          </cell>
          <cell r="BX90">
            <v>1559.1011314449606</v>
          </cell>
          <cell r="BZ90">
            <v>1494.0013266074004</v>
          </cell>
          <cell r="CA90">
            <v>2749.9878723415241</v>
          </cell>
          <cell r="CC90">
            <v>116.67257360449764</v>
          </cell>
          <cell r="CD90">
            <v>117.95926888282665</v>
          </cell>
          <cell r="CF90">
            <v>14.363100917220356</v>
          </cell>
          <cell r="CG90">
            <v>0</v>
          </cell>
          <cell r="CI90">
            <v>283.88246518741403</v>
          </cell>
          <cell r="CJ90">
            <v>225.48520530511956</v>
          </cell>
          <cell r="CL90">
            <v>0</v>
          </cell>
          <cell r="CM90">
            <v>0</v>
          </cell>
          <cell r="CX90">
            <v>336.97055255516898</v>
          </cell>
          <cell r="CY90">
            <v>966.94108822260387</v>
          </cell>
        </row>
        <row r="91">
          <cell r="I91">
            <v>4082.3238039077446</v>
          </cell>
          <cell r="J91">
            <v>3585.9443467487922</v>
          </cell>
          <cell r="L91">
            <v>686.77639203578588</v>
          </cell>
          <cell r="M91">
            <v>640.02289803846975</v>
          </cell>
          <cell r="O91">
            <v>2343.16</v>
          </cell>
          <cell r="P91">
            <v>2343.166666666667</v>
          </cell>
          <cell r="R91">
            <v>499.44</v>
          </cell>
          <cell r="S91">
            <v>499.43333333333339</v>
          </cell>
          <cell r="U91">
            <v>768.32239862610584</v>
          </cell>
          <cell r="V91">
            <v>318.29289784415732</v>
          </cell>
          <cell r="X91">
            <v>3607.1769392430233</v>
          </cell>
          <cell r="Y91">
            <v>5226.4019795862841</v>
          </cell>
          <cell r="AA91">
            <v>0</v>
          </cell>
          <cell r="AB91">
            <v>0</v>
          </cell>
          <cell r="AD91">
            <v>6611.6114040050534</v>
          </cell>
          <cell r="AE91">
            <v>7292.4803030270332</v>
          </cell>
          <cell r="AJ91">
            <v>15284.040293884987</v>
          </cell>
          <cell r="AK91">
            <v>15368.727653820602</v>
          </cell>
          <cell r="AM91">
            <v>0</v>
          </cell>
          <cell r="AN91">
            <v>532.00510021686796</v>
          </cell>
          <cell r="AP91">
            <v>1144.31298516316</v>
          </cell>
          <cell r="AQ91">
            <v>0</v>
          </cell>
          <cell r="AS91">
            <v>27570.666558880832</v>
          </cell>
          <cell r="AT91">
            <v>15637.610769449302</v>
          </cell>
          <cell r="AV91">
            <v>134.13685304925804</v>
          </cell>
          <cell r="AW91">
            <v>0</v>
          </cell>
          <cell r="AY91">
            <v>183.15261693745566</v>
          </cell>
          <cell r="AZ91">
            <v>0</v>
          </cell>
          <cell r="BB91">
            <v>212.78673471802713</v>
          </cell>
          <cell r="BC91">
            <v>0</v>
          </cell>
          <cell r="BE91">
            <v>90.737144763417078</v>
          </cell>
          <cell r="BF91">
            <v>429.10855592932234</v>
          </cell>
          <cell r="BH91">
            <v>155.90215784819776</v>
          </cell>
          <cell r="BI91">
            <v>0</v>
          </cell>
          <cell r="BK91">
            <v>178.54425529681663</v>
          </cell>
          <cell r="BL91">
            <v>0</v>
          </cell>
          <cell r="BN91">
            <v>187.38255906188371</v>
          </cell>
          <cell r="BO91">
            <v>0</v>
          </cell>
          <cell r="BT91">
            <v>21047.631113071988</v>
          </cell>
          <cell r="BU91">
            <v>5010.2095714963725</v>
          </cell>
          <cell r="BW91">
            <v>12661.634291593467</v>
          </cell>
          <cell r="BX91">
            <v>4940.0849519338508</v>
          </cell>
          <cell r="BZ91">
            <v>2596.7809044302167</v>
          </cell>
          <cell r="CA91">
            <v>5767.1542340936976</v>
          </cell>
          <cell r="CC91">
            <v>431.78656651614085</v>
          </cell>
          <cell r="CD91">
            <v>436.54842030249449</v>
          </cell>
          <cell r="CF91">
            <v>53.155543226418857</v>
          </cell>
          <cell r="CG91">
            <v>0</v>
          </cell>
          <cell r="CI91">
            <v>5977.1297065833551</v>
          </cell>
          <cell r="CJ91">
            <v>5545.9674995065525</v>
          </cell>
          <cell r="CL91">
            <v>2420.7999229168495</v>
          </cell>
          <cell r="CM91">
            <v>3640.416864769144</v>
          </cell>
          <cell r="CX91">
            <v>3821.5706250878284</v>
          </cell>
          <cell r="CY91">
            <v>41880.548743884501</v>
          </cell>
        </row>
        <row r="92">
          <cell r="I92">
            <v>1651.4394993166454</v>
          </cell>
          <cell r="J92">
            <v>1450.0056926506268</v>
          </cell>
          <cell r="L92">
            <v>330.57166071972682</v>
          </cell>
          <cell r="M92">
            <v>298.06573763798491</v>
          </cell>
          <cell r="O92">
            <v>1051.1199999999999</v>
          </cell>
          <cell r="P92">
            <v>1051.1166666666666</v>
          </cell>
          <cell r="R92">
            <v>192.42</v>
          </cell>
          <cell r="S92">
            <v>192.41666666666669</v>
          </cell>
          <cell r="U92">
            <v>130.00964065633656</v>
          </cell>
          <cell r="V92">
            <v>45.569938929811315</v>
          </cell>
          <cell r="X92">
            <v>1341.8762766724853</v>
          </cell>
          <cell r="Y92">
            <v>1005.0920726865845</v>
          </cell>
          <cell r="AA92">
            <v>0</v>
          </cell>
          <cell r="AB92">
            <v>0</v>
          </cell>
          <cell r="AD92">
            <v>2691.8853736580372</v>
          </cell>
          <cell r="AE92">
            <v>2958.2884130611092</v>
          </cell>
          <cell r="AJ92">
            <v>9601.5110639297945</v>
          </cell>
          <cell r="AK92">
            <v>9707.3764795125717</v>
          </cell>
          <cell r="AM92">
            <v>0</v>
          </cell>
          <cell r="AN92">
            <v>0</v>
          </cell>
          <cell r="AP92">
            <v>560.31877204540945</v>
          </cell>
          <cell r="AQ92">
            <v>0</v>
          </cell>
          <cell r="AS92">
            <v>10208.813653126617</v>
          </cell>
          <cell r="AT92">
            <v>22341.643617071157</v>
          </cell>
          <cell r="AV92">
            <v>137.83775051620293</v>
          </cell>
          <cell r="AW92">
            <v>0</v>
          </cell>
          <cell r="AY92">
            <v>196.28665419193635</v>
          </cell>
          <cell r="AZ92">
            <v>0</v>
          </cell>
          <cell r="BB92">
            <v>213.70317684306562</v>
          </cell>
          <cell r="BC92">
            <v>0</v>
          </cell>
          <cell r="BE92">
            <v>94.011752103766042</v>
          </cell>
          <cell r="BF92">
            <v>0</v>
          </cell>
          <cell r="BH92">
            <v>65.961235315382794</v>
          </cell>
          <cell r="BI92">
            <v>0</v>
          </cell>
          <cell r="BK92">
            <v>143.43543095359502</v>
          </cell>
          <cell r="BL92">
            <v>0</v>
          </cell>
          <cell r="BN92">
            <v>65.148817906898302</v>
          </cell>
          <cell r="BO92">
            <v>0</v>
          </cell>
          <cell r="BT92">
            <v>7049.1017358049348</v>
          </cell>
          <cell r="BU92">
            <v>1986.8140217707651</v>
          </cell>
          <cell r="BW92">
            <v>6792.2801346467168</v>
          </cell>
          <cell r="BX92">
            <v>2304.9483255957512</v>
          </cell>
          <cell r="BZ92">
            <v>1255.1107704746041</v>
          </cell>
          <cell r="CA92">
            <v>2625.7123413032887</v>
          </cell>
          <cell r="CC92">
            <v>202.3631864871287</v>
          </cell>
          <cell r="CD92">
            <v>204.59489997828086</v>
          </cell>
          <cell r="CF92">
            <v>24.91213470012001</v>
          </cell>
          <cell r="CG92">
            <v>0</v>
          </cell>
          <cell r="CI92">
            <v>2508.1483737437461</v>
          </cell>
          <cell r="CJ92">
            <v>983.70420894411609</v>
          </cell>
          <cell r="CL92">
            <v>1297.7484122853211</v>
          </cell>
          <cell r="CM92">
            <v>1645.5224968802213</v>
          </cell>
          <cell r="CX92">
            <v>1433.6613926818536</v>
          </cell>
          <cell r="CY92">
            <v>239.83410477329562</v>
          </cell>
        </row>
        <row r="93">
          <cell r="I93">
            <v>2620.0810761823745</v>
          </cell>
          <cell r="J93">
            <v>2272.5294499490028</v>
          </cell>
          <cell r="L93">
            <v>403.26262802571125</v>
          </cell>
          <cell r="M93">
            <v>363.6108513599587</v>
          </cell>
          <cell r="O93">
            <v>1217.44</v>
          </cell>
          <cell r="P93">
            <v>1217.45</v>
          </cell>
          <cell r="R93">
            <v>235.52</v>
          </cell>
          <cell r="S93">
            <v>235.51666666666668</v>
          </cell>
          <cell r="U93">
            <v>130.00964065633656</v>
          </cell>
          <cell r="V93">
            <v>45.569938929811315</v>
          </cell>
          <cell r="X93">
            <v>1098.0597491529893</v>
          </cell>
          <cell r="Y93">
            <v>814.80837015728991</v>
          </cell>
          <cell r="AA93">
            <v>0</v>
          </cell>
          <cell r="AB93">
            <v>0</v>
          </cell>
          <cell r="AD93">
            <v>3315.8788484561665</v>
          </cell>
          <cell r="AE93">
            <v>3644.0355419637617</v>
          </cell>
          <cell r="AJ93">
            <v>6913.0950965152351</v>
          </cell>
          <cell r="AK93">
            <v>6989.3119663893776</v>
          </cell>
          <cell r="AM93">
            <v>0</v>
          </cell>
          <cell r="AN93">
            <v>0</v>
          </cell>
          <cell r="AP93">
            <v>552.42695835462905</v>
          </cell>
          <cell r="AQ93">
            <v>3202.3439283790372</v>
          </cell>
          <cell r="AS93">
            <v>11575.811840161983</v>
          </cell>
          <cell r="AT93">
            <v>47803.785448473915</v>
          </cell>
          <cell r="AV93">
            <v>204.42021713237085</v>
          </cell>
          <cell r="AW93">
            <v>778.1554558640014</v>
          </cell>
          <cell r="AY93">
            <v>247.01192583841049</v>
          </cell>
          <cell r="AZ93">
            <v>0</v>
          </cell>
          <cell r="BB93">
            <v>242.23676703378922</v>
          </cell>
          <cell r="BC93">
            <v>0</v>
          </cell>
          <cell r="BE93">
            <v>112.20924174271603</v>
          </cell>
          <cell r="BF93">
            <v>0</v>
          </cell>
          <cell r="BH93">
            <v>65.961235315382794</v>
          </cell>
          <cell r="BI93">
            <v>0</v>
          </cell>
          <cell r="BK93">
            <v>125.7136219185039</v>
          </cell>
          <cell r="BL93">
            <v>0</v>
          </cell>
          <cell r="BN93">
            <v>65.815575516818669</v>
          </cell>
          <cell r="BO93">
            <v>0</v>
          </cell>
          <cell r="BT93">
            <v>9311.9724774132319</v>
          </cell>
          <cell r="BU93">
            <v>2049.0189970537635</v>
          </cell>
          <cell r="BW93">
            <v>6866.0125003594403</v>
          </cell>
          <cell r="BX93">
            <v>4739.8515248140429</v>
          </cell>
          <cell r="BZ93">
            <v>995.43268003158312</v>
          </cell>
          <cell r="CA93">
            <v>2144.1499963267638</v>
          </cell>
          <cell r="CC93">
            <v>174.86179413749713</v>
          </cell>
          <cell r="CD93">
            <v>176.79021517018597</v>
          </cell>
          <cell r="CF93">
            <v>21.526546626775215</v>
          </cell>
          <cell r="CG93">
            <v>0</v>
          </cell>
          <cell r="CI93">
            <v>1478.6844889981785</v>
          </cell>
          <cell r="CJ93">
            <v>1556.3599278013412</v>
          </cell>
          <cell r="CL93">
            <v>2214.9071459677357</v>
          </cell>
          <cell r="CM93">
            <v>2334.5449240373628</v>
          </cell>
          <cell r="CX93">
            <v>949.11753335456888</v>
          </cell>
          <cell r="CY93">
            <v>-35266.259844003536</v>
          </cell>
        </row>
        <row r="94">
          <cell r="I94">
            <v>2857.7819032408252</v>
          </cell>
          <cell r="J94">
            <v>2473.4569594218074</v>
          </cell>
          <cell r="L94">
            <v>440.94085064255063</v>
          </cell>
          <cell r="M94">
            <v>397.58403106388528</v>
          </cell>
          <cell r="O94">
            <v>1312.32</v>
          </cell>
          <cell r="P94">
            <v>1312.3166666666666</v>
          </cell>
          <cell r="R94">
            <v>252.12</v>
          </cell>
          <cell r="S94">
            <v>252.1166666666667</v>
          </cell>
          <cell r="U94">
            <v>138.88381114641354</v>
          </cell>
          <cell r="V94">
            <v>48.680514965975902</v>
          </cell>
          <cell r="X94">
            <v>1203.003071162668</v>
          </cell>
          <cell r="Y94">
            <v>1282.4953438234281</v>
          </cell>
          <cell r="AA94">
            <v>0</v>
          </cell>
          <cell r="AB94">
            <v>0</v>
          </cell>
          <cell r="AD94">
            <v>3456.7603710893509</v>
          </cell>
          <cell r="AE94">
            <v>3798.859436063608</v>
          </cell>
          <cell r="AJ94">
            <v>7106.4203922739471</v>
          </cell>
          <cell r="AK94">
            <v>6035.7703287395461</v>
          </cell>
          <cell r="AM94">
            <v>0</v>
          </cell>
          <cell r="AN94">
            <v>266.0109811433166</v>
          </cell>
          <cell r="AP94">
            <v>623.45328157165284</v>
          </cell>
          <cell r="AQ94">
            <v>0</v>
          </cell>
          <cell r="AS94">
            <v>11968.06806260582</v>
          </cell>
          <cell r="AT94">
            <v>24266.911821554921</v>
          </cell>
          <cell r="AV94">
            <v>224.64054342263609</v>
          </cell>
          <cell r="AW94">
            <v>425.98817545704691</v>
          </cell>
          <cell r="AY94">
            <v>267.27344362970138</v>
          </cell>
          <cell r="AZ94">
            <v>0</v>
          </cell>
          <cell r="BB94">
            <v>249.74705045300354</v>
          </cell>
          <cell r="BC94">
            <v>0</v>
          </cell>
          <cell r="BE94">
            <v>116.76510375432694</v>
          </cell>
          <cell r="BF94">
            <v>0</v>
          </cell>
          <cell r="BH94">
            <v>70.464078559636903</v>
          </cell>
          <cell r="BI94">
            <v>0</v>
          </cell>
          <cell r="BK94">
            <v>129.27437902784081</v>
          </cell>
          <cell r="BL94">
            <v>0</v>
          </cell>
          <cell r="BN94">
            <v>53.862315927238761</v>
          </cell>
          <cell r="BO94">
            <v>0</v>
          </cell>
          <cell r="BT94">
            <v>12613.798963913558</v>
          </cell>
          <cell r="BU94">
            <v>2806.9184969195248</v>
          </cell>
          <cell r="BW94">
            <v>7645.8973383343236</v>
          </cell>
          <cell r="BX94">
            <v>2667.551273427021</v>
          </cell>
          <cell r="BZ94">
            <v>1731.1872696201444</v>
          </cell>
          <cell r="CA94">
            <v>3010.0272244254384</v>
          </cell>
          <cell r="CC94">
            <v>128.83005186244532</v>
          </cell>
          <cell r="CD94">
            <v>130.25082295128925</v>
          </cell>
          <cell r="CF94">
            <v>15.859760172460122</v>
          </cell>
          <cell r="CG94">
            <v>0</v>
          </cell>
          <cell r="CI94">
            <v>2801.3896015197561</v>
          </cell>
          <cell r="CJ94">
            <v>2463.3073441771285</v>
          </cell>
          <cell r="CL94">
            <v>1896.7092179554697</v>
          </cell>
          <cell r="CM94">
            <v>2738.5766902556852</v>
          </cell>
          <cell r="CX94">
            <v>1031.618965737056</v>
          </cell>
          <cell r="CY94">
            <v>4545.9726667324358</v>
          </cell>
        </row>
        <row r="95">
          <cell r="I95">
            <v>4023.6856361617752</v>
          </cell>
          <cell r="J95">
            <v>3546.8741328866499</v>
          </cell>
          <cell r="L95">
            <v>667.14870156790357</v>
          </cell>
          <cell r="M95">
            <v>601.55651182554971</v>
          </cell>
          <cell r="O95">
            <v>2264.6</v>
          </cell>
          <cell r="P95">
            <v>2264.6166666666668</v>
          </cell>
          <cell r="R95">
            <v>492.76</v>
          </cell>
          <cell r="S95">
            <v>492.75</v>
          </cell>
          <cell r="U95">
            <v>768.32239862610584</v>
          </cell>
          <cell r="V95">
            <v>269.30676081993909</v>
          </cell>
          <cell r="X95">
            <v>3258.6646951280009</v>
          </cell>
          <cell r="Y95">
            <v>2911.0201024492453</v>
          </cell>
          <cell r="AA95">
            <v>0</v>
          </cell>
          <cell r="AB95">
            <v>0</v>
          </cell>
          <cell r="AD95">
            <v>6808.3637920054362</v>
          </cell>
          <cell r="AE95">
            <v>7482.1550408086187</v>
          </cell>
          <cell r="AJ95">
            <v>13826.19019303047</v>
          </cell>
          <cell r="AK95">
            <v>13978.646461286946</v>
          </cell>
          <cell r="AM95">
            <v>0</v>
          </cell>
          <cell r="AN95">
            <v>0</v>
          </cell>
          <cell r="AP95">
            <v>1207.4474946894034</v>
          </cell>
          <cell r="AQ95">
            <v>7216.2942570282867</v>
          </cell>
          <cell r="AS95">
            <v>30389.077925700603</v>
          </cell>
          <cell r="AT95">
            <v>1116.8796845066395</v>
          </cell>
          <cell r="AV95">
            <v>323.33608540472653</v>
          </cell>
          <cell r="AW95">
            <v>645.13426342048797</v>
          </cell>
          <cell r="AY95">
            <v>445.23247334072875</v>
          </cell>
          <cell r="AZ95">
            <v>0</v>
          </cell>
          <cell r="BB95">
            <v>707.69677335411563</v>
          </cell>
          <cell r="BC95">
            <v>0</v>
          </cell>
          <cell r="BE95">
            <v>259.54606438313925</v>
          </cell>
          <cell r="BF95">
            <v>0</v>
          </cell>
          <cell r="BH95">
            <v>389.75539462049437</v>
          </cell>
          <cell r="BI95">
            <v>0</v>
          </cell>
          <cell r="BK95">
            <v>305.88578314824531</v>
          </cell>
          <cell r="BL95">
            <v>631.08057496383105</v>
          </cell>
          <cell r="BN95">
            <v>186.43229164545758</v>
          </cell>
          <cell r="BO95">
            <v>0</v>
          </cell>
          <cell r="BT95">
            <v>22681.584756530261</v>
          </cell>
          <cell r="BU95">
            <v>18631.574681973136</v>
          </cell>
          <cell r="BW95">
            <v>16335.184019151573</v>
          </cell>
          <cell r="BX95">
            <v>25804.240800359461</v>
          </cell>
          <cell r="BZ95">
            <v>5193.5618088604333</v>
          </cell>
          <cell r="CA95">
            <v>17826.150232023094</v>
          </cell>
          <cell r="CC95">
            <v>322.56535055361115</v>
          </cell>
          <cell r="CD95">
            <v>326.12268455840308</v>
          </cell>
          <cell r="CF95">
            <v>39.70974959466804</v>
          </cell>
          <cell r="CG95">
            <v>0</v>
          </cell>
          <cell r="CI95">
            <v>3013.5215535279335</v>
          </cell>
          <cell r="CJ95">
            <v>3224.7140430015124</v>
          </cell>
          <cell r="CL95">
            <v>4517.1627427623689</v>
          </cell>
          <cell r="CM95">
            <v>4833.3513444832433</v>
          </cell>
          <cell r="CX95">
            <v>2271.6971794550482</v>
          </cell>
          <cell r="CY95">
            <v>10221.658108325944</v>
          </cell>
        </row>
        <row r="96">
          <cell r="I96">
            <v>3271.0078238234873</v>
          </cell>
          <cell r="J96">
            <v>2873.4745083862076</v>
          </cell>
          <cell r="L96">
            <v>657.63704750276531</v>
          </cell>
          <cell r="M96">
            <v>592.97428187416517</v>
          </cell>
          <cell r="O96">
            <v>2083.2800000000002</v>
          </cell>
          <cell r="P96">
            <v>2083.2666666666669</v>
          </cell>
          <cell r="R96">
            <v>387.22</v>
          </cell>
          <cell r="S96">
            <v>387.2166666666667</v>
          </cell>
          <cell r="U96">
            <v>384.16124015837795</v>
          </cell>
          <cell r="V96">
            <v>134.65338040996954</v>
          </cell>
          <cell r="X96">
            <v>2922.4912750502126</v>
          </cell>
          <cell r="Y96">
            <v>5473.849111975107</v>
          </cell>
          <cell r="AA96">
            <v>0</v>
          </cell>
          <cell r="AB96">
            <v>0</v>
          </cell>
          <cell r="AD96">
            <v>5350.0843212203154</v>
          </cell>
          <cell r="AE96">
            <v>5879.5566153169184</v>
          </cell>
          <cell r="AJ96">
            <v>9928.131878271799</v>
          </cell>
          <cell r="AK96">
            <v>10037.576824053362</v>
          </cell>
          <cell r="AM96">
            <v>1052.2814392472874</v>
          </cell>
          <cell r="AN96">
            <v>665.27786816927733</v>
          </cell>
          <cell r="AP96">
            <v>1128.5293577815992</v>
          </cell>
          <cell r="AQ96">
            <v>0</v>
          </cell>
          <cell r="AS96">
            <v>20843.791893704052</v>
          </cell>
          <cell r="AT96">
            <v>1116.6444474376492</v>
          </cell>
          <cell r="AV96">
            <v>269.67725713302559</v>
          </cell>
          <cell r="AW96">
            <v>3836.817335233668</v>
          </cell>
          <cell r="AY96">
            <v>410.25288405390029</v>
          </cell>
          <cell r="AZ96">
            <v>0</v>
          </cell>
          <cell r="BB96">
            <v>461.00414588991288</v>
          </cell>
          <cell r="BC96">
            <v>0</v>
          </cell>
          <cell r="BE96">
            <v>184.90845320217682</v>
          </cell>
          <cell r="BF96">
            <v>0</v>
          </cell>
          <cell r="BH96">
            <v>194.88983250281842</v>
          </cell>
          <cell r="BI96">
            <v>19.323966600000002</v>
          </cell>
          <cell r="BK96">
            <v>320.53124901133737</v>
          </cell>
          <cell r="BL96">
            <v>620.414238975481</v>
          </cell>
          <cell r="BN96">
            <v>127.01222515318118</v>
          </cell>
          <cell r="BO96">
            <v>0</v>
          </cell>
          <cell r="BT96">
            <v>17586.937373999514</v>
          </cell>
          <cell r="BU96">
            <v>11323.230990286611</v>
          </cell>
          <cell r="BW96">
            <v>11826.962656217722</v>
          </cell>
          <cell r="BX96">
            <v>11429.121135527761</v>
          </cell>
          <cell r="BZ96">
            <v>2163.9840870251805</v>
          </cell>
          <cell r="CA96">
            <v>7880.2366313416333</v>
          </cell>
          <cell r="CC96">
            <v>331.38932670857315</v>
          </cell>
          <cell r="CD96">
            <v>335.04397380164204</v>
          </cell>
          <cell r="CF96">
            <v>40.796034537987225</v>
          </cell>
          <cell r="CG96">
            <v>0</v>
          </cell>
          <cell r="CI96">
            <v>2080.7648821978587</v>
          </cell>
          <cell r="CJ96">
            <v>1291.1842893990183</v>
          </cell>
          <cell r="CL96">
            <v>2345.9298222080811</v>
          </cell>
          <cell r="CM96">
            <v>3241.9049919119298</v>
          </cell>
          <cell r="CX96">
            <v>1573.5521920786268</v>
          </cell>
          <cell r="CY96">
            <v>22131.818491159524</v>
          </cell>
        </row>
        <row r="97">
          <cell r="I97">
            <v>330.06110514782131</v>
          </cell>
          <cell r="J97">
            <v>361.40739596768572</v>
          </cell>
          <cell r="L97">
            <v>58.340708793560438</v>
          </cell>
          <cell r="M97">
            <v>64.205060002182321</v>
          </cell>
          <cell r="O97">
            <v>119.56</v>
          </cell>
          <cell r="P97">
            <v>119.55000000000001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X97">
            <v>161.59822986475291</v>
          </cell>
          <cell r="Y97">
            <v>149.91075097874892</v>
          </cell>
          <cell r="AA97">
            <v>0</v>
          </cell>
          <cell r="AB97">
            <v>0</v>
          </cell>
          <cell r="AD97">
            <v>361.2365006968534</v>
          </cell>
          <cell r="AE97">
            <v>397.45625097714344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118.37720536170622</v>
          </cell>
          <cell r="AQ97">
            <v>0</v>
          </cell>
          <cell r="AS97">
            <v>1204.8740076873394</v>
          </cell>
          <cell r="AT97">
            <v>0</v>
          </cell>
          <cell r="AV97">
            <v>65.57164767213348</v>
          </cell>
          <cell r="AW97">
            <v>0</v>
          </cell>
          <cell r="AY97">
            <v>75.166243949094962</v>
          </cell>
          <cell r="AZ97">
            <v>0</v>
          </cell>
          <cell r="BB97">
            <v>45.844143371333203</v>
          </cell>
          <cell r="BC97">
            <v>0</v>
          </cell>
          <cell r="BE97">
            <v>0</v>
          </cell>
          <cell r="BF97">
            <v>0</v>
          </cell>
          <cell r="BH97">
            <v>0</v>
          </cell>
          <cell r="BI97">
            <v>0</v>
          </cell>
          <cell r="BK97">
            <v>13.268307429658046</v>
          </cell>
          <cell r="BL97">
            <v>0</v>
          </cell>
          <cell r="BN97">
            <v>0</v>
          </cell>
          <cell r="BO97">
            <v>0</v>
          </cell>
          <cell r="BT97">
            <v>1444.4003781775982</v>
          </cell>
          <cell r="BU97">
            <v>538.43499974819076</v>
          </cell>
          <cell r="BW97">
            <v>605.00518935875584</v>
          </cell>
          <cell r="BX97">
            <v>343.35105124281648</v>
          </cell>
          <cell r="BZ97">
            <v>160.4043365250414</v>
          </cell>
          <cell r="CA97">
            <v>823.90190763882219</v>
          </cell>
          <cell r="CC97">
            <v>0</v>
          </cell>
          <cell r="CD97">
            <v>0</v>
          </cell>
          <cell r="CF97">
            <v>0</v>
          </cell>
          <cell r="CG97">
            <v>0</v>
          </cell>
          <cell r="CI97">
            <v>87.348450826896624</v>
          </cell>
          <cell r="CJ97">
            <v>86.699530184033364</v>
          </cell>
          <cell r="CL97">
            <v>0</v>
          </cell>
          <cell r="CM97">
            <v>0</v>
          </cell>
          <cell r="CX97">
            <v>151.75225416494504</v>
          </cell>
          <cell r="CY97">
            <v>2511.1196639124528</v>
          </cell>
        </row>
        <row r="98">
          <cell r="I98">
            <v>1513.5616404527182</v>
          </cell>
          <cell r="J98">
            <v>1654.7620158405039</v>
          </cell>
          <cell r="L98">
            <v>157.0219321963082</v>
          </cell>
          <cell r="M98">
            <v>172.8055038435744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X98">
            <v>411.18317022109903</v>
          </cell>
          <cell r="Y98">
            <v>444.60159198239819</v>
          </cell>
          <cell r="AA98">
            <v>0</v>
          </cell>
          <cell r="AB98">
            <v>0</v>
          </cell>
          <cell r="AD98">
            <v>1728.789952733274</v>
          </cell>
          <cell r="AE98">
            <v>1899.8800379220734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P98">
            <v>165.7280875063887</v>
          </cell>
          <cell r="AQ98">
            <v>0</v>
          </cell>
          <cell r="AS98">
            <v>8133.8892895917461</v>
          </cell>
          <cell r="AT98">
            <v>0</v>
          </cell>
          <cell r="AV98">
            <v>278.28634321365632</v>
          </cell>
          <cell r="AW98">
            <v>0</v>
          </cell>
          <cell r="AY98">
            <v>202.33697172952878</v>
          </cell>
          <cell r="AZ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H98">
            <v>0</v>
          </cell>
          <cell r="BI98">
            <v>0</v>
          </cell>
          <cell r="BK98">
            <v>121.16066476790479</v>
          </cell>
          <cell r="BL98">
            <v>0</v>
          </cell>
          <cell r="BN98">
            <v>0</v>
          </cell>
          <cell r="BO98">
            <v>0</v>
          </cell>
          <cell r="BT98">
            <v>3186.0731314985942</v>
          </cell>
          <cell r="BU98">
            <v>4016.9026535009843</v>
          </cell>
          <cell r="BW98">
            <v>1633.1344934402202</v>
          </cell>
          <cell r="BX98">
            <v>1890.7576701207227</v>
          </cell>
          <cell r="BZ98">
            <v>1778.7949195346985</v>
          </cell>
          <cell r="CA98">
            <v>3973.0153516782075</v>
          </cell>
          <cell r="CC98">
            <v>14.755649014686469</v>
          </cell>
          <cell r="CD98">
            <v>14.918378123416311</v>
          </cell>
          <cell r="CF98">
            <v>1.816509821883751</v>
          </cell>
          <cell r="CG98">
            <v>0</v>
          </cell>
          <cell r="CI98">
            <v>1288.3896496967252</v>
          </cell>
          <cell r="CJ98">
            <v>4.9462071310974904</v>
          </cell>
          <cell r="CL98">
            <v>0</v>
          </cell>
          <cell r="CM98">
            <v>0</v>
          </cell>
          <cell r="CX98">
            <v>371.09311349668496</v>
          </cell>
          <cell r="CY98">
            <v>8221.8927078284287</v>
          </cell>
        </row>
        <row r="99">
          <cell r="I99">
            <v>327.36131952487551</v>
          </cell>
          <cell r="J99">
            <v>357.39571786891656</v>
          </cell>
          <cell r="L99">
            <v>57.552129634097753</v>
          </cell>
          <cell r="M99">
            <v>63.336690636134207</v>
          </cell>
          <cell r="O99">
            <v>107.68</v>
          </cell>
          <cell r="P99">
            <v>107.68333333333334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>
            <v>161.30494762421137</v>
          </cell>
          <cell r="Y99">
            <v>149.07843943943621</v>
          </cell>
          <cell r="AA99">
            <v>0</v>
          </cell>
          <cell r="AB99">
            <v>0</v>
          </cell>
          <cell r="AD99">
            <v>322.1839060269233</v>
          </cell>
          <cell r="AE99">
            <v>354.06890850594391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165.7280875063887</v>
          </cell>
          <cell r="AQ99">
            <v>0</v>
          </cell>
          <cell r="AS99">
            <v>789.04142677796767</v>
          </cell>
          <cell r="AT99">
            <v>109.74192315099162</v>
          </cell>
          <cell r="AV99">
            <v>61.647099991546234</v>
          </cell>
          <cell r="AW99">
            <v>0</v>
          </cell>
          <cell r="AY99">
            <v>74.22419333762916</v>
          </cell>
          <cell r="AZ99">
            <v>0</v>
          </cell>
          <cell r="BB99">
            <v>37.481307210205827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13.206444555034306</v>
          </cell>
          <cell r="BL99">
            <v>0</v>
          </cell>
          <cell r="BN99">
            <v>0</v>
          </cell>
          <cell r="BO99">
            <v>0</v>
          </cell>
          <cell r="BT99">
            <v>1430.8327142327882</v>
          </cell>
          <cell r="BU99">
            <v>577.55049978930606</v>
          </cell>
          <cell r="BW99">
            <v>703.97638279258308</v>
          </cell>
          <cell r="BX99">
            <v>403.88436391703942</v>
          </cell>
          <cell r="BZ99">
            <v>164.86706174168074</v>
          </cell>
          <cell r="CA99">
            <v>891.14308617963388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9.3587625885960666</v>
          </cell>
          <cell r="CJ99">
            <v>0</v>
          </cell>
          <cell r="CL99">
            <v>0</v>
          </cell>
          <cell r="CM99">
            <v>0</v>
          </cell>
          <cell r="CX99">
            <v>-0.33494025343406975</v>
          </cell>
          <cell r="CY99">
            <v>1694.7404446151177</v>
          </cell>
        </row>
        <row r="100">
          <cell r="I100">
            <v>168.94704540147532</v>
          </cell>
          <cell r="J100">
            <v>188.49890601978916</v>
          </cell>
          <cell r="L100">
            <v>68.154554027501604</v>
          </cell>
          <cell r="M100">
            <v>75.005403992405718</v>
          </cell>
          <cell r="O100">
            <v>88.36</v>
          </cell>
          <cell r="P100">
            <v>88.366666666666674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>
            <v>70.863556614904908</v>
          </cell>
          <cell r="Y100">
            <v>73.890360237650796</v>
          </cell>
          <cell r="AA100">
            <v>0</v>
          </cell>
          <cell r="AB100">
            <v>0</v>
          </cell>
          <cell r="AD100">
            <v>270.09002518072089</v>
          </cell>
          <cell r="AE100">
            <v>296.66291205939297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189.40352857872995</v>
          </cell>
          <cell r="AQ100">
            <v>0</v>
          </cell>
          <cell r="AS100">
            <v>991.5081372774448</v>
          </cell>
          <cell r="AT100">
            <v>0</v>
          </cell>
          <cell r="AV100">
            <v>62.624915751524455</v>
          </cell>
          <cell r="AW100">
            <v>0</v>
          </cell>
          <cell r="AY100">
            <v>87.83954249182338</v>
          </cell>
          <cell r="AZ100">
            <v>0</v>
          </cell>
          <cell r="BB100">
            <v>26.929707894682178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9.8614252960765771</v>
          </cell>
          <cell r="BL100">
            <v>0</v>
          </cell>
          <cell r="BN100">
            <v>0</v>
          </cell>
          <cell r="BO100">
            <v>0</v>
          </cell>
          <cell r="BT100">
            <v>1082.1947738192671</v>
          </cell>
          <cell r="BU100">
            <v>450.1736125232166</v>
          </cell>
          <cell r="BW100">
            <v>567.40725476558691</v>
          </cell>
          <cell r="BX100">
            <v>323.32500007314775</v>
          </cell>
          <cell r="BZ100">
            <v>162.63569913336102</v>
          </cell>
          <cell r="CA100">
            <v>711.03055940084869</v>
          </cell>
          <cell r="CC100">
            <v>50.982973339780486</v>
          </cell>
          <cell r="CD100">
            <v>51.545226738714149</v>
          </cell>
          <cell r="CF100">
            <v>6.2763130058441892</v>
          </cell>
          <cell r="CG100">
            <v>0</v>
          </cell>
          <cell r="CI100">
            <v>74.870100708768533</v>
          </cell>
          <cell r="CJ100">
            <v>44.586316874791052</v>
          </cell>
          <cell r="CL100">
            <v>0</v>
          </cell>
          <cell r="CM100">
            <v>0</v>
          </cell>
          <cell r="CX100">
            <v>117.14053605500976</v>
          </cell>
          <cell r="CY100">
            <v>2128.1780424960521</v>
          </cell>
        </row>
        <row r="101">
          <cell r="I101">
            <v>346.56585113153938</v>
          </cell>
          <cell r="J101">
            <v>384.95782832874431</v>
          </cell>
          <cell r="L101">
            <v>122.64920349237109</v>
          </cell>
          <cell r="M101">
            <v>134.97716333510351</v>
          </cell>
          <cell r="O101">
            <v>172.14</v>
          </cell>
          <cell r="P101">
            <v>172.15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>
            <v>140.13469421323308</v>
          </cell>
          <cell r="Y101">
            <v>131.82103992021575</v>
          </cell>
          <cell r="AA101">
            <v>0</v>
          </cell>
          <cell r="AB101">
            <v>0</v>
          </cell>
          <cell r="AD101">
            <v>546.0949506490407</v>
          </cell>
          <cell r="AE101">
            <v>600.13935984982265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331.45617501277741</v>
          </cell>
          <cell r="AQ101">
            <v>935.42076172398265</v>
          </cell>
          <cell r="AS101">
            <v>2219.4063426828725</v>
          </cell>
          <cell r="AT101">
            <v>0</v>
          </cell>
          <cell r="AV101">
            <v>129.83068955272117</v>
          </cell>
          <cell r="AW101">
            <v>0</v>
          </cell>
          <cell r="AY101">
            <v>158.10153368374478</v>
          </cell>
          <cell r="AZ101">
            <v>0</v>
          </cell>
          <cell r="BB101">
            <v>64.119955629500566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29.632723159187076</v>
          </cell>
          <cell r="BL101">
            <v>0</v>
          </cell>
          <cell r="BN101">
            <v>0</v>
          </cell>
          <cell r="BO101">
            <v>0</v>
          </cell>
          <cell r="BT101">
            <v>1969.7298490373375</v>
          </cell>
          <cell r="BU101">
            <v>1788.1316766454356</v>
          </cell>
          <cell r="BW101">
            <v>1203.5908831379625</v>
          </cell>
          <cell r="BX101">
            <v>1349.0180469706911</v>
          </cell>
          <cell r="BZ101">
            <v>512.65422165548318</v>
          </cell>
          <cell r="CA101">
            <v>1784.422040474713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224.61030212630564</v>
          </cell>
          <cell r="CJ101">
            <v>64.421468752690757</v>
          </cell>
          <cell r="CL101">
            <v>0</v>
          </cell>
          <cell r="CM101">
            <v>0</v>
          </cell>
          <cell r="CX101">
            <v>147.0791498031067</v>
          </cell>
          <cell r="CY101">
            <v>1137.3887367983189</v>
          </cell>
        </row>
        <row r="102">
          <cell r="I102">
            <v>724.59658715271075</v>
          </cell>
          <cell r="J102">
            <v>788.81570447410218</v>
          </cell>
          <cell r="L102">
            <v>147.20816865301694</v>
          </cell>
          <cell r="M102">
            <v>162.00515985335102</v>
          </cell>
          <cell r="O102">
            <v>225.72</v>
          </cell>
          <cell r="P102">
            <v>225.73333333333335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>
            <v>280.26938842646615</v>
          </cell>
          <cell r="Y102">
            <v>266.65136088331457</v>
          </cell>
          <cell r="AA102">
            <v>0</v>
          </cell>
          <cell r="AB102">
            <v>0</v>
          </cell>
          <cell r="AD102">
            <v>708.93286820522724</v>
          </cell>
          <cell r="AE102">
            <v>779.09256841785668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307.78073394043616</v>
          </cell>
          <cell r="AQ102">
            <v>0</v>
          </cell>
          <cell r="AS102">
            <v>1793.3115562584599</v>
          </cell>
          <cell r="AT102">
            <v>0</v>
          </cell>
          <cell r="AV102">
            <v>136.87399555182537</v>
          </cell>
          <cell r="AW102">
            <v>0</v>
          </cell>
          <cell r="AY102">
            <v>189.71213226643653</v>
          </cell>
          <cell r="AZ102">
            <v>0</v>
          </cell>
          <cell r="BB102">
            <v>102.89263852286297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29.632723159187076</v>
          </cell>
          <cell r="BL102">
            <v>0</v>
          </cell>
          <cell r="BN102">
            <v>0</v>
          </cell>
          <cell r="BO102">
            <v>0</v>
          </cell>
          <cell r="BT102">
            <v>3029.5982338546637</v>
          </cell>
          <cell r="BU102">
            <v>1136.1179605044344</v>
          </cell>
          <cell r="BW102">
            <v>1255.6181088844019</v>
          </cell>
          <cell r="BX102">
            <v>714.60238170626201</v>
          </cell>
          <cell r="BZ102">
            <v>432.15278574993789</v>
          </cell>
          <cell r="CA102">
            <v>1658.6740040949248</v>
          </cell>
          <cell r="CC102">
            <v>95.593075012088406</v>
          </cell>
          <cell r="CD102">
            <v>96.647300135089068</v>
          </cell>
          <cell r="CF102">
            <v>11.768086885957853</v>
          </cell>
          <cell r="CG102">
            <v>0</v>
          </cell>
          <cell r="CI102">
            <v>152.85978894706909</v>
          </cell>
          <cell r="CJ102">
            <v>66.924766330345335</v>
          </cell>
          <cell r="CL102">
            <v>0</v>
          </cell>
          <cell r="CM102">
            <v>0</v>
          </cell>
          <cell r="CX102">
            <v>288.774954235103</v>
          </cell>
          <cell r="CY102">
            <v>4763.882552320385</v>
          </cell>
        </row>
        <row r="103">
          <cell r="I103">
            <v>546.64403299877335</v>
          </cell>
          <cell r="J103">
            <v>591.11817965928208</v>
          </cell>
          <cell r="L103">
            <v>123.19172948375747</v>
          </cell>
          <cell r="M103">
            <v>135.57416727426158</v>
          </cell>
          <cell r="O103">
            <v>137.58000000000001</v>
          </cell>
          <cell r="P103">
            <v>137.58333333333334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>
            <v>201.19626340407379</v>
          </cell>
          <cell r="Y103">
            <v>189.82336602462823</v>
          </cell>
          <cell r="AA103">
            <v>0</v>
          </cell>
          <cell r="AB103">
            <v>0</v>
          </cell>
          <cell r="AD103">
            <v>426.37879410521663</v>
          </cell>
          <cell r="AE103">
            <v>468.575467038689</v>
          </cell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P103">
            <v>205.18715596029077</v>
          </cell>
          <cell r="AQ103">
            <v>0</v>
          </cell>
          <cell r="AS103">
            <v>1410.7793571771711</v>
          </cell>
          <cell r="AT103">
            <v>0</v>
          </cell>
          <cell r="AV103">
            <v>104.73648131794</v>
          </cell>
          <cell r="AW103">
            <v>0</v>
          </cell>
          <cell r="AY103">
            <v>158.78132636312557</v>
          </cell>
          <cell r="AZ103">
            <v>0</v>
          </cell>
          <cell r="BB103">
            <v>39.003700583199688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K103">
            <v>19.771301113804686</v>
          </cell>
          <cell r="BL103">
            <v>0</v>
          </cell>
          <cell r="BN103">
            <v>0</v>
          </cell>
          <cell r="BO103">
            <v>0</v>
          </cell>
          <cell r="BT103">
            <v>1428.8055632265434</v>
          </cell>
          <cell r="BU103">
            <v>1418.5500690334629</v>
          </cell>
          <cell r="BW103">
            <v>879.35993904153167</v>
          </cell>
          <cell r="BX103">
            <v>985.02883240731785</v>
          </cell>
          <cell r="BZ103">
            <v>500.35197375187818</v>
          </cell>
          <cell r="CA103">
            <v>1433.238851748449</v>
          </cell>
          <cell r="CC103">
            <v>78.435343599662289</v>
          </cell>
          <cell r="CD103">
            <v>79.300348828791016</v>
          </cell>
          <cell r="CF103">
            <v>9.6558661628372136</v>
          </cell>
          <cell r="CG103">
            <v>0</v>
          </cell>
          <cell r="CI103">
            <v>230.84947718536966</v>
          </cell>
          <cell r="CJ103">
            <v>545.22009221004407</v>
          </cell>
          <cell r="CL103">
            <v>0</v>
          </cell>
          <cell r="CM103">
            <v>0</v>
          </cell>
          <cell r="CX103">
            <v>-9.9665702100537601E-3</v>
          </cell>
          <cell r="CY103">
            <v>620.02475093008979</v>
          </cell>
        </row>
        <row r="104">
          <cell r="I104">
            <v>348.13551215027348</v>
          </cell>
          <cell r="J104">
            <v>378.2333859319528</v>
          </cell>
          <cell r="L104">
            <v>118.30907725192991</v>
          </cell>
          <cell r="M104">
            <v>130.20113182183886</v>
          </cell>
          <cell r="O104">
            <v>112.08</v>
          </cell>
          <cell r="P104">
            <v>112.08333333333334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>
            <v>201.19626340407379</v>
          </cell>
          <cell r="Y104">
            <v>188.6319842372975</v>
          </cell>
          <cell r="AA104">
            <v>0</v>
          </cell>
          <cell r="AB104">
            <v>0</v>
          </cell>
          <cell r="AD104">
            <v>331.8045269766323</v>
          </cell>
          <cell r="AE104">
            <v>364.64163636444914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142.05264643404746</v>
          </cell>
          <cell r="AQ104">
            <v>287.82177283814855</v>
          </cell>
          <cell r="AS104">
            <v>1231.8455391580062</v>
          </cell>
          <cell r="AT104">
            <v>0</v>
          </cell>
          <cell r="AV104">
            <v>74.37925463325017</v>
          </cell>
          <cell r="AW104">
            <v>0</v>
          </cell>
          <cell r="AY104">
            <v>152.46894747690439</v>
          </cell>
          <cell r="AZ104">
            <v>0</v>
          </cell>
          <cell r="BB104">
            <v>37.303148170468859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19.771301113804686</v>
          </cell>
          <cell r="BL104">
            <v>0</v>
          </cell>
          <cell r="BN104">
            <v>0</v>
          </cell>
          <cell r="BO104">
            <v>0</v>
          </cell>
          <cell r="BT104">
            <v>1296.7527311018016</v>
          </cell>
          <cell r="BU104">
            <v>1146.4954137529617</v>
          </cell>
          <cell r="BW104">
            <v>368.3796602903484</v>
          </cell>
          <cell r="BX104">
            <v>388.72582117983552</v>
          </cell>
          <cell r="BZ104">
            <v>275.36500722255391</v>
          </cell>
          <cell r="CA104">
            <v>1175.6357720147255</v>
          </cell>
          <cell r="CC104">
            <v>30.393695644869137</v>
          </cell>
          <cell r="CD104">
            <v>30.72888517115652</v>
          </cell>
          <cell r="CF104">
            <v>3.7416481380994209</v>
          </cell>
          <cell r="CG104">
            <v>0</v>
          </cell>
          <cell r="CI104">
            <v>102.94638847455674</v>
          </cell>
          <cell r="CJ104">
            <v>121.473950162245</v>
          </cell>
          <cell r="CL104">
            <v>0</v>
          </cell>
          <cell r="CM104">
            <v>0</v>
          </cell>
          <cell r="CX104">
            <v>145.4495828300569</v>
          </cell>
          <cell r="CY104">
            <v>772.15229583046676</v>
          </cell>
        </row>
        <row r="105">
          <cell r="I105">
            <v>159.15974780912475</v>
          </cell>
          <cell r="J105">
            <v>180.10067086347976</v>
          </cell>
          <cell r="L105">
            <v>98.68122340274779</v>
          </cell>
          <cell r="M105">
            <v>108.60044384139209</v>
          </cell>
          <cell r="O105">
            <v>111.26</v>
          </cell>
          <cell r="P105">
            <v>111.26666666666668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>
            <v>98.891409429387878</v>
          </cell>
          <cell r="Y105">
            <v>95.233904561424637</v>
          </cell>
          <cell r="AA105">
            <v>0</v>
          </cell>
          <cell r="AB105">
            <v>0</v>
          </cell>
          <cell r="AD105">
            <v>338.64585742975873</v>
          </cell>
          <cell r="AE105">
            <v>372.16002061938627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189.40352857872995</v>
          </cell>
          <cell r="AQ105">
            <v>0</v>
          </cell>
          <cell r="AS105">
            <v>1159.589904724319</v>
          </cell>
          <cell r="AT105">
            <v>0</v>
          </cell>
          <cell r="AV105">
            <v>103.00123221737752</v>
          </cell>
          <cell r="AW105">
            <v>0</v>
          </cell>
          <cell r="AY105">
            <v>127.17072778043382</v>
          </cell>
          <cell r="AZ105">
            <v>0</v>
          </cell>
          <cell r="BB105">
            <v>36.881382527661664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19.771277081972755</v>
          </cell>
          <cell r="BL105">
            <v>0</v>
          </cell>
          <cell r="BN105">
            <v>0</v>
          </cell>
          <cell r="BO105">
            <v>0</v>
          </cell>
          <cell r="BT105">
            <v>1282.5886538623627</v>
          </cell>
          <cell r="BU105">
            <v>1236.2776078795259</v>
          </cell>
          <cell r="BW105">
            <v>494.3183874156116</v>
          </cell>
          <cell r="BX105">
            <v>519.43596181328462</v>
          </cell>
          <cell r="BZ105">
            <v>424.88204479117491</v>
          </cell>
          <cell r="CA105">
            <v>1259.3266401605963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49.913400472512365</v>
          </cell>
          <cell r="CJ105">
            <v>27.254462574545936</v>
          </cell>
          <cell r="CL105">
            <v>0</v>
          </cell>
          <cell r="CM105">
            <v>0</v>
          </cell>
          <cell r="CX105">
            <v>140.76946697219046</v>
          </cell>
          <cell r="CY105">
            <v>1082.1723452236374</v>
          </cell>
        </row>
        <row r="106">
          <cell r="I106">
            <v>760.6743199595129</v>
          </cell>
          <cell r="J106">
            <v>837.48388717354521</v>
          </cell>
          <cell r="L106">
            <v>162.7921240131183</v>
          </cell>
          <cell r="M106">
            <v>179.15545483280121</v>
          </cell>
          <cell r="O106">
            <v>222.82</v>
          </cell>
          <cell r="P106">
            <v>222.81666666666666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X106">
            <v>352.33651879988565</v>
          </cell>
          <cell r="Y106">
            <v>308.22758146130565</v>
          </cell>
          <cell r="AA106">
            <v>0</v>
          </cell>
          <cell r="AB106">
            <v>0</v>
          </cell>
          <cell r="AD106">
            <v>789.60355646500989</v>
          </cell>
          <cell r="AE106">
            <v>867.74684942398994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P106">
            <v>568.21058573618984</v>
          </cell>
          <cell r="AQ106">
            <v>0</v>
          </cell>
          <cell r="AS106">
            <v>1909.0894452390098</v>
          </cell>
          <cell r="AT106">
            <v>0</v>
          </cell>
          <cell r="AV106">
            <v>128.09725591400303</v>
          </cell>
          <cell r="AW106">
            <v>0</v>
          </cell>
          <cell r="AY106">
            <v>209.79530050336243</v>
          </cell>
          <cell r="AZ106">
            <v>0</v>
          </cell>
          <cell r="BB106">
            <v>132.3516939143727</v>
          </cell>
          <cell r="BC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K106">
            <v>35.916195899513809</v>
          </cell>
          <cell r="BL106">
            <v>0</v>
          </cell>
          <cell r="BN106">
            <v>0</v>
          </cell>
          <cell r="BO106">
            <v>0</v>
          </cell>
          <cell r="BT106">
            <v>2632.4025855748146</v>
          </cell>
          <cell r="BU106">
            <v>2449.4773592916395</v>
          </cell>
          <cell r="BW106">
            <v>1247.34724859518</v>
          </cell>
          <cell r="BX106">
            <v>1194.2221181791597</v>
          </cell>
          <cell r="BZ106">
            <v>979.06410663350448</v>
          </cell>
          <cell r="CA106">
            <v>2083.1992470143769</v>
          </cell>
          <cell r="CC106">
            <v>43.139438979814258</v>
          </cell>
          <cell r="CD106">
            <v>43.615191855835064</v>
          </cell>
          <cell r="CF106">
            <v>5.3107263895604673</v>
          </cell>
          <cell r="CG106">
            <v>0</v>
          </cell>
          <cell r="CI106">
            <v>340.03504071899044</v>
          </cell>
          <cell r="CJ106">
            <v>232.91458067246776</v>
          </cell>
          <cell r="CL106">
            <v>0</v>
          </cell>
          <cell r="CM106">
            <v>0</v>
          </cell>
          <cell r="CX106">
            <v>-2.4033720030129189</v>
          </cell>
          <cell r="CY106">
            <v>2517.7492761138546</v>
          </cell>
        </row>
        <row r="107">
          <cell r="I107">
            <v>891.33220340056687</v>
          </cell>
          <cell r="J107">
            <v>984.14768933742539</v>
          </cell>
          <cell r="L107">
            <v>155.93696190418538</v>
          </cell>
          <cell r="M107">
            <v>171.61149596525829</v>
          </cell>
          <cell r="O107">
            <v>354.9</v>
          </cell>
          <cell r="P107">
            <v>354.90000000000003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X107">
            <v>488.88020781717967</v>
          </cell>
          <cell r="Y107">
            <v>458.50748757553964</v>
          </cell>
          <cell r="AA107">
            <v>0</v>
          </cell>
          <cell r="AB107">
            <v>0</v>
          </cell>
          <cell r="AD107">
            <v>1049.431585966041</v>
          </cell>
          <cell r="AE107">
            <v>1153.2888181062883</v>
          </cell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P107">
            <v>710.2632321702373</v>
          </cell>
          <cell r="AQ107">
            <v>0</v>
          </cell>
          <cell r="AS107">
            <v>3154.2915281237479</v>
          </cell>
          <cell r="AT107">
            <v>0</v>
          </cell>
          <cell r="AV107">
            <v>149.27602959383947</v>
          </cell>
          <cell r="AW107">
            <v>0</v>
          </cell>
          <cell r="AY107">
            <v>200.97730468011736</v>
          </cell>
          <cell r="AZ107">
            <v>0</v>
          </cell>
          <cell r="BB107">
            <v>166.70191689660794</v>
          </cell>
          <cell r="BC107">
            <v>0</v>
          </cell>
          <cell r="BE107">
            <v>0</v>
          </cell>
          <cell r="BF107">
            <v>0</v>
          </cell>
          <cell r="BH107">
            <v>0</v>
          </cell>
          <cell r="BI107">
            <v>0</v>
          </cell>
          <cell r="BK107">
            <v>60.485387360254336</v>
          </cell>
          <cell r="BL107">
            <v>0</v>
          </cell>
          <cell r="BN107">
            <v>0</v>
          </cell>
          <cell r="BO107">
            <v>0</v>
          </cell>
          <cell r="BT107">
            <v>2997.3921988985448</v>
          </cell>
          <cell r="BU107">
            <v>2801.4248544898137</v>
          </cell>
          <cell r="BW107">
            <v>1468.0397114384098</v>
          </cell>
          <cell r="BX107">
            <v>1445.4831722592637</v>
          </cell>
          <cell r="BZ107">
            <v>1268.9627243679831</v>
          </cell>
          <cell r="CA107">
            <v>2390.0643617040878</v>
          </cell>
          <cell r="CC107">
            <v>61.277612187236159</v>
          </cell>
          <cell r="CD107">
            <v>61.953397522492978</v>
          </cell>
          <cell r="CF107">
            <v>7.5436454397165722</v>
          </cell>
          <cell r="CG107">
            <v>0</v>
          </cell>
          <cell r="CI107">
            <v>505.37317978418764</v>
          </cell>
          <cell r="CJ107">
            <v>317.24165399797187</v>
          </cell>
          <cell r="CL107">
            <v>0</v>
          </cell>
          <cell r="CM107">
            <v>0</v>
          </cell>
          <cell r="CX107">
            <v>246.38148396537508</v>
          </cell>
          <cell r="CY107">
            <v>4509.3124828502296</v>
          </cell>
        </row>
        <row r="108">
          <cell r="I108">
            <v>300.08934464309783</v>
          </cell>
          <cell r="J108">
            <v>328.45932673191129</v>
          </cell>
          <cell r="L108">
            <v>115.00538053332554</v>
          </cell>
          <cell r="M108">
            <v>126.56483510151241</v>
          </cell>
          <cell r="O108">
            <v>113.52</v>
          </cell>
          <cell r="P108">
            <v>113.51666666666667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X108">
            <v>201.19626340407379</v>
          </cell>
          <cell r="Y108">
            <v>188.96240728622971</v>
          </cell>
          <cell r="AA108">
            <v>0</v>
          </cell>
          <cell r="AB108">
            <v>0</v>
          </cell>
          <cell r="AD108">
            <v>355.44987535525053</v>
          </cell>
          <cell r="AE108">
            <v>390.62705194557554</v>
          </cell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P108">
            <v>189.40352857872995</v>
          </cell>
          <cell r="AQ108">
            <v>0</v>
          </cell>
          <cell r="AS108">
            <v>1675.5731975947206</v>
          </cell>
          <cell r="AT108">
            <v>0</v>
          </cell>
          <cell r="AV108">
            <v>66.793785964930606</v>
          </cell>
          <cell r="AW108">
            <v>0</v>
          </cell>
          <cell r="AY108">
            <v>148.24448739911162</v>
          </cell>
          <cell r="AZ108">
            <v>0</v>
          </cell>
          <cell r="BB108">
            <v>27.646517586814632</v>
          </cell>
          <cell r="BC108">
            <v>0</v>
          </cell>
          <cell r="BE108">
            <v>0</v>
          </cell>
          <cell r="BF108">
            <v>0</v>
          </cell>
          <cell r="BH108">
            <v>0</v>
          </cell>
          <cell r="BI108">
            <v>0</v>
          </cell>
          <cell r="BK108">
            <v>19.771301113804686</v>
          </cell>
          <cell r="BL108">
            <v>0</v>
          </cell>
          <cell r="BN108">
            <v>0</v>
          </cell>
          <cell r="BO108">
            <v>0</v>
          </cell>
          <cell r="BT108">
            <v>1210.4882451360165</v>
          </cell>
          <cell r="BU108">
            <v>1025.9205295122397</v>
          </cell>
          <cell r="BW108">
            <v>497.30085947542415</v>
          </cell>
          <cell r="BX108">
            <v>458.04764179693996</v>
          </cell>
          <cell r="BZ108">
            <v>328.76229849560036</v>
          </cell>
          <cell r="CA108">
            <v>935.22238689123719</v>
          </cell>
          <cell r="CC108">
            <v>62.258053982231942</v>
          </cell>
          <cell r="CD108">
            <v>62.944651882852867</v>
          </cell>
          <cell r="CF108">
            <v>7.6643437667520375</v>
          </cell>
          <cell r="CG108">
            <v>0</v>
          </cell>
          <cell r="CI108">
            <v>68.630925649704494</v>
          </cell>
          <cell r="CJ108">
            <v>2.4731035655487452</v>
          </cell>
          <cell r="CL108">
            <v>0</v>
          </cell>
          <cell r="CM108">
            <v>0</v>
          </cell>
          <cell r="CX108">
            <v>2.1909584494096634E-2</v>
          </cell>
          <cell r="CY108">
            <v>2106.093678343143</v>
          </cell>
        </row>
        <row r="109">
          <cell r="I109">
            <v>857.25440056378432</v>
          </cell>
          <cell r="J109">
            <v>948.02290231378447</v>
          </cell>
          <cell r="L109">
            <v>155.14830105407276</v>
          </cell>
          <cell r="M109">
            <v>170.74312659921014</v>
          </cell>
          <cell r="O109">
            <v>360.64</v>
          </cell>
          <cell r="P109">
            <v>360.63333333333333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X109">
            <v>499.51451257606567</v>
          </cell>
          <cell r="Y109">
            <v>1099.2202350340383</v>
          </cell>
          <cell r="AA109">
            <v>0</v>
          </cell>
          <cell r="AB109">
            <v>0</v>
          </cell>
          <cell r="AD109">
            <v>1056.287169190945</v>
          </cell>
          <cell r="AE109">
            <v>1160.8072023612256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P109">
            <v>662.91235002555482</v>
          </cell>
          <cell r="AQ109">
            <v>0</v>
          </cell>
          <cell r="AS109">
            <v>2509.6770077695455</v>
          </cell>
          <cell r="AT109">
            <v>1093.9336000106091</v>
          </cell>
          <cell r="AV109">
            <v>146.35357130536974</v>
          </cell>
          <cell r="AW109">
            <v>0</v>
          </cell>
          <cell r="AY109">
            <v>199.98679498901538</v>
          </cell>
          <cell r="AZ109">
            <v>0</v>
          </cell>
          <cell r="BB109">
            <v>164.52396800690619</v>
          </cell>
          <cell r="BC109">
            <v>0</v>
          </cell>
          <cell r="BE109">
            <v>0</v>
          </cell>
          <cell r="BF109">
            <v>0</v>
          </cell>
          <cell r="BH109">
            <v>0</v>
          </cell>
          <cell r="BI109">
            <v>0</v>
          </cell>
          <cell r="BK109">
            <v>60.056147680914883</v>
          </cell>
          <cell r="BL109">
            <v>0</v>
          </cell>
          <cell r="BN109">
            <v>0</v>
          </cell>
          <cell r="BO109">
            <v>0</v>
          </cell>
          <cell r="BT109">
            <v>4199.3962536786403</v>
          </cell>
          <cell r="BU109">
            <v>3386.1809365286435</v>
          </cell>
          <cell r="BW109">
            <v>1574.8162209483044</v>
          </cell>
          <cell r="BX109">
            <v>1539.2380195299693</v>
          </cell>
          <cell r="BZ109">
            <v>970.06340627333043</v>
          </cell>
          <cell r="CA109">
            <v>2844.1721363575161</v>
          </cell>
          <cell r="CC109">
            <v>55.394961417261491</v>
          </cell>
          <cell r="CD109">
            <v>56.005871360333657</v>
          </cell>
          <cell r="CF109">
            <v>6.8194554775037819</v>
          </cell>
          <cell r="CG109">
            <v>0</v>
          </cell>
          <cell r="CI109">
            <v>396.18761625056686</v>
          </cell>
          <cell r="CJ109">
            <v>163.51671077657369</v>
          </cell>
          <cell r="CL109">
            <v>0</v>
          </cell>
          <cell r="CM109">
            <v>0</v>
          </cell>
          <cell r="CX109">
            <v>421.94143535066178</v>
          </cell>
          <cell r="CY109">
            <v>1685.0111109537156</v>
          </cell>
        </row>
        <row r="110">
          <cell r="I110">
            <v>260.88601082753377</v>
          </cell>
          <cell r="J110">
            <v>292.03235853954186</v>
          </cell>
          <cell r="L110">
            <v>91.382414037298403</v>
          </cell>
          <cell r="M110">
            <v>100.56802720544704</v>
          </cell>
          <cell r="O110">
            <v>140.86000000000001</v>
          </cell>
          <cell r="P110">
            <v>140.86666666666667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>
            <v>148.75225375508055</v>
          </cell>
          <cell r="Y110">
            <v>147.97349671713513</v>
          </cell>
          <cell r="AA110">
            <v>0</v>
          </cell>
          <cell r="AB110">
            <v>0</v>
          </cell>
          <cell r="AD110">
            <v>446.32554820761339</v>
          </cell>
          <cell r="AE110">
            <v>490.49625613198998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P110">
            <v>284.10529286809492</v>
          </cell>
          <cell r="AQ110">
            <v>0</v>
          </cell>
          <cell r="AS110">
            <v>1590.6280479295372</v>
          </cell>
          <cell r="AT110">
            <v>0</v>
          </cell>
          <cell r="AV110">
            <v>94.800233592295626</v>
          </cell>
          <cell r="AW110">
            <v>0</v>
          </cell>
          <cell r="AY110">
            <v>117.77975701338245</v>
          </cell>
          <cell r="AZ110">
            <v>0</v>
          </cell>
          <cell r="BB110">
            <v>49.688136637059898</v>
          </cell>
          <cell r="BC110">
            <v>518.61230642048793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K110">
            <v>34.837121188239912</v>
          </cell>
          <cell r="BL110">
            <v>0</v>
          </cell>
          <cell r="BN110">
            <v>0</v>
          </cell>
          <cell r="BO110">
            <v>0</v>
          </cell>
          <cell r="BT110">
            <v>1417.6693052805904</v>
          </cell>
          <cell r="BU110">
            <v>1219.5642485501771</v>
          </cell>
          <cell r="BW110">
            <v>728.20209298592124</v>
          </cell>
          <cell r="BX110">
            <v>801.53646130976813</v>
          </cell>
          <cell r="BZ110">
            <v>314.65361339547968</v>
          </cell>
          <cell r="CA110">
            <v>1244.7849472514251</v>
          </cell>
          <cell r="CC110">
            <v>0</v>
          </cell>
          <cell r="CD110">
            <v>0</v>
          </cell>
          <cell r="CF110">
            <v>0</v>
          </cell>
          <cell r="CG110">
            <v>0</v>
          </cell>
          <cell r="CI110">
            <v>233.96906471490172</v>
          </cell>
          <cell r="CJ110">
            <v>356.73079368113622</v>
          </cell>
          <cell r="CL110">
            <v>0</v>
          </cell>
          <cell r="CM110">
            <v>0</v>
          </cell>
          <cell r="CX110">
            <v>178.633329080365</v>
          </cell>
          <cell r="CY110">
            <v>948.28132503146981</v>
          </cell>
        </row>
        <row r="111">
          <cell r="I111">
            <v>1521.5377372849632</v>
          </cell>
          <cell r="J111">
            <v>1686.4206878343348</v>
          </cell>
          <cell r="L111">
            <v>287.85748463911119</v>
          </cell>
          <cell r="M111">
            <v>316.79199935142708</v>
          </cell>
          <cell r="O111">
            <v>613.84</v>
          </cell>
          <cell r="P111">
            <v>613.85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X111">
            <v>840.39745932189419</v>
          </cell>
          <cell r="Y111">
            <v>818.99997586849929</v>
          </cell>
          <cell r="AA111">
            <v>0</v>
          </cell>
          <cell r="AB111">
            <v>0</v>
          </cell>
          <cell r="AD111">
            <v>1879.163821370171</v>
          </cell>
          <cell r="AE111">
            <v>2065.135690175644</v>
          </cell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P111">
            <v>1396.8510232681333</v>
          </cell>
          <cell r="AQ111">
            <v>0</v>
          </cell>
          <cell r="AS111">
            <v>3460.1383067985284</v>
          </cell>
          <cell r="AT111">
            <v>2731.8634456118143</v>
          </cell>
          <cell r="AV111">
            <v>244.42904331491323</v>
          </cell>
          <cell r="AW111">
            <v>0</v>
          </cell>
          <cell r="AY111">
            <v>370.97542606793741</v>
          </cell>
          <cell r="AZ111">
            <v>0</v>
          </cell>
          <cell r="BB111">
            <v>313.66672284506978</v>
          </cell>
          <cell r="BC111">
            <v>0</v>
          </cell>
          <cell r="BE111">
            <v>0</v>
          </cell>
          <cell r="BF111">
            <v>0</v>
          </cell>
          <cell r="BH111">
            <v>0</v>
          </cell>
          <cell r="BI111">
            <v>0</v>
          </cell>
          <cell r="BK111">
            <v>108.30269141259552</v>
          </cell>
          <cell r="BL111">
            <v>0</v>
          </cell>
          <cell r="BN111">
            <v>0</v>
          </cell>
          <cell r="BO111">
            <v>0</v>
          </cell>
          <cell r="BT111">
            <v>9573.6108824041603</v>
          </cell>
          <cell r="BU111">
            <v>9781.9525139719954</v>
          </cell>
          <cell r="BW111">
            <v>2111.3290914545732</v>
          </cell>
          <cell r="BX111">
            <v>2508.5050474162335</v>
          </cell>
          <cell r="BZ111">
            <v>3747.6875761386782</v>
          </cell>
          <cell r="CA111">
            <v>9383.4432638513772</v>
          </cell>
          <cell r="CC111">
            <v>127.94765424694911</v>
          </cell>
          <cell r="CD111">
            <v>129.35869402696534</v>
          </cell>
          <cell r="CF111">
            <v>15.751131678128205</v>
          </cell>
          <cell r="CG111">
            <v>0</v>
          </cell>
          <cell r="CI111">
            <v>455.45977931167528</v>
          </cell>
          <cell r="CJ111">
            <v>312.11428279423927</v>
          </cell>
          <cell r="CL111">
            <v>0</v>
          </cell>
          <cell r="CM111">
            <v>0</v>
          </cell>
          <cell r="CX111">
            <v>19.025002131031215</v>
          </cell>
          <cell r="CY111">
            <v>-3916.3627210830346</v>
          </cell>
        </row>
        <row r="112">
          <cell r="I112">
            <v>1028.3012875997574</v>
          </cell>
          <cell r="J112">
            <v>1141.7186451441664</v>
          </cell>
          <cell r="L112">
            <v>194.40384537113721</v>
          </cell>
          <cell r="M112">
            <v>235.76255945677011</v>
          </cell>
          <cell r="O112">
            <v>410.92</v>
          </cell>
          <cell r="P112">
            <v>410.93333333333334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>
            <v>550.78456529862183</v>
          </cell>
          <cell r="Y112">
            <v>518.66913920992988</v>
          </cell>
          <cell r="AA112">
            <v>0</v>
          </cell>
          <cell r="AB112">
            <v>0</v>
          </cell>
          <cell r="AD112">
            <v>1285.8138058933368</v>
          </cell>
          <cell r="AE112">
            <v>1482.3747622650976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P112">
            <v>875.99131967662606</v>
          </cell>
          <cell r="AQ112">
            <v>0</v>
          </cell>
          <cell r="AS112">
            <v>3341.9574334431359</v>
          </cell>
          <cell r="AT112">
            <v>24.235465599437198</v>
          </cell>
          <cell r="AV112">
            <v>169.7904243905044</v>
          </cell>
          <cell r="AW112">
            <v>0</v>
          </cell>
          <cell r="AY112">
            <v>250.58315269130659</v>
          </cell>
          <cell r="AZ112">
            <v>0</v>
          </cell>
          <cell r="BB112">
            <v>240.66409739837528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K112">
            <v>69.694344771707904</v>
          </cell>
          <cell r="BL112">
            <v>0</v>
          </cell>
          <cell r="BN112">
            <v>0</v>
          </cell>
          <cell r="BO112">
            <v>0</v>
          </cell>
          <cell r="BT112">
            <v>3455.0817141006105</v>
          </cell>
          <cell r="BU112">
            <v>1513.0102386283597</v>
          </cell>
          <cell r="BW112">
            <v>1363.9111632721911</v>
          </cell>
          <cell r="BX112">
            <v>849.70993127052475</v>
          </cell>
          <cell r="BZ112">
            <v>1131.0820208956234</v>
          </cell>
          <cell r="CA112">
            <v>2144.5214655404443</v>
          </cell>
          <cell r="CC112">
            <v>102.94638847455676</v>
          </cell>
          <cell r="CD112">
            <v>104.0817078377882</v>
          </cell>
          <cell r="CF112">
            <v>12.673324338723843</v>
          </cell>
          <cell r="CG112">
            <v>0</v>
          </cell>
          <cell r="CI112">
            <v>152.85978894706909</v>
          </cell>
          <cell r="CJ112">
            <v>203.04610914254582</v>
          </cell>
          <cell r="CL112">
            <v>0</v>
          </cell>
          <cell r="CM112">
            <v>0</v>
          </cell>
          <cell r="CX112">
            <v>1148.289588124062</v>
          </cell>
          <cell r="CY112">
            <v>8359.563971085925</v>
          </cell>
        </row>
        <row r="113">
          <cell r="I113">
            <v>1361.8448029045849</v>
          </cell>
          <cell r="J113">
            <v>1523.0285457042332</v>
          </cell>
          <cell r="L113">
            <v>212.65082793943571</v>
          </cell>
          <cell r="M113">
            <v>234.02554414996629</v>
          </cell>
          <cell r="O113">
            <v>680.24</v>
          </cell>
          <cell r="P113">
            <v>680.23333333333335</v>
          </cell>
          <cell r="R113">
            <v>140</v>
          </cell>
          <cell r="S113">
            <v>140</v>
          </cell>
          <cell r="U113">
            <v>69.466216803674769</v>
          </cell>
          <cell r="V113">
            <v>288.54423801965464</v>
          </cell>
          <cell r="X113">
            <v>613.49460952912648</v>
          </cell>
          <cell r="Y113">
            <v>528.67216413716551</v>
          </cell>
          <cell r="AA113">
            <v>0</v>
          </cell>
          <cell r="AB113">
            <v>0</v>
          </cell>
          <cell r="AD113">
            <v>1955.6228155697472</v>
          </cell>
          <cell r="AE113">
            <v>2149.1614658748313</v>
          </cell>
          <cell r="AJ113">
            <v>2977.1337932727497</v>
          </cell>
          <cell r="AK113">
            <v>3009.9663937409887</v>
          </cell>
          <cell r="AM113">
            <v>0</v>
          </cell>
          <cell r="AN113">
            <v>0</v>
          </cell>
          <cell r="AP113">
            <v>315.67254763121656</v>
          </cell>
          <cell r="AQ113">
            <v>0</v>
          </cell>
          <cell r="AS113">
            <v>6587.9296288171709</v>
          </cell>
          <cell r="AT113">
            <v>388.85009456710986</v>
          </cell>
          <cell r="AV113">
            <v>105.27399646775474</v>
          </cell>
          <cell r="AW113">
            <v>0</v>
          </cell>
          <cell r="AY113">
            <v>140.84536735076762</v>
          </cell>
          <cell r="AZ113">
            <v>0</v>
          </cell>
          <cell r="BB113">
            <v>172.52999303886682</v>
          </cell>
          <cell r="BC113">
            <v>0</v>
          </cell>
          <cell r="BE113">
            <v>62.030552270349432</v>
          </cell>
          <cell r="BF113">
            <v>0</v>
          </cell>
          <cell r="BH113">
            <v>35.219944932571877</v>
          </cell>
          <cell r="BI113">
            <v>0</v>
          </cell>
          <cell r="BK113">
            <v>86.679575327637068</v>
          </cell>
          <cell r="BL113">
            <v>0</v>
          </cell>
          <cell r="BN113">
            <v>0</v>
          </cell>
          <cell r="BO113">
            <v>0</v>
          </cell>
          <cell r="BT113">
            <v>6476.0075387296292</v>
          </cell>
          <cell r="BU113">
            <v>4963.6320513018927</v>
          </cell>
          <cell r="BW113">
            <v>5022.9104068925235</v>
          </cell>
          <cell r="BX113">
            <v>6683.9641492920618</v>
          </cell>
          <cell r="BZ113">
            <v>640.53928975945348</v>
          </cell>
          <cell r="CA113">
            <v>4816.5688972819426</v>
          </cell>
          <cell r="CC113">
            <v>105.88771385954409</v>
          </cell>
          <cell r="CD113">
            <v>107.05547091886788</v>
          </cell>
          <cell r="CF113">
            <v>13.03541931983024</v>
          </cell>
          <cell r="CG113">
            <v>0</v>
          </cell>
          <cell r="CI113">
            <v>1054.4205849818234</v>
          </cell>
          <cell r="CJ113">
            <v>830.04971841763154</v>
          </cell>
          <cell r="CL113">
            <v>770.53811979440957</v>
          </cell>
          <cell r="CM113">
            <v>1298.3721126695195</v>
          </cell>
          <cell r="CX113">
            <v>2048.5515057685552</v>
          </cell>
          <cell r="CY113">
            <v>4397.9709847089616</v>
          </cell>
        </row>
        <row r="114">
          <cell r="I114">
            <v>2622.508365388338</v>
          </cell>
          <cell r="J114">
            <v>2905.4052317475871</v>
          </cell>
          <cell r="L114">
            <v>399.85531451454284</v>
          </cell>
          <cell r="M114">
            <v>440.04617624488105</v>
          </cell>
          <cell r="O114">
            <v>1035.8800000000001</v>
          </cell>
          <cell r="P114">
            <v>1035.8833333333334</v>
          </cell>
          <cell r="R114">
            <v>231.38</v>
          </cell>
          <cell r="S114">
            <v>231.38333333333335</v>
          </cell>
          <cell r="U114">
            <v>130.00964065633656</v>
          </cell>
          <cell r="V114">
            <v>491.3787924016965</v>
          </cell>
          <cell r="X114">
            <v>1135.7802883136044</v>
          </cell>
          <cell r="Y114">
            <v>3454.4779228049033</v>
          </cell>
          <cell r="AA114">
            <v>0</v>
          </cell>
          <cell r="AB114">
            <v>0</v>
          </cell>
          <cell r="AD114">
            <v>3031.6358209005407</v>
          </cell>
          <cell r="AE114">
            <v>3331.6623394716571</v>
          </cell>
          <cell r="AJ114">
            <v>6139.7493479442464</v>
          </cell>
          <cell r="AK114">
            <v>6207.4600896555166</v>
          </cell>
          <cell r="AM114">
            <v>0</v>
          </cell>
          <cell r="AN114">
            <v>266.0109811433166</v>
          </cell>
          <cell r="AP114">
            <v>568.21058573618984</v>
          </cell>
          <cell r="AQ114">
            <v>0</v>
          </cell>
          <cell r="AS114">
            <v>11118.535947054592</v>
          </cell>
          <cell r="AT114">
            <v>0</v>
          </cell>
          <cell r="AV114">
            <v>208.68357540627463</v>
          </cell>
          <cell r="AW114">
            <v>820.68830455751629</v>
          </cell>
          <cell r="AY114">
            <v>265.33664916087628</v>
          </cell>
          <cell r="AZ114">
            <v>0</v>
          </cell>
          <cell r="BB114">
            <v>274.04768569408526</v>
          </cell>
          <cell r="BC114">
            <v>0</v>
          </cell>
          <cell r="BE114">
            <v>114.36755956189184</v>
          </cell>
          <cell r="BF114">
            <v>0</v>
          </cell>
          <cell r="BH114">
            <v>65.961235315382794</v>
          </cell>
          <cell r="BI114">
            <v>0</v>
          </cell>
          <cell r="BK114">
            <v>173.06738905400283</v>
          </cell>
          <cell r="BL114">
            <v>0</v>
          </cell>
          <cell r="BN114">
            <v>0</v>
          </cell>
          <cell r="BO114">
            <v>0</v>
          </cell>
          <cell r="BT114">
            <v>8414.2274508281298</v>
          </cell>
          <cell r="BU114">
            <v>7038.2379845200894</v>
          </cell>
          <cell r="BW114">
            <v>6302.0773372596695</v>
          </cell>
          <cell r="BX114">
            <v>8367.8664623126897</v>
          </cell>
          <cell r="BZ114">
            <v>1493.1490200473745</v>
          </cell>
          <cell r="CA114">
            <v>6701.4464916801526</v>
          </cell>
          <cell r="CC114">
            <v>137.26185129940902</v>
          </cell>
          <cell r="CD114">
            <v>138.77561045038428</v>
          </cell>
          <cell r="CF114">
            <v>16.897765784965124</v>
          </cell>
          <cell r="CG114">
            <v>0</v>
          </cell>
          <cell r="CI114">
            <v>2177.4720956133515</v>
          </cell>
          <cell r="CJ114">
            <v>780.49706507033909</v>
          </cell>
          <cell r="CL114">
            <v>1079.3772852180796</v>
          </cell>
          <cell r="CM114">
            <v>1826.1496392015972</v>
          </cell>
          <cell r="CX114">
            <v>849.03334709774936</v>
          </cell>
          <cell r="CY114">
            <v>4566.7562904852057</v>
          </cell>
        </row>
        <row r="115"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X115">
            <v>0</v>
          </cell>
          <cell r="Y115">
            <v>0</v>
          </cell>
          <cell r="AA115">
            <v>0</v>
          </cell>
          <cell r="AB115">
            <v>0</v>
          </cell>
          <cell r="AD115">
            <v>0</v>
          </cell>
          <cell r="AE115">
            <v>0</v>
          </cell>
          <cell r="AJ115">
            <v>0</v>
          </cell>
          <cell r="AK115">
            <v>0</v>
          </cell>
          <cell r="AM115">
            <v>0</v>
          </cell>
          <cell r="AN115">
            <v>0</v>
          </cell>
          <cell r="AP115">
            <v>47.350882144682487</v>
          </cell>
          <cell r="AQ115">
            <v>0</v>
          </cell>
          <cell r="AS115">
            <v>292.81710297192973</v>
          </cell>
          <cell r="AT115">
            <v>0</v>
          </cell>
          <cell r="AV115">
            <v>0</v>
          </cell>
          <cell r="AW115">
            <v>0</v>
          </cell>
          <cell r="AY115">
            <v>0</v>
          </cell>
          <cell r="AZ115">
            <v>0</v>
          </cell>
          <cell r="BB115">
            <v>0</v>
          </cell>
          <cell r="BC115">
            <v>0</v>
          </cell>
          <cell r="BE115">
            <v>0</v>
          </cell>
          <cell r="BF115">
            <v>0</v>
          </cell>
          <cell r="BH115">
            <v>0</v>
          </cell>
          <cell r="BI115">
            <v>0</v>
          </cell>
          <cell r="BK115">
            <v>0</v>
          </cell>
          <cell r="BL115">
            <v>0</v>
          </cell>
          <cell r="BN115">
            <v>0</v>
          </cell>
          <cell r="BO115">
            <v>0</v>
          </cell>
          <cell r="BT115">
            <v>31.902681005596676</v>
          </cell>
          <cell r="BU115">
            <v>40.33523236650538</v>
          </cell>
          <cell r="BW115">
            <v>0</v>
          </cell>
          <cell r="BX115">
            <v>0.52954501381320374</v>
          </cell>
          <cell r="BZ115">
            <v>0</v>
          </cell>
          <cell r="CA115">
            <v>37.101445422833592</v>
          </cell>
          <cell r="CC115">
            <v>0</v>
          </cell>
          <cell r="CD115">
            <v>0</v>
          </cell>
          <cell r="CF115">
            <v>0</v>
          </cell>
          <cell r="CG115">
            <v>0</v>
          </cell>
          <cell r="CI115">
            <v>0</v>
          </cell>
          <cell r="CJ115">
            <v>0</v>
          </cell>
          <cell r="CL115">
            <v>0</v>
          </cell>
          <cell r="CM115">
            <v>0</v>
          </cell>
          <cell r="CX115">
            <v>11.135200653349386</v>
          </cell>
          <cell r="CY115">
            <v>364.06053263621737</v>
          </cell>
        </row>
        <row r="116">
          <cell r="I116">
            <v>349.70859153849744</v>
          </cell>
          <cell r="J116">
            <v>427.54463756626342</v>
          </cell>
          <cell r="L116">
            <v>69.979726090100854</v>
          </cell>
          <cell r="M116">
            <v>89.381853550058054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X116">
            <v>112.40342435690623</v>
          </cell>
          <cell r="Y116">
            <v>162.17703190576458</v>
          </cell>
          <cell r="AA116">
            <v>0</v>
          </cell>
          <cell r="AB116">
            <v>0</v>
          </cell>
          <cell r="AD116">
            <v>266.17051294195056</v>
          </cell>
          <cell r="AE116">
            <v>292.51213741864643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P116">
            <v>252.53803810497325</v>
          </cell>
          <cell r="AQ116">
            <v>0</v>
          </cell>
          <cell r="AS116">
            <v>792.72739894583151</v>
          </cell>
          <cell r="AT116">
            <v>0</v>
          </cell>
          <cell r="AV116">
            <v>65.283353780054597</v>
          </cell>
          <cell r="AW116">
            <v>0</v>
          </cell>
          <cell r="AY116">
            <v>90.238260002622894</v>
          </cell>
          <cell r="AZ116">
            <v>0</v>
          </cell>
          <cell r="BB116">
            <v>0</v>
          </cell>
          <cell r="BC116">
            <v>0</v>
          </cell>
          <cell r="BE116">
            <v>0</v>
          </cell>
          <cell r="BF116">
            <v>0</v>
          </cell>
          <cell r="BH116">
            <v>0</v>
          </cell>
          <cell r="BI116">
            <v>0</v>
          </cell>
          <cell r="BK116">
            <v>15.221714027152627</v>
          </cell>
          <cell r="BL116">
            <v>0</v>
          </cell>
          <cell r="BN116">
            <v>0</v>
          </cell>
          <cell r="BO116">
            <v>0</v>
          </cell>
          <cell r="BT116">
            <v>55.829691759794173</v>
          </cell>
          <cell r="BU116">
            <v>110.60176811609213</v>
          </cell>
          <cell r="BW116">
            <v>58.384948082713876</v>
          </cell>
          <cell r="BX116">
            <v>893.23276532876173</v>
          </cell>
          <cell r="BZ116">
            <v>45.915315476590322</v>
          </cell>
          <cell r="CA116">
            <v>101.73451899673816</v>
          </cell>
          <cell r="CC116">
            <v>50.73786289103154</v>
          </cell>
          <cell r="CD116">
            <v>51.297413148624187</v>
          </cell>
          <cell r="CF116">
            <v>6.2461384240853226</v>
          </cell>
          <cell r="CG116">
            <v>0</v>
          </cell>
          <cell r="CI116">
            <v>3.1195875295320228</v>
          </cell>
          <cell r="CJ116">
            <v>0</v>
          </cell>
          <cell r="CL116">
            <v>0</v>
          </cell>
          <cell r="CM116">
            <v>0</v>
          </cell>
          <cell r="CX116">
            <v>67.054523257795154</v>
          </cell>
          <cell r="CY116">
            <v>194.2814487628616</v>
          </cell>
        </row>
        <row r="117"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0</v>
          </cell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P117">
            <v>31.567254763121657</v>
          </cell>
          <cell r="AQ117">
            <v>0</v>
          </cell>
          <cell r="AS117">
            <v>414.86545717728092</v>
          </cell>
          <cell r="AT117">
            <v>0</v>
          </cell>
          <cell r="AV117">
            <v>0</v>
          </cell>
          <cell r="AW117">
            <v>0</v>
          </cell>
          <cell r="AY117">
            <v>0</v>
          </cell>
          <cell r="AZ117">
            <v>0</v>
          </cell>
          <cell r="BB117">
            <v>0</v>
          </cell>
          <cell r="BC117">
            <v>0</v>
          </cell>
          <cell r="BE117">
            <v>0</v>
          </cell>
          <cell r="BF117">
            <v>0</v>
          </cell>
          <cell r="BH117">
            <v>0</v>
          </cell>
          <cell r="BI117">
            <v>0</v>
          </cell>
          <cell r="BK117">
            <v>0</v>
          </cell>
          <cell r="BL117">
            <v>0</v>
          </cell>
          <cell r="BN117">
            <v>0</v>
          </cell>
          <cell r="BO117">
            <v>0</v>
          </cell>
          <cell r="BT117">
            <v>15.951340502798338</v>
          </cell>
          <cell r="BU117">
            <v>55.300884058046066</v>
          </cell>
          <cell r="BW117">
            <v>0</v>
          </cell>
          <cell r="BX117">
            <v>0.70721326787120797</v>
          </cell>
          <cell r="BZ117">
            <v>0</v>
          </cell>
          <cell r="CA117">
            <v>50.86725949836908</v>
          </cell>
          <cell r="CC117">
            <v>0</v>
          </cell>
          <cell r="CD117">
            <v>0</v>
          </cell>
          <cell r="CF117">
            <v>0</v>
          </cell>
          <cell r="CG117">
            <v>0</v>
          </cell>
          <cell r="CI117">
            <v>0</v>
          </cell>
          <cell r="CJ117">
            <v>0</v>
          </cell>
          <cell r="CL117">
            <v>0</v>
          </cell>
          <cell r="CM117">
            <v>0</v>
          </cell>
          <cell r="CX117">
            <v>8.3391370681589478</v>
          </cell>
          <cell r="CY117">
            <v>434.94957181085647</v>
          </cell>
        </row>
        <row r="118"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P118">
            <v>23.675441072341243</v>
          </cell>
          <cell r="AQ118">
            <v>0</v>
          </cell>
          <cell r="AS118">
            <v>350.11210501028825</v>
          </cell>
          <cell r="AT118">
            <v>0</v>
          </cell>
          <cell r="AV118">
            <v>0</v>
          </cell>
          <cell r="AW118">
            <v>0</v>
          </cell>
          <cell r="AY118">
            <v>0</v>
          </cell>
          <cell r="AZ118">
            <v>0</v>
          </cell>
          <cell r="BB118">
            <v>0</v>
          </cell>
          <cell r="BC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K118">
            <v>0</v>
          </cell>
          <cell r="BL118">
            <v>0</v>
          </cell>
          <cell r="BN118">
            <v>0</v>
          </cell>
          <cell r="BO118">
            <v>0</v>
          </cell>
          <cell r="BT118">
            <v>31.902681005596676</v>
          </cell>
          <cell r="BU118">
            <v>49.16523363192421</v>
          </cell>
          <cell r="BW118">
            <v>0</v>
          </cell>
          <cell r="BX118">
            <v>0.76684304844279472</v>
          </cell>
          <cell r="BZ118">
            <v>0</v>
          </cell>
          <cell r="CA118">
            <v>45.223521107329574</v>
          </cell>
          <cell r="CC118">
            <v>0</v>
          </cell>
          <cell r="CD118">
            <v>0</v>
          </cell>
          <cell r="CF118">
            <v>0</v>
          </cell>
          <cell r="CG118">
            <v>0</v>
          </cell>
          <cell r="CI118">
            <v>0</v>
          </cell>
          <cell r="CJ118">
            <v>0</v>
          </cell>
          <cell r="CL118">
            <v>0</v>
          </cell>
          <cell r="CM118">
            <v>0</v>
          </cell>
          <cell r="CX118">
            <v>12.171727494128618</v>
          </cell>
          <cell r="CY118">
            <v>384.81328265476407</v>
          </cell>
        </row>
        <row r="119"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P119">
            <v>47.350882144682487</v>
          </cell>
          <cell r="AQ119">
            <v>0</v>
          </cell>
          <cell r="AS119">
            <v>378.03119724461283</v>
          </cell>
          <cell r="AT119">
            <v>0</v>
          </cell>
          <cell r="AV119">
            <v>0</v>
          </cell>
          <cell r="AW119">
            <v>0</v>
          </cell>
          <cell r="AY119">
            <v>0</v>
          </cell>
          <cell r="AZ119">
            <v>0</v>
          </cell>
          <cell r="BB119">
            <v>0</v>
          </cell>
          <cell r="BC119">
            <v>0</v>
          </cell>
          <cell r="BE119">
            <v>0</v>
          </cell>
          <cell r="BF119">
            <v>0</v>
          </cell>
          <cell r="BH119">
            <v>0</v>
          </cell>
          <cell r="BI119">
            <v>0</v>
          </cell>
          <cell r="BK119">
            <v>0</v>
          </cell>
          <cell r="BL119">
            <v>0</v>
          </cell>
          <cell r="BN119">
            <v>0</v>
          </cell>
          <cell r="BO119">
            <v>0</v>
          </cell>
          <cell r="BT119">
            <v>35.890516131296266</v>
          </cell>
          <cell r="BU119">
            <v>38.494537238668826</v>
          </cell>
          <cell r="BW119">
            <v>0</v>
          </cell>
          <cell r="BX119">
            <v>0.79614915220493976</v>
          </cell>
          <cell r="BZ119">
            <v>0</v>
          </cell>
          <cell r="CA119">
            <v>35.408323905521748</v>
          </cell>
          <cell r="CC119">
            <v>0</v>
          </cell>
          <cell r="CD119">
            <v>0</v>
          </cell>
          <cell r="CF119">
            <v>0</v>
          </cell>
          <cell r="CG119">
            <v>0</v>
          </cell>
          <cell r="CI119">
            <v>0</v>
          </cell>
          <cell r="CJ119">
            <v>0</v>
          </cell>
          <cell r="CL119">
            <v>0</v>
          </cell>
          <cell r="CM119">
            <v>0</v>
          </cell>
          <cell r="CX119">
            <v>13.25288537529002</v>
          </cell>
          <cell r="CY119">
            <v>477.14118764432533</v>
          </cell>
        </row>
        <row r="120"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63.134509526243313</v>
          </cell>
          <cell r="AQ120">
            <v>0</v>
          </cell>
          <cell r="AS120">
            <v>461.54235661714711</v>
          </cell>
          <cell r="AT120">
            <v>0</v>
          </cell>
          <cell r="AV120">
            <v>0</v>
          </cell>
          <cell r="AW120">
            <v>0</v>
          </cell>
          <cell r="AY120">
            <v>0</v>
          </cell>
          <cell r="AZ120">
            <v>0</v>
          </cell>
          <cell r="BB120">
            <v>0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0</v>
          </cell>
          <cell r="BL120">
            <v>0</v>
          </cell>
          <cell r="BN120">
            <v>0</v>
          </cell>
          <cell r="BO120">
            <v>0</v>
          </cell>
          <cell r="BT120">
            <v>39.878351256995849</v>
          </cell>
          <cell r="BU120">
            <v>59.332724143629321</v>
          </cell>
          <cell r="BW120">
            <v>0</v>
          </cell>
          <cell r="BX120">
            <v>0.79920187134682985</v>
          </cell>
          <cell r="BZ120">
            <v>0</v>
          </cell>
          <cell r="CA120">
            <v>55.825373521905853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0</v>
          </cell>
          <cell r="CJ120">
            <v>0</v>
          </cell>
          <cell r="CL120">
            <v>0</v>
          </cell>
          <cell r="CM120">
            <v>0</v>
          </cell>
          <cell r="CX120">
            <v>16.953739119536522</v>
          </cell>
          <cell r="CY120">
            <v>555.27124055574154</v>
          </cell>
        </row>
        <row r="121">
          <cell r="I121">
            <v>1830.4126028444532</v>
          </cell>
          <cell r="J121">
            <v>2290.8307572163503</v>
          </cell>
          <cell r="L121">
            <v>372.23739875297053</v>
          </cell>
          <cell r="M121">
            <v>475.44343241426236</v>
          </cell>
          <cell r="O121">
            <v>781.62</v>
          </cell>
          <cell r="P121">
            <v>781.76</v>
          </cell>
          <cell r="R121">
            <v>0</v>
          </cell>
          <cell r="S121">
            <v>0</v>
          </cell>
          <cell r="U121">
            <v>118.22581795543685</v>
          </cell>
          <cell r="V121">
            <v>96.813560492705875</v>
          </cell>
          <cell r="X121">
            <v>1148.6259876199663</v>
          </cell>
          <cell r="Y121">
            <v>1385.3413294343432</v>
          </cell>
          <cell r="AA121">
            <v>0</v>
          </cell>
          <cell r="AB121">
            <v>0</v>
          </cell>
          <cell r="AD121">
            <v>2263.1976305248904</v>
          </cell>
          <cell r="AE121">
            <v>2487.1754913363784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1657.2808750638872</v>
          </cell>
          <cell r="AQ121">
            <v>0</v>
          </cell>
          <cell r="AS121">
            <v>6739.0552952929311</v>
          </cell>
          <cell r="AT121">
            <v>0</v>
          </cell>
          <cell r="AV121">
            <v>293.41770088640146</v>
          </cell>
          <cell r="AW121">
            <v>0</v>
          </cell>
          <cell r="AY121">
            <v>479.78182875221421</v>
          </cell>
          <cell r="AZ121">
            <v>0</v>
          </cell>
          <cell r="BB121">
            <v>298.87887909621088</v>
          </cell>
          <cell r="BC121">
            <v>0</v>
          </cell>
          <cell r="BE121">
            <v>0</v>
          </cell>
          <cell r="BF121">
            <v>0</v>
          </cell>
          <cell r="BH121">
            <v>119.94714023874553</v>
          </cell>
          <cell r="BI121">
            <v>0</v>
          </cell>
          <cell r="BK121">
            <v>216.37577436144372</v>
          </cell>
          <cell r="BL121">
            <v>0</v>
          </cell>
          <cell r="BN121">
            <v>0</v>
          </cell>
          <cell r="BO121">
            <v>0</v>
          </cell>
          <cell r="BT121">
            <v>5925.0570718561357</v>
          </cell>
          <cell r="BU121">
            <v>3441.6213162409022</v>
          </cell>
          <cell r="BW121">
            <v>2993.9524813163084</v>
          </cell>
          <cell r="BX121">
            <v>4349.7310891017614</v>
          </cell>
          <cell r="BZ121">
            <v>1046.6787700960404</v>
          </cell>
          <cell r="CA121">
            <v>2362.271534615501</v>
          </cell>
          <cell r="CC121">
            <v>309.13329796216897</v>
          </cell>
          <cell r="CD121">
            <v>312.54249982147257</v>
          </cell>
          <cell r="CF121">
            <v>38.056182514282163</v>
          </cell>
          <cell r="CG121">
            <v>0</v>
          </cell>
          <cell r="CI121">
            <v>1229.1174866356168</v>
          </cell>
          <cell r="CJ121">
            <v>339.65055614843976</v>
          </cell>
          <cell r="CL121">
            <v>0</v>
          </cell>
          <cell r="CM121">
            <v>0</v>
          </cell>
          <cell r="CX121">
            <v>688.17733387587941</v>
          </cell>
          <cell r="CY121">
            <v>12133.622119813461</v>
          </cell>
        </row>
        <row r="122"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55.242695835462904</v>
          </cell>
          <cell r="AQ122">
            <v>0</v>
          </cell>
          <cell r="AS122">
            <v>425.94940385534807</v>
          </cell>
          <cell r="AT122">
            <v>0</v>
          </cell>
          <cell r="AV122">
            <v>0</v>
          </cell>
          <cell r="AW122">
            <v>0</v>
          </cell>
          <cell r="AY122">
            <v>0</v>
          </cell>
          <cell r="AZ122">
            <v>0</v>
          </cell>
          <cell r="BB122">
            <v>0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0</v>
          </cell>
          <cell r="BL122">
            <v>0</v>
          </cell>
          <cell r="BN122">
            <v>0</v>
          </cell>
          <cell r="BO122">
            <v>0</v>
          </cell>
          <cell r="BT122">
            <v>0</v>
          </cell>
          <cell r="BU122">
            <v>0</v>
          </cell>
          <cell r="BW122">
            <v>0</v>
          </cell>
          <cell r="BX122">
            <v>0.74038614921308044</v>
          </cell>
          <cell r="BZ122">
            <v>0</v>
          </cell>
          <cell r="CA122">
            <v>0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0</v>
          </cell>
          <cell r="CJ122">
            <v>0</v>
          </cell>
          <cell r="CL122">
            <v>0</v>
          </cell>
          <cell r="CM122">
            <v>0</v>
          </cell>
          <cell r="CX122">
            <v>14.429480371026898</v>
          </cell>
          <cell r="CY122">
            <v>590.97153662094433</v>
          </cell>
        </row>
        <row r="123"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23.675441072341243</v>
          </cell>
          <cell r="AQ123">
            <v>0</v>
          </cell>
          <cell r="AS123">
            <v>276.90006966302394</v>
          </cell>
          <cell r="AT123">
            <v>0</v>
          </cell>
          <cell r="AV123">
            <v>0</v>
          </cell>
          <cell r="AW123">
            <v>0</v>
          </cell>
          <cell r="AY123">
            <v>0</v>
          </cell>
          <cell r="AZ123">
            <v>0</v>
          </cell>
          <cell r="BB123">
            <v>0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0</v>
          </cell>
          <cell r="BL123">
            <v>0</v>
          </cell>
          <cell r="BN123">
            <v>0</v>
          </cell>
          <cell r="BO123">
            <v>0</v>
          </cell>
          <cell r="BT123">
            <v>0</v>
          </cell>
          <cell r="BU123">
            <v>0</v>
          </cell>
          <cell r="BW123">
            <v>0</v>
          </cell>
          <cell r="BX123">
            <v>0.44854619924838635</v>
          </cell>
          <cell r="BZ123">
            <v>0</v>
          </cell>
          <cell r="CA123">
            <v>0</v>
          </cell>
          <cell r="CC123">
            <v>0</v>
          </cell>
          <cell r="CD123">
            <v>0</v>
          </cell>
          <cell r="CF123">
            <v>0</v>
          </cell>
          <cell r="CG123">
            <v>0</v>
          </cell>
          <cell r="CI123">
            <v>0</v>
          </cell>
          <cell r="CJ123">
            <v>0</v>
          </cell>
          <cell r="CL123">
            <v>0</v>
          </cell>
          <cell r="CM123">
            <v>0</v>
          </cell>
          <cell r="CX123">
            <v>7.2293871175618278</v>
          </cell>
          <cell r="CY123">
            <v>367.38174456090195</v>
          </cell>
        </row>
        <row r="124"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31.567254763121657</v>
          </cell>
          <cell r="AQ124">
            <v>0</v>
          </cell>
          <cell r="AS124">
            <v>263.16086733937976</v>
          </cell>
          <cell r="AT124">
            <v>0</v>
          </cell>
          <cell r="AV124">
            <v>0</v>
          </cell>
          <cell r="AW124">
            <v>0</v>
          </cell>
          <cell r="AY124">
            <v>0</v>
          </cell>
          <cell r="AZ124">
            <v>0</v>
          </cell>
          <cell r="BB124">
            <v>0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0</v>
          </cell>
          <cell r="BL124">
            <v>0</v>
          </cell>
          <cell r="BN124">
            <v>0</v>
          </cell>
          <cell r="BO124">
            <v>0</v>
          </cell>
          <cell r="BT124">
            <v>0</v>
          </cell>
          <cell r="BU124">
            <v>0</v>
          </cell>
          <cell r="BW124">
            <v>0</v>
          </cell>
          <cell r="BX124">
            <v>0.40784327735651826</v>
          </cell>
          <cell r="BZ124">
            <v>0</v>
          </cell>
          <cell r="CA124">
            <v>0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0</v>
          </cell>
          <cell r="CJ124">
            <v>0</v>
          </cell>
          <cell r="CL124">
            <v>0</v>
          </cell>
          <cell r="CM124">
            <v>0</v>
          </cell>
          <cell r="CX124">
            <v>8.8462534769982994</v>
          </cell>
          <cell r="CY124">
            <v>362.03058806717218</v>
          </cell>
        </row>
        <row r="125">
          <cell r="I125">
            <v>1892.1726710408768</v>
          </cell>
          <cell r="J125">
            <v>2372.6219816209887</v>
          </cell>
          <cell r="L125">
            <v>380.42374770340246</v>
          </cell>
          <cell r="M125">
            <v>485.89966052512187</v>
          </cell>
          <cell r="O125">
            <v>747.88</v>
          </cell>
          <cell r="P125">
            <v>747.62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>
            <v>1255.2804053373438</v>
          </cell>
          <cell r="Y125">
            <v>3764.8669398289744</v>
          </cell>
          <cell r="AA125">
            <v>0</v>
          </cell>
          <cell r="AB125">
            <v>0</v>
          </cell>
          <cell r="AD125">
            <v>2408.7540623010441</v>
          </cell>
          <cell r="AE125">
            <v>2480.4011138566693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1609.9299929192046</v>
          </cell>
          <cell r="AQ125">
            <v>0</v>
          </cell>
          <cell r="AS125">
            <v>7027.2795505622944</v>
          </cell>
          <cell r="AT125">
            <v>40.392442665728666</v>
          </cell>
          <cell r="AV125">
            <v>310.69298550910793</v>
          </cell>
          <cell r="AW125">
            <v>0</v>
          </cell>
          <cell r="AY125">
            <v>490.31866771622811</v>
          </cell>
          <cell r="AZ125">
            <v>0</v>
          </cell>
          <cell r="BB125">
            <v>298.96762202027503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259.81939144057162</v>
          </cell>
          <cell r="BL125">
            <v>0</v>
          </cell>
          <cell r="BN125">
            <v>0</v>
          </cell>
          <cell r="BO125">
            <v>0</v>
          </cell>
          <cell r="BT125">
            <v>4093.4756552240938</v>
          </cell>
          <cell r="BU125">
            <v>3969.5210110844473</v>
          </cell>
          <cell r="BW125">
            <v>2875.7520705027341</v>
          </cell>
          <cell r="BX125">
            <v>6205.4656771047594</v>
          </cell>
          <cell r="BZ125">
            <v>869.57683897204879</v>
          </cell>
          <cell r="CA125">
            <v>3666.2041255728009</v>
          </cell>
          <cell r="CC125">
            <v>285.06345189502264</v>
          </cell>
          <cell r="CD125">
            <v>288.20720527463732</v>
          </cell>
          <cell r="CF125">
            <v>35.093038585561501</v>
          </cell>
          <cell r="CG125">
            <v>0</v>
          </cell>
          <cell r="CI125">
            <v>670.71131884938472</v>
          </cell>
          <cell r="CJ125">
            <v>558.34046034043388</v>
          </cell>
          <cell r="CL125">
            <v>0</v>
          </cell>
          <cell r="CM125">
            <v>0</v>
          </cell>
          <cell r="CX125">
            <v>-1075.3297646950268</v>
          </cell>
          <cell r="CY125">
            <v>42.651258550526109</v>
          </cell>
        </row>
        <row r="126">
          <cell r="I126">
            <v>4233.0872346783917</v>
          </cell>
          <cell r="J126">
            <v>3663.6409176983207</v>
          </cell>
          <cell r="L126">
            <v>653.2997804350706</v>
          </cell>
          <cell r="M126">
            <v>589.06114075643541</v>
          </cell>
          <cell r="O126">
            <v>1790.94</v>
          </cell>
          <cell r="P126">
            <v>1790.9</v>
          </cell>
          <cell r="R126">
            <v>366.96</v>
          </cell>
          <cell r="S126">
            <v>367.42</v>
          </cell>
          <cell r="U126">
            <v>208.3500279500883</v>
          </cell>
          <cell r="V126">
            <v>73.029412937953197</v>
          </cell>
          <cell r="X126">
            <v>1777.3378454003325</v>
          </cell>
          <cell r="Y126">
            <v>1462.1459763684002</v>
          </cell>
          <cell r="AA126">
            <v>0</v>
          </cell>
          <cell r="AB126">
            <v>0</v>
          </cell>
          <cell r="AD126">
            <v>5067.8865664147379</v>
          </cell>
          <cell r="AE126">
            <v>5569.4310964510278</v>
          </cell>
          <cell r="AJ126">
            <v>10659.630588410922</v>
          </cell>
          <cell r="AK126">
            <v>9628.1662447165399</v>
          </cell>
          <cell r="AM126">
            <v>0</v>
          </cell>
          <cell r="AN126">
            <v>133.27276795240937</v>
          </cell>
          <cell r="AP126">
            <v>947.01764289364974</v>
          </cell>
          <cell r="AQ126">
            <v>0</v>
          </cell>
          <cell r="AS126">
            <v>17451.15737203055</v>
          </cell>
          <cell r="AT126">
            <v>5541.7763630301633</v>
          </cell>
          <cell r="AV126">
            <v>328.46265580426922</v>
          </cell>
          <cell r="AW126">
            <v>0</v>
          </cell>
          <cell r="AY126">
            <v>392.18005276187682</v>
          </cell>
          <cell r="AZ126">
            <v>0</v>
          </cell>
          <cell r="BB126">
            <v>372.00327676087647</v>
          </cell>
          <cell r="BC126">
            <v>0</v>
          </cell>
          <cell r="BE126">
            <v>189.47734017193309</v>
          </cell>
          <cell r="BF126">
            <v>0</v>
          </cell>
          <cell r="BH126">
            <v>105.68402349220877</v>
          </cell>
          <cell r="BI126">
            <v>5465.3785898137121</v>
          </cell>
          <cell r="BK126">
            <v>220.07829963175874</v>
          </cell>
          <cell r="BL126">
            <v>1490.4433143344122</v>
          </cell>
          <cell r="BN126">
            <v>79.769107936159529</v>
          </cell>
          <cell r="BO126">
            <v>0</v>
          </cell>
          <cell r="BT126">
            <v>16876.157167809484</v>
          </cell>
          <cell r="BU126">
            <v>14056.161113522558</v>
          </cell>
          <cell r="BW126">
            <v>12533.585930717967</v>
          </cell>
          <cell r="BX126">
            <v>19212.811880427009</v>
          </cell>
          <cell r="BZ126">
            <v>3029.5777218352528</v>
          </cell>
          <cell r="CA126">
            <v>13977.046253158469</v>
          </cell>
          <cell r="CC126">
            <v>296.68168716572262</v>
          </cell>
          <cell r="CD126">
            <v>299.95356944490209</v>
          </cell>
          <cell r="CF126">
            <v>36.523313760931757</v>
          </cell>
          <cell r="CG126">
            <v>0</v>
          </cell>
          <cell r="CI126">
            <v>2991.6844408212096</v>
          </cell>
          <cell r="CJ126">
            <v>3397.2173476771054</v>
          </cell>
          <cell r="CL126">
            <v>2695.3236255156671</v>
          </cell>
          <cell r="CM126">
            <v>3243.9251852958914</v>
          </cell>
          <cell r="CX126">
            <v>2500.953157121141</v>
          </cell>
          <cell r="CY126">
            <v>-5489.7574083023646</v>
          </cell>
        </row>
        <row r="127">
          <cell r="I127">
            <v>4776.7343170700387</v>
          </cell>
          <cell r="J127">
            <v>4168.351732462701</v>
          </cell>
          <cell r="L127">
            <v>719.57122720494851</v>
          </cell>
          <cell r="M127">
            <v>648.82547782721736</v>
          </cell>
          <cell r="O127">
            <v>2454.42</v>
          </cell>
          <cell r="P127">
            <v>2454.56</v>
          </cell>
          <cell r="R127">
            <v>501.14</v>
          </cell>
          <cell r="S127">
            <v>501.64</v>
          </cell>
          <cell r="U127">
            <v>208.3500279500883</v>
          </cell>
          <cell r="V127">
            <v>73.029412937953197</v>
          </cell>
          <cell r="X127">
            <v>1852.0601884178236</v>
          </cell>
          <cell r="Y127">
            <v>1536.3865804875823</v>
          </cell>
          <cell r="AA127">
            <v>0</v>
          </cell>
          <cell r="AB127">
            <v>0</v>
          </cell>
          <cell r="AD127">
            <v>6748.0460618437055</v>
          </cell>
          <cell r="AE127">
            <v>7415.8679529609235</v>
          </cell>
          <cell r="AJ127">
            <v>7894.1608090169193</v>
          </cell>
          <cell r="AK127">
            <v>7981.2196534867744</v>
          </cell>
          <cell r="AM127">
            <v>0</v>
          </cell>
          <cell r="AN127">
            <v>531.47054545536594</v>
          </cell>
          <cell r="AP127">
            <v>986.47671134755183</v>
          </cell>
          <cell r="AQ127">
            <v>0</v>
          </cell>
          <cell r="AS127">
            <v>21730.434584412214</v>
          </cell>
          <cell r="AT127">
            <v>4123.9450677383329</v>
          </cell>
          <cell r="AV127">
            <v>369.47411731187549</v>
          </cell>
          <cell r="AW127">
            <v>0</v>
          </cell>
          <cell r="AY127">
            <v>475.19115838972868</v>
          </cell>
          <cell r="AZ127">
            <v>0</v>
          </cell>
          <cell r="BB127">
            <v>655.87603860784714</v>
          </cell>
          <cell r="BC127">
            <v>0</v>
          </cell>
          <cell r="BE127">
            <v>238.48745367779139</v>
          </cell>
          <cell r="BF127">
            <v>0</v>
          </cell>
          <cell r="BH127">
            <v>105.68402349220877</v>
          </cell>
          <cell r="BI127">
            <v>294.13123099999996</v>
          </cell>
          <cell r="BK127">
            <v>223.64458815826015</v>
          </cell>
          <cell r="BL127">
            <v>0</v>
          </cell>
          <cell r="BN127">
            <v>81.769380765920587</v>
          </cell>
          <cell r="BO127">
            <v>0</v>
          </cell>
          <cell r="BT127">
            <v>17587.448211511677</v>
          </cell>
          <cell r="BU127">
            <v>15670.709000140138</v>
          </cell>
          <cell r="BW127">
            <v>13238.40311574012</v>
          </cell>
          <cell r="BX127">
            <v>20733.889682627909</v>
          </cell>
          <cell r="BZ127">
            <v>4327.9681740503611</v>
          </cell>
          <cell r="CA127">
            <v>15549.092938482787</v>
          </cell>
          <cell r="CC127">
            <v>214.12848802707805</v>
          </cell>
          <cell r="CD127">
            <v>216.48995230259948</v>
          </cell>
          <cell r="CF127">
            <v>26.360514624545594</v>
          </cell>
          <cell r="CG127">
            <v>0</v>
          </cell>
          <cell r="CI127">
            <v>3272.4473184790918</v>
          </cell>
          <cell r="CJ127">
            <v>2272.576429508817</v>
          </cell>
          <cell r="CL127">
            <v>3303.6431937744119</v>
          </cell>
          <cell r="CM127">
            <v>4629.2585095876948</v>
          </cell>
          <cell r="CX127">
            <v>95.516355350948288</v>
          </cell>
          <cell r="CY127">
            <v>3924.0869995918547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63.134509526243313</v>
          </cell>
          <cell r="AQ128">
            <v>0</v>
          </cell>
          <cell r="AS128">
            <v>569.25774224742077</v>
          </cell>
          <cell r="AT128">
            <v>0</v>
          </cell>
          <cell r="AV128">
            <v>0</v>
          </cell>
          <cell r="AW128">
            <v>0</v>
          </cell>
          <cell r="AY128">
            <v>0</v>
          </cell>
          <cell r="AZ128">
            <v>0</v>
          </cell>
          <cell r="BB128">
            <v>0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0</v>
          </cell>
          <cell r="BL128">
            <v>0</v>
          </cell>
          <cell r="BN128">
            <v>0</v>
          </cell>
          <cell r="BO128">
            <v>0</v>
          </cell>
          <cell r="BT128">
            <v>31.902681005596676</v>
          </cell>
          <cell r="BU128">
            <v>89.340405552530768</v>
          </cell>
          <cell r="BW128">
            <v>0</v>
          </cell>
          <cell r="BX128">
            <v>0.98134744681293951</v>
          </cell>
          <cell r="BZ128">
            <v>0</v>
          </cell>
          <cell r="CA128">
            <v>82.177738572136064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0</v>
          </cell>
          <cell r="CJ128">
            <v>0</v>
          </cell>
          <cell r="CL128">
            <v>0</v>
          </cell>
          <cell r="CM128">
            <v>0</v>
          </cell>
          <cell r="CX128">
            <v>9.3060806648871903</v>
          </cell>
          <cell r="CY128">
            <v>599.46061011422432</v>
          </cell>
        </row>
        <row r="129"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D129">
            <v>0</v>
          </cell>
          <cell r="AE129">
            <v>0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63.134509526243313</v>
          </cell>
          <cell r="AQ129">
            <v>0</v>
          </cell>
          <cell r="AS129">
            <v>381.67647174255643</v>
          </cell>
          <cell r="AT129">
            <v>0</v>
          </cell>
          <cell r="AV129">
            <v>0</v>
          </cell>
          <cell r="AW129">
            <v>0</v>
          </cell>
          <cell r="AY129">
            <v>0</v>
          </cell>
          <cell r="AZ129">
            <v>0</v>
          </cell>
          <cell r="BB129">
            <v>0</v>
          </cell>
          <cell r="BC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K129">
            <v>0</v>
          </cell>
          <cell r="BL129">
            <v>0</v>
          </cell>
          <cell r="BN129">
            <v>0</v>
          </cell>
          <cell r="BO129">
            <v>0</v>
          </cell>
          <cell r="BT129">
            <v>15.951340502798338</v>
          </cell>
          <cell r="BU129">
            <v>38.281123310803721</v>
          </cell>
          <cell r="BW129">
            <v>0</v>
          </cell>
          <cell r="BX129">
            <v>0.76887819453738815</v>
          </cell>
          <cell r="BZ129">
            <v>0</v>
          </cell>
          <cell r="CA129">
            <v>35.212019961485588</v>
          </cell>
          <cell r="CC129">
            <v>0</v>
          </cell>
          <cell r="CD129">
            <v>0</v>
          </cell>
          <cell r="CF129">
            <v>0</v>
          </cell>
          <cell r="CG129">
            <v>0</v>
          </cell>
          <cell r="CI129">
            <v>0</v>
          </cell>
          <cell r="CJ129">
            <v>0</v>
          </cell>
          <cell r="CL129">
            <v>0</v>
          </cell>
          <cell r="CM129">
            <v>0</v>
          </cell>
          <cell r="CX129">
            <v>13.785213874082274</v>
          </cell>
          <cell r="CY129">
            <v>477.58557423980801</v>
          </cell>
        </row>
        <row r="130"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63.134509526243313</v>
          </cell>
          <cell r="AQ130">
            <v>0</v>
          </cell>
          <cell r="AS130">
            <v>309.06574070629631</v>
          </cell>
          <cell r="AT130">
            <v>0</v>
          </cell>
          <cell r="AV130">
            <v>0</v>
          </cell>
          <cell r="AW130">
            <v>0</v>
          </cell>
          <cell r="AY130">
            <v>0</v>
          </cell>
          <cell r="AZ130">
            <v>0</v>
          </cell>
          <cell r="BB130">
            <v>0</v>
          </cell>
          <cell r="BC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K130">
            <v>0</v>
          </cell>
          <cell r="BL130">
            <v>0</v>
          </cell>
          <cell r="BN130">
            <v>0</v>
          </cell>
          <cell r="BO130">
            <v>0</v>
          </cell>
          <cell r="BT130">
            <v>0</v>
          </cell>
          <cell r="BU130">
            <v>0</v>
          </cell>
          <cell r="BW130">
            <v>0</v>
          </cell>
          <cell r="BX130">
            <v>0.57838852008344543</v>
          </cell>
          <cell r="BZ130">
            <v>0</v>
          </cell>
          <cell r="CA130">
            <v>0</v>
          </cell>
          <cell r="CC130">
            <v>0</v>
          </cell>
          <cell r="CD130">
            <v>0</v>
          </cell>
          <cell r="CF130">
            <v>0</v>
          </cell>
          <cell r="CG130">
            <v>0</v>
          </cell>
          <cell r="CI130">
            <v>0</v>
          </cell>
          <cell r="CJ130">
            <v>0</v>
          </cell>
          <cell r="CL130">
            <v>0</v>
          </cell>
          <cell r="CM130">
            <v>0</v>
          </cell>
          <cell r="CX130">
            <v>-3.0027904756479984E-4</v>
          </cell>
          <cell r="CY130">
            <v>445.9459337758999</v>
          </cell>
        </row>
        <row r="131">
          <cell r="I131">
            <v>1430.0344742090283</v>
          </cell>
          <cell r="J131">
            <v>1833.421037532542</v>
          </cell>
          <cell r="L131">
            <v>231.48993924785538</v>
          </cell>
          <cell r="M131">
            <v>295.6718960986417</v>
          </cell>
          <cell r="O131">
            <v>820.06</v>
          </cell>
          <cell r="P131">
            <v>820.22</v>
          </cell>
          <cell r="R131">
            <v>194.64</v>
          </cell>
          <cell r="S131">
            <v>194.56</v>
          </cell>
          <cell r="U131">
            <v>65.029090713311319</v>
          </cell>
          <cell r="V131">
            <v>53.251495533727706</v>
          </cell>
          <cell r="X131">
            <v>654.25699934816919</v>
          </cell>
          <cell r="Y131">
            <v>2532.261138299853</v>
          </cell>
          <cell r="AA131">
            <v>0</v>
          </cell>
          <cell r="AB131">
            <v>0</v>
          </cell>
          <cell r="AD131">
            <v>2718.7162165288923</v>
          </cell>
          <cell r="AE131">
            <v>2987.7745763109401</v>
          </cell>
          <cell r="AJ131">
            <v>2496.4053549718647</v>
          </cell>
          <cell r="AK131">
            <v>2523.9363580499839</v>
          </cell>
          <cell r="AM131">
            <v>0</v>
          </cell>
          <cell r="AN131">
            <v>0</v>
          </cell>
          <cell r="AP131">
            <v>355.13161608511865</v>
          </cell>
          <cell r="AQ131">
            <v>0</v>
          </cell>
          <cell r="AS131">
            <v>9732.1681610338401</v>
          </cell>
          <cell r="AT131">
            <v>0</v>
          </cell>
          <cell r="AV131">
            <v>124.99549231576577</v>
          </cell>
          <cell r="AW131">
            <v>0</v>
          </cell>
          <cell r="AY131">
            <v>153.02341104794502</v>
          </cell>
          <cell r="AZ131">
            <v>0</v>
          </cell>
          <cell r="BB131">
            <v>335.89607452838891</v>
          </cell>
          <cell r="BC131">
            <v>0</v>
          </cell>
          <cell r="BE131">
            <v>111.59307533867725</v>
          </cell>
          <cell r="BF131">
            <v>0</v>
          </cell>
          <cell r="BH131">
            <v>32.980617657691397</v>
          </cell>
          <cell r="BI131">
            <v>0</v>
          </cell>
          <cell r="BK131">
            <v>43.380793390018312</v>
          </cell>
          <cell r="BL131">
            <v>0</v>
          </cell>
          <cell r="BN131">
            <v>0</v>
          </cell>
          <cell r="BO131">
            <v>0</v>
          </cell>
          <cell r="BT131">
            <v>3289.2661212406183</v>
          </cell>
          <cell r="BU131">
            <v>2132.0531879636515</v>
          </cell>
          <cell r="BW131">
            <v>4513.7986003992146</v>
          </cell>
          <cell r="BX131">
            <v>4071.9774111560287</v>
          </cell>
          <cell r="BZ131">
            <v>909.41793131327347</v>
          </cell>
          <cell r="CA131">
            <v>1921.8352496139587</v>
          </cell>
          <cell r="CC131">
            <v>224.76628150278225</v>
          </cell>
          <cell r="CD131">
            <v>227.24506211250426</v>
          </cell>
          <cell r="CF131">
            <v>27.670091472880394</v>
          </cell>
          <cell r="CG131">
            <v>0</v>
          </cell>
          <cell r="CI131">
            <v>586.48245555202027</v>
          </cell>
          <cell r="CJ131">
            <v>383.50215206198862</v>
          </cell>
          <cell r="CL131">
            <v>567.76493037482805</v>
          </cell>
          <cell r="CM131">
            <v>1441.9759596297088</v>
          </cell>
          <cell r="CX131">
            <v>584.97872607337922</v>
          </cell>
          <cell r="CY131">
            <v>10424.117370763761</v>
          </cell>
        </row>
        <row r="132"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D132">
            <v>0</v>
          </cell>
          <cell r="AE132">
            <v>0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47.350882144682487</v>
          </cell>
          <cell r="AQ132">
            <v>0</v>
          </cell>
          <cell r="AS132">
            <v>363.18261367780133</v>
          </cell>
          <cell r="AT132">
            <v>0</v>
          </cell>
          <cell r="AV132">
            <v>0</v>
          </cell>
          <cell r="AW132">
            <v>0</v>
          </cell>
          <cell r="AY132">
            <v>0</v>
          </cell>
          <cell r="AZ132">
            <v>0</v>
          </cell>
          <cell r="BB132">
            <v>0</v>
          </cell>
          <cell r="BC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N132">
            <v>0</v>
          </cell>
          <cell r="BO132">
            <v>0</v>
          </cell>
          <cell r="BT132">
            <v>0</v>
          </cell>
          <cell r="BU132">
            <v>0</v>
          </cell>
          <cell r="BW132">
            <v>0</v>
          </cell>
          <cell r="BX132">
            <v>0.87470579145624505</v>
          </cell>
          <cell r="BZ132">
            <v>0</v>
          </cell>
          <cell r="CA132">
            <v>0</v>
          </cell>
          <cell r="CC132">
            <v>0</v>
          </cell>
          <cell r="CD132">
            <v>0</v>
          </cell>
          <cell r="CF132">
            <v>0</v>
          </cell>
          <cell r="CG132">
            <v>0</v>
          </cell>
          <cell r="CI132">
            <v>0</v>
          </cell>
          <cell r="CJ132">
            <v>0</v>
          </cell>
          <cell r="CL132">
            <v>0</v>
          </cell>
          <cell r="CM132">
            <v>0</v>
          </cell>
          <cell r="CX132">
            <v>9.8198050130194474</v>
          </cell>
          <cell r="CY132">
            <v>501.41035305025252</v>
          </cell>
        </row>
        <row r="133"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28.1</v>
          </cell>
          <cell r="P133">
            <v>28.08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11.837720536170622</v>
          </cell>
          <cell r="AQ133">
            <v>0</v>
          </cell>
          <cell r="AS133">
            <v>376.0473934711996</v>
          </cell>
          <cell r="AT133">
            <v>0</v>
          </cell>
          <cell r="AV133">
            <v>0</v>
          </cell>
          <cell r="AW133">
            <v>0</v>
          </cell>
          <cell r="AY133">
            <v>0</v>
          </cell>
          <cell r="AZ133">
            <v>0</v>
          </cell>
          <cell r="BB133">
            <v>10.841388784924442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N133">
            <v>0</v>
          </cell>
          <cell r="BO133">
            <v>0</v>
          </cell>
          <cell r="BT133">
            <v>0</v>
          </cell>
          <cell r="BU133">
            <v>0</v>
          </cell>
          <cell r="BW133">
            <v>0</v>
          </cell>
          <cell r="BX133">
            <v>0.73826959727470332</v>
          </cell>
          <cell r="BZ133">
            <v>0</v>
          </cell>
          <cell r="CA133">
            <v>0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0</v>
          </cell>
          <cell r="CJ133">
            <v>0</v>
          </cell>
          <cell r="CL133">
            <v>0</v>
          </cell>
          <cell r="CM133">
            <v>0</v>
          </cell>
          <cell r="CX133">
            <v>47.988196649246333</v>
          </cell>
          <cell r="CY133">
            <v>525.59807648327023</v>
          </cell>
        </row>
        <row r="134">
          <cell r="I134">
            <v>865.13584529854973</v>
          </cell>
          <cell r="J134">
            <v>957.305441307808</v>
          </cell>
          <cell r="L134">
            <v>151.89314510575448</v>
          </cell>
          <cell r="M134">
            <v>167.16110296426169</v>
          </cell>
          <cell r="O134">
            <v>355.74</v>
          </cell>
          <cell r="P134">
            <v>355.75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X134">
            <v>501.10049208695614</v>
          </cell>
          <cell r="Y134">
            <v>465.49511437502338</v>
          </cell>
          <cell r="AA134">
            <v>0</v>
          </cell>
          <cell r="AB134">
            <v>0</v>
          </cell>
          <cell r="AD134">
            <v>1058.6958876213164</v>
          </cell>
          <cell r="AE134">
            <v>1163.0783809382378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733.9386732425786</v>
          </cell>
          <cell r="AQ134">
            <v>2151.6637752979409</v>
          </cell>
          <cell r="AS134">
            <v>2437.5860038463184</v>
          </cell>
          <cell r="AT134">
            <v>1587.1868598870578</v>
          </cell>
          <cell r="AV134">
            <v>143.40667600346097</v>
          </cell>
          <cell r="AW134">
            <v>0</v>
          </cell>
          <cell r="AY134">
            <v>195.76233491122258</v>
          </cell>
          <cell r="AZ134">
            <v>0</v>
          </cell>
          <cell r="BB134">
            <v>195.83071739750042</v>
          </cell>
          <cell r="BC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K134">
            <v>58.242111861801746</v>
          </cell>
          <cell r="BL134">
            <v>0</v>
          </cell>
          <cell r="BN134">
            <v>0</v>
          </cell>
          <cell r="BO134">
            <v>0</v>
          </cell>
          <cell r="BT134">
            <v>4523.2235593910427</v>
          </cell>
          <cell r="BU134">
            <v>3837.7402916654746</v>
          </cell>
          <cell r="BW134">
            <v>1590.6871427887886</v>
          </cell>
          <cell r="BX134">
            <v>1555.1048806768413</v>
          </cell>
          <cell r="BZ134">
            <v>1152.8566188084644</v>
          </cell>
          <cell r="CA134">
            <v>3232.5268784701384</v>
          </cell>
          <cell r="CC134">
            <v>98.534400397075743</v>
          </cell>
          <cell r="CD134">
            <v>99.621063216168707</v>
          </cell>
          <cell r="CF134">
            <v>12.13018186706425</v>
          </cell>
          <cell r="CG134">
            <v>1129.7586742620404</v>
          </cell>
          <cell r="CI134">
            <v>271.40411506928592</v>
          </cell>
          <cell r="CJ134">
            <v>416.7596121913366</v>
          </cell>
          <cell r="CL134">
            <v>0</v>
          </cell>
          <cell r="CM134">
            <v>0</v>
          </cell>
          <cell r="CX134">
            <v>281.33851316338041</v>
          </cell>
          <cell r="CY134">
            <v>-3046.2424903027968</v>
          </cell>
        </row>
        <row r="135">
          <cell r="I135">
            <v>1901.7003311699566</v>
          </cell>
          <cell r="J135">
            <v>1668.4713198524387</v>
          </cell>
          <cell r="L135">
            <v>324.64784090836838</v>
          </cell>
          <cell r="M135">
            <v>292.72963611380794</v>
          </cell>
          <cell r="O135">
            <v>991.6</v>
          </cell>
          <cell r="P135">
            <v>991.61666666666679</v>
          </cell>
          <cell r="R135">
            <v>199.04</v>
          </cell>
          <cell r="S135">
            <v>199.03333333333333</v>
          </cell>
          <cell r="U135">
            <v>130.00964065633656</v>
          </cell>
          <cell r="V135">
            <v>45.569938929811315</v>
          </cell>
          <cell r="X135">
            <v>1492.6457810054089</v>
          </cell>
          <cell r="Y135">
            <v>1842.4080174842395</v>
          </cell>
          <cell r="AA135">
            <v>0</v>
          </cell>
          <cell r="AB135">
            <v>0</v>
          </cell>
          <cell r="AD135">
            <v>2867.8002093199393</v>
          </cell>
          <cell r="AE135">
            <v>3151.612699866444</v>
          </cell>
          <cell r="AJ135">
            <v>6913.0950965152351</v>
          </cell>
          <cell r="AK135">
            <v>6989.3119663893776</v>
          </cell>
          <cell r="AM135">
            <v>0</v>
          </cell>
          <cell r="AN135">
            <v>0</v>
          </cell>
          <cell r="AP135">
            <v>552.42695835462905</v>
          </cell>
          <cell r="AQ135">
            <v>3022.1286148005593</v>
          </cell>
          <cell r="AS135">
            <v>12409.802417133933</v>
          </cell>
          <cell r="AT135">
            <v>151669.00607711385</v>
          </cell>
          <cell r="AV135">
            <v>161.43598939048366</v>
          </cell>
          <cell r="AW135">
            <v>0</v>
          </cell>
          <cell r="AY135">
            <v>216.85252149748126</v>
          </cell>
          <cell r="AZ135">
            <v>0</v>
          </cell>
          <cell r="BB135">
            <v>245.14168481353812</v>
          </cell>
          <cell r="BC135">
            <v>0</v>
          </cell>
          <cell r="BE135">
            <v>99.504095214135731</v>
          </cell>
          <cell r="BF135">
            <v>0</v>
          </cell>
          <cell r="BH135">
            <v>65.961235315382794</v>
          </cell>
          <cell r="BI135">
            <v>0</v>
          </cell>
          <cell r="BK135">
            <v>143.99064936730142</v>
          </cell>
          <cell r="BL135">
            <v>990.29746557913325</v>
          </cell>
          <cell r="BN135">
            <v>65.815575516818669</v>
          </cell>
          <cell r="BO135">
            <v>0</v>
          </cell>
          <cell r="BT135">
            <v>8208.7246994349371</v>
          </cell>
          <cell r="BU135">
            <v>6245.1978736289411</v>
          </cell>
          <cell r="BW135">
            <v>8106.6637301468609</v>
          </cell>
          <cell r="BX135">
            <v>10736.432402032118</v>
          </cell>
          <cell r="BZ135">
            <v>1081.9920435125903</v>
          </cell>
          <cell r="CA135">
            <v>5915.3409675461207</v>
          </cell>
          <cell r="CC135">
            <v>187.90167001094099</v>
          </cell>
          <cell r="CD135">
            <v>189.97389816297249</v>
          </cell>
          <cell r="CF135">
            <v>23.131834376346898</v>
          </cell>
          <cell r="CG135">
            <v>0</v>
          </cell>
          <cell r="CI135">
            <v>1060.6597600408875</v>
          </cell>
          <cell r="CJ135">
            <v>1710.2257764125666</v>
          </cell>
          <cell r="CL135">
            <v>1157.3669734563805</v>
          </cell>
          <cell r="CM135">
            <v>1182.277150478556</v>
          </cell>
          <cell r="CX135">
            <v>1458.507115410539</v>
          </cell>
          <cell r="CY135">
            <v>-176421.96056526911</v>
          </cell>
        </row>
        <row r="136">
          <cell r="I136">
            <v>855.53261713107736</v>
          </cell>
          <cell r="J136">
            <v>946.97150178372885</v>
          </cell>
          <cell r="L136">
            <v>151.89314510575448</v>
          </cell>
          <cell r="M136">
            <v>167.16110296426169</v>
          </cell>
          <cell r="O136">
            <v>355.74</v>
          </cell>
          <cell r="P136">
            <v>355.75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501.10049208695614</v>
          </cell>
          <cell r="Y136">
            <v>457.2801939119571</v>
          </cell>
          <cell r="AA136">
            <v>0</v>
          </cell>
          <cell r="AB136">
            <v>0</v>
          </cell>
          <cell r="AD136">
            <v>1058.2683044679961</v>
          </cell>
          <cell r="AE136">
            <v>1163.0000644355823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710.2632321702373</v>
          </cell>
          <cell r="AQ136">
            <v>2007.7528888788668</v>
          </cell>
          <cell r="AS136">
            <v>3067.072911326195</v>
          </cell>
          <cell r="AT136">
            <v>1634.4605878017144</v>
          </cell>
          <cell r="AV136">
            <v>142.83996650654154</v>
          </cell>
          <cell r="AW136">
            <v>0</v>
          </cell>
          <cell r="AY136">
            <v>195.76233491122258</v>
          </cell>
          <cell r="AZ136">
            <v>0</v>
          </cell>
          <cell r="BB136">
            <v>185.89456253896032</v>
          </cell>
          <cell r="BC136">
            <v>0</v>
          </cell>
          <cell r="BE136">
            <v>0</v>
          </cell>
          <cell r="BF136">
            <v>0</v>
          </cell>
          <cell r="BH136">
            <v>0</v>
          </cell>
          <cell r="BI136">
            <v>0</v>
          </cell>
          <cell r="BK136">
            <v>58.242111861801746</v>
          </cell>
          <cell r="BL136">
            <v>0</v>
          </cell>
          <cell r="BN136">
            <v>0</v>
          </cell>
          <cell r="BO136">
            <v>0</v>
          </cell>
          <cell r="BT136">
            <v>1729.1826723157401</v>
          </cell>
          <cell r="BU136">
            <v>1863.7935053909828</v>
          </cell>
          <cell r="BW136">
            <v>1345.5072202328861</v>
          </cell>
          <cell r="BX136">
            <v>1314.159832710611</v>
          </cell>
          <cell r="BZ136">
            <v>1030.5202036674464</v>
          </cell>
          <cell r="CA136">
            <v>1637.9115957780514</v>
          </cell>
          <cell r="CC136">
            <v>102.94638847455676</v>
          </cell>
          <cell r="CD136">
            <v>104.0817078377882</v>
          </cell>
          <cell r="CF136">
            <v>12.673324338723843</v>
          </cell>
          <cell r="CG136">
            <v>0</v>
          </cell>
          <cell r="CI136">
            <v>489.77524213652754</v>
          </cell>
          <cell r="CJ136">
            <v>121.40349746733136</v>
          </cell>
          <cell r="CL136">
            <v>0</v>
          </cell>
          <cell r="CM136">
            <v>0</v>
          </cell>
          <cell r="CX136">
            <v>346.88232487285131</v>
          </cell>
          <cell r="CY136">
            <v>610.26822524694762</v>
          </cell>
        </row>
        <row r="137">
          <cell r="I137">
            <v>542.49523897892993</v>
          </cell>
          <cell r="J137">
            <v>592.74132634564069</v>
          </cell>
          <cell r="L137">
            <v>115.89283842765819</v>
          </cell>
          <cell r="M137">
            <v>127.54175063831653</v>
          </cell>
          <cell r="O137">
            <v>169.16</v>
          </cell>
          <cell r="P137">
            <v>169.16666666666669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337.02213023549615</v>
          </cell>
          <cell r="Y137">
            <v>331.88296168908033</v>
          </cell>
          <cell r="AA137">
            <v>0</v>
          </cell>
          <cell r="AB137">
            <v>0</v>
          </cell>
          <cell r="AD137">
            <v>530.63069327061942</v>
          </cell>
          <cell r="AE137">
            <v>583.14467877355855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260.42985179575368</v>
          </cell>
          <cell r="AQ137">
            <v>719.55443209537134</v>
          </cell>
          <cell r="AS137">
            <v>1508.1134669330793</v>
          </cell>
          <cell r="AT137">
            <v>1374.367025578257</v>
          </cell>
          <cell r="AV137">
            <v>95.899640838670678</v>
          </cell>
          <cell r="AW137">
            <v>0</v>
          </cell>
          <cell r="AY137">
            <v>149.39035559607422</v>
          </cell>
          <cell r="AZ137">
            <v>0</v>
          </cell>
          <cell r="BB137">
            <v>75.981484148226926</v>
          </cell>
          <cell r="BC137">
            <v>0</v>
          </cell>
          <cell r="BE137">
            <v>0</v>
          </cell>
          <cell r="BF137">
            <v>0</v>
          </cell>
          <cell r="BH137">
            <v>0</v>
          </cell>
          <cell r="BI137">
            <v>0</v>
          </cell>
          <cell r="BK137">
            <v>40.779527065714653</v>
          </cell>
          <cell r="BL137">
            <v>0</v>
          </cell>
          <cell r="BN137">
            <v>0</v>
          </cell>
          <cell r="BO137">
            <v>0</v>
          </cell>
          <cell r="BT137">
            <v>1493.6013114539403</v>
          </cell>
          <cell r="BU137">
            <v>1697.5264655382521</v>
          </cell>
          <cell r="BW137">
            <v>836.432635961188</v>
          </cell>
          <cell r="BX137">
            <v>944.60793928483656</v>
          </cell>
          <cell r="BZ137">
            <v>815.63176666774837</v>
          </cell>
          <cell r="CA137">
            <v>1698.8856848268631</v>
          </cell>
          <cell r="CC137">
            <v>51.473194237278378</v>
          </cell>
          <cell r="CD137">
            <v>52.040853918894101</v>
          </cell>
          <cell r="CF137">
            <v>6.3366621693619214</v>
          </cell>
          <cell r="CG137">
            <v>0</v>
          </cell>
          <cell r="CI137">
            <v>140.38143882894101</v>
          </cell>
          <cell r="CJ137">
            <v>69.357611213086287</v>
          </cell>
          <cell r="CL137">
            <v>0</v>
          </cell>
          <cell r="CM137">
            <v>0</v>
          </cell>
          <cell r="CX137">
            <v>-2.2683930415951181E-2</v>
          </cell>
          <cell r="CY137">
            <v>-1429.4208758825844</v>
          </cell>
        </row>
        <row r="138">
          <cell r="I138">
            <v>351.57862051750493</v>
          </cell>
          <cell r="J138">
            <v>382.90119133555851</v>
          </cell>
          <cell r="L138">
            <v>55.924551659938601</v>
          </cell>
          <cell r="M138">
            <v>61.545678818659979</v>
          </cell>
          <cell r="O138">
            <v>94.72</v>
          </cell>
          <cell r="P138">
            <v>94.733333333333348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>
            <v>160.71800817894464</v>
          </cell>
          <cell r="Y138">
            <v>148.19219354024676</v>
          </cell>
          <cell r="AA138">
            <v>0</v>
          </cell>
          <cell r="AB138">
            <v>0</v>
          </cell>
          <cell r="AD138">
            <v>301.37485923199699</v>
          </cell>
          <cell r="AE138">
            <v>331.20048973051024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189.40352857872995</v>
          </cell>
          <cell r="AQ138">
            <v>431.73265925722279</v>
          </cell>
          <cell r="AS138">
            <v>1015.0315248158872</v>
          </cell>
          <cell r="AT138">
            <v>114.46218925325803</v>
          </cell>
          <cell r="AV138">
            <v>59.085306560631935</v>
          </cell>
          <cell r="AW138">
            <v>0</v>
          </cell>
          <cell r="AY138">
            <v>72.08773375891468</v>
          </cell>
          <cell r="AZ138">
            <v>0</v>
          </cell>
          <cell r="BB138">
            <v>44.209091793188861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13.131198850039331</v>
          </cell>
          <cell r="BL138">
            <v>0</v>
          </cell>
          <cell r="BN138">
            <v>0</v>
          </cell>
          <cell r="BO138">
            <v>0</v>
          </cell>
          <cell r="BT138">
            <v>1100.0539151582304</v>
          </cell>
          <cell r="BU138">
            <v>1077.3511417303944</v>
          </cell>
          <cell r="BW138">
            <v>546.9711536846462</v>
          </cell>
          <cell r="BX138">
            <v>615.50536943336294</v>
          </cell>
          <cell r="BZ138">
            <v>151.74840017694066</v>
          </cell>
          <cell r="CA138">
            <v>986.16230539079447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124.78350118128091</v>
          </cell>
          <cell r="CJ138">
            <v>175.90235794572129</v>
          </cell>
          <cell r="CL138">
            <v>0</v>
          </cell>
          <cell r="CM138">
            <v>0</v>
          </cell>
          <cell r="CX138">
            <v>-2.5672976250461943E-2</v>
          </cell>
          <cell r="CY138">
            <v>-166.66669172287493</v>
          </cell>
        </row>
        <row r="139">
          <cell r="I139">
            <v>1865.3122688848102</v>
          </cell>
          <cell r="J139">
            <v>2072.9862366348352</v>
          </cell>
          <cell r="L139">
            <v>380.52254474762248</v>
          </cell>
          <cell r="M139">
            <v>418.77112677670232</v>
          </cell>
          <cell r="O139">
            <v>820.52</v>
          </cell>
          <cell r="P139">
            <v>820.5333333333333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>
            <v>1250.9767379709051</v>
          </cell>
          <cell r="Y139">
            <v>1209.2190854134265</v>
          </cell>
          <cell r="AA139">
            <v>0</v>
          </cell>
          <cell r="AB139">
            <v>0</v>
          </cell>
          <cell r="AD139">
            <v>2477.2956417783043</v>
          </cell>
          <cell r="AE139">
            <v>2817.9295770017516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1538.9036697021809</v>
          </cell>
          <cell r="AQ139">
            <v>0</v>
          </cell>
          <cell r="AS139">
            <v>5434.9303082525867</v>
          </cell>
          <cell r="AT139">
            <v>0</v>
          </cell>
          <cell r="AV139">
            <v>309.24744506594914</v>
          </cell>
          <cell r="AW139">
            <v>0</v>
          </cell>
          <cell r="AY139">
            <v>490.42556714245251</v>
          </cell>
          <cell r="AZ139">
            <v>0</v>
          </cell>
          <cell r="BB139">
            <v>430.839921178493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174.4186197559111</v>
          </cell>
          <cell r="BL139">
            <v>0</v>
          </cell>
          <cell r="BN139">
            <v>0</v>
          </cell>
          <cell r="BO139">
            <v>0</v>
          </cell>
          <cell r="BT139">
            <v>4635.9429891762629</v>
          </cell>
          <cell r="BU139">
            <v>5046.4485869126447</v>
          </cell>
          <cell r="BW139">
            <v>3429.2911878663831</v>
          </cell>
          <cell r="BX139">
            <v>4083.3559415271275</v>
          </cell>
          <cell r="BZ139">
            <v>2525.226801110196</v>
          </cell>
          <cell r="CA139">
            <v>4880.7136828099192</v>
          </cell>
          <cell r="CC139">
            <v>146.57604835186891</v>
          </cell>
          <cell r="CD139">
            <v>148.19252687380322</v>
          </cell>
          <cell r="CF139">
            <v>18.044399891802041</v>
          </cell>
          <cell r="CG139">
            <v>0</v>
          </cell>
          <cell r="CI139">
            <v>807.97317014879377</v>
          </cell>
          <cell r="CJ139">
            <v>394.00851123700238</v>
          </cell>
          <cell r="CL139">
            <v>0</v>
          </cell>
          <cell r="CM139">
            <v>0</v>
          </cell>
          <cell r="CX139">
            <v>1588.3832147705725</v>
          </cell>
          <cell r="CY139">
            <v>7401.5296697753365</v>
          </cell>
        </row>
        <row r="140">
          <cell r="I140">
            <v>139.34490585054729</v>
          </cell>
          <cell r="J140">
            <v>155.82933144195766</v>
          </cell>
          <cell r="L140">
            <v>46.89928558546012</v>
          </cell>
          <cell r="M140">
            <v>51.61370419448469</v>
          </cell>
          <cell r="O140">
            <v>76.86</v>
          </cell>
          <cell r="P140">
            <v>76.850000000000009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>
            <v>80.04788026260654</v>
          </cell>
          <cell r="Y140">
            <v>75.057224161382251</v>
          </cell>
          <cell r="AA140">
            <v>0</v>
          </cell>
          <cell r="AB140">
            <v>0</v>
          </cell>
          <cell r="AD140">
            <v>241.7982732026876</v>
          </cell>
          <cell r="AE140">
            <v>265.72789351043298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P140">
            <v>94.701764289364974</v>
          </cell>
          <cell r="AQ140">
            <v>0</v>
          </cell>
          <cell r="AS140">
            <v>765.14678073392361</v>
          </cell>
          <cell r="AT140">
            <v>0</v>
          </cell>
          <cell r="AV140">
            <v>47.059309791594281</v>
          </cell>
          <cell r="AW140">
            <v>0</v>
          </cell>
          <cell r="AY140">
            <v>60.404944907288225</v>
          </cell>
          <cell r="AZ140">
            <v>0</v>
          </cell>
          <cell r="BB140">
            <v>29.899082143124652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K140">
            <v>9.782104083393186</v>
          </cell>
          <cell r="BL140">
            <v>0</v>
          </cell>
          <cell r="BN140">
            <v>0</v>
          </cell>
          <cell r="BO140">
            <v>0</v>
          </cell>
          <cell r="BT140">
            <v>587.58115212519897</v>
          </cell>
          <cell r="BU140">
            <v>708.40845196749524</v>
          </cell>
          <cell r="BW140">
            <v>419.41787323172497</v>
          </cell>
          <cell r="BX140">
            <v>451.69010952182373</v>
          </cell>
          <cell r="BZ140">
            <v>361.08730275838911</v>
          </cell>
          <cell r="CA140">
            <v>758.25631343906321</v>
          </cell>
          <cell r="CC140">
            <v>0</v>
          </cell>
          <cell r="CD140">
            <v>0</v>
          </cell>
          <cell r="CF140">
            <v>0</v>
          </cell>
          <cell r="CG140">
            <v>0</v>
          </cell>
          <cell r="CI140">
            <v>3.1195875295320228</v>
          </cell>
          <cell r="CJ140">
            <v>0</v>
          </cell>
          <cell r="CL140">
            <v>0</v>
          </cell>
          <cell r="CM140">
            <v>0</v>
          </cell>
          <cell r="CX140">
            <v>-67.940295793802761</v>
          </cell>
          <cell r="CY140">
            <v>435.72036611603221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84.86</v>
          </cell>
          <cell r="P141">
            <v>84.866666666666674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P141">
            <v>23.675441072341243</v>
          </cell>
          <cell r="AQ141">
            <v>0</v>
          </cell>
          <cell r="AS141">
            <v>520.50321866540708</v>
          </cell>
          <cell r="AT141">
            <v>2434.1375100879682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B141">
            <v>37.508628877400184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T141">
            <v>55.829691759794173</v>
          </cell>
          <cell r="BU141">
            <v>77.906769013239767</v>
          </cell>
          <cell r="BW141">
            <v>0</v>
          </cell>
          <cell r="BX141">
            <v>2.0347390653744855</v>
          </cell>
          <cell r="BZ141">
            <v>0</v>
          </cell>
          <cell r="CA141">
            <v>73.297304685086999</v>
          </cell>
          <cell r="CC141">
            <v>0</v>
          </cell>
          <cell r="CD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X141">
            <v>145.84762355006887</v>
          </cell>
          <cell r="CY141">
            <v>-2193.9915874220028</v>
          </cell>
        </row>
        <row r="142">
          <cell r="I142">
            <v>1009.1308553746552</v>
          </cell>
          <cell r="J142">
            <v>1151.143416620554</v>
          </cell>
          <cell r="L142">
            <v>200.42000866537376</v>
          </cell>
          <cell r="M142">
            <v>220.56581897622061</v>
          </cell>
          <cell r="O142">
            <v>675.9</v>
          </cell>
          <cell r="P142">
            <v>675.90000000000009</v>
          </cell>
          <cell r="R142">
            <v>199.6</v>
          </cell>
          <cell r="S142">
            <v>199.60000000000002</v>
          </cell>
          <cell r="U142">
            <v>0</v>
          </cell>
          <cell r="V142">
            <v>0</v>
          </cell>
          <cell r="X142">
            <v>899.10558157150649</v>
          </cell>
          <cell r="Y142">
            <v>863.85393377837954</v>
          </cell>
          <cell r="AA142">
            <v>0</v>
          </cell>
          <cell r="AB142">
            <v>0</v>
          </cell>
          <cell r="AD142">
            <v>2350.4816048893617</v>
          </cell>
          <cell r="AE142">
            <v>2576.5972740685365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284.10529286809492</v>
          </cell>
          <cell r="AQ142">
            <v>143.32759300339319</v>
          </cell>
          <cell r="AS142">
            <v>6661.8589022123697</v>
          </cell>
          <cell r="AT142">
            <v>1260.8226852769128</v>
          </cell>
          <cell r="AV142">
            <v>187.4391067611696</v>
          </cell>
          <cell r="AW142">
            <v>0</v>
          </cell>
          <cell r="AY142">
            <v>258.30373939722529</v>
          </cell>
          <cell r="AZ142">
            <v>0</v>
          </cell>
          <cell r="BB142">
            <v>417.52689610795557</v>
          </cell>
          <cell r="BC142">
            <v>0</v>
          </cell>
          <cell r="BE142">
            <v>234.92107816430971</v>
          </cell>
          <cell r="BF142">
            <v>0</v>
          </cell>
          <cell r="BH142">
            <v>0</v>
          </cell>
          <cell r="BI142">
            <v>0</v>
          </cell>
          <cell r="BK142">
            <v>120.7391811804537</v>
          </cell>
          <cell r="BL142">
            <v>0</v>
          </cell>
          <cell r="BN142">
            <v>0</v>
          </cell>
          <cell r="BO142">
            <v>0</v>
          </cell>
          <cell r="BT142">
            <v>6308.2688282534582</v>
          </cell>
          <cell r="BU142">
            <v>6482.6654517243496</v>
          </cell>
          <cell r="BW142">
            <v>2577.0798472638176</v>
          </cell>
          <cell r="BX142">
            <v>3166.7685127865875</v>
          </cell>
          <cell r="BZ142">
            <v>2752.2272518727541</v>
          </cell>
          <cell r="CA142">
            <v>6166.9066110685308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567.76493037482805</v>
          </cell>
          <cell r="CJ142">
            <v>559.81716150648981</v>
          </cell>
          <cell r="CL142">
            <v>0</v>
          </cell>
          <cell r="CM142">
            <v>0</v>
          </cell>
          <cell r="CX142">
            <v>1419.2322740512027</v>
          </cell>
          <cell r="CY142">
            <v>4103.5178494280553</v>
          </cell>
        </row>
        <row r="143">
          <cell r="I143">
            <v>1316.1161092304196</v>
          </cell>
          <cell r="J143">
            <v>1452.1130671868177</v>
          </cell>
          <cell r="L143">
            <v>242.04325103642387</v>
          </cell>
          <cell r="M143">
            <v>266.37230303525854</v>
          </cell>
          <cell r="O143">
            <v>475.2</v>
          </cell>
          <cell r="P143">
            <v>475.2166666666667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>
            <v>678.7348856284442</v>
          </cell>
          <cell r="Y143">
            <v>2728.2123953492628</v>
          </cell>
          <cell r="AA143">
            <v>0</v>
          </cell>
          <cell r="AB143">
            <v>0</v>
          </cell>
          <cell r="AD143">
            <v>1458.2010805403459</v>
          </cell>
          <cell r="AE143">
            <v>1602.5122773387798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1112.7457304000384</v>
          </cell>
          <cell r="AQ143">
            <v>644.9741685152693</v>
          </cell>
          <cell r="AS143">
            <v>4338.0403342556865</v>
          </cell>
          <cell r="AT143">
            <v>0</v>
          </cell>
          <cell r="AV143">
            <v>209.68610314611877</v>
          </cell>
          <cell r="AW143">
            <v>0</v>
          </cell>
          <cell r="AY143">
            <v>311.97860728969681</v>
          </cell>
          <cell r="AZ143">
            <v>0</v>
          </cell>
          <cell r="BB143">
            <v>235.70928345887529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575.62394851667761</v>
          </cell>
          <cell r="BK143">
            <v>86.524571442710084</v>
          </cell>
          <cell r="BL143">
            <v>0</v>
          </cell>
          <cell r="BN143">
            <v>0</v>
          </cell>
          <cell r="BO143">
            <v>0</v>
          </cell>
          <cell r="BT143">
            <v>2123.3113174156992</v>
          </cell>
          <cell r="BU143">
            <v>2403.0990972946338</v>
          </cell>
          <cell r="BW143">
            <v>1851.3847795805198</v>
          </cell>
          <cell r="BX143">
            <v>2166.2952954269917</v>
          </cell>
          <cell r="BZ143">
            <v>1217.2371132488631</v>
          </cell>
          <cell r="CA143">
            <v>2368.0937319956929</v>
          </cell>
          <cell r="CC143">
            <v>334.62478463205923</v>
          </cell>
          <cell r="CD143">
            <v>338.31511319082961</v>
          </cell>
          <cell r="CF143">
            <v>41.194339017204264</v>
          </cell>
          <cell r="CG143">
            <v>0</v>
          </cell>
          <cell r="CI143">
            <v>552.16699272716801</v>
          </cell>
          <cell r="CJ143">
            <v>510.32489618340901</v>
          </cell>
          <cell r="CL143">
            <v>0</v>
          </cell>
          <cell r="CM143">
            <v>0</v>
          </cell>
          <cell r="CX143">
            <v>299.5208603396768</v>
          </cell>
          <cell r="CY143">
            <v>1564.0164471596527</v>
          </cell>
        </row>
        <row r="144">
          <cell r="I144">
            <v>1068.5265618407543</v>
          </cell>
          <cell r="J144">
            <v>1205.7532643817856</v>
          </cell>
          <cell r="L144">
            <v>214.22921161810962</v>
          </cell>
          <cell r="M144">
            <v>235.76228288206258</v>
          </cell>
          <cell r="O144">
            <v>600.14</v>
          </cell>
          <cell r="P144">
            <v>600.15</v>
          </cell>
          <cell r="R144">
            <v>177.32</v>
          </cell>
          <cell r="S144">
            <v>177.31666666666666</v>
          </cell>
          <cell r="U144">
            <v>0</v>
          </cell>
          <cell r="V144">
            <v>0</v>
          </cell>
          <cell r="X144">
            <v>882.13503577038978</v>
          </cell>
          <cell r="Y144">
            <v>850.67043695454743</v>
          </cell>
          <cell r="AA144">
            <v>0</v>
          </cell>
          <cell r="AB144">
            <v>0</v>
          </cell>
          <cell r="AD144">
            <v>2006.840150951643</v>
          </cell>
          <cell r="AE144">
            <v>2209.7549439794652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260.42985179575368</v>
          </cell>
          <cell r="AQ144">
            <v>0</v>
          </cell>
          <cell r="AS144">
            <v>6034.821116901755</v>
          </cell>
          <cell r="AT144">
            <v>34.345116963773862</v>
          </cell>
          <cell r="AV144">
            <v>185.03472901469073</v>
          </cell>
          <cell r="AW144">
            <v>0</v>
          </cell>
          <cell r="AY144">
            <v>276.14354862921226</v>
          </cell>
          <cell r="AZ144">
            <v>0</v>
          </cell>
          <cell r="BB144">
            <v>370.93148431507529</v>
          </cell>
          <cell r="BC144">
            <v>0</v>
          </cell>
          <cell r="BE144">
            <v>213.4689416535854</v>
          </cell>
          <cell r="BF144">
            <v>0</v>
          </cell>
          <cell r="BH144">
            <v>0</v>
          </cell>
          <cell r="BI144">
            <v>0</v>
          </cell>
          <cell r="BK144">
            <v>118.21256501765102</v>
          </cell>
          <cell r="BL144">
            <v>0</v>
          </cell>
          <cell r="BN144">
            <v>0</v>
          </cell>
          <cell r="BO144">
            <v>0</v>
          </cell>
          <cell r="BT144">
            <v>5231.556439532781</v>
          </cell>
          <cell r="BU144">
            <v>5038.9288921006719</v>
          </cell>
          <cell r="BW144">
            <v>3479.5450299323425</v>
          </cell>
          <cell r="BX144">
            <v>4137.3931467064458</v>
          </cell>
          <cell r="BZ144">
            <v>2034.3988130776456</v>
          </cell>
          <cell r="CA144">
            <v>4870.1268268195909</v>
          </cell>
          <cell r="CC144">
            <v>286.28900413876733</v>
          </cell>
          <cell r="CD144">
            <v>289.44627322508717</v>
          </cell>
          <cell r="CF144">
            <v>35.243911494355835</v>
          </cell>
          <cell r="CG144">
            <v>0</v>
          </cell>
          <cell r="CI144">
            <v>96.707213415492689</v>
          </cell>
          <cell r="CJ144">
            <v>86.659271501225561</v>
          </cell>
          <cell r="CL144">
            <v>0</v>
          </cell>
          <cell r="CM144">
            <v>0</v>
          </cell>
          <cell r="CX144">
            <v>1211.6516690799945</v>
          </cell>
          <cell r="CY144">
            <v>5814.4514533824167</v>
          </cell>
        </row>
        <row r="145">
          <cell r="I145">
            <v>4212.8469126046803</v>
          </cell>
          <cell r="J145">
            <v>3642.4634259500117</v>
          </cell>
          <cell r="L145">
            <v>653.74375445418661</v>
          </cell>
          <cell r="M145">
            <v>589.46134837074874</v>
          </cell>
          <cell r="O145">
            <v>1733.54</v>
          </cell>
          <cell r="P145">
            <v>1733.5333333333333</v>
          </cell>
          <cell r="R145">
            <v>364.22</v>
          </cell>
          <cell r="S145">
            <v>364.2166666666667</v>
          </cell>
          <cell r="U145">
            <v>208.3500279500883</v>
          </cell>
          <cell r="V145">
            <v>73.029412937953197</v>
          </cell>
          <cell r="X145">
            <v>1862.1635498189644</v>
          </cell>
          <cell r="Y145">
            <v>1417.0505194511848</v>
          </cell>
          <cell r="AA145">
            <v>0</v>
          </cell>
          <cell r="AB145">
            <v>0</v>
          </cell>
          <cell r="AD145">
            <v>4932.7417844219362</v>
          </cell>
          <cell r="AE145">
            <v>5420.9116808149583</v>
          </cell>
          <cell r="AJ145">
            <v>8931.4013798182496</v>
          </cell>
          <cell r="AK145">
            <v>9029.8766527147764</v>
          </cell>
          <cell r="AM145">
            <v>0</v>
          </cell>
          <cell r="AN145">
            <v>0</v>
          </cell>
          <cell r="AP145">
            <v>931.23401551208894</v>
          </cell>
          <cell r="AQ145">
            <v>0</v>
          </cell>
          <cell r="AS145">
            <v>17154.831197693347</v>
          </cell>
          <cell r="AT145">
            <v>544.06164606119103</v>
          </cell>
          <cell r="AV145">
            <v>327.89594630734996</v>
          </cell>
          <cell r="AW145">
            <v>0</v>
          </cell>
          <cell r="AY145">
            <v>390.07398117832253</v>
          </cell>
          <cell r="AZ145">
            <v>0</v>
          </cell>
          <cell r="BB145">
            <v>422.98261503208329</v>
          </cell>
          <cell r="BC145">
            <v>0</v>
          </cell>
          <cell r="BE145">
            <v>179.97352815066915</v>
          </cell>
          <cell r="BF145">
            <v>0</v>
          </cell>
          <cell r="BH145">
            <v>105.68402349220877</v>
          </cell>
          <cell r="BI145">
            <v>12.8826444</v>
          </cell>
          <cell r="BK145">
            <v>220.07829817605759</v>
          </cell>
          <cell r="BL145">
            <v>2305.3439648891604</v>
          </cell>
          <cell r="BN145">
            <v>118.34437622421669</v>
          </cell>
          <cell r="BO145">
            <v>0</v>
          </cell>
          <cell r="BT145">
            <v>15467.810670251904</v>
          </cell>
          <cell r="BU145">
            <v>12564.545960242847</v>
          </cell>
          <cell r="BW145">
            <v>11472.75782530564</v>
          </cell>
          <cell r="BX145">
            <v>18162.55713212131</v>
          </cell>
          <cell r="BZ145">
            <v>2813.1793131327345</v>
          </cell>
          <cell r="CA145">
            <v>12453.756125920485</v>
          </cell>
          <cell r="CC145">
            <v>262.26818016137076</v>
          </cell>
          <cell r="CD145">
            <v>265.16054139626999</v>
          </cell>
          <cell r="CF145">
            <v>32.286802481986932</v>
          </cell>
          <cell r="CG145">
            <v>0</v>
          </cell>
          <cell r="CI145">
            <v>2043.3298318434745</v>
          </cell>
          <cell r="CJ145">
            <v>2314.1662799415576</v>
          </cell>
          <cell r="CL145">
            <v>3060.3153664709139</v>
          </cell>
          <cell r="CM145">
            <v>3466.293148110537</v>
          </cell>
          <cell r="CX145">
            <v>2371.4159434210451</v>
          </cell>
          <cell r="CY145">
            <v>6622.7074200124043</v>
          </cell>
        </row>
        <row r="146"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D146">
            <v>0</v>
          </cell>
          <cell r="AE146">
            <v>0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P146">
            <v>94.701764289364974</v>
          </cell>
          <cell r="AQ146">
            <v>0</v>
          </cell>
          <cell r="AS146">
            <v>602.23699525329232</v>
          </cell>
          <cell r="AT146">
            <v>0</v>
          </cell>
          <cell r="AV146">
            <v>0</v>
          </cell>
          <cell r="AW146">
            <v>0</v>
          </cell>
          <cell r="AY146">
            <v>0</v>
          </cell>
          <cell r="AZ146">
            <v>0</v>
          </cell>
          <cell r="BB146">
            <v>0</v>
          </cell>
          <cell r="BC146">
            <v>0</v>
          </cell>
          <cell r="BE146">
            <v>0</v>
          </cell>
          <cell r="BF146">
            <v>0</v>
          </cell>
          <cell r="BH146">
            <v>0</v>
          </cell>
          <cell r="BI146">
            <v>0</v>
          </cell>
          <cell r="BK146">
            <v>0</v>
          </cell>
          <cell r="BL146">
            <v>0</v>
          </cell>
          <cell r="BN146">
            <v>0</v>
          </cell>
          <cell r="BO146">
            <v>0</v>
          </cell>
          <cell r="BT146">
            <v>135.58639427378586</v>
          </cell>
          <cell r="BU146">
            <v>208.64996985809475</v>
          </cell>
          <cell r="BW146">
            <v>0</v>
          </cell>
          <cell r="BX146">
            <v>1.3045286466343722</v>
          </cell>
          <cell r="BZ146">
            <v>0</v>
          </cell>
          <cell r="CA146">
            <v>196.3118241268532</v>
          </cell>
          <cell r="CC146">
            <v>0</v>
          </cell>
          <cell r="CD146">
            <v>0</v>
          </cell>
          <cell r="CF146">
            <v>0</v>
          </cell>
          <cell r="CG146">
            <v>0</v>
          </cell>
          <cell r="CI146">
            <v>0</v>
          </cell>
          <cell r="CJ146">
            <v>0</v>
          </cell>
          <cell r="CL146">
            <v>0</v>
          </cell>
          <cell r="CM146">
            <v>0</v>
          </cell>
          <cell r="CX146">
            <v>14.969815420268219</v>
          </cell>
          <cell r="CY146">
            <v>526.48041284210126</v>
          </cell>
        </row>
        <row r="147">
          <cell r="I147">
            <v>4953.5548673331296</v>
          </cell>
          <cell r="J147">
            <v>4355.6065866180179</v>
          </cell>
          <cell r="L147">
            <v>1396.0090565770847</v>
          </cell>
          <cell r="M147">
            <v>1258.7418820406447</v>
          </cell>
          <cell r="O147">
            <v>2897.22</v>
          </cell>
          <cell r="P147">
            <v>2897.2166666666667</v>
          </cell>
          <cell r="R147">
            <v>630.94000000000005</v>
          </cell>
          <cell r="S147">
            <v>630.95000000000005</v>
          </cell>
          <cell r="U147">
            <v>576.24186023756681</v>
          </cell>
          <cell r="V147">
            <v>201.98007061495434</v>
          </cell>
          <cell r="X147">
            <v>3782.2713191717239</v>
          </cell>
          <cell r="Y147">
            <v>2818.1986872930238</v>
          </cell>
          <cell r="AA147">
            <v>0</v>
          </cell>
          <cell r="AB147">
            <v>0</v>
          </cell>
          <cell r="AD147">
            <v>8253.8656528921674</v>
          </cell>
          <cell r="AE147">
            <v>9070.7113173741727</v>
          </cell>
          <cell r="AJ147">
            <v>20705.326351009942</v>
          </cell>
          <cell r="AK147">
            <v>19381.759958780887</v>
          </cell>
          <cell r="AM147">
            <v>1052.2814392472874</v>
          </cell>
          <cell r="AN147">
            <v>931.28884931259404</v>
          </cell>
          <cell r="AP147">
            <v>1688.8481298270087</v>
          </cell>
          <cell r="AQ147">
            <v>1194.3966083616099</v>
          </cell>
          <cell r="AS147">
            <v>35144.668095611945</v>
          </cell>
          <cell r="AT147">
            <v>27448.324949950256</v>
          </cell>
          <cell r="AV147">
            <v>163.40459525333648</v>
          </cell>
          <cell r="AW147">
            <v>0</v>
          </cell>
          <cell r="AY147">
            <v>336.8331617242394</v>
          </cell>
          <cell r="AZ147">
            <v>0</v>
          </cell>
          <cell r="BB147">
            <v>244.72535051333389</v>
          </cell>
          <cell r="BC147">
            <v>0</v>
          </cell>
          <cell r="BE147">
            <v>103.02668463952413</v>
          </cell>
          <cell r="BF147">
            <v>1287.2999011257489</v>
          </cell>
          <cell r="BH147">
            <v>116.92905359372746</v>
          </cell>
          <cell r="BI147">
            <v>1404.9660277373732</v>
          </cell>
          <cell r="BK147">
            <v>166.61389976254213</v>
          </cell>
          <cell r="BL147">
            <v>0</v>
          </cell>
          <cell r="BN147">
            <v>187.49373979063722</v>
          </cell>
          <cell r="BO147">
            <v>0</v>
          </cell>
          <cell r="BT147">
            <v>24082.874176425357</v>
          </cell>
          <cell r="BU147">
            <v>18204.522998724569</v>
          </cell>
          <cell r="BW147">
            <v>14792.293665798035</v>
          </cell>
          <cell r="BX147">
            <v>25295.729563638743</v>
          </cell>
          <cell r="BZ147">
            <v>2596.7809044302167</v>
          </cell>
          <cell r="CA147">
            <v>17033.730413777696</v>
          </cell>
          <cell r="CC147">
            <v>286.77922503626519</v>
          </cell>
          <cell r="CD147">
            <v>289.94190040526723</v>
          </cell>
          <cell r="CF147">
            <v>35.304260657873563</v>
          </cell>
          <cell r="CG147">
            <v>0</v>
          </cell>
          <cell r="CI147">
            <v>1294.6288247557891</v>
          </cell>
          <cell r="CJ147">
            <v>1112.466629083882</v>
          </cell>
          <cell r="CL147">
            <v>4641.9462439436484</v>
          </cell>
          <cell r="CM147">
            <v>5456.3922789288918</v>
          </cell>
          <cell r="CX147">
            <v>2417.2773301211419</v>
          </cell>
          <cell r="CY147">
            <v>-9754.760348522017</v>
          </cell>
        </row>
        <row r="148">
          <cell r="I148">
            <v>1764.9731582526167</v>
          </cell>
          <cell r="J148">
            <v>1520.7076984275463</v>
          </cell>
          <cell r="L148">
            <v>334.70831114493518</v>
          </cell>
          <cell r="M148">
            <v>301.80100870490878</v>
          </cell>
          <cell r="O148">
            <v>737.24</v>
          </cell>
          <cell r="P148">
            <v>737.25000000000011</v>
          </cell>
          <cell r="R148">
            <v>155.72</v>
          </cell>
          <cell r="S148">
            <v>155.7166666666667</v>
          </cell>
          <cell r="U148">
            <v>118.22581795543685</v>
          </cell>
          <cell r="V148">
            <v>41.439785192903869</v>
          </cell>
          <cell r="X148">
            <v>1200.0816683219018</v>
          </cell>
          <cell r="Y148">
            <v>935.42447824782846</v>
          </cell>
          <cell r="AA148">
            <v>0</v>
          </cell>
          <cell r="AB148">
            <v>0</v>
          </cell>
          <cell r="AD148">
            <v>2031.518825284119</v>
          </cell>
          <cell r="AE148">
            <v>2232.5685412030398</v>
          </cell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P148">
            <v>465.61700775604447</v>
          </cell>
          <cell r="AQ148">
            <v>0</v>
          </cell>
          <cell r="AS148">
            <v>6284.1279773878887</v>
          </cell>
          <cell r="AT148">
            <v>0</v>
          </cell>
          <cell r="AV148">
            <v>296.40759987889163</v>
          </cell>
          <cell r="AW148">
            <v>0</v>
          </cell>
          <cell r="AY148">
            <v>431.42874836421191</v>
          </cell>
          <cell r="AZ148">
            <v>2890.710092458793</v>
          </cell>
          <cell r="BB148">
            <v>290.03422020352775</v>
          </cell>
          <cell r="BC148">
            <v>0</v>
          </cell>
          <cell r="BE148">
            <v>144.21332472826128</v>
          </cell>
          <cell r="BF148">
            <v>0</v>
          </cell>
          <cell r="BH148">
            <v>119.94714023874553</v>
          </cell>
          <cell r="BI148">
            <v>15.456925</v>
          </cell>
          <cell r="BK148">
            <v>165.91452866121352</v>
          </cell>
          <cell r="BL148">
            <v>1699.0074840144684</v>
          </cell>
          <cell r="BN148">
            <v>232.74222385317006</v>
          </cell>
          <cell r="BO148">
            <v>0</v>
          </cell>
          <cell r="BT148">
            <v>6867.58119902608</v>
          </cell>
          <cell r="BU148">
            <v>8011.9719975539101</v>
          </cell>
          <cell r="BW148">
            <v>2924.6861180462056</v>
          </cell>
          <cell r="BX148">
            <v>5111.1324622559587</v>
          </cell>
          <cell r="BZ148">
            <v>3242.8749864936658</v>
          </cell>
          <cell r="CA148">
            <v>7591.4161301725044</v>
          </cell>
          <cell r="CC148">
            <v>278.44546977880111</v>
          </cell>
          <cell r="CD148">
            <v>281.51623834220811</v>
          </cell>
          <cell r="CF148">
            <v>34.278324878072105</v>
          </cell>
          <cell r="CG148">
            <v>0</v>
          </cell>
          <cell r="CI148">
            <v>1004.5071845093111</v>
          </cell>
          <cell r="CJ148">
            <v>408.84713263029494</v>
          </cell>
          <cell r="CL148">
            <v>0</v>
          </cell>
          <cell r="CM148">
            <v>0</v>
          </cell>
          <cell r="CX148">
            <v>696.81139828427695</v>
          </cell>
          <cell r="CY148">
            <v>-2674.8199690452384</v>
          </cell>
        </row>
        <row r="149">
          <cell r="I149">
            <v>1652.6847824644592</v>
          </cell>
          <cell r="J149">
            <v>1450.8988289937654</v>
          </cell>
          <cell r="L149">
            <v>374.90728797575917</v>
          </cell>
          <cell r="M149">
            <v>338.04203155661071</v>
          </cell>
          <cell r="O149">
            <v>894.22</v>
          </cell>
          <cell r="P149">
            <v>894.23333333333335</v>
          </cell>
          <cell r="R149">
            <v>190.56</v>
          </cell>
          <cell r="S149">
            <v>190.56666666666669</v>
          </cell>
          <cell r="U149">
            <v>121.13538847560967</v>
          </cell>
          <cell r="V149">
            <v>42.459362893646713</v>
          </cell>
          <cell r="X149">
            <v>1121.771732780521</v>
          </cell>
          <cell r="Y149">
            <v>3323.9637444166037</v>
          </cell>
          <cell r="AA149">
            <v>0</v>
          </cell>
          <cell r="AB149">
            <v>0</v>
          </cell>
          <cell r="AD149">
            <v>2687.695058755497</v>
          </cell>
          <cell r="AE149">
            <v>2953.6834027049595</v>
          </cell>
          <cell r="AJ149">
            <v>6139.7493479442464</v>
          </cell>
          <cell r="AK149">
            <v>6207.4600896555166</v>
          </cell>
          <cell r="AM149">
            <v>526.14071962364369</v>
          </cell>
          <cell r="AN149">
            <v>532.00510021686796</v>
          </cell>
          <cell r="AP149">
            <v>568.21058573618984</v>
          </cell>
          <cell r="AQ149">
            <v>2926.18802385451</v>
          </cell>
          <cell r="AS149">
            <v>11411.464666137987</v>
          </cell>
          <cell r="AT149">
            <v>11820.758691118572</v>
          </cell>
          <cell r="AV149">
            <v>137.99555972980002</v>
          </cell>
          <cell r="AW149">
            <v>0</v>
          </cell>
          <cell r="AY149">
            <v>220.85066511954076</v>
          </cell>
          <cell r="AZ149">
            <v>0</v>
          </cell>
          <cell r="BB149">
            <v>177.48698710665167</v>
          </cell>
          <cell r="BC149">
            <v>0</v>
          </cell>
          <cell r="BE149">
            <v>87.157379501975697</v>
          </cell>
          <cell r="BF149">
            <v>0</v>
          </cell>
          <cell r="BH149">
            <v>61.458351225803753</v>
          </cell>
          <cell r="BI149">
            <v>19.323966600000002</v>
          </cell>
          <cell r="BK149">
            <v>128.7899698064362</v>
          </cell>
          <cell r="BL149">
            <v>1098.3672173464092</v>
          </cell>
          <cell r="BN149">
            <v>65.148817906898302</v>
          </cell>
          <cell r="BO149">
            <v>0</v>
          </cell>
          <cell r="BT149">
            <v>8934.8374435718233</v>
          </cell>
          <cell r="BU149">
            <v>7069.4560863290935</v>
          </cell>
          <cell r="BW149">
            <v>4533.9062185831153</v>
          </cell>
          <cell r="BX149">
            <v>8116.5822173117976</v>
          </cell>
          <cell r="BZ149">
            <v>1423.9015292625688</v>
          </cell>
          <cell r="CA149">
            <v>6701.5673498354654</v>
          </cell>
          <cell r="CC149">
            <v>156.87068719932458</v>
          </cell>
          <cell r="CD149">
            <v>158.60069765758203</v>
          </cell>
          <cell r="CF149">
            <v>19.311732325674427</v>
          </cell>
          <cell r="CG149">
            <v>0</v>
          </cell>
          <cell r="CI149">
            <v>1397.575213230346</v>
          </cell>
          <cell r="CJ149">
            <v>703.7000138192027</v>
          </cell>
          <cell r="CL149">
            <v>1522.358714411627</v>
          </cell>
          <cell r="CM149">
            <v>1883.2323146232575</v>
          </cell>
          <cell r="CX149">
            <v>797.73339334940829</v>
          </cell>
          <cell r="CY149">
            <v>-13452.146966720629</v>
          </cell>
        </row>
        <row r="150">
          <cell r="I150">
            <v>1652.5861488015391</v>
          </cell>
          <cell r="J150">
            <v>1450.7319231306251</v>
          </cell>
          <cell r="L150">
            <v>374.90728797575917</v>
          </cell>
          <cell r="M150">
            <v>338.04203155661071</v>
          </cell>
          <cell r="O150">
            <v>798.36</v>
          </cell>
          <cell r="P150">
            <v>798.35</v>
          </cell>
          <cell r="R150">
            <v>196.26</v>
          </cell>
          <cell r="S150">
            <v>196.26666666666668</v>
          </cell>
          <cell r="U150">
            <v>121.13538847560967</v>
          </cell>
          <cell r="V150">
            <v>42.459362893646713</v>
          </cell>
          <cell r="X150">
            <v>1216.3509927181026</v>
          </cell>
          <cell r="Y150">
            <v>3391.3068022988223</v>
          </cell>
          <cell r="AA150">
            <v>0</v>
          </cell>
          <cell r="AB150">
            <v>0</v>
          </cell>
          <cell r="AD150">
            <v>2685.1153070637974</v>
          </cell>
          <cell r="AE150">
            <v>2950.848345308827</v>
          </cell>
          <cell r="AJ150">
            <v>4964.0659391358995</v>
          </cell>
          <cell r="AK150">
            <v>5018.7884120266808</v>
          </cell>
          <cell r="AM150">
            <v>0</v>
          </cell>
          <cell r="AN150">
            <v>0</v>
          </cell>
          <cell r="AP150">
            <v>568.21058573618984</v>
          </cell>
          <cell r="AQ150">
            <v>0</v>
          </cell>
          <cell r="AS150">
            <v>10361.984393040482</v>
          </cell>
          <cell r="AT150">
            <v>253.77157469791868</v>
          </cell>
          <cell r="AV150">
            <v>137.99555972980002</v>
          </cell>
          <cell r="AW150">
            <v>0</v>
          </cell>
          <cell r="AY150">
            <v>220.85066511954076</v>
          </cell>
          <cell r="AZ150">
            <v>0</v>
          </cell>
          <cell r="BB150">
            <v>317.2358755353203</v>
          </cell>
          <cell r="BC150">
            <v>0</v>
          </cell>
          <cell r="BE150">
            <v>109.91849602876229</v>
          </cell>
          <cell r="BF150">
            <v>0</v>
          </cell>
          <cell r="BH150">
            <v>61.458351225803753</v>
          </cell>
          <cell r="BI150">
            <v>19.323966600000002</v>
          </cell>
          <cell r="BK150">
            <v>133.88047942032034</v>
          </cell>
          <cell r="BL150">
            <v>0</v>
          </cell>
          <cell r="BN150">
            <v>63.148545077137236</v>
          </cell>
          <cell r="BO150">
            <v>0</v>
          </cell>
          <cell r="BT150">
            <v>8098.8418938056129</v>
          </cell>
          <cell r="BU150">
            <v>5929.5373086396794</v>
          </cell>
          <cell r="BW150">
            <v>6213.7072475330815</v>
          </cell>
          <cell r="BX150">
            <v>8376.7496784904852</v>
          </cell>
          <cell r="BZ150">
            <v>1255.1107704746041</v>
          </cell>
          <cell r="CA150">
            <v>4854.4706756031555</v>
          </cell>
          <cell r="CC150">
            <v>156.87068719932458</v>
          </cell>
          <cell r="CD150">
            <v>158.60069765758203</v>
          </cell>
          <cell r="CF150">
            <v>19.311732325674427</v>
          </cell>
          <cell r="CG150">
            <v>0</v>
          </cell>
          <cell r="CI150">
            <v>1207.2803739288927</v>
          </cell>
          <cell r="CJ150">
            <v>626.84257454385465</v>
          </cell>
          <cell r="CL150">
            <v>1491.1628391163067</v>
          </cell>
          <cell r="CM150">
            <v>1910.5069065392072</v>
          </cell>
          <cell r="CX150">
            <v>784.98052863893099</v>
          </cell>
          <cell r="CY150">
            <v>8115.9636880154831</v>
          </cell>
        </row>
        <row r="151">
          <cell r="I151">
            <v>2612.839205832151</v>
          </cell>
          <cell r="J151">
            <v>2257.3807790600822</v>
          </cell>
          <cell r="L151">
            <v>407.55257968286838</v>
          </cell>
          <cell r="M151">
            <v>429.53194170057367</v>
          </cell>
          <cell r="O151">
            <v>1010.48</v>
          </cell>
          <cell r="P151">
            <v>1010.4666666666667</v>
          </cell>
          <cell r="R151">
            <v>233.44</v>
          </cell>
          <cell r="S151">
            <v>233.43333333333334</v>
          </cell>
          <cell r="U151">
            <v>130.00964065633656</v>
          </cell>
          <cell r="V151">
            <v>86.938216753535769</v>
          </cell>
          <cell r="X151">
            <v>1127.611659990966</v>
          </cell>
          <cell r="Y151">
            <v>894.16182857315653</v>
          </cell>
          <cell r="AA151">
            <v>0</v>
          </cell>
          <cell r="AB151">
            <v>0</v>
          </cell>
          <cell r="AD151">
            <v>3059.5855063559175</v>
          </cell>
          <cell r="AE151">
            <v>3694.3617265702474</v>
          </cell>
          <cell r="AJ151">
            <v>6913.0950965152351</v>
          </cell>
          <cell r="AK151">
            <v>6989.3119663893776</v>
          </cell>
          <cell r="AM151">
            <v>0</v>
          </cell>
          <cell r="AN151">
            <v>0</v>
          </cell>
          <cell r="AP151">
            <v>552.42695835462905</v>
          </cell>
          <cell r="AQ151">
            <v>0</v>
          </cell>
          <cell r="AS151">
            <v>11046.006216479449</v>
          </cell>
          <cell r="AT151">
            <v>23688.679503661915</v>
          </cell>
          <cell r="AV151">
            <v>206.77985978735606</v>
          </cell>
          <cell r="AW151">
            <v>0</v>
          </cell>
          <cell r="AY151">
            <v>249.72595634349193</v>
          </cell>
          <cell r="AZ151">
            <v>0</v>
          </cell>
          <cell r="BB151">
            <v>261.65200467571259</v>
          </cell>
          <cell r="BC151">
            <v>0</v>
          </cell>
          <cell r="BE151">
            <v>136.18455916075749</v>
          </cell>
          <cell r="BF151">
            <v>0</v>
          </cell>
          <cell r="BH151">
            <v>65.961235315382794</v>
          </cell>
          <cell r="BI151">
            <v>0</v>
          </cell>
          <cell r="BK151">
            <v>127.29001511917984</v>
          </cell>
          <cell r="BL151">
            <v>0</v>
          </cell>
          <cell r="BN151">
            <v>63.815302687057624</v>
          </cell>
          <cell r="BO151">
            <v>0</v>
          </cell>
          <cell r="BT151">
            <v>10007.904790429529</v>
          </cell>
          <cell r="BU151">
            <v>8261.2658903218398</v>
          </cell>
          <cell r="BW151">
            <v>6922.2340613249498</v>
          </cell>
          <cell r="BX151">
            <v>9333.0569376151798</v>
          </cell>
          <cell r="BZ151">
            <v>1731.1872696201444</v>
          </cell>
          <cell r="CA151">
            <v>7615.2568198564732</v>
          </cell>
          <cell r="CC151">
            <v>117.65301539949343</v>
          </cell>
          <cell r="CD151">
            <v>118.95052324318652</v>
          </cell>
          <cell r="CF151">
            <v>14.48379924425582</v>
          </cell>
          <cell r="CG151">
            <v>0</v>
          </cell>
          <cell r="CI151">
            <v>2395.843222680593</v>
          </cell>
          <cell r="CJ151">
            <v>986.30815322879016</v>
          </cell>
          <cell r="CL151">
            <v>1715.7731412426126</v>
          </cell>
          <cell r="CM151">
            <v>2037.078033893079</v>
          </cell>
          <cell r="CX151">
            <v>4928.7378837223223</v>
          </cell>
          <cell r="CY151">
            <v>-14903.238785040918</v>
          </cell>
        </row>
        <row r="152">
          <cell r="I152">
            <v>3105.0042771839958</v>
          </cell>
          <cell r="J152">
            <v>2687.4074614943311</v>
          </cell>
          <cell r="L152">
            <v>515.65801510687027</v>
          </cell>
          <cell r="M152">
            <v>506.32059063034399</v>
          </cell>
          <cell r="O152">
            <v>1293.08</v>
          </cell>
          <cell r="P152">
            <v>1293.0833333333335</v>
          </cell>
          <cell r="R152">
            <v>264.98</v>
          </cell>
          <cell r="S152">
            <v>264.98333333333335</v>
          </cell>
          <cell r="U152">
            <v>138.88381114641354</v>
          </cell>
          <cell r="V152">
            <v>90.048792789700371</v>
          </cell>
          <cell r="X152">
            <v>1186.0641134234106</v>
          </cell>
          <cell r="Y152">
            <v>1229.3091840915693</v>
          </cell>
          <cell r="AA152">
            <v>0</v>
          </cell>
          <cell r="AB152">
            <v>0</v>
          </cell>
          <cell r="AD152">
            <v>3752.3272258220782</v>
          </cell>
          <cell r="AE152">
            <v>4123.6771308276866</v>
          </cell>
          <cell r="AJ152">
            <v>7106.4203922739471</v>
          </cell>
          <cell r="AK152">
            <v>7184.7918319539849</v>
          </cell>
          <cell r="AM152">
            <v>0</v>
          </cell>
          <cell r="AN152">
            <v>0</v>
          </cell>
          <cell r="AP152">
            <v>607.66965419009193</v>
          </cell>
          <cell r="AQ152">
            <v>0</v>
          </cell>
          <cell r="AS152">
            <v>12984.424745619957</v>
          </cell>
          <cell r="AT152">
            <v>15975.960388371292</v>
          </cell>
          <cell r="AV152">
            <v>253.79559344136993</v>
          </cell>
          <cell r="AW152">
            <v>0</v>
          </cell>
          <cell r="AY152">
            <v>299.85918245111566</v>
          </cell>
          <cell r="AZ152">
            <v>3757.3840385024223</v>
          </cell>
          <cell r="BB152">
            <v>314.1999342756028</v>
          </cell>
          <cell r="BC152">
            <v>0</v>
          </cell>
          <cell r="BE152">
            <v>149.09893932882818</v>
          </cell>
          <cell r="BF152">
            <v>0</v>
          </cell>
          <cell r="BH152">
            <v>70.464078559636903</v>
          </cell>
          <cell r="BI152">
            <v>20.605486199999998</v>
          </cell>
          <cell r="BK152">
            <v>139.13578215632674</v>
          </cell>
          <cell r="BL152">
            <v>3949.4650836561086</v>
          </cell>
          <cell r="BN152">
            <v>80.877523551507238</v>
          </cell>
          <cell r="BO152">
            <v>0</v>
          </cell>
          <cell r="BT152">
            <v>12932.82197640883</v>
          </cell>
          <cell r="BU152">
            <v>10540.16107578045</v>
          </cell>
          <cell r="BW152">
            <v>7588.0457957871631</v>
          </cell>
          <cell r="BX152">
            <v>10706.554644353655</v>
          </cell>
          <cell r="BZ152">
            <v>1298.3904522151083</v>
          </cell>
          <cell r="CA152">
            <v>10263.222243169903</v>
          </cell>
          <cell r="CC152">
            <v>98.044179499577865</v>
          </cell>
          <cell r="CD152">
            <v>99.12543603598877</v>
          </cell>
          <cell r="CF152">
            <v>12.069832703546517</v>
          </cell>
          <cell r="CG152">
            <v>0</v>
          </cell>
          <cell r="CI152">
            <v>2002.775193959558</v>
          </cell>
          <cell r="CJ152">
            <v>1320.8112088320936</v>
          </cell>
          <cell r="CL152">
            <v>1690.8164410063562</v>
          </cell>
          <cell r="CM152">
            <v>2510.4070233002763</v>
          </cell>
          <cell r="CX152">
            <v>1772.1114318664477</v>
          </cell>
          <cell r="CY152">
            <v>-20593.981943987776</v>
          </cell>
        </row>
        <row r="153">
          <cell r="I153">
            <v>1928.5014906753588</v>
          </cell>
          <cell r="J153">
            <v>1757.9801158125442</v>
          </cell>
          <cell r="L153">
            <v>643.87058528417276</v>
          </cell>
          <cell r="M153">
            <v>580.56784583045373</v>
          </cell>
          <cell r="O153">
            <v>1683.56</v>
          </cell>
          <cell r="P153">
            <v>1683.5666666666666</v>
          </cell>
          <cell r="R153">
            <v>381.46</v>
          </cell>
          <cell r="S153">
            <v>381.45000000000005</v>
          </cell>
          <cell r="U153">
            <v>375.28698797765099</v>
          </cell>
          <cell r="V153">
            <v>131.54280437380498</v>
          </cell>
          <cell r="X153">
            <v>3048.0559394023562</v>
          </cell>
          <cell r="Y153">
            <v>2342.7742512400046</v>
          </cell>
          <cell r="AA153">
            <v>0</v>
          </cell>
          <cell r="AB153">
            <v>0</v>
          </cell>
          <cell r="AD153">
            <v>5026.1259451071119</v>
          </cell>
          <cell r="AE153">
            <v>5523.537625894849</v>
          </cell>
          <cell r="AJ153">
            <v>10450.68507223648</v>
          </cell>
          <cell r="AK153">
            <v>10565.915398125184</v>
          </cell>
          <cell r="AM153">
            <v>1052.2814392472874</v>
          </cell>
          <cell r="AN153">
            <v>798.01608136018467</v>
          </cell>
          <cell r="AP153">
            <v>1010.152152419893</v>
          </cell>
          <cell r="AQ153">
            <v>0</v>
          </cell>
          <cell r="AS153">
            <v>23490.658100615346</v>
          </cell>
          <cell r="AT153">
            <v>6342.3739300698971</v>
          </cell>
          <cell r="AV153">
            <v>94.43378304313336</v>
          </cell>
          <cell r="AW153">
            <v>0</v>
          </cell>
          <cell r="AY153">
            <v>164.69565160645897</v>
          </cell>
          <cell r="AZ153">
            <v>0</v>
          </cell>
          <cell r="BB153">
            <v>85.522569153203989</v>
          </cell>
          <cell r="BC153">
            <v>0</v>
          </cell>
          <cell r="BE153">
            <v>77.168991502675269</v>
          </cell>
          <cell r="BF153">
            <v>0</v>
          </cell>
          <cell r="BH153">
            <v>114.23216904794364</v>
          </cell>
          <cell r="BI153">
            <v>20.605486199999998</v>
          </cell>
          <cell r="BK153">
            <v>117.81904756011804</v>
          </cell>
          <cell r="BL153">
            <v>0</v>
          </cell>
          <cell r="BN153">
            <v>186.43229164545758</v>
          </cell>
          <cell r="BO153">
            <v>0</v>
          </cell>
          <cell r="BT153">
            <v>17257.130629112617</v>
          </cell>
          <cell r="BU153">
            <v>13288.484716010675</v>
          </cell>
          <cell r="BW153">
            <v>8645.2856067834819</v>
          </cell>
          <cell r="BX153">
            <v>12351.090298554347</v>
          </cell>
          <cell r="BZ153">
            <v>2077.424723544173</v>
          </cell>
          <cell r="CA153">
            <v>13111.513151810301</v>
          </cell>
          <cell r="CC153">
            <v>496.83887961411079</v>
          </cell>
          <cell r="CD153">
            <v>502.31814711237314</v>
          </cell>
          <cell r="CF153">
            <v>61.163877225221974</v>
          </cell>
          <cell r="CG153">
            <v>0</v>
          </cell>
          <cell r="CI153">
            <v>4280.0740905179355</v>
          </cell>
          <cell r="CJ153">
            <v>4202.8681645724137</v>
          </cell>
          <cell r="CL153">
            <v>4342.4658411085748</v>
          </cell>
          <cell r="CM153">
            <v>4056.7940194738067</v>
          </cell>
          <cell r="CX153">
            <v>1611.9889626830845</v>
          </cell>
          <cell r="CY153">
            <v>12951.901556271005</v>
          </cell>
        </row>
        <row r="154">
          <cell r="I154">
            <v>4459.6169808458826</v>
          </cell>
          <cell r="J154">
            <v>3922.0340010023929</v>
          </cell>
          <cell r="L154">
            <v>735.84578158679165</v>
          </cell>
          <cell r="M154">
            <v>663.49975701870403</v>
          </cell>
          <cell r="O154">
            <v>2588.2800000000002</v>
          </cell>
          <cell r="P154">
            <v>2588.2833333333333</v>
          </cell>
          <cell r="R154">
            <v>578.48</v>
          </cell>
          <cell r="S154">
            <v>578.48333333333335</v>
          </cell>
          <cell r="U154">
            <v>768.32239862610584</v>
          </cell>
          <cell r="V154">
            <v>269.30676081993909</v>
          </cell>
          <cell r="X154">
            <v>4134.792460814112</v>
          </cell>
          <cell r="Y154">
            <v>6298.7501915240373</v>
          </cell>
          <cell r="AA154">
            <v>0</v>
          </cell>
          <cell r="AB154">
            <v>0</v>
          </cell>
          <cell r="AD154">
            <v>7398.2931422557067</v>
          </cell>
          <cell r="AE154">
            <v>8137.8677909428516</v>
          </cell>
          <cell r="AJ154">
            <v>15123.381536114088</v>
          </cell>
          <cell r="AK154">
            <v>15290.160473385915</v>
          </cell>
          <cell r="AM154">
            <v>0</v>
          </cell>
          <cell r="AN154">
            <v>398.73233226445865</v>
          </cell>
          <cell r="AP154">
            <v>1262.6901905248662</v>
          </cell>
          <cell r="AQ154">
            <v>0</v>
          </cell>
          <cell r="AS154">
            <v>31894.502917421258</v>
          </cell>
          <cell r="AT154">
            <v>10449.86517302603</v>
          </cell>
          <cell r="AV154">
            <v>218.8366539500102</v>
          </cell>
          <cell r="AW154">
            <v>0</v>
          </cell>
          <cell r="AY154">
            <v>293.70984678688399</v>
          </cell>
          <cell r="AZ154">
            <v>2581.3312186349567</v>
          </cell>
          <cell r="BB154">
            <v>364.69237551859214</v>
          </cell>
          <cell r="BC154">
            <v>0</v>
          </cell>
          <cell r="BE154">
            <v>200.31082217688231</v>
          </cell>
          <cell r="BF154">
            <v>0</v>
          </cell>
          <cell r="BH154">
            <v>233.85323677229661</v>
          </cell>
          <cell r="BI154">
            <v>0</v>
          </cell>
          <cell r="BK154">
            <v>278.72226634903535</v>
          </cell>
          <cell r="BL154">
            <v>715.85011862774854</v>
          </cell>
          <cell r="BN154">
            <v>127.01222515318118</v>
          </cell>
          <cell r="BO154">
            <v>0</v>
          </cell>
          <cell r="BT154">
            <v>19978.405690516272</v>
          </cell>
          <cell r="BU154">
            <v>17580.941019886544</v>
          </cell>
          <cell r="BW154">
            <v>14131.823100860949</v>
          </cell>
          <cell r="BX154">
            <v>19397.058870707042</v>
          </cell>
          <cell r="BZ154">
            <v>3462.3745392402889</v>
          </cell>
          <cell r="CA154">
            <v>16383.363177099047</v>
          </cell>
          <cell r="CC154">
            <v>364.62630355893003</v>
          </cell>
          <cell r="CD154">
            <v>368.64749661784219</v>
          </cell>
          <cell r="CF154">
            <v>44.887707824489496</v>
          </cell>
          <cell r="CG154">
            <v>0</v>
          </cell>
          <cell r="CI154">
            <v>5103.6451983143888</v>
          </cell>
          <cell r="CJ154">
            <v>3816.087735288721</v>
          </cell>
          <cell r="CL154">
            <v>2894.9772274057168</v>
          </cell>
          <cell r="CM154">
            <v>3828.8055165910328</v>
          </cell>
          <cell r="CX154">
            <v>3565.9708768599521</v>
          </cell>
          <cell r="CY154">
            <v>7613.5880398752997</v>
          </cell>
        </row>
        <row r="155"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39.45906845390207</v>
          </cell>
          <cell r="AQ155">
            <v>0</v>
          </cell>
          <cell r="AS155">
            <v>352.26530486119486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0</v>
          </cell>
          <cell r="BF155">
            <v>0</v>
          </cell>
          <cell r="BH155">
            <v>0</v>
          </cell>
          <cell r="BI155">
            <v>0</v>
          </cell>
          <cell r="BK155">
            <v>0</v>
          </cell>
          <cell r="BL155">
            <v>0</v>
          </cell>
          <cell r="BN155">
            <v>0</v>
          </cell>
          <cell r="BO155">
            <v>0</v>
          </cell>
          <cell r="BT155">
            <v>35.890516131296266</v>
          </cell>
          <cell r="BU155">
            <v>153.27463288204424</v>
          </cell>
          <cell r="BW155">
            <v>0</v>
          </cell>
          <cell r="BX155">
            <v>0.45058134534297972</v>
          </cell>
          <cell r="BZ155">
            <v>0</v>
          </cell>
          <cell r="CA155">
            <v>144.21502454636851</v>
          </cell>
          <cell r="CC155">
            <v>0</v>
          </cell>
          <cell r="CD155">
            <v>0</v>
          </cell>
          <cell r="CF155">
            <v>0</v>
          </cell>
          <cell r="CG155">
            <v>0</v>
          </cell>
          <cell r="CI155">
            <v>0</v>
          </cell>
          <cell r="CJ155">
            <v>0</v>
          </cell>
          <cell r="CL155">
            <v>0</v>
          </cell>
          <cell r="CM155">
            <v>0</v>
          </cell>
          <cell r="CX155">
            <v>2.5421326643280509</v>
          </cell>
          <cell r="CY155">
            <v>158.15171347149308</v>
          </cell>
        </row>
        <row r="156"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39.45906845390207</v>
          </cell>
          <cell r="AQ156">
            <v>0</v>
          </cell>
          <cell r="AS156">
            <v>442.11606747447229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0</v>
          </cell>
          <cell r="BH156">
            <v>0</v>
          </cell>
          <cell r="BI156">
            <v>0</v>
          </cell>
          <cell r="BK156">
            <v>0</v>
          </cell>
          <cell r="BL156">
            <v>0</v>
          </cell>
          <cell r="BN156">
            <v>0</v>
          </cell>
          <cell r="BO156">
            <v>0</v>
          </cell>
          <cell r="BT156">
            <v>159.5134050279834</v>
          </cell>
          <cell r="BU156">
            <v>172.4433889262888</v>
          </cell>
          <cell r="BW156">
            <v>0</v>
          </cell>
          <cell r="BX156">
            <v>0.86045976879409136</v>
          </cell>
          <cell r="BZ156">
            <v>0</v>
          </cell>
          <cell r="CA156">
            <v>162.24504492599425</v>
          </cell>
          <cell r="CC156">
            <v>0</v>
          </cell>
          <cell r="CD156">
            <v>0</v>
          </cell>
          <cell r="CF156">
            <v>0</v>
          </cell>
          <cell r="CG156">
            <v>0</v>
          </cell>
          <cell r="CI156">
            <v>0</v>
          </cell>
          <cell r="CJ156">
            <v>0</v>
          </cell>
          <cell r="CL156">
            <v>0</v>
          </cell>
          <cell r="CM156">
            <v>0</v>
          </cell>
          <cell r="CX156">
            <v>19.213750852370708</v>
          </cell>
          <cell r="CY156">
            <v>385.86132765470734</v>
          </cell>
        </row>
        <row r="157">
          <cell r="I157">
            <v>3437.6021270753272</v>
          </cell>
          <cell r="J157">
            <v>3011.4530852645466</v>
          </cell>
          <cell r="L157">
            <v>587.84829855846283</v>
          </cell>
          <cell r="M157">
            <v>571.58938371704471</v>
          </cell>
          <cell r="O157">
            <v>2095.3200000000002</v>
          </cell>
          <cell r="P157">
            <v>2095.3333333333335</v>
          </cell>
          <cell r="R157">
            <v>390.44</v>
          </cell>
          <cell r="S157">
            <v>390.43333333333334</v>
          </cell>
          <cell r="U157">
            <v>576.24186023756681</v>
          </cell>
          <cell r="V157">
            <v>271.73452379690565</v>
          </cell>
          <cell r="X157">
            <v>2602.6625165641813</v>
          </cell>
          <cell r="Y157">
            <v>1993.5501862589701</v>
          </cell>
          <cell r="AA157">
            <v>0</v>
          </cell>
          <cell r="AB157">
            <v>0</v>
          </cell>
          <cell r="AD157">
            <v>5291.4127861988673</v>
          </cell>
          <cell r="AE157">
            <v>5815.0786386805667</v>
          </cell>
          <cell r="AJ157">
            <v>11827.537311163507</v>
          </cell>
          <cell r="AK157">
            <v>11957.951919185125</v>
          </cell>
          <cell r="AM157">
            <v>0</v>
          </cell>
          <cell r="AN157">
            <v>266.0109811433166</v>
          </cell>
          <cell r="AP157">
            <v>947.01764289364974</v>
          </cell>
          <cell r="AQ157">
            <v>0</v>
          </cell>
          <cell r="AS157">
            <v>21655.570957957854</v>
          </cell>
          <cell r="AT157">
            <v>10452.821558685619</v>
          </cell>
          <cell r="AV157">
            <v>285.60590283188384</v>
          </cell>
          <cell r="AW157">
            <v>14874.732779586999</v>
          </cell>
          <cell r="AY157">
            <v>390.32326750718556</v>
          </cell>
          <cell r="AZ157">
            <v>4919.5950924672561</v>
          </cell>
          <cell r="BB157">
            <v>457.79539128399068</v>
          </cell>
          <cell r="BC157">
            <v>0</v>
          </cell>
          <cell r="BE157">
            <v>190.64462400592069</v>
          </cell>
          <cell r="BF157">
            <v>0</v>
          </cell>
          <cell r="BH157">
            <v>292.3226339843186</v>
          </cell>
          <cell r="BI157">
            <v>0</v>
          </cell>
          <cell r="BK157">
            <v>231.42810175412231</v>
          </cell>
          <cell r="BL157">
            <v>2814.1836428805891</v>
          </cell>
          <cell r="BN157">
            <v>143.02162076665977</v>
          </cell>
          <cell r="BO157">
            <v>0</v>
          </cell>
          <cell r="BT157">
            <v>18249.029775995474</v>
          </cell>
          <cell r="BU157">
            <v>16594.754551365975</v>
          </cell>
          <cell r="BW157">
            <v>7244.1589342153557</v>
          </cell>
          <cell r="BX157">
            <v>9438.3193836881037</v>
          </cell>
          <cell r="BZ157">
            <v>6491.9522610755421</v>
          </cell>
          <cell r="CA157">
            <v>15466.729589125025</v>
          </cell>
          <cell r="CC157">
            <v>367.86176148241611</v>
          </cell>
          <cell r="CD157">
            <v>371.91863600702982</v>
          </cell>
          <cell r="CF157">
            <v>45.286012303706535</v>
          </cell>
          <cell r="CG157">
            <v>0</v>
          </cell>
          <cell r="CI157">
            <v>4329.9874909904465</v>
          </cell>
          <cell r="CJ157">
            <v>2896.9459004871223</v>
          </cell>
          <cell r="CL157">
            <v>1778.164891833253</v>
          </cell>
          <cell r="CM157">
            <v>2654.1087115403539</v>
          </cell>
          <cell r="CX157">
            <v>2689.5565951843746</v>
          </cell>
          <cell r="CY157">
            <v>-17648.054276656665</v>
          </cell>
        </row>
        <row r="158">
          <cell r="I158">
            <v>1684.5663027301821</v>
          </cell>
          <cell r="J158">
            <v>1528.8113197493817</v>
          </cell>
          <cell r="L158">
            <v>469.78543785590898</v>
          </cell>
          <cell r="M158">
            <v>485.90247446744723</v>
          </cell>
          <cell r="O158">
            <v>1585.64</v>
          </cell>
          <cell r="P158">
            <v>1585.65</v>
          </cell>
          <cell r="R158">
            <v>323.06</v>
          </cell>
          <cell r="S158">
            <v>323.05</v>
          </cell>
          <cell r="U158">
            <v>181.72735309855759</v>
          </cell>
          <cell r="V158">
            <v>133.45213801141074</v>
          </cell>
          <cell r="X158">
            <v>2139.1197373635459</v>
          </cell>
          <cell r="Y158">
            <v>1929.0933856863694</v>
          </cell>
          <cell r="AA158">
            <v>0</v>
          </cell>
          <cell r="AB158">
            <v>0</v>
          </cell>
          <cell r="AD158">
            <v>4365.4458357540925</v>
          </cell>
          <cell r="AE158">
            <v>4797.4731614250959</v>
          </cell>
          <cell r="AJ158">
            <v>12380.083110947831</v>
          </cell>
          <cell r="AK158">
            <v>12516.591336772492</v>
          </cell>
          <cell r="AM158">
            <v>0</v>
          </cell>
          <cell r="AN158">
            <v>133.27276795240937</v>
          </cell>
          <cell r="AP158">
            <v>804.96499645960228</v>
          </cell>
          <cell r="AQ158">
            <v>0</v>
          </cell>
          <cell r="AS158">
            <v>19270.077390402439</v>
          </cell>
          <cell r="AT158">
            <v>972.29489844631064</v>
          </cell>
          <cell r="AV158">
            <v>86.443035780007833</v>
          </cell>
          <cell r="AW158">
            <v>0</v>
          </cell>
          <cell r="AY158">
            <v>120.14218698074031</v>
          </cell>
          <cell r="AZ158">
            <v>0</v>
          </cell>
          <cell r="BB158">
            <v>78.018301012424018</v>
          </cell>
          <cell r="BC158">
            <v>0</v>
          </cell>
          <cell r="BE158">
            <v>64.015527193052435</v>
          </cell>
          <cell r="BF158">
            <v>0</v>
          </cell>
          <cell r="BH158">
            <v>55.319784965168807</v>
          </cell>
          <cell r="BI158">
            <v>0</v>
          </cell>
          <cell r="BK158">
            <v>78.644690031445961</v>
          </cell>
          <cell r="BL158">
            <v>0</v>
          </cell>
          <cell r="BN158">
            <v>184.43633026280074</v>
          </cell>
          <cell r="BO158">
            <v>0</v>
          </cell>
          <cell r="BT158">
            <v>14328.406584822418</v>
          </cell>
          <cell r="BU158">
            <v>10991.102599887919</v>
          </cell>
          <cell r="BW158">
            <v>6342.6826259517184</v>
          </cell>
          <cell r="BX158">
            <v>9125.9613921523487</v>
          </cell>
          <cell r="BZ158">
            <v>2168.3120551992306</v>
          </cell>
          <cell r="CA158">
            <v>10356.767024139768</v>
          </cell>
          <cell r="CC158">
            <v>411.78555389822702</v>
          </cell>
          <cell r="CD158">
            <v>416.3268313511528</v>
          </cell>
          <cell r="CF158">
            <v>50.693297354895371</v>
          </cell>
          <cell r="CG158">
            <v>0</v>
          </cell>
          <cell r="CI158">
            <v>1974.6989061937702</v>
          </cell>
          <cell r="CJ158">
            <v>0</v>
          </cell>
          <cell r="CL158">
            <v>1834.3174673648291</v>
          </cell>
          <cell r="CM158">
            <v>2604.4755408274459</v>
          </cell>
          <cell r="CX158">
            <v>1284.4561860525355</v>
          </cell>
          <cell r="CY158">
            <v>16983.050154956538</v>
          </cell>
        </row>
        <row r="159"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P159">
            <v>39.45906845390207</v>
          </cell>
          <cell r="AQ159">
            <v>0</v>
          </cell>
          <cell r="AS159">
            <v>339.44755533208934</v>
          </cell>
          <cell r="AT159">
            <v>0</v>
          </cell>
          <cell r="AV159">
            <v>0</v>
          </cell>
          <cell r="AW159">
            <v>0</v>
          </cell>
          <cell r="AY159">
            <v>0</v>
          </cell>
          <cell r="AZ159">
            <v>0</v>
          </cell>
          <cell r="BB159">
            <v>0</v>
          </cell>
          <cell r="BC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K159">
            <v>0</v>
          </cell>
          <cell r="BL159">
            <v>0</v>
          </cell>
          <cell r="BN159">
            <v>0</v>
          </cell>
          <cell r="BO159">
            <v>0</v>
          </cell>
          <cell r="BT159">
            <v>183.44041578218088</v>
          </cell>
          <cell r="BU159">
            <v>287.42604032880513</v>
          </cell>
          <cell r="BW159">
            <v>0</v>
          </cell>
          <cell r="BX159">
            <v>0.65083972105097065</v>
          </cell>
          <cell r="BZ159">
            <v>0</v>
          </cell>
          <cell r="CA159">
            <v>270.43085132877513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0</v>
          </cell>
          <cell r="CJ159">
            <v>0</v>
          </cell>
          <cell r="CL159">
            <v>0</v>
          </cell>
          <cell r="CM159">
            <v>0</v>
          </cell>
          <cell r="CX159">
            <v>30.363552518193273</v>
          </cell>
          <cell r="CY159">
            <v>34.970722345642571</v>
          </cell>
        </row>
        <row r="160"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X160">
            <v>0</v>
          </cell>
          <cell r="Y160">
            <v>0</v>
          </cell>
          <cell r="AA160">
            <v>0</v>
          </cell>
          <cell r="AB160">
            <v>0</v>
          </cell>
          <cell r="AD160">
            <v>0</v>
          </cell>
          <cell r="AE160">
            <v>0</v>
          </cell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P160">
            <v>55.242695835462904</v>
          </cell>
          <cell r="AQ160">
            <v>0</v>
          </cell>
          <cell r="AS160">
            <v>323.23582226545983</v>
          </cell>
          <cell r="AT160">
            <v>0</v>
          </cell>
          <cell r="AV160">
            <v>0</v>
          </cell>
          <cell r="AW160">
            <v>0</v>
          </cell>
          <cell r="AY160">
            <v>0</v>
          </cell>
          <cell r="AZ160">
            <v>0</v>
          </cell>
          <cell r="BB160">
            <v>0</v>
          </cell>
          <cell r="BC160">
            <v>0</v>
          </cell>
          <cell r="BE160">
            <v>0</v>
          </cell>
          <cell r="BF160">
            <v>0</v>
          </cell>
          <cell r="BH160">
            <v>0</v>
          </cell>
          <cell r="BI160">
            <v>0</v>
          </cell>
          <cell r="BK160">
            <v>0</v>
          </cell>
          <cell r="BL160">
            <v>0</v>
          </cell>
          <cell r="BN160">
            <v>0</v>
          </cell>
          <cell r="BO160">
            <v>0</v>
          </cell>
          <cell r="BT160">
            <v>159.5134050279834</v>
          </cell>
          <cell r="BU160">
            <v>287.42604032880513</v>
          </cell>
          <cell r="BW160">
            <v>0</v>
          </cell>
          <cell r="BX160">
            <v>0.65694515933475084</v>
          </cell>
          <cell r="BZ160">
            <v>0</v>
          </cell>
          <cell r="CA160">
            <v>270.43085132877513</v>
          </cell>
          <cell r="CC160">
            <v>0</v>
          </cell>
          <cell r="CD160">
            <v>0</v>
          </cell>
          <cell r="CF160">
            <v>0</v>
          </cell>
          <cell r="CG160">
            <v>0</v>
          </cell>
          <cell r="CI160">
            <v>0</v>
          </cell>
          <cell r="CJ160">
            <v>0</v>
          </cell>
          <cell r="CL160">
            <v>0</v>
          </cell>
          <cell r="CM160">
            <v>0</v>
          </cell>
          <cell r="CX160">
            <v>25.829692245312572</v>
          </cell>
          <cell r="CY160">
            <v>1.2033958197019956</v>
          </cell>
        </row>
        <row r="161">
          <cell r="I161">
            <v>2347.6926884600516</v>
          </cell>
          <cell r="J161">
            <v>2077.2270902316777</v>
          </cell>
          <cell r="L161">
            <v>310.69211704762535</v>
          </cell>
          <cell r="M161">
            <v>280.14533001929061</v>
          </cell>
          <cell r="O161">
            <v>1483.54</v>
          </cell>
          <cell r="P161">
            <v>1483.5333333333333</v>
          </cell>
          <cell r="R161">
            <v>311.36</v>
          </cell>
          <cell r="S161">
            <v>311.36666666666667</v>
          </cell>
          <cell r="U161">
            <v>288.12088927345849</v>
          </cell>
          <cell r="V161">
            <v>100.99003530747717</v>
          </cell>
          <cell r="X161">
            <v>2571.6499428926695</v>
          </cell>
          <cell r="Y161">
            <v>2645.1271649556552</v>
          </cell>
          <cell r="AA161">
            <v>0</v>
          </cell>
          <cell r="AB161">
            <v>0</v>
          </cell>
          <cell r="AD161">
            <v>4290.0843049813711</v>
          </cell>
          <cell r="AE161">
            <v>4714.653459866804</v>
          </cell>
          <cell r="AJ161">
            <v>14306.918631331355</v>
          </cell>
          <cell r="AK161">
            <v>14464.676496977951</v>
          </cell>
          <cell r="AM161">
            <v>0</v>
          </cell>
          <cell r="AN161">
            <v>0</v>
          </cell>
          <cell r="AP161">
            <v>844.42406491350437</v>
          </cell>
          <cell r="AQ161">
            <v>0</v>
          </cell>
          <cell r="AS161">
            <v>17637.511541191994</v>
          </cell>
          <cell r="AT161">
            <v>21677.094718186694</v>
          </cell>
          <cell r="AV161">
            <v>169.81309339741193</v>
          </cell>
          <cell r="AW161">
            <v>352.16728040695443</v>
          </cell>
          <cell r="AY161">
            <v>211.69671960875121</v>
          </cell>
          <cell r="AZ161">
            <v>0</v>
          </cell>
          <cell r="BB161">
            <v>351.24098113888738</v>
          </cell>
          <cell r="BC161">
            <v>0</v>
          </cell>
          <cell r="BE161">
            <v>132.75947329872042</v>
          </cell>
          <cell r="BF161">
            <v>0</v>
          </cell>
          <cell r="BH161">
            <v>146.1613169921593</v>
          </cell>
          <cell r="BI161">
            <v>0</v>
          </cell>
          <cell r="BK161">
            <v>232.16032966965076</v>
          </cell>
          <cell r="BL161">
            <v>1706.8474265994539</v>
          </cell>
          <cell r="BN161">
            <v>184.43633026280074</v>
          </cell>
          <cell r="BO161">
            <v>0</v>
          </cell>
          <cell r="BT161">
            <v>13454.166438498833</v>
          </cell>
          <cell r="BU161">
            <v>5440.0622519993012</v>
          </cell>
          <cell r="BW161">
            <v>10236.655456880142</v>
          </cell>
          <cell r="BX161">
            <v>5612.5758807421716</v>
          </cell>
          <cell r="BZ161">
            <v>1558.0685426581299</v>
          </cell>
          <cell r="CA161">
            <v>4340.0455656839067</v>
          </cell>
          <cell r="CC161">
            <v>450.26789435181132</v>
          </cell>
          <cell r="CD161">
            <v>455.23356499527847</v>
          </cell>
          <cell r="CF161">
            <v>55.430706691037372</v>
          </cell>
          <cell r="CG161">
            <v>0</v>
          </cell>
          <cell r="CI161">
            <v>4613.8699561778612</v>
          </cell>
          <cell r="CJ161">
            <v>3437.2399149074731</v>
          </cell>
          <cell r="CL161">
            <v>2021.4927191367506</v>
          </cell>
          <cell r="CM161">
            <v>2926.7841780049384</v>
          </cell>
          <cell r="CX161">
            <v>2334.7630333740381</v>
          </cell>
          <cell r="CY161">
            <v>9756.0955693379728</v>
          </cell>
        </row>
        <row r="162"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P162">
            <v>71.02632321702373</v>
          </cell>
          <cell r="AQ162">
            <v>0</v>
          </cell>
          <cell r="AS162">
            <v>27.075999999999997</v>
          </cell>
          <cell r="AT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0</v>
          </cell>
          <cell r="BC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T162">
            <v>0</v>
          </cell>
          <cell r="BU162">
            <v>0</v>
          </cell>
          <cell r="BW162">
            <v>0</v>
          </cell>
          <cell r="BX162">
            <v>0.44081264408893139</v>
          </cell>
          <cell r="BZ162">
            <v>0</v>
          </cell>
          <cell r="CA162">
            <v>0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X162">
            <v>-2.7878604284694575E-3</v>
          </cell>
          <cell r="CY162">
            <v>117.19102482709329</v>
          </cell>
        </row>
        <row r="163"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  <cell r="BK163">
            <v>0</v>
          </cell>
          <cell r="BL163">
            <v>0</v>
          </cell>
          <cell r="BN163">
            <v>0</v>
          </cell>
          <cell r="BO163">
            <v>0</v>
          </cell>
          <cell r="BT163">
            <v>0</v>
          </cell>
          <cell r="BU163">
            <v>0</v>
          </cell>
          <cell r="BW163">
            <v>0</v>
          </cell>
          <cell r="BX163">
            <v>0</v>
          </cell>
          <cell r="BZ163">
            <v>0</v>
          </cell>
          <cell r="CA163">
            <v>0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0</v>
          </cell>
          <cell r="CJ163">
            <v>0</v>
          </cell>
          <cell r="CL163">
            <v>0</v>
          </cell>
          <cell r="CM163">
            <v>0</v>
          </cell>
          <cell r="CX163">
            <v>0</v>
          </cell>
          <cell r="CY163">
            <v>0</v>
          </cell>
        </row>
        <row r="164"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D164">
            <v>0</v>
          </cell>
          <cell r="AE164">
            <v>0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P164">
            <v>0</v>
          </cell>
          <cell r="AQ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0</v>
          </cell>
          <cell r="AY164">
            <v>0</v>
          </cell>
          <cell r="AZ164">
            <v>0</v>
          </cell>
          <cell r="BB164">
            <v>0</v>
          </cell>
          <cell r="BC164">
            <v>0</v>
          </cell>
          <cell r="BE164">
            <v>0</v>
          </cell>
          <cell r="BF164">
            <v>0</v>
          </cell>
          <cell r="BH164">
            <v>0</v>
          </cell>
          <cell r="BI164">
            <v>0</v>
          </cell>
          <cell r="BK164">
            <v>0</v>
          </cell>
          <cell r="BL164">
            <v>0</v>
          </cell>
          <cell r="BN164">
            <v>0</v>
          </cell>
          <cell r="BO164">
            <v>0</v>
          </cell>
          <cell r="BT164">
            <v>0</v>
          </cell>
          <cell r="BU164">
            <v>0</v>
          </cell>
          <cell r="BW164">
            <v>0</v>
          </cell>
          <cell r="BX164">
            <v>0</v>
          </cell>
          <cell r="BZ164">
            <v>0</v>
          </cell>
          <cell r="CA164">
            <v>0</v>
          </cell>
          <cell r="CC164">
            <v>0</v>
          </cell>
          <cell r="CD164">
            <v>0</v>
          </cell>
          <cell r="CF164">
            <v>0</v>
          </cell>
          <cell r="CG164">
            <v>0</v>
          </cell>
          <cell r="CI164">
            <v>0</v>
          </cell>
          <cell r="CJ164">
            <v>0</v>
          </cell>
          <cell r="CL164">
            <v>0</v>
          </cell>
          <cell r="CM164">
            <v>0</v>
          </cell>
          <cell r="CX164">
            <v>0</v>
          </cell>
          <cell r="CY164">
            <v>0</v>
          </cell>
        </row>
        <row r="165"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D165">
            <v>0</v>
          </cell>
          <cell r="AE165">
            <v>0</v>
          </cell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P165">
            <v>47.350882144682487</v>
          </cell>
          <cell r="AQ165">
            <v>0</v>
          </cell>
          <cell r="AS165">
            <v>330.065614280077</v>
          </cell>
          <cell r="AT165">
            <v>0</v>
          </cell>
          <cell r="AV165">
            <v>0</v>
          </cell>
          <cell r="AW165">
            <v>0</v>
          </cell>
          <cell r="AY165">
            <v>0</v>
          </cell>
          <cell r="AZ165">
            <v>0</v>
          </cell>
          <cell r="BB165">
            <v>0</v>
          </cell>
          <cell r="BC165">
            <v>0</v>
          </cell>
          <cell r="BE165">
            <v>0</v>
          </cell>
          <cell r="BF165">
            <v>0</v>
          </cell>
          <cell r="BH165">
            <v>0</v>
          </cell>
          <cell r="BI165">
            <v>0</v>
          </cell>
          <cell r="BK165">
            <v>0</v>
          </cell>
          <cell r="BL165">
            <v>0</v>
          </cell>
          <cell r="BN165">
            <v>0</v>
          </cell>
          <cell r="BO165">
            <v>0</v>
          </cell>
          <cell r="BT165">
            <v>0</v>
          </cell>
          <cell r="BU165">
            <v>0</v>
          </cell>
          <cell r="BW165">
            <v>0</v>
          </cell>
          <cell r="BX165">
            <v>0.55885111757534878</v>
          </cell>
          <cell r="BZ165">
            <v>0</v>
          </cell>
          <cell r="CA165">
            <v>0</v>
          </cell>
          <cell r="CC165">
            <v>0</v>
          </cell>
          <cell r="CD165">
            <v>0</v>
          </cell>
          <cell r="CF165">
            <v>0</v>
          </cell>
          <cell r="CG165">
            <v>0</v>
          </cell>
          <cell r="CI165">
            <v>0</v>
          </cell>
          <cell r="CJ165">
            <v>0</v>
          </cell>
          <cell r="CL165">
            <v>0</v>
          </cell>
          <cell r="CM165">
            <v>0</v>
          </cell>
          <cell r="CX165">
            <v>11.320204290288643</v>
          </cell>
          <cell r="CY165">
            <v>463.54937865890963</v>
          </cell>
        </row>
        <row r="166">
          <cell r="I166">
            <v>4.9512429948257046E-2</v>
          </cell>
          <cell r="J166">
            <v>5.9756985241327373E-2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D166">
            <v>0</v>
          </cell>
          <cell r="AE166">
            <v>0</v>
          </cell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P166">
            <v>63.134509526243313</v>
          </cell>
          <cell r="AQ166">
            <v>0</v>
          </cell>
          <cell r="AS166">
            <v>491.33388269603643</v>
          </cell>
          <cell r="AT166">
            <v>0</v>
          </cell>
          <cell r="AV166">
            <v>2.4740542054058649E-3</v>
          </cell>
          <cell r="AW166">
            <v>0</v>
          </cell>
          <cell r="AY166">
            <v>0</v>
          </cell>
          <cell r="AZ166">
            <v>0</v>
          </cell>
          <cell r="BB166">
            <v>0</v>
          </cell>
          <cell r="BC166">
            <v>0</v>
          </cell>
          <cell r="BE166">
            <v>0</v>
          </cell>
          <cell r="BF166">
            <v>0</v>
          </cell>
          <cell r="BH166">
            <v>0</v>
          </cell>
          <cell r="BI166">
            <v>0</v>
          </cell>
          <cell r="BK166">
            <v>0</v>
          </cell>
          <cell r="BL166">
            <v>0</v>
          </cell>
          <cell r="BN166">
            <v>0</v>
          </cell>
          <cell r="BO166">
            <v>0</v>
          </cell>
          <cell r="BT166">
            <v>0</v>
          </cell>
          <cell r="BU166">
            <v>0</v>
          </cell>
          <cell r="BW166">
            <v>0</v>
          </cell>
          <cell r="BX166">
            <v>0.86127382723192869</v>
          </cell>
          <cell r="BZ166">
            <v>0</v>
          </cell>
          <cell r="CA166">
            <v>0</v>
          </cell>
          <cell r="CC166">
            <v>0</v>
          </cell>
          <cell r="CD166">
            <v>0</v>
          </cell>
          <cell r="CF166">
            <v>0</v>
          </cell>
          <cell r="CG166">
            <v>0</v>
          </cell>
          <cell r="CI166">
            <v>0</v>
          </cell>
          <cell r="CJ166">
            <v>0</v>
          </cell>
          <cell r="CL166">
            <v>0</v>
          </cell>
          <cell r="CM166">
            <v>0</v>
          </cell>
          <cell r="CX166">
            <v>16.635545552279837</v>
          </cell>
          <cell r="CY166">
            <v>680.95476302503198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D167">
            <v>0</v>
          </cell>
          <cell r="AE167">
            <v>0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P167">
            <v>39.45906845390207</v>
          </cell>
          <cell r="AQ167">
            <v>0</v>
          </cell>
          <cell r="AS167">
            <v>443.58864013860301</v>
          </cell>
          <cell r="AT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E167">
            <v>0</v>
          </cell>
          <cell r="BF167">
            <v>0</v>
          </cell>
          <cell r="BH167">
            <v>0</v>
          </cell>
          <cell r="BI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T167">
            <v>0</v>
          </cell>
          <cell r="BU167">
            <v>0</v>
          </cell>
          <cell r="BW167">
            <v>0</v>
          </cell>
          <cell r="BX167">
            <v>0.73509476936713769</v>
          </cell>
          <cell r="BZ167">
            <v>0</v>
          </cell>
          <cell r="CA167">
            <v>0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X167">
            <v>14.502749688993845</v>
          </cell>
          <cell r="CY167">
            <v>593.27788627675943</v>
          </cell>
        </row>
        <row r="168"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P168">
            <v>55.242695835462904</v>
          </cell>
          <cell r="AQ168">
            <v>0</v>
          </cell>
          <cell r="AS168">
            <v>286.6016945796448</v>
          </cell>
          <cell r="AT168">
            <v>0</v>
          </cell>
          <cell r="AV168">
            <v>0</v>
          </cell>
          <cell r="AW168">
            <v>0</v>
          </cell>
          <cell r="AY168">
            <v>0</v>
          </cell>
          <cell r="AZ168">
            <v>0</v>
          </cell>
          <cell r="BB168">
            <v>0</v>
          </cell>
          <cell r="BC168">
            <v>0</v>
          </cell>
          <cell r="BE168">
            <v>0</v>
          </cell>
          <cell r="BF168">
            <v>0</v>
          </cell>
          <cell r="BH168">
            <v>0</v>
          </cell>
          <cell r="BI168">
            <v>0</v>
          </cell>
          <cell r="BK168">
            <v>0</v>
          </cell>
          <cell r="BL168">
            <v>0</v>
          </cell>
          <cell r="BN168">
            <v>0</v>
          </cell>
          <cell r="BO168">
            <v>0</v>
          </cell>
          <cell r="BT168">
            <v>0</v>
          </cell>
          <cell r="BU168">
            <v>0</v>
          </cell>
          <cell r="BW168">
            <v>0</v>
          </cell>
          <cell r="BX168">
            <v>0.41679792017272921</v>
          </cell>
          <cell r="BZ168">
            <v>0</v>
          </cell>
          <cell r="CA168">
            <v>0</v>
          </cell>
          <cell r="CC168">
            <v>0</v>
          </cell>
          <cell r="CD168">
            <v>0</v>
          </cell>
          <cell r="CF168">
            <v>0</v>
          </cell>
          <cell r="CG168">
            <v>0</v>
          </cell>
          <cell r="CI168">
            <v>0</v>
          </cell>
          <cell r="CJ168">
            <v>0</v>
          </cell>
          <cell r="CL168">
            <v>0</v>
          </cell>
          <cell r="CM168">
            <v>0</v>
          </cell>
          <cell r="CX168">
            <v>10.266731501870822</v>
          </cell>
          <cell r="CY168">
            <v>419.97984249579275</v>
          </cell>
        </row>
        <row r="169"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P169">
            <v>71.02632321702373</v>
          </cell>
          <cell r="AQ169">
            <v>0</v>
          </cell>
          <cell r="AS169">
            <v>451.18038633558456</v>
          </cell>
          <cell r="AT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0</v>
          </cell>
          <cell r="BB169">
            <v>0</v>
          </cell>
          <cell r="BC169">
            <v>0</v>
          </cell>
          <cell r="BE169">
            <v>0</v>
          </cell>
          <cell r="BF169">
            <v>0</v>
          </cell>
          <cell r="BH169">
            <v>0</v>
          </cell>
          <cell r="BI169">
            <v>0</v>
          </cell>
          <cell r="BK169">
            <v>0</v>
          </cell>
          <cell r="BL169">
            <v>0</v>
          </cell>
          <cell r="BN169">
            <v>0</v>
          </cell>
          <cell r="BO169">
            <v>0</v>
          </cell>
          <cell r="BT169">
            <v>0</v>
          </cell>
          <cell r="BU169">
            <v>0</v>
          </cell>
          <cell r="BW169">
            <v>0</v>
          </cell>
          <cell r="BX169">
            <v>0.73354805833524661</v>
          </cell>
          <cell r="BZ169">
            <v>0</v>
          </cell>
          <cell r="CA169">
            <v>0</v>
          </cell>
          <cell r="CC169">
            <v>0</v>
          </cell>
          <cell r="CD169">
            <v>0</v>
          </cell>
          <cell r="CF169">
            <v>0</v>
          </cell>
          <cell r="CG169">
            <v>0</v>
          </cell>
          <cell r="CI169">
            <v>0</v>
          </cell>
          <cell r="CJ169">
            <v>0</v>
          </cell>
          <cell r="CL169">
            <v>0</v>
          </cell>
          <cell r="CM169">
            <v>0</v>
          </cell>
          <cell r="CX169">
            <v>15.671948536870104</v>
          </cell>
          <cell r="CY169">
            <v>641.43974232999767</v>
          </cell>
        </row>
        <row r="170"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P170">
            <v>63.134509526243313</v>
          </cell>
          <cell r="AQ170">
            <v>0</v>
          </cell>
          <cell r="AS170">
            <v>699.67583544097977</v>
          </cell>
          <cell r="AT170">
            <v>0</v>
          </cell>
          <cell r="AV170">
            <v>0</v>
          </cell>
          <cell r="AW170">
            <v>0</v>
          </cell>
          <cell r="AY170">
            <v>0</v>
          </cell>
          <cell r="AZ170">
            <v>0</v>
          </cell>
          <cell r="BB170">
            <v>0</v>
          </cell>
          <cell r="BC170">
            <v>0</v>
          </cell>
          <cell r="BE170">
            <v>0</v>
          </cell>
          <cell r="BF170">
            <v>0</v>
          </cell>
          <cell r="BH170">
            <v>0</v>
          </cell>
          <cell r="BI170">
            <v>0</v>
          </cell>
          <cell r="BK170">
            <v>0</v>
          </cell>
          <cell r="BL170">
            <v>0</v>
          </cell>
          <cell r="BN170">
            <v>0</v>
          </cell>
          <cell r="BO170">
            <v>0</v>
          </cell>
          <cell r="BT170">
            <v>0</v>
          </cell>
          <cell r="BU170">
            <v>0</v>
          </cell>
          <cell r="BW170">
            <v>0</v>
          </cell>
          <cell r="BX170">
            <v>1.3419753347748906</v>
          </cell>
          <cell r="BZ170">
            <v>0</v>
          </cell>
          <cell r="CA170">
            <v>0</v>
          </cell>
          <cell r="CC170">
            <v>0</v>
          </cell>
          <cell r="CD170">
            <v>0</v>
          </cell>
          <cell r="CF170">
            <v>0</v>
          </cell>
          <cell r="CG170">
            <v>0</v>
          </cell>
          <cell r="CI170">
            <v>0</v>
          </cell>
          <cell r="CJ170">
            <v>0</v>
          </cell>
          <cell r="CL170">
            <v>0</v>
          </cell>
          <cell r="CM170">
            <v>0</v>
          </cell>
          <cell r="CX170">
            <v>24.907586039332386</v>
          </cell>
          <cell r="CY170">
            <v>938.66962959827015</v>
          </cell>
        </row>
        <row r="171"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X171">
            <v>0</v>
          </cell>
          <cell r="Y171">
            <v>0</v>
          </cell>
          <cell r="AA171">
            <v>0</v>
          </cell>
          <cell r="AB171">
            <v>0</v>
          </cell>
          <cell r="AD171">
            <v>0</v>
          </cell>
          <cell r="AE171">
            <v>0</v>
          </cell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P171">
            <v>31.567254763121657</v>
          </cell>
          <cell r="AQ171">
            <v>0</v>
          </cell>
          <cell r="AS171">
            <v>293.14970307877951</v>
          </cell>
          <cell r="AT171">
            <v>0</v>
          </cell>
          <cell r="AV171">
            <v>0</v>
          </cell>
          <cell r="AW171">
            <v>0</v>
          </cell>
          <cell r="AY171">
            <v>0</v>
          </cell>
          <cell r="AZ171">
            <v>0</v>
          </cell>
          <cell r="BB171">
            <v>0</v>
          </cell>
          <cell r="BC171">
            <v>0</v>
          </cell>
          <cell r="BE171">
            <v>0</v>
          </cell>
          <cell r="BF171">
            <v>0</v>
          </cell>
          <cell r="BH171">
            <v>0</v>
          </cell>
          <cell r="BI171">
            <v>0</v>
          </cell>
          <cell r="BK171">
            <v>0</v>
          </cell>
          <cell r="BL171">
            <v>0</v>
          </cell>
          <cell r="BN171">
            <v>0</v>
          </cell>
          <cell r="BO171">
            <v>0</v>
          </cell>
          <cell r="BT171">
            <v>0</v>
          </cell>
          <cell r="BU171">
            <v>0</v>
          </cell>
          <cell r="BW171">
            <v>0</v>
          </cell>
          <cell r="BX171">
            <v>0.61787035431855752</v>
          </cell>
          <cell r="BZ171">
            <v>0</v>
          </cell>
          <cell r="CA171">
            <v>0</v>
          </cell>
          <cell r="CC171">
            <v>0</v>
          </cell>
          <cell r="CD171">
            <v>0</v>
          </cell>
          <cell r="CF171">
            <v>0</v>
          </cell>
          <cell r="CG171">
            <v>0</v>
          </cell>
          <cell r="CI171">
            <v>0</v>
          </cell>
          <cell r="CJ171">
            <v>0</v>
          </cell>
          <cell r="CL171">
            <v>0</v>
          </cell>
          <cell r="CM171">
            <v>0</v>
          </cell>
          <cell r="CX171">
            <v>9.7596505897186603</v>
          </cell>
          <cell r="CY171">
            <v>398.67855557481778</v>
          </cell>
        </row>
        <row r="172">
          <cell r="I172">
            <v>2779.3626400322678</v>
          </cell>
          <cell r="J172">
            <v>3073.5806063903879</v>
          </cell>
          <cell r="L172">
            <v>575.46883441949626</v>
          </cell>
          <cell r="M172">
            <v>633.31263327596423</v>
          </cell>
          <cell r="O172">
            <v>996.02</v>
          </cell>
          <cell r="P172">
            <v>996.3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X172">
            <v>2178.6718581157106</v>
          </cell>
          <cell r="Y172">
            <v>2250.5410235371533</v>
          </cell>
          <cell r="AA172">
            <v>0</v>
          </cell>
          <cell r="AB172">
            <v>0</v>
          </cell>
          <cell r="AD172">
            <v>3227.9891312911577</v>
          </cell>
          <cell r="AE172">
            <v>3547.4477992386173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2343.868666161783</v>
          </cell>
          <cell r="AQ172">
            <v>0</v>
          </cell>
          <cell r="AS172">
            <v>10424.452286655856</v>
          </cell>
          <cell r="AT172">
            <v>0</v>
          </cell>
          <cell r="AV172">
            <v>454.72108416307685</v>
          </cell>
          <cell r="AW172">
            <v>0</v>
          </cell>
          <cell r="AY172">
            <v>741.68851251314095</v>
          </cell>
          <cell r="AZ172">
            <v>0</v>
          </cell>
          <cell r="BB172">
            <v>610.8355127320923</v>
          </cell>
          <cell r="BC172">
            <v>0</v>
          </cell>
          <cell r="BE172">
            <v>0</v>
          </cell>
          <cell r="BF172">
            <v>0</v>
          </cell>
          <cell r="BH172">
            <v>0</v>
          </cell>
          <cell r="BI172">
            <v>0</v>
          </cell>
          <cell r="BK172">
            <v>319.67691085591161</v>
          </cell>
          <cell r="BL172">
            <v>0</v>
          </cell>
          <cell r="BN172">
            <v>0</v>
          </cell>
          <cell r="BO172">
            <v>0</v>
          </cell>
          <cell r="BT172">
            <v>5362.7903577612769</v>
          </cell>
          <cell r="BU172">
            <v>4829.7398239077238</v>
          </cell>
          <cell r="BW172">
            <v>4199.3326514734072</v>
          </cell>
          <cell r="BX172">
            <v>8086.9924182299719</v>
          </cell>
          <cell r="BZ172">
            <v>2120.4943983151925</v>
          </cell>
          <cell r="CA172">
            <v>4078.5421503600915</v>
          </cell>
          <cell r="CC172">
            <v>442.27729372259574</v>
          </cell>
          <cell r="CD172">
            <v>447.1548419583454</v>
          </cell>
          <cell r="CF172">
            <v>54.447015325698345</v>
          </cell>
          <cell r="CG172">
            <v>0</v>
          </cell>
          <cell r="CI172">
            <v>1244.7154242832769</v>
          </cell>
          <cell r="CJ172">
            <v>1424.8023346335642</v>
          </cell>
          <cell r="CL172">
            <v>0</v>
          </cell>
          <cell r="CM172">
            <v>0</v>
          </cell>
          <cell r="CX172">
            <v>1852.1249066136661</v>
          </cell>
          <cell r="CY172">
            <v>12302.20364216181</v>
          </cell>
        </row>
        <row r="173">
          <cell r="I173">
            <v>1207.8164369706947</v>
          </cell>
          <cell r="J173">
            <v>1511.6348572813467</v>
          </cell>
          <cell r="L173">
            <v>225.57175609133998</v>
          </cell>
          <cell r="M173">
            <v>288.11317698235769</v>
          </cell>
          <cell r="O173">
            <v>497.54</v>
          </cell>
          <cell r="P173">
            <v>497.64</v>
          </cell>
          <cell r="R173">
            <v>111.26</v>
          </cell>
          <cell r="S173">
            <v>111.28</v>
          </cell>
          <cell r="U173">
            <v>0</v>
          </cell>
          <cell r="V173">
            <v>0</v>
          </cell>
          <cell r="X173">
            <v>838.61312760300916</v>
          </cell>
          <cell r="Y173">
            <v>995.98957725733135</v>
          </cell>
          <cell r="AA173">
            <v>0</v>
          </cell>
          <cell r="AB173">
            <v>0</v>
          </cell>
          <cell r="AD173">
            <v>1464.8998832756988</v>
          </cell>
          <cell r="AE173">
            <v>1609.874028588406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378.80705715745989</v>
          </cell>
          <cell r="AQ173">
            <v>1966.782114394015</v>
          </cell>
          <cell r="AS173">
            <v>4305.5288912157057</v>
          </cell>
          <cell r="AT173">
            <v>0</v>
          </cell>
          <cell r="AV173">
            <v>190.79061341632988</v>
          </cell>
          <cell r="AW173">
            <v>0</v>
          </cell>
          <cell r="AY173">
            <v>290.74948916515837</v>
          </cell>
          <cell r="AZ173">
            <v>0</v>
          </cell>
          <cell r="BB173">
            <v>204.1555035312102</v>
          </cell>
          <cell r="BC173">
            <v>0</v>
          </cell>
          <cell r="BE173">
            <v>116.04666518546276</v>
          </cell>
          <cell r="BF173">
            <v>0</v>
          </cell>
          <cell r="BH173">
            <v>0</v>
          </cell>
          <cell r="BI173">
            <v>0</v>
          </cell>
          <cell r="BK173">
            <v>186.09129502760808</v>
          </cell>
          <cell r="BL173">
            <v>0</v>
          </cell>
          <cell r="BN173">
            <v>0</v>
          </cell>
          <cell r="BO173">
            <v>0</v>
          </cell>
          <cell r="BT173">
            <v>4403.2198791861747</v>
          </cell>
          <cell r="BU173">
            <v>2384.7977910683499</v>
          </cell>
          <cell r="BW173">
            <v>1808.6188591330028</v>
          </cell>
          <cell r="BX173">
            <v>2853.7151007468647</v>
          </cell>
          <cell r="BZ173">
            <v>760.08957131059344</v>
          </cell>
          <cell r="CA173">
            <v>1758.840951309739</v>
          </cell>
          <cell r="CC173">
            <v>256.15512556957208</v>
          </cell>
          <cell r="CD173">
            <v>258.98007045942603</v>
          </cell>
          <cell r="CF173">
            <v>31.534248412920803</v>
          </cell>
          <cell r="CG173">
            <v>0</v>
          </cell>
          <cell r="CI173">
            <v>736.22265696955719</v>
          </cell>
          <cell r="CJ173">
            <v>166.09046104914191</v>
          </cell>
          <cell r="CL173">
            <v>0</v>
          </cell>
          <cell r="CM173">
            <v>0</v>
          </cell>
          <cell r="CX173">
            <v>324.24672893420575</v>
          </cell>
          <cell r="CY173">
            <v>4656.2142450356268</v>
          </cell>
        </row>
        <row r="174">
          <cell r="I174">
            <v>296.2828483682124</v>
          </cell>
          <cell r="J174">
            <v>368.21004065018678</v>
          </cell>
          <cell r="L174">
            <v>48.083134612452938</v>
          </cell>
          <cell r="M174">
            <v>61.414592819807339</v>
          </cell>
          <cell r="O174">
            <v>110.64</v>
          </cell>
          <cell r="P174">
            <v>110.66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X174">
            <v>210.05805986574245</v>
          </cell>
          <cell r="Y174">
            <v>230.62892541269071</v>
          </cell>
          <cell r="AA174">
            <v>0</v>
          </cell>
          <cell r="AB174">
            <v>0</v>
          </cell>
          <cell r="AD174">
            <v>266.40568367627674</v>
          </cell>
          <cell r="AE174">
            <v>292.77058187740988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15.783627381560828</v>
          </cell>
          <cell r="AQ174">
            <v>0</v>
          </cell>
          <cell r="AS174">
            <v>839.08823977043005</v>
          </cell>
          <cell r="AT174">
            <v>0</v>
          </cell>
          <cell r="AV174">
            <v>51.220190741760831</v>
          </cell>
          <cell r="AW174">
            <v>0</v>
          </cell>
          <cell r="AY174">
            <v>61.968429542196461</v>
          </cell>
          <cell r="AZ174">
            <v>0</v>
          </cell>
          <cell r="BB174">
            <v>35.432018750601188</v>
          </cell>
          <cell r="BC174">
            <v>0</v>
          </cell>
          <cell r="BE174">
            <v>0</v>
          </cell>
          <cell r="BF174">
            <v>0</v>
          </cell>
          <cell r="BH174">
            <v>0</v>
          </cell>
          <cell r="BI174">
            <v>0</v>
          </cell>
          <cell r="BK174">
            <v>38.421864630327121</v>
          </cell>
          <cell r="BL174">
            <v>0</v>
          </cell>
          <cell r="BN174">
            <v>18.119813214430302</v>
          </cell>
          <cell r="BO174">
            <v>0</v>
          </cell>
          <cell r="BT174">
            <v>0</v>
          </cell>
          <cell r="BU174">
            <v>0</v>
          </cell>
          <cell r="BW174">
            <v>34.489455536240278</v>
          </cell>
          <cell r="BX174">
            <v>767.4285292040787</v>
          </cell>
          <cell r="BZ174">
            <v>0</v>
          </cell>
          <cell r="CA174">
            <v>0</v>
          </cell>
          <cell r="CC174">
            <v>14.706626924936678</v>
          </cell>
          <cell r="CD174">
            <v>14.868815405398315</v>
          </cell>
          <cell r="CF174">
            <v>1.8104749055319775</v>
          </cell>
          <cell r="CG174">
            <v>0</v>
          </cell>
          <cell r="CI174">
            <v>215.25153953770956</v>
          </cell>
          <cell r="CJ174">
            <v>170.97628015602768</v>
          </cell>
          <cell r="CL174">
            <v>0</v>
          </cell>
          <cell r="CM174">
            <v>0</v>
          </cell>
          <cell r="CX174">
            <v>62.545591049908126</v>
          </cell>
          <cell r="CY174">
            <v>351.51068136928109</v>
          </cell>
        </row>
        <row r="175"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AA175">
            <v>0</v>
          </cell>
          <cell r="AB175">
            <v>0</v>
          </cell>
          <cell r="AD175">
            <v>0</v>
          </cell>
          <cell r="AE175">
            <v>0</v>
          </cell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P175">
            <v>31.567254763121657</v>
          </cell>
          <cell r="AQ175">
            <v>0</v>
          </cell>
          <cell r="AS175">
            <v>349.5063683686804</v>
          </cell>
          <cell r="AT175">
            <v>0</v>
          </cell>
          <cell r="AV175">
            <v>0</v>
          </cell>
          <cell r="AW175">
            <v>0</v>
          </cell>
          <cell r="AY175">
            <v>0</v>
          </cell>
          <cell r="AZ175">
            <v>0</v>
          </cell>
          <cell r="BB175">
            <v>0</v>
          </cell>
          <cell r="BC175">
            <v>0</v>
          </cell>
          <cell r="BE175">
            <v>0</v>
          </cell>
          <cell r="BF175">
            <v>0</v>
          </cell>
          <cell r="BH175">
            <v>0</v>
          </cell>
          <cell r="BI175">
            <v>0</v>
          </cell>
          <cell r="BK175">
            <v>0</v>
          </cell>
          <cell r="BL175">
            <v>0</v>
          </cell>
          <cell r="BN175">
            <v>0</v>
          </cell>
          <cell r="BO175">
            <v>0</v>
          </cell>
          <cell r="BT175">
            <v>0</v>
          </cell>
          <cell r="BU175">
            <v>0</v>
          </cell>
          <cell r="BW175">
            <v>0</v>
          </cell>
          <cell r="BX175">
            <v>0.48558585816998623</v>
          </cell>
          <cell r="BZ175">
            <v>0</v>
          </cell>
          <cell r="CA175">
            <v>0</v>
          </cell>
          <cell r="CC175">
            <v>0</v>
          </cell>
          <cell r="CD175">
            <v>0</v>
          </cell>
          <cell r="CF175">
            <v>0</v>
          </cell>
          <cell r="CG175">
            <v>0</v>
          </cell>
          <cell r="CI175">
            <v>0</v>
          </cell>
          <cell r="CJ175">
            <v>0</v>
          </cell>
          <cell r="CL175">
            <v>0</v>
          </cell>
          <cell r="CM175">
            <v>0</v>
          </cell>
          <cell r="CX175">
            <v>6.8716522418375803</v>
          </cell>
          <cell r="CY175">
            <v>463.57729697019602</v>
          </cell>
        </row>
        <row r="176"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P176">
            <v>39.45906845390207</v>
          </cell>
          <cell r="AQ176">
            <v>0</v>
          </cell>
          <cell r="AS176">
            <v>401.31287954890888</v>
          </cell>
          <cell r="AT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E176">
            <v>0</v>
          </cell>
          <cell r="BF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T176">
            <v>39.878351256995849</v>
          </cell>
          <cell r="BU176">
            <v>54.380474686669345</v>
          </cell>
          <cell r="BW176">
            <v>0</v>
          </cell>
          <cell r="BX176">
            <v>0.74404941218334852</v>
          </cell>
          <cell r="BZ176">
            <v>0</v>
          </cell>
          <cell r="CA176">
            <v>51.170640468972302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X176">
            <v>14.439640888231793</v>
          </cell>
          <cell r="CY176">
            <v>463.66580251861001</v>
          </cell>
        </row>
        <row r="177"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P177">
            <v>23.675441072341243</v>
          </cell>
          <cell r="AQ177">
            <v>0</v>
          </cell>
          <cell r="AS177">
            <v>518.93488637135329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0</v>
          </cell>
          <cell r="BC177">
            <v>0</v>
          </cell>
          <cell r="BE177">
            <v>0</v>
          </cell>
          <cell r="BF177">
            <v>0</v>
          </cell>
          <cell r="BH177">
            <v>0</v>
          </cell>
          <cell r="BI177">
            <v>0</v>
          </cell>
          <cell r="BK177">
            <v>0</v>
          </cell>
          <cell r="BL177">
            <v>0</v>
          </cell>
          <cell r="BN177">
            <v>0</v>
          </cell>
          <cell r="BO177">
            <v>0</v>
          </cell>
          <cell r="BT177">
            <v>19.939175628497924</v>
          </cell>
          <cell r="BU177">
            <v>54.380474686669345</v>
          </cell>
          <cell r="BW177">
            <v>0</v>
          </cell>
          <cell r="BX177">
            <v>0.93209691132377914</v>
          </cell>
          <cell r="BZ177">
            <v>0</v>
          </cell>
          <cell r="CA177">
            <v>51.170640468972302</v>
          </cell>
          <cell r="CC177">
            <v>0</v>
          </cell>
          <cell r="CD177">
            <v>0</v>
          </cell>
          <cell r="CF177">
            <v>0</v>
          </cell>
          <cell r="CG177">
            <v>0</v>
          </cell>
          <cell r="CI177">
            <v>0</v>
          </cell>
          <cell r="CJ177">
            <v>0</v>
          </cell>
          <cell r="CL177">
            <v>0</v>
          </cell>
          <cell r="CM177">
            <v>0</v>
          </cell>
          <cell r="CX177">
            <v>16.900596313369078</v>
          </cell>
          <cell r="CY177">
            <v>564.18014551964154</v>
          </cell>
        </row>
        <row r="178"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P178">
            <v>39.45906845390207</v>
          </cell>
          <cell r="AQ178">
            <v>0</v>
          </cell>
          <cell r="AS178">
            <v>391.51070671639127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0</v>
          </cell>
          <cell r="BC178">
            <v>0</v>
          </cell>
          <cell r="BE178">
            <v>0</v>
          </cell>
          <cell r="BF178">
            <v>0</v>
          </cell>
          <cell r="BH178">
            <v>0</v>
          </cell>
          <cell r="BI178">
            <v>0</v>
          </cell>
          <cell r="BK178">
            <v>0</v>
          </cell>
          <cell r="BL178">
            <v>0</v>
          </cell>
          <cell r="BN178">
            <v>0</v>
          </cell>
          <cell r="BO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0.58815722133749371</v>
          </cell>
          <cell r="BZ178">
            <v>0</v>
          </cell>
          <cell r="CA178">
            <v>0</v>
          </cell>
          <cell r="CC178">
            <v>0</v>
          </cell>
          <cell r="CD178">
            <v>0</v>
          </cell>
          <cell r="CF178">
            <v>0</v>
          </cell>
          <cell r="CG178">
            <v>0</v>
          </cell>
          <cell r="CI178">
            <v>0</v>
          </cell>
          <cell r="CJ178">
            <v>0</v>
          </cell>
          <cell r="CL178">
            <v>0</v>
          </cell>
          <cell r="CM178">
            <v>0</v>
          </cell>
          <cell r="CX178">
            <v>7.7362697956480133</v>
          </cell>
          <cell r="CY178">
            <v>524.19421133439505</v>
          </cell>
        </row>
        <row r="179">
          <cell r="I179">
            <v>247.89885197944591</v>
          </cell>
          <cell r="J179">
            <v>309.23535979168742</v>
          </cell>
          <cell r="L179">
            <v>37.9243574755655</v>
          </cell>
          <cell r="M179">
            <v>48.438791670186518</v>
          </cell>
          <cell r="O179">
            <v>96.08</v>
          </cell>
          <cell r="P179">
            <v>96.08</v>
          </cell>
          <cell r="R179">
            <v>19.62</v>
          </cell>
          <cell r="S179">
            <v>19.66</v>
          </cell>
          <cell r="U179">
            <v>0</v>
          </cell>
          <cell r="V179">
            <v>0</v>
          </cell>
          <cell r="X179">
            <v>97.742402165657325</v>
          </cell>
          <cell r="Y179">
            <v>107.30531244251651</v>
          </cell>
          <cell r="AA179">
            <v>0</v>
          </cell>
          <cell r="AB179">
            <v>0</v>
          </cell>
          <cell r="AD179">
            <v>280.06696542486361</v>
          </cell>
          <cell r="AE179">
            <v>307.78385543648744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P179">
            <v>63.134509526243313</v>
          </cell>
          <cell r="AQ179">
            <v>0</v>
          </cell>
          <cell r="AS179">
            <v>729.85327260524946</v>
          </cell>
          <cell r="AT179">
            <v>0</v>
          </cell>
          <cell r="AV179">
            <v>46.068659712404099</v>
          </cell>
          <cell r="AW179">
            <v>0</v>
          </cell>
          <cell r="AY179">
            <v>48.925973641158578</v>
          </cell>
          <cell r="AZ179">
            <v>0</v>
          </cell>
          <cell r="BB179">
            <v>22.313697520928265</v>
          </cell>
          <cell r="BC179">
            <v>0</v>
          </cell>
          <cell r="BE179">
            <v>28.65895693375586</v>
          </cell>
          <cell r="BF179">
            <v>0</v>
          </cell>
          <cell r="BH179">
            <v>0</v>
          </cell>
          <cell r="BI179">
            <v>0</v>
          </cell>
          <cell r="BK179">
            <v>13.058040995621697</v>
          </cell>
          <cell r="BL179">
            <v>0</v>
          </cell>
          <cell r="BN179">
            <v>0</v>
          </cell>
          <cell r="BO179">
            <v>0</v>
          </cell>
          <cell r="BT179">
            <v>700.83766086006881</v>
          </cell>
          <cell r="BU179">
            <v>334.27639581308097</v>
          </cell>
          <cell r="BW179">
            <v>432.40571561830296</v>
          </cell>
          <cell r="BX179">
            <v>773.7845444234631</v>
          </cell>
          <cell r="BZ179">
            <v>95.754327999463968</v>
          </cell>
          <cell r="CA179">
            <v>399.03024210424906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46.793812942980331</v>
          </cell>
          <cell r="CJ179">
            <v>4.9562718017994385</v>
          </cell>
          <cell r="CL179">
            <v>0</v>
          </cell>
          <cell r="CM179">
            <v>0</v>
          </cell>
          <cell r="CX179">
            <v>54.135353517948261</v>
          </cell>
          <cell r="CY179">
            <v>782.0390718198355</v>
          </cell>
        </row>
        <row r="180">
          <cell r="I180">
            <v>2652.574894035266</v>
          </cell>
          <cell r="J180">
            <v>2942.0346521204083</v>
          </cell>
          <cell r="L180">
            <v>546.91467492135553</v>
          </cell>
          <cell r="M180">
            <v>601.88851684209817</v>
          </cell>
          <cell r="O180">
            <v>1018.72</v>
          </cell>
          <cell r="P180">
            <v>1018.56</v>
          </cell>
          <cell r="R180">
            <v>0</v>
          </cell>
          <cell r="S180">
            <v>0</v>
          </cell>
          <cell r="U180">
            <v>215.74518364026076</v>
          </cell>
          <cell r="V180">
            <v>615.44722828722456</v>
          </cell>
          <cell r="X180">
            <v>1951.8747008543114</v>
          </cell>
          <cell r="Y180">
            <v>1921.0415293528399</v>
          </cell>
          <cell r="AA180">
            <v>0</v>
          </cell>
          <cell r="AB180">
            <v>0</v>
          </cell>
          <cell r="AD180">
            <v>3223.9841024217235</v>
          </cell>
          <cell r="AE180">
            <v>3543.0464117893725</v>
          </cell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3156.7254763121659</v>
          </cell>
          <cell r="AQ180">
            <v>0</v>
          </cell>
          <cell r="AS180">
            <v>9352.3552740010964</v>
          </cell>
          <cell r="AT180">
            <v>1209.1619800349144</v>
          </cell>
          <cell r="AV180">
            <v>430.09161387458335</v>
          </cell>
          <cell r="AW180">
            <v>0</v>
          </cell>
          <cell r="AY180">
            <v>704.86294416155238</v>
          </cell>
          <cell r="AZ180">
            <v>0</v>
          </cell>
          <cell r="BB180">
            <v>609.57690160425739</v>
          </cell>
          <cell r="BC180">
            <v>0</v>
          </cell>
          <cell r="BE180">
            <v>0</v>
          </cell>
          <cell r="BF180">
            <v>0</v>
          </cell>
          <cell r="BH180">
            <v>218.86472282667671</v>
          </cell>
          <cell r="BI180">
            <v>0</v>
          </cell>
          <cell r="BK180">
            <v>286.80844471916237</v>
          </cell>
          <cell r="BL180">
            <v>0</v>
          </cell>
          <cell r="BN180">
            <v>0</v>
          </cell>
          <cell r="BO180">
            <v>0</v>
          </cell>
          <cell r="BT180">
            <v>6689.3798685175752</v>
          </cell>
          <cell r="BU180">
            <v>6567.6553762416315</v>
          </cell>
          <cell r="BW180">
            <v>4151.549923141989</v>
          </cell>
          <cell r="BX180">
            <v>5064.8254741618202</v>
          </cell>
          <cell r="BZ180">
            <v>2597.4389468319587</v>
          </cell>
          <cell r="CA180">
            <v>6313.5922444428716</v>
          </cell>
          <cell r="CC180">
            <v>346.97835124900598</v>
          </cell>
          <cell r="CD180">
            <v>350.80491813136416</v>
          </cell>
          <cell r="CF180">
            <v>42.715137937851118</v>
          </cell>
          <cell r="CG180">
            <v>0</v>
          </cell>
          <cell r="CI180">
            <v>1229.1174866356168</v>
          </cell>
          <cell r="CJ180">
            <v>1176.5358343620046</v>
          </cell>
          <cell r="CL180">
            <v>0</v>
          </cell>
          <cell r="CM180">
            <v>0</v>
          </cell>
          <cell r="CX180">
            <v>2369.3256227763268</v>
          </cell>
          <cell r="CY180">
            <v>12091.347001080139</v>
          </cell>
        </row>
        <row r="181">
          <cell r="I181">
            <v>3697.9904506457724</v>
          </cell>
          <cell r="J181">
            <v>4630.0615516842809</v>
          </cell>
          <cell r="L181">
            <v>688.05838458179949</v>
          </cell>
          <cell r="M181">
            <v>878.82707591995086</v>
          </cell>
          <cell r="O181">
            <v>1358.34</v>
          </cell>
          <cell r="P181">
            <v>1358.5</v>
          </cell>
          <cell r="R181">
            <v>337.34</v>
          </cell>
          <cell r="S181">
            <v>337.26</v>
          </cell>
          <cell r="U181">
            <v>195.03873136964788</v>
          </cell>
          <cell r="V181">
            <v>159.7141139737883</v>
          </cell>
          <cell r="X181">
            <v>2066.5129284296781</v>
          </cell>
          <cell r="Y181">
            <v>2518.2229693722543</v>
          </cell>
          <cell r="AA181">
            <v>0</v>
          </cell>
          <cell r="AB181">
            <v>0</v>
          </cell>
          <cell r="AD181">
            <v>4494.1626176753107</v>
          </cell>
          <cell r="AE181">
            <v>4938.9284285216308</v>
          </cell>
          <cell r="AJ181">
            <v>14402.266595894693</v>
          </cell>
          <cell r="AK181">
            <v>14561.070339958776</v>
          </cell>
          <cell r="AM181">
            <v>0</v>
          </cell>
          <cell r="AN181">
            <v>0</v>
          </cell>
          <cell r="AP181">
            <v>852.31587860428476</v>
          </cell>
          <cell r="AQ181">
            <v>382.20691467571515</v>
          </cell>
          <cell r="AS181">
            <v>27904.38</v>
          </cell>
          <cell r="AT181">
            <v>22.227384164055259</v>
          </cell>
          <cell r="AV181">
            <v>323.77807226747711</v>
          </cell>
          <cell r="AW181">
            <v>0</v>
          </cell>
          <cell r="AY181">
            <v>454.89918193382948</v>
          </cell>
          <cell r="AZ181">
            <v>0</v>
          </cell>
          <cell r="BB181">
            <v>547.50131884064126</v>
          </cell>
          <cell r="BC181">
            <v>0</v>
          </cell>
          <cell r="BE181">
            <v>186.23364705591104</v>
          </cell>
          <cell r="BF181">
            <v>0</v>
          </cell>
          <cell r="BH181">
            <v>98.941812127749259</v>
          </cell>
          <cell r="BI181">
            <v>0</v>
          </cell>
          <cell r="BK181">
            <v>234.91889578159507</v>
          </cell>
          <cell r="BL181">
            <v>0</v>
          </cell>
          <cell r="BN181">
            <v>0</v>
          </cell>
          <cell r="BO181">
            <v>0</v>
          </cell>
          <cell r="BT181">
            <v>6282.48</v>
          </cell>
          <cell r="BU181">
            <v>6105.1430172216415</v>
          </cell>
          <cell r="BW181">
            <v>8470.4</v>
          </cell>
          <cell r="BX181">
            <v>10309.401014408148</v>
          </cell>
          <cell r="BZ181">
            <v>1038.7123617720865</v>
          </cell>
          <cell r="CA181">
            <v>5791.1300119497919</v>
          </cell>
          <cell r="CC181">
            <v>294.1325384987336</v>
          </cell>
          <cell r="CD181">
            <v>297.37630810796628</v>
          </cell>
          <cell r="CF181">
            <v>36.209498110639551</v>
          </cell>
          <cell r="CG181">
            <v>0</v>
          </cell>
          <cell r="CI181">
            <v>6039.5214571739953</v>
          </cell>
          <cell r="CJ181">
            <v>6037.350194077404</v>
          </cell>
          <cell r="CL181">
            <v>1246.5871768009961</v>
          </cell>
          <cell r="CM181">
            <v>1497.2844475806951</v>
          </cell>
          <cell r="CX181">
            <v>1119.0341429222026</v>
          </cell>
          <cell r="CY181">
            <v>26830.255474060679</v>
          </cell>
        </row>
        <row r="182">
          <cell r="I182">
            <v>1778.0570670174257</v>
          </cell>
          <cell r="J182">
            <v>2213.2613583416246</v>
          </cell>
          <cell r="L182">
            <v>444.83095775578329</v>
          </cell>
          <cell r="M182">
            <v>568.16372024067914</v>
          </cell>
          <cell r="O182">
            <v>676.42</v>
          </cell>
          <cell r="P182">
            <v>676.5</v>
          </cell>
          <cell r="R182">
            <v>161.44</v>
          </cell>
          <cell r="S182">
            <v>161.46</v>
          </cell>
          <cell r="U182">
            <v>118.22581795543685</v>
          </cell>
          <cell r="V182">
            <v>96.813560492705875</v>
          </cell>
          <cell r="X182">
            <v>1327.5722267365047</v>
          </cell>
          <cell r="Y182">
            <v>1597.9946278377065</v>
          </cell>
          <cell r="AA182">
            <v>0</v>
          </cell>
          <cell r="AB182">
            <v>0</v>
          </cell>
          <cell r="AD182">
            <v>1955.6940794286343</v>
          </cell>
          <cell r="AE182">
            <v>2149.2397823774872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P182">
            <v>473.50882144682487</v>
          </cell>
          <cell r="AQ182">
            <v>0</v>
          </cell>
          <cell r="AS182">
            <v>8191.5701476768691</v>
          </cell>
          <cell r="AT182">
            <v>440.57288073581003</v>
          </cell>
          <cell r="AV182">
            <v>297.77636292708985</v>
          </cell>
          <cell r="AW182">
            <v>0</v>
          </cell>
          <cell r="AY182">
            <v>573.36085687710136</v>
          </cell>
          <cell r="AZ182">
            <v>0</v>
          </cell>
          <cell r="BB182">
            <v>247.03479876144331</v>
          </cell>
          <cell r="BC182">
            <v>0</v>
          </cell>
          <cell r="BE182">
            <v>169.24387227042521</v>
          </cell>
          <cell r="BF182">
            <v>1654.7042563260297</v>
          </cell>
          <cell r="BH182">
            <v>119.94714023874553</v>
          </cell>
          <cell r="BI182">
            <v>0</v>
          </cell>
          <cell r="BK182">
            <v>179.8175182931152</v>
          </cell>
          <cell r="BL182">
            <v>0</v>
          </cell>
          <cell r="BN182">
            <v>0</v>
          </cell>
          <cell r="BO182">
            <v>0</v>
          </cell>
          <cell r="BT182">
            <v>4408.3255244416896</v>
          </cell>
          <cell r="BU182">
            <v>4250.3792519782801</v>
          </cell>
          <cell r="BW182">
            <v>3030.6388628691693</v>
          </cell>
          <cell r="BX182">
            <v>3625.3287965451364</v>
          </cell>
          <cell r="BZ182">
            <v>874.84810644422237</v>
          </cell>
          <cell r="CA182">
            <v>4178.0511019515889</v>
          </cell>
          <cell r="CC182">
            <v>269.62149362383911</v>
          </cell>
          <cell r="CD182">
            <v>272.5949490989691</v>
          </cell>
          <cell r="CF182">
            <v>33.19203993475292</v>
          </cell>
          <cell r="CG182">
            <v>0</v>
          </cell>
          <cell r="CI182">
            <v>1428.7710885256663</v>
          </cell>
          <cell r="CJ182">
            <v>768.0912885597877</v>
          </cell>
          <cell r="CL182">
            <v>0</v>
          </cell>
          <cell r="CM182">
            <v>0</v>
          </cell>
          <cell r="CX182">
            <v>1599.5238601303063</v>
          </cell>
          <cell r="CY182">
            <v>6527.6133106170364</v>
          </cell>
        </row>
        <row r="183">
          <cell r="I183">
            <v>3696.2005892890193</v>
          </cell>
          <cell r="J183">
            <v>4622.7616980706516</v>
          </cell>
          <cell r="L183">
            <v>687.71345267885329</v>
          </cell>
          <cell r="M183">
            <v>878.38615063816746</v>
          </cell>
          <cell r="O183">
            <v>1325.06</v>
          </cell>
          <cell r="P183">
            <v>1324.86</v>
          </cell>
          <cell r="R183">
            <v>323.04000000000002</v>
          </cell>
          <cell r="S183">
            <v>323.27999999999997</v>
          </cell>
          <cell r="U183">
            <v>195.03873136964788</v>
          </cell>
          <cell r="V183">
            <v>159.7141139737883</v>
          </cell>
          <cell r="X183">
            <v>2062.2996755049794</v>
          </cell>
          <cell r="Y183">
            <v>2510.4613356498899</v>
          </cell>
          <cell r="AA183">
            <v>0</v>
          </cell>
          <cell r="AB183">
            <v>0</v>
          </cell>
          <cell r="AD183">
            <v>4374.446461131487</v>
          </cell>
          <cell r="AE183">
            <v>4807.3645357104979</v>
          </cell>
          <cell r="AJ183">
            <v>14402.266595894693</v>
          </cell>
          <cell r="AK183">
            <v>14561.070339958776</v>
          </cell>
          <cell r="AM183">
            <v>0</v>
          </cell>
          <cell r="AN183">
            <v>0</v>
          </cell>
          <cell r="AP183">
            <v>852.31587860428476</v>
          </cell>
          <cell r="AQ183">
            <v>238.87932167232196</v>
          </cell>
          <cell r="AS183">
            <v>27193.46</v>
          </cell>
          <cell r="AT183">
            <v>1239.5900829719105</v>
          </cell>
          <cell r="AV183">
            <v>323.58965322690381</v>
          </cell>
          <cell r="AW183">
            <v>0</v>
          </cell>
          <cell r="AY183">
            <v>454.66614417503911</v>
          </cell>
          <cell r="AZ183">
            <v>0</v>
          </cell>
          <cell r="BB183">
            <v>530.89323843394777</v>
          </cell>
          <cell r="BC183">
            <v>0</v>
          </cell>
          <cell r="BE183">
            <v>179.5277080876393</v>
          </cell>
          <cell r="BF183">
            <v>0</v>
          </cell>
          <cell r="BH183">
            <v>98.941812127749259</v>
          </cell>
          <cell r="BI183">
            <v>0</v>
          </cell>
          <cell r="BK183">
            <v>229.74257394823968</v>
          </cell>
          <cell r="BL183">
            <v>0</v>
          </cell>
          <cell r="BN183">
            <v>0</v>
          </cell>
          <cell r="BO183">
            <v>0</v>
          </cell>
          <cell r="BT183">
            <v>3525.42</v>
          </cell>
          <cell r="BU183">
            <v>3991.9441097006584</v>
          </cell>
          <cell r="BW183">
            <v>8419.18</v>
          </cell>
          <cell r="BX183">
            <v>13549.803689415483</v>
          </cell>
          <cell r="BZ183">
            <v>1629.06</v>
          </cell>
          <cell r="CA183">
            <v>3862.6086065015534</v>
          </cell>
          <cell r="CC183">
            <v>294.1325384987336</v>
          </cell>
          <cell r="CD183">
            <v>297.37630810796628</v>
          </cell>
          <cell r="CF183">
            <v>36.209498110639551</v>
          </cell>
          <cell r="CG183">
            <v>0</v>
          </cell>
          <cell r="CI183">
            <v>1965.3401436051738</v>
          </cell>
          <cell r="CJ183">
            <v>2091.1843722140929</v>
          </cell>
          <cell r="CL183">
            <v>2063.6071507854331</v>
          </cell>
          <cell r="CM183">
            <v>3136.7866229918413</v>
          </cell>
          <cell r="CX183">
            <v>975.11778543307446</v>
          </cell>
          <cell r="CY183">
            <v>21694.414454906873</v>
          </cell>
        </row>
        <row r="184">
          <cell r="I184">
            <v>3701.1643116310679</v>
          </cell>
          <cell r="J184">
            <v>4633.7781239120723</v>
          </cell>
          <cell r="L184">
            <v>642.19348625192868</v>
          </cell>
          <cell r="M184">
            <v>820.24700276875001</v>
          </cell>
          <cell r="O184">
            <v>1358.34</v>
          </cell>
          <cell r="P184">
            <v>1358.58</v>
          </cell>
          <cell r="R184">
            <v>337.34</v>
          </cell>
          <cell r="S184">
            <v>337.28</v>
          </cell>
          <cell r="U184">
            <v>195.03873136964788</v>
          </cell>
          <cell r="V184">
            <v>159.7141139737883</v>
          </cell>
          <cell r="X184">
            <v>2079.5286002385078</v>
          </cell>
          <cell r="Y184">
            <v>2526.6076642288681</v>
          </cell>
          <cell r="AA184">
            <v>0</v>
          </cell>
          <cell r="AB184">
            <v>0</v>
          </cell>
          <cell r="AD184">
            <v>4492.5591808503596</v>
          </cell>
          <cell r="AE184">
            <v>4937.1663072118808</v>
          </cell>
          <cell r="AJ184">
            <v>12475.431075511171</v>
          </cell>
          <cell r="AK184">
            <v>12612.99082331749</v>
          </cell>
          <cell r="AM184">
            <v>0</v>
          </cell>
          <cell r="AN184">
            <v>133.27276795240937</v>
          </cell>
          <cell r="AP184">
            <v>852.31587860428476</v>
          </cell>
          <cell r="AQ184">
            <v>382.20691467571515</v>
          </cell>
          <cell r="AS184">
            <v>26782</v>
          </cell>
          <cell r="AT184">
            <v>5065.869839113856</v>
          </cell>
          <cell r="AV184">
            <v>259.31682263898614</v>
          </cell>
          <cell r="AW184">
            <v>0</v>
          </cell>
          <cell r="AY184">
            <v>350.53630385809657</v>
          </cell>
          <cell r="AZ184">
            <v>1285.7224594662948</v>
          </cell>
          <cell r="BB184">
            <v>438.00105507251305</v>
          </cell>
          <cell r="BC184">
            <v>0</v>
          </cell>
          <cell r="BE184">
            <v>148.98691764472883</v>
          </cell>
          <cell r="BF184">
            <v>0</v>
          </cell>
          <cell r="BH184">
            <v>79.153449702199396</v>
          </cell>
          <cell r="BI184">
            <v>0</v>
          </cell>
          <cell r="BK184">
            <v>186.96012202314108</v>
          </cell>
          <cell r="BL184">
            <v>0</v>
          </cell>
          <cell r="BN184">
            <v>0</v>
          </cell>
          <cell r="BO184">
            <v>0</v>
          </cell>
          <cell r="BT184">
            <v>6287.76</v>
          </cell>
          <cell r="BU184">
            <v>6020.1144630192148</v>
          </cell>
          <cell r="BW184">
            <v>8688.68</v>
          </cell>
          <cell r="BX184">
            <v>10575.360408990771</v>
          </cell>
          <cell r="BZ184">
            <v>1629.06</v>
          </cell>
          <cell r="CA184">
            <v>5699.1794152743023</v>
          </cell>
          <cell r="CC184">
            <v>294.1325384987336</v>
          </cell>
          <cell r="CD184">
            <v>297.37630810796628</v>
          </cell>
          <cell r="CF184">
            <v>36.209498110639551</v>
          </cell>
          <cell r="CG184">
            <v>0</v>
          </cell>
          <cell r="CI184">
            <v>3178.8596925931306</v>
          </cell>
          <cell r="CJ184">
            <v>3087.0829995840195</v>
          </cell>
          <cell r="CL184">
            <v>4772.9689201839947</v>
          </cell>
          <cell r="CM184">
            <v>4630.6144347053269</v>
          </cell>
          <cell r="CX184">
            <v>2494.5760982602515</v>
          </cell>
          <cell r="CY184">
            <v>20138.623144436729</v>
          </cell>
        </row>
        <row r="185">
          <cell r="I185">
            <v>2191.4050820489592</v>
          </cell>
          <cell r="J185">
            <v>2756.8291502173815</v>
          </cell>
          <cell r="L185">
            <v>289.83064804141583</v>
          </cell>
          <cell r="M185">
            <v>370.18826872000795</v>
          </cell>
          <cell r="O185">
            <v>910.42</v>
          </cell>
          <cell r="P185">
            <v>910.76</v>
          </cell>
          <cell r="R185">
            <v>219.08</v>
          </cell>
          <cell r="S185">
            <v>219.3</v>
          </cell>
          <cell r="U185">
            <v>130.00964065633656</v>
          </cell>
          <cell r="V185">
            <v>106.46261844006062</v>
          </cell>
          <cell r="X185">
            <v>1009.1417827583608</v>
          </cell>
          <cell r="Y185">
            <v>1195.330425917623</v>
          </cell>
          <cell r="AA185">
            <v>0</v>
          </cell>
          <cell r="AB185">
            <v>0</v>
          </cell>
          <cell r="AD185">
            <v>2986.9533813785579</v>
          </cell>
          <cell r="AE185">
            <v>3282.5578923065987</v>
          </cell>
          <cell r="AJ185">
            <v>2090.1236447864553</v>
          </cell>
          <cell r="AK185">
            <v>584.07503055120287</v>
          </cell>
          <cell r="AM185">
            <v>0</v>
          </cell>
          <cell r="AN185">
            <v>206.17001278817884</v>
          </cell>
          <cell r="AP185">
            <v>1349.5001411234509</v>
          </cell>
          <cell r="AQ185">
            <v>0</v>
          </cell>
          <cell r="AS185">
            <v>9891.6284381155456</v>
          </cell>
          <cell r="AT185">
            <v>21226.986509062575</v>
          </cell>
          <cell r="AV185">
            <v>173.0252149111553</v>
          </cell>
          <cell r="AW185">
            <v>0</v>
          </cell>
          <cell r="AY185">
            <v>190.6065330224925</v>
          </cell>
          <cell r="AZ185">
            <v>1607.5847351996208</v>
          </cell>
          <cell r="BB185">
            <v>347.57607156084669</v>
          </cell>
          <cell r="BC185">
            <v>0</v>
          </cell>
          <cell r="BE185">
            <v>135.57212084364016</v>
          </cell>
          <cell r="BF185">
            <v>0</v>
          </cell>
          <cell r="BH185">
            <v>65.961235315382794</v>
          </cell>
          <cell r="BI185">
            <v>0</v>
          </cell>
          <cell r="BK185">
            <v>162.82689024297548</v>
          </cell>
          <cell r="BL185">
            <v>0</v>
          </cell>
          <cell r="BN185">
            <v>0</v>
          </cell>
          <cell r="BO185">
            <v>0</v>
          </cell>
          <cell r="BT185">
            <v>7416.1887362632224</v>
          </cell>
          <cell r="BU185">
            <v>6178.1948618677598</v>
          </cell>
          <cell r="BW185">
            <v>9290.8720135918593</v>
          </cell>
          <cell r="BX185">
            <v>11237.478502185846</v>
          </cell>
          <cell r="BZ185">
            <v>1111.7173069381831</v>
          </cell>
          <cell r="CA185">
            <v>5715.6855446533045</v>
          </cell>
          <cell r="CC185">
            <v>289.23032952375473</v>
          </cell>
          <cell r="CD185">
            <v>292.42003630616688</v>
          </cell>
          <cell r="CF185">
            <v>35.606006475462223</v>
          </cell>
          <cell r="CG185">
            <v>0</v>
          </cell>
          <cell r="CI185">
            <v>3702.9503975545108</v>
          </cell>
          <cell r="CJ185">
            <v>3541.0470712091783</v>
          </cell>
          <cell r="CL185">
            <v>1406.9339758189421</v>
          </cell>
          <cell r="CM185">
            <v>417.13200500730863</v>
          </cell>
          <cell r="CX185">
            <v>-1373.051509165809</v>
          </cell>
          <cell r="CY185">
            <v>-18714.303197319361</v>
          </cell>
        </row>
        <row r="186">
          <cell r="I186">
            <v>429.89971026334257</v>
          </cell>
          <cell r="J186">
            <v>465.38151017137568</v>
          </cell>
          <cell r="L186">
            <v>93.750112091284052</v>
          </cell>
          <cell r="M186">
            <v>103.17313530359138</v>
          </cell>
          <cell r="O186">
            <v>108.74</v>
          </cell>
          <cell r="P186">
            <v>108.73333333333333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>
            <v>197.78281885877576</v>
          </cell>
          <cell r="Y186">
            <v>185.91953052957783</v>
          </cell>
          <cell r="AA186">
            <v>0</v>
          </cell>
          <cell r="AB186">
            <v>0</v>
          </cell>
          <cell r="AD186">
            <v>341.49641178522808</v>
          </cell>
          <cell r="AE186">
            <v>373.961300180465</v>
          </cell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P186">
            <v>118.37720536170622</v>
          </cell>
          <cell r="AQ186">
            <v>0</v>
          </cell>
          <cell r="AS186">
            <v>1056.515040328379</v>
          </cell>
          <cell r="AT186">
            <v>2862.6301701267284</v>
          </cell>
          <cell r="AV186">
            <v>83.07505612416243</v>
          </cell>
          <cell r="AW186">
            <v>0</v>
          </cell>
          <cell r="AY186">
            <v>120.85834889421265</v>
          </cell>
          <cell r="AZ186">
            <v>0</v>
          </cell>
          <cell r="BB186">
            <v>50.255603364884891</v>
          </cell>
          <cell r="BC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K186">
            <v>19.771277081972755</v>
          </cell>
          <cell r="BL186">
            <v>0</v>
          </cell>
          <cell r="BN186">
            <v>0</v>
          </cell>
          <cell r="BO186">
            <v>0</v>
          </cell>
          <cell r="BT186">
            <v>1162.7988093856859</v>
          </cell>
          <cell r="BU186">
            <v>1044.2090408416066</v>
          </cell>
          <cell r="BW186">
            <v>465.45645904822544</v>
          </cell>
          <cell r="BX186">
            <v>1746.4334194167891</v>
          </cell>
          <cell r="BZ186">
            <v>318.44255339917396</v>
          </cell>
          <cell r="CA186">
            <v>1090.0365246939964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155.97937647660115</v>
          </cell>
          <cell r="CJ186">
            <v>106.47429403772136</v>
          </cell>
          <cell r="CL186">
            <v>0</v>
          </cell>
          <cell r="CM186">
            <v>0</v>
          </cell>
          <cell r="CX186">
            <v>66.581461043639138</v>
          </cell>
          <cell r="CY186">
            <v>-3969.922710362222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>
            <v>183.84689632155502</v>
          </cell>
          <cell r="Y187">
            <v>144.23652640051461</v>
          </cell>
          <cell r="AA187">
            <v>0</v>
          </cell>
          <cell r="AB187">
            <v>0</v>
          </cell>
          <cell r="AD187">
            <v>394.2316673614111</v>
          </cell>
          <cell r="AE187">
            <v>433.24689269075026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173.61990119716913</v>
          </cell>
          <cell r="AQ187">
            <v>0</v>
          </cell>
          <cell r="AS187">
            <v>840.67548234952994</v>
          </cell>
          <cell r="AT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K187">
            <v>11.79923975269347</v>
          </cell>
          <cell r="BL187">
            <v>0</v>
          </cell>
          <cell r="BN187">
            <v>18.844525374458165</v>
          </cell>
          <cell r="BO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2.2516856390581426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2.4731035655487452</v>
          </cell>
          <cell r="CL187">
            <v>0</v>
          </cell>
          <cell r="CM187">
            <v>0</v>
          </cell>
          <cell r="CX187">
            <v>48.678745171819855</v>
          </cell>
          <cell r="CY187">
            <v>1297.650150044954</v>
          </cell>
        </row>
        <row r="188">
          <cell r="I188">
            <v>205.02480444573766</v>
          </cell>
          <cell r="J188">
            <v>178.03156936953988</v>
          </cell>
          <cell r="L188">
            <v>40.340596299837237</v>
          </cell>
          <cell r="M188">
            <v>36.374425389806305</v>
          </cell>
          <cell r="O188">
            <v>89.68</v>
          </cell>
          <cell r="P188">
            <v>89.66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>
            <v>146.17925307445458</v>
          </cell>
          <cell r="Y188">
            <v>95.259066557611035</v>
          </cell>
          <cell r="AA188">
            <v>0</v>
          </cell>
          <cell r="AB188">
            <v>0</v>
          </cell>
          <cell r="AD188">
            <v>255.72323122915535</v>
          </cell>
          <cell r="AE188">
            <v>281.03093812933622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P188">
            <v>126.26901905248663</v>
          </cell>
          <cell r="AQ188">
            <v>239.85147736512377</v>
          </cell>
          <cell r="AS188">
            <v>1246.5313505136853</v>
          </cell>
          <cell r="AT188">
            <v>0</v>
          </cell>
          <cell r="AV188">
            <v>39.854034337902583</v>
          </cell>
          <cell r="AW188">
            <v>0</v>
          </cell>
          <cell r="AY188">
            <v>52.004483831338867</v>
          </cell>
          <cell r="AZ188">
            <v>0</v>
          </cell>
          <cell r="BB188">
            <v>40.915006131433771</v>
          </cell>
          <cell r="BC188">
            <v>0</v>
          </cell>
          <cell r="BE188">
            <v>0</v>
          </cell>
          <cell r="BF188">
            <v>0</v>
          </cell>
          <cell r="BH188">
            <v>0</v>
          </cell>
          <cell r="BI188">
            <v>0</v>
          </cell>
          <cell r="BK188">
            <v>36.676348877749327</v>
          </cell>
          <cell r="BL188">
            <v>0</v>
          </cell>
          <cell r="BN188">
            <v>27.907064838681809</v>
          </cell>
          <cell r="BO188">
            <v>0</v>
          </cell>
          <cell r="BT188">
            <v>0</v>
          </cell>
          <cell r="BU188">
            <v>0</v>
          </cell>
          <cell r="BW188">
            <v>35.78822164429954</v>
          </cell>
          <cell r="BX188">
            <v>1.4605836491677944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143.50102635847304</v>
          </cell>
          <cell r="CJ188">
            <v>111.44063051022275</v>
          </cell>
          <cell r="CL188">
            <v>0</v>
          </cell>
          <cell r="CM188">
            <v>0</v>
          </cell>
          <cell r="CX188">
            <v>74.566671237716946</v>
          </cell>
          <cell r="CY188">
            <v>1818.5095708350304</v>
          </cell>
        </row>
        <row r="189">
          <cell r="I189">
            <v>451.00308958110253</v>
          </cell>
          <cell r="J189">
            <v>487.91451150163795</v>
          </cell>
          <cell r="L189">
            <v>93.750112091284052</v>
          </cell>
          <cell r="M189">
            <v>103.17313530359138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>
            <v>197.78281885877576</v>
          </cell>
          <cell r="Y189">
            <v>185.99891725683375</v>
          </cell>
          <cell r="AA189">
            <v>0</v>
          </cell>
          <cell r="AB189">
            <v>0</v>
          </cell>
          <cell r="AD189">
            <v>348.33774223835456</v>
          </cell>
          <cell r="AE189">
            <v>382.8110649805472</v>
          </cell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P189">
            <v>47.350882144682487</v>
          </cell>
          <cell r="AQ189">
            <v>0</v>
          </cell>
          <cell r="AS189">
            <v>1355.5330261552676</v>
          </cell>
          <cell r="AT189">
            <v>36.860989106953532</v>
          </cell>
          <cell r="AV189">
            <v>93.124297043027042</v>
          </cell>
          <cell r="AW189">
            <v>0</v>
          </cell>
          <cell r="AY189">
            <v>120.85834889421265</v>
          </cell>
          <cell r="AZ189">
            <v>0</v>
          </cell>
          <cell r="BB189">
            <v>0</v>
          </cell>
          <cell r="BC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K189">
            <v>19.771277081972755</v>
          </cell>
          <cell r="BL189">
            <v>0</v>
          </cell>
          <cell r="BN189">
            <v>0</v>
          </cell>
          <cell r="BO189">
            <v>0</v>
          </cell>
          <cell r="BT189">
            <v>1309.3857204389506</v>
          </cell>
          <cell r="BU189">
            <v>457.81780388719199</v>
          </cell>
          <cell r="BW189">
            <v>332.84883019540251</v>
          </cell>
          <cell r="BX189">
            <v>1393.5152700452441</v>
          </cell>
          <cell r="BZ189">
            <v>272.7293734864673</v>
          </cell>
          <cell r="CA189">
            <v>674.75302455570818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18.717525177192133</v>
          </cell>
          <cell r="CJ189">
            <v>17.341918970947059</v>
          </cell>
          <cell r="CL189">
            <v>0</v>
          </cell>
          <cell r="CM189">
            <v>0</v>
          </cell>
          <cell r="CX189">
            <v>-1.16520640303861E-2</v>
          </cell>
          <cell r="CY189">
            <v>1105.1960372696137</v>
          </cell>
        </row>
        <row r="190">
          <cell r="I190">
            <v>142.60929764448582</v>
          </cell>
          <cell r="J190">
            <v>158.88847990499096</v>
          </cell>
          <cell r="L190">
            <v>56.713212510051193</v>
          </cell>
          <cell r="M190">
            <v>62.414048184708101</v>
          </cell>
          <cell r="O190">
            <v>82.88</v>
          </cell>
          <cell r="P190">
            <v>82.866666666666674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X190">
            <v>70.863556614904908</v>
          </cell>
          <cell r="Y190">
            <v>65.150712870039428</v>
          </cell>
          <cell r="AA190">
            <v>0</v>
          </cell>
          <cell r="AB190">
            <v>0</v>
          </cell>
          <cell r="AD190">
            <v>233.67419328959994</v>
          </cell>
          <cell r="AE190">
            <v>301.91011773731782</v>
          </cell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P190">
            <v>142.05264643404746</v>
          </cell>
          <cell r="AQ190">
            <v>0</v>
          </cell>
          <cell r="AS190">
            <v>663.02809882485838</v>
          </cell>
          <cell r="AT190">
            <v>0</v>
          </cell>
          <cell r="AV190">
            <v>55.317016831563706</v>
          </cell>
          <cell r="AW190">
            <v>0</v>
          </cell>
          <cell r="AY190">
            <v>73.078243450016657</v>
          </cell>
          <cell r="AZ190">
            <v>0</v>
          </cell>
          <cell r="BB190">
            <v>39.334542562527318</v>
          </cell>
          <cell r="BC190">
            <v>0</v>
          </cell>
          <cell r="BE190">
            <v>0</v>
          </cell>
          <cell r="BF190">
            <v>0</v>
          </cell>
          <cell r="BH190">
            <v>0</v>
          </cell>
          <cell r="BI190">
            <v>0</v>
          </cell>
          <cell r="BK190">
            <v>9.8614252960765771</v>
          </cell>
          <cell r="BL190">
            <v>0</v>
          </cell>
          <cell r="BN190">
            <v>0</v>
          </cell>
          <cell r="BO190">
            <v>0</v>
          </cell>
          <cell r="BT190">
            <v>1154.4105908852571</v>
          </cell>
          <cell r="BU190">
            <v>470.16948633802798</v>
          </cell>
          <cell r="BW190">
            <v>599.86955317543266</v>
          </cell>
          <cell r="BX190">
            <v>331.1425434369425</v>
          </cell>
          <cell r="BZ190">
            <v>274.96073609478691</v>
          </cell>
          <cell r="CA190">
            <v>747.04658656412778</v>
          </cell>
          <cell r="CC190">
            <v>29.903474747371249</v>
          </cell>
          <cell r="CD190">
            <v>30.233257990976576</v>
          </cell>
          <cell r="CF190">
            <v>3.6812989745816878</v>
          </cell>
          <cell r="CG190">
            <v>0</v>
          </cell>
          <cell r="CI190">
            <v>18.717525177192133</v>
          </cell>
          <cell r="CJ190">
            <v>12.375582498445674</v>
          </cell>
          <cell r="CL190">
            <v>0</v>
          </cell>
          <cell r="CM190">
            <v>0</v>
          </cell>
          <cell r="CX190">
            <v>761.53350498469626</v>
          </cell>
          <cell r="CY190">
            <v>2428.043021369308</v>
          </cell>
        </row>
        <row r="191">
          <cell r="I191">
            <v>1327.4832038396437</v>
          </cell>
          <cell r="J191">
            <v>1466.8849099591127</v>
          </cell>
          <cell r="L191">
            <v>275.62748227154816</v>
          </cell>
          <cell r="M191">
            <v>303.33227417768137</v>
          </cell>
          <cell r="O191">
            <v>517.36</v>
          </cell>
          <cell r="P191">
            <v>517.36666666666667</v>
          </cell>
          <cell r="R191">
            <v>130.54</v>
          </cell>
          <cell r="S191">
            <v>130.55000000000001</v>
          </cell>
          <cell r="U191">
            <v>88.645113504097054</v>
          </cell>
          <cell r="V191">
            <v>428.61300945045656</v>
          </cell>
          <cell r="X191">
            <v>985.6645116009646</v>
          </cell>
          <cell r="Y191">
            <v>929.98480554343814</v>
          </cell>
          <cell r="AA191">
            <v>0</v>
          </cell>
          <cell r="AB191">
            <v>0</v>
          </cell>
          <cell r="AD191">
            <v>1633.6028164182635</v>
          </cell>
          <cell r="AE191">
            <v>1795.2726853249953</v>
          </cell>
          <cell r="AJ191">
            <v>0</v>
          </cell>
          <cell r="AK191">
            <v>0</v>
          </cell>
          <cell r="AM191">
            <v>0</v>
          </cell>
          <cell r="AN191">
            <v>0</v>
          </cell>
          <cell r="AP191">
            <v>291.99710655887532</v>
          </cell>
          <cell r="AQ191">
            <v>0</v>
          </cell>
          <cell r="AS191">
            <v>3738.8353777026609</v>
          </cell>
          <cell r="AT191">
            <v>1258.7001004483097</v>
          </cell>
          <cell r="AV191">
            <v>234.83426435119529</v>
          </cell>
          <cell r="AW191">
            <v>0</v>
          </cell>
          <cell r="AY191">
            <v>355.27199472401503</v>
          </cell>
          <cell r="AZ191">
            <v>0</v>
          </cell>
          <cell r="BB191">
            <v>291.88442736632646</v>
          </cell>
          <cell r="BC191">
            <v>0</v>
          </cell>
          <cell r="BE191">
            <v>148.75500964976717</v>
          </cell>
          <cell r="BF191">
            <v>0</v>
          </cell>
          <cell r="BH191">
            <v>89.960355179059135</v>
          </cell>
          <cell r="BI191">
            <v>0</v>
          </cell>
          <cell r="BK191">
            <v>129.72769086525304</v>
          </cell>
          <cell r="BL191">
            <v>341.30103163853278</v>
          </cell>
          <cell r="BN191">
            <v>0</v>
          </cell>
          <cell r="BO191">
            <v>0</v>
          </cell>
          <cell r="BT191">
            <v>3992.1287333348687</v>
          </cell>
          <cell r="BU191">
            <v>2069.0986541017328</v>
          </cell>
          <cell r="BW191">
            <v>3953.8482913113594</v>
          </cell>
          <cell r="BX191">
            <v>1936.6483095344822</v>
          </cell>
          <cell r="BZ191">
            <v>3106.252592773656</v>
          </cell>
          <cell r="CA191">
            <v>2619.3908742486642</v>
          </cell>
          <cell r="CC191">
            <v>328.44800132358586</v>
          </cell>
          <cell r="CD191">
            <v>332.07021072056239</v>
          </cell>
          <cell r="CF191">
            <v>40.43393955688083</v>
          </cell>
          <cell r="CG191">
            <v>0</v>
          </cell>
          <cell r="CI191">
            <v>698.78760661517299</v>
          </cell>
          <cell r="CJ191">
            <v>153.52364980735919</v>
          </cell>
          <cell r="CL191">
            <v>0</v>
          </cell>
          <cell r="CM191">
            <v>0</v>
          </cell>
          <cell r="CX191">
            <v>-5.8862227366298612</v>
          </cell>
          <cell r="CY191">
            <v>9686.9353820536053</v>
          </cell>
        </row>
        <row r="192">
          <cell r="I192">
            <v>72.971859826195953</v>
          </cell>
          <cell r="J192">
            <v>85.856472231916058</v>
          </cell>
          <cell r="L192">
            <v>40.340596299837237</v>
          </cell>
          <cell r="M192">
            <v>44.395383839209757</v>
          </cell>
          <cell r="O192">
            <v>80.62</v>
          </cell>
          <cell r="P192">
            <v>80.63333333333334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>
            <v>37.053408462048985</v>
          </cell>
          <cell r="Y192">
            <v>18.659806715501148</v>
          </cell>
          <cell r="AA192">
            <v>0</v>
          </cell>
          <cell r="AB192">
            <v>0</v>
          </cell>
          <cell r="AD192">
            <v>252.48785203569767</v>
          </cell>
          <cell r="AE192">
            <v>277.47536890877223</v>
          </cell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P192">
            <v>386.69887084824029</v>
          </cell>
          <cell r="AQ192">
            <v>0</v>
          </cell>
          <cell r="AS192">
            <v>448.18829791239602</v>
          </cell>
          <cell r="AT192">
            <v>0</v>
          </cell>
          <cell r="AV192">
            <v>50.356859347754401</v>
          </cell>
          <cell r="AW192">
            <v>0</v>
          </cell>
          <cell r="AY192">
            <v>52.004483831338867</v>
          </cell>
          <cell r="AZ192">
            <v>0</v>
          </cell>
          <cell r="BB192">
            <v>41.88574554546431</v>
          </cell>
          <cell r="BC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K192">
            <v>0.28321488959834151</v>
          </cell>
          <cell r="BL192">
            <v>0</v>
          </cell>
          <cell r="BN192">
            <v>0</v>
          </cell>
          <cell r="BO192">
            <v>0</v>
          </cell>
          <cell r="BT192">
            <v>1242.4336902557943</v>
          </cell>
          <cell r="BU192">
            <v>1122.1845784132283</v>
          </cell>
          <cell r="BW192">
            <v>45.47124451660801</v>
          </cell>
          <cell r="BX192">
            <v>1.4421045226288862</v>
          </cell>
          <cell r="BZ192">
            <v>377.93785294754753</v>
          </cell>
          <cell r="CA192">
            <v>1173.5549174758689</v>
          </cell>
          <cell r="CC192">
            <v>0</v>
          </cell>
          <cell r="CD192">
            <v>0</v>
          </cell>
          <cell r="CF192">
            <v>0</v>
          </cell>
          <cell r="CG192">
            <v>0</v>
          </cell>
          <cell r="CI192">
            <v>0</v>
          </cell>
          <cell r="CJ192">
            <v>0</v>
          </cell>
          <cell r="CL192">
            <v>0</v>
          </cell>
          <cell r="CM192">
            <v>0</v>
          </cell>
          <cell r="CX192">
            <v>56.299227937774504</v>
          </cell>
          <cell r="CY192">
            <v>445.73764147144948</v>
          </cell>
        </row>
        <row r="193">
          <cell r="I193">
            <v>403.39185773935259</v>
          </cell>
          <cell r="J193">
            <v>437.79504138703942</v>
          </cell>
          <cell r="L193">
            <v>109.38260822167149</v>
          </cell>
          <cell r="M193">
            <v>120.37770336841962</v>
          </cell>
          <cell r="O193">
            <v>109.34</v>
          </cell>
          <cell r="P193">
            <v>109.33333333333333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X193">
            <v>201.19626340407379</v>
          </cell>
          <cell r="Y193">
            <v>188.72540886144623</v>
          </cell>
          <cell r="AA193">
            <v>0</v>
          </cell>
          <cell r="AB193">
            <v>0</v>
          </cell>
          <cell r="AD193">
            <v>338.00448269977812</v>
          </cell>
          <cell r="AE193">
            <v>371.45517209548586</v>
          </cell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P193">
            <v>165.7280875063887</v>
          </cell>
          <cell r="AQ193">
            <v>0</v>
          </cell>
          <cell r="AS193">
            <v>950.93820110495744</v>
          </cell>
          <cell r="AT193">
            <v>0</v>
          </cell>
          <cell r="AV193">
            <v>68.737885799463683</v>
          </cell>
          <cell r="AW193">
            <v>0</v>
          </cell>
          <cell r="AY193">
            <v>140.94151713113857</v>
          </cell>
          <cell r="AZ193">
            <v>0</v>
          </cell>
          <cell r="BB193">
            <v>50.066584629659644</v>
          </cell>
          <cell r="BC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K193">
            <v>19.771301113804686</v>
          </cell>
          <cell r="BL193">
            <v>0</v>
          </cell>
          <cell r="BN193">
            <v>0</v>
          </cell>
          <cell r="BO193">
            <v>0</v>
          </cell>
          <cell r="BT193">
            <v>1547.0980408854621</v>
          </cell>
          <cell r="BU193">
            <v>702.90551319329415</v>
          </cell>
          <cell r="BW193">
            <v>400.43647143041733</v>
          </cell>
          <cell r="BX193">
            <v>1488.4193786036699</v>
          </cell>
          <cell r="BZ193">
            <v>420.68883365971362</v>
          </cell>
          <cell r="CA193">
            <v>845.53220698178177</v>
          </cell>
          <cell r="CC193">
            <v>52.453636032274154</v>
          </cell>
          <cell r="CD193">
            <v>53.032108279253997</v>
          </cell>
          <cell r="CF193">
            <v>6.4573604963973867</v>
          </cell>
          <cell r="CG193">
            <v>0</v>
          </cell>
          <cell r="CI193">
            <v>215.25153953770956</v>
          </cell>
          <cell r="CJ193">
            <v>195.70731581151514</v>
          </cell>
          <cell r="CL193">
            <v>0</v>
          </cell>
          <cell r="CM193">
            <v>0</v>
          </cell>
          <cell r="CX193">
            <v>-2.1605670714961889E-2</v>
          </cell>
          <cell r="CY193">
            <v>823.90018170171243</v>
          </cell>
        </row>
        <row r="194">
          <cell r="I194">
            <v>2338.4513727925773</v>
          </cell>
          <cell r="J194">
            <v>2607.4615128407095</v>
          </cell>
          <cell r="L194">
            <v>481.37387211591579</v>
          </cell>
          <cell r="M194">
            <v>529.75958637472672</v>
          </cell>
          <cell r="O194">
            <v>1078.22</v>
          </cell>
          <cell r="P194">
            <v>1078.2166666666667</v>
          </cell>
          <cell r="R194">
            <v>257.04000000000002</v>
          </cell>
          <cell r="S194">
            <v>257.03333333333336</v>
          </cell>
          <cell r="U194">
            <v>147.75798163649051</v>
          </cell>
          <cell r="V194">
            <v>597.24217460502291</v>
          </cell>
          <cell r="X194">
            <v>1777.3195384548037</v>
          </cell>
          <cell r="Y194">
            <v>1736.7583256052412</v>
          </cell>
          <cell r="AA194">
            <v>0</v>
          </cell>
          <cell r="AB194">
            <v>0</v>
          </cell>
          <cell r="AD194">
            <v>3374.3936029880638</v>
          </cell>
          <cell r="AE194">
            <v>3708.3412222942716</v>
          </cell>
          <cell r="AJ194">
            <v>0</v>
          </cell>
          <cell r="AK194">
            <v>0</v>
          </cell>
          <cell r="AM194">
            <v>0</v>
          </cell>
          <cell r="AN194">
            <v>0</v>
          </cell>
          <cell r="AP194">
            <v>623.45328157165284</v>
          </cell>
          <cell r="AQ194">
            <v>0</v>
          </cell>
          <cell r="AS194">
            <v>8763.0691241502554</v>
          </cell>
          <cell r="AT194">
            <v>0</v>
          </cell>
          <cell r="AV194">
            <v>390.33847504504604</v>
          </cell>
          <cell r="AW194">
            <v>0</v>
          </cell>
          <cell r="AY194">
            <v>620.41262887163259</v>
          </cell>
          <cell r="AZ194">
            <v>0</v>
          </cell>
          <cell r="BB194">
            <v>575.45004834420865</v>
          </cell>
          <cell r="BC194">
            <v>0</v>
          </cell>
          <cell r="BE194">
            <v>271.31080726994344</v>
          </cell>
          <cell r="BF194">
            <v>0</v>
          </cell>
          <cell r="BH194">
            <v>149.88538452814583</v>
          </cell>
          <cell r="BI194">
            <v>0</v>
          </cell>
          <cell r="BK194">
            <v>252.38051312156597</v>
          </cell>
          <cell r="BL194">
            <v>0</v>
          </cell>
          <cell r="BN194">
            <v>0</v>
          </cell>
          <cell r="BO194">
            <v>0</v>
          </cell>
          <cell r="BT194">
            <v>11487.492797209252</v>
          </cell>
          <cell r="BU194">
            <v>7926.2904966809792</v>
          </cell>
          <cell r="BW194">
            <v>5122.0058400875741</v>
          </cell>
          <cell r="BX194">
            <v>5337.0257152350332</v>
          </cell>
          <cell r="BZ194">
            <v>2642.6804770956051</v>
          </cell>
          <cell r="CA194">
            <v>8742.8138344596373</v>
          </cell>
          <cell r="CC194">
            <v>452.47388839055179</v>
          </cell>
          <cell r="CD194">
            <v>457.46388730608822</v>
          </cell>
          <cell r="CF194">
            <v>55.702277926867183</v>
          </cell>
          <cell r="CG194">
            <v>0</v>
          </cell>
          <cell r="CI194">
            <v>1466.2061388800507</v>
          </cell>
          <cell r="CJ194">
            <v>951.52366857987658</v>
          </cell>
          <cell r="CL194">
            <v>0</v>
          </cell>
          <cell r="CM194">
            <v>0</v>
          </cell>
          <cell r="CX194">
            <v>1046.7183394237582</v>
          </cell>
          <cell r="CY194">
            <v>11123.703491222092</v>
          </cell>
        </row>
        <row r="195">
          <cell r="I195">
            <v>1099.6846566762104</v>
          </cell>
          <cell r="J195">
            <v>1215.6324934647482</v>
          </cell>
          <cell r="L195">
            <v>156.23343472749542</v>
          </cell>
          <cell r="M195">
            <v>171.93713447752629</v>
          </cell>
          <cell r="O195">
            <v>424.88</v>
          </cell>
          <cell r="P195">
            <v>424.88333333333338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>
            <v>770.1690841785512</v>
          </cell>
          <cell r="Y195">
            <v>720.96005618819368</v>
          </cell>
          <cell r="AA195">
            <v>0</v>
          </cell>
          <cell r="AB195">
            <v>0</v>
          </cell>
          <cell r="AD195">
            <v>1411.8581931063029</v>
          </cell>
          <cell r="AE195">
            <v>1551.5830556618466</v>
          </cell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P195">
            <v>852.31587860428476</v>
          </cell>
          <cell r="AQ195">
            <v>0</v>
          </cell>
          <cell r="AS195">
            <v>2988.2570570820485</v>
          </cell>
          <cell r="AT195">
            <v>0</v>
          </cell>
          <cell r="AV195">
            <v>187.94647068857452</v>
          </cell>
          <cell r="AW195">
            <v>0</v>
          </cell>
          <cell r="AY195">
            <v>201.394921118063</v>
          </cell>
          <cell r="AZ195">
            <v>0</v>
          </cell>
          <cell r="BB195">
            <v>261.14611199583754</v>
          </cell>
          <cell r="BC195">
            <v>0</v>
          </cell>
          <cell r="BE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98.937810135742524</v>
          </cell>
          <cell r="BL195">
            <v>0</v>
          </cell>
          <cell r="BN195">
            <v>0</v>
          </cell>
          <cell r="BO195">
            <v>0</v>
          </cell>
          <cell r="BT195">
            <v>5290.7080601649777</v>
          </cell>
          <cell r="BU195">
            <v>4584.0883533654142</v>
          </cell>
          <cell r="BW195">
            <v>2447.855812051062</v>
          </cell>
          <cell r="BX195">
            <v>2802.9421607257391</v>
          </cell>
          <cell r="BZ195">
            <v>1549.3373563831337</v>
          </cell>
          <cell r="CA195">
            <v>4546.6250590399086</v>
          </cell>
          <cell r="CC195">
            <v>0</v>
          </cell>
          <cell r="CD195">
            <v>0</v>
          </cell>
          <cell r="CF195">
            <v>0</v>
          </cell>
          <cell r="CG195">
            <v>0</v>
          </cell>
          <cell r="CI195">
            <v>1101.214397924804</v>
          </cell>
          <cell r="CJ195">
            <v>1216.5080782388625</v>
          </cell>
          <cell r="CL195">
            <v>0</v>
          </cell>
          <cell r="CM195">
            <v>0</v>
          </cell>
          <cell r="CX195">
            <v>565.33290619549371</v>
          </cell>
          <cell r="CY195">
            <v>2493.4683306053139</v>
          </cell>
        </row>
        <row r="196">
          <cell r="I196">
            <v>93.269085878945262</v>
          </cell>
          <cell r="J196">
            <v>105.71239783549773</v>
          </cell>
          <cell r="L196">
            <v>46.653150726733912</v>
          </cell>
          <cell r="M196">
            <v>51.342338767594661</v>
          </cell>
          <cell r="O196">
            <v>63.92</v>
          </cell>
          <cell r="P196">
            <v>63.933333333333337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>
            <v>69.599247294264174</v>
          </cell>
          <cell r="Y196">
            <v>63.754660063851155</v>
          </cell>
          <cell r="AA196">
            <v>0</v>
          </cell>
          <cell r="AB196">
            <v>0</v>
          </cell>
          <cell r="AD196">
            <v>203.95716413383198</v>
          </cell>
          <cell r="AE196">
            <v>224.14183060031218</v>
          </cell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P196">
            <v>142.05264643404746</v>
          </cell>
          <cell r="AQ196">
            <v>0</v>
          </cell>
          <cell r="AS196">
            <v>751.0658898522405</v>
          </cell>
          <cell r="AT196">
            <v>0</v>
          </cell>
          <cell r="AV196">
            <v>61.08498790277315</v>
          </cell>
          <cell r="AW196">
            <v>0</v>
          </cell>
          <cell r="AY196">
            <v>60.142686975203205</v>
          </cell>
          <cell r="AZ196">
            <v>0</v>
          </cell>
          <cell r="BB196">
            <v>25.856638541695908</v>
          </cell>
          <cell r="BC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K196">
            <v>9.8614099354183207</v>
          </cell>
          <cell r="BL196">
            <v>0</v>
          </cell>
          <cell r="BN196">
            <v>0</v>
          </cell>
          <cell r="BO196">
            <v>0</v>
          </cell>
          <cell r="BT196">
            <v>955.32120006988953</v>
          </cell>
          <cell r="BU196">
            <v>882.03011868007866</v>
          </cell>
          <cell r="BW196">
            <v>190.28264997171078</v>
          </cell>
          <cell r="BX196">
            <v>185.65722167738244</v>
          </cell>
          <cell r="BZ196">
            <v>259.94760452819969</v>
          </cell>
          <cell r="CA196">
            <v>972.33506513812881</v>
          </cell>
          <cell r="CC196">
            <v>0</v>
          </cell>
          <cell r="CD196">
            <v>0</v>
          </cell>
          <cell r="CF196">
            <v>0</v>
          </cell>
          <cell r="CG196">
            <v>0</v>
          </cell>
          <cell r="CI196">
            <v>187.17525177192132</v>
          </cell>
          <cell r="CJ196">
            <v>165.9898143421224</v>
          </cell>
          <cell r="CL196">
            <v>0</v>
          </cell>
          <cell r="CM196">
            <v>0</v>
          </cell>
          <cell r="CX196">
            <v>-9.1475368202504796</v>
          </cell>
          <cell r="CY196">
            <v>477.20386347403814</v>
          </cell>
        </row>
        <row r="197">
          <cell r="I197">
            <v>967.24574842025538</v>
          </cell>
          <cell r="J197">
            <v>890.50502589467271</v>
          </cell>
          <cell r="L197">
            <v>374.11870881629648</v>
          </cell>
          <cell r="M197">
            <v>378.86718366885327</v>
          </cell>
          <cell r="O197">
            <v>883.3</v>
          </cell>
          <cell r="P197">
            <v>883.30000000000007</v>
          </cell>
          <cell r="R197">
            <v>207.38</v>
          </cell>
          <cell r="S197">
            <v>207.38333333333335</v>
          </cell>
          <cell r="U197">
            <v>192.08062007918898</v>
          </cell>
          <cell r="V197">
            <v>116.31282722920301</v>
          </cell>
          <cell r="X197">
            <v>1491.4338275199132</v>
          </cell>
          <cell r="Y197">
            <v>1042.4126615867297</v>
          </cell>
          <cell r="AA197">
            <v>0</v>
          </cell>
          <cell r="AB197">
            <v>0</v>
          </cell>
          <cell r="AD197">
            <v>2717.5047309278179</v>
          </cell>
          <cell r="AE197">
            <v>2986.4431957657953</v>
          </cell>
          <cell r="AJ197">
            <v>4964.0659391358995</v>
          </cell>
          <cell r="AK197">
            <v>5018.7884120266808</v>
          </cell>
          <cell r="AM197">
            <v>0</v>
          </cell>
          <cell r="AN197">
            <v>399.28374909572597</v>
          </cell>
          <cell r="AP197">
            <v>568.21058573618984</v>
          </cell>
          <cell r="AQ197">
            <v>3440.8343877742382</v>
          </cell>
          <cell r="AS197">
            <v>10284.17970223984</v>
          </cell>
          <cell r="AT197">
            <v>0</v>
          </cell>
          <cell r="AV197">
            <v>101.50287500156291</v>
          </cell>
          <cell r="AW197">
            <v>0</v>
          </cell>
          <cell r="AY197">
            <v>220.35536942866483</v>
          </cell>
          <cell r="AZ197">
            <v>0</v>
          </cell>
          <cell r="BB197">
            <v>230.42606906662934</v>
          </cell>
          <cell r="BC197">
            <v>0</v>
          </cell>
          <cell r="BE197">
            <v>112.07757032379568</v>
          </cell>
          <cell r="BF197">
            <v>0</v>
          </cell>
          <cell r="BH197">
            <v>97.432801481500164</v>
          </cell>
          <cell r="BI197">
            <v>0</v>
          </cell>
          <cell r="BK197">
            <v>142.88014072649705</v>
          </cell>
          <cell r="BL197">
            <v>0</v>
          </cell>
          <cell r="BN197">
            <v>96.663229479310985</v>
          </cell>
          <cell r="BO197">
            <v>0</v>
          </cell>
          <cell r="BT197">
            <v>9669.3420490419412</v>
          </cell>
          <cell r="BU197">
            <v>7761.9771490433905</v>
          </cell>
          <cell r="BW197">
            <v>4980.7765172872423</v>
          </cell>
          <cell r="BX197">
            <v>6488.6866155867938</v>
          </cell>
          <cell r="BZ197">
            <v>1817.7466331011517</v>
          </cell>
          <cell r="CA197">
            <v>7402.0731877753624</v>
          </cell>
          <cell r="CC197">
            <v>156.87068719932458</v>
          </cell>
          <cell r="CD197">
            <v>158.60069765758203</v>
          </cell>
          <cell r="CF197">
            <v>19.311732325674427</v>
          </cell>
          <cell r="CG197">
            <v>0</v>
          </cell>
          <cell r="CI197">
            <v>1428.7710885256663</v>
          </cell>
          <cell r="CJ197">
            <v>1110.0841075546509</v>
          </cell>
          <cell r="CL197">
            <v>2239.8638462039921</v>
          </cell>
          <cell r="CM197">
            <v>2906.6672153473846</v>
          </cell>
          <cell r="CX197">
            <v>973.43143351797335</v>
          </cell>
          <cell r="CY197">
            <v>4299.0163007915289</v>
          </cell>
        </row>
        <row r="198">
          <cell r="I198">
            <v>8893.3527177792257</v>
          </cell>
          <cell r="J198">
            <v>7705.6565006674973</v>
          </cell>
          <cell r="L198">
            <v>1383.8738484118967</v>
          </cell>
          <cell r="M198">
            <v>1289.3395062315478</v>
          </cell>
          <cell r="O198">
            <v>3747.56</v>
          </cell>
          <cell r="P198">
            <v>3747.5500000000006</v>
          </cell>
          <cell r="R198">
            <v>835.94</v>
          </cell>
          <cell r="S198">
            <v>835.93333333333339</v>
          </cell>
          <cell r="U198">
            <v>455.10639007130726</v>
          </cell>
          <cell r="V198">
            <v>257.49298176974406</v>
          </cell>
          <cell r="X198">
            <v>5882.661021426873</v>
          </cell>
          <cell r="Y198">
            <v>4731.0177736881669</v>
          </cell>
          <cell r="AA198">
            <v>0</v>
          </cell>
          <cell r="AB198">
            <v>0</v>
          </cell>
          <cell r="AD198">
            <v>10997.702379678632</v>
          </cell>
          <cell r="AE198">
            <v>12090.086602506643</v>
          </cell>
          <cell r="AJ198">
            <v>18941.823520565489</v>
          </cell>
          <cell r="AK198">
            <v>19150.639993259705</v>
          </cell>
          <cell r="AM198">
            <v>0</v>
          </cell>
          <cell r="AN198">
            <v>1862.0262589196689</v>
          </cell>
          <cell r="AP198">
            <v>1933.4943542412018</v>
          </cell>
          <cell r="AQ198">
            <v>0</v>
          </cell>
          <cell r="AS198">
            <v>38335.786223766067</v>
          </cell>
          <cell r="AT198">
            <v>1059.0430259464601</v>
          </cell>
          <cell r="AV198">
            <v>687.5689269980968</v>
          </cell>
          <cell r="AW198">
            <v>2309.4966732716111</v>
          </cell>
          <cell r="AY198">
            <v>852.73376605057626</v>
          </cell>
          <cell r="AZ198">
            <v>3210.1358157077925</v>
          </cell>
          <cell r="BB198">
            <v>818.59852281293365</v>
          </cell>
          <cell r="BC198">
            <v>0</v>
          </cell>
          <cell r="BE198">
            <v>452.47536652234191</v>
          </cell>
          <cell r="BF198">
            <v>0</v>
          </cell>
          <cell r="BH198">
            <v>230.86424191318989</v>
          </cell>
          <cell r="BI198">
            <v>0</v>
          </cell>
          <cell r="BK198">
            <v>728.97575593989166</v>
          </cell>
          <cell r="BL198">
            <v>0</v>
          </cell>
          <cell r="BN198">
            <v>235.73840334135744</v>
          </cell>
          <cell r="BO198">
            <v>0</v>
          </cell>
          <cell r="BT198">
            <v>35932.432701699378</v>
          </cell>
          <cell r="BU198">
            <v>26942.033055525742</v>
          </cell>
          <cell r="BW198">
            <v>21908.491209721928</v>
          </cell>
          <cell r="BX198">
            <v>23821.859657151079</v>
          </cell>
          <cell r="BZ198">
            <v>6924.7490784805777</v>
          </cell>
          <cell r="CA198">
            <v>22931.803133544236</v>
          </cell>
          <cell r="CC198">
            <v>350.01772081349299</v>
          </cell>
          <cell r="CD198">
            <v>353.87780664847992</v>
          </cell>
          <cell r="CF198">
            <v>43.089302751661066</v>
          </cell>
          <cell r="CG198">
            <v>0</v>
          </cell>
          <cell r="CI198">
            <v>4133.4534766299294</v>
          </cell>
          <cell r="CJ198">
            <v>1925.4964979930287</v>
          </cell>
          <cell r="CL198">
            <v>2664.1277502203475</v>
          </cell>
          <cell r="CM198">
            <v>3979.4937346875731</v>
          </cell>
          <cell r="CX198">
            <v>3346.6099841963296</v>
          </cell>
          <cell r="CY198">
            <v>38347.771178977244</v>
          </cell>
        </row>
        <row r="199">
          <cell r="I199">
            <v>403.65464800973967</v>
          </cell>
          <cell r="J199">
            <v>436.68320657486856</v>
          </cell>
          <cell r="L199">
            <v>89.70629529285317</v>
          </cell>
          <cell r="M199">
            <v>98.72274230259481</v>
          </cell>
          <cell r="O199">
            <v>95.86</v>
          </cell>
          <cell r="P199">
            <v>95.866666666666674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X199">
            <v>197.78281885877576</v>
          </cell>
          <cell r="Y199">
            <v>185.37931353190959</v>
          </cell>
          <cell r="AA199">
            <v>0</v>
          </cell>
          <cell r="AB199">
            <v>0</v>
          </cell>
          <cell r="AD199">
            <v>341.63893950300155</v>
          </cell>
          <cell r="AE199">
            <v>375.44931373092129</v>
          </cell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142.05264643404746</v>
          </cell>
          <cell r="AQ199">
            <v>0</v>
          </cell>
          <cell r="AS199">
            <v>1177.6042701828499</v>
          </cell>
          <cell r="AT199">
            <v>0</v>
          </cell>
          <cell r="AV199">
            <v>77.254161613420038</v>
          </cell>
          <cell r="AW199">
            <v>0</v>
          </cell>
          <cell r="AY199">
            <v>115.64329743466799</v>
          </cell>
          <cell r="AZ199">
            <v>0</v>
          </cell>
          <cell r="BB199">
            <v>53.682635866982842</v>
          </cell>
          <cell r="BC199">
            <v>5486.1601225794993</v>
          </cell>
          <cell r="BE199">
            <v>0</v>
          </cell>
          <cell r="BF199">
            <v>0</v>
          </cell>
          <cell r="BH199">
            <v>0</v>
          </cell>
          <cell r="BI199">
            <v>0</v>
          </cell>
          <cell r="BK199">
            <v>19.771277081972755</v>
          </cell>
          <cell r="BL199">
            <v>0</v>
          </cell>
          <cell r="BN199">
            <v>0</v>
          </cell>
          <cell r="BO199">
            <v>0</v>
          </cell>
          <cell r="BT199">
            <v>1325.6562383130422</v>
          </cell>
          <cell r="BU199">
            <v>544.82594851709541</v>
          </cell>
          <cell r="BW199">
            <v>360.32658888365421</v>
          </cell>
          <cell r="BX199">
            <v>1467.039767324804</v>
          </cell>
          <cell r="BZ199">
            <v>532.81173505725587</v>
          </cell>
          <cell r="CA199">
            <v>768.61523147788921</v>
          </cell>
          <cell r="CC199">
            <v>0</v>
          </cell>
          <cell r="CD199">
            <v>0</v>
          </cell>
          <cell r="CF199">
            <v>0</v>
          </cell>
          <cell r="CG199">
            <v>0</v>
          </cell>
          <cell r="CI199">
            <v>224.61030212630564</v>
          </cell>
          <cell r="CJ199">
            <v>158.57050364547618</v>
          </cell>
          <cell r="CL199">
            <v>0</v>
          </cell>
          <cell r="CM199">
            <v>0</v>
          </cell>
          <cell r="CX199">
            <v>154.75297440971735</v>
          </cell>
          <cell r="CY199">
            <v>-5196.3553796220704</v>
          </cell>
        </row>
        <row r="200">
          <cell r="I200">
            <v>2233.8642851748746</v>
          </cell>
          <cell r="J200">
            <v>1962.752567541339</v>
          </cell>
          <cell r="L200">
            <v>384.07368337535149</v>
          </cell>
          <cell r="M200">
            <v>346.31298891908494</v>
          </cell>
          <cell r="O200">
            <v>1308.22</v>
          </cell>
          <cell r="P200">
            <v>1308.2333333333336</v>
          </cell>
          <cell r="R200">
            <v>273.18</v>
          </cell>
          <cell r="S200">
            <v>273.18333333333334</v>
          </cell>
          <cell r="U200">
            <v>375.28698797765099</v>
          </cell>
          <cell r="V200">
            <v>131.54280437380498</v>
          </cell>
          <cell r="X200">
            <v>1360.4233611864354</v>
          </cell>
          <cell r="Y200">
            <v>1076.3789574235793</v>
          </cell>
          <cell r="AA200">
            <v>0</v>
          </cell>
          <cell r="AB200">
            <v>0</v>
          </cell>
          <cell r="AD200">
            <v>3661.9290208242569</v>
          </cell>
          <cell r="AE200">
            <v>4024.3326472090648</v>
          </cell>
          <cell r="AJ200">
            <v>6401.0370863106209</v>
          </cell>
          <cell r="AK200">
            <v>6471.6068481832372</v>
          </cell>
          <cell r="AM200">
            <v>0</v>
          </cell>
          <cell r="AN200">
            <v>266.0109811433166</v>
          </cell>
          <cell r="AP200">
            <v>631.34509526243312</v>
          </cell>
          <cell r="AQ200">
            <v>0</v>
          </cell>
          <cell r="AS200">
            <v>14480.956615968795</v>
          </cell>
          <cell r="AT200">
            <v>335.2013214676407</v>
          </cell>
          <cell r="AV200">
            <v>110.3839524567741</v>
          </cell>
          <cell r="AW200">
            <v>352.16728040695443</v>
          </cell>
          <cell r="AY200">
            <v>147.54288771672486</v>
          </cell>
          <cell r="AZ200">
            <v>0</v>
          </cell>
          <cell r="BB200">
            <v>216.4953644508474</v>
          </cell>
          <cell r="BC200">
            <v>0</v>
          </cell>
          <cell r="BE200">
            <v>57.544955533841751</v>
          </cell>
          <cell r="BF200">
            <v>0</v>
          </cell>
          <cell r="BH200">
            <v>114.23216904794364</v>
          </cell>
          <cell r="BI200">
            <v>0</v>
          </cell>
          <cell r="BK200">
            <v>75.197898812150427</v>
          </cell>
          <cell r="BL200">
            <v>4407.1628156041215</v>
          </cell>
          <cell r="BN200">
            <v>98.612223391799574</v>
          </cell>
          <cell r="BO200">
            <v>0</v>
          </cell>
          <cell r="BT200">
            <v>12150.573642261808</v>
          </cell>
          <cell r="BU200">
            <v>9878.8769324922905</v>
          </cell>
          <cell r="BW200">
            <v>6138.0025138061746</v>
          </cell>
          <cell r="BX200">
            <v>8757.5595574088693</v>
          </cell>
          <cell r="BZ200">
            <v>2596.7809044302167</v>
          </cell>
          <cell r="CA200">
            <v>9269.434878493008</v>
          </cell>
          <cell r="CC200">
            <v>300.0151892687083</v>
          </cell>
          <cell r="CD200">
            <v>303.32383427012564</v>
          </cell>
          <cell r="CF200">
            <v>36.933688072852341</v>
          </cell>
          <cell r="CG200">
            <v>0</v>
          </cell>
          <cell r="CI200">
            <v>5761.8781670456456</v>
          </cell>
          <cell r="CJ200">
            <v>4016.7311935606313</v>
          </cell>
          <cell r="CL200">
            <v>1235.3566616946807</v>
          </cell>
          <cell r="CM200">
            <v>1744.6177389041043</v>
          </cell>
          <cell r="CX200">
            <v>1887.5603751152812</v>
          </cell>
          <cell r="CY200">
            <v>8156.8839831185905</v>
          </cell>
        </row>
        <row r="201">
          <cell r="I201">
            <v>239.78116175653739</v>
          </cell>
          <cell r="J201">
            <v>263.17348458150525</v>
          </cell>
          <cell r="L201">
            <v>89.70629529285317</v>
          </cell>
          <cell r="M201">
            <v>98.72274230259481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X201">
            <v>197.78281885877576</v>
          </cell>
          <cell r="Y201">
            <v>185.18665549869095</v>
          </cell>
          <cell r="AA201">
            <v>0</v>
          </cell>
          <cell r="AB201">
            <v>0</v>
          </cell>
          <cell r="AD201">
            <v>288.26230919683798</v>
          </cell>
          <cell r="AE201">
            <v>316.79025324188081</v>
          </cell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118.37720536170622</v>
          </cell>
          <cell r="AQ201">
            <v>0</v>
          </cell>
          <cell r="AS201">
            <v>1154.3966077777561</v>
          </cell>
          <cell r="AT201">
            <v>0</v>
          </cell>
          <cell r="AV201">
            <v>53.23428105407536</v>
          </cell>
          <cell r="AW201">
            <v>0</v>
          </cell>
          <cell r="AY201">
            <v>115.64329743466799</v>
          </cell>
          <cell r="AZ201">
            <v>0</v>
          </cell>
          <cell r="BB201">
            <v>0</v>
          </cell>
          <cell r="BC201">
            <v>0</v>
          </cell>
          <cell r="BE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19.771277081972755</v>
          </cell>
          <cell r="BL201">
            <v>0</v>
          </cell>
          <cell r="BN201">
            <v>0</v>
          </cell>
          <cell r="BO201">
            <v>0</v>
          </cell>
          <cell r="BT201">
            <v>1381.4348106070515</v>
          </cell>
          <cell r="BU201">
            <v>540.75882668901897</v>
          </cell>
          <cell r="BW201">
            <v>358.66164288679494</v>
          </cell>
          <cell r="BX201">
            <v>1444.1312275005125</v>
          </cell>
          <cell r="BZ201">
            <v>272.97036188200735</v>
          </cell>
          <cell r="CA201">
            <v>745.04243009093966</v>
          </cell>
          <cell r="CC201">
            <v>0</v>
          </cell>
          <cell r="CD201">
            <v>0</v>
          </cell>
          <cell r="CF201">
            <v>0</v>
          </cell>
          <cell r="CG201">
            <v>0</v>
          </cell>
          <cell r="CI201">
            <v>68.630925649704494</v>
          </cell>
          <cell r="CJ201">
            <v>94.098711539275698</v>
          </cell>
          <cell r="CL201">
            <v>0</v>
          </cell>
          <cell r="CM201">
            <v>0</v>
          </cell>
          <cell r="CX201">
            <v>-2.3593808889017964E-2</v>
          </cell>
          <cell r="CY201">
            <v>804.87480226669709</v>
          </cell>
        </row>
        <row r="202">
          <cell r="I202">
            <v>3427.9988989078552</v>
          </cell>
          <cell r="J202">
            <v>3004.0880328018038</v>
          </cell>
          <cell r="L202">
            <v>587.84829855846283</v>
          </cell>
          <cell r="M202">
            <v>530.05275140157846</v>
          </cell>
          <cell r="O202">
            <v>2003.2</v>
          </cell>
          <cell r="P202">
            <v>2003.2000000000003</v>
          </cell>
          <cell r="R202">
            <v>390.18</v>
          </cell>
          <cell r="S202">
            <v>390.18333333333339</v>
          </cell>
          <cell r="U202">
            <v>195.03873136964788</v>
          </cell>
          <cell r="V202">
            <v>68.363548883706315</v>
          </cell>
          <cell r="X202">
            <v>2605.4494085979932</v>
          </cell>
          <cell r="Y202">
            <v>2081.1878683847676</v>
          </cell>
          <cell r="AA202">
            <v>0</v>
          </cell>
          <cell r="AB202">
            <v>0</v>
          </cell>
          <cell r="AD202">
            <v>5309.7347243186468</v>
          </cell>
          <cell r="AE202">
            <v>5835.2138115133203</v>
          </cell>
          <cell r="AJ202">
            <v>14116.222702204675</v>
          </cell>
          <cell r="AK202">
            <v>14271.877523887952</v>
          </cell>
          <cell r="AM202">
            <v>0</v>
          </cell>
          <cell r="AN202">
            <v>0</v>
          </cell>
          <cell r="AP202">
            <v>947.01764289364974</v>
          </cell>
          <cell r="AQ202">
            <v>0</v>
          </cell>
          <cell r="AS202">
            <v>19849.94132568179</v>
          </cell>
          <cell r="AT202">
            <v>1161.2353920005005</v>
          </cell>
          <cell r="AV202">
            <v>285.32250723809909</v>
          </cell>
          <cell r="AW202">
            <v>0</v>
          </cell>
          <cell r="AY202">
            <v>390.32326750718556</v>
          </cell>
          <cell r="AZ202">
            <v>0</v>
          </cell>
          <cell r="BB202">
            <v>487.49537740688345</v>
          </cell>
          <cell r="BC202">
            <v>0</v>
          </cell>
          <cell r="BE202">
            <v>200.76067396593027</v>
          </cell>
          <cell r="BF202">
            <v>0</v>
          </cell>
          <cell r="BH202">
            <v>98.941812127749259</v>
          </cell>
          <cell r="BI202">
            <v>0</v>
          </cell>
          <cell r="BK202">
            <v>320.3263120897879</v>
          </cell>
          <cell r="BL202">
            <v>1914.4090683877223</v>
          </cell>
          <cell r="BN202">
            <v>143.02162076665977</v>
          </cell>
          <cell r="BO202">
            <v>0</v>
          </cell>
          <cell r="BT202">
            <v>17471.169404994558</v>
          </cell>
          <cell r="BU202">
            <v>4027.070954615403</v>
          </cell>
          <cell r="BW202">
            <v>9798.5500390698744</v>
          </cell>
          <cell r="BX202">
            <v>3374.2335402205681</v>
          </cell>
          <cell r="BZ202">
            <v>2596.7809044302167</v>
          </cell>
          <cell r="CA202">
            <v>4574.0307771192111</v>
          </cell>
          <cell r="CC202">
            <v>381.58794661235697</v>
          </cell>
          <cell r="CD202">
            <v>385.79619705206829</v>
          </cell>
          <cell r="CF202">
            <v>46.975788882203041</v>
          </cell>
          <cell r="CG202">
            <v>0</v>
          </cell>
          <cell r="CI202">
            <v>4894.6328338357434</v>
          </cell>
          <cell r="CJ202">
            <v>2648.7397882397745</v>
          </cell>
          <cell r="CL202">
            <v>2779.5524888130321</v>
          </cell>
          <cell r="CM202">
            <v>3511.503474568849</v>
          </cell>
          <cell r="CX202">
            <v>2678.1927476724086</v>
          </cell>
          <cell r="CY202">
            <v>50134.456725107346</v>
          </cell>
        </row>
        <row r="203">
          <cell r="I203">
            <v>1684.5663027301821</v>
          </cell>
          <cell r="J203">
            <v>1528.6816255161082</v>
          </cell>
          <cell r="L203">
            <v>469.78543785590898</v>
          </cell>
          <cell r="M203">
            <v>423.59752599424803</v>
          </cell>
          <cell r="O203">
            <v>1636</v>
          </cell>
          <cell r="P203">
            <v>1636</v>
          </cell>
          <cell r="R203">
            <v>301.92</v>
          </cell>
          <cell r="S203">
            <v>301.93333333333334</v>
          </cell>
          <cell r="U203">
            <v>181.72735309855759</v>
          </cell>
          <cell r="V203">
            <v>63.697684829459419</v>
          </cell>
          <cell r="X203">
            <v>2141.9062526719076</v>
          </cell>
          <cell r="Y203">
            <v>1649.4941593333533</v>
          </cell>
          <cell r="AA203">
            <v>0</v>
          </cell>
          <cell r="AB203">
            <v>0</v>
          </cell>
          <cell r="AD203">
            <v>4361.3837957975484</v>
          </cell>
          <cell r="AE203">
            <v>4793.0091207737278</v>
          </cell>
          <cell r="AJ203">
            <v>8948.3808490861302</v>
          </cell>
          <cell r="AK203">
            <v>9047.0433759555563</v>
          </cell>
          <cell r="AM203">
            <v>789.21107943546565</v>
          </cell>
          <cell r="AN203">
            <v>0</v>
          </cell>
          <cell r="AP203">
            <v>804.96499645960228</v>
          </cell>
          <cell r="AQ203">
            <v>0</v>
          </cell>
          <cell r="AS203">
            <v>19449.217537715067</v>
          </cell>
          <cell r="AT203">
            <v>5851.0772496760092</v>
          </cell>
          <cell r="AV203">
            <v>86.443035780007833</v>
          </cell>
          <cell r="AW203">
            <v>0</v>
          </cell>
          <cell r="AY203">
            <v>120.14218698074031</v>
          </cell>
          <cell r="AZ203">
            <v>3221.422943737793</v>
          </cell>
          <cell r="BB203">
            <v>76.741518410294219</v>
          </cell>
          <cell r="BC203">
            <v>0</v>
          </cell>
          <cell r="BE203">
            <v>71.32701187536864</v>
          </cell>
          <cell r="BF203">
            <v>1148.5448070087323</v>
          </cell>
          <cell r="BH203">
            <v>55.319784965168807</v>
          </cell>
          <cell r="BI203">
            <v>0</v>
          </cell>
          <cell r="BK203">
            <v>114.19426926644365</v>
          </cell>
          <cell r="BL203">
            <v>0</v>
          </cell>
          <cell r="BN203">
            <v>180.65516284184937</v>
          </cell>
          <cell r="BO203">
            <v>0</v>
          </cell>
          <cell r="BT203">
            <v>12181.296074819107</v>
          </cell>
          <cell r="BU203">
            <v>9287.3964815239324</v>
          </cell>
          <cell r="BW203">
            <v>8868.0551148426694</v>
          </cell>
          <cell r="BX203">
            <v>12166.25592400767</v>
          </cell>
          <cell r="BZ203">
            <v>1514.7888609176264</v>
          </cell>
          <cell r="CA203">
            <v>8775.5878192227265</v>
          </cell>
          <cell r="CC203">
            <v>303.54477973069311</v>
          </cell>
          <cell r="CD203">
            <v>306.89234996742124</v>
          </cell>
          <cell r="CF203">
            <v>37.368202050180017</v>
          </cell>
          <cell r="CG203">
            <v>0</v>
          </cell>
          <cell r="CI203">
            <v>2263.5727114284355</v>
          </cell>
          <cell r="CJ203">
            <v>3890.894787168002</v>
          </cell>
          <cell r="CL203">
            <v>1506.7607767639668</v>
          </cell>
          <cell r="CM203">
            <v>2177.8939670688283</v>
          </cell>
          <cell r="CX203">
            <v>1984.772285372499</v>
          </cell>
          <cell r="CY203">
            <v>4240.5922138597234</v>
          </cell>
        </row>
        <row r="204">
          <cell r="I204">
            <v>1330.4224455269668</v>
          </cell>
          <cell r="J204">
            <v>1148.572057397113</v>
          </cell>
          <cell r="L204">
            <v>200.32194683700277</v>
          </cell>
          <cell r="M204">
            <v>221.99531441711468</v>
          </cell>
          <cell r="O204">
            <v>526.67999999999995</v>
          </cell>
          <cell r="P204">
            <v>526.68333333333339</v>
          </cell>
          <cell r="R204">
            <v>123.12</v>
          </cell>
          <cell r="S204">
            <v>123.11666666666667</v>
          </cell>
          <cell r="U204">
            <v>65.029090713311319</v>
          </cell>
          <cell r="V204">
            <v>43.477748865757228</v>
          </cell>
          <cell r="X204">
            <v>361.52046946747163</v>
          </cell>
          <cell r="Y204">
            <v>318.14336160734632</v>
          </cell>
          <cell r="AA204">
            <v>0</v>
          </cell>
          <cell r="AB204">
            <v>0</v>
          </cell>
          <cell r="AD204">
            <v>1542.0216313629221</v>
          </cell>
          <cell r="AE204">
            <v>1694.6281477622906</v>
          </cell>
          <cell r="AJ204">
            <v>2873.920011581376</v>
          </cell>
          <cell r="AK204">
            <v>2905.6143438049203</v>
          </cell>
          <cell r="AM204">
            <v>263.07035981182185</v>
          </cell>
          <cell r="AN204">
            <v>266.0109811433166</v>
          </cell>
          <cell r="AP204">
            <v>284.10529286809492</v>
          </cell>
          <cell r="AQ204">
            <v>191.10345733785758</v>
          </cell>
          <cell r="AS204">
            <v>5461.3657630380385</v>
          </cell>
          <cell r="AT204">
            <v>11632.111425868872</v>
          </cell>
          <cell r="AV204">
            <v>106.46004484722503</v>
          </cell>
          <cell r="AW204">
            <v>0</v>
          </cell>
          <cell r="AY204">
            <v>132.91597242587608</v>
          </cell>
          <cell r="AZ204">
            <v>0</v>
          </cell>
          <cell r="BB204">
            <v>96.496044322568451</v>
          </cell>
          <cell r="BC204">
            <v>0</v>
          </cell>
          <cell r="BE204">
            <v>68.311243232300868</v>
          </cell>
          <cell r="BF204">
            <v>0</v>
          </cell>
          <cell r="BH204">
            <v>32.980617657691397</v>
          </cell>
          <cell r="BI204">
            <v>0</v>
          </cell>
          <cell r="BK204">
            <v>43.626293285779226</v>
          </cell>
          <cell r="BL204">
            <v>3382.6449808026209</v>
          </cell>
          <cell r="BN204">
            <v>38.465579168771882</v>
          </cell>
          <cell r="BO204">
            <v>0</v>
          </cell>
          <cell r="BT204">
            <v>5111.3809466259045</v>
          </cell>
          <cell r="BU204">
            <v>1216.8020014460378</v>
          </cell>
          <cell r="BW204">
            <v>3063.4321930426122</v>
          </cell>
          <cell r="BX204">
            <v>2488.9597483452262</v>
          </cell>
          <cell r="BZ204">
            <v>1168.5514069935975</v>
          </cell>
          <cell r="CA204">
            <v>1185.8622672192253</v>
          </cell>
          <cell r="CC204">
            <v>130.15364828568963</v>
          </cell>
          <cell r="CD204">
            <v>131.58901633777509</v>
          </cell>
          <cell r="CF204">
            <v>16.022702913958003</v>
          </cell>
          <cell r="CG204">
            <v>0</v>
          </cell>
          <cell r="CI204">
            <v>739.34224449908925</v>
          </cell>
          <cell r="CJ204">
            <v>1591.1544771209565</v>
          </cell>
          <cell r="CL204">
            <v>658.23296873125662</v>
          </cell>
          <cell r="CM204">
            <v>847.59293080261762</v>
          </cell>
          <cell r="CX204">
            <v>437.64129931281059</v>
          </cell>
          <cell r="CY204">
            <v>-6136.0947123348542</v>
          </cell>
        </row>
        <row r="205">
          <cell r="I205">
            <v>2627.7766471040031</v>
          </cell>
          <cell r="J205">
            <v>2270.2885230876263</v>
          </cell>
          <cell r="L205">
            <v>400.64389367400554</v>
          </cell>
          <cell r="M205">
            <v>402.62235101050487</v>
          </cell>
          <cell r="O205">
            <v>1070.02</v>
          </cell>
          <cell r="P205">
            <v>1070.0166666666667</v>
          </cell>
          <cell r="R205">
            <v>235.44</v>
          </cell>
          <cell r="S205">
            <v>235.45000000000002</v>
          </cell>
          <cell r="U205">
            <v>130.00964065633656</v>
          </cell>
          <cell r="V205">
            <v>97.28028620946688</v>
          </cell>
          <cell r="X205">
            <v>1174.6791043787337</v>
          </cell>
          <cell r="Y205">
            <v>835.93930341812734</v>
          </cell>
          <cell r="AA205">
            <v>0</v>
          </cell>
          <cell r="AB205">
            <v>0</v>
          </cell>
          <cell r="AD205">
            <v>3074.3228723736938</v>
          </cell>
          <cell r="AE205">
            <v>3378.5739245623581</v>
          </cell>
          <cell r="AJ205">
            <v>6139.7493479442464</v>
          </cell>
          <cell r="AK205">
            <v>6207.4600896555166</v>
          </cell>
          <cell r="AM205">
            <v>526.14071962364369</v>
          </cell>
          <cell r="AN205">
            <v>532.00510021686796</v>
          </cell>
          <cell r="AP205">
            <v>568.21058573618984</v>
          </cell>
          <cell r="AQ205">
            <v>238.87932167232196</v>
          </cell>
          <cell r="AS205">
            <v>10155.214744297535</v>
          </cell>
          <cell r="AT205">
            <v>2239.119293365909</v>
          </cell>
          <cell r="AV205">
            <v>165.41116391265822</v>
          </cell>
          <cell r="AW205">
            <v>0</v>
          </cell>
          <cell r="AY205">
            <v>212.66555588140139</v>
          </cell>
          <cell r="AZ205">
            <v>0</v>
          </cell>
          <cell r="BB205">
            <v>158.75959729993374</v>
          </cell>
          <cell r="BC205">
            <v>0</v>
          </cell>
          <cell r="BE205">
            <v>94.310142601773379</v>
          </cell>
          <cell r="BF205">
            <v>0</v>
          </cell>
          <cell r="BH205">
            <v>52.768988252306244</v>
          </cell>
          <cell r="BI205">
            <v>0</v>
          </cell>
          <cell r="BK205">
            <v>78.040883527025315</v>
          </cell>
          <cell r="BL205">
            <v>2821.8978251399649</v>
          </cell>
          <cell r="BN205">
            <v>79.878797055444863</v>
          </cell>
          <cell r="BO205">
            <v>0</v>
          </cell>
          <cell r="BT205">
            <v>9832.0320414307116</v>
          </cell>
          <cell r="BU205">
            <v>8597.7320833596532</v>
          </cell>
          <cell r="BW205">
            <v>6116.0004807725318</v>
          </cell>
          <cell r="BX205">
            <v>10012.391419464177</v>
          </cell>
          <cell r="BZ205">
            <v>2293.8231322466918</v>
          </cell>
          <cell r="CA205">
            <v>8669.1033876971669</v>
          </cell>
          <cell r="CC205">
            <v>242.6593442614552</v>
          </cell>
          <cell r="CD205">
            <v>245.33545418907218</v>
          </cell>
          <cell r="CF205">
            <v>29.872835941277629</v>
          </cell>
          <cell r="CG205">
            <v>0</v>
          </cell>
          <cell r="CI205">
            <v>1469.3257264095823</v>
          </cell>
          <cell r="CJ205">
            <v>3174.8695142038632</v>
          </cell>
          <cell r="CL205">
            <v>1310.2267624034496</v>
          </cell>
          <cell r="CM205">
            <v>1687.756486237887</v>
          </cell>
          <cell r="CX205">
            <v>842.54039065845427</v>
          </cell>
          <cell r="CY205">
            <v>-4531.9452361885742</v>
          </cell>
        </row>
        <row r="206">
          <cell r="I206">
            <v>1330.4224455269668</v>
          </cell>
          <cell r="J206">
            <v>1148.008880636411</v>
          </cell>
          <cell r="L206">
            <v>200.32194683700277</v>
          </cell>
          <cell r="M206">
            <v>222.16366890885635</v>
          </cell>
          <cell r="O206">
            <v>526.22</v>
          </cell>
          <cell r="P206">
            <v>526.2166666666667</v>
          </cell>
          <cell r="R206">
            <v>116.72</v>
          </cell>
          <cell r="S206">
            <v>116.71666666666667</v>
          </cell>
          <cell r="U206">
            <v>65.029090713311319</v>
          </cell>
          <cell r="V206">
            <v>68.054994623737173</v>
          </cell>
          <cell r="X206">
            <v>361.52046946747163</v>
          </cell>
          <cell r="Y206">
            <v>317.90403816266428</v>
          </cell>
          <cell r="AA206">
            <v>0</v>
          </cell>
          <cell r="AB206">
            <v>0</v>
          </cell>
          <cell r="AD206">
            <v>1525.5739327318638</v>
          </cell>
          <cell r="AE206">
            <v>1676.5526989493792</v>
          </cell>
          <cell r="AJ206">
            <v>3265.8293363628704</v>
          </cell>
          <cell r="AK206">
            <v>3301.8457458505959</v>
          </cell>
          <cell r="AM206">
            <v>263.07035981182185</v>
          </cell>
          <cell r="AN206">
            <v>266.0109811433166</v>
          </cell>
          <cell r="AP206">
            <v>284.10529286809492</v>
          </cell>
          <cell r="AQ206">
            <v>0</v>
          </cell>
          <cell r="AS206">
            <v>5865.1706698543385</v>
          </cell>
          <cell r="AT206">
            <v>10765.651001173977</v>
          </cell>
          <cell r="AV206">
            <v>106.46004484722503</v>
          </cell>
          <cell r="AW206">
            <v>0</v>
          </cell>
          <cell r="AY206">
            <v>132.91597242587608</v>
          </cell>
          <cell r="AZ206">
            <v>0</v>
          </cell>
          <cell r="BB206">
            <v>93.124853889192295</v>
          </cell>
          <cell r="BC206">
            <v>0</v>
          </cell>
          <cell r="BE206">
            <v>64.567014438461243</v>
          </cell>
          <cell r="BF206">
            <v>0</v>
          </cell>
          <cell r="BH206">
            <v>32.980617657691397</v>
          </cell>
          <cell r="BI206">
            <v>0</v>
          </cell>
          <cell r="BK206">
            <v>43.626293285779226</v>
          </cell>
          <cell r="BL206">
            <v>0</v>
          </cell>
          <cell r="BN206">
            <v>27.907064838681809</v>
          </cell>
          <cell r="BO206">
            <v>0</v>
          </cell>
          <cell r="BT206">
            <v>5625.827936020507</v>
          </cell>
          <cell r="BU206">
            <v>4519.124338066852</v>
          </cell>
          <cell r="BW206">
            <v>3058.1566772653482</v>
          </cell>
          <cell r="BX206">
            <v>4766.9388625177316</v>
          </cell>
          <cell r="BZ206">
            <v>1168.5514069935975</v>
          </cell>
          <cell r="CA206">
            <v>4235.1060146358313</v>
          </cell>
          <cell r="CC206">
            <v>119.31976645098626</v>
          </cell>
          <cell r="CD206">
            <v>120.63565565579833</v>
          </cell>
          <cell r="CF206">
            <v>14.688986400216113</v>
          </cell>
          <cell r="CG206">
            <v>0</v>
          </cell>
          <cell r="CI206">
            <v>733.10306944002537</v>
          </cell>
          <cell r="CJ206">
            <v>1578.7587652811071</v>
          </cell>
          <cell r="CL206">
            <v>651.99379367219262</v>
          </cell>
          <cell r="CM206">
            <v>840.16355543526925</v>
          </cell>
          <cell r="CX206">
            <v>460.69154984057604</v>
          </cell>
          <cell r="CY206">
            <v>-10090.483041249836</v>
          </cell>
        </row>
        <row r="207">
          <cell r="I207">
            <v>475.15131827153402</v>
          </cell>
          <cell r="J207">
            <v>518.72190536958351</v>
          </cell>
          <cell r="L207">
            <v>118.60538669394019</v>
          </cell>
          <cell r="M207">
            <v>130.52677033410694</v>
          </cell>
          <cell r="O207">
            <v>150.72</v>
          </cell>
          <cell r="P207">
            <v>150.73333333333335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>
            <v>201.19626340407379</v>
          </cell>
          <cell r="Y207">
            <v>191.0024525505425</v>
          </cell>
          <cell r="AA207">
            <v>0</v>
          </cell>
          <cell r="AB207">
            <v>0</v>
          </cell>
          <cell r="AD207">
            <v>429.64980522811771</v>
          </cell>
          <cell r="AE207">
            <v>515.16595446850238</v>
          </cell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P207">
            <v>189.40352857872995</v>
          </cell>
          <cell r="AQ207">
            <v>573.31037201357276</v>
          </cell>
          <cell r="AS207">
            <v>1309.0255373683758</v>
          </cell>
          <cell r="AT207">
            <v>0</v>
          </cell>
          <cell r="AV207">
            <v>91.656095609273535</v>
          </cell>
          <cell r="AW207">
            <v>0</v>
          </cell>
          <cell r="AY207">
            <v>152.88656391485003</v>
          </cell>
          <cell r="AZ207">
            <v>0</v>
          </cell>
          <cell r="BB207">
            <v>77.57745813108339</v>
          </cell>
          <cell r="BC207">
            <v>0</v>
          </cell>
          <cell r="BE207">
            <v>0</v>
          </cell>
          <cell r="BF207">
            <v>0</v>
          </cell>
          <cell r="BH207">
            <v>0</v>
          </cell>
          <cell r="BI207">
            <v>0</v>
          </cell>
          <cell r="BK207">
            <v>19.771301113804686</v>
          </cell>
          <cell r="BL207">
            <v>0</v>
          </cell>
          <cell r="BN207">
            <v>0</v>
          </cell>
          <cell r="BO207">
            <v>0</v>
          </cell>
          <cell r="BT207">
            <v>961.88578290139924</v>
          </cell>
          <cell r="BU207">
            <v>498.88128009602559</v>
          </cell>
          <cell r="BW207">
            <v>995.29916758668571</v>
          </cell>
          <cell r="BX207">
            <v>1958.0457428760637</v>
          </cell>
          <cell r="BZ207">
            <v>312.66796202606071</v>
          </cell>
          <cell r="CA207">
            <v>701.72585505731217</v>
          </cell>
          <cell r="CC207">
            <v>100.00506308956942</v>
          </cell>
          <cell r="CD207">
            <v>101.10794475670855</v>
          </cell>
          <cell r="CF207">
            <v>12.311229357617446</v>
          </cell>
          <cell r="CG207">
            <v>0</v>
          </cell>
          <cell r="CI207">
            <v>174.69690165379325</v>
          </cell>
          <cell r="CJ207">
            <v>802.54363907553693</v>
          </cell>
          <cell r="CL207">
            <v>0</v>
          </cell>
          <cell r="CM207">
            <v>0</v>
          </cell>
          <cell r="CX207">
            <v>-22.631237914692065</v>
          </cell>
          <cell r="CY207">
            <v>-465.73829991754565</v>
          </cell>
        </row>
        <row r="208">
          <cell r="I208">
            <v>1330.422118764367</v>
          </cell>
          <cell r="J208">
            <v>1147.8812895528663</v>
          </cell>
          <cell r="L208">
            <v>200.32194683700277</v>
          </cell>
          <cell r="M208">
            <v>201.39535275112328</v>
          </cell>
          <cell r="O208">
            <v>517.46</v>
          </cell>
          <cell r="P208">
            <v>517.45000000000005</v>
          </cell>
          <cell r="R208">
            <v>116.24</v>
          </cell>
          <cell r="S208">
            <v>116.23333333333333</v>
          </cell>
          <cell r="U208">
            <v>65.029090713311319</v>
          </cell>
          <cell r="V208">
            <v>68.054994623737173</v>
          </cell>
          <cell r="X208">
            <v>361.52046946747163</v>
          </cell>
          <cell r="Y208">
            <v>317.84981799635864</v>
          </cell>
          <cell r="AA208">
            <v>0</v>
          </cell>
          <cell r="AB208">
            <v>0</v>
          </cell>
          <cell r="AD208">
            <v>1521.5546510906522</v>
          </cell>
          <cell r="AE208">
            <v>1672.1356481996036</v>
          </cell>
          <cell r="AJ208">
            <v>2873.920011581376</v>
          </cell>
          <cell r="AK208">
            <v>2905.6143438049203</v>
          </cell>
          <cell r="AM208">
            <v>263.07035981182185</v>
          </cell>
          <cell r="AN208">
            <v>133.27276795240937</v>
          </cell>
          <cell r="AP208">
            <v>284.10529286809492</v>
          </cell>
          <cell r="AQ208">
            <v>0</v>
          </cell>
          <cell r="AS208">
            <v>5485.2675711898219</v>
          </cell>
          <cell r="AT208">
            <v>695.90451490599798</v>
          </cell>
          <cell r="AV208">
            <v>106.46004484722503</v>
          </cell>
          <cell r="AW208">
            <v>352.16728040695443</v>
          </cell>
          <cell r="AY208">
            <v>132.91597242587608</v>
          </cell>
          <cell r="AZ208">
            <v>0</v>
          </cell>
          <cell r="BB208">
            <v>91.344582835785587</v>
          </cell>
          <cell r="BC208">
            <v>0</v>
          </cell>
          <cell r="BE208">
            <v>59.813520908187947</v>
          </cell>
          <cell r="BF208">
            <v>429.10855592932234</v>
          </cell>
          <cell r="BH208">
            <v>32.980617657691397</v>
          </cell>
          <cell r="BI208">
            <v>0</v>
          </cell>
          <cell r="BK208">
            <v>43.626293285779226</v>
          </cell>
          <cell r="BL208">
            <v>0</v>
          </cell>
          <cell r="BN208">
            <v>51.805042814282956</v>
          </cell>
          <cell r="BO208">
            <v>0</v>
          </cell>
          <cell r="BT208">
            <v>5877.6616319760251</v>
          </cell>
          <cell r="BU208">
            <v>4578.6607527334872</v>
          </cell>
          <cell r="BW208">
            <v>3000.9409824985819</v>
          </cell>
          <cell r="BX208">
            <v>4682.6129683711615</v>
          </cell>
          <cell r="BZ208">
            <v>1168.5514069935975</v>
          </cell>
          <cell r="CA208">
            <v>4269.673599828342</v>
          </cell>
          <cell r="CC208">
            <v>118.19225838674112</v>
          </cell>
          <cell r="CD208">
            <v>119.49571314138447</v>
          </cell>
          <cell r="CF208">
            <v>14.550183324125326</v>
          </cell>
          <cell r="CG208">
            <v>0</v>
          </cell>
          <cell r="CI208">
            <v>46.793812942980331</v>
          </cell>
          <cell r="CJ208">
            <v>832.67379204370945</v>
          </cell>
          <cell r="CL208">
            <v>1254.0741868718731</v>
          </cell>
          <cell r="CM208">
            <v>738.60527451653957</v>
          </cell>
          <cell r="CX208">
            <v>754.11353988880001</v>
          </cell>
          <cell r="CY208">
            <v>2241.9119998904989</v>
          </cell>
        </row>
        <row r="209">
          <cell r="I209">
            <v>2618.1248781662448</v>
          </cell>
          <cell r="J209">
            <v>2263.0940314438858</v>
          </cell>
          <cell r="L209">
            <v>400.64389367400554</v>
          </cell>
          <cell r="M209">
            <v>402.79070550224657</v>
          </cell>
          <cell r="O209">
            <v>1085.26</v>
          </cell>
          <cell r="P209">
            <v>1085.25</v>
          </cell>
          <cell r="R209">
            <v>234.48</v>
          </cell>
          <cell r="S209">
            <v>234.48333333333335</v>
          </cell>
          <cell r="U209">
            <v>130.00964065633656</v>
          </cell>
          <cell r="V209">
            <v>94.556075954029524</v>
          </cell>
          <cell r="X209">
            <v>1551.8619205973914</v>
          </cell>
          <cell r="Y209">
            <v>881.83527017092251</v>
          </cell>
          <cell r="AA209">
            <v>0</v>
          </cell>
          <cell r="AB209">
            <v>0</v>
          </cell>
          <cell r="AD209">
            <v>3099.9065977140308</v>
          </cell>
          <cell r="AE209">
            <v>3406.6895490157162</v>
          </cell>
          <cell r="AJ209">
            <v>5747.840023162752</v>
          </cell>
          <cell r="AK209">
            <v>5811.2286876098406</v>
          </cell>
          <cell r="AM209">
            <v>526.14071962364369</v>
          </cell>
          <cell r="AN209">
            <v>399.28374909572597</v>
          </cell>
          <cell r="AP209">
            <v>560.31877204540945</v>
          </cell>
          <cell r="AQ209">
            <v>0</v>
          </cell>
          <cell r="AS209">
            <v>9864.4201277499997</v>
          </cell>
          <cell r="AT209">
            <v>215215.64865464397</v>
          </cell>
          <cell r="AV209">
            <v>206.48060014236324</v>
          </cell>
          <cell r="AW209">
            <v>0</v>
          </cell>
          <cell r="AY209">
            <v>265.8319448517517</v>
          </cell>
          <cell r="AZ209">
            <v>0</v>
          </cell>
          <cell r="BB209">
            <v>201.92473535792897</v>
          </cell>
          <cell r="BC209">
            <v>0</v>
          </cell>
          <cell r="BE209">
            <v>110.15949442599425</v>
          </cell>
          <cell r="BF209">
            <v>858.1913451964266</v>
          </cell>
          <cell r="BH209">
            <v>65.961235315382794</v>
          </cell>
          <cell r="BI209">
            <v>0</v>
          </cell>
          <cell r="BK209">
            <v>97.681528674260917</v>
          </cell>
          <cell r="BL209">
            <v>0</v>
          </cell>
          <cell r="BN209">
            <v>55.195831147079431</v>
          </cell>
          <cell r="BO209">
            <v>0</v>
          </cell>
          <cell r="BT209">
            <v>8986.7021064876772</v>
          </cell>
          <cell r="BU209">
            <v>8073.628200605699</v>
          </cell>
          <cell r="BW209">
            <v>6001.8365519769541</v>
          </cell>
          <cell r="BX209">
            <v>7818.6874756785382</v>
          </cell>
          <cell r="BZ209">
            <v>2596.7809044302167</v>
          </cell>
          <cell r="CA209">
            <v>8141.0661530798279</v>
          </cell>
          <cell r="CC209">
            <v>234.57069945274003</v>
          </cell>
          <cell r="CD209">
            <v>237.15760571610312</v>
          </cell>
          <cell r="CF209">
            <v>28.877074743235045</v>
          </cell>
          <cell r="CG209">
            <v>0</v>
          </cell>
          <cell r="CI209">
            <v>93.587625885960662</v>
          </cell>
          <cell r="CJ209">
            <v>1635.6099532766225</v>
          </cell>
          <cell r="CL209">
            <v>2551.8225991571944</v>
          </cell>
          <cell r="CM209">
            <v>1449.9560864585335</v>
          </cell>
          <cell r="CX209">
            <v>1468.4465934737345</v>
          </cell>
          <cell r="CY209">
            <v>-251362.83825213768</v>
          </cell>
        </row>
        <row r="210">
          <cell r="I210">
            <v>1330.422118764367</v>
          </cell>
          <cell r="J210">
            <v>1147.7924898976516</v>
          </cell>
          <cell r="L210">
            <v>200.32194683700277</v>
          </cell>
          <cell r="M210">
            <v>180.62703659339024</v>
          </cell>
          <cell r="O210">
            <v>527.55999999999995</v>
          </cell>
          <cell r="P210">
            <v>527.56666666666672</v>
          </cell>
          <cell r="R210">
            <v>116.2</v>
          </cell>
          <cell r="S210">
            <v>116.21666666666668</v>
          </cell>
          <cell r="U210">
            <v>65.029090713311319</v>
          </cell>
          <cell r="V210">
            <v>22.793609953895</v>
          </cell>
          <cell r="X210">
            <v>361.52046946747163</v>
          </cell>
          <cell r="Y210">
            <v>651.68106369855991</v>
          </cell>
          <cell r="AA210">
            <v>0</v>
          </cell>
          <cell r="AB210">
            <v>0</v>
          </cell>
          <cell r="AD210">
            <v>1519.2385756768333</v>
          </cell>
          <cell r="AE210">
            <v>1669.5903618632969</v>
          </cell>
          <cell r="AJ210">
            <v>2873.920011581376</v>
          </cell>
          <cell r="AK210">
            <v>2905.6143438049203</v>
          </cell>
          <cell r="AM210">
            <v>263.07035981182185</v>
          </cell>
          <cell r="AN210">
            <v>0</v>
          </cell>
          <cell r="AP210">
            <v>284.10529286809492</v>
          </cell>
          <cell r="AQ210">
            <v>0</v>
          </cell>
          <cell r="AS210">
            <v>4976.1432389686479</v>
          </cell>
          <cell r="AT210">
            <v>175.71492473795672</v>
          </cell>
          <cell r="AV210">
            <v>42.584017938890014</v>
          </cell>
          <cell r="AW210">
            <v>0</v>
          </cell>
          <cell r="AY210">
            <v>53.16638897035044</v>
          </cell>
          <cell r="AZ210">
            <v>0</v>
          </cell>
          <cell r="BB210">
            <v>44.006444341695001</v>
          </cell>
          <cell r="BC210">
            <v>0</v>
          </cell>
          <cell r="BE210">
            <v>23.588891810124462</v>
          </cell>
          <cell r="BF210">
            <v>429.10855592932234</v>
          </cell>
          <cell r="BH210">
            <v>13.192247063076561</v>
          </cell>
          <cell r="BI210">
            <v>0</v>
          </cell>
          <cell r="BK210">
            <v>17.450517314311693</v>
          </cell>
          <cell r="BL210">
            <v>0</v>
          </cell>
          <cell r="BN210">
            <v>27.907064838681809</v>
          </cell>
          <cell r="BO210">
            <v>0</v>
          </cell>
          <cell r="BT210">
            <v>5863.2433549948337</v>
          </cell>
          <cell r="BU210">
            <v>4568.933274163458</v>
          </cell>
          <cell r="BW210">
            <v>3003.260001538195</v>
          </cell>
          <cell r="BX210">
            <v>3910.217380429362</v>
          </cell>
          <cell r="BZ210">
            <v>1168.5514069935975</v>
          </cell>
          <cell r="CA210">
            <v>4260.9278645473514</v>
          </cell>
          <cell r="CC210">
            <v>123.5356661694681</v>
          </cell>
          <cell r="CD210">
            <v>124.89804940534586</v>
          </cell>
          <cell r="CF210">
            <v>15.207989206468611</v>
          </cell>
          <cell r="CG210">
            <v>0</v>
          </cell>
          <cell r="CI210">
            <v>43.674225413448312</v>
          </cell>
          <cell r="CJ210">
            <v>800.45299299666226</v>
          </cell>
          <cell r="CL210">
            <v>1247.8350118128092</v>
          </cell>
          <cell r="CM210">
            <v>708.86764370574303</v>
          </cell>
          <cell r="CX210">
            <v>723.37880028615109</v>
          </cell>
          <cell r="CY210">
            <v>3127.8564899277007</v>
          </cell>
        </row>
        <row r="211"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>
            <v>0</v>
          </cell>
          <cell r="Y211">
            <v>0</v>
          </cell>
          <cell r="AA211">
            <v>0</v>
          </cell>
          <cell r="AB211">
            <v>0</v>
          </cell>
          <cell r="AD211">
            <v>0</v>
          </cell>
          <cell r="AE211">
            <v>0</v>
          </cell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P211">
            <v>63.134509526243313</v>
          </cell>
          <cell r="AQ211">
            <v>0</v>
          </cell>
          <cell r="AS211">
            <v>262.85744834382518</v>
          </cell>
          <cell r="AT211">
            <v>0</v>
          </cell>
          <cell r="AV211">
            <v>0</v>
          </cell>
          <cell r="AW211">
            <v>0</v>
          </cell>
          <cell r="AY211">
            <v>0</v>
          </cell>
          <cell r="AZ211">
            <v>0</v>
          </cell>
          <cell r="BB211">
            <v>0</v>
          </cell>
          <cell r="BC211">
            <v>0</v>
          </cell>
          <cell r="BE211">
            <v>0</v>
          </cell>
          <cell r="BF211">
            <v>0</v>
          </cell>
          <cell r="BH211">
            <v>0</v>
          </cell>
          <cell r="BI211">
            <v>0</v>
          </cell>
          <cell r="BK211">
            <v>0</v>
          </cell>
          <cell r="BL211">
            <v>0</v>
          </cell>
          <cell r="BN211">
            <v>0</v>
          </cell>
          <cell r="BO211">
            <v>0</v>
          </cell>
          <cell r="BT211">
            <v>28.712412905037006</v>
          </cell>
          <cell r="BU211">
            <v>110.57175963822418</v>
          </cell>
          <cell r="BW211">
            <v>0</v>
          </cell>
          <cell r="BX211">
            <v>0.42738067986461487</v>
          </cell>
          <cell r="BZ211">
            <v>0</v>
          </cell>
          <cell r="CA211">
            <v>104.04008658028289</v>
          </cell>
          <cell r="CC211">
            <v>0</v>
          </cell>
          <cell r="CD211">
            <v>0</v>
          </cell>
          <cell r="CF211">
            <v>0</v>
          </cell>
          <cell r="CG211">
            <v>0</v>
          </cell>
          <cell r="CI211">
            <v>0</v>
          </cell>
          <cell r="CJ211">
            <v>0</v>
          </cell>
          <cell r="CL211">
            <v>0</v>
          </cell>
          <cell r="CM211">
            <v>0</v>
          </cell>
          <cell r="CX211">
            <v>6.3947550698733835</v>
          </cell>
          <cell r="CY211">
            <v>173.992927721954</v>
          </cell>
        </row>
        <row r="212"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D212">
            <v>0</v>
          </cell>
          <cell r="AE212">
            <v>0</v>
          </cell>
          <cell r="AJ212">
            <v>0</v>
          </cell>
          <cell r="AK212">
            <v>0</v>
          </cell>
          <cell r="AM212">
            <v>0</v>
          </cell>
          <cell r="AN212">
            <v>0</v>
          </cell>
          <cell r="AP212">
            <v>63.134509526243313</v>
          </cell>
          <cell r="AQ212">
            <v>0</v>
          </cell>
          <cell r="AS212">
            <v>293.07518524158934</v>
          </cell>
          <cell r="AT212">
            <v>0</v>
          </cell>
          <cell r="AV212">
            <v>0</v>
          </cell>
          <cell r="AW212">
            <v>0</v>
          </cell>
          <cell r="AY212">
            <v>0</v>
          </cell>
          <cell r="AZ212">
            <v>0</v>
          </cell>
          <cell r="BB212">
            <v>0</v>
          </cell>
          <cell r="BC212">
            <v>0</v>
          </cell>
          <cell r="BE212">
            <v>0</v>
          </cell>
          <cell r="BF212">
            <v>0</v>
          </cell>
          <cell r="BH212">
            <v>0</v>
          </cell>
          <cell r="BI212">
            <v>0</v>
          </cell>
          <cell r="BK212">
            <v>0</v>
          </cell>
          <cell r="BL212">
            <v>0</v>
          </cell>
          <cell r="BN212">
            <v>0</v>
          </cell>
          <cell r="BO212">
            <v>0</v>
          </cell>
          <cell r="BT212">
            <v>175.46474553078173</v>
          </cell>
          <cell r="BU212">
            <v>221.16237314442643</v>
          </cell>
          <cell r="BW212">
            <v>0</v>
          </cell>
          <cell r="BX212">
            <v>0.5726901110185838</v>
          </cell>
          <cell r="BZ212">
            <v>0</v>
          </cell>
          <cell r="CA212">
            <v>208.08645778322517</v>
          </cell>
          <cell r="CC212">
            <v>0</v>
          </cell>
          <cell r="CD212">
            <v>0</v>
          </cell>
          <cell r="CF212">
            <v>0</v>
          </cell>
          <cell r="CG212">
            <v>0</v>
          </cell>
          <cell r="CI212">
            <v>0</v>
          </cell>
          <cell r="CJ212">
            <v>0</v>
          </cell>
          <cell r="CL212">
            <v>0</v>
          </cell>
          <cell r="CM212">
            <v>0</v>
          </cell>
          <cell r="CX212">
            <v>9.590671641662766</v>
          </cell>
          <cell r="CY212">
            <v>131.81417475359584</v>
          </cell>
        </row>
        <row r="213">
          <cell r="I213">
            <v>4185.0227164520438</v>
          </cell>
          <cell r="J213">
            <v>3615.0802855890861</v>
          </cell>
          <cell r="L213">
            <v>651.96638794602427</v>
          </cell>
          <cell r="M213">
            <v>587.86051791349564</v>
          </cell>
          <cell r="O213">
            <v>1616.44</v>
          </cell>
          <cell r="P213">
            <v>1616.45</v>
          </cell>
          <cell r="R213">
            <v>351.62</v>
          </cell>
          <cell r="S213">
            <v>351.61666666666667</v>
          </cell>
          <cell r="U213">
            <v>208.3500279500883</v>
          </cell>
          <cell r="V213">
            <v>73.029412937953197</v>
          </cell>
          <cell r="X213">
            <v>1871.6807656904325</v>
          </cell>
          <cell r="Y213">
            <v>1422.3211108880882</v>
          </cell>
          <cell r="AA213">
            <v>0</v>
          </cell>
          <cell r="AB213">
            <v>0</v>
          </cell>
          <cell r="AD213">
            <v>4805.1509714711283</v>
          </cell>
          <cell r="AE213">
            <v>5280.693814460381</v>
          </cell>
          <cell r="AJ213">
            <v>6348.78399519096</v>
          </cell>
          <cell r="AK213">
            <v>6418.7774964776927</v>
          </cell>
          <cell r="AM213">
            <v>789.21107943546565</v>
          </cell>
          <cell r="AN213">
            <v>798.01608136018467</v>
          </cell>
          <cell r="AP213">
            <v>907.55857443974776</v>
          </cell>
          <cell r="AQ213">
            <v>0</v>
          </cell>
          <cell r="AS213">
            <v>17187.464720093318</v>
          </cell>
          <cell r="AT213">
            <v>12374.427099883618</v>
          </cell>
          <cell r="AV213">
            <v>327.04584121664607</v>
          </cell>
          <cell r="AW213">
            <v>0</v>
          </cell>
          <cell r="AY213">
            <v>398.9137894360008</v>
          </cell>
          <cell r="AZ213">
            <v>0</v>
          </cell>
          <cell r="BB213">
            <v>458.67069947314712</v>
          </cell>
          <cell r="BC213">
            <v>0</v>
          </cell>
          <cell r="BE213">
            <v>194.41885365990336</v>
          </cell>
          <cell r="BF213">
            <v>0</v>
          </cell>
          <cell r="BH213">
            <v>105.68402349220877</v>
          </cell>
          <cell r="BI213">
            <v>0</v>
          </cell>
          <cell r="BK213">
            <v>205.26189571466762</v>
          </cell>
          <cell r="BL213">
            <v>0</v>
          </cell>
          <cell r="BN213">
            <v>119.34310272027908</v>
          </cell>
          <cell r="BO213">
            <v>0</v>
          </cell>
          <cell r="BT213">
            <v>14779.544639045822</v>
          </cell>
          <cell r="BU213">
            <v>11568.355603100132</v>
          </cell>
          <cell r="BW213">
            <v>12300.06579802831</v>
          </cell>
          <cell r="BX213">
            <v>15996.77225408057</v>
          </cell>
          <cell r="BZ213">
            <v>2596.7809044302167</v>
          </cell>
          <cell r="CA213">
            <v>10855.77784318565</v>
          </cell>
          <cell r="CC213">
            <v>364.62630355893003</v>
          </cell>
          <cell r="CD213">
            <v>368.64749661784219</v>
          </cell>
          <cell r="CF213">
            <v>44.887707824489496</v>
          </cell>
          <cell r="CG213">
            <v>0</v>
          </cell>
          <cell r="CI213">
            <v>4445.4122295831321</v>
          </cell>
          <cell r="CJ213">
            <v>2505.1387467067161</v>
          </cell>
          <cell r="CL213">
            <v>2012.1339565481544</v>
          </cell>
          <cell r="CM213">
            <v>3077.9655649658744</v>
          </cell>
          <cell r="CX213">
            <v>1450.0132199186628</v>
          </cell>
          <cell r="CY213">
            <v>1888.1440061992544</v>
          </cell>
        </row>
        <row r="214">
          <cell r="I214">
            <v>1880.1776838190253</v>
          </cell>
          <cell r="J214">
            <v>1623.3326094211093</v>
          </cell>
          <cell r="L214">
            <v>390.33638998156368</v>
          </cell>
          <cell r="M214">
            <v>351.96036303217232</v>
          </cell>
          <cell r="O214">
            <v>904.7</v>
          </cell>
          <cell r="P214">
            <v>904.70000000000016</v>
          </cell>
          <cell r="R214">
            <v>177.98</v>
          </cell>
          <cell r="S214">
            <v>177.98333333333335</v>
          </cell>
          <cell r="U214">
            <v>118.22581795543685</v>
          </cell>
          <cell r="V214">
            <v>41.439785192903869</v>
          </cell>
          <cell r="X214">
            <v>1353.4159106571487</v>
          </cell>
          <cell r="Y214">
            <v>1060.6159934870614</v>
          </cell>
          <cell r="AA214">
            <v>0</v>
          </cell>
          <cell r="AB214">
            <v>0</v>
          </cell>
          <cell r="AD214">
            <v>2328.4040614062519</v>
          </cell>
          <cell r="AE214">
            <v>2558.8350912662477</v>
          </cell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P214">
            <v>710.2632321702373</v>
          </cell>
          <cell r="AQ214">
            <v>0</v>
          </cell>
          <cell r="AS214">
            <v>7590.045220573912</v>
          </cell>
          <cell r="AT214">
            <v>0</v>
          </cell>
          <cell r="AV214">
            <v>335.49122236556309</v>
          </cell>
          <cell r="AW214">
            <v>0</v>
          </cell>
          <cell r="AY214">
            <v>503.09886568518095</v>
          </cell>
          <cell r="AZ214">
            <v>0</v>
          </cell>
          <cell r="BB214">
            <v>349.5833390983895</v>
          </cell>
          <cell r="BC214">
            <v>0</v>
          </cell>
          <cell r="BE214">
            <v>201.87973305220362</v>
          </cell>
          <cell r="BF214">
            <v>0</v>
          </cell>
          <cell r="BH214">
            <v>119.94714023874553</v>
          </cell>
          <cell r="BI214">
            <v>0</v>
          </cell>
          <cell r="BK214">
            <v>187.174739446508</v>
          </cell>
          <cell r="BL214">
            <v>2530.1391492307534</v>
          </cell>
          <cell r="BN214">
            <v>107.72463185447754</v>
          </cell>
          <cell r="BO214">
            <v>0</v>
          </cell>
          <cell r="BT214">
            <v>6060.8573856186777</v>
          </cell>
          <cell r="BU214">
            <v>3309.0897806097828</v>
          </cell>
          <cell r="BW214">
            <v>3191.7162668114447</v>
          </cell>
          <cell r="BX214">
            <v>2392.0541596273597</v>
          </cell>
          <cell r="BZ214">
            <v>2163.9840870251805</v>
          </cell>
          <cell r="CA214">
            <v>3207.5495532310561</v>
          </cell>
          <cell r="CC214">
            <v>187.4114491134431</v>
          </cell>
          <cell r="CD214">
            <v>189.47827098279254</v>
          </cell>
          <cell r="CF214">
            <v>23.071485212829167</v>
          </cell>
          <cell r="CG214">
            <v>0</v>
          </cell>
          <cell r="CI214">
            <v>1300.8679998148534</v>
          </cell>
          <cell r="CJ214">
            <v>2200.9470081442205</v>
          </cell>
          <cell r="CL214">
            <v>0</v>
          </cell>
          <cell r="CM214">
            <v>0</v>
          </cell>
          <cell r="CX214">
            <v>1807.5520057187168</v>
          </cell>
          <cell r="CY214">
            <v>13373.429882929449</v>
          </cell>
        </row>
        <row r="215">
          <cell r="I215">
            <v>2837.6329023539311</v>
          </cell>
          <cell r="J215">
            <v>2495.1261083140289</v>
          </cell>
          <cell r="L215">
            <v>585.88616339389444</v>
          </cell>
          <cell r="M215">
            <v>528.27405089351953</v>
          </cell>
          <cell r="O215">
            <v>1634.34</v>
          </cell>
          <cell r="P215">
            <v>1634.3500000000001</v>
          </cell>
          <cell r="R215">
            <v>334.14</v>
          </cell>
          <cell r="S215">
            <v>334.13333333333333</v>
          </cell>
          <cell r="U215">
            <v>144.80003372733142</v>
          </cell>
          <cell r="V215">
            <v>50.754232323418968</v>
          </cell>
          <cell r="X215">
            <v>2133.4766130925459</v>
          </cell>
          <cell r="Y215">
            <v>1670.4133074197964</v>
          </cell>
          <cell r="AA215">
            <v>0</v>
          </cell>
          <cell r="AB215">
            <v>0</v>
          </cell>
          <cell r="AD215">
            <v>4714.1042653574368</v>
          </cell>
          <cell r="AE215">
            <v>5180.6366506675931</v>
          </cell>
          <cell r="AJ215">
            <v>14402.266595894693</v>
          </cell>
          <cell r="AK215">
            <v>13009.222225363166</v>
          </cell>
          <cell r="AM215">
            <v>0</v>
          </cell>
          <cell r="AN215">
            <v>266.0109811433166</v>
          </cell>
          <cell r="AP215">
            <v>852.31587860428476</v>
          </cell>
          <cell r="AQ215">
            <v>286.65518600678638</v>
          </cell>
          <cell r="AS215">
            <v>17454.572487647143</v>
          </cell>
          <cell r="AT215">
            <v>2231.943235495381</v>
          </cell>
          <cell r="AV215">
            <v>234.19939836518847</v>
          </cell>
          <cell r="AW215">
            <v>0</v>
          </cell>
          <cell r="AY215">
            <v>340.39419120155407</v>
          </cell>
          <cell r="AZ215">
            <v>0</v>
          </cell>
          <cell r="BB215">
            <v>377.32558295153785</v>
          </cell>
          <cell r="BC215">
            <v>0</v>
          </cell>
          <cell r="BE215">
            <v>175.11975664192488</v>
          </cell>
          <cell r="BF215">
            <v>858.1913451964266</v>
          </cell>
          <cell r="BH215">
            <v>73.457911157641931</v>
          </cell>
          <cell r="BI215">
            <v>16.749686000000001</v>
          </cell>
          <cell r="BK215">
            <v>232.89259241061026</v>
          </cell>
          <cell r="BL215">
            <v>1131.2545234065167</v>
          </cell>
          <cell r="BN215">
            <v>141.02416777453496</v>
          </cell>
          <cell r="BO215">
            <v>0</v>
          </cell>
          <cell r="BT215">
            <v>15113.912714101716</v>
          </cell>
          <cell r="BU215">
            <v>8587.5051060356109</v>
          </cell>
          <cell r="BW215">
            <v>11381.06104685687</v>
          </cell>
          <cell r="BX215">
            <v>11529.617872282841</v>
          </cell>
          <cell r="BZ215">
            <v>1514.7888609176264</v>
          </cell>
          <cell r="CA215">
            <v>8324.861285867586</v>
          </cell>
          <cell r="CC215">
            <v>310.80004901366181</v>
          </cell>
          <cell r="CD215">
            <v>314.22763223408435</v>
          </cell>
          <cell r="CF215">
            <v>38.261369670242459</v>
          </cell>
          <cell r="CG215">
            <v>0</v>
          </cell>
          <cell r="CI215">
            <v>1731.3710788902722</v>
          </cell>
          <cell r="CJ215">
            <v>2857.557407510978</v>
          </cell>
          <cell r="CL215">
            <v>2620.4535248068992</v>
          </cell>
          <cell r="CM215">
            <v>2480.6090044652678</v>
          </cell>
          <cell r="CX215">
            <v>2429.6033782021404</v>
          </cell>
          <cell r="CY215">
            <v>21138.208191248421</v>
          </cell>
        </row>
        <row r="216">
          <cell r="I216">
            <v>4025.0525254893359</v>
          </cell>
          <cell r="J216">
            <v>3540.6265100344126</v>
          </cell>
          <cell r="L216">
            <v>816.83676258570961</v>
          </cell>
          <cell r="M216">
            <v>736.5154128745254</v>
          </cell>
          <cell r="O216">
            <v>2363.7199999999998</v>
          </cell>
          <cell r="P216">
            <v>2363.7166666666667</v>
          </cell>
          <cell r="R216">
            <v>487.7</v>
          </cell>
          <cell r="S216">
            <v>487.7166666666667</v>
          </cell>
          <cell r="U216">
            <v>480.20150935264746</v>
          </cell>
          <cell r="V216">
            <v>168.31672551246197</v>
          </cell>
          <cell r="X216">
            <v>3775.4868641328226</v>
          </cell>
          <cell r="Y216">
            <v>2954.6840080125821</v>
          </cell>
          <cell r="AA216">
            <v>0</v>
          </cell>
          <cell r="AB216">
            <v>0</v>
          </cell>
          <cell r="AD216">
            <v>6693.6717375131266</v>
          </cell>
          <cell r="AE216">
            <v>7356.1124614347045</v>
          </cell>
          <cell r="AJ216">
            <v>22468.851464222462</v>
          </cell>
          <cell r="AK216">
            <v>22716.593084185813</v>
          </cell>
          <cell r="AM216">
            <v>0</v>
          </cell>
          <cell r="AN216">
            <v>798.01608136018467</v>
          </cell>
          <cell r="AP216">
            <v>1412.6346506496943</v>
          </cell>
          <cell r="AQ216">
            <v>0</v>
          </cell>
          <cell r="AS216">
            <v>28446.047949750613</v>
          </cell>
          <cell r="AT216">
            <v>609.59294790522961</v>
          </cell>
          <cell r="AV216">
            <v>131.66111816664187</v>
          </cell>
          <cell r="AW216">
            <v>0</v>
          </cell>
          <cell r="AY216">
            <v>193.84601730458303</v>
          </cell>
          <cell r="AZ216">
            <v>0</v>
          </cell>
          <cell r="BB216">
            <v>215.16401743022467</v>
          </cell>
          <cell r="BC216">
            <v>0</v>
          </cell>
          <cell r="BE216">
            <v>101.39158159948053</v>
          </cell>
          <cell r="BF216">
            <v>0</v>
          </cell>
          <cell r="BH216">
            <v>97.437647389463777</v>
          </cell>
          <cell r="BI216">
            <v>7.7228418000000003</v>
          </cell>
          <cell r="BK216">
            <v>163.8440843954931</v>
          </cell>
          <cell r="BL216">
            <v>0</v>
          </cell>
          <cell r="BN216">
            <v>156.91956282162403</v>
          </cell>
          <cell r="BO216">
            <v>0</v>
          </cell>
          <cell r="BT216">
            <v>20337.119895776657</v>
          </cell>
          <cell r="BU216">
            <v>15236.58607718132</v>
          </cell>
          <cell r="BW216">
            <v>15093.048212070516</v>
          </cell>
          <cell r="BX216">
            <v>19824.662187348811</v>
          </cell>
          <cell r="BZ216">
            <v>1731.1872696201444</v>
          </cell>
          <cell r="CA216">
            <v>14636.309127992641</v>
          </cell>
          <cell r="CC216">
            <v>433.60038383688311</v>
          </cell>
          <cell r="CD216">
            <v>438.38224086916034</v>
          </cell>
          <cell r="CF216">
            <v>53.378835131434471</v>
          </cell>
          <cell r="CG216">
            <v>0</v>
          </cell>
          <cell r="CI216">
            <v>2689.084450456603</v>
          </cell>
          <cell r="CJ216">
            <v>1105.1982884477652</v>
          </cell>
          <cell r="CL216">
            <v>2745.2370259881795</v>
          </cell>
          <cell r="CM216">
            <v>4294.7856479964976</v>
          </cell>
          <cell r="CX216">
            <v>3444.6717211788346</v>
          </cell>
          <cell r="CY216">
            <v>24849.775628452691</v>
          </cell>
        </row>
        <row r="217">
          <cell r="I217">
            <v>2021.1215785517211</v>
          </cell>
          <cell r="J217">
            <v>2240.9735261117985</v>
          </cell>
          <cell r="L217">
            <v>382.49505462472791</v>
          </cell>
          <cell r="M217">
            <v>420.94205019182255</v>
          </cell>
          <cell r="O217">
            <v>824.68</v>
          </cell>
          <cell r="P217">
            <v>824.68333333333339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>
            <v>1258.4452621155397</v>
          </cell>
          <cell r="Y217">
            <v>1230.1427071293951</v>
          </cell>
          <cell r="AA217">
            <v>0</v>
          </cell>
          <cell r="AB217">
            <v>0</v>
          </cell>
          <cell r="AD217">
            <v>2498.1545732744512</v>
          </cell>
          <cell r="AE217">
            <v>2745.3850005918744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P217">
            <v>1894.0352857872995</v>
          </cell>
          <cell r="AQ217">
            <v>501.64657551187616</v>
          </cell>
          <cell r="AS217">
            <v>5576.6969253063198</v>
          </cell>
          <cell r="AT217">
            <v>0</v>
          </cell>
          <cell r="AV217">
            <v>320.62601161897658</v>
          </cell>
          <cell r="AW217">
            <v>0</v>
          </cell>
          <cell r="AY217">
            <v>492.97964315911258</v>
          </cell>
          <cell r="AZ217">
            <v>0</v>
          </cell>
          <cell r="BB217">
            <v>425.24465874824136</v>
          </cell>
          <cell r="BC217">
            <v>0</v>
          </cell>
          <cell r="BE217">
            <v>0</v>
          </cell>
          <cell r="BF217">
            <v>0</v>
          </cell>
          <cell r="BH217">
            <v>0</v>
          </cell>
          <cell r="BI217">
            <v>601.0903519414104</v>
          </cell>
          <cell r="BK217">
            <v>176.92726331589199</v>
          </cell>
          <cell r="BL217">
            <v>0</v>
          </cell>
          <cell r="BN217">
            <v>0</v>
          </cell>
          <cell r="BO217">
            <v>0</v>
          </cell>
          <cell r="BT217">
            <v>3559.0348874387128</v>
          </cell>
          <cell r="BU217">
            <v>3740.5957816437813</v>
          </cell>
          <cell r="BW217">
            <v>2461.0725475679833</v>
          </cell>
          <cell r="BX217">
            <v>3031.1635292059309</v>
          </cell>
          <cell r="BZ217">
            <v>1692.0255490842067</v>
          </cell>
          <cell r="CA217">
            <v>3579.5024755752429</v>
          </cell>
          <cell r="CC217">
            <v>216.08937161706959</v>
          </cell>
          <cell r="CD217">
            <v>218.47246102331923</v>
          </cell>
          <cell r="CF217">
            <v>26.601911278616519</v>
          </cell>
          <cell r="CG217">
            <v>0</v>
          </cell>
          <cell r="CI217">
            <v>792.37523250113372</v>
          </cell>
          <cell r="CJ217">
            <v>304.86607149952619</v>
          </cell>
          <cell r="CL217">
            <v>0</v>
          </cell>
          <cell r="CM217">
            <v>0</v>
          </cell>
          <cell r="CX217">
            <v>590.73309281199909</v>
          </cell>
          <cell r="CY217">
            <v>6805.7033634888267</v>
          </cell>
        </row>
        <row r="218">
          <cell r="I218">
            <v>2034.7811152672907</v>
          </cell>
          <cell r="J218">
            <v>2256.5800848243912</v>
          </cell>
          <cell r="L218">
            <v>345.21193849411895</v>
          </cell>
          <cell r="M218">
            <v>379.91159764604924</v>
          </cell>
          <cell r="O218">
            <v>806.66</v>
          </cell>
          <cell r="P218">
            <v>806.65000000000009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X218">
            <v>1275.7588742575476</v>
          </cell>
          <cell r="Y218">
            <v>1240.295045813798</v>
          </cell>
          <cell r="AA218">
            <v>0</v>
          </cell>
          <cell r="AB218">
            <v>0</v>
          </cell>
          <cell r="AD218">
            <v>2540.0577222998509</v>
          </cell>
          <cell r="AE218">
            <v>2791.4351041533641</v>
          </cell>
          <cell r="AJ218">
            <v>0</v>
          </cell>
          <cell r="AK218">
            <v>0</v>
          </cell>
          <cell r="AM218">
            <v>0</v>
          </cell>
          <cell r="AN218">
            <v>0</v>
          </cell>
          <cell r="AP218">
            <v>1894.0352857872995</v>
          </cell>
          <cell r="AQ218">
            <v>0</v>
          </cell>
          <cell r="AS218">
            <v>9161.9698506459335</v>
          </cell>
          <cell r="AT218">
            <v>0</v>
          </cell>
          <cell r="AV218">
            <v>323.47537914525492</v>
          </cell>
          <cell r="AW218">
            <v>0</v>
          </cell>
          <cell r="AY218">
            <v>444.88882070319545</v>
          </cell>
          <cell r="AZ218">
            <v>0</v>
          </cell>
          <cell r="BB218">
            <v>431.67565626018109</v>
          </cell>
          <cell r="BC218">
            <v>0</v>
          </cell>
          <cell r="BE218">
            <v>0</v>
          </cell>
          <cell r="BF218">
            <v>0</v>
          </cell>
          <cell r="BH218">
            <v>0</v>
          </cell>
          <cell r="BI218">
            <v>0</v>
          </cell>
          <cell r="BK218">
            <v>179.51810429532154</v>
          </cell>
          <cell r="BL218">
            <v>0</v>
          </cell>
          <cell r="BN218">
            <v>0</v>
          </cell>
          <cell r="BO218">
            <v>0</v>
          </cell>
          <cell r="BT218">
            <v>3024.4355619921371</v>
          </cell>
          <cell r="BU218">
            <v>3071.7181081091471</v>
          </cell>
          <cell r="BW218">
            <v>2512.3115606459678</v>
          </cell>
          <cell r="BX218">
            <v>3042.6342956767735</v>
          </cell>
          <cell r="BZ218">
            <v>1372.1601753322466</v>
          </cell>
          <cell r="CA218">
            <v>2999.104771369869</v>
          </cell>
          <cell r="CC218">
            <v>349.77261036474403</v>
          </cell>
          <cell r="CD218">
            <v>353.62999305838991</v>
          </cell>
          <cell r="CF218">
            <v>43.059128169902195</v>
          </cell>
          <cell r="CG218">
            <v>0</v>
          </cell>
          <cell r="CI218">
            <v>277.64329012834997</v>
          </cell>
          <cell r="CJ218">
            <v>1142.3049066016981</v>
          </cell>
          <cell r="CL218">
            <v>0</v>
          </cell>
          <cell r="CM218">
            <v>0</v>
          </cell>
          <cell r="CX218">
            <v>1625.2719114527863</v>
          </cell>
          <cell r="CY218">
            <v>12345.05331129582</v>
          </cell>
        </row>
        <row r="219">
          <cell r="I219">
            <v>1974.1598408175182</v>
          </cell>
          <cell r="J219">
            <v>2192.1037173558066</v>
          </cell>
          <cell r="L219">
            <v>345.21193849411895</v>
          </cell>
          <cell r="M219">
            <v>379.91159764604924</v>
          </cell>
          <cell r="O219">
            <v>884.08</v>
          </cell>
          <cell r="P219">
            <v>884.06666666666683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>
            <v>1275.7588742575476</v>
          </cell>
          <cell r="Y219">
            <v>1358.8873439186514</v>
          </cell>
          <cell r="AA219">
            <v>0</v>
          </cell>
          <cell r="AB219">
            <v>0</v>
          </cell>
          <cell r="AD219">
            <v>2545.1174562808092</v>
          </cell>
          <cell r="AE219">
            <v>2796.9955758419114</v>
          </cell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P219">
            <v>1894.0352857872995</v>
          </cell>
          <cell r="AQ219">
            <v>0</v>
          </cell>
          <cell r="AS219">
            <v>9306.2546949358311</v>
          </cell>
          <cell r="AT219">
            <v>47292.490092995511</v>
          </cell>
          <cell r="AV219">
            <v>309.21091681822662</v>
          </cell>
          <cell r="AW219">
            <v>0</v>
          </cell>
          <cell r="AY219">
            <v>444.88882070319545</v>
          </cell>
          <cell r="AZ219">
            <v>0</v>
          </cell>
          <cell r="BB219">
            <v>470.67431918363008</v>
          </cell>
          <cell r="BC219">
            <v>0</v>
          </cell>
          <cell r="BE219">
            <v>0</v>
          </cell>
          <cell r="BF219">
            <v>0</v>
          </cell>
          <cell r="BH219">
            <v>0</v>
          </cell>
          <cell r="BI219">
            <v>0</v>
          </cell>
          <cell r="BK219">
            <v>179.51810429532154</v>
          </cell>
          <cell r="BL219">
            <v>1792.527108619086</v>
          </cell>
          <cell r="BN219">
            <v>0</v>
          </cell>
          <cell r="BO219">
            <v>0</v>
          </cell>
          <cell r="BT219">
            <v>2458.7614289456974</v>
          </cell>
          <cell r="BU219">
            <v>2831.3520501103244</v>
          </cell>
          <cell r="BW219">
            <v>2956.0565738150385</v>
          </cell>
          <cell r="BX219">
            <v>3670.1477099573185</v>
          </cell>
          <cell r="BZ219">
            <v>1287.6974174169707</v>
          </cell>
          <cell r="CA219">
            <v>2679.9086852307682</v>
          </cell>
          <cell r="CC219">
            <v>356.24352621171619</v>
          </cell>
          <cell r="CD219">
            <v>360.17227183676528</v>
          </cell>
          <cell r="CF219">
            <v>43.855737128336273</v>
          </cell>
          <cell r="CG219">
            <v>0</v>
          </cell>
          <cell r="CI219">
            <v>1472.4453139391144</v>
          </cell>
          <cell r="CJ219">
            <v>2866.9365235673731</v>
          </cell>
          <cell r="CL219">
            <v>0</v>
          </cell>
          <cell r="CM219">
            <v>0</v>
          </cell>
          <cell r="CX219">
            <v>1359.535701163557</v>
          </cell>
          <cell r="CY219">
            <v>-47722.299212495462</v>
          </cell>
        </row>
        <row r="220">
          <cell r="I220">
            <v>1436.498904966975</v>
          </cell>
          <cell r="J220">
            <v>1598.0564505193224</v>
          </cell>
          <cell r="L220">
            <v>300.92648582137065</v>
          </cell>
          <cell r="M220">
            <v>331.17436697659895</v>
          </cell>
          <cell r="O220">
            <v>584.26</v>
          </cell>
          <cell r="P220">
            <v>584.25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X220">
            <v>949.89980205882534</v>
          </cell>
          <cell r="Y220">
            <v>917.47750862132125</v>
          </cell>
          <cell r="AA220">
            <v>0</v>
          </cell>
          <cell r="AB220">
            <v>0</v>
          </cell>
          <cell r="AD220">
            <v>1910.9403760477653</v>
          </cell>
          <cell r="AE220">
            <v>2151.8242269651214</v>
          </cell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P220">
            <v>1373.1755821957922</v>
          </cell>
          <cell r="AQ220">
            <v>4159.9999575924885</v>
          </cell>
          <cell r="AS220">
            <v>5075.1058847571803</v>
          </cell>
          <cell r="AT220">
            <v>2518.6320877822127</v>
          </cell>
          <cell r="AV220">
            <v>227.2230240106725</v>
          </cell>
          <cell r="AW220">
            <v>0</v>
          </cell>
          <cell r="AY220">
            <v>387.87318468845865</v>
          </cell>
          <cell r="AZ220">
            <v>0</v>
          </cell>
          <cell r="BB220">
            <v>299.02802678329249</v>
          </cell>
          <cell r="BC220">
            <v>0</v>
          </cell>
          <cell r="BE220">
            <v>0</v>
          </cell>
          <cell r="BF220">
            <v>0</v>
          </cell>
          <cell r="BH220">
            <v>0</v>
          </cell>
          <cell r="BI220">
            <v>1515.502816555887</v>
          </cell>
          <cell r="BK220">
            <v>130.49535443444742</v>
          </cell>
          <cell r="BL220">
            <v>0</v>
          </cell>
          <cell r="BN220">
            <v>0</v>
          </cell>
          <cell r="BO220">
            <v>0</v>
          </cell>
          <cell r="BT220">
            <v>3327.5271503856011</v>
          </cell>
          <cell r="BU220">
            <v>3694.4711441938921</v>
          </cell>
          <cell r="BW220">
            <v>1860.8905842438116</v>
          </cell>
          <cell r="BX220">
            <v>2216.2781192184648</v>
          </cell>
          <cell r="BZ220">
            <v>1397.7237132487819</v>
          </cell>
          <cell r="CA220">
            <v>3414.6934426773023</v>
          </cell>
          <cell r="CC220">
            <v>115.64310971975209</v>
          </cell>
          <cell r="CD220">
            <v>116.91845180444875</v>
          </cell>
          <cell r="CF220">
            <v>14.236367673833119</v>
          </cell>
          <cell r="CG220">
            <v>0</v>
          </cell>
          <cell r="CI220">
            <v>801.73399508972977</v>
          </cell>
          <cell r="CJ220">
            <v>485.73476591774886</v>
          </cell>
          <cell r="CL220">
            <v>0</v>
          </cell>
          <cell r="CM220">
            <v>0</v>
          </cell>
          <cell r="CX220">
            <v>548.80214464845267</v>
          </cell>
          <cell r="CY220">
            <v>-3665.3960065897718</v>
          </cell>
        </row>
        <row r="221">
          <cell r="I221">
            <v>1490.3154577269845</v>
          </cell>
          <cell r="J221">
            <v>1640.9534601199557</v>
          </cell>
          <cell r="L221">
            <v>379.73388389750988</v>
          </cell>
          <cell r="M221">
            <v>417.9027574106542</v>
          </cell>
          <cell r="O221">
            <v>568.74</v>
          </cell>
          <cell r="P221">
            <v>568.75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X221">
            <v>1543.8325580368994</v>
          </cell>
          <cell r="Y221">
            <v>1521.1696877606764</v>
          </cell>
          <cell r="AA221">
            <v>0</v>
          </cell>
          <cell r="AB221">
            <v>0</v>
          </cell>
          <cell r="AD221">
            <v>1769.6241438753723</v>
          </cell>
          <cell r="AE221">
            <v>1976.8651600325229</v>
          </cell>
          <cell r="AJ221">
            <v>0</v>
          </cell>
          <cell r="AK221">
            <v>0</v>
          </cell>
          <cell r="AM221">
            <v>0</v>
          </cell>
          <cell r="AN221">
            <v>0</v>
          </cell>
          <cell r="AP221">
            <v>781.28955538726109</v>
          </cell>
          <cell r="AQ221">
            <v>501.64657551187616</v>
          </cell>
          <cell r="AS221">
            <v>6894.6143675661087</v>
          </cell>
          <cell r="AT221">
            <v>0</v>
          </cell>
          <cell r="AV221">
            <v>268.63508955986697</v>
          </cell>
          <cell r="AW221">
            <v>0</v>
          </cell>
          <cell r="AY221">
            <v>489.43497576070069</v>
          </cell>
          <cell r="AZ221">
            <v>0</v>
          </cell>
          <cell r="BB221">
            <v>246.53671761751028</v>
          </cell>
          <cell r="BC221">
            <v>0</v>
          </cell>
          <cell r="BE221">
            <v>0</v>
          </cell>
          <cell r="BF221">
            <v>0</v>
          </cell>
          <cell r="BH221">
            <v>0</v>
          </cell>
          <cell r="BI221">
            <v>0</v>
          </cell>
          <cell r="BK221">
            <v>222.83021985135576</v>
          </cell>
          <cell r="BL221">
            <v>0</v>
          </cell>
          <cell r="BN221">
            <v>0</v>
          </cell>
          <cell r="BO221">
            <v>0</v>
          </cell>
          <cell r="BT221">
            <v>2539.3847630448886</v>
          </cell>
          <cell r="BU221">
            <v>2461.9129212323983</v>
          </cell>
          <cell r="BW221">
            <v>2803.8522920308114</v>
          </cell>
          <cell r="BX221">
            <v>3283.9792214884055</v>
          </cell>
          <cell r="BZ221">
            <v>755.70209602084947</v>
          </cell>
          <cell r="CA221">
            <v>2555.5626178906382</v>
          </cell>
          <cell r="CC221">
            <v>144.23279246182901</v>
          </cell>
          <cell r="CD221">
            <v>145.82342895254311</v>
          </cell>
          <cell r="CF221">
            <v>17.755930890187283</v>
          </cell>
          <cell r="CG221">
            <v>0</v>
          </cell>
          <cell r="CI221">
            <v>795.49482003066578</v>
          </cell>
          <cell r="CJ221">
            <v>631.69819963863461</v>
          </cell>
          <cell r="CL221">
            <v>0</v>
          </cell>
          <cell r="CM221">
            <v>0</v>
          </cell>
          <cell r="CX221">
            <v>639.00840348944621</v>
          </cell>
          <cell r="CY221">
            <v>7845.9031639540353</v>
          </cell>
        </row>
        <row r="222">
          <cell r="I222">
            <v>414.24396484887802</v>
          </cell>
          <cell r="J222">
            <v>455.62180339709107</v>
          </cell>
          <cell r="L222">
            <v>70.76838694021346</v>
          </cell>
          <cell r="M222">
            <v>77.881877517440103</v>
          </cell>
          <cell r="O222">
            <v>188.68</v>
          </cell>
          <cell r="P222">
            <v>188.68333333333334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X222">
            <v>198.89135680411229</v>
          </cell>
          <cell r="Y222">
            <v>186.53926156832267</v>
          </cell>
          <cell r="AA222">
            <v>0</v>
          </cell>
          <cell r="AB222">
            <v>0</v>
          </cell>
          <cell r="AD222">
            <v>543.60784197389376</v>
          </cell>
          <cell r="AE222">
            <v>714.09770286397861</v>
          </cell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P222">
            <v>7.8918136907804142</v>
          </cell>
          <cell r="AQ222">
            <v>0</v>
          </cell>
          <cell r="AS222">
            <v>1645.8035773027812</v>
          </cell>
          <cell r="AT222">
            <v>0</v>
          </cell>
          <cell r="AV222">
            <v>82.667714407915298</v>
          </cell>
          <cell r="AW222">
            <v>0</v>
          </cell>
          <cell r="AY222">
            <v>91.180310614088697</v>
          </cell>
          <cell r="AZ222">
            <v>0</v>
          </cell>
          <cell r="BB222">
            <v>83.006215262450169</v>
          </cell>
          <cell r="BC222">
            <v>0</v>
          </cell>
          <cell r="BE222">
            <v>0</v>
          </cell>
          <cell r="BF222">
            <v>0</v>
          </cell>
          <cell r="BH222">
            <v>0</v>
          </cell>
          <cell r="BI222">
            <v>0</v>
          </cell>
          <cell r="BK222">
            <v>14.381053614686898</v>
          </cell>
          <cell r="BL222">
            <v>0</v>
          </cell>
          <cell r="BN222">
            <v>0</v>
          </cell>
          <cell r="BO222">
            <v>0</v>
          </cell>
          <cell r="BT222">
            <v>733.40400365136895</v>
          </cell>
          <cell r="BU222">
            <v>897.78509095981258</v>
          </cell>
          <cell r="BW222">
            <v>34.337932823633373</v>
          </cell>
          <cell r="BX222">
            <v>3.7113331210224234</v>
          </cell>
          <cell r="BZ222">
            <v>316.54808339732688</v>
          </cell>
          <cell r="CA222">
            <v>1058.3682196785294</v>
          </cell>
          <cell r="CC222">
            <v>0</v>
          </cell>
          <cell r="CD222">
            <v>0</v>
          </cell>
          <cell r="CF222">
            <v>0</v>
          </cell>
          <cell r="CG222">
            <v>0</v>
          </cell>
          <cell r="CI222">
            <v>1182.3236736926367</v>
          </cell>
          <cell r="CJ222">
            <v>634.32227326471252</v>
          </cell>
          <cell r="CL222">
            <v>0</v>
          </cell>
          <cell r="CM222">
            <v>0</v>
          </cell>
          <cell r="CX222">
            <v>1034.5968851702796</v>
          </cell>
          <cell r="CY222">
            <v>2703.4669251549089</v>
          </cell>
        </row>
        <row r="223"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X223">
            <v>0</v>
          </cell>
          <cell r="Y223">
            <v>0</v>
          </cell>
          <cell r="AA223">
            <v>0</v>
          </cell>
          <cell r="AB223">
            <v>0</v>
          </cell>
          <cell r="AD223">
            <v>0</v>
          </cell>
          <cell r="AE223">
            <v>0</v>
          </cell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P223">
            <v>47.350882144682487</v>
          </cell>
          <cell r="AQ223">
            <v>0</v>
          </cell>
          <cell r="AS223">
            <v>188.58160580956394</v>
          </cell>
          <cell r="AT223">
            <v>0</v>
          </cell>
          <cell r="AV223">
            <v>0</v>
          </cell>
          <cell r="AW223">
            <v>0</v>
          </cell>
          <cell r="AY223">
            <v>0</v>
          </cell>
          <cell r="AZ223">
            <v>0</v>
          </cell>
          <cell r="BB223">
            <v>0</v>
          </cell>
          <cell r="BC223">
            <v>0</v>
          </cell>
          <cell r="BE223">
            <v>0</v>
          </cell>
          <cell r="BF223">
            <v>0</v>
          </cell>
          <cell r="BH223">
            <v>0</v>
          </cell>
          <cell r="BI223">
            <v>0</v>
          </cell>
          <cell r="BK223">
            <v>0</v>
          </cell>
          <cell r="BL223">
            <v>0</v>
          </cell>
          <cell r="BN223">
            <v>0</v>
          </cell>
          <cell r="BO223">
            <v>0</v>
          </cell>
          <cell r="BT223">
            <v>0</v>
          </cell>
          <cell r="BU223">
            <v>0</v>
          </cell>
          <cell r="BW223">
            <v>0</v>
          </cell>
          <cell r="BX223">
            <v>0.25642840791876897</v>
          </cell>
          <cell r="BZ223">
            <v>0</v>
          </cell>
          <cell r="CA223">
            <v>0</v>
          </cell>
          <cell r="CC223">
            <v>0</v>
          </cell>
          <cell r="CD223">
            <v>0</v>
          </cell>
          <cell r="CF223">
            <v>0</v>
          </cell>
          <cell r="CG223">
            <v>0</v>
          </cell>
          <cell r="CI223">
            <v>0</v>
          </cell>
          <cell r="CJ223">
            <v>0</v>
          </cell>
          <cell r="CL223">
            <v>0</v>
          </cell>
          <cell r="CM223">
            <v>0</v>
          </cell>
          <cell r="CX223">
            <v>-1.8985545095688394E-2</v>
          </cell>
          <cell r="CY223">
            <v>282.79228591049753</v>
          </cell>
        </row>
        <row r="224">
          <cell r="I224">
            <v>116.37927869235573</v>
          </cell>
          <cell r="J224">
            <v>128.9965461802328</v>
          </cell>
          <cell r="L224">
            <v>38.7130183256781</v>
          </cell>
          <cell r="M224">
            <v>42.604372021735529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X224">
            <v>62.594311045124996</v>
          </cell>
          <cell r="Y224">
            <v>62.669076949990853</v>
          </cell>
          <cell r="AA224">
            <v>0</v>
          </cell>
          <cell r="AB224">
            <v>0</v>
          </cell>
          <cell r="AD224">
            <v>180.7964099956435</v>
          </cell>
          <cell r="AE224">
            <v>198.6889672372439</v>
          </cell>
          <cell r="AJ224">
            <v>0</v>
          </cell>
          <cell r="AK224">
            <v>0</v>
          </cell>
          <cell r="AM224">
            <v>0</v>
          </cell>
          <cell r="AN224">
            <v>0</v>
          </cell>
          <cell r="AP224">
            <v>63.134509526243313</v>
          </cell>
          <cell r="AQ224">
            <v>0</v>
          </cell>
          <cell r="AS224">
            <v>600.36541364669756</v>
          </cell>
          <cell r="AT224">
            <v>0</v>
          </cell>
          <cell r="AV224">
            <v>42.947547082987398</v>
          </cell>
          <cell r="AW224">
            <v>0</v>
          </cell>
          <cell r="AY224">
            <v>49.86802425262438</v>
          </cell>
          <cell r="AZ224">
            <v>0</v>
          </cell>
          <cell r="BB224">
            <v>0</v>
          </cell>
          <cell r="BC224">
            <v>0</v>
          </cell>
          <cell r="BE224">
            <v>0</v>
          </cell>
          <cell r="BF224">
            <v>0</v>
          </cell>
          <cell r="BH224">
            <v>0</v>
          </cell>
          <cell r="BI224">
            <v>0</v>
          </cell>
          <cell r="BK224">
            <v>9.8614077016833726</v>
          </cell>
          <cell r="BL224">
            <v>0</v>
          </cell>
          <cell r="BN224">
            <v>0</v>
          </cell>
          <cell r="BO224">
            <v>0</v>
          </cell>
          <cell r="BT224">
            <v>455.25419053531419</v>
          </cell>
          <cell r="BU224">
            <v>558.54569647061908</v>
          </cell>
          <cell r="BW224">
            <v>366.40386385111339</v>
          </cell>
          <cell r="BX224">
            <v>406.81468188265922</v>
          </cell>
          <cell r="BZ224">
            <v>253.72516635230215</v>
          </cell>
          <cell r="CA224">
            <v>614.81055579320332</v>
          </cell>
          <cell r="CC224">
            <v>0</v>
          </cell>
          <cell r="CD224">
            <v>0</v>
          </cell>
          <cell r="CF224">
            <v>0</v>
          </cell>
          <cell r="CG224">
            <v>0</v>
          </cell>
          <cell r="CI224">
            <v>180.9360767128573</v>
          </cell>
          <cell r="CJ224">
            <v>79.290284158089065</v>
          </cell>
          <cell r="CL224">
            <v>0</v>
          </cell>
          <cell r="CM224">
            <v>0</v>
          </cell>
          <cell r="CX224">
            <v>-1.5061264749874681E-2</v>
          </cell>
          <cell r="CY224">
            <v>394.25578316747124</v>
          </cell>
        </row>
        <row r="225">
          <cell r="I225">
            <v>410.78558730684119</v>
          </cell>
          <cell r="J225">
            <v>450.09453826982963</v>
          </cell>
          <cell r="L225">
            <v>61.497067697658665</v>
          </cell>
          <cell r="M225">
            <v>67.678537466374777</v>
          </cell>
          <cell r="O225">
            <v>149.82</v>
          </cell>
          <cell r="P225">
            <v>149.83333333333334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>
            <v>214.56978278589349</v>
          </cell>
          <cell r="Y225">
            <v>169.18366546948698</v>
          </cell>
          <cell r="AA225">
            <v>0</v>
          </cell>
          <cell r="AB225">
            <v>0</v>
          </cell>
          <cell r="AD225">
            <v>428.58084734481673</v>
          </cell>
          <cell r="AE225">
            <v>470.99544697074691</v>
          </cell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P225">
            <v>284.10529286809492</v>
          </cell>
          <cell r="AQ225">
            <v>143.32759300339319</v>
          </cell>
          <cell r="AS225">
            <v>1376.2265766356456</v>
          </cell>
          <cell r="AT225">
            <v>116.72791843775435</v>
          </cell>
          <cell r="AV225">
            <v>74.400935727157275</v>
          </cell>
          <cell r="AW225">
            <v>0</v>
          </cell>
          <cell r="AY225">
            <v>79.235345521027114</v>
          </cell>
          <cell r="AZ225">
            <v>0</v>
          </cell>
          <cell r="BB225">
            <v>68.280931052039634</v>
          </cell>
          <cell r="BC225">
            <v>0</v>
          </cell>
          <cell r="BE225">
            <v>0</v>
          </cell>
          <cell r="BF225">
            <v>0</v>
          </cell>
          <cell r="BH225">
            <v>0</v>
          </cell>
          <cell r="BI225">
            <v>0</v>
          </cell>
          <cell r="BK225">
            <v>14.743558598792214</v>
          </cell>
          <cell r="BL225">
            <v>0</v>
          </cell>
          <cell r="BN225">
            <v>0</v>
          </cell>
          <cell r="BO225">
            <v>0</v>
          </cell>
          <cell r="BT225">
            <v>1089.4554965623192</v>
          </cell>
          <cell r="BU225">
            <v>988.20586407696464</v>
          </cell>
          <cell r="BW225">
            <v>850.07251789900113</v>
          </cell>
          <cell r="BX225">
            <v>983.81225432513168</v>
          </cell>
          <cell r="BZ225">
            <v>272.79675200776171</v>
          </cell>
          <cell r="CA225">
            <v>1022.0863538102192</v>
          </cell>
          <cell r="CC225">
            <v>0</v>
          </cell>
          <cell r="CD225">
            <v>0</v>
          </cell>
          <cell r="CF225">
            <v>0</v>
          </cell>
          <cell r="CG225">
            <v>0</v>
          </cell>
          <cell r="CI225">
            <v>180.9360767128573</v>
          </cell>
          <cell r="CJ225">
            <v>4.9562718017994385</v>
          </cell>
          <cell r="CL225">
            <v>0</v>
          </cell>
          <cell r="CM225">
            <v>0</v>
          </cell>
          <cell r="CX225">
            <v>5.1877536111533118E-2</v>
          </cell>
          <cell r="CY225">
            <v>1186.3778676419588</v>
          </cell>
        </row>
        <row r="226">
          <cell r="I226">
            <v>372.5117198805134</v>
          </cell>
          <cell r="J226">
            <v>404.16219407113476</v>
          </cell>
          <cell r="L226">
            <v>69.437281789364391</v>
          </cell>
          <cell r="M226">
            <v>76.416504212233917</v>
          </cell>
          <cell r="O226">
            <v>102.84</v>
          </cell>
          <cell r="P226">
            <v>102.86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X226">
            <v>197.78281885877576</v>
          </cell>
          <cell r="Y226">
            <v>185.40158054077403</v>
          </cell>
          <cell r="AA226">
            <v>0</v>
          </cell>
          <cell r="AB226">
            <v>0</v>
          </cell>
          <cell r="AD226">
            <v>304.36794130523981</v>
          </cell>
          <cell r="AE226">
            <v>334.4897828420452</v>
          </cell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P226">
            <v>189.40352857872995</v>
          </cell>
          <cell r="AQ226">
            <v>143.32759300339319</v>
          </cell>
          <cell r="AS226">
            <v>824.54031171835345</v>
          </cell>
          <cell r="AT226">
            <v>0</v>
          </cell>
          <cell r="AV226">
            <v>71.960731953791409</v>
          </cell>
          <cell r="AW226">
            <v>0</v>
          </cell>
          <cell r="AY226">
            <v>89.509926552956031</v>
          </cell>
          <cell r="AZ226">
            <v>0</v>
          </cell>
          <cell r="BB226">
            <v>47.277902860351134</v>
          </cell>
          <cell r="BC226">
            <v>0</v>
          </cell>
          <cell r="BE226">
            <v>0</v>
          </cell>
          <cell r="BF226">
            <v>0</v>
          </cell>
          <cell r="BH226">
            <v>0</v>
          </cell>
          <cell r="BI226">
            <v>0</v>
          </cell>
          <cell r="BK226">
            <v>19.771277081972755</v>
          </cell>
          <cell r="BL226">
            <v>0</v>
          </cell>
          <cell r="BN226">
            <v>0</v>
          </cell>
          <cell r="BO226">
            <v>0</v>
          </cell>
          <cell r="BT226">
            <v>1063.1335779721182</v>
          </cell>
          <cell r="BU226">
            <v>943.86197986112074</v>
          </cell>
          <cell r="BW226">
            <v>767.68068062324369</v>
          </cell>
          <cell r="BX226">
            <v>882.51690409198022</v>
          </cell>
          <cell r="BZ226">
            <v>266.91120643833676</v>
          </cell>
          <cell r="CA226">
            <v>979.34174982360571</v>
          </cell>
          <cell r="CC226">
            <v>0</v>
          </cell>
          <cell r="CD226">
            <v>0</v>
          </cell>
          <cell r="CF226">
            <v>0</v>
          </cell>
          <cell r="CG226">
            <v>0</v>
          </cell>
          <cell r="CI226">
            <v>174.69690165379325</v>
          </cell>
          <cell r="CJ226">
            <v>47.079549781743694</v>
          </cell>
          <cell r="CL226">
            <v>0</v>
          </cell>
          <cell r="CM226">
            <v>0</v>
          </cell>
          <cell r="CX226">
            <v>4.9031278950678825E-2</v>
          </cell>
          <cell r="CY226">
            <v>554.89059412636198</v>
          </cell>
        </row>
        <row r="227">
          <cell r="I227">
            <v>778.01751528651096</v>
          </cell>
          <cell r="J227">
            <v>858.59070607046635</v>
          </cell>
          <cell r="L227">
            <v>151.89314510575448</v>
          </cell>
          <cell r="M227">
            <v>167.16110296426169</v>
          </cell>
          <cell r="O227">
            <v>319.72000000000003</v>
          </cell>
          <cell r="P227">
            <v>319.7166666666667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X227">
            <v>482.97657801160892</v>
          </cell>
          <cell r="Y227">
            <v>445.96370952500627</v>
          </cell>
          <cell r="AA227">
            <v>0</v>
          </cell>
          <cell r="AB227">
            <v>0</v>
          </cell>
          <cell r="AD227">
            <v>913.67393478681322</v>
          </cell>
          <cell r="AE227">
            <v>1004.0958805473804</v>
          </cell>
          <cell r="AJ227">
            <v>0</v>
          </cell>
          <cell r="AK227">
            <v>0</v>
          </cell>
          <cell r="AM227">
            <v>0</v>
          </cell>
          <cell r="AN227">
            <v>0</v>
          </cell>
          <cell r="AP227">
            <v>520.85970359150735</v>
          </cell>
          <cell r="AQ227">
            <v>429.98277901017957</v>
          </cell>
          <cell r="AS227">
            <v>2022.5811832907536</v>
          </cell>
          <cell r="AT227">
            <v>0</v>
          </cell>
          <cell r="AV227">
            <v>138.25758637960135</v>
          </cell>
          <cell r="AW227">
            <v>0</v>
          </cell>
          <cell r="AY227">
            <v>195.76233491122258</v>
          </cell>
          <cell r="AZ227">
            <v>0</v>
          </cell>
          <cell r="BB227">
            <v>144.91736678168084</v>
          </cell>
          <cell r="BC227">
            <v>0</v>
          </cell>
          <cell r="BE227">
            <v>0</v>
          </cell>
          <cell r="BF227">
            <v>0</v>
          </cell>
          <cell r="BH227">
            <v>0</v>
          </cell>
          <cell r="BI227">
            <v>0</v>
          </cell>
          <cell r="BK227">
            <v>58.242082060788206</v>
          </cell>
          <cell r="BL227">
            <v>0</v>
          </cell>
          <cell r="BN227">
            <v>0</v>
          </cell>
          <cell r="BO227">
            <v>0</v>
          </cell>
          <cell r="BT227">
            <v>3277.4590101138278</v>
          </cell>
          <cell r="BU227">
            <v>3249.056908761047</v>
          </cell>
          <cell r="BW227">
            <v>1234.8270535032732</v>
          </cell>
          <cell r="BX227">
            <v>1450.1776878111809</v>
          </cell>
          <cell r="BZ227">
            <v>1309.6820222992956</v>
          </cell>
          <cell r="CA227">
            <v>3170.7540002785936</v>
          </cell>
          <cell r="CC227">
            <v>149.27226328810727</v>
          </cell>
          <cell r="CD227">
            <v>150.91847636479289</v>
          </cell>
          <cell r="CF227">
            <v>18.376320291149575</v>
          </cell>
          <cell r="CG227">
            <v>0</v>
          </cell>
          <cell r="CI227">
            <v>283.88246518741403</v>
          </cell>
          <cell r="CJ227">
            <v>401.46808061645646</v>
          </cell>
          <cell r="CL227">
            <v>0</v>
          </cell>
          <cell r="CM227">
            <v>0</v>
          </cell>
          <cell r="CX227">
            <v>13.539322132828602</v>
          </cell>
          <cell r="CY227">
            <v>436.55680166076399</v>
          </cell>
        </row>
        <row r="228">
          <cell r="I228">
            <v>2179.1610473992082</v>
          </cell>
          <cell r="J228">
            <v>2404.2380876462389</v>
          </cell>
          <cell r="L228">
            <v>429.59193429862819</v>
          </cell>
          <cell r="M228">
            <v>472.77284672781934</v>
          </cell>
          <cell r="O228">
            <v>737.66</v>
          </cell>
          <cell r="P228">
            <v>737.66666666666674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X228">
            <v>1241.9147834079502</v>
          </cell>
          <cell r="Y228">
            <v>1202.1085501765779</v>
          </cell>
          <cell r="AA228">
            <v>0</v>
          </cell>
          <cell r="AB228">
            <v>0</v>
          </cell>
          <cell r="AD228">
            <v>2262.2712003593629</v>
          </cell>
          <cell r="AE228">
            <v>2486.1573768018557</v>
          </cell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P228">
            <v>1633.6054339915459</v>
          </cell>
          <cell r="AQ228">
            <v>0</v>
          </cell>
          <cell r="AS228">
            <v>7334.9898286120761</v>
          </cell>
          <cell r="AT228">
            <v>100.98110666432166</v>
          </cell>
          <cell r="AV228">
            <v>338.3518327252624</v>
          </cell>
          <cell r="AW228">
            <v>0</v>
          </cell>
          <cell r="AY228">
            <v>553.69522338747106</v>
          </cell>
          <cell r="AZ228">
            <v>0</v>
          </cell>
          <cell r="BB228">
            <v>395.83670735449164</v>
          </cell>
          <cell r="BC228">
            <v>367.97798214586402</v>
          </cell>
          <cell r="BE228">
            <v>0</v>
          </cell>
          <cell r="BF228">
            <v>0</v>
          </cell>
          <cell r="BH228">
            <v>0</v>
          </cell>
          <cell r="BI228">
            <v>0</v>
          </cell>
          <cell r="BK228">
            <v>174.41860241614506</v>
          </cell>
          <cell r="BL228">
            <v>0</v>
          </cell>
          <cell r="BN228">
            <v>200.88589227223855</v>
          </cell>
          <cell r="BO228">
            <v>0</v>
          </cell>
          <cell r="BT228">
            <v>3380.651705548893</v>
          </cell>
          <cell r="BU228">
            <v>3562.6738085409552</v>
          </cell>
          <cell r="BW228">
            <v>2264.1058263503965</v>
          </cell>
          <cell r="BX228">
            <v>2694.5807724624274</v>
          </cell>
          <cell r="BZ228">
            <v>1465.7426478390848</v>
          </cell>
          <cell r="CA228">
            <v>3394.9532340991786</v>
          </cell>
          <cell r="CC228">
            <v>175.00886040674649</v>
          </cell>
          <cell r="CD228">
            <v>176.93890332423996</v>
          </cell>
          <cell r="CF228">
            <v>21.544651375830533</v>
          </cell>
          <cell r="CG228">
            <v>0</v>
          </cell>
          <cell r="CI228">
            <v>1550.4350021774148</v>
          </cell>
          <cell r="CJ228">
            <v>1313.6636442443998</v>
          </cell>
          <cell r="CL228">
            <v>0</v>
          </cell>
          <cell r="CM228">
            <v>0</v>
          </cell>
          <cell r="CX228">
            <v>1594.9745840927098</v>
          </cell>
          <cell r="CY228">
            <v>10505.164424599345</v>
          </cell>
        </row>
        <row r="229">
          <cell r="I229">
            <v>603.65476624585074</v>
          </cell>
          <cell r="J229">
            <v>652.74573781281538</v>
          </cell>
          <cell r="L229">
            <v>102.82383724539872</v>
          </cell>
          <cell r="M229">
            <v>113.15938301314469</v>
          </cell>
          <cell r="O229">
            <v>137.76</v>
          </cell>
          <cell r="P229">
            <v>137.76666666666668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>
            <v>201.19626340407379</v>
          </cell>
          <cell r="Y229">
            <v>189.9742976194965</v>
          </cell>
          <cell r="AA229">
            <v>0</v>
          </cell>
          <cell r="AB229">
            <v>0</v>
          </cell>
          <cell r="AD229">
            <v>429.93486066366467</v>
          </cell>
          <cell r="AE229">
            <v>472.48346052120314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P229">
            <v>284.10529286809492</v>
          </cell>
          <cell r="AQ229">
            <v>0</v>
          </cell>
          <cell r="AS229">
            <v>1512.9277306976576</v>
          </cell>
          <cell r="AT229">
            <v>0</v>
          </cell>
          <cell r="AV229">
            <v>106.42402557711507</v>
          </cell>
          <cell r="AW229">
            <v>0</v>
          </cell>
          <cell r="AY229">
            <v>132.492596975553</v>
          </cell>
          <cell r="AZ229">
            <v>0</v>
          </cell>
          <cell r="BB229">
            <v>66.563181804184708</v>
          </cell>
          <cell r="BC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K229">
            <v>19.771301113804686</v>
          </cell>
          <cell r="BL229">
            <v>0</v>
          </cell>
          <cell r="BN229">
            <v>0</v>
          </cell>
          <cell r="BO229">
            <v>0</v>
          </cell>
          <cell r="BT229">
            <v>1543.6814883329262</v>
          </cell>
          <cell r="BU229">
            <v>1293.4686088973917</v>
          </cell>
          <cell r="BW229">
            <v>815.58566851900912</v>
          </cell>
          <cell r="BX229">
            <v>910.97450552718215</v>
          </cell>
          <cell r="BZ229">
            <v>279.8951109604879</v>
          </cell>
          <cell r="CA229">
            <v>1314.1700551901729</v>
          </cell>
          <cell r="CC229">
            <v>0</v>
          </cell>
          <cell r="CD229">
            <v>0</v>
          </cell>
          <cell r="CF229">
            <v>0</v>
          </cell>
          <cell r="CG229">
            <v>0</v>
          </cell>
          <cell r="CI229">
            <v>124.78350118128091</v>
          </cell>
          <cell r="CJ229">
            <v>39.640109743693557</v>
          </cell>
          <cell r="CL229">
            <v>0</v>
          </cell>
          <cell r="CM229">
            <v>0</v>
          </cell>
          <cell r="CX229">
            <v>104.22044929307776</v>
          </cell>
          <cell r="CY229">
            <v>1588.8806100098814</v>
          </cell>
        </row>
        <row r="230">
          <cell r="I230">
            <v>2596.3118439050209</v>
          </cell>
          <cell r="J230">
            <v>2876.7575084917003</v>
          </cell>
          <cell r="L230">
            <v>395.71270067189192</v>
          </cell>
          <cell r="M230">
            <v>435.48723707312843</v>
          </cell>
          <cell r="O230">
            <v>1011.36</v>
          </cell>
          <cell r="P230">
            <v>1011.3499999999999</v>
          </cell>
          <cell r="R230">
            <v>251.7</v>
          </cell>
          <cell r="S230">
            <v>251.70000000000002</v>
          </cell>
          <cell r="U230">
            <v>130.00964065633656</v>
          </cell>
          <cell r="V230">
            <v>471.29426869068135</v>
          </cell>
          <cell r="X230">
            <v>1078.8889875448481</v>
          </cell>
          <cell r="Y230">
            <v>979.82177692111327</v>
          </cell>
          <cell r="AA230">
            <v>0</v>
          </cell>
          <cell r="AB230">
            <v>0</v>
          </cell>
          <cell r="AD230">
            <v>2991.7993237828559</v>
          </cell>
          <cell r="AE230">
            <v>3287.8834144871789</v>
          </cell>
          <cell r="AJ230">
            <v>6139.7493479442464</v>
          </cell>
          <cell r="AK230">
            <v>6207.4600896555166</v>
          </cell>
          <cell r="AM230">
            <v>0</v>
          </cell>
          <cell r="AN230">
            <v>532.00510021686796</v>
          </cell>
          <cell r="AP230">
            <v>568.21058573618984</v>
          </cell>
          <cell r="AQ230">
            <v>0</v>
          </cell>
          <cell r="AS230">
            <v>10751.05370272178</v>
          </cell>
          <cell r="AT230">
            <v>0</v>
          </cell>
          <cell r="AV230">
            <v>205.77312815090349</v>
          </cell>
          <cell r="AW230">
            <v>0</v>
          </cell>
          <cell r="AY230">
            <v>262.67571456331655</v>
          </cell>
          <cell r="AZ230">
            <v>0</v>
          </cell>
          <cell r="BB230">
            <v>264.85518945278432</v>
          </cell>
          <cell r="BC230">
            <v>0</v>
          </cell>
          <cell r="BE230">
            <v>145.72291312674076</v>
          </cell>
          <cell r="BF230">
            <v>0</v>
          </cell>
          <cell r="BH230">
            <v>65.961235315382794</v>
          </cell>
          <cell r="BI230">
            <v>0</v>
          </cell>
          <cell r="BK230">
            <v>171.46695994239872</v>
          </cell>
          <cell r="BL230">
            <v>0</v>
          </cell>
          <cell r="BN230">
            <v>0</v>
          </cell>
          <cell r="BO230">
            <v>0</v>
          </cell>
          <cell r="BT230">
            <v>9851.5077486654918</v>
          </cell>
          <cell r="BU230">
            <v>8177.2816903300254</v>
          </cell>
          <cell r="BW230">
            <v>5954.258277416272</v>
          </cell>
          <cell r="BX230">
            <v>9888.2049507084812</v>
          </cell>
          <cell r="BZ230">
            <v>1934.6017738005112</v>
          </cell>
          <cell r="CA230">
            <v>7881.8005961390118</v>
          </cell>
          <cell r="CC230">
            <v>88.23976154962007</v>
          </cell>
          <cell r="CD230">
            <v>89.212892432389893</v>
          </cell>
          <cell r="CF230">
            <v>10.862849433191865</v>
          </cell>
          <cell r="CG230">
            <v>0</v>
          </cell>
          <cell r="CI230">
            <v>1372.6185129940898</v>
          </cell>
          <cell r="CJ230">
            <v>4480.7112609235392</v>
          </cell>
          <cell r="CL230">
            <v>2058.9277694911343</v>
          </cell>
          <cell r="CM230">
            <v>6721.0668913853087</v>
          </cell>
          <cell r="CX230">
            <v>1456.0784397619936</v>
          </cell>
          <cell r="CY230">
            <v>-4531.6452129459285</v>
          </cell>
        </row>
        <row r="231"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0</v>
          </cell>
          <cell r="AA231">
            <v>0</v>
          </cell>
          <cell r="AB231">
            <v>0</v>
          </cell>
          <cell r="AD231">
            <v>0</v>
          </cell>
          <cell r="AE231">
            <v>0</v>
          </cell>
          <cell r="AJ231">
            <v>0</v>
          </cell>
          <cell r="AK231">
            <v>0</v>
          </cell>
          <cell r="AM231">
            <v>0</v>
          </cell>
          <cell r="AN231">
            <v>0</v>
          </cell>
          <cell r="AP231">
            <v>94.701764289364974</v>
          </cell>
          <cell r="AQ231">
            <v>0</v>
          </cell>
          <cell r="AS231">
            <v>547.48421012736378</v>
          </cell>
          <cell r="AT231">
            <v>0</v>
          </cell>
          <cell r="AV231">
            <v>0</v>
          </cell>
          <cell r="AW231">
            <v>0</v>
          </cell>
          <cell r="AY231">
            <v>0</v>
          </cell>
          <cell r="AZ231">
            <v>0</v>
          </cell>
          <cell r="BB231">
            <v>0</v>
          </cell>
          <cell r="BC231">
            <v>0</v>
          </cell>
          <cell r="BE231">
            <v>0</v>
          </cell>
          <cell r="BF231">
            <v>0</v>
          </cell>
          <cell r="BH231">
            <v>0</v>
          </cell>
          <cell r="BI231">
            <v>0</v>
          </cell>
          <cell r="BK231">
            <v>0</v>
          </cell>
          <cell r="BL231">
            <v>0</v>
          </cell>
          <cell r="BN231">
            <v>0</v>
          </cell>
          <cell r="BO231">
            <v>0</v>
          </cell>
          <cell r="BT231">
            <v>87.732372765390863</v>
          </cell>
          <cell r="BU231">
            <v>121.37223675059785</v>
          </cell>
          <cell r="BW231">
            <v>0</v>
          </cell>
          <cell r="BX231">
            <v>0.93494611585620979</v>
          </cell>
          <cell r="BZ231">
            <v>0</v>
          </cell>
          <cell r="CA231">
            <v>114.1958131959895</v>
          </cell>
          <cell r="CC231">
            <v>0</v>
          </cell>
          <cell r="CD231">
            <v>0</v>
          </cell>
          <cell r="CF231">
            <v>0</v>
          </cell>
          <cell r="CG231">
            <v>0</v>
          </cell>
          <cell r="CI231">
            <v>0</v>
          </cell>
          <cell r="CJ231">
            <v>0</v>
          </cell>
          <cell r="CL231">
            <v>0</v>
          </cell>
          <cell r="CM231">
            <v>0</v>
          </cell>
          <cell r="CX231">
            <v>13.117983381456384</v>
          </cell>
          <cell r="CY231">
            <v>605.21640472506772</v>
          </cell>
        </row>
        <row r="232">
          <cell r="I232">
            <v>327.32270344175856</v>
          </cell>
          <cell r="J232">
            <v>356.5999916667738</v>
          </cell>
          <cell r="L232">
            <v>55.924551659938601</v>
          </cell>
          <cell r="M232">
            <v>61.545678818659979</v>
          </cell>
          <cell r="O232">
            <v>95.5</v>
          </cell>
          <cell r="P232">
            <v>95.5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X232">
            <v>160.71800817894464</v>
          </cell>
          <cell r="Y232">
            <v>148.05471896377921</v>
          </cell>
          <cell r="AA232">
            <v>0</v>
          </cell>
          <cell r="AB232">
            <v>0</v>
          </cell>
          <cell r="AD232">
            <v>291.96802985894811</v>
          </cell>
          <cell r="AE232">
            <v>320.86271137997176</v>
          </cell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P232">
            <v>189.40352857872995</v>
          </cell>
          <cell r="AQ232">
            <v>501.64657551187616</v>
          </cell>
          <cell r="AS232">
            <v>931.67389590225719</v>
          </cell>
          <cell r="AT232">
            <v>0</v>
          </cell>
          <cell r="AV232">
            <v>55.047242791802105</v>
          </cell>
          <cell r="AW232">
            <v>0</v>
          </cell>
          <cell r="AY232">
            <v>72.08773375891468</v>
          </cell>
          <cell r="AZ232">
            <v>0</v>
          </cell>
          <cell r="BB232">
            <v>47.77744413412605</v>
          </cell>
          <cell r="BC232">
            <v>0</v>
          </cell>
          <cell r="BE232">
            <v>0</v>
          </cell>
          <cell r="BF232">
            <v>0</v>
          </cell>
          <cell r="BH232">
            <v>0</v>
          </cell>
          <cell r="BI232">
            <v>0</v>
          </cell>
          <cell r="BK232">
            <v>13.131198850039331</v>
          </cell>
          <cell r="BL232">
            <v>0</v>
          </cell>
          <cell r="BN232">
            <v>0</v>
          </cell>
          <cell r="BO232">
            <v>0</v>
          </cell>
          <cell r="BT232">
            <v>975.27684272162037</v>
          </cell>
          <cell r="BU232">
            <v>911.94178633643094</v>
          </cell>
          <cell r="BW232">
            <v>581.89933690651253</v>
          </cell>
          <cell r="BX232">
            <v>656.21214441041047</v>
          </cell>
          <cell r="BZ232">
            <v>183.22723722074753</v>
          </cell>
          <cell r="CA232">
            <v>951.31895691502791</v>
          </cell>
          <cell r="CC232">
            <v>0</v>
          </cell>
          <cell r="CD232">
            <v>0</v>
          </cell>
          <cell r="CF232">
            <v>0</v>
          </cell>
          <cell r="CG232">
            <v>0</v>
          </cell>
          <cell r="CI232">
            <v>115.42473859268483</v>
          </cell>
          <cell r="CJ232">
            <v>240.46473208823932</v>
          </cell>
          <cell r="CL232">
            <v>0</v>
          </cell>
          <cell r="CM232">
            <v>0</v>
          </cell>
          <cell r="CX232">
            <v>-1.8991116427969246E-2</v>
          </cell>
          <cell r="CY232">
            <v>-177.33675530940309</v>
          </cell>
        </row>
        <row r="233">
          <cell r="I233">
            <v>333.51076696215716</v>
          </cell>
          <cell r="J233">
            <v>364.2133615753736</v>
          </cell>
          <cell r="L233">
            <v>55.924551659938601</v>
          </cell>
          <cell r="M233">
            <v>61.545678818659979</v>
          </cell>
          <cell r="O233">
            <v>107.52</v>
          </cell>
          <cell r="P233">
            <v>107.51666666666668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X233">
            <v>160.71800817894464</v>
          </cell>
          <cell r="Y233">
            <v>148.46036577744053</v>
          </cell>
          <cell r="AA233">
            <v>0</v>
          </cell>
          <cell r="AB233">
            <v>0</v>
          </cell>
          <cell r="AD233">
            <v>321.11494814362226</v>
          </cell>
          <cell r="AE233">
            <v>352.89416096611001</v>
          </cell>
          <cell r="AJ233">
            <v>0</v>
          </cell>
          <cell r="AK233">
            <v>0</v>
          </cell>
          <cell r="AM233">
            <v>0</v>
          </cell>
          <cell r="AN233">
            <v>0</v>
          </cell>
          <cell r="AP233">
            <v>165.7280875063887</v>
          </cell>
          <cell r="AQ233">
            <v>358.31898250848297</v>
          </cell>
          <cell r="AS233">
            <v>669.94801109952175</v>
          </cell>
          <cell r="AT233">
            <v>0</v>
          </cell>
          <cell r="AV233">
            <v>58.218883533051603</v>
          </cell>
          <cell r="AW233">
            <v>0</v>
          </cell>
          <cell r="AY233">
            <v>72.08773375891468</v>
          </cell>
          <cell r="AZ233">
            <v>0</v>
          </cell>
          <cell r="BB233">
            <v>53.860905364050453</v>
          </cell>
          <cell r="BC233">
            <v>0</v>
          </cell>
          <cell r="BE233">
            <v>0</v>
          </cell>
          <cell r="BF233">
            <v>0</v>
          </cell>
          <cell r="BH233">
            <v>0</v>
          </cell>
          <cell r="BI233">
            <v>0</v>
          </cell>
          <cell r="BK233">
            <v>13.131198850039331</v>
          </cell>
          <cell r="BL233">
            <v>0</v>
          </cell>
          <cell r="BN233">
            <v>0</v>
          </cell>
          <cell r="BO233">
            <v>0</v>
          </cell>
          <cell r="BT233">
            <v>998.385822723616</v>
          </cell>
          <cell r="BU233">
            <v>809.89490001303477</v>
          </cell>
          <cell r="BW233">
            <v>802.9280128816464</v>
          </cell>
          <cell r="BX233">
            <v>914.4301039502044</v>
          </cell>
          <cell r="BZ233">
            <v>177.85096626383185</v>
          </cell>
          <cell r="CA233">
            <v>854.61481873955597</v>
          </cell>
          <cell r="CC233">
            <v>0</v>
          </cell>
          <cell r="CD233">
            <v>0</v>
          </cell>
          <cell r="CF233">
            <v>0</v>
          </cell>
          <cell r="CG233">
            <v>0</v>
          </cell>
          <cell r="CI233">
            <v>159.09896400613314</v>
          </cell>
          <cell r="CJ233">
            <v>34.703967283298013</v>
          </cell>
          <cell r="CL233">
            <v>0</v>
          </cell>
          <cell r="CM233">
            <v>0</v>
          </cell>
          <cell r="CX233">
            <v>124.46776688177215</v>
          </cell>
          <cell r="CY233">
            <v>296.58839244140768</v>
          </cell>
        </row>
        <row r="234">
          <cell r="I234">
            <v>1412.3497975921871</v>
          </cell>
          <cell r="J234">
            <v>1552.9758759508154</v>
          </cell>
          <cell r="L234">
            <v>299.29898953786147</v>
          </cell>
          <cell r="M234">
            <v>329.38335515912468</v>
          </cell>
          <cell r="O234">
            <v>523.96</v>
          </cell>
          <cell r="P234">
            <v>523.9666666666667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X234">
            <v>939.72715203929658</v>
          </cell>
          <cell r="Y234">
            <v>908.14368398121871</v>
          </cell>
          <cell r="AA234">
            <v>0</v>
          </cell>
          <cell r="AB234">
            <v>0</v>
          </cell>
          <cell r="AD234">
            <v>1498.3938969524636</v>
          </cell>
          <cell r="AE234">
            <v>1646.6827848365353</v>
          </cell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P234">
            <v>947.01764289364974</v>
          </cell>
          <cell r="AQ234">
            <v>0</v>
          </cell>
          <cell r="AS234">
            <v>4693.1017113782236</v>
          </cell>
          <cell r="AT234">
            <v>0</v>
          </cell>
          <cell r="AV234">
            <v>249.80458999544032</v>
          </cell>
          <cell r="AW234">
            <v>0</v>
          </cell>
          <cell r="AY234">
            <v>385.7367251097441</v>
          </cell>
          <cell r="AZ234">
            <v>0</v>
          </cell>
          <cell r="BB234">
            <v>225.03237420717613</v>
          </cell>
          <cell r="BC234">
            <v>0</v>
          </cell>
          <cell r="BE234">
            <v>0</v>
          </cell>
          <cell r="BF234">
            <v>0</v>
          </cell>
          <cell r="BH234">
            <v>0</v>
          </cell>
          <cell r="BI234">
            <v>0</v>
          </cell>
          <cell r="BK234">
            <v>128.96003314994545</v>
          </cell>
          <cell r="BL234">
            <v>0</v>
          </cell>
          <cell r="BN234">
            <v>0</v>
          </cell>
          <cell r="BO234">
            <v>0</v>
          </cell>
          <cell r="BT234">
            <v>2174.3199739358015</v>
          </cell>
          <cell r="BU234">
            <v>2278.1011482132053</v>
          </cell>
          <cell r="BW234">
            <v>1926.4745622324472</v>
          </cell>
          <cell r="BX234">
            <v>2285.9604449386052</v>
          </cell>
          <cell r="BZ234">
            <v>879.31083166086194</v>
          </cell>
          <cell r="CA234">
            <v>2246.1905315053141</v>
          </cell>
          <cell r="CC234">
            <v>185.30349925420214</v>
          </cell>
          <cell r="CD234">
            <v>187.34707410801877</v>
          </cell>
          <cell r="CF234">
            <v>22.81198380970292</v>
          </cell>
          <cell r="CG234">
            <v>0</v>
          </cell>
          <cell r="CI234">
            <v>452.34019178214317</v>
          </cell>
          <cell r="CJ234">
            <v>520.35821583543122</v>
          </cell>
          <cell r="CL234">
            <v>0</v>
          </cell>
          <cell r="CM234">
            <v>0</v>
          </cell>
          <cell r="CX234">
            <v>987.16725336262243</v>
          </cell>
          <cell r="CY234">
            <v>6344.9682625660789</v>
          </cell>
        </row>
        <row r="235">
          <cell r="I235">
            <v>1762.7751319934337</v>
          </cell>
          <cell r="J235">
            <v>1946.616907145836</v>
          </cell>
          <cell r="L235">
            <v>247.51688833927398</v>
          </cell>
          <cell r="M235">
            <v>272.39661551221729</v>
          </cell>
          <cell r="O235">
            <v>625.32000000000005</v>
          </cell>
          <cell r="P235">
            <v>625.33333333333337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X235">
            <v>773.10054146450511</v>
          </cell>
          <cell r="Y235">
            <v>717.62004160275194</v>
          </cell>
          <cell r="AA235">
            <v>0</v>
          </cell>
          <cell r="AB235">
            <v>0</v>
          </cell>
          <cell r="AD235">
            <v>1989.6156762587195</v>
          </cell>
          <cell r="AE235">
            <v>2185.0304240910937</v>
          </cell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P235">
            <v>1633.6054339915459</v>
          </cell>
          <cell r="AQ235">
            <v>0</v>
          </cell>
          <cell r="AS235">
            <v>5274.8921488145579</v>
          </cell>
          <cell r="AT235">
            <v>89.878955280198525</v>
          </cell>
          <cell r="AV235">
            <v>276.78672703023619</v>
          </cell>
          <cell r="AW235">
            <v>0</v>
          </cell>
          <cell r="AY235">
            <v>319.0193196255849</v>
          </cell>
          <cell r="AZ235">
            <v>0</v>
          </cell>
          <cell r="BB235">
            <v>346.12883444303247</v>
          </cell>
          <cell r="BC235">
            <v>0</v>
          </cell>
          <cell r="BE235">
            <v>0</v>
          </cell>
          <cell r="BF235">
            <v>0</v>
          </cell>
          <cell r="BH235">
            <v>0</v>
          </cell>
          <cell r="BI235">
            <v>0</v>
          </cell>
          <cell r="BK235">
            <v>113.23255725526957</v>
          </cell>
          <cell r="BL235">
            <v>0</v>
          </cell>
          <cell r="BN235">
            <v>0</v>
          </cell>
          <cell r="BO235">
            <v>0</v>
          </cell>
          <cell r="BT235">
            <v>5955.8271266455595</v>
          </cell>
          <cell r="BU235">
            <v>5481.3347456564088</v>
          </cell>
          <cell r="BW235">
            <v>2935.1660347396864</v>
          </cell>
          <cell r="BX235">
            <v>3463.9340636921388</v>
          </cell>
          <cell r="BZ235">
            <v>1902.5954635965757</v>
          </cell>
          <cell r="CA235">
            <v>5424.1876355121813</v>
          </cell>
          <cell r="CC235">
            <v>0</v>
          </cell>
          <cell r="CD235">
            <v>0</v>
          </cell>
          <cell r="CF235">
            <v>0</v>
          </cell>
          <cell r="CG235">
            <v>0</v>
          </cell>
          <cell r="CI235">
            <v>340.03504071899044</v>
          </cell>
          <cell r="CJ235">
            <v>322.09727909275182</v>
          </cell>
          <cell r="CL235">
            <v>0</v>
          </cell>
          <cell r="CM235">
            <v>0</v>
          </cell>
          <cell r="CX235">
            <v>701.71969009963141</v>
          </cell>
          <cell r="CY235">
            <v>5462.3439988973023</v>
          </cell>
        </row>
        <row r="236">
          <cell r="I236">
            <v>2033.8603633767334</v>
          </cell>
          <cell r="J236">
            <v>2255.5738291506327</v>
          </cell>
          <cell r="L236">
            <v>345.21193849411895</v>
          </cell>
          <cell r="M236">
            <v>379.91159764604924</v>
          </cell>
          <cell r="O236">
            <v>813</v>
          </cell>
          <cell r="P236">
            <v>812.98333333333335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X236">
            <v>1458.8328846659915</v>
          </cell>
          <cell r="Y236">
            <v>1428.3129710102594</v>
          </cell>
          <cell r="AA236">
            <v>0</v>
          </cell>
          <cell r="AB236">
            <v>0</v>
          </cell>
          <cell r="AD236">
            <v>2536.6370570732875</v>
          </cell>
          <cell r="AE236">
            <v>2787.6759120258957</v>
          </cell>
          <cell r="AJ236">
            <v>0</v>
          </cell>
          <cell r="AK236">
            <v>0</v>
          </cell>
          <cell r="AM236">
            <v>0</v>
          </cell>
          <cell r="AN236">
            <v>0</v>
          </cell>
          <cell r="AP236">
            <v>1894.0352857872995</v>
          </cell>
          <cell r="AQ236">
            <v>0</v>
          </cell>
          <cell r="AS236">
            <v>9634.576653702592</v>
          </cell>
          <cell r="AT236">
            <v>5899.3116566400386</v>
          </cell>
          <cell r="AV236">
            <v>323.47028542496639</v>
          </cell>
          <cell r="AW236">
            <v>0</v>
          </cell>
          <cell r="AY236">
            <v>444.88882070319545</v>
          </cell>
          <cell r="AZ236">
            <v>0</v>
          </cell>
          <cell r="BB236">
            <v>469.97318737165875</v>
          </cell>
          <cell r="BC236">
            <v>0</v>
          </cell>
          <cell r="BE236">
            <v>0</v>
          </cell>
          <cell r="BF236">
            <v>0</v>
          </cell>
          <cell r="BH236">
            <v>0</v>
          </cell>
          <cell r="BI236">
            <v>0</v>
          </cell>
          <cell r="BK236">
            <v>179.51138020506116</v>
          </cell>
          <cell r="BL236">
            <v>0</v>
          </cell>
          <cell r="BN236">
            <v>0</v>
          </cell>
          <cell r="BO236">
            <v>0</v>
          </cell>
          <cell r="BT236">
            <v>4105.1319113664031</v>
          </cell>
          <cell r="BU236">
            <v>4144.1239029774006</v>
          </cell>
          <cell r="BW236">
            <v>2922.8817848610447</v>
          </cell>
          <cell r="BX236">
            <v>3526.3766333681501</v>
          </cell>
          <cell r="BZ236">
            <v>1922.0816475218207</v>
          </cell>
          <cell r="CA236">
            <v>4021.6321805740954</v>
          </cell>
          <cell r="CC236">
            <v>305.79979585918329</v>
          </cell>
          <cell r="CD236">
            <v>309.1722349962489</v>
          </cell>
          <cell r="CF236">
            <v>37.645808202361586</v>
          </cell>
          <cell r="CG236">
            <v>0</v>
          </cell>
          <cell r="CI236">
            <v>311.95875295320229</v>
          </cell>
          <cell r="CJ236">
            <v>611.92343578494661</v>
          </cell>
          <cell r="CL236">
            <v>0</v>
          </cell>
          <cell r="CM236">
            <v>0</v>
          </cell>
          <cell r="CX236">
            <v>1084.2629309172989</v>
          </cell>
          <cell r="CY236">
            <v>5359.2627749915409</v>
          </cell>
        </row>
        <row r="237">
          <cell r="I237">
            <v>2034.0152430067699</v>
          </cell>
          <cell r="J237">
            <v>2256.1416256300413</v>
          </cell>
          <cell r="L237">
            <v>345.21193849411895</v>
          </cell>
          <cell r="M237">
            <v>379.91159764604924</v>
          </cell>
          <cell r="O237">
            <v>820.28</v>
          </cell>
          <cell r="P237">
            <v>820.28333333333342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X237">
            <v>1275.7588742575476</v>
          </cell>
          <cell r="Y237">
            <v>1240.4102533814012</v>
          </cell>
          <cell r="AA237">
            <v>0</v>
          </cell>
          <cell r="AB237">
            <v>0</v>
          </cell>
          <cell r="AD237">
            <v>2547.8254829185048</v>
          </cell>
          <cell r="AE237">
            <v>2799.9716029428237</v>
          </cell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P237">
            <v>1894.0352857872995</v>
          </cell>
          <cell r="AQ237">
            <v>1504.9397265356283</v>
          </cell>
          <cell r="AS237">
            <v>9653.4290157244177</v>
          </cell>
          <cell r="AT237">
            <v>1056.2046722192822</v>
          </cell>
          <cell r="AV237">
            <v>323.52638508503514</v>
          </cell>
          <cell r="AW237">
            <v>0</v>
          </cell>
          <cell r="AY237">
            <v>444.88882070319545</v>
          </cell>
          <cell r="AZ237">
            <v>0</v>
          </cell>
          <cell r="BB237">
            <v>472.79176507359625</v>
          </cell>
          <cell r="BC237">
            <v>0</v>
          </cell>
          <cell r="BE237">
            <v>0</v>
          </cell>
          <cell r="BF237">
            <v>0</v>
          </cell>
          <cell r="BH237">
            <v>0</v>
          </cell>
          <cell r="BI237">
            <v>0</v>
          </cell>
          <cell r="BK237">
            <v>179.51810429532154</v>
          </cell>
          <cell r="BL237">
            <v>0</v>
          </cell>
          <cell r="BN237">
            <v>0</v>
          </cell>
          <cell r="BO237">
            <v>0</v>
          </cell>
          <cell r="BT237">
            <v>4845.0990235753434</v>
          </cell>
          <cell r="BU237">
            <v>4886.8434973296244</v>
          </cell>
          <cell r="BW237">
            <v>3157.2849209092883</v>
          </cell>
          <cell r="BX237">
            <v>3806.3016518065842</v>
          </cell>
          <cell r="BZ237">
            <v>2000.0445817704201</v>
          </cell>
          <cell r="CA237">
            <v>4724.9219194538355</v>
          </cell>
          <cell r="CC237">
            <v>422.17823692518226</v>
          </cell>
          <cell r="CD237">
            <v>426.83412757096767</v>
          </cell>
          <cell r="CF237">
            <v>51.9726996214713</v>
          </cell>
          <cell r="CG237">
            <v>0</v>
          </cell>
          <cell r="CI237">
            <v>754.94018214674941</v>
          </cell>
          <cell r="CJ237">
            <v>834.94560219521918</v>
          </cell>
          <cell r="CL237">
            <v>0</v>
          </cell>
          <cell r="CM237">
            <v>0</v>
          </cell>
          <cell r="CX237">
            <v>1290.7593276468906</v>
          </cell>
          <cell r="CY237">
            <v>9072.8684679462531</v>
          </cell>
        </row>
        <row r="238">
          <cell r="I238">
            <v>2034.7811152672907</v>
          </cell>
          <cell r="J238">
            <v>2256.6186084778674</v>
          </cell>
          <cell r="L238">
            <v>345.21193849411895</v>
          </cell>
          <cell r="M238">
            <v>379.91159764604924</v>
          </cell>
          <cell r="O238">
            <v>820.28</v>
          </cell>
          <cell r="P238">
            <v>820.28333333333342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X238">
            <v>1275.7588742575476</v>
          </cell>
          <cell r="Y238">
            <v>1240.3095677761012</v>
          </cell>
          <cell r="AA238">
            <v>0</v>
          </cell>
          <cell r="AB238">
            <v>0</v>
          </cell>
          <cell r="AD238">
            <v>2539.9864584409638</v>
          </cell>
          <cell r="AE238">
            <v>2791.3567876507082</v>
          </cell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P238">
            <v>1894.0352857872995</v>
          </cell>
          <cell r="AQ238">
            <v>0</v>
          </cell>
          <cell r="AS238">
            <v>8783.0631475805385</v>
          </cell>
          <cell r="AT238">
            <v>1221.4913687532407</v>
          </cell>
          <cell r="AV238">
            <v>323.47537914525492</v>
          </cell>
          <cell r="AW238">
            <v>1294.188597259516</v>
          </cell>
          <cell r="AY238">
            <v>444.88882070319545</v>
          </cell>
          <cell r="AZ238">
            <v>0</v>
          </cell>
          <cell r="BB238">
            <v>472.79176507359625</v>
          </cell>
          <cell r="BC238">
            <v>0</v>
          </cell>
          <cell r="BE238">
            <v>0</v>
          </cell>
          <cell r="BF238">
            <v>0</v>
          </cell>
          <cell r="BH238">
            <v>0</v>
          </cell>
          <cell r="BI238">
            <v>0</v>
          </cell>
          <cell r="BK238">
            <v>179.51810429532154</v>
          </cell>
          <cell r="BL238">
            <v>0</v>
          </cell>
          <cell r="BN238">
            <v>0</v>
          </cell>
          <cell r="BO238">
            <v>0</v>
          </cell>
          <cell r="BT238">
            <v>4585.7963105153513</v>
          </cell>
          <cell r="BU238">
            <v>3966.7279012131921</v>
          </cell>
          <cell r="BW238">
            <v>3058.3057780193394</v>
          </cell>
          <cell r="BX238">
            <v>2655.0103162919877</v>
          </cell>
          <cell r="BZ238">
            <v>1991.3291383066266</v>
          </cell>
          <cell r="CA238">
            <v>2873.6671095756019</v>
          </cell>
          <cell r="CC238">
            <v>350.80207424948964</v>
          </cell>
          <cell r="CD238">
            <v>354.67081013676784</v>
          </cell>
          <cell r="CF238">
            <v>43.185861413289444</v>
          </cell>
          <cell r="CG238">
            <v>0</v>
          </cell>
          <cell r="CI238">
            <v>1279.0308871081293</v>
          </cell>
          <cell r="CJ238">
            <v>2385.7856366354522</v>
          </cell>
          <cell r="CL238">
            <v>0</v>
          </cell>
          <cell r="CM238">
            <v>0</v>
          </cell>
          <cell r="CX238">
            <v>1842.6708736111759</v>
          </cell>
          <cell r="CY238">
            <v>11661.334038300221</v>
          </cell>
        </row>
        <row r="239">
          <cell r="I239">
            <v>2033.9636981540743</v>
          </cell>
          <cell r="J239">
            <v>2256.0052659543462</v>
          </cell>
          <cell r="L239">
            <v>345.21193849411895</v>
          </cell>
          <cell r="M239">
            <v>379.91159764604924</v>
          </cell>
          <cell r="O239">
            <v>811.52</v>
          </cell>
          <cell r="P239">
            <v>811.51666666666677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X239">
            <v>1275.7588742575476</v>
          </cell>
          <cell r="Y239">
            <v>1240.3788859428269</v>
          </cell>
          <cell r="AA239">
            <v>0</v>
          </cell>
          <cell r="AB239">
            <v>0</v>
          </cell>
          <cell r="AD239">
            <v>2545.5165338905745</v>
          </cell>
          <cell r="AE239">
            <v>2797.4341482567825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P239">
            <v>1894.0352857872995</v>
          </cell>
          <cell r="AQ239">
            <v>0</v>
          </cell>
          <cell r="AS239">
            <v>9622.1724222320809</v>
          </cell>
          <cell r="AT239">
            <v>15596.175520571929</v>
          </cell>
          <cell r="AV239">
            <v>323.47537914525492</v>
          </cell>
          <cell r="AW239">
            <v>0</v>
          </cell>
          <cell r="AY239">
            <v>444.88882070319545</v>
          </cell>
          <cell r="AZ239">
            <v>0</v>
          </cell>
          <cell r="BB239">
            <v>469.39987804412397</v>
          </cell>
          <cell r="BC239">
            <v>0</v>
          </cell>
          <cell r="BE239">
            <v>0</v>
          </cell>
          <cell r="BF239">
            <v>0</v>
          </cell>
          <cell r="BH239">
            <v>0</v>
          </cell>
          <cell r="BI239">
            <v>0</v>
          </cell>
          <cell r="BK239">
            <v>179.51810429532154</v>
          </cell>
          <cell r="BL239">
            <v>0</v>
          </cell>
          <cell r="BN239">
            <v>0</v>
          </cell>
          <cell r="BO239">
            <v>0</v>
          </cell>
          <cell r="BT239">
            <v>6196.558486382004</v>
          </cell>
          <cell r="BU239">
            <v>4690.5116443959387</v>
          </cell>
          <cell r="BW239">
            <v>3120.7220613320342</v>
          </cell>
          <cell r="BX239">
            <v>2708.5352847231725</v>
          </cell>
          <cell r="BZ239">
            <v>1751.3290402107157</v>
          </cell>
          <cell r="CA239">
            <v>3422.7919581941919</v>
          </cell>
          <cell r="CC239">
            <v>349.72358827499426</v>
          </cell>
          <cell r="CD239">
            <v>353.58043034037195</v>
          </cell>
          <cell r="CF239">
            <v>43.053093253550429</v>
          </cell>
          <cell r="CG239">
            <v>0</v>
          </cell>
          <cell r="CI239">
            <v>1232.2370741651489</v>
          </cell>
          <cell r="CJ239">
            <v>954.09741885244478</v>
          </cell>
          <cell r="CL239">
            <v>0</v>
          </cell>
          <cell r="CM239">
            <v>0</v>
          </cell>
          <cell r="CX239">
            <v>1252.2788656535486</v>
          </cell>
          <cell r="CY239">
            <v>-1833.9465858536605</v>
          </cell>
        </row>
        <row r="240">
          <cell r="I240">
            <v>2777.6280587360443</v>
          </cell>
          <cell r="J240">
            <v>3466.6814567048568</v>
          </cell>
          <cell r="L240">
            <v>566.64124412410786</v>
          </cell>
          <cell r="M240">
            <v>723.74735538419122</v>
          </cell>
          <cell r="O240">
            <v>1106.6199999999999</v>
          </cell>
          <cell r="P240">
            <v>1106.94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>
            <v>2122.1356925593641</v>
          </cell>
          <cell r="Y240">
            <v>2602.4931140583312</v>
          </cell>
          <cell r="AA240">
            <v>0</v>
          </cell>
          <cell r="AB240">
            <v>0</v>
          </cell>
          <cell r="AD240">
            <v>3258.397419878127</v>
          </cell>
          <cell r="AE240">
            <v>3580.8654509217595</v>
          </cell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P240">
            <v>2320.193225089442</v>
          </cell>
          <cell r="AQ240">
            <v>0</v>
          </cell>
          <cell r="AS240">
            <v>10039.618184446057</v>
          </cell>
          <cell r="AT240">
            <v>0</v>
          </cell>
          <cell r="AV240">
            <v>453.16429572632046</v>
          </cell>
          <cell r="AW240">
            <v>0</v>
          </cell>
          <cell r="AY240">
            <v>730.31644067323475</v>
          </cell>
          <cell r="AZ240">
            <v>0</v>
          </cell>
          <cell r="BB240">
            <v>413.83434175910082</v>
          </cell>
          <cell r="BC240">
            <v>0</v>
          </cell>
          <cell r="BE240">
            <v>0</v>
          </cell>
          <cell r="BF240">
            <v>0</v>
          </cell>
          <cell r="BH240">
            <v>0</v>
          </cell>
          <cell r="BI240">
            <v>0</v>
          </cell>
          <cell r="BK240">
            <v>332.67629256086099</v>
          </cell>
          <cell r="BL240">
            <v>0</v>
          </cell>
          <cell r="BN240">
            <v>0</v>
          </cell>
          <cell r="BO240">
            <v>0</v>
          </cell>
          <cell r="BT240">
            <v>7998.952622454618</v>
          </cell>
          <cell r="BU240">
            <v>7838.4509914736509</v>
          </cell>
          <cell r="BW240">
            <v>4218.4013623814062</v>
          </cell>
          <cell r="BX240">
            <v>5023.7489980416758</v>
          </cell>
          <cell r="BZ240">
            <v>1181.1152975767798</v>
          </cell>
          <cell r="CA240">
            <v>7512.9221381050993</v>
          </cell>
          <cell r="CC240">
            <v>98.044179499577865</v>
          </cell>
          <cell r="CD240">
            <v>99.12543603598877</v>
          </cell>
          <cell r="CF240">
            <v>12.069832703546517</v>
          </cell>
          <cell r="CG240">
            <v>0</v>
          </cell>
          <cell r="CI240">
            <v>773.65770732394151</v>
          </cell>
          <cell r="CJ240">
            <v>909.14877383238354</v>
          </cell>
          <cell r="CL240">
            <v>0</v>
          </cell>
          <cell r="CM240">
            <v>0</v>
          </cell>
          <cell r="CX240">
            <v>1537.1605630089689</v>
          </cell>
          <cell r="CY240">
            <v>8184.3715425304727</v>
          </cell>
        </row>
        <row r="241">
          <cell r="I241">
            <v>2778.1929466304364</v>
          </cell>
          <cell r="J241">
            <v>3468.0276949694062</v>
          </cell>
          <cell r="L241">
            <v>566.74004116832782</v>
          </cell>
          <cell r="M241">
            <v>723.87333403612922</v>
          </cell>
          <cell r="O241">
            <v>1142.5999999999999</v>
          </cell>
          <cell r="P241">
            <v>1142.78</v>
          </cell>
          <cell r="R241">
            <v>0</v>
          </cell>
          <cell r="S241">
            <v>0</v>
          </cell>
          <cell r="U241">
            <v>215.74518364026076</v>
          </cell>
          <cell r="V241">
            <v>176.67061747960003</v>
          </cell>
          <cell r="X241">
            <v>2123.4561880117967</v>
          </cell>
          <cell r="Y241">
            <v>2604.5230798390285</v>
          </cell>
          <cell r="AA241">
            <v>0</v>
          </cell>
          <cell r="AB241">
            <v>0</v>
          </cell>
          <cell r="AD241">
            <v>3262.3169321168975</v>
          </cell>
          <cell r="AE241">
            <v>3585.1728585678175</v>
          </cell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P241">
            <v>2367.5441072341246</v>
          </cell>
          <cell r="AQ241">
            <v>0</v>
          </cell>
          <cell r="AS241">
            <v>11450.190492822518</v>
          </cell>
          <cell r="AT241">
            <v>1484.4051793062265</v>
          </cell>
          <cell r="AV241">
            <v>453.28676417768395</v>
          </cell>
          <cell r="AW241">
            <v>0</v>
          </cell>
          <cell r="AY241">
            <v>730.47179917909421</v>
          </cell>
          <cell r="AZ241">
            <v>0</v>
          </cell>
          <cell r="BB241">
            <v>411.00574223534153</v>
          </cell>
          <cell r="BC241">
            <v>0</v>
          </cell>
          <cell r="BE241">
            <v>0</v>
          </cell>
          <cell r="BF241">
            <v>0</v>
          </cell>
          <cell r="BH241">
            <v>218.86472282667671</v>
          </cell>
          <cell r="BI241">
            <v>0</v>
          </cell>
          <cell r="BK241">
            <v>332.88205778624234</v>
          </cell>
          <cell r="BL241">
            <v>0</v>
          </cell>
          <cell r="BN241">
            <v>0</v>
          </cell>
          <cell r="BO241">
            <v>0</v>
          </cell>
          <cell r="BT241">
            <v>7863.8055369347612</v>
          </cell>
          <cell r="BU241">
            <v>7488.8807021181383</v>
          </cell>
          <cell r="BW241">
            <v>4213.3130259614436</v>
          </cell>
          <cell r="BX241">
            <v>5018.9894776856454</v>
          </cell>
          <cell r="BZ241">
            <v>1266.3865977475903</v>
          </cell>
          <cell r="CA241">
            <v>7118.1470222129892</v>
          </cell>
          <cell r="CC241">
            <v>98.044179499577865</v>
          </cell>
          <cell r="CD241">
            <v>99.12543603598877</v>
          </cell>
          <cell r="CF241">
            <v>12.069832703546517</v>
          </cell>
          <cell r="CG241">
            <v>0</v>
          </cell>
          <cell r="CI241">
            <v>942.11543391867076</v>
          </cell>
          <cell r="CJ241">
            <v>723.49490701429465</v>
          </cell>
          <cell r="CL241">
            <v>0</v>
          </cell>
          <cell r="CM241">
            <v>0</v>
          </cell>
          <cell r="CX241">
            <v>1947.6820984860169</v>
          </cell>
          <cell r="CY241">
            <v>10125.611628881685</v>
          </cell>
        </row>
        <row r="242">
          <cell r="I242">
            <v>1912.6586571860612</v>
          </cell>
          <cell r="J242">
            <v>2388.8594631176293</v>
          </cell>
          <cell r="L242">
            <v>380.52254474762248</v>
          </cell>
          <cell r="M242">
            <v>486.02563917705993</v>
          </cell>
          <cell r="O242">
            <v>794.46</v>
          </cell>
          <cell r="P242">
            <v>794.22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X242">
            <v>1238.730472921307</v>
          </cell>
          <cell r="Y242">
            <v>1496.6035089607076</v>
          </cell>
          <cell r="AA242">
            <v>0</v>
          </cell>
          <cell r="AB242">
            <v>0</v>
          </cell>
          <cell r="AD242">
            <v>2286.8073469740652</v>
          </cell>
          <cell r="AE242">
            <v>2513.1217486661772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P242">
            <v>1657.2808750638872</v>
          </cell>
          <cell r="AQ242">
            <v>0</v>
          </cell>
          <cell r="AS242">
            <v>6845.1072319288323</v>
          </cell>
          <cell r="AT242">
            <v>832.576717611302</v>
          </cell>
          <cell r="AV242">
            <v>312.08107424119544</v>
          </cell>
          <cell r="AW242">
            <v>0</v>
          </cell>
          <cell r="AY242">
            <v>490.42556714245251</v>
          </cell>
          <cell r="AZ242">
            <v>0</v>
          </cell>
          <cell r="BB242">
            <v>295.04809673845114</v>
          </cell>
          <cell r="BC242">
            <v>0</v>
          </cell>
          <cell r="BE242">
            <v>0</v>
          </cell>
          <cell r="BF242">
            <v>0</v>
          </cell>
          <cell r="BH242">
            <v>0</v>
          </cell>
          <cell r="BI242">
            <v>0</v>
          </cell>
          <cell r="BK242">
            <v>187.56725379517582</v>
          </cell>
          <cell r="BL242">
            <v>0</v>
          </cell>
          <cell r="BN242">
            <v>0</v>
          </cell>
          <cell r="BO242">
            <v>0</v>
          </cell>
          <cell r="BT242">
            <v>7619.4211272690991</v>
          </cell>
          <cell r="BU242">
            <v>7218.7979604480406</v>
          </cell>
          <cell r="BW242">
            <v>3081.5043764892421</v>
          </cell>
          <cell r="BX242">
            <v>3673.0938648414012</v>
          </cell>
          <cell r="BZ242">
            <v>1007.3227854018201</v>
          </cell>
          <cell r="CA242">
            <v>6807.3681245641073</v>
          </cell>
          <cell r="CC242">
            <v>49.022089749788933</v>
          </cell>
          <cell r="CD242">
            <v>49.562718017994385</v>
          </cell>
          <cell r="CF242">
            <v>6.0349163517732585</v>
          </cell>
          <cell r="CG242">
            <v>0</v>
          </cell>
          <cell r="CI242">
            <v>655.11338120172479</v>
          </cell>
          <cell r="CJ242">
            <v>552.50856218756496</v>
          </cell>
          <cell r="CL242">
            <v>0</v>
          </cell>
          <cell r="CM242">
            <v>0</v>
          </cell>
          <cell r="CX242">
            <v>1724.7306433570047</v>
          </cell>
          <cell r="CY242">
            <v>4132.3740308896249</v>
          </cell>
        </row>
        <row r="243">
          <cell r="I243">
            <v>3637.3261310959024</v>
          </cell>
          <cell r="J243">
            <v>4546.7235360694995</v>
          </cell>
          <cell r="L243">
            <v>756.35994966120768</v>
          </cell>
          <cell r="M243">
            <v>966.0672923870618</v>
          </cell>
          <cell r="O243">
            <v>1458.14</v>
          </cell>
          <cell r="P243">
            <v>1457.94</v>
          </cell>
          <cell r="R243">
            <v>0</v>
          </cell>
          <cell r="S243">
            <v>0</v>
          </cell>
          <cell r="U243">
            <v>333.92254251606141</v>
          </cell>
          <cell r="V243">
            <v>273.44380534491114</v>
          </cell>
          <cell r="X243">
            <v>3364.7305826295478</v>
          </cell>
          <cell r="Y243">
            <v>4133.4158404128339</v>
          </cell>
          <cell r="AA243">
            <v>0</v>
          </cell>
          <cell r="AB243">
            <v>0</v>
          </cell>
          <cell r="AD243">
            <v>4458.694595107384</v>
          </cell>
          <cell r="AE243">
            <v>4897.6791265729298</v>
          </cell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P243">
            <v>2533.272194740513</v>
          </cell>
          <cell r="AQ243">
            <v>0</v>
          </cell>
          <cell r="AS243">
            <v>15370.074459256723</v>
          </cell>
          <cell r="AT243">
            <v>3386.6212508136396</v>
          </cell>
          <cell r="AV243">
            <v>597.70861840761279</v>
          </cell>
          <cell r="AW243">
            <v>0</v>
          </cell>
          <cell r="AY243">
            <v>974.84939071975509</v>
          </cell>
          <cell r="AZ243">
            <v>0</v>
          </cell>
          <cell r="BB243">
            <v>567.61626868907615</v>
          </cell>
          <cell r="BC243">
            <v>0</v>
          </cell>
          <cell r="BE243">
            <v>0</v>
          </cell>
          <cell r="BF243">
            <v>0</v>
          </cell>
          <cell r="BH243">
            <v>338.81178137477229</v>
          </cell>
          <cell r="BI243">
            <v>0</v>
          </cell>
          <cell r="BK243">
            <v>521.68679861452631</v>
          </cell>
          <cell r="BL243">
            <v>0</v>
          </cell>
          <cell r="BN243">
            <v>0</v>
          </cell>
          <cell r="BO243">
            <v>0</v>
          </cell>
          <cell r="BT243">
            <v>10004.685608990432</v>
          </cell>
          <cell r="BU243">
            <v>8818.6138902549628</v>
          </cell>
          <cell r="BW243">
            <v>5416.3801571906324</v>
          </cell>
          <cell r="BX243">
            <v>5143.4595095136265</v>
          </cell>
          <cell r="BZ243">
            <v>1897.8656800311755</v>
          </cell>
          <cell r="CA243">
            <v>6680.4116296329303</v>
          </cell>
          <cell r="CC243">
            <v>147.0662692493668</v>
          </cell>
          <cell r="CD243">
            <v>148.68815405398314</v>
          </cell>
          <cell r="CF243">
            <v>18.104749055319775</v>
          </cell>
          <cell r="CG243">
            <v>0</v>
          </cell>
          <cell r="CI243">
            <v>480.41647954793149</v>
          </cell>
          <cell r="CJ243">
            <v>389.01198075239517</v>
          </cell>
          <cell r="CL243">
            <v>0</v>
          </cell>
          <cell r="CM243">
            <v>0</v>
          </cell>
          <cell r="CX243">
            <v>2384.2452917464834</v>
          </cell>
          <cell r="CY243">
            <v>16827.008781029475</v>
          </cell>
        </row>
        <row r="244">
          <cell r="I244">
            <v>1759.3844797938718</v>
          </cell>
          <cell r="J244">
            <v>2192.1358244411567</v>
          </cell>
          <cell r="L244">
            <v>371.69495445223407</v>
          </cell>
          <cell r="M244">
            <v>474.75054982860297</v>
          </cell>
          <cell r="O244">
            <v>681.36</v>
          </cell>
          <cell r="P244">
            <v>681.4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X244">
            <v>1174.0143956197849</v>
          </cell>
          <cell r="Y244">
            <v>1395.4889154175494</v>
          </cell>
          <cell r="AA244">
            <v>0</v>
          </cell>
          <cell r="AB244">
            <v>0</v>
          </cell>
          <cell r="AD244">
            <v>1972.4410862670168</v>
          </cell>
          <cell r="AE244">
            <v>2167.6441605015516</v>
          </cell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P244">
            <v>710.2632321702373</v>
          </cell>
          <cell r="AQ244">
            <v>0</v>
          </cell>
          <cell r="AS244">
            <v>7884.4708332189193</v>
          </cell>
          <cell r="AT244">
            <v>0</v>
          </cell>
          <cell r="AV244">
            <v>293.62362475258334</v>
          </cell>
          <cell r="AW244">
            <v>1260.0019601349411</v>
          </cell>
          <cell r="AY244">
            <v>479.05349530254739</v>
          </cell>
          <cell r="AZ244">
            <v>0</v>
          </cell>
          <cell r="BB244">
            <v>251.78681354995123</v>
          </cell>
          <cell r="BC244">
            <v>0</v>
          </cell>
          <cell r="BE244">
            <v>0</v>
          </cell>
          <cell r="BF244">
            <v>0</v>
          </cell>
          <cell r="BH244">
            <v>0</v>
          </cell>
          <cell r="BI244">
            <v>0</v>
          </cell>
          <cell r="BK244">
            <v>176.11396072083613</v>
          </cell>
          <cell r="BL244">
            <v>0</v>
          </cell>
          <cell r="BN244">
            <v>0</v>
          </cell>
          <cell r="BO244">
            <v>0</v>
          </cell>
          <cell r="BT244">
            <v>5925.4262718617965</v>
          </cell>
          <cell r="BU244">
            <v>5047.3709006845629</v>
          </cell>
          <cell r="BW244">
            <v>3079.6104734382711</v>
          </cell>
          <cell r="BX244">
            <v>2898.8503340680618</v>
          </cell>
          <cell r="BZ244">
            <v>820.41161166212044</v>
          </cell>
          <cell r="CA244">
            <v>3730.42839456826</v>
          </cell>
          <cell r="CC244">
            <v>98.044179499577865</v>
          </cell>
          <cell r="CD244">
            <v>99.12543603598877</v>
          </cell>
          <cell r="CF244">
            <v>12.069832703546517</v>
          </cell>
          <cell r="CG244">
            <v>0</v>
          </cell>
          <cell r="CI244">
            <v>1634.6638654747796</v>
          </cell>
          <cell r="CJ244">
            <v>2849.0209183664151</v>
          </cell>
          <cell r="CL244">
            <v>0</v>
          </cell>
          <cell r="CM244">
            <v>0</v>
          </cell>
          <cell r="CX244">
            <v>655.64026741431007</v>
          </cell>
          <cell r="CY244">
            <v>6089.4991271434901</v>
          </cell>
        </row>
        <row r="245">
          <cell r="I245">
            <v>2782.8965038330093</v>
          </cell>
          <cell r="J245">
            <v>3473.6228547542278</v>
          </cell>
          <cell r="L245">
            <v>567.3814458945842</v>
          </cell>
          <cell r="M245">
            <v>724.69219527372661</v>
          </cell>
          <cell r="O245">
            <v>1154.22</v>
          </cell>
          <cell r="P245">
            <v>1154.24</v>
          </cell>
          <cell r="R245">
            <v>0</v>
          </cell>
          <cell r="S245">
            <v>0</v>
          </cell>
          <cell r="U245">
            <v>220.18230973062418</v>
          </cell>
          <cell r="V245">
            <v>180.30415394513108</v>
          </cell>
          <cell r="X245">
            <v>2121.4138921648696</v>
          </cell>
          <cell r="Y245">
            <v>2614.1856050619317</v>
          </cell>
          <cell r="AA245">
            <v>0</v>
          </cell>
          <cell r="AB245">
            <v>0</v>
          </cell>
          <cell r="AD245">
            <v>3264.0985285890656</v>
          </cell>
          <cell r="AE245">
            <v>3587.130771134207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P245">
            <v>2367.5441072341246</v>
          </cell>
          <cell r="AQ245">
            <v>6619.900775277416</v>
          </cell>
          <cell r="AS245">
            <v>11294.600946759965</v>
          </cell>
          <cell r="AT245">
            <v>357.77390088341679</v>
          </cell>
          <cell r="AV245">
            <v>454.33816644439599</v>
          </cell>
          <cell r="AW245">
            <v>0</v>
          </cell>
          <cell r="AY245">
            <v>731.30703205498548</v>
          </cell>
          <cell r="AZ245">
            <v>0</v>
          </cell>
          <cell r="BB245">
            <v>419.31302136116989</v>
          </cell>
          <cell r="BC245">
            <v>0</v>
          </cell>
          <cell r="BE245">
            <v>0</v>
          </cell>
          <cell r="BF245">
            <v>0</v>
          </cell>
          <cell r="BH245">
            <v>223.34337737643764</v>
          </cell>
          <cell r="BI245">
            <v>0</v>
          </cell>
          <cell r="BK245">
            <v>334.27802161567132</v>
          </cell>
          <cell r="BL245">
            <v>0</v>
          </cell>
          <cell r="BN245">
            <v>0</v>
          </cell>
          <cell r="BO245">
            <v>0</v>
          </cell>
          <cell r="BT245">
            <v>7816.8702094166374</v>
          </cell>
          <cell r="BU245">
            <v>7462.4551122297789</v>
          </cell>
          <cell r="BW245">
            <v>3921.7505948211219</v>
          </cell>
          <cell r="BX245">
            <v>3715.1149888062391</v>
          </cell>
          <cell r="BZ245">
            <v>1395.5518577561559</v>
          </cell>
          <cell r="CA245">
            <v>5799.5873902059902</v>
          </cell>
          <cell r="CC245">
            <v>98.044179499577865</v>
          </cell>
          <cell r="CD245">
            <v>99.12543603598877</v>
          </cell>
          <cell r="CF245">
            <v>12.069832703546517</v>
          </cell>
          <cell r="CG245">
            <v>0</v>
          </cell>
          <cell r="CI245">
            <v>895.32162097569039</v>
          </cell>
          <cell r="CJ245">
            <v>728.16936803643944</v>
          </cell>
          <cell r="CL245">
            <v>0</v>
          </cell>
          <cell r="CM245">
            <v>0</v>
          </cell>
          <cell r="CX245">
            <v>1729.2292221220487</v>
          </cell>
          <cell r="CY245">
            <v>5999.0969380266215</v>
          </cell>
        </row>
        <row r="246">
          <cell r="I246">
            <v>3641.0657773573757</v>
          </cell>
          <cell r="J246">
            <v>4551.3059959915809</v>
          </cell>
          <cell r="L246">
            <v>756.90247565259403</v>
          </cell>
          <cell r="M246">
            <v>966.76017497272119</v>
          </cell>
          <cell r="O246">
            <v>1505.08</v>
          </cell>
          <cell r="P246">
            <v>1505.14</v>
          </cell>
          <cell r="R246">
            <v>0</v>
          </cell>
          <cell r="S246">
            <v>0</v>
          </cell>
          <cell r="U246">
            <v>333.92254251606141</v>
          </cell>
          <cell r="V246">
            <v>273.44380534491114</v>
          </cell>
          <cell r="X246">
            <v>3444.7655272752972</v>
          </cell>
          <cell r="Y246">
            <v>4208.3850670597012</v>
          </cell>
          <cell r="AA246">
            <v>0</v>
          </cell>
          <cell r="AB246">
            <v>0</v>
          </cell>
          <cell r="AD246">
            <v>4426.2695393139193</v>
          </cell>
          <cell r="AE246">
            <v>4864.316296441646</v>
          </cell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P246">
            <v>3006.7810161873381</v>
          </cell>
          <cell r="AQ246">
            <v>0</v>
          </cell>
          <cell r="AS246">
            <v>12958.266236529415</v>
          </cell>
          <cell r="AT246">
            <v>8831.3547884335112</v>
          </cell>
          <cell r="AV246">
            <v>598.56467936387094</v>
          </cell>
          <cell r="AW246">
            <v>0</v>
          </cell>
          <cell r="AY246">
            <v>975.5292650897868</v>
          </cell>
          <cell r="AZ246">
            <v>0</v>
          </cell>
          <cell r="BB246">
            <v>568.60575830468986</v>
          </cell>
          <cell r="BC246">
            <v>0</v>
          </cell>
          <cell r="BE246">
            <v>0</v>
          </cell>
          <cell r="BF246">
            <v>0</v>
          </cell>
          <cell r="BH246">
            <v>338.81178137477229</v>
          </cell>
          <cell r="BI246">
            <v>0</v>
          </cell>
          <cell r="BK246">
            <v>542.99350131699373</v>
          </cell>
          <cell r="BL246">
            <v>3661.1014713253667</v>
          </cell>
          <cell r="BN246">
            <v>0</v>
          </cell>
          <cell r="BO246">
            <v>0</v>
          </cell>
          <cell r="BT246">
            <v>12384.606998632191</v>
          </cell>
          <cell r="BU246">
            <v>10247.164880577577</v>
          </cell>
          <cell r="BW246">
            <v>5839.6307177346489</v>
          </cell>
          <cell r="BX246">
            <v>6619.4463056112527</v>
          </cell>
          <cell r="BZ246">
            <v>2069.8153579143809</v>
          </cell>
          <cell r="CA246">
            <v>9840.102056756572</v>
          </cell>
          <cell r="CC246">
            <v>592.28488835694986</v>
          </cell>
          <cell r="CD246">
            <v>598.81675909340811</v>
          </cell>
          <cell r="CF246">
            <v>72.913859362124512</v>
          </cell>
          <cell r="CG246">
            <v>0</v>
          </cell>
          <cell r="CI246">
            <v>3091.5112417662344</v>
          </cell>
          <cell r="CJ246">
            <v>4943.4433091194051</v>
          </cell>
          <cell r="CL246">
            <v>0</v>
          </cell>
          <cell r="CM246">
            <v>0</v>
          </cell>
          <cell r="CX246">
            <v>2737.5946031416388</v>
          </cell>
          <cell r="CY246">
            <v>-2017.3570928731788</v>
          </cell>
        </row>
        <row r="247">
          <cell r="I247">
            <v>2084.2643251384357</v>
          </cell>
          <cell r="J247">
            <v>2593.9450755502703</v>
          </cell>
          <cell r="L247">
            <v>380.42374770340246</v>
          </cell>
          <cell r="M247">
            <v>485.89966052512187</v>
          </cell>
          <cell r="O247">
            <v>774.64</v>
          </cell>
          <cell r="P247">
            <v>774.72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X247">
            <v>1223.372364506854</v>
          </cell>
          <cell r="Y247">
            <v>1482.7994528509175</v>
          </cell>
          <cell r="AA247">
            <v>0</v>
          </cell>
          <cell r="AB247">
            <v>0</v>
          </cell>
          <cell r="AD247">
            <v>2260.0762735056514</v>
          </cell>
          <cell r="AE247">
            <v>2488.7574846900216</v>
          </cell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P247">
            <v>1420.5264643404746</v>
          </cell>
          <cell r="AQ247">
            <v>3957.5493765245424</v>
          </cell>
          <cell r="AS247">
            <v>7842.3553060547802</v>
          </cell>
          <cell r="AT247">
            <v>0</v>
          </cell>
          <cell r="AV247">
            <v>366.08836141794058</v>
          </cell>
          <cell r="AW247">
            <v>0</v>
          </cell>
          <cell r="AY247">
            <v>490.31866771622811</v>
          </cell>
          <cell r="AZ247">
            <v>0</v>
          </cell>
          <cell r="BB247">
            <v>307.91442535873171</v>
          </cell>
          <cell r="BC247">
            <v>0</v>
          </cell>
          <cell r="BE247">
            <v>0</v>
          </cell>
          <cell r="BF247">
            <v>0</v>
          </cell>
          <cell r="BH247">
            <v>0</v>
          </cell>
          <cell r="BI247">
            <v>0</v>
          </cell>
          <cell r="BK247">
            <v>200.55401869626783</v>
          </cell>
          <cell r="BL247">
            <v>0</v>
          </cell>
          <cell r="BN247">
            <v>0</v>
          </cell>
          <cell r="BO247">
            <v>0</v>
          </cell>
          <cell r="BT247">
            <v>2681.8480731967179</v>
          </cell>
          <cell r="BU247">
            <v>3046.5139736903707</v>
          </cell>
          <cell r="BW247">
            <v>3532.2579182251634</v>
          </cell>
          <cell r="BX247">
            <v>4002.4570530292672</v>
          </cell>
          <cell r="BZ247">
            <v>1019.1533836563633</v>
          </cell>
          <cell r="CA247">
            <v>3112.1232356205442</v>
          </cell>
          <cell r="CC247">
            <v>323.20263772035838</v>
          </cell>
          <cell r="CD247">
            <v>326.76699989263693</v>
          </cell>
          <cell r="CF247">
            <v>39.788203507241093</v>
          </cell>
          <cell r="CG247">
            <v>0</v>
          </cell>
          <cell r="CI247">
            <v>948.35460897773487</v>
          </cell>
          <cell r="CJ247">
            <v>1233.537992418049</v>
          </cell>
          <cell r="CL247">
            <v>0</v>
          </cell>
          <cell r="CM247">
            <v>0</v>
          </cell>
          <cell r="CX247">
            <v>1611.8334643331837</v>
          </cell>
          <cell r="CY247">
            <v>4479.9156342499118</v>
          </cell>
        </row>
        <row r="248">
          <cell r="I248">
            <v>2046.4175987851995</v>
          </cell>
          <cell r="J248">
            <v>2547.0988392719805</v>
          </cell>
          <cell r="L248">
            <v>380.42374770340246</v>
          </cell>
          <cell r="M248">
            <v>485.89966052512187</v>
          </cell>
          <cell r="O248">
            <v>772.38</v>
          </cell>
          <cell r="P248">
            <v>772.34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X248">
            <v>1223.8130747547289</v>
          </cell>
          <cell r="Y248">
            <v>1482.7514714044109</v>
          </cell>
          <cell r="AA248">
            <v>0</v>
          </cell>
          <cell r="AB248">
            <v>0</v>
          </cell>
          <cell r="AD248">
            <v>2255.7149253417829</v>
          </cell>
          <cell r="AE248">
            <v>2480.7535381186199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P248">
            <v>1349.5001411234509</v>
          </cell>
          <cell r="AQ248">
            <v>3669.7276036863936</v>
          </cell>
          <cell r="AS248">
            <v>7164.5218917400261</v>
          </cell>
          <cell r="AT248">
            <v>1883.5573774764557</v>
          </cell>
          <cell r="AV248">
            <v>363.89792516554621</v>
          </cell>
          <cell r="AW248">
            <v>0</v>
          </cell>
          <cell r="AY248">
            <v>490.31866771622811</v>
          </cell>
          <cell r="AZ248">
            <v>0</v>
          </cell>
          <cell r="BB248">
            <v>310.38881940211519</v>
          </cell>
          <cell r="BC248">
            <v>5126.5482284402133</v>
          </cell>
          <cell r="BE248">
            <v>0</v>
          </cell>
          <cell r="BF248">
            <v>0</v>
          </cell>
          <cell r="BH248">
            <v>0</v>
          </cell>
          <cell r="BI248">
            <v>0</v>
          </cell>
          <cell r="BK248">
            <v>200.62495309533139</v>
          </cell>
          <cell r="BL248">
            <v>0</v>
          </cell>
          <cell r="BN248">
            <v>0</v>
          </cell>
          <cell r="BO248">
            <v>0</v>
          </cell>
          <cell r="BT248">
            <v>4957.321149718061</v>
          </cell>
          <cell r="BU248">
            <v>4218.2693713554254</v>
          </cell>
          <cell r="BW248">
            <v>3488.9701552107817</v>
          </cell>
          <cell r="BX248">
            <v>3952.3154494337932</v>
          </cell>
          <cell r="BZ248">
            <v>1019.1533836563633</v>
          </cell>
          <cell r="CA248">
            <v>4224.5489790454949</v>
          </cell>
          <cell r="CC248">
            <v>313.74137439864916</v>
          </cell>
          <cell r="CD248">
            <v>317.20139531516406</v>
          </cell>
          <cell r="CF248">
            <v>38.623464651348854</v>
          </cell>
          <cell r="CG248">
            <v>0</v>
          </cell>
          <cell r="CI248">
            <v>1094.9752228657399</v>
          </cell>
          <cell r="CJ248">
            <v>1169.58956318835</v>
          </cell>
          <cell r="CL248">
            <v>0</v>
          </cell>
          <cell r="CM248">
            <v>0</v>
          </cell>
          <cell r="CX248">
            <v>1671.4362056054888</v>
          </cell>
          <cell r="CY248">
            <v>-4160.3417727137075</v>
          </cell>
        </row>
        <row r="249">
          <cell r="I249">
            <v>2655.818929614788</v>
          </cell>
          <cell r="J249">
            <v>3317.5337104968867</v>
          </cell>
          <cell r="L249">
            <v>562.59750901632674</v>
          </cell>
          <cell r="M249">
            <v>718.58223065473044</v>
          </cell>
          <cell r="O249">
            <v>1101.06</v>
          </cell>
          <cell r="P249">
            <v>1100.8</v>
          </cell>
          <cell r="R249">
            <v>0</v>
          </cell>
          <cell r="S249">
            <v>0</v>
          </cell>
          <cell r="U249">
            <v>215.74518364026076</v>
          </cell>
          <cell r="V249">
            <v>176.67061747960003</v>
          </cell>
          <cell r="X249">
            <v>2267.2493512317697</v>
          </cell>
          <cell r="Y249">
            <v>2751.6556612151703</v>
          </cell>
          <cell r="AA249">
            <v>0</v>
          </cell>
          <cell r="AB249">
            <v>0</v>
          </cell>
          <cell r="AD249">
            <v>3175.9451351461762</v>
          </cell>
          <cell r="AE249">
            <v>3490.2532573492363</v>
          </cell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P249">
            <v>1278.4738179064273</v>
          </cell>
          <cell r="AQ249">
            <v>6166.2946129321526</v>
          </cell>
          <cell r="AS249">
            <v>10249.621393124984</v>
          </cell>
          <cell r="AT249">
            <v>481.83090077367149</v>
          </cell>
          <cell r="AV249">
            <v>441.65315238689044</v>
          </cell>
          <cell r="AW249">
            <v>0</v>
          </cell>
          <cell r="AY249">
            <v>725.10147090433986</v>
          </cell>
          <cell r="AZ249">
            <v>0</v>
          </cell>
          <cell r="BB249">
            <v>412.62285498128728</v>
          </cell>
          <cell r="BC249">
            <v>0</v>
          </cell>
          <cell r="BE249">
            <v>0</v>
          </cell>
          <cell r="BF249">
            <v>0</v>
          </cell>
          <cell r="BH249">
            <v>218.86472282667671</v>
          </cell>
          <cell r="BI249">
            <v>0</v>
          </cell>
          <cell r="BK249">
            <v>324.71868414836467</v>
          </cell>
          <cell r="BL249">
            <v>0</v>
          </cell>
          <cell r="BN249">
            <v>0</v>
          </cell>
          <cell r="BO249">
            <v>0</v>
          </cell>
          <cell r="BT249">
            <v>8113.0470201650342</v>
          </cell>
          <cell r="BU249">
            <v>7024.2984282950292</v>
          </cell>
          <cell r="BW249">
            <v>4332.3585445506205</v>
          </cell>
          <cell r="BX249">
            <v>5180.603681367611</v>
          </cell>
          <cell r="BZ249">
            <v>1277.5434107891886</v>
          </cell>
          <cell r="CA249">
            <v>6651.9751569962555</v>
          </cell>
          <cell r="CC249">
            <v>412.76599569322281</v>
          </cell>
          <cell r="CD249">
            <v>417.31808571151271</v>
          </cell>
          <cell r="CF249">
            <v>50.813995681930848</v>
          </cell>
          <cell r="CG249">
            <v>0</v>
          </cell>
          <cell r="CI249">
            <v>1566.0329398250753</v>
          </cell>
          <cell r="CJ249">
            <v>1875.4708051227449</v>
          </cell>
          <cell r="CL249">
            <v>0</v>
          </cell>
          <cell r="CM249">
            <v>0</v>
          </cell>
          <cell r="CX249">
            <v>2375.3590660399714</v>
          </cell>
          <cell r="CY249">
            <v>2409.8554219264843</v>
          </cell>
        </row>
        <row r="250">
          <cell r="I250">
            <v>1795.381679978763</v>
          </cell>
          <cell r="J250">
            <v>2261.862012602292</v>
          </cell>
          <cell r="L250">
            <v>364.93850769687128</v>
          </cell>
          <cell r="M250">
            <v>466.12101217084546</v>
          </cell>
          <cell r="O250">
            <v>874.22</v>
          </cell>
          <cell r="P250">
            <v>874.1</v>
          </cell>
          <cell r="R250">
            <v>220.74</v>
          </cell>
          <cell r="S250">
            <v>220.82</v>
          </cell>
          <cell r="U250">
            <v>0</v>
          </cell>
          <cell r="V250">
            <v>0</v>
          </cell>
          <cell r="X250">
            <v>757.24664802622283</v>
          </cell>
          <cell r="Y250">
            <v>859.11687815698428</v>
          </cell>
          <cell r="AA250">
            <v>0</v>
          </cell>
          <cell r="AB250">
            <v>0</v>
          </cell>
          <cell r="AD250">
            <v>2615.4548850020151</v>
          </cell>
          <cell r="AE250">
            <v>2874.2939639629831</v>
          </cell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P250">
            <v>457.72519406526402</v>
          </cell>
          <cell r="AQ250">
            <v>0</v>
          </cell>
          <cell r="AS250">
            <v>5110.3195709486081</v>
          </cell>
          <cell r="AT250">
            <v>0</v>
          </cell>
          <cell r="AV250">
            <v>304.74829424469891</v>
          </cell>
          <cell r="AW250">
            <v>0</v>
          </cell>
          <cell r="AY250">
            <v>470.34239890552664</v>
          </cell>
          <cell r="AZ250">
            <v>0</v>
          </cell>
          <cell r="BB250">
            <v>376.50712476896177</v>
          </cell>
          <cell r="BC250">
            <v>0</v>
          </cell>
          <cell r="BE250">
            <v>225.85537583994028</v>
          </cell>
          <cell r="BF250">
            <v>0</v>
          </cell>
          <cell r="BH250">
            <v>0</v>
          </cell>
          <cell r="BI250">
            <v>0</v>
          </cell>
          <cell r="BK250">
            <v>188.63842984583084</v>
          </cell>
          <cell r="BL250">
            <v>0</v>
          </cell>
          <cell r="BN250">
            <v>0</v>
          </cell>
          <cell r="BO250">
            <v>0</v>
          </cell>
          <cell r="BT250">
            <v>6868.388963306701</v>
          </cell>
          <cell r="BU250">
            <v>5637.5519611021518</v>
          </cell>
          <cell r="BW250">
            <v>3364.5467045565879</v>
          </cell>
          <cell r="BX250">
            <v>3808.6851278580439</v>
          </cell>
          <cell r="BZ250">
            <v>960.1194066150332</v>
          </cell>
          <cell r="CA250">
            <v>5486.8360633980292</v>
          </cell>
          <cell r="CC250">
            <v>408.64814015424054</v>
          </cell>
          <cell r="CD250">
            <v>413.15481739800123</v>
          </cell>
          <cell r="CF250">
            <v>50.307062708381885</v>
          </cell>
          <cell r="CG250">
            <v>0</v>
          </cell>
          <cell r="CI250">
            <v>2386.4844600919973</v>
          </cell>
          <cell r="CJ250">
            <v>3048.791555714387</v>
          </cell>
          <cell r="CL250">
            <v>0</v>
          </cell>
          <cell r="CM250">
            <v>0</v>
          </cell>
          <cell r="CX250">
            <v>1667.8245838932271</v>
          </cell>
          <cell r="CY250">
            <v>3886.9599291635423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D251">
            <v>0</v>
          </cell>
          <cell r="AE251">
            <v>0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P251">
            <v>94.701764289364974</v>
          </cell>
          <cell r="AQ251">
            <v>0</v>
          </cell>
          <cell r="AS251">
            <v>650.57765300888207</v>
          </cell>
          <cell r="AT251">
            <v>0</v>
          </cell>
          <cell r="AV251">
            <v>0</v>
          </cell>
          <cell r="AW251">
            <v>0</v>
          </cell>
          <cell r="AY251">
            <v>0</v>
          </cell>
          <cell r="AZ251">
            <v>0</v>
          </cell>
          <cell r="BB251">
            <v>0</v>
          </cell>
          <cell r="BC251">
            <v>0</v>
          </cell>
          <cell r="BE251">
            <v>0</v>
          </cell>
          <cell r="BF251">
            <v>0</v>
          </cell>
          <cell r="BH251">
            <v>0</v>
          </cell>
          <cell r="BI251">
            <v>0</v>
          </cell>
          <cell r="BK251">
            <v>0</v>
          </cell>
          <cell r="BL251">
            <v>0</v>
          </cell>
          <cell r="BN251">
            <v>0</v>
          </cell>
          <cell r="BO251">
            <v>0</v>
          </cell>
          <cell r="BT251">
            <v>127.61072402238671</v>
          </cell>
          <cell r="BU251">
            <v>208.87120665896495</v>
          </cell>
          <cell r="BW251">
            <v>0</v>
          </cell>
          <cell r="BX251">
            <v>1.122586585777722</v>
          </cell>
          <cell r="BZ251">
            <v>0</v>
          </cell>
          <cell r="CA251">
            <v>196.52638144123455</v>
          </cell>
          <cell r="CC251">
            <v>0</v>
          </cell>
          <cell r="CD251">
            <v>0</v>
          </cell>
          <cell r="CF251">
            <v>0</v>
          </cell>
          <cell r="CG251">
            <v>0</v>
          </cell>
          <cell r="CI251">
            <v>0</v>
          </cell>
          <cell r="CJ251">
            <v>0</v>
          </cell>
          <cell r="CL251">
            <v>0</v>
          </cell>
          <cell r="CM251">
            <v>0</v>
          </cell>
          <cell r="CX251">
            <v>47.151830415239374</v>
          </cell>
          <cell r="CY251">
            <v>606.7957903768272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P252">
            <v>55.242695835462904</v>
          </cell>
          <cell r="AQ252">
            <v>0</v>
          </cell>
          <cell r="AS252">
            <v>302.1483716781014</v>
          </cell>
          <cell r="AT252">
            <v>0</v>
          </cell>
          <cell r="AV252">
            <v>0</v>
          </cell>
          <cell r="AW252">
            <v>0</v>
          </cell>
          <cell r="AY252">
            <v>0</v>
          </cell>
          <cell r="AZ252">
            <v>0</v>
          </cell>
          <cell r="BB252">
            <v>0</v>
          </cell>
          <cell r="BC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T252">
            <v>67.394413624322965</v>
          </cell>
          <cell r="BU252">
            <v>135.15409260914714</v>
          </cell>
          <cell r="BW252">
            <v>0</v>
          </cell>
          <cell r="BX252">
            <v>0.59466968884019267</v>
          </cell>
          <cell r="BZ252">
            <v>0</v>
          </cell>
          <cell r="CA252">
            <v>127.16023926426422</v>
          </cell>
          <cell r="CC252">
            <v>0</v>
          </cell>
          <cell r="CD252">
            <v>0</v>
          </cell>
          <cell r="CF252">
            <v>0</v>
          </cell>
          <cell r="CG252">
            <v>0</v>
          </cell>
          <cell r="CI252">
            <v>0</v>
          </cell>
          <cell r="CJ252">
            <v>0</v>
          </cell>
          <cell r="CL252">
            <v>0</v>
          </cell>
          <cell r="CM252">
            <v>0</v>
          </cell>
          <cell r="CX252">
            <v>7.6374226345353122</v>
          </cell>
          <cell r="CY252">
            <v>201.88919812529812</v>
          </cell>
        </row>
        <row r="253">
          <cell r="I253">
            <v>1928.1594161834294</v>
          </cell>
          <cell r="J253">
            <v>1684.1921385171506</v>
          </cell>
          <cell r="L253">
            <v>323.76046470468566</v>
          </cell>
          <cell r="M253">
            <v>333.46585320064759</v>
          </cell>
          <cell r="O253">
            <v>974.86</v>
          </cell>
          <cell r="P253">
            <v>974.86666666666667</v>
          </cell>
          <cell r="R253">
            <v>209.92</v>
          </cell>
          <cell r="S253">
            <v>209.91666666666669</v>
          </cell>
          <cell r="U253">
            <v>130.00964065633656</v>
          </cell>
          <cell r="V253">
            <v>90.831323599653487</v>
          </cell>
          <cell r="X253">
            <v>1385.9851302479817</v>
          </cell>
          <cell r="Y253">
            <v>1038.7569757886206</v>
          </cell>
          <cell r="AA253">
            <v>0</v>
          </cell>
          <cell r="AB253">
            <v>0</v>
          </cell>
          <cell r="AD253">
            <v>2843.9268165928838</v>
          </cell>
          <cell r="AE253">
            <v>3125.3845031270857</v>
          </cell>
          <cell r="AJ253">
            <v>6913.0950965152351</v>
          </cell>
          <cell r="AK253">
            <v>6989.3119663893776</v>
          </cell>
          <cell r="AM253">
            <v>0</v>
          </cell>
          <cell r="AN253">
            <v>0</v>
          </cell>
          <cell r="AP253">
            <v>536.64333097306826</v>
          </cell>
          <cell r="AQ253">
            <v>0</v>
          </cell>
          <cell r="AS253">
            <v>12433.750025904579</v>
          </cell>
          <cell r="AT253">
            <v>863.50286784041509</v>
          </cell>
          <cell r="AV253">
            <v>160.28234453452649</v>
          </cell>
          <cell r="AW253">
            <v>0</v>
          </cell>
          <cell r="AY253">
            <v>216.30381693881802</v>
          </cell>
          <cell r="AZ253">
            <v>0</v>
          </cell>
          <cell r="BB253">
            <v>300.81395588574151</v>
          </cell>
          <cell r="BC253">
            <v>0</v>
          </cell>
          <cell r="BE253">
            <v>109.41598290170468</v>
          </cell>
          <cell r="BF253">
            <v>0</v>
          </cell>
          <cell r="BH253">
            <v>65.961235315382794</v>
          </cell>
          <cell r="BI253">
            <v>0</v>
          </cell>
          <cell r="BK253">
            <v>182.09319879634614</v>
          </cell>
          <cell r="BL253">
            <v>2128.4141765209283</v>
          </cell>
          <cell r="BN253">
            <v>94.161478523291592</v>
          </cell>
          <cell r="BO253">
            <v>0</v>
          </cell>
          <cell r="BT253">
            <v>7355.0518485833745</v>
          </cell>
          <cell r="BU253">
            <v>1706.9632945956751</v>
          </cell>
          <cell r="BW253">
            <v>8062.640992532848</v>
          </cell>
          <cell r="BX253">
            <v>2774.3998374450075</v>
          </cell>
          <cell r="BZ253">
            <v>1081.9920435125903</v>
          </cell>
          <cell r="CA253">
            <v>1766.6212393009639</v>
          </cell>
          <cell r="CC253">
            <v>245.69871382594209</v>
          </cell>
          <cell r="CD253">
            <v>248.40834270618785</v>
          </cell>
          <cell r="CF253">
            <v>30.247000755087576</v>
          </cell>
          <cell r="CG253">
            <v>0</v>
          </cell>
          <cell r="CI253">
            <v>642.63503108359669</v>
          </cell>
          <cell r="CJ253">
            <v>1288.7816385283832</v>
          </cell>
          <cell r="CL253">
            <v>2002.775193959558</v>
          </cell>
          <cell r="CM253">
            <v>1254.1179299278929</v>
          </cell>
          <cell r="CX253">
            <v>1445.7206892875838</v>
          </cell>
          <cell r="CY253">
            <v>27548.417495014408</v>
          </cell>
        </row>
        <row r="254">
          <cell r="I254">
            <v>4495.5148763879806</v>
          </cell>
          <cell r="J254">
            <v>5081.1964140508217</v>
          </cell>
          <cell r="L254">
            <v>1354.0728398714448</v>
          </cell>
          <cell r="M254">
            <v>1490.1761052239392</v>
          </cell>
          <cell r="O254">
            <v>2639.62</v>
          </cell>
          <cell r="P254">
            <v>2639.8</v>
          </cell>
          <cell r="R254">
            <v>600.52</v>
          </cell>
          <cell r="S254">
            <v>600.9</v>
          </cell>
          <cell r="U254">
            <v>195.03873136964788</v>
          </cell>
          <cell r="V254">
            <v>717.0539856443047</v>
          </cell>
          <cell r="X254">
            <v>4068.6898622916251</v>
          </cell>
          <cell r="Y254">
            <v>4173.5172685746747</v>
          </cell>
          <cell r="AA254">
            <v>0</v>
          </cell>
          <cell r="AB254">
            <v>0</v>
          </cell>
          <cell r="AD254">
            <v>8079.6255179141026</v>
          </cell>
          <cell r="AE254">
            <v>8879.2274683812429</v>
          </cell>
          <cell r="AJ254">
            <v>14892.175534639631</v>
          </cell>
          <cell r="AK254">
            <v>15056.365236080044</v>
          </cell>
          <cell r="AM254">
            <v>1578.4221588709313</v>
          </cell>
          <cell r="AN254">
            <v>1330.0211587028011</v>
          </cell>
          <cell r="AP254">
            <v>1704.6317572085695</v>
          </cell>
          <cell r="AQ254">
            <v>9018.4155489286532</v>
          </cell>
          <cell r="AS254">
            <v>33229.790980690806</v>
          </cell>
          <cell r="AT254">
            <v>1460.0677218731828</v>
          </cell>
          <cell r="AV254">
            <v>355.34403081711207</v>
          </cell>
          <cell r="AW254">
            <v>806.35551955751635</v>
          </cell>
          <cell r="AY254">
            <v>895.58576938451483</v>
          </cell>
          <cell r="AZ254">
            <v>0</v>
          </cell>
          <cell r="BB254">
            <v>745.46315154097363</v>
          </cell>
          <cell r="BC254">
            <v>0</v>
          </cell>
          <cell r="BE254">
            <v>288.12756542741425</v>
          </cell>
          <cell r="BF254">
            <v>0</v>
          </cell>
          <cell r="BH254">
            <v>98.941812127749259</v>
          </cell>
          <cell r="BI254">
            <v>0</v>
          </cell>
          <cell r="BK254">
            <v>518.72018098120952</v>
          </cell>
          <cell r="BL254">
            <v>2534.3339420043221</v>
          </cell>
          <cell r="BN254">
            <v>0</v>
          </cell>
          <cell r="BO254">
            <v>0</v>
          </cell>
          <cell r="BT254">
            <v>20610.245704899979</v>
          </cell>
          <cell r="BU254">
            <v>14494.790103379726</v>
          </cell>
          <cell r="BW254">
            <v>21070.534873087257</v>
          </cell>
          <cell r="BX254">
            <v>24752.445864650443</v>
          </cell>
          <cell r="BZ254">
            <v>1834.7732489009734</v>
          </cell>
          <cell r="CA254">
            <v>12615.500986469226</v>
          </cell>
          <cell r="CC254">
            <v>649.56229802060329</v>
          </cell>
          <cell r="CD254">
            <v>656.72583882563276</v>
          </cell>
          <cell r="CF254">
            <v>79.965055627536373</v>
          </cell>
          <cell r="CG254">
            <v>0</v>
          </cell>
          <cell r="CI254">
            <v>2585.5141444761402</v>
          </cell>
          <cell r="CJ254">
            <v>4465.238565276024</v>
          </cell>
          <cell r="CL254">
            <v>3649.9174095524668</v>
          </cell>
          <cell r="CM254">
            <v>4460.2923581449268</v>
          </cell>
          <cell r="CX254">
            <v>3919.4029950935801</v>
          </cell>
          <cell r="CY254">
            <v>17105.451097079</v>
          </cell>
        </row>
        <row r="255">
          <cell r="I255">
            <v>5631.3437984163129</v>
          </cell>
          <cell r="J255">
            <v>6339.9878947130564</v>
          </cell>
          <cell r="L255">
            <v>1579.6938719489201</v>
          </cell>
          <cell r="M255">
            <v>1738.4754708283215</v>
          </cell>
          <cell r="O255">
            <v>3032.12</v>
          </cell>
          <cell r="P255">
            <v>3033.1</v>
          </cell>
          <cell r="R255">
            <v>658.82</v>
          </cell>
          <cell r="S255">
            <v>658.6</v>
          </cell>
          <cell r="U255">
            <v>227.52892465051059</v>
          </cell>
          <cell r="V255">
            <v>649.06054811369791</v>
          </cell>
          <cell r="X255">
            <v>3794.1316402648622</v>
          </cell>
          <cell r="Y255">
            <v>5128.3763986430786</v>
          </cell>
          <cell r="AA255">
            <v>0</v>
          </cell>
          <cell r="AB255">
            <v>0</v>
          </cell>
          <cell r="AD255">
            <v>9419.8849119969036</v>
          </cell>
          <cell r="AE255">
            <v>10352.125933825013</v>
          </cell>
          <cell r="AJ255">
            <v>28216.713770153285</v>
          </cell>
          <cell r="AK255">
            <v>28527.827392485575</v>
          </cell>
          <cell r="AM255">
            <v>789.21107943546565</v>
          </cell>
          <cell r="AN255">
            <v>532.00510021686796</v>
          </cell>
          <cell r="AP255">
            <v>1980.8452363858842</v>
          </cell>
          <cell r="AQ255">
            <v>0</v>
          </cell>
          <cell r="AS255">
            <v>40646.256181783298</v>
          </cell>
          <cell r="AT255">
            <v>343871.89661545801</v>
          </cell>
          <cell r="AV255">
            <v>459.45289091382273</v>
          </cell>
          <cell r="AW255">
            <v>0</v>
          </cell>
          <cell r="AY255">
            <v>1044.8023367926141</v>
          </cell>
          <cell r="AZ255">
            <v>2346.0783749639054</v>
          </cell>
          <cell r="BB255">
            <v>822.83356848650783</v>
          </cell>
          <cell r="BC255">
            <v>0</v>
          </cell>
          <cell r="BE255">
            <v>312.27663283934402</v>
          </cell>
          <cell r="BF255">
            <v>0</v>
          </cell>
          <cell r="BH255">
            <v>115.42002660934838</v>
          </cell>
          <cell r="BI255">
            <v>0</v>
          </cell>
          <cell r="BK255">
            <v>542.44879755970385</v>
          </cell>
          <cell r="BL255">
            <v>0</v>
          </cell>
          <cell r="BN255">
            <v>0</v>
          </cell>
          <cell r="BO255">
            <v>0</v>
          </cell>
          <cell r="BT255">
            <v>28264.848470784535</v>
          </cell>
          <cell r="BU255">
            <v>20535.886539317227</v>
          </cell>
          <cell r="BW255">
            <v>19233.423492017784</v>
          </cell>
          <cell r="BX255">
            <v>20259.959468764027</v>
          </cell>
          <cell r="BZ255">
            <v>1908.6339647562093</v>
          </cell>
          <cell r="CA255">
            <v>19653.994451921935</v>
          </cell>
          <cell r="CC255">
            <v>750.1360173512702</v>
          </cell>
          <cell r="CD255">
            <v>758.40871111135016</v>
          </cell>
          <cell r="CF255">
            <v>92.346290014834409</v>
          </cell>
          <cell r="CG255">
            <v>0</v>
          </cell>
          <cell r="CI255">
            <v>3331.7194815401999</v>
          </cell>
          <cell r="CJ255">
            <v>4696.5154100512045</v>
          </cell>
          <cell r="CL255">
            <v>4607.6307811187971</v>
          </cell>
          <cell r="CM255">
            <v>6543.9897723945896</v>
          </cell>
          <cell r="CX255">
            <v>2216.6734010155196</v>
          </cell>
          <cell r="CY255">
            <v>-379579.8456993695</v>
          </cell>
        </row>
        <row r="256">
          <cell r="I256">
            <v>2463.0106897655455</v>
          </cell>
          <cell r="J256">
            <v>2769.2192798371957</v>
          </cell>
          <cell r="L256">
            <v>387.47674897272515</v>
          </cell>
          <cell r="M256">
            <v>449.60627981085838</v>
          </cell>
          <cell r="O256">
            <v>1402.1</v>
          </cell>
          <cell r="P256">
            <v>1401.98</v>
          </cell>
          <cell r="R256">
            <v>324.02</v>
          </cell>
          <cell r="S256">
            <v>324.2</v>
          </cell>
          <cell r="U256">
            <v>97.519283994174046</v>
          </cell>
          <cell r="V256">
            <v>278.18889797809197</v>
          </cell>
          <cell r="X256">
            <v>1957.5932903819687</v>
          </cell>
          <cell r="Y256">
            <v>1926.1740759006934</v>
          </cell>
          <cell r="AA256">
            <v>0</v>
          </cell>
          <cell r="AB256">
            <v>0</v>
          </cell>
          <cell r="AD256">
            <v>4054.6855263067127</v>
          </cell>
          <cell r="AE256">
            <v>4455.9583882948446</v>
          </cell>
          <cell r="AJ256">
            <v>14402.266595894693</v>
          </cell>
          <cell r="AK256">
            <v>14561.070339958776</v>
          </cell>
          <cell r="AM256">
            <v>0</v>
          </cell>
          <cell r="AN256">
            <v>0</v>
          </cell>
          <cell r="AP256">
            <v>852.31587860428476</v>
          </cell>
          <cell r="AQ256">
            <v>1098.8448796926812</v>
          </cell>
          <cell r="AS256">
            <v>17529.84731482427</v>
          </cell>
          <cell r="AT256">
            <v>131694.64351676503</v>
          </cell>
          <cell r="AV256">
            <v>203.84207769388419</v>
          </cell>
          <cell r="AW256">
            <v>0</v>
          </cell>
          <cell r="AY256">
            <v>261.17139780857241</v>
          </cell>
          <cell r="AZ256">
            <v>0</v>
          </cell>
          <cell r="BB256">
            <v>343.78808840870335</v>
          </cell>
          <cell r="BC256">
            <v>0</v>
          </cell>
          <cell r="BE256">
            <v>180.56196682523498</v>
          </cell>
          <cell r="BF256">
            <v>0</v>
          </cell>
          <cell r="BH256">
            <v>49.458791293965582</v>
          </cell>
          <cell r="BI256">
            <v>0</v>
          </cell>
          <cell r="BK256">
            <v>252.40009770630149</v>
          </cell>
          <cell r="BL256">
            <v>0</v>
          </cell>
          <cell r="BN256">
            <v>0</v>
          </cell>
          <cell r="BO256">
            <v>0</v>
          </cell>
          <cell r="BT256">
            <v>12376.096120263899</v>
          </cell>
          <cell r="BU256">
            <v>9842.4214882440137</v>
          </cell>
          <cell r="BW256">
            <v>5469.8086639089634</v>
          </cell>
          <cell r="BX256">
            <v>7241.5081758134438</v>
          </cell>
          <cell r="BZ256">
            <v>1886.9941238859574</v>
          </cell>
          <cell r="CA256">
            <v>9464.9800207428634</v>
          </cell>
          <cell r="CC256">
            <v>451.78757913405479</v>
          </cell>
          <cell r="CD256">
            <v>456.77000925383629</v>
          </cell>
          <cell r="CF256">
            <v>55.617789097942342</v>
          </cell>
          <cell r="CG256">
            <v>0</v>
          </cell>
          <cell r="CI256">
            <v>2860.6617645808642</v>
          </cell>
          <cell r="CJ256">
            <v>2789.1358106731723</v>
          </cell>
          <cell r="CL256">
            <v>1590.9896400613316</v>
          </cell>
          <cell r="CM256">
            <v>2069.8221958166273</v>
          </cell>
          <cell r="CX256">
            <v>1237.5038847031392</v>
          </cell>
          <cell r="CY256">
            <v>-144407.10803053854</v>
          </cell>
        </row>
        <row r="257">
          <cell r="I257">
            <v>2601.6863827897873</v>
          </cell>
          <cell r="J257">
            <v>2947.1217969366226</v>
          </cell>
          <cell r="L257">
            <v>396.60015856622454</v>
          </cell>
          <cell r="M257">
            <v>436.46415260993263</v>
          </cell>
          <cell r="O257">
            <v>1656.04</v>
          </cell>
          <cell r="P257">
            <v>1656.14</v>
          </cell>
          <cell r="R257">
            <v>331.12</v>
          </cell>
          <cell r="S257">
            <v>331.68</v>
          </cell>
          <cell r="U257">
            <v>130.00964065633656</v>
          </cell>
          <cell r="V257">
            <v>370.87165013560593</v>
          </cell>
          <cell r="X257">
            <v>1302.4649450734105</v>
          </cell>
          <cell r="Y257">
            <v>1976.2017247855335</v>
          </cell>
          <cell r="AA257">
            <v>0</v>
          </cell>
          <cell r="AB257">
            <v>0</v>
          </cell>
          <cell r="AD257">
            <v>4856.909912180563</v>
          </cell>
          <cell r="AE257">
            <v>5337.5750903391399</v>
          </cell>
          <cell r="AJ257">
            <v>9601.5110639297945</v>
          </cell>
          <cell r="AK257">
            <v>9707.3764795125717</v>
          </cell>
          <cell r="AM257">
            <v>0</v>
          </cell>
          <cell r="AN257">
            <v>0</v>
          </cell>
          <cell r="AP257">
            <v>710.2632321702373</v>
          </cell>
          <cell r="AQ257">
            <v>3405.8909785847577</v>
          </cell>
          <cell r="AS257">
            <v>14873.233913691975</v>
          </cell>
          <cell r="AT257">
            <v>1091.6729216534466</v>
          </cell>
          <cell r="AV257">
            <v>122.31439675540068</v>
          </cell>
          <cell r="AW257">
            <v>0</v>
          </cell>
          <cell r="AY257">
            <v>157.93467598038256</v>
          </cell>
          <cell r="AZ257">
            <v>0</v>
          </cell>
          <cell r="BB257">
            <v>264.37306341340508</v>
          </cell>
          <cell r="BC257">
            <v>790.158006</v>
          </cell>
          <cell r="BE257">
            <v>91.444637194136348</v>
          </cell>
          <cell r="BF257">
            <v>0</v>
          </cell>
          <cell r="BH257">
            <v>39.576741189229679</v>
          </cell>
          <cell r="BI257">
            <v>0</v>
          </cell>
          <cell r="BK257">
            <v>89.250700815318339</v>
          </cell>
          <cell r="BL257">
            <v>0</v>
          </cell>
          <cell r="BN257">
            <v>0</v>
          </cell>
          <cell r="BO257">
            <v>0</v>
          </cell>
          <cell r="BT257">
            <v>13238.358977585085</v>
          </cell>
          <cell r="BU257">
            <v>9156.8974741567254</v>
          </cell>
          <cell r="BW257">
            <v>8258.2763064508417</v>
          </cell>
          <cell r="BX257">
            <v>10750.837948578754</v>
          </cell>
          <cell r="BZ257">
            <v>3587.8856162877496</v>
          </cell>
          <cell r="CA257">
            <v>5507.1747229190769</v>
          </cell>
          <cell r="CC257">
            <v>394.50526726142641</v>
          </cell>
          <cell r="CD257">
            <v>398.85597324980978</v>
          </cell>
          <cell r="CF257">
            <v>48.565989340895293</v>
          </cell>
          <cell r="CG257">
            <v>0</v>
          </cell>
          <cell r="CI257">
            <v>3768.461735674683</v>
          </cell>
          <cell r="CJ257">
            <v>3202.8184390568435</v>
          </cell>
          <cell r="CL257">
            <v>1590.9896400613316</v>
          </cell>
          <cell r="CM257">
            <v>2973.9643744937021</v>
          </cell>
          <cell r="CX257">
            <v>663.46760351814737</v>
          </cell>
          <cell r="CY257">
            <v>10347.557920384977</v>
          </cell>
        </row>
        <row r="258">
          <cell r="I258">
            <v>1439.446373435276</v>
          </cell>
          <cell r="J258">
            <v>1607.1342815645189</v>
          </cell>
          <cell r="L258">
            <v>231.19354811519523</v>
          </cell>
          <cell r="M258">
            <v>254.43222425209697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65.029090713311319</v>
          </cell>
          <cell r="V258">
            <v>185.50614582057798</v>
          </cell>
          <cell r="X258">
            <v>556.80633545066314</v>
          </cell>
          <cell r="Y258">
            <v>1135.4713924395994</v>
          </cell>
          <cell r="AA258">
            <v>0</v>
          </cell>
          <cell r="AB258">
            <v>0</v>
          </cell>
          <cell r="AD258">
            <v>2012.3488472435877</v>
          </cell>
          <cell r="AE258">
            <v>2211.5014019886848</v>
          </cell>
          <cell r="AJ258">
            <v>2496.4053549718647</v>
          </cell>
          <cell r="AK258">
            <v>2523.9363580499839</v>
          </cell>
          <cell r="AM258">
            <v>0</v>
          </cell>
          <cell r="AN258">
            <v>0</v>
          </cell>
          <cell r="AP258">
            <v>284.10529286809492</v>
          </cell>
          <cell r="AQ258">
            <v>0</v>
          </cell>
          <cell r="AS258">
            <v>6066.251384786151</v>
          </cell>
          <cell r="AT258">
            <v>0</v>
          </cell>
          <cell r="AV258">
            <v>71.122629880379705</v>
          </cell>
          <cell r="AW258">
            <v>0</v>
          </cell>
          <cell r="AY258">
            <v>91.67422397349246</v>
          </cell>
          <cell r="AZ258">
            <v>0</v>
          </cell>
          <cell r="BB258">
            <v>0</v>
          </cell>
          <cell r="BC258">
            <v>0</v>
          </cell>
          <cell r="BE258">
            <v>0</v>
          </cell>
          <cell r="BF258">
            <v>0</v>
          </cell>
          <cell r="BH258">
            <v>19.78837059461484</v>
          </cell>
          <cell r="BI258">
            <v>0</v>
          </cell>
          <cell r="BK258">
            <v>47.713523922280622</v>
          </cell>
          <cell r="BL258">
            <v>0</v>
          </cell>
          <cell r="BN258">
            <v>0</v>
          </cell>
          <cell r="BO258">
            <v>0</v>
          </cell>
          <cell r="BT258">
            <v>6423.5254258936084</v>
          </cell>
          <cell r="BU258">
            <v>5975.9034838685839</v>
          </cell>
          <cell r="BW258">
            <v>3835.3996248189073</v>
          </cell>
          <cell r="BX258">
            <v>5056.6221534168235</v>
          </cell>
          <cell r="BZ258">
            <v>1986.5373918891155</v>
          </cell>
          <cell r="CA258">
            <v>5781.2513530456017</v>
          </cell>
          <cell r="CC258">
            <v>174.24901801562476</v>
          </cell>
          <cell r="CD258">
            <v>176.17068119496102</v>
          </cell>
          <cell r="CF258">
            <v>21.451110172378048</v>
          </cell>
          <cell r="CG258">
            <v>0</v>
          </cell>
          <cell r="CI258">
            <v>318.19792801226629</v>
          </cell>
          <cell r="CJ258">
            <v>1276.0638572260714</v>
          </cell>
          <cell r="CL258">
            <v>673.83090637891678</v>
          </cell>
          <cell r="CM258">
            <v>1259.0842664003944</v>
          </cell>
          <cell r="CX258">
            <v>805.62834263713376</v>
          </cell>
          <cell r="CY258">
            <v>52.026880878525844</v>
          </cell>
        </row>
        <row r="259">
          <cell r="I259">
            <v>1502.5186096054649</v>
          </cell>
          <cell r="J259">
            <v>1675.8640307539108</v>
          </cell>
          <cell r="L259">
            <v>304.97030261980154</v>
          </cell>
          <cell r="M259">
            <v>335.62475997759549</v>
          </cell>
          <cell r="O259">
            <v>652.78</v>
          </cell>
          <cell r="P259">
            <v>652.78333333333342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X259">
            <v>1149.8122135358485</v>
          </cell>
          <cell r="Y259">
            <v>1114.3571435668655</v>
          </cell>
          <cell r="AA259">
            <v>0</v>
          </cell>
          <cell r="AB259">
            <v>0</v>
          </cell>
          <cell r="AD259">
            <v>2028.8107986464227</v>
          </cell>
          <cell r="AE259">
            <v>2227.6346015357371</v>
          </cell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P259">
            <v>1491.5527875574985</v>
          </cell>
          <cell r="AQ259">
            <v>3957.5493765245424</v>
          </cell>
          <cell r="AS259">
            <v>5769.3295467474818</v>
          </cell>
          <cell r="AT259">
            <v>0</v>
          </cell>
          <cell r="AV259">
            <v>228.12681019305984</v>
          </cell>
          <cell r="AW259">
            <v>0</v>
          </cell>
          <cell r="AY259">
            <v>393.03969537771724</v>
          </cell>
          <cell r="AZ259">
            <v>0</v>
          </cell>
          <cell r="BB259">
            <v>367.83331737600776</v>
          </cell>
          <cell r="BC259">
            <v>0</v>
          </cell>
          <cell r="BE259">
            <v>0</v>
          </cell>
          <cell r="BF259">
            <v>0</v>
          </cell>
          <cell r="BH259">
            <v>0</v>
          </cell>
          <cell r="BI259">
            <v>0</v>
          </cell>
          <cell r="BK259">
            <v>159.1131641582902</v>
          </cell>
          <cell r="BL259">
            <v>0</v>
          </cell>
          <cell r="BN259">
            <v>0</v>
          </cell>
          <cell r="BO259">
            <v>0</v>
          </cell>
          <cell r="BT259">
            <v>2718.1677486991421</v>
          </cell>
          <cell r="BU259">
            <v>3576.255602826036</v>
          </cell>
          <cell r="BW259">
            <v>3193.6257175959154</v>
          </cell>
          <cell r="BX259">
            <v>3745.0482020060508</v>
          </cell>
          <cell r="BZ259">
            <v>1446.4846694309438</v>
          </cell>
          <cell r="CA259">
            <v>3357.6258209055463</v>
          </cell>
          <cell r="CC259">
            <v>99.759952640820472</v>
          </cell>
          <cell r="CD259">
            <v>100.86013116661857</v>
          </cell>
          <cell r="CF259">
            <v>12.281054775858582</v>
          </cell>
          <cell r="CG259">
            <v>0</v>
          </cell>
          <cell r="CI259">
            <v>489.77524213652754</v>
          </cell>
          <cell r="CJ259">
            <v>651.77490361338096</v>
          </cell>
          <cell r="CL259">
            <v>0</v>
          </cell>
          <cell r="CM259">
            <v>0</v>
          </cell>
          <cell r="CX259">
            <v>637.08204268384361</v>
          </cell>
          <cell r="CY259">
            <v>1372.2065125484587</v>
          </cell>
        </row>
        <row r="260">
          <cell r="I260">
            <v>1294.4919141352987</v>
          </cell>
          <cell r="J260">
            <v>1434.8953973548464</v>
          </cell>
          <cell r="L260">
            <v>228.18567069470174</v>
          </cell>
          <cell r="M260">
            <v>251.12156604403856</v>
          </cell>
          <cell r="O260">
            <v>474.32</v>
          </cell>
          <cell r="P260">
            <v>474.31666666666666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X260">
            <v>768.55189986748701</v>
          </cell>
          <cell r="Y260">
            <v>730.90534793664438</v>
          </cell>
          <cell r="AA260">
            <v>0</v>
          </cell>
          <cell r="AB260">
            <v>0</v>
          </cell>
          <cell r="AD260">
            <v>1636.7170470516137</v>
          </cell>
          <cell r="AE260">
            <v>1798.6951164910447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P260">
            <v>1018.0439661106735</v>
          </cell>
          <cell r="AQ260">
            <v>2734.306841962411</v>
          </cell>
          <cell r="AS260">
            <v>4093.7792772436806</v>
          </cell>
          <cell r="AT260">
            <v>87.893955240625573</v>
          </cell>
          <cell r="AV260">
            <v>209.63946651249057</v>
          </cell>
          <cell r="AW260">
            <v>0</v>
          </cell>
          <cell r="AY260">
            <v>294.13871636705994</v>
          </cell>
          <cell r="AZ260">
            <v>0</v>
          </cell>
          <cell r="BB260">
            <v>215.11532239040895</v>
          </cell>
          <cell r="BC260">
            <v>0</v>
          </cell>
          <cell r="BE260">
            <v>0</v>
          </cell>
          <cell r="BF260">
            <v>0</v>
          </cell>
          <cell r="BH260">
            <v>0</v>
          </cell>
          <cell r="BI260">
            <v>0</v>
          </cell>
          <cell r="BK260">
            <v>103.19210586326328</v>
          </cell>
          <cell r="BL260">
            <v>0</v>
          </cell>
          <cell r="BN260">
            <v>0</v>
          </cell>
          <cell r="BO260">
            <v>0</v>
          </cell>
          <cell r="BT260">
            <v>1979.4414983963732</v>
          </cell>
          <cell r="BU260">
            <v>2309.5408946595217</v>
          </cell>
          <cell r="BW260">
            <v>1940.9362467393446</v>
          </cell>
          <cell r="BX260">
            <v>1651.0932855469212</v>
          </cell>
          <cell r="BZ260">
            <v>1286.6788681919518</v>
          </cell>
          <cell r="CA260">
            <v>2118.2528677913479</v>
          </cell>
          <cell r="CC260">
            <v>274.81783513731676</v>
          </cell>
          <cell r="CD260">
            <v>277.84859720887653</v>
          </cell>
          <cell r="CF260">
            <v>33.831741068040884</v>
          </cell>
          <cell r="CG260">
            <v>0</v>
          </cell>
          <cell r="CI260">
            <v>74.870100708768533</v>
          </cell>
          <cell r="CJ260">
            <v>74.323947685587683</v>
          </cell>
          <cell r="CL260">
            <v>0</v>
          </cell>
          <cell r="CM260">
            <v>0</v>
          </cell>
          <cell r="CX260">
            <v>477.03798822583121</v>
          </cell>
          <cell r="CY260">
            <v>2857.3066184937634</v>
          </cell>
        </row>
        <row r="261">
          <cell r="I261">
            <v>1677.3271461910476</v>
          </cell>
          <cell r="J261">
            <v>1849.2973056181834</v>
          </cell>
          <cell r="L261">
            <v>302.20913189258357</v>
          </cell>
          <cell r="M261">
            <v>332.58546719642715</v>
          </cell>
          <cell r="O261">
            <v>689.2</v>
          </cell>
          <cell r="P261">
            <v>689.2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X261">
            <v>1126.6784905085808</v>
          </cell>
          <cell r="Y261">
            <v>1087.9260865264864</v>
          </cell>
          <cell r="AA261">
            <v>0</v>
          </cell>
          <cell r="AB261">
            <v>0</v>
          </cell>
          <cell r="AD261">
            <v>1833.690353014546</v>
          </cell>
          <cell r="AE261">
            <v>2046.8801134066248</v>
          </cell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P261">
            <v>1373.1755821957922</v>
          </cell>
          <cell r="AQ261">
            <v>0</v>
          </cell>
          <cell r="AS261">
            <v>6476.2261206265648</v>
          </cell>
          <cell r="AT261">
            <v>0</v>
          </cell>
          <cell r="AV261">
            <v>271.83156836932346</v>
          </cell>
          <cell r="AW261">
            <v>0</v>
          </cell>
          <cell r="AY261">
            <v>389.54356874959132</v>
          </cell>
          <cell r="AZ261">
            <v>0</v>
          </cell>
          <cell r="BB261">
            <v>239.64210531342968</v>
          </cell>
          <cell r="BC261">
            <v>0</v>
          </cell>
          <cell r="BE261">
            <v>0</v>
          </cell>
          <cell r="BF261">
            <v>0</v>
          </cell>
          <cell r="BH261">
            <v>0</v>
          </cell>
          <cell r="BI261">
            <v>0</v>
          </cell>
          <cell r="BK261">
            <v>155.62201221057634</v>
          </cell>
          <cell r="BL261">
            <v>0</v>
          </cell>
          <cell r="BN261">
            <v>0</v>
          </cell>
          <cell r="BO261">
            <v>0</v>
          </cell>
          <cell r="BT261">
            <v>2260.8172763639477</v>
          </cell>
          <cell r="BU261">
            <v>2494.1587443930421</v>
          </cell>
          <cell r="BW261">
            <v>2444.4507972912147</v>
          </cell>
          <cell r="BX261">
            <v>2869.3664820026115</v>
          </cell>
          <cell r="BZ261">
            <v>1217.1023562062742</v>
          </cell>
          <cell r="CA261">
            <v>2448.4948888808731</v>
          </cell>
          <cell r="CC261">
            <v>163.29258095654694</v>
          </cell>
          <cell r="CD261">
            <v>165.09341371793931</v>
          </cell>
          <cell r="CF261">
            <v>20.102306367756725</v>
          </cell>
          <cell r="CG261">
            <v>0</v>
          </cell>
          <cell r="CI261">
            <v>670.71131884938472</v>
          </cell>
          <cell r="CJ261">
            <v>604.64503047812764</v>
          </cell>
          <cell r="CL261">
            <v>0</v>
          </cell>
          <cell r="CM261">
            <v>0</v>
          </cell>
          <cell r="CX261">
            <v>328.29274187140982</v>
          </cell>
          <cell r="CY261">
            <v>8397.0629613356195</v>
          </cell>
        </row>
        <row r="262">
          <cell r="I262">
            <v>2035.037297251921</v>
          </cell>
          <cell r="J262">
            <v>2256.9639669493135</v>
          </cell>
          <cell r="L262">
            <v>345.31073553833897</v>
          </cell>
          <cell r="M262">
            <v>380.02014381680533</v>
          </cell>
          <cell r="O262">
            <v>870.36</v>
          </cell>
          <cell r="P262">
            <v>870.36666666666679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X262">
            <v>1271.5458962357698</v>
          </cell>
          <cell r="Y262">
            <v>1238.3277408325512</v>
          </cell>
          <cell r="AA262">
            <v>0</v>
          </cell>
          <cell r="AB262">
            <v>0</v>
          </cell>
          <cell r="AD262">
            <v>2542.6232212197733</v>
          </cell>
          <cell r="AE262">
            <v>2794.2544982489653</v>
          </cell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P262">
            <v>1894.0352857872995</v>
          </cell>
          <cell r="AQ262">
            <v>4892.9701382485246</v>
          </cell>
          <cell r="AS262">
            <v>9562.4065541049185</v>
          </cell>
          <cell r="AT262">
            <v>2477.779450817985</v>
          </cell>
          <cell r="AV262">
            <v>323.5364997196728</v>
          </cell>
          <cell r="AW262">
            <v>0</v>
          </cell>
          <cell r="AY262">
            <v>445.04417920905604</v>
          </cell>
          <cell r="AZ262">
            <v>0</v>
          </cell>
          <cell r="BB262">
            <v>445.86836908779861</v>
          </cell>
          <cell r="BC262">
            <v>0</v>
          </cell>
          <cell r="BE262">
            <v>0</v>
          </cell>
          <cell r="BF262">
            <v>0</v>
          </cell>
          <cell r="BH262">
            <v>0</v>
          </cell>
          <cell r="BI262">
            <v>1264.1866671432276</v>
          </cell>
          <cell r="BK262">
            <v>179.58218534787574</v>
          </cell>
          <cell r="BL262">
            <v>0</v>
          </cell>
          <cell r="BN262">
            <v>0</v>
          </cell>
          <cell r="BO262">
            <v>0</v>
          </cell>
          <cell r="BT262">
            <v>4858.1349118951357</v>
          </cell>
          <cell r="BU262">
            <v>4577.9879895511694</v>
          </cell>
          <cell r="BW262">
            <v>2995.2490216940291</v>
          </cell>
          <cell r="BX262">
            <v>3616.0701154417711</v>
          </cell>
          <cell r="BZ262">
            <v>1451.3516657753503</v>
          </cell>
          <cell r="CA262">
            <v>4341.249828577751</v>
          </cell>
          <cell r="CC262">
            <v>346.29204199250898</v>
          </cell>
          <cell r="CD262">
            <v>350.11104007911229</v>
          </cell>
          <cell r="CF262">
            <v>42.630649108926299</v>
          </cell>
          <cell r="CG262">
            <v>0</v>
          </cell>
          <cell r="CI262">
            <v>954.59378403679898</v>
          </cell>
          <cell r="CJ262">
            <v>560.04864893263459</v>
          </cell>
          <cell r="CL262">
            <v>0</v>
          </cell>
          <cell r="CM262">
            <v>0</v>
          </cell>
          <cell r="CX262">
            <v>1087.8172423937867</v>
          </cell>
          <cell r="CY262">
            <v>2219.7357256322339</v>
          </cell>
        </row>
        <row r="263">
          <cell r="I263">
            <v>2146.2565035349362</v>
          </cell>
          <cell r="J263">
            <v>2373.9312260245679</v>
          </cell>
          <cell r="L263">
            <v>384.02375386401712</v>
          </cell>
          <cell r="M263">
            <v>422.62451583854079</v>
          </cell>
          <cell r="O263">
            <v>849.22</v>
          </cell>
          <cell r="P263">
            <v>849.23333333333335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X263">
            <v>1679.7499651644921</v>
          </cell>
          <cell r="Y263">
            <v>1640.4473865943939</v>
          </cell>
          <cell r="AA263">
            <v>0</v>
          </cell>
          <cell r="AB263">
            <v>0</v>
          </cell>
          <cell r="AD263">
            <v>2588.0895631895091</v>
          </cell>
          <cell r="AE263">
            <v>2876.3301930320285</v>
          </cell>
          <cell r="AJ263">
            <v>0</v>
          </cell>
          <cell r="AK263">
            <v>0</v>
          </cell>
          <cell r="AM263">
            <v>0</v>
          </cell>
          <cell r="AN263">
            <v>0</v>
          </cell>
          <cell r="AP263">
            <v>1775.6580804255932</v>
          </cell>
          <cell r="AQ263">
            <v>4317.326592572228</v>
          </cell>
          <cell r="AS263">
            <v>7510.4836489941408</v>
          </cell>
          <cell r="AT263">
            <v>487.87146321457533</v>
          </cell>
          <cell r="AV263">
            <v>346.64143553108937</v>
          </cell>
          <cell r="AW263">
            <v>0</v>
          </cell>
          <cell r="AY263">
            <v>494.96074423196654</v>
          </cell>
          <cell r="AZ263">
            <v>0</v>
          </cell>
          <cell r="BB263">
            <v>427.90836804502794</v>
          </cell>
          <cell r="BC263">
            <v>0</v>
          </cell>
          <cell r="BE263">
            <v>0</v>
          </cell>
          <cell r="BF263">
            <v>0</v>
          </cell>
          <cell r="BH263">
            <v>0</v>
          </cell>
          <cell r="BI263">
            <v>0</v>
          </cell>
          <cell r="BK263">
            <v>229.60894525507237</v>
          </cell>
          <cell r="BL263">
            <v>0</v>
          </cell>
          <cell r="BN263">
            <v>0</v>
          </cell>
          <cell r="BO263">
            <v>0</v>
          </cell>
          <cell r="BT263">
            <v>4136.8747565661242</v>
          </cell>
          <cell r="BU263">
            <v>4357.9572171794762</v>
          </cell>
          <cell r="BW263">
            <v>3533.0309729436153</v>
          </cell>
          <cell r="BX263">
            <v>4156.1507670392866</v>
          </cell>
          <cell r="BZ263">
            <v>2042.05194301193</v>
          </cell>
          <cell r="CA263">
            <v>4300.4865307073223</v>
          </cell>
          <cell r="CC263">
            <v>454.72890451904209</v>
          </cell>
          <cell r="CD263">
            <v>459.74377233491589</v>
          </cell>
          <cell r="CF263">
            <v>55.979884079048752</v>
          </cell>
          <cell r="CG263">
            <v>0</v>
          </cell>
          <cell r="CI263">
            <v>570.88451790436011</v>
          </cell>
          <cell r="CJ263">
            <v>1953.3447761389898</v>
          </cell>
          <cell r="CL263">
            <v>0</v>
          </cell>
          <cell r="CM263">
            <v>0</v>
          </cell>
          <cell r="CX263">
            <v>718.33761528804462</v>
          </cell>
          <cell r="CY263">
            <v>1955.1826711884114</v>
          </cell>
        </row>
        <row r="264">
          <cell r="I264">
            <v>933.58164452706671</v>
          </cell>
          <cell r="J264">
            <v>1028.3786651863238</v>
          </cell>
          <cell r="L264">
            <v>233.01798496194539</v>
          </cell>
          <cell r="M264">
            <v>256.44032841108321</v>
          </cell>
          <cell r="O264">
            <v>330.3</v>
          </cell>
          <cell r="P264">
            <v>330.3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X264">
            <v>655.57717177108248</v>
          </cell>
          <cell r="Y264">
            <v>604.30393303377946</v>
          </cell>
          <cell r="AA264">
            <v>0</v>
          </cell>
          <cell r="AB264">
            <v>0</v>
          </cell>
          <cell r="AD264">
            <v>973.53557625166957</v>
          </cell>
          <cell r="AE264">
            <v>1069.88174277808</v>
          </cell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P264">
            <v>473.50882144682487</v>
          </cell>
          <cell r="AQ264">
            <v>0</v>
          </cell>
          <cell r="AS264">
            <v>2696.6519777680537</v>
          </cell>
          <cell r="AT264">
            <v>4617.9370267106233</v>
          </cell>
          <cell r="AV264">
            <v>166.96317896061075</v>
          </cell>
          <cell r="AW264">
            <v>0</v>
          </cell>
          <cell r="AY264">
            <v>300.29581843807034</v>
          </cell>
          <cell r="AZ264">
            <v>0</v>
          </cell>
          <cell r="BB264">
            <v>160.64986160541216</v>
          </cell>
          <cell r="BC264">
            <v>0</v>
          </cell>
          <cell r="BE264">
            <v>0</v>
          </cell>
          <cell r="BF264">
            <v>0</v>
          </cell>
          <cell r="BH264">
            <v>0</v>
          </cell>
          <cell r="BI264">
            <v>647.41536177161379</v>
          </cell>
          <cell r="BK264">
            <v>80.014774571099423</v>
          </cell>
          <cell r="BL264">
            <v>0</v>
          </cell>
          <cell r="BN264">
            <v>0</v>
          </cell>
          <cell r="BO264">
            <v>0</v>
          </cell>
          <cell r="BT264">
            <v>2233.977107845878</v>
          </cell>
          <cell r="BU264">
            <v>2349.31037949441</v>
          </cell>
          <cell r="BW264">
            <v>2057.1678062338697</v>
          </cell>
          <cell r="BX264">
            <v>2363.9100542009583</v>
          </cell>
          <cell r="BZ264">
            <v>1056.4880127117485</v>
          </cell>
          <cell r="CA264">
            <v>2313.5522001858799</v>
          </cell>
          <cell r="CC264">
            <v>169.12620963677182</v>
          </cell>
          <cell r="CD264">
            <v>170.99137716208062</v>
          </cell>
          <cell r="CF264">
            <v>20.820461413617743</v>
          </cell>
          <cell r="CG264">
            <v>0</v>
          </cell>
          <cell r="CI264">
            <v>199.65360189004946</v>
          </cell>
          <cell r="CJ264">
            <v>190.81143203392739</v>
          </cell>
          <cell r="CL264">
            <v>0</v>
          </cell>
          <cell r="CM264">
            <v>0</v>
          </cell>
          <cell r="CX264">
            <v>384.64398795947454</v>
          </cell>
          <cell r="CY264">
            <v>-3457.6390011625108</v>
          </cell>
        </row>
        <row r="265">
          <cell r="I265">
            <v>950.42358610886231</v>
          </cell>
          <cell r="J265">
            <v>1050.165646899633</v>
          </cell>
          <cell r="L265">
            <v>181.53243827731791</v>
          </cell>
          <cell r="M265">
            <v>199.77922727644392</v>
          </cell>
          <cell r="O265">
            <v>366.76</v>
          </cell>
          <cell r="P265">
            <v>366.76666666666671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X265">
            <v>459.84373703407272</v>
          </cell>
          <cell r="Y265">
            <v>424.32780443704831</v>
          </cell>
          <cell r="AA265">
            <v>0</v>
          </cell>
          <cell r="AB265">
            <v>0</v>
          </cell>
          <cell r="AD265">
            <v>1072.0934930920225</v>
          </cell>
          <cell r="AE265">
            <v>1178.1934659507679</v>
          </cell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P265">
            <v>757.61411431491979</v>
          </cell>
          <cell r="AQ265">
            <v>0</v>
          </cell>
          <cell r="AS265">
            <v>2516.9875896159838</v>
          </cell>
          <cell r="AT265">
            <v>0</v>
          </cell>
          <cell r="AV265">
            <v>159.03712164227363</v>
          </cell>
          <cell r="AW265">
            <v>0</v>
          </cell>
          <cell r="AY265">
            <v>233.99602939185672</v>
          </cell>
          <cell r="AZ265">
            <v>0</v>
          </cell>
          <cell r="BB265">
            <v>172.71582493274184</v>
          </cell>
          <cell r="BC265">
            <v>0</v>
          </cell>
          <cell r="BE265">
            <v>0</v>
          </cell>
          <cell r="BF265">
            <v>0</v>
          </cell>
          <cell r="BH265">
            <v>0</v>
          </cell>
          <cell r="BI265">
            <v>0</v>
          </cell>
          <cell r="BK265">
            <v>54.753204443068483</v>
          </cell>
          <cell r="BL265">
            <v>0</v>
          </cell>
          <cell r="BN265">
            <v>0</v>
          </cell>
          <cell r="BO265">
            <v>0</v>
          </cell>
          <cell r="BT265">
            <v>3627.3848223148484</v>
          </cell>
          <cell r="BU265">
            <v>3313.6106044252783</v>
          </cell>
          <cell r="BW265">
            <v>1257.9292594552583</v>
          </cell>
          <cell r="BX265">
            <v>1421.0914334507179</v>
          </cell>
          <cell r="BZ265">
            <v>1133.2381335770474</v>
          </cell>
          <cell r="CA265">
            <v>3226.3459486940847</v>
          </cell>
          <cell r="CC265">
            <v>145.59560655687312</v>
          </cell>
          <cell r="CD265">
            <v>147.20127251344331</v>
          </cell>
          <cell r="CF265">
            <v>17.923701564766581</v>
          </cell>
          <cell r="CG265">
            <v>0</v>
          </cell>
          <cell r="CI265">
            <v>549.04740519763595</v>
          </cell>
          <cell r="CJ265">
            <v>560.00839024982679</v>
          </cell>
          <cell r="CL265">
            <v>0</v>
          </cell>
          <cell r="CM265">
            <v>0</v>
          </cell>
          <cell r="CX265">
            <v>835.74871897653793</v>
          </cell>
          <cell r="CY265">
            <v>2959.0114473233089</v>
          </cell>
        </row>
        <row r="266">
          <cell r="I266">
            <v>1667.92351123758</v>
          </cell>
          <cell r="J266">
            <v>1844.3227205353189</v>
          </cell>
          <cell r="L266">
            <v>263.0021283458052</v>
          </cell>
          <cell r="M266">
            <v>289.43836432091149</v>
          </cell>
          <cell r="O266">
            <v>606.64</v>
          </cell>
          <cell r="P266">
            <v>606.65000000000009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X266">
            <v>1092.6593652683889</v>
          </cell>
          <cell r="Y266">
            <v>1047.9106643841269</v>
          </cell>
          <cell r="AA266">
            <v>0</v>
          </cell>
          <cell r="AB266">
            <v>0</v>
          </cell>
          <cell r="AD266">
            <v>1848.7982910985336</v>
          </cell>
          <cell r="AE266">
            <v>2031.765028394095</v>
          </cell>
          <cell r="AJ266">
            <v>0</v>
          </cell>
          <cell r="AK266">
            <v>0</v>
          </cell>
          <cell r="AM266">
            <v>0</v>
          </cell>
          <cell r="AN266">
            <v>0</v>
          </cell>
          <cell r="AP266">
            <v>1325.8247000511096</v>
          </cell>
          <cell r="AQ266">
            <v>0</v>
          </cell>
          <cell r="AS266">
            <v>5491.0605006795886</v>
          </cell>
          <cell r="AT266">
            <v>0</v>
          </cell>
          <cell r="AV266">
            <v>271.32552484176745</v>
          </cell>
          <cell r="AW266">
            <v>0</v>
          </cell>
          <cell r="AY266">
            <v>338.94721104730002</v>
          </cell>
          <cell r="AZ266">
            <v>0</v>
          </cell>
          <cell r="BB266">
            <v>299.40237983729122</v>
          </cell>
          <cell r="BC266">
            <v>0</v>
          </cell>
          <cell r="BE266">
            <v>0</v>
          </cell>
          <cell r="BF266">
            <v>0</v>
          </cell>
          <cell r="BH266">
            <v>0</v>
          </cell>
          <cell r="BI266">
            <v>0</v>
          </cell>
          <cell r="BK266">
            <v>148.43420890847807</v>
          </cell>
          <cell r="BL266">
            <v>0</v>
          </cell>
          <cell r="BN266">
            <v>0</v>
          </cell>
          <cell r="BO266">
            <v>0</v>
          </cell>
          <cell r="BT266">
            <v>4584.9234001021596</v>
          </cell>
          <cell r="BU266">
            <v>4264.2442153937245</v>
          </cell>
          <cell r="BW266">
            <v>2938.0539291155892</v>
          </cell>
          <cell r="BX266">
            <v>3477.6712845839384</v>
          </cell>
          <cell r="BZ266">
            <v>1383.6617523859186</v>
          </cell>
          <cell r="CA266">
            <v>4232.8457290876531</v>
          </cell>
          <cell r="CC266">
            <v>0</v>
          </cell>
          <cell r="CD266">
            <v>0</v>
          </cell>
          <cell r="CF266">
            <v>0</v>
          </cell>
          <cell r="CG266">
            <v>0</v>
          </cell>
          <cell r="CI266">
            <v>274.52370259881798</v>
          </cell>
          <cell r="CJ266">
            <v>89.212892432389893</v>
          </cell>
          <cell r="CL266">
            <v>0</v>
          </cell>
          <cell r="CM266">
            <v>0</v>
          </cell>
          <cell r="CX266">
            <v>676.50327337800991</v>
          </cell>
          <cell r="CY266">
            <v>6257.8469210414114</v>
          </cell>
        </row>
        <row r="267">
          <cell r="I267">
            <v>1029.9111845356804</v>
          </cell>
          <cell r="J267">
            <v>1140.7484265303933</v>
          </cell>
          <cell r="L267">
            <v>194.74869558343363</v>
          </cell>
          <cell r="M267">
            <v>237.50706215360685</v>
          </cell>
          <cell r="O267">
            <v>429.84</v>
          </cell>
          <cell r="P267">
            <v>429.83333333333331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>
            <v>547.54941357618532</v>
          </cell>
          <cell r="Y267">
            <v>516.65636365744012</v>
          </cell>
          <cell r="AA267">
            <v>0</v>
          </cell>
          <cell r="AB267">
            <v>0</v>
          </cell>
          <cell r="AD267">
            <v>1332.2065780286007</v>
          </cell>
          <cell r="AE267">
            <v>1464.1270171463441</v>
          </cell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P267">
            <v>828.64043753194358</v>
          </cell>
          <cell r="AQ267">
            <v>1798.8860802384283</v>
          </cell>
          <cell r="AS267">
            <v>3688.054129397507</v>
          </cell>
          <cell r="AT267">
            <v>0</v>
          </cell>
          <cell r="AV267">
            <v>170.22583618592486</v>
          </cell>
          <cell r="AW267">
            <v>0</v>
          </cell>
          <cell r="AY267">
            <v>251.00068743860237</v>
          </cell>
          <cell r="AZ267">
            <v>0</v>
          </cell>
          <cell r="BB267">
            <v>220.77882065324417</v>
          </cell>
          <cell r="BC267">
            <v>0</v>
          </cell>
          <cell r="BE267">
            <v>0</v>
          </cell>
          <cell r="BF267">
            <v>0</v>
          </cell>
          <cell r="BH267">
            <v>0</v>
          </cell>
          <cell r="BI267">
            <v>0</v>
          </cell>
          <cell r="BK267">
            <v>69.900011236879692</v>
          </cell>
          <cell r="BL267">
            <v>0</v>
          </cell>
          <cell r="BN267">
            <v>0</v>
          </cell>
          <cell r="BO267">
            <v>0</v>
          </cell>
          <cell r="BT267">
            <v>2632.6545472906359</v>
          </cell>
          <cell r="BU267">
            <v>2691.0702661238083</v>
          </cell>
          <cell r="BW267">
            <v>1505.6475528038907</v>
          </cell>
          <cell r="BX267">
            <v>1290.4033669294599</v>
          </cell>
          <cell r="BZ267">
            <v>1454.0468066271301</v>
          </cell>
          <cell r="CA267">
            <v>2055.6272158615152</v>
          </cell>
          <cell r="CC267">
            <v>249.03221592892777</v>
          </cell>
          <cell r="CD267">
            <v>251.77860753141147</v>
          </cell>
          <cell r="CF267">
            <v>30.65737506700815</v>
          </cell>
          <cell r="CG267">
            <v>0</v>
          </cell>
          <cell r="CI267">
            <v>623.91750590640459</v>
          </cell>
          <cell r="CJ267">
            <v>530.0191426714814</v>
          </cell>
          <cell r="CL267">
            <v>0</v>
          </cell>
          <cell r="CM267">
            <v>0</v>
          </cell>
          <cell r="CX267">
            <v>373.24584264960868</v>
          </cell>
          <cell r="CY267">
            <v>3795.8317413873356</v>
          </cell>
        </row>
        <row r="268">
          <cell r="I268">
            <v>0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X268">
            <v>0</v>
          </cell>
          <cell r="Y268">
            <v>0</v>
          </cell>
          <cell r="AA268">
            <v>0</v>
          </cell>
          <cell r="AB268">
            <v>0</v>
          </cell>
          <cell r="AD268">
            <v>0</v>
          </cell>
          <cell r="AE268">
            <v>0</v>
          </cell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P268">
            <v>142.05264643404746</v>
          </cell>
          <cell r="AQ268">
            <v>0</v>
          </cell>
          <cell r="AS268">
            <v>452.12299260614532</v>
          </cell>
          <cell r="AT268">
            <v>0</v>
          </cell>
          <cell r="AV268">
            <v>0</v>
          </cell>
          <cell r="AW268">
            <v>0</v>
          </cell>
          <cell r="AY268">
            <v>0</v>
          </cell>
          <cell r="AZ268">
            <v>0</v>
          </cell>
          <cell r="BB268">
            <v>0</v>
          </cell>
          <cell r="BC268">
            <v>0</v>
          </cell>
          <cell r="BE268">
            <v>0</v>
          </cell>
          <cell r="BF268">
            <v>0</v>
          </cell>
          <cell r="BH268">
            <v>0</v>
          </cell>
          <cell r="BI268">
            <v>0</v>
          </cell>
          <cell r="BK268">
            <v>0</v>
          </cell>
          <cell r="BL268">
            <v>0</v>
          </cell>
          <cell r="BN268">
            <v>0</v>
          </cell>
          <cell r="BO268">
            <v>0</v>
          </cell>
          <cell r="BT268">
            <v>99.695878142489619</v>
          </cell>
          <cell r="BU268">
            <v>224.35716581846719</v>
          </cell>
          <cell r="BW268">
            <v>0</v>
          </cell>
          <cell r="BX268">
            <v>1.1205514396831284</v>
          </cell>
          <cell r="BZ268">
            <v>0</v>
          </cell>
          <cell r="CA268">
            <v>211.09146117982948</v>
          </cell>
          <cell r="CC268">
            <v>0</v>
          </cell>
          <cell r="CD268">
            <v>0</v>
          </cell>
          <cell r="CF268">
            <v>0</v>
          </cell>
          <cell r="CG268">
            <v>0</v>
          </cell>
          <cell r="CI268">
            <v>0</v>
          </cell>
          <cell r="CJ268">
            <v>0</v>
          </cell>
          <cell r="CL268">
            <v>0</v>
          </cell>
          <cell r="CM268">
            <v>0</v>
          </cell>
          <cell r="CX268">
            <v>20.834179380781165</v>
          </cell>
          <cell r="CY268">
            <v>329.59698587442426</v>
          </cell>
        </row>
        <row r="269"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X269">
            <v>82.785282348368511</v>
          </cell>
          <cell r="Y269">
            <v>52.515958022102943</v>
          </cell>
          <cell r="AA269">
            <v>0</v>
          </cell>
          <cell r="AB269">
            <v>0</v>
          </cell>
          <cell r="AD269">
            <v>217.28350574565118</v>
          </cell>
          <cell r="AE269">
            <v>238.78701659690842</v>
          </cell>
          <cell r="AJ269">
            <v>0</v>
          </cell>
          <cell r="AK269">
            <v>0</v>
          </cell>
          <cell r="AM269">
            <v>0</v>
          </cell>
          <cell r="AN269">
            <v>0</v>
          </cell>
          <cell r="AP269">
            <v>0</v>
          </cell>
          <cell r="AQ269">
            <v>0</v>
          </cell>
          <cell r="AS269">
            <v>846.81030710599521</v>
          </cell>
          <cell r="AT269">
            <v>0</v>
          </cell>
          <cell r="AV269">
            <v>0</v>
          </cell>
          <cell r="AW269">
            <v>0</v>
          </cell>
          <cell r="AY269">
            <v>0</v>
          </cell>
          <cell r="AZ269">
            <v>0</v>
          </cell>
          <cell r="BB269">
            <v>0</v>
          </cell>
          <cell r="BC269">
            <v>0</v>
          </cell>
          <cell r="BE269">
            <v>0</v>
          </cell>
          <cell r="BF269">
            <v>0</v>
          </cell>
          <cell r="BH269">
            <v>0</v>
          </cell>
          <cell r="BI269">
            <v>0</v>
          </cell>
          <cell r="BK269">
            <v>23.058508430931262</v>
          </cell>
          <cell r="BL269">
            <v>0</v>
          </cell>
          <cell r="BN269">
            <v>0</v>
          </cell>
          <cell r="BO269">
            <v>0</v>
          </cell>
          <cell r="BT269">
            <v>0</v>
          </cell>
          <cell r="BU269">
            <v>0</v>
          </cell>
          <cell r="BW269">
            <v>38.962983241777721</v>
          </cell>
          <cell r="BX269">
            <v>1.2410320884830579</v>
          </cell>
          <cell r="BZ269">
            <v>0</v>
          </cell>
          <cell r="CA269">
            <v>0</v>
          </cell>
          <cell r="CC269">
            <v>0</v>
          </cell>
          <cell r="CD269">
            <v>0</v>
          </cell>
          <cell r="CF269">
            <v>0</v>
          </cell>
          <cell r="CG269">
            <v>0</v>
          </cell>
          <cell r="CI269">
            <v>15.597937647660114</v>
          </cell>
          <cell r="CJ269">
            <v>61.928235845738108</v>
          </cell>
          <cell r="CL269">
            <v>0</v>
          </cell>
          <cell r="CM269">
            <v>0</v>
          </cell>
          <cell r="CX269">
            <v>108.36177057553937</v>
          </cell>
          <cell r="CY269">
            <v>1152.393308936121</v>
          </cell>
        </row>
        <row r="270">
          <cell r="I270">
            <v>1759.6365152423575</v>
          </cell>
          <cell r="J270">
            <v>2192.3100390819527</v>
          </cell>
          <cell r="L270">
            <v>332.43932844451967</v>
          </cell>
          <cell r="M270">
            <v>424.61104635725263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1181.996657516398</v>
          </cell>
          <cell r="Y270">
            <v>1402.6306039362084</v>
          </cell>
          <cell r="AA270">
            <v>0</v>
          </cell>
          <cell r="AB270">
            <v>0</v>
          </cell>
          <cell r="AD270">
            <v>1968.478815712914</v>
          </cell>
          <cell r="AE270">
            <v>2163.2897629539002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473.50882144682487</v>
          </cell>
          <cell r="AQ270">
            <v>0</v>
          </cell>
          <cell r="AS270">
            <v>6187.3527149777783</v>
          </cell>
          <cell r="AT270">
            <v>0</v>
          </cell>
          <cell r="AV270">
            <v>293.68451802447441</v>
          </cell>
          <cell r="AW270">
            <v>719.28487379341368</v>
          </cell>
          <cell r="AY270">
            <v>428.45713760025609</v>
          </cell>
          <cell r="AZ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  <cell r="BK270">
            <v>264.95478811646899</v>
          </cell>
          <cell r="BL270">
            <v>0</v>
          </cell>
          <cell r="BN270">
            <v>0</v>
          </cell>
          <cell r="BO270">
            <v>0</v>
          </cell>
          <cell r="BT270">
            <v>7357.6898695921918</v>
          </cell>
          <cell r="BU270">
            <v>5967.431117721304</v>
          </cell>
          <cell r="BW270">
            <v>2980.7044766115614</v>
          </cell>
          <cell r="BX270">
            <v>3556.0043875516949</v>
          </cell>
          <cell r="BZ270">
            <v>1458.6285460751567</v>
          </cell>
          <cell r="CA270">
            <v>5425.3105084899944</v>
          </cell>
          <cell r="CC270">
            <v>287.26944593376311</v>
          </cell>
          <cell r="CD270">
            <v>290.43752758544707</v>
          </cell>
          <cell r="CF270">
            <v>35.364609821391298</v>
          </cell>
          <cell r="CG270">
            <v>0</v>
          </cell>
          <cell r="CI270">
            <v>1113.692748042932</v>
          </cell>
          <cell r="CJ270">
            <v>312.48667561021136</v>
          </cell>
          <cell r="CL270">
            <v>0</v>
          </cell>
          <cell r="CM270">
            <v>0</v>
          </cell>
          <cell r="CX270">
            <v>4.129208209214994</v>
          </cell>
          <cell r="CY270">
            <v>4408.2041483023422</v>
          </cell>
        </row>
        <row r="271">
          <cell r="I271">
            <v>2772.9413641345659</v>
          </cell>
          <cell r="J271">
            <v>2397.5601537592993</v>
          </cell>
          <cell r="L271">
            <v>426.44292755302081</v>
          </cell>
          <cell r="M271">
            <v>384.51058232965181</v>
          </cell>
          <cell r="O271">
            <v>1119.7</v>
          </cell>
          <cell r="P271">
            <v>1119.7</v>
          </cell>
          <cell r="R271">
            <v>224.62</v>
          </cell>
          <cell r="S271">
            <v>224.63333333333335</v>
          </cell>
          <cell r="U271">
            <v>88.645113504097054</v>
          </cell>
          <cell r="V271">
            <v>31.071198405688563</v>
          </cell>
          <cell r="X271">
            <v>1206.9765271512726</v>
          </cell>
          <cell r="Y271">
            <v>843.96395633390796</v>
          </cell>
          <cell r="AA271">
            <v>0</v>
          </cell>
          <cell r="AB271">
            <v>0</v>
          </cell>
          <cell r="AD271">
            <v>3133.3293475319092</v>
          </cell>
          <cell r="AE271">
            <v>3443.4199887611903</v>
          </cell>
          <cell r="AJ271">
            <v>7106.4203922739471</v>
          </cell>
          <cell r="AK271">
            <v>7184.7918319539849</v>
          </cell>
          <cell r="AM271">
            <v>0</v>
          </cell>
          <cell r="AN271">
            <v>0</v>
          </cell>
          <cell r="AP271">
            <v>631.34509526243312</v>
          </cell>
          <cell r="AQ271">
            <v>0</v>
          </cell>
          <cell r="AS271">
            <v>10322.180931511321</v>
          </cell>
          <cell r="AT271">
            <v>0</v>
          </cell>
          <cell r="AV271">
            <v>214.40752078805031</v>
          </cell>
          <cell r="AW271">
            <v>0</v>
          </cell>
          <cell r="AY271">
            <v>249.06583069279796</v>
          </cell>
          <cell r="AZ271">
            <v>0</v>
          </cell>
          <cell r="BB271">
            <v>226.77710403175575</v>
          </cell>
          <cell r="BC271">
            <v>0</v>
          </cell>
          <cell r="BE271">
            <v>128.6876472295032</v>
          </cell>
          <cell r="BF271">
            <v>0</v>
          </cell>
          <cell r="BH271">
            <v>44.980177589529568</v>
          </cell>
          <cell r="BI271">
            <v>0</v>
          </cell>
          <cell r="BK271">
            <v>133.23107334635267</v>
          </cell>
          <cell r="BL271">
            <v>3855.8818932800623</v>
          </cell>
          <cell r="BN271">
            <v>79.878797055444863</v>
          </cell>
          <cell r="BO271">
            <v>0</v>
          </cell>
          <cell r="BT271">
            <v>11956.9359590036</v>
          </cell>
          <cell r="BU271">
            <v>8688.7994769406359</v>
          </cell>
          <cell r="BW271">
            <v>7934.1147340712114</v>
          </cell>
          <cell r="BX271">
            <v>11887.885403683726</v>
          </cell>
          <cell r="BZ271">
            <v>822.31395306956858</v>
          </cell>
          <cell r="CA271">
            <v>8290.9916057148203</v>
          </cell>
          <cell r="CC271">
            <v>234.32558900399107</v>
          </cell>
          <cell r="CD271">
            <v>236.90979212601317</v>
          </cell>
          <cell r="CF271">
            <v>28.846900161476174</v>
          </cell>
          <cell r="CG271">
            <v>0</v>
          </cell>
          <cell r="CI271">
            <v>2735.8782633995838</v>
          </cell>
          <cell r="CJ271">
            <v>7821.9301121876651</v>
          </cell>
          <cell r="CL271">
            <v>979.55048427305508</v>
          </cell>
          <cell r="CM271">
            <v>1221.6052554304893</v>
          </cell>
          <cell r="CX271">
            <v>1248.0451208338091</v>
          </cell>
          <cell r="CY271">
            <v>-4550.4255010885536</v>
          </cell>
        </row>
        <row r="272">
          <cell r="I272">
            <v>2772.8912712419319</v>
          </cell>
          <cell r="J272">
            <v>2403.122723116242</v>
          </cell>
          <cell r="L272">
            <v>393.00611582305254</v>
          </cell>
          <cell r="M272">
            <v>354.36160871805191</v>
          </cell>
          <cell r="O272">
            <v>1174.28</v>
          </cell>
          <cell r="P272">
            <v>1174.2833333333335</v>
          </cell>
          <cell r="R272">
            <v>242.64</v>
          </cell>
          <cell r="S272">
            <v>242.65</v>
          </cell>
          <cell r="U272">
            <v>138.88381114641354</v>
          </cell>
          <cell r="V272">
            <v>48.680514965975902</v>
          </cell>
          <cell r="X272">
            <v>1167.3899526286189</v>
          </cell>
          <cell r="Y272">
            <v>1209.1361137523595</v>
          </cell>
          <cell r="AA272">
            <v>0</v>
          </cell>
          <cell r="AB272">
            <v>0</v>
          </cell>
          <cell r="AD272">
            <v>3386.5298381564744</v>
          </cell>
          <cell r="AE272">
            <v>3721.6785226965189</v>
          </cell>
          <cell r="AJ272">
            <v>5954.2675865454994</v>
          </cell>
          <cell r="AK272">
            <v>4956.2718017994375</v>
          </cell>
          <cell r="AM272">
            <v>0</v>
          </cell>
          <cell r="AN272">
            <v>657.07215918214206</v>
          </cell>
          <cell r="AP272">
            <v>631.34509526243312</v>
          </cell>
          <cell r="AQ272">
            <v>0</v>
          </cell>
          <cell r="AS272">
            <v>11465.553840186622</v>
          </cell>
          <cell r="AT272">
            <v>1059.4162047011591</v>
          </cell>
          <cell r="AV272">
            <v>171.52601663044027</v>
          </cell>
          <cell r="AW272">
            <v>0</v>
          </cell>
          <cell r="AY272">
            <v>185.23402568086527</v>
          </cell>
          <cell r="AZ272">
            <v>0</v>
          </cell>
          <cell r="BB272">
            <v>229.91088521272141</v>
          </cell>
          <cell r="BC272">
            <v>0</v>
          </cell>
          <cell r="BE272">
            <v>111.16789026792613</v>
          </cell>
          <cell r="BF272">
            <v>0</v>
          </cell>
          <cell r="BH272">
            <v>56.371262847709524</v>
          </cell>
          <cell r="BI272">
            <v>0</v>
          </cell>
          <cell r="BK272">
            <v>105.1618901772249</v>
          </cell>
          <cell r="BL272">
            <v>0</v>
          </cell>
          <cell r="BN272">
            <v>78.880070559382432</v>
          </cell>
          <cell r="BO272">
            <v>0</v>
          </cell>
          <cell r="BT272">
            <v>10642.112670513292</v>
          </cell>
          <cell r="BU272">
            <v>8434.0706942040324</v>
          </cell>
          <cell r="BW272">
            <v>6864.3542547369134</v>
          </cell>
          <cell r="BX272">
            <v>10606.088489635509</v>
          </cell>
          <cell r="BZ272">
            <v>1255.1107704746041</v>
          </cell>
          <cell r="CA272">
            <v>8571.9635972801971</v>
          </cell>
          <cell r="CC272">
            <v>261.97404762287204</v>
          </cell>
          <cell r="CD272">
            <v>264.86316508816196</v>
          </cell>
          <cell r="CF272">
            <v>32.250592983876295</v>
          </cell>
          <cell r="CG272">
            <v>0</v>
          </cell>
          <cell r="CI272">
            <v>708.14636920376904</v>
          </cell>
          <cell r="CJ272">
            <v>520.59976793227804</v>
          </cell>
          <cell r="CL272">
            <v>3968.1153375647327</v>
          </cell>
          <cell r="CM272">
            <v>3021.295541042994</v>
          </cell>
          <cell r="CX272">
            <v>730.02568543917005</v>
          </cell>
          <cell r="CY272">
            <v>6431.8849150619353</v>
          </cell>
        </row>
        <row r="273">
          <cell r="I273">
            <v>1086.8459842226634</v>
          </cell>
          <cell r="J273">
            <v>929.85881942683363</v>
          </cell>
          <cell r="L273">
            <v>239.23492827996802</v>
          </cell>
          <cell r="M273">
            <v>215.71190411485378</v>
          </cell>
          <cell r="O273">
            <v>370.12</v>
          </cell>
          <cell r="P273">
            <v>370.11666666666667</v>
          </cell>
          <cell r="R273">
            <v>89.84</v>
          </cell>
          <cell r="S273">
            <v>89.85</v>
          </cell>
          <cell r="U273">
            <v>35.448304571321643</v>
          </cell>
          <cell r="V273">
            <v>12.425023166679686</v>
          </cell>
          <cell r="X273">
            <v>427.61588856909913</v>
          </cell>
          <cell r="Y273">
            <v>244.48928566209679</v>
          </cell>
          <cell r="AA273">
            <v>0</v>
          </cell>
          <cell r="AB273">
            <v>0</v>
          </cell>
          <cell r="AD273">
            <v>1125.0425402448657</v>
          </cell>
          <cell r="AE273">
            <v>1236.3826274238745</v>
          </cell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P273">
            <v>94.701764289364974</v>
          </cell>
          <cell r="AQ273">
            <v>0</v>
          </cell>
          <cell r="AS273">
            <v>4361.3246293003276</v>
          </cell>
          <cell r="AT273">
            <v>1327.812127843695</v>
          </cell>
          <cell r="AV273">
            <v>196.24790144530206</v>
          </cell>
          <cell r="AW273">
            <v>0</v>
          </cell>
          <cell r="AY273">
            <v>285.79135804273159</v>
          </cell>
          <cell r="AZ273">
            <v>0</v>
          </cell>
          <cell r="BB273">
            <v>174.4002952120108</v>
          </cell>
          <cell r="BC273">
            <v>0</v>
          </cell>
          <cell r="BE273">
            <v>106.53832154271349</v>
          </cell>
          <cell r="BF273">
            <v>0</v>
          </cell>
          <cell r="BH273">
            <v>35.974450255696418</v>
          </cell>
          <cell r="BI273">
            <v>0</v>
          </cell>
          <cell r="BK273">
            <v>92.185307259032186</v>
          </cell>
          <cell r="BL273">
            <v>1329.3338849372135</v>
          </cell>
          <cell r="BN273">
            <v>31.907610498203873</v>
          </cell>
          <cell r="BO273">
            <v>0</v>
          </cell>
          <cell r="BT273">
            <v>4683.7447847143994</v>
          </cell>
          <cell r="BU273">
            <v>3746.7240832017924</v>
          </cell>
          <cell r="BW273">
            <v>2022.4492303529128</v>
          </cell>
          <cell r="BX273">
            <v>1662.3790048274368</v>
          </cell>
          <cell r="BZ273">
            <v>2163.9840870251805</v>
          </cell>
          <cell r="CA273">
            <v>2561.9011916904437</v>
          </cell>
          <cell r="CC273">
            <v>156.87068719932458</v>
          </cell>
          <cell r="CD273">
            <v>158.60069765758203</v>
          </cell>
          <cell r="CF273">
            <v>19.311732325674427</v>
          </cell>
          <cell r="CG273">
            <v>0</v>
          </cell>
          <cell r="CI273">
            <v>648.87420614266057</v>
          </cell>
          <cell r="CJ273">
            <v>245.27003382950954</v>
          </cell>
          <cell r="CL273">
            <v>0</v>
          </cell>
          <cell r="CM273">
            <v>0</v>
          </cell>
          <cell r="CX273">
            <v>221.2551862078617</v>
          </cell>
          <cell r="CY273">
            <v>5402.3735794615886</v>
          </cell>
        </row>
        <row r="274">
          <cell r="I274">
            <v>484.7768484533787</v>
          </cell>
          <cell r="J274">
            <v>413.56283589530148</v>
          </cell>
          <cell r="L274">
            <v>72.297167870152549</v>
          </cell>
          <cell r="M274">
            <v>65.18937362036192</v>
          </cell>
          <cell r="O274">
            <v>134.28</v>
          </cell>
          <cell r="P274">
            <v>134.28333333333333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X274">
            <v>242.41668202897176</v>
          </cell>
          <cell r="Y274">
            <v>160.94470988156181</v>
          </cell>
          <cell r="AA274">
            <v>0</v>
          </cell>
          <cell r="AB274">
            <v>0</v>
          </cell>
          <cell r="AD274">
            <v>449.7462134341767</v>
          </cell>
          <cell r="AE274">
            <v>494.25544825945855</v>
          </cell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P274">
            <v>260.42985179575368</v>
          </cell>
          <cell r="AQ274">
            <v>0</v>
          </cell>
          <cell r="AS274">
            <v>874.75995205603374</v>
          </cell>
          <cell r="AT274">
            <v>0</v>
          </cell>
          <cell r="AV274">
            <v>91.799711134666694</v>
          </cell>
          <cell r="AW274">
            <v>0</v>
          </cell>
          <cell r="AY274">
            <v>93.161411686942571</v>
          </cell>
          <cell r="AZ274">
            <v>0</v>
          </cell>
          <cell r="BB274">
            <v>67.913456968774284</v>
          </cell>
          <cell r="BC274">
            <v>0</v>
          </cell>
          <cell r="BE274">
            <v>0</v>
          </cell>
          <cell r="BF274">
            <v>0</v>
          </cell>
          <cell r="BH274">
            <v>0</v>
          </cell>
          <cell r="BI274">
            <v>305.83164913890846</v>
          </cell>
          <cell r="BK274">
            <v>44.518397153018292</v>
          </cell>
          <cell r="BL274">
            <v>0</v>
          </cell>
          <cell r="BN274">
            <v>15.287047639181583</v>
          </cell>
          <cell r="BO274">
            <v>0</v>
          </cell>
          <cell r="BT274">
            <v>1517.0969820315222</v>
          </cell>
          <cell r="BU274">
            <v>1410.3769853613762</v>
          </cell>
          <cell r="BW274">
            <v>733.41286011125896</v>
          </cell>
          <cell r="BX274">
            <v>828.03643571298085</v>
          </cell>
          <cell r="BZ274">
            <v>649.19522610755416</v>
          </cell>
          <cell r="CA274">
            <v>1369.3525582573425</v>
          </cell>
          <cell r="CC274">
            <v>0</v>
          </cell>
          <cell r="CD274">
            <v>0</v>
          </cell>
          <cell r="CF274">
            <v>0</v>
          </cell>
          <cell r="CG274">
            <v>0</v>
          </cell>
          <cell r="CI274">
            <v>84.228863297364597</v>
          </cell>
          <cell r="CJ274">
            <v>113.98418677068513</v>
          </cell>
          <cell r="CL274">
            <v>0</v>
          </cell>
          <cell r="CM274">
            <v>0</v>
          </cell>
          <cell r="CX274">
            <v>-2.4806122500194761E-2</v>
          </cell>
          <cell r="CY274">
            <v>623.37898052242872</v>
          </cell>
        </row>
        <row r="275"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>
            <v>0</v>
          </cell>
          <cell r="Y275">
            <v>0</v>
          </cell>
          <cell r="AA275">
            <v>0</v>
          </cell>
          <cell r="AB275">
            <v>0</v>
          </cell>
          <cell r="AD275">
            <v>0</v>
          </cell>
          <cell r="AE275">
            <v>0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P275">
            <v>71.02632321702373</v>
          </cell>
          <cell r="AQ275">
            <v>0</v>
          </cell>
          <cell r="AS275">
            <v>398.0008367639935</v>
          </cell>
          <cell r="AT275">
            <v>0</v>
          </cell>
          <cell r="AV275">
            <v>0</v>
          </cell>
          <cell r="AW275">
            <v>0</v>
          </cell>
          <cell r="AY275">
            <v>0</v>
          </cell>
          <cell r="AZ275">
            <v>0</v>
          </cell>
          <cell r="BB275">
            <v>0</v>
          </cell>
          <cell r="BC275">
            <v>0</v>
          </cell>
          <cell r="BE275">
            <v>0</v>
          </cell>
          <cell r="BF275">
            <v>0</v>
          </cell>
          <cell r="BH275">
            <v>0</v>
          </cell>
          <cell r="BI275">
            <v>0</v>
          </cell>
          <cell r="BK275">
            <v>0</v>
          </cell>
          <cell r="BL275">
            <v>0</v>
          </cell>
          <cell r="BN275">
            <v>0</v>
          </cell>
          <cell r="BO275">
            <v>0</v>
          </cell>
          <cell r="BT275">
            <v>39.878351256995849</v>
          </cell>
          <cell r="BU275">
            <v>114.95597466153319</v>
          </cell>
          <cell r="BW275">
            <v>0</v>
          </cell>
          <cell r="BX275">
            <v>0.52181145865374878</v>
          </cell>
          <cell r="BZ275">
            <v>0</v>
          </cell>
          <cell r="CA275">
            <v>108.16126840977638</v>
          </cell>
          <cell r="CC275">
            <v>0</v>
          </cell>
          <cell r="CD275">
            <v>0</v>
          </cell>
          <cell r="CF275">
            <v>0</v>
          </cell>
          <cell r="CG275">
            <v>0</v>
          </cell>
          <cell r="CI275">
            <v>0</v>
          </cell>
          <cell r="CJ275">
            <v>0</v>
          </cell>
          <cell r="CL275">
            <v>0</v>
          </cell>
          <cell r="CM275">
            <v>0</v>
          </cell>
          <cell r="CX275">
            <v>9.1533865143843514</v>
          </cell>
          <cell r="CY275">
            <v>351.47313456404407</v>
          </cell>
        </row>
        <row r="276">
          <cell r="I276">
            <v>2627.2186425265522</v>
          </cell>
          <cell r="J276">
            <v>2267.5775168472614</v>
          </cell>
          <cell r="L276">
            <v>407.55257968286838</v>
          </cell>
          <cell r="M276">
            <v>367.47952496498692</v>
          </cell>
          <cell r="O276">
            <v>991.82</v>
          </cell>
          <cell r="P276">
            <v>991.81666666666672</v>
          </cell>
          <cell r="R276">
            <v>221.4</v>
          </cell>
          <cell r="S276">
            <v>221.4</v>
          </cell>
          <cell r="U276">
            <v>130.00964065633656</v>
          </cell>
          <cell r="V276">
            <v>45.569938929811315</v>
          </cell>
          <cell r="X276">
            <v>1129.1493210721176</v>
          </cell>
          <cell r="Y276">
            <v>840.08571833353608</v>
          </cell>
          <cell r="AA276">
            <v>0</v>
          </cell>
          <cell r="AB276">
            <v>0</v>
          </cell>
          <cell r="AD276">
            <v>3004.8833682744607</v>
          </cell>
          <cell r="AE276">
            <v>3302.2623243747466</v>
          </cell>
          <cell r="AJ276">
            <v>5747.840023162752</v>
          </cell>
          <cell r="AK276">
            <v>5811.2286876098406</v>
          </cell>
          <cell r="AM276">
            <v>0</v>
          </cell>
          <cell r="AN276">
            <v>266.0109811433166</v>
          </cell>
          <cell r="AP276">
            <v>568.21058573618984</v>
          </cell>
          <cell r="AQ276">
            <v>0</v>
          </cell>
          <cell r="AS276">
            <v>10064.675918389228</v>
          </cell>
          <cell r="AT276">
            <v>2969.1415306988943</v>
          </cell>
          <cell r="AV276">
            <v>206.76395489082276</v>
          </cell>
          <cell r="AW276">
            <v>0</v>
          </cell>
          <cell r="AY276">
            <v>249.72595634349193</v>
          </cell>
          <cell r="AZ276">
            <v>0</v>
          </cell>
          <cell r="BB276">
            <v>312.35655427083907</v>
          </cell>
          <cell r="BC276">
            <v>0</v>
          </cell>
          <cell r="BE276">
            <v>115.73902546114914</v>
          </cell>
          <cell r="BF276">
            <v>0</v>
          </cell>
          <cell r="BH276">
            <v>65.961235315382794</v>
          </cell>
          <cell r="BI276">
            <v>0</v>
          </cell>
          <cell r="BK276">
            <v>127.2900014790072</v>
          </cell>
          <cell r="BL276">
            <v>2356.3432915853305</v>
          </cell>
          <cell r="BN276">
            <v>102.33357069191999</v>
          </cell>
          <cell r="BO276">
            <v>0</v>
          </cell>
          <cell r="BT276">
            <v>10638.35249388026</v>
          </cell>
          <cell r="BU276">
            <v>8418.9178099990295</v>
          </cell>
          <cell r="BW276">
            <v>6063.4296423644155</v>
          </cell>
          <cell r="BX276">
            <v>7892.5205999536865</v>
          </cell>
          <cell r="BZ276">
            <v>2120.7044052846768</v>
          </cell>
          <cell r="CA276">
            <v>8019.5176074052415</v>
          </cell>
          <cell r="CC276">
            <v>327.46755952859007</v>
          </cell>
          <cell r="CD276">
            <v>331.07895636020248</v>
          </cell>
          <cell r="CF276">
            <v>40.31324122984536</v>
          </cell>
          <cell r="CG276">
            <v>0</v>
          </cell>
          <cell r="CI276">
            <v>1410.0535633484742</v>
          </cell>
          <cell r="CJ276">
            <v>726.00826926265108</v>
          </cell>
          <cell r="CL276">
            <v>1041.9422348636956</v>
          </cell>
          <cell r="CM276">
            <v>1372.9174831105502</v>
          </cell>
          <cell r="CX276">
            <v>1418.2077778563253</v>
          </cell>
          <cell r="CY276">
            <v>3236.5877113050992</v>
          </cell>
        </row>
        <row r="277"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X277">
            <v>0</v>
          </cell>
          <cell r="Y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P277">
            <v>47.350882144682487</v>
          </cell>
          <cell r="AQ277">
            <v>0</v>
          </cell>
          <cell r="AS277">
            <v>320.83238666977394</v>
          </cell>
          <cell r="AT277">
            <v>0</v>
          </cell>
          <cell r="AV277">
            <v>0</v>
          </cell>
          <cell r="AW277">
            <v>0</v>
          </cell>
          <cell r="AY277">
            <v>0</v>
          </cell>
          <cell r="AZ277">
            <v>0</v>
          </cell>
          <cell r="BB277">
            <v>0</v>
          </cell>
          <cell r="BC277">
            <v>0</v>
          </cell>
          <cell r="BE277">
            <v>0</v>
          </cell>
          <cell r="BF277">
            <v>0</v>
          </cell>
          <cell r="BH277">
            <v>0</v>
          </cell>
          <cell r="BI277">
            <v>0</v>
          </cell>
          <cell r="BK277">
            <v>0</v>
          </cell>
          <cell r="BL277">
            <v>0</v>
          </cell>
          <cell r="BN277">
            <v>0</v>
          </cell>
          <cell r="BO277">
            <v>0</v>
          </cell>
          <cell r="BT277">
            <v>127.61072402238671</v>
          </cell>
          <cell r="BU277">
            <v>191.5932911025553</v>
          </cell>
          <cell r="BW277">
            <v>0</v>
          </cell>
          <cell r="BX277">
            <v>0.7017183734158059</v>
          </cell>
          <cell r="BZ277">
            <v>0</v>
          </cell>
          <cell r="CA277">
            <v>180.26878068296065</v>
          </cell>
          <cell r="CC277">
            <v>0</v>
          </cell>
          <cell r="CD277">
            <v>0</v>
          </cell>
          <cell r="CF277">
            <v>0</v>
          </cell>
          <cell r="CG277">
            <v>0</v>
          </cell>
          <cell r="CI277">
            <v>0</v>
          </cell>
          <cell r="CJ277">
            <v>0</v>
          </cell>
          <cell r="CL277">
            <v>0</v>
          </cell>
          <cell r="CM277">
            <v>0</v>
          </cell>
          <cell r="CX277">
            <v>8.9272085957882155</v>
          </cell>
          <cell r="CY277">
            <v>156.80345180928188</v>
          </cell>
        </row>
        <row r="278">
          <cell r="I278">
            <v>82.969000405177255</v>
          </cell>
          <cell r="J278">
            <v>94.164247469350016</v>
          </cell>
          <cell r="L278">
            <v>37.9243574755655</v>
          </cell>
          <cell r="M278">
            <v>41.736002655687415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X278">
            <v>70.863556614904908</v>
          </cell>
          <cell r="Y278">
            <v>64.543694845777793</v>
          </cell>
          <cell r="AA278">
            <v>0</v>
          </cell>
          <cell r="AB278">
            <v>0</v>
          </cell>
          <cell r="AD278">
            <v>186.14119941214852</v>
          </cell>
          <cell r="AE278">
            <v>204.56270493641352</v>
          </cell>
          <cell r="AJ278">
            <v>0</v>
          </cell>
          <cell r="AK278">
            <v>0</v>
          </cell>
          <cell r="AM278">
            <v>0</v>
          </cell>
          <cell r="AN278">
            <v>0</v>
          </cell>
          <cell r="AP278">
            <v>94.701764289364974</v>
          </cell>
          <cell r="AQ278">
            <v>0</v>
          </cell>
          <cell r="AS278">
            <v>623.57614642388046</v>
          </cell>
          <cell r="AT278">
            <v>0</v>
          </cell>
          <cell r="AV278">
            <v>36.308589429809629</v>
          </cell>
          <cell r="AW278">
            <v>0</v>
          </cell>
          <cell r="AY278">
            <v>48.925973641158578</v>
          </cell>
          <cell r="AZ278">
            <v>0</v>
          </cell>
          <cell r="BB278">
            <v>25.314242800838446</v>
          </cell>
          <cell r="BC278">
            <v>0</v>
          </cell>
          <cell r="BE278">
            <v>0</v>
          </cell>
          <cell r="BF278">
            <v>0</v>
          </cell>
          <cell r="BH278">
            <v>0</v>
          </cell>
          <cell r="BI278">
            <v>0</v>
          </cell>
          <cell r="BK278">
            <v>9.8614252960765771</v>
          </cell>
          <cell r="BL278">
            <v>0</v>
          </cell>
          <cell r="BN278">
            <v>0</v>
          </cell>
          <cell r="BO278">
            <v>0</v>
          </cell>
          <cell r="BT278">
            <v>660.13963200194405</v>
          </cell>
          <cell r="BU278">
            <v>674.12940321248095</v>
          </cell>
          <cell r="BW278">
            <v>386.57171728327529</v>
          </cell>
          <cell r="BX278">
            <v>345.29908766511971</v>
          </cell>
          <cell r="BZ278">
            <v>338.39005983146222</v>
          </cell>
          <cell r="CA278">
            <v>647.97496123472479</v>
          </cell>
          <cell r="CC278">
            <v>0</v>
          </cell>
          <cell r="CD278">
            <v>0</v>
          </cell>
          <cell r="CF278">
            <v>0</v>
          </cell>
          <cell r="CG278">
            <v>0</v>
          </cell>
          <cell r="CI278">
            <v>155.97937647660115</v>
          </cell>
          <cell r="CJ278">
            <v>257.71606902286885</v>
          </cell>
          <cell r="CL278">
            <v>0</v>
          </cell>
          <cell r="CM278">
            <v>0</v>
          </cell>
          <cell r="CX278">
            <v>49.619550341350987</v>
          </cell>
          <cell r="CY278">
            <v>562.66859474909256</v>
          </cell>
        </row>
        <row r="279"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X279">
            <v>0</v>
          </cell>
          <cell r="Y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0</v>
          </cell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P279">
            <v>63.134509526243313</v>
          </cell>
          <cell r="AQ279">
            <v>0</v>
          </cell>
          <cell r="AS279">
            <v>695.48980715602272</v>
          </cell>
          <cell r="AT279">
            <v>0</v>
          </cell>
          <cell r="AV279">
            <v>0</v>
          </cell>
          <cell r="AW279">
            <v>0</v>
          </cell>
          <cell r="AY279">
            <v>0</v>
          </cell>
          <cell r="AZ279">
            <v>0</v>
          </cell>
          <cell r="BB279">
            <v>0</v>
          </cell>
          <cell r="BC279">
            <v>0</v>
          </cell>
          <cell r="BE279">
            <v>0</v>
          </cell>
          <cell r="BF279">
            <v>0</v>
          </cell>
          <cell r="BH279">
            <v>0</v>
          </cell>
          <cell r="BI279">
            <v>0</v>
          </cell>
          <cell r="BK279">
            <v>0</v>
          </cell>
          <cell r="BL279">
            <v>0</v>
          </cell>
          <cell r="BN279">
            <v>0</v>
          </cell>
          <cell r="BO279">
            <v>0</v>
          </cell>
          <cell r="BT279">
            <v>0</v>
          </cell>
          <cell r="BU279">
            <v>0</v>
          </cell>
          <cell r="BW279">
            <v>0</v>
          </cell>
          <cell r="BX279">
            <v>1.0289698654264252</v>
          </cell>
          <cell r="BZ279">
            <v>0</v>
          </cell>
          <cell r="CA279">
            <v>0</v>
          </cell>
          <cell r="CC279">
            <v>0</v>
          </cell>
          <cell r="CD279">
            <v>0</v>
          </cell>
          <cell r="CF279">
            <v>0</v>
          </cell>
          <cell r="CG279">
            <v>0</v>
          </cell>
          <cell r="CI279">
            <v>0</v>
          </cell>
          <cell r="CJ279">
            <v>0</v>
          </cell>
          <cell r="CL279">
            <v>0</v>
          </cell>
          <cell r="CM279">
            <v>0</v>
          </cell>
          <cell r="CX279">
            <v>22.730819981280888</v>
          </cell>
          <cell r="CY279">
            <v>931.8452361614884</v>
          </cell>
        </row>
        <row r="280">
          <cell r="I280">
            <v>658.30376027673867</v>
          </cell>
          <cell r="J280">
            <v>730.9786683496817</v>
          </cell>
          <cell r="L280">
            <v>117.52041640181733</v>
          </cell>
          <cell r="M280">
            <v>129.33276245579077</v>
          </cell>
          <cell r="O280">
            <v>314.88</v>
          </cell>
          <cell r="P280">
            <v>314.88333333333338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>
            <v>488.94306633129565</v>
          </cell>
          <cell r="Y280">
            <v>452.49965650062279</v>
          </cell>
          <cell r="AA280">
            <v>0</v>
          </cell>
          <cell r="AB280">
            <v>0</v>
          </cell>
          <cell r="AD280">
            <v>939.18639626826405</v>
          </cell>
          <cell r="AE280">
            <v>1032.1331884980834</v>
          </cell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P280">
            <v>426.15793930214238</v>
          </cell>
          <cell r="AQ280">
            <v>0</v>
          </cell>
          <cell r="AS280">
            <v>2609.1057601751249</v>
          </cell>
          <cell r="AT280">
            <v>536.51565274207735</v>
          </cell>
          <cell r="AV280">
            <v>126.78159136424794</v>
          </cell>
          <cell r="AW280">
            <v>0</v>
          </cell>
          <cell r="AY280">
            <v>151.47835609515252</v>
          </cell>
          <cell r="AZ280">
            <v>0</v>
          </cell>
          <cell r="BB280">
            <v>158.77057002037245</v>
          </cell>
          <cell r="BC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K280">
            <v>59.149004912770224</v>
          </cell>
          <cell r="BL280">
            <v>0</v>
          </cell>
          <cell r="BN280">
            <v>0</v>
          </cell>
          <cell r="BO280">
            <v>0</v>
          </cell>
          <cell r="BT280">
            <v>1635.5688770838797</v>
          </cell>
          <cell r="BU280">
            <v>1785.5763008667514</v>
          </cell>
          <cell r="BW280">
            <v>1492.5482862868741</v>
          </cell>
          <cell r="BX280">
            <v>1747.0201120228287</v>
          </cell>
          <cell r="BZ280">
            <v>866.40217706560645</v>
          </cell>
          <cell r="CA280">
            <v>1782.9031230699279</v>
          </cell>
          <cell r="CC280">
            <v>234.2275448244915</v>
          </cell>
          <cell r="CD280">
            <v>236.81066668997715</v>
          </cell>
          <cell r="CF280">
            <v>28.834830328772625</v>
          </cell>
          <cell r="CG280">
            <v>0</v>
          </cell>
          <cell r="CI280">
            <v>514.73194237278358</v>
          </cell>
          <cell r="CJ280">
            <v>339.45932740510273</v>
          </cell>
          <cell r="CL280">
            <v>0</v>
          </cell>
          <cell r="CM280">
            <v>0</v>
          </cell>
          <cell r="CX280">
            <v>323.59137706759793</v>
          </cell>
          <cell r="CY280">
            <v>2404.9646496789883</v>
          </cell>
        </row>
        <row r="281">
          <cell r="I281">
            <v>4409.5360282952852</v>
          </cell>
          <cell r="J281">
            <v>5507.4447705922339</v>
          </cell>
          <cell r="L281">
            <v>748.37160325246532</v>
          </cell>
          <cell r="M281">
            <v>955.86302158007834</v>
          </cell>
          <cell r="O281">
            <v>1427.52</v>
          </cell>
          <cell r="P281">
            <v>1427.82</v>
          </cell>
          <cell r="R281">
            <v>362.02</v>
          </cell>
          <cell r="S281">
            <v>362.34</v>
          </cell>
          <cell r="U281">
            <v>208.3500279500883</v>
          </cell>
          <cell r="V281">
            <v>170.61472337038157</v>
          </cell>
          <cell r="X281">
            <v>1680.7795733443816</v>
          </cell>
          <cell r="Y281">
            <v>2036.4740303444</v>
          </cell>
          <cell r="AA281">
            <v>0</v>
          </cell>
          <cell r="AB281">
            <v>0</v>
          </cell>
          <cell r="AD281">
            <v>4824.8126701379779</v>
          </cell>
          <cell r="AE281">
            <v>5277.9449052171694</v>
          </cell>
          <cell r="AJ281">
            <v>8685.8007101718067</v>
          </cell>
          <cell r="AK281">
            <v>8781.5674354446237</v>
          </cell>
          <cell r="AM281">
            <v>263.07035981182185</v>
          </cell>
          <cell r="AN281">
            <v>0</v>
          </cell>
          <cell r="AP281">
            <v>883.88313336740646</v>
          </cell>
          <cell r="AQ281">
            <v>0</v>
          </cell>
          <cell r="AS281">
            <v>23156.959999999999</v>
          </cell>
          <cell r="AT281">
            <v>0</v>
          </cell>
          <cell r="AV281">
            <v>354.5053752788794</v>
          </cell>
          <cell r="AW281">
            <v>0</v>
          </cell>
          <cell r="AY281">
            <v>493.73511237688888</v>
          </cell>
          <cell r="AZ281">
            <v>0</v>
          </cell>
          <cell r="BB281">
            <v>599.00354063093062</v>
          </cell>
          <cell r="BC281">
            <v>881.57618844097578</v>
          </cell>
          <cell r="BE281">
            <v>202.16392511926523</v>
          </cell>
          <cell r="BF281">
            <v>0</v>
          </cell>
          <cell r="BH281">
            <v>105.68402349220877</v>
          </cell>
          <cell r="BI281">
            <v>0</v>
          </cell>
          <cell r="BK281">
            <v>136.87374713977206</v>
          </cell>
          <cell r="BL281">
            <v>0</v>
          </cell>
          <cell r="BN281">
            <v>0</v>
          </cell>
          <cell r="BO281">
            <v>0</v>
          </cell>
          <cell r="BT281">
            <v>7006.66</v>
          </cell>
          <cell r="BU281">
            <v>6465.0626766121659</v>
          </cell>
          <cell r="BW281">
            <v>8956.24</v>
          </cell>
          <cell r="BX281">
            <v>10087.424159175509</v>
          </cell>
          <cell r="BZ281">
            <v>2790.12</v>
          </cell>
          <cell r="CA281">
            <v>6096.207284740407</v>
          </cell>
          <cell r="CC281">
            <v>107.84859744953565</v>
          </cell>
          <cell r="CD281">
            <v>109.03797963958766</v>
          </cell>
          <cell r="CF281">
            <v>13.276815973901169</v>
          </cell>
          <cell r="CG281">
            <v>0</v>
          </cell>
          <cell r="CI281">
            <v>2214.9071459677357</v>
          </cell>
          <cell r="CJ281">
            <v>2281.9958042480202</v>
          </cell>
          <cell r="CL281">
            <v>3322.3607189516042</v>
          </cell>
          <cell r="CM281">
            <v>3424.2302581548047</v>
          </cell>
          <cell r="CX281">
            <v>1900.7202695456508</v>
          </cell>
          <cell r="CY281">
            <v>24807.376114927578</v>
          </cell>
        </row>
        <row r="282">
          <cell r="I282">
            <v>2407.9303413111493</v>
          </cell>
          <cell r="J282">
            <v>3019.6419441658782</v>
          </cell>
          <cell r="L282">
            <v>458.54087352039971</v>
          </cell>
          <cell r="M282">
            <v>585.6747528600705</v>
          </cell>
          <cell r="O282">
            <v>916.84</v>
          </cell>
          <cell r="P282">
            <v>917.06</v>
          </cell>
          <cell r="R282">
            <v>249.28</v>
          </cell>
          <cell r="S282">
            <v>249.34</v>
          </cell>
          <cell r="U282">
            <v>130.00964065633656</v>
          </cell>
          <cell r="V282">
            <v>106.46261844006062</v>
          </cell>
          <cell r="X282">
            <v>1043.277573106724</v>
          </cell>
          <cell r="Y282">
            <v>1225.4569038669347</v>
          </cell>
          <cell r="AA282">
            <v>0</v>
          </cell>
          <cell r="AB282">
            <v>0</v>
          </cell>
          <cell r="AD282">
            <v>2984.9793724873957</v>
          </cell>
          <cell r="AE282">
            <v>3280.3885251830388</v>
          </cell>
          <cell r="AJ282">
            <v>6913.0950965152351</v>
          </cell>
          <cell r="AK282">
            <v>6989.3119663893776</v>
          </cell>
          <cell r="AM282">
            <v>0</v>
          </cell>
          <cell r="AN282">
            <v>0</v>
          </cell>
          <cell r="AP282">
            <v>560.31877204540945</v>
          </cell>
          <cell r="AQ282">
            <v>0</v>
          </cell>
          <cell r="AS282">
            <v>15518.98</v>
          </cell>
          <cell r="AT282">
            <v>2628.2460662203202</v>
          </cell>
          <cell r="AV282">
            <v>180.28000083455336</v>
          </cell>
          <cell r="AW282">
            <v>2403.8535805925976</v>
          </cell>
          <cell r="AY282">
            <v>303.15280889421359</v>
          </cell>
          <cell r="AZ282">
            <v>0</v>
          </cell>
          <cell r="BB282">
            <v>375.12738273257935</v>
          </cell>
          <cell r="BC282">
            <v>0</v>
          </cell>
          <cell r="BE282">
            <v>148.4035862329026</v>
          </cell>
          <cell r="BF282">
            <v>0</v>
          </cell>
          <cell r="BH282">
            <v>65.961235315382794</v>
          </cell>
          <cell r="BI282">
            <v>0</v>
          </cell>
          <cell r="BK282">
            <v>71.693988049612315</v>
          </cell>
          <cell r="BL282">
            <v>2951.9144761069015</v>
          </cell>
          <cell r="BN282">
            <v>0</v>
          </cell>
          <cell r="BO282">
            <v>0</v>
          </cell>
          <cell r="BT282">
            <v>7718.1</v>
          </cell>
          <cell r="BU282">
            <v>6219.1986016374794</v>
          </cell>
          <cell r="BW282">
            <v>5856.88</v>
          </cell>
          <cell r="BX282">
            <v>6580.3366945522557</v>
          </cell>
          <cell r="BZ282">
            <v>1829.88</v>
          </cell>
          <cell r="CA282">
            <v>5618.3981233074128</v>
          </cell>
          <cell r="CC282">
            <v>220.59940387405018</v>
          </cell>
          <cell r="CD282">
            <v>223.03223108097473</v>
          </cell>
          <cell r="CF282">
            <v>27.157123582979661</v>
          </cell>
          <cell r="CG282">
            <v>0</v>
          </cell>
          <cell r="CI282">
            <v>4623.228718766457</v>
          </cell>
          <cell r="CJ282">
            <v>3862.9056036322136</v>
          </cell>
          <cell r="CL282">
            <v>1516.1195393525629</v>
          </cell>
          <cell r="CM282">
            <v>2170.4042036772685</v>
          </cell>
          <cell r="CX282">
            <v>979.01745126648893</v>
          </cell>
          <cell r="CY282">
            <v>7084.8684499446717</v>
          </cell>
        </row>
        <row r="283">
          <cell r="I283">
            <v>1113.5935605671871</v>
          </cell>
          <cell r="J283">
            <v>1234.6259890776164</v>
          </cell>
          <cell r="L283">
            <v>210.77646158135121</v>
          </cell>
          <cell r="M283">
            <v>231.96316690560212</v>
          </cell>
          <cell r="O283">
            <v>460.58</v>
          </cell>
          <cell r="P283">
            <v>460.58333333333337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>
            <v>609.27111061101425</v>
          </cell>
          <cell r="Y283">
            <v>583.00136008782397</v>
          </cell>
          <cell r="AA283">
            <v>0</v>
          </cell>
          <cell r="AB283">
            <v>0</v>
          </cell>
          <cell r="AD283">
            <v>1472.6676438943528</v>
          </cell>
          <cell r="AE283">
            <v>1618.4105273778657</v>
          </cell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P283">
            <v>852.31587860428476</v>
          </cell>
          <cell r="AQ283">
            <v>2302.5741827051884</v>
          </cell>
          <cell r="AS283">
            <v>2829.2121625546706</v>
          </cell>
          <cell r="AT283">
            <v>0</v>
          </cell>
          <cell r="AV283">
            <v>191.98904251927169</v>
          </cell>
          <cell r="AW283">
            <v>0</v>
          </cell>
          <cell r="AY283">
            <v>271.65683061933453</v>
          </cell>
          <cell r="AZ283">
            <v>0</v>
          </cell>
          <cell r="BB283">
            <v>267.77851529053544</v>
          </cell>
          <cell r="BC283">
            <v>378.07232362048796</v>
          </cell>
          <cell r="BE283">
            <v>0</v>
          </cell>
          <cell r="BF283">
            <v>0</v>
          </cell>
          <cell r="BH283">
            <v>0</v>
          </cell>
          <cell r="BI283">
            <v>0</v>
          </cell>
          <cell r="BK283">
            <v>79.191999924649934</v>
          </cell>
          <cell r="BL283">
            <v>0</v>
          </cell>
          <cell r="BN283">
            <v>0</v>
          </cell>
          <cell r="BO283">
            <v>0</v>
          </cell>
          <cell r="BT283">
            <v>1100.4940473618412</v>
          </cell>
          <cell r="BU283">
            <v>1466.158787498764</v>
          </cell>
          <cell r="BW283">
            <v>1717.1036891768752</v>
          </cell>
          <cell r="BX283">
            <v>2038.3905050064809</v>
          </cell>
          <cell r="BZ283">
            <v>708.76823131924061</v>
          </cell>
          <cell r="CA283">
            <v>1586.4514957185397</v>
          </cell>
          <cell r="CC283">
            <v>122.94740109247064</v>
          </cell>
          <cell r="CD283">
            <v>124.30329678912993</v>
          </cell>
          <cell r="CF283">
            <v>15.135570210247334</v>
          </cell>
          <cell r="CG283">
            <v>0</v>
          </cell>
          <cell r="CI283">
            <v>483.53606707746354</v>
          </cell>
          <cell r="CJ283">
            <v>599.57804729860675</v>
          </cell>
          <cell r="CL283">
            <v>0</v>
          </cell>
          <cell r="CM283">
            <v>0</v>
          </cell>
          <cell r="CX283">
            <v>300.31814511425364</v>
          </cell>
          <cell r="CY283">
            <v>159.80438149667316</v>
          </cell>
        </row>
        <row r="284">
          <cell r="I284">
            <v>2766.3811920269686</v>
          </cell>
          <cell r="J284">
            <v>3496.0904671145213</v>
          </cell>
          <cell r="L284">
            <v>566.29631222116154</v>
          </cell>
          <cell r="M284">
            <v>723.30643010240783</v>
          </cell>
          <cell r="O284">
            <v>1168.56</v>
          </cell>
          <cell r="P284">
            <v>1168.42</v>
          </cell>
          <cell r="R284">
            <v>0</v>
          </cell>
          <cell r="S284">
            <v>0</v>
          </cell>
          <cell r="U284">
            <v>215.74518364026076</v>
          </cell>
          <cell r="V284">
            <v>176.67061747960003</v>
          </cell>
          <cell r="X284">
            <v>2245.766570348344</v>
          </cell>
          <cell r="Y284">
            <v>2709.3204841195356</v>
          </cell>
          <cell r="AA284">
            <v>0</v>
          </cell>
          <cell r="AB284">
            <v>0</v>
          </cell>
          <cell r="AD284">
            <v>4248.2524198148585</v>
          </cell>
          <cell r="AE284">
            <v>4798.5304342109466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P284">
            <v>2225.4914608000768</v>
          </cell>
          <cell r="AQ284">
            <v>0</v>
          </cell>
          <cell r="AS284">
            <v>11865.297829181649</v>
          </cell>
          <cell r="AT284">
            <v>167.61241105942892</v>
          </cell>
          <cell r="AV284">
            <v>456.80205837427036</v>
          </cell>
          <cell r="AW284">
            <v>0</v>
          </cell>
          <cell r="AY284">
            <v>729.89882423528786</v>
          </cell>
          <cell r="AZ284">
            <v>0</v>
          </cell>
          <cell r="BB284">
            <v>431.56064698254022</v>
          </cell>
          <cell r="BC284">
            <v>0</v>
          </cell>
          <cell r="BE284">
            <v>0</v>
          </cell>
          <cell r="BF284">
            <v>0</v>
          </cell>
          <cell r="BH284">
            <v>218.86472282667671</v>
          </cell>
          <cell r="BI284">
            <v>0</v>
          </cell>
          <cell r="BK284">
            <v>332.1874362013159</v>
          </cell>
          <cell r="BL284">
            <v>0</v>
          </cell>
          <cell r="BN284">
            <v>0</v>
          </cell>
          <cell r="BO284">
            <v>0</v>
          </cell>
          <cell r="BT284">
            <v>7168.1078983121715</v>
          </cell>
          <cell r="BU284">
            <v>6470.0210701686556</v>
          </cell>
          <cell r="BW284">
            <v>4387.1142673102959</v>
          </cell>
          <cell r="BX284">
            <v>4861.6556857761116</v>
          </cell>
          <cell r="BZ284">
            <v>1661.9082932129347</v>
          </cell>
          <cell r="CA284">
            <v>5822.3357231132786</v>
          </cell>
          <cell r="CC284">
            <v>178.9306275867296</v>
          </cell>
          <cell r="CD284">
            <v>180.90392076567949</v>
          </cell>
          <cell r="CF284">
            <v>22.027444683972391</v>
          </cell>
          <cell r="CG284">
            <v>0</v>
          </cell>
          <cell r="CI284">
            <v>184.0556642423893</v>
          </cell>
          <cell r="CJ284">
            <v>661.47608913223894</v>
          </cell>
          <cell r="CL284">
            <v>0</v>
          </cell>
          <cell r="CM284">
            <v>0</v>
          </cell>
          <cell r="CX284">
            <v>3203.3013775977161</v>
          </cell>
          <cell r="CY284">
            <v>15007.588000349111</v>
          </cell>
        </row>
        <row r="285">
          <cell r="I285">
            <v>778.91177143626908</v>
          </cell>
          <cell r="J285">
            <v>863.82507518307068</v>
          </cell>
          <cell r="L285">
            <v>119.14799437597647</v>
          </cell>
          <cell r="M285">
            <v>131.12377427326498</v>
          </cell>
          <cell r="O285">
            <v>345.54</v>
          </cell>
          <cell r="P285">
            <v>345.53333333333336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X285">
            <v>494.95930459311847</v>
          </cell>
          <cell r="Y285">
            <v>459.93882270380465</v>
          </cell>
          <cell r="AA285">
            <v>0</v>
          </cell>
          <cell r="AB285">
            <v>0</v>
          </cell>
          <cell r="AD285">
            <v>1035.3213419064678</v>
          </cell>
          <cell r="AE285">
            <v>1137.7821505804807</v>
          </cell>
          <cell r="AJ285">
            <v>0</v>
          </cell>
          <cell r="AK285">
            <v>0</v>
          </cell>
          <cell r="AM285">
            <v>0</v>
          </cell>
          <cell r="AN285">
            <v>0</v>
          </cell>
          <cell r="AP285">
            <v>757.61411431491979</v>
          </cell>
          <cell r="AQ285">
            <v>0</v>
          </cell>
          <cell r="AS285">
            <v>2733.687474040727</v>
          </cell>
          <cell r="AT285">
            <v>0</v>
          </cell>
          <cell r="AV285">
            <v>124.57062080146615</v>
          </cell>
          <cell r="AW285">
            <v>0</v>
          </cell>
          <cell r="AY285">
            <v>153.61481567386699</v>
          </cell>
          <cell r="AZ285">
            <v>0</v>
          </cell>
          <cell r="BB285">
            <v>172.42294749368233</v>
          </cell>
          <cell r="BC285">
            <v>0</v>
          </cell>
          <cell r="BE285">
            <v>0</v>
          </cell>
          <cell r="BF285">
            <v>0</v>
          </cell>
          <cell r="BH285">
            <v>0</v>
          </cell>
          <cell r="BI285">
            <v>0</v>
          </cell>
          <cell r="BK285">
            <v>60.056140153587386</v>
          </cell>
          <cell r="BL285">
            <v>0</v>
          </cell>
          <cell r="BN285">
            <v>0</v>
          </cell>
          <cell r="BO285">
            <v>0</v>
          </cell>
          <cell r="BT285">
            <v>1576.9685222086114</v>
          </cell>
          <cell r="BU285">
            <v>1701.7356210205508</v>
          </cell>
          <cell r="BW285">
            <v>1593.8418223367955</v>
          </cell>
          <cell r="BX285">
            <v>1872.5193831283386</v>
          </cell>
          <cell r="BZ285">
            <v>798.09798557892361</v>
          </cell>
          <cell r="CA285">
            <v>1694.3571384489119</v>
          </cell>
          <cell r="CC285">
            <v>241.43379201771046</v>
          </cell>
          <cell r="CD285">
            <v>244.09638623862236</v>
          </cell>
          <cell r="CF285">
            <v>29.721963032483295</v>
          </cell>
          <cell r="CG285">
            <v>0</v>
          </cell>
          <cell r="CI285">
            <v>520.9711174318478</v>
          </cell>
          <cell r="CJ285">
            <v>599.67869400562631</v>
          </cell>
          <cell r="CL285">
            <v>0</v>
          </cell>
          <cell r="CM285">
            <v>0</v>
          </cell>
          <cell r="CX285">
            <v>205.86192712425873</v>
          </cell>
          <cell r="CY285">
            <v>3189.4115453007962</v>
          </cell>
        </row>
        <row r="286">
          <cell r="I286">
            <v>2435.3227992771217</v>
          </cell>
          <cell r="J286">
            <v>2700.1793323406837</v>
          </cell>
          <cell r="L286">
            <v>475.16003304258925</v>
          </cell>
          <cell r="M286">
            <v>522.92117761709778</v>
          </cell>
          <cell r="O286">
            <v>921.6</v>
          </cell>
          <cell r="P286">
            <v>921.58333333333348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X286">
            <v>1732.8550417264596</v>
          </cell>
          <cell r="Y286">
            <v>1699.3882273456825</v>
          </cell>
          <cell r="AA286">
            <v>0</v>
          </cell>
          <cell r="AB286">
            <v>0</v>
          </cell>
          <cell r="AD286">
            <v>3001.7121265540004</v>
          </cell>
          <cell r="AE286">
            <v>3298.5344588483404</v>
          </cell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P286">
            <v>2130.789696510712</v>
          </cell>
          <cell r="AQ286">
            <v>0</v>
          </cell>
          <cell r="AS286">
            <v>8823.0796166398486</v>
          </cell>
          <cell r="AT286">
            <v>5455.5351075463523</v>
          </cell>
          <cell r="AV286">
            <v>390.20101697689392</v>
          </cell>
          <cell r="AW286">
            <v>2623.5444295781217</v>
          </cell>
          <cell r="AY286">
            <v>612.42978423362774</v>
          </cell>
          <cell r="AZ286">
            <v>0</v>
          </cell>
          <cell r="BB286">
            <v>498.54465057686645</v>
          </cell>
          <cell r="BC286">
            <v>0</v>
          </cell>
          <cell r="BE286">
            <v>0</v>
          </cell>
          <cell r="BF286">
            <v>0</v>
          </cell>
          <cell r="BH286">
            <v>0</v>
          </cell>
          <cell r="BI286">
            <v>0</v>
          </cell>
          <cell r="BK286">
            <v>242.89648827755306</v>
          </cell>
          <cell r="BL286">
            <v>0</v>
          </cell>
          <cell r="BN286">
            <v>0</v>
          </cell>
          <cell r="BO286">
            <v>0</v>
          </cell>
          <cell r="BT286">
            <v>5446.3230803184488</v>
          </cell>
          <cell r="BU286">
            <v>5473.4611563855342</v>
          </cell>
          <cell r="BW286">
            <v>3565.4750207439934</v>
          </cell>
          <cell r="BX286">
            <v>4223.4997105879484</v>
          </cell>
          <cell r="BZ286">
            <v>2263.10734108937</v>
          </cell>
          <cell r="CA286">
            <v>5275.2577349098938</v>
          </cell>
          <cell r="CC286">
            <v>128.78102977269552</v>
          </cell>
          <cell r="CD286">
            <v>130.20126023327126</v>
          </cell>
          <cell r="CF286">
            <v>15.853725256108348</v>
          </cell>
          <cell r="CG286">
            <v>0</v>
          </cell>
          <cell r="CI286">
            <v>692.54843155610899</v>
          </cell>
          <cell r="CJ286">
            <v>582.31664569327518</v>
          </cell>
          <cell r="CL286">
            <v>0</v>
          </cell>
          <cell r="CM286">
            <v>0</v>
          </cell>
          <cell r="CX286">
            <v>1.1641409371295595</v>
          </cell>
          <cell r="CY286">
            <v>565.47291069656058</v>
          </cell>
        </row>
        <row r="287">
          <cell r="I287">
            <v>2009.5059052545041</v>
          </cell>
          <cell r="J287">
            <v>2221.114962812268</v>
          </cell>
          <cell r="L287">
            <v>380.52254474762248</v>
          </cell>
          <cell r="M287">
            <v>418.77112677670232</v>
          </cell>
          <cell r="O287">
            <v>693.02</v>
          </cell>
          <cell r="P287">
            <v>693.01666666666665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>
            <v>1241.9147834079502</v>
          </cell>
          <cell r="Y287">
            <v>1202.0185140102999</v>
          </cell>
          <cell r="AA287">
            <v>0</v>
          </cell>
          <cell r="AB287">
            <v>0</v>
          </cell>
          <cell r="AD287">
            <v>2283.0089832954022</v>
          </cell>
          <cell r="AE287">
            <v>2508.9474790746335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P287">
            <v>1894.0352857872995</v>
          </cell>
          <cell r="AQ287">
            <v>0</v>
          </cell>
          <cell r="AS287">
            <v>6667.8872003906527</v>
          </cell>
          <cell r="AT287">
            <v>0</v>
          </cell>
          <cell r="AV287">
            <v>317.84533244161025</v>
          </cell>
          <cell r="AW287">
            <v>0</v>
          </cell>
          <cell r="AY287">
            <v>490.42556714245251</v>
          </cell>
          <cell r="AZ287">
            <v>0</v>
          </cell>
          <cell r="BB287">
            <v>435.35818498390751</v>
          </cell>
          <cell r="BC287">
            <v>0</v>
          </cell>
          <cell r="BE287">
            <v>0</v>
          </cell>
          <cell r="BF287">
            <v>0</v>
          </cell>
          <cell r="BH287">
            <v>0</v>
          </cell>
          <cell r="BI287">
            <v>0</v>
          </cell>
          <cell r="BK287">
            <v>174.41860241614506</v>
          </cell>
          <cell r="BL287">
            <v>0</v>
          </cell>
          <cell r="BN287">
            <v>0</v>
          </cell>
          <cell r="BO287">
            <v>0</v>
          </cell>
          <cell r="BT287">
            <v>5498.9202187760247</v>
          </cell>
          <cell r="BU287">
            <v>5080.6617952939405</v>
          </cell>
          <cell r="BW287">
            <v>2916.7450961684772</v>
          </cell>
          <cell r="BX287">
            <v>3566.0622378980479</v>
          </cell>
          <cell r="BZ287">
            <v>1705.338474807229</v>
          </cell>
          <cell r="CA287">
            <v>4900.170175432987</v>
          </cell>
          <cell r="CC287">
            <v>346.58617453100771</v>
          </cell>
          <cell r="CD287">
            <v>350.40841638722026</v>
          </cell>
          <cell r="CF287">
            <v>42.666858607036936</v>
          </cell>
          <cell r="CG287">
            <v>0</v>
          </cell>
          <cell r="CI287">
            <v>467.93812942980344</v>
          </cell>
          <cell r="CJ287">
            <v>468.34252359329207</v>
          </cell>
          <cell r="CL287">
            <v>0</v>
          </cell>
          <cell r="CM287">
            <v>0</v>
          </cell>
          <cell r="CX287">
            <v>-1.3048106245478266</v>
          </cell>
          <cell r="CY287">
            <v>7386.643322464728</v>
          </cell>
        </row>
        <row r="288">
          <cell r="I288">
            <v>832.7926803702386</v>
          </cell>
          <cell r="J288">
            <v>927.17966736883966</v>
          </cell>
          <cell r="L288">
            <v>148.29313894513984</v>
          </cell>
          <cell r="M288">
            <v>163.19916773166716</v>
          </cell>
          <cell r="O288">
            <v>385.62</v>
          </cell>
          <cell r="P288">
            <v>385.61666666666667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X288">
            <v>470.0163864930384</v>
          </cell>
          <cell r="Y288">
            <v>436.03147907403172</v>
          </cell>
          <cell r="AA288">
            <v>0</v>
          </cell>
          <cell r="AB288">
            <v>0</v>
          </cell>
          <cell r="AD288">
            <v>1145.3527400275848</v>
          </cell>
          <cell r="AE288">
            <v>1224.0869365069461</v>
          </cell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P288">
            <v>639.23690895321363</v>
          </cell>
          <cell r="AQ288">
            <v>0</v>
          </cell>
          <cell r="AS288">
            <v>2316.5467020425285</v>
          </cell>
          <cell r="AT288">
            <v>779.05775634060751</v>
          </cell>
          <cell r="AV288">
            <v>137.88486578757917</v>
          </cell>
          <cell r="AW288">
            <v>0</v>
          </cell>
          <cell r="AY288">
            <v>191.12025839548414</v>
          </cell>
          <cell r="AZ288">
            <v>0</v>
          </cell>
          <cell r="BB288">
            <v>164.78563296374301</v>
          </cell>
          <cell r="BC288">
            <v>0</v>
          </cell>
          <cell r="BE288">
            <v>0</v>
          </cell>
          <cell r="BF288">
            <v>0</v>
          </cell>
          <cell r="BH288">
            <v>0</v>
          </cell>
          <cell r="BI288">
            <v>1255.0218409575091</v>
          </cell>
          <cell r="BK288">
            <v>56.288526279835082</v>
          </cell>
          <cell r="BL288">
            <v>0</v>
          </cell>
          <cell r="BN288">
            <v>0</v>
          </cell>
          <cell r="BO288">
            <v>0</v>
          </cell>
          <cell r="BT288">
            <v>909.73922671289483</v>
          </cell>
          <cell r="BU288">
            <v>1146.7885456192998</v>
          </cell>
          <cell r="BW288">
            <v>1866.8021391367986</v>
          </cell>
          <cell r="BX288">
            <v>2200.3322856881023</v>
          </cell>
          <cell r="BZ288">
            <v>580.75627757828238</v>
          </cell>
          <cell r="CA288">
            <v>1172.2766261037186</v>
          </cell>
          <cell r="CC288">
            <v>244.96338247969527</v>
          </cell>
          <cell r="CD288">
            <v>247.66490193591795</v>
          </cell>
          <cell r="CF288">
            <v>30.15647700981097</v>
          </cell>
          <cell r="CG288">
            <v>0</v>
          </cell>
          <cell r="CI288">
            <v>140.38143882894101</v>
          </cell>
          <cell r="CJ288">
            <v>210.62645457042322</v>
          </cell>
          <cell r="CL288">
            <v>0</v>
          </cell>
          <cell r="CM288">
            <v>0</v>
          </cell>
          <cell r="CX288">
            <v>23.935861594232847</v>
          </cell>
          <cell r="CY288">
            <v>159.36120572352502</v>
          </cell>
        </row>
        <row r="289">
          <cell r="I289">
            <v>1928.3163278998504</v>
          </cell>
          <cell r="J289">
            <v>2419.6685037138577</v>
          </cell>
          <cell r="L289">
            <v>382.93870188124436</v>
          </cell>
          <cell r="M289">
            <v>489.1121161495426</v>
          </cell>
          <cell r="O289">
            <v>863.78</v>
          </cell>
          <cell r="P289">
            <v>863.88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>
            <v>1330.9268406679189</v>
          </cell>
          <cell r="Y289">
            <v>1545.0368155278557</v>
          </cell>
          <cell r="AA289">
            <v>0</v>
          </cell>
          <cell r="AB289">
            <v>0</v>
          </cell>
          <cell r="AD289">
            <v>2643.8464063824895</v>
          </cell>
          <cell r="AE289">
            <v>2905.8868411342501</v>
          </cell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P289">
            <v>1562.5791107745222</v>
          </cell>
          <cell r="AQ289">
            <v>4173.4157061531532</v>
          </cell>
          <cell r="AS289">
            <v>6590.1876472866888</v>
          </cell>
          <cell r="AT289">
            <v>466.34878676889542</v>
          </cell>
          <cell r="AV289">
            <v>315.60276808607239</v>
          </cell>
          <cell r="AW289">
            <v>1105.4626722118337</v>
          </cell>
          <cell r="AY289">
            <v>493.55253641226898</v>
          </cell>
          <cell r="AZ289">
            <v>0</v>
          </cell>
          <cell r="BB289">
            <v>328.5099679824072</v>
          </cell>
          <cell r="BC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K289">
            <v>230.25583944896033</v>
          </cell>
          <cell r="BL289">
            <v>0</v>
          </cell>
          <cell r="BN289">
            <v>0</v>
          </cell>
          <cell r="BO289">
            <v>0</v>
          </cell>
          <cell r="BT289">
            <v>4319.1874490223454</v>
          </cell>
          <cell r="BU289">
            <v>2639.6618264754843</v>
          </cell>
          <cell r="BW289">
            <v>2861.2059009833047</v>
          </cell>
          <cell r="BX289">
            <v>1508.6622827179724</v>
          </cell>
          <cell r="BZ289">
            <v>886.00491948582101</v>
          </cell>
          <cell r="CA289">
            <v>2082.0776507053088</v>
          </cell>
          <cell r="CC289">
            <v>208.02523785322933</v>
          </cell>
          <cell r="CD289">
            <v>210.31939390935918</v>
          </cell>
          <cell r="CF289">
            <v>25.609167538749819</v>
          </cell>
          <cell r="CG289">
            <v>0</v>
          </cell>
          <cell r="CI289">
            <v>524.09070496137974</v>
          </cell>
          <cell r="CJ289">
            <v>897.9205637939599</v>
          </cell>
          <cell r="CL289">
            <v>0</v>
          </cell>
          <cell r="CM289">
            <v>0</v>
          </cell>
          <cell r="CX289">
            <v>1532.3365679992967</v>
          </cell>
          <cell r="CY289">
            <v>6556.9362088862326</v>
          </cell>
        </row>
        <row r="290">
          <cell r="I290">
            <v>1383.7525259095701</v>
          </cell>
          <cell r="J290">
            <v>1528.9699452752511</v>
          </cell>
          <cell r="L290">
            <v>285.09639560254317</v>
          </cell>
          <cell r="M290">
            <v>313.75270657025874</v>
          </cell>
          <cell r="O290">
            <v>543.29999999999995</v>
          </cell>
          <cell r="P290">
            <v>543.30000000000007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X290">
            <v>1239.5354138387061</v>
          </cell>
          <cell r="Y290">
            <v>1193.5020229184497</v>
          </cell>
          <cell r="AA290">
            <v>0</v>
          </cell>
          <cell r="AB290">
            <v>0</v>
          </cell>
          <cell r="AD290">
            <v>1935.5264073636886</v>
          </cell>
          <cell r="AE290">
            <v>2154.6436210607226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P290">
            <v>781.28955538726109</v>
          </cell>
          <cell r="AQ290">
            <v>0</v>
          </cell>
          <cell r="AS290">
            <v>5037.6354411843131</v>
          </cell>
          <cell r="AT290">
            <v>0</v>
          </cell>
          <cell r="AV290">
            <v>248.84834163653545</v>
          </cell>
          <cell r="AW290">
            <v>0</v>
          </cell>
          <cell r="AY290">
            <v>367.47921774916153</v>
          </cell>
          <cell r="AZ290">
            <v>0</v>
          </cell>
          <cell r="BB290">
            <v>237.8926264600704</v>
          </cell>
          <cell r="BC290">
            <v>480.39198214586401</v>
          </cell>
          <cell r="BE290">
            <v>0</v>
          </cell>
          <cell r="BF290">
            <v>0</v>
          </cell>
          <cell r="BH290">
            <v>0</v>
          </cell>
          <cell r="BI290">
            <v>0</v>
          </cell>
          <cell r="BK290">
            <v>169.9247496489308</v>
          </cell>
          <cell r="BL290">
            <v>0</v>
          </cell>
          <cell r="BN290">
            <v>0</v>
          </cell>
          <cell r="BO290">
            <v>0</v>
          </cell>
          <cell r="BT290">
            <v>3289.6468412217719</v>
          </cell>
          <cell r="BU290">
            <v>3699.8513998095514</v>
          </cell>
          <cell r="BW290">
            <v>2473.1689425710824</v>
          </cell>
          <cell r="BX290">
            <v>2891.322154878319</v>
          </cell>
          <cell r="BZ290">
            <v>1780.4120040457667</v>
          </cell>
          <cell r="CA290">
            <v>3679.9037514491592</v>
          </cell>
          <cell r="CC290">
            <v>293.98547222948423</v>
          </cell>
          <cell r="CD290">
            <v>297.22761995391232</v>
          </cell>
          <cell r="CF290">
            <v>36.191393361584232</v>
          </cell>
          <cell r="CG290">
            <v>0</v>
          </cell>
          <cell r="CI290">
            <v>733.10306944002537</v>
          </cell>
          <cell r="CJ290">
            <v>356.81131104675171</v>
          </cell>
          <cell r="CL290">
            <v>0</v>
          </cell>
          <cell r="CM290">
            <v>0</v>
          </cell>
          <cell r="CX290">
            <v>851.55392281941022</v>
          </cell>
          <cell r="CY290">
            <v>5288.0881818701146</v>
          </cell>
        </row>
        <row r="291">
          <cell r="I291">
            <v>322.88297423746343</v>
          </cell>
          <cell r="J291">
            <v>393.15876506868733</v>
          </cell>
          <cell r="L291">
            <v>55.726875880848588</v>
          </cell>
          <cell r="M291">
            <v>71.17793834500749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X291">
            <v>63.034244557186227</v>
          </cell>
          <cell r="Y291">
            <v>75.018583964899847</v>
          </cell>
          <cell r="AA291">
            <v>0</v>
          </cell>
          <cell r="AB291">
            <v>0</v>
          </cell>
          <cell r="AD291">
            <v>214.29042367240837</v>
          </cell>
          <cell r="AE291">
            <v>234.87119146412869</v>
          </cell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P291">
            <v>157.83627381560828</v>
          </cell>
          <cell r="AQ291">
            <v>0</v>
          </cell>
          <cell r="AS291">
            <v>585.00448907763837</v>
          </cell>
          <cell r="AT291">
            <v>0</v>
          </cell>
          <cell r="AV291">
            <v>62.42080348743935</v>
          </cell>
          <cell r="AW291">
            <v>0</v>
          </cell>
          <cell r="AY291">
            <v>71.825475826829646</v>
          </cell>
          <cell r="AZ291">
            <v>0</v>
          </cell>
          <cell r="BB291">
            <v>0</v>
          </cell>
          <cell r="BC291">
            <v>0</v>
          </cell>
          <cell r="BE291">
            <v>0</v>
          </cell>
          <cell r="BF291">
            <v>0</v>
          </cell>
          <cell r="BH291">
            <v>0</v>
          </cell>
          <cell r="BI291">
            <v>0</v>
          </cell>
          <cell r="BK291">
            <v>9.8614351170038965</v>
          </cell>
          <cell r="BL291">
            <v>0</v>
          </cell>
          <cell r="BN291">
            <v>0</v>
          </cell>
          <cell r="BO291">
            <v>0</v>
          </cell>
          <cell r="BT291">
            <v>631.57591838490885</v>
          </cell>
          <cell r="BU291">
            <v>390.1373208222152</v>
          </cell>
          <cell r="BW291">
            <v>365.5818688913136</v>
          </cell>
          <cell r="BX291">
            <v>181.76806784635312</v>
          </cell>
          <cell r="BZ291">
            <v>62.957674087613753</v>
          </cell>
          <cell r="CA291">
            <v>370.58983232336107</v>
          </cell>
          <cell r="CC291">
            <v>0</v>
          </cell>
          <cell r="CD291">
            <v>0</v>
          </cell>
          <cell r="CF291">
            <v>0</v>
          </cell>
          <cell r="CG291">
            <v>0</v>
          </cell>
          <cell r="CI291">
            <v>0</v>
          </cell>
          <cell r="CJ291">
            <v>0</v>
          </cell>
          <cell r="CL291">
            <v>0</v>
          </cell>
          <cell r="CM291">
            <v>0</v>
          </cell>
          <cell r="CX291">
            <v>71.921851556485308</v>
          </cell>
          <cell r="CY291">
            <v>1135.453960198417</v>
          </cell>
        </row>
        <row r="292">
          <cell r="I292">
            <v>1027.9168494282924</v>
          </cell>
          <cell r="J292">
            <v>1142.8721417325407</v>
          </cell>
          <cell r="L292">
            <v>194.40384537113721</v>
          </cell>
          <cell r="M292">
            <v>213.94450256010376</v>
          </cell>
          <cell r="O292">
            <v>456.46</v>
          </cell>
          <cell r="P292">
            <v>456.4666666666667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>
            <v>546.22935805347265</v>
          </cell>
          <cell r="Y292">
            <v>516.88029809332841</v>
          </cell>
          <cell r="AA292">
            <v>0</v>
          </cell>
          <cell r="AB292">
            <v>0</v>
          </cell>
          <cell r="AD292">
            <v>1390.2153591624019</v>
          </cell>
          <cell r="AE292">
            <v>1527.7983338053425</v>
          </cell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P292">
            <v>899.66676074896725</v>
          </cell>
          <cell r="AQ292">
            <v>0</v>
          </cell>
          <cell r="AS292">
            <v>2271.9955234672261</v>
          </cell>
          <cell r="AT292">
            <v>0</v>
          </cell>
          <cell r="AV292">
            <v>169.7904243905044</v>
          </cell>
          <cell r="AW292">
            <v>0</v>
          </cell>
          <cell r="AY292">
            <v>250.58315269130659</v>
          </cell>
          <cell r="AZ292">
            <v>0</v>
          </cell>
          <cell r="BB292">
            <v>248.87608838806503</v>
          </cell>
          <cell r="BC292">
            <v>0</v>
          </cell>
          <cell r="BE292">
            <v>0</v>
          </cell>
          <cell r="BF292">
            <v>0</v>
          </cell>
          <cell r="BH292">
            <v>0</v>
          </cell>
          <cell r="BI292">
            <v>0</v>
          </cell>
          <cell r="BK292">
            <v>69.694336541971353</v>
          </cell>
          <cell r="BL292">
            <v>0</v>
          </cell>
          <cell r="BN292">
            <v>0</v>
          </cell>
          <cell r="BO292">
            <v>0</v>
          </cell>
          <cell r="BT292">
            <v>3503.2805051570626</v>
          </cell>
          <cell r="BU292">
            <v>3271.3002691298907</v>
          </cell>
          <cell r="BW292">
            <v>1509.1538510472581</v>
          </cell>
          <cell r="BX292">
            <v>1805.5825400730905</v>
          </cell>
          <cell r="BZ292">
            <v>1131.8905631511575</v>
          </cell>
          <cell r="CA292">
            <v>3182.9157633647992</v>
          </cell>
          <cell r="CC292">
            <v>138.73251399190266</v>
          </cell>
          <cell r="CD292">
            <v>140.2624919909241</v>
          </cell>
          <cell r="CF292">
            <v>17.078813275518321</v>
          </cell>
          <cell r="CG292">
            <v>0</v>
          </cell>
          <cell r="CI292">
            <v>1182.3236736926367</v>
          </cell>
          <cell r="CJ292">
            <v>488.12735211768199</v>
          </cell>
          <cell r="CL292">
            <v>0</v>
          </cell>
          <cell r="CM292">
            <v>0</v>
          </cell>
          <cell r="CX292">
            <v>360.19005772934179</v>
          </cell>
          <cell r="CY292">
            <v>3074.7595685587567</v>
          </cell>
        </row>
        <row r="293">
          <cell r="I293">
            <v>2435.3227992771217</v>
          </cell>
          <cell r="J293">
            <v>2704.8532788048196</v>
          </cell>
          <cell r="L293">
            <v>475.70255903397566</v>
          </cell>
          <cell r="M293">
            <v>523.51818155625585</v>
          </cell>
          <cell r="O293">
            <v>960.84</v>
          </cell>
          <cell r="P293">
            <v>960.85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1687.3388704359256</v>
          </cell>
          <cell r="Y293">
            <v>1655.1293115237809</v>
          </cell>
          <cell r="AA293">
            <v>0</v>
          </cell>
          <cell r="AB293">
            <v>0</v>
          </cell>
          <cell r="AD293">
            <v>3150.3614098058383</v>
          </cell>
          <cell r="AE293">
            <v>3566.4552144331296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2107.1142554383709</v>
          </cell>
          <cell r="AQ293">
            <v>0</v>
          </cell>
          <cell r="AS293">
            <v>7936.3886563973701</v>
          </cell>
          <cell r="AT293">
            <v>0</v>
          </cell>
          <cell r="AV293">
            <v>390.20101697689392</v>
          </cell>
          <cell r="AW293">
            <v>978.53170462048797</v>
          </cell>
          <cell r="AY293">
            <v>613.10965860365957</v>
          </cell>
          <cell r="AZ293">
            <v>0</v>
          </cell>
          <cell r="BB293">
            <v>465.95764131857197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  <cell r="BK293">
            <v>242.89646399461824</v>
          </cell>
          <cell r="BL293">
            <v>0</v>
          </cell>
          <cell r="BN293">
            <v>0</v>
          </cell>
          <cell r="BO293">
            <v>0</v>
          </cell>
          <cell r="BT293">
            <v>4895.3771267205602</v>
          </cell>
          <cell r="BU293">
            <v>5096.5076879658</v>
          </cell>
          <cell r="BW293">
            <v>3593.4220142755858</v>
          </cell>
          <cell r="BX293">
            <v>4271.7400066111377</v>
          </cell>
          <cell r="BZ293">
            <v>2086.1996741236608</v>
          </cell>
          <cell r="CA293">
            <v>4986.033023563321</v>
          </cell>
          <cell r="CC293">
            <v>337.90926464529508</v>
          </cell>
          <cell r="CD293">
            <v>341.63581529803525</v>
          </cell>
          <cell r="CF293">
            <v>41.598678412773069</v>
          </cell>
          <cell r="CG293">
            <v>0</v>
          </cell>
          <cell r="CI293">
            <v>979.55048427305508</v>
          </cell>
          <cell r="CJ293">
            <v>778.084349529002</v>
          </cell>
          <cell r="CL293">
            <v>0</v>
          </cell>
          <cell r="CM293">
            <v>0</v>
          </cell>
          <cell r="CX293">
            <v>2636.5713115200633</v>
          </cell>
          <cell r="CY293">
            <v>10479.713711313081</v>
          </cell>
        </row>
        <row r="294">
          <cell r="I294">
            <v>1391.3736070871398</v>
          </cell>
          <cell r="J294">
            <v>1545.1208975482477</v>
          </cell>
          <cell r="L294">
            <v>256.24576328109225</v>
          </cell>
          <cell r="M294">
            <v>282.00295162412459</v>
          </cell>
          <cell r="O294">
            <v>581.58000000000004</v>
          </cell>
          <cell r="P294">
            <v>581.74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801.1580031402101</v>
          </cell>
          <cell r="Y294">
            <v>777.70221908660778</v>
          </cell>
          <cell r="AA294">
            <v>0</v>
          </cell>
          <cell r="AB294">
            <v>0</v>
          </cell>
          <cell r="AD294">
            <v>1812.3397008920804</v>
          </cell>
          <cell r="AE294">
            <v>1991.6983056354925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1089.0702893276973</v>
          </cell>
          <cell r="AQ294">
            <v>3156.7068065687367</v>
          </cell>
          <cell r="AS294">
            <v>6146.015088983142</v>
          </cell>
          <cell r="AT294">
            <v>587.15857646757991</v>
          </cell>
          <cell r="AV294">
            <v>234.32748203760042</v>
          </cell>
          <cell r="AW294">
            <v>503.99848642048795</v>
          </cell>
          <cell r="AY294">
            <v>330.23603295962948</v>
          </cell>
          <cell r="AZ294">
            <v>0</v>
          </cell>
          <cell r="BB294">
            <v>294.64577629970915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  <cell r="BK294">
            <v>110.74602375906008</v>
          </cell>
          <cell r="BL294">
            <v>0</v>
          </cell>
          <cell r="BN294">
            <v>0</v>
          </cell>
          <cell r="BO294">
            <v>0</v>
          </cell>
          <cell r="BT294">
            <v>3189.5300164076129</v>
          </cell>
          <cell r="BU294">
            <v>3315.7132671740183</v>
          </cell>
          <cell r="BW294">
            <v>1598.8032824644117</v>
          </cell>
          <cell r="BX294">
            <v>1717.89471903308</v>
          </cell>
          <cell r="BZ294">
            <v>1812.1306016169046</v>
          </cell>
          <cell r="CA294">
            <v>2941.2475745469119</v>
          </cell>
          <cell r="CC294">
            <v>0</v>
          </cell>
          <cell r="CD294">
            <v>0</v>
          </cell>
          <cell r="CF294">
            <v>0</v>
          </cell>
          <cell r="CG294">
            <v>0</v>
          </cell>
          <cell r="CI294">
            <v>1035.7030598046313</v>
          </cell>
          <cell r="CJ294">
            <v>768.22212927891292</v>
          </cell>
          <cell r="CL294">
            <v>0</v>
          </cell>
          <cell r="CM294">
            <v>0</v>
          </cell>
          <cell r="CX294">
            <v>1129.2343263268922</v>
          </cell>
          <cell r="CY294">
            <v>4146.8728799389555</v>
          </cell>
        </row>
        <row r="295">
          <cell r="I295">
            <v>1675.5350396727472</v>
          </cell>
          <cell r="J295">
            <v>1863.4025399427985</v>
          </cell>
          <cell r="L295">
            <v>329.38184827529136</v>
          </cell>
          <cell r="M295">
            <v>362.48993723970909</v>
          </cell>
          <cell r="O295">
            <v>608.5</v>
          </cell>
          <cell r="P295">
            <v>608.32000000000005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X295">
            <v>1075.6045586748592</v>
          </cell>
          <cell r="Y295">
            <v>1039.129760904656</v>
          </cell>
          <cell r="AA295">
            <v>0</v>
          </cell>
          <cell r="AB295">
            <v>0</v>
          </cell>
          <cell r="AD295">
            <v>2137.0320947518171</v>
          </cell>
          <cell r="AE295">
            <v>2350.0119685853697</v>
          </cell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P295">
            <v>1515.2282286298396</v>
          </cell>
          <cell r="AQ295">
            <v>0</v>
          </cell>
          <cell r="AS295">
            <v>5643.5687996202159</v>
          </cell>
          <cell r="AT295">
            <v>58.580582563211053</v>
          </cell>
          <cell r="AV295">
            <v>268.60745020669066</v>
          </cell>
          <cell r="AW295">
            <v>0</v>
          </cell>
          <cell r="AY295">
            <v>424.54339453418447</v>
          </cell>
          <cell r="AZ295">
            <v>0</v>
          </cell>
          <cell r="BB295">
            <v>279.86139543396388</v>
          </cell>
          <cell r="BC295">
            <v>0</v>
          </cell>
          <cell r="BE295">
            <v>0</v>
          </cell>
          <cell r="BF295">
            <v>0</v>
          </cell>
          <cell r="BH295">
            <v>0</v>
          </cell>
          <cell r="BI295">
            <v>0</v>
          </cell>
          <cell r="BK295">
            <v>152.85067587953245</v>
          </cell>
          <cell r="BL295">
            <v>0</v>
          </cell>
          <cell r="BN295">
            <v>0</v>
          </cell>
          <cell r="BO295">
            <v>0</v>
          </cell>
          <cell r="BT295">
            <v>3541.1002959785565</v>
          </cell>
          <cell r="BU295">
            <v>3535.9336357706902</v>
          </cell>
          <cell r="BW295">
            <v>2098.507205764322</v>
          </cell>
          <cell r="BX295">
            <v>2123.9884562601274</v>
          </cell>
          <cell r="BZ295">
            <v>1767.0238283958488</v>
          </cell>
          <cell r="CA295">
            <v>3128.282732170997</v>
          </cell>
          <cell r="CC295">
            <v>0</v>
          </cell>
          <cell r="CD295">
            <v>0</v>
          </cell>
          <cell r="CF295">
            <v>0</v>
          </cell>
          <cell r="CG295">
            <v>0</v>
          </cell>
          <cell r="CI295">
            <v>651.99379367219262</v>
          </cell>
          <cell r="CJ295">
            <v>867.49853537543095</v>
          </cell>
          <cell r="CL295">
            <v>0</v>
          </cell>
          <cell r="CM295">
            <v>0</v>
          </cell>
          <cell r="CX295">
            <v>1211.1936686119225</v>
          </cell>
          <cell r="CY295">
            <v>8689.234221424409</v>
          </cell>
        </row>
        <row r="296">
          <cell r="I296">
            <v>1527.9701902401994</v>
          </cell>
          <cell r="J296">
            <v>1692.478089272684</v>
          </cell>
          <cell r="L296">
            <v>257.97213829947151</v>
          </cell>
          <cell r="M296">
            <v>283.90250961235483</v>
          </cell>
          <cell r="O296">
            <v>591.82000000000005</v>
          </cell>
          <cell r="P296">
            <v>591.88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X296">
            <v>865.48589964102246</v>
          </cell>
          <cell r="Y296">
            <v>830.2571364785706</v>
          </cell>
          <cell r="AA296">
            <v>0</v>
          </cell>
          <cell r="AB296">
            <v>0</v>
          </cell>
          <cell r="AD296">
            <v>1855.7108854105468</v>
          </cell>
          <cell r="AE296">
            <v>2048.9163424756698</v>
          </cell>
          <cell r="AJ296">
            <v>0</v>
          </cell>
          <cell r="AK296">
            <v>0</v>
          </cell>
          <cell r="AM296">
            <v>0</v>
          </cell>
          <cell r="AN296">
            <v>0</v>
          </cell>
          <cell r="AP296">
            <v>1396.8510232681333</v>
          </cell>
          <cell r="AQ296">
            <v>0</v>
          </cell>
          <cell r="AS296">
            <v>6453.5226305070473</v>
          </cell>
          <cell r="AT296">
            <v>80.784885331457332</v>
          </cell>
          <cell r="AV296">
            <v>244.26238760946541</v>
          </cell>
          <cell r="AW296">
            <v>0</v>
          </cell>
          <cell r="AY296">
            <v>332.47939196456838</v>
          </cell>
          <cell r="AZ296">
            <v>0</v>
          </cell>
          <cell r="BB296">
            <v>328.85794079324251</v>
          </cell>
          <cell r="BC296">
            <v>0</v>
          </cell>
          <cell r="BE296">
            <v>0</v>
          </cell>
          <cell r="BF296">
            <v>0</v>
          </cell>
          <cell r="BH296">
            <v>0</v>
          </cell>
          <cell r="BI296">
            <v>0</v>
          </cell>
          <cell r="BK296">
            <v>117.73258216618191</v>
          </cell>
          <cell r="BL296">
            <v>0</v>
          </cell>
          <cell r="BN296">
            <v>0</v>
          </cell>
          <cell r="BO296">
            <v>0</v>
          </cell>
          <cell r="BT296">
            <v>5030.6533181889426</v>
          </cell>
          <cell r="BU296">
            <v>4871.1547800639619</v>
          </cell>
          <cell r="BW296">
            <v>2309.3059932151023</v>
          </cell>
          <cell r="BX296">
            <v>2351.7544704660827</v>
          </cell>
          <cell r="BZ296">
            <v>2452.0398704679046</v>
          </cell>
          <cell r="CA296">
            <v>4202.6436916329149</v>
          </cell>
          <cell r="CC296">
            <v>227.31543016977125</v>
          </cell>
          <cell r="CD296">
            <v>229.82232344943998</v>
          </cell>
          <cell r="CF296">
            <v>27.983907123172603</v>
          </cell>
          <cell r="CG296">
            <v>0</v>
          </cell>
          <cell r="CI296">
            <v>461.69895437073933</v>
          </cell>
          <cell r="CJ296">
            <v>247.81359008997191</v>
          </cell>
          <cell r="CL296">
            <v>0</v>
          </cell>
          <cell r="CM296">
            <v>0</v>
          </cell>
          <cell r="CX296">
            <v>436.04494787738804</v>
          </cell>
          <cell r="CY296">
            <v>8896.3506173522746</v>
          </cell>
        </row>
        <row r="297">
          <cell r="I297">
            <v>996.60073422847427</v>
          </cell>
          <cell r="J297">
            <v>1134.9756480332126</v>
          </cell>
          <cell r="L297">
            <v>193.86131937975091</v>
          </cell>
          <cell r="M297">
            <v>213.34749862094569</v>
          </cell>
          <cell r="O297">
            <v>695.34</v>
          </cell>
          <cell r="P297">
            <v>695.26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X297">
            <v>831.23592650068872</v>
          </cell>
          <cell r="Y297">
            <v>807.16281910012083</v>
          </cell>
          <cell r="AA297">
            <v>0</v>
          </cell>
          <cell r="AB297">
            <v>0</v>
          </cell>
          <cell r="AD297">
            <v>1981.7766517811788</v>
          </cell>
          <cell r="AE297">
            <v>2311.7465253878463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P297">
            <v>205.18715596029077</v>
          </cell>
          <cell r="AQ297">
            <v>0</v>
          </cell>
          <cell r="AS297">
            <v>4542.4450879451815</v>
          </cell>
          <cell r="AT297">
            <v>645.876931670555</v>
          </cell>
          <cell r="AV297">
            <v>179.91919703832136</v>
          </cell>
          <cell r="AW297">
            <v>0</v>
          </cell>
          <cell r="AY297">
            <v>249.85481924163975</v>
          </cell>
          <cell r="AZ297">
            <v>0</v>
          </cell>
          <cell r="BB297">
            <v>320.43261331890704</v>
          </cell>
          <cell r="BC297">
            <v>0</v>
          </cell>
          <cell r="BE297">
            <v>0</v>
          </cell>
          <cell r="BF297">
            <v>0</v>
          </cell>
          <cell r="BH297">
            <v>0</v>
          </cell>
          <cell r="BI297">
            <v>0</v>
          </cell>
          <cell r="BK297">
            <v>115.28343760292933</v>
          </cell>
          <cell r="BL297">
            <v>0</v>
          </cell>
          <cell r="BN297">
            <v>0</v>
          </cell>
          <cell r="BO297">
            <v>0</v>
          </cell>
          <cell r="BT297">
            <v>5394.9118923447586</v>
          </cell>
          <cell r="BU297">
            <v>5499.4897649105778</v>
          </cell>
          <cell r="BW297">
            <v>1996.0607229594841</v>
          </cell>
          <cell r="BX297">
            <v>2048.8569769566798</v>
          </cell>
          <cell r="BZ297">
            <v>2762.4250228050273</v>
          </cell>
          <cell r="CA297">
            <v>4748.6227821592583</v>
          </cell>
          <cell r="CC297">
            <v>0</v>
          </cell>
          <cell r="CD297">
            <v>0</v>
          </cell>
          <cell r="CF297">
            <v>0</v>
          </cell>
          <cell r="CG297">
            <v>0</v>
          </cell>
          <cell r="CI297">
            <v>973.31130921399097</v>
          </cell>
          <cell r="CJ297">
            <v>941.84261240242245</v>
          </cell>
          <cell r="CL297">
            <v>0</v>
          </cell>
          <cell r="CM297">
            <v>0</v>
          </cell>
          <cell r="CX297">
            <v>1435.5449316152517</v>
          </cell>
          <cell r="CY297">
            <v>4305.3021289100561</v>
          </cell>
        </row>
        <row r="298">
          <cell r="I298">
            <v>1527.9701902401994</v>
          </cell>
          <cell r="J298">
            <v>1692.3681684480975</v>
          </cell>
          <cell r="L298">
            <v>257.97213829947151</v>
          </cell>
          <cell r="M298">
            <v>283.90250961235483</v>
          </cell>
          <cell r="O298">
            <v>591.1</v>
          </cell>
          <cell r="P298">
            <v>590.91999999999996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X298">
            <v>851.86913729745174</v>
          </cell>
          <cell r="Y298">
            <v>823.17426398305076</v>
          </cell>
          <cell r="AA298">
            <v>0</v>
          </cell>
          <cell r="AB298">
            <v>0</v>
          </cell>
          <cell r="AD298">
            <v>1849.6677101769517</v>
          </cell>
          <cell r="AE298">
            <v>2032.7204897264933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P298">
            <v>1420.5264643404746</v>
          </cell>
          <cell r="AQ298">
            <v>0</v>
          </cell>
          <cell r="AS298">
            <v>6643.8248808251838</v>
          </cell>
          <cell r="AT298">
            <v>127841.56001727842</v>
          </cell>
          <cell r="AV298">
            <v>244.26238760946541</v>
          </cell>
          <cell r="AW298">
            <v>0</v>
          </cell>
          <cell r="AY298">
            <v>332.47939196456838</v>
          </cell>
          <cell r="AZ298">
            <v>0</v>
          </cell>
          <cell r="BB298">
            <v>328.55404111072403</v>
          </cell>
          <cell r="BC298">
            <v>0</v>
          </cell>
          <cell r="BE298">
            <v>0</v>
          </cell>
          <cell r="BF298">
            <v>0</v>
          </cell>
          <cell r="BH298">
            <v>0</v>
          </cell>
          <cell r="BI298">
            <v>0</v>
          </cell>
          <cell r="BK298">
            <v>117.7325992495455</v>
          </cell>
          <cell r="BL298">
            <v>6865.929256077703</v>
          </cell>
          <cell r="BN298">
            <v>0</v>
          </cell>
          <cell r="BO298">
            <v>0</v>
          </cell>
          <cell r="BT298">
            <v>4013.7361343205798</v>
          </cell>
          <cell r="BU298">
            <v>4321.2481340121776</v>
          </cell>
          <cell r="BW298">
            <v>2355.6251779567428</v>
          </cell>
          <cell r="BX298">
            <v>2837.6727226431171</v>
          </cell>
          <cell r="BZ298">
            <v>2128.3855567122505</v>
          </cell>
          <cell r="CA298">
            <v>4158.4425384307815</v>
          </cell>
          <cell r="CC298">
            <v>274.46487609111824</v>
          </cell>
          <cell r="CD298">
            <v>277.49174563914698</v>
          </cell>
          <cell r="CF298">
            <v>33.788289670308124</v>
          </cell>
          <cell r="CG298">
            <v>0</v>
          </cell>
          <cell r="CI298">
            <v>745.58141955815336</v>
          </cell>
          <cell r="CJ298">
            <v>552.55888554107469</v>
          </cell>
          <cell r="CL298">
            <v>0</v>
          </cell>
          <cell r="CM298">
            <v>0</v>
          </cell>
          <cell r="CX298">
            <v>568.1915254921696</v>
          </cell>
          <cell r="CY298">
            <v>-153704.34647767089</v>
          </cell>
        </row>
        <row r="299">
          <cell r="I299">
            <v>163.84144553351629</v>
          </cell>
          <cell r="J299">
            <v>208.10440490299706</v>
          </cell>
          <cell r="L299">
            <v>56.910806598491305</v>
          </cell>
          <cell r="M299">
            <v>72.689682168264284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X299">
            <v>95.007403249296928</v>
          </cell>
          <cell r="Y299">
            <v>112.52014818841366</v>
          </cell>
          <cell r="AA299">
            <v>0</v>
          </cell>
          <cell r="AB299">
            <v>0</v>
          </cell>
          <cell r="AD299">
            <v>266.02798522417709</v>
          </cell>
          <cell r="AE299">
            <v>292.35550441333521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P299">
            <v>63.134509526243313</v>
          </cell>
          <cell r="AQ299">
            <v>0</v>
          </cell>
          <cell r="AS299">
            <v>788.01840163412226</v>
          </cell>
          <cell r="AT299">
            <v>0</v>
          </cell>
          <cell r="AV299">
            <v>61.456808197748892</v>
          </cell>
          <cell r="AW299">
            <v>0</v>
          </cell>
          <cell r="AY299">
            <v>73.340501382101692</v>
          </cell>
          <cell r="AZ299">
            <v>0</v>
          </cell>
          <cell r="BB299">
            <v>0</v>
          </cell>
          <cell r="BC299">
            <v>0</v>
          </cell>
          <cell r="BE299">
            <v>0</v>
          </cell>
          <cell r="BF299">
            <v>0</v>
          </cell>
          <cell r="BH299">
            <v>0</v>
          </cell>
          <cell r="BI299">
            <v>0</v>
          </cell>
          <cell r="BK299">
            <v>23.056621496874509</v>
          </cell>
          <cell r="BL299">
            <v>0</v>
          </cell>
          <cell r="BN299">
            <v>0</v>
          </cell>
          <cell r="BO299">
            <v>0</v>
          </cell>
          <cell r="BT299">
            <v>526.64910919947442</v>
          </cell>
          <cell r="BU299">
            <v>550.88922153416365</v>
          </cell>
          <cell r="BW299">
            <v>424.17744144478115</v>
          </cell>
          <cell r="BX299">
            <v>206.69633955375542</v>
          </cell>
          <cell r="BZ299">
            <v>228.90279217000659</v>
          </cell>
          <cell r="CA299">
            <v>397.60154504394677</v>
          </cell>
          <cell r="CC299">
            <v>0</v>
          </cell>
          <cell r="CD299">
            <v>0</v>
          </cell>
          <cell r="CF299">
            <v>0</v>
          </cell>
          <cell r="CG299">
            <v>0</v>
          </cell>
          <cell r="CI299">
            <v>155.97937647660115</v>
          </cell>
          <cell r="CJ299">
            <v>101.6186689429414</v>
          </cell>
          <cell r="CL299">
            <v>0</v>
          </cell>
          <cell r="CM299">
            <v>0</v>
          </cell>
          <cell r="CX299">
            <v>64.176157439877443</v>
          </cell>
          <cell r="CY299">
            <v>1245.0093823026191</v>
          </cell>
        </row>
        <row r="300">
          <cell r="I300">
            <v>1766.5345354470705</v>
          </cell>
          <cell r="J300">
            <v>1964.0505964928409</v>
          </cell>
          <cell r="L300">
            <v>366.66488271525043</v>
          </cell>
          <cell r="M300">
            <v>403.52038978548222</v>
          </cell>
          <cell r="O300">
            <v>638.74</v>
          </cell>
          <cell r="P300">
            <v>638.94000000000005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X300">
            <v>1104.3597692297192</v>
          </cell>
          <cell r="Y300">
            <v>1216.6158312522152</v>
          </cell>
          <cell r="AA300">
            <v>0</v>
          </cell>
          <cell r="AB300">
            <v>0</v>
          </cell>
          <cell r="AD300">
            <v>2305.3858349858365</v>
          </cell>
          <cell r="AE300">
            <v>2826.5208973430708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P300">
            <v>1515.2282286298396</v>
          </cell>
          <cell r="AQ300">
            <v>0</v>
          </cell>
          <cell r="AS300">
            <v>5174.5732964202189</v>
          </cell>
          <cell r="AT300">
            <v>13679.407416019551</v>
          </cell>
          <cell r="AV300">
            <v>288.77331075072891</v>
          </cell>
          <cell r="AW300">
            <v>0</v>
          </cell>
          <cell r="AY300">
            <v>472.58567621981564</v>
          </cell>
          <cell r="AZ300">
            <v>0</v>
          </cell>
          <cell r="BB300">
            <v>315.4105094807349</v>
          </cell>
          <cell r="BC300">
            <v>0</v>
          </cell>
          <cell r="BE300">
            <v>0</v>
          </cell>
          <cell r="BF300">
            <v>0</v>
          </cell>
          <cell r="BH300">
            <v>0</v>
          </cell>
          <cell r="BI300">
            <v>0</v>
          </cell>
          <cell r="BK300">
            <v>156.35955570117008</v>
          </cell>
          <cell r="BL300">
            <v>0</v>
          </cell>
          <cell r="BN300">
            <v>0</v>
          </cell>
          <cell r="BO300">
            <v>0</v>
          </cell>
          <cell r="BT300">
            <v>5860.4790640931706</v>
          </cell>
          <cell r="BU300">
            <v>5886.1419838517868</v>
          </cell>
          <cell r="BW300">
            <v>2169.4588307578529</v>
          </cell>
          <cell r="BX300">
            <v>2607.2636345354958</v>
          </cell>
          <cell r="BZ300">
            <v>2290.632727529046</v>
          </cell>
          <cell r="CA300">
            <v>5800.0722997301873</v>
          </cell>
          <cell r="CC300">
            <v>6.1277612187236166</v>
          </cell>
          <cell r="CD300">
            <v>6.1953397522492981</v>
          </cell>
          <cell r="CF300">
            <v>0.75436454397165731</v>
          </cell>
          <cell r="CG300">
            <v>0</v>
          </cell>
          <cell r="CI300">
            <v>1023.2247096865035</v>
          </cell>
          <cell r="CJ300">
            <v>825.85836158918016</v>
          </cell>
          <cell r="CL300">
            <v>0</v>
          </cell>
          <cell r="CM300">
            <v>0</v>
          </cell>
          <cell r="CX300">
            <v>3231.6683311084198</v>
          </cell>
          <cell r="CY300">
            <v>-9247.4841004224654</v>
          </cell>
        </row>
        <row r="301">
          <cell r="I301">
            <v>1550.2639500612102</v>
          </cell>
          <cell r="J301">
            <v>1712.3179076694041</v>
          </cell>
          <cell r="L301">
            <v>250.57445019915215</v>
          </cell>
          <cell r="M301">
            <v>275.76154680565378</v>
          </cell>
          <cell r="O301">
            <v>574.88</v>
          </cell>
          <cell r="P301">
            <v>574.70000000000005</v>
          </cell>
          <cell r="R301">
            <v>148.44</v>
          </cell>
          <cell r="S301">
            <v>148.46</v>
          </cell>
          <cell r="U301">
            <v>0</v>
          </cell>
          <cell r="V301">
            <v>0</v>
          </cell>
          <cell r="X301">
            <v>981.66943278726808</v>
          </cell>
          <cell r="Y301">
            <v>937.57054359506651</v>
          </cell>
          <cell r="AA301">
            <v>0</v>
          </cell>
          <cell r="AB301">
            <v>0</v>
          </cell>
          <cell r="AD301">
            <v>1773.2871062221504</v>
          </cell>
          <cell r="AE301">
            <v>2111.1309721852749</v>
          </cell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P301">
            <v>418.26612561136199</v>
          </cell>
          <cell r="AQ301">
            <v>0</v>
          </cell>
          <cell r="AS301">
            <v>4106.8253622593747</v>
          </cell>
          <cell r="AT301">
            <v>3446.3136264271648</v>
          </cell>
          <cell r="AV301">
            <v>251.19340059985063</v>
          </cell>
          <cell r="AW301">
            <v>0</v>
          </cell>
          <cell r="AY301">
            <v>322.9330626916564</v>
          </cell>
          <cell r="AZ301">
            <v>0</v>
          </cell>
          <cell r="BB301">
            <v>309.58538086016767</v>
          </cell>
          <cell r="BC301">
            <v>0</v>
          </cell>
          <cell r="BE301">
            <v>143.16730422382903</v>
          </cell>
          <cell r="BF301">
            <v>0</v>
          </cell>
          <cell r="BH301">
            <v>0</v>
          </cell>
          <cell r="BI301">
            <v>647.41536177161379</v>
          </cell>
          <cell r="BK301">
            <v>133.71803528478662</v>
          </cell>
          <cell r="BL301">
            <v>0</v>
          </cell>
          <cell r="BN301">
            <v>0</v>
          </cell>
          <cell r="BO301">
            <v>0</v>
          </cell>
          <cell r="BT301">
            <v>5255.6928155417563</v>
          </cell>
          <cell r="BU301">
            <v>4669.13034005808</v>
          </cell>
          <cell r="BW301">
            <v>2350.2401647372367</v>
          </cell>
          <cell r="BX301">
            <v>1781.2641279202853</v>
          </cell>
          <cell r="BZ301">
            <v>2928.132112424646</v>
          </cell>
          <cell r="CA301">
            <v>3123.4710989245805</v>
          </cell>
          <cell r="CC301">
            <v>0</v>
          </cell>
          <cell r="CD301">
            <v>0</v>
          </cell>
          <cell r="CF301">
            <v>0</v>
          </cell>
          <cell r="CG301">
            <v>0</v>
          </cell>
          <cell r="CI301">
            <v>414.90514142775902</v>
          </cell>
          <cell r="CJ301">
            <v>545.22009221004407</v>
          </cell>
          <cell r="CL301">
            <v>0</v>
          </cell>
          <cell r="CM301">
            <v>0</v>
          </cell>
          <cell r="CX301">
            <v>2189.4113860813522</v>
          </cell>
          <cell r="CY301">
            <v>4518.6332589193989</v>
          </cell>
        </row>
        <row r="302">
          <cell r="I302">
            <v>1619.6324311259314</v>
          </cell>
          <cell r="J302">
            <v>1790.1966498830336</v>
          </cell>
          <cell r="L302">
            <v>251.51224605806865</v>
          </cell>
          <cell r="M302">
            <v>276.79273542783591</v>
          </cell>
          <cell r="O302">
            <v>634.66</v>
          </cell>
          <cell r="P302">
            <v>634.84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X302">
            <v>979.07870868258465</v>
          </cell>
          <cell r="Y302">
            <v>937.06822048639833</v>
          </cell>
          <cell r="AA302">
            <v>0</v>
          </cell>
          <cell r="AB302">
            <v>0</v>
          </cell>
          <cell r="AD302">
            <v>1839.4627255843714</v>
          </cell>
          <cell r="AE302">
            <v>2021.5055665462119</v>
          </cell>
          <cell r="AJ302">
            <v>0</v>
          </cell>
          <cell r="AK302">
            <v>0</v>
          </cell>
          <cell r="AM302">
            <v>0</v>
          </cell>
          <cell r="AN302">
            <v>0</v>
          </cell>
          <cell r="AP302">
            <v>1515.2282286298396</v>
          </cell>
          <cell r="AQ302">
            <v>0</v>
          </cell>
          <cell r="AS302">
            <v>4724.3770727724414</v>
          </cell>
          <cell r="AT302">
            <v>3258.693717689529</v>
          </cell>
          <cell r="AV302">
            <v>255.6979541345664</v>
          </cell>
          <cell r="AW302">
            <v>0</v>
          </cell>
          <cell r="AY302">
            <v>324.18583031484343</v>
          </cell>
          <cell r="AZ302">
            <v>0</v>
          </cell>
          <cell r="BB302">
            <v>286.47761685119247</v>
          </cell>
          <cell r="BC302">
            <v>0</v>
          </cell>
          <cell r="BE302">
            <v>0</v>
          </cell>
          <cell r="BF302">
            <v>0</v>
          </cell>
          <cell r="BH302">
            <v>0</v>
          </cell>
          <cell r="BI302">
            <v>906.38731658514666</v>
          </cell>
          <cell r="BK302">
            <v>134.07877525191492</v>
          </cell>
          <cell r="BL302">
            <v>0</v>
          </cell>
          <cell r="BN302">
            <v>0</v>
          </cell>
          <cell r="BO302">
            <v>0</v>
          </cell>
          <cell r="BT302">
            <v>5338.3166517972904</v>
          </cell>
          <cell r="BU302">
            <v>5034.6265061371032</v>
          </cell>
          <cell r="BW302">
            <v>2286.965133285707</v>
          </cell>
          <cell r="BX302">
            <v>2692.5510599483523</v>
          </cell>
          <cell r="BZ302">
            <v>1811.9205946474203</v>
          </cell>
          <cell r="CA302">
            <v>4867.3468930975841</v>
          </cell>
          <cell r="CC302">
            <v>0</v>
          </cell>
          <cell r="CD302">
            <v>0</v>
          </cell>
          <cell r="CF302">
            <v>0</v>
          </cell>
          <cell r="CG302">
            <v>0</v>
          </cell>
          <cell r="CI302">
            <v>739.34224449908925</v>
          </cell>
          <cell r="CJ302">
            <v>793.00348828791016</v>
          </cell>
          <cell r="CL302">
            <v>0</v>
          </cell>
          <cell r="CM302">
            <v>0</v>
          </cell>
          <cell r="CX302">
            <v>423.19654363768859</v>
          </cell>
          <cell r="CY302">
            <v>-143.29458490692559</v>
          </cell>
        </row>
        <row r="303">
          <cell r="I303">
            <v>2900.6167466167371</v>
          </cell>
          <cell r="J303">
            <v>3194.3734837864636</v>
          </cell>
          <cell r="L303">
            <v>616.54955079915999</v>
          </cell>
          <cell r="M303">
            <v>678.52211339584392</v>
          </cell>
          <cell r="O303">
            <v>987.3</v>
          </cell>
          <cell r="P303">
            <v>987.30000000000007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X303">
            <v>3393.3952839029434</v>
          </cell>
          <cell r="Y303">
            <v>3391.5903986846865</v>
          </cell>
          <cell r="AA303">
            <v>0</v>
          </cell>
          <cell r="AB303">
            <v>0</v>
          </cell>
          <cell r="AD303">
            <v>3534.7586646408809</v>
          </cell>
          <cell r="AE303">
            <v>4383.2963371309834</v>
          </cell>
          <cell r="AJ303">
            <v>0</v>
          </cell>
          <cell r="AK303">
            <v>0</v>
          </cell>
          <cell r="AM303">
            <v>0</v>
          </cell>
          <cell r="AN303">
            <v>0</v>
          </cell>
          <cell r="AP303">
            <v>1751.9826393532521</v>
          </cell>
          <cell r="AQ303">
            <v>4461.2374789913019</v>
          </cell>
          <cell r="AS303">
            <v>14230.204542697285</v>
          </cell>
          <cell r="AT303">
            <v>104.143257890153</v>
          </cell>
          <cell r="AV303">
            <v>510.18365466681013</v>
          </cell>
          <cell r="AW303">
            <v>0</v>
          </cell>
          <cell r="AY303">
            <v>794.68358772623048</v>
          </cell>
          <cell r="AZ303">
            <v>0</v>
          </cell>
          <cell r="BB303">
            <v>490.33909690043743</v>
          </cell>
          <cell r="BC303">
            <v>378.07232362048796</v>
          </cell>
          <cell r="BE303">
            <v>0</v>
          </cell>
          <cell r="BF303">
            <v>0</v>
          </cell>
          <cell r="BH303">
            <v>0</v>
          </cell>
          <cell r="BI303">
            <v>0</v>
          </cell>
          <cell r="BK303">
            <v>503.79300843766771</v>
          </cell>
          <cell r="BL303">
            <v>0</v>
          </cell>
          <cell r="BN303">
            <v>0</v>
          </cell>
          <cell r="BO303">
            <v>0</v>
          </cell>
          <cell r="BT303">
            <v>4114.0271250128562</v>
          </cell>
          <cell r="BU303">
            <v>4131.0368402107433</v>
          </cell>
          <cell r="BW303">
            <v>7802.9519615376666</v>
          </cell>
          <cell r="BX303">
            <v>6557.3027507509933</v>
          </cell>
          <cell r="BZ303">
            <v>2008.835275161111</v>
          </cell>
          <cell r="CA303">
            <v>3273.7741737013962</v>
          </cell>
          <cell r="CC303">
            <v>137.26185129940902</v>
          </cell>
          <cell r="CD303">
            <v>138.77561045038428</v>
          </cell>
          <cell r="CF303">
            <v>16.897765784965124</v>
          </cell>
          <cell r="CG303">
            <v>0</v>
          </cell>
          <cell r="CI303">
            <v>770.53811979440957</v>
          </cell>
          <cell r="CJ303">
            <v>1412.5777221956478</v>
          </cell>
          <cell r="CL303">
            <v>0</v>
          </cell>
          <cell r="CM303">
            <v>0</v>
          </cell>
          <cell r="CX303">
            <v>6572.19735080182</v>
          </cell>
          <cell r="CY303">
            <v>20338.977011029099</v>
          </cell>
        </row>
        <row r="304"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X304">
            <v>0</v>
          </cell>
          <cell r="Y304">
            <v>0</v>
          </cell>
          <cell r="AA304">
            <v>0</v>
          </cell>
          <cell r="AB304">
            <v>0</v>
          </cell>
          <cell r="AD304">
            <v>0</v>
          </cell>
          <cell r="AE304">
            <v>0</v>
          </cell>
          <cell r="AJ304">
            <v>0</v>
          </cell>
          <cell r="AK304">
            <v>0</v>
          </cell>
          <cell r="AM304">
            <v>0</v>
          </cell>
          <cell r="AN304">
            <v>0</v>
          </cell>
          <cell r="AP304">
            <v>63.134509526243313</v>
          </cell>
          <cell r="AQ304">
            <v>0</v>
          </cell>
          <cell r="AS304">
            <v>405.04931561218223</v>
          </cell>
          <cell r="AT304">
            <v>0</v>
          </cell>
          <cell r="AV304">
            <v>0</v>
          </cell>
          <cell r="AW304">
            <v>0</v>
          </cell>
          <cell r="AY304">
            <v>0</v>
          </cell>
          <cell r="AZ304">
            <v>0</v>
          </cell>
          <cell r="BB304">
            <v>0</v>
          </cell>
          <cell r="BC304">
            <v>0</v>
          </cell>
          <cell r="BE304">
            <v>0</v>
          </cell>
          <cell r="BF304">
            <v>0</v>
          </cell>
          <cell r="BH304">
            <v>0</v>
          </cell>
          <cell r="BI304">
            <v>0</v>
          </cell>
          <cell r="BK304">
            <v>0</v>
          </cell>
          <cell r="BL304">
            <v>0</v>
          </cell>
          <cell r="BN304">
            <v>0</v>
          </cell>
          <cell r="BO304">
            <v>0</v>
          </cell>
          <cell r="BT304">
            <v>31.902681005596676</v>
          </cell>
          <cell r="BU304">
            <v>36.881322329389512</v>
          </cell>
          <cell r="BW304">
            <v>0</v>
          </cell>
          <cell r="BX304">
            <v>0.81853575924546718</v>
          </cell>
          <cell r="BZ304">
            <v>0</v>
          </cell>
          <cell r="CA304">
            <v>34.698482396317097</v>
          </cell>
          <cell r="CC304">
            <v>0</v>
          </cell>
          <cell r="CD304">
            <v>0</v>
          </cell>
          <cell r="CF304">
            <v>0</v>
          </cell>
          <cell r="CG304">
            <v>0</v>
          </cell>
          <cell r="CI304">
            <v>0</v>
          </cell>
          <cell r="CJ304">
            <v>0</v>
          </cell>
          <cell r="CL304">
            <v>0</v>
          </cell>
          <cell r="CM304">
            <v>0</v>
          </cell>
          <cell r="CX304">
            <v>15.016192627173382</v>
          </cell>
          <cell r="CY304">
            <v>528.24199141805752</v>
          </cell>
        </row>
        <row r="305"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X305">
            <v>0</v>
          </cell>
          <cell r="Y305">
            <v>0</v>
          </cell>
          <cell r="AA305">
            <v>0</v>
          </cell>
          <cell r="AB305">
            <v>0</v>
          </cell>
          <cell r="AD305">
            <v>0</v>
          </cell>
          <cell r="AE305">
            <v>0</v>
          </cell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P305">
            <v>94.701764289364974</v>
          </cell>
          <cell r="AQ305">
            <v>0</v>
          </cell>
          <cell r="AS305">
            <v>492.86698204367883</v>
          </cell>
          <cell r="AT305">
            <v>0</v>
          </cell>
          <cell r="AV305">
            <v>0</v>
          </cell>
          <cell r="AW305">
            <v>0</v>
          </cell>
          <cell r="AY305">
            <v>0</v>
          </cell>
          <cell r="AZ305">
            <v>0</v>
          </cell>
          <cell r="BB305">
            <v>0</v>
          </cell>
          <cell r="BC305">
            <v>0</v>
          </cell>
          <cell r="BE305">
            <v>0</v>
          </cell>
          <cell r="BF305">
            <v>0</v>
          </cell>
          <cell r="BH305">
            <v>0</v>
          </cell>
          <cell r="BI305">
            <v>0</v>
          </cell>
          <cell r="BK305">
            <v>0</v>
          </cell>
          <cell r="BL305">
            <v>0</v>
          </cell>
          <cell r="BN305">
            <v>0</v>
          </cell>
          <cell r="BO305">
            <v>0</v>
          </cell>
          <cell r="BT305">
            <v>19.939175628497924</v>
          </cell>
          <cell r="BU305">
            <v>40.564119214131836</v>
          </cell>
          <cell r="BW305">
            <v>0</v>
          </cell>
          <cell r="BX305">
            <v>0.99038349547293414</v>
          </cell>
          <cell r="BZ305">
            <v>0</v>
          </cell>
          <cell r="CA305">
            <v>38.163423037347911</v>
          </cell>
          <cell r="CC305">
            <v>0</v>
          </cell>
          <cell r="CD305">
            <v>0</v>
          </cell>
          <cell r="CF305">
            <v>0</v>
          </cell>
          <cell r="CG305">
            <v>0</v>
          </cell>
          <cell r="CI305">
            <v>0</v>
          </cell>
          <cell r="CJ305">
            <v>0</v>
          </cell>
          <cell r="CL305">
            <v>0</v>
          </cell>
          <cell r="CM305">
            <v>0</v>
          </cell>
          <cell r="CX305">
            <v>18.230493646149966</v>
          </cell>
          <cell r="CY305">
            <v>651.57848910365681</v>
          </cell>
        </row>
        <row r="306"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78.91813690780414</v>
          </cell>
          <cell r="AQ306">
            <v>0</v>
          </cell>
          <cell r="AS306">
            <v>641.46266254981379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  <cell r="BK306">
            <v>0</v>
          </cell>
          <cell r="BL306">
            <v>0</v>
          </cell>
          <cell r="BN306">
            <v>0</v>
          </cell>
          <cell r="BO306">
            <v>0</v>
          </cell>
          <cell r="BT306">
            <v>87.732372765390863</v>
          </cell>
          <cell r="BU306">
            <v>88.493832197748318</v>
          </cell>
          <cell r="BW306">
            <v>0</v>
          </cell>
          <cell r="BX306">
            <v>1.3273222828938183</v>
          </cell>
          <cell r="BZ306">
            <v>0</v>
          </cell>
          <cell r="CA306">
            <v>83.256727356757438</v>
          </cell>
          <cell r="CC306">
            <v>0</v>
          </cell>
          <cell r="CD306">
            <v>0</v>
          </cell>
          <cell r="CF306">
            <v>0</v>
          </cell>
          <cell r="CG306">
            <v>0</v>
          </cell>
          <cell r="CI306">
            <v>0</v>
          </cell>
          <cell r="CJ306">
            <v>0</v>
          </cell>
          <cell r="CL306">
            <v>0</v>
          </cell>
          <cell r="CM306">
            <v>0</v>
          </cell>
          <cell r="CX306">
            <v>20.864193332389391</v>
          </cell>
          <cell r="CY306">
            <v>782.90654179512057</v>
          </cell>
        </row>
        <row r="307">
          <cell r="I307">
            <v>0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X307">
            <v>0</v>
          </cell>
          <cell r="Y307">
            <v>0</v>
          </cell>
          <cell r="AA307">
            <v>0</v>
          </cell>
          <cell r="AB307">
            <v>0</v>
          </cell>
          <cell r="AD307">
            <v>0</v>
          </cell>
          <cell r="AE307">
            <v>0</v>
          </cell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P307">
            <v>86.809950598584564</v>
          </cell>
          <cell r="AQ307">
            <v>0</v>
          </cell>
          <cell r="AS307">
            <v>488.70442035541703</v>
          </cell>
          <cell r="AT307">
            <v>0</v>
          </cell>
          <cell r="AV307">
            <v>0</v>
          </cell>
          <cell r="AW307">
            <v>0</v>
          </cell>
          <cell r="AY307">
            <v>0</v>
          </cell>
          <cell r="AZ307">
            <v>0</v>
          </cell>
          <cell r="BB307">
            <v>0</v>
          </cell>
          <cell r="BC307">
            <v>0</v>
          </cell>
          <cell r="BE307">
            <v>0</v>
          </cell>
          <cell r="BF307">
            <v>0</v>
          </cell>
          <cell r="BH307">
            <v>0</v>
          </cell>
          <cell r="BI307">
            <v>0</v>
          </cell>
          <cell r="BK307">
            <v>0</v>
          </cell>
          <cell r="BL307">
            <v>0</v>
          </cell>
          <cell r="BN307">
            <v>0</v>
          </cell>
          <cell r="BO307">
            <v>0</v>
          </cell>
          <cell r="BT307">
            <v>19.939175628497924</v>
          </cell>
          <cell r="BU307">
            <v>40.564119214131836</v>
          </cell>
          <cell r="BW307">
            <v>0</v>
          </cell>
          <cell r="BX307">
            <v>0.9825685344696955</v>
          </cell>
          <cell r="BZ307">
            <v>0</v>
          </cell>
          <cell r="CA307">
            <v>38.163423037347911</v>
          </cell>
          <cell r="CC307">
            <v>0</v>
          </cell>
          <cell r="CD307">
            <v>0</v>
          </cell>
          <cell r="CF307">
            <v>0</v>
          </cell>
          <cell r="CG307">
            <v>0</v>
          </cell>
          <cell r="CI307">
            <v>0</v>
          </cell>
          <cell r="CJ307">
            <v>0</v>
          </cell>
          <cell r="CL307">
            <v>0</v>
          </cell>
          <cell r="CM307">
            <v>0</v>
          </cell>
          <cell r="CX307">
            <v>17.855744101000596</v>
          </cell>
          <cell r="CY307">
            <v>636.74786705686063</v>
          </cell>
        </row>
        <row r="308">
          <cell r="I308">
            <v>158.05032189664524</v>
          </cell>
          <cell r="J308">
            <v>192.06614570544264</v>
          </cell>
          <cell r="L308">
            <v>27.271513426927882</v>
          </cell>
          <cell r="M308">
            <v>34.833097260875348</v>
          </cell>
          <cell r="O308">
            <v>41.28</v>
          </cell>
          <cell r="P308">
            <v>41.28</v>
          </cell>
          <cell r="R308">
            <v>12.44</v>
          </cell>
          <cell r="S308">
            <v>12.44</v>
          </cell>
          <cell r="U308">
            <v>0</v>
          </cell>
          <cell r="V308">
            <v>0</v>
          </cell>
          <cell r="X308">
            <v>79.672767514422688</v>
          </cell>
          <cell r="Y308">
            <v>78.137025035840324</v>
          </cell>
          <cell r="AA308">
            <v>0</v>
          </cell>
          <cell r="AB308">
            <v>0</v>
          </cell>
          <cell r="AD308">
            <v>105.75556658791288</v>
          </cell>
          <cell r="AE308">
            <v>116.22168994090264</v>
          </cell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P308">
            <v>31.567254763121657</v>
          </cell>
          <cell r="AQ308">
            <v>0</v>
          </cell>
          <cell r="AS308">
            <v>577.40207006763296</v>
          </cell>
          <cell r="AT308">
            <v>0</v>
          </cell>
          <cell r="AV308">
            <v>34.501372213371873</v>
          </cell>
          <cell r="AW308">
            <v>0</v>
          </cell>
          <cell r="AY308">
            <v>35.106725210817658</v>
          </cell>
          <cell r="AZ308">
            <v>0</v>
          </cell>
          <cell r="BB308">
            <v>11.463616105968482</v>
          </cell>
          <cell r="BC308">
            <v>0</v>
          </cell>
          <cell r="BE308">
            <v>17.956827810507491</v>
          </cell>
          <cell r="BF308">
            <v>0</v>
          </cell>
          <cell r="BH308">
            <v>0</v>
          </cell>
          <cell r="BI308">
            <v>0</v>
          </cell>
          <cell r="BK308">
            <v>9.8614204561619534</v>
          </cell>
          <cell r="BL308">
            <v>0</v>
          </cell>
          <cell r="BN308">
            <v>0</v>
          </cell>
          <cell r="BO308">
            <v>0</v>
          </cell>
          <cell r="BT308">
            <v>0</v>
          </cell>
          <cell r="BU308">
            <v>0</v>
          </cell>
          <cell r="BW308">
            <v>30.304542521382679</v>
          </cell>
          <cell r="BX308">
            <v>0.69219987304021713</v>
          </cell>
          <cell r="BZ308">
            <v>0</v>
          </cell>
          <cell r="CA308">
            <v>0</v>
          </cell>
          <cell r="CC308">
            <v>0</v>
          </cell>
          <cell r="CD308">
            <v>0</v>
          </cell>
          <cell r="CF308">
            <v>0</v>
          </cell>
          <cell r="CG308">
            <v>0</v>
          </cell>
          <cell r="CI308">
            <v>18.717525177192133</v>
          </cell>
          <cell r="CJ308">
            <v>61.958429857843953</v>
          </cell>
          <cell r="CL308">
            <v>0</v>
          </cell>
          <cell r="CM308">
            <v>0</v>
          </cell>
          <cell r="CX308">
            <v>2.9181714975213708</v>
          </cell>
          <cell r="CY308">
            <v>787.38569479126579</v>
          </cell>
        </row>
        <row r="309">
          <cell r="I309">
            <v>2004.3340630414596</v>
          </cell>
          <cell r="J309">
            <v>2208.6437261142319</v>
          </cell>
          <cell r="L309">
            <v>407.00539732443775</v>
          </cell>
          <cell r="M309">
            <v>447.91577362469206</v>
          </cell>
          <cell r="O309">
            <v>767.24</v>
          </cell>
          <cell r="P309">
            <v>767.23333333333335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X309">
            <v>1841.1466847069255</v>
          </cell>
          <cell r="Y309">
            <v>1825.1382207832539</v>
          </cell>
          <cell r="AA309">
            <v>0</v>
          </cell>
          <cell r="AB309">
            <v>0</v>
          </cell>
          <cell r="AD309">
            <v>2423.9688961733614</v>
          </cell>
          <cell r="AE309">
            <v>2663.8575213273998</v>
          </cell>
          <cell r="AJ309">
            <v>0</v>
          </cell>
          <cell r="AK309">
            <v>0</v>
          </cell>
          <cell r="AM309">
            <v>0</v>
          </cell>
          <cell r="AN309">
            <v>0</v>
          </cell>
          <cell r="AP309">
            <v>710.2632321702373</v>
          </cell>
          <cell r="AQ309">
            <v>2734.306841962411</v>
          </cell>
          <cell r="AS309">
            <v>6510.7854720027708</v>
          </cell>
          <cell r="AT309">
            <v>8691.8011889928948</v>
          </cell>
          <cell r="AV309">
            <v>362.19421393906958</v>
          </cell>
          <cell r="AW309">
            <v>0</v>
          </cell>
          <cell r="AY309">
            <v>524.59024174180445</v>
          </cell>
          <cell r="AZ309">
            <v>0</v>
          </cell>
          <cell r="BB309">
            <v>380.4641738473648</v>
          </cell>
          <cell r="BC309">
            <v>851.26294267612695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K309">
            <v>267.01036497539843</v>
          </cell>
          <cell r="BL309">
            <v>0</v>
          </cell>
          <cell r="BN309">
            <v>0</v>
          </cell>
          <cell r="BO309">
            <v>0</v>
          </cell>
          <cell r="BT309">
            <v>6010.8189774226976</v>
          </cell>
          <cell r="BU309">
            <v>5997.67002484353</v>
          </cell>
          <cell r="BW309">
            <v>4406.816469451157</v>
          </cell>
          <cell r="BX309">
            <v>5262.1462984849095</v>
          </cell>
          <cell r="BZ309">
            <v>2486.2436019213378</v>
          </cell>
          <cell r="CA309">
            <v>5916.6884772485864</v>
          </cell>
          <cell r="CC309">
            <v>361.55261853161829</v>
          </cell>
          <cell r="CD309">
            <v>365.53991419811405</v>
          </cell>
          <cell r="CF309">
            <v>44.509318569233315</v>
          </cell>
          <cell r="CG309">
            <v>0</v>
          </cell>
          <cell r="CI309">
            <v>1154.2473859268484</v>
          </cell>
          <cell r="CJ309">
            <v>1471.9422724395195</v>
          </cell>
          <cell r="CL309">
            <v>0</v>
          </cell>
          <cell r="CM309">
            <v>0</v>
          </cell>
          <cell r="CX309">
            <v>1885.170665905127</v>
          </cell>
          <cell r="CY309">
            <v>-8363.9758432347953</v>
          </cell>
        </row>
        <row r="310">
          <cell r="I310">
            <v>1279.2848239882026</v>
          </cell>
          <cell r="J310">
            <v>1392.4610647644424</v>
          </cell>
          <cell r="L310">
            <v>311.48053282578826</v>
          </cell>
          <cell r="M310">
            <v>342.78880724749246</v>
          </cell>
          <cell r="O310">
            <v>278.76</v>
          </cell>
          <cell r="P310">
            <v>278.76666666666665</v>
          </cell>
          <cell r="R310">
            <v>67.94</v>
          </cell>
          <cell r="S310">
            <v>67.95</v>
          </cell>
          <cell r="U310">
            <v>0</v>
          </cell>
          <cell r="V310">
            <v>0</v>
          </cell>
          <cell r="X310">
            <v>493.03019413598702</v>
          </cell>
          <cell r="Y310">
            <v>446.31599708010555</v>
          </cell>
          <cell r="AA310">
            <v>0</v>
          </cell>
          <cell r="AB310">
            <v>0</v>
          </cell>
          <cell r="AD310">
            <v>862.57774796502531</v>
          </cell>
          <cell r="AE310">
            <v>976.52847161261116</v>
          </cell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P310">
            <v>165.7280875063887</v>
          </cell>
          <cell r="AQ310">
            <v>908.32471577050455</v>
          </cell>
          <cell r="AS310">
            <v>2091.0073168983063</v>
          </cell>
          <cell r="AT310">
            <v>60780.502155805458</v>
          </cell>
          <cell r="AV310">
            <v>242.96787395953822</v>
          </cell>
          <cell r="AW310">
            <v>0</v>
          </cell>
          <cell r="AY310">
            <v>401.48853384265288</v>
          </cell>
          <cell r="AZ310">
            <v>0</v>
          </cell>
          <cell r="BB310">
            <v>162.10302398842919</v>
          </cell>
          <cell r="BC310">
            <v>0</v>
          </cell>
          <cell r="BE310">
            <v>72.616538247391418</v>
          </cell>
          <cell r="BF310">
            <v>0</v>
          </cell>
          <cell r="BH310">
            <v>0</v>
          </cell>
          <cell r="BI310">
            <v>0</v>
          </cell>
          <cell r="BK310">
            <v>56.996604701232371</v>
          </cell>
          <cell r="BL310">
            <v>0</v>
          </cell>
          <cell r="BN310">
            <v>0</v>
          </cell>
          <cell r="BO310">
            <v>0</v>
          </cell>
          <cell r="BT310">
            <v>3121.2606851033652</v>
          </cell>
          <cell r="BU310">
            <v>2953.2500880347793</v>
          </cell>
          <cell r="BW310">
            <v>1332.5065156875817</v>
          </cell>
          <cell r="BX310">
            <v>1554.9979628847827</v>
          </cell>
          <cell r="BZ310">
            <v>893.91182069408126</v>
          </cell>
          <cell r="CA310">
            <v>3031.3442397058834</v>
          </cell>
          <cell r="CC310">
            <v>152.80185375009208</v>
          </cell>
          <cell r="CD310">
            <v>154.48699206208849</v>
          </cell>
          <cell r="CF310">
            <v>18.810834268477251</v>
          </cell>
          <cell r="CG310">
            <v>0</v>
          </cell>
          <cell r="CI310">
            <v>227.72988965583764</v>
          </cell>
          <cell r="CJ310">
            <v>161.02347786962102</v>
          </cell>
          <cell r="CL310">
            <v>0</v>
          </cell>
          <cell r="CM310">
            <v>0</v>
          </cell>
          <cell r="CX310">
            <v>304.41654733794712</v>
          </cell>
          <cell r="CY310">
            <v>-72674.468767405328</v>
          </cell>
        </row>
        <row r="311">
          <cell r="I311">
            <v>2381.2507752590182</v>
          </cell>
          <cell r="J311">
            <v>2637.1018233368882</v>
          </cell>
          <cell r="L311">
            <v>477.57619017621118</v>
          </cell>
          <cell r="M311">
            <v>541.035657464525</v>
          </cell>
          <cell r="O311">
            <v>906.38</v>
          </cell>
          <cell r="P311">
            <v>906.38333333333344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X311">
            <v>2338.7043276189638</v>
          </cell>
          <cell r="Y311">
            <v>2328.3278825786601</v>
          </cell>
          <cell r="AA311">
            <v>0</v>
          </cell>
          <cell r="AB311">
            <v>0</v>
          </cell>
          <cell r="AD311">
            <v>3196.9679735177629</v>
          </cell>
          <cell r="AE311">
            <v>3303.1551325050204</v>
          </cell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P311">
            <v>1491.5527875574985</v>
          </cell>
          <cell r="AQ311">
            <v>0</v>
          </cell>
          <cell r="AS311">
            <v>7177.1206678136678</v>
          </cell>
          <cell r="AT311">
            <v>104.143257890153</v>
          </cell>
          <cell r="AV311">
            <v>429.92685568395893</v>
          </cell>
          <cell r="AW311">
            <v>0</v>
          </cell>
          <cell r="AY311">
            <v>615.50829442380814</v>
          </cell>
          <cell r="AZ311">
            <v>0</v>
          </cell>
          <cell r="BB311">
            <v>420.47370380186715</v>
          </cell>
          <cell r="BC311">
            <v>0</v>
          </cell>
          <cell r="BE311">
            <v>0</v>
          </cell>
          <cell r="BF311">
            <v>0</v>
          </cell>
          <cell r="BH311">
            <v>0</v>
          </cell>
          <cell r="BI311">
            <v>0</v>
          </cell>
          <cell r="BK311">
            <v>0</v>
          </cell>
          <cell r="BL311">
            <v>0</v>
          </cell>
          <cell r="BN311">
            <v>0</v>
          </cell>
          <cell r="BO311">
            <v>0</v>
          </cell>
          <cell r="BT311">
            <v>12520.739435895232</v>
          </cell>
          <cell r="BU311">
            <v>9153.8274040370397</v>
          </cell>
          <cell r="BW311">
            <v>5054.2773046667062</v>
          </cell>
          <cell r="BX311">
            <v>4338.4040174729807</v>
          </cell>
          <cell r="BZ311">
            <v>2641.0555211789356</v>
          </cell>
          <cell r="CA311">
            <v>6956.8315238032264</v>
          </cell>
          <cell r="CC311">
            <v>194.86280675541099</v>
          </cell>
          <cell r="CD311">
            <v>197.01180412152769</v>
          </cell>
          <cell r="CF311">
            <v>23.9887924982987</v>
          </cell>
          <cell r="CG311">
            <v>0</v>
          </cell>
          <cell r="CI311">
            <v>346.2742157780545</v>
          </cell>
          <cell r="CJ311">
            <v>2553.5267036797131</v>
          </cell>
          <cell r="CL311">
            <v>0</v>
          </cell>
          <cell r="CM311">
            <v>0</v>
          </cell>
          <cell r="CX311">
            <v>-962.41158315046778</v>
          </cell>
          <cell r="CY311">
            <v>7673.8817517323114</v>
          </cell>
        </row>
        <row r="312">
          <cell r="I312">
            <v>1812.9250872823966</v>
          </cell>
          <cell r="J312">
            <v>2004.1054412173921</v>
          </cell>
          <cell r="L312">
            <v>383.03749892546443</v>
          </cell>
          <cell r="M312">
            <v>448.35547816121789</v>
          </cell>
          <cell r="O312">
            <v>681.68</v>
          </cell>
          <cell r="P312">
            <v>681.66666666666674</v>
          </cell>
          <cell r="R312">
            <v>196.26</v>
          </cell>
          <cell r="S312">
            <v>196.25</v>
          </cell>
          <cell r="U312">
            <v>0</v>
          </cell>
          <cell r="V312">
            <v>0</v>
          </cell>
          <cell r="X312">
            <v>1719.2560424194046</v>
          </cell>
          <cell r="Y312">
            <v>1670.9264365003692</v>
          </cell>
          <cell r="AA312">
            <v>0</v>
          </cell>
          <cell r="AB312">
            <v>0</v>
          </cell>
          <cell r="AD312">
            <v>2368.0267669472755</v>
          </cell>
          <cell r="AE312">
            <v>2566.9016910397741</v>
          </cell>
          <cell r="AJ312">
            <v>0</v>
          </cell>
          <cell r="AK312">
            <v>0</v>
          </cell>
          <cell r="AM312">
            <v>0</v>
          </cell>
          <cell r="AN312">
            <v>0</v>
          </cell>
          <cell r="AP312">
            <v>307.78073394043616</v>
          </cell>
          <cell r="AQ312">
            <v>0</v>
          </cell>
          <cell r="AS312">
            <v>6661.9038663488545</v>
          </cell>
          <cell r="AT312">
            <v>60.588663998592992</v>
          </cell>
          <cell r="AV312">
            <v>333.66454642231821</v>
          </cell>
          <cell r="AW312">
            <v>0</v>
          </cell>
          <cell r="AY312">
            <v>493.65943583849338</v>
          </cell>
          <cell r="AZ312">
            <v>0</v>
          </cell>
          <cell r="BB312">
            <v>405.93418033429435</v>
          </cell>
          <cell r="BC312">
            <v>0</v>
          </cell>
          <cell r="BE312">
            <v>199.58031090607005</v>
          </cell>
          <cell r="BF312">
            <v>0</v>
          </cell>
          <cell r="BH312">
            <v>0</v>
          </cell>
          <cell r="BI312">
            <v>0</v>
          </cell>
          <cell r="BK312">
            <v>240.41378397964613</v>
          </cell>
          <cell r="BL312">
            <v>313.37374749755588</v>
          </cell>
          <cell r="BN312">
            <v>0</v>
          </cell>
          <cell r="BO312">
            <v>0</v>
          </cell>
          <cell r="BT312">
            <v>8161.5306315697508</v>
          </cell>
          <cell r="BU312">
            <v>7675.1006798558647</v>
          </cell>
          <cell r="BW312">
            <v>4678.2140539380944</v>
          </cell>
          <cell r="BX312">
            <v>5497.2374511166154</v>
          </cell>
          <cell r="BZ312">
            <v>3802.0806838752378</v>
          </cell>
          <cell r="CA312">
            <v>7364.3588330642488</v>
          </cell>
          <cell r="CC312">
            <v>181.38173207421906</v>
          </cell>
          <cell r="CD312">
            <v>183.38205666657922</v>
          </cell>
          <cell r="CF312">
            <v>22.329190501561058</v>
          </cell>
          <cell r="CG312">
            <v>0</v>
          </cell>
          <cell r="CI312">
            <v>923.39790874147866</v>
          </cell>
          <cell r="CJ312">
            <v>896.8839027116594</v>
          </cell>
          <cell r="CL312">
            <v>0</v>
          </cell>
          <cell r="CM312">
            <v>0</v>
          </cell>
          <cell r="CX312">
            <v>152.79225514599966</v>
          </cell>
          <cell r="CY312">
            <v>4969.5027418041536</v>
          </cell>
        </row>
        <row r="313">
          <cell r="I313">
            <v>1791.363825525561</v>
          </cell>
          <cell r="J313">
            <v>1994.7863612053297</v>
          </cell>
          <cell r="L313">
            <v>332.88305739168595</v>
          </cell>
          <cell r="M313">
            <v>366.34332630154751</v>
          </cell>
          <cell r="O313">
            <v>767.76</v>
          </cell>
          <cell r="P313">
            <v>767.76666666666677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X313">
            <v>2273.2516362826163</v>
          </cell>
          <cell r="Y313">
            <v>2230.7357696920863</v>
          </cell>
          <cell r="AA313">
            <v>0</v>
          </cell>
          <cell r="AB313">
            <v>0</v>
          </cell>
          <cell r="AD313">
            <v>2831.3558718852642</v>
          </cell>
          <cell r="AE313">
            <v>3122.5259507801566</v>
          </cell>
          <cell r="AJ313">
            <v>0</v>
          </cell>
          <cell r="AK313">
            <v>0</v>
          </cell>
          <cell r="AM313">
            <v>0</v>
          </cell>
          <cell r="AN313">
            <v>0</v>
          </cell>
          <cell r="AP313">
            <v>1231.1229357617447</v>
          </cell>
          <cell r="AQ313">
            <v>3094.0840580100967</v>
          </cell>
          <cell r="AS313">
            <v>7406.1872865321629</v>
          </cell>
          <cell r="AT313">
            <v>269.59464370089279</v>
          </cell>
          <cell r="AV313">
            <v>309.40264000821674</v>
          </cell>
          <cell r="AW313">
            <v>0</v>
          </cell>
          <cell r="AY313">
            <v>429.03011254406238</v>
          </cell>
          <cell r="AZ313">
            <v>0</v>
          </cell>
          <cell r="BB313">
            <v>540.19704455889519</v>
          </cell>
          <cell r="BC313">
            <v>0</v>
          </cell>
          <cell r="BE313">
            <v>0</v>
          </cell>
          <cell r="BF313">
            <v>0</v>
          </cell>
          <cell r="BH313">
            <v>0</v>
          </cell>
          <cell r="BI313">
            <v>0</v>
          </cell>
          <cell r="BK313">
            <v>317.0796259884653</v>
          </cell>
          <cell r="BL313">
            <v>208.92442055244328</v>
          </cell>
          <cell r="BN313">
            <v>0</v>
          </cell>
          <cell r="BO313">
            <v>0</v>
          </cell>
          <cell r="BT313">
            <v>8427.9075633708999</v>
          </cell>
          <cell r="BU313">
            <v>3931.6913373271673</v>
          </cell>
          <cell r="BW313">
            <v>6592.5305520171587</v>
          </cell>
          <cell r="BX313">
            <v>3894.6771953125008</v>
          </cell>
          <cell r="BZ313">
            <v>3311.6289454771645</v>
          </cell>
          <cell r="CA313">
            <v>5319.77370616388</v>
          </cell>
          <cell r="CC313">
            <v>137.26185129940902</v>
          </cell>
          <cell r="CD313">
            <v>138.77561045038428</v>
          </cell>
          <cell r="CF313">
            <v>16.897765784965124</v>
          </cell>
          <cell r="CG313">
            <v>0</v>
          </cell>
          <cell r="CI313">
            <v>489.77524213652754</v>
          </cell>
          <cell r="CJ313">
            <v>931.80929275040023</v>
          </cell>
          <cell r="CL313">
            <v>0</v>
          </cell>
          <cell r="CM313">
            <v>0</v>
          </cell>
          <cell r="CX313">
            <v>1064.0768521222344</v>
          </cell>
          <cell r="CY313">
            <v>14185.053993303731</v>
          </cell>
        </row>
        <row r="314">
          <cell r="I314">
            <v>4624.8339399851884</v>
          </cell>
          <cell r="J314">
            <v>5155.6431189991763</v>
          </cell>
          <cell r="L314">
            <v>953.82127520157314</v>
          </cell>
          <cell r="M314">
            <v>1049.6957442960343</v>
          </cell>
          <cell r="O314">
            <v>2070.1799999999998</v>
          </cell>
          <cell r="P314">
            <v>2070.1833333333334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X314">
            <v>5140.469160362929</v>
          </cell>
          <cell r="Y314">
            <v>5127.9190876995162</v>
          </cell>
          <cell r="AA314">
            <v>0</v>
          </cell>
          <cell r="AB314">
            <v>0</v>
          </cell>
          <cell r="AD314">
            <v>6483.6571453739234</v>
          </cell>
          <cell r="AE314">
            <v>7155.7788476416936</v>
          </cell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P314">
            <v>3811.7460126469405</v>
          </cell>
          <cell r="AQ314">
            <v>10433.539265382884</v>
          </cell>
          <cell r="AS314">
            <v>17821.236917758972</v>
          </cell>
          <cell r="AT314">
            <v>0</v>
          </cell>
          <cell r="AV314">
            <v>767.84224561021233</v>
          </cell>
          <cell r="AW314">
            <v>0</v>
          </cell>
          <cell r="AY314">
            <v>1229.3462864771334</v>
          </cell>
          <cell r="AZ314">
            <v>1329.9675561136937</v>
          </cell>
          <cell r="BB314">
            <v>1074.4919495575432</v>
          </cell>
          <cell r="BC314">
            <v>517.71343014586398</v>
          </cell>
          <cell r="BE314">
            <v>0</v>
          </cell>
          <cell r="BF314">
            <v>0</v>
          </cell>
          <cell r="BH314">
            <v>0</v>
          </cell>
          <cell r="BI314">
            <v>0</v>
          </cell>
          <cell r="BK314">
            <v>743.01646728891683</v>
          </cell>
          <cell r="BL314">
            <v>412.12129448439714</v>
          </cell>
          <cell r="BN314">
            <v>0</v>
          </cell>
          <cell r="BO314">
            <v>0</v>
          </cell>
          <cell r="BT314">
            <v>13102.708404765153</v>
          </cell>
          <cell r="BU314">
            <v>10061.302924100328</v>
          </cell>
          <cell r="BW314">
            <v>9083.7556455963822</v>
          </cell>
          <cell r="BX314">
            <v>9373.2177524803592</v>
          </cell>
          <cell r="BZ314">
            <v>4225.2187585183556</v>
          </cell>
          <cell r="CA314">
            <v>10935.553039419645</v>
          </cell>
          <cell r="CC314">
            <v>151.4782573268478</v>
          </cell>
          <cell r="CD314">
            <v>153.14879867560265</v>
          </cell>
          <cell r="CF314">
            <v>18.647891526979368</v>
          </cell>
          <cell r="CG314">
            <v>0</v>
          </cell>
          <cell r="CI314">
            <v>2442.6370356235734</v>
          </cell>
          <cell r="CJ314">
            <v>701.14639288803846</v>
          </cell>
          <cell r="CL314">
            <v>0</v>
          </cell>
          <cell r="CM314">
            <v>0</v>
          </cell>
          <cell r="CX314">
            <v>2374.8751276552357</v>
          </cell>
          <cell r="CY314">
            <v>13496.66329720732</v>
          </cell>
        </row>
        <row r="315">
          <cell r="I315">
            <v>1511.8860500378551</v>
          </cell>
          <cell r="J315">
            <v>1675.3465945724042</v>
          </cell>
          <cell r="L315">
            <v>287.85748463911119</v>
          </cell>
          <cell r="M315">
            <v>316.79199935142708</v>
          </cell>
          <cell r="O315">
            <v>587.36</v>
          </cell>
          <cell r="P315">
            <v>587.36666666666667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X315">
            <v>882.13503577038978</v>
          </cell>
          <cell r="Y315">
            <v>840.51044486062938</v>
          </cell>
          <cell r="AA315">
            <v>0</v>
          </cell>
          <cell r="AB315">
            <v>0</v>
          </cell>
          <cell r="AD315">
            <v>1859.6018921057623</v>
          </cell>
          <cell r="AE315">
            <v>2043.6378101966829</v>
          </cell>
          <cell r="AJ315">
            <v>0</v>
          </cell>
          <cell r="AK315">
            <v>0</v>
          </cell>
          <cell r="AM315">
            <v>0</v>
          </cell>
          <cell r="AN315">
            <v>0</v>
          </cell>
          <cell r="AP315">
            <v>1373.1755821957922</v>
          </cell>
          <cell r="AQ315">
            <v>3944.7169213795582</v>
          </cell>
          <cell r="AS315">
            <v>4665.4019357218185</v>
          </cell>
          <cell r="AT315">
            <v>0</v>
          </cell>
          <cell r="AV315">
            <v>243.81387473835781</v>
          </cell>
          <cell r="AW315">
            <v>0</v>
          </cell>
          <cell r="AY315">
            <v>370.97542606793741</v>
          </cell>
          <cell r="AZ315">
            <v>0</v>
          </cell>
          <cell r="BB315">
            <v>313.66727724597587</v>
          </cell>
          <cell r="BC315">
            <v>0</v>
          </cell>
          <cell r="BE315">
            <v>0</v>
          </cell>
          <cell r="BF315">
            <v>0</v>
          </cell>
          <cell r="BH315">
            <v>0</v>
          </cell>
          <cell r="BI315">
            <v>0</v>
          </cell>
          <cell r="BK315">
            <v>118.21256501765102</v>
          </cell>
          <cell r="BL315">
            <v>0</v>
          </cell>
          <cell r="BN315">
            <v>0</v>
          </cell>
          <cell r="BO315">
            <v>0</v>
          </cell>
          <cell r="BT315">
            <v>5808.6604039677914</v>
          </cell>
          <cell r="BU315">
            <v>4734.1353204156039</v>
          </cell>
          <cell r="BW315">
            <v>2198.6644359415013</v>
          </cell>
          <cell r="BX315">
            <v>2206.7123734325869</v>
          </cell>
          <cell r="BZ315">
            <v>1439.7153316790893</v>
          </cell>
          <cell r="CA315">
            <v>3953.7631593889478</v>
          </cell>
          <cell r="CC315">
            <v>113.73124821951032</v>
          </cell>
          <cell r="CD315">
            <v>114.98550580174697</v>
          </cell>
          <cell r="CF315">
            <v>14.001005936113961</v>
          </cell>
          <cell r="CG315">
            <v>0</v>
          </cell>
          <cell r="CI315">
            <v>1070.0185226294839</v>
          </cell>
          <cell r="CJ315">
            <v>602.02095685204961</v>
          </cell>
          <cell r="CL315">
            <v>0</v>
          </cell>
          <cell r="CM315">
            <v>0</v>
          </cell>
          <cell r="CX315">
            <v>536.34631370302304</v>
          </cell>
          <cell r="CY315">
            <v>2743.0146964980358</v>
          </cell>
        </row>
        <row r="316">
          <cell r="I316">
            <v>1367.7410361290968</v>
          </cell>
          <cell r="J316">
            <v>1512.09346798245</v>
          </cell>
          <cell r="L316">
            <v>287.85748463911119</v>
          </cell>
          <cell r="M316">
            <v>316.79199935142708</v>
          </cell>
          <cell r="O316">
            <v>532.55999999999995</v>
          </cell>
          <cell r="P316">
            <v>532.54999999999995</v>
          </cell>
          <cell r="R316">
            <v>120.58</v>
          </cell>
          <cell r="S316">
            <v>120.56</v>
          </cell>
          <cell r="U316">
            <v>88.645113504097054</v>
          </cell>
          <cell r="V316">
            <v>252.87342697907445</v>
          </cell>
          <cell r="X316">
            <v>909.36904397144713</v>
          </cell>
          <cell r="Y316">
            <v>851.39500087586748</v>
          </cell>
          <cell r="AA316">
            <v>0</v>
          </cell>
          <cell r="AB316">
            <v>0</v>
          </cell>
          <cell r="AD316">
            <v>1866.6142558202171</v>
          </cell>
          <cell r="AE316">
            <v>1984.6968102980823</v>
          </cell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P316">
            <v>315.67254763121656</v>
          </cell>
          <cell r="AQ316">
            <v>0</v>
          </cell>
          <cell r="AS316">
            <v>4936.2947533393517</v>
          </cell>
          <cell r="AT316">
            <v>0</v>
          </cell>
          <cell r="AV316">
            <v>235.2159873626965</v>
          </cell>
          <cell r="AW316">
            <v>0</v>
          </cell>
          <cell r="AY316">
            <v>370.97542606793741</v>
          </cell>
          <cell r="AZ316">
            <v>0</v>
          </cell>
          <cell r="BB316">
            <v>279.88110539235134</v>
          </cell>
          <cell r="BC316">
            <v>0</v>
          </cell>
          <cell r="BE316">
            <v>131.41230815033148</v>
          </cell>
          <cell r="BF316">
            <v>0</v>
          </cell>
          <cell r="BH316">
            <v>89.960355179059135</v>
          </cell>
          <cell r="BI316">
            <v>0</v>
          </cell>
          <cell r="BK316">
            <v>118.21257789507058</v>
          </cell>
          <cell r="BL316">
            <v>0</v>
          </cell>
          <cell r="BN316">
            <v>0</v>
          </cell>
          <cell r="BO316">
            <v>0</v>
          </cell>
          <cell r="BT316">
            <v>7882.1749946396194</v>
          </cell>
          <cell r="BU316">
            <v>6289.7413578150563</v>
          </cell>
          <cell r="BW316">
            <v>2972.8835895816837</v>
          </cell>
          <cell r="BX316">
            <v>2986.162660655847</v>
          </cell>
          <cell r="BZ316">
            <v>2205.630941443414</v>
          </cell>
          <cell r="CA316">
            <v>5291.6682059722853</v>
          </cell>
          <cell r="CC316">
            <v>58.826507699746713</v>
          </cell>
          <cell r="CD316">
            <v>59.475261621593262</v>
          </cell>
          <cell r="CF316">
            <v>7.2418996221279102</v>
          </cell>
          <cell r="CG316">
            <v>0</v>
          </cell>
          <cell r="CI316">
            <v>811.09275767832594</v>
          </cell>
          <cell r="CJ316">
            <v>995.95901539413831</v>
          </cell>
          <cell r="CL316">
            <v>0</v>
          </cell>
          <cell r="CM316">
            <v>0</v>
          </cell>
          <cell r="CX316">
            <v>63.268777103719913</v>
          </cell>
          <cell r="CY316">
            <v>5337.1193516650146</v>
          </cell>
        </row>
        <row r="317">
          <cell r="I317">
            <v>2956.5241919586238</v>
          </cell>
          <cell r="J317">
            <v>2550.340585217672</v>
          </cell>
          <cell r="L317">
            <v>570.78385796675877</v>
          </cell>
          <cell r="M317">
            <v>514.66699200686821</v>
          </cell>
          <cell r="O317">
            <v>1271.4000000000001</v>
          </cell>
          <cell r="P317">
            <v>1271.4000000000001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X317">
            <v>2366.2425399499689</v>
          </cell>
          <cell r="Y317">
            <v>1833.24710672015</v>
          </cell>
          <cell r="AA317">
            <v>0</v>
          </cell>
          <cell r="AB317">
            <v>0</v>
          </cell>
          <cell r="AD317">
            <v>3582.0778669416718</v>
          </cell>
          <cell r="AE317">
            <v>3936.5790059834708</v>
          </cell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P317">
            <v>2178.1405786553946</v>
          </cell>
          <cell r="AQ317">
            <v>644.9741685152693</v>
          </cell>
          <cell r="AS317">
            <v>9233.3596955533867</v>
          </cell>
          <cell r="AT317">
            <v>69966.602597077406</v>
          </cell>
          <cell r="AV317">
            <v>536.98858182502408</v>
          </cell>
          <cell r="AW317">
            <v>0</v>
          </cell>
          <cell r="AY317">
            <v>735.63830986835274</v>
          </cell>
          <cell r="AZ317">
            <v>0</v>
          </cell>
          <cell r="BB317">
            <v>498.87522422955419</v>
          </cell>
          <cell r="BC317">
            <v>0</v>
          </cell>
          <cell r="BE317">
            <v>0</v>
          </cell>
          <cell r="BF317">
            <v>0</v>
          </cell>
          <cell r="BH317">
            <v>0</v>
          </cell>
          <cell r="BI317">
            <v>0</v>
          </cell>
          <cell r="BK317">
            <v>321.34271961888942</v>
          </cell>
          <cell r="BL317">
            <v>0</v>
          </cell>
          <cell r="BN317">
            <v>237.68739725384614</v>
          </cell>
          <cell r="BO317">
            <v>0</v>
          </cell>
          <cell r="BT317">
            <v>7220.6160561497554</v>
          </cell>
          <cell r="BU317">
            <v>7223.0996304456785</v>
          </cell>
          <cell r="BW317">
            <v>4073.6830493193465</v>
          </cell>
          <cell r="BX317">
            <v>5009.586412165394</v>
          </cell>
          <cell r="BZ317">
            <v>3502.2065808600578</v>
          </cell>
          <cell r="CA317">
            <v>6813.7150956052637</v>
          </cell>
          <cell r="CC317">
            <v>15.687068719932457</v>
          </cell>
          <cell r="CD317">
            <v>15.860069765758203</v>
          </cell>
          <cell r="CF317">
            <v>1.9311732325674427</v>
          </cell>
          <cell r="CG317">
            <v>0</v>
          </cell>
          <cell r="CI317">
            <v>1952.8617934870463</v>
          </cell>
          <cell r="CJ317">
            <v>480.7181060917377</v>
          </cell>
          <cell r="CL317">
            <v>0</v>
          </cell>
          <cell r="CM317">
            <v>0</v>
          </cell>
          <cell r="CX317">
            <v>994.94397729178309</v>
          </cell>
          <cell r="CY317">
            <v>-69810.747723513603</v>
          </cell>
        </row>
        <row r="318">
          <cell r="I318">
            <v>1456.9727095287185</v>
          </cell>
          <cell r="J318">
            <v>1265.2867812541429</v>
          </cell>
          <cell r="L318">
            <v>292.74013687093884</v>
          </cell>
          <cell r="M318">
            <v>263.95915539595387</v>
          </cell>
          <cell r="O318">
            <v>776.82</v>
          </cell>
          <cell r="P318">
            <v>776.81666666666661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X318">
            <v>939.7324956333714</v>
          </cell>
          <cell r="Y318">
            <v>717.24031652877864</v>
          </cell>
          <cell r="AA318">
            <v>0</v>
          </cell>
          <cell r="AB318">
            <v>0</v>
          </cell>
          <cell r="AD318">
            <v>2024.2570380635609</v>
          </cell>
          <cell r="AE318">
            <v>2224.5880895824348</v>
          </cell>
          <cell r="AJ318">
            <v>0</v>
          </cell>
          <cell r="AK318">
            <v>0</v>
          </cell>
          <cell r="AM318">
            <v>0</v>
          </cell>
          <cell r="AN318">
            <v>0</v>
          </cell>
          <cell r="AP318">
            <v>1160.096612544721</v>
          </cell>
          <cell r="AQ318">
            <v>501.64657551187616</v>
          </cell>
          <cell r="AS318">
            <v>3775.4779419759097</v>
          </cell>
          <cell r="AT318">
            <v>95.132802864205786</v>
          </cell>
          <cell r="AV318">
            <v>260.74742636054094</v>
          </cell>
          <cell r="AW318">
            <v>0</v>
          </cell>
          <cell r="AY318">
            <v>377.33626403379481</v>
          </cell>
          <cell r="AZ318">
            <v>0</v>
          </cell>
          <cell r="BB318">
            <v>286.46913740690536</v>
          </cell>
          <cell r="BC318">
            <v>0</v>
          </cell>
          <cell r="BE318">
            <v>0</v>
          </cell>
          <cell r="BF318">
            <v>0</v>
          </cell>
          <cell r="BH318">
            <v>0</v>
          </cell>
          <cell r="BI318">
            <v>0</v>
          </cell>
          <cell r="BK318">
            <v>122.81870137610875</v>
          </cell>
          <cell r="BL318">
            <v>0</v>
          </cell>
          <cell r="BN318">
            <v>119.34310272027908</v>
          </cell>
          <cell r="BO318">
            <v>0</v>
          </cell>
          <cell r="BT318">
            <v>2632.8943698044923</v>
          </cell>
          <cell r="BU318">
            <v>3229.6737096786815</v>
          </cell>
          <cell r="BW318">
            <v>2253.8475109640076</v>
          </cell>
          <cell r="BX318">
            <v>2667.9884324822524</v>
          </cell>
          <cell r="BZ318">
            <v>1789.1117046983588</v>
          </cell>
          <cell r="CA318">
            <v>3059.122695043875</v>
          </cell>
          <cell r="CC318">
            <v>115.201910912004</v>
          </cell>
          <cell r="CD318">
            <v>116.47238734228679</v>
          </cell>
          <cell r="CF318">
            <v>14.182053426667157</v>
          </cell>
          <cell r="CG318">
            <v>0</v>
          </cell>
          <cell r="CI318">
            <v>570.88451790436011</v>
          </cell>
          <cell r="CJ318">
            <v>198.22067805987169</v>
          </cell>
          <cell r="CL318">
            <v>0</v>
          </cell>
          <cell r="CM318">
            <v>0</v>
          </cell>
          <cell r="CX318">
            <v>1130.1796389303126</v>
          </cell>
          <cell r="CY318">
            <v>5753.5220515067667</v>
          </cell>
        </row>
        <row r="319">
          <cell r="I319">
            <v>1865.380218099715</v>
          </cell>
          <cell r="J319">
            <v>1613.1824573465785</v>
          </cell>
          <cell r="L319">
            <v>382.1501227217816</v>
          </cell>
          <cell r="M319">
            <v>375.60496429152084</v>
          </cell>
          <cell r="O319">
            <v>871.48</v>
          </cell>
          <cell r="P319">
            <v>871.48333333333335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X319">
            <v>1261.2501337003903</v>
          </cell>
          <cell r="Y319">
            <v>994.45863589604005</v>
          </cell>
          <cell r="AA319">
            <v>0</v>
          </cell>
          <cell r="AB319">
            <v>0</v>
          </cell>
          <cell r="AD319">
            <v>2348.4149529816464</v>
          </cell>
          <cell r="AE319">
            <v>2580.8263652119385</v>
          </cell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P319">
            <v>1515.2282286298396</v>
          </cell>
          <cell r="AQ319">
            <v>0</v>
          </cell>
          <cell r="AS319">
            <v>4717.2020944824671</v>
          </cell>
          <cell r="AT319">
            <v>2533.6106301055388</v>
          </cell>
          <cell r="AV319">
            <v>326.06781225211932</v>
          </cell>
          <cell r="AW319">
            <v>0</v>
          </cell>
          <cell r="AY319">
            <v>492.56202672116706</v>
          </cell>
          <cell r="AZ319">
            <v>0</v>
          </cell>
          <cell r="BB319">
            <v>300.2074328718092</v>
          </cell>
          <cell r="BC319">
            <v>0</v>
          </cell>
          <cell r="BE319">
            <v>0</v>
          </cell>
          <cell r="BF319">
            <v>0</v>
          </cell>
          <cell r="BH319">
            <v>0</v>
          </cell>
          <cell r="BI319">
            <v>0</v>
          </cell>
          <cell r="BK319">
            <v>176.52030214061796</v>
          </cell>
          <cell r="BL319">
            <v>361.07703759210381</v>
          </cell>
          <cell r="BN319">
            <v>107.05787424455717</v>
          </cell>
          <cell r="BO319">
            <v>0</v>
          </cell>
          <cell r="BT319">
            <v>6473.3966128912243</v>
          </cell>
          <cell r="BU319">
            <v>7903.6393965333391</v>
          </cell>
          <cell r="BW319">
            <v>2637.0462610794589</v>
          </cell>
          <cell r="BX319">
            <v>3123.063256980462</v>
          </cell>
          <cell r="BZ319">
            <v>4236.2565573285665</v>
          </cell>
          <cell r="CA319">
            <v>7507.1624418330603</v>
          </cell>
          <cell r="CC319">
            <v>196.67662407615319</v>
          </cell>
          <cell r="CD319">
            <v>198.84562468819348</v>
          </cell>
          <cell r="CF319">
            <v>24.212084403314314</v>
          </cell>
          <cell r="CG319">
            <v>0</v>
          </cell>
          <cell r="CI319">
            <v>1441.2494386437945</v>
          </cell>
          <cell r="CJ319">
            <v>993.61675254771501</v>
          </cell>
          <cell r="CL319">
            <v>0</v>
          </cell>
          <cell r="CM319">
            <v>0</v>
          </cell>
          <cell r="CX319">
            <v>-0.61053272234858014</v>
          </cell>
          <cell r="CY319">
            <v>378.33492436820961</v>
          </cell>
        </row>
        <row r="320">
          <cell r="I320">
            <v>3028.4179462609359</v>
          </cell>
          <cell r="J320">
            <v>2626.7067123603974</v>
          </cell>
          <cell r="L320">
            <v>682.83357792912227</v>
          </cell>
          <cell r="M320">
            <v>667.40752814427424</v>
          </cell>
          <cell r="O320">
            <v>1314.82</v>
          </cell>
          <cell r="P320">
            <v>1314.8166666666666</v>
          </cell>
          <cell r="R320">
            <v>298.32</v>
          </cell>
          <cell r="S320">
            <v>298.33199999999999</v>
          </cell>
          <cell r="U320">
            <v>206.87093145953389</v>
          </cell>
          <cell r="V320">
            <v>72.510983598592432</v>
          </cell>
          <cell r="X320">
            <v>2975.9022482921964</v>
          </cell>
          <cell r="Y320">
            <v>2361.4861542478684</v>
          </cell>
          <cell r="AA320">
            <v>0</v>
          </cell>
          <cell r="AB320">
            <v>0</v>
          </cell>
          <cell r="AD320">
            <v>4105.6463117966159</v>
          </cell>
          <cell r="AE320">
            <v>4544.6988174538983</v>
          </cell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P320">
            <v>670.80416371633532</v>
          </cell>
          <cell r="AQ320">
            <v>3645.7424559498813</v>
          </cell>
          <cell r="AS320">
            <v>13481.383032372123</v>
          </cell>
          <cell r="AT320">
            <v>1382.1869410379879</v>
          </cell>
          <cell r="AV320">
            <v>542.09011909004789</v>
          </cell>
          <cell r="AW320">
            <v>0</v>
          </cell>
          <cell r="AY320">
            <v>850.60757030285652</v>
          </cell>
          <cell r="AZ320">
            <v>5770.0688737719811</v>
          </cell>
          <cell r="BB320">
            <v>489.80949694715548</v>
          </cell>
          <cell r="BC320">
            <v>0</v>
          </cell>
          <cell r="BE320">
            <v>271.06661852588115</v>
          </cell>
          <cell r="BF320">
            <v>0</v>
          </cell>
          <cell r="BH320">
            <v>209.85895464751857</v>
          </cell>
          <cell r="BI320">
            <v>25.7652888</v>
          </cell>
          <cell r="BK320">
            <v>427.20193121784132</v>
          </cell>
          <cell r="BL320">
            <v>1146.8836008191911</v>
          </cell>
          <cell r="BN320">
            <v>232.06982656797737</v>
          </cell>
          <cell r="BO320">
            <v>0</v>
          </cell>
          <cell r="BT320">
            <v>6664.8470942676622</v>
          </cell>
          <cell r="BU320">
            <v>7379.0786327044207</v>
          </cell>
          <cell r="BW320">
            <v>5651.0940655556651</v>
          </cell>
          <cell r="BX320">
            <v>6777.5848557590107</v>
          </cell>
          <cell r="BZ320">
            <v>3836.4944222981553</v>
          </cell>
          <cell r="CA320">
            <v>7100.6929384262703</v>
          </cell>
          <cell r="CC320">
            <v>431.68852233664131</v>
          </cell>
          <cell r="CD320">
            <v>436.44929486645856</v>
          </cell>
          <cell r="CF320">
            <v>53.143473393715311</v>
          </cell>
          <cell r="CG320">
            <v>0</v>
          </cell>
          <cell r="CI320">
            <v>2439.5174480940414</v>
          </cell>
          <cell r="CJ320">
            <v>1199.6693928030127</v>
          </cell>
          <cell r="CL320">
            <v>0</v>
          </cell>
          <cell r="CM320">
            <v>0</v>
          </cell>
          <cell r="CX320">
            <v>3311.9746939135803</v>
          </cell>
          <cell r="CY320">
            <v>5849.2626351081053</v>
          </cell>
        </row>
        <row r="321">
          <cell r="I321">
            <v>2144.645149117503</v>
          </cell>
          <cell r="J321">
            <v>1845.2163183850021</v>
          </cell>
          <cell r="L321">
            <v>429.59193429862819</v>
          </cell>
          <cell r="M321">
            <v>439.0668504222017</v>
          </cell>
          <cell r="O321">
            <v>823.1</v>
          </cell>
          <cell r="P321">
            <v>823.08333333333337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X321">
            <v>1247.2145862139712</v>
          </cell>
          <cell r="Y321">
            <v>981.73674941569516</v>
          </cell>
          <cell r="AA321">
            <v>0</v>
          </cell>
          <cell r="AB321">
            <v>0</v>
          </cell>
          <cell r="AD321">
            <v>2273.3883623456932</v>
          </cell>
          <cell r="AE321">
            <v>2498.3747512161281</v>
          </cell>
          <cell r="AJ321">
            <v>0</v>
          </cell>
          <cell r="AK321">
            <v>0</v>
          </cell>
          <cell r="AM321">
            <v>0</v>
          </cell>
          <cell r="AN321">
            <v>0</v>
          </cell>
          <cell r="AP321">
            <v>1657.2808750638872</v>
          </cell>
          <cell r="AQ321">
            <v>0</v>
          </cell>
          <cell r="AS321">
            <v>5950.6543204209074</v>
          </cell>
          <cell r="AT321">
            <v>705.7806092044051</v>
          </cell>
          <cell r="AV321">
            <v>356.05503281979952</v>
          </cell>
          <cell r="AW321">
            <v>0</v>
          </cell>
          <cell r="AY321">
            <v>553.69522338747106</v>
          </cell>
          <cell r="AZ321">
            <v>0</v>
          </cell>
          <cell r="BB321">
            <v>316.94103982577809</v>
          </cell>
          <cell r="BC321">
            <v>0</v>
          </cell>
          <cell r="BE321">
            <v>0</v>
          </cell>
          <cell r="BF321">
            <v>0</v>
          </cell>
          <cell r="BH321">
            <v>0</v>
          </cell>
          <cell r="BI321">
            <v>0</v>
          </cell>
          <cell r="BK321">
            <v>174.41860246110207</v>
          </cell>
          <cell r="BL321">
            <v>636.86621478308132</v>
          </cell>
          <cell r="BN321">
            <v>200.88589227223855</v>
          </cell>
          <cell r="BO321">
            <v>0</v>
          </cell>
          <cell r="BT321">
            <v>4364.2065204496175</v>
          </cell>
          <cell r="BU321">
            <v>3681.2261792957261</v>
          </cell>
          <cell r="BW321">
            <v>2856.3341959829895</v>
          </cell>
          <cell r="BX321">
            <v>2406.2052838630057</v>
          </cell>
          <cell r="BZ321">
            <v>1960.9423683501768</v>
          </cell>
          <cell r="CA321">
            <v>2871.4969861087961</v>
          </cell>
          <cell r="CC321">
            <v>144.61516476187737</v>
          </cell>
          <cell r="CD321">
            <v>146.21001815308344</v>
          </cell>
          <cell r="CF321">
            <v>17.803003237731112</v>
          </cell>
          <cell r="CG321">
            <v>0</v>
          </cell>
          <cell r="CI321">
            <v>976.43089674352314</v>
          </cell>
          <cell r="CJ321">
            <v>537.79071684269593</v>
          </cell>
          <cell r="CL321">
            <v>0</v>
          </cell>
          <cell r="CM321">
            <v>0</v>
          </cell>
          <cell r="CX321">
            <v>647.8561986965251</v>
          </cell>
          <cell r="CY321">
            <v>11298.035186772215</v>
          </cell>
        </row>
        <row r="322">
          <cell r="I322">
            <v>0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X322">
            <v>0</v>
          </cell>
          <cell r="Y322">
            <v>0</v>
          </cell>
          <cell r="AA322">
            <v>0</v>
          </cell>
          <cell r="AB322">
            <v>0</v>
          </cell>
          <cell r="AD322">
            <v>0</v>
          </cell>
          <cell r="AE322">
            <v>0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P322">
            <v>47.350882144682487</v>
          </cell>
          <cell r="AQ322">
            <v>0</v>
          </cell>
          <cell r="AS322">
            <v>371.67113217406614</v>
          </cell>
          <cell r="AT322">
            <v>0</v>
          </cell>
          <cell r="AV322">
            <v>0</v>
          </cell>
          <cell r="AW322">
            <v>0</v>
          </cell>
          <cell r="AY322">
            <v>0</v>
          </cell>
          <cell r="AZ322">
            <v>0</v>
          </cell>
          <cell r="BB322">
            <v>0</v>
          </cell>
          <cell r="BC322">
            <v>0</v>
          </cell>
          <cell r="BE322">
            <v>0</v>
          </cell>
          <cell r="BF322">
            <v>0</v>
          </cell>
          <cell r="BH322">
            <v>0</v>
          </cell>
          <cell r="BI322">
            <v>0</v>
          </cell>
          <cell r="BK322">
            <v>0</v>
          </cell>
          <cell r="BL322">
            <v>0</v>
          </cell>
          <cell r="BN322">
            <v>0</v>
          </cell>
          <cell r="BO322">
            <v>0</v>
          </cell>
          <cell r="BT322">
            <v>0</v>
          </cell>
          <cell r="BU322">
            <v>0</v>
          </cell>
          <cell r="BW322">
            <v>0</v>
          </cell>
          <cell r="BX322">
            <v>0.62112658806990695</v>
          </cell>
          <cell r="BZ322">
            <v>0</v>
          </cell>
          <cell r="CA322">
            <v>0</v>
          </cell>
          <cell r="CC322">
            <v>0</v>
          </cell>
          <cell r="CD322">
            <v>0</v>
          </cell>
          <cell r="CF322">
            <v>0</v>
          </cell>
          <cell r="CG322">
            <v>0</v>
          </cell>
          <cell r="CI322">
            <v>0</v>
          </cell>
          <cell r="CJ322">
            <v>0</v>
          </cell>
          <cell r="CL322">
            <v>0</v>
          </cell>
          <cell r="CM322">
            <v>0</v>
          </cell>
          <cell r="CX322">
            <v>12.553582817501649</v>
          </cell>
          <cell r="CY322">
            <v>514.63464809431616</v>
          </cell>
        </row>
        <row r="323">
          <cell r="I323">
            <v>1141.4247850654117</v>
          </cell>
          <cell r="J323">
            <v>1270.8803242504982</v>
          </cell>
          <cell r="L323">
            <v>165.85042108884559</v>
          </cell>
          <cell r="M323">
            <v>182.52038612623767</v>
          </cell>
          <cell r="O323">
            <v>481.08</v>
          </cell>
          <cell r="P323">
            <v>481.08333333333331</v>
          </cell>
          <cell r="R323">
            <v>121.76</v>
          </cell>
          <cell r="S323">
            <v>121.76</v>
          </cell>
          <cell r="U323">
            <v>65.029090713311319</v>
          </cell>
          <cell r="V323">
            <v>185.50614582057798</v>
          </cell>
          <cell r="X323">
            <v>671.15385085154321</v>
          </cell>
          <cell r="Y323">
            <v>646.6577863045776</v>
          </cell>
          <cell r="AA323">
            <v>0</v>
          </cell>
          <cell r="AB323">
            <v>0</v>
          </cell>
          <cell r="AD323">
            <v>1520.2505224730248</v>
          </cell>
          <cell r="AE323">
            <v>1670.7024562010063</v>
          </cell>
          <cell r="AJ323">
            <v>4800.7555319648973</v>
          </cell>
          <cell r="AK323">
            <v>4853.6995040103793</v>
          </cell>
          <cell r="AM323">
            <v>0</v>
          </cell>
          <cell r="AN323">
            <v>0</v>
          </cell>
          <cell r="AP323">
            <v>378.80705715745989</v>
          </cell>
          <cell r="AQ323">
            <v>334.43105034125074</v>
          </cell>
          <cell r="AS323">
            <v>5252.7729232824277</v>
          </cell>
          <cell r="AT323">
            <v>214.06267902198385</v>
          </cell>
          <cell r="AV323">
            <v>72.145296138836983</v>
          </cell>
          <cell r="AW323">
            <v>0</v>
          </cell>
          <cell r="AY323">
            <v>84.872810033977956</v>
          </cell>
          <cell r="AZ323">
            <v>0</v>
          </cell>
          <cell r="BB323">
            <v>109.49441663650556</v>
          </cell>
          <cell r="BC323">
            <v>0</v>
          </cell>
          <cell r="BE323">
            <v>57.686128782423815</v>
          </cell>
          <cell r="BF323">
            <v>0</v>
          </cell>
          <cell r="BH323">
            <v>26.384494126153122</v>
          </cell>
          <cell r="BI323">
            <v>0</v>
          </cell>
          <cell r="BK323">
            <v>53.107231388226225</v>
          </cell>
          <cell r="BL323">
            <v>273.37097428614572</v>
          </cell>
          <cell r="BN323">
            <v>0</v>
          </cell>
          <cell r="BO323">
            <v>0</v>
          </cell>
          <cell r="BT323">
            <v>7045.0923007383235</v>
          </cell>
          <cell r="BU323">
            <v>5452.7545156514461</v>
          </cell>
          <cell r="BW323">
            <v>3217.8033091012931</v>
          </cell>
          <cell r="BX323">
            <v>5522.0899357660201</v>
          </cell>
          <cell r="BZ323">
            <v>887.23347568032386</v>
          </cell>
          <cell r="CA323">
            <v>5273.8170869400074</v>
          </cell>
          <cell r="CC323">
            <v>24.511044874894466</v>
          </cell>
          <cell r="CD323">
            <v>24.781359008997192</v>
          </cell>
          <cell r="CF323">
            <v>3.0174581758866292</v>
          </cell>
          <cell r="CG323">
            <v>0</v>
          </cell>
          <cell r="CI323">
            <v>1587.8700525317995</v>
          </cell>
          <cell r="CJ323">
            <v>1221.7059021375087</v>
          </cell>
          <cell r="CL323">
            <v>330.67627813039439</v>
          </cell>
          <cell r="CM323">
            <v>949.05056501432784</v>
          </cell>
          <cell r="CX323">
            <v>529.9858252768463</v>
          </cell>
          <cell r="CY323">
            <v>-166.12880505715657</v>
          </cell>
        </row>
        <row r="324">
          <cell r="I324">
            <v>3891.675913268823</v>
          </cell>
          <cell r="J324">
            <v>4315.8788749536689</v>
          </cell>
          <cell r="L324">
            <v>600.17717966089572</v>
          </cell>
          <cell r="M324">
            <v>660.50344905034558</v>
          </cell>
          <cell r="O324">
            <v>1592.02</v>
          </cell>
          <cell r="P324">
            <v>1592.0166666666669</v>
          </cell>
          <cell r="R324">
            <v>337.78</v>
          </cell>
          <cell r="S324">
            <v>337.78</v>
          </cell>
          <cell r="U324">
            <v>195.03873136964788</v>
          </cell>
          <cell r="V324">
            <v>556.37779595618395</v>
          </cell>
          <cell r="X324">
            <v>1725.4278623829603</v>
          </cell>
          <cell r="Y324">
            <v>1676.6196022004078</v>
          </cell>
          <cell r="AA324">
            <v>0</v>
          </cell>
          <cell r="AB324">
            <v>0</v>
          </cell>
          <cell r="AD324">
            <v>4575.5887028392926</v>
          </cell>
          <cell r="AE324">
            <v>5028.4128644559132</v>
          </cell>
          <cell r="AJ324">
            <v>14402.266595894693</v>
          </cell>
          <cell r="AK324">
            <v>14561.070339958776</v>
          </cell>
          <cell r="AM324">
            <v>0</v>
          </cell>
          <cell r="AN324">
            <v>0</v>
          </cell>
          <cell r="AP324">
            <v>852.31587860428476</v>
          </cell>
          <cell r="AQ324">
            <v>0</v>
          </cell>
          <cell r="AS324">
            <v>15847.528667418721</v>
          </cell>
          <cell r="AT324">
            <v>4036.6895180841698</v>
          </cell>
          <cell r="AV324">
            <v>121.58007400255997</v>
          </cell>
          <cell r="AW324">
            <v>1286.6908589780044</v>
          </cell>
          <cell r="AY324">
            <v>159.30104863470086</v>
          </cell>
          <cell r="AZ324">
            <v>0</v>
          </cell>
          <cell r="BB324">
            <v>155.80471250959988</v>
          </cell>
          <cell r="BC324">
            <v>0</v>
          </cell>
          <cell r="BE324">
            <v>65.835441136694755</v>
          </cell>
          <cell r="BF324">
            <v>0</v>
          </cell>
          <cell r="BH324">
            <v>39.576724851099698</v>
          </cell>
          <cell r="BI324">
            <v>0</v>
          </cell>
          <cell r="BK324">
            <v>92.643523219730568</v>
          </cell>
          <cell r="BL324">
            <v>0</v>
          </cell>
          <cell r="BN324">
            <v>0</v>
          </cell>
          <cell r="BO324">
            <v>0</v>
          </cell>
          <cell r="BT324">
            <v>11136.08742225672</v>
          </cell>
          <cell r="BU324">
            <v>9710.4279005289536</v>
          </cell>
          <cell r="BW324">
            <v>8699.8429876710579</v>
          </cell>
          <cell r="BX324">
            <v>11562.376355121261</v>
          </cell>
          <cell r="BZ324">
            <v>2657.3724588669211</v>
          </cell>
          <cell r="CA324">
            <v>9350.5955570785882</v>
          </cell>
          <cell r="CC324">
            <v>172.06753502175914</v>
          </cell>
          <cell r="CD324">
            <v>173.96514024316031</v>
          </cell>
          <cell r="CF324">
            <v>21.182556394724138</v>
          </cell>
          <cell r="CG324">
            <v>0</v>
          </cell>
          <cell r="CI324">
            <v>1762.5669541855927</v>
          </cell>
          <cell r="CJ324">
            <v>780.48700039963717</v>
          </cell>
          <cell r="CL324">
            <v>2470.7133233893614</v>
          </cell>
          <cell r="CM324">
            <v>2990.7728659174459</v>
          </cell>
          <cell r="CX324">
            <v>2003.0668477041909</v>
          </cell>
          <cell r="CY324">
            <v>5547.5422524881724</v>
          </cell>
        </row>
        <row r="325">
          <cell r="I325">
            <v>1855.709449170587</v>
          </cell>
          <cell r="J325">
            <v>2060.349609930282</v>
          </cell>
          <cell r="L325">
            <v>380.52254474762248</v>
          </cell>
          <cell r="M325">
            <v>418.77112677670232</v>
          </cell>
          <cell r="O325">
            <v>765.12</v>
          </cell>
          <cell r="P325">
            <v>765.11666666666667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X325">
            <v>1264.5935845780994</v>
          </cell>
          <cell r="Y325">
            <v>1215.3837826390745</v>
          </cell>
          <cell r="AA325">
            <v>0</v>
          </cell>
          <cell r="AB325">
            <v>0</v>
          </cell>
          <cell r="AD325">
            <v>2404.8416764481622</v>
          </cell>
          <cell r="AE325">
            <v>2642.8373720146383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P325">
            <v>1515.2282286298396</v>
          </cell>
          <cell r="AQ325">
            <v>4306.8273110899681</v>
          </cell>
          <cell r="AS325">
            <v>5412.1138316388606</v>
          </cell>
          <cell r="AT325">
            <v>1908.6160394370359</v>
          </cell>
          <cell r="AV325">
            <v>308.63227648939352</v>
          </cell>
          <cell r="AW325">
            <v>0</v>
          </cell>
          <cell r="AY325">
            <v>490.42556714245251</v>
          </cell>
          <cell r="AZ325">
            <v>0</v>
          </cell>
          <cell r="BB325">
            <v>392.24599536342089</v>
          </cell>
          <cell r="BC325">
            <v>0</v>
          </cell>
          <cell r="BE325">
            <v>0</v>
          </cell>
          <cell r="BF325">
            <v>0</v>
          </cell>
          <cell r="BH325">
            <v>0</v>
          </cell>
          <cell r="BI325">
            <v>0</v>
          </cell>
          <cell r="BK325">
            <v>174.41860683958959</v>
          </cell>
          <cell r="BL325">
            <v>0</v>
          </cell>
          <cell r="BN325">
            <v>0</v>
          </cell>
          <cell r="BO325">
            <v>0</v>
          </cell>
          <cell r="BT325">
            <v>5729.9409402849542</v>
          </cell>
          <cell r="BU325">
            <v>2635.7364219707306</v>
          </cell>
          <cell r="BW325">
            <v>3952.4787555964867</v>
          </cell>
          <cell r="BX325">
            <v>1997.8091982137248</v>
          </cell>
          <cell r="BZ325">
            <v>2369.6142110026649</v>
          </cell>
          <cell r="CA325">
            <v>3228.3618765448659</v>
          </cell>
          <cell r="CC325">
            <v>130.39875873443856</v>
          </cell>
          <cell r="CD325">
            <v>131.83682992786507</v>
          </cell>
          <cell r="CF325">
            <v>16.052877495716867</v>
          </cell>
          <cell r="CG325">
            <v>0</v>
          </cell>
          <cell r="CI325">
            <v>1101.214397924804</v>
          </cell>
          <cell r="CJ325">
            <v>552.51862685826688</v>
          </cell>
          <cell r="CL325">
            <v>0</v>
          </cell>
          <cell r="CM325">
            <v>0</v>
          </cell>
          <cell r="CX325">
            <v>678.33795749548881</v>
          </cell>
          <cell r="CY325">
            <v>8357.6021655162185</v>
          </cell>
        </row>
        <row r="326">
          <cell r="I326">
            <v>3689.4693573970144</v>
          </cell>
          <cell r="J326">
            <v>4077.6605612022177</v>
          </cell>
          <cell r="L326">
            <v>587.5027948209671</v>
          </cell>
          <cell r="M326">
            <v>673.37169013843504</v>
          </cell>
          <cell r="O326">
            <v>1137.76</v>
          </cell>
          <cell r="P326">
            <v>1137.75</v>
          </cell>
          <cell r="R326">
            <v>263.98</v>
          </cell>
          <cell r="S326">
            <v>263.98</v>
          </cell>
          <cell r="U326">
            <v>147.75798163649051</v>
          </cell>
          <cell r="V326">
            <v>421.5025921336408</v>
          </cell>
          <cell r="X326">
            <v>1114.7100315474197</v>
          </cell>
          <cell r="Y326">
            <v>1124.8122869000329</v>
          </cell>
          <cell r="AA326">
            <v>0</v>
          </cell>
          <cell r="AB326">
            <v>0</v>
          </cell>
          <cell r="AD326">
            <v>3745.7566980327219</v>
          </cell>
          <cell r="AE326">
            <v>4126.9507606386906</v>
          </cell>
          <cell r="AJ326">
            <v>7818.3771148173601</v>
          </cell>
          <cell r="AK326">
            <v>7904.600197132595</v>
          </cell>
          <cell r="AM326">
            <v>0</v>
          </cell>
          <cell r="AN326">
            <v>0</v>
          </cell>
          <cell r="AP326">
            <v>710.2632321702373</v>
          </cell>
          <cell r="AQ326">
            <v>0</v>
          </cell>
          <cell r="AS326">
            <v>12773.36424678388</v>
          </cell>
          <cell r="AT326">
            <v>603.84626433482299</v>
          </cell>
          <cell r="AV326">
            <v>299.40314063924632</v>
          </cell>
          <cell r="AW326">
            <v>754.29647901999078</v>
          </cell>
          <cell r="AY326">
            <v>382.22287577264916</v>
          </cell>
          <cell r="AZ326">
            <v>0</v>
          </cell>
          <cell r="BB326">
            <v>393.17290868409344</v>
          </cell>
          <cell r="BC326">
            <v>0</v>
          </cell>
          <cell r="BE326">
            <v>151.25715432493635</v>
          </cell>
          <cell r="BF326">
            <v>616.4757719159312</v>
          </cell>
          <cell r="BH326">
            <v>74.942692264072917</v>
          </cell>
          <cell r="BI326">
            <v>0</v>
          </cell>
          <cell r="BK326">
            <v>322.07430498385054</v>
          </cell>
          <cell r="BL326">
            <v>811.33478098866101</v>
          </cell>
          <cell r="BN326">
            <v>0</v>
          </cell>
          <cell r="BO326">
            <v>0</v>
          </cell>
          <cell r="BT326">
            <v>8675.0093822070376</v>
          </cell>
          <cell r="BU326">
            <v>6977.7121964739545</v>
          </cell>
          <cell r="BW326">
            <v>10475.761450403141</v>
          </cell>
          <cell r="BX326">
            <v>13929.986498440159</v>
          </cell>
          <cell r="BZ326">
            <v>878.5775393322233</v>
          </cell>
          <cell r="CA326">
            <v>6639.0384026460533</v>
          </cell>
          <cell r="CC326">
            <v>135.30096770941745</v>
          </cell>
          <cell r="CD326">
            <v>136.7931017296645</v>
          </cell>
          <cell r="CF326">
            <v>16.656369130894195</v>
          </cell>
          <cell r="CG326">
            <v>0</v>
          </cell>
          <cell r="CI326">
            <v>2517.5071363323418</v>
          </cell>
          <cell r="CJ326">
            <v>3449.132393212225</v>
          </cell>
          <cell r="CL326">
            <v>5920.977131051779</v>
          </cell>
          <cell r="CM326">
            <v>2321.7868840522433</v>
          </cell>
          <cell r="CX326">
            <v>2034.2345879498898</v>
          </cell>
          <cell r="CY326">
            <v>9547.1629668488386</v>
          </cell>
        </row>
        <row r="327">
          <cell r="I327">
            <v>3449.7755903847119</v>
          </cell>
          <cell r="J327">
            <v>3886.95113012615</v>
          </cell>
          <cell r="L327">
            <v>680.02010866172282</v>
          </cell>
          <cell r="M327">
            <v>748.37157427733894</v>
          </cell>
          <cell r="O327">
            <v>2089.56</v>
          </cell>
          <cell r="P327">
            <v>2089.5666666666666</v>
          </cell>
          <cell r="R327">
            <v>492.3</v>
          </cell>
          <cell r="S327">
            <v>492.3</v>
          </cell>
          <cell r="U327">
            <v>260.0677403923093</v>
          </cell>
          <cell r="V327">
            <v>862.39108404285253</v>
          </cell>
          <cell r="X327">
            <v>2453.1927875344977</v>
          </cell>
          <cell r="Y327">
            <v>2384.8843299719397</v>
          </cell>
          <cell r="AA327">
            <v>0</v>
          </cell>
          <cell r="AB327">
            <v>0</v>
          </cell>
          <cell r="AD327">
            <v>6021.5822843523401</v>
          </cell>
          <cell r="AE327">
            <v>6644.763667813937</v>
          </cell>
          <cell r="AJ327">
            <v>11887.589371106998</v>
          </cell>
          <cell r="AK327">
            <v>12018.688777265357</v>
          </cell>
          <cell r="AM327">
            <v>0</v>
          </cell>
          <cell r="AN327">
            <v>798.01608136018467</v>
          </cell>
          <cell r="AP327">
            <v>1120.6375440908189</v>
          </cell>
          <cell r="AQ327">
            <v>6740.0910627921257</v>
          </cell>
          <cell r="AS327">
            <v>19256.164844230105</v>
          </cell>
          <cell r="AT327">
            <v>634.40189152047651</v>
          </cell>
          <cell r="AV327">
            <v>285.95847221364954</v>
          </cell>
          <cell r="AW327">
            <v>0</v>
          </cell>
          <cell r="AY327">
            <v>453.52599414512929</v>
          </cell>
          <cell r="AZ327">
            <v>0</v>
          </cell>
          <cell r="BB327">
            <v>508.91541862213694</v>
          </cell>
          <cell r="BC327">
            <v>0</v>
          </cell>
          <cell r="BE327">
            <v>269.21077308432922</v>
          </cell>
          <cell r="BF327">
            <v>0</v>
          </cell>
          <cell r="BH327">
            <v>131.92242978544064</v>
          </cell>
          <cell r="BI327">
            <v>0</v>
          </cell>
          <cell r="BK327">
            <v>367.24734680686328</v>
          </cell>
          <cell r="BL327">
            <v>0</v>
          </cell>
          <cell r="BN327">
            <v>0</v>
          </cell>
          <cell r="BO327">
            <v>0</v>
          </cell>
          <cell r="BT327">
            <v>23536.621741483654</v>
          </cell>
          <cell r="BU327">
            <v>18170.987747839627</v>
          </cell>
          <cell r="BW327">
            <v>13255.337426447353</v>
          </cell>
          <cell r="BX327">
            <v>17421.52981286966</v>
          </cell>
          <cell r="BZ327">
            <v>2059.2472572131619</v>
          </cell>
          <cell r="CA327">
            <v>17339.592906006244</v>
          </cell>
          <cell r="CC327">
            <v>300.0151892687083</v>
          </cell>
          <cell r="CD327">
            <v>303.32383427012564</v>
          </cell>
          <cell r="CF327">
            <v>36.933688072852341</v>
          </cell>
          <cell r="CG327">
            <v>0</v>
          </cell>
          <cell r="CI327">
            <v>2115.0803450227108</v>
          </cell>
          <cell r="CJ327">
            <v>1023.2235426393863</v>
          </cell>
          <cell r="CL327">
            <v>2707.8019756337953</v>
          </cell>
          <cell r="CM327">
            <v>3825.6379507470497</v>
          </cell>
          <cell r="CX327">
            <v>2772.8100057360425</v>
          </cell>
          <cell r="CY327">
            <v>797.5935277490571</v>
          </cell>
        </row>
        <row r="328">
          <cell r="I328">
            <v>158.31082679912393</v>
          </cell>
          <cell r="J328">
            <v>187.69052051310211</v>
          </cell>
          <cell r="L328">
            <v>51.041817737461159</v>
          </cell>
          <cell r="M328">
            <v>56.172643366237281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X328">
            <v>4.8420164802125161</v>
          </cell>
          <cell r="Y328">
            <v>11.960105614556166</v>
          </cell>
          <cell r="AA328">
            <v>0</v>
          </cell>
          <cell r="AB328">
            <v>0</v>
          </cell>
          <cell r="AD328">
            <v>209.7010311601027</v>
          </cell>
          <cell r="AE328">
            <v>230.45414071435312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P328">
            <v>94.701764289364974</v>
          </cell>
          <cell r="AQ328">
            <v>0</v>
          </cell>
          <cell r="AS328">
            <v>346.72450712606081</v>
          </cell>
          <cell r="AT328">
            <v>0</v>
          </cell>
          <cell r="AV328">
            <v>35.585389395679698</v>
          </cell>
          <cell r="AW328">
            <v>0</v>
          </cell>
          <cell r="AY328">
            <v>65.775273182043605</v>
          </cell>
          <cell r="AZ328">
            <v>0</v>
          </cell>
          <cell r="BB328">
            <v>0</v>
          </cell>
          <cell r="BC328">
            <v>0</v>
          </cell>
          <cell r="BE328">
            <v>0</v>
          </cell>
          <cell r="BF328">
            <v>0</v>
          </cell>
          <cell r="BH328">
            <v>0</v>
          </cell>
          <cell r="BI328">
            <v>0</v>
          </cell>
          <cell r="BK328">
            <v>0</v>
          </cell>
          <cell r="BL328">
            <v>0</v>
          </cell>
          <cell r="BN328">
            <v>0</v>
          </cell>
          <cell r="BO328">
            <v>0</v>
          </cell>
          <cell r="BT328">
            <v>338.12253493875841</v>
          </cell>
          <cell r="BU328">
            <v>266.60246059032306</v>
          </cell>
          <cell r="BW328">
            <v>14.43073453399175</v>
          </cell>
          <cell r="BX328">
            <v>35.824067482042693</v>
          </cell>
          <cell r="BZ328">
            <v>270.83490348462016</v>
          </cell>
          <cell r="CA328">
            <v>385.25442992179921</v>
          </cell>
          <cell r="CC328">
            <v>0</v>
          </cell>
          <cell r="CD328">
            <v>0</v>
          </cell>
          <cell r="CF328">
            <v>0</v>
          </cell>
          <cell r="CG328">
            <v>0</v>
          </cell>
          <cell r="CI328">
            <v>0</v>
          </cell>
          <cell r="CJ328">
            <v>0</v>
          </cell>
          <cell r="CL328">
            <v>0</v>
          </cell>
          <cell r="CM328">
            <v>0</v>
          </cell>
          <cell r="CX328">
            <v>167.39504104709658</v>
          </cell>
          <cell r="CY328">
            <v>666.72995815710374</v>
          </cell>
        </row>
        <row r="329">
          <cell r="I329">
            <v>3261.6525169802894</v>
          </cell>
          <cell r="J329">
            <v>3580.3905429377146</v>
          </cell>
          <cell r="L329">
            <v>516.78319372298949</v>
          </cell>
          <cell r="M329">
            <v>568.72766167613577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U329">
            <v>44.32263844269842</v>
          </cell>
          <cell r="V329">
            <v>126.43671348953723</v>
          </cell>
          <cell r="X329">
            <v>1203.0025609383945</v>
          </cell>
          <cell r="Y329">
            <v>1110.7795375855094</v>
          </cell>
          <cell r="AA329">
            <v>0</v>
          </cell>
          <cell r="AB329">
            <v>0</v>
          </cell>
          <cell r="AD329">
            <v>2506.0648616108788</v>
          </cell>
          <cell r="AE329">
            <v>2754.0781323866454</v>
          </cell>
          <cell r="AJ329">
            <v>1877.1003820555543</v>
          </cell>
          <cell r="AK329">
            <v>2277.3618359104621</v>
          </cell>
          <cell r="AM329">
            <v>278.53460085107349</v>
          </cell>
          <cell r="AN329">
            <v>337.92762284996172</v>
          </cell>
          <cell r="AP329">
            <v>781.28955538726109</v>
          </cell>
          <cell r="AQ329">
            <v>0</v>
          </cell>
          <cell r="AS329">
            <v>6653.4224571358491</v>
          </cell>
          <cell r="AT329">
            <v>3409.254254453931</v>
          </cell>
          <cell r="AV329">
            <v>256.75397524749241</v>
          </cell>
          <cell r="AW329">
            <v>0</v>
          </cell>
          <cell r="AY329">
            <v>333.0523260630502</v>
          </cell>
          <cell r="AZ329">
            <v>0</v>
          </cell>
          <cell r="BB329">
            <v>0</v>
          </cell>
          <cell r="BC329">
            <v>0</v>
          </cell>
          <cell r="BE329">
            <v>0</v>
          </cell>
          <cell r="BF329">
            <v>0</v>
          </cell>
          <cell r="BH329">
            <v>22.490068372102311</v>
          </cell>
          <cell r="BI329">
            <v>0</v>
          </cell>
          <cell r="BK329">
            <v>77.368966108617101</v>
          </cell>
          <cell r="BL329">
            <v>0</v>
          </cell>
          <cell r="BN329">
            <v>0</v>
          </cell>
          <cell r="BO329">
            <v>0</v>
          </cell>
          <cell r="BT329">
            <v>3164.9645781884769</v>
          </cell>
          <cell r="BU329">
            <v>3955.7539669102425</v>
          </cell>
          <cell r="BW329">
            <v>5161.7650497204995</v>
          </cell>
          <cell r="BX329">
            <v>6296.7475389296269</v>
          </cell>
          <cell r="BZ329">
            <v>2282.3810623087134</v>
          </cell>
          <cell r="CA329">
            <v>3837.6108178414329</v>
          </cell>
          <cell r="CC329">
            <v>16.716532604678026</v>
          </cell>
          <cell r="CD329">
            <v>16.900886844136082</v>
          </cell>
          <cell r="CF329">
            <v>2.057906475954681</v>
          </cell>
          <cell r="CG329">
            <v>0</v>
          </cell>
          <cell r="CI329">
            <v>442.98142919354717</v>
          </cell>
          <cell r="CJ329">
            <v>792.80219487387114</v>
          </cell>
          <cell r="CL329">
            <v>1279.0308871081293</v>
          </cell>
          <cell r="CM329">
            <v>1611.0399523523661</v>
          </cell>
          <cell r="CX329">
            <v>1005.39734178051</v>
          </cell>
          <cell r="CY329">
            <v>388.50600915011819</v>
          </cell>
        </row>
        <row r="330">
          <cell r="I330">
            <v>2781.4765038740534</v>
          </cell>
          <cell r="J330">
            <v>3467.5596382572667</v>
          </cell>
          <cell r="L330">
            <v>453.85581537701228</v>
          </cell>
          <cell r="M330">
            <v>600.45908305074522</v>
          </cell>
          <cell r="O330">
            <v>899.12</v>
          </cell>
          <cell r="P330">
            <v>899.32</v>
          </cell>
          <cell r="R330">
            <v>222.48</v>
          </cell>
          <cell r="S330">
            <v>222.24</v>
          </cell>
          <cell r="U330">
            <v>130.00964065633656</v>
          </cell>
          <cell r="V330">
            <v>141.80543907533328</v>
          </cell>
          <cell r="X330">
            <v>974.77311418430293</v>
          </cell>
          <cell r="Y330">
            <v>2459.3371440905303</v>
          </cell>
          <cell r="AA330">
            <v>0</v>
          </cell>
          <cell r="AB330">
            <v>0</v>
          </cell>
          <cell r="AD330">
            <v>2960.2294342960327</v>
          </cell>
          <cell r="AE330">
            <v>3253.1892038107508</v>
          </cell>
          <cell r="AJ330">
            <v>9601.5110639297945</v>
          </cell>
          <cell r="AK330">
            <v>9707.3764795125717</v>
          </cell>
          <cell r="AM330">
            <v>0</v>
          </cell>
          <cell r="AN330">
            <v>0</v>
          </cell>
          <cell r="AP330">
            <v>560.31877204540945</v>
          </cell>
          <cell r="AQ330">
            <v>0</v>
          </cell>
          <cell r="AS330">
            <v>10714.352313839907</v>
          </cell>
          <cell r="AT330">
            <v>223.01641652204219</v>
          </cell>
          <cell r="AV330">
            <v>224.51577674707013</v>
          </cell>
          <cell r="AW330">
            <v>0</v>
          </cell>
          <cell r="AY330">
            <v>300.12770757182062</v>
          </cell>
          <cell r="AZ330">
            <v>0</v>
          </cell>
          <cell r="BB330">
            <v>376.27692534240782</v>
          </cell>
          <cell r="BC330">
            <v>0</v>
          </cell>
          <cell r="BE330">
            <v>125.13234211792332</v>
          </cell>
          <cell r="BF330">
            <v>0</v>
          </cell>
          <cell r="BH330">
            <v>65.961235315382794</v>
          </cell>
          <cell r="BI330">
            <v>0</v>
          </cell>
          <cell r="BK330">
            <v>125.82945550466667</v>
          </cell>
          <cell r="BL330">
            <v>0</v>
          </cell>
          <cell r="BN330">
            <v>0</v>
          </cell>
          <cell r="BO330">
            <v>0</v>
          </cell>
          <cell r="BT330">
            <v>9839.560606017385</v>
          </cell>
          <cell r="BU330">
            <v>8092.9061658505343</v>
          </cell>
          <cell r="BW330">
            <v>6619.2653265028293</v>
          </cell>
          <cell r="BX330">
            <v>10898.972926658145</v>
          </cell>
          <cell r="BZ330">
            <v>863.69129340262396</v>
          </cell>
          <cell r="CA330">
            <v>7585.6076252662124</v>
          </cell>
          <cell r="CC330">
            <v>238.11499654164979</v>
          </cell>
          <cell r="CD330">
            <v>240.74099022880415</v>
          </cell>
          <cell r="CF330">
            <v>29.313399195468254</v>
          </cell>
          <cell r="CG330">
            <v>0</v>
          </cell>
          <cell r="CI330">
            <v>1815.5999421876372</v>
          </cell>
          <cell r="CJ330">
            <v>1731.9301516138983</v>
          </cell>
          <cell r="CL330">
            <v>1179.2040861631044</v>
          </cell>
          <cell r="CM330">
            <v>2021.8066316596028</v>
          </cell>
          <cell r="CX330">
            <v>669.55629902462533</v>
          </cell>
          <cell r="CY330">
            <v>134.8985252842831</v>
          </cell>
        </row>
        <row r="331">
          <cell r="I331">
            <v>1760.045544434277</v>
          </cell>
          <cell r="J331">
            <v>2192.3936223934143</v>
          </cell>
          <cell r="L331">
            <v>332.43932844451967</v>
          </cell>
          <cell r="M331">
            <v>424.61104635725263</v>
          </cell>
          <cell r="O331">
            <v>664.94</v>
          </cell>
          <cell r="P331">
            <v>664.96</v>
          </cell>
          <cell r="R331">
            <v>0</v>
          </cell>
          <cell r="S331">
            <v>0</v>
          </cell>
          <cell r="U331">
            <v>118.22581795543685</v>
          </cell>
          <cell r="V331">
            <v>96.813560492705875</v>
          </cell>
          <cell r="X331">
            <v>1186.201490290071</v>
          </cell>
          <cell r="Y331">
            <v>1398.1698379948698</v>
          </cell>
          <cell r="AA331">
            <v>0</v>
          </cell>
          <cell r="AB331">
            <v>0</v>
          </cell>
          <cell r="AD331">
            <v>1959.1147446551972</v>
          </cell>
          <cell r="AE331">
            <v>2152.9989745049556</v>
          </cell>
          <cell r="AJ331">
            <v>0</v>
          </cell>
          <cell r="AK331">
            <v>0</v>
          </cell>
          <cell r="AM331">
            <v>0</v>
          </cell>
          <cell r="AN331">
            <v>0</v>
          </cell>
          <cell r="AP331">
            <v>852.31587860428476</v>
          </cell>
          <cell r="AQ331">
            <v>3741.6830468959306</v>
          </cell>
          <cell r="AS331">
            <v>8888.2871910180547</v>
          </cell>
          <cell r="AT331">
            <v>127223.06779678595</v>
          </cell>
          <cell r="AV331">
            <v>293.75320637338609</v>
          </cell>
          <cell r="AW331">
            <v>2157.9286421498714</v>
          </cell>
          <cell r="AY331">
            <v>428.45713760025609</v>
          </cell>
          <cell r="AZ331">
            <v>0</v>
          </cell>
          <cell r="BB331">
            <v>270.44394550521525</v>
          </cell>
          <cell r="BC331">
            <v>5996.7069380407793</v>
          </cell>
          <cell r="BE331">
            <v>0</v>
          </cell>
          <cell r="BF331">
            <v>0</v>
          </cell>
          <cell r="BH331">
            <v>119.94714023874553</v>
          </cell>
          <cell r="BI331">
            <v>0</v>
          </cell>
          <cell r="BK331">
            <v>182.75233818840255</v>
          </cell>
          <cell r="BL331">
            <v>0</v>
          </cell>
          <cell r="BN331">
            <v>0</v>
          </cell>
          <cell r="BO331">
            <v>0</v>
          </cell>
          <cell r="BT331">
            <v>5146.4343732686229</v>
          </cell>
          <cell r="BU331">
            <v>1413.3638838910679</v>
          </cell>
          <cell r="BW331">
            <v>2982.6517889647957</v>
          </cell>
          <cell r="BX331">
            <v>3172.3460674491062</v>
          </cell>
          <cell r="BZ331">
            <v>741.69964227367973</v>
          </cell>
          <cell r="CA331">
            <v>1330.0535749536623</v>
          </cell>
          <cell r="CC331">
            <v>290.99512475474711</v>
          </cell>
          <cell r="CD331">
            <v>294.20429415481465</v>
          </cell>
          <cell r="CF331">
            <v>35.823263464126065</v>
          </cell>
          <cell r="CG331">
            <v>0</v>
          </cell>
          <cell r="CI331">
            <v>648.87420614266057</v>
          </cell>
          <cell r="CJ331">
            <v>344.50618124321977</v>
          </cell>
          <cell r="CL331">
            <v>0</v>
          </cell>
          <cell r="CM331">
            <v>0</v>
          </cell>
          <cell r="CX331">
            <v>1613.9974053882324</v>
          </cell>
          <cell r="CY331">
            <v>-149226.48896076903</v>
          </cell>
        </row>
        <row r="332">
          <cell r="I332">
            <v>2453.4871831668916</v>
          </cell>
          <cell r="J332">
            <v>3063.3286116889435</v>
          </cell>
          <cell r="L332">
            <v>566.98617602705406</v>
          </cell>
          <cell r="M332">
            <v>744.95659682370751</v>
          </cell>
          <cell r="O332">
            <v>937.1</v>
          </cell>
          <cell r="P332">
            <v>937.42</v>
          </cell>
          <cell r="R332">
            <v>0</v>
          </cell>
          <cell r="S332">
            <v>0</v>
          </cell>
          <cell r="U332">
            <v>177.29022700819411</v>
          </cell>
          <cell r="V332">
            <v>145.17996811166401</v>
          </cell>
          <cell r="X332">
            <v>2176.6167458896812</v>
          </cell>
          <cell r="Y332">
            <v>2697.6548697793178</v>
          </cell>
          <cell r="AA332">
            <v>0</v>
          </cell>
          <cell r="AB332">
            <v>0</v>
          </cell>
          <cell r="AD332">
            <v>3013.1000912041009</v>
          </cell>
          <cell r="AE332">
            <v>3451.0166895187831</v>
          </cell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P332">
            <v>1420.5264643404746</v>
          </cell>
          <cell r="AQ332">
            <v>0</v>
          </cell>
          <cell r="AS332">
            <v>9463.6085460755166</v>
          </cell>
          <cell r="AT332">
            <v>1946.9629621126326</v>
          </cell>
          <cell r="AV332">
            <v>434.16734811129322</v>
          </cell>
          <cell r="AW332">
            <v>0</v>
          </cell>
          <cell r="AY332">
            <v>730.73405711118153</v>
          </cell>
          <cell r="AZ332">
            <v>0</v>
          </cell>
          <cell r="BB332">
            <v>357.3446292239239</v>
          </cell>
          <cell r="BC332">
            <v>0</v>
          </cell>
          <cell r="BE332">
            <v>0</v>
          </cell>
          <cell r="BF332">
            <v>0</v>
          </cell>
          <cell r="BH332">
            <v>179.87216958783222</v>
          </cell>
          <cell r="BI332">
            <v>0</v>
          </cell>
          <cell r="BK332">
            <v>326.88088209596361</v>
          </cell>
          <cell r="BL332">
            <v>0</v>
          </cell>
          <cell r="BN332">
            <v>0</v>
          </cell>
          <cell r="BO332">
            <v>0</v>
          </cell>
          <cell r="BT332">
            <v>6335.3854175917204</v>
          </cell>
          <cell r="BU332">
            <v>5175.0020366777044</v>
          </cell>
          <cell r="BW332">
            <v>4552.6782089307026</v>
          </cell>
          <cell r="BX332">
            <v>8424.7612936121659</v>
          </cell>
          <cell r="BZ332">
            <v>839.41581879628552</v>
          </cell>
          <cell r="CA332">
            <v>4920.8521484733765</v>
          </cell>
          <cell r="CC332">
            <v>400.94676985454868</v>
          </cell>
          <cell r="CD332">
            <v>405.36851439737427</v>
          </cell>
          <cell r="CF332">
            <v>49.358977349518305</v>
          </cell>
          <cell r="CG332">
            <v>0</v>
          </cell>
          <cell r="CI332">
            <v>1734.4906664198047</v>
          </cell>
          <cell r="CJ332">
            <v>662.01958135014411</v>
          </cell>
          <cell r="CL332">
            <v>0</v>
          </cell>
          <cell r="CM332">
            <v>0</v>
          </cell>
          <cell r="CX332">
            <v>3848.7915454583781</v>
          </cell>
          <cell r="CY332">
            <v>8139.3520729450247</v>
          </cell>
        </row>
        <row r="333">
          <cell r="I333">
            <v>1744.3939339937453</v>
          </cell>
          <cell r="J333">
            <v>2174.0890642797331</v>
          </cell>
          <cell r="L333">
            <v>328.83932228390506</v>
          </cell>
          <cell r="M333">
            <v>440.78114171924631</v>
          </cell>
          <cell r="O333">
            <v>660.84</v>
          </cell>
          <cell r="P333">
            <v>660.7</v>
          </cell>
          <cell r="R333">
            <v>0</v>
          </cell>
          <cell r="S333">
            <v>0</v>
          </cell>
          <cell r="U333">
            <v>0</v>
          </cell>
          <cell r="V333">
            <v>22.855347475559377</v>
          </cell>
          <cell r="X333">
            <v>1146.1815444650981</v>
          </cell>
          <cell r="Y333">
            <v>1427.634727335892</v>
          </cell>
          <cell r="AA333">
            <v>0</v>
          </cell>
          <cell r="AB333">
            <v>0</v>
          </cell>
          <cell r="AD333">
            <v>1953.6274275209189</v>
          </cell>
          <cell r="AE333">
            <v>2146.9686038004747</v>
          </cell>
          <cell r="AJ333">
            <v>0</v>
          </cell>
          <cell r="AK333">
            <v>0</v>
          </cell>
          <cell r="AM333">
            <v>0</v>
          </cell>
          <cell r="AN333">
            <v>0</v>
          </cell>
          <cell r="AP333">
            <v>710.2632321702373</v>
          </cell>
          <cell r="AQ333">
            <v>3669.7276036863936</v>
          </cell>
          <cell r="AS333">
            <v>7473.8007231799484</v>
          </cell>
          <cell r="AT333">
            <v>0</v>
          </cell>
          <cell r="AV333">
            <v>290.36266880217647</v>
          </cell>
          <cell r="AW333">
            <v>0</v>
          </cell>
          <cell r="AY333">
            <v>423.81506108451765</v>
          </cell>
          <cell r="AZ333">
            <v>0</v>
          </cell>
          <cell r="BB333">
            <v>261.73110883754254</v>
          </cell>
          <cell r="BC333">
            <v>0</v>
          </cell>
          <cell r="BE333">
            <v>0</v>
          </cell>
          <cell r="BF333">
            <v>0</v>
          </cell>
          <cell r="BH333">
            <v>0</v>
          </cell>
          <cell r="BI333">
            <v>0</v>
          </cell>
          <cell r="BK333">
            <v>178.07764464286564</v>
          </cell>
          <cell r="BL333">
            <v>0</v>
          </cell>
          <cell r="BN333">
            <v>0</v>
          </cell>
          <cell r="BO333">
            <v>0</v>
          </cell>
          <cell r="BT333">
            <v>4605.4460976492683</v>
          </cell>
          <cell r="BU333">
            <v>3904.232466977784</v>
          </cell>
          <cell r="BW333">
            <v>2988.9184716316986</v>
          </cell>
          <cell r="BX333">
            <v>5854.9996140896319</v>
          </cell>
          <cell r="BZ333">
            <v>722.02164992656981</v>
          </cell>
          <cell r="CA333">
            <v>3771.2281807036525</v>
          </cell>
          <cell r="CC333">
            <v>290.00487854180136</v>
          </cell>
          <cell r="CD333">
            <v>293.2031272508512</v>
          </cell>
          <cell r="CF333">
            <v>35.701358153820244</v>
          </cell>
          <cell r="CG333">
            <v>0</v>
          </cell>
          <cell r="CI333">
            <v>1506.7607767639668</v>
          </cell>
          <cell r="CJ333">
            <v>190.87182005813906</v>
          </cell>
          <cell r="CL333">
            <v>0</v>
          </cell>
          <cell r="CM333">
            <v>0</v>
          </cell>
          <cell r="CX333">
            <v>1521.8569204223058</v>
          </cell>
          <cell r="CY333">
            <v>2438.0499631471739</v>
          </cell>
        </row>
        <row r="334">
          <cell r="I334">
            <v>2793.4108792934157</v>
          </cell>
          <cell r="J334">
            <v>3486.3007467515945</v>
          </cell>
          <cell r="L334">
            <v>457.2097683695506</v>
          </cell>
          <cell r="M334">
            <v>583.97404105890655</v>
          </cell>
          <cell r="O334">
            <v>918.12</v>
          </cell>
          <cell r="P334">
            <v>918.4</v>
          </cell>
          <cell r="R334">
            <v>228.82</v>
          </cell>
          <cell r="S334">
            <v>228.88</v>
          </cell>
          <cell r="U334">
            <v>130.00964065633656</v>
          </cell>
          <cell r="V334">
            <v>106.46261844006062</v>
          </cell>
          <cell r="X334">
            <v>988.95184304512236</v>
          </cell>
          <cell r="Y334">
            <v>2453.8564363323735</v>
          </cell>
          <cell r="AA334">
            <v>0</v>
          </cell>
          <cell r="AB334">
            <v>0</v>
          </cell>
          <cell r="AD334">
            <v>3026.6117188490257</v>
          </cell>
          <cell r="AE334">
            <v>3326.1410260344373</v>
          </cell>
          <cell r="AJ334">
            <v>9601.5110639297945</v>
          </cell>
          <cell r="AK334">
            <v>9707.3764795125717</v>
          </cell>
          <cell r="AM334">
            <v>0</v>
          </cell>
          <cell r="AN334">
            <v>0</v>
          </cell>
          <cell r="AP334">
            <v>552.42695835462905</v>
          </cell>
          <cell r="AQ334">
            <v>0</v>
          </cell>
          <cell r="AS334">
            <v>11269.600750747102</v>
          </cell>
          <cell r="AT334">
            <v>0</v>
          </cell>
          <cell r="AV334">
            <v>226.61705446936185</v>
          </cell>
          <cell r="AW334">
            <v>0</v>
          </cell>
          <cell r="AY334">
            <v>302.29338732382973</v>
          </cell>
          <cell r="AZ334">
            <v>0</v>
          </cell>
          <cell r="BB334">
            <v>385.51225731494043</v>
          </cell>
          <cell r="BC334">
            <v>0</v>
          </cell>
          <cell r="BE334">
            <v>128.20842570396613</v>
          </cell>
          <cell r="BF334">
            <v>0</v>
          </cell>
          <cell r="BH334">
            <v>65.961235315382794</v>
          </cell>
          <cell r="BI334">
            <v>0</v>
          </cell>
          <cell r="BK334">
            <v>110.66378371817535</v>
          </cell>
          <cell r="BL334">
            <v>0</v>
          </cell>
          <cell r="BN334">
            <v>0</v>
          </cell>
          <cell r="BO334">
            <v>0</v>
          </cell>
          <cell r="BT334">
            <v>8935.2972637107687</v>
          </cell>
          <cell r="BU334">
            <v>7483.6813148560523</v>
          </cell>
          <cell r="BW334">
            <v>6477.1436647426272</v>
          </cell>
          <cell r="BX334">
            <v>10718.801801938695</v>
          </cell>
          <cell r="BZ334">
            <v>863.69129340262396</v>
          </cell>
          <cell r="CA334">
            <v>7004.8573399354682</v>
          </cell>
          <cell r="CC334">
            <v>306.38806093618081</v>
          </cell>
          <cell r="CD334">
            <v>309.76698761246485</v>
          </cell>
          <cell r="CF334">
            <v>37.718227198582859</v>
          </cell>
          <cell r="CG334">
            <v>0</v>
          </cell>
          <cell r="CI334">
            <v>2545.5834240981303</v>
          </cell>
          <cell r="CJ334">
            <v>2864.7251014400754</v>
          </cell>
          <cell r="CL334">
            <v>1422.531913466602</v>
          </cell>
          <cell r="CM334">
            <v>2177.6423503012793</v>
          </cell>
          <cell r="CX334">
            <v>892.68086242461141</v>
          </cell>
          <cell r="CY334">
            <v>1376.7805069432288</v>
          </cell>
        </row>
        <row r="335">
          <cell r="I335">
            <v>1767.0056145677497</v>
          </cell>
          <cell r="J335">
            <v>2199.5783846157892</v>
          </cell>
          <cell r="L335">
            <v>332.43932844451967</v>
          </cell>
          <cell r="M335">
            <v>424.61104635725263</v>
          </cell>
          <cell r="O335">
            <v>678.94</v>
          </cell>
          <cell r="P335">
            <v>678.94</v>
          </cell>
          <cell r="R335">
            <v>0</v>
          </cell>
          <cell r="S335">
            <v>0</v>
          </cell>
          <cell r="U335">
            <v>0</v>
          </cell>
          <cell r="V335">
            <v>22.855347475559377</v>
          </cell>
          <cell r="X335">
            <v>1179.7864252704626</v>
          </cell>
          <cell r="Y335">
            <v>1394.0913127070355</v>
          </cell>
          <cell r="AA335">
            <v>0</v>
          </cell>
          <cell r="AB335">
            <v>0</v>
          </cell>
          <cell r="AD335">
            <v>1932.7114849376626</v>
          </cell>
          <cell r="AE335">
            <v>2123.9827102710578</v>
          </cell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P335">
            <v>710.2632321702373</v>
          </cell>
          <cell r="AQ335">
            <v>358.31898250848297</v>
          </cell>
          <cell r="AS335">
            <v>7432.7519527779668</v>
          </cell>
          <cell r="AT335">
            <v>28.736337782189821</v>
          </cell>
          <cell r="AV335">
            <v>295.42726748454351</v>
          </cell>
          <cell r="AW335">
            <v>0</v>
          </cell>
          <cell r="AY335">
            <v>428.45713760025609</v>
          </cell>
          <cell r="AZ335">
            <v>0</v>
          </cell>
          <cell r="BB335">
            <v>308.57612691882474</v>
          </cell>
          <cell r="BC335">
            <v>0</v>
          </cell>
          <cell r="BE335">
            <v>0</v>
          </cell>
          <cell r="BF335">
            <v>0</v>
          </cell>
          <cell r="BH335">
            <v>0</v>
          </cell>
          <cell r="BI335">
            <v>0</v>
          </cell>
          <cell r="BK335">
            <v>215.60581703809186</v>
          </cell>
          <cell r="BL335">
            <v>0</v>
          </cell>
          <cell r="BN335">
            <v>0</v>
          </cell>
          <cell r="BO335">
            <v>0</v>
          </cell>
          <cell r="BT335">
            <v>5196.4193784783765</v>
          </cell>
          <cell r="BU335">
            <v>4365.3206174230945</v>
          </cell>
          <cell r="BW335">
            <v>3017.3154900401701</v>
          </cell>
          <cell r="BX335">
            <v>5885.49601127605</v>
          </cell>
          <cell r="BZ335">
            <v>843.33951584256852</v>
          </cell>
          <cell r="CA335">
            <v>4193.8117925178203</v>
          </cell>
          <cell r="CC335">
            <v>290.18626027387558</v>
          </cell>
          <cell r="CD335">
            <v>293.38650930751777</v>
          </cell>
          <cell r="CF335">
            <v>35.72368734432181</v>
          </cell>
          <cell r="CG335">
            <v>0</v>
          </cell>
          <cell r="CI335">
            <v>2377.1256975034007</v>
          </cell>
          <cell r="CJ335">
            <v>1258.0000873917145</v>
          </cell>
          <cell r="CL335">
            <v>0</v>
          </cell>
          <cell r="CM335">
            <v>0</v>
          </cell>
          <cell r="CX335">
            <v>1627.6706999683665</v>
          </cell>
          <cell r="CY335">
            <v>6205.6050324397274</v>
          </cell>
        </row>
        <row r="336">
          <cell r="I336">
            <v>323.39899114313721</v>
          </cell>
          <cell r="J336">
            <v>402.43472338196727</v>
          </cell>
          <cell r="L336">
            <v>73.481016897145366</v>
          </cell>
          <cell r="M336">
            <v>114.6224118515925</v>
          </cell>
          <cell r="O336">
            <v>107.22</v>
          </cell>
          <cell r="P336">
            <v>107.24</v>
          </cell>
          <cell r="R336">
            <v>0</v>
          </cell>
          <cell r="S336">
            <v>0</v>
          </cell>
          <cell r="U336">
            <v>0</v>
          </cell>
          <cell r="V336">
            <v>22.855347475559377</v>
          </cell>
          <cell r="X336">
            <v>123.36109996059983</v>
          </cell>
          <cell r="Y336">
            <v>162.03756956664711</v>
          </cell>
          <cell r="AA336">
            <v>0</v>
          </cell>
          <cell r="AB336">
            <v>0</v>
          </cell>
          <cell r="AD336">
            <v>336.43667780427</v>
          </cell>
          <cell r="AE336">
            <v>369.73220903706289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252.53803810497325</v>
          </cell>
          <cell r="AQ336">
            <v>0</v>
          </cell>
          <cell r="AS336">
            <v>1172.2516068596362</v>
          </cell>
          <cell r="AT336">
            <v>0</v>
          </cell>
          <cell r="AV336">
            <v>60.429984657058824</v>
          </cell>
          <cell r="AW336">
            <v>0</v>
          </cell>
          <cell r="AY336">
            <v>94.724978012500713</v>
          </cell>
          <cell r="AZ336">
            <v>0</v>
          </cell>
          <cell r="BB336">
            <v>31.502063628871475</v>
          </cell>
          <cell r="BC336">
            <v>0</v>
          </cell>
          <cell r="BE336">
            <v>0</v>
          </cell>
          <cell r="BF336">
            <v>0</v>
          </cell>
          <cell r="BH336">
            <v>0</v>
          </cell>
          <cell r="BI336">
            <v>0</v>
          </cell>
          <cell r="BK336">
            <v>9.8614283025793927</v>
          </cell>
          <cell r="BL336">
            <v>0</v>
          </cell>
          <cell r="BN336">
            <v>0</v>
          </cell>
          <cell r="BO336">
            <v>0</v>
          </cell>
          <cell r="BT336">
            <v>797.16932296984749</v>
          </cell>
          <cell r="BU336">
            <v>680.1872664321063</v>
          </cell>
          <cell r="BW336">
            <v>614.89401467262894</v>
          </cell>
          <cell r="BX336">
            <v>2099.099748552891</v>
          </cell>
          <cell r="BZ336">
            <v>91.15684574023561</v>
          </cell>
          <cell r="CA336">
            <v>684.83647957133951</v>
          </cell>
          <cell r="CC336">
            <v>0</v>
          </cell>
          <cell r="CD336">
            <v>0</v>
          </cell>
          <cell r="CF336">
            <v>0</v>
          </cell>
          <cell r="CG336">
            <v>0</v>
          </cell>
          <cell r="CI336">
            <v>215.25153953770956</v>
          </cell>
          <cell r="CJ336">
            <v>228.11934360189952</v>
          </cell>
          <cell r="CL336">
            <v>0</v>
          </cell>
          <cell r="CM336">
            <v>0</v>
          </cell>
          <cell r="CX336">
            <v>6.870050568068109E-3</v>
          </cell>
          <cell r="CY336">
            <v>-680.97811936527796</v>
          </cell>
        </row>
        <row r="337">
          <cell r="I337">
            <v>4259.6072769604034</v>
          </cell>
          <cell r="J337">
            <v>5304.9595209980607</v>
          </cell>
          <cell r="L337">
            <v>688.69978930805587</v>
          </cell>
          <cell r="M337">
            <v>879.64593715754825</v>
          </cell>
          <cell r="O337">
            <v>1333.2</v>
          </cell>
          <cell r="P337">
            <v>1333.28</v>
          </cell>
          <cell r="R337">
            <v>326.36</v>
          </cell>
          <cell r="S337">
            <v>326.08</v>
          </cell>
          <cell r="U337">
            <v>195.03873136964788</v>
          </cell>
          <cell r="V337">
            <v>159.7141139737883</v>
          </cell>
          <cell r="X337">
            <v>1632.1620602731828</v>
          </cell>
          <cell r="Y337">
            <v>1969.4761626791928</v>
          </cell>
          <cell r="AA337">
            <v>0</v>
          </cell>
          <cell r="AB337">
            <v>0</v>
          </cell>
          <cell r="AD337">
            <v>4426.9109140439004</v>
          </cell>
          <cell r="AE337">
            <v>4865.0211449655471</v>
          </cell>
          <cell r="AJ337">
            <v>14498.92924377405</v>
          </cell>
          <cell r="AK337">
            <v>14658.804652051158</v>
          </cell>
          <cell r="AM337">
            <v>0</v>
          </cell>
          <cell r="AN337">
            <v>0</v>
          </cell>
          <cell r="AP337">
            <v>883.88313336740646</v>
          </cell>
          <cell r="AQ337">
            <v>0</v>
          </cell>
          <cell r="AS337">
            <v>16723.939383678033</v>
          </cell>
          <cell r="AT337">
            <v>38196.824285970739</v>
          </cell>
          <cell r="AV337">
            <v>340.96883158200427</v>
          </cell>
          <cell r="AW337">
            <v>0</v>
          </cell>
          <cell r="AY337">
            <v>455.31679837177501</v>
          </cell>
          <cell r="AZ337">
            <v>920.53022283516236</v>
          </cell>
          <cell r="BB337">
            <v>555.88466136810791</v>
          </cell>
          <cell r="BC337">
            <v>0</v>
          </cell>
          <cell r="BE337">
            <v>181.65122486457074</v>
          </cell>
          <cell r="BF337">
            <v>0</v>
          </cell>
          <cell r="BH337">
            <v>98.941812127749259</v>
          </cell>
          <cell r="BI337">
            <v>0</v>
          </cell>
          <cell r="BK337">
            <v>140.16379835239022</v>
          </cell>
          <cell r="BL337">
            <v>0</v>
          </cell>
          <cell r="BN337">
            <v>0</v>
          </cell>
          <cell r="BO337">
            <v>0</v>
          </cell>
          <cell r="BT337">
            <v>15985.39400729447</v>
          </cell>
          <cell r="BU337">
            <v>12591.845084950988</v>
          </cell>
          <cell r="BW337">
            <v>8388.5472129932186</v>
          </cell>
          <cell r="BX337">
            <v>14314.781888755533</v>
          </cell>
          <cell r="BZ337">
            <v>800.67411219931682</v>
          </cell>
          <cell r="CA337">
            <v>11615.082336102543</v>
          </cell>
          <cell r="CC337">
            <v>322.56535055361115</v>
          </cell>
          <cell r="CD337">
            <v>326.12268455840308</v>
          </cell>
          <cell r="CF337">
            <v>39.70974959466804</v>
          </cell>
          <cell r="CG337">
            <v>0</v>
          </cell>
          <cell r="CI337">
            <v>5764.9977545751781</v>
          </cell>
          <cell r="CJ337">
            <v>2835.8401622118135</v>
          </cell>
          <cell r="CL337">
            <v>2480.0720859779581</v>
          </cell>
          <cell r="CM337">
            <v>3538.7780664847987</v>
          </cell>
          <cell r="CX337">
            <v>1446.8184808443912</v>
          </cell>
          <cell r="CY337">
            <v>-38528.983516434309</v>
          </cell>
        </row>
        <row r="338">
          <cell r="I338">
            <v>1899.7820676313297</v>
          </cell>
          <cell r="J338">
            <v>2407.0721279118088</v>
          </cell>
          <cell r="L338">
            <v>245.00659052847635</v>
          </cell>
          <cell r="M338">
            <v>312.93097141415683</v>
          </cell>
          <cell r="O338">
            <v>857.58</v>
          </cell>
          <cell r="P338">
            <v>857.66</v>
          </cell>
          <cell r="R338">
            <v>218.1</v>
          </cell>
          <cell r="S338">
            <v>217.86</v>
          </cell>
          <cell r="U338">
            <v>132.96775194679549</v>
          </cell>
          <cell r="V338">
            <v>108.884976083748</v>
          </cell>
          <cell r="X338">
            <v>931.88644126591032</v>
          </cell>
          <cell r="Y338">
            <v>1096.4700961203994</v>
          </cell>
          <cell r="AA338">
            <v>0</v>
          </cell>
          <cell r="AB338">
            <v>0</v>
          </cell>
          <cell r="AD338">
            <v>3105.5435689519722</v>
          </cell>
          <cell r="AE338">
            <v>3412.8843843757741</v>
          </cell>
          <cell r="AJ338">
            <v>6306.9592395271629</v>
          </cell>
          <cell r="AK338">
            <v>6376.5140151132573</v>
          </cell>
          <cell r="AM338">
            <v>0</v>
          </cell>
          <cell r="AN338">
            <v>266.0109811433166</v>
          </cell>
          <cell r="AP338">
            <v>505.07607620994651</v>
          </cell>
          <cell r="AQ338">
            <v>0</v>
          </cell>
          <cell r="AS338">
            <v>11245.874506167012</v>
          </cell>
          <cell r="AT338">
            <v>0</v>
          </cell>
          <cell r="AV338">
            <v>561.048539709024</v>
          </cell>
          <cell r="AW338">
            <v>0</v>
          </cell>
          <cell r="AY338">
            <v>141.51362313451344</v>
          </cell>
          <cell r="AZ338">
            <v>0</v>
          </cell>
          <cell r="BB338">
            <v>356.63179670758154</v>
          </cell>
          <cell r="BC338">
            <v>0</v>
          </cell>
          <cell r="BE338">
            <v>126.89920129436939</v>
          </cell>
          <cell r="BF338">
            <v>0</v>
          </cell>
          <cell r="BH338">
            <v>67.470245961631889</v>
          </cell>
          <cell r="BI338">
            <v>0</v>
          </cell>
          <cell r="BK338">
            <v>112.82000111684427</v>
          </cell>
          <cell r="BL338">
            <v>6866.1972651197229</v>
          </cell>
          <cell r="BN338">
            <v>0</v>
          </cell>
          <cell r="BO338">
            <v>0</v>
          </cell>
          <cell r="BT338">
            <v>7574.3754799325079</v>
          </cell>
          <cell r="BU338">
            <v>6052.4519757044618</v>
          </cell>
          <cell r="BW338">
            <v>5169.1244007651567</v>
          </cell>
          <cell r="BX338">
            <v>8536.1798234333746</v>
          </cell>
          <cell r="BZ338">
            <v>281.31793131327345</v>
          </cell>
          <cell r="CA338">
            <v>5748.7427427634093</v>
          </cell>
          <cell r="CC338">
            <v>192.65681271667049</v>
          </cell>
          <cell r="CD338">
            <v>194.78148181071791</v>
          </cell>
          <cell r="CF338">
            <v>23.717221262468907</v>
          </cell>
          <cell r="CG338">
            <v>0</v>
          </cell>
          <cell r="CI338">
            <v>2345.9298222080811</v>
          </cell>
          <cell r="CJ338">
            <v>2214.104829530288</v>
          </cell>
          <cell r="CL338">
            <v>3518.8947333121214</v>
          </cell>
          <cell r="CM338">
            <v>3318.6791083945318</v>
          </cell>
          <cell r="CX338">
            <v>1383.688738004581</v>
          </cell>
          <cell r="CY338">
            <v>-1095.8097347027651</v>
          </cell>
        </row>
        <row r="339">
          <cell r="I339">
            <v>5741.7901250224586</v>
          </cell>
          <cell r="J339">
            <v>7198.5001670224983</v>
          </cell>
          <cell r="L339">
            <v>997.81319591440774</v>
          </cell>
          <cell r="M339">
            <v>1274.4630323314482</v>
          </cell>
          <cell r="O339">
            <v>1946.96</v>
          </cell>
          <cell r="P339">
            <v>1946.28</v>
          </cell>
          <cell r="R339">
            <v>480.28</v>
          </cell>
          <cell r="S339">
            <v>479.54</v>
          </cell>
          <cell r="U339">
            <v>277.76762229282707</v>
          </cell>
          <cell r="V339">
            <v>227.45938274224557</v>
          </cell>
          <cell r="X339">
            <v>2424.4201211638015</v>
          </cell>
          <cell r="Y339">
            <v>2977.6205720782136</v>
          </cell>
          <cell r="AA339">
            <v>0</v>
          </cell>
          <cell r="AB339">
            <v>0</v>
          </cell>
          <cell r="AD339">
            <v>7094.7447353276639</v>
          </cell>
          <cell r="AE339">
            <v>7968.0776131855218</v>
          </cell>
          <cell r="AJ339">
            <v>13827.504876346487</v>
          </cell>
          <cell r="AK339">
            <v>13979.975643270156</v>
          </cell>
          <cell r="AM339">
            <v>0</v>
          </cell>
          <cell r="AN339">
            <v>0</v>
          </cell>
          <cell r="AP339">
            <v>1041.7194071830147</v>
          </cell>
          <cell r="AQ339">
            <v>0</v>
          </cell>
          <cell r="AS339">
            <v>25571.933646143214</v>
          </cell>
          <cell r="AT339">
            <v>295.54172027850609</v>
          </cell>
          <cell r="AV339">
            <v>476.64650222106394</v>
          </cell>
          <cell r="AW339">
            <v>0</v>
          </cell>
          <cell r="AY339">
            <v>658.33936263838734</v>
          </cell>
          <cell r="AZ339">
            <v>1899.9316313038789</v>
          </cell>
          <cell r="BB339">
            <v>769.26804466027988</v>
          </cell>
          <cell r="BC339">
            <v>0</v>
          </cell>
          <cell r="BE339">
            <v>257.8404877473065</v>
          </cell>
          <cell r="BF339">
            <v>0</v>
          </cell>
          <cell r="BH339">
            <v>140.90392757945571</v>
          </cell>
          <cell r="BI339">
            <v>0</v>
          </cell>
          <cell r="BK339">
            <v>174.71782081390026</v>
          </cell>
          <cell r="BL339">
            <v>0</v>
          </cell>
          <cell r="BN339">
            <v>0</v>
          </cell>
          <cell r="BO339">
            <v>0</v>
          </cell>
          <cell r="BT339">
            <v>20249.561949587325</v>
          </cell>
          <cell r="BU339">
            <v>15674.979103631416</v>
          </cell>
          <cell r="BW339">
            <v>13441.019714522139</v>
          </cell>
          <cell r="BX339">
            <v>25329.232249829474</v>
          </cell>
          <cell r="BZ339">
            <v>757.39443045881319</v>
          </cell>
          <cell r="CA339">
            <v>14519.201666872552</v>
          </cell>
          <cell r="CC339">
            <v>401.39287087127173</v>
          </cell>
          <cell r="CD339">
            <v>405.819535131338</v>
          </cell>
          <cell r="CF339">
            <v>49.413895088319435</v>
          </cell>
          <cell r="CG339">
            <v>0</v>
          </cell>
          <cell r="CI339">
            <v>3203.816392829387</v>
          </cell>
          <cell r="CJ339">
            <v>3158.8835203505487</v>
          </cell>
          <cell r="CL339">
            <v>2870.0205271694608</v>
          </cell>
          <cell r="CM339">
            <v>4375.9350908073166</v>
          </cell>
          <cell r="CX339">
            <v>350.53641330280516</v>
          </cell>
          <cell r="CY339">
            <v>1723.130885397848</v>
          </cell>
        </row>
        <row r="340">
          <cell r="I340">
            <v>1803.7218838157032</v>
          </cell>
          <cell r="J340">
            <v>2273.3505377960528</v>
          </cell>
          <cell r="L340">
            <v>454.39834136839863</v>
          </cell>
          <cell r="M340">
            <v>601.15196563640473</v>
          </cell>
          <cell r="O340">
            <v>772.98</v>
          </cell>
          <cell r="P340">
            <v>772.96</v>
          </cell>
          <cell r="R340">
            <v>190.66</v>
          </cell>
          <cell r="S340">
            <v>190.4</v>
          </cell>
          <cell r="U340">
            <v>130.00964065633656</v>
          </cell>
          <cell r="V340">
            <v>141.59380541883462</v>
          </cell>
          <cell r="X340">
            <v>1536.6765162541769</v>
          </cell>
          <cell r="Y340">
            <v>1897.2849891267588</v>
          </cell>
          <cell r="AA340">
            <v>0</v>
          </cell>
          <cell r="AB340">
            <v>0</v>
          </cell>
          <cell r="AD340">
            <v>2552.1725783105958</v>
          </cell>
          <cell r="AE340">
            <v>2804.7489096048153</v>
          </cell>
          <cell r="AJ340">
            <v>5742.6258554348196</v>
          </cell>
          <cell r="AK340">
            <v>5805.9570166933818</v>
          </cell>
          <cell r="AM340">
            <v>0</v>
          </cell>
          <cell r="AN340">
            <v>266.0109811433166</v>
          </cell>
          <cell r="AP340">
            <v>505.07607620994651</v>
          </cell>
          <cell r="AQ340">
            <v>2590.3959555433366</v>
          </cell>
          <cell r="AS340">
            <v>14514.564715090924</v>
          </cell>
          <cell r="AT340">
            <v>0</v>
          </cell>
          <cell r="AV340">
            <v>145.57624762893238</v>
          </cell>
          <cell r="AW340">
            <v>0</v>
          </cell>
          <cell r="AY340">
            <v>300.46764475683648</v>
          </cell>
          <cell r="AZ340">
            <v>0</v>
          </cell>
          <cell r="BB340">
            <v>314.65407721141514</v>
          </cell>
          <cell r="BC340">
            <v>0</v>
          </cell>
          <cell r="BE340">
            <v>109.3875700743293</v>
          </cell>
          <cell r="BF340">
            <v>0</v>
          </cell>
          <cell r="BH340">
            <v>65.961235315382794</v>
          </cell>
          <cell r="BI340">
            <v>2086.9562993772511</v>
          </cell>
          <cell r="BK340">
            <v>212.42405582180592</v>
          </cell>
          <cell r="BL340">
            <v>0</v>
          </cell>
          <cell r="BN340">
            <v>0</v>
          </cell>
          <cell r="BO340">
            <v>0</v>
          </cell>
          <cell r="BT340">
            <v>3510.143044575304</v>
          </cell>
          <cell r="BU340">
            <v>3595.7322746023192</v>
          </cell>
          <cell r="BW340">
            <v>7068.4787066902873</v>
          </cell>
          <cell r="BX340">
            <v>10761.844140843983</v>
          </cell>
          <cell r="BZ340">
            <v>1267.5208810569352</v>
          </cell>
          <cell r="CA340">
            <v>3453.7350156530802</v>
          </cell>
          <cell r="CC340">
            <v>242.07107918445774</v>
          </cell>
          <cell r="CD340">
            <v>244.74070157285627</v>
          </cell>
          <cell r="CF340">
            <v>29.800416945056352</v>
          </cell>
          <cell r="CG340">
            <v>0</v>
          </cell>
          <cell r="CI340">
            <v>749.01296584063869</v>
          </cell>
          <cell r="CJ340">
            <v>1805.8442532278364</v>
          </cell>
          <cell r="CL340">
            <v>923.39790874147866</v>
          </cell>
          <cell r="CM340">
            <v>1145.1202089711132</v>
          </cell>
          <cell r="CX340">
            <v>1294.0422708194819</v>
          </cell>
          <cell r="CY340">
            <v>4538.7875337463993</v>
          </cell>
        </row>
        <row r="341">
          <cell r="I341">
            <v>1816.9204344069685</v>
          </cell>
          <cell r="J341">
            <v>2304.244754236367</v>
          </cell>
          <cell r="L341">
            <v>260.19217177635136</v>
          </cell>
          <cell r="M341">
            <v>332.33168381261896</v>
          </cell>
          <cell r="O341">
            <v>889.8</v>
          </cell>
          <cell r="P341">
            <v>890.02</v>
          </cell>
          <cell r="R341">
            <v>229.78</v>
          </cell>
          <cell r="S341">
            <v>229.46</v>
          </cell>
          <cell r="U341">
            <v>130.00964065633656</v>
          </cell>
          <cell r="V341">
            <v>285.05745518476795</v>
          </cell>
          <cell r="X341">
            <v>1548.9414336861032</v>
          </cell>
          <cell r="Y341">
            <v>1849.4159060122261</v>
          </cell>
          <cell r="AA341">
            <v>0</v>
          </cell>
          <cell r="AB341">
            <v>0</v>
          </cell>
          <cell r="AD341">
            <v>2903.1470833277594</v>
          </cell>
          <cell r="AE341">
            <v>3190.4576851836191</v>
          </cell>
          <cell r="AJ341">
            <v>6913.0950965152351</v>
          </cell>
          <cell r="AK341">
            <v>6989.3119663893776</v>
          </cell>
          <cell r="AM341">
            <v>0</v>
          </cell>
          <cell r="AN341">
            <v>0</v>
          </cell>
          <cell r="AP341">
            <v>505.07607620994651</v>
          </cell>
          <cell r="AQ341">
            <v>1918.8118189209902</v>
          </cell>
          <cell r="AS341">
            <v>16393.172375090457</v>
          </cell>
          <cell r="AT341">
            <v>0</v>
          </cell>
          <cell r="AV341">
            <v>147.03276510935248</v>
          </cell>
          <cell r="AW341">
            <v>0</v>
          </cell>
          <cell r="AY341">
            <v>175.33142691704413</v>
          </cell>
          <cell r="AZ341">
            <v>1972.0225180314887</v>
          </cell>
          <cell r="BB341">
            <v>356.82220769353341</v>
          </cell>
          <cell r="BC341">
            <v>0</v>
          </cell>
          <cell r="BE341">
            <v>132.02736547955371</v>
          </cell>
          <cell r="BF341">
            <v>0</v>
          </cell>
          <cell r="BH341">
            <v>65.961235315382794</v>
          </cell>
          <cell r="BI341">
            <v>0</v>
          </cell>
          <cell r="BK341">
            <v>180.8957334091144</v>
          </cell>
          <cell r="BL341">
            <v>0</v>
          </cell>
          <cell r="BN341">
            <v>0</v>
          </cell>
          <cell r="BO341">
            <v>0</v>
          </cell>
          <cell r="BT341">
            <v>4884.3773364095077</v>
          </cell>
          <cell r="BU341">
            <v>4959.8554475832334</v>
          </cell>
          <cell r="BW341">
            <v>6516.6679617173531</v>
          </cell>
          <cell r="BX341">
            <v>10401.470996114136</v>
          </cell>
          <cell r="BZ341">
            <v>1705.9918843828418</v>
          </cell>
          <cell r="CA341">
            <v>4695.7914005919502</v>
          </cell>
          <cell r="CC341">
            <v>282.80843576653234</v>
          </cell>
          <cell r="CD341">
            <v>285.9273202458096</v>
          </cell>
          <cell r="CF341">
            <v>34.815432433379925</v>
          </cell>
          <cell r="CG341">
            <v>0</v>
          </cell>
          <cell r="CI341">
            <v>1316.4659374625132</v>
          </cell>
          <cell r="CJ341">
            <v>1461.7781120683719</v>
          </cell>
          <cell r="CL341">
            <v>1310.2267624034496</v>
          </cell>
          <cell r="CM341">
            <v>1677.4514204769121</v>
          </cell>
          <cell r="CX341">
            <v>585.44944459753606</v>
          </cell>
          <cell r="CY341">
            <v>6892.8298181777536</v>
          </cell>
        </row>
        <row r="342">
          <cell r="I342">
            <v>2692.3363433941463</v>
          </cell>
          <cell r="J342">
            <v>3366.8013490806961</v>
          </cell>
          <cell r="L342">
            <v>460.26724853877886</v>
          </cell>
          <cell r="M342">
            <v>608.64769542671957</v>
          </cell>
          <cell r="O342">
            <v>946.34</v>
          </cell>
          <cell r="P342">
            <v>946.2</v>
          </cell>
          <cell r="R342">
            <v>228.14</v>
          </cell>
          <cell r="S342">
            <v>228.14</v>
          </cell>
          <cell r="U342">
            <v>130.00964065633656</v>
          </cell>
          <cell r="V342">
            <v>142.22870638833055</v>
          </cell>
          <cell r="X342">
            <v>1019.6514513166584</v>
          </cell>
          <cell r="Y342">
            <v>1462.2694760641857</v>
          </cell>
          <cell r="AA342">
            <v>0</v>
          </cell>
          <cell r="AB342">
            <v>0</v>
          </cell>
          <cell r="AD342">
            <v>3126.5592809376699</v>
          </cell>
          <cell r="AE342">
            <v>3435.9799210089091</v>
          </cell>
          <cell r="AJ342">
            <v>4544.7265268625906</v>
          </cell>
          <cell r="AK342">
            <v>4594.8469449073091</v>
          </cell>
          <cell r="AM342">
            <v>263.07035981182185</v>
          </cell>
          <cell r="AN342">
            <v>399.28374909572597</v>
          </cell>
          <cell r="AP342">
            <v>591.88602680853114</v>
          </cell>
          <cell r="AQ342">
            <v>0</v>
          </cell>
          <cell r="AS342">
            <v>15950.653981401887</v>
          </cell>
          <cell r="AT342">
            <v>163.22161218961313</v>
          </cell>
          <cell r="AV342">
            <v>212.04421281182931</v>
          </cell>
          <cell r="AW342">
            <v>0</v>
          </cell>
          <cell r="AY342">
            <v>304.27448839668364</v>
          </cell>
          <cell r="AZ342">
            <v>0</v>
          </cell>
          <cell r="BB342">
            <v>398.7972333502222</v>
          </cell>
          <cell r="BC342">
            <v>0</v>
          </cell>
          <cell r="BE342">
            <v>132.606248971273</v>
          </cell>
          <cell r="BF342">
            <v>0</v>
          </cell>
          <cell r="BH342">
            <v>65.961235315382794</v>
          </cell>
          <cell r="BI342">
            <v>0</v>
          </cell>
          <cell r="BK342">
            <v>161.26258263002811</v>
          </cell>
          <cell r="BL342">
            <v>0</v>
          </cell>
          <cell r="BN342">
            <v>0</v>
          </cell>
          <cell r="BO342">
            <v>0</v>
          </cell>
          <cell r="BT342">
            <v>5118.9180965732949</v>
          </cell>
          <cell r="BU342">
            <v>2328.0875077551555</v>
          </cell>
          <cell r="BW342">
            <v>4951.9595500001014</v>
          </cell>
          <cell r="BX342">
            <v>1693.5208308783644</v>
          </cell>
          <cell r="BZ342">
            <v>1717.0729982910796</v>
          </cell>
          <cell r="CA342">
            <v>2341.1077339209387</v>
          </cell>
          <cell r="CC342">
            <v>264.7192846488602</v>
          </cell>
          <cell r="CD342">
            <v>267.63867729716969</v>
          </cell>
          <cell r="CF342">
            <v>32.588548299575592</v>
          </cell>
          <cell r="CG342">
            <v>0</v>
          </cell>
          <cell r="CI342">
            <v>1098.0948103952719</v>
          </cell>
          <cell r="CJ342">
            <v>1845.974726408795</v>
          </cell>
          <cell r="CL342">
            <v>1035.7030598046315</v>
          </cell>
          <cell r="CM342">
            <v>701.07594019312478</v>
          </cell>
          <cell r="CX342">
            <v>833.34814894001465</v>
          </cell>
          <cell r="CY342">
            <v>25940.490155261949</v>
          </cell>
        </row>
        <row r="343">
          <cell r="I343">
            <v>1954.8781143293224</v>
          </cell>
          <cell r="J343">
            <v>2508.5042850607906</v>
          </cell>
          <cell r="L343">
            <v>333.37696092213639</v>
          </cell>
          <cell r="M343">
            <v>446.57615970839731</v>
          </cell>
          <cell r="O343">
            <v>1113.28</v>
          </cell>
          <cell r="P343">
            <v>1113.3399999999999</v>
          </cell>
          <cell r="R343">
            <v>258.66000000000003</v>
          </cell>
          <cell r="S343">
            <v>258.54000000000002</v>
          </cell>
          <cell r="U343">
            <v>132.96775194679549</v>
          </cell>
          <cell r="V343">
            <v>144.01616306252203</v>
          </cell>
          <cell r="X343">
            <v>1270.7215095205236</v>
          </cell>
          <cell r="Y343">
            <v>1658.2419319902826</v>
          </cell>
          <cell r="AA343">
            <v>0</v>
          </cell>
          <cell r="AB343">
            <v>0</v>
          </cell>
          <cell r="AD343">
            <v>3722.0400857952172</v>
          </cell>
          <cell r="AE343">
            <v>4090.3926171990597</v>
          </cell>
          <cell r="AJ343">
            <v>6250.7843812275187</v>
          </cell>
          <cell r="AK343">
            <v>6319.7196459662737</v>
          </cell>
          <cell r="AM343">
            <v>0</v>
          </cell>
          <cell r="AN343">
            <v>0</v>
          </cell>
          <cell r="AP343">
            <v>528.75151728228775</v>
          </cell>
          <cell r="AQ343">
            <v>0</v>
          </cell>
          <cell r="AS343">
            <v>17462.712194377513</v>
          </cell>
          <cell r="AT343">
            <v>7503.2015111441397</v>
          </cell>
          <cell r="AV343">
            <v>183.3946159153254</v>
          </cell>
          <cell r="AW343">
            <v>0</v>
          </cell>
          <cell r="AY343">
            <v>218.36186909299212</v>
          </cell>
          <cell r="AZ343">
            <v>0</v>
          </cell>
          <cell r="BB343">
            <v>522.00363200181357</v>
          </cell>
          <cell r="BC343">
            <v>0</v>
          </cell>
          <cell r="BE343">
            <v>144.54378108389068</v>
          </cell>
          <cell r="BF343">
            <v>0</v>
          </cell>
          <cell r="BH343">
            <v>67.470245961631889</v>
          </cell>
          <cell r="BI343">
            <v>0</v>
          </cell>
          <cell r="BK343">
            <v>142.92069518764279</v>
          </cell>
          <cell r="BL343">
            <v>12966.987803522154</v>
          </cell>
          <cell r="BN343">
            <v>0</v>
          </cell>
          <cell r="BO343">
            <v>0</v>
          </cell>
          <cell r="BT343">
            <v>4277.0390053599167</v>
          </cell>
          <cell r="BU343">
            <v>4089.4160815677351</v>
          </cell>
          <cell r="BW343">
            <v>7910.9019349631017</v>
          </cell>
          <cell r="BX343">
            <v>9663.3414550501038</v>
          </cell>
          <cell r="BZ343">
            <v>1085.2369765347844</v>
          </cell>
          <cell r="CA343">
            <v>3841.7314791953804</v>
          </cell>
          <cell r="CC343">
            <v>211.04009637284133</v>
          </cell>
          <cell r="CD343">
            <v>213.36750106746581</v>
          </cell>
          <cell r="CF343">
            <v>25.980314894383874</v>
          </cell>
          <cell r="CG343">
            <v>0</v>
          </cell>
          <cell r="CI343">
            <v>2087.0040572569228</v>
          </cell>
          <cell r="CJ343">
            <v>2414.0365016094906</v>
          </cell>
          <cell r="CL343">
            <v>2002.775193959558</v>
          </cell>
          <cell r="CM343">
            <v>2473.1997584393239</v>
          </cell>
          <cell r="CX343">
            <v>1537.326079216662</v>
          </cell>
          <cell r="CY343">
            <v>-7819.9954734997336</v>
          </cell>
        </row>
        <row r="344">
          <cell r="I344">
            <v>1769.4820040665747</v>
          </cell>
          <cell r="J344">
            <v>2244.1610967310316</v>
          </cell>
          <cell r="L344">
            <v>453.60976220893593</v>
          </cell>
          <cell r="M344">
            <v>579.37582026316704</v>
          </cell>
          <cell r="O344">
            <v>837.74</v>
          </cell>
          <cell r="P344">
            <v>837.64</v>
          </cell>
          <cell r="R344">
            <v>203.38</v>
          </cell>
          <cell r="S344">
            <v>203.34</v>
          </cell>
          <cell r="U344">
            <v>130.00964065633656</v>
          </cell>
          <cell r="V344">
            <v>106.46261844006062</v>
          </cell>
          <cell r="X344">
            <v>1532.8177559537396</v>
          </cell>
          <cell r="Y344">
            <v>1823.6394729199437</v>
          </cell>
          <cell r="AA344">
            <v>0</v>
          </cell>
          <cell r="AB344">
            <v>0</v>
          </cell>
          <cell r="AD344">
            <v>2805.2020356738326</v>
          </cell>
          <cell r="AE344">
            <v>3082.8194839337702</v>
          </cell>
          <cell r="AJ344">
            <v>6913.0950965152351</v>
          </cell>
          <cell r="AK344">
            <v>6989.3119663893776</v>
          </cell>
          <cell r="AM344">
            <v>0</v>
          </cell>
          <cell r="AN344">
            <v>0</v>
          </cell>
          <cell r="AP344">
            <v>568.21058573618984</v>
          </cell>
          <cell r="AQ344">
            <v>0</v>
          </cell>
          <cell r="AS344">
            <v>18305.855806017549</v>
          </cell>
          <cell r="AT344">
            <v>8201.4053002703604</v>
          </cell>
          <cell r="AV344">
            <v>80.878175024060099</v>
          </cell>
          <cell r="AW344">
            <v>0</v>
          </cell>
          <cell r="AY344">
            <v>179.98343394677127</v>
          </cell>
          <cell r="AZ344">
            <v>0</v>
          </cell>
          <cell r="BB344">
            <v>214.01736783688938</v>
          </cell>
          <cell r="BC344">
            <v>719.28487379341368</v>
          </cell>
          <cell r="BE344">
            <v>71.621259226018381</v>
          </cell>
          <cell r="BF344">
            <v>0</v>
          </cell>
          <cell r="BH344">
            <v>39.576741189229679</v>
          </cell>
          <cell r="BI344">
            <v>0</v>
          </cell>
          <cell r="BK344">
            <v>137.0164525129411</v>
          </cell>
          <cell r="BL344">
            <v>0</v>
          </cell>
          <cell r="BN344">
            <v>0</v>
          </cell>
          <cell r="BO344">
            <v>0</v>
          </cell>
          <cell r="BT344">
            <v>3744.8568701693193</v>
          </cell>
          <cell r="BU344">
            <v>3838.4141306930278</v>
          </cell>
          <cell r="BW344">
            <v>6490.9858547791373</v>
          </cell>
          <cell r="BX344">
            <v>7891.2949407347314</v>
          </cell>
          <cell r="BZ344">
            <v>1298.4922026423383</v>
          </cell>
          <cell r="CA344">
            <v>3686.2807531851454</v>
          </cell>
          <cell r="CC344">
            <v>235.60016333748558</v>
          </cell>
          <cell r="CD344">
            <v>238.19842279448102</v>
          </cell>
          <cell r="CF344">
            <v>29.003807986622277</v>
          </cell>
          <cell r="CG344">
            <v>0</v>
          </cell>
          <cell r="CI344">
            <v>876.60409579849829</v>
          </cell>
          <cell r="CJ344">
            <v>257.76639237637858</v>
          </cell>
          <cell r="CL344">
            <v>1054.4205849818234</v>
          </cell>
          <cell r="CM344">
            <v>2148.6293757810226</v>
          </cell>
          <cell r="CX344">
            <v>869.60836448857299</v>
          </cell>
          <cell r="CY344">
            <v>7018.9304220329068</v>
          </cell>
        </row>
        <row r="345">
          <cell r="I345">
            <v>4229.0729249321193</v>
          </cell>
          <cell r="J345">
            <v>5270.8467375990913</v>
          </cell>
          <cell r="L345">
            <v>689.93201572403495</v>
          </cell>
          <cell r="M345">
            <v>881.22067030677408</v>
          </cell>
          <cell r="O345">
            <v>1369.08</v>
          </cell>
          <cell r="P345">
            <v>1368.86</v>
          </cell>
          <cell r="R345">
            <v>322.48</v>
          </cell>
          <cell r="S345">
            <v>322.76</v>
          </cell>
          <cell r="U345">
            <v>195.03873136964788</v>
          </cell>
          <cell r="V345">
            <v>159.7141139737883</v>
          </cell>
          <cell r="X345">
            <v>1641.1325516528952</v>
          </cell>
          <cell r="Y345">
            <v>1991.0013094190376</v>
          </cell>
          <cell r="AA345">
            <v>0</v>
          </cell>
          <cell r="AB345">
            <v>0</v>
          </cell>
          <cell r="AD345">
            <v>4495.1389325420587</v>
          </cell>
          <cell r="AE345">
            <v>4940.0013646080133</v>
          </cell>
          <cell r="AJ345">
            <v>14402.266595894693</v>
          </cell>
          <cell r="AK345">
            <v>14561.070339958776</v>
          </cell>
          <cell r="AM345">
            <v>0</v>
          </cell>
          <cell r="AN345">
            <v>0</v>
          </cell>
          <cell r="AP345">
            <v>852.31587860428476</v>
          </cell>
          <cell r="AQ345">
            <v>0</v>
          </cell>
          <cell r="AS345">
            <v>19965.106872581044</v>
          </cell>
          <cell r="AT345">
            <v>6315.1500253596778</v>
          </cell>
          <cell r="AV345">
            <v>340.67941004900786</v>
          </cell>
          <cell r="AW345">
            <v>0</v>
          </cell>
          <cell r="AY345">
            <v>456.07431114941113</v>
          </cell>
          <cell r="AZ345">
            <v>0</v>
          </cell>
          <cell r="BB345">
            <v>1150.4514219355508</v>
          </cell>
          <cell r="BC345">
            <v>0</v>
          </cell>
          <cell r="BE345">
            <v>365.27880722162689</v>
          </cell>
          <cell r="BF345">
            <v>0</v>
          </cell>
          <cell r="BH345">
            <v>98.941812127749259</v>
          </cell>
          <cell r="BI345">
            <v>497.05365631992424</v>
          </cell>
          <cell r="BK345">
            <v>393.71141400837746</v>
          </cell>
          <cell r="BL345">
            <v>287.27284892894761</v>
          </cell>
          <cell r="BN345">
            <v>0</v>
          </cell>
          <cell r="BO345">
            <v>0</v>
          </cell>
          <cell r="BT345">
            <v>6367.3819027450727</v>
          </cell>
          <cell r="BU345">
            <v>6480.3382077221331</v>
          </cell>
          <cell r="BW345">
            <v>6003.0422866740437</v>
          </cell>
          <cell r="BX345">
            <v>7322.1642940383463</v>
          </cell>
          <cell r="BZ345">
            <v>1448.026504015116</v>
          </cell>
          <cell r="CA345">
            <v>6226.5070198184885</v>
          </cell>
          <cell r="CC345">
            <v>386.0489567795878</v>
          </cell>
          <cell r="CD345">
            <v>390.30640439170577</v>
          </cell>
          <cell r="CF345">
            <v>47.524966270214406</v>
          </cell>
          <cell r="CG345">
            <v>0</v>
          </cell>
          <cell r="CI345">
            <v>4969.5029345445118</v>
          </cell>
          <cell r="CJ345">
            <v>3069.9222446857075</v>
          </cell>
          <cell r="CL345">
            <v>1927.9050932507898</v>
          </cell>
          <cell r="CM345">
            <v>2901.4291327659307</v>
          </cell>
          <cell r="CX345">
            <v>1318.8588111138088</v>
          </cell>
          <cell r="CY345">
            <v>12275.477956124399</v>
          </cell>
        </row>
        <row r="346">
          <cell r="I346">
            <v>4218.6693447917187</v>
          </cell>
          <cell r="J346">
            <v>5258.2138496434382</v>
          </cell>
          <cell r="L346">
            <v>691.31354053011785</v>
          </cell>
          <cell r="M346">
            <v>882.98437143390697</v>
          </cell>
          <cell r="O346">
            <v>1372.38</v>
          </cell>
          <cell r="P346">
            <v>1372.86</v>
          </cell>
          <cell r="R346">
            <v>322.32</v>
          </cell>
          <cell r="S346">
            <v>322.16000000000003</v>
          </cell>
          <cell r="U346">
            <v>195.03873136964788</v>
          </cell>
          <cell r="V346">
            <v>159.7141139737883</v>
          </cell>
          <cell r="X346">
            <v>1652.3817105886289</v>
          </cell>
          <cell r="Y346">
            <v>2005.3169663708336</v>
          </cell>
          <cell r="AA346">
            <v>0</v>
          </cell>
          <cell r="AB346">
            <v>0</v>
          </cell>
          <cell r="AD346">
            <v>4507.2395357810265</v>
          </cell>
          <cell r="AE346">
            <v>4953.2995067589327</v>
          </cell>
          <cell r="AJ346">
            <v>14402.266595894693</v>
          </cell>
          <cell r="AK346">
            <v>14561.070339958776</v>
          </cell>
          <cell r="AM346">
            <v>0</v>
          </cell>
          <cell r="AN346">
            <v>532.00510021686796</v>
          </cell>
          <cell r="AP346">
            <v>836.53225122272397</v>
          </cell>
          <cell r="AQ346">
            <v>0</v>
          </cell>
          <cell r="AS346">
            <v>19644.542428767843</v>
          </cell>
          <cell r="AT346">
            <v>560.69326699193175</v>
          </cell>
          <cell r="AV346">
            <v>341.10193611683809</v>
          </cell>
          <cell r="AW346">
            <v>0</v>
          </cell>
          <cell r="AY346">
            <v>456.98718243290779</v>
          </cell>
          <cell r="AZ346">
            <v>0</v>
          </cell>
          <cell r="BB346">
            <v>1118.9449665843622</v>
          </cell>
          <cell r="BC346">
            <v>0</v>
          </cell>
          <cell r="BE346">
            <v>365.34992358096986</v>
          </cell>
          <cell r="BF346">
            <v>0</v>
          </cell>
          <cell r="BH346">
            <v>98.941812127749259</v>
          </cell>
          <cell r="BI346">
            <v>0</v>
          </cell>
          <cell r="BK346">
            <v>395.44141636158889</v>
          </cell>
          <cell r="BL346">
            <v>0</v>
          </cell>
          <cell r="BN346">
            <v>0</v>
          </cell>
          <cell r="BO346">
            <v>0</v>
          </cell>
          <cell r="BT346">
            <v>6472.3726902779981</v>
          </cell>
          <cell r="BU346">
            <v>5342.8887528608511</v>
          </cell>
          <cell r="BW346">
            <v>6600.1771265409279</v>
          </cell>
          <cell r="BX346">
            <v>7645.5169380804746</v>
          </cell>
          <cell r="BZ346">
            <v>1444.1028069688332</v>
          </cell>
          <cell r="CA346">
            <v>5316.1834457813557</v>
          </cell>
          <cell r="CC346">
            <v>408.84422851323967</v>
          </cell>
          <cell r="CD346">
            <v>413.35306827007321</v>
          </cell>
          <cell r="CF346">
            <v>50.331202373788983</v>
          </cell>
          <cell r="CG346">
            <v>0</v>
          </cell>
          <cell r="CI346">
            <v>3219.4143304770473</v>
          </cell>
          <cell r="CJ346">
            <v>1934.4126391971349</v>
          </cell>
          <cell r="CL346">
            <v>1815.5999421876372</v>
          </cell>
          <cell r="CM346">
            <v>2614.0861443099866</v>
          </cell>
          <cell r="CX346">
            <v>1270.9475558116392</v>
          </cell>
          <cell r="CY346">
            <v>21377.589795381991</v>
          </cell>
        </row>
        <row r="347">
          <cell r="I347">
            <v>4213.5205224714955</v>
          </cell>
          <cell r="J347">
            <v>5253.5431689407715</v>
          </cell>
          <cell r="L347">
            <v>687.51585859041313</v>
          </cell>
          <cell r="M347">
            <v>878.13419333429147</v>
          </cell>
          <cell r="O347">
            <v>1376.08</v>
          </cell>
          <cell r="P347">
            <v>1375.86</v>
          </cell>
          <cell r="R347">
            <v>333</v>
          </cell>
          <cell r="S347">
            <v>332.62</v>
          </cell>
          <cell r="U347">
            <v>195.03873136964788</v>
          </cell>
          <cell r="V347">
            <v>159.7141139737883</v>
          </cell>
          <cell r="X347">
            <v>1621.4226940991348</v>
          </cell>
          <cell r="Y347">
            <v>1966.6328252148701</v>
          </cell>
          <cell r="AA347">
            <v>0</v>
          </cell>
          <cell r="AB347">
            <v>0</v>
          </cell>
          <cell r="AD347">
            <v>4514.7008618064674</v>
          </cell>
          <cell r="AE347">
            <v>4961.4992445869739</v>
          </cell>
          <cell r="AJ347">
            <v>8621.7600347441276</v>
          </cell>
          <cell r="AK347">
            <v>8716.8374107248401</v>
          </cell>
          <cell r="AM347">
            <v>0</v>
          </cell>
          <cell r="AN347">
            <v>266.0109811433166</v>
          </cell>
          <cell r="AP347">
            <v>852.31587860428476</v>
          </cell>
          <cell r="AQ347">
            <v>0</v>
          </cell>
          <cell r="AS347">
            <v>19561.369038329085</v>
          </cell>
          <cell r="AT347">
            <v>2985.7122656852707</v>
          </cell>
          <cell r="AV347">
            <v>338.94789082903128</v>
          </cell>
          <cell r="AW347">
            <v>0</v>
          </cell>
          <cell r="AY347">
            <v>454.5350152089967</v>
          </cell>
          <cell r="AZ347">
            <v>0</v>
          </cell>
          <cell r="BB347">
            <v>1157.2474197511715</v>
          </cell>
          <cell r="BC347">
            <v>0</v>
          </cell>
          <cell r="BE347">
            <v>368.35609494407032</v>
          </cell>
          <cell r="BF347">
            <v>0</v>
          </cell>
          <cell r="BH347">
            <v>98.941812127749259</v>
          </cell>
          <cell r="BI347">
            <v>0</v>
          </cell>
          <cell r="BK347">
            <v>390.76670427356618</v>
          </cell>
          <cell r="BL347">
            <v>0</v>
          </cell>
          <cell r="BN347">
            <v>0</v>
          </cell>
          <cell r="BO347">
            <v>0</v>
          </cell>
          <cell r="BT347">
            <v>6708.69254836253</v>
          </cell>
          <cell r="BU347">
            <v>5243.3918792894692</v>
          </cell>
          <cell r="BW347">
            <v>6832.3680887851806</v>
          </cell>
          <cell r="BX347">
            <v>7283.4377762006261</v>
          </cell>
          <cell r="BZ347">
            <v>1621.2047380928243</v>
          </cell>
          <cell r="CA347">
            <v>4561.2069113475609</v>
          </cell>
          <cell r="CC347">
            <v>408.74618433374008</v>
          </cell>
          <cell r="CD347">
            <v>413.25394283403716</v>
          </cell>
          <cell r="CF347">
            <v>50.31913254108543</v>
          </cell>
          <cell r="CG347">
            <v>0</v>
          </cell>
          <cell r="CI347">
            <v>2392.723635151061</v>
          </cell>
          <cell r="CJ347">
            <v>1942.4962181601097</v>
          </cell>
          <cell r="CL347">
            <v>3584.4060714322941</v>
          </cell>
          <cell r="CM347">
            <v>2911.2611590039141</v>
          </cell>
          <cell r="CX347">
            <v>1214.3452529824572</v>
          </cell>
          <cell r="CY347">
            <v>21773.185491472199</v>
          </cell>
        </row>
        <row r="348">
          <cell r="I348">
            <v>4194.3142295178504</v>
          </cell>
          <cell r="J348">
            <v>5230.7264509519518</v>
          </cell>
          <cell r="L348">
            <v>688.69978930805587</v>
          </cell>
          <cell r="M348">
            <v>879.64593715754825</v>
          </cell>
          <cell r="O348">
            <v>1376.08</v>
          </cell>
          <cell r="P348">
            <v>1376.3</v>
          </cell>
          <cell r="R348">
            <v>324.64</v>
          </cell>
          <cell r="S348">
            <v>324.76</v>
          </cell>
          <cell r="U348">
            <v>195.03873136964788</v>
          </cell>
          <cell r="V348">
            <v>159.7141139737883</v>
          </cell>
          <cell r="X348">
            <v>1631.253194348172</v>
          </cell>
          <cell r="Y348">
            <v>1979.2121073345272</v>
          </cell>
          <cell r="AA348">
            <v>0</v>
          </cell>
          <cell r="AB348">
            <v>0</v>
          </cell>
          <cell r="AD348">
            <v>4523.3665470470942</v>
          </cell>
          <cell r="AE348">
            <v>4971.0225313098945</v>
          </cell>
          <cell r="AJ348">
            <v>8621.7600347441276</v>
          </cell>
          <cell r="AK348">
            <v>8716.8374107248401</v>
          </cell>
          <cell r="AM348">
            <v>0</v>
          </cell>
          <cell r="AN348">
            <v>532.00510021686796</v>
          </cell>
          <cell r="AP348">
            <v>836.53225122272397</v>
          </cell>
          <cell r="AQ348">
            <v>0</v>
          </cell>
          <cell r="AS348">
            <v>19630.247036745306</v>
          </cell>
          <cell r="AT348">
            <v>2926.975225402432</v>
          </cell>
          <cell r="AV348">
            <v>338.38118133211213</v>
          </cell>
          <cell r="AW348">
            <v>0</v>
          </cell>
          <cell r="AY348">
            <v>455.31679837177501</v>
          </cell>
          <cell r="AZ348">
            <v>0</v>
          </cell>
          <cell r="BB348">
            <v>1157.2474197511715</v>
          </cell>
          <cell r="BC348">
            <v>0</v>
          </cell>
          <cell r="BE348">
            <v>367.35679527182106</v>
          </cell>
          <cell r="BF348">
            <v>0</v>
          </cell>
          <cell r="BH348">
            <v>98.941812127749259</v>
          </cell>
          <cell r="BI348">
            <v>0</v>
          </cell>
          <cell r="BK348">
            <v>392.23794522822857</v>
          </cell>
          <cell r="BL348">
            <v>1665.7227761644594</v>
          </cell>
          <cell r="BN348">
            <v>0</v>
          </cell>
          <cell r="BO348">
            <v>0</v>
          </cell>
          <cell r="BT348">
            <v>6652.5032358327817</v>
          </cell>
          <cell r="BU348">
            <v>5185.6591838240147</v>
          </cell>
          <cell r="BW348">
            <v>5900.6452329334033</v>
          </cell>
          <cell r="BX348">
            <v>6313.4579990671355</v>
          </cell>
          <cell r="BZ348">
            <v>1660.5607227870448</v>
          </cell>
          <cell r="CA348">
            <v>4490.0680577619223</v>
          </cell>
          <cell r="CC348">
            <v>380.16630600961321</v>
          </cell>
          <cell r="CD348">
            <v>384.35887822954646</v>
          </cell>
          <cell r="CF348">
            <v>46.800776308001616</v>
          </cell>
          <cell r="CG348">
            <v>0</v>
          </cell>
          <cell r="CI348">
            <v>3896.3648243854964</v>
          </cell>
          <cell r="CJ348">
            <v>6039.9943970448858</v>
          </cell>
          <cell r="CL348">
            <v>1974.6989061937702</v>
          </cell>
          <cell r="CM348">
            <v>2963.6593087327274</v>
          </cell>
          <cell r="CX348">
            <v>1175.3754749968648</v>
          </cell>
          <cell r="CY348">
            <v>14619.01662652415</v>
          </cell>
        </row>
        <row r="349">
          <cell r="I349">
            <v>3376.1419518062753</v>
          </cell>
          <cell r="J349">
            <v>4228.2821501026847</v>
          </cell>
          <cell r="L349">
            <v>670.00760736089296</v>
          </cell>
          <cell r="M349">
            <v>855.77298261528472</v>
          </cell>
          <cell r="O349">
            <v>1458.8</v>
          </cell>
          <cell r="P349">
            <v>1459.18</v>
          </cell>
          <cell r="R349">
            <v>0</v>
          </cell>
          <cell r="S349">
            <v>0</v>
          </cell>
          <cell r="U349">
            <v>333.92254251606141</v>
          </cell>
          <cell r="V349">
            <v>273.44380534491114</v>
          </cell>
          <cell r="X349">
            <v>3206.0251200719549</v>
          </cell>
          <cell r="Y349">
            <v>3923.7463325185672</v>
          </cell>
          <cell r="AA349">
            <v>0</v>
          </cell>
          <cell r="AB349">
            <v>0</v>
          </cell>
          <cell r="AD349">
            <v>4178.9696962051758</v>
          </cell>
          <cell r="AE349">
            <v>4592.5423689262007</v>
          </cell>
          <cell r="AJ349">
            <v>0</v>
          </cell>
          <cell r="AK349">
            <v>0</v>
          </cell>
          <cell r="AM349">
            <v>0</v>
          </cell>
          <cell r="AN349">
            <v>0</v>
          </cell>
          <cell r="AP349">
            <v>1692.794036672399</v>
          </cell>
          <cell r="AQ349">
            <v>7483.3660937918612</v>
          </cell>
          <cell r="AS349">
            <v>15745.21272555894</v>
          </cell>
          <cell r="AT349">
            <v>103.1507578703665</v>
          </cell>
          <cell r="AV349">
            <v>552.21617909158942</v>
          </cell>
          <cell r="AW349">
            <v>2908.9904224499974</v>
          </cell>
          <cell r="AY349">
            <v>863.53737109845565</v>
          </cell>
          <cell r="AZ349">
            <v>2486.5483076742426</v>
          </cell>
          <cell r="BB349">
            <v>549.74304237231922</v>
          </cell>
          <cell r="BC349">
            <v>0</v>
          </cell>
          <cell r="BE349">
            <v>0</v>
          </cell>
          <cell r="BF349">
            <v>0</v>
          </cell>
          <cell r="BH349">
            <v>338.81178137477229</v>
          </cell>
          <cell r="BI349">
            <v>0</v>
          </cell>
          <cell r="BK349">
            <v>500.05250650715965</v>
          </cell>
          <cell r="BL349">
            <v>0</v>
          </cell>
          <cell r="BN349">
            <v>0</v>
          </cell>
          <cell r="BO349">
            <v>0</v>
          </cell>
          <cell r="BT349">
            <v>8695.4876657257628</v>
          </cell>
          <cell r="BU349">
            <v>3669.4387434053242</v>
          </cell>
          <cell r="BW349">
            <v>5996.2322938981015</v>
          </cell>
          <cell r="BX349">
            <v>4069.9871095890953</v>
          </cell>
          <cell r="BZ349">
            <v>1285.390804881755</v>
          </cell>
          <cell r="CA349">
            <v>5070.9612712544804</v>
          </cell>
          <cell r="CC349">
            <v>436.14953250387214</v>
          </cell>
          <cell r="CD349">
            <v>440.95950220609609</v>
          </cell>
          <cell r="CF349">
            <v>53.692650781726684</v>
          </cell>
          <cell r="CG349">
            <v>0</v>
          </cell>
          <cell r="CI349">
            <v>2155.6349829066276</v>
          </cell>
          <cell r="CJ349">
            <v>1491.7774243174192</v>
          </cell>
          <cell r="CL349">
            <v>0</v>
          </cell>
          <cell r="CM349">
            <v>0</v>
          </cell>
          <cell r="CX349">
            <v>2948.7330103994027</v>
          </cell>
          <cell r="CY349">
            <v>13785.543273520165</v>
          </cell>
        </row>
        <row r="350">
          <cell r="I350">
            <v>2651.8796901393102</v>
          </cell>
          <cell r="J350">
            <v>3313.2696432039124</v>
          </cell>
          <cell r="L350">
            <v>503.07286950512366</v>
          </cell>
          <cell r="M350">
            <v>642.5541142101074</v>
          </cell>
          <cell r="O350">
            <v>1044.6600000000001</v>
          </cell>
          <cell r="P350">
            <v>1044.6400000000001</v>
          </cell>
          <cell r="R350">
            <v>0</v>
          </cell>
          <cell r="S350">
            <v>0</v>
          </cell>
          <cell r="U350">
            <v>159.59026341702642</v>
          </cell>
          <cell r="V350">
            <v>130.68619487693448</v>
          </cell>
          <cell r="X350">
            <v>2068.1835702503245</v>
          </cell>
          <cell r="Y350">
            <v>2524.9378944526206</v>
          </cell>
          <cell r="AA350">
            <v>0</v>
          </cell>
          <cell r="AB350">
            <v>0</v>
          </cell>
          <cell r="AD350">
            <v>3183.7271485366077</v>
          </cell>
          <cell r="AE350">
            <v>3498.8054194392275</v>
          </cell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P350">
            <v>1278.4738179064273</v>
          </cell>
          <cell r="AQ350">
            <v>5684.4800135534333</v>
          </cell>
          <cell r="AS350">
            <v>12781.050783656552</v>
          </cell>
          <cell r="AT350">
            <v>70.698315362929662</v>
          </cell>
          <cell r="AV350">
            <v>440.7848845409053</v>
          </cell>
          <cell r="AW350">
            <v>0</v>
          </cell>
          <cell r="AY350">
            <v>648.37174232033783</v>
          </cell>
          <cell r="AZ350">
            <v>0</v>
          </cell>
          <cell r="BB350">
            <v>435.73378950881943</v>
          </cell>
          <cell r="BC350">
            <v>0</v>
          </cell>
          <cell r="BE350">
            <v>0</v>
          </cell>
          <cell r="BF350">
            <v>0</v>
          </cell>
          <cell r="BH350">
            <v>161.90917399980211</v>
          </cell>
          <cell r="BI350">
            <v>0</v>
          </cell>
          <cell r="BK350">
            <v>323.39564104606796</v>
          </cell>
          <cell r="BL350">
            <v>0</v>
          </cell>
          <cell r="BN350">
            <v>0</v>
          </cell>
          <cell r="BO350">
            <v>0</v>
          </cell>
          <cell r="BT350">
            <v>7672.4547710050156</v>
          </cell>
          <cell r="BU350">
            <v>3262.5332468930587</v>
          </cell>
          <cell r="BW350">
            <v>4373.5279355795983</v>
          </cell>
          <cell r="BX350">
            <v>2942.5655563042101</v>
          </cell>
          <cell r="BZ350">
            <v>1205.3907721831185</v>
          </cell>
          <cell r="CA350">
            <v>4525.0756843833942</v>
          </cell>
          <cell r="CC350">
            <v>410.51097956473251</v>
          </cell>
          <cell r="CD350">
            <v>415.03820068268493</v>
          </cell>
          <cell r="CF350">
            <v>50.536389529749272</v>
          </cell>
          <cell r="CG350">
            <v>0</v>
          </cell>
          <cell r="CI350">
            <v>1497.4020141753706</v>
          </cell>
          <cell r="CJ350">
            <v>834.94560219521918</v>
          </cell>
          <cell r="CL350">
            <v>0</v>
          </cell>
          <cell r="CM350">
            <v>0</v>
          </cell>
          <cell r="CX350">
            <v>2447.5325157621337</v>
          </cell>
          <cell r="CY350">
            <v>16848.044137330726</v>
          </cell>
        </row>
        <row r="351">
          <cell r="I351">
            <v>1759.8926155363379</v>
          </cell>
          <cell r="J351">
            <v>2193.1555491496856</v>
          </cell>
          <cell r="L351">
            <v>332.43932844451967</v>
          </cell>
          <cell r="M351">
            <v>424.61104635725263</v>
          </cell>
          <cell r="O351">
            <v>689.06</v>
          </cell>
          <cell r="P351">
            <v>688.88</v>
          </cell>
          <cell r="R351">
            <v>0</v>
          </cell>
          <cell r="S351">
            <v>0</v>
          </cell>
          <cell r="U351">
            <v>159.59026341702642</v>
          </cell>
          <cell r="V351">
            <v>130.68619487693448</v>
          </cell>
          <cell r="X351">
            <v>1185.3985421395907</v>
          </cell>
          <cell r="Y351">
            <v>1397.8697864434705</v>
          </cell>
          <cell r="AA351">
            <v>0</v>
          </cell>
          <cell r="AB351">
            <v>0</v>
          </cell>
          <cell r="AD351">
            <v>1981.007002105202</v>
          </cell>
          <cell r="AE351">
            <v>2177.0578041207546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P351">
            <v>852.31587860428476</v>
          </cell>
          <cell r="AQ351">
            <v>429.98277901017957</v>
          </cell>
          <cell r="AS351">
            <v>8433.0743041202404</v>
          </cell>
          <cell r="AT351">
            <v>56.549419732020127</v>
          </cell>
          <cell r="AV351">
            <v>293.7456385988923</v>
          </cell>
          <cell r="AW351">
            <v>0</v>
          </cell>
          <cell r="AY351">
            <v>428.45713760025609</v>
          </cell>
          <cell r="AZ351">
            <v>1993.1811706349574</v>
          </cell>
          <cell r="BB351">
            <v>249.50064667588106</v>
          </cell>
          <cell r="BC351">
            <v>0</v>
          </cell>
          <cell r="BE351">
            <v>0</v>
          </cell>
          <cell r="BF351">
            <v>0</v>
          </cell>
          <cell r="BH351">
            <v>161.90917399980211</v>
          </cell>
          <cell r="BI351">
            <v>0</v>
          </cell>
          <cell r="BK351">
            <v>176.12067478462095</v>
          </cell>
          <cell r="BL351">
            <v>0</v>
          </cell>
          <cell r="BN351">
            <v>0</v>
          </cell>
          <cell r="BO351">
            <v>0</v>
          </cell>
          <cell r="BT351">
            <v>4966.8427556882752</v>
          </cell>
          <cell r="BU351">
            <v>4770.0491650776858</v>
          </cell>
          <cell r="BW351">
            <v>2950.1250237578638</v>
          </cell>
          <cell r="BX351">
            <v>3354.0877718397451</v>
          </cell>
          <cell r="BZ351">
            <v>1185.6532727203141</v>
          </cell>
          <cell r="CA351">
            <v>4661.9605678573225</v>
          </cell>
          <cell r="CC351">
            <v>288.78913071600658</v>
          </cell>
          <cell r="CD351">
            <v>291.97397184400489</v>
          </cell>
          <cell r="CF351">
            <v>35.551692228296268</v>
          </cell>
          <cell r="CG351">
            <v>0</v>
          </cell>
          <cell r="CI351">
            <v>848.52780803271014</v>
          </cell>
          <cell r="CJ351">
            <v>815.42245510907992</v>
          </cell>
          <cell r="CL351">
            <v>0</v>
          </cell>
          <cell r="CM351">
            <v>0</v>
          </cell>
          <cell r="CX351">
            <v>1501.818932995855</v>
          </cell>
          <cell r="CY351">
            <v>5812.858781536288</v>
          </cell>
        </row>
        <row r="352">
          <cell r="I352">
            <v>1759.8926155363379</v>
          </cell>
          <cell r="J352">
            <v>2192.610711436726</v>
          </cell>
          <cell r="L352">
            <v>332.43932844451967</v>
          </cell>
          <cell r="M352">
            <v>424.61104635725263</v>
          </cell>
          <cell r="O352">
            <v>689.06</v>
          </cell>
          <cell r="P352">
            <v>689.2</v>
          </cell>
          <cell r="R352">
            <v>0</v>
          </cell>
          <cell r="S352">
            <v>0</v>
          </cell>
          <cell r="U352">
            <v>159.59026341702642</v>
          </cell>
          <cell r="V352">
            <v>130.68619487693448</v>
          </cell>
          <cell r="X352">
            <v>1185.3985421395907</v>
          </cell>
          <cell r="Y352">
            <v>1397.5798648042764</v>
          </cell>
          <cell r="AA352">
            <v>0</v>
          </cell>
          <cell r="AB352">
            <v>0</v>
          </cell>
          <cell r="AD352">
            <v>1968.5215740282463</v>
          </cell>
          <cell r="AE352">
            <v>2163.3367528554941</v>
          </cell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P352">
            <v>852.31587860428476</v>
          </cell>
          <cell r="AQ352">
            <v>214.99138950508978</v>
          </cell>
          <cell r="AS352">
            <v>8469.3422748413013</v>
          </cell>
          <cell r="AT352">
            <v>38.384361230346727</v>
          </cell>
          <cell r="AV352">
            <v>293.7456385988923</v>
          </cell>
          <cell r="AW352">
            <v>0</v>
          </cell>
          <cell r="AY352">
            <v>428.45713760025609</v>
          </cell>
          <cell r="AZ352">
            <v>0</v>
          </cell>
          <cell r="BB352">
            <v>249.50064667588106</v>
          </cell>
          <cell r="BC352">
            <v>0</v>
          </cell>
          <cell r="BE352">
            <v>0</v>
          </cell>
          <cell r="BF352">
            <v>0</v>
          </cell>
          <cell r="BH352">
            <v>161.90917399980211</v>
          </cell>
          <cell r="BI352">
            <v>0</v>
          </cell>
          <cell r="BK352">
            <v>176.12067478462095</v>
          </cell>
          <cell r="BL352">
            <v>0</v>
          </cell>
          <cell r="BN352">
            <v>0</v>
          </cell>
          <cell r="BO352">
            <v>0</v>
          </cell>
          <cell r="BT352">
            <v>4698.6316660432103</v>
          </cell>
          <cell r="BU352">
            <v>4646.4840137046367</v>
          </cell>
          <cell r="BW352">
            <v>2951.5894533907522</v>
          </cell>
          <cell r="BX352">
            <v>5209.5494331430673</v>
          </cell>
          <cell r="BZ352">
            <v>1155.4922525445513</v>
          </cell>
          <cell r="CA352">
            <v>3944.5807093642143</v>
          </cell>
          <cell r="CC352">
            <v>256.53259566064543</v>
          </cell>
          <cell r="CD352">
            <v>259.36170338816459</v>
          </cell>
          <cell r="CF352">
            <v>31.580717268829464</v>
          </cell>
          <cell r="CG352">
            <v>0</v>
          </cell>
          <cell r="CI352">
            <v>985.78965933211919</v>
          </cell>
          <cell r="CJ352">
            <v>560.2902010294813</v>
          </cell>
          <cell r="CL352">
            <v>0</v>
          </cell>
          <cell r="CM352">
            <v>0</v>
          </cell>
          <cell r="CX352">
            <v>1622.7078885069641</v>
          </cell>
          <cell r="CY352">
            <v>7543.8003419651814</v>
          </cell>
        </row>
        <row r="353">
          <cell r="I353">
            <v>1759.688223476353</v>
          </cell>
          <cell r="J353">
            <v>2191.7771434972074</v>
          </cell>
          <cell r="L353">
            <v>332.43932844451967</v>
          </cell>
          <cell r="M353">
            <v>424.61104635725263</v>
          </cell>
          <cell r="O353">
            <v>689.06</v>
          </cell>
          <cell r="P353">
            <v>689.06</v>
          </cell>
          <cell r="R353">
            <v>0</v>
          </cell>
          <cell r="S353">
            <v>0</v>
          </cell>
          <cell r="U353">
            <v>159.59026341702642</v>
          </cell>
          <cell r="V353">
            <v>130.68619487693448</v>
          </cell>
          <cell r="X353">
            <v>1185.2026995245419</v>
          </cell>
          <cell r="Y353">
            <v>1397.0170688369208</v>
          </cell>
          <cell r="AA353">
            <v>0</v>
          </cell>
          <cell r="AB353">
            <v>0</v>
          </cell>
          <cell r="AD353">
            <v>1955.0527046986535</v>
          </cell>
          <cell r="AE353">
            <v>2148.5349338535871</v>
          </cell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P353">
            <v>852.31587860428476</v>
          </cell>
          <cell r="AQ353">
            <v>3741.6830468959306</v>
          </cell>
          <cell r="AS353">
            <v>8078.8359921612318</v>
          </cell>
          <cell r="AT353">
            <v>70.698315362929662</v>
          </cell>
          <cell r="AV353">
            <v>293.68706488461845</v>
          </cell>
          <cell r="AW353">
            <v>1959.6145470694528</v>
          </cell>
          <cell r="AY353">
            <v>428.45713760025609</v>
          </cell>
          <cell r="AZ353">
            <v>0</v>
          </cell>
          <cell r="BB353">
            <v>249.50064667588106</v>
          </cell>
          <cell r="BC353">
            <v>0</v>
          </cell>
          <cell r="BE353">
            <v>0</v>
          </cell>
          <cell r="BF353">
            <v>0</v>
          </cell>
          <cell r="BH353">
            <v>161.90917399980211</v>
          </cell>
          <cell r="BI353">
            <v>0</v>
          </cell>
          <cell r="BK353">
            <v>176.11164732070878</v>
          </cell>
          <cell r="BL353">
            <v>0</v>
          </cell>
          <cell r="BN353">
            <v>0</v>
          </cell>
          <cell r="BO353">
            <v>0</v>
          </cell>
          <cell r="BT353">
            <v>6455.092233619318</v>
          </cell>
          <cell r="BU353">
            <v>5212.9809121826702</v>
          </cell>
          <cell r="BW353">
            <v>2904.8118323169128</v>
          </cell>
          <cell r="BX353">
            <v>5421.3249924563188</v>
          </cell>
          <cell r="BZ353">
            <v>1162.0515833269212</v>
          </cell>
          <cell r="CA353">
            <v>5160.5205175327028</v>
          </cell>
          <cell r="CC353">
            <v>256.48357357089571</v>
          </cell>
          <cell r="CD353">
            <v>259.31214067014668</v>
          </cell>
          <cell r="CF353">
            <v>31.574682352477687</v>
          </cell>
          <cell r="CG353">
            <v>0</v>
          </cell>
          <cell r="CI353">
            <v>1038.8226473341635</v>
          </cell>
          <cell r="CJ353">
            <v>879.50172505790454</v>
          </cell>
          <cell r="CL353">
            <v>0</v>
          </cell>
          <cell r="CM353">
            <v>0</v>
          </cell>
          <cell r="CX353">
            <v>699.17522400572489</v>
          </cell>
          <cell r="CY353">
            <v>-1120.7871015799465</v>
          </cell>
        </row>
        <row r="354">
          <cell r="I354">
            <v>3470.3203669484656</v>
          </cell>
          <cell r="J354">
            <v>4336.0843111046433</v>
          </cell>
          <cell r="L354">
            <v>669.76147250216661</v>
          </cell>
          <cell r="M354">
            <v>855.45803598543955</v>
          </cell>
          <cell r="O354">
            <v>1444.46</v>
          </cell>
          <cell r="P354">
            <v>1444.64</v>
          </cell>
          <cell r="R354">
            <v>0</v>
          </cell>
          <cell r="S354">
            <v>0</v>
          </cell>
          <cell r="U354">
            <v>333.92254251606141</v>
          </cell>
          <cell r="V354">
            <v>273.44380534491114</v>
          </cell>
          <cell r="X354">
            <v>3248.7900990067287</v>
          </cell>
          <cell r="Y354">
            <v>3948.9993785603347</v>
          </cell>
          <cell r="AA354">
            <v>0</v>
          </cell>
          <cell r="AB354">
            <v>0</v>
          </cell>
          <cell r="AD354">
            <v>4126.5978863093151</v>
          </cell>
          <cell r="AE354">
            <v>4534.9170862722149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P354">
            <v>1633.6054339915459</v>
          </cell>
          <cell r="AQ354">
            <v>7195.5443209537134</v>
          </cell>
          <cell r="AS354">
            <v>16064.86936771587</v>
          </cell>
          <cell r="AT354">
            <v>18497.376884794554</v>
          </cell>
          <cell r="AV354">
            <v>579.30180808381465</v>
          </cell>
          <cell r="AW354">
            <v>0</v>
          </cell>
          <cell r="AY354">
            <v>863.2751948570193</v>
          </cell>
          <cell r="AZ354">
            <v>0</v>
          </cell>
          <cell r="BB354">
            <v>544.18402662422682</v>
          </cell>
          <cell r="BC354">
            <v>0</v>
          </cell>
          <cell r="BE354">
            <v>0</v>
          </cell>
          <cell r="BF354">
            <v>0</v>
          </cell>
          <cell r="BH354">
            <v>338.81178137477229</v>
          </cell>
          <cell r="BI354">
            <v>0</v>
          </cell>
          <cell r="BK354">
            <v>499.63889281703172</v>
          </cell>
          <cell r="BL354">
            <v>0</v>
          </cell>
          <cell r="BN354">
            <v>0</v>
          </cell>
          <cell r="BO354">
            <v>0</v>
          </cell>
          <cell r="BT354">
            <v>8927.1681324313504</v>
          </cell>
          <cell r="BU354">
            <v>3784.4533858070195</v>
          </cell>
          <cell r="BW354">
            <v>6057.5718917376098</v>
          </cell>
          <cell r="BX354">
            <v>8893.3673583644631</v>
          </cell>
          <cell r="BZ354">
            <v>1246.0348201875349</v>
          </cell>
          <cell r="CA354">
            <v>5334.4733139250429</v>
          </cell>
          <cell r="CC354">
            <v>388.00984036957936</v>
          </cell>
          <cell r="CD354">
            <v>392.28891311242558</v>
          </cell>
          <cell r="CF354">
            <v>47.766362924285339</v>
          </cell>
          <cell r="CG354">
            <v>0</v>
          </cell>
          <cell r="CI354">
            <v>845.40822050317809</v>
          </cell>
          <cell r="CJ354">
            <v>941.65138365908547</v>
          </cell>
          <cell r="CL354">
            <v>0</v>
          </cell>
          <cell r="CM354">
            <v>0</v>
          </cell>
          <cell r="CX354">
            <v>2894.2822309193361</v>
          </cell>
          <cell r="CY354">
            <v>-8029.5578134606185</v>
          </cell>
        </row>
        <row r="355">
          <cell r="I355">
            <v>2656.0751115994181</v>
          </cell>
          <cell r="J355">
            <v>3317.4864668525061</v>
          </cell>
          <cell r="L355">
            <v>503.71427423137993</v>
          </cell>
          <cell r="M355">
            <v>664.1412916054378</v>
          </cell>
          <cell r="O355">
            <v>1080.28</v>
          </cell>
          <cell r="P355">
            <v>1080.3</v>
          </cell>
          <cell r="R355">
            <v>0</v>
          </cell>
          <cell r="S355">
            <v>0</v>
          </cell>
          <cell r="U355">
            <v>215.74518364026076</v>
          </cell>
          <cell r="V355">
            <v>176.67061747960003</v>
          </cell>
          <cell r="X355">
            <v>2077.1344759252106</v>
          </cell>
          <cell r="Y355">
            <v>2610.1768954962904</v>
          </cell>
          <cell r="AA355">
            <v>0</v>
          </cell>
          <cell r="AB355">
            <v>0</v>
          </cell>
          <cell r="AD355">
            <v>3168.0348468097486</v>
          </cell>
          <cell r="AE355">
            <v>3481.5601255544652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1278.4738179064273</v>
          </cell>
          <cell r="AQ355">
            <v>5684.4800135534333</v>
          </cell>
          <cell r="AS355">
            <v>11808.278902401395</v>
          </cell>
          <cell r="AT355">
            <v>4609.7833270470983</v>
          </cell>
          <cell r="AV355">
            <v>441.71427296130838</v>
          </cell>
          <cell r="AW355">
            <v>0</v>
          </cell>
          <cell r="AY355">
            <v>649.25535258521438</v>
          </cell>
          <cell r="AZ355">
            <v>0</v>
          </cell>
          <cell r="BB355">
            <v>427.07970210128394</v>
          </cell>
          <cell r="BC355">
            <v>0</v>
          </cell>
          <cell r="BE355">
            <v>0</v>
          </cell>
          <cell r="BF355">
            <v>0</v>
          </cell>
          <cell r="BH355">
            <v>218.86472282667671</v>
          </cell>
          <cell r="BI355">
            <v>0</v>
          </cell>
          <cell r="BK355">
            <v>324.72985377725348</v>
          </cell>
          <cell r="BL355">
            <v>0</v>
          </cell>
          <cell r="BN355">
            <v>0</v>
          </cell>
          <cell r="BO355">
            <v>0</v>
          </cell>
          <cell r="BT355">
            <v>9217.3597269508082</v>
          </cell>
          <cell r="BU355">
            <v>6177.0319243381809</v>
          </cell>
          <cell r="BW355">
            <v>4396.7506250323841</v>
          </cell>
          <cell r="BX355">
            <v>7727.7631738630816</v>
          </cell>
          <cell r="BZ355">
            <v>1133.2976406927414</v>
          </cell>
          <cell r="CA355">
            <v>5782.0575072461397</v>
          </cell>
          <cell r="CC355">
            <v>460.41546693001766</v>
          </cell>
          <cell r="CD355">
            <v>465.49304762500333</v>
          </cell>
          <cell r="CF355">
            <v>56.679934375854444</v>
          </cell>
          <cell r="CG355">
            <v>0</v>
          </cell>
          <cell r="CI355">
            <v>995.14842192071524</v>
          </cell>
          <cell r="CJ355">
            <v>599.89005209036713</v>
          </cell>
          <cell r="CL355">
            <v>0</v>
          </cell>
          <cell r="CM355">
            <v>0</v>
          </cell>
          <cell r="CX355">
            <v>2482.6412007982872</v>
          </cell>
          <cell r="CY355">
            <v>961.27866869807985</v>
          </cell>
        </row>
        <row r="356">
          <cell r="I356">
            <v>2758.9381129065055</v>
          </cell>
          <cell r="J356">
            <v>3445.1408391382288</v>
          </cell>
          <cell r="L356">
            <v>566.74004116832782</v>
          </cell>
          <cell r="M356">
            <v>723.87333403612922</v>
          </cell>
          <cell r="O356">
            <v>1119.26</v>
          </cell>
          <cell r="P356">
            <v>1119.6199999999999</v>
          </cell>
          <cell r="R356">
            <v>0</v>
          </cell>
          <cell r="S356">
            <v>0</v>
          </cell>
          <cell r="U356">
            <v>215.74518364026076</v>
          </cell>
          <cell r="V356">
            <v>176.67061747960003</v>
          </cell>
          <cell r="X356">
            <v>2130.9804885181698</v>
          </cell>
          <cell r="Y356">
            <v>2606.0692516717572</v>
          </cell>
          <cell r="AA356">
            <v>0</v>
          </cell>
          <cell r="AB356">
            <v>0</v>
          </cell>
          <cell r="AD356">
            <v>3271.8662892077195</v>
          </cell>
          <cell r="AE356">
            <v>3595.6672699236665</v>
          </cell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P356">
            <v>2320.193225089442</v>
          </cell>
          <cell r="AQ356">
            <v>5972.301786391582</v>
          </cell>
          <cell r="AS356">
            <v>10493.984625076306</v>
          </cell>
          <cell r="AT356">
            <v>1779.8562267939749</v>
          </cell>
          <cell r="AV356">
            <v>452.10488610420913</v>
          </cell>
          <cell r="AW356">
            <v>0</v>
          </cell>
          <cell r="AY356">
            <v>730.47179917909421</v>
          </cell>
          <cell r="AZ356">
            <v>0</v>
          </cell>
          <cell r="BB356">
            <v>444.77862501958737</v>
          </cell>
          <cell r="BC356">
            <v>0</v>
          </cell>
          <cell r="BE356">
            <v>0</v>
          </cell>
          <cell r="BF356">
            <v>0</v>
          </cell>
          <cell r="BH356">
            <v>218.86472282667671</v>
          </cell>
          <cell r="BI356">
            <v>0</v>
          </cell>
          <cell r="BK356">
            <v>332.88209539186079</v>
          </cell>
          <cell r="BL356">
            <v>0</v>
          </cell>
          <cell r="BN356">
            <v>0</v>
          </cell>
          <cell r="BO356">
            <v>0</v>
          </cell>
          <cell r="BT356">
            <v>7211.6336455395467</v>
          </cell>
          <cell r="BU356">
            <v>5456.4226096923558</v>
          </cell>
          <cell r="BW356">
            <v>4314.4312078981857</v>
          </cell>
          <cell r="BX356">
            <v>7955.3672306534863</v>
          </cell>
          <cell r="BZ356">
            <v>1200.1790118266381</v>
          </cell>
          <cell r="CA356">
            <v>5262.8910610920102</v>
          </cell>
          <cell r="CC356">
            <v>267.95474257234633</v>
          </cell>
          <cell r="CD356">
            <v>270.90981668635732</v>
          </cell>
          <cell r="CF356">
            <v>32.986852778792631</v>
          </cell>
          <cell r="CG356">
            <v>0</v>
          </cell>
          <cell r="CI356">
            <v>1129.2906856905922</v>
          </cell>
          <cell r="CJ356">
            <v>1241.0780791631187</v>
          </cell>
          <cell r="CL356">
            <v>0</v>
          </cell>
          <cell r="CM356">
            <v>0</v>
          </cell>
          <cell r="CX356">
            <v>2267.0765114788956</v>
          </cell>
          <cell r="CY356">
            <v>1795.9782527332682</v>
          </cell>
        </row>
        <row r="357">
          <cell r="I357">
            <v>2777.6280587360443</v>
          </cell>
          <cell r="J357">
            <v>3467.0463595611118</v>
          </cell>
          <cell r="L357">
            <v>566.64124412410786</v>
          </cell>
          <cell r="M357">
            <v>723.74735538419122</v>
          </cell>
          <cell r="O357">
            <v>1100.42</v>
          </cell>
          <cell r="P357">
            <v>1100.6199999999999</v>
          </cell>
          <cell r="R357">
            <v>0</v>
          </cell>
          <cell r="S357">
            <v>0</v>
          </cell>
          <cell r="U357">
            <v>215.74518364026076</v>
          </cell>
          <cell r="V357">
            <v>176.67061747960003</v>
          </cell>
          <cell r="X357">
            <v>2175.2619825671864</v>
          </cell>
          <cell r="Y357">
            <v>2633.0593554087127</v>
          </cell>
          <cell r="AA357">
            <v>0</v>
          </cell>
          <cell r="AB357">
            <v>0</v>
          </cell>
          <cell r="AD357">
            <v>3254.4066437804699</v>
          </cell>
          <cell r="AE357">
            <v>3576.4797267730455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P357">
            <v>2367.5441072341246</v>
          </cell>
          <cell r="AQ357">
            <v>6882.0576378255973</v>
          </cell>
          <cell r="AS357">
            <v>10456.835606816183</v>
          </cell>
          <cell r="AT357">
            <v>5574.6110631043339</v>
          </cell>
          <cell r="AV357">
            <v>453.16429572632046</v>
          </cell>
          <cell r="AW357">
            <v>0</v>
          </cell>
          <cell r="AY357">
            <v>730.31644067323475</v>
          </cell>
          <cell r="AZ357">
            <v>0</v>
          </cell>
          <cell r="BB357">
            <v>445.12412098971794</v>
          </cell>
          <cell r="BC357">
            <v>0</v>
          </cell>
          <cell r="BE357">
            <v>0</v>
          </cell>
          <cell r="BF357">
            <v>0</v>
          </cell>
          <cell r="BH357">
            <v>218.86472282667671</v>
          </cell>
          <cell r="BI357">
            <v>0</v>
          </cell>
          <cell r="BK357">
            <v>332.68755310226783</v>
          </cell>
          <cell r="BL357">
            <v>3246.3353175311267</v>
          </cell>
          <cell r="BN357">
            <v>0</v>
          </cell>
          <cell r="BO357">
            <v>0</v>
          </cell>
          <cell r="BT357">
            <v>7037.6439696430089</v>
          </cell>
          <cell r="BU357">
            <v>6017.103620450619</v>
          </cell>
          <cell r="BW357">
            <v>4292.2229936732056</v>
          </cell>
          <cell r="BX357">
            <v>9227.2908308403003</v>
          </cell>
          <cell r="BZ357">
            <v>1000.7634546194498</v>
          </cell>
          <cell r="CA357">
            <v>5812.800833304751</v>
          </cell>
          <cell r="CC357">
            <v>533.36033647770364</v>
          </cell>
          <cell r="CD357">
            <v>539.24237203577889</v>
          </cell>
          <cell r="CF357">
            <v>65.659889907293049</v>
          </cell>
          <cell r="CG357">
            <v>0</v>
          </cell>
          <cell r="CI357">
            <v>1363.2597504054938</v>
          </cell>
          <cell r="CJ357">
            <v>1310.5564664246283</v>
          </cell>
          <cell r="CL357">
            <v>0</v>
          </cell>
          <cell r="CM357">
            <v>0</v>
          </cell>
          <cell r="CX357">
            <v>2374.9595740686927</v>
          </cell>
          <cell r="CY357">
            <v>-10705.125867348561</v>
          </cell>
        </row>
        <row r="358">
          <cell r="I358">
            <v>2778.1929466304364</v>
          </cell>
          <cell r="J358">
            <v>3467.2947435426186</v>
          </cell>
          <cell r="L358">
            <v>566.74004116832782</v>
          </cell>
          <cell r="M358">
            <v>723.87333403612922</v>
          </cell>
          <cell r="O358">
            <v>1107.8</v>
          </cell>
          <cell r="P358">
            <v>1108.1199999999999</v>
          </cell>
          <cell r="R358">
            <v>0</v>
          </cell>
          <cell r="S358">
            <v>0</v>
          </cell>
          <cell r="U358">
            <v>215.74518364026076</v>
          </cell>
          <cell r="V358">
            <v>176.67061747960003</v>
          </cell>
          <cell r="X358">
            <v>2177.022237656608</v>
          </cell>
          <cell r="Y358">
            <v>2635.059585388788</v>
          </cell>
          <cell r="AA358">
            <v>0</v>
          </cell>
          <cell r="AB358">
            <v>0</v>
          </cell>
          <cell r="AD358">
            <v>3245.2136059840814</v>
          </cell>
          <cell r="AE358">
            <v>3566.3768979304741</v>
          </cell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P358">
            <v>2367.5441072341246</v>
          </cell>
          <cell r="AQ358">
            <v>6332.0790024392672</v>
          </cell>
          <cell r="AS358">
            <v>12621.42003831797</v>
          </cell>
          <cell r="AT358">
            <v>5347.8193777082279</v>
          </cell>
          <cell r="AV358">
            <v>453.28676417768395</v>
          </cell>
          <cell r="AW358">
            <v>4437.7833806935578</v>
          </cell>
          <cell r="AY358">
            <v>730.47179917909421</v>
          </cell>
          <cell r="AZ358">
            <v>3372.1614553539398</v>
          </cell>
          <cell r="BB358">
            <v>459.8961907599396</v>
          </cell>
          <cell r="BC358">
            <v>0</v>
          </cell>
          <cell r="BE358">
            <v>0</v>
          </cell>
          <cell r="BF358">
            <v>0</v>
          </cell>
          <cell r="BH358">
            <v>218.86472282667671</v>
          </cell>
          <cell r="BI358">
            <v>0</v>
          </cell>
          <cell r="BK358">
            <v>332.96178169220053</v>
          </cell>
          <cell r="BL358">
            <v>0</v>
          </cell>
          <cell r="BN358">
            <v>0</v>
          </cell>
          <cell r="BO358">
            <v>0</v>
          </cell>
          <cell r="BT358">
            <v>6723.6643196308278</v>
          </cell>
          <cell r="BU358">
            <v>5288.5712224355539</v>
          </cell>
          <cell r="BW358">
            <v>4356.0237914334512</v>
          </cell>
          <cell r="BX358">
            <v>10603.7041581015</v>
          </cell>
          <cell r="BZ358">
            <v>1086.0347547902604</v>
          </cell>
          <cell r="CA358">
            <v>4752.7137482560329</v>
          </cell>
          <cell r="CC358">
            <v>534.04664573420064</v>
          </cell>
          <cell r="CD358">
            <v>539.93625008803087</v>
          </cell>
          <cell r="CF358">
            <v>65.744378736217868</v>
          </cell>
          <cell r="CG358">
            <v>0</v>
          </cell>
          <cell r="CI358">
            <v>1625.3051028861832</v>
          </cell>
          <cell r="CJ358">
            <v>2237.2585173127</v>
          </cell>
          <cell r="CL358">
            <v>0</v>
          </cell>
          <cell r="CM358">
            <v>0</v>
          </cell>
          <cell r="CX358">
            <v>993.98590502575098</v>
          </cell>
          <cell r="CY358">
            <v>-14514.146748919702</v>
          </cell>
        </row>
        <row r="359">
          <cell r="I359">
            <v>3649.6443592769765</v>
          </cell>
          <cell r="J359">
            <v>4560.5344494264173</v>
          </cell>
          <cell r="L359">
            <v>756.80367860837407</v>
          </cell>
          <cell r="M359">
            <v>966.63419632078308</v>
          </cell>
          <cell r="O359">
            <v>1526.52</v>
          </cell>
          <cell r="P359">
            <v>1527</v>
          </cell>
          <cell r="R359">
            <v>0</v>
          </cell>
          <cell r="S359">
            <v>0</v>
          </cell>
          <cell r="U359">
            <v>333.92254251606141</v>
          </cell>
          <cell r="V359">
            <v>273.44380534491114</v>
          </cell>
          <cell r="X359">
            <v>3479.0806454213562</v>
          </cell>
          <cell r="Y359">
            <v>4162.6052156201913</v>
          </cell>
          <cell r="AA359">
            <v>0</v>
          </cell>
          <cell r="AB359">
            <v>0</v>
          </cell>
          <cell r="AD359">
            <v>4399.9945545423816</v>
          </cell>
          <cell r="AE359">
            <v>4835.4410019125289</v>
          </cell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P359">
            <v>3030.4564572596792</v>
          </cell>
          <cell r="AQ359">
            <v>8202.9205258872335</v>
          </cell>
          <cell r="AS359">
            <v>11340.274240181296</v>
          </cell>
          <cell r="AT359">
            <v>2948.989866368101</v>
          </cell>
          <cell r="AV359">
            <v>598.88698825376764</v>
          </cell>
          <cell r="AW359">
            <v>0</v>
          </cell>
          <cell r="AY359">
            <v>975.42236566356132</v>
          </cell>
          <cell r="AZ359">
            <v>0</v>
          </cell>
          <cell r="BB359">
            <v>577.63982887433463</v>
          </cell>
          <cell r="BC359">
            <v>0</v>
          </cell>
          <cell r="BE359">
            <v>0</v>
          </cell>
          <cell r="BF359">
            <v>0</v>
          </cell>
          <cell r="BH359">
            <v>338.81178137477229</v>
          </cell>
          <cell r="BI359">
            <v>0</v>
          </cell>
          <cell r="BK359">
            <v>542.52466217651158</v>
          </cell>
          <cell r="BL359">
            <v>0</v>
          </cell>
          <cell r="BN359">
            <v>0</v>
          </cell>
          <cell r="BO359">
            <v>0</v>
          </cell>
          <cell r="BT359">
            <v>9701.4049703898236</v>
          </cell>
          <cell r="BU359">
            <v>5975.1849028094693</v>
          </cell>
          <cell r="BW359">
            <v>5843.3138407786018</v>
          </cell>
          <cell r="BX359">
            <v>10746.839834003407</v>
          </cell>
          <cell r="BZ359">
            <v>1344.4247819230857</v>
          </cell>
          <cell r="CA359">
            <v>5719.4055004685997</v>
          </cell>
          <cell r="CC359">
            <v>628.16905805379542</v>
          </cell>
          <cell r="CD359">
            <v>635.09666868258</v>
          </cell>
          <cell r="CF359">
            <v>77.331418131622542</v>
          </cell>
          <cell r="CG359">
            <v>0</v>
          </cell>
          <cell r="CI359">
            <v>1709.5339661835483</v>
          </cell>
          <cell r="CJ359">
            <v>3923.4275910068095</v>
          </cell>
          <cell r="CL359">
            <v>0</v>
          </cell>
          <cell r="CM359">
            <v>0</v>
          </cell>
          <cell r="CX359">
            <v>3050.1278324685263</v>
          </cell>
          <cell r="CY359">
            <v>-1297.9082694212375</v>
          </cell>
        </row>
        <row r="360">
          <cell r="I360">
            <v>1134.4087391639241</v>
          </cell>
          <cell r="J360">
            <v>1261.1402204729814</v>
          </cell>
          <cell r="L360">
            <v>183.50494815442332</v>
          </cell>
          <cell r="M360">
            <v>201.95015069156415</v>
          </cell>
          <cell r="O360">
            <v>571.86</v>
          </cell>
          <cell r="P360">
            <v>571.86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X360">
            <v>831.78554509951391</v>
          </cell>
          <cell r="Y360">
            <v>787.91083363860366</v>
          </cell>
          <cell r="AA360">
            <v>0</v>
          </cell>
          <cell r="AB360">
            <v>0</v>
          </cell>
          <cell r="AD360">
            <v>1707.8312518346854</v>
          </cell>
          <cell r="AE360">
            <v>1657.5609470553973</v>
          </cell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P360">
            <v>662.91235002555482</v>
          </cell>
          <cell r="AQ360">
            <v>0</v>
          </cell>
          <cell r="AS360">
            <v>3683.3147317466046</v>
          </cell>
          <cell r="AT360">
            <v>8630.4386149147249</v>
          </cell>
          <cell r="AV360">
            <v>206.85511576985931</v>
          </cell>
          <cell r="AW360">
            <v>0</v>
          </cell>
          <cell r="AY360">
            <v>236.50164632888067</v>
          </cell>
          <cell r="AZ360">
            <v>0</v>
          </cell>
          <cell r="BB360">
            <v>321.47611055472277</v>
          </cell>
          <cell r="BC360">
            <v>0</v>
          </cell>
          <cell r="BE360">
            <v>0</v>
          </cell>
          <cell r="BF360">
            <v>0</v>
          </cell>
          <cell r="BH360">
            <v>0</v>
          </cell>
          <cell r="BI360">
            <v>0</v>
          </cell>
          <cell r="BK360">
            <v>107.5901330625987</v>
          </cell>
          <cell r="BL360">
            <v>0</v>
          </cell>
          <cell r="BN360">
            <v>0</v>
          </cell>
          <cell r="BO360">
            <v>0</v>
          </cell>
          <cell r="BT360">
            <v>5522.1722812518246</v>
          </cell>
          <cell r="BU360">
            <v>4636.0072292019177</v>
          </cell>
          <cell r="BW360">
            <v>3838.1286899508691</v>
          </cell>
          <cell r="BX360">
            <v>4545.0077529722857</v>
          </cell>
          <cell r="BZ360">
            <v>1106.941303331874</v>
          </cell>
          <cell r="CA360">
            <v>4524.7341702430513</v>
          </cell>
          <cell r="CC360">
            <v>90.200645139611623</v>
          </cell>
          <cell r="CD360">
            <v>91.195401153109685</v>
          </cell>
          <cell r="CF360">
            <v>11.104246087262796</v>
          </cell>
          <cell r="CG360">
            <v>0</v>
          </cell>
          <cell r="CI360">
            <v>405.54637883916297</v>
          </cell>
          <cell r="CJ360">
            <v>403.85060214568762</v>
          </cell>
          <cell r="CL360">
            <v>0</v>
          </cell>
          <cell r="CM360">
            <v>0</v>
          </cell>
          <cell r="CX360">
            <v>-1888.5009396096521</v>
          </cell>
          <cell r="CY360">
            <v>-9915.9271069871866</v>
          </cell>
        </row>
        <row r="361">
          <cell r="I361">
            <v>2167.9346126913233</v>
          </cell>
          <cell r="J361">
            <v>2427.173227707654</v>
          </cell>
          <cell r="L361">
            <v>401.2352871982776</v>
          </cell>
          <cell r="M361">
            <v>441.56582263546528</v>
          </cell>
          <cell r="O361">
            <v>1093.96</v>
          </cell>
          <cell r="P361">
            <v>1093.96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X361">
            <v>1740.4040463873091</v>
          </cell>
          <cell r="Y361">
            <v>1704.3610381573544</v>
          </cell>
          <cell r="AA361">
            <v>0</v>
          </cell>
          <cell r="AB361">
            <v>0</v>
          </cell>
          <cell r="AD361">
            <v>3202.6904613863671</v>
          </cell>
          <cell r="AE361">
            <v>3579.6358818300669</v>
          </cell>
          <cell r="AJ361">
            <v>0</v>
          </cell>
          <cell r="AK361">
            <v>0</v>
          </cell>
          <cell r="AM361">
            <v>0</v>
          </cell>
          <cell r="AN361">
            <v>0</v>
          </cell>
          <cell r="AP361">
            <v>1965.0616090043234</v>
          </cell>
          <cell r="AQ361">
            <v>0</v>
          </cell>
          <cell r="AS361">
            <v>7213.2346298301954</v>
          </cell>
          <cell r="AT361">
            <v>456.94226083842443</v>
          </cell>
          <cell r="AV361">
            <v>352.68684170543713</v>
          </cell>
          <cell r="AW361">
            <v>0</v>
          </cell>
          <cell r="AY361">
            <v>517.13191296797083</v>
          </cell>
          <cell r="AZ361">
            <v>0</v>
          </cell>
          <cell r="BB361">
            <v>452.13417831518331</v>
          </cell>
          <cell r="BC361">
            <v>0</v>
          </cell>
          <cell r="BE361">
            <v>0</v>
          </cell>
          <cell r="BF361">
            <v>0</v>
          </cell>
          <cell r="BH361">
            <v>0</v>
          </cell>
          <cell r="BI361">
            <v>0</v>
          </cell>
          <cell r="BK361">
            <v>242.89643245310197</v>
          </cell>
          <cell r="BL361">
            <v>0</v>
          </cell>
          <cell r="BN361">
            <v>0</v>
          </cell>
          <cell r="BO361">
            <v>0</v>
          </cell>
          <cell r="BT361">
            <v>5681.0087383889841</v>
          </cell>
          <cell r="BU361">
            <v>5033.2977587381411</v>
          </cell>
          <cell r="BW361">
            <v>3578.8987052293305</v>
          </cell>
          <cell r="BX361">
            <v>3655.0397424761331</v>
          </cell>
          <cell r="BZ361">
            <v>1821.5198302936435</v>
          </cell>
          <cell r="CA361">
            <v>4214.3869983157592</v>
          </cell>
          <cell r="CC361">
            <v>0</v>
          </cell>
          <cell r="CD361">
            <v>0</v>
          </cell>
          <cell r="CF361">
            <v>0</v>
          </cell>
          <cell r="CG361">
            <v>0</v>
          </cell>
          <cell r="CI361">
            <v>705.0267816742371</v>
          </cell>
          <cell r="CJ361">
            <v>1065.7192134353027</v>
          </cell>
          <cell r="CL361">
            <v>0</v>
          </cell>
          <cell r="CM361">
            <v>0</v>
          </cell>
          <cell r="CX361">
            <v>1089.8811189691805</v>
          </cell>
          <cell r="CY361">
            <v>10046.37166703884</v>
          </cell>
        </row>
        <row r="362">
          <cell r="I362">
            <v>1497.8151295046302</v>
          </cell>
          <cell r="J362">
            <v>1651.6680252145193</v>
          </cell>
          <cell r="L362">
            <v>284.01134361977034</v>
          </cell>
          <cell r="M362">
            <v>312.5586986919426</v>
          </cell>
          <cell r="O362">
            <v>658.1</v>
          </cell>
          <cell r="P362">
            <v>658.08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X362">
            <v>1248.5973688477427</v>
          </cell>
          <cell r="Y362">
            <v>1200.8559462434948</v>
          </cell>
          <cell r="AA362">
            <v>0</v>
          </cell>
          <cell r="AB362">
            <v>0</v>
          </cell>
          <cell r="AD362">
            <v>1942.9022167584653</v>
          </cell>
          <cell r="AE362">
            <v>2135.1819701508075</v>
          </cell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P362">
            <v>710.2632321702373</v>
          </cell>
          <cell r="AQ362">
            <v>1870.8415234479653</v>
          </cell>
          <cell r="AS362">
            <v>5078.4463239358784</v>
          </cell>
          <cell r="AT362">
            <v>1469.1972285268441</v>
          </cell>
          <cell r="AV362">
            <v>285.07723534860406</v>
          </cell>
          <cell r="AW362">
            <v>0</v>
          </cell>
          <cell r="AY362">
            <v>366.07109162011398</v>
          </cell>
          <cell r="AZ362">
            <v>0</v>
          </cell>
          <cell r="BB362">
            <v>294.87116698901576</v>
          </cell>
          <cell r="BC362">
            <v>367.97798214586402</v>
          </cell>
          <cell r="BE362">
            <v>0</v>
          </cell>
          <cell r="BF362">
            <v>0</v>
          </cell>
          <cell r="BH362">
            <v>0</v>
          </cell>
          <cell r="BI362">
            <v>0</v>
          </cell>
          <cell r="BK362">
            <v>169.92476655434263</v>
          </cell>
          <cell r="BL362">
            <v>0</v>
          </cell>
          <cell r="BN362">
            <v>0</v>
          </cell>
          <cell r="BO362">
            <v>0</v>
          </cell>
          <cell r="BT362">
            <v>4012.6225971890826</v>
          </cell>
          <cell r="BU362">
            <v>4473.3729550096523</v>
          </cell>
          <cell r="BW362">
            <v>3113.1691619147637</v>
          </cell>
          <cell r="BX362">
            <v>3663.0131227293159</v>
          </cell>
          <cell r="BZ362">
            <v>2250.3334435367028</v>
          </cell>
          <cell r="CA362">
            <v>4342.9278564278748</v>
          </cell>
          <cell r="CC362">
            <v>159.32179168681401</v>
          </cell>
          <cell r="CD362">
            <v>161.07883355848173</v>
          </cell>
          <cell r="CF362">
            <v>19.613478143263091</v>
          </cell>
          <cell r="CG362">
            <v>0</v>
          </cell>
          <cell r="CI362">
            <v>1123.0515106315281</v>
          </cell>
          <cell r="CJ362">
            <v>1312.9490526245615</v>
          </cell>
          <cell r="CL362">
            <v>0</v>
          </cell>
          <cell r="CM362">
            <v>0</v>
          </cell>
          <cell r="CX362">
            <v>470.02976985885471</v>
          </cell>
          <cell r="CY362">
            <v>-16.583833725586373</v>
          </cell>
        </row>
        <row r="363">
          <cell r="I363">
            <v>1141.4247850654117</v>
          </cell>
          <cell r="J363">
            <v>1277.8692854642213</v>
          </cell>
          <cell r="L363">
            <v>165.94921813306564</v>
          </cell>
          <cell r="M363">
            <v>182.6289322969937</v>
          </cell>
          <cell r="O363">
            <v>552.44000000000005</v>
          </cell>
          <cell r="P363">
            <v>552.45000000000005</v>
          </cell>
          <cell r="R363">
            <v>128.08000000000001</v>
          </cell>
          <cell r="S363">
            <v>128.08000000000001</v>
          </cell>
          <cell r="U363">
            <v>65.029090713311319</v>
          </cell>
          <cell r="V363">
            <v>185.50614582057798</v>
          </cell>
          <cell r="X363">
            <v>673.98181878263131</v>
          </cell>
          <cell r="Y363">
            <v>583.18221216392976</v>
          </cell>
          <cell r="AA363">
            <v>0</v>
          </cell>
          <cell r="AB363">
            <v>0</v>
          </cell>
          <cell r="AD363">
            <v>1714.1808616614935</v>
          </cell>
          <cell r="AE363">
            <v>1883.8251548776766</v>
          </cell>
          <cell r="AJ363">
            <v>3265.8293363628704</v>
          </cell>
          <cell r="AK363">
            <v>3301.8457458505959</v>
          </cell>
          <cell r="AM363">
            <v>0</v>
          </cell>
          <cell r="AN363">
            <v>0</v>
          </cell>
          <cell r="AP363">
            <v>378.80705715745989</v>
          </cell>
          <cell r="AQ363">
            <v>2294.2136437470926</v>
          </cell>
          <cell r="AS363">
            <v>5276.0978004397211</v>
          </cell>
          <cell r="AT363">
            <v>876.59696748330668</v>
          </cell>
          <cell r="AV363">
            <v>36.072648069418491</v>
          </cell>
          <cell r="AW363">
            <v>0</v>
          </cell>
          <cell r="AY363">
            <v>44.309609545266404</v>
          </cell>
          <cell r="AZ363">
            <v>0</v>
          </cell>
          <cell r="BB363">
            <v>56.364639436687078</v>
          </cell>
          <cell r="BC363">
            <v>0</v>
          </cell>
          <cell r="BE363">
            <v>28.814221575132017</v>
          </cell>
          <cell r="BF363">
            <v>0</v>
          </cell>
          <cell r="BH363">
            <v>13.192247063076561</v>
          </cell>
          <cell r="BI363">
            <v>0</v>
          </cell>
          <cell r="BK363">
            <v>26.036353088784878</v>
          </cell>
          <cell r="BL363">
            <v>2534.3339420043221</v>
          </cell>
          <cell r="BN363">
            <v>0</v>
          </cell>
          <cell r="BO363">
            <v>0</v>
          </cell>
          <cell r="BT363">
            <v>6439.0844981766213</v>
          </cell>
          <cell r="BU363">
            <v>2064.3171312986201</v>
          </cell>
          <cell r="BW363">
            <v>3947.4267491267537</v>
          </cell>
          <cell r="BX363">
            <v>2132.2160221989593</v>
          </cell>
          <cell r="BZ363">
            <v>1622.9880652688855</v>
          </cell>
          <cell r="CA363">
            <v>2831.5512295750309</v>
          </cell>
          <cell r="CC363">
            <v>0</v>
          </cell>
          <cell r="CD363">
            <v>0</v>
          </cell>
          <cell r="CF363">
            <v>0</v>
          </cell>
          <cell r="CG363">
            <v>0</v>
          </cell>
          <cell r="CI363">
            <v>661.35255626078879</v>
          </cell>
          <cell r="CJ363">
            <v>532.75392767528092</v>
          </cell>
          <cell r="CL363">
            <v>1250.954599342341</v>
          </cell>
          <cell r="CM363">
            <v>1509.0186965813468</v>
          </cell>
          <cell r="CX363">
            <v>824.86061367634102</v>
          </cell>
          <cell r="CY363">
            <v>6366.4931555544517</v>
          </cell>
        </row>
        <row r="364">
          <cell r="I364">
            <v>1446.3854813702051</v>
          </cell>
          <cell r="J364">
            <v>1615.9495883698503</v>
          </cell>
          <cell r="L364">
            <v>291.11264058742955</v>
          </cell>
          <cell r="M364">
            <v>320.37402298637556</v>
          </cell>
          <cell r="O364">
            <v>721.72</v>
          </cell>
          <cell r="P364">
            <v>721.7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975.23023642926421</v>
          </cell>
          <cell r="Y364">
            <v>925.93363941196549</v>
          </cell>
          <cell r="AA364">
            <v>0</v>
          </cell>
          <cell r="AB364">
            <v>0</v>
          </cell>
          <cell r="AD364">
            <v>2144.8782456152462</v>
          </cell>
          <cell r="AE364">
            <v>2359.0261980410287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1160.096612544721</v>
          </cell>
          <cell r="AQ364">
            <v>0</v>
          </cell>
          <cell r="AS364">
            <v>5455.7119872444182</v>
          </cell>
          <cell r="AT364">
            <v>79.815466707479843</v>
          </cell>
          <cell r="AV364">
            <v>243.31189059781519</v>
          </cell>
          <cell r="AW364">
            <v>0</v>
          </cell>
          <cell r="AY364">
            <v>375.19980445508031</v>
          </cell>
          <cell r="AZ364">
            <v>0</v>
          </cell>
          <cell r="BB364">
            <v>356.99056120096998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  <cell r="BK364">
            <v>121.28325832554735</v>
          </cell>
          <cell r="BL364">
            <v>0</v>
          </cell>
          <cell r="BN364">
            <v>0</v>
          </cell>
          <cell r="BO364">
            <v>0</v>
          </cell>
          <cell r="BT364">
            <v>4384.1881519465514</v>
          </cell>
          <cell r="BU364">
            <v>3880.9207517180876</v>
          </cell>
          <cell r="BW364">
            <v>2200.3260089606974</v>
          </cell>
          <cell r="BX364">
            <v>5106.0609278325346</v>
          </cell>
          <cell r="BZ364">
            <v>1548.7230782858821</v>
          </cell>
          <cell r="CA364">
            <v>3351.2823242674713</v>
          </cell>
          <cell r="CC364">
            <v>87.749540652122192</v>
          </cell>
          <cell r="CD364">
            <v>88.717265252209955</v>
          </cell>
          <cell r="CF364">
            <v>10.802500269674134</v>
          </cell>
          <cell r="CG364">
            <v>0</v>
          </cell>
          <cell r="CI364">
            <v>683.18966896751294</v>
          </cell>
          <cell r="CJ364">
            <v>421.20258578733672</v>
          </cell>
          <cell r="CL364">
            <v>0</v>
          </cell>
          <cell r="CM364">
            <v>0</v>
          </cell>
          <cell r="CX364">
            <v>1345.3403990562292</v>
          </cell>
          <cell r="CY364">
            <v>5348.4406755507916</v>
          </cell>
        </row>
        <row r="365">
          <cell r="I365">
            <v>1037.0193128204085</v>
          </cell>
          <cell r="J365">
            <v>1150.3954517294164</v>
          </cell>
          <cell r="L365">
            <v>173.14849523844586</v>
          </cell>
          <cell r="M365">
            <v>190.55280276218269</v>
          </cell>
          <cell r="O365">
            <v>457.82</v>
          </cell>
          <cell r="P365">
            <v>457.81599999999997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543.11000195968768</v>
          </cell>
          <cell r="Y365">
            <v>497.09895549257749</v>
          </cell>
          <cell r="AA365">
            <v>0</v>
          </cell>
          <cell r="AB365">
            <v>0</v>
          </cell>
          <cell r="AD365">
            <v>1319.7639082669768</v>
          </cell>
          <cell r="AE365">
            <v>1450.3746392800217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947.01764289364974</v>
          </cell>
          <cell r="AQ365">
            <v>0</v>
          </cell>
          <cell r="AS365">
            <v>3451.4727406228981</v>
          </cell>
          <cell r="AT365">
            <v>4652.7866765078652</v>
          </cell>
          <cell r="AV365">
            <v>168.57610194819171</v>
          </cell>
          <cell r="AW365">
            <v>0</v>
          </cell>
          <cell r="AY365">
            <v>223.14847341612153</v>
          </cell>
          <cell r="AZ365">
            <v>0</v>
          </cell>
          <cell r="BB365">
            <v>199.49280718540049</v>
          </cell>
          <cell r="BC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  <cell r="BK365">
            <v>64.946753943193258</v>
          </cell>
          <cell r="BL365">
            <v>0</v>
          </cell>
          <cell r="BN365">
            <v>0</v>
          </cell>
          <cell r="BO365">
            <v>0</v>
          </cell>
          <cell r="BT365">
            <v>4078.8596678404492</v>
          </cell>
          <cell r="BU365">
            <v>3504.2892453933828</v>
          </cell>
          <cell r="BW365">
            <v>1346.3838626508095</v>
          </cell>
          <cell r="BX365">
            <v>2850.0682076132734</v>
          </cell>
          <cell r="BZ365">
            <v>993.39558158154591</v>
          </cell>
          <cell r="CA365">
            <v>3413.6662677084005</v>
          </cell>
          <cell r="CC365">
            <v>0</v>
          </cell>
          <cell r="CD365">
            <v>0</v>
          </cell>
          <cell r="CF365">
            <v>0</v>
          </cell>
          <cell r="CG365">
            <v>0</v>
          </cell>
          <cell r="CI365">
            <v>96.707213415492689</v>
          </cell>
          <cell r="CJ365">
            <v>34.673773271192175</v>
          </cell>
          <cell r="CL365">
            <v>0</v>
          </cell>
          <cell r="CM365">
            <v>0</v>
          </cell>
          <cell r="CX365">
            <v>362.84492346007755</v>
          </cell>
          <cell r="CY365">
            <v>-3358.1864237099708</v>
          </cell>
        </row>
        <row r="366">
          <cell r="I366">
            <v>1860.9293534972662</v>
          </cell>
          <cell r="J366">
            <v>2066.4076899213528</v>
          </cell>
          <cell r="L366">
            <v>381.40992095130531</v>
          </cell>
          <cell r="M366">
            <v>419.74804231350646</v>
          </cell>
          <cell r="O366">
            <v>783.78</v>
          </cell>
          <cell r="P366">
            <v>783.78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1271.6358269656419</v>
          </cell>
          <cell r="Y366">
            <v>1222.8664994787955</v>
          </cell>
          <cell r="AA366">
            <v>0</v>
          </cell>
          <cell r="AB366">
            <v>0</v>
          </cell>
          <cell r="AD366">
            <v>2423.2206256550508</v>
          </cell>
          <cell r="AE366">
            <v>2659.8633796919648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1515.2282286298396</v>
          </cell>
          <cell r="AQ366">
            <v>0</v>
          </cell>
          <cell r="AS366">
            <v>7242.3613606206154</v>
          </cell>
          <cell r="AT366">
            <v>246.55041654926396</v>
          </cell>
          <cell r="AV366">
            <v>309.80614720746934</v>
          </cell>
          <cell r="AW366">
            <v>0</v>
          </cell>
          <cell r="AY366">
            <v>491.57143533941519</v>
          </cell>
          <cell r="AZ366">
            <v>0</v>
          </cell>
          <cell r="BB366">
            <v>365.94411287080538</v>
          </cell>
          <cell r="BC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  <cell r="BK366">
            <v>175.46952701896416</v>
          </cell>
          <cell r="BL366">
            <v>0</v>
          </cell>
          <cell r="BN366">
            <v>0</v>
          </cell>
          <cell r="BO366">
            <v>0</v>
          </cell>
          <cell r="BT366">
            <v>2960.1748904102883</v>
          </cell>
          <cell r="BU366">
            <v>3566.8102143494134</v>
          </cell>
          <cell r="BW366">
            <v>3517.5694373738961</v>
          </cell>
          <cell r="BX366">
            <v>8200.3765146793758</v>
          </cell>
          <cell r="BZ366">
            <v>1716.9748089034902</v>
          </cell>
          <cell r="CA366">
            <v>3406.6993109393479</v>
          </cell>
          <cell r="CC366">
            <v>116.67257360449764</v>
          </cell>
          <cell r="CD366">
            <v>117.95926888282665</v>
          </cell>
          <cell r="CF366">
            <v>14.363100917220356</v>
          </cell>
          <cell r="CG366">
            <v>0</v>
          </cell>
          <cell r="CI366">
            <v>851.64739556224197</v>
          </cell>
          <cell r="CJ366">
            <v>1312.9792466366673</v>
          </cell>
          <cell r="CL366">
            <v>0</v>
          </cell>
          <cell r="CM366">
            <v>0</v>
          </cell>
          <cell r="CX366">
            <v>-31.910494633615599</v>
          </cell>
          <cell r="CY366">
            <v>2361.7512998689799</v>
          </cell>
        </row>
        <row r="367">
          <cell r="I367">
            <v>895.71560893201013</v>
          </cell>
          <cell r="J367">
            <v>989.63832807672907</v>
          </cell>
          <cell r="L367">
            <v>155.14830105407276</v>
          </cell>
          <cell r="M367">
            <v>170.74312659921014</v>
          </cell>
          <cell r="O367">
            <v>363.24</v>
          </cell>
          <cell r="P367">
            <v>363.25</v>
          </cell>
          <cell r="R367">
            <v>0</v>
          </cell>
          <cell r="S367">
            <v>0</v>
          </cell>
          <cell r="U367">
            <v>0</v>
          </cell>
          <cell r="V367">
            <v>0</v>
          </cell>
          <cell r="X367">
            <v>513.13167791653711</v>
          </cell>
          <cell r="Y367">
            <v>469.74884870685787</v>
          </cell>
          <cell r="AA367">
            <v>0</v>
          </cell>
          <cell r="AB367">
            <v>0</v>
          </cell>
          <cell r="AD367">
            <v>1065.1096349211227</v>
          </cell>
          <cell r="AE367">
            <v>1170.5184486905193</v>
          </cell>
          <cell r="AJ367">
            <v>0</v>
          </cell>
          <cell r="AK367">
            <v>0</v>
          </cell>
          <cell r="AM367">
            <v>0</v>
          </cell>
          <cell r="AN367">
            <v>0</v>
          </cell>
          <cell r="AP367">
            <v>757.61411431491979</v>
          </cell>
          <cell r="AQ367">
            <v>0</v>
          </cell>
          <cell r="AS367">
            <v>3364.7835167501908</v>
          </cell>
          <cell r="AT367">
            <v>4570.7660532452237</v>
          </cell>
          <cell r="AV367">
            <v>148.66895006333297</v>
          </cell>
          <cell r="AW367">
            <v>0</v>
          </cell>
          <cell r="AY367">
            <v>199.98679498901538</v>
          </cell>
          <cell r="AZ367">
            <v>0</v>
          </cell>
          <cell r="BB367">
            <v>151.15206599134754</v>
          </cell>
          <cell r="BC367">
            <v>0</v>
          </cell>
          <cell r="BE367">
            <v>0</v>
          </cell>
          <cell r="BF367">
            <v>0</v>
          </cell>
          <cell r="BH367">
            <v>0</v>
          </cell>
          <cell r="BI367">
            <v>0</v>
          </cell>
          <cell r="BK367">
            <v>60.056169810574971</v>
          </cell>
          <cell r="BL367">
            <v>0</v>
          </cell>
          <cell r="BN367">
            <v>0</v>
          </cell>
          <cell r="BO367">
            <v>0</v>
          </cell>
          <cell r="BT367">
            <v>3350.2279893416048</v>
          </cell>
          <cell r="BU367">
            <v>2740.7681624662955</v>
          </cell>
          <cell r="BW367">
            <v>1582.877048874811</v>
          </cell>
          <cell r="BX367">
            <v>3663.9364820182486</v>
          </cell>
          <cell r="BZ367">
            <v>912.85652071255254</v>
          </cell>
          <cell r="CA367">
            <v>2385.493362723872</v>
          </cell>
          <cell r="CC367">
            <v>41.178555389822705</v>
          </cell>
          <cell r="CD367">
            <v>41.632683135115286</v>
          </cell>
          <cell r="CF367">
            <v>5.0693297354895366</v>
          </cell>
          <cell r="CG367">
            <v>0</v>
          </cell>
          <cell r="CI367">
            <v>280.76287765788203</v>
          </cell>
          <cell r="CJ367">
            <v>391.37437294022254</v>
          </cell>
          <cell r="CL367">
            <v>0</v>
          </cell>
          <cell r="CM367">
            <v>0</v>
          </cell>
          <cell r="CX367">
            <v>416.1450122536553</v>
          </cell>
          <cell r="CY367">
            <v>-3316.2038423227559</v>
          </cell>
        </row>
      </sheetData>
      <sheetData sheetId="4">
        <row r="11"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U11">
            <v>0</v>
          </cell>
          <cell r="V11"/>
          <cell r="W11">
            <v>0</v>
          </cell>
          <cell r="X11">
            <v>0</v>
          </cell>
          <cell r="Y11">
            <v>0</v>
          </cell>
          <cell r="Z11"/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65.647448675769112</v>
          </cell>
          <cell r="AF11">
            <v>0</v>
          </cell>
          <cell r="AH11">
            <v>73.651218393822916</v>
          </cell>
          <cell r="AI11">
            <v>0</v>
          </cell>
          <cell r="AK11">
            <v>43.544938300567878</v>
          </cell>
          <cell r="AL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T11">
            <v>26.345569159282459</v>
          </cell>
          <cell r="AU11">
            <v>0</v>
          </cell>
          <cell r="AW11">
            <v>0</v>
          </cell>
          <cell r="AX11">
            <v>0</v>
          </cell>
        </row>
        <row r="12"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/>
          <cell r="W12">
            <v>0</v>
          </cell>
          <cell r="X12">
            <v>0</v>
          </cell>
          <cell r="Y12">
            <v>0</v>
          </cell>
          <cell r="Z12"/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212.61335910407598</v>
          </cell>
          <cell r="AF12">
            <v>0</v>
          </cell>
          <cell r="AH12">
            <v>357.35999522309328</v>
          </cell>
          <cell r="AI12">
            <v>0</v>
          </cell>
          <cell r="AK12">
            <v>242.54952035302418</v>
          </cell>
          <cell r="AL12">
            <v>0</v>
          </cell>
          <cell r="AN12">
            <v>0</v>
          </cell>
          <cell r="AO12">
            <v>0</v>
          </cell>
          <cell r="AQ12">
            <v>0</v>
          </cell>
          <cell r="AR12">
            <v>0</v>
          </cell>
          <cell r="AT12">
            <v>108.30800270624789</v>
          </cell>
          <cell r="AU12">
            <v>0</v>
          </cell>
          <cell r="AW12">
            <v>67.149090736659304</v>
          </cell>
          <cell r="AX12">
            <v>0</v>
          </cell>
        </row>
        <row r="13"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/>
          <cell r="W13">
            <v>0</v>
          </cell>
          <cell r="X13">
            <v>69.428838593435316</v>
          </cell>
          <cell r="Y13">
            <v>0</v>
          </cell>
          <cell r="Z13"/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289.4167974824482</v>
          </cell>
          <cell r="AF13">
            <v>0</v>
          </cell>
          <cell r="AH13">
            <v>424.54339453418447</v>
          </cell>
          <cell r="AI13">
            <v>0</v>
          </cell>
          <cell r="AK13">
            <v>334.69292906585082</v>
          </cell>
          <cell r="AL13">
            <v>0</v>
          </cell>
          <cell r="AN13">
            <v>0</v>
          </cell>
          <cell r="AO13">
            <v>0</v>
          </cell>
          <cell r="AQ13">
            <v>119.94714023874553</v>
          </cell>
          <cell r="AR13">
            <v>0</v>
          </cell>
          <cell r="AT13">
            <v>159.06063071437234</v>
          </cell>
          <cell r="AU13">
            <v>0</v>
          </cell>
          <cell r="AW13">
            <v>0</v>
          </cell>
          <cell r="AX13">
            <v>0</v>
          </cell>
        </row>
        <row r="14"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/>
          <cell r="W14">
            <v>0</v>
          </cell>
          <cell r="X14">
            <v>0</v>
          </cell>
          <cell r="Y14">
            <v>0</v>
          </cell>
          <cell r="Z14"/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195.1868202376665</v>
          </cell>
          <cell r="AF14">
            <v>0</v>
          </cell>
          <cell r="AH14">
            <v>274.23891701150251</v>
          </cell>
          <cell r="AI14">
            <v>0</v>
          </cell>
          <cell r="AK14">
            <v>331.11315353246988</v>
          </cell>
          <cell r="AL14">
            <v>0</v>
          </cell>
          <cell r="AN14">
            <v>107.70574273720977</v>
          </cell>
          <cell r="AO14">
            <v>0</v>
          </cell>
          <cell r="AQ14">
            <v>59.365087276649547</v>
          </cell>
          <cell r="AR14">
            <v>0</v>
          </cell>
          <cell r="AT14">
            <v>139.77564606445563</v>
          </cell>
          <cell r="AU14">
            <v>0</v>
          </cell>
          <cell r="AW14">
            <v>0</v>
          </cell>
          <cell r="AX14">
            <v>0</v>
          </cell>
        </row>
        <row r="15"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R15">
            <v>1</v>
          </cell>
          <cell r="S15">
            <v>1361.5749851931</v>
          </cell>
          <cell r="U15">
            <v>0</v>
          </cell>
          <cell r="V15"/>
          <cell r="W15">
            <v>0</v>
          </cell>
          <cell r="X15">
            <v>86.23209474237845</v>
          </cell>
          <cell r="Y15">
            <v>360.46984658335657</v>
          </cell>
          <cell r="Z15"/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191.60637661083345</v>
          </cell>
          <cell r="AF15">
            <v>0</v>
          </cell>
          <cell r="AH15">
            <v>270.99918794267313</v>
          </cell>
          <cell r="AI15">
            <v>0</v>
          </cell>
          <cell r="AK15">
            <v>347.5643962397636</v>
          </cell>
          <cell r="AL15">
            <v>719.28487379341368</v>
          </cell>
          <cell r="AN15">
            <v>108.73858583039781</v>
          </cell>
          <cell r="AO15">
            <v>0</v>
          </cell>
          <cell r="AQ15">
            <v>59.365087276649547</v>
          </cell>
          <cell r="AR15">
            <v>7754.8875732244178</v>
          </cell>
          <cell r="AT15">
            <v>136.28317344284591</v>
          </cell>
          <cell r="AU15">
            <v>0</v>
          </cell>
          <cell r="AW15">
            <v>0</v>
          </cell>
          <cell r="AX15">
            <v>0</v>
          </cell>
        </row>
        <row r="16"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/>
          <cell r="W16">
            <v>0</v>
          </cell>
          <cell r="X16">
            <v>0</v>
          </cell>
          <cell r="Y16">
            <v>0</v>
          </cell>
          <cell r="Z16"/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H16">
            <v>0</v>
          </cell>
          <cell r="AI16">
            <v>0</v>
          </cell>
          <cell r="AK16">
            <v>0</v>
          </cell>
          <cell r="AL16">
            <v>0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T16">
            <v>0</v>
          </cell>
          <cell r="AU16">
            <v>0</v>
          </cell>
          <cell r="AW16">
            <v>0</v>
          </cell>
          <cell r="AX16">
            <v>0</v>
          </cell>
        </row>
        <row r="17"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/>
          <cell r="W17">
            <v>3</v>
          </cell>
          <cell r="X17">
            <v>892.54341450816332</v>
          </cell>
          <cell r="Y17">
            <v>0</v>
          </cell>
          <cell r="Z17"/>
          <cell r="AA17">
            <v>0</v>
          </cell>
          <cell r="AB17">
            <v>0</v>
          </cell>
          <cell r="AC17">
            <v>236.32086182054417</v>
          </cell>
          <cell r="AD17">
            <v>0</v>
          </cell>
          <cell r="AE17">
            <v>189.77948309198482</v>
          </cell>
          <cell r="AF17">
            <v>0</v>
          </cell>
          <cell r="AH17">
            <v>228.47399419187306</v>
          </cell>
          <cell r="AI17">
            <v>0</v>
          </cell>
          <cell r="AK17">
            <v>224.81280975438688</v>
          </cell>
          <cell r="AL17">
            <v>0</v>
          </cell>
          <cell r="AN17">
            <v>105.43188534218436</v>
          </cell>
          <cell r="AO17">
            <v>912.29523135982788</v>
          </cell>
          <cell r="AQ17">
            <v>65.961235315382794</v>
          </cell>
          <cell r="AR17">
            <v>0</v>
          </cell>
          <cell r="AT17">
            <v>117.84882201386395</v>
          </cell>
          <cell r="AU17">
            <v>0</v>
          </cell>
          <cell r="AW17">
            <v>53.862315927238761</v>
          </cell>
          <cell r="AX17">
            <v>0</v>
          </cell>
        </row>
        <row r="18"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/>
          <cell r="W18">
            <v>0</v>
          </cell>
          <cell r="X18">
            <v>19.342209687931785</v>
          </cell>
          <cell r="Y18">
            <v>0</v>
          </cell>
          <cell r="Z18"/>
          <cell r="AA18">
            <v>0</v>
          </cell>
          <cell r="AB18">
            <v>0</v>
          </cell>
          <cell r="AC18">
            <v>380.11671333253418</v>
          </cell>
          <cell r="AD18">
            <v>0</v>
          </cell>
          <cell r="AE18">
            <v>67.696308299723157</v>
          </cell>
          <cell r="AF18">
            <v>0</v>
          </cell>
          <cell r="AH18">
            <v>91.335669119949301</v>
          </cell>
          <cell r="AI18">
            <v>0</v>
          </cell>
          <cell r="AK18">
            <v>31.502063628871475</v>
          </cell>
          <cell r="AL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T18">
            <v>19.771277081972755</v>
          </cell>
          <cell r="AU18">
            <v>0</v>
          </cell>
          <cell r="AW18">
            <v>27.907064838681809</v>
          </cell>
          <cell r="AX18">
            <v>0</v>
          </cell>
        </row>
        <row r="19"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/>
          <cell r="W19">
            <v>0</v>
          </cell>
          <cell r="X19">
            <v>19.342209687931785</v>
          </cell>
          <cell r="Y19">
            <v>0</v>
          </cell>
          <cell r="Z19"/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67.696308299723157</v>
          </cell>
          <cell r="AF19">
            <v>0</v>
          </cell>
          <cell r="AH19">
            <v>91.335669119949301</v>
          </cell>
          <cell r="AI19">
            <v>0</v>
          </cell>
          <cell r="AK19">
            <v>30.616109573468009</v>
          </cell>
          <cell r="AL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T19">
            <v>19.771277081972755</v>
          </cell>
          <cell r="AU19">
            <v>0</v>
          </cell>
          <cell r="AW19">
            <v>27.240307228761459</v>
          </cell>
          <cell r="AX19">
            <v>0</v>
          </cell>
        </row>
        <row r="20"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/>
          <cell r="W20">
            <v>3</v>
          </cell>
          <cell r="X20">
            <v>368.5689749258147</v>
          </cell>
          <cell r="Y20">
            <v>0</v>
          </cell>
          <cell r="Z20"/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472.55756514456755</v>
          </cell>
          <cell r="AF20">
            <v>0</v>
          </cell>
          <cell r="AH20">
            <v>733.55039105992546</v>
          </cell>
          <cell r="AI20">
            <v>0</v>
          </cell>
          <cell r="AK20">
            <v>441.34166583337264</v>
          </cell>
          <cell r="AL20">
            <v>0</v>
          </cell>
          <cell r="AN20">
            <v>0</v>
          </cell>
          <cell r="AO20">
            <v>0</v>
          </cell>
          <cell r="AQ20">
            <v>0</v>
          </cell>
          <cell r="AR20">
            <v>0</v>
          </cell>
          <cell r="AT20">
            <v>331.20826457246949</v>
          </cell>
          <cell r="AU20">
            <v>0</v>
          </cell>
          <cell r="AW20">
            <v>160.2534325618756</v>
          </cell>
          <cell r="AX20">
            <v>0</v>
          </cell>
        </row>
        <row r="21"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/>
          <cell r="W21">
            <v>0</v>
          </cell>
          <cell r="X21">
            <v>0</v>
          </cell>
          <cell r="Y21">
            <v>0</v>
          </cell>
          <cell r="Z21"/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103.78450226731735</v>
          </cell>
          <cell r="AF21">
            <v>0</v>
          </cell>
          <cell r="AH21">
            <v>163.00578644091831</v>
          </cell>
          <cell r="AI21">
            <v>0</v>
          </cell>
          <cell r="AK21">
            <v>71.428492411828188</v>
          </cell>
          <cell r="AL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T21">
            <v>39.526483889459712</v>
          </cell>
          <cell r="AU21">
            <v>0</v>
          </cell>
          <cell r="AW21">
            <v>0</v>
          </cell>
          <cell r="AX21">
            <v>0</v>
          </cell>
        </row>
        <row r="22"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/>
          <cell r="W22">
            <v>0</v>
          </cell>
          <cell r="X22">
            <v>0</v>
          </cell>
          <cell r="Y22">
            <v>0</v>
          </cell>
          <cell r="Z22"/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I23">
            <v>0</v>
          </cell>
          <cell r="J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/>
          <cell r="W23">
            <v>0</v>
          </cell>
          <cell r="X23">
            <v>0</v>
          </cell>
          <cell r="Y23">
            <v>0</v>
          </cell>
          <cell r="Z23"/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235.07044024849569</v>
          </cell>
          <cell r="AF23">
            <v>0</v>
          </cell>
          <cell r="AH23">
            <v>364.66296549106636</v>
          </cell>
          <cell r="AI23">
            <v>0</v>
          </cell>
          <cell r="AK23">
            <v>335.41627860193557</v>
          </cell>
          <cell r="AL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T23">
            <v>113.60653295778928</v>
          </cell>
          <cell r="AU23">
            <v>218.46854642875923</v>
          </cell>
          <cell r="AW23">
            <v>0</v>
          </cell>
          <cell r="AX23">
            <v>0</v>
          </cell>
        </row>
        <row r="24"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/>
          <cell r="W24">
            <v>0</v>
          </cell>
          <cell r="X24">
            <v>0</v>
          </cell>
          <cell r="Y24">
            <v>0</v>
          </cell>
          <cell r="Z24"/>
          <cell r="AA24">
            <v>0</v>
          </cell>
          <cell r="AB24">
            <v>0</v>
          </cell>
          <cell r="AC24">
            <v>444.12879455214471</v>
          </cell>
          <cell r="AD24">
            <v>0</v>
          </cell>
          <cell r="AE24">
            <v>164.42305467854635</v>
          </cell>
          <cell r="AF24">
            <v>0</v>
          </cell>
          <cell r="AH24">
            <v>254.07927931943252</v>
          </cell>
          <cell r="AI24">
            <v>0</v>
          </cell>
          <cell r="AK24">
            <v>149.22429345480151</v>
          </cell>
          <cell r="AL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T24">
            <v>87.33759704525356</v>
          </cell>
          <cell r="AU24">
            <v>0</v>
          </cell>
          <cell r="AW24">
            <v>0</v>
          </cell>
          <cell r="AX24">
            <v>0</v>
          </cell>
        </row>
        <row r="25">
          <cell r="I25">
            <v>0</v>
          </cell>
          <cell r="J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/>
          <cell r="W25">
            <v>0</v>
          </cell>
          <cell r="X25">
            <v>0</v>
          </cell>
          <cell r="Y25">
            <v>0</v>
          </cell>
          <cell r="Z25"/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177.51800880001062</v>
          </cell>
          <cell r="AF25">
            <v>0</v>
          </cell>
          <cell r="AH25">
            <v>200.43331245737406</v>
          </cell>
          <cell r="AI25">
            <v>0</v>
          </cell>
          <cell r="AK25">
            <v>170.68014774308622</v>
          </cell>
          <cell r="AL25">
            <v>0</v>
          </cell>
          <cell r="AN25">
            <v>101.1739894233076</v>
          </cell>
          <cell r="AO25">
            <v>0</v>
          </cell>
          <cell r="AQ25">
            <v>65.961235315382794</v>
          </cell>
          <cell r="AR25">
            <v>0</v>
          </cell>
          <cell r="AT25">
            <v>208.54056051817184</v>
          </cell>
          <cell r="AU25">
            <v>0</v>
          </cell>
          <cell r="AW25">
            <v>0</v>
          </cell>
          <cell r="AX25">
            <v>0</v>
          </cell>
        </row>
        <row r="26"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/>
          <cell r="W26">
            <v>0</v>
          </cell>
          <cell r="X26">
            <v>0</v>
          </cell>
          <cell r="Y26">
            <v>0</v>
          </cell>
          <cell r="Z26"/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/>
          <cell r="W27">
            <v>0</v>
          </cell>
          <cell r="X27">
            <v>0</v>
          </cell>
          <cell r="Y27">
            <v>0</v>
          </cell>
          <cell r="Z27"/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I28">
            <v>0</v>
          </cell>
          <cell r="J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/>
          <cell r="W28">
            <v>0</v>
          </cell>
          <cell r="X28">
            <v>0</v>
          </cell>
          <cell r="Y28">
            <v>0</v>
          </cell>
          <cell r="Z28"/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H28">
            <v>0</v>
          </cell>
          <cell r="AI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I29">
            <v>12.8</v>
          </cell>
          <cell r="J29">
            <v>8278.0274057154656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/>
          <cell r="W29">
            <v>0</v>
          </cell>
          <cell r="X29">
            <v>0</v>
          </cell>
          <cell r="Y29">
            <v>0</v>
          </cell>
          <cell r="Z29"/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/>
          <cell r="W30">
            <v>0</v>
          </cell>
          <cell r="X30">
            <v>0</v>
          </cell>
          <cell r="Y30">
            <v>0</v>
          </cell>
          <cell r="Z30"/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H30">
            <v>0</v>
          </cell>
          <cell r="AI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/>
          <cell r="W31">
            <v>0</v>
          </cell>
          <cell r="X31">
            <v>0</v>
          </cell>
          <cell r="Y31">
            <v>0</v>
          </cell>
          <cell r="Z31"/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/>
          <cell r="W32">
            <v>0</v>
          </cell>
          <cell r="X32">
            <v>0</v>
          </cell>
          <cell r="Y32">
            <v>0</v>
          </cell>
          <cell r="Z32"/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H32">
            <v>0</v>
          </cell>
          <cell r="AI32">
            <v>0</v>
          </cell>
          <cell r="AK32">
            <v>0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/>
          <cell r="W33">
            <v>0</v>
          </cell>
          <cell r="X33">
            <v>0</v>
          </cell>
          <cell r="Y33">
            <v>0</v>
          </cell>
          <cell r="Z33"/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/>
          <cell r="W34">
            <v>0</v>
          </cell>
          <cell r="X34">
            <v>56.549419732020127</v>
          </cell>
          <cell r="Y34">
            <v>0</v>
          </cell>
          <cell r="Z34"/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232.70143930527138</v>
          </cell>
          <cell r="AF34">
            <v>0</v>
          </cell>
          <cell r="AH34">
            <v>295.12930774881175</v>
          </cell>
          <cell r="AI34">
            <v>0</v>
          </cell>
          <cell r="AK34">
            <v>285.7634610185147</v>
          </cell>
          <cell r="AL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T34">
            <v>103.83367027199259</v>
          </cell>
          <cell r="AU34">
            <v>0</v>
          </cell>
          <cell r="AW34">
            <v>0</v>
          </cell>
          <cell r="AX34">
            <v>0</v>
          </cell>
        </row>
        <row r="35">
          <cell r="I35">
            <v>1</v>
          </cell>
          <cell r="J35">
            <v>976.06503571296116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/>
          <cell r="W35">
            <v>0</v>
          </cell>
          <cell r="X35">
            <v>0</v>
          </cell>
          <cell r="Y35">
            <v>0</v>
          </cell>
          <cell r="Z35"/>
          <cell r="AA35">
            <v>0</v>
          </cell>
          <cell r="AB35">
            <v>0</v>
          </cell>
          <cell r="AC35">
            <v>449.61045320942515</v>
          </cell>
          <cell r="AD35">
            <v>0</v>
          </cell>
          <cell r="AE35">
            <v>184.08752228194177</v>
          </cell>
          <cell r="AF35">
            <v>0</v>
          </cell>
          <cell r="AH35">
            <v>202.33697172952878</v>
          </cell>
          <cell r="AI35">
            <v>0</v>
          </cell>
          <cell r="AK35">
            <v>278.42593120908015</v>
          </cell>
          <cell r="AL35">
            <v>0</v>
          </cell>
          <cell r="AN35">
            <v>166.3792122642065</v>
          </cell>
          <cell r="AO35">
            <v>0</v>
          </cell>
          <cell r="AQ35">
            <v>0</v>
          </cell>
          <cell r="AR35">
            <v>0</v>
          </cell>
          <cell r="AT35">
            <v>99.57945223095534</v>
          </cell>
          <cell r="AU35">
            <v>0</v>
          </cell>
          <cell r="AW35">
            <v>0</v>
          </cell>
          <cell r="AX35">
            <v>0</v>
          </cell>
        </row>
        <row r="36"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/>
          <cell r="W36">
            <v>0</v>
          </cell>
          <cell r="X36">
            <v>0</v>
          </cell>
          <cell r="Y36">
            <v>0</v>
          </cell>
          <cell r="Z36"/>
          <cell r="AA36">
            <v>0</v>
          </cell>
          <cell r="AB36">
            <v>0</v>
          </cell>
          <cell r="AC36">
            <v>1009.3704606572395</v>
          </cell>
          <cell r="AD36">
            <v>0</v>
          </cell>
          <cell r="AE36">
            <v>277.79676139153776</v>
          </cell>
          <cell r="AF36">
            <v>0</v>
          </cell>
          <cell r="AH36">
            <v>416.66744932240522</v>
          </cell>
          <cell r="AI36">
            <v>0</v>
          </cell>
          <cell r="AK36">
            <v>404.66261151588901</v>
          </cell>
          <cell r="AL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T36">
            <v>182.40649484309614</v>
          </cell>
          <cell r="AU36">
            <v>0</v>
          </cell>
          <cell r="AW36">
            <v>0</v>
          </cell>
          <cell r="AX36">
            <v>0</v>
          </cell>
        </row>
        <row r="37">
          <cell r="I37">
            <v>0</v>
          </cell>
          <cell r="J37">
            <v>0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/>
          <cell r="W37">
            <v>0</v>
          </cell>
          <cell r="X37">
            <v>0</v>
          </cell>
          <cell r="Y37">
            <v>0</v>
          </cell>
          <cell r="Z37"/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136.67164351341606</v>
          </cell>
          <cell r="AF37">
            <v>0</v>
          </cell>
          <cell r="AH37">
            <v>178.18470192067068</v>
          </cell>
          <cell r="AI37">
            <v>0</v>
          </cell>
          <cell r="AK37">
            <v>92.228281868088715</v>
          </cell>
          <cell r="AL37">
            <v>0</v>
          </cell>
          <cell r="AN37">
            <v>61.697166401660027</v>
          </cell>
          <cell r="AO37">
            <v>0</v>
          </cell>
          <cell r="AQ37">
            <v>0</v>
          </cell>
          <cell r="AR37">
            <v>0</v>
          </cell>
          <cell r="AT37">
            <v>29.632726397869654</v>
          </cell>
          <cell r="AU37">
            <v>0</v>
          </cell>
          <cell r="AW37">
            <v>59.090917443770564</v>
          </cell>
          <cell r="AX37">
            <v>0</v>
          </cell>
        </row>
        <row r="38"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/>
          <cell r="W38">
            <v>0</v>
          </cell>
          <cell r="X38">
            <v>0</v>
          </cell>
          <cell r="Y38">
            <v>0</v>
          </cell>
          <cell r="Z38"/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134.92297425237206</v>
          </cell>
          <cell r="AF38">
            <v>0</v>
          </cell>
          <cell r="AH38">
            <v>178.18470192067068</v>
          </cell>
          <cell r="AI38">
            <v>0</v>
          </cell>
          <cell r="AK38">
            <v>105.77277688990097</v>
          </cell>
          <cell r="AL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T38">
            <v>29.632726397869654</v>
          </cell>
          <cell r="AU38">
            <v>0</v>
          </cell>
          <cell r="AW38">
            <v>0</v>
          </cell>
          <cell r="AX38">
            <v>0</v>
          </cell>
        </row>
        <row r="39"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/>
          <cell r="W39">
            <v>0</v>
          </cell>
          <cell r="X39">
            <v>0</v>
          </cell>
          <cell r="Y39">
            <v>0</v>
          </cell>
          <cell r="Z39"/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169.22371489358517</v>
          </cell>
          <cell r="AF39">
            <v>0</v>
          </cell>
          <cell r="AH39">
            <v>225.284932994836</v>
          </cell>
          <cell r="AI39">
            <v>0</v>
          </cell>
          <cell r="AK39">
            <v>197.05114053367473</v>
          </cell>
          <cell r="AL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T39">
            <v>65.725572763423372</v>
          </cell>
          <cell r="AU39">
            <v>0</v>
          </cell>
          <cell r="AW39">
            <v>0</v>
          </cell>
          <cell r="AX39">
            <v>0</v>
          </cell>
        </row>
        <row r="40"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/>
          <cell r="W40">
            <v>0</v>
          </cell>
          <cell r="X40">
            <v>0</v>
          </cell>
          <cell r="Y40">
            <v>0</v>
          </cell>
          <cell r="Z40"/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134.16117568240614</v>
          </cell>
          <cell r="AF40">
            <v>0</v>
          </cell>
          <cell r="AH40">
            <v>193.62587533250806</v>
          </cell>
          <cell r="AI40">
            <v>0</v>
          </cell>
          <cell r="AK40">
            <v>134.29499378403258</v>
          </cell>
          <cell r="AL40">
            <v>378.07232362048796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T40">
            <v>57.335008608429149</v>
          </cell>
          <cell r="AU40">
            <v>0</v>
          </cell>
          <cell r="AW40">
            <v>0</v>
          </cell>
          <cell r="AX40">
            <v>0</v>
          </cell>
        </row>
        <row r="41"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/>
          <cell r="W41">
            <v>0</v>
          </cell>
          <cell r="X41">
            <v>44.431686932301531</v>
          </cell>
          <cell r="Y41">
            <v>0</v>
          </cell>
          <cell r="Z41"/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146.92028080228897</v>
          </cell>
          <cell r="AF41">
            <v>0</v>
          </cell>
          <cell r="AH41">
            <v>199.98679498901538</v>
          </cell>
          <cell r="AI41">
            <v>0</v>
          </cell>
          <cell r="AK41">
            <v>191.36245860498491</v>
          </cell>
          <cell r="AL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T41">
            <v>60.056140153587386</v>
          </cell>
          <cell r="AU41">
            <v>0</v>
          </cell>
          <cell r="AW41">
            <v>0</v>
          </cell>
          <cell r="AX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/>
          <cell r="W42">
            <v>0</v>
          </cell>
          <cell r="X42">
            <v>60.588663998592992</v>
          </cell>
          <cell r="Y42">
            <v>0</v>
          </cell>
          <cell r="Z42"/>
          <cell r="AA42">
            <v>0</v>
          </cell>
          <cell r="AB42">
            <v>0</v>
          </cell>
          <cell r="AC42">
            <v>2218.941134621442</v>
          </cell>
          <cell r="AD42">
            <v>0</v>
          </cell>
          <cell r="AE42">
            <v>169.22371489358517</v>
          </cell>
          <cell r="AF42">
            <v>534.67626702048801</v>
          </cell>
          <cell r="AH42">
            <v>225.284932994836</v>
          </cell>
          <cell r="AI42">
            <v>0</v>
          </cell>
          <cell r="AK42">
            <v>274.70400539597944</v>
          </cell>
          <cell r="AL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T42">
            <v>70.037170653702944</v>
          </cell>
          <cell r="AU42">
            <v>0</v>
          </cell>
          <cell r="AW42">
            <v>0</v>
          </cell>
          <cell r="AX42">
            <v>0</v>
          </cell>
        </row>
        <row r="43"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R43">
            <v>2</v>
          </cell>
          <cell r="S43">
            <v>14058.403926086521</v>
          </cell>
          <cell r="U43">
            <v>0</v>
          </cell>
          <cell r="V43"/>
          <cell r="W43">
            <v>0</v>
          </cell>
          <cell r="X43">
            <v>77.04569921040131</v>
          </cell>
          <cell r="Y43">
            <v>0</v>
          </cell>
          <cell r="Z43"/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44.924807561176856</v>
          </cell>
          <cell r="AF43">
            <v>0</v>
          </cell>
          <cell r="AH43">
            <v>60.844215905779357</v>
          </cell>
          <cell r="AI43">
            <v>0</v>
          </cell>
          <cell r="AK43">
            <v>76.6936654717761</v>
          </cell>
          <cell r="AL43">
            <v>0</v>
          </cell>
          <cell r="AN43">
            <v>30.092783099948647</v>
          </cell>
          <cell r="AO43">
            <v>0</v>
          </cell>
          <cell r="AQ43">
            <v>13.192247063076561</v>
          </cell>
          <cell r="AR43">
            <v>0</v>
          </cell>
          <cell r="AT43">
            <v>34.861306109848641</v>
          </cell>
          <cell r="AU43">
            <v>0</v>
          </cell>
          <cell r="AW43">
            <v>0</v>
          </cell>
          <cell r="AX43">
            <v>0</v>
          </cell>
        </row>
        <row r="44"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/>
          <cell r="W44">
            <v>0</v>
          </cell>
          <cell r="X44">
            <v>150.09831694584773</v>
          </cell>
          <cell r="Y44">
            <v>0</v>
          </cell>
          <cell r="Z44"/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81.224311988646505</v>
          </cell>
          <cell r="AF44">
            <v>0</v>
          </cell>
          <cell r="AH44">
            <v>181.73049913413948</v>
          </cell>
          <cell r="AI44">
            <v>0</v>
          </cell>
          <cell r="AK44">
            <v>211.62743048370936</v>
          </cell>
          <cell r="AL44">
            <v>2461.0811386210121</v>
          </cell>
          <cell r="AN44">
            <v>71.036897363237614</v>
          </cell>
          <cell r="AO44">
            <v>0</v>
          </cell>
          <cell r="AQ44">
            <v>39.576724851099698</v>
          </cell>
          <cell r="AR44">
            <v>0</v>
          </cell>
          <cell r="AT44">
            <v>48.871603317094689</v>
          </cell>
          <cell r="AU44">
            <v>0</v>
          </cell>
          <cell r="AW44">
            <v>0</v>
          </cell>
          <cell r="AX44">
            <v>0</v>
          </cell>
        </row>
        <row r="45"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/>
          <cell r="W45">
            <v>0</v>
          </cell>
          <cell r="X45">
            <v>0</v>
          </cell>
          <cell r="Y45">
            <v>0</v>
          </cell>
          <cell r="Z45"/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53.40841260932612</v>
          </cell>
          <cell r="AF45">
            <v>0</v>
          </cell>
          <cell r="AH45">
            <v>69.151720215382937</v>
          </cell>
          <cell r="AI45">
            <v>0</v>
          </cell>
          <cell r="AK45">
            <v>137.42866535911875</v>
          </cell>
          <cell r="AL45">
            <v>0</v>
          </cell>
          <cell r="AN45">
            <v>51.28841910229302</v>
          </cell>
          <cell r="AO45">
            <v>0</v>
          </cell>
          <cell r="AQ45">
            <v>26.384494126153122</v>
          </cell>
          <cell r="AR45">
            <v>0</v>
          </cell>
          <cell r="AT45">
            <v>44.991929303447613</v>
          </cell>
          <cell r="AU45">
            <v>0</v>
          </cell>
          <cell r="AW45">
            <v>0</v>
          </cell>
          <cell r="AX45">
            <v>0</v>
          </cell>
        </row>
        <row r="46"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/>
          <cell r="W46">
            <v>0</v>
          </cell>
          <cell r="X46">
            <v>0</v>
          </cell>
          <cell r="Y46">
            <v>0</v>
          </cell>
          <cell r="Z46"/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355.3379711336587</v>
          </cell>
          <cell r="AF46">
            <v>1606.1249901208598</v>
          </cell>
          <cell r="AH46">
            <v>469.58280172270531</v>
          </cell>
          <cell r="AI46">
            <v>0</v>
          </cell>
          <cell r="AK46">
            <v>919.72733484503044</v>
          </cell>
          <cell r="AL46">
            <v>790.158006</v>
          </cell>
          <cell r="AN46">
            <v>270.25810971215151</v>
          </cell>
          <cell r="AO46">
            <v>0</v>
          </cell>
          <cell r="AQ46">
            <v>98.941812127749259</v>
          </cell>
          <cell r="AR46">
            <v>0</v>
          </cell>
          <cell r="AT46">
            <v>275.07006865002995</v>
          </cell>
          <cell r="AU46">
            <v>0</v>
          </cell>
          <cell r="AW46">
            <v>0</v>
          </cell>
          <cell r="AX46">
            <v>0</v>
          </cell>
        </row>
        <row r="47"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30</v>
          </cell>
          <cell r="P47">
            <v>10965.2446272</v>
          </cell>
          <cell r="R47">
            <v>4</v>
          </cell>
          <cell r="S47">
            <v>72078.147941271673</v>
          </cell>
          <cell r="U47">
            <v>0</v>
          </cell>
          <cell r="V47"/>
          <cell r="W47">
            <v>0</v>
          </cell>
          <cell r="X47">
            <v>31.944651799639125</v>
          </cell>
          <cell r="Y47">
            <v>0</v>
          </cell>
          <cell r="Z47"/>
          <cell r="AA47">
            <v>0</v>
          </cell>
          <cell r="AB47">
            <v>0</v>
          </cell>
          <cell r="AC47">
            <v>257.34941308423663</v>
          </cell>
          <cell r="AD47">
            <v>1352.5369796859495</v>
          </cell>
          <cell r="AE47">
            <v>237.6327308728423</v>
          </cell>
          <cell r="AF47">
            <v>0</v>
          </cell>
          <cell r="AH47">
            <v>313.4952251884107</v>
          </cell>
          <cell r="AI47">
            <v>0</v>
          </cell>
          <cell r="AK47">
            <v>608.83264751210118</v>
          </cell>
          <cell r="AL47">
            <v>0</v>
          </cell>
          <cell r="AN47">
            <v>185.8924655995005</v>
          </cell>
          <cell r="AO47">
            <v>0</v>
          </cell>
          <cell r="AQ47">
            <v>65.961235315382794</v>
          </cell>
          <cell r="AR47">
            <v>0</v>
          </cell>
          <cell r="AT47">
            <v>224.10163676469494</v>
          </cell>
          <cell r="AU47">
            <v>0</v>
          </cell>
          <cell r="AW47">
            <v>0</v>
          </cell>
          <cell r="AX47">
            <v>0</v>
          </cell>
        </row>
        <row r="48"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/>
          <cell r="W48">
            <v>0</v>
          </cell>
          <cell r="X48">
            <v>0</v>
          </cell>
          <cell r="Y48">
            <v>0</v>
          </cell>
          <cell r="Z48"/>
          <cell r="AA48">
            <v>0</v>
          </cell>
          <cell r="AB48">
            <v>0</v>
          </cell>
          <cell r="AC48">
            <v>308.86052674384905</v>
          </cell>
          <cell r="AD48">
            <v>900.0826210935428</v>
          </cell>
          <cell r="AE48">
            <v>312.08924497789428</v>
          </cell>
          <cell r="AF48">
            <v>0</v>
          </cell>
          <cell r="AH48">
            <v>438.88707713804558</v>
          </cell>
          <cell r="AI48">
            <v>0</v>
          </cell>
          <cell r="AK48">
            <v>418.3787489409853</v>
          </cell>
          <cell r="AL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T48">
            <v>166.257356798828</v>
          </cell>
          <cell r="AU48">
            <v>0</v>
          </cell>
          <cell r="AW48">
            <v>0</v>
          </cell>
          <cell r="AX48">
            <v>0</v>
          </cell>
        </row>
        <row r="49"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/>
          <cell r="W49">
            <v>0</v>
          </cell>
          <cell r="X49">
            <v>0</v>
          </cell>
          <cell r="Y49">
            <v>0</v>
          </cell>
          <cell r="Z49"/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H49">
            <v>0</v>
          </cell>
          <cell r="AI49">
            <v>0</v>
          </cell>
          <cell r="AK49">
            <v>0</v>
          </cell>
          <cell r="AL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/>
          <cell r="W50">
            <v>0</v>
          </cell>
          <cell r="X50">
            <v>0</v>
          </cell>
          <cell r="Y50">
            <v>0</v>
          </cell>
          <cell r="Z50"/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I51">
            <v>0</v>
          </cell>
          <cell r="J51">
            <v>0</v>
          </cell>
          <cell r="L51">
            <v>0</v>
          </cell>
          <cell r="M51">
            <v>2131.6402572925035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/>
          <cell r="W51">
            <v>0</v>
          </cell>
          <cell r="X51">
            <v>0</v>
          </cell>
          <cell r="Y51">
            <v>0</v>
          </cell>
          <cell r="Z51"/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240.97600204603114</v>
          </cell>
          <cell r="AF51">
            <v>425.98817545704691</v>
          </cell>
          <cell r="AH51">
            <v>351.66292323452029</v>
          </cell>
          <cell r="AI51">
            <v>0</v>
          </cell>
          <cell r="AK51">
            <v>193.26395990750746</v>
          </cell>
          <cell r="AL51">
            <v>0</v>
          </cell>
          <cell r="AN51">
            <v>107.54409784126776</v>
          </cell>
          <cell r="AO51">
            <v>0</v>
          </cell>
          <cell r="AQ51">
            <v>89.960355179059135</v>
          </cell>
          <cell r="AR51">
            <v>7.7228418000000003</v>
          </cell>
          <cell r="AT51">
            <v>130.2465264345808</v>
          </cell>
          <cell r="AU51">
            <v>0</v>
          </cell>
          <cell r="AW51">
            <v>118.34437622421669</v>
          </cell>
          <cell r="AX51">
            <v>0</v>
          </cell>
        </row>
        <row r="52">
          <cell r="I52">
            <v>0</v>
          </cell>
          <cell r="J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/>
          <cell r="W52">
            <v>0</v>
          </cell>
          <cell r="X52">
            <v>0</v>
          </cell>
          <cell r="Y52">
            <v>0</v>
          </cell>
          <cell r="Z52"/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135.60864137130488</v>
          </cell>
          <cell r="AF52">
            <v>0</v>
          </cell>
          <cell r="AH52">
            <v>264.84451108914089</v>
          </cell>
          <cell r="AI52">
            <v>0</v>
          </cell>
          <cell r="AK52">
            <v>78.612730666321482</v>
          </cell>
          <cell r="AL52">
            <v>0</v>
          </cell>
          <cell r="AN52">
            <v>80.855039196896257</v>
          </cell>
          <cell r="AO52">
            <v>0</v>
          </cell>
          <cell r="AQ52">
            <v>0</v>
          </cell>
          <cell r="AR52">
            <v>0</v>
          </cell>
          <cell r="AT52">
            <v>63.909261025478145</v>
          </cell>
          <cell r="AU52">
            <v>0</v>
          </cell>
          <cell r="AW52">
            <v>54.529073537159114</v>
          </cell>
          <cell r="AX52">
            <v>0</v>
          </cell>
        </row>
        <row r="53">
          <cell r="I53">
            <v>0</v>
          </cell>
          <cell r="J53">
            <v>0</v>
          </cell>
          <cell r="L53">
            <v>0</v>
          </cell>
          <cell r="M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/>
          <cell r="W53">
            <v>0</v>
          </cell>
          <cell r="X53">
            <v>0</v>
          </cell>
          <cell r="Y53">
            <v>0</v>
          </cell>
          <cell r="Z53"/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296.97430937581089</v>
          </cell>
          <cell r="AF53">
            <v>951.97722752600112</v>
          </cell>
          <cell r="AH53">
            <v>431.42874836421191</v>
          </cell>
          <cell r="AI53">
            <v>2821.7797941782142</v>
          </cell>
          <cell r="AK53">
            <v>225.25790184519559</v>
          </cell>
          <cell r="AL53">
            <v>0</v>
          </cell>
          <cell r="AN53">
            <v>134.01654655351942</v>
          </cell>
          <cell r="AO53">
            <v>0</v>
          </cell>
          <cell r="AQ53">
            <v>119.94714023874553</v>
          </cell>
          <cell r="AR53">
            <v>7.7228418000000003</v>
          </cell>
          <cell r="AT53">
            <v>185.68589968581432</v>
          </cell>
          <cell r="AU53">
            <v>0</v>
          </cell>
          <cell r="AW53">
            <v>39.854603062339315</v>
          </cell>
          <cell r="AX53">
            <v>0</v>
          </cell>
        </row>
        <row r="54"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/>
          <cell r="W54">
            <v>0</v>
          </cell>
          <cell r="X54">
            <v>0</v>
          </cell>
          <cell r="Y54">
            <v>0</v>
          </cell>
          <cell r="Z54"/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/>
          <cell r="W55">
            <v>0</v>
          </cell>
          <cell r="X55">
            <v>64.627908265165871</v>
          </cell>
          <cell r="Y55">
            <v>0</v>
          </cell>
          <cell r="Z55"/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199.30110444818735</v>
          </cell>
          <cell r="AF55">
            <v>0</v>
          </cell>
          <cell r="AH55">
            <v>265.86888590663347</v>
          </cell>
          <cell r="AI55">
            <v>0</v>
          </cell>
          <cell r="AK55">
            <v>339.09608183163061</v>
          </cell>
          <cell r="AL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T55">
            <v>122.47344089241105</v>
          </cell>
          <cell r="AU55">
            <v>0</v>
          </cell>
          <cell r="AW55">
            <v>0</v>
          </cell>
          <cell r="AX55">
            <v>0</v>
          </cell>
        </row>
        <row r="56"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/>
          <cell r="W56">
            <v>0</v>
          </cell>
          <cell r="X56">
            <v>0</v>
          </cell>
          <cell r="Y56">
            <v>0</v>
          </cell>
          <cell r="Z56"/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318.0902693443374</v>
          </cell>
          <cell r="AF56">
            <v>2630.8750602537534</v>
          </cell>
          <cell r="AH56">
            <v>490.73628415417375</v>
          </cell>
          <cell r="AI56">
            <v>0</v>
          </cell>
          <cell r="AK56">
            <v>365.88444988692856</v>
          </cell>
          <cell r="AL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2477.1850515697056</v>
          </cell>
          <cell r="AT56">
            <v>174.62873904711446</v>
          </cell>
          <cell r="AU56">
            <v>0</v>
          </cell>
          <cell r="AW56">
            <v>0</v>
          </cell>
          <cell r="AX56">
            <v>0</v>
          </cell>
        </row>
        <row r="57"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/>
          <cell r="W57">
            <v>0</v>
          </cell>
          <cell r="X57">
            <v>0</v>
          </cell>
          <cell r="Y57">
            <v>0</v>
          </cell>
          <cell r="Z57"/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141.19134888296281</v>
          </cell>
          <cell r="AF57">
            <v>0</v>
          </cell>
          <cell r="AH57">
            <v>251.26294537068739</v>
          </cell>
          <cell r="AI57">
            <v>0</v>
          </cell>
          <cell r="AK57">
            <v>238.9164663369109</v>
          </cell>
          <cell r="AL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603.48322308377033</v>
          </cell>
          <cell r="AT57">
            <v>70.039395863319015</v>
          </cell>
          <cell r="AU57">
            <v>0</v>
          </cell>
          <cell r="AW57">
            <v>0</v>
          </cell>
          <cell r="AX57">
            <v>0</v>
          </cell>
        </row>
        <row r="58"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/>
          <cell r="W58">
            <v>0</v>
          </cell>
          <cell r="X58">
            <v>0</v>
          </cell>
          <cell r="Y58">
            <v>12591.943738545542</v>
          </cell>
          <cell r="Z58"/>
          <cell r="AA58">
            <v>0</v>
          </cell>
          <cell r="AB58">
            <v>0</v>
          </cell>
          <cell r="AC58">
            <v>5311.4236627943292</v>
          </cell>
          <cell r="AD58">
            <v>0</v>
          </cell>
          <cell r="AE58">
            <v>254.36667126777695</v>
          </cell>
          <cell r="AF58">
            <v>0</v>
          </cell>
          <cell r="AH58">
            <v>347.50294893846012</v>
          </cell>
          <cell r="AI58">
            <v>0</v>
          </cell>
          <cell r="AK58">
            <v>428.65127600087555</v>
          </cell>
          <cell r="AL58">
            <v>0</v>
          </cell>
          <cell r="AN58">
            <v>164.11543594438629</v>
          </cell>
          <cell r="AO58">
            <v>0</v>
          </cell>
          <cell r="AQ58">
            <v>68.97925660788097</v>
          </cell>
          <cell r="AR58">
            <v>0</v>
          </cell>
          <cell r="AT58">
            <v>73.753166691452407</v>
          </cell>
          <cell r="AU58">
            <v>0</v>
          </cell>
          <cell r="AW58">
            <v>0</v>
          </cell>
          <cell r="AX58">
            <v>0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/>
          <cell r="W59">
            <v>0</v>
          </cell>
          <cell r="X59">
            <v>0</v>
          </cell>
          <cell r="Y59">
            <v>0</v>
          </cell>
          <cell r="Z59"/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124.57062080146615</v>
          </cell>
          <cell r="AF59">
            <v>0</v>
          </cell>
          <cell r="AH59">
            <v>153.61481567386699</v>
          </cell>
          <cell r="AI59">
            <v>0</v>
          </cell>
          <cell r="AK59">
            <v>187.39808963912321</v>
          </cell>
          <cell r="AL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T59">
            <v>60.056140153587386</v>
          </cell>
          <cell r="AU59">
            <v>0</v>
          </cell>
          <cell r="AW59">
            <v>0</v>
          </cell>
          <cell r="AX59">
            <v>0</v>
          </cell>
        </row>
        <row r="60"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/>
          <cell r="W60">
            <v>0</v>
          </cell>
          <cell r="X60">
            <v>0</v>
          </cell>
          <cell r="Y60">
            <v>0</v>
          </cell>
          <cell r="Z60"/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51.794461945442009</v>
          </cell>
          <cell r="AF60">
            <v>0</v>
          </cell>
          <cell r="AH60">
            <v>61.550813104250835</v>
          </cell>
          <cell r="AI60">
            <v>0</v>
          </cell>
          <cell r="AK60">
            <v>12.103661341664061</v>
          </cell>
          <cell r="AL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T60">
            <v>13.131198850039331</v>
          </cell>
          <cell r="AU60">
            <v>0</v>
          </cell>
          <cell r="AW60">
            <v>0</v>
          </cell>
          <cell r="AX60">
            <v>0</v>
          </cell>
        </row>
        <row r="61"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/>
          <cell r="W61">
            <v>0</v>
          </cell>
          <cell r="X61">
            <v>0</v>
          </cell>
          <cell r="Y61">
            <v>0</v>
          </cell>
          <cell r="Z61"/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/>
          <cell r="W62">
            <v>0</v>
          </cell>
          <cell r="X62">
            <v>0</v>
          </cell>
          <cell r="Y62">
            <v>0</v>
          </cell>
          <cell r="Z62"/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/>
          <cell r="W63">
            <v>0</v>
          </cell>
          <cell r="X63">
            <v>37.391861210560251</v>
          </cell>
          <cell r="Y63">
            <v>0</v>
          </cell>
          <cell r="Z63"/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172.97663207927951</v>
          </cell>
          <cell r="AF63">
            <v>0</v>
          </cell>
          <cell r="AH63">
            <v>250.58315269130659</v>
          </cell>
          <cell r="AI63">
            <v>0</v>
          </cell>
          <cell r="AK63">
            <v>245.82574354996487</v>
          </cell>
          <cell r="AL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T63">
            <v>65.725579801306026</v>
          </cell>
          <cell r="AU63">
            <v>0</v>
          </cell>
          <cell r="AW63">
            <v>0</v>
          </cell>
          <cell r="AX63">
            <v>0</v>
          </cell>
        </row>
        <row r="64"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/>
          <cell r="W64">
            <v>0</v>
          </cell>
          <cell r="X64">
            <v>50.548256821683296</v>
          </cell>
          <cell r="Y64">
            <v>0</v>
          </cell>
          <cell r="Z64"/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105.50314275515966</v>
          </cell>
          <cell r="AF64">
            <v>0</v>
          </cell>
          <cell r="AH64">
            <v>171.45470659650391</v>
          </cell>
          <cell r="AI64">
            <v>0</v>
          </cell>
          <cell r="AK64">
            <v>87.527632979009326</v>
          </cell>
          <cell r="AL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T64">
            <v>41.778843913608405</v>
          </cell>
          <cell r="AU64">
            <v>0</v>
          </cell>
          <cell r="AW64">
            <v>0</v>
          </cell>
          <cell r="AX64">
            <v>0</v>
          </cell>
        </row>
        <row r="65">
          <cell r="I65">
            <v>31</v>
          </cell>
          <cell r="J65">
            <v>11714.223899416529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/>
          <cell r="W65">
            <v>0</v>
          </cell>
          <cell r="X65">
            <v>0</v>
          </cell>
          <cell r="Y65">
            <v>0</v>
          </cell>
          <cell r="Z65"/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106.72721825659063</v>
          </cell>
          <cell r="AF65">
            <v>0</v>
          </cell>
          <cell r="AH65">
            <v>142.40885198567582</v>
          </cell>
          <cell r="AI65">
            <v>0</v>
          </cell>
          <cell r="AK65">
            <v>152.44260063250758</v>
          </cell>
          <cell r="AL65">
            <v>0</v>
          </cell>
          <cell r="AN65">
            <v>86.385768771972465</v>
          </cell>
          <cell r="AO65">
            <v>0</v>
          </cell>
          <cell r="AQ65">
            <v>35.219944932571877</v>
          </cell>
          <cell r="AR65">
            <v>0</v>
          </cell>
          <cell r="AT65">
            <v>103.56430512559632</v>
          </cell>
          <cell r="AU65">
            <v>0</v>
          </cell>
          <cell r="AW65">
            <v>0</v>
          </cell>
          <cell r="AX65">
            <v>0</v>
          </cell>
        </row>
        <row r="66"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/>
          <cell r="W66">
            <v>0</v>
          </cell>
          <cell r="X66">
            <v>0</v>
          </cell>
          <cell r="Y66">
            <v>0</v>
          </cell>
          <cell r="Z66"/>
          <cell r="AA66">
            <v>0</v>
          </cell>
          <cell r="AB66">
            <v>0</v>
          </cell>
          <cell r="AC66">
            <v>1115.4073979074426</v>
          </cell>
          <cell r="AD66">
            <v>0</v>
          </cell>
          <cell r="AE66">
            <v>149.96382133002803</v>
          </cell>
          <cell r="AF66">
            <v>0</v>
          </cell>
          <cell r="AH66">
            <v>250.58315269130659</v>
          </cell>
          <cell r="AI66">
            <v>0</v>
          </cell>
          <cell r="AK66">
            <v>189.22455054922412</v>
          </cell>
          <cell r="AL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T66">
            <v>69.694329510959818</v>
          </cell>
          <cell r="AU66">
            <v>0</v>
          </cell>
          <cell r="AW66">
            <v>0</v>
          </cell>
          <cell r="AX66">
            <v>0</v>
          </cell>
        </row>
        <row r="67"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/>
          <cell r="W67">
            <v>0</v>
          </cell>
          <cell r="X67">
            <v>0</v>
          </cell>
          <cell r="Y67">
            <v>0</v>
          </cell>
          <cell r="Z67"/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/>
          <cell r="W68">
            <v>0</v>
          </cell>
          <cell r="X68">
            <v>0</v>
          </cell>
          <cell r="Y68">
            <v>0</v>
          </cell>
          <cell r="Z68"/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1</v>
          </cell>
          <cell r="S69">
            <v>3557.21673410224</v>
          </cell>
          <cell r="U69">
            <v>625.73787870407091</v>
          </cell>
          <cell r="V69"/>
          <cell r="W69">
            <v>0</v>
          </cell>
          <cell r="X69">
            <v>75.176106149873306</v>
          </cell>
          <cell r="Y69">
            <v>5714.024802570334</v>
          </cell>
          <cell r="Z69"/>
          <cell r="AA69">
            <v>0</v>
          </cell>
          <cell r="AB69">
            <v>730.99249630931035</v>
          </cell>
          <cell r="AC69">
            <v>0</v>
          </cell>
          <cell r="AD69">
            <v>204.92135549858165</v>
          </cell>
          <cell r="AE69">
            <v>79.668368280872841</v>
          </cell>
          <cell r="AF69">
            <v>352.16728040695443</v>
          </cell>
          <cell r="AH69">
            <v>107.26776403088104</v>
          </cell>
          <cell r="AI69">
            <v>0</v>
          </cell>
          <cell r="AK69">
            <v>219.57380665742699</v>
          </cell>
          <cell r="AL69">
            <v>0</v>
          </cell>
          <cell r="AN69">
            <v>90.336393042483721</v>
          </cell>
          <cell r="AO69">
            <v>858.1913451964266</v>
          </cell>
          <cell r="AQ69">
            <v>77.955933001127377</v>
          </cell>
          <cell r="AR69">
            <v>0</v>
          </cell>
          <cell r="AT69">
            <v>123.81884893767143</v>
          </cell>
          <cell r="AU69">
            <v>0</v>
          </cell>
          <cell r="AW69">
            <v>232.74222385317006</v>
          </cell>
          <cell r="AX69">
            <v>0</v>
          </cell>
        </row>
        <row r="70"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/>
          <cell r="W70">
            <v>0</v>
          </cell>
          <cell r="X70">
            <v>0</v>
          </cell>
          <cell r="Y70">
            <v>0</v>
          </cell>
          <cell r="Z70"/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/>
          <cell r="W71">
            <v>0</v>
          </cell>
          <cell r="X71">
            <v>0</v>
          </cell>
          <cell r="Y71">
            <v>0</v>
          </cell>
          <cell r="Z71"/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N71">
            <v>0</v>
          </cell>
          <cell r="AO71">
            <v>0</v>
          </cell>
          <cell r="AQ71">
            <v>0</v>
          </cell>
          <cell r="AR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6044.6101309980277</v>
          </cell>
          <cell r="V72"/>
          <cell r="W72">
            <v>0</v>
          </cell>
          <cell r="X72">
            <v>40.392442665728666</v>
          </cell>
          <cell r="Y72">
            <v>0</v>
          </cell>
          <cell r="Z72"/>
          <cell r="AA72">
            <v>0</v>
          </cell>
          <cell r="AB72">
            <v>0</v>
          </cell>
          <cell r="AC72">
            <v>2412.8845761948805</v>
          </cell>
          <cell r="AD72">
            <v>1946.1478604789577</v>
          </cell>
          <cell r="AE72">
            <v>261.46872234701635</v>
          </cell>
          <cell r="AF72">
            <v>0</v>
          </cell>
          <cell r="AH72">
            <v>351.30774901844745</v>
          </cell>
          <cell r="AI72">
            <v>0</v>
          </cell>
          <cell r="AK72">
            <v>483.70917241723362</v>
          </cell>
          <cell r="AL72">
            <v>0</v>
          </cell>
          <cell r="AN72">
            <v>185.6386927230358</v>
          </cell>
          <cell r="AO72">
            <v>1287.2999011257489</v>
          </cell>
          <cell r="AQ72">
            <v>292.3226339843186</v>
          </cell>
          <cell r="AR72">
            <v>0</v>
          </cell>
          <cell r="AT72">
            <v>235.82173208405922</v>
          </cell>
          <cell r="AU72">
            <v>0</v>
          </cell>
          <cell r="AW72">
            <v>142.02289427059736</v>
          </cell>
          <cell r="AX72">
            <v>0</v>
          </cell>
        </row>
        <row r="73"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/>
          <cell r="W73">
            <v>0</v>
          </cell>
          <cell r="X73">
            <v>0</v>
          </cell>
          <cell r="Y73">
            <v>0</v>
          </cell>
          <cell r="Z73"/>
          <cell r="AA73">
            <v>0</v>
          </cell>
          <cell r="AB73">
            <v>0</v>
          </cell>
          <cell r="AC73">
            <v>0</v>
          </cell>
          <cell r="AD73">
            <v>81.783384953212092</v>
          </cell>
          <cell r="AE73">
            <v>242.09477570878985</v>
          </cell>
          <cell r="AF73">
            <v>861.93812120803887</v>
          </cell>
          <cell r="AH73">
            <v>341.29746007718495</v>
          </cell>
          <cell r="AI73">
            <v>2370.3930450573271</v>
          </cell>
          <cell r="AK73">
            <v>97.993438091568279</v>
          </cell>
          <cell r="AL73">
            <v>0</v>
          </cell>
          <cell r="AN73">
            <v>114.75461373279184</v>
          </cell>
          <cell r="AO73">
            <v>0</v>
          </cell>
          <cell r="AQ73">
            <v>89.960355179059135</v>
          </cell>
          <cell r="AR73">
            <v>0</v>
          </cell>
          <cell r="AT73">
            <v>122.56982730821436</v>
          </cell>
          <cell r="AU73">
            <v>2161.3363421519093</v>
          </cell>
          <cell r="AW73">
            <v>122.29074143818023</v>
          </cell>
          <cell r="AX73">
            <v>0</v>
          </cell>
        </row>
        <row r="74"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/>
          <cell r="W74">
            <v>0</v>
          </cell>
          <cell r="X74">
            <v>2.5851163306066347</v>
          </cell>
          <cell r="Y74">
            <v>0</v>
          </cell>
          <cell r="Z74"/>
          <cell r="AA74">
            <v>0</v>
          </cell>
          <cell r="AB74">
            <v>0</v>
          </cell>
          <cell r="AC74">
            <v>0</v>
          </cell>
          <cell r="AD74">
            <v>3017.4507479318445</v>
          </cell>
          <cell r="AE74">
            <v>172.64896221065933</v>
          </cell>
          <cell r="AF74">
            <v>0</v>
          </cell>
          <cell r="AH74">
            <v>236.7462978235489</v>
          </cell>
          <cell r="AI74">
            <v>0</v>
          </cell>
          <cell r="AK74">
            <v>184.64634567058175</v>
          </cell>
          <cell r="AL74">
            <v>0</v>
          </cell>
          <cell r="AN74">
            <v>115.32993121019737</v>
          </cell>
          <cell r="AO74">
            <v>0</v>
          </cell>
          <cell r="AQ74">
            <v>194.87527844079784</v>
          </cell>
          <cell r="AR74">
            <v>0</v>
          </cell>
          <cell r="AT74">
            <v>235.39234830930431</v>
          </cell>
          <cell r="AU74">
            <v>0</v>
          </cell>
          <cell r="AW74">
            <v>228.84431771884292</v>
          </cell>
          <cell r="AX74">
            <v>0</v>
          </cell>
        </row>
        <row r="75"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/>
          <cell r="W75">
            <v>0</v>
          </cell>
          <cell r="X75">
            <v>0</v>
          </cell>
          <cell r="Y75">
            <v>0</v>
          </cell>
          <cell r="Z75"/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257.18257003536439</v>
          </cell>
          <cell r="AF75">
            <v>346.84603369889084</v>
          </cell>
          <cell r="AH75">
            <v>341.29746007718495</v>
          </cell>
          <cell r="AI75">
            <v>0</v>
          </cell>
          <cell r="AK75">
            <v>238.21117418178792</v>
          </cell>
          <cell r="AL75">
            <v>0</v>
          </cell>
          <cell r="AN75">
            <v>117.71760222739266</v>
          </cell>
          <cell r="AO75">
            <v>0</v>
          </cell>
          <cell r="AQ75">
            <v>89.960355179059135</v>
          </cell>
          <cell r="AR75">
            <v>0</v>
          </cell>
          <cell r="AT75">
            <v>122.56982730821436</v>
          </cell>
          <cell r="AU75">
            <v>3451.8002312702101</v>
          </cell>
          <cell r="AW75">
            <v>122.29074143818023</v>
          </cell>
          <cell r="AX75">
            <v>0</v>
          </cell>
        </row>
        <row r="76">
          <cell r="I76">
            <v>10</v>
          </cell>
          <cell r="J76">
            <v>9768.4299407834915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1</v>
          </cell>
          <cell r="S76">
            <v>12152.65497689774</v>
          </cell>
          <cell r="U76">
            <v>0</v>
          </cell>
          <cell r="V76"/>
          <cell r="W76">
            <v>0</v>
          </cell>
          <cell r="X76">
            <v>0</v>
          </cell>
          <cell r="Y76">
            <v>0</v>
          </cell>
          <cell r="Z76"/>
          <cell r="AA76">
            <v>0</v>
          </cell>
          <cell r="AB76">
            <v>0</v>
          </cell>
          <cell r="AC76">
            <v>0</v>
          </cell>
          <cell r="AD76">
            <v>2234.22132013382</v>
          </cell>
          <cell r="AE76">
            <v>432.21338540871011</v>
          </cell>
          <cell r="AF76">
            <v>0</v>
          </cell>
          <cell r="AH76">
            <v>591.86574455887205</v>
          </cell>
          <cell r="AI76">
            <v>8106.5454623041142</v>
          </cell>
          <cell r="AK76">
            <v>690.27183197185354</v>
          </cell>
          <cell r="AL76">
            <v>0</v>
          </cell>
          <cell r="AN76">
            <v>289.88286770503936</v>
          </cell>
          <cell r="AO76">
            <v>0</v>
          </cell>
          <cell r="AQ76">
            <v>487.18819610199455</v>
          </cell>
          <cell r="AR76">
            <v>0</v>
          </cell>
          <cell r="AT76">
            <v>588.48087077326079</v>
          </cell>
          <cell r="AU76">
            <v>0</v>
          </cell>
          <cell r="AW76">
            <v>232.74222385317006</v>
          </cell>
          <cell r="AX76">
            <v>0</v>
          </cell>
        </row>
        <row r="77">
          <cell r="I77">
            <v>0</v>
          </cell>
          <cell r="J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/>
          <cell r="W77">
            <v>0</v>
          </cell>
          <cell r="X77">
            <v>0</v>
          </cell>
          <cell r="Y77">
            <v>0</v>
          </cell>
          <cell r="Z77"/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/>
          <cell r="W78">
            <v>0</v>
          </cell>
          <cell r="X78">
            <v>0</v>
          </cell>
          <cell r="Y78">
            <v>0</v>
          </cell>
          <cell r="Z78"/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I79">
            <v>0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/>
          <cell r="W79">
            <v>0</v>
          </cell>
          <cell r="X79">
            <v>0</v>
          </cell>
          <cell r="Y79">
            <v>0</v>
          </cell>
          <cell r="Z79"/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H79">
            <v>0</v>
          </cell>
          <cell r="AI79">
            <v>0</v>
          </cell>
          <cell r="AK79">
            <v>16.764476281060535</v>
          </cell>
          <cell r="AL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/>
          <cell r="W80">
            <v>0</v>
          </cell>
          <cell r="X80">
            <v>0</v>
          </cell>
          <cell r="Y80">
            <v>0</v>
          </cell>
          <cell r="Z80"/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N80">
            <v>0</v>
          </cell>
          <cell r="AO80">
            <v>0</v>
          </cell>
          <cell r="AQ80">
            <v>0</v>
          </cell>
          <cell r="AR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  <row r="81"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/>
          <cell r="W81">
            <v>0</v>
          </cell>
          <cell r="X81">
            <v>0</v>
          </cell>
          <cell r="Y81">
            <v>0</v>
          </cell>
          <cell r="Z81"/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N81">
            <v>0</v>
          </cell>
          <cell r="AO81">
            <v>0</v>
          </cell>
          <cell r="AQ81">
            <v>0</v>
          </cell>
          <cell r="AR81">
            <v>0</v>
          </cell>
          <cell r="AT81">
            <v>0</v>
          </cell>
          <cell r="AU81">
            <v>0</v>
          </cell>
          <cell r="AW81">
            <v>0</v>
          </cell>
          <cell r="AX81">
            <v>0</v>
          </cell>
        </row>
        <row r="82"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/>
          <cell r="W82">
            <v>0</v>
          </cell>
          <cell r="X82">
            <v>0</v>
          </cell>
          <cell r="Y82">
            <v>0</v>
          </cell>
          <cell r="Z82"/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</row>
        <row r="83"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/>
          <cell r="W83">
            <v>0</v>
          </cell>
          <cell r="X83">
            <v>0</v>
          </cell>
          <cell r="Y83">
            <v>0</v>
          </cell>
          <cell r="Z83"/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33.712620806155606</v>
          </cell>
          <cell r="AF83">
            <v>0</v>
          </cell>
          <cell r="AH83">
            <v>43.555645366403205</v>
          </cell>
          <cell r="AI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0</v>
          </cell>
          <cell r="AT83">
            <v>0</v>
          </cell>
          <cell r="AU83">
            <v>0</v>
          </cell>
          <cell r="AW83">
            <v>9.891756720169731</v>
          </cell>
          <cell r="AX83">
            <v>0</v>
          </cell>
        </row>
        <row r="84"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/>
          <cell r="W84">
            <v>0</v>
          </cell>
          <cell r="X84">
            <v>0</v>
          </cell>
          <cell r="Y84">
            <v>0</v>
          </cell>
          <cell r="Z84"/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H84">
            <v>0</v>
          </cell>
          <cell r="AI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</row>
        <row r="85"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/>
          <cell r="W85">
            <v>0</v>
          </cell>
          <cell r="X85">
            <v>22.065814393392344</v>
          </cell>
          <cell r="Y85">
            <v>0</v>
          </cell>
          <cell r="Z85"/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181.86362735840896</v>
          </cell>
          <cell r="AF85">
            <v>0</v>
          </cell>
          <cell r="AH85">
            <v>247.51007217452394</v>
          </cell>
          <cell r="AI85">
            <v>0</v>
          </cell>
          <cell r="AK85">
            <v>186.3722322641847</v>
          </cell>
          <cell r="AL85">
            <v>0</v>
          </cell>
          <cell r="AN85">
            <v>117.22675514518498</v>
          </cell>
          <cell r="AO85">
            <v>0</v>
          </cell>
          <cell r="AQ85">
            <v>52.768988252306244</v>
          </cell>
          <cell r="AR85">
            <v>0</v>
          </cell>
          <cell r="AT85">
            <v>124.71493816741945</v>
          </cell>
          <cell r="AU85">
            <v>0</v>
          </cell>
          <cell r="AW85">
            <v>0</v>
          </cell>
          <cell r="AX85">
            <v>0</v>
          </cell>
        </row>
        <row r="86"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/>
          <cell r="W86">
            <v>0</v>
          </cell>
          <cell r="X86">
            <v>0</v>
          </cell>
          <cell r="Y86">
            <v>0</v>
          </cell>
          <cell r="Z86"/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120.80412032157389</v>
          </cell>
          <cell r="AF86">
            <v>0</v>
          </cell>
          <cell r="AH86">
            <v>167.13409673834016</v>
          </cell>
          <cell r="AI86">
            <v>0</v>
          </cell>
          <cell r="AK86">
            <v>227.91988548368033</v>
          </cell>
          <cell r="AL86">
            <v>0</v>
          </cell>
          <cell r="AN86">
            <v>78.705552175750455</v>
          </cell>
          <cell r="AO86">
            <v>0</v>
          </cell>
          <cell r="AQ86">
            <v>22.490068372102311</v>
          </cell>
          <cell r="AR86">
            <v>0</v>
          </cell>
          <cell r="AT86">
            <v>48.034030076738333</v>
          </cell>
          <cell r="AU86">
            <v>0</v>
          </cell>
          <cell r="AW86">
            <v>0</v>
          </cell>
          <cell r="AX86">
            <v>0</v>
          </cell>
        </row>
        <row r="87"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/>
          <cell r="W87">
            <v>0</v>
          </cell>
          <cell r="X87">
            <v>0</v>
          </cell>
          <cell r="Y87">
            <v>0</v>
          </cell>
          <cell r="Z87"/>
          <cell r="AA87">
            <v>0</v>
          </cell>
          <cell r="AB87">
            <v>0</v>
          </cell>
          <cell r="AC87">
            <v>522.70970284035616</v>
          </cell>
          <cell r="AD87">
            <v>0</v>
          </cell>
          <cell r="AE87">
            <v>205.94082565918421</v>
          </cell>
          <cell r="AF87">
            <v>0</v>
          </cell>
          <cell r="AH87">
            <v>327.66924542790565</v>
          </cell>
          <cell r="AI87">
            <v>0</v>
          </cell>
          <cell r="AK87">
            <v>427.11349242364076</v>
          </cell>
          <cell r="AL87">
            <v>0</v>
          </cell>
          <cell r="AN87">
            <v>142.59912413250379</v>
          </cell>
          <cell r="AO87">
            <v>0</v>
          </cell>
          <cell r="AQ87">
            <v>70.464078559636903</v>
          </cell>
          <cell r="AR87">
            <v>0</v>
          </cell>
          <cell r="AT87">
            <v>133.9978264959357</v>
          </cell>
          <cell r="AU87">
            <v>0</v>
          </cell>
          <cell r="AW87">
            <v>0</v>
          </cell>
          <cell r="AX87">
            <v>0</v>
          </cell>
        </row>
        <row r="88"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/>
          <cell r="W88">
            <v>0</v>
          </cell>
          <cell r="X88">
            <v>0</v>
          </cell>
          <cell r="Y88">
            <v>0</v>
          </cell>
          <cell r="Z88"/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72.267726688588141</v>
          </cell>
          <cell r="AF88">
            <v>352.16728040695443</v>
          </cell>
          <cell r="AH88">
            <v>96.860280139450751</v>
          </cell>
          <cell r="AI88">
            <v>0</v>
          </cell>
          <cell r="AK88">
            <v>78.98502057400087</v>
          </cell>
          <cell r="AL88">
            <v>0</v>
          </cell>
          <cell r="AN88">
            <v>54.362571797023676</v>
          </cell>
          <cell r="AO88">
            <v>0</v>
          </cell>
          <cell r="AQ88">
            <v>26.384494126153122</v>
          </cell>
          <cell r="AR88">
            <v>0</v>
          </cell>
          <cell r="AT88">
            <v>83.05021167631331</v>
          </cell>
          <cell r="AU88">
            <v>0</v>
          </cell>
          <cell r="AW88">
            <v>94.161478523291592</v>
          </cell>
          <cell r="AX88">
            <v>0</v>
          </cell>
        </row>
        <row r="89"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/>
          <cell r="W89">
            <v>0</v>
          </cell>
          <cell r="X89">
            <v>0</v>
          </cell>
          <cell r="Y89">
            <v>0</v>
          </cell>
          <cell r="Z89"/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4.1838094870111275</v>
          </cell>
          <cell r="AF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I90">
            <v>0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/>
          <cell r="W90">
            <v>3</v>
          </cell>
          <cell r="X90">
            <v>336.63573679185481</v>
          </cell>
          <cell r="Y90">
            <v>0</v>
          </cell>
          <cell r="Z90"/>
          <cell r="AA90">
            <v>0</v>
          </cell>
          <cell r="AB90">
            <v>0</v>
          </cell>
          <cell r="AC90">
            <v>0</v>
          </cell>
          <cell r="AD90">
            <v>1001.2640773887517</v>
          </cell>
          <cell r="AE90">
            <v>202.06990605035185</v>
          </cell>
          <cell r="AF90">
            <v>0</v>
          </cell>
          <cell r="AH90">
            <v>274.72892540618346</v>
          </cell>
          <cell r="AI90">
            <v>0</v>
          </cell>
          <cell r="AK90">
            <v>341.18561558757222</v>
          </cell>
          <cell r="AL90">
            <v>810.4161813659432</v>
          </cell>
          <cell r="AN90">
            <v>142.08269596907468</v>
          </cell>
          <cell r="AO90">
            <v>0</v>
          </cell>
          <cell r="AQ90">
            <v>233.85323677229661</v>
          </cell>
          <cell r="AR90">
            <v>0</v>
          </cell>
          <cell r="AT90">
            <v>267.81638294522492</v>
          </cell>
          <cell r="AU90">
            <v>0</v>
          </cell>
          <cell r="AW90">
            <v>187.38255906188371</v>
          </cell>
          <cell r="AX90">
            <v>0</v>
          </cell>
        </row>
        <row r="91"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/>
          <cell r="W91">
            <v>0</v>
          </cell>
          <cell r="X91">
            <v>0</v>
          </cell>
          <cell r="Y91">
            <v>0</v>
          </cell>
          <cell r="Z91"/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</row>
        <row r="92"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/>
          <cell r="W92">
            <v>0</v>
          </cell>
          <cell r="X92">
            <v>43.023721787953278</v>
          </cell>
          <cell r="Y92">
            <v>0</v>
          </cell>
          <cell r="Z92"/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186.05208943515458</v>
          </cell>
          <cell r="AF92">
            <v>0</v>
          </cell>
          <cell r="AH92">
            <v>251.52520330277241</v>
          </cell>
          <cell r="AI92">
            <v>0</v>
          </cell>
          <cell r="AK92">
            <v>75.295688921806018</v>
          </cell>
          <cell r="AL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T92">
            <v>70.178787536868555</v>
          </cell>
          <cell r="AU92">
            <v>0</v>
          </cell>
          <cell r="AW92">
            <v>78.880070559382432</v>
          </cell>
          <cell r="AX92">
            <v>0</v>
          </cell>
        </row>
        <row r="93">
          <cell r="I93">
            <v>27</v>
          </cell>
          <cell r="J93">
            <v>11233.331417028639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1.2</v>
          </cell>
          <cell r="S93">
            <v>131.39411824829114</v>
          </cell>
          <cell r="U93">
            <v>501.46671936717797</v>
          </cell>
          <cell r="V93"/>
          <cell r="W93">
            <v>0</v>
          </cell>
          <cell r="X93">
            <v>0</v>
          </cell>
          <cell r="Y93">
            <v>1461.450710299772</v>
          </cell>
          <cell r="Z93"/>
          <cell r="AA93">
            <v>0</v>
          </cell>
          <cell r="AB93">
            <v>0</v>
          </cell>
          <cell r="AC93">
            <v>0</v>
          </cell>
          <cell r="AD93">
            <v>2309.967804505422</v>
          </cell>
          <cell r="AE93">
            <v>134.13685304925804</v>
          </cell>
          <cell r="AF93">
            <v>0</v>
          </cell>
          <cell r="AH93">
            <v>183.15261693745566</v>
          </cell>
          <cell r="AI93">
            <v>0</v>
          </cell>
          <cell r="AK93">
            <v>212.78673471802713</v>
          </cell>
          <cell r="AL93">
            <v>0</v>
          </cell>
          <cell r="AN93">
            <v>90.737144763417078</v>
          </cell>
          <cell r="AO93">
            <v>429.10855592932234</v>
          </cell>
          <cell r="AQ93">
            <v>155.90215784819776</v>
          </cell>
          <cell r="AR93">
            <v>0</v>
          </cell>
          <cell r="AT93">
            <v>178.54425529681663</v>
          </cell>
          <cell r="AU93">
            <v>0</v>
          </cell>
          <cell r="AW93">
            <v>187.38255906188371</v>
          </cell>
          <cell r="AX93">
            <v>0</v>
          </cell>
        </row>
        <row r="94"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U94">
            <v>20398.153049100831</v>
          </cell>
          <cell r="V94"/>
          <cell r="W94">
            <v>0</v>
          </cell>
          <cell r="X94">
            <v>0</v>
          </cell>
          <cell r="Y94">
            <v>0</v>
          </cell>
          <cell r="Z94"/>
          <cell r="AA94">
            <v>0</v>
          </cell>
          <cell r="AB94">
            <v>0</v>
          </cell>
          <cell r="AC94">
            <v>0</v>
          </cell>
          <cell r="AD94">
            <v>1943.490567970327</v>
          </cell>
          <cell r="AE94">
            <v>137.83775051620293</v>
          </cell>
          <cell r="AF94">
            <v>0</v>
          </cell>
          <cell r="AH94">
            <v>196.28665419193635</v>
          </cell>
          <cell r="AI94">
            <v>0</v>
          </cell>
          <cell r="AK94">
            <v>213.70317684306562</v>
          </cell>
          <cell r="AL94">
            <v>0</v>
          </cell>
          <cell r="AN94">
            <v>94.011752103766042</v>
          </cell>
          <cell r="AO94">
            <v>0</v>
          </cell>
          <cell r="AQ94">
            <v>65.961235315382794</v>
          </cell>
          <cell r="AR94">
            <v>0</v>
          </cell>
          <cell r="AT94">
            <v>143.43543095359502</v>
          </cell>
          <cell r="AU94">
            <v>0</v>
          </cell>
          <cell r="AW94">
            <v>65.148817906898302</v>
          </cell>
          <cell r="AX94">
            <v>0</v>
          </cell>
        </row>
        <row r="95"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R95">
            <v>4</v>
          </cell>
          <cell r="S95">
            <v>9387.2579396086039</v>
          </cell>
          <cell r="U95">
            <v>35495.871010820425</v>
          </cell>
          <cell r="V95"/>
          <cell r="W95">
            <v>1</v>
          </cell>
          <cell r="X95">
            <v>431.07430808814581</v>
          </cell>
          <cell r="Y95">
            <v>750.47111043057976</v>
          </cell>
          <cell r="Z95"/>
          <cell r="AA95">
            <v>0</v>
          </cell>
          <cell r="AB95">
            <v>194.13056640554791</v>
          </cell>
          <cell r="AC95">
            <v>783.2822253366453</v>
          </cell>
          <cell r="AD95">
            <v>761.6982877839622</v>
          </cell>
          <cell r="AE95">
            <v>204.42021713237085</v>
          </cell>
          <cell r="AF95">
            <v>778.1554558640014</v>
          </cell>
          <cell r="AH95">
            <v>247.01192583841049</v>
          </cell>
          <cell r="AI95">
            <v>0</v>
          </cell>
          <cell r="AK95">
            <v>242.23676703378922</v>
          </cell>
          <cell r="AL95">
            <v>0</v>
          </cell>
          <cell r="AN95">
            <v>112.20924174271603</v>
          </cell>
          <cell r="AO95">
            <v>0</v>
          </cell>
          <cell r="AQ95">
            <v>65.961235315382794</v>
          </cell>
          <cell r="AR95">
            <v>0</v>
          </cell>
          <cell r="AT95">
            <v>125.7136219185039</v>
          </cell>
          <cell r="AU95">
            <v>0</v>
          </cell>
          <cell r="AW95">
            <v>65.815575516818669</v>
          </cell>
          <cell r="AX95">
            <v>0</v>
          </cell>
        </row>
        <row r="96"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U96">
            <v>22206.253498503</v>
          </cell>
          <cell r="V96"/>
          <cell r="W96">
            <v>0</v>
          </cell>
          <cell r="X96">
            <v>19.919244583156484</v>
          </cell>
          <cell r="Y96">
            <v>0</v>
          </cell>
          <cell r="Z96"/>
          <cell r="AA96">
            <v>0</v>
          </cell>
          <cell r="AB96">
            <v>0</v>
          </cell>
          <cell r="AC96">
            <v>1276.028042300406</v>
          </cell>
          <cell r="AD96">
            <v>764.71103616835831</v>
          </cell>
          <cell r="AE96">
            <v>224.64054342263609</v>
          </cell>
          <cell r="AF96">
            <v>425.98817545704691</v>
          </cell>
          <cell r="AH96">
            <v>267.27344362970138</v>
          </cell>
          <cell r="AI96">
            <v>0</v>
          </cell>
          <cell r="AK96">
            <v>249.74705045300354</v>
          </cell>
          <cell r="AL96">
            <v>0</v>
          </cell>
          <cell r="AN96">
            <v>116.76510375432694</v>
          </cell>
          <cell r="AO96">
            <v>0</v>
          </cell>
          <cell r="AQ96">
            <v>70.464078559636903</v>
          </cell>
          <cell r="AR96">
            <v>0</v>
          </cell>
          <cell r="AT96">
            <v>129.27437902784081</v>
          </cell>
          <cell r="AU96">
            <v>0</v>
          </cell>
          <cell r="AW96">
            <v>53.862315927238761</v>
          </cell>
          <cell r="AX96">
            <v>0</v>
          </cell>
        </row>
        <row r="97"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625.73787870407091</v>
          </cell>
          <cell r="V97"/>
          <cell r="W97">
            <v>0</v>
          </cell>
          <cell r="X97">
            <v>19.919244583156484</v>
          </cell>
          <cell r="Y97">
            <v>0</v>
          </cell>
          <cell r="Z97"/>
          <cell r="AA97">
            <v>0</v>
          </cell>
          <cell r="AB97">
            <v>0</v>
          </cell>
          <cell r="AC97">
            <v>0</v>
          </cell>
          <cell r="AD97">
            <v>471.222561219412</v>
          </cell>
          <cell r="AE97">
            <v>323.33608540472653</v>
          </cell>
          <cell r="AF97">
            <v>645.13426342048797</v>
          </cell>
          <cell r="AH97">
            <v>445.23247334072875</v>
          </cell>
          <cell r="AI97">
            <v>0</v>
          </cell>
          <cell r="AK97">
            <v>707.69677335411563</v>
          </cell>
          <cell r="AL97">
            <v>0</v>
          </cell>
          <cell r="AN97">
            <v>259.54606438313925</v>
          </cell>
          <cell r="AO97">
            <v>0</v>
          </cell>
          <cell r="AQ97">
            <v>389.75539462049437</v>
          </cell>
          <cell r="AR97">
            <v>0</v>
          </cell>
          <cell r="AT97">
            <v>305.88578314824531</v>
          </cell>
          <cell r="AU97">
            <v>631.08057496383105</v>
          </cell>
          <cell r="AW97">
            <v>186.43229164545758</v>
          </cell>
          <cell r="AX97">
            <v>0</v>
          </cell>
        </row>
        <row r="98"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/>
          <cell r="W98">
            <v>0</v>
          </cell>
          <cell r="X98">
            <v>94.51831583780509</v>
          </cell>
          <cell r="Y98">
            <v>0</v>
          </cell>
          <cell r="Z98"/>
          <cell r="AA98">
            <v>0</v>
          </cell>
          <cell r="AB98">
            <v>0</v>
          </cell>
          <cell r="AC98">
            <v>0</v>
          </cell>
          <cell r="AD98">
            <v>1022.1261315998441</v>
          </cell>
          <cell r="AE98">
            <v>269.67725713302559</v>
          </cell>
          <cell r="AF98">
            <v>3836.817335233668</v>
          </cell>
          <cell r="AH98">
            <v>410.25288405390029</v>
          </cell>
          <cell r="AI98">
            <v>0</v>
          </cell>
          <cell r="AK98">
            <v>461.00414588991288</v>
          </cell>
          <cell r="AL98">
            <v>0</v>
          </cell>
          <cell r="AN98">
            <v>184.90845320217682</v>
          </cell>
          <cell r="AO98">
            <v>0</v>
          </cell>
          <cell r="AQ98">
            <v>194.88983250281842</v>
          </cell>
          <cell r="AR98">
            <v>19.323966600000002</v>
          </cell>
          <cell r="AT98">
            <v>320.53124901133737</v>
          </cell>
          <cell r="AU98">
            <v>620.414238975481</v>
          </cell>
          <cell r="AW98">
            <v>127.01222515318118</v>
          </cell>
          <cell r="AX98">
            <v>0</v>
          </cell>
        </row>
        <row r="99"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/>
          <cell r="W99">
            <v>0</v>
          </cell>
          <cell r="X99">
            <v>0</v>
          </cell>
          <cell r="Y99">
            <v>0</v>
          </cell>
          <cell r="Z99"/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65.57164767213348</v>
          </cell>
          <cell r="AF99">
            <v>0</v>
          </cell>
          <cell r="AH99">
            <v>75.166243949094962</v>
          </cell>
          <cell r="AI99">
            <v>0</v>
          </cell>
          <cell r="AK99">
            <v>45.844143371333203</v>
          </cell>
          <cell r="AL99">
            <v>0</v>
          </cell>
          <cell r="AN99">
            <v>0</v>
          </cell>
          <cell r="AO99">
            <v>0</v>
          </cell>
          <cell r="AQ99">
            <v>0</v>
          </cell>
          <cell r="AR99">
            <v>0</v>
          </cell>
          <cell r="AT99">
            <v>13.268307429658046</v>
          </cell>
          <cell r="AU99">
            <v>0</v>
          </cell>
          <cell r="AW99">
            <v>0</v>
          </cell>
          <cell r="AX99">
            <v>0</v>
          </cell>
        </row>
        <row r="100"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/>
          <cell r="W100">
            <v>0</v>
          </cell>
          <cell r="X100">
            <v>0</v>
          </cell>
          <cell r="Y100">
            <v>0</v>
          </cell>
          <cell r="Z100"/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278.28634321365632</v>
          </cell>
          <cell r="AF100">
            <v>0</v>
          </cell>
          <cell r="AH100">
            <v>202.33697172952878</v>
          </cell>
          <cell r="AI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T100">
            <v>121.16066476790479</v>
          </cell>
          <cell r="AU100">
            <v>0</v>
          </cell>
          <cell r="AW100">
            <v>0</v>
          </cell>
          <cell r="AX100">
            <v>0</v>
          </cell>
        </row>
        <row r="101"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/>
          <cell r="W101">
            <v>0</v>
          </cell>
          <cell r="X101">
            <v>0</v>
          </cell>
          <cell r="Y101">
            <v>0</v>
          </cell>
          <cell r="Z101"/>
          <cell r="AA101">
            <v>0</v>
          </cell>
          <cell r="AB101">
            <v>0</v>
          </cell>
          <cell r="AC101">
            <v>109.74192315099162</v>
          </cell>
          <cell r="AD101">
            <v>0</v>
          </cell>
          <cell r="AE101">
            <v>61.647099991546234</v>
          </cell>
          <cell r="AF101">
            <v>0</v>
          </cell>
          <cell r="AH101">
            <v>74.22419333762916</v>
          </cell>
          <cell r="AI101">
            <v>0</v>
          </cell>
          <cell r="AK101">
            <v>37.481307210205827</v>
          </cell>
          <cell r="AL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T101">
            <v>13.206444555034306</v>
          </cell>
          <cell r="AU101">
            <v>0</v>
          </cell>
          <cell r="AW101">
            <v>0</v>
          </cell>
          <cell r="AX101">
            <v>0</v>
          </cell>
        </row>
        <row r="102"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/>
          <cell r="W102">
            <v>0</v>
          </cell>
          <cell r="X102">
            <v>0</v>
          </cell>
          <cell r="Y102">
            <v>0</v>
          </cell>
          <cell r="Z102"/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62.624915751524455</v>
          </cell>
          <cell r="AF102">
            <v>0</v>
          </cell>
          <cell r="AH102">
            <v>87.83954249182338</v>
          </cell>
          <cell r="AI102">
            <v>0</v>
          </cell>
          <cell r="AK102">
            <v>26.929707894682178</v>
          </cell>
          <cell r="AL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T102">
            <v>9.8614252960765771</v>
          </cell>
          <cell r="AU102">
            <v>0</v>
          </cell>
          <cell r="AW102">
            <v>0</v>
          </cell>
          <cell r="AX102">
            <v>0</v>
          </cell>
        </row>
        <row r="103"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/>
          <cell r="W103">
            <v>0</v>
          </cell>
          <cell r="X103">
            <v>0</v>
          </cell>
          <cell r="Y103">
            <v>0</v>
          </cell>
          <cell r="Z103"/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129.83068955272117</v>
          </cell>
          <cell r="AF103">
            <v>0</v>
          </cell>
          <cell r="AH103">
            <v>158.10153368374478</v>
          </cell>
          <cell r="AI103">
            <v>0</v>
          </cell>
          <cell r="AK103">
            <v>64.119955629500566</v>
          </cell>
          <cell r="AL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T103">
            <v>29.632723159187076</v>
          </cell>
          <cell r="AU103">
            <v>0</v>
          </cell>
          <cell r="AW103">
            <v>0</v>
          </cell>
          <cell r="AX103">
            <v>0</v>
          </cell>
        </row>
        <row r="104"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/>
          <cell r="W104">
            <v>0</v>
          </cell>
          <cell r="X104">
            <v>0</v>
          </cell>
          <cell r="Y104">
            <v>0</v>
          </cell>
          <cell r="Z104"/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136.87399555182537</v>
          </cell>
          <cell r="AF104">
            <v>0</v>
          </cell>
          <cell r="AH104">
            <v>189.71213226643653</v>
          </cell>
          <cell r="AI104">
            <v>0</v>
          </cell>
          <cell r="AK104">
            <v>102.89263852286297</v>
          </cell>
          <cell r="AL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T104">
            <v>29.632723159187076</v>
          </cell>
          <cell r="AU104">
            <v>0</v>
          </cell>
          <cell r="AW104">
            <v>0</v>
          </cell>
          <cell r="AX104">
            <v>0</v>
          </cell>
        </row>
        <row r="105"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/>
          <cell r="W105">
            <v>0</v>
          </cell>
          <cell r="X105">
            <v>0</v>
          </cell>
          <cell r="Y105">
            <v>0</v>
          </cell>
          <cell r="Z105"/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104.73648131794</v>
          </cell>
          <cell r="AF105">
            <v>0</v>
          </cell>
          <cell r="AH105">
            <v>158.78132636312557</v>
          </cell>
          <cell r="AI105">
            <v>0</v>
          </cell>
          <cell r="AK105">
            <v>39.003700583199688</v>
          </cell>
          <cell r="AL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T105">
            <v>19.771301113804686</v>
          </cell>
          <cell r="AU105">
            <v>0</v>
          </cell>
          <cell r="AW105">
            <v>0</v>
          </cell>
          <cell r="AX105">
            <v>0</v>
          </cell>
        </row>
        <row r="106"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/>
          <cell r="W106">
            <v>0</v>
          </cell>
          <cell r="X106">
            <v>0</v>
          </cell>
          <cell r="Y106">
            <v>0</v>
          </cell>
          <cell r="Z106"/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74.37925463325017</v>
          </cell>
          <cell r="AF106">
            <v>0</v>
          </cell>
          <cell r="AH106">
            <v>152.46894747690439</v>
          </cell>
          <cell r="AI106">
            <v>0</v>
          </cell>
          <cell r="AK106">
            <v>37.303148170468859</v>
          </cell>
          <cell r="AL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T106">
            <v>19.771301113804686</v>
          </cell>
          <cell r="AU106">
            <v>0</v>
          </cell>
          <cell r="AW106">
            <v>0</v>
          </cell>
          <cell r="AX106">
            <v>0</v>
          </cell>
        </row>
        <row r="107"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/>
          <cell r="W107">
            <v>0</v>
          </cell>
          <cell r="X107">
            <v>0</v>
          </cell>
          <cell r="Y107">
            <v>0</v>
          </cell>
          <cell r="Z107"/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103.00123221737752</v>
          </cell>
          <cell r="AF107">
            <v>0</v>
          </cell>
          <cell r="AH107">
            <v>127.17072778043382</v>
          </cell>
          <cell r="AI107">
            <v>0</v>
          </cell>
          <cell r="AK107">
            <v>36.881382527661664</v>
          </cell>
          <cell r="AL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T107">
            <v>19.771277081972755</v>
          </cell>
          <cell r="AU107">
            <v>0</v>
          </cell>
          <cell r="AW107">
            <v>0</v>
          </cell>
          <cell r="AX107">
            <v>0</v>
          </cell>
        </row>
        <row r="108"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/>
          <cell r="W108">
            <v>0</v>
          </cell>
          <cell r="X108">
            <v>0</v>
          </cell>
          <cell r="Y108">
            <v>0</v>
          </cell>
          <cell r="Z108"/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128.09725591400303</v>
          </cell>
          <cell r="AF108">
            <v>0</v>
          </cell>
          <cell r="AH108">
            <v>209.79530050336243</v>
          </cell>
          <cell r="AI108">
            <v>0</v>
          </cell>
          <cell r="AK108">
            <v>132.3516939143727</v>
          </cell>
          <cell r="AL108">
            <v>0</v>
          </cell>
          <cell r="AN108">
            <v>0</v>
          </cell>
          <cell r="AO108">
            <v>0</v>
          </cell>
          <cell r="AQ108">
            <v>0</v>
          </cell>
          <cell r="AR108">
            <v>0</v>
          </cell>
          <cell r="AT108">
            <v>35.916195899513809</v>
          </cell>
          <cell r="AU108">
            <v>0</v>
          </cell>
          <cell r="AW108">
            <v>0</v>
          </cell>
          <cell r="AX108">
            <v>0</v>
          </cell>
        </row>
        <row r="109"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/>
          <cell r="W109">
            <v>0</v>
          </cell>
          <cell r="X109">
            <v>0</v>
          </cell>
          <cell r="Y109">
            <v>0</v>
          </cell>
          <cell r="Z109"/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149.27602959383947</v>
          </cell>
          <cell r="AF109">
            <v>0</v>
          </cell>
          <cell r="AH109">
            <v>200.97730468011736</v>
          </cell>
          <cell r="AI109">
            <v>0</v>
          </cell>
          <cell r="AK109">
            <v>166.70191689660794</v>
          </cell>
          <cell r="AL109">
            <v>0</v>
          </cell>
          <cell r="AN109">
            <v>0</v>
          </cell>
          <cell r="AO109">
            <v>0</v>
          </cell>
          <cell r="AQ109">
            <v>0</v>
          </cell>
          <cell r="AR109">
            <v>0</v>
          </cell>
          <cell r="AT109">
            <v>60.485387360254336</v>
          </cell>
          <cell r="AU109">
            <v>0</v>
          </cell>
          <cell r="AW109">
            <v>0</v>
          </cell>
          <cell r="AX109">
            <v>0</v>
          </cell>
        </row>
        <row r="110">
          <cell r="I110">
            <v>0</v>
          </cell>
          <cell r="J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/>
          <cell r="W110">
            <v>0</v>
          </cell>
          <cell r="X110">
            <v>0</v>
          </cell>
          <cell r="Y110">
            <v>0</v>
          </cell>
          <cell r="Z110"/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66.793785964930606</v>
          </cell>
          <cell r="AF110">
            <v>0</v>
          </cell>
          <cell r="AH110">
            <v>148.24448739911162</v>
          </cell>
          <cell r="AI110">
            <v>0</v>
          </cell>
          <cell r="AK110">
            <v>27.646517586814632</v>
          </cell>
          <cell r="AL110">
            <v>0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T110">
            <v>19.771301113804686</v>
          </cell>
          <cell r="AU110">
            <v>0</v>
          </cell>
          <cell r="AW110">
            <v>0</v>
          </cell>
          <cell r="AX110">
            <v>0</v>
          </cell>
        </row>
        <row r="111">
          <cell r="I111">
            <v>0</v>
          </cell>
          <cell r="J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/>
          <cell r="W111">
            <v>0</v>
          </cell>
          <cell r="X111">
            <v>0</v>
          </cell>
          <cell r="Y111">
            <v>0</v>
          </cell>
          <cell r="Z111"/>
          <cell r="AA111">
            <v>0</v>
          </cell>
          <cell r="AB111">
            <v>0</v>
          </cell>
          <cell r="AC111">
            <v>0</v>
          </cell>
          <cell r="AD111">
            <v>1093.9336000106091</v>
          </cell>
          <cell r="AE111">
            <v>146.35357130536974</v>
          </cell>
          <cell r="AF111">
            <v>0</v>
          </cell>
          <cell r="AH111">
            <v>199.98679498901538</v>
          </cell>
          <cell r="AI111">
            <v>0</v>
          </cell>
          <cell r="AK111">
            <v>164.52396800690619</v>
          </cell>
          <cell r="AL111">
            <v>0</v>
          </cell>
          <cell r="AN111">
            <v>0</v>
          </cell>
          <cell r="AO111">
            <v>0</v>
          </cell>
          <cell r="AQ111">
            <v>0</v>
          </cell>
          <cell r="AR111">
            <v>0</v>
          </cell>
          <cell r="AT111">
            <v>60.056147680914883</v>
          </cell>
          <cell r="AU111">
            <v>0</v>
          </cell>
          <cell r="AW111">
            <v>0</v>
          </cell>
          <cell r="AX111">
            <v>0</v>
          </cell>
        </row>
        <row r="112"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/>
          <cell r="W112">
            <v>0</v>
          </cell>
          <cell r="X112">
            <v>0</v>
          </cell>
          <cell r="Y112">
            <v>0</v>
          </cell>
          <cell r="Z112"/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94.800233592295626</v>
          </cell>
          <cell r="AF112">
            <v>0</v>
          </cell>
          <cell r="AH112">
            <v>117.77975701338245</v>
          </cell>
          <cell r="AI112">
            <v>0</v>
          </cell>
          <cell r="AK112">
            <v>49.688136637059898</v>
          </cell>
          <cell r="AL112">
            <v>518.61230642048793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T112">
            <v>34.837121188239912</v>
          </cell>
          <cell r="AU112">
            <v>0</v>
          </cell>
          <cell r="AW112">
            <v>0</v>
          </cell>
          <cell r="AX112">
            <v>0</v>
          </cell>
        </row>
        <row r="113"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/>
          <cell r="W113">
            <v>0</v>
          </cell>
          <cell r="X113">
            <v>0</v>
          </cell>
          <cell r="Y113">
            <v>1760.5446491460186</v>
          </cell>
          <cell r="Z113"/>
          <cell r="AA113">
            <v>0</v>
          </cell>
          <cell r="AB113">
            <v>0</v>
          </cell>
          <cell r="AC113">
            <v>971.31879646579591</v>
          </cell>
          <cell r="AD113">
            <v>0</v>
          </cell>
          <cell r="AE113">
            <v>244.42904331491323</v>
          </cell>
          <cell r="AF113">
            <v>0</v>
          </cell>
          <cell r="AH113">
            <v>370.97542606793741</v>
          </cell>
          <cell r="AI113">
            <v>0</v>
          </cell>
          <cell r="AK113">
            <v>313.66672284506978</v>
          </cell>
          <cell r="AL113">
            <v>0</v>
          </cell>
          <cell r="AN113">
            <v>0</v>
          </cell>
          <cell r="AO113">
            <v>0</v>
          </cell>
          <cell r="AQ113">
            <v>0</v>
          </cell>
          <cell r="AR113">
            <v>0</v>
          </cell>
          <cell r="AT113">
            <v>108.30269141259552</v>
          </cell>
          <cell r="AU113">
            <v>0</v>
          </cell>
          <cell r="AW113">
            <v>0</v>
          </cell>
          <cell r="AX113">
            <v>0</v>
          </cell>
        </row>
        <row r="114"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/>
          <cell r="W114">
            <v>0</v>
          </cell>
          <cell r="X114">
            <v>24.235465599437198</v>
          </cell>
          <cell r="Y114">
            <v>0</v>
          </cell>
          <cell r="Z114"/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169.7904243905044</v>
          </cell>
          <cell r="AF114">
            <v>0</v>
          </cell>
          <cell r="AH114">
            <v>250.58315269130659</v>
          </cell>
          <cell r="AI114">
            <v>0</v>
          </cell>
          <cell r="AK114">
            <v>240.66409739837528</v>
          </cell>
          <cell r="AL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T114">
            <v>69.694344771707904</v>
          </cell>
          <cell r="AU114">
            <v>0</v>
          </cell>
          <cell r="AW114">
            <v>0</v>
          </cell>
          <cell r="AX114">
            <v>0</v>
          </cell>
        </row>
        <row r="115"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/>
          <cell r="W115">
            <v>0</v>
          </cell>
          <cell r="X115">
            <v>0</v>
          </cell>
          <cell r="Y115">
            <v>0</v>
          </cell>
          <cell r="Z115"/>
          <cell r="AA115">
            <v>0</v>
          </cell>
          <cell r="AB115">
            <v>0</v>
          </cell>
          <cell r="AC115">
            <v>0</v>
          </cell>
          <cell r="AD115">
            <v>388.85009456710986</v>
          </cell>
          <cell r="AE115">
            <v>105.27399646775474</v>
          </cell>
          <cell r="AF115">
            <v>0</v>
          </cell>
          <cell r="AH115">
            <v>140.84536735076762</v>
          </cell>
          <cell r="AI115">
            <v>0</v>
          </cell>
          <cell r="AK115">
            <v>172.52999303886682</v>
          </cell>
          <cell r="AL115">
            <v>0</v>
          </cell>
          <cell r="AN115">
            <v>62.030552270349432</v>
          </cell>
          <cell r="AO115">
            <v>0</v>
          </cell>
          <cell r="AQ115">
            <v>35.219944932571877</v>
          </cell>
          <cell r="AR115">
            <v>0</v>
          </cell>
          <cell r="AT115">
            <v>86.679575327637068</v>
          </cell>
          <cell r="AU115">
            <v>0</v>
          </cell>
          <cell r="AW115">
            <v>0</v>
          </cell>
          <cell r="AX115">
            <v>0</v>
          </cell>
        </row>
        <row r="116"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/>
          <cell r="W116">
            <v>0</v>
          </cell>
          <cell r="X116">
            <v>0</v>
          </cell>
          <cell r="Y116">
            <v>0</v>
          </cell>
          <cell r="Z116"/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208.68357540627463</v>
          </cell>
          <cell r="AF116">
            <v>820.68830455751629</v>
          </cell>
          <cell r="AH116">
            <v>265.33664916087628</v>
          </cell>
          <cell r="AI116">
            <v>0</v>
          </cell>
          <cell r="AK116">
            <v>274.04768569408526</v>
          </cell>
          <cell r="AL116">
            <v>0</v>
          </cell>
          <cell r="AN116">
            <v>114.36755956189184</v>
          </cell>
          <cell r="AO116">
            <v>0</v>
          </cell>
          <cell r="AQ116">
            <v>65.961235315382794</v>
          </cell>
          <cell r="AR116">
            <v>0</v>
          </cell>
          <cell r="AT116">
            <v>173.06738905400283</v>
          </cell>
          <cell r="AU116">
            <v>0</v>
          </cell>
          <cell r="AW116">
            <v>0</v>
          </cell>
          <cell r="AX116">
            <v>0</v>
          </cell>
        </row>
        <row r="117"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/>
          <cell r="W117">
            <v>0</v>
          </cell>
          <cell r="X117">
            <v>0</v>
          </cell>
          <cell r="Y117">
            <v>0</v>
          </cell>
          <cell r="Z117"/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H117">
            <v>0</v>
          </cell>
          <cell r="AI117">
            <v>0</v>
          </cell>
          <cell r="AK117">
            <v>0</v>
          </cell>
          <cell r="AL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T117">
            <v>0</v>
          </cell>
          <cell r="AU117">
            <v>0</v>
          </cell>
          <cell r="AW117">
            <v>0</v>
          </cell>
          <cell r="AX117">
            <v>0</v>
          </cell>
        </row>
        <row r="118"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/>
          <cell r="W118">
            <v>0</v>
          </cell>
          <cell r="X118">
            <v>0</v>
          </cell>
          <cell r="Y118">
            <v>0</v>
          </cell>
          <cell r="Z118"/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65.283353780054597</v>
          </cell>
          <cell r="AF118">
            <v>0</v>
          </cell>
          <cell r="AH118">
            <v>90.238260002622894</v>
          </cell>
          <cell r="AI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T118">
            <v>15.221714027152627</v>
          </cell>
          <cell r="AU118">
            <v>0</v>
          </cell>
          <cell r="AW118">
            <v>0</v>
          </cell>
          <cell r="AX118">
            <v>0</v>
          </cell>
        </row>
        <row r="119"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/>
          <cell r="W119">
            <v>0</v>
          </cell>
          <cell r="X119">
            <v>0</v>
          </cell>
          <cell r="Y119">
            <v>0</v>
          </cell>
          <cell r="Z119"/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H119">
            <v>0</v>
          </cell>
          <cell r="AI119">
            <v>0</v>
          </cell>
          <cell r="AK119">
            <v>0</v>
          </cell>
          <cell r="AL119">
            <v>0</v>
          </cell>
          <cell r="AN119">
            <v>0</v>
          </cell>
          <cell r="AO119">
            <v>0</v>
          </cell>
          <cell r="AQ119">
            <v>0</v>
          </cell>
          <cell r="AR119">
            <v>0</v>
          </cell>
          <cell r="AT119">
            <v>0</v>
          </cell>
          <cell r="AU119">
            <v>0</v>
          </cell>
          <cell r="AW119">
            <v>0</v>
          </cell>
          <cell r="AX119">
            <v>0</v>
          </cell>
        </row>
        <row r="120"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/>
          <cell r="W120">
            <v>0</v>
          </cell>
          <cell r="X120">
            <v>0</v>
          </cell>
          <cell r="Y120">
            <v>0</v>
          </cell>
          <cell r="Z120"/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Q120">
            <v>0</v>
          </cell>
          <cell r="AR120">
            <v>0</v>
          </cell>
          <cell r="AT120">
            <v>0</v>
          </cell>
          <cell r="AU120">
            <v>0</v>
          </cell>
          <cell r="AW120">
            <v>0</v>
          </cell>
          <cell r="AX120">
            <v>0</v>
          </cell>
        </row>
        <row r="121"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/>
          <cell r="W121">
            <v>0</v>
          </cell>
          <cell r="X121">
            <v>0</v>
          </cell>
          <cell r="Y121">
            <v>0</v>
          </cell>
          <cell r="Z121"/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H121">
            <v>0</v>
          </cell>
          <cell r="AI121">
            <v>0</v>
          </cell>
          <cell r="AK121">
            <v>0</v>
          </cell>
          <cell r="AL121">
            <v>0</v>
          </cell>
          <cell r="AN121">
            <v>0</v>
          </cell>
          <cell r="AO121">
            <v>0</v>
          </cell>
          <cell r="AQ121">
            <v>0</v>
          </cell>
          <cell r="AR121">
            <v>0</v>
          </cell>
          <cell r="AT121">
            <v>0</v>
          </cell>
          <cell r="AU121">
            <v>0</v>
          </cell>
          <cell r="AW121">
            <v>0</v>
          </cell>
          <cell r="AX121">
            <v>0</v>
          </cell>
        </row>
        <row r="122"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/>
          <cell r="W122">
            <v>0</v>
          </cell>
          <cell r="X122">
            <v>0</v>
          </cell>
          <cell r="Y122">
            <v>0</v>
          </cell>
          <cell r="Z122"/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H122">
            <v>0</v>
          </cell>
          <cell r="AI122">
            <v>0</v>
          </cell>
          <cell r="AK122">
            <v>0</v>
          </cell>
          <cell r="AL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T122">
            <v>0</v>
          </cell>
          <cell r="AU122">
            <v>0</v>
          </cell>
          <cell r="AW122">
            <v>0</v>
          </cell>
          <cell r="AX122">
            <v>0</v>
          </cell>
        </row>
        <row r="123"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/>
          <cell r="W123">
            <v>0</v>
          </cell>
          <cell r="X123">
            <v>0</v>
          </cell>
          <cell r="Y123">
            <v>0</v>
          </cell>
          <cell r="Z123"/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293.41770088640146</v>
          </cell>
          <cell r="AF123">
            <v>0</v>
          </cell>
          <cell r="AH123">
            <v>479.78182875221421</v>
          </cell>
          <cell r="AI123">
            <v>0</v>
          </cell>
          <cell r="AK123">
            <v>298.87887909621088</v>
          </cell>
          <cell r="AL123">
            <v>0</v>
          </cell>
          <cell r="AN123">
            <v>0</v>
          </cell>
          <cell r="AO123">
            <v>0</v>
          </cell>
          <cell r="AQ123">
            <v>119.94714023874553</v>
          </cell>
          <cell r="AR123">
            <v>0</v>
          </cell>
          <cell r="AT123">
            <v>216.37577436144372</v>
          </cell>
          <cell r="AU123">
            <v>0</v>
          </cell>
          <cell r="AW123">
            <v>0</v>
          </cell>
          <cell r="AX123">
            <v>0</v>
          </cell>
        </row>
        <row r="124"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/>
          <cell r="W124">
            <v>0</v>
          </cell>
          <cell r="X124">
            <v>0</v>
          </cell>
          <cell r="Y124">
            <v>0</v>
          </cell>
          <cell r="Z124"/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H124">
            <v>0</v>
          </cell>
          <cell r="AI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T124">
            <v>0</v>
          </cell>
          <cell r="AU124">
            <v>0</v>
          </cell>
          <cell r="AW124">
            <v>0</v>
          </cell>
          <cell r="AX124">
            <v>0</v>
          </cell>
        </row>
        <row r="125"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/>
          <cell r="W125">
            <v>0</v>
          </cell>
          <cell r="X125">
            <v>0</v>
          </cell>
          <cell r="Y125">
            <v>0</v>
          </cell>
          <cell r="Z125"/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H125">
            <v>0</v>
          </cell>
          <cell r="AI125">
            <v>0</v>
          </cell>
          <cell r="AK125">
            <v>0</v>
          </cell>
          <cell r="AL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T125">
            <v>0</v>
          </cell>
          <cell r="AU125">
            <v>0</v>
          </cell>
          <cell r="AW125">
            <v>0</v>
          </cell>
          <cell r="AX125">
            <v>0</v>
          </cell>
        </row>
        <row r="126"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/>
          <cell r="W126">
            <v>0</v>
          </cell>
          <cell r="X126">
            <v>0</v>
          </cell>
          <cell r="Y126">
            <v>0</v>
          </cell>
          <cell r="Z126"/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H126">
            <v>0</v>
          </cell>
          <cell r="AI126">
            <v>0</v>
          </cell>
          <cell r="AK126">
            <v>0</v>
          </cell>
          <cell r="AL126">
            <v>0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T126">
            <v>0</v>
          </cell>
          <cell r="AU126">
            <v>0</v>
          </cell>
          <cell r="AW126">
            <v>0</v>
          </cell>
          <cell r="AX126">
            <v>0</v>
          </cell>
        </row>
        <row r="127"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/>
          <cell r="W127">
            <v>0</v>
          </cell>
          <cell r="X127">
            <v>40.392442665728666</v>
          </cell>
          <cell r="Y127">
            <v>0</v>
          </cell>
          <cell r="Z127"/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310.69298550910793</v>
          </cell>
          <cell r="AF127">
            <v>0</v>
          </cell>
          <cell r="AH127">
            <v>490.31866771622811</v>
          </cell>
          <cell r="AI127">
            <v>0</v>
          </cell>
          <cell r="AK127">
            <v>298.96762202027503</v>
          </cell>
          <cell r="AL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T127">
            <v>259.81939144057162</v>
          </cell>
          <cell r="AU127">
            <v>0</v>
          </cell>
          <cell r="AW127">
            <v>0</v>
          </cell>
          <cell r="AX127">
            <v>0</v>
          </cell>
        </row>
        <row r="128">
          <cell r="I128">
            <v>7</v>
          </cell>
          <cell r="J128">
            <v>2833.0986883497731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/>
          <cell r="W128">
            <v>0</v>
          </cell>
          <cell r="X128">
            <v>0</v>
          </cell>
          <cell r="Y128">
            <v>0</v>
          </cell>
          <cell r="Z128"/>
          <cell r="AA128">
            <v>0</v>
          </cell>
          <cell r="AB128">
            <v>0</v>
          </cell>
          <cell r="AC128">
            <v>2708.6776746803898</v>
          </cell>
          <cell r="AD128">
            <v>0</v>
          </cell>
          <cell r="AE128">
            <v>328.46265580426922</v>
          </cell>
          <cell r="AF128">
            <v>0</v>
          </cell>
          <cell r="AH128">
            <v>392.18005276187682</v>
          </cell>
          <cell r="AI128">
            <v>0</v>
          </cell>
          <cell r="AK128">
            <v>372.00327676087647</v>
          </cell>
          <cell r="AL128">
            <v>0</v>
          </cell>
          <cell r="AN128">
            <v>189.47734017193309</v>
          </cell>
          <cell r="AO128">
            <v>0</v>
          </cell>
          <cell r="AQ128">
            <v>105.68402349220877</v>
          </cell>
          <cell r="AR128">
            <v>5465.3785898137121</v>
          </cell>
          <cell r="AT128">
            <v>220.07829963175874</v>
          </cell>
          <cell r="AU128">
            <v>1490.4433143344122</v>
          </cell>
          <cell r="AW128">
            <v>79.769107936159529</v>
          </cell>
          <cell r="AX128">
            <v>0</v>
          </cell>
        </row>
        <row r="129">
          <cell r="I129">
            <v>1</v>
          </cell>
          <cell r="J129">
            <v>2889.7562731489329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2</v>
          </cell>
          <cell r="S129">
            <v>1234.1887945894</v>
          </cell>
          <cell r="U129">
            <v>0</v>
          </cell>
          <cell r="V129"/>
          <cell r="W129">
            <v>0</v>
          </cell>
          <cell r="X129">
            <v>0</v>
          </cell>
          <cell r="Y129">
            <v>0</v>
          </cell>
          <cell r="Z129"/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369.47411731187549</v>
          </cell>
          <cell r="AF129">
            <v>0</v>
          </cell>
          <cell r="AH129">
            <v>475.19115838972868</v>
          </cell>
          <cell r="AI129">
            <v>0</v>
          </cell>
          <cell r="AK129">
            <v>655.87603860784714</v>
          </cell>
          <cell r="AL129">
            <v>0</v>
          </cell>
          <cell r="AN129">
            <v>238.48745367779139</v>
          </cell>
          <cell r="AO129">
            <v>0</v>
          </cell>
          <cell r="AQ129">
            <v>105.68402349220877</v>
          </cell>
          <cell r="AR129">
            <v>294.13123099999996</v>
          </cell>
          <cell r="AT129">
            <v>223.64458815826015</v>
          </cell>
          <cell r="AU129">
            <v>0</v>
          </cell>
          <cell r="AW129">
            <v>81.769380765920587</v>
          </cell>
          <cell r="AX129">
            <v>0</v>
          </cell>
        </row>
        <row r="130"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/>
          <cell r="W130">
            <v>0</v>
          </cell>
          <cell r="X130">
            <v>0</v>
          </cell>
          <cell r="Y130">
            <v>0</v>
          </cell>
          <cell r="Z130"/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H130">
            <v>0</v>
          </cell>
          <cell r="AI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T130">
            <v>0</v>
          </cell>
          <cell r="AU130">
            <v>0</v>
          </cell>
          <cell r="AW130">
            <v>0</v>
          </cell>
          <cell r="AX130">
            <v>0</v>
          </cell>
        </row>
        <row r="131"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/>
          <cell r="W131">
            <v>0</v>
          </cell>
          <cell r="X131">
            <v>0</v>
          </cell>
          <cell r="Y131">
            <v>0</v>
          </cell>
          <cell r="Z131"/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H131">
            <v>0</v>
          </cell>
          <cell r="AI131">
            <v>0</v>
          </cell>
          <cell r="AK131">
            <v>0</v>
          </cell>
          <cell r="AL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T131">
            <v>0</v>
          </cell>
          <cell r="AU131">
            <v>0</v>
          </cell>
          <cell r="AW131">
            <v>0</v>
          </cell>
          <cell r="AX131">
            <v>0</v>
          </cell>
        </row>
        <row r="132"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/>
          <cell r="W132">
            <v>0</v>
          </cell>
          <cell r="X132">
            <v>0</v>
          </cell>
          <cell r="Y132">
            <v>0</v>
          </cell>
          <cell r="Z132"/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H132">
            <v>0</v>
          </cell>
          <cell r="AI132">
            <v>0</v>
          </cell>
          <cell r="AK132">
            <v>0</v>
          </cell>
          <cell r="AL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</row>
        <row r="133"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/>
          <cell r="W133">
            <v>0</v>
          </cell>
          <cell r="X133">
            <v>0</v>
          </cell>
          <cell r="Y133">
            <v>0</v>
          </cell>
          <cell r="Z133"/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124.99549231576577</v>
          </cell>
          <cell r="AF133">
            <v>0</v>
          </cell>
          <cell r="AH133">
            <v>153.02341104794502</v>
          </cell>
          <cell r="AI133">
            <v>0</v>
          </cell>
          <cell r="AK133">
            <v>335.89607452838891</v>
          </cell>
          <cell r="AL133">
            <v>0</v>
          </cell>
          <cell r="AN133">
            <v>111.59307533867725</v>
          </cell>
          <cell r="AO133">
            <v>0</v>
          </cell>
          <cell r="AQ133">
            <v>32.980617657691397</v>
          </cell>
          <cell r="AR133">
            <v>0</v>
          </cell>
          <cell r="AT133">
            <v>43.380793390018312</v>
          </cell>
          <cell r="AU133">
            <v>0</v>
          </cell>
          <cell r="AW133">
            <v>0</v>
          </cell>
          <cell r="AX133">
            <v>0</v>
          </cell>
        </row>
        <row r="134"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/>
          <cell r="W134">
            <v>0</v>
          </cell>
          <cell r="X134">
            <v>0</v>
          </cell>
          <cell r="Y134">
            <v>0</v>
          </cell>
          <cell r="Z134"/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H134">
            <v>0</v>
          </cell>
          <cell r="AI134">
            <v>0</v>
          </cell>
          <cell r="AK134">
            <v>0</v>
          </cell>
          <cell r="AL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T134">
            <v>0</v>
          </cell>
          <cell r="AU134">
            <v>0</v>
          </cell>
          <cell r="AW134">
            <v>0</v>
          </cell>
          <cell r="AX134">
            <v>0</v>
          </cell>
        </row>
        <row r="135"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/>
          <cell r="W135">
            <v>0</v>
          </cell>
          <cell r="X135">
            <v>0</v>
          </cell>
          <cell r="Y135">
            <v>0</v>
          </cell>
          <cell r="Z135"/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H135">
            <v>0</v>
          </cell>
          <cell r="AI135">
            <v>0</v>
          </cell>
          <cell r="AK135">
            <v>10.841388784924442</v>
          </cell>
          <cell r="AL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</row>
        <row r="136"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/>
          <cell r="W136">
            <v>0</v>
          </cell>
          <cell r="X136">
            <v>1021.3748459435195</v>
          </cell>
          <cell r="Y136">
            <v>0</v>
          </cell>
          <cell r="Z136"/>
          <cell r="AA136">
            <v>0</v>
          </cell>
          <cell r="AB136">
            <v>0</v>
          </cell>
          <cell r="AC136">
            <v>565.81201394353832</v>
          </cell>
          <cell r="AD136">
            <v>0</v>
          </cell>
          <cell r="AE136">
            <v>143.40667600346097</v>
          </cell>
          <cell r="AF136">
            <v>0</v>
          </cell>
          <cell r="AH136">
            <v>195.76233491122258</v>
          </cell>
          <cell r="AI136">
            <v>0</v>
          </cell>
          <cell r="AK136">
            <v>195.83071739750042</v>
          </cell>
          <cell r="AL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T136">
            <v>58.242111861801746</v>
          </cell>
          <cell r="AU136">
            <v>0</v>
          </cell>
          <cell r="AW136">
            <v>0</v>
          </cell>
          <cell r="AX136">
            <v>0</v>
          </cell>
        </row>
        <row r="137"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5</v>
          </cell>
          <cell r="S137">
            <v>150139.44115863141</v>
          </cell>
          <cell r="U137">
            <v>406.57322985824641</v>
          </cell>
          <cell r="V137"/>
          <cell r="W137">
            <v>0</v>
          </cell>
          <cell r="X137">
            <v>55.856977857750493</v>
          </cell>
          <cell r="Y137">
            <v>0</v>
          </cell>
          <cell r="Z137"/>
          <cell r="AA137">
            <v>0</v>
          </cell>
          <cell r="AB137">
            <v>0</v>
          </cell>
          <cell r="AC137">
            <v>0</v>
          </cell>
          <cell r="AD137">
            <v>1067.134710766461</v>
          </cell>
          <cell r="AE137">
            <v>161.43598939048366</v>
          </cell>
          <cell r="AF137">
            <v>0</v>
          </cell>
          <cell r="AH137">
            <v>216.85252149748126</v>
          </cell>
          <cell r="AI137">
            <v>0</v>
          </cell>
          <cell r="AK137">
            <v>245.14168481353812</v>
          </cell>
          <cell r="AL137">
            <v>0</v>
          </cell>
          <cell r="AN137">
            <v>99.504095214135731</v>
          </cell>
          <cell r="AO137">
            <v>0</v>
          </cell>
          <cell r="AQ137">
            <v>65.961235315382794</v>
          </cell>
          <cell r="AR137">
            <v>0</v>
          </cell>
          <cell r="AT137">
            <v>143.99064936730142</v>
          </cell>
          <cell r="AU137">
            <v>990.29746557913325</v>
          </cell>
          <cell r="AW137">
            <v>65.815575516818669</v>
          </cell>
          <cell r="AX137">
            <v>0</v>
          </cell>
        </row>
        <row r="138"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/>
          <cell r="W138">
            <v>0</v>
          </cell>
          <cell r="X138">
            <v>0</v>
          </cell>
          <cell r="Y138">
            <v>0</v>
          </cell>
          <cell r="Z138"/>
          <cell r="AA138">
            <v>0</v>
          </cell>
          <cell r="AB138">
            <v>1246.6926820617689</v>
          </cell>
          <cell r="AC138">
            <v>387.76790573994549</v>
          </cell>
          <cell r="AD138">
            <v>0</v>
          </cell>
          <cell r="AE138">
            <v>142.83996650654154</v>
          </cell>
          <cell r="AF138">
            <v>0</v>
          </cell>
          <cell r="AH138">
            <v>195.76233491122258</v>
          </cell>
          <cell r="AI138">
            <v>0</v>
          </cell>
          <cell r="AK138">
            <v>185.89456253896032</v>
          </cell>
          <cell r="AL138">
            <v>0</v>
          </cell>
          <cell r="AN138">
            <v>0</v>
          </cell>
          <cell r="AO138">
            <v>0</v>
          </cell>
          <cell r="AQ138">
            <v>0</v>
          </cell>
          <cell r="AR138">
            <v>0</v>
          </cell>
          <cell r="AT138">
            <v>58.242111861801746</v>
          </cell>
          <cell r="AU138">
            <v>0</v>
          </cell>
          <cell r="AW138">
            <v>0</v>
          </cell>
          <cell r="AX138">
            <v>0</v>
          </cell>
        </row>
        <row r="139"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/>
          <cell r="W139">
            <v>0</v>
          </cell>
          <cell r="X139">
            <v>0</v>
          </cell>
          <cell r="Y139">
            <v>1284.6019576058593</v>
          </cell>
          <cell r="Z139"/>
          <cell r="AA139">
            <v>0</v>
          </cell>
          <cell r="AB139">
            <v>0</v>
          </cell>
          <cell r="AC139">
            <v>89.765067972397617</v>
          </cell>
          <cell r="AD139">
            <v>0</v>
          </cell>
          <cell r="AE139">
            <v>95.899640838670678</v>
          </cell>
          <cell r="AF139">
            <v>0</v>
          </cell>
          <cell r="AH139">
            <v>149.39035559607422</v>
          </cell>
          <cell r="AI139">
            <v>0</v>
          </cell>
          <cell r="AK139">
            <v>75.981484148226926</v>
          </cell>
          <cell r="AL139">
            <v>0</v>
          </cell>
          <cell r="AN139">
            <v>0</v>
          </cell>
          <cell r="AO139">
            <v>0</v>
          </cell>
          <cell r="AQ139">
            <v>0</v>
          </cell>
          <cell r="AR139">
            <v>0</v>
          </cell>
          <cell r="AT139">
            <v>40.779527065714653</v>
          </cell>
          <cell r="AU139">
            <v>0</v>
          </cell>
          <cell r="AW139">
            <v>0</v>
          </cell>
          <cell r="AX139">
            <v>0</v>
          </cell>
        </row>
        <row r="140"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/>
          <cell r="W140">
            <v>0</v>
          </cell>
          <cell r="X140">
            <v>0</v>
          </cell>
          <cell r="Y140">
            <v>0</v>
          </cell>
          <cell r="Z140"/>
          <cell r="AA140">
            <v>0</v>
          </cell>
          <cell r="AB140">
            <v>0</v>
          </cell>
          <cell r="AC140">
            <v>114.46218925325803</v>
          </cell>
          <cell r="AD140">
            <v>0</v>
          </cell>
          <cell r="AE140">
            <v>59.085306560631935</v>
          </cell>
          <cell r="AF140">
            <v>0</v>
          </cell>
          <cell r="AH140">
            <v>72.08773375891468</v>
          </cell>
          <cell r="AI140">
            <v>0</v>
          </cell>
          <cell r="AK140">
            <v>44.209091793188861</v>
          </cell>
          <cell r="AL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T140">
            <v>13.131198850039331</v>
          </cell>
          <cell r="AU140">
            <v>0</v>
          </cell>
          <cell r="AW140">
            <v>0</v>
          </cell>
          <cell r="AX140">
            <v>0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/>
          <cell r="W141">
            <v>0</v>
          </cell>
          <cell r="X141">
            <v>0</v>
          </cell>
          <cell r="Y141">
            <v>0</v>
          </cell>
          <cell r="Z141"/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309.24744506594914</v>
          </cell>
          <cell r="AF141">
            <v>0</v>
          </cell>
          <cell r="AH141">
            <v>490.42556714245251</v>
          </cell>
          <cell r="AI141">
            <v>0</v>
          </cell>
          <cell r="AK141">
            <v>430.839921178493</v>
          </cell>
          <cell r="AL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T141">
            <v>174.4186197559111</v>
          </cell>
          <cell r="AU141">
            <v>0</v>
          </cell>
          <cell r="AW141">
            <v>0</v>
          </cell>
          <cell r="AX141">
            <v>0</v>
          </cell>
        </row>
        <row r="142"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/>
          <cell r="W142">
            <v>0</v>
          </cell>
          <cell r="X142">
            <v>0</v>
          </cell>
          <cell r="Y142">
            <v>0</v>
          </cell>
          <cell r="Z142"/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47.059309791594281</v>
          </cell>
          <cell r="AF142">
            <v>0</v>
          </cell>
          <cell r="AH142">
            <v>60.404944907288225</v>
          </cell>
          <cell r="AI142">
            <v>0</v>
          </cell>
          <cell r="AK142">
            <v>29.899082143124652</v>
          </cell>
          <cell r="AL142">
            <v>0</v>
          </cell>
          <cell r="AN142">
            <v>0</v>
          </cell>
          <cell r="AO142">
            <v>0</v>
          </cell>
          <cell r="AQ142">
            <v>0</v>
          </cell>
          <cell r="AR142">
            <v>0</v>
          </cell>
          <cell r="AT142">
            <v>9.782104083393186</v>
          </cell>
          <cell r="AU142">
            <v>0</v>
          </cell>
          <cell r="AW142">
            <v>0</v>
          </cell>
          <cell r="AX142">
            <v>0</v>
          </cell>
        </row>
        <row r="143"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/>
          <cell r="W143">
            <v>0</v>
          </cell>
          <cell r="X143">
            <v>0</v>
          </cell>
          <cell r="Y143">
            <v>2434.1375100879682</v>
          </cell>
          <cell r="Z143"/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K143">
            <v>37.508628877400184</v>
          </cell>
          <cell r="AL143">
            <v>0</v>
          </cell>
          <cell r="AN143">
            <v>0</v>
          </cell>
          <cell r="AO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W143">
            <v>0</v>
          </cell>
          <cell r="AX143">
            <v>0</v>
          </cell>
        </row>
        <row r="144"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/>
          <cell r="W144">
            <v>0</v>
          </cell>
          <cell r="X144">
            <v>0</v>
          </cell>
          <cell r="Y144">
            <v>1260.8226852769128</v>
          </cell>
          <cell r="Z144"/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187.4391067611696</v>
          </cell>
          <cell r="AF144">
            <v>0</v>
          </cell>
          <cell r="AH144">
            <v>258.30373939722529</v>
          </cell>
          <cell r="AI144">
            <v>0</v>
          </cell>
          <cell r="AK144">
            <v>417.52689610795557</v>
          </cell>
          <cell r="AL144">
            <v>0</v>
          </cell>
          <cell r="AN144">
            <v>234.92107816430971</v>
          </cell>
          <cell r="AO144">
            <v>0</v>
          </cell>
          <cell r="AQ144">
            <v>0</v>
          </cell>
          <cell r="AR144">
            <v>0</v>
          </cell>
          <cell r="AT144">
            <v>120.7391811804537</v>
          </cell>
          <cell r="AU144">
            <v>0</v>
          </cell>
          <cell r="AW144">
            <v>0</v>
          </cell>
          <cell r="AX144">
            <v>0</v>
          </cell>
        </row>
        <row r="145"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/>
          <cell r="W145">
            <v>0</v>
          </cell>
          <cell r="X145">
            <v>0</v>
          </cell>
          <cell r="Y145">
            <v>0</v>
          </cell>
          <cell r="Z145"/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209.68610314611877</v>
          </cell>
          <cell r="AF145">
            <v>0</v>
          </cell>
          <cell r="AH145">
            <v>311.97860728969681</v>
          </cell>
          <cell r="AI145">
            <v>0</v>
          </cell>
          <cell r="AK145">
            <v>235.70928345887529</v>
          </cell>
          <cell r="AL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575.62394851667761</v>
          </cell>
          <cell r="AT145">
            <v>86.524571442710084</v>
          </cell>
          <cell r="AU145">
            <v>0</v>
          </cell>
          <cell r="AW145">
            <v>0</v>
          </cell>
          <cell r="AX145">
            <v>0</v>
          </cell>
        </row>
        <row r="146"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/>
          <cell r="W146">
            <v>0</v>
          </cell>
          <cell r="X146">
            <v>34.345116963773862</v>
          </cell>
          <cell r="Y146">
            <v>0</v>
          </cell>
          <cell r="Z146"/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185.03472901469073</v>
          </cell>
          <cell r="AF146">
            <v>0</v>
          </cell>
          <cell r="AH146">
            <v>276.14354862921226</v>
          </cell>
          <cell r="AI146">
            <v>0</v>
          </cell>
          <cell r="AK146">
            <v>370.93148431507529</v>
          </cell>
          <cell r="AL146">
            <v>0</v>
          </cell>
          <cell r="AN146">
            <v>213.4689416535854</v>
          </cell>
          <cell r="AO146">
            <v>0</v>
          </cell>
          <cell r="AQ146">
            <v>0</v>
          </cell>
          <cell r="AR146">
            <v>0</v>
          </cell>
          <cell r="AT146">
            <v>118.21256501765102</v>
          </cell>
          <cell r="AU146">
            <v>0</v>
          </cell>
          <cell r="AW146">
            <v>0</v>
          </cell>
          <cell r="AX146">
            <v>0</v>
          </cell>
        </row>
        <row r="147"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/>
          <cell r="W147">
            <v>0</v>
          </cell>
          <cell r="X147">
            <v>0</v>
          </cell>
          <cell r="Y147">
            <v>0</v>
          </cell>
          <cell r="Z147"/>
          <cell r="AA147">
            <v>0</v>
          </cell>
          <cell r="AB147">
            <v>0</v>
          </cell>
          <cell r="AC147">
            <v>0</v>
          </cell>
          <cell r="AD147">
            <v>544.06164606119103</v>
          </cell>
          <cell r="AE147">
            <v>327.89594630734996</v>
          </cell>
          <cell r="AF147">
            <v>0</v>
          </cell>
          <cell r="AH147">
            <v>390.07398117832253</v>
          </cell>
          <cell r="AI147">
            <v>0</v>
          </cell>
          <cell r="AK147">
            <v>422.98261503208329</v>
          </cell>
          <cell r="AL147">
            <v>0</v>
          </cell>
          <cell r="AN147">
            <v>179.97352815066915</v>
          </cell>
          <cell r="AO147">
            <v>0</v>
          </cell>
          <cell r="AQ147">
            <v>105.68402349220877</v>
          </cell>
          <cell r="AR147">
            <v>12.8826444</v>
          </cell>
          <cell r="AT147">
            <v>220.07829817605759</v>
          </cell>
          <cell r="AU147">
            <v>2305.3439648891604</v>
          </cell>
          <cell r="AW147">
            <v>118.34437622421669</v>
          </cell>
          <cell r="AX147">
            <v>0</v>
          </cell>
        </row>
        <row r="148"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/>
          <cell r="W148">
            <v>0</v>
          </cell>
          <cell r="X148">
            <v>0</v>
          </cell>
          <cell r="Y148">
            <v>0</v>
          </cell>
          <cell r="Z148"/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H148">
            <v>0</v>
          </cell>
          <cell r="AI148">
            <v>0</v>
          </cell>
          <cell r="AK148">
            <v>0</v>
          </cell>
          <cell r="AL148">
            <v>0</v>
          </cell>
          <cell r="AN148">
            <v>0</v>
          </cell>
          <cell r="AO148">
            <v>0</v>
          </cell>
          <cell r="AQ148">
            <v>0</v>
          </cell>
          <cell r="AR148">
            <v>0</v>
          </cell>
          <cell r="AT148">
            <v>0</v>
          </cell>
          <cell r="AU148">
            <v>0</v>
          </cell>
          <cell r="AW148">
            <v>0</v>
          </cell>
          <cell r="AX148">
            <v>0</v>
          </cell>
        </row>
        <row r="149"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3</v>
          </cell>
          <cell r="S149">
            <v>10671.673046566359</v>
          </cell>
          <cell r="U149">
            <v>0</v>
          </cell>
          <cell r="V149"/>
          <cell r="W149">
            <v>0</v>
          </cell>
          <cell r="X149">
            <v>0</v>
          </cell>
          <cell r="Y149">
            <v>1206.0052220678383</v>
          </cell>
          <cell r="Z149"/>
          <cell r="AA149">
            <v>0</v>
          </cell>
          <cell r="AB149">
            <v>0</v>
          </cell>
          <cell r="AC149">
            <v>14408.143722618142</v>
          </cell>
          <cell r="AD149">
            <v>1162.5029586979199</v>
          </cell>
          <cell r="AE149">
            <v>163.40459525333648</v>
          </cell>
          <cell r="AF149">
            <v>0</v>
          </cell>
          <cell r="AH149">
            <v>336.8331617242394</v>
          </cell>
          <cell r="AI149">
            <v>0</v>
          </cell>
          <cell r="AK149">
            <v>244.72535051333389</v>
          </cell>
          <cell r="AL149">
            <v>0</v>
          </cell>
          <cell r="AN149">
            <v>103.02668463952413</v>
          </cell>
          <cell r="AO149">
            <v>1287.2999011257489</v>
          </cell>
          <cell r="AQ149">
            <v>116.92905359372746</v>
          </cell>
          <cell r="AR149">
            <v>1404.9660277373732</v>
          </cell>
          <cell r="AT149">
            <v>166.61389976254213</v>
          </cell>
          <cell r="AU149">
            <v>0</v>
          </cell>
          <cell r="AW149">
            <v>187.49373979063722</v>
          </cell>
          <cell r="AX149">
            <v>0</v>
          </cell>
        </row>
        <row r="150"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/>
          <cell r="W150">
            <v>0</v>
          </cell>
          <cell r="X150">
            <v>0</v>
          </cell>
          <cell r="Y150">
            <v>0</v>
          </cell>
          <cell r="Z150"/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296.40759987889163</v>
          </cell>
          <cell r="AF150">
            <v>0</v>
          </cell>
          <cell r="AH150">
            <v>431.42874836421191</v>
          </cell>
          <cell r="AI150">
            <v>2890.710092458793</v>
          </cell>
          <cell r="AK150">
            <v>290.03422020352775</v>
          </cell>
          <cell r="AL150">
            <v>0</v>
          </cell>
          <cell r="AN150">
            <v>144.21332472826128</v>
          </cell>
          <cell r="AO150">
            <v>0</v>
          </cell>
          <cell r="AQ150">
            <v>119.94714023874553</v>
          </cell>
          <cell r="AR150">
            <v>15.456925</v>
          </cell>
          <cell r="AT150">
            <v>165.91452866121352</v>
          </cell>
          <cell r="AU150">
            <v>1699.0074840144684</v>
          </cell>
          <cell r="AW150">
            <v>232.74222385317006</v>
          </cell>
          <cell r="AX150">
            <v>0</v>
          </cell>
        </row>
        <row r="151"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U151">
            <v>9906.1218846242973</v>
          </cell>
          <cell r="V151"/>
          <cell r="W151">
            <v>0</v>
          </cell>
          <cell r="X151">
            <v>0</v>
          </cell>
          <cell r="Y151">
            <v>0</v>
          </cell>
          <cell r="Z151"/>
          <cell r="AA151">
            <v>0</v>
          </cell>
          <cell r="AB151">
            <v>0</v>
          </cell>
          <cell r="AC151">
            <v>0</v>
          </cell>
          <cell r="AD151">
            <v>1914.6368064942747</v>
          </cell>
          <cell r="AE151">
            <v>137.99555972980002</v>
          </cell>
          <cell r="AF151">
            <v>0</v>
          </cell>
          <cell r="AH151">
            <v>220.85066511954076</v>
          </cell>
          <cell r="AI151">
            <v>0</v>
          </cell>
          <cell r="AK151">
            <v>177.48698710665167</v>
          </cell>
          <cell r="AL151">
            <v>0</v>
          </cell>
          <cell r="AN151">
            <v>87.157379501975697</v>
          </cell>
          <cell r="AO151">
            <v>0</v>
          </cell>
          <cell r="AQ151">
            <v>61.458351225803753</v>
          </cell>
          <cell r="AR151">
            <v>19.323966600000002</v>
          </cell>
          <cell r="AT151">
            <v>128.7899698064362</v>
          </cell>
          <cell r="AU151">
            <v>1098.3672173464092</v>
          </cell>
          <cell r="AW151">
            <v>65.148817906898302</v>
          </cell>
          <cell r="AX151">
            <v>0</v>
          </cell>
        </row>
        <row r="152"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/>
          <cell r="W152">
            <v>0</v>
          </cell>
          <cell r="X152">
            <v>44.270117161638609</v>
          </cell>
          <cell r="Y152">
            <v>0</v>
          </cell>
          <cell r="Z152"/>
          <cell r="AA152">
            <v>0</v>
          </cell>
          <cell r="AB152">
            <v>0</v>
          </cell>
          <cell r="AC152">
            <v>0</v>
          </cell>
          <cell r="AD152">
            <v>209.50145753628007</v>
          </cell>
          <cell r="AE152">
            <v>137.99555972980002</v>
          </cell>
          <cell r="AF152">
            <v>0</v>
          </cell>
          <cell r="AH152">
            <v>220.85066511954076</v>
          </cell>
          <cell r="AI152">
            <v>0</v>
          </cell>
          <cell r="AK152">
            <v>317.2358755353203</v>
          </cell>
          <cell r="AL152">
            <v>0</v>
          </cell>
          <cell r="AN152">
            <v>109.91849602876229</v>
          </cell>
          <cell r="AO152">
            <v>0</v>
          </cell>
          <cell r="AQ152">
            <v>61.458351225803753</v>
          </cell>
          <cell r="AR152">
            <v>19.323966600000002</v>
          </cell>
          <cell r="AT152">
            <v>133.88047942032034</v>
          </cell>
          <cell r="AU152">
            <v>0</v>
          </cell>
          <cell r="AW152">
            <v>63.148545077137236</v>
          </cell>
          <cell r="AX152">
            <v>0</v>
          </cell>
        </row>
        <row r="153"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21205.872368517652</v>
          </cell>
          <cell r="V153"/>
          <cell r="W153">
            <v>0</v>
          </cell>
          <cell r="X153">
            <v>0</v>
          </cell>
          <cell r="Y153">
            <v>0</v>
          </cell>
          <cell r="Z153"/>
          <cell r="AA153">
            <v>0</v>
          </cell>
          <cell r="AB153">
            <v>0</v>
          </cell>
          <cell r="AC153">
            <v>988.83933341490786</v>
          </cell>
          <cell r="AD153">
            <v>1493.9678017293536</v>
          </cell>
          <cell r="AE153">
            <v>206.77985978735606</v>
          </cell>
          <cell r="AF153">
            <v>0</v>
          </cell>
          <cell r="AH153">
            <v>249.72595634349193</v>
          </cell>
          <cell r="AI153">
            <v>0</v>
          </cell>
          <cell r="AK153">
            <v>261.65200467571259</v>
          </cell>
          <cell r="AL153">
            <v>0</v>
          </cell>
          <cell r="AN153">
            <v>136.18455916075749</v>
          </cell>
          <cell r="AO153">
            <v>0</v>
          </cell>
          <cell r="AQ153">
            <v>65.961235315382794</v>
          </cell>
          <cell r="AR153">
            <v>0</v>
          </cell>
          <cell r="AT153">
            <v>127.29001511917984</v>
          </cell>
          <cell r="AU153">
            <v>0</v>
          </cell>
          <cell r="AW153">
            <v>63.815302687057624</v>
          </cell>
          <cell r="AX153">
            <v>0</v>
          </cell>
        </row>
        <row r="154"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R154">
            <v>1</v>
          </cell>
          <cell r="S154">
            <v>7392.2310875567</v>
          </cell>
          <cell r="U154">
            <v>312.88391847490385</v>
          </cell>
          <cell r="V154"/>
          <cell r="W154">
            <v>0</v>
          </cell>
          <cell r="X154">
            <v>0</v>
          </cell>
          <cell r="Y154">
            <v>542.4639640286714</v>
          </cell>
          <cell r="Z154"/>
          <cell r="AA154">
            <v>3811.1745766482672</v>
          </cell>
          <cell r="AB154">
            <v>1007.3677414892687</v>
          </cell>
          <cell r="AC154">
            <v>1957.6579866913721</v>
          </cell>
          <cell r="AD154">
            <v>952.18111348210857</v>
          </cell>
          <cell r="AE154">
            <v>253.79559344136993</v>
          </cell>
          <cell r="AF154">
            <v>0</v>
          </cell>
          <cell r="AH154">
            <v>299.85918245111566</v>
          </cell>
          <cell r="AI154">
            <v>3757.3840385024223</v>
          </cell>
          <cell r="AK154">
            <v>314.1999342756028</v>
          </cell>
          <cell r="AL154">
            <v>0</v>
          </cell>
          <cell r="AN154">
            <v>149.09893932882818</v>
          </cell>
          <cell r="AO154">
            <v>0</v>
          </cell>
          <cell r="AQ154">
            <v>70.464078559636903</v>
          </cell>
          <cell r="AR154">
            <v>20.605486199999998</v>
          </cell>
          <cell r="AT154">
            <v>139.13578215632674</v>
          </cell>
          <cell r="AU154">
            <v>3949.4650836561086</v>
          </cell>
          <cell r="AW154">
            <v>80.877523551507238</v>
          </cell>
          <cell r="AX154">
            <v>0</v>
          </cell>
        </row>
        <row r="155">
          <cell r="I155">
            <v>9.9</v>
          </cell>
          <cell r="J155">
            <v>5741.5619417643729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/>
          <cell r="W155">
            <v>0</v>
          </cell>
          <cell r="X155">
            <v>0</v>
          </cell>
          <cell r="Y155">
            <v>0</v>
          </cell>
          <cell r="Z155"/>
          <cell r="AA155">
            <v>0</v>
          </cell>
          <cell r="AB155">
            <v>0</v>
          </cell>
          <cell r="AC155">
            <v>0</v>
          </cell>
          <cell r="AD155">
            <v>600.81198830552398</v>
          </cell>
          <cell r="AE155">
            <v>94.43378304313336</v>
          </cell>
          <cell r="AF155">
            <v>0</v>
          </cell>
          <cell r="AH155">
            <v>164.69565160645897</v>
          </cell>
          <cell r="AI155">
            <v>0</v>
          </cell>
          <cell r="AK155">
            <v>85.522569153203989</v>
          </cell>
          <cell r="AL155">
            <v>0</v>
          </cell>
          <cell r="AN155">
            <v>77.168991502675269</v>
          </cell>
          <cell r="AO155">
            <v>0</v>
          </cell>
          <cell r="AQ155">
            <v>114.23216904794364</v>
          </cell>
          <cell r="AR155">
            <v>20.605486199999998</v>
          </cell>
          <cell r="AT155">
            <v>117.81904756011804</v>
          </cell>
          <cell r="AU155">
            <v>0</v>
          </cell>
          <cell r="AW155">
            <v>186.43229164545758</v>
          </cell>
          <cell r="AX155">
            <v>0</v>
          </cell>
        </row>
        <row r="156">
          <cell r="I156">
            <v>16</v>
          </cell>
          <cell r="J156">
            <v>8584.2906490312089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55.675381971807987</v>
          </cell>
          <cell r="V156"/>
          <cell r="W156">
            <v>0</v>
          </cell>
          <cell r="X156">
            <v>0</v>
          </cell>
          <cell r="Y156">
            <v>0</v>
          </cell>
          <cell r="Z156"/>
          <cell r="AA156">
            <v>0</v>
          </cell>
          <cell r="AB156">
            <v>0</v>
          </cell>
          <cell r="AC156">
            <v>0</v>
          </cell>
          <cell r="AD156">
            <v>1809.8991420230122</v>
          </cell>
          <cell r="AE156">
            <v>218.8366539500102</v>
          </cell>
          <cell r="AF156">
            <v>0</v>
          </cell>
          <cell r="AH156">
            <v>293.70984678688399</v>
          </cell>
          <cell r="AI156">
            <v>2581.3312186349567</v>
          </cell>
          <cell r="AK156">
            <v>364.69237551859214</v>
          </cell>
          <cell r="AL156">
            <v>0</v>
          </cell>
          <cell r="AN156">
            <v>200.31082217688231</v>
          </cell>
          <cell r="AO156">
            <v>0</v>
          </cell>
          <cell r="AQ156">
            <v>233.85323677229661</v>
          </cell>
          <cell r="AR156">
            <v>0</v>
          </cell>
          <cell r="AT156">
            <v>278.72226634903535</v>
          </cell>
          <cell r="AU156">
            <v>715.85011862774854</v>
          </cell>
          <cell r="AW156">
            <v>127.01222515318118</v>
          </cell>
          <cell r="AX156">
            <v>0</v>
          </cell>
        </row>
        <row r="157"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/>
          <cell r="W157">
            <v>0</v>
          </cell>
          <cell r="X157">
            <v>0</v>
          </cell>
          <cell r="Y157">
            <v>0</v>
          </cell>
          <cell r="Z157"/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H157">
            <v>0</v>
          </cell>
          <cell r="AI157">
            <v>0</v>
          </cell>
          <cell r="AK157">
            <v>0</v>
          </cell>
          <cell r="AL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T157">
            <v>0</v>
          </cell>
          <cell r="AU157">
            <v>0</v>
          </cell>
          <cell r="AW157">
            <v>0</v>
          </cell>
          <cell r="AX157">
            <v>0</v>
          </cell>
        </row>
        <row r="158"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/>
          <cell r="W158">
            <v>0</v>
          </cell>
          <cell r="X158">
            <v>0</v>
          </cell>
          <cell r="Y158">
            <v>0</v>
          </cell>
          <cell r="Z158"/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H158">
            <v>0</v>
          </cell>
          <cell r="AI158">
            <v>0</v>
          </cell>
          <cell r="AK158">
            <v>0</v>
          </cell>
          <cell r="AL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T158">
            <v>0</v>
          </cell>
          <cell r="AU158">
            <v>0</v>
          </cell>
          <cell r="AW158">
            <v>0</v>
          </cell>
          <cell r="AX158">
            <v>0</v>
          </cell>
        </row>
        <row r="159"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8830.237688871679</v>
          </cell>
          <cell r="V159"/>
          <cell r="W159">
            <v>0</v>
          </cell>
          <cell r="X159">
            <v>0</v>
          </cell>
          <cell r="Y159">
            <v>0</v>
          </cell>
          <cell r="Z159"/>
          <cell r="AA159">
            <v>0</v>
          </cell>
          <cell r="AB159">
            <v>0</v>
          </cell>
          <cell r="AC159">
            <v>0</v>
          </cell>
          <cell r="AD159">
            <v>1622.5838698139401</v>
          </cell>
          <cell r="AE159">
            <v>285.60590283188384</v>
          </cell>
          <cell r="AF159">
            <v>14874.732779586999</v>
          </cell>
          <cell r="AH159">
            <v>390.32326750718556</v>
          </cell>
          <cell r="AI159">
            <v>4919.5950924672561</v>
          </cell>
          <cell r="AK159">
            <v>457.79539128399068</v>
          </cell>
          <cell r="AL159">
            <v>0</v>
          </cell>
          <cell r="AN159">
            <v>190.64462400592069</v>
          </cell>
          <cell r="AO159">
            <v>0</v>
          </cell>
          <cell r="AQ159">
            <v>292.3226339843186</v>
          </cell>
          <cell r="AR159">
            <v>0</v>
          </cell>
          <cell r="AT159">
            <v>231.42810175412231</v>
          </cell>
          <cell r="AU159">
            <v>2814.1836428805891</v>
          </cell>
          <cell r="AW159">
            <v>143.02162076665977</v>
          </cell>
          <cell r="AX159">
            <v>0</v>
          </cell>
        </row>
        <row r="160"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6</v>
          </cell>
          <cell r="S160">
            <v>483.31755361831847</v>
          </cell>
          <cell r="U160">
            <v>0</v>
          </cell>
          <cell r="V160"/>
          <cell r="W160">
            <v>0</v>
          </cell>
          <cell r="X160">
            <v>2.1465698102358663</v>
          </cell>
          <cell r="Y160">
            <v>0</v>
          </cell>
          <cell r="Z160"/>
          <cell r="AA160">
            <v>0</v>
          </cell>
          <cell r="AB160">
            <v>0</v>
          </cell>
          <cell r="AC160">
            <v>0</v>
          </cell>
          <cell r="AD160">
            <v>486.83077501775637</v>
          </cell>
          <cell r="AE160">
            <v>86.443035780007833</v>
          </cell>
          <cell r="AF160">
            <v>0</v>
          </cell>
          <cell r="AH160">
            <v>120.14218698074031</v>
          </cell>
          <cell r="AI160">
            <v>0</v>
          </cell>
          <cell r="AK160">
            <v>78.018301012424018</v>
          </cell>
          <cell r="AL160">
            <v>0</v>
          </cell>
          <cell r="AN160">
            <v>64.015527193052435</v>
          </cell>
          <cell r="AO160">
            <v>0</v>
          </cell>
          <cell r="AQ160">
            <v>55.319784965168807</v>
          </cell>
          <cell r="AR160">
            <v>0</v>
          </cell>
          <cell r="AT160">
            <v>78.644690031445961</v>
          </cell>
          <cell r="AU160">
            <v>0</v>
          </cell>
          <cell r="AW160">
            <v>184.43633026280074</v>
          </cell>
          <cell r="AX160">
            <v>0</v>
          </cell>
        </row>
        <row r="161"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/>
          <cell r="W161">
            <v>0</v>
          </cell>
          <cell r="X161">
            <v>0</v>
          </cell>
          <cell r="Y161">
            <v>0</v>
          </cell>
          <cell r="Z161"/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H161">
            <v>0</v>
          </cell>
          <cell r="AI161">
            <v>0</v>
          </cell>
          <cell r="AK161">
            <v>0</v>
          </cell>
          <cell r="AL161">
            <v>0</v>
          </cell>
          <cell r="AN161">
            <v>0</v>
          </cell>
          <cell r="AO161">
            <v>0</v>
          </cell>
          <cell r="AQ161">
            <v>0</v>
          </cell>
          <cell r="AR161">
            <v>0</v>
          </cell>
          <cell r="AT161">
            <v>0</v>
          </cell>
          <cell r="AU161">
            <v>0</v>
          </cell>
          <cell r="AW161">
            <v>0</v>
          </cell>
          <cell r="AX161">
            <v>0</v>
          </cell>
        </row>
        <row r="162"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/>
          <cell r="W162">
            <v>0</v>
          </cell>
          <cell r="X162">
            <v>0</v>
          </cell>
          <cell r="Y162">
            <v>0</v>
          </cell>
          <cell r="Z162"/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H162">
            <v>0</v>
          </cell>
          <cell r="AI162">
            <v>0</v>
          </cell>
          <cell r="AK162">
            <v>0</v>
          </cell>
          <cell r="AL162">
            <v>0</v>
          </cell>
          <cell r="AN162">
            <v>0</v>
          </cell>
          <cell r="AO162">
            <v>0</v>
          </cell>
          <cell r="AQ162">
            <v>0</v>
          </cell>
          <cell r="AR162">
            <v>0</v>
          </cell>
          <cell r="AT162">
            <v>0</v>
          </cell>
          <cell r="AU162">
            <v>0</v>
          </cell>
          <cell r="AW162">
            <v>0</v>
          </cell>
          <cell r="AX162">
            <v>0</v>
          </cell>
        </row>
        <row r="163"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1</v>
          </cell>
          <cell r="S163">
            <v>5543.3143099058398</v>
          </cell>
          <cell r="U163">
            <v>13479.914949861221</v>
          </cell>
          <cell r="V163"/>
          <cell r="W163">
            <v>0</v>
          </cell>
          <cell r="X163">
            <v>0</v>
          </cell>
          <cell r="Y163">
            <v>0</v>
          </cell>
          <cell r="Z163"/>
          <cell r="AA163">
            <v>0</v>
          </cell>
          <cell r="AB163">
            <v>0</v>
          </cell>
          <cell r="AC163">
            <v>0</v>
          </cell>
          <cell r="AD163">
            <v>2653.8654584196347</v>
          </cell>
          <cell r="AE163">
            <v>169.81309339741193</v>
          </cell>
          <cell r="AF163">
            <v>352.16728040695443</v>
          </cell>
          <cell r="AH163">
            <v>211.69671960875121</v>
          </cell>
          <cell r="AI163">
            <v>0</v>
          </cell>
          <cell r="AK163">
            <v>351.24098113888738</v>
          </cell>
          <cell r="AL163">
            <v>0</v>
          </cell>
          <cell r="AN163">
            <v>132.75947329872042</v>
          </cell>
          <cell r="AO163">
            <v>0</v>
          </cell>
          <cell r="AQ163">
            <v>146.1613169921593</v>
          </cell>
          <cell r="AR163">
            <v>0</v>
          </cell>
          <cell r="AT163">
            <v>232.16032966965076</v>
          </cell>
          <cell r="AU163">
            <v>1706.8474265994539</v>
          </cell>
          <cell r="AW163">
            <v>184.43633026280074</v>
          </cell>
          <cell r="AX163">
            <v>0</v>
          </cell>
        </row>
        <row r="164"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/>
          <cell r="W164">
            <v>0</v>
          </cell>
          <cell r="X164">
            <v>0</v>
          </cell>
          <cell r="Y164">
            <v>0</v>
          </cell>
          <cell r="Z164"/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H164">
            <v>0</v>
          </cell>
          <cell r="AI164">
            <v>0</v>
          </cell>
          <cell r="AK164">
            <v>0</v>
          </cell>
          <cell r="AL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</row>
        <row r="165"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/>
          <cell r="W165">
            <v>0</v>
          </cell>
          <cell r="X165">
            <v>0</v>
          </cell>
          <cell r="Y165">
            <v>0</v>
          </cell>
          <cell r="Z165"/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H165">
            <v>0</v>
          </cell>
          <cell r="AI165">
            <v>0</v>
          </cell>
          <cell r="AK165">
            <v>0</v>
          </cell>
          <cell r="AL165">
            <v>0</v>
          </cell>
          <cell r="AN165">
            <v>0</v>
          </cell>
          <cell r="AO165">
            <v>0</v>
          </cell>
          <cell r="AQ165">
            <v>0</v>
          </cell>
          <cell r="AR165">
            <v>0</v>
          </cell>
          <cell r="AT165">
            <v>0</v>
          </cell>
          <cell r="AU165">
            <v>0</v>
          </cell>
          <cell r="AW165">
            <v>0</v>
          </cell>
          <cell r="AX165">
            <v>0</v>
          </cell>
        </row>
        <row r="166">
          <cell r="I166">
            <v>0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/>
          <cell r="W166">
            <v>0</v>
          </cell>
          <cell r="X166">
            <v>0</v>
          </cell>
          <cell r="Y166">
            <v>0</v>
          </cell>
          <cell r="Z166"/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H166">
            <v>0</v>
          </cell>
          <cell r="AI166">
            <v>0</v>
          </cell>
          <cell r="AK166">
            <v>0</v>
          </cell>
          <cell r="AL166">
            <v>0</v>
          </cell>
          <cell r="AN166">
            <v>0</v>
          </cell>
          <cell r="AO166">
            <v>0</v>
          </cell>
          <cell r="AQ166">
            <v>0</v>
          </cell>
          <cell r="AR166">
            <v>0</v>
          </cell>
          <cell r="AT166">
            <v>0</v>
          </cell>
          <cell r="AU166">
            <v>0</v>
          </cell>
          <cell r="AW166">
            <v>0</v>
          </cell>
          <cell r="AX166">
            <v>0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/>
          <cell r="W167">
            <v>0</v>
          </cell>
          <cell r="X167">
            <v>0</v>
          </cell>
          <cell r="Y167">
            <v>0</v>
          </cell>
          <cell r="Z167"/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H167">
            <v>0</v>
          </cell>
          <cell r="AI167">
            <v>0</v>
          </cell>
          <cell r="AK167">
            <v>0</v>
          </cell>
          <cell r="AL167">
            <v>0</v>
          </cell>
          <cell r="AN167">
            <v>0</v>
          </cell>
          <cell r="AO167">
            <v>0</v>
          </cell>
          <cell r="AQ167">
            <v>0</v>
          </cell>
          <cell r="AR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</row>
        <row r="168"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/>
          <cell r="W168">
            <v>0</v>
          </cell>
          <cell r="X168">
            <v>0</v>
          </cell>
          <cell r="Y168">
            <v>0</v>
          </cell>
          <cell r="Z168"/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2.4740542054058649E-3</v>
          </cell>
          <cell r="AF168">
            <v>0</v>
          </cell>
          <cell r="AH168">
            <v>0</v>
          </cell>
          <cell r="AI168">
            <v>0</v>
          </cell>
          <cell r="AK168">
            <v>0</v>
          </cell>
          <cell r="AL168">
            <v>0</v>
          </cell>
          <cell r="AN168">
            <v>0</v>
          </cell>
          <cell r="AO168">
            <v>0</v>
          </cell>
          <cell r="AQ168">
            <v>0</v>
          </cell>
          <cell r="AR168">
            <v>0</v>
          </cell>
          <cell r="AT168">
            <v>0</v>
          </cell>
          <cell r="AU168">
            <v>0</v>
          </cell>
          <cell r="AW168">
            <v>0</v>
          </cell>
          <cell r="AX168">
            <v>0</v>
          </cell>
        </row>
        <row r="169"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/>
          <cell r="W169">
            <v>0</v>
          </cell>
          <cell r="X169">
            <v>0</v>
          </cell>
          <cell r="Y169">
            <v>0</v>
          </cell>
          <cell r="Z169"/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</row>
        <row r="170"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/>
          <cell r="W170">
            <v>0</v>
          </cell>
          <cell r="X170">
            <v>0</v>
          </cell>
          <cell r="Y170">
            <v>0</v>
          </cell>
          <cell r="Z170"/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H170">
            <v>0</v>
          </cell>
          <cell r="AI170">
            <v>0</v>
          </cell>
          <cell r="AK170">
            <v>0</v>
          </cell>
          <cell r="AL170">
            <v>0</v>
          </cell>
          <cell r="AN170">
            <v>0</v>
          </cell>
          <cell r="AO170">
            <v>0</v>
          </cell>
          <cell r="AQ170">
            <v>0</v>
          </cell>
          <cell r="AR170">
            <v>0</v>
          </cell>
          <cell r="AT170">
            <v>0</v>
          </cell>
          <cell r="AU170">
            <v>0</v>
          </cell>
          <cell r="AW170">
            <v>0</v>
          </cell>
          <cell r="AX170">
            <v>0</v>
          </cell>
        </row>
        <row r="171"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/>
          <cell r="W171">
            <v>0</v>
          </cell>
          <cell r="X171">
            <v>0</v>
          </cell>
          <cell r="Y171">
            <v>0</v>
          </cell>
          <cell r="Z171"/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H171">
            <v>0</v>
          </cell>
          <cell r="AI171">
            <v>0</v>
          </cell>
          <cell r="AK171">
            <v>0</v>
          </cell>
          <cell r="AL171">
            <v>0</v>
          </cell>
          <cell r="AN171">
            <v>0</v>
          </cell>
          <cell r="AO171">
            <v>0</v>
          </cell>
          <cell r="AQ171">
            <v>0</v>
          </cell>
          <cell r="AR171">
            <v>0</v>
          </cell>
          <cell r="AT171">
            <v>0</v>
          </cell>
          <cell r="AU171">
            <v>0</v>
          </cell>
          <cell r="AW171">
            <v>0</v>
          </cell>
          <cell r="AX171">
            <v>0</v>
          </cell>
        </row>
        <row r="172"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/>
          <cell r="W172">
            <v>0</v>
          </cell>
          <cell r="X172">
            <v>0</v>
          </cell>
          <cell r="Y172">
            <v>0</v>
          </cell>
          <cell r="Z172"/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H172">
            <v>0</v>
          </cell>
          <cell r="AI172">
            <v>0</v>
          </cell>
          <cell r="AK172">
            <v>0</v>
          </cell>
          <cell r="AL172">
            <v>0</v>
          </cell>
          <cell r="AN172">
            <v>0</v>
          </cell>
          <cell r="AO172">
            <v>0</v>
          </cell>
          <cell r="AQ172">
            <v>0</v>
          </cell>
          <cell r="AR172">
            <v>0</v>
          </cell>
          <cell r="AT172">
            <v>0</v>
          </cell>
          <cell r="AU172">
            <v>0</v>
          </cell>
          <cell r="AW172">
            <v>0</v>
          </cell>
          <cell r="AX172">
            <v>0</v>
          </cell>
        </row>
        <row r="173"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/>
          <cell r="W173">
            <v>0</v>
          </cell>
          <cell r="X173">
            <v>0</v>
          </cell>
          <cell r="Y173">
            <v>0</v>
          </cell>
          <cell r="Z173"/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H173">
            <v>0</v>
          </cell>
          <cell r="AI173">
            <v>0</v>
          </cell>
          <cell r="AK173">
            <v>0</v>
          </cell>
          <cell r="AL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T173">
            <v>0</v>
          </cell>
          <cell r="AU173">
            <v>0</v>
          </cell>
          <cell r="AW173">
            <v>0</v>
          </cell>
          <cell r="AX173">
            <v>0</v>
          </cell>
        </row>
        <row r="174"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/>
          <cell r="W174">
            <v>0</v>
          </cell>
          <cell r="X174">
            <v>0</v>
          </cell>
          <cell r="Y174">
            <v>0</v>
          </cell>
          <cell r="Z174"/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454.72108416307685</v>
          </cell>
          <cell r="AF174">
            <v>0</v>
          </cell>
          <cell r="AH174">
            <v>741.68851251314095</v>
          </cell>
          <cell r="AI174">
            <v>0</v>
          </cell>
          <cell r="AK174">
            <v>610.8355127320923</v>
          </cell>
          <cell r="AL174">
            <v>0</v>
          </cell>
          <cell r="AN174">
            <v>0</v>
          </cell>
          <cell r="AO174">
            <v>0</v>
          </cell>
          <cell r="AQ174">
            <v>0</v>
          </cell>
          <cell r="AR174">
            <v>0</v>
          </cell>
          <cell r="AT174">
            <v>319.67691085591161</v>
          </cell>
          <cell r="AU174">
            <v>0</v>
          </cell>
          <cell r="AW174">
            <v>0</v>
          </cell>
          <cell r="AX174">
            <v>0</v>
          </cell>
        </row>
        <row r="175"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/>
          <cell r="W175">
            <v>0</v>
          </cell>
          <cell r="X175">
            <v>0</v>
          </cell>
          <cell r="Y175">
            <v>0</v>
          </cell>
          <cell r="Z175"/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190.79061341632988</v>
          </cell>
          <cell r="AF175">
            <v>0</v>
          </cell>
          <cell r="AH175">
            <v>290.74948916515837</v>
          </cell>
          <cell r="AI175">
            <v>0</v>
          </cell>
          <cell r="AK175">
            <v>204.1555035312102</v>
          </cell>
          <cell r="AL175">
            <v>0</v>
          </cell>
          <cell r="AN175">
            <v>116.04666518546276</v>
          </cell>
          <cell r="AO175">
            <v>0</v>
          </cell>
          <cell r="AQ175">
            <v>0</v>
          </cell>
          <cell r="AR175">
            <v>0</v>
          </cell>
          <cell r="AT175">
            <v>186.09129502760808</v>
          </cell>
          <cell r="AU175">
            <v>0</v>
          </cell>
          <cell r="AW175">
            <v>0</v>
          </cell>
          <cell r="AX175">
            <v>0</v>
          </cell>
        </row>
        <row r="176"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/>
          <cell r="W176">
            <v>0</v>
          </cell>
          <cell r="X176">
            <v>0</v>
          </cell>
          <cell r="Y176">
            <v>0</v>
          </cell>
          <cell r="Z176"/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51.220190741760831</v>
          </cell>
          <cell r="AF176">
            <v>0</v>
          </cell>
          <cell r="AH176">
            <v>61.968429542196461</v>
          </cell>
          <cell r="AI176">
            <v>0</v>
          </cell>
          <cell r="AK176">
            <v>35.432018750601188</v>
          </cell>
          <cell r="AL176">
            <v>0</v>
          </cell>
          <cell r="AN176">
            <v>0</v>
          </cell>
          <cell r="AO176">
            <v>0</v>
          </cell>
          <cell r="AQ176">
            <v>0</v>
          </cell>
          <cell r="AR176">
            <v>0</v>
          </cell>
          <cell r="AT176">
            <v>38.421864630327121</v>
          </cell>
          <cell r="AU176">
            <v>0</v>
          </cell>
          <cell r="AW176">
            <v>18.119813214430302</v>
          </cell>
          <cell r="AX176">
            <v>0</v>
          </cell>
        </row>
        <row r="177"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/>
          <cell r="W177">
            <v>0</v>
          </cell>
          <cell r="X177">
            <v>0</v>
          </cell>
          <cell r="Y177">
            <v>0</v>
          </cell>
          <cell r="Z177"/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H177">
            <v>0</v>
          </cell>
          <cell r="AI177">
            <v>0</v>
          </cell>
          <cell r="AK177">
            <v>0</v>
          </cell>
          <cell r="AL177">
            <v>0</v>
          </cell>
          <cell r="AN177">
            <v>0</v>
          </cell>
          <cell r="AO177">
            <v>0</v>
          </cell>
          <cell r="AQ177">
            <v>0</v>
          </cell>
          <cell r="AR177">
            <v>0</v>
          </cell>
          <cell r="AT177">
            <v>0</v>
          </cell>
          <cell r="AU177">
            <v>0</v>
          </cell>
          <cell r="AW177">
            <v>0</v>
          </cell>
          <cell r="AX177">
            <v>0</v>
          </cell>
        </row>
        <row r="178"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/>
          <cell r="W178">
            <v>0</v>
          </cell>
          <cell r="X178">
            <v>0</v>
          </cell>
          <cell r="Y178">
            <v>0</v>
          </cell>
          <cell r="Z178"/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</row>
        <row r="179"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/>
          <cell r="W179">
            <v>0</v>
          </cell>
          <cell r="X179">
            <v>0</v>
          </cell>
          <cell r="Y179">
            <v>0</v>
          </cell>
          <cell r="Z179"/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H179">
            <v>0</v>
          </cell>
          <cell r="AI179">
            <v>0</v>
          </cell>
          <cell r="AK179">
            <v>0</v>
          </cell>
          <cell r="AL179">
            <v>0</v>
          </cell>
          <cell r="AN179">
            <v>0</v>
          </cell>
          <cell r="AO179">
            <v>0</v>
          </cell>
          <cell r="AQ179">
            <v>0</v>
          </cell>
          <cell r="AR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</row>
        <row r="180"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/>
          <cell r="W180">
            <v>0</v>
          </cell>
          <cell r="X180">
            <v>0</v>
          </cell>
          <cell r="Y180">
            <v>0</v>
          </cell>
          <cell r="Z180"/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H180">
            <v>0</v>
          </cell>
          <cell r="AI180">
            <v>0</v>
          </cell>
          <cell r="AK180">
            <v>0</v>
          </cell>
          <cell r="AL180">
            <v>0</v>
          </cell>
          <cell r="AN180">
            <v>0</v>
          </cell>
          <cell r="AO180">
            <v>0</v>
          </cell>
          <cell r="AQ180">
            <v>0</v>
          </cell>
          <cell r="AR180">
            <v>0</v>
          </cell>
          <cell r="AT180">
            <v>0</v>
          </cell>
          <cell r="AU180">
            <v>0</v>
          </cell>
          <cell r="AW180">
            <v>0</v>
          </cell>
          <cell r="AX180">
            <v>0</v>
          </cell>
        </row>
        <row r="181"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/>
          <cell r="W181">
            <v>0</v>
          </cell>
          <cell r="X181">
            <v>0</v>
          </cell>
          <cell r="Y181">
            <v>0</v>
          </cell>
          <cell r="Z181"/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46.068659712404099</v>
          </cell>
          <cell r="AF181">
            <v>0</v>
          </cell>
          <cell r="AH181">
            <v>48.925973641158578</v>
          </cell>
          <cell r="AI181">
            <v>0</v>
          </cell>
          <cell r="AK181">
            <v>22.313697520928265</v>
          </cell>
          <cell r="AL181">
            <v>0</v>
          </cell>
          <cell r="AN181">
            <v>28.65895693375586</v>
          </cell>
          <cell r="AO181">
            <v>0</v>
          </cell>
          <cell r="AQ181">
            <v>0</v>
          </cell>
          <cell r="AR181">
            <v>0</v>
          </cell>
          <cell r="AT181">
            <v>13.058040995621697</v>
          </cell>
          <cell r="AU181">
            <v>0</v>
          </cell>
          <cell r="AW181">
            <v>0</v>
          </cell>
          <cell r="AX181">
            <v>0</v>
          </cell>
        </row>
        <row r="182"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/>
          <cell r="W182">
            <v>0</v>
          </cell>
          <cell r="X182">
            <v>153.49128212976893</v>
          </cell>
          <cell r="Y182">
            <v>1055.6706979051455</v>
          </cell>
          <cell r="Z182"/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430.09161387458335</v>
          </cell>
          <cell r="AF182">
            <v>0</v>
          </cell>
          <cell r="AH182">
            <v>704.86294416155238</v>
          </cell>
          <cell r="AI182">
            <v>0</v>
          </cell>
          <cell r="AK182">
            <v>609.57690160425739</v>
          </cell>
          <cell r="AL182">
            <v>0</v>
          </cell>
          <cell r="AN182">
            <v>0</v>
          </cell>
          <cell r="AO182">
            <v>0</v>
          </cell>
          <cell r="AQ182">
            <v>218.86472282667671</v>
          </cell>
          <cell r="AR182">
            <v>0</v>
          </cell>
          <cell r="AT182">
            <v>286.80844471916237</v>
          </cell>
          <cell r="AU182">
            <v>0</v>
          </cell>
          <cell r="AW182">
            <v>0</v>
          </cell>
          <cell r="AX182">
            <v>0</v>
          </cell>
        </row>
        <row r="183"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/>
          <cell r="W183">
            <v>0</v>
          </cell>
          <cell r="X183">
            <v>22.227384164055259</v>
          </cell>
          <cell r="Y183">
            <v>0</v>
          </cell>
          <cell r="Z183"/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323.77807226747711</v>
          </cell>
          <cell r="AF183">
            <v>0</v>
          </cell>
          <cell r="AH183">
            <v>454.89918193382948</v>
          </cell>
          <cell r="AI183">
            <v>0</v>
          </cell>
          <cell r="AK183">
            <v>547.50131884064126</v>
          </cell>
          <cell r="AL183">
            <v>0</v>
          </cell>
          <cell r="AN183">
            <v>186.23364705591104</v>
          </cell>
          <cell r="AO183">
            <v>0</v>
          </cell>
          <cell r="AQ183">
            <v>98.941812127749259</v>
          </cell>
          <cell r="AR183">
            <v>0</v>
          </cell>
          <cell r="AT183">
            <v>234.91889578159507</v>
          </cell>
          <cell r="AU183">
            <v>0</v>
          </cell>
          <cell r="AW183">
            <v>0</v>
          </cell>
          <cell r="AX183">
            <v>0</v>
          </cell>
        </row>
        <row r="184"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/>
          <cell r="W184">
            <v>6</v>
          </cell>
          <cell r="X184">
            <v>440.57288073581003</v>
          </cell>
          <cell r="Y184">
            <v>0</v>
          </cell>
          <cell r="Z184"/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297.77636292708985</v>
          </cell>
          <cell r="AF184">
            <v>0</v>
          </cell>
          <cell r="AH184">
            <v>573.36085687710136</v>
          </cell>
          <cell r="AI184">
            <v>0</v>
          </cell>
          <cell r="AK184">
            <v>247.03479876144331</v>
          </cell>
          <cell r="AL184">
            <v>0</v>
          </cell>
          <cell r="AN184">
            <v>169.24387227042521</v>
          </cell>
          <cell r="AO184">
            <v>1654.7042563260297</v>
          </cell>
          <cell r="AQ184">
            <v>119.94714023874553</v>
          </cell>
          <cell r="AR184">
            <v>0</v>
          </cell>
          <cell r="AT184">
            <v>179.8175182931152</v>
          </cell>
          <cell r="AU184">
            <v>0</v>
          </cell>
          <cell r="AW184">
            <v>0</v>
          </cell>
          <cell r="AX184">
            <v>0</v>
          </cell>
        </row>
        <row r="185"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/>
          <cell r="W185">
            <v>3</v>
          </cell>
          <cell r="X185">
            <v>361.90756491504925</v>
          </cell>
          <cell r="Y185">
            <v>0</v>
          </cell>
          <cell r="Z185"/>
          <cell r="AA185">
            <v>0</v>
          </cell>
          <cell r="AB185">
            <v>0</v>
          </cell>
          <cell r="AC185">
            <v>877.68251805686134</v>
          </cell>
          <cell r="AD185">
            <v>0</v>
          </cell>
          <cell r="AE185">
            <v>323.58965322690381</v>
          </cell>
          <cell r="AF185">
            <v>0</v>
          </cell>
          <cell r="AH185">
            <v>454.66614417503911</v>
          </cell>
          <cell r="AI185">
            <v>0</v>
          </cell>
          <cell r="AK185">
            <v>530.89323843394777</v>
          </cell>
          <cell r="AL185">
            <v>0</v>
          </cell>
          <cell r="AN185">
            <v>179.5277080876393</v>
          </cell>
          <cell r="AO185">
            <v>0</v>
          </cell>
          <cell r="AQ185">
            <v>98.941812127749259</v>
          </cell>
          <cell r="AR185">
            <v>0</v>
          </cell>
          <cell r="AT185">
            <v>229.74257394823968</v>
          </cell>
          <cell r="AU185">
            <v>0</v>
          </cell>
          <cell r="AW185">
            <v>0</v>
          </cell>
          <cell r="AX185">
            <v>0</v>
          </cell>
        </row>
        <row r="186"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R186">
            <v>1</v>
          </cell>
          <cell r="S186">
            <v>3823.5351129853602</v>
          </cell>
          <cell r="U186">
            <v>0</v>
          </cell>
          <cell r="V186"/>
          <cell r="W186">
            <v>0</v>
          </cell>
          <cell r="X186">
            <v>44.708663682009387</v>
          </cell>
          <cell r="Y186">
            <v>0</v>
          </cell>
          <cell r="Z186"/>
          <cell r="AA186">
            <v>0</v>
          </cell>
          <cell r="AB186">
            <v>0</v>
          </cell>
          <cell r="AC186">
            <v>1197.6260624464865</v>
          </cell>
          <cell r="AD186">
            <v>0</v>
          </cell>
          <cell r="AE186">
            <v>259.31682263898614</v>
          </cell>
          <cell r="AF186">
            <v>0</v>
          </cell>
          <cell r="AH186">
            <v>350.53630385809657</v>
          </cell>
          <cell r="AI186">
            <v>1285.7224594662948</v>
          </cell>
          <cell r="AK186">
            <v>438.00105507251305</v>
          </cell>
          <cell r="AL186">
            <v>0</v>
          </cell>
          <cell r="AN186">
            <v>148.98691764472883</v>
          </cell>
          <cell r="AO186">
            <v>0</v>
          </cell>
          <cell r="AQ186">
            <v>79.153449702199396</v>
          </cell>
          <cell r="AR186">
            <v>0</v>
          </cell>
          <cell r="AT186">
            <v>186.96012202314108</v>
          </cell>
          <cell r="AU186">
            <v>0</v>
          </cell>
          <cell r="AW186">
            <v>0</v>
          </cell>
          <cell r="AX186">
            <v>0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1</v>
          </cell>
          <cell r="S187">
            <v>20435.709391246062</v>
          </cell>
          <cell r="U187">
            <v>0</v>
          </cell>
          <cell r="V187"/>
          <cell r="W187">
            <v>0</v>
          </cell>
          <cell r="X187">
            <v>56.549419732020127</v>
          </cell>
          <cell r="Y187">
            <v>0</v>
          </cell>
          <cell r="Z187"/>
          <cell r="AA187">
            <v>0</v>
          </cell>
          <cell r="AB187">
            <v>0</v>
          </cell>
          <cell r="AC187">
            <v>0</v>
          </cell>
          <cell r="AD187">
            <v>734.72769808449266</v>
          </cell>
          <cell r="AE187">
            <v>173.0252149111553</v>
          </cell>
          <cell r="AF187">
            <v>0</v>
          </cell>
          <cell r="AH187">
            <v>190.6065330224925</v>
          </cell>
          <cell r="AI187">
            <v>1607.5847351996208</v>
          </cell>
          <cell r="AK187">
            <v>347.57607156084669</v>
          </cell>
          <cell r="AL187">
            <v>0</v>
          </cell>
          <cell r="AN187">
            <v>135.57212084364016</v>
          </cell>
          <cell r="AO187">
            <v>0</v>
          </cell>
          <cell r="AQ187">
            <v>65.961235315382794</v>
          </cell>
          <cell r="AR187">
            <v>0</v>
          </cell>
          <cell r="AT187">
            <v>162.82689024297548</v>
          </cell>
          <cell r="AU187">
            <v>0</v>
          </cell>
          <cell r="AW187">
            <v>0</v>
          </cell>
          <cell r="AX187">
            <v>0</v>
          </cell>
        </row>
        <row r="188"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/>
          <cell r="W188">
            <v>0</v>
          </cell>
          <cell r="X188">
            <v>0</v>
          </cell>
          <cell r="Y188">
            <v>0</v>
          </cell>
          <cell r="Z188"/>
          <cell r="AA188">
            <v>0</v>
          </cell>
          <cell r="AB188">
            <v>0</v>
          </cell>
          <cell r="AC188">
            <v>2862.6301701267284</v>
          </cell>
          <cell r="AD188">
            <v>0</v>
          </cell>
          <cell r="AE188">
            <v>83.07505612416243</v>
          </cell>
          <cell r="AF188">
            <v>0</v>
          </cell>
          <cell r="AH188">
            <v>120.85834889421265</v>
          </cell>
          <cell r="AI188">
            <v>0</v>
          </cell>
          <cell r="AK188">
            <v>50.255603364884891</v>
          </cell>
          <cell r="AL188">
            <v>0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T188">
            <v>19.771277081972755</v>
          </cell>
          <cell r="AU188">
            <v>0</v>
          </cell>
          <cell r="AW188">
            <v>0</v>
          </cell>
          <cell r="AX188">
            <v>0</v>
          </cell>
        </row>
        <row r="189"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/>
          <cell r="W189">
            <v>0</v>
          </cell>
          <cell r="X189">
            <v>0</v>
          </cell>
          <cell r="Y189">
            <v>0</v>
          </cell>
          <cell r="Z189"/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T189">
            <v>11.79923975269347</v>
          </cell>
          <cell r="AU189">
            <v>0</v>
          </cell>
          <cell r="AW189">
            <v>18.844525374458165</v>
          </cell>
          <cell r="AX189">
            <v>0</v>
          </cell>
        </row>
        <row r="190"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/>
          <cell r="W190">
            <v>0</v>
          </cell>
          <cell r="X190">
            <v>0</v>
          </cell>
          <cell r="Y190">
            <v>0</v>
          </cell>
          <cell r="Z190"/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39.854034337902583</v>
          </cell>
          <cell r="AF190">
            <v>0</v>
          </cell>
          <cell r="AH190">
            <v>52.004483831338867</v>
          </cell>
          <cell r="AI190">
            <v>0</v>
          </cell>
          <cell r="AK190">
            <v>40.915006131433771</v>
          </cell>
          <cell r="AL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T190">
            <v>36.676348877749327</v>
          </cell>
          <cell r="AU190">
            <v>0</v>
          </cell>
          <cell r="AW190">
            <v>27.907064838681809</v>
          </cell>
          <cell r="AX190">
            <v>0</v>
          </cell>
        </row>
        <row r="191"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/>
          <cell r="W191">
            <v>0</v>
          </cell>
          <cell r="X191">
            <v>36.860989106953532</v>
          </cell>
          <cell r="Y191">
            <v>0</v>
          </cell>
          <cell r="Z191"/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93.124297043027042</v>
          </cell>
          <cell r="AF191">
            <v>0</v>
          </cell>
          <cell r="AH191">
            <v>120.85834889421265</v>
          </cell>
          <cell r="AI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T191">
            <v>19.771277081972755</v>
          </cell>
          <cell r="AU191">
            <v>0</v>
          </cell>
          <cell r="AW191">
            <v>0</v>
          </cell>
          <cell r="AX191">
            <v>0</v>
          </cell>
        </row>
        <row r="192"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/>
          <cell r="W192">
            <v>0</v>
          </cell>
          <cell r="X192">
            <v>0</v>
          </cell>
          <cell r="Y192">
            <v>0</v>
          </cell>
          <cell r="Z192"/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55.317016831563706</v>
          </cell>
          <cell r="AF192">
            <v>0</v>
          </cell>
          <cell r="AH192">
            <v>73.078243450016657</v>
          </cell>
          <cell r="AI192">
            <v>0</v>
          </cell>
          <cell r="AK192">
            <v>39.334542562527318</v>
          </cell>
          <cell r="AL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T192">
            <v>9.8614252960765771</v>
          </cell>
          <cell r="AU192">
            <v>0</v>
          </cell>
          <cell r="AW192">
            <v>0</v>
          </cell>
          <cell r="AX192">
            <v>0</v>
          </cell>
        </row>
        <row r="193"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/>
          <cell r="W193">
            <v>0</v>
          </cell>
          <cell r="X193">
            <v>0</v>
          </cell>
          <cell r="Y193">
            <v>1258.7001004483097</v>
          </cell>
          <cell r="Z193"/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234.83426435119529</v>
          </cell>
          <cell r="AF193">
            <v>0</v>
          </cell>
          <cell r="AH193">
            <v>355.27199472401503</v>
          </cell>
          <cell r="AI193">
            <v>0</v>
          </cell>
          <cell r="AK193">
            <v>291.88442736632646</v>
          </cell>
          <cell r="AL193">
            <v>0</v>
          </cell>
          <cell r="AN193">
            <v>148.75500964976717</v>
          </cell>
          <cell r="AO193">
            <v>0</v>
          </cell>
          <cell r="AQ193">
            <v>89.960355179059135</v>
          </cell>
          <cell r="AR193">
            <v>0</v>
          </cell>
          <cell r="AT193">
            <v>129.72769086525304</v>
          </cell>
          <cell r="AU193">
            <v>341.30103163853278</v>
          </cell>
          <cell r="AW193">
            <v>0</v>
          </cell>
          <cell r="AX193">
            <v>0</v>
          </cell>
        </row>
        <row r="194"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/>
          <cell r="W194">
            <v>0</v>
          </cell>
          <cell r="X194">
            <v>0</v>
          </cell>
          <cell r="Y194">
            <v>0</v>
          </cell>
          <cell r="Z194"/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50.356859347754401</v>
          </cell>
          <cell r="AF194">
            <v>0</v>
          </cell>
          <cell r="AH194">
            <v>52.004483831338867</v>
          </cell>
          <cell r="AI194">
            <v>0</v>
          </cell>
          <cell r="AK194">
            <v>41.88574554546431</v>
          </cell>
          <cell r="AL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T194">
            <v>0.28321488959834151</v>
          </cell>
          <cell r="AU194">
            <v>0</v>
          </cell>
          <cell r="AW194">
            <v>0</v>
          </cell>
          <cell r="AX194">
            <v>0</v>
          </cell>
        </row>
        <row r="195"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/>
          <cell r="W195">
            <v>0</v>
          </cell>
          <cell r="X195">
            <v>0</v>
          </cell>
          <cell r="Y195">
            <v>0</v>
          </cell>
          <cell r="Z195"/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68.737885799463683</v>
          </cell>
          <cell r="AF195">
            <v>0</v>
          </cell>
          <cell r="AH195">
            <v>140.94151713113857</v>
          </cell>
          <cell r="AI195">
            <v>0</v>
          </cell>
          <cell r="AK195">
            <v>50.066584629659644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R195">
            <v>0</v>
          </cell>
          <cell r="AT195">
            <v>19.771301113804686</v>
          </cell>
          <cell r="AU195">
            <v>0</v>
          </cell>
          <cell r="AW195">
            <v>0</v>
          </cell>
          <cell r="AX195">
            <v>0</v>
          </cell>
        </row>
        <row r="196"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/>
          <cell r="W196">
            <v>0</v>
          </cell>
          <cell r="X196">
            <v>0</v>
          </cell>
          <cell r="Y196">
            <v>0</v>
          </cell>
          <cell r="Z196"/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390.33847504504604</v>
          </cell>
          <cell r="AF196">
            <v>0</v>
          </cell>
          <cell r="AH196">
            <v>620.41262887163259</v>
          </cell>
          <cell r="AI196">
            <v>0</v>
          </cell>
          <cell r="AK196">
            <v>575.45004834420865</v>
          </cell>
          <cell r="AL196">
            <v>0</v>
          </cell>
          <cell r="AN196">
            <v>271.31080726994344</v>
          </cell>
          <cell r="AO196">
            <v>0</v>
          </cell>
          <cell r="AQ196">
            <v>149.88538452814583</v>
          </cell>
          <cell r="AR196">
            <v>0</v>
          </cell>
          <cell r="AT196">
            <v>252.38051312156597</v>
          </cell>
          <cell r="AU196">
            <v>0</v>
          </cell>
          <cell r="AW196">
            <v>0</v>
          </cell>
          <cell r="AX196">
            <v>0</v>
          </cell>
        </row>
        <row r="197"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/>
          <cell r="W197">
            <v>0</v>
          </cell>
          <cell r="X197">
            <v>0</v>
          </cell>
          <cell r="Y197">
            <v>0</v>
          </cell>
          <cell r="Z197"/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187.94647068857452</v>
          </cell>
          <cell r="AF197">
            <v>0</v>
          </cell>
          <cell r="AH197">
            <v>201.394921118063</v>
          </cell>
          <cell r="AI197">
            <v>0</v>
          </cell>
          <cell r="AK197">
            <v>261.14611199583754</v>
          </cell>
          <cell r="AL197">
            <v>0</v>
          </cell>
          <cell r="AN197">
            <v>0</v>
          </cell>
          <cell r="AO197">
            <v>0</v>
          </cell>
          <cell r="AQ197">
            <v>0</v>
          </cell>
          <cell r="AR197">
            <v>0</v>
          </cell>
          <cell r="AT197">
            <v>98.937810135742524</v>
          </cell>
          <cell r="AU197">
            <v>0</v>
          </cell>
          <cell r="AW197">
            <v>0</v>
          </cell>
          <cell r="AX197">
            <v>0</v>
          </cell>
        </row>
        <row r="198"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/>
          <cell r="W198">
            <v>0</v>
          </cell>
          <cell r="X198">
            <v>0</v>
          </cell>
          <cell r="Y198">
            <v>0</v>
          </cell>
          <cell r="Z198"/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61.08498790277315</v>
          </cell>
          <cell r="AF198">
            <v>0</v>
          </cell>
          <cell r="AH198">
            <v>60.142686975203205</v>
          </cell>
          <cell r="AI198">
            <v>0</v>
          </cell>
          <cell r="AK198">
            <v>25.856638541695908</v>
          </cell>
          <cell r="AL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T198">
            <v>9.8614099354183207</v>
          </cell>
          <cell r="AU198">
            <v>0</v>
          </cell>
          <cell r="AW198">
            <v>0</v>
          </cell>
          <cell r="AX198">
            <v>0</v>
          </cell>
        </row>
        <row r="199">
          <cell r="I199">
            <v>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/>
          <cell r="W199">
            <v>0</v>
          </cell>
          <cell r="X199">
            <v>0</v>
          </cell>
          <cell r="Y199">
            <v>0</v>
          </cell>
          <cell r="Z199"/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101.50287500156291</v>
          </cell>
          <cell r="AF199">
            <v>0</v>
          </cell>
          <cell r="AH199">
            <v>220.35536942866483</v>
          </cell>
          <cell r="AI199">
            <v>0</v>
          </cell>
          <cell r="AK199">
            <v>230.42606906662934</v>
          </cell>
          <cell r="AL199">
            <v>0</v>
          </cell>
          <cell r="AN199">
            <v>112.07757032379568</v>
          </cell>
          <cell r="AO199">
            <v>0</v>
          </cell>
          <cell r="AQ199">
            <v>97.432801481500164</v>
          </cell>
          <cell r="AR199">
            <v>0</v>
          </cell>
          <cell r="AT199">
            <v>142.88014072649705</v>
          </cell>
          <cell r="AU199">
            <v>0</v>
          </cell>
          <cell r="AW199">
            <v>96.663229479310985</v>
          </cell>
          <cell r="AX199">
            <v>0</v>
          </cell>
        </row>
        <row r="200"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/>
          <cell r="W200">
            <v>0</v>
          </cell>
          <cell r="X200">
            <v>118.61529306238835</v>
          </cell>
          <cell r="Y200">
            <v>288.79677869231773</v>
          </cell>
          <cell r="Z200"/>
          <cell r="AA200">
            <v>0</v>
          </cell>
          <cell r="AB200">
            <v>0</v>
          </cell>
          <cell r="AC200">
            <v>0</v>
          </cell>
          <cell r="AD200">
            <v>651.63095419175409</v>
          </cell>
          <cell r="AE200">
            <v>687.5689269980968</v>
          </cell>
          <cell r="AF200">
            <v>2309.4966732716111</v>
          </cell>
          <cell r="AH200">
            <v>852.73376605057626</v>
          </cell>
          <cell r="AI200">
            <v>3210.1358157077925</v>
          </cell>
          <cell r="AK200">
            <v>818.59852281293365</v>
          </cell>
          <cell r="AL200">
            <v>0</v>
          </cell>
          <cell r="AN200">
            <v>452.47536652234191</v>
          </cell>
          <cell r="AO200">
            <v>0</v>
          </cell>
          <cell r="AQ200">
            <v>230.86424191318989</v>
          </cell>
          <cell r="AR200">
            <v>0</v>
          </cell>
          <cell r="AT200">
            <v>728.97575593989166</v>
          </cell>
          <cell r="AU200">
            <v>0</v>
          </cell>
          <cell r="AW200">
            <v>235.73840334135744</v>
          </cell>
          <cell r="AX200">
            <v>0</v>
          </cell>
        </row>
        <row r="201"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/>
          <cell r="W201">
            <v>0</v>
          </cell>
          <cell r="X201">
            <v>0</v>
          </cell>
          <cell r="Y201">
            <v>0</v>
          </cell>
          <cell r="Z201"/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77.254161613420038</v>
          </cell>
          <cell r="AF201">
            <v>0</v>
          </cell>
          <cell r="AH201">
            <v>115.64329743466799</v>
          </cell>
          <cell r="AI201">
            <v>0</v>
          </cell>
          <cell r="AK201">
            <v>53.682635866982842</v>
          </cell>
          <cell r="AL201">
            <v>5486.1601225794993</v>
          </cell>
          <cell r="AN201">
            <v>0</v>
          </cell>
          <cell r="AO201">
            <v>0</v>
          </cell>
          <cell r="AQ201">
            <v>0</v>
          </cell>
          <cell r="AR201">
            <v>0</v>
          </cell>
          <cell r="AT201">
            <v>19.771277081972755</v>
          </cell>
          <cell r="AU201">
            <v>0</v>
          </cell>
          <cell r="AW201">
            <v>0</v>
          </cell>
          <cell r="AX201">
            <v>0</v>
          </cell>
        </row>
        <row r="202"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/>
          <cell r="W202">
            <v>0</v>
          </cell>
          <cell r="X202">
            <v>0</v>
          </cell>
          <cell r="Y202">
            <v>0</v>
          </cell>
          <cell r="Z202"/>
          <cell r="AA202">
            <v>0</v>
          </cell>
          <cell r="AB202">
            <v>0</v>
          </cell>
          <cell r="AC202">
            <v>0</v>
          </cell>
          <cell r="AD202">
            <v>335.2013214676407</v>
          </cell>
          <cell r="AE202">
            <v>110.3839524567741</v>
          </cell>
          <cell r="AF202">
            <v>352.16728040695443</v>
          </cell>
          <cell r="AH202">
            <v>147.54288771672486</v>
          </cell>
          <cell r="AI202">
            <v>0</v>
          </cell>
          <cell r="AK202">
            <v>216.4953644508474</v>
          </cell>
          <cell r="AL202">
            <v>0</v>
          </cell>
          <cell r="AN202">
            <v>57.544955533841751</v>
          </cell>
          <cell r="AO202">
            <v>0</v>
          </cell>
          <cell r="AQ202">
            <v>114.23216904794364</v>
          </cell>
          <cell r="AR202">
            <v>0</v>
          </cell>
          <cell r="AT202">
            <v>75.197898812150427</v>
          </cell>
          <cell r="AU202">
            <v>4407.1628156041215</v>
          </cell>
          <cell r="AW202">
            <v>98.612223391799574</v>
          </cell>
          <cell r="AX202">
            <v>0</v>
          </cell>
        </row>
        <row r="203"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/>
          <cell r="W203">
            <v>0</v>
          </cell>
          <cell r="X203">
            <v>0</v>
          </cell>
          <cell r="Y203">
            <v>0</v>
          </cell>
          <cell r="Z203"/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53.23428105407536</v>
          </cell>
          <cell r="AF203">
            <v>0</v>
          </cell>
          <cell r="AH203">
            <v>115.64329743466799</v>
          </cell>
          <cell r="AI203">
            <v>0</v>
          </cell>
          <cell r="AK203">
            <v>0</v>
          </cell>
          <cell r="AL203">
            <v>0</v>
          </cell>
          <cell r="AN203">
            <v>0</v>
          </cell>
          <cell r="AO203">
            <v>0</v>
          </cell>
          <cell r="AQ203">
            <v>0</v>
          </cell>
          <cell r="AR203">
            <v>0</v>
          </cell>
          <cell r="AT203">
            <v>19.771277081972755</v>
          </cell>
          <cell r="AU203">
            <v>0</v>
          </cell>
          <cell r="AW203">
            <v>0</v>
          </cell>
          <cell r="AX203">
            <v>0</v>
          </cell>
        </row>
        <row r="204"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U204">
            <v>469.29591946661907</v>
          </cell>
          <cell r="V204"/>
          <cell r="W204">
            <v>0</v>
          </cell>
          <cell r="X204">
            <v>0</v>
          </cell>
          <cell r="Y204">
            <v>0</v>
          </cell>
          <cell r="Z204"/>
          <cell r="AA204">
            <v>0</v>
          </cell>
          <cell r="AB204">
            <v>691.93947253388149</v>
          </cell>
          <cell r="AC204">
            <v>0</v>
          </cell>
          <cell r="AD204">
            <v>0</v>
          </cell>
          <cell r="AE204">
            <v>285.32250723809909</v>
          </cell>
          <cell r="AF204">
            <v>0</v>
          </cell>
          <cell r="AH204">
            <v>390.32326750718556</v>
          </cell>
          <cell r="AI204">
            <v>0</v>
          </cell>
          <cell r="AK204">
            <v>487.49537740688345</v>
          </cell>
          <cell r="AL204">
            <v>0</v>
          </cell>
          <cell r="AN204">
            <v>200.76067396593027</v>
          </cell>
          <cell r="AO204">
            <v>0</v>
          </cell>
          <cell r="AQ204">
            <v>98.941812127749259</v>
          </cell>
          <cell r="AR204">
            <v>0</v>
          </cell>
          <cell r="AT204">
            <v>320.3263120897879</v>
          </cell>
          <cell r="AU204">
            <v>1914.4090683877223</v>
          </cell>
          <cell r="AW204">
            <v>143.02162076665977</v>
          </cell>
          <cell r="AX204">
            <v>0</v>
          </cell>
        </row>
        <row r="205">
          <cell r="I205">
            <v>11.8</v>
          </cell>
          <cell r="J205">
            <v>5677.8891296986358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/>
          <cell r="W205">
            <v>0</v>
          </cell>
          <cell r="X205">
            <v>0</v>
          </cell>
          <cell r="Y205">
            <v>0</v>
          </cell>
          <cell r="Z205"/>
          <cell r="AA205">
            <v>0</v>
          </cell>
          <cell r="AB205">
            <v>0</v>
          </cell>
          <cell r="AC205">
            <v>0</v>
          </cell>
          <cell r="AD205">
            <v>173.18811997737316</v>
          </cell>
          <cell r="AE205">
            <v>86.443035780007833</v>
          </cell>
          <cell r="AF205">
            <v>0</v>
          </cell>
          <cell r="AH205">
            <v>120.14218698074031</v>
          </cell>
          <cell r="AI205">
            <v>3221.422943737793</v>
          </cell>
          <cell r="AK205">
            <v>76.741518410294219</v>
          </cell>
          <cell r="AL205">
            <v>0</v>
          </cell>
          <cell r="AN205">
            <v>71.32701187536864</v>
          </cell>
          <cell r="AO205">
            <v>1148.5448070087323</v>
          </cell>
          <cell r="AQ205">
            <v>55.319784965168807</v>
          </cell>
          <cell r="AR205">
            <v>0</v>
          </cell>
          <cell r="AT205">
            <v>114.19426926644365</v>
          </cell>
          <cell r="AU205">
            <v>0</v>
          </cell>
          <cell r="AW205">
            <v>180.65516284184937</v>
          </cell>
          <cell r="AX205">
            <v>0</v>
          </cell>
        </row>
        <row r="206"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/>
          <cell r="W206">
            <v>0</v>
          </cell>
          <cell r="X206">
            <v>140.61186326835374</v>
          </cell>
          <cell r="Y206">
            <v>0</v>
          </cell>
          <cell r="Z206"/>
          <cell r="AA206">
            <v>0</v>
          </cell>
          <cell r="AB206">
            <v>0</v>
          </cell>
          <cell r="AC206">
            <v>9381.7379423588063</v>
          </cell>
          <cell r="AD206">
            <v>2109.7616202417112</v>
          </cell>
          <cell r="AE206">
            <v>106.46004484722503</v>
          </cell>
          <cell r="AF206">
            <v>0</v>
          </cell>
          <cell r="AH206">
            <v>132.91597242587608</v>
          </cell>
          <cell r="AI206">
            <v>0</v>
          </cell>
          <cell r="AK206">
            <v>96.496044322568451</v>
          </cell>
          <cell r="AL206">
            <v>0</v>
          </cell>
          <cell r="AN206">
            <v>68.311243232300868</v>
          </cell>
          <cell r="AO206">
            <v>0</v>
          </cell>
          <cell r="AQ206">
            <v>32.980617657691397</v>
          </cell>
          <cell r="AR206">
            <v>0</v>
          </cell>
          <cell r="AT206">
            <v>43.626293285779226</v>
          </cell>
          <cell r="AU206">
            <v>3382.6449808026209</v>
          </cell>
          <cell r="AW206">
            <v>38.465579168771882</v>
          </cell>
          <cell r="AX206">
            <v>0</v>
          </cell>
        </row>
        <row r="207">
          <cell r="I207">
            <v>0.5</v>
          </cell>
          <cell r="J207">
            <v>857.33859195696277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/>
          <cell r="W207">
            <v>4</v>
          </cell>
          <cell r="X207">
            <v>728.58236791614559</v>
          </cell>
          <cell r="Y207">
            <v>0</v>
          </cell>
          <cell r="Z207"/>
          <cell r="AA207">
            <v>0</v>
          </cell>
          <cell r="AB207">
            <v>197.19690590536291</v>
          </cell>
          <cell r="AC207">
            <v>400.54383359414265</v>
          </cell>
          <cell r="AD207">
            <v>55.457593993294928</v>
          </cell>
          <cell r="AE207">
            <v>165.41116391265822</v>
          </cell>
          <cell r="AF207">
            <v>0</v>
          </cell>
          <cell r="AH207">
            <v>212.66555588140139</v>
          </cell>
          <cell r="AI207">
            <v>0</v>
          </cell>
          <cell r="AK207">
            <v>158.75959729993374</v>
          </cell>
          <cell r="AL207">
            <v>0</v>
          </cell>
          <cell r="AN207">
            <v>94.310142601773379</v>
          </cell>
          <cell r="AO207">
            <v>0</v>
          </cell>
          <cell r="AQ207">
            <v>52.768988252306244</v>
          </cell>
          <cell r="AR207">
            <v>0</v>
          </cell>
          <cell r="AT207">
            <v>78.040883527025315</v>
          </cell>
          <cell r="AU207">
            <v>2821.8978251399649</v>
          </cell>
          <cell r="AW207">
            <v>79.878797055444863</v>
          </cell>
          <cell r="AX207">
            <v>0</v>
          </cell>
        </row>
        <row r="208"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R208">
            <v>1</v>
          </cell>
          <cell r="S208">
            <v>7288.7816877292589</v>
          </cell>
          <cell r="U208">
            <v>173.81774176478288</v>
          </cell>
          <cell r="V208"/>
          <cell r="W208">
            <v>0</v>
          </cell>
          <cell r="X208">
            <v>60.588663998592992</v>
          </cell>
          <cell r="Y208">
            <v>0</v>
          </cell>
          <cell r="Z208"/>
          <cell r="AA208">
            <v>0</v>
          </cell>
          <cell r="AB208">
            <v>0</v>
          </cell>
          <cell r="AC208">
            <v>2807.2195824815362</v>
          </cell>
          <cell r="AD208">
            <v>435.24332519980555</v>
          </cell>
          <cell r="AE208">
            <v>106.46004484722503</v>
          </cell>
          <cell r="AF208">
            <v>0</v>
          </cell>
          <cell r="AH208">
            <v>132.91597242587608</v>
          </cell>
          <cell r="AI208">
            <v>0</v>
          </cell>
          <cell r="AK208">
            <v>93.124853889192295</v>
          </cell>
          <cell r="AL208">
            <v>0</v>
          </cell>
          <cell r="AN208">
            <v>64.567014438461243</v>
          </cell>
          <cell r="AO208">
            <v>0</v>
          </cell>
          <cell r="AQ208">
            <v>32.980617657691397</v>
          </cell>
          <cell r="AR208">
            <v>0</v>
          </cell>
          <cell r="AT208">
            <v>43.626293285779226</v>
          </cell>
          <cell r="AU208">
            <v>0</v>
          </cell>
          <cell r="AW208">
            <v>27.907064838681809</v>
          </cell>
          <cell r="AX208">
            <v>0</v>
          </cell>
        </row>
        <row r="209"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/>
          <cell r="W209">
            <v>0</v>
          </cell>
          <cell r="X209">
            <v>0</v>
          </cell>
          <cell r="Y209">
            <v>0</v>
          </cell>
          <cell r="Z209"/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91.656095609273535</v>
          </cell>
          <cell r="AF209">
            <v>0</v>
          </cell>
          <cell r="AH209">
            <v>152.88656391485003</v>
          </cell>
          <cell r="AI209">
            <v>0</v>
          </cell>
          <cell r="AK209">
            <v>77.57745813108339</v>
          </cell>
          <cell r="AL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T209">
            <v>19.771301113804686</v>
          </cell>
          <cell r="AU209">
            <v>0</v>
          </cell>
          <cell r="AW209">
            <v>0</v>
          </cell>
          <cell r="AX209">
            <v>0</v>
          </cell>
        </row>
        <row r="210"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U210">
            <v>156.44195923745193</v>
          </cell>
          <cell r="V210"/>
          <cell r="W210">
            <v>0</v>
          </cell>
          <cell r="X210">
            <v>48.470931198874396</v>
          </cell>
          <cell r="Y210">
            <v>0</v>
          </cell>
          <cell r="Z210"/>
          <cell r="AA210">
            <v>0</v>
          </cell>
          <cell r="AB210">
            <v>490.99162446967171</v>
          </cell>
          <cell r="AC210">
            <v>0</v>
          </cell>
          <cell r="AD210">
            <v>0</v>
          </cell>
          <cell r="AE210">
            <v>106.46004484722503</v>
          </cell>
          <cell r="AF210">
            <v>352.16728040695443</v>
          </cell>
          <cell r="AH210">
            <v>132.91597242587608</v>
          </cell>
          <cell r="AI210">
            <v>0</v>
          </cell>
          <cell r="AK210">
            <v>91.344582835785587</v>
          </cell>
          <cell r="AL210">
            <v>0</v>
          </cell>
          <cell r="AN210">
            <v>59.813520908187947</v>
          </cell>
          <cell r="AO210">
            <v>429.10855592932234</v>
          </cell>
          <cell r="AQ210">
            <v>32.980617657691397</v>
          </cell>
          <cell r="AR210">
            <v>0</v>
          </cell>
          <cell r="AT210">
            <v>43.626293285779226</v>
          </cell>
          <cell r="AU210">
            <v>0</v>
          </cell>
          <cell r="AW210">
            <v>51.805042814282956</v>
          </cell>
          <cell r="AX210">
            <v>0</v>
          </cell>
        </row>
        <row r="211"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R211">
            <v>4</v>
          </cell>
          <cell r="S211">
            <v>28636.50264564528</v>
          </cell>
          <cell r="U211">
            <v>0</v>
          </cell>
          <cell r="V211"/>
          <cell r="W211">
            <v>6</v>
          </cell>
          <cell r="X211">
            <v>1270.2575196744779</v>
          </cell>
          <cell r="Y211">
            <v>0</v>
          </cell>
          <cell r="Z211"/>
          <cell r="AA211">
            <v>0</v>
          </cell>
          <cell r="AB211">
            <v>0</v>
          </cell>
          <cell r="AC211">
            <v>182502.79097925118</v>
          </cell>
          <cell r="AD211">
            <v>2806.0975100730093</v>
          </cell>
          <cell r="AE211">
            <v>206.48060014236324</v>
          </cell>
          <cell r="AF211">
            <v>0</v>
          </cell>
          <cell r="AH211">
            <v>265.8319448517517</v>
          </cell>
          <cell r="AI211">
            <v>0</v>
          </cell>
          <cell r="AK211">
            <v>201.92473535792897</v>
          </cell>
          <cell r="AL211">
            <v>0</v>
          </cell>
          <cell r="AN211">
            <v>110.15949442599425</v>
          </cell>
          <cell r="AO211">
            <v>858.1913451964266</v>
          </cell>
          <cell r="AQ211">
            <v>65.961235315382794</v>
          </cell>
          <cell r="AR211">
            <v>0</v>
          </cell>
          <cell r="AT211">
            <v>97.681528674260917</v>
          </cell>
          <cell r="AU211">
            <v>0</v>
          </cell>
          <cell r="AW211">
            <v>55.195831147079431</v>
          </cell>
          <cell r="AX211">
            <v>0</v>
          </cell>
        </row>
        <row r="212"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156.44195923745193</v>
          </cell>
          <cell r="V212"/>
          <cell r="W212">
            <v>0</v>
          </cell>
          <cell r="X212">
            <v>19.272965500504817</v>
          </cell>
          <cell r="Y212">
            <v>0</v>
          </cell>
          <cell r="Z212"/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42.584017938890014</v>
          </cell>
          <cell r="AF212">
            <v>0</v>
          </cell>
          <cell r="AH212">
            <v>53.16638897035044</v>
          </cell>
          <cell r="AI212">
            <v>0</v>
          </cell>
          <cell r="AK212">
            <v>44.006444341695001</v>
          </cell>
          <cell r="AL212">
            <v>0</v>
          </cell>
          <cell r="AN212">
            <v>23.588891810124462</v>
          </cell>
          <cell r="AO212">
            <v>429.10855592932234</v>
          </cell>
          <cell r="AQ212">
            <v>13.192247063076561</v>
          </cell>
          <cell r="AR212">
            <v>0</v>
          </cell>
          <cell r="AT212">
            <v>17.450517314311693</v>
          </cell>
          <cell r="AU212">
            <v>0</v>
          </cell>
          <cell r="AW212">
            <v>27.907064838681809</v>
          </cell>
          <cell r="AX212">
            <v>0</v>
          </cell>
        </row>
        <row r="213">
          <cell r="I213">
            <v>0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/>
          <cell r="W213">
            <v>0</v>
          </cell>
          <cell r="X213">
            <v>0</v>
          </cell>
          <cell r="Y213">
            <v>0</v>
          </cell>
          <cell r="Z213"/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H213">
            <v>0</v>
          </cell>
          <cell r="AI213">
            <v>0</v>
          </cell>
          <cell r="AK213">
            <v>0</v>
          </cell>
          <cell r="AL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T213">
            <v>0</v>
          </cell>
          <cell r="AU213">
            <v>0</v>
          </cell>
          <cell r="AW213">
            <v>0</v>
          </cell>
          <cell r="AX213">
            <v>0</v>
          </cell>
        </row>
        <row r="214"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/>
          <cell r="W214">
            <v>0</v>
          </cell>
          <cell r="X214">
            <v>0</v>
          </cell>
          <cell r="Y214">
            <v>0</v>
          </cell>
          <cell r="Z214"/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H214">
            <v>0</v>
          </cell>
          <cell r="AI214">
            <v>0</v>
          </cell>
          <cell r="AK214">
            <v>0</v>
          </cell>
          <cell r="AL214">
            <v>0</v>
          </cell>
          <cell r="AN214">
            <v>0</v>
          </cell>
          <cell r="AO214">
            <v>0</v>
          </cell>
          <cell r="AQ214">
            <v>0</v>
          </cell>
          <cell r="AR214">
            <v>0</v>
          </cell>
          <cell r="AT214">
            <v>0</v>
          </cell>
          <cell r="AU214">
            <v>0</v>
          </cell>
          <cell r="AW214">
            <v>0</v>
          </cell>
          <cell r="AX214">
            <v>0</v>
          </cell>
        </row>
        <row r="215">
          <cell r="I215">
            <v>0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R215">
            <v>1</v>
          </cell>
          <cell r="S215">
            <v>11251.26016719068</v>
          </cell>
          <cell r="U215">
            <v>0</v>
          </cell>
          <cell r="V215"/>
          <cell r="W215">
            <v>0</v>
          </cell>
          <cell r="X215">
            <v>0</v>
          </cell>
          <cell r="Y215">
            <v>0</v>
          </cell>
          <cell r="Z215"/>
          <cell r="AA215">
            <v>0</v>
          </cell>
          <cell r="AB215">
            <v>0</v>
          </cell>
          <cell r="AC215">
            <v>451.61317237739581</v>
          </cell>
          <cell r="AD215">
            <v>671.55376031554283</v>
          </cell>
          <cell r="AE215">
            <v>327.04584121664607</v>
          </cell>
          <cell r="AF215">
            <v>0</v>
          </cell>
          <cell r="AH215">
            <v>398.9137894360008</v>
          </cell>
          <cell r="AI215">
            <v>0</v>
          </cell>
          <cell r="AK215">
            <v>458.67069947314712</v>
          </cell>
          <cell r="AL215">
            <v>0</v>
          </cell>
          <cell r="AN215">
            <v>194.41885365990336</v>
          </cell>
          <cell r="AO215">
            <v>0</v>
          </cell>
          <cell r="AQ215">
            <v>105.68402349220877</v>
          </cell>
          <cell r="AR215">
            <v>0</v>
          </cell>
          <cell r="AT215">
            <v>205.26189571466762</v>
          </cell>
          <cell r="AU215">
            <v>0</v>
          </cell>
          <cell r="AW215">
            <v>119.34310272027908</v>
          </cell>
          <cell r="AX215">
            <v>0</v>
          </cell>
        </row>
        <row r="216">
          <cell r="I216">
            <v>0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/>
          <cell r="W216">
            <v>0</v>
          </cell>
          <cell r="X216">
            <v>0</v>
          </cell>
          <cell r="Y216">
            <v>0</v>
          </cell>
          <cell r="Z216"/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335.49122236556309</v>
          </cell>
          <cell r="AF216">
            <v>0</v>
          </cell>
          <cell r="AH216">
            <v>503.09886568518095</v>
          </cell>
          <cell r="AI216">
            <v>0</v>
          </cell>
          <cell r="AK216">
            <v>349.5833390983895</v>
          </cell>
          <cell r="AL216">
            <v>0</v>
          </cell>
          <cell r="AN216">
            <v>201.87973305220362</v>
          </cell>
          <cell r="AO216">
            <v>0</v>
          </cell>
          <cell r="AQ216">
            <v>119.94714023874553</v>
          </cell>
          <cell r="AR216">
            <v>0</v>
          </cell>
          <cell r="AT216">
            <v>187.174739446508</v>
          </cell>
          <cell r="AU216">
            <v>2530.1391492307534</v>
          </cell>
          <cell r="AW216">
            <v>107.72463185447754</v>
          </cell>
          <cell r="AX216">
            <v>0</v>
          </cell>
        </row>
        <row r="217">
          <cell r="I217">
            <v>0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/>
          <cell r="W217">
            <v>0</v>
          </cell>
          <cell r="X217">
            <v>177.63442214597018</v>
          </cell>
          <cell r="Y217">
            <v>0</v>
          </cell>
          <cell r="Z217"/>
          <cell r="AA217">
            <v>0</v>
          </cell>
          <cell r="AB217">
            <v>0</v>
          </cell>
          <cell r="AC217">
            <v>0</v>
          </cell>
          <cell r="AD217">
            <v>2054.3088133494111</v>
          </cell>
          <cell r="AE217">
            <v>234.19939836518847</v>
          </cell>
          <cell r="AF217">
            <v>0</v>
          </cell>
          <cell r="AH217">
            <v>340.39419120155407</v>
          </cell>
          <cell r="AI217">
            <v>0</v>
          </cell>
          <cell r="AK217">
            <v>377.32558295153785</v>
          </cell>
          <cell r="AL217">
            <v>0</v>
          </cell>
          <cell r="AN217">
            <v>175.11975664192488</v>
          </cell>
          <cell r="AO217">
            <v>858.1913451964266</v>
          </cell>
          <cell r="AQ217">
            <v>73.457911157641931</v>
          </cell>
          <cell r="AR217">
            <v>16.749686000000001</v>
          </cell>
          <cell r="AT217">
            <v>232.89259241061026</v>
          </cell>
          <cell r="AU217">
            <v>1131.2545234065167</v>
          </cell>
          <cell r="AW217">
            <v>141.02416777453496</v>
          </cell>
          <cell r="AX217">
            <v>0</v>
          </cell>
        </row>
        <row r="218"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/>
          <cell r="W218">
            <v>0</v>
          </cell>
          <cell r="X218">
            <v>50.132791697121519</v>
          </cell>
          <cell r="Y218">
            <v>0</v>
          </cell>
          <cell r="Z218"/>
          <cell r="AA218">
            <v>0</v>
          </cell>
          <cell r="AB218">
            <v>0</v>
          </cell>
          <cell r="AC218">
            <v>0</v>
          </cell>
          <cell r="AD218">
            <v>559.46015620810817</v>
          </cell>
          <cell r="AE218">
            <v>131.66111816664187</v>
          </cell>
          <cell r="AF218">
            <v>0</v>
          </cell>
          <cell r="AH218">
            <v>193.84601730458303</v>
          </cell>
          <cell r="AI218">
            <v>0</v>
          </cell>
          <cell r="AK218">
            <v>215.16401743022467</v>
          </cell>
          <cell r="AL218">
            <v>0</v>
          </cell>
          <cell r="AN218">
            <v>101.39158159948053</v>
          </cell>
          <cell r="AO218">
            <v>0</v>
          </cell>
          <cell r="AQ218">
            <v>97.437647389463777</v>
          </cell>
          <cell r="AR218">
            <v>7.7228418000000003</v>
          </cell>
          <cell r="AT218">
            <v>163.8440843954931</v>
          </cell>
          <cell r="AU218">
            <v>0</v>
          </cell>
          <cell r="AW218">
            <v>156.91956282162403</v>
          </cell>
          <cell r="AX218">
            <v>0</v>
          </cell>
        </row>
        <row r="219"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/>
          <cell r="W219">
            <v>0</v>
          </cell>
          <cell r="X219">
            <v>0</v>
          </cell>
          <cell r="Y219">
            <v>0</v>
          </cell>
          <cell r="Z219"/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320.62601161897658</v>
          </cell>
          <cell r="AF219">
            <v>0</v>
          </cell>
          <cell r="AH219">
            <v>492.97964315911258</v>
          </cell>
          <cell r="AI219">
            <v>0</v>
          </cell>
          <cell r="AK219">
            <v>425.24465874824136</v>
          </cell>
          <cell r="AL219">
            <v>0</v>
          </cell>
          <cell r="AN219">
            <v>0</v>
          </cell>
          <cell r="AO219">
            <v>0</v>
          </cell>
          <cell r="AQ219">
            <v>0</v>
          </cell>
          <cell r="AR219">
            <v>601.0903519414104</v>
          </cell>
          <cell r="AT219">
            <v>176.92726331589199</v>
          </cell>
          <cell r="AU219">
            <v>0</v>
          </cell>
          <cell r="AW219">
            <v>0</v>
          </cell>
          <cell r="AX219">
            <v>0</v>
          </cell>
        </row>
        <row r="220">
          <cell r="I220">
            <v>0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/>
          <cell r="W220">
            <v>0</v>
          </cell>
          <cell r="X220">
            <v>0</v>
          </cell>
          <cell r="Y220">
            <v>0</v>
          </cell>
          <cell r="Z220"/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323.47537914525492</v>
          </cell>
          <cell r="AF220">
            <v>0</v>
          </cell>
          <cell r="AH220">
            <v>444.88882070319545</v>
          </cell>
          <cell r="AI220">
            <v>0</v>
          </cell>
          <cell r="AK220">
            <v>431.67565626018109</v>
          </cell>
          <cell r="AL220">
            <v>0</v>
          </cell>
          <cell r="AN220">
            <v>0</v>
          </cell>
          <cell r="AO220">
            <v>0</v>
          </cell>
          <cell r="AQ220">
            <v>0</v>
          </cell>
          <cell r="AR220">
            <v>0</v>
          </cell>
          <cell r="AT220">
            <v>179.51810429532154</v>
          </cell>
          <cell r="AU220">
            <v>0</v>
          </cell>
          <cell r="AW220">
            <v>0</v>
          </cell>
          <cell r="AX220">
            <v>0</v>
          </cell>
        </row>
        <row r="221">
          <cell r="I221">
            <v>0</v>
          </cell>
          <cell r="J221">
            <v>0</v>
          </cell>
          <cell r="L221">
            <v>1</v>
          </cell>
          <cell r="M221">
            <v>45702.051413091678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/>
          <cell r="W221">
            <v>0</v>
          </cell>
          <cell r="X221">
            <v>0</v>
          </cell>
          <cell r="Y221">
            <v>0</v>
          </cell>
          <cell r="Z221"/>
          <cell r="AA221">
            <v>0</v>
          </cell>
          <cell r="AB221">
            <v>0</v>
          </cell>
          <cell r="AC221">
            <v>557.75728827984369</v>
          </cell>
          <cell r="AD221">
            <v>1032.6813916239926</v>
          </cell>
          <cell r="AE221">
            <v>309.21091681822662</v>
          </cell>
          <cell r="AF221">
            <v>0</v>
          </cell>
          <cell r="AH221">
            <v>444.88882070319545</v>
          </cell>
          <cell r="AI221">
            <v>0</v>
          </cell>
          <cell r="AK221">
            <v>470.67431918363008</v>
          </cell>
          <cell r="AL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T221">
            <v>179.51810429532154</v>
          </cell>
          <cell r="AU221">
            <v>1792.527108619086</v>
          </cell>
          <cell r="AW221">
            <v>0</v>
          </cell>
          <cell r="AX221">
            <v>0</v>
          </cell>
        </row>
        <row r="222">
          <cell r="I222">
            <v>11</v>
          </cell>
          <cell r="J222">
            <v>2518.6320877822127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/>
          <cell r="W222">
            <v>0</v>
          </cell>
          <cell r="X222">
            <v>0</v>
          </cell>
          <cell r="Y222">
            <v>0</v>
          </cell>
          <cell r="Z222"/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227.2230240106725</v>
          </cell>
          <cell r="AF222">
            <v>0</v>
          </cell>
          <cell r="AH222">
            <v>387.87318468845865</v>
          </cell>
          <cell r="AI222">
            <v>0</v>
          </cell>
          <cell r="AK222">
            <v>299.02802678329249</v>
          </cell>
          <cell r="AL222">
            <v>0</v>
          </cell>
          <cell r="AN222">
            <v>0</v>
          </cell>
          <cell r="AO222">
            <v>0</v>
          </cell>
          <cell r="AQ222">
            <v>0</v>
          </cell>
          <cell r="AR222">
            <v>1515.502816555887</v>
          </cell>
          <cell r="AT222">
            <v>130.49535443444742</v>
          </cell>
          <cell r="AU222">
            <v>0</v>
          </cell>
          <cell r="AW222">
            <v>0</v>
          </cell>
          <cell r="AX222">
            <v>0</v>
          </cell>
        </row>
        <row r="223"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/>
          <cell r="W223">
            <v>0</v>
          </cell>
          <cell r="X223">
            <v>0</v>
          </cell>
          <cell r="Y223">
            <v>0</v>
          </cell>
          <cell r="Z223"/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268.63508955986697</v>
          </cell>
          <cell r="AF223">
            <v>0</v>
          </cell>
          <cell r="AH223">
            <v>489.43497576070069</v>
          </cell>
          <cell r="AI223">
            <v>0</v>
          </cell>
          <cell r="AK223">
            <v>246.53671761751028</v>
          </cell>
          <cell r="AL223">
            <v>0</v>
          </cell>
          <cell r="AN223">
            <v>0</v>
          </cell>
          <cell r="AO223">
            <v>0</v>
          </cell>
          <cell r="AQ223">
            <v>0</v>
          </cell>
          <cell r="AR223">
            <v>0</v>
          </cell>
          <cell r="AT223">
            <v>222.83021985135576</v>
          </cell>
          <cell r="AU223">
            <v>0</v>
          </cell>
          <cell r="AW223">
            <v>0</v>
          </cell>
          <cell r="AX223">
            <v>0</v>
          </cell>
        </row>
        <row r="224"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/>
          <cell r="W224">
            <v>0</v>
          </cell>
          <cell r="X224">
            <v>0</v>
          </cell>
          <cell r="Y224">
            <v>0</v>
          </cell>
          <cell r="Z224"/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82.667714407915298</v>
          </cell>
          <cell r="AF224">
            <v>0</v>
          </cell>
          <cell r="AH224">
            <v>91.180310614088697</v>
          </cell>
          <cell r="AI224">
            <v>0</v>
          </cell>
          <cell r="AK224">
            <v>83.006215262450169</v>
          </cell>
          <cell r="AL224">
            <v>0</v>
          </cell>
          <cell r="AN224">
            <v>0</v>
          </cell>
          <cell r="AO224">
            <v>0</v>
          </cell>
          <cell r="AQ224">
            <v>0</v>
          </cell>
          <cell r="AR224">
            <v>0</v>
          </cell>
          <cell r="AT224">
            <v>14.381053614686898</v>
          </cell>
          <cell r="AU224">
            <v>0</v>
          </cell>
          <cell r="AW224">
            <v>0</v>
          </cell>
          <cell r="AX224">
            <v>0</v>
          </cell>
        </row>
        <row r="225"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/>
          <cell r="W225">
            <v>0</v>
          </cell>
          <cell r="X225">
            <v>0</v>
          </cell>
          <cell r="Y225">
            <v>0</v>
          </cell>
          <cell r="Z225"/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H225">
            <v>0</v>
          </cell>
          <cell r="AI225">
            <v>0</v>
          </cell>
          <cell r="AK225">
            <v>0</v>
          </cell>
          <cell r="AL225">
            <v>0</v>
          </cell>
          <cell r="AN225">
            <v>0</v>
          </cell>
          <cell r="AO225">
            <v>0</v>
          </cell>
          <cell r="AQ225">
            <v>0</v>
          </cell>
          <cell r="AR225">
            <v>0</v>
          </cell>
          <cell r="AT225">
            <v>0</v>
          </cell>
          <cell r="AU225">
            <v>0</v>
          </cell>
          <cell r="AW225">
            <v>0</v>
          </cell>
          <cell r="AX225">
            <v>0</v>
          </cell>
        </row>
        <row r="226">
          <cell r="I226">
            <v>0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/>
          <cell r="W226">
            <v>0</v>
          </cell>
          <cell r="X226">
            <v>0</v>
          </cell>
          <cell r="Y226">
            <v>0</v>
          </cell>
          <cell r="Z226"/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42.947547082987398</v>
          </cell>
          <cell r="AF226">
            <v>0</v>
          </cell>
          <cell r="AH226">
            <v>49.86802425262438</v>
          </cell>
          <cell r="AI226">
            <v>0</v>
          </cell>
          <cell r="AK226">
            <v>0</v>
          </cell>
          <cell r="AL226">
            <v>0</v>
          </cell>
          <cell r="AN226">
            <v>0</v>
          </cell>
          <cell r="AO226">
            <v>0</v>
          </cell>
          <cell r="AQ226">
            <v>0</v>
          </cell>
          <cell r="AR226">
            <v>0</v>
          </cell>
          <cell r="AT226">
            <v>9.8614077016833726</v>
          </cell>
          <cell r="AU226">
            <v>0</v>
          </cell>
          <cell r="AW226">
            <v>0</v>
          </cell>
          <cell r="AX226">
            <v>0</v>
          </cell>
        </row>
        <row r="227"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/>
          <cell r="W227">
            <v>0</v>
          </cell>
          <cell r="X227">
            <v>0</v>
          </cell>
          <cell r="Y227">
            <v>0</v>
          </cell>
          <cell r="Z227"/>
          <cell r="AA227">
            <v>0</v>
          </cell>
          <cell r="AB227">
            <v>0</v>
          </cell>
          <cell r="AC227">
            <v>116.72791843775435</v>
          </cell>
          <cell r="AD227">
            <v>0</v>
          </cell>
          <cell r="AE227">
            <v>74.400935727157275</v>
          </cell>
          <cell r="AF227">
            <v>0</v>
          </cell>
          <cell r="AH227">
            <v>79.235345521027114</v>
          </cell>
          <cell r="AI227">
            <v>0</v>
          </cell>
          <cell r="AK227">
            <v>68.280931052039634</v>
          </cell>
          <cell r="AL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T227">
            <v>14.743558598792214</v>
          </cell>
          <cell r="AU227">
            <v>0</v>
          </cell>
          <cell r="AW227">
            <v>0</v>
          </cell>
          <cell r="AX227">
            <v>0</v>
          </cell>
        </row>
        <row r="228"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/>
          <cell r="W228">
            <v>0</v>
          </cell>
          <cell r="X228">
            <v>0</v>
          </cell>
          <cell r="Y228">
            <v>0</v>
          </cell>
          <cell r="Z228"/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71.960731953791409</v>
          </cell>
          <cell r="AF228">
            <v>0</v>
          </cell>
          <cell r="AH228">
            <v>89.509926552956031</v>
          </cell>
          <cell r="AI228">
            <v>0</v>
          </cell>
          <cell r="AK228">
            <v>47.277902860351134</v>
          </cell>
          <cell r="AL228">
            <v>0</v>
          </cell>
          <cell r="AN228">
            <v>0</v>
          </cell>
          <cell r="AO228">
            <v>0</v>
          </cell>
          <cell r="AQ228">
            <v>0</v>
          </cell>
          <cell r="AR228">
            <v>0</v>
          </cell>
          <cell r="AT228">
            <v>19.771277081972755</v>
          </cell>
          <cell r="AU228">
            <v>0</v>
          </cell>
          <cell r="AW228">
            <v>0</v>
          </cell>
          <cell r="AX228">
            <v>0</v>
          </cell>
        </row>
        <row r="229"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/>
          <cell r="W229">
            <v>0</v>
          </cell>
          <cell r="X229">
            <v>0</v>
          </cell>
          <cell r="Y229">
            <v>0</v>
          </cell>
          <cell r="Z229"/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138.25758637960135</v>
          </cell>
          <cell r="AF229">
            <v>0</v>
          </cell>
          <cell r="AH229">
            <v>195.76233491122258</v>
          </cell>
          <cell r="AI229">
            <v>0</v>
          </cell>
          <cell r="AK229">
            <v>144.91736678168084</v>
          </cell>
          <cell r="AL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T229">
            <v>58.242082060788206</v>
          </cell>
          <cell r="AU229">
            <v>0</v>
          </cell>
          <cell r="AW229">
            <v>0</v>
          </cell>
          <cell r="AX229">
            <v>0</v>
          </cell>
        </row>
        <row r="230"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/>
          <cell r="W230">
            <v>0</v>
          </cell>
          <cell r="X230">
            <v>100.98110666432166</v>
          </cell>
          <cell r="Y230">
            <v>0</v>
          </cell>
          <cell r="Z230"/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338.3518327252624</v>
          </cell>
          <cell r="AF230">
            <v>0</v>
          </cell>
          <cell r="AH230">
            <v>553.69522338747106</v>
          </cell>
          <cell r="AI230">
            <v>0</v>
          </cell>
          <cell r="AK230">
            <v>395.83670735449164</v>
          </cell>
          <cell r="AL230">
            <v>367.97798214586402</v>
          </cell>
          <cell r="AN230">
            <v>0</v>
          </cell>
          <cell r="AO230">
            <v>0</v>
          </cell>
          <cell r="AQ230">
            <v>0</v>
          </cell>
          <cell r="AR230">
            <v>0</v>
          </cell>
          <cell r="AT230">
            <v>174.41860241614506</v>
          </cell>
          <cell r="AU230">
            <v>0</v>
          </cell>
          <cell r="AW230">
            <v>200.88589227223855</v>
          </cell>
          <cell r="AX230">
            <v>0</v>
          </cell>
        </row>
        <row r="231"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/>
          <cell r="W231">
            <v>0</v>
          </cell>
          <cell r="X231">
            <v>0</v>
          </cell>
          <cell r="Y231">
            <v>0</v>
          </cell>
          <cell r="Z231"/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106.42402557711507</v>
          </cell>
          <cell r="AF231">
            <v>0</v>
          </cell>
          <cell r="AH231">
            <v>132.492596975553</v>
          </cell>
          <cell r="AI231">
            <v>0</v>
          </cell>
          <cell r="AK231">
            <v>66.563181804184708</v>
          </cell>
          <cell r="AL231">
            <v>0</v>
          </cell>
          <cell r="AN231">
            <v>0</v>
          </cell>
          <cell r="AO231">
            <v>0</v>
          </cell>
          <cell r="AQ231">
            <v>0</v>
          </cell>
          <cell r="AR231">
            <v>0</v>
          </cell>
          <cell r="AT231">
            <v>19.771301113804686</v>
          </cell>
          <cell r="AU231">
            <v>0</v>
          </cell>
          <cell r="AW231">
            <v>0</v>
          </cell>
          <cell r="AX231">
            <v>0</v>
          </cell>
        </row>
        <row r="232"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/>
          <cell r="W232">
            <v>0</v>
          </cell>
          <cell r="X232">
            <v>0</v>
          </cell>
          <cell r="Y232">
            <v>0</v>
          </cell>
          <cell r="Z232"/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205.77312815090349</v>
          </cell>
          <cell r="AF232">
            <v>0</v>
          </cell>
          <cell r="AH232">
            <v>262.67571456331655</v>
          </cell>
          <cell r="AI232">
            <v>0</v>
          </cell>
          <cell r="AK232">
            <v>264.85518945278432</v>
          </cell>
          <cell r="AL232">
            <v>0</v>
          </cell>
          <cell r="AN232">
            <v>145.72291312674076</v>
          </cell>
          <cell r="AO232">
            <v>0</v>
          </cell>
          <cell r="AQ232">
            <v>65.961235315382794</v>
          </cell>
          <cell r="AR232">
            <v>0</v>
          </cell>
          <cell r="AT232">
            <v>171.46695994239872</v>
          </cell>
          <cell r="AU232">
            <v>0</v>
          </cell>
          <cell r="AW232">
            <v>0</v>
          </cell>
          <cell r="AX232">
            <v>0</v>
          </cell>
        </row>
        <row r="233"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/>
          <cell r="W233">
            <v>0</v>
          </cell>
          <cell r="X233">
            <v>0</v>
          </cell>
          <cell r="Y233">
            <v>0</v>
          </cell>
          <cell r="Z233"/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H233">
            <v>0</v>
          </cell>
          <cell r="AI233">
            <v>0</v>
          </cell>
          <cell r="AK233">
            <v>0</v>
          </cell>
          <cell r="AL233">
            <v>0</v>
          </cell>
          <cell r="AN233">
            <v>0</v>
          </cell>
          <cell r="AO233">
            <v>0</v>
          </cell>
          <cell r="AQ233">
            <v>0</v>
          </cell>
          <cell r="AR233">
            <v>0</v>
          </cell>
          <cell r="AT233">
            <v>0</v>
          </cell>
          <cell r="AU233">
            <v>0</v>
          </cell>
          <cell r="AW233">
            <v>0</v>
          </cell>
          <cell r="AX233">
            <v>0</v>
          </cell>
        </row>
        <row r="234"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/>
          <cell r="W234">
            <v>0</v>
          </cell>
          <cell r="X234">
            <v>0</v>
          </cell>
          <cell r="Y234">
            <v>0</v>
          </cell>
          <cell r="Z234"/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55.047242791802105</v>
          </cell>
          <cell r="AF234">
            <v>0</v>
          </cell>
          <cell r="AH234">
            <v>72.08773375891468</v>
          </cell>
          <cell r="AI234">
            <v>0</v>
          </cell>
          <cell r="AK234">
            <v>47.77744413412605</v>
          </cell>
          <cell r="AL234">
            <v>0</v>
          </cell>
          <cell r="AN234">
            <v>0</v>
          </cell>
          <cell r="AO234">
            <v>0</v>
          </cell>
          <cell r="AQ234">
            <v>0</v>
          </cell>
          <cell r="AR234">
            <v>0</v>
          </cell>
          <cell r="AT234">
            <v>13.131198850039331</v>
          </cell>
          <cell r="AU234">
            <v>0</v>
          </cell>
          <cell r="AW234">
            <v>0</v>
          </cell>
          <cell r="AX234">
            <v>0</v>
          </cell>
        </row>
        <row r="235"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/>
          <cell r="W235">
            <v>0</v>
          </cell>
          <cell r="X235">
            <v>0</v>
          </cell>
          <cell r="Y235">
            <v>0</v>
          </cell>
          <cell r="Z235"/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58.218883533051603</v>
          </cell>
          <cell r="AF235">
            <v>0</v>
          </cell>
          <cell r="AH235">
            <v>72.08773375891468</v>
          </cell>
          <cell r="AI235">
            <v>0</v>
          </cell>
          <cell r="AK235">
            <v>53.860905364050453</v>
          </cell>
          <cell r="AL235">
            <v>0</v>
          </cell>
          <cell r="AN235">
            <v>0</v>
          </cell>
          <cell r="AO235">
            <v>0</v>
          </cell>
          <cell r="AQ235">
            <v>0</v>
          </cell>
          <cell r="AR235">
            <v>0</v>
          </cell>
          <cell r="AT235">
            <v>13.131198850039331</v>
          </cell>
          <cell r="AU235">
            <v>0</v>
          </cell>
          <cell r="AW235">
            <v>0</v>
          </cell>
          <cell r="AX235">
            <v>0</v>
          </cell>
        </row>
        <row r="236"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/>
          <cell r="W236">
            <v>0</v>
          </cell>
          <cell r="X236">
            <v>0</v>
          </cell>
          <cell r="Y236">
            <v>0</v>
          </cell>
          <cell r="Z236"/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249.80458999544032</v>
          </cell>
          <cell r="AF236">
            <v>0</v>
          </cell>
          <cell r="AH236">
            <v>385.7367251097441</v>
          </cell>
          <cell r="AI236">
            <v>0</v>
          </cell>
          <cell r="AK236">
            <v>225.03237420717613</v>
          </cell>
          <cell r="AL236">
            <v>0</v>
          </cell>
          <cell r="AN236">
            <v>0</v>
          </cell>
          <cell r="AO236">
            <v>0</v>
          </cell>
          <cell r="AQ236">
            <v>0</v>
          </cell>
          <cell r="AR236">
            <v>0</v>
          </cell>
          <cell r="AT236">
            <v>128.96003314994545</v>
          </cell>
          <cell r="AU236">
            <v>0</v>
          </cell>
          <cell r="AW236">
            <v>0</v>
          </cell>
          <cell r="AX236">
            <v>0</v>
          </cell>
        </row>
        <row r="237"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/>
          <cell r="W237">
            <v>0</v>
          </cell>
          <cell r="X237">
            <v>89.878955280198525</v>
          </cell>
          <cell r="Y237">
            <v>0</v>
          </cell>
          <cell r="Z237"/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276.78672703023619</v>
          </cell>
          <cell r="AF237">
            <v>0</v>
          </cell>
          <cell r="AH237">
            <v>319.0193196255849</v>
          </cell>
          <cell r="AI237">
            <v>0</v>
          </cell>
          <cell r="AK237">
            <v>346.12883444303247</v>
          </cell>
          <cell r="AL237">
            <v>0</v>
          </cell>
          <cell r="AN237">
            <v>0</v>
          </cell>
          <cell r="AO237">
            <v>0</v>
          </cell>
          <cell r="AQ237">
            <v>0</v>
          </cell>
          <cell r="AR237">
            <v>0</v>
          </cell>
          <cell r="AT237">
            <v>113.23255725526957</v>
          </cell>
          <cell r="AU237">
            <v>0</v>
          </cell>
          <cell r="AW237">
            <v>0</v>
          </cell>
          <cell r="AX237">
            <v>0</v>
          </cell>
        </row>
        <row r="238"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17</v>
          </cell>
          <cell r="P238">
            <v>5584.6823871066745</v>
          </cell>
          <cell r="R238">
            <v>0</v>
          </cell>
          <cell r="S238">
            <v>0</v>
          </cell>
          <cell r="U238">
            <v>0</v>
          </cell>
          <cell r="V238"/>
          <cell r="W238">
            <v>4</v>
          </cell>
          <cell r="X238">
            <v>314.62926953336381</v>
          </cell>
          <cell r="Y238">
            <v>0</v>
          </cell>
          <cell r="Z238"/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323.47028542496639</v>
          </cell>
          <cell r="AF238">
            <v>0</v>
          </cell>
          <cell r="AH238">
            <v>444.88882070319545</v>
          </cell>
          <cell r="AI238">
            <v>0</v>
          </cell>
          <cell r="AK238">
            <v>469.97318737165875</v>
          </cell>
          <cell r="AL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T238">
            <v>179.51138020506116</v>
          </cell>
          <cell r="AU238">
            <v>0</v>
          </cell>
          <cell r="AW238">
            <v>0</v>
          </cell>
          <cell r="AX238">
            <v>0</v>
          </cell>
        </row>
        <row r="239"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V239"/>
          <cell r="W239">
            <v>0</v>
          </cell>
          <cell r="X239">
            <v>1056.2046722192822</v>
          </cell>
          <cell r="Y239">
            <v>0</v>
          </cell>
          <cell r="Z239"/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323.52638508503514</v>
          </cell>
          <cell r="AF239">
            <v>0</v>
          </cell>
          <cell r="AH239">
            <v>444.88882070319545</v>
          </cell>
          <cell r="AI239">
            <v>0</v>
          </cell>
          <cell r="AK239">
            <v>472.79176507359625</v>
          </cell>
          <cell r="AL239">
            <v>0</v>
          </cell>
          <cell r="AN239">
            <v>0</v>
          </cell>
          <cell r="AO239">
            <v>0</v>
          </cell>
          <cell r="AQ239">
            <v>0</v>
          </cell>
          <cell r="AR239">
            <v>0</v>
          </cell>
          <cell r="AT239">
            <v>179.51810429532154</v>
          </cell>
          <cell r="AU239">
            <v>0</v>
          </cell>
          <cell r="AW239">
            <v>0</v>
          </cell>
          <cell r="AX239">
            <v>0</v>
          </cell>
        </row>
        <row r="240">
          <cell r="I240">
            <v>1</v>
          </cell>
          <cell r="J240">
            <v>1221.4913687532407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/>
          <cell r="W240">
            <v>0</v>
          </cell>
          <cell r="X240">
            <v>0</v>
          </cell>
          <cell r="Y240">
            <v>0</v>
          </cell>
          <cell r="Z240"/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323.47537914525492</v>
          </cell>
          <cell r="AF240">
            <v>1294.188597259516</v>
          </cell>
          <cell r="AH240">
            <v>444.88882070319545</v>
          </cell>
          <cell r="AI240">
            <v>0</v>
          </cell>
          <cell r="AK240">
            <v>472.79176507359625</v>
          </cell>
          <cell r="AL240">
            <v>0</v>
          </cell>
          <cell r="AN240">
            <v>0</v>
          </cell>
          <cell r="AO240">
            <v>0</v>
          </cell>
          <cell r="AQ240">
            <v>0</v>
          </cell>
          <cell r="AR240">
            <v>0</v>
          </cell>
          <cell r="AT240">
            <v>179.51810429532154</v>
          </cell>
          <cell r="AU240">
            <v>0</v>
          </cell>
          <cell r="AW240">
            <v>0</v>
          </cell>
          <cell r="AX240">
            <v>0</v>
          </cell>
        </row>
        <row r="241"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/>
          <cell r="W241">
            <v>16</v>
          </cell>
          <cell r="X241">
            <v>15596.175520571929</v>
          </cell>
          <cell r="Y241">
            <v>0</v>
          </cell>
          <cell r="Z241"/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323.47537914525492</v>
          </cell>
          <cell r="AF241">
            <v>0</v>
          </cell>
          <cell r="AH241">
            <v>444.88882070319545</v>
          </cell>
          <cell r="AI241">
            <v>0</v>
          </cell>
          <cell r="AK241">
            <v>469.39987804412397</v>
          </cell>
          <cell r="AL241">
            <v>0</v>
          </cell>
          <cell r="AN241">
            <v>0</v>
          </cell>
          <cell r="AO241">
            <v>0</v>
          </cell>
          <cell r="AQ241">
            <v>0</v>
          </cell>
          <cell r="AR241">
            <v>0</v>
          </cell>
          <cell r="AT241">
            <v>179.51810429532154</v>
          </cell>
          <cell r="AU241">
            <v>0</v>
          </cell>
          <cell r="AW241">
            <v>0</v>
          </cell>
          <cell r="AX241">
            <v>0</v>
          </cell>
        </row>
        <row r="242">
          <cell r="I242">
            <v>0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/>
          <cell r="W242">
            <v>0</v>
          </cell>
          <cell r="X242">
            <v>0</v>
          </cell>
          <cell r="Y242">
            <v>0</v>
          </cell>
          <cell r="Z242"/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453.16429572632046</v>
          </cell>
          <cell r="AF242">
            <v>0</v>
          </cell>
          <cell r="AH242">
            <v>730.31644067323475</v>
          </cell>
          <cell r="AI242">
            <v>0</v>
          </cell>
          <cell r="AK242">
            <v>413.83434175910082</v>
          </cell>
          <cell r="AL242">
            <v>0</v>
          </cell>
          <cell r="AN242">
            <v>0</v>
          </cell>
          <cell r="AO242">
            <v>0</v>
          </cell>
          <cell r="AQ242">
            <v>0</v>
          </cell>
          <cell r="AR242">
            <v>0</v>
          </cell>
          <cell r="AT242">
            <v>332.67629256086099</v>
          </cell>
          <cell r="AU242">
            <v>0</v>
          </cell>
          <cell r="AW242">
            <v>0</v>
          </cell>
          <cell r="AX242">
            <v>0</v>
          </cell>
        </row>
        <row r="243">
          <cell r="I243">
            <v>0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/>
          <cell r="W243">
            <v>6</v>
          </cell>
          <cell r="X243">
            <v>428.73448140108104</v>
          </cell>
          <cell r="Y243">
            <v>1055.6706979051455</v>
          </cell>
          <cell r="Z243"/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453.28676417768395</v>
          </cell>
          <cell r="AF243">
            <v>0</v>
          </cell>
          <cell r="AH243">
            <v>730.47179917909421</v>
          </cell>
          <cell r="AI243">
            <v>0</v>
          </cell>
          <cell r="AK243">
            <v>411.00574223534153</v>
          </cell>
          <cell r="AL243">
            <v>0</v>
          </cell>
          <cell r="AN243">
            <v>0</v>
          </cell>
          <cell r="AO243">
            <v>0</v>
          </cell>
          <cell r="AQ243">
            <v>218.86472282667671</v>
          </cell>
          <cell r="AR243">
            <v>0</v>
          </cell>
          <cell r="AT243">
            <v>332.88205778624234</v>
          </cell>
          <cell r="AU243">
            <v>0</v>
          </cell>
          <cell r="AW243">
            <v>0</v>
          </cell>
          <cell r="AX243">
            <v>0</v>
          </cell>
        </row>
        <row r="244">
          <cell r="I244">
            <v>1.6</v>
          </cell>
          <cell r="J244">
            <v>266.03132216097328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/>
          <cell r="W244">
            <v>8</v>
          </cell>
          <cell r="X244">
            <v>566.54539545032867</v>
          </cell>
          <cell r="Y244">
            <v>0</v>
          </cell>
          <cell r="Z244"/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312.08107424119544</v>
          </cell>
          <cell r="AF244">
            <v>0</v>
          </cell>
          <cell r="AH244">
            <v>490.42556714245251</v>
          </cell>
          <cell r="AI244">
            <v>0</v>
          </cell>
          <cell r="AK244">
            <v>295.04809673845114</v>
          </cell>
          <cell r="AL244">
            <v>0</v>
          </cell>
          <cell r="AN244">
            <v>0</v>
          </cell>
          <cell r="AO244">
            <v>0</v>
          </cell>
          <cell r="AQ244">
            <v>0</v>
          </cell>
          <cell r="AR244">
            <v>0</v>
          </cell>
          <cell r="AT244">
            <v>187.56725379517582</v>
          </cell>
          <cell r="AU244">
            <v>0</v>
          </cell>
          <cell r="AW244">
            <v>0</v>
          </cell>
          <cell r="AX244">
            <v>0</v>
          </cell>
        </row>
        <row r="245"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/>
          <cell r="W245">
            <v>3</v>
          </cell>
          <cell r="X245">
            <v>219.96298683416921</v>
          </cell>
          <cell r="Y245">
            <v>0</v>
          </cell>
          <cell r="Z245"/>
          <cell r="AA245">
            <v>0</v>
          </cell>
          <cell r="AB245">
            <v>0</v>
          </cell>
          <cell r="AC245">
            <v>0</v>
          </cell>
          <cell r="AD245">
            <v>3166.6582639794706</v>
          </cell>
          <cell r="AE245">
            <v>597.70861840761279</v>
          </cell>
          <cell r="AF245">
            <v>0</v>
          </cell>
          <cell r="AH245">
            <v>974.84939071975509</v>
          </cell>
          <cell r="AI245">
            <v>0</v>
          </cell>
          <cell r="AK245">
            <v>567.61626868907615</v>
          </cell>
          <cell r="AL245">
            <v>0</v>
          </cell>
          <cell r="AN245">
            <v>0</v>
          </cell>
          <cell r="AO245">
            <v>0</v>
          </cell>
          <cell r="AQ245">
            <v>338.81178137477229</v>
          </cell>
          <cell r="AR245">
            <v>0</v>
          </cell>
          <cell r="AT245">
            <v>521.68679861452631</v>
          </cell>
          <cell r="AU245">
            <v>0</v>
          </cell>
          <cell r="AW245">
            <v>0</v>
          </cell>
          <cell r="AX245">
            <v>0</v>
          </cell>
        </row>
        <row r="246"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/>
          <cell r="W246">
            <v>0</v>
          </cell>
          <cell r="X246">
            <v>0</v>
          </cell>
          <cell r="Y246">
            <v>0</v>
          </cell>
          <cell r="Z246"/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293.62362475258334</v>
          </cell>
          <cell r="AF246">
            <v>1260.0019601349411</v>
          </cell>
          <cell r="AH246">
            <v>479.05349530254739</v>
          </cell>
          <cell r="AI246">
            <v>0</v>
          </cell>
          <cell r="AK246">
            <v>251.78681354995123</v>
          </cell>
          <cell r="AL246">
            <v>0</v>
          </cell>
          <cell r="AN246">
            <v>0</v>
          </cell>
          <cell r="AO246">
            <v>0</v>
          </cell>
          <cell r="AQ246">
            <v>0</v>
          </cell>
          <cell r="AR246">
            <v>0</v>
          </cell>
          <cell r="AT246">
            <v>176.11396072083613</v>
          </cell>
          <cell r="AU246">
            <v>0</v>
          </cell>
          <cell r="AW246">
            <v>0</v>
          </cell>
          <cell r="AX246">
            <v>0</v>
          </cell>
        </row>
        <row r="247"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/>
          <cell r="W247">
            <v>5</v>
          </cell>
          <cell r="X247">
            <v>357.77390088341679</v>
          </cell>
          <cell r="Y247">
            <v>0</v>
          </cell>
          <cell r="Z247"/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454.33816644439599</v>
          </cell>
          <cell r="AF247">
            <v>0</v>
          </cell>
          <cell r="AH247">
            <v>731.30703205498548</v>
          </cell>
          <cell r="AI247">
            <v>0</v>
          </cell>
          <cell r="AK247">
            <v>419.31302136116989</v>
          </cell>
          <cell r="AL247">
            <v>0</v>
          </cell>
          <cell r="AN247">
            <v>0</v>
          </cell>
          <cell r="AO247">
            <v>0</v>
          </cell>
          <cell r="AQ247">
            <v>223.34337737643764</v>
          </cell>
          <cell r="AR247">
            <v>0</v>
          </cell>
          <cell r="AT247">
            <v>334.27802161567132</v>
          </cell>
          <cell r="AU247">
            <v>0</v>
          </cell>
          <cell r="AW247">
            <v>0</v>
          </cell>
          <cell r="AX247">
            <v>0</v>
          </cell>
        </row>
        <row r="248"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/>
          <cell r="W248">
            <v>0</v>
          </cell>
          <cell r="X248">
            <v>0</v>
          </cell>
          <cell r="Y248">
            <v>5412.0723346168297</v>
          </cell>
          <cell r="Z248"/>
          <cell r="AA248">
            <v>0</v>
          </cell>
          <cell r="AB248">
            <v>0</v>
          </cell>
          <cell r="AC248">
            <v>2006.4134109018471</v>
          </cell>
          <cell r="AD248">
            <v>1412.8690429148346</v>
          </cell>
          <cell r="AE248">
            <v>598.56467936387094</v>
          </cell>
          <cell r="AF248">
            <v>0</v>
          </cell>
          <cell r="AH248">
            <v>975.5292650897868</v>
          </cell>
          <cell r="AI248">
            <v>0</v>
          </cell>
          <cell r="AK248">
            <v>568.60575830468986</v>
          </cell>
          <cell r="AL248">
            <v>0</v>
          </cell>
          <cell r="AN248">
            <v>0</v>
          </cell>
          <cell r="AO248">
            <v>0</v>
          </cell>
          <cell r="AQ248">
            <v>338.81178137477229</v>
          </cell>
          <cell r="AR248">
            <v>0</v>
          </cell>
          <cell r="AT248">
            <v>542.99350131699373</v>
          </cell>
          <cell r="AU248">
            <v>3661.1014713253667</v>
          </cell>
          <cell r="AW248">
            <v>0</v>
          </cell>
          <cell r="AX248">
            <v>0</v>
          </cell>
        </row>
        <row r="249"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/>
          <cell r="W249">
            <v>0</v>
          </cell>
          <cell r="X249">
            <v>0</v>
          </cell>
          <cell r="Y249">
            <v>0</v>
          </cell>
          <cell r="Z249"/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366.08836141794058</v>
          </cell>
          <cell r="AF249">
            <v>0</v>
          </cell>
          <cell r="AH249">
            <v>490.31866771622811</v>
          </cell>
          <cell r="AI249">
            <v>0</v>
          </cell>
          <cell r="AK249">
            <v>307.91442535873171</v>
          </cell>
          <cell r="AL249">
            <v>0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T249">
            <v>200.55401869626783</v>
          </cell>
          <cell r="AU249">
            <v>0</v>
          </cell>
          <cell r="AW249">
            <v>0</v>
          </cell>
          <cell r="AX249">
            <v>0</v>
          </cell>
        </row>
        <row r="250"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/>
          <cell r="W250">
            <v>0</v>
          </cell>
          <cell r="X250">
            <v>0</v>
          </cell>
          <cell r="Y250">
            <v>0</v>
          </cell>
          <cell r="Z250"/>
          <cell r="AA250">
            <v>0</v>
          </cell>
          <cell r="AB250">
            <v>0</v>
          </cell>
          <cell r="AC250">
            <v>1883.5573774764557</v>
          </cell>
          <cell r="AD250">
            <v>0</v>
          </cell>
          <cell r="AE250">
            <v>363.89792516554621</v>
          </cell>
          <cell r="AF250">
            <v>0</v>
          </cell>
          <cell r="AH250">
            <v>490.31866771622811</v>
          </cell>
          <cell r="AI250">
            <v>0</v>
          </cell>
          <cell r="AK250">
            <v>310.38881940211519</v>
          </cell>
          <cell r="AL250">
            <v>5126.5482284402133</v>
          </cell>
          <cell r="AN250">
            <v>0</v>
          </cell>
          <cell r="AO250">
            <v>0</v>
          </cell>
          <cell r="AQ250">
            <v>0</v>
          </cell>
          <cell r="AR250">
            <v>0</v>
          </cell>
          <cell r="AT250">
            <v>200.62495309533139</v>
          </cell>
          <cell r="AU250">
            <v>0</v>
          </cell>
          <cell r="AW250">
            <v>0</v>
          </cell>
          <cell r="AX250">
            <v>0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/>
          <cell r="W251">
            <v>4</v>
          </cell>
          <cell r="X251">
            <v>481.83090077367149</v>
          </cell>
          <cell r="Y251">
            <v>0</v>
          </cell>
          <cell r="Z251"/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441.65315238689044</v>
          </cell>
          <cell r="AF251">
            <v>0</v>
          </cell>
          <cell r="AH251">
            <v>725.10147090433986</v>
          </cell>
          <cell r="AI251">
            <v>0</v>
          </cell>
          <cell r="AK251">
            <v>412.62285498128728</v>
          </cell>
          <cell r="AL251">
            <v>0</v>
          </cell>
          <cell r="AN251">
            <v>0</v>
          </cell>
          <cell r="AO251">
            <v>0</v>
          </cell>
          <cell r="AQ251">
            <v>218.86472282667671</v>
          </cell>
          <cell r="AR251">
            <v>0</v>
          </cell>
          <cell r="AT251">
            <v>324.71868414836467</v>
          </cell>
          <cell r="AU251">
            <v>0</v>
          </cell>
          <cell r="AW251">
            <v>0</v>
          </cell>
          <cell r="AX251">
            <v>0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/>
          <cell r="W252">
            <v>0</v>
          </cell>
          <cell r="X252">
            <v>0</v>
          </cell>
          <cell r="Y252">
            <v>0</v>
          </cell>
          <cell r="Z252"/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304.74829424469891</v>
          </cell>
          <cell r="AF252">
            <v>0</v>
          </cell>
          <cell r="AH252">
            <v>470.34239890552664</v>
          </cell>
          <cell r="AI252">
            <v>0</v>
          </cell>
          <cell r="AK252">
            <v>376.50712476896177</v>
          </cell>
          <cell r="AL252">
            <v>0</v>
          </cell>
          <cell r="AN252">
            <v>225.85537583994028</v>
          </cell>
          <cell r="AO252">
            <v>0</v>
          </cell>
          <cell r="AQ252">
            <v>0</v>
          </cell>
          <cell r="AR252">
            <v>0</v>
          </cell>
          <cell r="AT252">
            <v>188.63842984583084</v>
          </cell>
          <cell r="AU252">
            <v>0</v>
          </cell>
          <cell r="AW252">
            <v>0</v>
          </cell>
          <cell r="AX252">
            <v>0</v>
          </cell>
        </row>
        <row r="253"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/>
          <cell r="W253">
            <v>0</v>
          </cell>
          <cell r="X253">
            <v>0</v>
          </cell>
          <cell r="Y253">
            <v>0</v>
          </cell>
          <cell r="Z253"/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H253">
            <v>0</v>
          </cell>
          <cell r="AI253">
            <v>0</v>
          </cell>
          <cell r="AK253">
            <v>0</v>
          </cell>
          <cell r="AL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</row>
        <row r="254"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/>
          <cell r="W254">
            <v>0</v>
          </cell>
          <cell r="X254">
            <v>0</v>
          </cell>
          <cell r="Y254">
            <v>0</v>
          </cell>
          <cell r="Z254"/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T254">
            <v>0</v>
          </cell>
          <cell r="AU254">
            <v>0</v>
          </cell>
          <cell r="AW254">
            <v>0</v>
          </cell>
          <cell r="AX254">
            <v>0</v>
          </cell>
        </row>
        <row r="255"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/>
          <cell r="W255">
            <v>0</v>
          </cell>
          <cell r="X255">
            <v>0</v>
          </cell>
          <cell r="Y255">
            <v>0</v>
          </cell>
          <cell r="Z255"/>
          <cell r="AA255">
            <v>0</v>
          </cell>
          <cell r="AB255">
            <v>0</v>
          </cell>
          <cell r="AC255">
            <v>0</v>
          </cell>
          <cell r="AD255">
            <v>863.50286784041509</v>
          </cell>
          <cell r="AE255">
            <v>160.28234453452649</v>
          </cell>
          <cell r="AF255">
            <v>0</v>
          </cell>
          <cell r="AH255">
            <v>216.30381693881802</v>
          </cell>
          <cell r="AI255">
            <v>0</v>
          </cell>
          <cell r="AK255">
            <v>300.81395588574151</v>
          </cell>
          <cell r="AL255">
            <v>0</v>
          </cell>
          <cell r="AN255">
            <v>109.41598290170468</v>
          </cell>
          <cell r="AO255">
            <v>0</v>
          </cell>
          <cell r="AQ255">
            <v>65.961235315382794</v>
          </cell>
          <cell r="AR255">
            <v>0</v>
          </cell>
          <cell r="AT255">
            <v>182.09319879634614</v>
          </cell>
          <cell r="AU255">
            <v>2128.4141765209283</v>
          </cell>
          <cell r="AW255">
            <v>94.161478523291592</v>
          </cell>
          <cell r="AX255">
            <v>0</v>
          </cell>
        </row>
        <row r="256"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R256">
            <v>1</v>
          </cell>
          <cell r="S256">
            <v>881.27442626209995</v>
          </cell>
          <cell r="U256">
            <v>0</v>
          </cell>
          <cell r="V256"/>
          <cell r="W256">
            <v>0</v>
          </cell>
          <cell r="X256">
            <v>119.16924656180406</v>
          </cell>
          <cell r="Y256">
            <v>0</v>
          </cell>
          <cell r="Z256"/>
          <cell r="AA256">
            <v>0</v>
          </cell>
          <cell r="AB256">
            <v>0</v>
          </cell>
          <cell r="AC256">
            <v>459.62404904927871</v>
          </cell>
          <cell r="AD256">
            <v>0</v>
          </cell>
          <cell r="AE256">
            <v>355.34403081711207</v>
          </cell>
          <cell r="AF256">
            <v>806.35551955751635</v>
          </cell>
          <cell r="AH256">
            <v>895.58576938451483</v>
          </cell>
          <cell r="AI256">
            <v>0</v>
          </cell>
          <cell r="AK256">
            <v>745.46315154097363</v>
          </cell>
          <cell r="AL256">
            <v>0</v>
          </cell>
          <cell r="AN256">
            <v>288.12756542741425</v>
          </cell>
          <cell r="AO256">
            <v>0</v>
          </cell>
          <cell r="AQ256">
            <v>98.941812127749259</v>
          </cell>
          <cell r="AR256">
            <v>0</v>
          </cell>
          <cell r="AT256">
            <v>518.72018098120952</v>
          </cell>
          <cell r="AU256">
            <v>2534.3339420043221</v>
          </cell>
          <cell r="AW256">
            <v>0</v>
          </cell>
          <cell r="AX256">
            <v>0</v>
          </cell>
        </row>
        <row r="257"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115.5</v>
          </cell>
          <cell r="P257">
            <v>32272.444587862581</v>
          </cell>
          <cell r="R257">
            <v>6</v>
          </cell>
          <cell r="S257">
            <v>297056.79950094369</v>
          </cell>
          <cell r="U257">
            <v>10095.863304253755</v>
          </cell>
          <cell r="V257"/>
          <cell r="W257">
            <v>0</v>
          </cell>
          <cell r="X257">
            <v>0</v>
          </cell>
          <cell r="Y257">
            <v>0</v>
          </cell>
          <cell r="Z257"/>
          <cell r="AA257">
            <v>0</v>
          </cell>
          <cell r="AB257">
            <v>0</v>
          </cell>
          <cell r="AC257">
            <v>734.9979346452518</v>
          </cell>
          <cell r="AD257">
            <v>3711.7912877526996</v>
          </cell>
          <cell r="AE257">
            <v>459.45289091382273</v>
          </cell>
          <cell r="AF257">
            <v>0</v>
          </cell>
          <cell r="AH257">
            <v>1044.8023367926141</v>
          </cell>
          <cell r="AI257">
            <v>2346.0783749639054</v>
          </cell>
          <cell r="AK257">
            <v>822.83356848650783</v>
          </cell>
          <cell r="AL257">
            <v>0</v>
          </cell>
          <cell r="AN257">
            <v>312.27663283934402</v>
          </cell>
          <cell r="AO257">
            <v>0</v>
          </cell>
          <cell r="AQ257">
            <v>115.42002660934838</v>
          </cell>
          <cell r="AR257">
            <v>0</v>
          </cell>
          <cell r="AT257">
            <v>542.44879755970385</v>
          </cell>
          <cell r="AU257">
            <v>0</v>
          </cell>
          <cell r="AW257">
            <v>0</v>
          </cell>
          <cell r="AX257">
            <v>0</v>
          </cell>
        </row>
        <row r="258"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R258">
            <v>2</v>
          </cell>
          <cell r="S258">
            <v>130173.69635990597</v>
          </cell>
          <cell r="U258">
            <v>514.75108498197608</v>
          </cell>
          <cell r="V258"/>
          <cell r="W258">
            <v>0</v>
          </cell>
          <cell r="X258">
            <v>0</v>
          </cell>
          <cell r="Y258">
            <v>0</v>
          </cell>
          <cell r="Z258"/>
          <cell r="AA258">
            <v>0</v>
          </cell>
          <cell r="AB258">
            <v>0</v>
          </cell>
          <cell r="AC258">
            <v>674.91635960613041</v>
          </cell>
          <cell r="AD258">
            <v>331.2797122709589</v>
          </cell>
          <cell r="AE258">
            <v>203.84207769388419</v>
          </cell>
          <cell r="AF258">
            <v>0</v>
          </cell>
          <cell r="AH258">
            <v>261.17139780857241</v>
          </cell>
          <cell r="AI258">
            <v>0</v>
          </cell>
          <cell r="AK258">
            <v>343.78808840870335</v>
          </cell>
          <cell r="AL258">
            <v>0</v>
          </cell>
          <cell r="AN258">
            <v>180.56196682523498</v>
          </cell>
          <cell r="AO258">
            <v>0</v>
          </cell>
          <cell r="AQ258">
            <v>49.458791293965582</v>
          </cell>
          <cell r="AR258">
            <v>0</v>
          </cell>
          <cell r="AT258">
            <v>252.40009770630149</v>
          </cell>
          <cell r="AU258">
            <v>0</v>
          </cell>
          <cell r="AW258">
            <v>0</v>
          </cell>
          <cell r="AX258">
            <v>0</v>
          </cell>
        </row>
        <row r="259"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V259"/>
          <cell r="W259">
            <v>0</v>
          </cell>
          <cell r="X259">
            <v>94.933780962366853</v>
          </cell>
          <cell r="Y259">
            <v>0</v>
          </cell>
          <cell r="Z259"/>
          <cell r="AA259">
            <v>0</v>
          </cell>
          <cell r="AB259">
            <v>0</v>
          </cell>
          <cell r="AC259">
            <v>0</v>
          </cell>
          <cell r="AD259">
            <v>996.73914069107968</v>
          </cell>
          <cell r="AE259">
            <v>122.31439675540068</v>
          </cell>
          <cell r="AF259">
            <v>0</v>
          </cell>
          <cell r="AH259">
            <v>157.93467598038256</v>
          </cell>
          <cell r="AI259">
            <v>0</v>
          </cell>
          <cell r="AK259">
            <v>264.37306341340508</v>
          </cell>
          <cell r="AL259">
            <v>790.158006</v>
          </cell>
          <cell r="AN259">
            <v>91.444637194136348</v>
          </cell>
          <cell r="AO259">
            <v>0</v>
          </cell>
          <cell r="AQ259">
            <v>39.576741189229679</v>
          </cell>
          <cell r="AR259">
            <v>0</v>
          </cell>
          <cell r="AT259">
            <v>89.250700815318339</v>
          </cell>
          <cell r="AU259">
            <v>0</v>
          </cell>
          <cell r="AW259">
            <v>0</v>
          </cell>
          <cell r="AX259">
            <v>0</v>
          </cell>
        </row>
        <row r="260"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V260"/>
          <cell r="W260">
            <v>0</v>
          </cell>
          <cell r="X260">
            <v>0</v>
          </cell>
          <cell r="Y260">
            <v>0</v>
          </cell>
          <cell r="Z260"/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71.122629880379705</v>
          </cell>
          <cell r="AF260">
            <v>0</v>
          </cell>
          <cell r="AH260">
            <v>91.67422397349246</v>
          </cell>
          <cell r="AI260">
            <v>0</v>
          </cell>
          <cell r="AK260">
            <v>0</v>
          </cell>
          <cell r="AL260">
            <v>0</v>
          </cell>
          <cell r="AN260">
            <v>0</v>
          </cell>
          <cell r="AO260">
            <v>0</v>
          </cell>
          <cell r="AQ260">
            <v>19.78837059461484</v>
          </cell>
          <cell r="AR260">
            <v>0</v>
          </cell>
          <cell r="AT260">
            <v>47.713523922280622</v>
          </cell>
          <cell r="AU260">
            <v>0</v>
          </cell>
          <cell r="AW260">
            <v>0</v>
          </cell>
          <cell r="AX260">
            <v>0</v>
          </cell>
        </row>
        <row r="261"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/>
          <cell r="W261">
            <v>0</v>
          </cell>
          <cell r="X261">
            <v>0</v>
          </cell>
          <cell r="Y261">
            <v>0</v>
          </cell>
          <cell r="Z261"/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228.12681019305984</v>
          </cell>
          <cell r="AF261">
            <v>0</v>
          </cell>
          <cell r="AH261">
            <v>393.03969537771724</v>
          </cell>
          <cell r="AI261">
            <v>0</v>
          </cell>
          <cell r="AK261">
            <v>367.83331737600776</v>
          </cell>
          <cell r="AL261">
            <v>0</v>
          </cell>
          <cell r="AN261">
            <v>0</v>
          </cell>
          <cell r="AO261">
            <v>0</v>
          </cell>
          <cell r="AQ261">
            <v>0</v>
          </cell>
          <cell r="AR261">
            <v>0</v>
          </cell>
          <cell r="AT261">
            <v>159.1131641582902</v>
          </cell>
          <cell r="AU261">
            <v>0</v>
          </cell>
          <cell r="AW261">
            <v>0</v>
          </cell>
          <cell r="AX261">
            <v>0</v>
          </cell>
        </row>
        <row r="262"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/>
          <cell r="W262">
            <v>0</v>
          </cell>
          <cell r="X262">
            <v>87.893955240625573</v>
          </cell>
          <cell r="Y262">
            <v>0</v>
          </cell>
          <cell r="Z262"/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209.63946651249057</v>
          </cell>
          <cell r="AF262">
            <v>0</v>
          </cell>
          <cell r="AH262">
            <v>294.13871636705994</v>
          </cell>
          <cell r="AI262">
            <v>0</v>
          </cell>
          <cell r="AK262">
            <v>215.11532239040895</v>
          </cell>
          <cell r="AL262">
            <v>0</v>
          </cell>
          <cell r="AN262">
            <v>0</v>
          </cell>
          <cell r="AO262">
            <v>0</v>
          </cell>
          <cell r="AQ262">
            <v>0</v>
          </cell>
          <cell r="AR262">
            <v>0</v>
          </cell>
          <cell r="AT262">
            <v>103.19210586326328</v>
          </cell>
          <cell r="AU262">
            <v>0</v>
          </cell>
          <cell r="AW262">
            <v>0</v>
          </cell>
          <cell r="AX262">
            <v>0</v>
          </cell>
        </row>
        <row r="263"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/>
          <cell r="W263">
            <v>0</v>
          </cell>
          <cell r="X263">
            <v>0</v>
          </cell>
          <cell r="Y263">
            <v>0</v>
          </cell>
          <cell r="Z263"/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271.83156836932346</v>
          </cell>
          <cell r="AF263">
            <v>0</v>
          </cell>
          <cell r="AH263">
            <v>389.54356874959132</v>
          </cell>
          <cell r="AI263">
            <v>0</v>
          </cell>
          <cell r="AK263">
            <v>239.64210531342968</v>
          </cell>
          <cell r="AL263">
            <v>0</v>
          </cell>
          <cell r="AN263">
            <v>0</v>
          </cell>
          <cell r="AO263">
            <v>0</v>
          </cell>
          <cell r="AQ263">
            <v>0</v>
          </cell>
          <cell r="AR263">
            <v>0</v>
          </cell>
          <cell r="AT263">
            <v>155.62201221057634</v>
          </cell>
          <cell r="AU263">
            <v>0</v>
          </cell>
          <cell r="AW263">
            <v>0</v>
          </cell>
          <cell r="AX263">
            <v>0</v>
          </cell>
        </row>
        <row r="264">
          <cell r="I264">
            <v>4</v>
          </cell>
          <cell r="J264">
            <v>2223.4341164857042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/>
          <cell r="W264">
            <v>0</v>
          </cell>
          <cell r="X264">
            <v>0</v>
          </cell>
          <cell r="Y264">
            <v>0</v>
          </cell>
          <cell r="Z264"/>
          <cell r="AA264">
            <v>0</v>
          </cell>
          <cell r="AB264">
            <v>0</v>
          </cell>
          <cell r="AC264">
            <v>254.34533433228057</v>
          </cell>
          <cell r="AD264">
            <v>0</v>
          </cell>
          <cell r="AE264">
            <v>323.5364997196728</v>
          </cell>
          <cell r="AF264">
            <v>0</v>
          </cell>
          <cell r="AH264">
            <v>445.04417920905604</v>
          </cell>
          <cell r="AI264">
            <v>0</v>
          </cell>
          <cell r="AK264">
            <v>445.86836908779861</v>
          </cell>
          <cell r="AL264">
            <v>0</v>
          </cell>
          <cell r="AN264">
            <v>0</v>
          </cell>
          <cell r="AO264">
            <v>0</v>
          </cell>
          <cell r="AQ264">
            <v>0</v>
          </cell>
          <cell r="AR264">
            <v>1264.1866671432276</v>
          </cell>
          <cell r="AT264">
            <v>179.58218534787574</v>
          </cell>
          <cell r="AU264">
            <v>0</v>
          </cell>
          <cell r="AW264">
            <v>0</v>
          </cell>
          <cell r="AX264">
            <v>0</v>
          </cell>
        </row>
        <row r="265"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/>
          <cell r="W265">
            <v>0</v>
          </cell>
          <cell r="X265">
            <v>487.87146321457533</v>
          </cell>
          <cell r="Y265">
            <v>0</v>
          </cell>
          <cell r="Z265"/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346.64143553108937</v>
          </cell>
          <cell r="AF265">
            <v>0</v>
          </cell>
          <cell r="AH265">
            <v>494.96074423196654</v>
          </cell>
          <cell r="AI265">
            <v>0</v>
          </cell>
          <cell r="AK265">
            <v>427.90836804502794</v>
          </cell>
          <cell r="AL265">
            <v>0</v>
          </cell>
          <cell r="AN265">
            <v>0</v>
          </cell>
          <cell r="AO265">
            <v>0</v>
          </cell>
          <cell r="AQ265">
            <v>0</v>
          </cell>
          <cell r="AR265">
            <v>0</v>
          </cell>
          <cell r="AT265">
            <v>229.60894525507237</v>
          </cell>
          <cell r="AU265">
            <v>0</v>
          </cell>
          <cell r="AW265">
            <v>0</v>
          </cell>
          <cell r="AX265">
            <v>0</v>
          </cell>
        </row>
        <row r="266">
          <cell r="I266">
            <v>14</v>
          </cell>
          <cell r="J266">
            <v>3206.1835422240815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/>
          <cell r="W266">
            <v>0</v>
          </cell>
          <cell r="X266">
            <v>0</v>
          </cell>
          <cell r="Y266">
            <v>1154.1799146083156</v>
          </cell>
          <cell r="Z266"/>
          <cell r="AA266">
            <v>0</v>
          </cell>
          <cell r="AB266">
            <v>0</v>
          </cell>
          <cell r="AC266">
            <v>257.57356987822641</v>
          </cell>
          <cell r="AD266">
            <v>0</v>
          </cell>
          <cell r="AE266">
            <v>166.96317896061075</v>
          </cell>
          <cell r="AF266">
            <v>0</v>
          </cell>
          <cell r="AH266">
            <v>300.29581843807034</v>
          </cell>
          <cell r="AI266">
            <v>0</v>
          </cell>
          <cell r="AK266">
            <v>160.64986160541216</v>
          </cell>
          <cell r="AL266">
            <v>0</v>
          </cell>
          <cell r="AN266">
            <v>0</v>
          </cell>
          <cell r="AO266">
            <v>0</v>
          </cell>
          <cell r="AQ266">
            <v>0</v>
          </cell>
          <cell r="AR266">
            <v>647.41536177161379</v>
          </cell>
          <cell r="AT266">
            <v>80.014774571099423</v>
          </cell>
          <cell r="AU266">
            <v>0</v>
          </cell>
          <cell r="AW266">
            <v>0</v>
          </cell>
          <cell r="AX266">
            <v>0</v>
          </cell>
        </row>
        <row r="267">
          <cell r="I267">
            <v>0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/>
          <cell r="W267">
            <v>0</v>
          </cell>
          <cell r="X267">
            <v>0</v>
          </cell>
          <cell r="Y267">
            <v>0</v>
          </cell>
          <cell r="Z267"/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159.03712164227363</v>
          </cell>
          <cell r="AF267">
            <v>0</v>
          </cell>
          <cell r="AH267">
            <v>233.99602939185672</v>
          </cell>
          <cell r="AI267">
            <v>0</v>
          </cell>
          <cell r="AK267">
            <v>172.71582493274184</v>
          </cell>
          <cell r="AL267">
            <v>0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T267">
            <v>54.753204443068483</v>
          </cell>
          <cell r="AU267">
            <v>0</v>
          </cell>
          <cell r="AW267">
            <v>0</v>
          </cell>
          <cell r="AX267">
            <v>0</v>
          </cell>
        </row>
        <row r="268">
          <cell r="I268">
            <v>0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/>
          <cell r="W268">
            <v>0</v>
          </cell>
          <cell r="X268">
            <v>0</v>
          </cell>
          <cell r="Y268">
            <v>0</v>
          </cell>
          <cell r="Z268"/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271.32552484176745</v>
          </cell>
          <cell r="AF268">
            <v>0</v>
          </cell>
          <cell r="AH268">
            <v>338.94721104730002</v>
          </cell>
          <cell r="AI268">
            <v>0</v>
          </cell>
          <cell r="AK268">
            <v>299.40237983729122</v>
          </cell>
          <cell r="AL268">
            <v>0</v>
          </cell>
          <cell r="AN268">
            <v>0</v>
          </cell>
          <cell r="AO268">
            <v>0</v>
          </cell>
          <cell r="AQ268">
            <v>0</v>
          </cell>
          <cell r="AR268">
            <v>0</v>
          </cell>
          <cell r="AT268">
            <v>148.43420890847807</v>
          </cell>
          <cell r="AU268">
            <v>0</v>
          </cell>
          <cell r="AW268">
            <v>0</v>
          </cell>
          <cell r="AX268">
            <v>0</v>
          </cell>
        </row>
        <row r="269"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/>
          <cell r="W269">
            <v>0</v>
          </cell>
          <cell r="X269">
            <v>0</v>
          </cell>
          <cell r="Y269">
            <v>0</v>
          </cell>
          <cell r="Z269"/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170.22583618592486</v>
          </cell>
          <cell r="AF269">
            <v>0</v>
          </cell>
          <cell r="AH269">
            <v>251.00068743860237</v>
          </cell>
          <cell r="AI269">
            <v>0</v>
          </cell>
          <cell r="AK269">
            <v>220.77882065324417</v>
          </cell>
          <cell r="AL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T269">
            <v>69.900011236879692</v>
          </cell>
          <cell r="AU269">
            <v>0</v>
          </cell>
          <cell r="AW269">
            <v>0</v>
          </cell>
          <cell r="AX269">
            <v>0</v>
          </cell>
        </row>
        <row r="270"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/>
          <cell r="W270">
            <v>0</v>
          </cell>
          <cell r="X270">
            <v>0</v>
          </cell>
          <cell r="Y270">
            <v>0</v>
          </cell>
          <cell r="Z270"/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H270">
            <v>0</v>
          </cell>
          <cell r="AI270">
            <v>0</v>
          </cell>
          <cell r="AK270">
            <v>0</v>
          </cell>
          <cell r="AL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T270">
            <v>0</v>
          </cell>
          <cell r="AU270">
            <v>0</v>
          </cell>
          <cell r="AW270">
            <v>0</v>
          </cell>
          <cell r="AX270">
            <v>0</v>
          </cell>
        </row>
        <row r="271">
          <cell r="I271">
            <v>0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/>
          <cell r="W271">
            <v>0</v>
          </cell>
          <cell r="X271">
            <v>0</v>
          </cell>
          <cell r="Y271">
            <v>0</v>
          </cell>
          <cell r="Z271"/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H271">
            <v>0</v>
          </cell>
          <cell r="AI271">
            <v>0</v>
          </cell>
          <cell r="AK271">
            <v>0</v>
          </cell>
          <cell r="AL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T271">
            <v>23.058508430931262</v>
          </cell>
          <cell r="AU271">
            <v>0</v>
          </cell>
          <cell r="AW271">
            <v>0</v>
          </cell>
          <cell r="AX271">
            <v>0</v>
          </cell>
        </row>
        <row r="272"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/>
          <cell r="W272">
            <v>0</v>
          </cell>
          <cell r="X272">
            <v>0</v>
          </cell>
          <cell r="Y272">
            <v>0</v>
          </cell>
          <cell r="Z272"/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293.68451802447441</v>
          </cell>
          <cell r="AF272">
            <v>719.28487379341368</v>
          </cell>
          <cell r="AH272">
            <v>428.45713760025609</v>
          </cell>
          <cell r="AI272">
            <v>0</v>
          </cell>
          <cell r="AK272">
            <v>0</v>
          </cell>
          <cell r="AL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T272">
            <v>264.95478811646899</v>
          </cell>
          <cell r="AU272">
            <v>0</v>
          </cell>
          <cell r="AW272">
            <v>0</v>
          </cell>
          <cell r="AX272">
            <v>0</v>
          </cell>
        </row>
        <row r="273"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/>
          <cell r="W273">
            <v>0</v>
          </cell>
          <cell r="X273">
            <v>0</v>
          </cell>
          <cell r="Y273">
            <v>0</v>
          </cell>
          <cell r="Z273"/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214.40752078805031</v>
          </cell>
          <cell r="AF273">
            <v>0</v>
          </cell>
          <cell r="AH273">
            <v>249.06583069279796</v>
          </cell>
          <cell r="AI273">
            <v>0</v>
          </cell>
          <cell r="AK273">
            <v>226.77710403175575</v>
          </cell>
          <cell r="AL273">
            <v>0</v>
          </cell>
          <cell r="AN273">
            <v>128.6876472295032</v>
          </cell>
          <cell r="AO273">
            <v>0</v>
          </cell>
          <cell r="AQ273">
            <v>44.980177589529568</v>
          </cell>
          <cell r="AR273">
            <v>0</v>
          </cell>
          <cell r="AT273">
            <v>133.23107334635267</v>
          </cell>
          <cell r="AU273">
            <v>3855.8818932800623</v>
          </cell>
          <cell r="AW273">
            <v>79.878797055444863</v>
          </cell>
          <cell r="AX273">
            <v>0</v>
          </cell>
        </row>
        <row r="274">
          <cell r="I274">
            <v>0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/>
          <cell r="W274">
            <v>3</v>
          </cell>
          <cell r="X274">
            <v>246.79153063759497</v>
          </cell>
          <cell r="Y274">
            <v>0</v>
          </cell>
          <cell r="Z274"/>
          <cell r="AA274">
            <v>0</v>
          </cell>
          <cell r="AB274">
            <v>0</v>
          </cell>
          <cell r="AC274">
            <v>0</v>
          </cell>
          <cell r="AD274">
            <v>812.62467406356404</v>
          </cell>
          <cell r="AE274">
            <v>171.52601663044027</v>
          </cell>
          <cell r="AF274">
            <v>0</v>
          </cell>
          <cell r="AH274">
            <v>185.23402568086527</v>
          </cell>
          <cell r="AI274">
            <v>0</v>
          </cell>
          <cell r="AK274">
            <v>229.91088521272141</v>
          </cell>
          <cell r="AL274">
            <v>0</v>
          </cell>
          <cell r="AN274">
            <v>111.16789026792613</v>
          </cell>
          <cell r="AO274">
            <v>0</v>
          </cell>
          <cell r="AQ274">
            <v>56.371262847709524</v>
          </cell>
          <cell r="AR274">
            <v>0</v>
          </cell>
          <cell r="AT274">
            <v>105.1618901772249</v>
          </cell>
          <cell r="AU274">
            <v>0</v>
          </cell>
          <cell r="AW274">
            <v>78.880070559382432</v>
          </cell>
          <cell r="AX274">
            <v>0</v>
          </cell>
        </row>
        <row r="275">
          <cell r="I275">
            <v>2.5</v>
          </cell>
          <cell r="J275">
            <v>1327.812127843695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/>
          <cell r="W275">
            <v>0</v>
          </cell>
          <cell r="X275">
            <v>0</v>
          </cell>
          <cell r="Y275">
            <v>0</v>
          </cell>
          <cell r="Z275"/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196.24790144530206</v>
          </cell>
          <cell r="AF275">
            <v>0</v>
          </cell>
          <cell r="AH275">
            <v>285.79135804273159</v>
          </cell>
          <cell r="AI275">
            <v>0</v>
          </cell>
          <cell r="AK275">
            <v>174.4002952120108</v>
          </cell>
          <cell r="AL275">
            <v>0</v>
          </cell>
          <cell r="AN275">
            <v>106.53832154271349</v>
          </cell>
          <cell r="AO275">
            <v>0</v>
          </cell>
          <cell r="AQ275">
            <v>35.974450255696418</v>
          </cell>
          <cell r="AR275">
            <v>0</v>
          </cell>
          <cell r="AT275">
            <v>92.185307259032186</v>
          </cell>
          <cell r="AU275">
            <v>1329.3338849372135</v>
          </cell>
          <cell r="AW275">
            <v>31.907610498203873</v>
          </cell>
          <cell r="AX275">
            <v>0</v>
          </cell>
        </row>
        <row r="276"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/>
          <cell r="W276">
            <v>0</v>
          </cell>
          <cell r="X276">
            <v>0</v>
          </cell>
          <cell r="Y276">
            <v>0</v>
          </cell>
          <cell r="Z276"/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91.799711134666694</v>
          </cell>
          <cell r="AF276">
            <v>0</v>
          </cell>
          <cell r="AH276">
            <v>93.161411686942571</v>
          </cell>
          <cell r="AI276">
            <v>0</v>
          </cell>
          <cell r="AK276">
            <v>67.913456968774284</v>
          </cell>
          <cell r="AL276">
            <v>0</v>
          </cell>
          <cell r="AN276">
            <v>0</v>
          </cell>
          <cell r="AO276">
            <v>0</v>
          </cell>
          <cell r="AQ276">
            <v>0</v>
          </cell>
          <cell r="AR276">
            <v>305.83164913890846</v>
          </cell>
          <cell r="AT276">
            <v>44.518397153018292</v>
          </cell>
          <cell r="AU276">
            <v>0</v>
          </cell>
          <cell r="AW276">
            <v>15.287047639181583</v>
          </cell>
          <cell r="AX276">
            <v>0</v>
          </cell>
        </row>
        <row r="277"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/>
          <cell r="W277">
            <v>0</v>
          </cell>
          <cell r="X277">
            <v>0</v>
          </cell>
          <cell r="Y277">
            <v>0</v>
          </cell>
          <cell r="Z277"/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H277">
            <v>0</v>
          </cell>
          <cell r="AI277">
            <v>0</v>
          </cell>
          <cell r="AK277">
            <v>0</v>
          </cell>
          <cell r="AL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</row>
        <row r="278"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/>
          <cell r="W278">
            <v>3</v>
          </cell>
          <cell r="X278">
            <v>307.92434203161162</v>
          </cell>
          <cell r="Y278">
            <v>0</v>
          </cell>
          <cell r="Z278"/>
          <cell r="AA278">
            <v>0</v>
          </cell>
          <cell r="AB278">
            <v>1293.7565825090808</v>
          </cell>
          <cell r="AC278">
            <v>0</v>
          </cell>
          <cell r="AD278">
            <v>1367.4606061582017</v>
          </cell>
          <cell r="AE278">
            <v>206.76395489082276</v>
          </cell>
          <cell r="AF278">
            <v>0</v>
          </cell>
          <cell r="AH278">
            <v>249.72595634349193</v>
          </cell>
          <cell r="AI278">
            <v>0</v>
          </cell>
          <cell r="AK278">
            <v>312.35655427083907</v>
          </cell>
          <cell r="AL278">
            <v>0</v>
          </cell>
          <cell r="AN278">
            <v>115.73902546114914</v>
          </cell>
          <cell r="AO278">
            <v>0</v>
          </cell>
          <cell r="AQ278">
            <v>65.961235315382794</v>
          </cell>
          <cell r="AR278">
            <v>0</v>
          </cell>
          <cell r="AT278">
            <v>127.2900014790072</v>
          </cell>
          <cell r="AU278">
            <v>2356.3432915853305</v>
          </cell>
          <cell r="AW278">
            <v>102.33357069191999</v>
          </cell>
          <cell r="AX278">
            <v>0</v>
          </cell>
        </row>
        <row r="279"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/>
          <cell r="W279">
            <v>0</v>
          </cell>
          <cell r="X279">
            <v>0</v>
          </cell>
          <cell r="Y279">
            <v>0</v>
          </cell>
          <cell r="Z279"/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H279">
            <v>0</v>
          </cell>
          <cell r="AI279">
            <v>0</v>
          </cell>
          <cell r="AK279">
            <v>0</v>
          </cell>
          <cell r="AL279">
            <v>0</v>
          </cell>
          <cell r="AN279">
            <v>0</v>
          </cell>
          <cell r="AO279">
            <v>0</v>
          </cell>
          <cell r="AQ279">
            <v>0</v>
          </cell>
          <cell r="AR279">
            <v>0</v>
          </cell>
          <cell r="AT279">
            <v>0</v>
          </cell>
          <cell r="AU279">
            <v>0</v>
          </cell>
          <cell r="AW279">
            <v>0</v>
          </cell>
          <cell r="AX279">
            <v>0</v>
          </cell>
        </row>
        <row r="280"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/>
          <cell r="W280">
            <v>0</v>
          </cell>
          <cell r="X280">
            <v>0</v>
          </cell>
          <cell r="Y280">
            <v>0</v>
          </cell>
          <cell r="Z280"/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36.308589429809629</v>
          </cell>
          <cell r="AF280">
            <v>0</v>
          </cell>
          <cell r="AH280">
            <v>48.925973641158578</v>
          </cell>
          <cell r="AI280">
            <v>0</v>
          </cell>
          <cell r="AK280">
            <v>25.314242800838446</v>
          </cell>
          <cell r="AL280">
            <v>0</v>
          </cell>
          <cell r="AN280">
            <v>0</v>
          </cell>
          <cell r="AO280">
            <v>0</v>
          </cell>
          <cell r="AQ280">
            <v>0</v>
          </cell>
          <cell r="AR280">
            <v>0</v>
          </cell>
          <cell r="AT280">
            <v>9.8614252960765771</v>
          </cell>
          <cell r="AU280">
            <v>0</v>
          </cell>
          <cell r="AW280">
            <v>0</v>
          </cell>
          <cell r="AX280">
            <v>0</v>
          </cell>
        </row>
        <row r="281"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/>
          <cell r="W281">
            <v>0</v>
          </cell>
          <cell r="X281">
            <v>0</v>
          </cell>
          <cell r="Y281">
            <v>0</v>
          </cell>
          <cell r="Z281"/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H281">
            <v>0</v>
          </cell>
          <cell r="AI281">
            <v>0</v>
          </cell>
          <cell r="AK281">
            <v>0</v>
          </cell>
          <cell r="AL281">
            <v>0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T281">
            <v>0</v>
          </cell>
          <cell r="AU281">
            <v>0</v>
          </cell>
          <cell r="AW281">
            <v>0</v>
          </cell>
          <cell r="AX281">
            <v>0</v>
          </cell>
        </row>
        <row r="282"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/>
          <cell r="W282">
            <v>0</v>
          </cell>
          <cell r="X282">
            <v>0</v>
          </cell>
          <cell r="Y282">
            <v>0</v>
          </cell>
          <cell r="Z282"/>
          <cell r="AA282">
            <v>0</v>
          </cell>
          <cell r="AB282">
            <v>0</v>
          </cell>
          <cell r="AC282">
            <v>536.51565274207735</v>
          </cell>
          <cell r="AD282">
            <v>0</v>
          </cell>
          <cell r="AE282">
            <v>126.78159136424794</v>
          </cell>
          <cell r="AF282">
            <v>0</v>
          </cell>
          <cell r="AH282">
            <v>151.47835609515252</v>
          </cell>
          <cell r="AI282">
            <v>0</v>
          </cell>
          <cell r="AK282">
            <v>158.77057002037245</v>
          </cell>
          <cell r="AL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0</v>
          </cell>
          <cell r="AT282">
            <v>59.149004912770224</v>
          </cell>
          <cell r="AU282">
            <v>0</v>
          </cell>
          <cell r="AW282">
            <v>0</v>
          </cell>
          <cell r="AX282">
            <v>0</v>
          </cell>
        </row>
        <row r="283"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/>
          <cell r="W283">
            <v>0</v>
          </cell>
          <cell r="X283">
            <v>0</v>
          </cell>
          <cell r="Y283">
            <v>0</v>
          </cell>
          <cell r="Z283"/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354.5053752788794</v>
          </cell>
          <cell r="AF283">
            <v>0</v>
          </cell>
          <cell r="AH283">
            <v>493.73511237688888</v>
          </cell>
          <cell r="AI283">
            <v>0</v>
          </cell>
          <cell r="AK283">
            <v>599.00354063093062</v>
          </cell>
          <cell r="AL283">
            <v>881.57618844097578</v>
          </cell>
          <cell r="AN283">
            <v>202.16392511926523</v>
          </cell>
          <cell r="AO283">
            <v>0</v>
          </cell>
          <cell r="AQ283">
            <v>105.68402349220877</v>
          </cell>
          <cell r="AR283">
            <v>0</v>
          </cell>
          <cell r="AT283">
            <v>136.87374713977206</v>
          </cell>
          <cell r="AU283">
            <v>0</v>
          </cell>
          <cell r="AW283">
            <v>0</v>
          </cell>
          <cell r="AX283">
            <v>0</v>
          </cell>
        </row>
        <row r="284"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R284">
            <v>1</v>
          </cell>
          <cell r="S284">
            <v>2628.2460662203202</v>
          </cell>
          <cell r="U284">
            <v>0</v>
          </cell>
          <cell r="V284"/>
          <cell r="W284">
            <v>0</v>
          </cell>
          <cell r="X284">
            <v>0</v>
          </cell>
          <cell r="Y284">
            <v>0</v>
          </cell>
          <cell r="Z284"/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180.28000083455336</v>
          </cell>
          <cell r="AF284">
            <v>2403.8535805925976</v>
          </cell>
          <cell r="AH284">
            <v>303.15280889421359</v>
          </cell>
          <cell r="AI284">
            <v>0</v>
          </cell>
          <cell r="AK284">
            <v>375.12738273257935</v>
          </cell>
          <cell r="AL284">
            <v>0</v>
          </cell>
          <cell r="AN284">
            <v>148.4035862329026</v>
          </cell>
          <cell r="AO284">
            <v>0</v>
          </cell>
          <cell r="AQ284">
            <v>65.961235315382794</v>
          </cell>
          <cell r="AR284">
            <v>0</v>
          </cell>
          <cell r="AT284">
            <v>71.693988049612315</v>
          </cell>
          <cell r="AU284">
            <v>2951.9144761069015</v>
          </cell>
          <cell r="AW284">
            <v>0</v>
          </cell>
          <cell r="AX284">
            <v>0</v>
          </cell>
        </row>
        <row r="285"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/>
          <cell r="W285">
            <v>0</v>
          </cell>
          <cell r="X285">
            <v>0</v>
          </cell>
          <cell r="Y285">
            <v>0</v>
          </cell>
          <cell r="Z285"/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191.98904251927169</v>
          </cell>
          <cell r="AF285">
            <v>0</v>
          </cell>
          <cell r="AH285">
            <v>271.65683061933453</v>
          </cell>
          <cell r="AI285">
            <v>0</v>
          </cell>
          <cell r="AK285">
            <v>267.77851529053544</v>
          </cell>
          <cell r="AL285">
            <v>378.07232362048796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T285">
            <v>79.191999924649934</v>
          </cell>
          <cell r="AU285">
            <v>0</v>
          </cell>
          <cell r="AW285">
            <v>0</v>
          </cell>
          <cell r="AX285">
            <v>0</v>
          </cell>
        </row>
        <row r="286"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/>
          <cell r="W286">
            <v>2</v>
          </cell>
          <cell r="X286">
            <v>167.61241105942892</v>
          </cell>
          <cell r="Y286">
            <v>0</v>
          </cell>
          <cell r="Z286"/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456.80205837427036</v>
          </cell>
          <cell r="AF286">
            <v>0</v>
          </cell>
          <cell r="AH286">
            <v>729.89882423528786</v>
          </cell>
          <cell r="AI286">
            <v>0</v>
          </cell>
          <cell r="AK286">
            <v>431.56064698254022</v>
          </cell>
          <cell r="AL286">
            <v>0</v>
          </cell>
          <cell r="AN286">
            <v>0</v>
          </cell>
          <cell r="AO286">
            <v>0</v>
          </cell>
          <cell r="AQ286">
            <v>218.86472282667671</v>
          </cell>
          <cell r="AR286">
            <v>0</v>
          </cell>
          <cell r="AT286">
            <v>332.1874362013159</v>
          </cell>
          <cell r="AU286">
            <v>0</v>
          </cell>
          <cell r="AW286">
            <v>0</v>
          </cell>
          <cell r="AX286">
            <v>0</v>
          </cell>
        </row>
        <row r="287"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/>
          <cell r="W287">
            <v>0</v>
          </cell>
          <cell r="X287">
            <v>0</v>
          </cell>
          <cell r="Y287">
            <v>0</v>
          </cell>
          <cell r="Z287"/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124.57062080146615</v>
          </cell>
          <cell r="AF287">
            <v>0</v>
          </cell>
          <cell r="AH287">
            <v>153.61481567386699</v>
          </cell>
          <cell r="AI287">
            <v>0</v>
          </cell>
          <cell r="AK287">
            <v>172.42294749368233</v>
          </cell>
          <cell r="AL287">
            <v>0</v>
          </cell>
          <cell r="AN287">
            <v>0</v>
          </cell>
          <cell r="AO287">
            <v>0</v>
          </cell>
          <cell r="AQ287">
            <v>0</v>
          </cell>
          <cell r="AR287">
            <v>0</v>
          </cell>
          <cell r="AT287">
            <v>60.056140153587386</v>
          </cell>
          <cell r="AU287">
            <v>0</v>
          </cell>
          <cell r="AW287">
            <v>0</v>
          </cell>
          <cell r="AX287">
            <v>0</v>
          </cell>
        </row>
        <row r="288"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/>
          <cell r="W288">
            <v>6</v>
          </cell>
          <cell r="X288">
            <v>1426.8622351965337</v>
          </cell>
          <cell r="Y288">
            <v>4028.6728723498186</v>
          </cell>
          <cell r="Z288"/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390.20101697689392</v>
          </cell>
          <cell r="AF288">
            <v>2623.5444295781217</v>
          </cell>
          <cell r="AH288">
            <v>612.42978423362774</v>
          </cell>
          <cell r="AI288">
            <v>0</v>
          </cell>
          <cell r="AK288">
            <v>498.54465057686645</v>
          </cell>
          <cell r="AL288">
            <v>0</v>
          </cell>
          <cell r="AN288">
            <v>0</v>
          </cell>
          <cell r="AO288">
            <v>0</v>
          </cell>
          <cell r="AQ288">
            <v>0</v>
          </cell>
          <cell r="AR288">
            <v>0</v>
          </cell>
          <cell r="AT288">
            <v>242.89648827755306</v>
          </cell>
          <cell r="AU288">
            <v>0</v>
          </cell>
          <cell r="AW288">
            <v>0</v>
          </cell>
          <cell r="AX288">
            <v>0</v>
          </cell>
        </row>
        <row r="289"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/>
          <cell r="W289">
            <v>0</v>
          </cell>
          <cell r="X289">
            <v>0</v>
          </cell>
          <cell r="Y289">
            <v>0</v>
          </cell>
          <cell r="Z289"/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317.84533244161025</v>
          </cell>
          <cell r="AF289">
            <v>0</v>
          </cell>
          <cell r="AH289">
            <v>490.42556714245251</v>
          </cell>
          <cell r="AI289">
            <v>0</v>
          </cell>
          <cell r="AK289">
            <v>435.35818498390751</v>
          </cell>
          <cell r="AL289">
            <v>0</v>
          </cell>
          <cell r="AN289">
            <v>0</v>
          </cell>
          <cell r="AO289">
            <v>0</v>
          </cell>
          <cell r="AQ289">
            <v>0</v>
          </cell>
          <cell r="AR289">
            <v>0</v>
          </cell>
          <cell r="AT289">
            <v>174.41860241614506</v>
          </cell>
          <cell r="AU289">
            <v>0</v>
          </cell>
          <cell r="AW289">
            <v>0</v>
          </cell>
          <cell r="AX289">
            <v>0</v>
          </cell>
        </row>
        <row r="290"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/>
          <cell r="W290">
            <v>0</v>
          </cell>
          <cell r="X290">
            <v>0</v>
          </cell>
          <cell r="Y290">
            <v>0</v>
          </cell>
          <cell r="Z290"/>
          <cell r="AA290">
            <v>0</v>
          </cell>
          <cell r="AB290">
            <v>0</v>
          </cell>
          <cell r="AC290">
            <v>779.05775634060751</v>
          </cell>
          <cell r="AD290">
            <v>0</v>
          </cell>
          <cell r="AE290">
            <v>137.88486578757917</v>
          </cell>
          <cell r="AF290">
            <v>0</v>
          </cell>
          <cell r="AH290">
            <v>191.12025839548414</v>
          </cell>
          <cell r="AI290">
            <v>0</v>
          </cell>
          <cell r="AK290">
            <v>164.78563296374301</v>
          </cell>
          <cell r="AL290">
            <v>0</v>
          </cell>
          <cell r="AN290">
            <v>0</v>
          </cell>
          <cell r="AO290">
            <v>0</v>
          </cell>
          <cell r="AQ290">
            <v>0</v>
          </cell>
          <cell r="AR290">
            <v>1255.0218409575091</v>
          </cell>
          <cell r="AT290">
            <v>56.288526279835082</v>
          </cell>
          <cell r="AU290">
            <v>0</v>
          </cell>
          <cell r="AW290">
            <v>0</v>
          </cell>
          <cell r="AX290">
            <v>0</v>
          </cell>
        </row>
        <row r="291"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/>
          <cell r="W291">
            <v>5</v>
          </cell>
          <cell r="X291">
            <v>466.34878676889542</v>
          </cell>
          <cell r="Y291">
            <v>0</v>
          </cell>
          <cell r="Z291"/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315.60276808607239</v>
          </cell>
          <cell r="AF291">
            <v>1105.4626722118337</v>
          </cell>
          <cell r="AH291">
            <v>493.55253641226898</v>
          </cell>
          <cell r="AI291">
            <v>0</v>
          </cell>
          <cell r="AK291">
            <v>328.5099679824072</v>
          </cell>
          <cell r="AL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T291">
            <v>230.25583944896033</v>
          </cell>
          <cell r="AU291">
            <v>0</v>
          </cell>
          <cell r="AW291">
            <v>0</v>
          </cell>
          <cell r="AX291">
            <v>0</v>
          </cell>
        </row>
        <row r="292"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/>
          <cell r="W292">
            <v>0</v>
          </cell>
          <cell r="X292">
            <v>0</v>
          </cell>
          <cell r="Y292">
            <v>0</v>
          </cell>
          <cell r="Z292"/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248.84834163653545</v>
          </cell>
          <cell r="AF292">
            <v>0</v>
          </cell>
          <cell r="AH292">
            <v>367.47921774916153</v>
          </cell>
          <cell r="AI292">
            <v>0</v>
          </cell>
          <cell r="AK292">
            <v>237.8926264600704</v>
          </cell>
          <cell r="AL292">
            <v>480.39198214586401</v>
          </cell>
          <cell r="AN292">
            <v>0</v>
          </cell>
          <cell r="AO292">
            <v>0</v>
          </cell>
          <cell r="AQ292">
            <v>0</v>
          </cell>
          <cell r="AR292">
            <v>0</v>
          </cell>
          <cell r="AT292">
            <v>169.9247496489308</v>
          </cell>
          <cell r="AU292">
            <v>0</v>
          </cell>
          <cell r="AW292">
            <v>0</v>
          </cell>
          <cell r="AX292">
            <v>0</v>
          </cell>
        </row>
        <row r="293"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/>
          <cell r="W293">
            <v>0</v>
          </cell>
          <cell r="X293">
            <v>0</v>
          </cell>
          <cell r="Y293">
            <v>0</v>
          </cell>
          <cell r="Z293"/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62.42080348743935</v>
          </cell>
          <cell r="AF293">
            <v>0</v>
          </cell>
          <cell r="AH293">
            <v>71.825475826829646</v>
          </cell>
          <cell r="AI293">
            <v>0</v>
          </cell>
          <cell r="AK293">
            <v>0</v>
          </cell>
          <cell r="AL293">
            <v>0</v>
          </cell>
          <cell r="AN293">
            <v>0</v>
          </cell>
          <cell r="AO293">
            <v>0</v>
          </cell>
          <cell r="AQ293">
            <v>0</v>
          </cell>
          <cell r="AR293">
            <v>0</v>
          </cell>
          <cell r="AT293">
            <v>9.8614351170038965</v>
          </cell>
          <cell r="AU293">
            <v>0</v>
          </cell>
          <cell r="AW293">
            <v>0</v>
          </cell>
          <cell r="AX293">
            <v>0</v>
          </cell>
        </row>
        <row r="294"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/>
          <cell r="W294">
            <v>0</v>
          </cell>
          <cell r="X294">
            <v>0</v>
          </cell>
          <cell r="Y294">
            <v>0</v>
          </cell>
          <cell r="Z294"/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169.7904243905044</v>
          </cell>
          <cell r="AF294">
            <v>0</v>
          </cell>
          <cell r="AH294">
            <v>250.58315269130659</v>
          </cell>
          <cell r="AI294">
            <v>0</v>
          </cell>
          <cell r="AK294">
            <v>248.87608838806503</v>
          </cell>
          <cell r="AL294">
            <v>0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T294">
            <v>69.694336541971353</v>
          </cell>
          <cell r="AU294">
            <v>0</v>
          </cell>
          <cell r="AW294">
            <v>0</v>
          </cell>
          <cell r="AX294">
            <v>0</v>
          </cell>
        </row>
        <row r="295">
          <cell r="I295">
            <v>0</v>
          </cell>
          <cell r="J295">
            <v>0</v>
          </cell>
          <cell r="L295">
            <v>0</v>
          </cell>
          <cell r="M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/>
          <cell r="W295">
            <v>0</v>
          </cell>
          <cell r="X295">
            <v>0</v>
          </cell>
          <cell r="Y295">
            <v>0</v>
          </cell>
          <cell r="Z295"/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390.20101697689392</v>
          </cell>
          <cell r="AF295">
            <v>978.53170462048797</v>
          </cell>
          <cell r="AH295">
            <v>613.10965860365957</v>
          </cell>
          <cell r="AI295">
            <v>0</v>
          </cell>
          <cell r="AK295">
            <v>465.95764131857197</v>
          </cell>
          <cell r="AL295">
            <v>0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T295">
            <v>242.89646399461824</v>
          </cell>
          <cell r="AU295">
            <v>0</v>
          </cell>
          <cell r="AW295">
            <v>0</v>
          </cell>
          <cell r="AX295">
            <v>0</v>
          </cell>
        </row>
        <row r="296">
          <cell r="I296">
            <v>0</v>
          </cell>
          <cell r="J296">
            <v>0</v>
          </cell>
          <cell r="L296">
            <v>0</v>
          </cell>
          <cell r="M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/>
          <cell r="W296">
            <v>0</v>
          </cell>
          <cell r="X296">
            <v>0</v>
          </cell>
          <cell r="Y296">
            <v>587.15857646757991</v>
          </cell>
          <cell r="Z296"/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234.32748203760042</v>
          </cell>
          <cell r="AF296">
            <v>503.99848642048795</v>
          </cell>
          <cell r="AH296">
            <v>330.23603295962948</v>
          </cell>
          <cell r="AI296">
            <v>0</v>
          </cell>
          <cell r="AK296">
            <v>294.64577629970915</v>
          </cell>
          <cell r="AL296">
            <v>0</v>
          </cell>
          <cell r="AN296">
            <v>0</v>
          </cell>
          <cell r="AO296">
            <v>0</v>
          </cell>
          <cell r="AQ296">
            <v>0</v>
          </cell>
          <cell r="AR296">
            <v>0</v>
          </cell>
          <cell r="AT296">
            <v>110.74602375906008</v>
          </cell>
          <cell r="AU296">
            <v>0</v>
          </cell>
          <cell r="AW296">
            <v>0</v>
          </cell>
          <cell r="AX296">
            <v>0</v>
          </cell>
        </row>
        <row r="297">
          <cell r="I297">
            <v>0</v>
          </cell>
          <cell r="J297">
            <v>0</v>
          </cell>
          <cell r="L297">
            <v>0</v>
          </cell>
          <cell r="M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/>
          <cell r="W297">
            <v>0</v>
          </cell>
          <cell r="X297">
            <v>58.580582563211053</v>
          </cell>
          <cell r="Y297">
            <v>0</v>
          </cell>
          <cell r="Z297"/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268.60745020669066</v>
          </cell>
          <cell r="AF297">
            <v>0</v>
          </cell>
          <cell r="AH297">
            <v>424.54339453418447</v>
          </cell>
          <cell r="AI297">
            <v>0</v>
          </cell>
          <cell r="AK297">
            <v>279.86139543396388</v>
          </cell>
          <cell r="AL297">
            <v>0</v>
          </cell>
          <cell r="AN297">
            <v>0</v>
          </cell>
          <cell r="AO297">
            <v>0</v>
          </cell>
          <cell r="AQ297">
            <v>0</v>
          </cell>
          <cell r="AR297">
            <v>0</v>
          </cell>
          <cell r="AT297">
            <v>152.85067587953245</v>
          </cell>
          <cell r="AU297">
            <v>0</v>
          </cell>
          <cell r="AW297">
            <v>0</v>
          </cell>
          <cell r="AX297">
            <v>0</v>
          </cell>
        </row>
        <row r="298">
          <cell r="I298">
            <v>0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/>
          <cell r="W298">
            <v>0</v>
          </cell>
          <cell r="X298">
            <v>80.784885331457332</v>
          </cell>
          <cell r="Y298">
            <v>0</v>
          </cell>
          <cell r="Z298"/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244.26238760946541</v>
          </cell>
          <cell r="AF298">
            <v>0</v>
          </cell>
          <cell r="AH298">
            <v>332.47939196456838</v>
          </cell>
          <cell r="AI298">
            <v>0</v>
          </cell>
          <cell r="AK298">
            <v>328.85794079324251</v>
          </cell>
          <cell r="AL298">
            <v>0</v>
          </cell>
          <cell r="AN298">
            <v>0</v>
          </cell>
          <cell r="AO298">
            <v>0</v>
          </cell>
          <cell r="AQ298">
            <v>0</v>
          </cell>
          <cell r="AR298">
            <v>0</v>
          </cell>
          <cell r="AT298">
            <v>117.73258216618191</v>
          </cell>
          <cell r="AU298">
            <v>0</v>
          </cell>
          <cell r="AW298">
            <v>0</v>
          </cell>
          <cell r="AX298">
            <v>0</v>
          </cell>
        </row>
        <row r="299"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/>
          <cell r="W299">
            <v>0</v>
          </cell>
          <cell r="X299">
            <v>0</v>
          </cell>
          <cell r="Y299">
            <v>0</v>
          </cell>
          <cell r="Z299"/>
          <cell r="AA299">
            <v>0</v>
          </cell>
          <cell r="AB299">
            <v>0</v>
          </cell>
          <cell r="AC299">
            <v>645.876931670555</v>
          </cell>
          <cell r="AD299">
            <v>0</v>
          </cell>
          <cell r="AE299">
            <v>179.91919703832136</v>
          </cell>
          <cell r="AF299">
            <v>0</v>
          </cell>
          <cell r="AH299">
            <v>249.85481924163975</v>
          </cell>
          <cell r="AI299">
            <v>0</v>
          </cell>
          <cell r="AK299">
            <v>320.43261331890704</v>
          </cell>
          <cell r="AL299">
            <v>0</v>
          </cell>
          <cell r="AN299">
            <v>0</v>
          </cell>
          <cell r="AO299">
            <v>0</v>
          </cell>
          <cell r="AQ299">
            <v>0</v>
          </cell>
          <cell r="AR299">
            <v>0</v>
          </cell>
          <cell r="AT299">
            <v>115.28343760292933</v>
          </cell>
          <cell r="AU299">
            <v>0</v>
          </cell>
          <cell r="AW299">
            <v>0</v>
          </cell>
          <cell r="AX299">
            <v>0</v>
          </cell>
        </row>
        <row r="300">
          <cell r="I300">
            <v>0</v>
          </cell>
          <cell r="J300">
            <v>0</v>
          </cell>
          <cell r="L300">
            <v>2</v>
          </cell>
          <cell r="M300">
            <v>126058.60571047867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/>
          <cell r="W300">
            <v>0</v>
          </cell>
          <cell r="X300">
            <v>0</v>
          </cell>
          <cell r="Y300">
            <v>0</v>
          </cell>
          <cell r="Z300"/>
          <cell r="AA300">
            <v>0</v>
          </cell>
          <cell r="AB300">
            <v>0</v>
          </cell>
          <cell r="AC300">
            <v>1782.9543067997406</v>
          </cell>
          <cell r="AD300">
            <v>0</v>
          </cell>
          <cell r="AE300">
            <v>244.26238760946541</v>
          </cell>
          <cell r="AF300">
            <v>0</v>
          </cell>
          <cell r="AH300">
            <v>332.47939196456838</v>
          </cell>
          <cell r="AI300">
            <v>0</v>
          </cell>
          <cell r="AK300">
            <v>328.55404111072403</v>
          </cell>
          <cell r="AL300">
            <v>0</v>
          </cell>
          <cell r="AN300">
            <v>0</v>
          </cell>
          <cell r="AO300">
            <v>0</v>
          </cell>
          <cell r="AQ300">
            <v>0</v>
          </cell>
          <cell r="AR300">
            <v>0</v>
          </cell>
          <cell r="AT300">
            <v>117.7325992495455</v>
          </cell>
          <cell r="AU300">
            <v>6865.929256077703</v>
          </cell>
          <cell r="AW300">
            <v>0</v>
          </cell>
          <cell r="AX300">
            <v>0</v>
          </cell>
        </row>
        <row r="301">
          <cell r="I301">
            <v>0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/>
          <cell r="W301">
            <v>0</v>
          </cell>
          <cell r="X301">
            <v>0</v>
          </cell>
          <cell r="Y301">
            <v>0</v>
          </cell>
          <cell r="Z301"/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61.456808197748892</v>
          </cell>
          <cell r="AF301">
            <v>0</v>
          </cell>
          <cell r="AH301">
            <v>73.340501382101692</v>
          </cell>
          <cell r="AI301">
            <v>0</v>
          </cell>
          <cell r="AK301">
            <v>0</v>
          </cell>
          <cell r="AL301">
            <v>0</v>
          </cell>
          <cell r="AN301">
            <v>0</v>
          </cell>
          <cell r="AO301">
            <v>0</v>
          </cell>
          <cell r="AQ301">
            <v>0</v>
          </cell>
          <cell r="AR301">
            <v>0</v>
          </cell>
          <cell r="AT301">
            <v>23.056621496874509</v>
          </cell>
          <cell r="AU301">
            <v>0</v>
          </cell>
          <cell r="AW301">
            <v>0</v>
          </cell>
          <cell r="AX301">
            <v>0</v>
          </cell>
        </row>
        <row r="302">
          <cell r="I302">
            <v>0</v>
          </cell>
          <cell r="J302">
            <v>0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/>
          <cell r="W302">
            <v>0</v>
          </cell>
          <cell r="X302">
            <v>36.353198399155801</v>
          </cell>
          <cell r="Y302">
            <v>13643.054217620394</v>
          </cell>
          <cell r="Z302"/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288.77331075072891</v>
          </cell>
          <cell r="AF302">
            <v>0</v>
          </cell>
          <cell r="AH302">
            <v>472.58567621981564</v>
          </cell>
          <cell r="AI302">
            <v>0</v>
          </cell>
          <cell r="AK302">
            <v>315.4105094807349</v>
          </cell>
          <cell r="AL302">
            <v>0</v>
          </cell>
          <cell r="AN302">
            <v>0</v>
          </cell>
          <cell r="AO302">
            <v>0</v>
          </cell>
          <cell r="AQ302">
            <v>0</v>
          </cell>
          <cell r="AR302">
            <v>0</v>
          </cell>
          <cell r="AT302">
            <v>156.35955570117008</v>
          </cell>
          <cell r="AU302">
            <v>0</v>
          </cell>
          <cell r="AW302">
            <v>0</v>
          </cell>
          <cell r="AX302">
            <v>0</v>
          </cell>
        </row>
        <row r="303">
          <cell r="I303">
            <v>15</v>
          </cell>
          <cell r="J303">
            <v>3434.1958936274464</v>
          </cell>
          <cell r="L303">
            <v>0</v>
          </cell>
          <cell r="M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/>
          <cell r="W303">
            <v>0</v>
          </cell>
          <cell r="X303">
            <v>12.117732799718599</v>
          </cell>
          <cell r="Y303">
            <v>0</v>
          </cell>
          <cell r="Z303"/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251.19340059985063</v>
          </cell>
          <cell r="AF303">
            <v>0</v>
          </cell>
          <cell r="AH303">
            <v>322.9330626916564</v>
          </cell>
          <cell r="AI303">
            <v>0</v>
          </cell>
          <cell r="AK303">
            <v>309.58538086016767</v>
          </cell>
          <cell r="AL303">
            <v>0</v>
          </cell>
          <cell r="AN303">
            <v>143.16730422382903</v>
          </cell>
          <cell r="AO303">
            <v>0</v>
          </cell>
          <cell r="AQ303">
            <v>0</v>
          </cell>
          <cell r="AR303">
            <v>647.41536177161379</v>
          </cell>
          <cell r="AT303">
            <v>133.71803528478662</v>
          </cell>
          <cell r="AU303">
            <v>0</v>
          </cell>
          <cell r="AW303">
            <v>0</v>
          </cell>
          <cell r="AX303">
            <v>0</v>
          </cell>
        </row>
        <row r="304">
          <cell r="I304">
            <v>14</v>
          </cell>
          <cell r="J304">
            <v>3206.1835422240815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/>
          <cell r="W304">
            <v>0</v>
          </cell>
          <cell r="X304">
            <v>52.510175465447261</v>
          </cell>
          <cell r="Y304">
            <v>0</v>
          </cell>
          <cell r="Z304"/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255.6979541345664</v>
          </cell>
          <cell r="AF304">
            <v>0</v>
          </cell>
          <cell r="AH304">
            <v>324.18583031484343</v>
          </cell>
          <cell r="AI304">
            <v>0</v>
          </cell>
          <cell r="AK304">
            <v>286.47761685119247</v>
          </cell>
          <cell r="AL304">
            <v>0</v>
          </cell>
          <cell r="AN304">
            <v>0</v>
          </cell>
          <cell r="AO304">
            <v>0</v>
          </cell>
          <cell r="AQ304">
            <v>0</v>
          </cell>
          <cell r="AR304">
            <v>906.38731658514666</v>
          </cell>
          <cell r="AT304">
            <v>134.07877525191492</v>
          </cell>
          <cell r="AU304">
            <v>0</v>
          </cell>
          <cell r="AW304">
            <v>0</v>
          </cell>
          <cell r="AX304">
            <v>0</v>
          </cell>
        </row>
        <row r="305"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/>
          <cell r="W305">
            <v>0</v>
          </cell>
          <cell r="X305">
            <v>104.143257890153</v>
          </cell>
          <cell r="Y305">
            <v>0</v>
          </cell>
          <cell r="Z305"/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510.18365466681013</v>
          </cell>
          <cell r="AF305">
            <v>0</v>
          </cell>
          <cell r="AH305">
            <v>794.68358772623048</v>
          </cell>
          <cell r="AI305">
            <v>0</v>
          </cell>
          <cell r="AK305">
            <v>490.33909690043743</v>
          </cell>
          <cell r="AL305">
            <v>378.07232362048796</v>
          </cell>
          <cell r="AN305">
            <v>0</v>
          </cell>
          <cell r="AO305">
            <v>0</v>
          </cell>
          <cell r="AQ305">
            <v>0</v>
          </cell>
          <cell r="AR305">
            <v>0</v>
          </cell>
          <cell r="AT305">
            <v>503.79300843766771</v>
          </cell>
          <cell r="AU305">
            <v>0</v>
          </cell>
          <cell r="AW305">
            <v>0</v>
          </cell>
          <cell r="AX305">
            <v>0</v>
          </cell>
        </row>
        <row r="306"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/>
          <cell r="W306">
            <v>0</v>
          </cell>
          <cell r="X306">
            <v>0</v>
          </cell>
          <cell r="Y306">
            <v>0</v>
          </cell>
          <cell r="Z306"/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H306">
            <v>0</v>
          </cell>
          <cell r="AI306">
            <v>0</v>
          </cell>
          <cell r="AK306">
            <v>0</v>
          </cell>
          <cell r="AL306">
            <v>0</v>
          </cell>
          <cell r="AN306">
            <v>0</v>
          </cell>
          <cell r="AO306">
            <v>0</v>
          </cell>
          <cell r="AQ306">
            <v>0</v>
          </cell>
          <cell r="AR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</row>
        <row r="307">
          <cell r="I307">
            <v>0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/>
          <cell r="W307">
            <v>0</v>
          </cell>
          <cell r="X307">
            <v>0</v>
          </cell>
          <cell r="Y307">
            <v>0</v>
          </cell>
          <cell r="Z307"/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H307">
            <v>0</v>
          </cell>
          <cell r="AI307">
            <v>0</v>
          </cell>
          <cell r="AK307">
            <v>0</v>
          </cell>
          <cell r="AL307">
            <v>0</v>
          </cell>
          <cell r="AN307">
            <v>0</v>
          </cell>
          <cell r="AO307">
            <v>0</v>
          </cell>
          <cell r="AQ307">
            <v>0</v>
          </cell>
          <cell r="AR307">
            <v>0</v>
          </cell>
          <cell r="AT307">
            <v>0</v>
          </cell>
          <cell r="AU307">
            <v>0</v>
          </cell>
          <cell r="AW307">
            <v>0</v>
          </cell>
          <cell r="AX307">
            <v>0</v>
          </cell>
        </row>
        <row r="308"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/>
          <cell r="W308">
            <v>0</v>
          </cell>
          <cell r="X308">
            <v>0</v>
          </cell>
          <cell r="Y308">
            <v>0</v>
          </cell>
          <cell r="Z308"/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H308">
            <v>0</v>
          </cell>
          <cell r="AI308">
            <v>0</v>
          </cell>
          <cell r="AK308">
            <v>0</v>
          </cell>
          <cell r="AL308">
            <v>0</v>
          </cell>
          <cell r="AN308">
            <v>0</v>
          </cell>
          <cell r="AO308">
            <v>0</v>
          </cell>
          <cell r="AQ308">
            <v>0</v>
          </cell>
          <cell r="AR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</row>
        <row r="309"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/>
          <cell r="W309">
            <v>0</v>
          </cell>
          <cell r="X309">
            <v>0</v>
          </cell>
          <cell r="Y309">
            <v>0</v>
          </cell>
          <cell r="Z309"/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H309">
            <v>0</v>
          </cell>
          <cell r="AI309">
            <v>0</v>
          </cell>
          <cell r="AK309">
            <v>0</v>
          </cell>
          <cell r="AL309">
            <v>0</v>
          </cell>
          <cell r="AN309">
            <v>0</v>
          </cell>
          <cell r="AO309">
            <v>0</v>
          </cell>
          <cell r="AQ309">
            <v>0</v>
          </cell>
          <cell r="AR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</row>
        <row r="310"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/>
          <cell r="W310">
            <v>0</v>
          </cell>
          <cell r="X310">
            <v>0</v>
          </cell>
          <cell r="Y310">
            <v>0</v>
          </cell>
          <cell r="Z310"/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34.501372213371873</v>
          </cell>
          <cell r="AF310">
            <v>0</v>
          </cell>
          <cell r="AH310">
            <v>35.106725210817658</v>
          </cell>
          <cell r="AI310">
            <v>0</v>
          </cell>
          <cell r="AK310">
            <v>11.463616105968482</v>
          </cell>
          <cell r="AL310">
            <v>0</v>
          </cell>
          <cell r="AN310">
            <v>17.956827810507491</v>
          </cell>
          <cell r="AO310">
            <v>0</v>
          </cell>
          <cell r="AQ310">
            <v>0</v>
          </cell>
          <cell r="AR310">
            <v>0</v>
          </cell>
          <cell r="AT310">
            <v>9.8614204561619534</v>
          </cell>
          <cell r="AU310">
            <v>0</v>
          </cell>
          <cell r="AW310">
            <v>0</v>
          </cell>
          <cell r="AX310">
            <v>0</v>
          </cell>
        </row>
        <row r="311"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/>
          <cell r="W311">
            <v>0</v>
          </cell>
          <cell r="X311">
            <v>0</v>
          </cell>
          <cell r="Y311">
            <v>0</v>
          </cell>
          <cell r="Z311"/>
          <cell r="AA311">
            <v>0</v>
          </cell>
          <cell r="AB311">
            <v>0</v>
          </cell>
          <cell r="AC311">
            <v>8691.8011889928948</v>
          </cell>
          <cell r="AD311">
            <v>0</v>
          </cell>
          <cell r="AE311">
            <v>362.19421393906958</v>
          </cell>
          <cell r="AF311">
            <v>0</v>
          </cell>
          <cell r="AH311">
            <v>524.59024174180445</v>
          </cell>
          <cell r="AI311">
            <v>0</v>
          </cell>
          <cell r="AK311">
            <v>380.4641738473648</v>
          </cell>
          <cell r="AL311">
            <v>851.26294267612695</v>
          </cell>
          <cell r="AN311">
            <v>0</v>
          </cell>
          <cell r="AO311">
            <v>0</v>
          </cell>
          <cell r="AQ311">
            <v>0</v>
          </cell>
          <cell r="AR311">
            <v>0</v>
          </cell>
          <cell r="AT311">
            <v>267.01036497539843</v>
          </cell>
          <cell r="AU311">
            <v>0</v>
          </cell>
          <cell r="AW311">
            <v>0</v>
          </cell>
          <cell r="AX311">
            <v>0</v>
          </cell>
        </row>
        <row r="312">
          <cell r="I312">
            <v>0</v>
          </cell>
          <cell r="J312">
            <v>0</v>
          </cell>
          <cell r="L312">
            <v>0</v>
          </cell>
          <cell r="M312">
            <v>56378.525424605832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/>
          <cell r="W312">
            <v>0</v>
          </cell>
          <cell r="X312">
            <v>0</v>
          </cell>
          <cell r="Y312">
            <v>0</v>
          </cell>
          <cell r="Z312"/>
          <cell r="AA312">
            <v>0</v>
          </cell>
          <cell r="AB312">
            <v>0</v>
          </cell>
          <cell r="AC312">
            <v>4401.9767311996275</v>
          </cell>
          <cell r="AD312">
            <v>0</v>
          </cell>
          <cell r="AE312">
            <v>242.96787395953822</v>
          </cell>
          <cell r="AF312">
            <v>0</v>
          </cell>
          <cell r="AH312">
            <v>401.48853384265288</v>
          </cell>
          <cell r="AI312">
            <v>0</v>
          </cell>
          <cell r="AK312">
            <v>162.10302398842919</v>
          </cell>
          <cell r="AL312">
            <v>0</v>
          </cell>
          <cell r="AN312">
            <v>72.616538247391418</v>
          </cell>
          <cell r="AO312">
            <v>0</v>
          </cell>
          <cell r="AQ312">
            <v>0</v>
          </cell>
          <cell r="AR312">
            <v>0</v>
          </cell>
          <cell r="AT312">
            <v>56.996604701232371</v>
          </cell>
          <cell r="AU312">
            <v>0</v>
          </cell>
          <cell r="AW312">
            <v>0</v>
          </cell>
          <cell r="AX312">
            <v>0</v>
          </cell>
        </row>
        <row r="313"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0</v>
          </cell>
          <cell r="V313"/>
          <cell r="W313">
            <v>0</v>
          </cell>
          <cell r="X313">
            <v>104.143257890153</v>
          </cell>
          <cell r="Y313">
            <v>0</v>
          </cell>
          <cell r="Z313"/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429.92685568395893</v>
          </cell>
          <cell r="AF313">
            <v>0</v>
          </cell>
          <cell r="AH313">
            <v>615.50829442380814</v>
          </cell>
          <cell r="AI313">
            <v>0</v>
          </cell>
          <cell r="AK313">
            <v>420.47370380186715</v>
          </cell>
          <cell r="AL313">
            <v>0</v>
          </cell>
          <cell r="AN313">
            <v>0</v>
          </cell>
          <cell r="AO313">
            <v>0</v>
          </cell>
          <cell r="AQ313">
            <v>0</v>
          </cell>
          <cell r="AR313">
            <v>0</v>
          </cell>
          <cell r="AT313">
            <v>0</v>
          </cell>
          <cell r="AU313">
            <v>0</v>
          </cell>
          <cell r="AW313">
            <v>0</v>
          </cell>
          <cell r="AX313">
            <v>0</v>
          </cell>
        </row>
        <row r="314"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/>
          <cell r="W314">
            <v>0</v>
          </cell>
          <cell r="X314">
            <v>60.588663998592992</v>
          </cell>
          <cell r="Y314">
            <v>0</v>
          </cell>
          <cell r="Z314"/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333.66454642231821</v>
          </cell>
          <cell r="AF314">
            <v>0</v>
          </cell>
          <cell r="AH314">
            <v>493.65943583849338</v>
          </cell>
          <cell r="AI314">
            <v>0</v>
          </cell>
          <cell r="AK314">
            <v>405.93418033429435</v>
          </cell>
          <cell r="AL314">
            <v>0</v>
          </cell>
          <cell r="AN314">
            <v>199.58031090607005</v>
          </cell>
          <cell r="AO314">
            <v>0</v>
          </cell>
          <cell r="AQ314">
            <v>0</v>
          </cell>
          <cell r="AR314">
            <v>0</v>
          </cell>
          <cell r="AT314">
            <v>240.41378397964613</v>
          </cell>
          <cell r="AU314">
            <v>313.37374749755588</v>
          </cell>
          <cell r="AW314">
            <v>0</v>
          </cell>
          <cell r="AX314">
            <v>0</v>
          </cell>
        </row>
        <row r="315"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V315"/>
          <cell r="W315">
            <v>0</v>
          </cell>
          <cell r="X315">
            <v>46.462849763492457</v>
          </cell>
          <cell r="Y315">
            <v>223.13179393740035</v>
          </cell>
          <cell r="Z315"/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309.40264000821674</v>
          </cell>
          <cell r="AF315">
            <v>0</v>
          </cell>
          <cell r="AH315">
            <v>429.03011254406238</v>
          </cell>
          <cell r="AI315">
            <v>0</v>
          </cell>
          <cell r="AK315">
            <v>540.19704455889519</v>
          </cell>
          <cell r="AL315">
            <v>0</v>
          </cell>
          <cell r="AN315">
            <v>0</v>
          </cell>
          <cell r="AO315">
            <v>0</v>
          </cell>
          <cell r="AQ315">
            <v>0</v>
          </cell>
          <cell r="AR315">
            <v>0</v>
          </cell>
          <cell r="AT315">
            <v>317.0796259884653</v>
          </cell>
          <cell r="AU315">
            <v>208.92442055244328</v>
          </cell>
          <cell r="AW315">
            <v>0</v>
          </cell>
          <cell r="AX315">
            <v>0</v>
          </cell>
        </row>
        <row r="316"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/>
          <cell r="W316">
            <v>0</v>
          </cell>
          <cell r="X316">
            <v>0</v>
          </cell>
          <cell r="Y316">
            <v>0</v>
          </cell>
          <cell r="Z316"/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767.84224561021233</v>
          </cell>
          <cell r="AF316">
            <v>0</v>
          </cell>
          <cell r="AH316">
            <v>1229.3462864771334</v>
          </cell>
          <cell r="AI316">
            <v>1329.9675561136937</v>
          </cell>
          <cell r="AK316">
            <v>1074.4919495575432</v>
          </cell>
          <cell r="AL316">
            <v>517.71343014586398</v>
          </cell>
          <cell r="AN316">
            <v>0</v>
          </cell>
          <cell r="AO316">
            <v>0</v>
          </cell>
          <cell r="AQ316">
            <v>0</v>
          </cell>
          <cell r="AR316">
            <v>0</v>
          </cell>
          <cell r="AT316">
            <v>743.01646728891683</v>
          </cell>
          <cell r="AU316">
            <v>412.12129448439714</v>
          </cell>
          <cell r="AW316">
            <v>0</v>
          </cell>
          <cell r="AX316">
            <v>0</v>
          </cell>
        </row>
        <row r="317">
          <cell r="I317">
            <v>0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/>
          <cell r="W317">
            <v>0</v>
          </cell>
          <cell r="X317">
            <v>0</v>
          </cell>
          <cell r="Y317">
            <v>0</v>
          </cell>
          <cell r="Z317"/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243.81387473835781</v>
          </cell>
          <cell r="AF317">
            <v>0</v>
          </cell>
          <cell r="AH317">
            <v>370.97542606793741</v>
          </cell>
          <cell r="AI317">
            <v>0</v>
          </cell>
          <cell r="AK317">
            <v>313.66727724597587</v>
          </cell>
          <cell r="AL317">
            <v>0</v>
          </cell>
          <cell r="AN317">
            <v>0</v>
          </cell>
          <cell r="AO317">
            <v>0</v>
          </cell>
          <cell r="AQ317">
            <v>0</v>
          </cell>
          <cell r="AR317">
            <v>0</v>
          </cell>
          <cell r="AT317">
            <v>118.21256501765102</v>
          </cell>
          <cell r="AU317">
            <v>0</v>
          </cell>
          <cell r="AW317">
            <v>0</v>
          </cell>
          <cell r="AX317">
            <v>0</v>
          </cell>
        </row>
        <row r="318"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V318"/>
          <cell r="W318">
            <v>0</v>
          </cell>
          <cell r="X318">
            <v>0</v>
          </cell>
          <cell r="Y318">
            <v>0</v>
          </cell>
          <cell r="Z318"/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235.2159873626965</v>
          </cell>
          <cell r="AF318">
            <v>0</v>
          </cell>
          <cell r="AH318">
            <v>370.97542606793741</v>
          </cell>
          <cell r="AI318">
            <v>0</v>
          </cell>
          <cell r="AK318">
            <v>279.88110539235134</v>
          </cell>
          <cell r="AL318">
            <v>0</v>
          </cell>
          <cell r="AN318">
            <v>131.41230815033148</v>
          </cell>
          <cell r="AO318">
            <v>0</v>
          </cell>
          <cell r="AQ318">
            <v>89.960355179059135</v>
          </cell>
          <cell r="AR318">
            <v>0</v>
          </cell>
          <cell r="AT318">
            <v>118.21257789507058</v>
          </cell>
          <cell r="AU318">
            <v>0</v>
          </cell>
          <cell r="AW318">
            <v>0</v>
          </cell>
          <cell r="AX318">
            <v>0</v>
          </cell>
        </row>
        <row r="319">
          <cell r="I319">
            <v>0</v>
          </cell>
          <cell r="J319">
            <v>0</v>
          </cell>
          <cell r="L319">
            <v>1</v>
          </cell>
          <cell r="M319">
            <v>66208.894333527802</v>
          </cell>
          <cell r="O319">
            <v>0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V319"/>
          <cell r="W319">
            <v>0</v>
          </cell>
          <cell r="X319">
            <v>0</v>
          </cell>
          <cell r="Y319">
            <v>0</v>
          </cell>
          <cell r="Z319"/>
          <cell r="AA319">
            <v>0</v>
          </cell>
          <cell r="AB319">
            <v>0</v>
          </cell>
          <cell r="AC319">
            <v>3757.7082635496135</v>
          </cell>
          <cell r="AD319">
            <v>0</v>
          </cell>
          <cell r="AE319">
            <v>536.98858182502408</v>
          </cell>
          <cell r="AF319">
            <v>0</v>
          </cell>
          <cell r="AH319">
            <v>735.63830986835274</v>
          </cell>
          <cell r="AI319">
            <v>0</v>
          </cell>
          <cell r="AK319">
            <v>498.87522422955419</v>
          </cell>
          <cell r="AL319">
            <v>0</v>
          </cell>
          <cell r="AN319">
            <v>0</v>
          </cell>
          <cell r="AO319">
            <v>0</v>
          </cell>
          <cell r="AQ319">
            <v>0</v>
          </cell>
          <cell r="AR319">
            <v>0</v>
          </cell>
          <cell r="AT319">
            <v>321.34271961888942</v>
          </cell>
          <cell r="AU319">
            <v>0</v>
          </cell>
          <cell r="AW319">
            <v>237.68739725384614</v>
          </cell>
          <cell r="AX319">
            <v>0</v>
          </cell>
        </row>
        <row r="320"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/>
          <cell r="W320">
            <v>0</v>
          </cell>
          <cell r="X320">
            <v>0</v>
          </cell>
          <cell r="Y320">
            <v>0</v>
          </cell>
          <cell r="Z320"/>
          <cell r="AA320">
            <v>0</v>
          </cell>
          <cell r="AB320">
            <v>0</v>
          </cell>
          <cell r="AC320">
            <v>95.132802864205786</v>
          </cell>
          <cell r="AD320">
            <v>0</v>
          </cell>
          <cell r="AE320">
            <v>260.74742636054094</v>
          </cell>
          <cell r="AF320">
            <v>0</v>
          </cell>
          <cell r="AH320">
            <v>377.33626403379481</v>
          </cell>
          <cell r="AI320">
            <v>0</v>
          </cell>
          <cell r="AK320">
            <v>286.46913740690536</v>
          </cell>
          <cell r="AL320">
            <v>0</v>
          </cell>
          <cell r="AN320">
            <v>0</v>
          </cell>
          <cell r="AO320">
            <v>0</v>
          </cell>
          <cell r="AQ320">
            <v>0</v>
          </cell>
          <cell r="AR320">
            <v>0</v>
          </cell>
          <cell r="AT320">
            <v>122.81870137610875</v>
          </cell>
          <cell r="AU320">
            <v>0</v>
          </cell>
          <cell r="AW320">
            <v>119.34310272027908</v>
          </cell>
          <cell r="AX320">
            <v>0</v>
          </cell>
        </row>
        <row r="321">
          <cell r="I321">
            <v>0</v>
          </cell>
          <cell r="J321">
            <v>0</v>
          </cell>
          <cell r="L321">
            <v>0</v>
          </cell>
          <cell r="M321">
            <v>0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/>
          <cell r="W321">
            <v>0</v>
          </cell>
          <cell r="X321">
            <v>45.101047410762177</v>
          </cell>
          <cell r="Y321">
            <v>1317.9202290158948</v>
          </cell>
          <cell r="Z321"/>
          <cell r="AA321">
            <v>0</v>
          </cell>
          <cell r="AB321">
            <v>0</v>
          </cell>
          <cell r="AC321">
            <v>1170.5893536788819</v>
          </cell>
          <cell r="AD321">
            <v>0</v>
          </cell>
          <cell r="AE321">
            <v>326.06781225211932</v>
          </cell>
          <cell r="AF321">
            <v>0</v>
          </cell>
          <cell r="AH321">
            <v>492.56202672116706</v>
          </cell>
          <cell r="AI321">
            <v>0</v>
          </cell>
          <cell r="AK321">
            <v>300.2074328718092</v>
          </cell>
          <cell r="AL321">
            <v>0</v>
          </cell>
          <cell r="AN321">
            <v>0</v>
          </cell>
          <cell r="AO321">
            <v>0</v>
          </cell>
          <cell r="AQ321">
            <v>0</v>
          </cell>
          <cell r="AR321">
            <v>0</v>
          </cell>
          <cell r="AT321">
            <v>176.52030214061796</v>
          </cell>
          <cell r="AU321">
            <v>361.07703759210381</v>
          </cell>
          <cell r="AW321">
            <v>107.05787424455717</v>
          </cell>
          <cell r="AX321">
            <v>0</v>
          </cell>
        </row>
        <row r="322">
          <cell r="I322">
            <v>0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/>
          <cell r="W322">
            <v>0</v>
          </cell>
          <cell r="X322">
            <v>0</v>
          </cell>
          <cell r="Y322">
            <v>0</v>
          </cell>
          <cell r="Z322"/>
          <cell r="AA322">
            <v>0</v>
          </cell>
          <cell r="AB322">
            <v>0</v>
          </cell>
          <cell r="AC322">
            <v>0</v>
          </cell>
          <cell r="AD322">
            <v>1382.1869410379879</v>
          </cell>
          <cell r="AE322">
            <v>542.09011909004789</v>
          </cell>
          <cell r="AF322">
            <v>0</v>
          </cell>
          <cell r="AH322">
            <v>850.60757030285652</v>
          </cell>
          <cell r="AI322">
            <v>5770.0688737719811</v>
          </cell>
          <cell r="AK322">
            <v>489.80949694715548</v>
          </cell>
          <cell r="AL322">
            <v>0</v>
          </cell>
          <cell r="AN322">
            <v>271.06661852588115</v>
          </cell>
          <cell r="AO322">
            <v>0</v>
          </cell>
          <cell r="AQ322">
            <v>209.85895464751857</v>
          </cell>
          <cell r="AR322">
            <v>25.7652888</v>
          </cell>
          <cell r="AT322">
            <v>427.20193121784132</v>
          </cell>
          <cell r="AU322">
            <v>1146.8836008191911</v>
          </cell>
          <cell r="AW322">
            <v>232.06982656797737</v>
          </cell>
          <cell r="AX322">
            <v>0</v>
          </cell>
        </row>
        <row r="323">
          <cell r="I323">
            <v>0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/>
          <cell r="W323">
            <v>0</v>
          </cell>
          <cell r="X323">
            <v>0</v>
          </cell>
          <cell r="Y323">
            <v>0</v>
          </cell>
          <cell r="Z323"/>
          <cell r="AA323">
            <v>0</v>
          </cell>
          <cell r="AB323">
            <v>0</v>
          </cell>
          <cell r="AC323">
            <v>0</v>
          </cell>
          <cell r="AD323">
            <v>705.7806092044051</v>
          </cell>
          <cell r="AE323">
            <v>356.05503281979952</v>
          </cell>
          <cell r="AF323">
            <v>0</v>
          </cell>
          <cell r="AH323">
            <v>553.69522338747106</v>
          </cell>
          <cell r="AI323">
            <v>0</v>
          </cell>
          <cell r="AK323">
            <v>316.94103982577809</v>
          </cell>
          <cell r="AL323">
            <v>0</v>
          </cell>
          <cell r="AN323">
            <v>0</v>
          </cell>
          <cell r="AO323">
            <v>0</v>
          </cell>
          <cell r="AQ323">
            <v>0</v>
          </cell>
          <cell r="AR323">
            <v>0</v>
          </cell>
          <cell r="AT323">
            <v>174.41860246110207</v>
          </cell>
          <cell r="AU323">
            <v>636.86621478308132</v>
          </cell>
          <cell r="AW323">
            <v>200.88589227223855</v>
          </cell>
          <cell r="AX323">
            <v>0</v>
          </cell>
        </row>
        <row r="324">
          <cell r="I324">
            <v>0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/>
          <cell r="W324">
            <v>0</v>
          </cell>
          <cell r="X324">
            <v>0</v>
          </cell>
          <cell r="Y324">
            <v>0</v>
          </cell>
          <cell r="Z324"/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N324">
            <v>0</v>
          </cell>
          <cell r="AO324">
            <v>0</v>
          </cell>
          <cell r="AQ324">
            <v>0</v>
          </cell>
          <cell r="AR324">
            <v>0</v>
          </cell>
          <cell r="AT324">
            <v>0</v>
          </cell>
          <cell r="AU324">
            <v>0</v>
          </cell>
          <cell r="AW324">
            <v>0</v>
          </cell>
          <cell r="AX324">
            <v>0</v>
          </cell>
        </row>
        <row r="325">
          <cell r="I325">
            <v>0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U325">
            <v>208.56930681944473</v>
          </cell>
          <cell r="V325"/>
          <cell r="W325">
            <v>0</v>
          </cell>
          <cell r="X325">
            <v>5.4933722025390983</v>
          </cell>
          <cell r="Y325">
            <v>0</v>
          </cell>
          <cell r="Z325"/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72.145296138836983</v>
          </cell>
          <cell r="AF325">
            <v>0</v>
          </cell>
          <cell r="AH325">
            <v>84.872810033977956</v>
          </cell>
          <cell r="AI325">
            <v>0</v>
          </cell>
          <cell r="AK325">
            <v>109.49441663650556</v>
          </cell>
          <cell r="AL325">
            <v>0</v>
          </cell>
          <cell r="AN325">
            <v>57.686128782423815</v>
          </cell>
          <cell r="AO325">
            <v>0</v>
          </cell>
          <cell r="AQ325">
            <v>26.384494126153122</v>
          </cell>
          <cell r="AR325">
            <v>0</v>
          </cell>
          <cell r="AT325">
            <v>53.107231388226225</v>
          </cell>
          <cell r="AU325">
            <v>273.37097428614572</v>
          </cell>
          <cell r="AW325">
            <v>0</v>
          </cell>
          <cell r="AX325">
            <v>0</v>
          </cell>
        </row>
        <row r="326"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U326">
            <v>562.17694020393299</v>
          </cell>
          <cell r="V326"/>
          <cell r="W326">
            <v>0</v>
          </cell>
          <cell r="X326">
            <v>53.225698735525881</v>
          </cell>
          <cell r="Y326">
            <v>0</v>
          </cell>
          <cell r="Z326"/>
          <cell r="AA326">
            <v>0</v>
          </cell>
          <cell r="AB326">
            <v>2594.5226821060592</v>
          </cell>
          <cell r="AC326">
            <v>826.7641970386519</v>
          </cell>
          <cell r="AD326">
            <v>0</v>
          </cell>
          <cell r="AE326">
            <v>121.58007400255997</v>
          </cell>
          <cell r="AF326">
            <v>1286.6908589780044</v>
          </cell>
          <cell r="AH326">
            <v>159.30104863470086</v>
          </cell>
          <cell r="AI326">
            <v>0</v>
          </cell>
          <cell r="AK326">
            <v>155.80471250959988</v>
          </cell>
          <cell r="AL326">
            <v>0</v>
          </cell>
          <cell r="AN326">
            <v>65.835441136694755</v>
          </cell>
          <cell r="AO326">
            <v>0</v>
          </cell>
          <cell r="AQ326">
            <v>39.576724851099698</v>
          </cell>
          <cell r="AR326">
            <v>0</v>
          </cell>
          <cell r="AT326">
            <v>92.643523219730568</v>
          </cell>
          <cell r="AU326">
            <v>0</v>
          </cell>
          <cell r="AW326">
            <v>0</v>
          </cell>
          <cell r="AX326">
            <v>0</v>
          </cell>
        </row>
        <row r="327"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V327"/>
          <cell r="W327">
            <v>0</v>
          </cell>
          <cell r="X327">
            <v>0</v>
          </cell>
          <cell r="Y327">
            <v>0</v>
          </cell>
          <cell r="Z327"/>
          <cell r="AA327">
            <v>0</v>
          </cell>
          <cell r="AB327">
            <v>0</v>
          </cell>
          <cell r="AC327">
            <v>1352.7925119252593</v>
          </cell>
          <cell r="AD327">
            <v>555.82352751177655</v>
          </cell>
          <cell r="AE327">
            <v>308.63227648939352</v>
          </cell>
          <cell r="AF327">
            <v>0</v>
          </cell>
          <cell r="AH327">
            <v>490.42556714245251</v>
          </cell>
          <cell r="AI327">
            <v>0</v>
          </cell>
          <cell r="AK327">
            <v>392.24599536342089</v>
          </cell>
          <cell r="AL327">
            <v>0</v>
          </cell>
          <cell r="AN327">
            <v>0</v>
          </cell>
          <cell r="AO327">
            <v>0</v>
          </cell>
          <cell r="AQ327">
            <v>0</v>
          </cell>
          <cell r="AR327">
            <v>0</v>
          </cell>
          <cell r="AT327">
            <v>174.41860683958959</v>
          </cell>
          <cell r="AU327">
            <v>0</v>
          </cell>
          <cell r="AW327">
            <v>0</v>
          </cell>
          <cell r="AX327">
            <v>0</v>
          </cell>
        </row>
        <row r="328"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/>
          <cell r="W328">
            <v>0</v>
          </cell>
          <cell r="X328">
            <v>0</v>
          </cell>
          <cell r="Y328">
            <v>0</v>
          </cell>
          <cell r="Z328"/>
          <cell r="AA328">
            <v>0</v>
          </cell>
          <cell r="AB328">
            <v>0</v>
          </cell>
          <cell r="AC328">
            <v>603.84626433482299</v>
          </cell>
          <cell r="AD328">
            <v>0</v>
          </cell>
          <cell r="AE328">
            <v>299.40314063924632</v>
          </cell>
          <cell r="AF328">
            <v>754.29647901999078</v>
          </cell>
          <cell r="AH328">
            <v>382.22287577264916</v>
          </cell>
          <cell r="AI328">
            <v>0</v>
          </cell>
          <cell r="AK328">
            <v>393.17290868409344</v>
          </cell>
          <cell r="AL328">
            <v>0</v>
          </cell>
          <cell r="AN328">
            <v>151.25715432493635</v>
          </cell>
          <cell r="AO328">
            <v>616.4757719159312</v>
          </cell>
          <cell r="AQ328">
            <v>74.942692264072917</v>
          </cell>
          <cell r="AR328">
            <v>0</v>
          </cell>
          <cell r="AT328">
            <v>322.07430498385054</v>
          </cell>
          <cell r="AU328">
            <v>811.33478098866101</v>
          </cell>
          <cell r="AW328">
            <v>0</v>
          </cell>
          <cell r="AX328">
            <v>0</v>
          </cell>
        </row>
        <row r="329">
          <cell r="I329">
            <v>0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/>
          <cell r="W329">
            <v>0</v>
          </cell>
          <cell r="X329">
            <v>0</v>
          </cell>
          <cell r="Y329">
            <v>0</v>
          </cell>
          <cell r="Z329"/>
          <cell r="AA329">
            <v>0</v>
          </cell>
          <cell r="AB329">
            <v>0</v>
          </cell>
          <cell r="AC329">
            <v>0</v>
          </cell>
          <cell r="AD329">
            <v>634.40189152047651</v>
          </cell>
          <cell r="AE329">
            <v>285.95847221364954</v>
          </cell>
          <cell r="AF329">
            <v>0</v>
          </cell>
          <cell r="AH329">
            <v>453.52599414512929</v>
          </cell>
          <cell r="AI329">
            <v>0</v>
          </cell>
          <cell r="AK329">
            <v>508.91541862213694</v>
          </cell>
          <cell r="AL329">
            <v>0</v>
          </cell>
          <cell r="AN329">
            <v>269.21077308432922</v>
          </cell>
          <cell r="AO329">
            <v>0</v>
          </cell>
          <cell r="AQ329">
            <v>131.92242978544064</v>
          </cell>
          <cell r="AR329">
            <v>0</v>
          </cell>
          <cell r="AT329">
            <v>367.24734680686328</v>
          </cell>
          <cell r="AU329">
            <v>0</v>
          </cell>
          <cell r="AW329">
            <v>0</v>
          </cell>
          <cell r="AX329">
            <v>0</v>
          </cell>
        </row>
        <row r="330"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/>
          <cell r="W330">
            <v>0</v>
          </cell>
          <cell r="X330">
            <v>0</v>
          </cell>
          <cell r="Y330">
            <v>0</v>
          </cell>
          <cell r="Z330"/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35.585389395679698</v>
          </cell>
          <cell r="AF330">
            <v>0</v>
          </cell>
          <cell r="AH330">
            <v>65.775273182043605</v>
          </cell>
          <cell r="AI330">
            <v>0</v>
          </cell>
          <cell r="AK330">
            <v>0</v>
          </cell>
          <cell r="AL330">
            <v>0</v>
          </cell>
          <cell r="AN330">
            <v>0</v>
          </cell>
          <cell r="AO330">
            <v>0</v>
          </cell>
          <cell r="AQ330">
            <v>0</v>
          </cell>
          <cell r="AR330">
            <v>0</v>
          </cell>
          <cell r="AT330">
            <v>0</v>
          </cell>
          <cell r="AU330">
            <v>0</v>
          </cell>
          <cell r="AW330">
            <v>0</v>
          </cell>
          <cell r="AX330">
            <v>0</v>
          </cell>
        </row>
        <row r="331"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U331">
            <v>0</v>
          </cell>
          <cell r="V331"/>
          <cell r="W331">
            <v>0</v>
          </cell>
          <cell r="X331">
            <v>0</v>
          </cell>
          <cell r="Y331">
            <v>0</v>
          </cell>
          <cell r="Z331"/>
          <cell r="AA331">
            <v>0</v>
          </cell>
          <cell r="AB331">
            <v>0</v>
          </cell>
          <cell r="AC331">
            <v>0</v>
          </cell>
          <cell r="AD331">
            <v>3409.254254453931</v>
          </cell>
          <cell r="AE331">
            <v>256.75397524749241</v>
          </cell>
          <cell r="AF331">
            <v>0</v>
          </cell>
          <cell r="AH331">
            <v>333.0523260630502</v>
          </cell>
          <cell r="AI331">
            <v>0</v>
          </cell>
          <cell r="AK331">
            <v>0</v>
          </cell>
          <cell r="AL331">
            <v>0</v>
          </cell>
          <cell r="AN331">
            <v>0</v>
          </cell>
          <cell r="AO331">
            <v>0</v>
          </cell>
          <cell r="AQ331">
            <v>22.490068372102311</v>
          </cell>
          <cell r="AR331">
            <v>0</v>
          </cell>
          <cell r="AT331">
            <v>77.368966108617101</v>
          </cell>
          <cell r="AU331">
            <v>0</v>
          </cell>
          <cell r="AW331">
            <v>0</v>
          </cell>
          <cell r="AX331">
            <v>0</v>
          </cell>
        </row>
        <row r="332"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/>
          <cell r="W332">
            <v>0</v>
          </cell>
          <cell r="X332">
            <v>47.778489324604777</v>
          </cell>
          <cell r="Y332">
            <v>0</v>
          </cell>
          <cell r="Z332"/>
          <cell r="AA332">
            <v>0</v>
          </cell>
          <cell r="AB332">
            <v>0</v>
          </cell>
          <cell r="AC332">
            <v>175.23792719743741</v>
          </cell>
          <cell r="AD332">
            <v>0</v>
          </cell>
          <cell r="AE332">
            <v>224.51577674707013</v>
          </cell>
          <cell r="AF332">
            <v>0</v>
          </cell>
          <cell r="AH332">
            <v>300.12770757182062</v>
          </cell>
          <cell r="AI332">
            <v>0</v>
          </cell>
          <cell r="AK332">
            <v>376.27692534240782</v>
          </cell>
          <cell r="AL332">
            <v>0</v>
          </cell>
          <cell r="AN332">
            <v>125.13234211792332</v>
          </cell>
          <cell r="AO332">
            <v>0</v>
          </cell>
          <cell r="AQ332">
            <v>65.961235315382794</v>
          </cell>
          <cell r="AR332">
            <v>0</v>
          </cell>
          <cell r="AT332">
            <v>125.82945550466667</v>
          </cell>
          <cell r="AU332">
            <v>0</v>
          </cell>
          <cell r="AW332">
            <v>0</v>
          </cell>
          <cell r="AX332">
            <v>0</v>
          </cell>
        </row>
        <row r="333"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V333"/>
          <cell r="W333">
            <v>0</v>
          </cell>
          <cell r="X333">
            <v>114.96843252456829</v>
          </cell>
          <cell r="Y333">
            <v>0</v>
          </cell>
          <cell r="Z333"/>
          <cell r="AA333">
            <v>0</v>
          </cell>
          <cell r="AB333">
            <v>0</v>
          </cell>
          <cell r="AC333">
            <v>949.28888561811812</v>
          </cell>
          <cell r="AD333">
            <v>126158.81047864327</v>
          </cell>
          <cell r="AE333">
            <v>293.75320637338609</v>
          </cell>
          <cell r="AF333">
            <v>2157.9286421498714</v>
          </cell>
          <cell r="AH333">
            <v>428.45713760025609</v>
          </cell>
          <cell r="AI333">
            <v>0</v>
          </cell>
          <cell r="AK333">
            <v>270.44394550521525</v>
          </cell>
          <cell r="AL333">
            <v>5996.7069380407793</v>
          </cell>
          <cell r="AN333">
            <v>0</v>
          </cell>
          <cell r="AO333">
            <v>0</v>
          </cell>
          <cell r="AQ333">
            <v>119.94714023874553</v>
          </cell>
          <cell r="AR333">
            <v>0</v>
          </cell>
          <cell r="AT333">
            <v>182.75233818840255</v>
          </cell>
          <cell r="AU333">
            <v>0</v>
          </cell>
          <cell r="AW333">
            <v>0</v>
          </cell>
          <cell r="AX333">
            <v>0</v>
          </cell>
        </row>
        <row r="334">
          <cell r="I334">
            <v>0</v>
          </cell>
          <cell r="J334">
            <v>0</v>
          </cell>
          <cell r="L334">
            <v>0</v>
          </cell>
          <cell r="M334">
            <v>0</v>
          </cell>
          <cell r="O334">
            <v>0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V334"/>
          <cell r="W334">
            <v>0</v>
          </cell>
          <cell r="X334">
            <v>0</v>
          </cell>
          <cell r="Y334">
            <v>1946.9629621126326</v>
          </cell>
          <cell r="Z334"/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434.16734811129322</v>
          </cell>
          <cell r="AF334">
            <v>0</v>
          </cell>
          <cell r="AH334">
            <v>730.73405711118153</v>
          </cell>
          <cell r="AI334">
            <v>0</v>
          </cell>
          <cell r="AK334">
            <v>357.3446292239239</v>
          </cell>
          <cell r="AL334">
            <v>0</v>
          </cell>
          <cell r="AN334">
            <v>0</v>
          </cell>
          <cell r="AO334">
            <v>0</v>
          </cell>
          <cell r="AQ334">
            <v>179.87216958783222</v>
          </cell>
          <cell r="AR334">
            <v>0</v>
          </cell>
          <cell r="AT334">
            <v>326.88088209596361</v>
          </cell>
          <cell r="AU334">
            <v>0</v>
          </cell>
          <cell r="AW334">
            <v>0</v>
          </cell>
          <cell r="AX334">
            <v>0</v>
          </cell>
        </row>
        <row r="335"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/>
          <cell r="W335">
            <v>0</v>
          </cell>
          <cell r="X335">
            <v>0</v>
          </cell>
          <cell r="Y335">
            <v>0</v>
          </cell>
          <cell r="Z335"/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290.36266880217647</v>
          </cell>
          <cell r="AF335">
            <v>0</v>
          </cell>
          <cell r="AH335">
            <v>423.81506108451765</v>
          </cell>
          <cell r="AI335">
            <v>0</v>
          </cell>
          <cell r="AK335">
            <v>261.73110883754254</v>
          </cell>
          <cell r="AL335">
            <v>0</v>
          </cell>
          <cell r="AN335">
            <v>0</v>
          </cell>
          <cell r="AO335">
            <v>0</v>
          </cell>
          <cell r="AQ335">
            <v>0</v>
          </cell>
          <cell r="AR335">
            <v>0</v>
          </cell>
          <cell r="AT335">
            <v>178.07764464286564</v>
          </cell>
          <cell r="AU335">
            <v>0</v>
          </cell>
          <cell r="AW335">
            <v>0</v>
          </cell>
          <cell r="AX335">
            <v>0</v>
          </cell>
        </row>
        <row r="336"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  <cell r="V336"/>
          <cell r="W336">
            <v>0</v>
          </cell>
          <cell r="X336">
            <v>0</v>
          </cell>
          <cell r="Y336">
            <v>0</v>
          </cell>
          <cell r="Z336"/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226.61705446936185</v>
          </cell>
          <cell r="AF336">
            <v>0</v>
          </cell>
          <cell r="AH336">
            <v>302.29338732382973</v>
          </cell>
          <cell r="AI336">
            <v>0</v>
          </cell>
          <cell r="AK336">
            <v>385.51225731494043</v>
          </cell>
          <cell r="AL336">
            <v>0</v>
          </cell>
          <cell r="AN336">
            <v>128.20842570396613</v>
          </cell>
          <cell r="AO336">
            <v>0</v>
          </cell>
          <cell r="AQ336">
            <v>65.961235315382794</v>
          </cell>
          <cell r="AR336">
            <v>0</v>
          </cell>
          <cell r="AT336">
            <v>110.66378371817535</v>
          </cell>
          <cell r="AU336">
            <v>0</v>
          </cell>
          <cell r="AW336">
            <v>0</v>
          </cell>
          <cell r="AX336">
            <v>0</v>
          </cell>
        </row>
        <row r="337"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/>
          <cell r="W337">
            <v>0</v>
          </cell>
          <cell r="X337">
            <v>28.736337782189821</v>
          </cell>
          <cell r="Y337">
            <v>0</v>
          </cell>
          <cell r="Z337"/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295.42726748454351</v>
          </cell>
          <cell r="AF337">
            <v>0</v>
          </cell>
          <cell r="AH337">
            <v>428.45713760025609</v>
          </cell>
          <cell r="AI337">
            <v>0</v>
          </cell>
          <cell r="AK337">
            <v>308.57612691882474</v>
          </cell>
          <cell r="AL337">
            <v>0</v>
          </cell>
          <cell r="AN337">
            <v>0</v>
          </cell>
          <cell r="AO337">
            <v>0</v>
          </cell>
          <cell r="AQ337">
            <v>0</v>
          </cell>
          <cell r="AR337">
            <v>0</v>
          </cell>
          <cell r="AT337">
            <v>215.60581703809186</v>
          </cell>
          <cell r="AU337">
            <v>0</v>
          </cell>
          <cell r="AW337">
            <v>0</v>
          </cell>
          <cell r="AX337">
            <v>0</v>
          </cell>
        </row>
        <row r="338"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/>
          <cell r="W338">
            <v>0</v>
          </cell>
          <cell r="X338">
            <v>0</v>
          </cell>
          <cell r="Y338">
            <v>0</v>
          </cell>
          <cell r="Z338"/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60.429984657058824</v>
          </cell>
          <cell r="AF338">
            <v>0</v>
          </cell>
          <cell r="AH338">
            <v>94.724978012500713</v>
          </cell>
          <cell r="AI338">
            <v>0</v>
          </cell>
          <cell r="AK338">
            <v>31.502063628871475</v>
          </cell>
          <cell r="AL338">
            <v>0</v>
          </cell>
          <cell r="AN338">
            <v>0</v>
          </cell>
          <cell r="AO338">
            <v>0</v>
          </cell>
          <cell r="AQ338">
            <v>0</v>
          </cell>
          <cell r="AR338">
            <v>0</v>
          </cell>
          <cell r="AT338">
            <v>9.8614283025793927</v>
          </cell>
          <cell r="AU338">
            <v>0</v>
          </cell>
          <cell r="AW338">
            <v>0</v>
          </cell>
          <cell r="AX338">
            <v>0</v>
          </cell>
        </row>
        <row r="339"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R339">
            <v>1</v>
          </cell>
          <cell r="S339">
            <v>38196.824285970739</v>
          </cell>
          <cell r="U339">
            <v>0</v>
          </cell>
          <cell r="V339"/>
          <cell r="W339">
            <v>0</v>
          </cell>
          <cell r="X339">
            <v>0</v>
          </cell>
          <cell r="Y339">
            <v>0</v>
          </cell>
          <cell r="Z339"/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340.96883158200427</v>
          </cell>
          <cell r="AF339">
            <v>0</v>
          </cell>
          <cell r="AH339">
            <v>455.31679837177501</v>
          </cell>
          <cell r="AI339">
            <v>920.53022283516236</v>
          </cell>
          <cell r="AK339">
            <v>555.88466136810791</v>
          </cell>
          <cell r="AL339">
            <v>0</v>
          </cell>
          <cell r="AN339">
            <v>181.65122486457074</v>
          </cell>
          <cell r="AO339">
            <v>0</v>
          </cell>
          <cell r="AQ339">
            <v>98.941812127749259</v>
          </cell>
          <cell r="AR339">
            <v>0</v>
          </cell>
          <cell r="AT339">
            <v>140.16379835239022</v>
          </cell>
          <cell r="AU339">
            <v>0</v>
          </cell>
          <cell r="AW339">
            <v>0</v>
          </cell>
          <cell r="AX339">
            <v>0</v>
          </cell>
        </row>
        <row r="340"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/>
          <cell r="W340">
            <v>0</v>
          </cell>
          <cell r="X340">
            <v>0</v>
          </cell>
          <cell r="Y340">
            <v>0</v>
          </cell>
          <cell r="Z340"/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561.048539709024</v>
          </cell>
          <cell r="AF340">
            <v>0</v>
          </cell>
          <cell r="AH340">
            <v>141.51362313451344</v>
          </cell>
          <cell r="AI340">
            <v>0</v>
          </cell>
          <cell r="AK340">
            <v>356.63179670758154</v>
          </cell>
          <cell r="AL340">
            <v>0</v>
          </cell>
          <cell r="AN340">
            <v>126.89920129436939</v>
          </cell>
          <cell r="AO340">
            <v>0</v>
          </cell>
          <cell r="AQ340">
            <v>67.470245961631889</v>
          </cell>
          <cell r="AR340">
            <v>0</v>
          </cell>
          <cell r="AT340">
            <v>112.82000111684427</v>
          </cell>
          <cell r="AU340">
            <v>6866.1972651197229</v>
          </cell>
          <cell r="AW340">
            <v>0</v>
          </cell>
          <cell r="AX340">
            <v>0</v>
          </cell>
        </row>
        <row r="341"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V341"/>
          <cell r="W341">
            <v>0</v>
          </cell>
          <cell r="X341">
            <v>0</v>
          </cell>
          <cell r="Y341">
            <v>295.54172027850609</v>
          </cell>
          <cell r="Z341"/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476.64650222106394</v>
          </cell>
          <cell r="AF341">
            <v>0</v>
          </cell>
          <cell r="AH341">
            <v>658.33936263838734</v>
          </cell>
          <cell r="AI341">
            <v>1899.9316313038789</v>
          </cell>
          <cell r="AK341">
            <v>769.26804466027988</v>
          </cell>
          <cell r="AL341">
            <v>0</v>
          </cell>
          <cell r="AN341">
            <v>257.8404877473065</v>
          </cell>
          <cell r="AO341">
            <v>0</v>
          </cell>
          <cell r="AQ341">
            <v>140.90392757945571</v>
          </cell>
          <cell r="AR341">
            <v>0</v>
          </cell>
          <cell r="AT341">
            <v>174.71782081390026</v>
          </cell>
          <cell r="AU341">
            <v>0</v>
          </cell>
          <cell r="AW341">
            <v>0</v>
          </cell>
          <cell r="AX341">
            <v>0</v>
          </cell>
        </row>
        <row r="342"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V342"/>
          <cell r="W342">
            <v>0</v>
          </cell>
          <cell r="X342">
            <v>0</v>
          </cell>
          <cell r="Y342">
            <v>0</v>
          </cell>
          <cell r="Z342"/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145.57624762893238</v>
          </cell>
          <cell r="AF342">
            <v>0</v>
          </cell>
          <cell r="AH342">
            <v>300.46764475683648</v>
          </cell>
          <cell r="AI342">
            <v>0</v>
          </cell>
          <cell r="AK342">
            <v>314.65407721141514</v>
          </cell>
          <cell r="AL342">
            <v>0</v>
          </cell>
          <cell r="AN342">
            <v>109.3875700743293</v>
          </cell>
          <cell r="AO342">
            <v>0</v>
          </cell>
          <cell r="AQ342">
            <v>65.961235315382794</v>
          </cell>
          <cell r="AR342">
            <v>2086.9562993772511</v>
          </cell>
          <cell r="AT342">
            <v>212.42405582180592</v>
          </cell>
          <cell r="AU342">
            <v>0</v>
          </cell>
          <cell r="AW342">
            <v>0</v>
          </cell>
          <cell r="AX342">
            <v>0</v>
          </cell>
        </row>
        <row r="343"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V343"/>
          <cell r="W343">
            <v>0</v>
          </cell>
          <cell r="X343">
            <v>0</v>
          </cell>
          <cell r="Y343">
            <v>0</v>
          </cell>
          <cell r="Z343"/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147.03276510935248</v>
          </cell>
          <cell r="AF343">
            <v>0</v>
          </cell>
          <cell r="AH343">
            <v>175.33142691704413</v>
          </cell>
          <cell r="AI343">
            <v>1972.0225180314887</v>
          </cell>
          <cell r="AK343">
            <v>356.82220769353341</v>
          </cell>
          <cell r="AL343">
            <v>0</v>
          </cell>
          <cell r="AN343">
            <v>132.02736547955371</v>
          </cell>
          <cell r="AO343">
            <v>0</v>
          </cell>
          <cell r="AQ343">
            <v>65.961235315382794</v>
          </cell>
          <cell r="AR343">
            <v>0</v>
          </cell>
          <cell r="AT343">
            <v>180.8957334091144</v>
          </cell>
          <cell r="AU343">
            <v>0</v>
          </cell>
          <cell r="AW343">
            <v>0</v>
          </cell>
          <cell r="AX343">
            <v>0</v>
          </cell>
        </row>
        <row r="344"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/>
          <cell r="W344">
            <v>0</v>
          </cell>
          <cell r="X344">
            <v>0</v>
          </cell>
          <cell r="Y344">
            <v>0</v>
          </cell>
          <cell r="Z344"/>
          <cell r="AA344">
            <v>0</v>
          </cell>
          <cell r="AB344">
            <v>0</v>
          </cell>
          <cell r="AC344">
            <v>163.22161218961313</v>
          </cell>
          <cell r="AD344">
            <v>0</v>
          </cell>
          <cell r="AE344">
            <v>212.04421281182931</v>
          </cell>
          <cell r="AF344">
            <v>0</v>
          </cell>
          <cell r="AH344">
            <v>304.27448839668364</v>
          </cell>
          <cell r="AI344">
            <v>0</v>
          </cell>
          <cell r="AK344">
            <v>398.7972333502222</v>
          </cell>
          <cell r="AL344">
            <v>0</v>
          </cell>
          <cell r="AN344">
            <v>132.606248971273</v>
          </cell>
          <cell r="AO344">
            <v>0</v>
          </cell>
          <cell r="AQ344">
            <v>65.961235315382794</v>
          </cell>
          <cell r="AR344">
            <v>0</v>
          </cell>
          <cell r="AT344">
            <v>161.26258263002811</v>
          </cell>
          <cell r="AU344">
            <v>0</v>
          </cell>
          <cell r="AW344">
            <v>0</v>
          </cell>
          <cell r="AX344">
            <v>0</v>
          </cell>
        </row>
        <row r="345"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  <cell r="P345">
            <v>0</v>
          </cell>
          <cell r="R345">
            <v>1</v>
          </cell>
          <cell r="S345">
            <v>4099.3681260085395</v>
          </cell>
          <cell r="U345">
            <v>0</v>
          </cell>
          <cell r="V345"/>
          <cell r="W345">
            <v>0</v>
          </cell>
          <cell r="X345">
            <v>0</v>
          </cell>
          <cell r="Y345">
            <v>0</v>
          </cell>
          <cell r="Z345"/>
          <cell r="AA345">
            <v>0</v>
          </cell>
          <cell r="AB345">
            <v>0</v>
          </cell>
          <cell r="AC345">
            <v>0</v>
          </cell>
          <cell r="AD345">
            <v>3403.8333851355997</v>
          </cell>
          <cell r="AE345">
            <v>183.3946159153254</v>
          </cell>
          <cell r="AF345">
            <v>0</v>
          </cell>
          <cell r="AH345">
            <v>218.36186909299212</v>
          </cell>
          <cell r="AI345">
            <v>0</v>
          </cell>
          <cell r="AK345">
            <v>522.00363200181357</v>
          </cell>
          <cell r="AL345">
            <v>0</v>
          </cell>
          <cell r="AN345">
            <v>144.54378108389068</v>
          </cell>
          <cell r="AO345">
            <v>0</v>
          </cell>
          <cell r="AQ345">
            <v>67.470245961631889</v>
          </cell>
          <cell r="AR345">
            <v>0</v>
          </cell>
          <cell r="AT345">
            <v>142.92069518764279</v>
          </cell>
          <cell r="AU345">
            <v>12966.987803522154</v>
          </cell>
          <cell r="AW345">
            <v>0</v>
          </cell>
          <cell r="AX345">
            <v>0</v>
          </cell>
        </row>
        <row r="346"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/>
          <cell r="W346">
            <v>0</v>
          </cell>
          <cell r="X346">
            <v>0</v>
          </cell>
          <cell r="Y346">
            <v>0</v>
          </cell>
          <cell r="Z346"/>
          <cell r="AA346">
            <v>0</v>
          </cell>
          <cell r="AB346">
            <v>0</v>
          </cell>
          <cell r="AC346">
            <v>0</v>
          </cell>
          <cell r="AD346">
            <v>8201.4053002703604</v>
          </cell>
          <cell r="AE346">
            <v>80.878175024060099</v>
          </cell>
          <cell r="AF346">
            <v>0</v>
          </cell>
          <cell r="AH346">
            <v>179.98343394677127</v>
          </cell>
          <cell r="AI346">
            <v>0</v>
          </cell>
          <cell r="AK346">
            <v>214.01736783688938</v>
          </cell>
          <cell r="AL346">
            <v>719.28487379341368</v>
          </cell>
          <cell r="AN346">
            <v>71.621259226018381</v>
          </cell>
          <cell r="AO346">
            <v>0</v>
          </cell>
          <cell r="AQ346">
            <v>39.576741189229679</v>
          </cell>
          <cell r="AR346">
            <v>0</v>
          </cell>
          <cell r="AT346">
            <v>137.0164525129411</v>
          </cell>
          <cell r="AU346">
            <v>0</v>
          </cell>
          <cell r="AW346">
            <v>0</v>
          </cell>
          <cell r="AX346">
            <v>0</v>
          </cell>
        </row>
        <row r="347">
          <cell r="I347">
            <v>0</v>
          </cell>
          <cell r="J347">
            <v>0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R347">
            <v>3</v>
          </cell>
          <cell r="S347">
            <v>5654.2373377651202</v>
          </cell>
          <cell r="U347">
            <v>0</v>
          </cell>
          <cell r="V347"/>
          <cell r="W347">
            <v>0</v>
          </cell>
          <cell r="X347">
            <v>660.91268759455693</v>
          </cell>
          <cell r="Y347">
            <v>0</v>
          </cell>
          <cell r="Z347"/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340.67941004900786</v>
          </cell>
          <cell r="AF347">
            <v>0</v>
          </cell>
          <cell r="AH347">
            <v>456.07431114941113</v>
          </cell>
          <cell r="AI347">
            <v>0</v>
          </cell>
          <cell r="AK347">
            <v>1150.4514219355508</v>
          </cell>
          <cell r="AL347">
            <v>0</v>
          </cell>
          <cell r="AN347">
            <v>365.27880722162689</v>
          </cell>
          <cell r="AO347">
            <v>0</v>
          </cell>
          <cell r="AQ347">
            <v>98.941812127749259</v>
          </cell>
          <cell r="AR347">
            <v>497.05365631992424</v>
          </cell>
          <cell r="AT347">
            <v>393.71141400837746</v>
          </cell>
          <cell r="AU347">
            <v>287.27284892894761</v>
          </cell>
          <cell r="AW347">
            <v>0</v>
          </cell>
          <cell r="AX347">
            <v>0</v>
          </cell>
        </row>
        <row r="348">
          <cell r="I348">
            <v>0</v>
          </cell>
          <cell r="J348">
            <v>0</v>
          </cell>
          <cell r="L348">
            <v>0</v>
          </cell>
          <cell r="M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/>
          <cell r="W348">
            <v>0</v>
          </cell>
          <cell r="X348">
            <v>560.69326699193175</v>
          </cell>
          <cell r="Y348">
            <v>0</v>
          </cell>
          <cell r="Z348"/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341.10193611683809</v>
          </cell>
          <cell r="AF348">
            <v>0</v>
          </cell>
          <cell r="AH348">
            <v>456.98718243290779</v>
          </cell>
          <cell r="AI348">
            <v>0</v>
          </cell>
          <cell r="AK348">
            <v>1118.9449665843622</v>
          </cell>
          <cell r="AL348">
            <v>0</v>
          </cell>
          <cell r="AN348">
            <v>365.34992358096986</v>
          </cell>
          <cell r="AO348">
            <v>0</v>
          </cell>
          <cell r="AQ348">
            <v>98.941812127749259</v>
          </cell>
          <cell r="AR348">
            <v>0</v>
          </cell>
          <cell r="AT348">
            <v>395.44141636158889</v>
          </cell>
          <cell r="AU348">
            <v>0</v>
          </cell>
          <cell r="AW348">
            <v>0</v>
          </cell>
          <cell r="AX348">
            <v>0</v>
          </cell>
        </row>
        <row r="349">
          <cell r="I349">
            <v>0</v>
          </cell>
          <cell r="J349">
            <v>0</v>
          </cell>
          <cell r="L349">
            <v>0</v>
          </cell>
          <cell r="M349">
            <v>0</v>
          </cell>
          <cell r="O349">
            <v>0</v>
          </cell>
          <cell r="P349">
            <v>0</v>
          </cell>
          <cell r="R349">
            <v>1</v>
          </cell>
          <cell r="S349">
            <v>2451.67801085272</v>
          </cell>
          <cell r="U349">
            <v>0</v>
          </cell>
          <cell r="V349"/>
          <cell r="W349">
            <v>0</v>
          </cell>
          <cell r="X349">
            <v>534.03425483255091</v>
          </cell>
          <cell r="Y349">
            <v>0</v>
          </cell>
          <cell r="Z349"/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338.94789082903128</v>
          </cell>
          <cell r="AF349">
            <v>0</v>
          </cell>
          <cell r="AH349">
            <v>454.5350152089967</v>
          </cell>
          <cell r="AI349">
            <v>0</v>
          </cell>
          <cell r="AK349">
            <v>1157.2474197511715</v>
          </cell>
          <cell r="AL349">
            <v>0</v>
          </cell>
          <cell r="AN349">
            <v>368.35609494407032</v>
          </cell>
          <cell r="AO349">
            <v>0</v>
          </cell>
          <cell r="AQ349">
            <v>98.941812127749259</v>
          </cell>
          <cell r="AR349">
            <v>0</v>
          </cell>
          <cell r="AT349">
            <v>390.76670427356618</v>
          </cell>
          <cell r="AU349">
            <v>0</v>
          </cell>
          <cell r="AW349">
            <v>0</v>
          </cell>
          <cell r="AX349">
            <v>0</v>
          </cell>
        </row>
        <row r="350">
          <cell r="I350">
            <v>0</v>
          </cell>
          <cell r="J350">
            <v>0</v>
          </cell>
          <cell r="L350">
            <v>0</v>
          </cell>
          <cell r="M350">
            <v>0</v>
          </cell>
          <cell r="O350">
            <v>0</v>
          </cell>
          <cell r="P350">
            <v>0</v>
          </cell>
          <cell r="R350">
            <v>1</v>
          </cell>
          <cell r="S350">
            <v>1408.9231255413602</v>
          </cell>
          <cell r="U350">
            <v>0</v>
          </cell>
          <cell r="V350"/>
          <cell r="W350">
            <v>0</v>
          </cell>
          <cell r="X350">
            <v>427.02890386208344</v>
          </cell>
          <cell r="Y350">
            <v>668.84329184528985</v>
          </cell>
          <cell r="Z350"/>
          <cell r="AA350">
            <v>0</v>
          </cell>
          <cell r="AB350">
            <v>0</v>
          </cell>
          <cell r="AC350">
            <v>422.17990415369809</v>
          </cell>
          <cell r="AD350">
            <v>0</v>
          </cell>
          <cell r="AE350">
            <v>338.38118133211213</v>
          </cell>
          <cell r="AF350">
            <v>0</v>
          </cell>
          <cell r="AH350">
            <v>455.31679837177501</v>
          </cell>
          <cell r="AI350">
            <v>0</v>
          </cell>
          <cell r="AK350">
            <v>1157.2474197511715</v>
          </cell>
          <cell r="AL350">
            <v>0</v>
          </cell>
          <cell r="AN350">
            <v>367.35679527182106</v>
          </cell>
          <cell r="AO350">
            <v>0</v>
          </cell>
          <cell r="AQ350">
            <v>98.941812127749259</v>
          </cell>
          <cell r="AR350">
            <v>0</v>
          </cell>
          <cell r="AT350">
            <v>392.23794522822857</v>
          </cell>
          <cell r="AU350">
            <v>1665.7227761644594</v>
          </cell>
          <cell r="AW350">
            <v>0</v>
          </cell>
          <cell r="AX350">
            <v>0</v>
          </cell>
        </row>
        <row r="351"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U351">
            <v>0</v>
          </cell>
          <cell r="V351"/>
          <cell r="W351">
            <v>0</v>
          </cell>
          <cell r="X351">
            <v>103.1507578703665</v>
          </cell>
          <cell r="Y351">
            <v>0</v>
          </cell>
          <cell r="Z351"/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552.21617909158942</v>
          </cell>
          <cell r="AF351">
            <v>2908.9904224499974</v>
          </cell>
          <cell r="AH351">
            <v>863.53737109845565</v>
          </cell>
          <cell r="AI351">
            <v>2486.5483076742426</v>
          </cell>
          <cell r="AK351">
            <v>549.74304237231922</v>
          </cell>
          <cell r="AL351">
            <v>0</v>
          </cell>
          <cell r="AN351">
            <v>0</v>
          </cell>
          <cell r="AO351">
            <v>0</v>
          </cell>
          <cell r="AQ351">
            <v>338.81178137477229</v>
          </cell>
          <cell r="AR351">
            <v>0</v>
          </cell>
          <cell r="AT351">
            <v>500.05250650715965</v>
          </cell>
          <cell r="AU351">
            <v>0</v>
          </cell>
          <cell r="AW351">
            <v>0</v>
          </cell>
          <cell r="AX351">
            <v>0</v>
          </cell>
        </row>
        <row r="352">
          <cell r="I352">
            <v>0</v>
          </cell>
          <cell r="J352">
            <v>0</v>
          </cell>
          <cell r="L352">
            <v>0</v>
          </cell>
          <cell r="M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V352"/>
          <cell r="W352">
            <v>0</v>
          </cell>
          <cell r="X352">
            <v>70.698315362929662</v>
          </cell>
          <cell r="Y352">
            <v>0</v>
          </cell>
          <cell r="Z352"/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440.7848845409053</v>
          </cell>
          <cell r="AF352">
            <v>0</v>
          </cell>
          <cell r="AH352">
            <v>648.37174232033783</v>
          </cell>
          <cell r="AI352">
            <v>0</v>
          </cell>
          <cell r="AK352">
            <v>435.73378950881943</v>
          </cell>
          <cell r="AL352">
            <v>0</v>
          </cell>
          <cell r="AN352">
            <v>0</v>
          </cell>
          <cell r="AO352">
            <v>0</v>
          </cell>
          <cell r="AQ352">
            <v>161.90917399980211</v>
          </cell>
          <cell r="AR352">
            <v>0</v>
          </cell>
          <cell r="AT352">
            <v>323.39564104606796</v>
          </cell>
          <cell r="AU352">
            <v>0</v>
          </cell>
          <cell r="AW352">
            <v>0</v>
          </cell>
          <cell r="AX352">
            <v>0</v>
          </cell>
        </row>
        <row r="353"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/>
          <cell r="W353">
            <v>0</v>
          </cell>
          <cell r="X353">
            <v>56.549419732020127</v>
          </cell>
          <cell r="Y353">
            <v>0</v>
          </cell>
          <cell r="Z353"/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293.7456385988923</v>
          </cell>
          <cell r="AF353">
            <v>0</v>
          </cell>
          <cell r="AH353">
            <v>428.45713760025609</v>
          </cell>
          <cell r="AI353">
            <v>1993.1811706349574</v>
          </cell>
          <cell r="AK353">
            <v>249.50064667588106</v>
          </cell>
          <cell r="AL353">
            <v>0</v>
          </cell>
          <cell r="AN353">
            <v>0</v>
          </cell>
          <cell r="AO353">
            <v>0</v>
          </cell>
          <cell r="AQ353">
            <v>161.90917399980211</v>
          </cell>
          <cell r="AR353">
            <v>0</v>
          </cell>
          <cell r="AT353">
            <v>176.12067478462095</v>
          </cell>
          <cell r="AU353">
            <v>0</v>
          </cell>
          <cell r="AW353">
            <v>0</v>
          </cell>
          <cell r="AX353">
            <v>0</v>
          </cell>
        </row>
        <row r="354"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/>
          <cell r="W354">
            <v>0</v>
          </cell>
          <cell r="X354">
            <v>38.384361230346727</v>
          </cell>
          <cell r="Y354">
            <v>0</v>
          </cell>
          <cell r="Z354"/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293.7456385988923</v>
          </cell>
          <cell r="AF354">
            <v>0</v>
          </cell>
          <cell r="AH354">
            <v>428.45713760025609</v>
          </cell>
          <cell r="AI354">
            <v>0</v>
          </cell>
          <cell r="AK354">
            <v>249.50064667588106</v>
          </cell>
          <cell r="AL354">
            <v>0</v>
          </cell>
          <cell r="AN354">
            <v>0</v>
          </cell>
          <cell r="AO354">
            <v>0</v>
          </cell>
          <cell r="AQ354">
            <v>161.90917399980211</v>
          </cell>
          <cell r="AR354">
            <v>0</v>
          </cell>
          <cell r="AT354">
            <v>176.12067478462095</v>
          </cell>
          <cell r="AU354">
            <v>0</v>
          </cell>
          <cell r="AW354">
            <v>0</v>
          </cell>
          <cell r="AX354">
            <v>0</v>
          </cell>
        </row>
        <row r="355"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/>
          <cell r="W355">
            <v>0</v>
          </cell>
          <cell r="X355">
            <v>70.698315362929662</v>
          </cell>
          <cell r="Y355">
            <v>0</v>
          </cell>
          <cell r="Z355"/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293.68706488461845</v>
          </cell>
          <cell r="AF355">
            <v>1959.6145470694528</v>
          </cell>
          <cell r="AH355">
            <v>428.45713760025609</v>
          </cell>
          <cell r="AI355">
            <v>0</v>
          </cell>
          <cell r="AK355">
            <v>249.50064667588106</v>
          </cell>
          <cell r="AL355">
            <v>0</v>
          </cell>
          <cell r="AN355">
            <v>0</v>
          </cell>
          <cell r="AO355">
            <v>0</v>
          </cell>
          <cell r="AQ355">
            <v>161.90917399980211</v>
          </cell>
          <cell r="AR355">
            <v>0</v>
          </cell>
          <cell r="AT355">
            <v>176.11164732070878</v>
          </cell>
          <cell r="AU355">
            <v>0</v>
          </cell>
          <cell r="AW355">
            <v>0</v>
          </cell>
          <cell r="AX355">
            <v>0</v>
          </cell>
        </row>
        <row r="356">
          <cell r="I356">
            <v>0</v>
          </cell>
          <cell r="J356">
            <v>0</v>
          </cell>
          <cell r="L356">
            <v>0</v>
          </cell>
          <cell r="M356">
            <v>0</v>
          </cell>
          <cell r="O356">
            <v>30</v>
          </cell>
          <cell r="P356">
            <v>8493.3232345489687</v>
          </cell>
          <cell r="R356">
            <v>0</v>
          </cell>
          <cell r="S356">
            <v>0</v>
          </cell>
          <cell r="U356">
            <v>0</v>
          </cell>
          <cell r="V356"/>
          <cell r="W356">
            <v>0</v>
          </cell>
          <cell r="X356">
            <v>159.67709620657769</v>
          </cell>
          <cell r="Y356">
            <v>0</v>
          </cell>
          <cell r="Z356"/>
          <cell r="AA356">
            <v>0</v>
          </cell>
          <cell r="AB356">
            <v>0</v>
          </cell>
          <cell r="AC356">
            <v>9758.1460249419761</v>
          </cell>
          <cell r="AD356">
            <v>86.230529097028906</v>
          </cell>
          <cell r="AE356">
            <v>579.30180808381465</v>
          </cell>
          <cell r="AF356">
            <v>0</v>
          </cell>
          <cell r="AH356">
            <v>863.2751948570193</v>
          </cell>
          <cell r="AI356">
            <v>0</v>
          </cell>
          <cell r="AK356">
            <v>544.18402662422682</v>
          </cell>
          <cell r="AL356">
            <v>0</v>
          </cell>
          <cell r="AN356">
            <v>0</v>
          </cell>
          <cell r="AO356">
            <v>0</v>
          </cell>
          <cell r="AQ356">
            <v>338.81178137477229</v>
          </cell>
          <cell r="AR356">
            <v>0</v>
          </cell>
          <cell r="AT356">
            <v>499.63889281703172</v>
          </cell>
          <cell r="AU356">
            <v>0</v>
          </cell>
          <cell r="AW356">
            <v>0</v>
          </cell>
          <cell r="AX356">
            <v>0</v>
          </cell>
        </row>
        <row r="357"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U357">
            <v>0</v>
          </cell>
          <cell r="V357"/>
          <cell r="W357">
            <v>4</v>
          </cell>
          <cell r="X357">
            <v>314.62926953336381</v>
          </cell>
          <cell r="Y357">
            <v>0</v>
          </cell>
          <cell r="Z357"/>
          <cell r="AA357">
            <v>0</v>
          </cell>
          <cell r="AB357">
            <v>0</v>
          </cell>
          <cell r="AC357">
            <v>4295.1540575137342</v>
          </cell>
          <cell r="AD357">
            <v>0</v>
          </cell>
          <cell r="AE357">
            <v>441.71427296130838</v>
          </cell>
          <cell r="AF357">
            <v>0</v>
          </cell>
          <cell r="AH357">
            <v>649.25535258521438</v>
          </cell>
          <cell r="AI357">
            <v>0</v>
          </cell>
          <cell r="AK357">
            <v>427.07970210128394</v>
          </cell>
          <cell r="AL357">
            <v>0</v>
          </cell>
          <cell r="AN357">
            <v>0</v>
          </cell>
          <cell r="AO357">
            <v>0</v>
          </cell>
          <cell r="AQ357">
            <v>218.86472282667671</v>
          </cell>
          <cell r="AR357">
            <v>0</v>
          </cell>
          <cell r="AT357">
            <v>324.72985377725348</v>
          </cell>
          <cell r="AU357">
            <v>0</v>
          </cell>
          <cell r="AW357">
            <v>0</v>
          </cell>
          <cell r="AX357">
            <v>0</v>
          </cell>
        </row>
        <row r="358"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U358">
            <v>0</v>
          </cell>
          <cell r="V358"/>
          <cell r="W358">
            <v>0</v>
          </cell>
          <cell r="X358">
            <v>108.59796728128765</v>
          </cell>
          <cell r="Y358">
            <v>0</v>
          </cell>
          <cell r="Z358"/>
          <cell r="AA358">
            <v>0</v>
          </cell>
          <cell r="AB358">
            <v>0</v>
          </cell>
          <cell r="AC358">
            <v>0</v>
          </cell>
          <cell r="AD358">
            <v>1671.2582595126873</v>
          </cell>
          <cell r="AE358">
            <v>452.10488610420913</v>
          </cell>
          <cell r="AF358">
            <v>0</v>
          </cell>
          <cell r="AH358">
            <v>730.47179917909421</v>
          </cell>
          <cell r="AI358">
            <v>0</v>
          </cell>
          <cell r="AK358">
            <v>444.77862501958737</v>
          </cell>
          <cell r="AL358">
            <v>0</v>
          </cell>
          <cell r="AN358">
            <v>0</v>
          </cell>
          <cell r="AO358">
            <v>0</v>
          </cell>
          <cell r="AQ358">
            <v>218.86472282667671</v>
          </cell>
          <cell r="AR358">
            <v>0</v>
          </cell>
          <cell r="AT358">
            <v>332.88209539186079</v>
          </cell>
          <cell r="AU358">
            <v>0</v>
          </cell>
          <cell r="AW358">
            <v>0</v>
          </cell>
          <cell r="AX358">
            <v>0</v>
          </cell>
        </row>
        <row r="359"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U359">
            <v>0</v>
          </cell>
          <cell r="V359"/>
          <cell r="W359">
            <v>5</v>
          </cell>
          <cell r="X359">
            <v>2094.7232806931956</v>
          </cell>
          <cell r="Y359">
            <v>0</v>
          </cell>
          <cell r="Z359"/>
          <cell r="AA359">
            <v>0</v>
          </cell>
          <cell r="AB359">
            <v>0</v>
          </cell>
          <cell r="AC359">
            <v>2135.6001995328306</v>
          </cell>
          <cell r="AD359">
            <v>1344.2875828783076</v>
          </cell>
          <cell r="AE359">
            <v>453.16429572632046</v>
          </cell>
          <cell r="AF359">
            <v>0</v>
          </cell>
          <cell r="AH359">
            <v>730.31644067323475</v>
          </cell>
          <cell r="AI359">
            <v>0</v>
          </cell>
          <cell r="AK359">
            <v>445.12412098971794</v>
          </cell>
          <cell r="AL359">
            <v>0</v>
          </cell>
          <cell r="AN359">
            <v>0</v>
          </cell>
          <cell r="AO359">
            <v>0</v>
          </cell>
          <cell r="AQ359">
            <v>218.86472282667671</v>
          </cell>
          <cell r="AR359">
            <v>0</v>
          </cell>
          <cell r="AT359">
            <v>332.68755310226783</v>
          </cell>
          <cell r="AU359">
            <v>3246.3353175311267</v>
          </cell>
          <cell r="AW359">
            <v>0</v>
          </cell>
          <cell r="AX359">
            <v>0</v>
          </cell>
        </row>
        <row r="360"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U360">
            <v>0</v>
          </cell>
          <cell r="V360"/>
          <cell r="W360">
            <v>0</v>
          </cell>
          <cell r="X360">
            <v>109.05959519746739</v>
          </cell>
          <cell r="Y360">
            <v>0</v>
          </cell>
          <cell r="Z360"/>
          <cell r="AA360">
            <v>0</v>
          </cell>
          <cell r="AB360">
            <v>0</v>
          </cell>
          <cell r="AC360">
            <v>5238.7597825107605</v>
          </cell>
          <cell r="AD360">
            <v>0</v>
          </cell>
          <cell r="AE360">
            <v>453.28676417768395</v>
          </cell>
          <cell r="AF360">
            <v>4437.7833806935578</v>
          </cell>
          <cell r="AH360">
            <v>730.47179917909421</v>
          </cell>
          <cell r="AI360">
            <v>3372.1614553539398</v>
          </cell>
          <cell r="AK360">
            <v>459.8961907599396</v>
          </cell>
          <cell r="AL360">
            <v>0</v>
          </cell>
          <cell r="AN360">
            <v>0</v>
          </cell>
          <cell r="AO360">
            <v>0</v>
          </cell>
          <cell r="AQ360">
            <v>218.86472282667671</v>
          </cell>
          <cell r="AR360">
            <v>0</v>
          </cell>
          <cell r="AT360">
            <v>332.96178169220053</v>
          </cell>
          <cell r="AU360">
            <v>0</v>
          </cell>
          <cell r="AW360">
            <v>0</v>
          </cell>
          <cell r="AX360">
            <v>0</v>
          </cell>
        </row>
        <row r="361"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U361">
            <v>0</v>
          </cell>
          <cell r="V361"/>
          <cell r="W361">
            <v>0</v>
          </cell>
          <cell r="X361">
            <v>0</v>
          </cell>
          <cell r="Y361">
            <v>0</v>
          </cell>
          <cell r="Z361"/>
          <cell r="AA361">
            <v>0</v>
          </cell>
          <cell r="AB361">
            <v>0</v>
          </cell>
          <cell r="AC361">
            <v>2948.989866368101</v>
          </cell>
          <cell r="AD361">
            <v>0</v>
          </cell>
          <cell r="AE361">
            <v>598.88698825376764</v>
          </cell>
          <cell r="AF361">
            <v>0</v>
          </cell>
          <cell r="AH361">
            <v>975.42236566356132</v>
          </cell>
          <cell r="AI361">
            <v>0</v>
          </cell>
          <cell r="AK361">
            <v>577.63982887433463</v>
          </cell>
          <cell r="AL361">
            <v>0</v>
          </cell>
          <cell r="AN361">
            <v>0</v>
          </cell>
          <cell r="AO361">
            <v>0</v>
          </cell>
          <cell r="AQ361">
            <v>338.81178137477229</v>
          </cell>
          <cell r="AR361">
            <v>0</v>
          </cell>
          <cell r="AT361">
            <v>542.52466217651158</v>
          </cell>
          <cell r="AU361">
            <v>0</v>
          </cell>
          <cell r="AW361">
            <v>0</v>
          </cell>
          <cell r="AX361">
            <v>0</v>
          </cell>
        </row>
        <row r="362">
          <cell r="I362">
            <v>0</v>
          </cell>
          <cell r="J362">
            <v>0</v>
          </cell>
          <cell r="L362">
            <v>0</v>
          </cell>
          <cell r="M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U362">
            <v>0</v>
          </cell>
          <cell r="V362"/>
          <cell r="W362">
            <v>0</v>
          </cell>
          <cell r="X362">
            <v>225.62064403285584</v>
          </cell>
          <cell r="Y362">
            <v>0</v>
          </cell>
          <cell r="Z362"/>
          <cell r="AA362">
            <v>0</v>
          </cell>
          <cell r="AB362">
            <v>0</v>
          </cell>
          <cell r="AC362">
            <v>8156.1958454717515</v>
          </cell>
          <cell r="AD362">
            <v>248.62212541011559</v>
          </cell>
          <cell r="AE362">
            <v>206.85511576985931</v>
          </cell>
          <cell r="AF362">
            <v>0</v>
          </cell>
          <cell r="AH362">
            <v>236.50164632888067</v>
          </cell>
          <cell r="AI362">
            <v>0</v>
          </cell>
          <cell r="AK362">
            <v>321.47611055472277</v>
          </cell>
          <cell r="AL362">
            <v>0</v>
          </cell>
          <cell r="AN362">
            <v>0</v>
          </cell>
          <cell r="AO362">
            <v>0</v>
          </cell>
          <cell r="AQ362">
            <v>0</v>
          </cell>
          <cell r="AR362">
            <v>0</v>
          </cell>
          <cell r="AT362">
            <v>107.5901330625987</v>
          </cell>
          <cell r="AU362">
            <v>0</v>
          </cell>
          <cell r="AW362">
            <v>0</v>
          </cell>
          <cell r="AX362">
            <v>0</v>
          </cell>
        </row>
        <row r="363">
          <cell r="I363">
            <v>2</v>
          </cell>
          <cell r="J363">
            <v>456.94226083842443</v>
          </cell>
          <cell r="L363">
            <v>0</v>
          </cell>
          <cell r="M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U363">
            <v>0</v>
          </cell>
          <cell r="V363"/>
          <cell r="W363">
            <v>0</v>
          </cell>
          <cell r="X363">
            <v>0</v>
          </cell>
          <cell r="Y363">
            <v>0</v>
          </cell>
          <cell r="Z363"/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352.68684170543713</v>
          </cell>
          <cell r="AF363">
            <v>0</v>
          </cell>
          <cell r="AH363">
            <v>517.13191296797083</v>
          </cell>
          <cell r="AI363">
            <v>0</v>
          </cell>
          <cell r="AK363">
            <v>452.13417831518331</v>
          </cell>
          <cell r="AL363">
            <v>0</v>
          </cell>
          <cell r="AN363">
            <v>0</v>
          </cell>
          <cell r="AO363">
            <v>0</v>
          </cell>
          <cell r="AQ363">
            <v>0</v>
          </cell>
          <cell r="AR363">
            <v>0</v>
          </cell>
          <cell r="AT363">
            <v>242.89643245310197</v>
          </cell>
          <cell r="AU363">
            <v>0</v>
          </cell>
          <cell r="AW363">
            <v>0</v>
          </cell>
          <cell r="AX363">
            <v>0</v>
          </cell>
        </row>
        <row r="364"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/>
          <cell r="W364">
            <v>0</v>
          </cell>
          <cell r="X364">
            <v>90.802211112558041</v>
          </cell>
          <cell r="Y364">
            <v>0</v>
          </cell>
          <cell r="Z364"/>
          <cell r="AA364">
            <v>0</v>
          </cell>
          <cell r="AB364">
            <v>0</v>
          </cell>
          <cell r="AC364">
            <v>1378.395017414286</v>
          </cell>
          <cell r="AD364">
            <v>0</v>
          </cell>
          <cell r="AE364">
            <v>285.07723534860406</v>
          </cell>
          <cell r="AF364">
            <v>0</v>
          </cell>
          <cell r="AH364">
            <v>366.07109162011398</v>
          </cell>
          <cell r="AI364">
            <v>0</v>
          </cell>
          <cell r="AK364">
            <v>294.87116698901576</v>
          </cell>
          <cell r="AL364">
            <v>367.97798214586402</v>
          </cell>
          <cell r="AN364">
            <v>0</v>
          </cell>
          <cell r="AO364">
            <v>0</v>
          </cell>
          <cell r="AQ364">
            <v>0</v>
          </cell>
          <cell r="AR364">
            <v>0</v>
          </cell>
          <cell r="AT364">
            <v>169.92476655434263</v>
          </cell>
          <cell r="AU364">
            <v>0</v>
          </cell>
          <cell r="AW364">
            <v>0</v>
          </cell>
          <cell r="AX364">
            <v>0</v>
          </cell>
        </row>
        <row r="365"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208.56930681944473</v>
          </cell>
          <cell r="V365"/>
          <cell r="W365">
            <v>0</v>
          </cell>
          <cell r="X365">
            <v>0</v>
          </cell>
          <cell r="Y365">
            <v>366.14130193897972</v>
          </cell>
          <cell r="Z365"/>
          <cell r="AA365">
            <v>0</v>
          </cell>
          <cell r="AB365">
            <v>0</v>
          </cell>
          <cell r="AC365">
            <v>301.8863587248822</v>
          </cell>
          <cell r="AD365">
            <v>0</v>
          </cell>
          <cell r="AE365">
            <v>36.072648069418491</v>
          </cell>
          <cell r="AF365">
            <v>0</v>
          </cell>
          <cell r="AH365">
            <v>44.309609545266404</v>
          </cell>
          <cell r="AI365">
            <v>0</v>
          </cell>
          <cell r="AK365">
            <v>56.364639436687078</v>
          </cell>
          <cell r="AL365">
            <v>0</v>
          </cell>
          <cell r="AN365">
            <v>28.814221575132017</v>
          </cell>
          <cell r="AO365">
            <v>0</v>
          </cell>
          <cell r="AQ365">
            <v>13.192247063076561</v>
          </cell>
          <cell r="AR365">
            <v>0</v>
          </cell>
          <cell r="AT365">
            <v>26.036353088784878</v>
          </cell>
          <cell r="AU365">
            <v>2534.3339420043221</v>
          </cell>
          <cell r="AW365">
            <v>0</v>
          </cell>
          <cell r="AX365">
            <v>0</v>
          </cell>
        </row>
        <row r="366"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/>
          <cell r="W366">
            <v>0</v>
          </cell>
          <cell r="X366">
            <v>79.815466707479843</v>
          </cell>
          <cell r="Y366">
            <v>0</v>
          </cell>
          <cell r="Z366"/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243.31189059781519</v>
          </cell>
          <cell r="AF366">
            <v>0</v>
          </cell>
          <cell r="AH366">
            <v>375.19980445508031</v>
          </cell>
          <cell r="AI366">
            <v>0</v>
          </cell>
          <cell r="AK366">
            <v>356.99056120096998</v>
          </cell>
          <cell r="AL366">
            <v>0</v>
          </cell>
          <cell r="AN366">
            <v>0</v>
          </cell>
          <cell r="AO366">
            <v>0</v>
          </cell>
          <cell r="AQ366">
            <v>0</v>
          </cell>
          <cell r="AR366">
            <v>0</v>
          </cell>
          <cell r="AT366">
            <v>121.28325832554735</v>
          </cell>
          <cell r="AU366">
            <v>0</v>
          </cell>
          <cell r="AW366">
            <v>0</v>
          </cell>
          <cell r="AX366">
            <v>0</v>
          </cell>
        </row>
        <row r="367"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U367">
            <v>0</v>
          </cell>
          <cell r="V367"/>
          <cell r="W367">
            <v>2</v>
          </cell>
          <cell r="X367">
            <v>2146.6012900613878</v>
          </cell>
          <cell r="Y367">
            <v>0</v>
          </cell>
          <cell r="Z367"/>
          <cell r="AA367">
            <v>0</v>
          </cell>
          <cell r="AB367">
            <v>0</v>
          </cell>
          <cell r="AC367">
            <v>2506.185386446477</v>
          </cell>
          <cell r="AD367">
            <v>0</v>
          </cell>
          <cell r="AE367">
            <v>168.57610194819171</v>
          </cell>
          <cell r="AF367">
            <v>0</v>
          </cell>
          <cell r="AH367">
            <v>223.14847341612153</v>
          </cell>
          <cell r="AI367">
            <v>0</v>
          </cell>
          <cell r="AK367">
            <v>199.49280718540049</v>
          </cell>
          <cell r="AL367">
            <v>0</v>
          </cell>
          <cell r="AN367">
            <v>0</v>
          </cell>
          <cell r="AO367">
            <v>0</v>
          </cell>
          <cell r="AQ367">
            <v>0</v>
          </cell>
          <cell r="AR367">
            <v>0</v>
          </cell>
          <cell r="AT367">
            <v>64.946753943193258</v>
          </cell>
          <cell r="AU367">
            <v>0</v>
          </cell>
          <cell r="AW367">
            <v>0</v>
          </cell>
          <cell r="AX367">
            <v>0</v>
          </cell>
        </row>
        <row r="368"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U368">
            <v>0</v>
          </cell>
          <cell r="V368"/>
          <cell r="W368">
            <v>0</v>
          </cell>
          <cell r="X368">
            <v>0</v>
          </cell>
          <cell r="Y368">
            <v>0</v>
          </cell>
          <cell r="Z368"/>
          <cell r="AA368">
            <v>0</v>
          </cell>
          <cell r="AB368">
            <v>0</v>
          </cell>
          <cell r="AC368">
            <v>0</v>
          </cell>
          <cell r="AD368">
            <v>246.55041654926396</v>
          </cell>
          <cell r="AE368">
            <v>309.80614720746934</v>
          </cell>
          <cell r="AF368">
            <v>0</v>
          </cell>
          <cell r="AH368">
            <v>491.57143533941519</v>
          </cell>
          <cell r="AI368">
            <v>0</v>
          </cell>
          <cell r="AK368">
            <v>365.94411287080538</v>
          </cell>
          <cell r="AL368">
            <v>0</v>
          </cell>
          <cell r="AN368">
            <v>0</v>
          </cell>
          <cell r="AO368">
            <v>0</v>
          </cell>
          <cell r="AQ368">
            <v>0</v>
          </cell>
          <cell r="AR368">
            <v>0</v>
          </cell>
          <cell r="AT368">
            <v>175.46952701896416</v>
          </cell>
          <cell r="AU368">
            <v>0</v>
          </cell>
          <cell r="AW368">
            <v>0</v>
          </cell>
          <cell r="AX368">
            <v>0</v>
          </cell>
        </row>
        <row r="369"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U369">
            <v>0</v>
          </cell>
          <cell r="V369"/>
          <cell r="W369">
            <v>0</v>
          </cell>
          <cell r="X369">
            <v>0</v>
          </cell>
          <cell r="Y369">
            <v>4570.7660532452237</v>
          </cell>
          <cell r="Z369"/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148.66895006333297</v>
          </cell>
          <cell r="AF369">
            <v>0</v>
          </cell>
          <cell r="AH369">
            <v>199.98679498901538</v>
          </cell>
          <cell r="AI369">
            <v>0</v>
          </cell>
          <cell r="AK369">
            <v>151.15206599134754</v>
          </cell>
          <cell r="AL369">
            <v>0</v>
          </cell>
          <cell r="AN369">
            <v>0</v>
          </cell>
          <cell r="AO369">
            <v>0</v>
          </cell>
          <cell r="AQ369">
            <v>0</v>
          </cell>
          <cell r="AR369">
            <v>0</v>
          </cell>
          <cell r="AT369">
            <v>60.056169810574971</v>
          </cell>
          <cell r="AU369">
            <v>0</v>
          </cell>
          <cell r="AW369">
            <v>0</v>
          </cell>
          <cell r="AX369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Лист2"/>
      <sheetName val="ДЗ нас "/>
      <sheetName val="ДЗ нежит"/>
      <sheetName val="кошти 01.03.23"/>
      <sheetName val="поточний ремонт"/>
      <sheetName val="ПР будинок"/>
      <sheetName val="накладні витрати"/>
      <sheetName val="первичка 1"/>
      <sheetName val="первичка 2"/>
      <sheetName val="Лист4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  <sheetName val="паркан аморт"/>
      <sheetName val="Лист1"/>
    </sheetNames>
    <sheetDataSet>
      <sheetData sheetId="0"/>
      <sheetData sheetId="1"/>
      <sheetData sheetId="2"/>
      <sheetData sheetId="3">
        <row r="9">
          <cell r="DA9">
            <v>22131.961307982205</v>
          </cell>
          <cell r="DC9">
            <v>2364.5500000000002</v>
          </cell>
          <cell r="DD9"/>
          <cell r="DE9">
            <v>239.35000000000036</v>
          </cell>
          <cell r="DF9">
            <v>0</v>
          </cell>
        </row>
        <row r="10">
          <cell r="DA10">
            <v>15851.067426333102</v>
          </cell>
          <cell r="DC10">
            <v>24134.16</v>
          </cell>
          <cell r="DD10"/>
          <cell r="DE10">
            <v>13720.07</v>
          </cell>
          <cell r="DF10">
            <v>0</v>
          </cell>
        </row>
        <row r="11">
          <cell r="DA11">
            <v>96725.094136022948</v>
          </cell>
          <cell r="DC11">
            <v>64018.35</v>
          </cell>
          <cell r="DD11"/>
          <cell r="DE11">
            <v>46842.75</v>
          </cell>
          <cell r="DF11">
            <v>0</v>
          </cell>
        </row>
        <row r="12">
          <cell r="DA12">
            <v>175393.91089384642</v>
          </cell>
          <cell r="DC12">
            <v>107112.53</v>
          </cell>
          <cell r="DD12"/>
          <cell r="DE12">
            <v>62407.9</v>
          </cell>
          <cell r="DF12">
            <v>0</v>
          </cell>
        </row>
        <row r="13">
          <cell r="DA13">
            <v>40170.983496376575</v>
          </cell>
          <cell r="DC13">
            <v>126793.19</v>
          </cell>
          <cell r="DD13"/>
          <cell r="DE13">
            <v>81970.290000000008</v>
          </cell>
          <cell r="DF13">
            <v>0</v>
          </cell>
        </row>
        <row r="14">
          <cell r="DA14">
            <v>-13186.362423184084</v>
          </cell>
          <cell r="DC14">
            <v>3217.64</v>
          </cell>
          <cell r="DD14"/>
          <cell r="DE14">
            <v>2780.16</v>
          </cell>
          <cell r="DF14">
            <v>0</v>
          </cell>
        </row>
        <row r="15">
          <cell r="DA15">
            <v>37059.265037846286</v>
          </cell>
          <cell r="DC15">
            <v>82985.539999999994</v>
          </cell>
          <cell r="DD15">
            <v>0</v>
          </cell>
          <cell r="DE15">
            <v>50068.609999999993</v>
          </cell>
          <cell r="DF15">
            <v>-376.63</v>
          </cell>
        </row>
        <row r="16">
          <cell r="DA16">
            <v>-4788.7387059627836</v>
          </cell>
          <cell r="DC16">
            <v>22626.7</v>
          </cell>
          <cell r="DD16"/>
          <cell r="DE16">
            <v>20049.920000000002</v>
          </cell>
          <cell r="DF16">
            <v>0</v>
          </cell>
        </row>
        <row r="17">
          <cell r="DA17">
            <v>-6919.3206964819447</v>
          </cell>
          <cell r="DC17">
            <v>21780.3</v>
          </cell>
          <cell r="DD17"/>
          <cell r="DE17">
            <v>19203.23</v>
          </cell>
          <cell r="DF17">
            <v>0</v>
          </cell>
        </row>
        <row r="18">
          <cell r="DA18">
            <v>86948.884768970558</v>
          </cell>
          <cell r="DC18">
            <v>62553.95</v>
          </cell>
          <cell r="DD18">
            <v>0</v>
          </cell>
          <cell r="DE18">
            <v>32720.629999999997</v>
          </cell>
          <cell r="DF18">
            <v>-255.74</v>
          </cell>
        </row>
        <row r="19">
          <cell r="DA19">
            <v>6462.3361921331816</v>
          </cell>
          <cell r="DC19">
            <v>4633.28</v>
          </cell>
          <cell r="DD19">
            <v>1928.3300000000004</v>
          </cell>
          <cell r="DE19">
            <v>1118.54</v>
          </cell>
          <cell r="DF19">
            <v>908.6900000000004</v>
          </cell>
        </row>
        <row r="20">
          <cell r="DA20">
            <v>-5069.6812890638439</v>
          </cell>
          <cell r="DC20">
            <v>339.77</v>
          </cell>
          <cell r="DD20">
            <v>0</v>
          </cell>
          <cell r="DE20">
            <v>62.919999999999959</v>
          </cell>
          <cell r="DF20">
            <v>-67.069999999999993</v>
          </cell>
        </row>
        <row r="21">
          <cell r="DA21">
            <v>528.01358384905325</v>
          </cell>
          <cell r="DC21">
            <v>36069.199999999997</v>
          </cell>
          <cell r="DD21">
            <v>4090.94</v>
          </cell>
          <cell r="DE21">
            <v>23759.67</v>
          </cell>
          <cell r="DF21">
            <v>2032.4300000000003</v>
          </cell>
        </row>
        <row r="22">
          <cell r="DA22">
            <v>-16759.027063479574</v>
          </cell>
          <cell r="DC22">
            <v>21815.99</v>
          </cell>
          <cell r="DD22">
            <v>25547.82</v>
          </cell>
          <cell r="DE22">
            <v>14816.810000000001</v>
          </cell>
          <cell r="DF22">
            <v>23666.79</v>
          </cell>
        </row>
        <row r="23">
          <cell r="DA23">
            <v>72211.405341371748</v>
          </cell>
          <cell r="DC23">
            <v>61881.25</v>
          </cell>
          <cell r="DD23"/>
          <cell r="DE23">
            <v>34624.06</v>
          </cell>
          <cell r="DF23">
            <v>0</v>
          </cell>
        </row>
        <row r="24">
          <cell r="DA24">
            <v>-3927.4213500858928</v>
          </cell>
          <cell r="DC24">
            <v>2657.61</v>
          </cell>
          <cell r="DD24"/>
          <cell r="DE24">
            <v>2277.92</v>
          </cell>
          <cell r="DF24">
            <v>0</v>
          </cell>
        </row>
        <row r="25">
          <cell r="DA25">
            <v>-6067.3898584126855</v>
          </cell>
          <cell r="DC25">
            <v>610.97</v>
          </cell>
          <cell r="DD25"/>
          <cell r="DE25">
            <v>191.05</v>
          </cell>
          <cell r="DF25">
            <v>0</v>
          </cell>
        </row>
        <row r="26">
          <cell r="DA26">
            <v>-8272.9077785962654</v>
          </cell>
          <cell r="DC26">
            <v>422.07</v>
          </cell>
          <cell r="DD26"/>
          <cell r="DE26">
            <v>0</v>
          </cell>
          <cell r="DF26">
            <v>0</v>
          </cell>
        </row>
        <row r="27">
          <cell r="DA27">
            <v>-7941.2921909433717</v>
          </cell>
          <cell r="DC27">
            <v>2041.61</v>
          </cell>
          <cell r="DD27"/>
          <cell r="DE27">
            <v>1631.73</v>
          </cell>
          <cell r="DF27">
            <v>0</v>
          </cell>
        </row>
        <row r="28">
          <cell r="DA28">
            <v>1548.1248340959455</v>
          </cell>
          <cell r="DC28">
            <v>453.08</v>
          </cell>
          <cell r="DD28"/>
          <cell r="DE28">
            <v>14.859999999999957</v>
          </cell>
          <cell r="DF28">
            <v>0</v>
          </cell>
        </row>
        <row r="29">
          <cell r="DA29">
            <v>-3306.6059654087303</v>
          </cell>
          <cell r="DC29">
            <v>306.38</v>
          </cell>
          <cell r="DD29"/>
          <cell r="DE29">
            <v>-115.09000000000003</v>
          </cell>
          <cell r="DF29">
            <v>0</v>
          </cell>
        </row>
        <row r="30">
          <cell r="DA30">
            <v>-6479.7225429480768</v>
          </cell>
          <cell r="DC30">
            <v>208.44</v>
          </cell>
          <cell r="DD30"/>
          <cell r="DE30">
            <v>-49.95999999999998</v>
          </cell>
          <cell r="DF30">
            <v>0</v>
          </cell>
        </row>
        <row r="31">
          <cell r="DA31">
            <v>2737.9284484154123</v>
          </cell>
          <cell r="DC31">
            <v>426</v>
          </cell>
          <cell r="DD31"/>
          <cell r="DE31">
            <v>3.2900000000000205</v>
          </cell>
          <cell r="DF31">
            <v>0</v>
          </cell>
        </row>
        <row r="32">
          <cell r="DA32">
            <v>15991.487497965616</v>
          </cell>
          <cell r="DC32">
            <v>23239.93</v>
          </cell>
          <cell r="DD32">
            <v>1584.0399999999997</v>
          </cell>
          <cell r="DE32">
            <v>13111.5</v>
          </cell>
          <cell r="DF32">
            <v>515.98999999999955</v>
          </cell>
        </row>
        <row r="33">
          <cell r="DA33">
            <v>17022.798714565404</v>
          </cell>
          <cell r="DC33">
            <v>36942.1</v>
          </cell>
          <cell r="DD33">
            <v>55981.72</v>
          </cell>
          <cell r="DE33">
            <v>24666.379999999997</v>
          </cell>
          <cell r="DF33">
            <v>53765.69</v>
          </cell>
        </row>
        <row r="34">
          <cell r="DA34">
            <v>27683.403773617916</v>
          </cell>
          <cell r="DC34">
            <v>54781.37</v>
          </cell>
          <cell r="DD34">
            <v>1044.95</v>
          </cell>
          <cell r="DE34">
            <v>39620.03</v>
          </cell>
          <cell r="DF34">
            <v>-534</v>
          </cell>
        </row>
        <row r="35">
          <cell r="DA35">
            <v>-43051.180493947875</v>
          </cell>
          <cell r="DC35">
            <v>23897.63</v>
          </cell>
          <cell r="DD35">
            <v>14779.42</v>
          </cell>
          <cell r="DE35">
            <v>18887.810000000001</v>
          </cell>
          <cell r="DF35">
            <v>14255.73</v>
          </cell>
        </row>
        <row r="36">
          <cell r="DA36">
            <v>-17643.115657700248</v>
          </cell>
          <cell r="DC36">
            <v>4462.88</v>
          </cell>
          <cell r="DD36">
            <v>14506.39</v>
          </cell>
          <cell r="DE36">
            <v>191.85999999999967</v>
          </cell>
          <cell r="DF36">
            <v>13106.89</v>
          </cell>
        </row>
        <row r="37">
          <cell r="DA37">
            <v>-7327.6605830935441</v>
          </cell>
          <cell r="DC37">
            <v>34990.06</v>
          </cell>
          <cell r="DD37">
            <v>2184.21</v>
          </cell>
          <cell r="DE37">
            <v>26725</v>
          </cell>
          <cell r="DF37">
            <v>1598.83</v>
          </cell>
        </row>
        <row r="38">
          <cell r="DA38">
            <v>-4547.3489265399585</v>
          </cell>
          <cell r="DC38">
            <v>52785.279999999999</v>
          </cell>
          <cell r="DD38">
            <v>11714.259999999998</v>
          </cell>
          <cell r="DE38">
            <v>46732.13</v>
          </cell>
          <cell r="DF38">
            <v>10374.749999999998</v>
          </cell>
        </row>
        <row r="39">
          <cell r="DA39">
            <v>41865.894195558772</v>
          </cell>
          <cell r="DC39">
            <v>11572.01</v>
          </cell>
          <cell r="DD39">
            <v>8981.18</v>
          </cell>
          <cell r="DE39">
            <v>3584.05</v>
          </cell>
          <cell r="DF39">
            <v>7951.27</v>
          </cell>
        </row>
        <row r="40">
          <cell r="DA40">
            <v>29529.757318460855</v>
          </cell>
          <cell r="DC40">
            <v>9355.83</v>
          </cell>
          <cell r="DD40">
            <v>0</v>
          </cell>
          <cell r="DE40">
            <v>1484.5299999999997</v>
          </cell>
          <cell r="DF40">
            <v>-1400.6399999999999</v>
          </cell>
        </row>
        <row r="41">
          <cell r="DA41">
            <v>-23629.815281354291</v>
          </cell>
          <cell r="DC41">
            <v>56035.74</v>
          </cell>
          <cell r="DD41"/>
          <cell r="DE41">
            <v>39940.949999999997</v>
          </cell>
          <cell r="DF41">
            <v>0</v>
          </cell>
        </row>
        <row r="42">
          <cell r="DA42">
            <v>41088.273456424082</v>
          </cell>
          <cell r="DC42">
            <v>166407.97</v>
          </cell>
          <cell r="DD42"/>
          <cell r="DE42">
            <v>121275.78</v>
          </cell>
          <cell r="DF42">
            <v>0</v>
          </cell>
        </row>
        <row r="43">
          <cell r="DA43">
            <v>-15372.360878930966</v>
          </cell>
          <cell r="DC43">
            <v>49789.29</v>
          </cell>
          <cell r="DD43"/>
          <cell r="DE43">
            <v>22261.280000000002</v>
          </cell>
          <cell r="DF43">
            <v>0</v>
          </cell>
        </row>
        <row r="44">
          <cell r="DA44">
            <v>-197286.40325085376</v>
          </cell>
          <cell r="DC44">
            <v>113696.76</v>
          </cell>
          <cell r="DD44"/>
          <cell r="DE44">
            <v>51913.759999999995</v>
          </cell>
          <cell r="DF44">
            <v>0</v>
          </cell>
        </row>
        <row r="45">
          <cell r="DA45">
            <v>-66568.030331974194</v>
          </cell>
          <cell r="DC45">
            <v>79513.289999999994</v>
          </cell>
          <cell r="DD45"/>
          <cell r="DE45">
            <v>37082.269999999997</v>
          </cell>
          <cell r="DF45">
            <v>0</v>
          </cell>
        </row>
        <row r="46">
          <cell r="DA46">
            <v>11289.232986060211</v>
          </cell>
          <cell r="DC46">
            <v>63452.73</v>
          </cell>
          <cell r="DD46">
            <v>5042.5199999999995</v>
          </cell>
          <cell r="DE46">
            <v>44562.47</v>
          </cell>
          <cell r="DF46">
            <v>4141.2999999999993</v>
          </cell>
        </row>
        <row r="47">
          <cell r="DA47">
            <v>175.80788027433431</v>
          </cell>
          <cell r="DC47">
            <v>-84.87</v>
          </cell>
          <cell r="DD47"/>
          <cell r="DE47">
            <v>-168.36</v>
          </cell>
          <cell r="DF47">
            <v>0</v>
          </cell>
        </row>
        <row r="48">
          <cell r="DA48">
            <v>-2920.3613759209015</v>
          </cell>
          <cell r="DC48">
            <v>449</v>
          </cell>
          <cell r="DD48"/>
          <cell r="DE48">
            <v>14.110000000000014</v>
          </cell>
          <cell r="DF48">
            <v>0</v>
          </cell>
        </row>
        <row r="49">
          <cell r="DA49">
            <v>22462.454319811208</v>
          </cell>
          <cell r="DC49">
            <v>19177.419999999998</v>
          </cell>
          <cell r="DD49"/>
          <cell r="DE49">
            <v>5249.9599999999991</v>
          </cell>
          <cell r="DF49">
            <v>0</v>
          </cell>
        </row>
        <row r="50">
          <cell r="DA50">
            <v>68680.54762967593</v>
          </cell>
          <cell r="DC50">
            <v>43146.42</v>
          </cell>
          <cell r="DD50"/>
          <cell r="DE50">
            <v>35925.22</v>
          </cell>
          <cell r="DF50">
            <v>0</v>
          </cell>
        </row>
        <row r="51">
          <cell r="DA51">
            <v>1325.2433768480696</v>
          </cell>
          <cell r="DC51">
            <v>50032.66</v>
          </cell>
          <cell r="DD51"/>
          <cell r="DE51">
            <v>33666.340000000004</v>
          </cell>
          <cell r="DF51">
            <v>0</v>
          </cell>
        </row>
        <row r="52">
          <cell r="DA52">
            <v>3381.5683516676263</v>
          </cell>
          <cell r="DC52">
            <v>3941.51</v>
          </cell>
          <cell r="DD52"/>
          <cell r="DE52">
            <v>3532.75</v>
          </cell>
          <cell r="DF52">
            <v>0</v>
          </cell>
        </row>
        <row r="53">
          <cell r="DA53">
            <v>-28146.718529818198</v>
          </cell>
          <cell r="DC53">
            <v>133889.47</v>
          </cell>
          <cell r="DD53">
            <v>350.95</v>
          </cell>
          <cell r="DE53">
            <v>121479.9</v>
          </cell>
          <cell r="DF53">
            <v>0</v>
          </cell>
        </row>
        <row r="54">
          <cell r="DA54">
            <v>18624.800673710968</v>
          </cell>
          <cell r="DC54">
            <v>46249.99</v>
          </cell>
          <cell r="DD54"/>
          <cell r="DE54">
            <v>28852.749999999996</v>
          </cell>
          <cell r="DF54">
            <v>0</v>
          </cell>
        </row>
        <row r="55">
          <cell r="DA55">
            <v>-4970.1145010815908</v>
          </cell>
          <cell r="DC55">
            <v>36760.78</v>
          </cell>
          <cell r="DD55">
            <v>-151.63</v>
          </cell>
          <cell r="DE55">
            <v>28957.93</v>
          </cell>
          <cell r="DF55">
            <v>-686.59</v>
          </cell>
        </row>
        <row r="56">
          <cell r="DA56">
            <v>-23038.095386083856</v>
          </cell>
          <cell r="DC56">
            <v>49025.09</v>
          </cell>
          <cell r="DD56">
            <v>2131.9699999999998</v>
          </cell>
          <cell r="DE56">
            <v>40243.839999999997</v>
          </cell>
          <cell r="DF56">
            <v>-2805.7500000000005</v>
          </cell>
        </row>
        <row r="57">
          <cell r="DA57">
            <v>72671.16483682851</v>
          </cell>
          <cell r="DC57">
            <v>10716.41</v>
          </cell>
          <cell r="DD57"/>
          <cell r="DE57">
            <v>2558.7399999999998</v>
          </cell>
          <cell r="DF57">
            <v>0</v>
          </cell>
        </row>
        <row r="58">
          <cell r="DA58">
            <v>-24206.098014274572</v>
          </cell>
          <cell r="DC58">
            <v>2615.08</v>
          </cell>
          <cell r="DD58"/>
          <cell r="DE58">
            <v>1493.37</v>
          </cell>
          <cell r="DF58">
            <v>0</v>
          </cell>
        </row>
        <row r="59">
          <cell r="DA59">
            <v>-4198.7401337671254</v>
          </cell>
          <cell r="DC59">
            <v>419</v>
          </cell>
          <cell r="DD59"/>
          <cell r="DE59">
            <v>67.029999999999973</v>
          </cell>
          <cell r="DF59">
            <v>0</v>
          </cell>
        </row>
        <row r="60">
          <cell r="DA60">
            <v>8699.6282566232239</v>
          </cell>
          <cell r="DC60">
            <v>153.9</v>
          </cell>
          <cell r="DD60"/>
          <cell r="DE60">
            <v>0</v>
          </cell>
          <cell r="DF60">
            <v>0</v>
          </cell>
        </row>
        <row r="61">
          <cell r="DA61">
            <v>82006.759574489784</v>
          </cell>
          <cell r="DC61">
            <v>9659.84</v>
          </cell>
          <cell r="DD61">
            <v>4770.1000000000004</v>
          </cell>
          <cell r="DE61">
            <v>2965.0600000000004</v>
          </cell>
          <cell r="DF61">
            <v>3374.8900000000003</v>
          </cell>
        </row>
        <row r="62">
          <cell r="DA62">
            <v>48795.328273454172</v>
          </cell>
          <cell r="DC62">
            <v>7037.16</v>
          </cell>
          <cell r="DD62">
            <v>1039.1400000000001</v>
          </cell>
          <cell r="DE62">
            <v>2171.83</v>
          </cell>
          <cell r="DF62">
            <v>692.7600000000001</v>
          </cell>
        </row>
        <row r="63">
          <cell r="DA63">
            <v>-11138.938256668625</v>
          </cell>
          <cell r="DC63">
            <v>30953.360000000001</v>
          </cell>
          <cell r="DD63">
            <v>2581.16</v>
          </cell>
          <cell r="DE63">
            <v>13351.080000000002</v>
          </cell>
          <cell r="DF63">
            <v>2292.6799999999998</v>
          </cell>
        </row>
        <row r="64">
          <cell r="DA64">
            <v>-16619.91020784781</v>
          </cell>
          <cell r="DC64">
            <v>13128.47</v>
          </cell>
          <cell r="DD64">
            <v>12299.12</v>
          </cell>
          <cell r="DE64">
            <v>4864.9499999999989</v>
          </cell>
          <cell r="DF64">
            <v>10456.280000000001</v>
          </cell>
        </row>
        <row r="65">
          <cell r="DA65">
            <v>20225.438938186417</v>
          </cell>
          <cell r="DC65">
            <v>3194.89</v>
          </cell>
          <cell r="DD65"/>
          <cell r="DE65">
            <v>2741.04</v>
          </cell>
          <cell r="DF65">
            <v>0</v>
          </cell>
        </row>
        <row r="66">
          <cell r="DA66">
            <v>-5729.8050846850947</v>
          </cell>
          <cell r="DC66">
            <v>3091.05</v>
          </cell>
          <cell r="DD66"/>
          <cell r="DE66">
            <v>2588.9300000000003</v>
          </cell>
          <cell r="DF66">
            <v>0</v>
          </cell>
        </row>
        <row r="67">
          <cell r="DA67">
            <v>56558.327575675037</v>
          </cell>
          <cell r="DC67">
            <v>128933.75999999999</v>
          </cell>
          <cell r="DD67"/>
          <cell r="DE67">
            <v>67363.19</v>
          </cell>
          <cell r="DF67">
            <v>0</v>
          </cell>
        </row>
        <row r="68">
          <cell r="DA68">
            <v>-9274.143213332638</v>
          </cell>
          <cell r="DC68">
            <v>3481.17</v>
          </cell>
          <cell r="DD68"/>
          <cell r="DE68">
            <v>3078.06</v>
          </cell>
          <cell r="DF68">
            <v>0</v>
          </cell>
        </row>
        <row r="69">
          <cell r="DA69">
            <v>-7817.0562622933958</v>
          </cell>
          <cell r="DC69">
            <v>4276.59</v>
          </cell>
          <cell r="DD69"/>
          <cell r="DE69">
            <v>4033.82</v>
          </cell>
          <cell r="DF69">
            <v>0</v>
          </cell>
        </row>
        <row r="70">
          <cell r="DA70">
            <v>26635.504936484402</v>
          </cell>
          <cell r="DC70">
            <v>109812.83</v>
          </cell>
          <cell r="DD70"/>
          <cell r="DE70">
            <v>58925.37</v>
          </cell>
          <cell r="DF70">
            <v>0</v>
          </cell>
        </row>
        <row r="71">
          <cell r="DA71">
            <v>-32905.612915709164</v>
          </cell>
          <cell r="DC71">
            <v>52751.9</v>
          </cell>
          <cell r="DD71"/>
          <cell r="DE71">
            <v>36850.15</v>
          </cell>
          <cell r="DF71">
            <v>0</v>
          </cell>
        </row>
        <row r="72">
          <cell r="DA72">
            <v>-22971.220460311015</v>
          </cell>
          <cell r="DC72">
            <v>258229.64</v>
          </cell>
          <cell r="DD72"/>
          <cell r="DE72">
            <v>173325.37</v>
          </cell>
          <cell r="DF72">
            <v>0</v>
          </cell>
        </row>
        <row r="73">
          <cell r="DA73">
            <v>94826.859639184462</v>
          </cell>
          <cell r="DC73">
            <v>20123.439999999999</v>
          </cell>
          <cell r="DD73"/>
          <cell r="DE73">
            <v>4020.2899999999991</v>
          </cell>
          <cell r="DF73">
            <v>0</v>
          </cell>
        </row>
        <row r="74">
          <cell r="DA74">
            <v>46718.634953614572</v>
          </cell>
          <cell r="DC74">
            <v>321858.23</v>
          </cell>
          <cell r="DD74">
            <v>959.44</v>
          </cell>
          <cell r="DE74">
            <v>238440.19999999998</v>
          </cell>
          <cell r="DF74">
            <v>479.58000000000004</v>
          </cell>
        </row>
        <row r="75">
          <cell r="DA75">
            <v>126.0781682432339</v>
          </cell>
          <cell r="DC75">
            <v>118.76</v>
          </cell>
          <cell r="DD75"/>
          <cell r="DE75">
            <v>-275.76</v>
          </cell>
          <cell r="DF75">
            <v>0</v>
          </cell>
        </row>
        <row r="76">
          <cell r="DA76">
            <v>-9973.9241581750612</v>
          </cell>
          <cell r="DC76">
            <v>-982.36</v>
          </cell>
          <cell r="DD76"/>
          <cell r="DE76">
            <v>-1325.03</v>
          </cell>
          <cell r="DF76">
            <v>0</v>
          </cell>
        </row>
        <row r="77">
          <cell r="DA77">
            <v>-7395.8573848682609</v>
          </cell>
          <cell r="DC77">
            <v>380.7</v>
          </cell>
          <cell r="DD77"/>
          <cell r="DE77">
            <v>0</v>
          </cell>
          <cell r="DF77">
            <v>0</v>
          </cell>
        </row>
        <row r="78">
          <cell r="DA78">
            <v>-22319.927694081976</v>
          </cell>
          <cell r="DC78">
            <v>1922.26</v>
          </cell>
          <cell r="DD78"/>
          <cell r="DE78">
            <v>1193.06</v>
          </cell>
          <cell r="DF78">
            <v>0</v>
          </cell>
        </row>
        <row r="79">
          <cell r="DA79">
            <v>10915.637832537859</v>
          </cell>
          <cell r="DC79">
            <v>474.05</v>
          </cell>
          <cell r="DD79"/>
          <cell r="DE79">
            <v>-1.0799999999999841</v>
          </cell>
          <cell r="DF79">
            <v>0</v>
          </cell>
        </row>
        <row r="80">
          <cell r="DA80">
            <v>-4965.1057262874565</v>
          </cell>
          <cell r="DC80">
            <v>527.02</v>
          </cell>
          <cell r="DD80"/>
          <cell r="DE80">
            <v>-12.519999999999982</v>
          </cell>
          <cell r="DF80">
            <v>0</v>
          </cell>
        </row>
        <row r="81">
          <cell r="DA81">
            <v>-13044.462069091642</v>
          </cell>
          <cell r="DC81">
            <v>9325.76</v>
          </cell>
          <cell r="DD81"/>
          <cell r="DE81">
            <v>8660.23</v>
          </cell>
          <cell r="DF81">
            <v>0</v>
          </cell>
        </row>
        <row r="82">
          <cell r="DA82">
            <v>-2220.4548233404189</v>
          </cell>
          <cell r="DC82">
            <v>245.39</v>
          </cell>
          <cell r="DD82"/>
          <cell r="DE82">
            <v>0</v>
          </cell>
          <cell r="DF82">
            <v>0</v>
          </cell>
        </row>
        <row r="83">
          <cell r="DA83">
            <v>74194.618542699347</v>
          </cell>
          <cell r="DC83">
            <v>93454.28</v>
          </cell>
          <cell r="DD83"/>
          <cell r="DE83">
            <v>59616.229999999996</v>
          </cell>
          <cell r="DF83">
            <v>0</v>
          </cell>
        </row>
        <row r="84">
          <cell r="DA84">
            <v>101893.39229565405</v>
          </cell>
          <cell r="DC84">
            <v>74065</v>
          </cell>
          <cell r="DD84"/>
          <cell r="DE84">
            <v>58753.36</v>
          </cell>
          <cell r="DF84">
            <v>0</v>
          </cell>
        </row>
        <row r="85">
          <cell r="DA85">
            <v>121525.39679439904</v>
          </cell>
          <cell r="DC85">
            <v>70064.91</v>
          </cell>
          <cell r="DD85"/>
          <cell r="DE85">
            <v>40922.740000000005</v>
          </cell>
          <cell r="DF85">
            <v>0</v>
          </cell>
        </row>
        <row r="86">
          <cell r="DA86">
            <v>-100717.88859378063</v>
          </cell>
          <cell r="DC86">
            <v>100101.43</v>
          </cell>
          <cell r="DD86"/>
          <cell r="DE86">
            <v>62435.80999999999</v>
          </cell>
          <cell r="DF86">
            <v>0</v>
          </cell>
        </row>
        <row r="87">
          <cell r="DA87">
            <v>1331.3832214195454</v>
          </cell>
          <cell r="DC87">
            <v>1769.97</v>
          </cell>
          <cell r="DD87"/>
          <cell r="DE87">
            <v>1334.5</v>
          </cell>
          <cell r="DF87">
            <v>0</v>
          </cell>
        </row>
        <row r="88">
          <cell r="DA88">
            <v>-56232.094851788781</v>
          </cell>
          <cell r="DC88">
            <v>161137.66</v>
          </cell>
          <cell r="DD88">
            <v>7392.44</v>
          </cell>
          <cell r="DE88">
            <v>89591.21</v>
          </cell>
          <cell r="DF88">
            <v>7186.08</v>
          </cell>
        </row>
        <row r="89">
          <cell r="DA89">
            <v>-1884.4057294592271</v>
          </cell>
          <cell r="DC89">
            <v>675.94</v>
          </cell>
          <cell r="DD89"/>
          <cell r="DE89">
            <v>146.90000000000009</v>
          </cell>
          <cell r="DF89">
            <v>0</v>
          </cell>
        </row>
        <row r="90">
          <cell r="DA90">
            <v>45324.016641158807</v>
          </cell>
          <cell r="DC90">
            <v>17308.86</v>
          </cell>
          <cell r="DD90">
            <v>732.48</v>
          </cell>
          <cell r="DE90">
            <v>9233.7800000000007</v>
          </cell>
          <cell r="DF90">
            <v>250.26</v>
          </cell>
        </row>
        <row r="91">
          <cell r="DA91">
            <v>-37444.844383878692</v>
          </cell>
          <cell r="DC91">
            <v>121476.77</v>
          </cell>
          <cell r="DD91">
            <v>14788.84</v>
          </cell>
          <cell r="DE91">
            <v>54984.31</v>
          </cell>
          <cell r="DF91">
            <v>14012.880000000001</v>
          </cell>
        </row>
        <row r="92">
          <cell r="DA92">
            <v>-71004.461368239907</v>
          </cell>
          <cell r="DC92">
            <v>106851.66</v>
          </cell>
          <cell r="DD92">
            <v>2473.6</v>
          </cell>
          <cell r="DE92">
            <v>77761.58</v>
          </cell>
          <cell r="DF92">
            <v>2163.2399999999998</v>
          </cell>
        </row>
        <row r="93">
          <cell r="DA93">
            <v>94249.364086059155</v>
          </cell>
          <cell r="DC93">
            <v>71816.539999999994</v>
          </cell>
          <cell r="DD93">
            <v>976</v>
          </cell>
          <cell r="DE93">
            <v>41893.689999999995</v>
          </cell>
          <cell r="DF93">
            <v>332.87</v>
          </cell>
        </row>
        <row r="94">
          <cell r="DA94">
            <v>-84787.378935065775</v>
          </cell>
          <cell r="DC94">
            <v>68240.87</v>
          </cell>
          <cell r="DD94">
            <v>0</v>
          </cell>
          <cell r="DE94">
            <v>33671.53</v>
          </cell>
          <cell r="DF94">
            <v>-329.74</v>
          </cell>
        </row>
        <row r="95">
          <cell r="DA95">
            <v>-49517.035008973646</v>
          </cell>
          <cell r="DC95">
            <v>188513.52</v>
          </cell>
          <cell r="DD95"/>
          <cell r="DE95">
            <v>116321.20999999999</v>
          </cell>
          <cell r="DF95">
            <v>0</v>
          </cell>
        </row>
        <row r="96">
          <cell r="DA96">
            <v>-98323.282561915737</v>
          </cell>
          <cell r="DC96">
            <v>182368.78</v>
          </cell>
          <cell r="DD96"/>
          <cell r="DE96">
            <v>129769.81</v>
          </cell>
          <cell r="DF96">
            <v>0</v>
          </cell>
        </row>
        <row r="97">
          <cell r="DA97">
            <v>25405.171801724864</v>
          </cell>
          <cell r="DC97">
            <v>17306.39</v>
          </cell>
          <cell r="DD97">
            <v>-1481.24</v>
          </cell>
          <cell r="DE97">
            <v>15329.099999999999</v>
          </cell>
          <cell r="DF97">
            <v>-2490.46</v>
          </cell>
        </row>
        <row r="98">
          <cell r="DA98">
            <v>-107941.28323284417</v>
          </cell>
          <cell r="DC98">
            <v>12456.52</v>
          </cell>
          <cell r="DD98"/>
          <cell r="DE98">
            <v>-97.979999999999563</v>
          </cell>
          <cell r="DF98">
            <v>0</v>
          </cell>
        </row>
        <row r="99">
          <cell r="DA99">
            <v>66331.503393820341</v>
          </cell>
          <cell r="DC99">
            <v>18724.82</v>
          </cell>
          <cell r="DD99">
            <v>4467.99</v>
          </cell>
          <cell r="DE99">
            <v>16388.259999999998</v>
          </cell>
          <cell r="DF99">
            <v>4148.8499999999995</v>
          </cell>
        </row>
        <row r="100">
          <cell r="DA100">
            <v>34474.527765993844</v>
          </cell>
          <cell r="DC100">
            <v>32109.4</v>
          </cell>
          <cell r="DD100">
            <v>19866.37</v>
          </cell>
          <cell r="DE100">
            <v>29982.880000000001</v>
          </cell>
          <cell r="DF100">
            <v>19546.95</v>
          </cell>
        </row>
        <row r="101">
          <cell r="DA101">
            <v>-8443.9531494818912</v>
          </cell>
          <cell r="DC101">
            <v>21251.35</v>
          </cell>
          <cell r="DD101">
            <v>252.49</v>
          </cell>
          <cell r="DE101">
            <v>16721.11</v>
          </cell>
          <cell r="DF101">
            <v>-193.24</v>
          </cell>
        </row>
        <row r="102">
          <cell r="DA102">
            <v>-11729.871099745691</v>
          </cell>
          <cell r="DC102">
            <v>9361.2199999999993</v>
          </cell>
          <cell r="DD102">
            <v>8141.21</v>
          </cell>
          <cell r="DE102">
            <v>4972.5399999999991</v>
          </cell>
          <cell r="DF102">
            <v>6610.79</v>
          </cell>
        </row>
        <row r="103">
          <cell r="DA103">
            <v>-42310.394946886823</v>
          </cell>
          <cell r="DC103">
            <v>24012.94</v>
          </cell>
          <cell r="DD103">
            <v>5429.0300000000007</v>
          </cell>
          <cell r="DE103">
            <v>20847.05</v>
          </cell>
          <cell r="DF103">
            <v>4694.5000000000009</v>
          </cell>
        </row>
        <row r="104">
          <cell r="DA104">
            <v>13082.537597230021</v>
          </cell>
          <cell r="DC104">
            <v>15162.5</v>
          </cell>
          <cell r="DD104">
            <v>3743.7799999999997</v>
          </cell>
          <cell r="DE104">
            <v>12866.07</v>
          </cell>
          <cell r="DF104">
            <v>3059.33</v>
          </cell>
        </row>
        <row r="105">
          <cell r="DA105">
            <v>32729.783903731695</v>
          </cell>
          <cell r="DC105">
            <v>9899.68</v>
          </cell>
          <cell r="DD105"/>
          <cell r="DE105">
            <v>7012.8</v>
          </cell>
          <cell r="DF105">
            <v>0</v>
          </cell>
        </row>
        <row r="106">
          <cell r="DA106">
            <v>15473.544576400389</v>
          </cell>
          <cell r="DC106">
            <v>10505.33</v>
          </cell>
          <cell r="DD106">
            <v>-1012.92</v>
          </cell>
          <cell r="DE106">
            <v>4468.76</v>
          </cell>
          <cell r="DF106">
            <v>-1286.54</v>
          </cell>
        </row>
        <row r="107">
          <cell r="DA107">
            <v>58646.890652083603</v>
          </cell>
          <cell r="DC107">
            <v>8339.86</v>
          </cell>
          <cell r="DD107">
            <v>1694.42</v>
          </cell>
          <cell r="DE107">
            <v>471.13000000000102</v>
          </cell>
          <cell r="DF107">
            <v>1225.3200000000002</v>
          </cell>
        </row>
        <row r="108">
          <cell r="DA108">
            <v>14679.601441295152</v>
          </cell>
          <cell r="DC108">
            <v>3626.1</v>
          </cell>
          <cell r="DD108"/>
          <cell r="DE108">
            <v>393.40999999999985</v>
          </cell>
          <cell r="DF108">
            <v>0</v>
          </cell>
        </row>
        <row r="109">
          <cell r="DA109">
            <v>17837.158569431322</v>
          </cell>
          <cell r="DC109">
            <v>21240.84</v>
          </cell>
          <cell r="DD109">
            <v>7067.24</v>
          </cell>
          <cell r="DE109">
            <v>13789.36</v>
          </cell>
          <cell r="DF109">
            <v>5982.73</v>
          </cell>
        </row>
        <row r="110">
          <cell r="DA110">
            <v>18513.603297004007</v>
          </cell>
          <cell r="DC110">
            <v>4582.71</v>
          </cell>
          <cell r="DD110"/>
          <cell r="DE110">
            <v>920.67000000000007</v>
          </cell>
          <cell r="DF110">
            <v>0</v>
          </cell>
        </row>
        <row r="111">
          <cell r="DA111">
            <v>-13691.812068809828</v>
          </cell>
          <cell r="DC111">
            <v>72575.33</v>
          </cell>
          <cell r="DD111">
            <v>604.36</v>
          </cell>
          <cell r="DE111">
            <v>57075.76</v>
          </cell>
          <cell r="DF111">
            <v>-146.94999999999993</v>
          </cell>
        </row>
        <row r="112">
          <cell r="DA112">
            <v>-5311.5760233568471</v>
          </cell>
          <cell r="DC112">
            <v>43659.44</v>
          </cell>
          <cell r="DD112">
            <v>1071.52</v>
          </cell>
          <cell r="DE112">
            <v>34701.270000000004</v>
          </cell>
          <cell r="DF112">
            <v>673.06999999999994</v>
          </cell>
        </row>
        <row r="113">
          <cell r="DA113">
            <v>-3117.9264191175753</v>
          </cell>
          <cell r="DC113">
            <v>25853.17</v>
          </cell>
          <cell r="DD113"/>
          <cell r="DE113">
            <v>7068.91</v>
          </cell>
          <cell r="DF113">
            <v>0</v>
          </cell>
        </row>
        <row r="114">
          <cell r="DA114">
            <v>-116216.665798633</v>
          </cell>
          <cell r="DC114">
            <v>56242.49</v>
          </cell>
          <cell r="DD114"/>
          <cell r="DE114">
            <v>27536.69</v>
          </cell>
          <cell r="DF114">
            <v>0</v>
          </cell>
        </row>
        <row r="115">
          <cell r="DA115">
            <v>-6150.163714147131</v>
          </cell>
          <cell r="DC115">
            <v>176.4</v>
          </cell>
          <cell r="DD115"/>
          <cell r="DE115">
            <v>-52.41</v>
          </cell>
          <cell r="DF115">
            <v>0</v>
          </cell>
        </row>
        <row r="116">
          <cell r="DA116">
            <v>-16690.310877466385</v>
          </cell>
          <cell r="DC116">
            <v>1559.31</v>
          </cell>
          <cell r="DD116"/>
          <cell r="DE116">
            <v>185.07999999999993</v>
          </cell>
          <cell r="DF116">
            <v>0</v>
          </cell>
        </row>
        <row r="117">
          <cell r="DA117">
            <v>-7586.0473826786774</v>
          </cell>
          <cell r="DC117">
            <v>281.60000000000002</v>
          </cell>
          <cell r="DD117"/>
          <cell r="DE117">
            <v>0</v>
          </cell>
          <cell r="DF117">
            <v>0</v>
          </cell>
        </row>
        <row r="118">
          <cell r="DA118">
            <v>-5908.1407554812831</v>
          </cell>
          <cell r="DC118">
            <v>333.06</v>
          </cell>
          <cell r="DD118"/>
          <cell r="DE118">
            <v>83.56</v>
          </cell>
          <cell r="DF118">
            <v>0</v>
          </cell>
        </row>
        <row r="119">
          <cell r="DA119">
            <v>-6501.5439523683726</v>
          </cell>
          <cell r="DC119">
            <v>556.04</v>
          </cell>
          <cell r="DD119"/>
          <cell r="DE119">
            <v>272.64999999999998</v>
          </cell>
          <cell r="DF119">
            <v>0</v>
          </cell>
        </row>
        <row r="120">
          <cell r="DA120">
            <v>-4078.7268312180745</v>
          </cell>
          <cell r="DC120">
            <v>2352.61</v>
          </cell>
          <cell r="DD120"/>
          <cell r="DE120">
            <v>2005.4</v>
          </cell>
          <cell r="DF120">
            <v>0</v>
          </cell>
        </row>
        <row r="121">
          <cell r="DA121">
            <v>49899.681220075508</v>
          </cell>
          <cell r="DC121">
            <v>38104.910000000003</v>
          </cell>
          <cell r="DD121"/>
          <cell r="DE121">
            <v>21044.190000000002</v>
          </cell>
          <cell r="DF121">
            <v>0</v>
          </cell>
        </row>
        <row r="122">
          <cell r="DA122">
            <v>-9163.3031970041302</v>
          </cell>
          <cell r="DC122">
            <v>319.85000000000002</v>
          </cell>
          <cell r="DD122"/>
          <cell r="DE122">
            <v>23.920000000000016</v>
          </cell>
          <cell r="DF122">
            <v>0</v>
          </cell>
        </row>
        <row r="123">
          <cell r="DA123">
            <v>-5879.5499101772511</v>
          </cell>
          <cell r="DC123">
            <v>327.26</v>
          </cell>
          <cell r="DD123"/>
          <cell r="DE123">
            <v>143.29999999999998</v>
          </cell>
          <cell r="DF123">
            <v>0</v>
          </cell>
        </row>
        <row r="124">
          <cell r="DA124">
            <v>-5725.1960958329819</v>
          </cell>
          <cell r="DC124">
            <v>1117.3399999999999</v>
          </cell>
          <cell r="DD124"/>
          <cell r="DE124">
            <v>936.07999999999993</v>
          </cell>
          <cell r="DF124">
            <v>0</v>
          </cell>
        </row>
        <row r="125">
          <cell r="DA125">
            <v>-4541.8258938119616</v>
          </cell>
          <cell r="DC125">
            <v>38430.18</v>
          </cell>
          <cell r="DD125">
            <v>0</v>
          </cell>
          <cell r="DE125">
            <v>24030.39</v>
          </cell>
          <cell r="DF125">
            <v>-369.26</v>
          </cell>
        </row>
        <row r="126">
          <cell r="DA126">
            <v>95077.707930330798</v>
          </cell>
          <cell r="DC126">
            <v>174194.78</v>
          </cell>
          <cell r="DD126"/>
          <cell r="DE126">
            <v>123154.72</v>
          </cell>
          <cell r="DF126">
            <v>0</v>
          </cell>
        </row>
        <row r="127">
          <cell r="DA127">
            <v>-5445.2362602190115</v>
          </cell>
          <cell r="DC127">
            <v>137292.85</v>
          </cell>
          <cell r="DD127"/>
          <cell r="DE127">
            <v>82049.94</v>
          </cell>
          <cell r="DF127">
            <v>0</v>
          </cell>
        </row>
        <row r="128">
          <cell r="DA128">
            <v>-8666.2335778946363</v>
          </cell>
          <cell r="DC128">
            <v>615.73</v>
          </cell>
          <cell r="DD128"/>
          <cell r="DE128">
            <v>212.5</v>
          </cell>
          <cell r="DF128">
            <v>0</v>
          </cell>
        </row>
        <row r="129">
          <cell r="DA129">
            <v>-6850.4848546352696</v>
          </cell>
          <cell r="DC129">
            <v>1553.83</v>
          </cell>
          <cell r="DD129"/>
          <cell r="DE129">
            <v>1270.48</v>
          </cell>
          <cell r="DF129">
            <v>0</v>
          </cell>
        </row>
        <row r="130">
          <cell r="DA130">
            <v>-6033.4576811071383</v>
          </cell>
          <cell r="DC130">
            <v>276.83999999999997</v>
          </cell>
          <cell r="DD130"/>
          <cell r="DE130">
            <v>53.519999999999982</v>
          </cell>
          <cell r="DF130">
            <v>0</v>
          </cell>
        </row>
        <row r="131">
          <cell r="DA131">
            <v>8396.1531028750651</v>
          </cell>
          <cell r="DC131">
            <v>27316.29</v>
          </cell>
          <cell r="DD131"/>
          <cell r="DE131">
            <v>9252.4200000000019</v>
          </cell>
          <cell r="DF131">
            <v>0</v>
          </cell>
        </row>
        <row r="132">
          <cell r="DA132">
            <v>-5712.4389192670787</v>
          </cell>
          <cell r="DC132">
            <v>251.23</v>
          </cell>
          <cell r="DD132"/>
          <cell r="DE132">
            <v>0</v>
          </cell>
          <cell r="DF132">
            <v>0</v>
          </cell>
        </row>
        <row r="133">
          <cell r="DA133">
            <v>12208.548887130744</v>
          </cell>
          <cell r="DC133">
            <v>61.95</v>
          </cell>
          <cell r="DD133"/>
          <cell r="DE133">
            <v>-218.14</v>
          </cell>
          <cell r="DF133">
            <v>0</v>
          </cell>
        </row>
        <row r="134">
          <cell r="DA134">
            <v>79749.556656484201</v>
          </cell>
          <cell r="DC134">
            <v>27119.5</v>
          </cell>
          <cell r="DD134">
            <v>15709.18</v>
          </cell>
          <cell r="DE134">
            <v>18606.43</v>
          </cell>
          <cell r="DF134">
            <v>15473.880000000001</v>
          </cell>
        </row>
        <row r="135">
          <cell r="DA135">
            <v>-119442.13923792233</v>
          </cell>
          <cell r="DC135">
            <v>51337.79</v>
          </cell>
          <cell r="DD135"/>
          <cell r="DE135">
            <v>21443.79</v>
          </cell>
          <cell r="DF135">
            <v>0</v>
          </cell>
        </row>
        <row r="136">
          <cell r="DA136">
            <v>-64731.813368703741</v>
          </cell>
          <cell r="DC136">
            <v>9251.69</v>
          </cell>
          <cell r="DD136">
            <v>1463.1200000000001</v>
          </cell>
          <cell r="DE136">
            <v>2257.5800000000008</v>
          </cell>
          <cell r="DF136">
            <v>1087.8600000000001</v>
          </cell>
        </row>
        <row r="137">
          <cell r="DA137">
            <v>30299.848042111582</v>
          </cell>
          <cell r="DC137">
            <v>3522.92</v>
          </cell>
          <cell r="DD137">
            <v>16223.07</v>
          </cell>
          <cell r="DE137">
            <v>268.84999999999991</v>
          </cell>
          <cell r="DF137">
            <v>15175.36</v>
          </cell>
        </row>
        <row r="138">
          <cell r="DA138">
            <v>4984.260387162607</v>
          </cell>
          <cell r="DC138">
            <v>7229.6</v>
          </cell>
          <cell r="DD138"/>
          <cell r="DE138">
            <v>4661.1200000000008</v>
          </cell>
          <cell r="DF138">
            <v>0</v>
          </cell>
        </row>
        <row r="139">
          <cell r="DA139">
            <v>-58257.826746669409</v>
          </cell>
          <cell r="DC139">
            <v>57962.36</v>
          </cell>
          <cell r="DD139">
            <v>82198.409999999989</v>
          </cell>
          <cell r="DE139">
            <v>45129.15</v>
          </cell>
          <cell r="DF139">
            <v>78195.559999999983</v>
          </cell>
        </row>
        <row r="140">
          <cell r="DA140">
            <v>-20414.486005721981</v>
          </cell>
          <cell r="DC140">
            <v>638.16999999999996</v>
          </cell>
          <cell r="DD140"/>
          <cell r="DE140">
            <v>-1105.75</v>
          </cell>
          <cell r="DF140">
            <v>0</v>
          </cell>
        </row>
        <row r="141">
          <cell r="DA141">
            <v>-7517.1734753493138</v>
          </cell>
          <cell r="DC141">
            <v>220.29</v>
          </cell>
          <cell r="DD141">
            <v>4849.6000000000004</v>
          </cell>
          <cell r="DE141">
            <v>-50.599999999999994</v>
          </cell>
          <cell r="DF141">
            <v>4614.1400000000003</v>
          </cell>
        </row>
        <row r="142">
          <cell r="DA142">
            <v>-6594.3437594899224</v>
          </cell>
          <cell r="DC142">
            <v>52542.58</v>
          </cell>
          <cell r="DD142">
            <v>49131.92</v>
          </cell>
          <cell r="DE142">
            <v>41684.61</v>
          </cell>
          <cell r="DF142">
            <v>43857.35</v>
          </cell>
        </row>
        <row r="143">
          <cell r="DA143">
            <v>-21389.854361227768</v>
          </cell>
          <cell r="DC143">
            <v>18757.84</v>
          </cell>
          <cell r="DD143">
            <v>0</v>
          </cell>
          <cell r="DE143">
            <v>8861.27</v>
          </cell>
          <cell r="DF143">
            <v>-202.15</v>
          </cell>
        </row>
        <row r="144">
          <cell r="DA144">
            <v>152385.39516977634</v>
          </cell>
          <cell r="DC144">
            <v>19990.22</v>
          </cell>
          <cell r="DD144">
            <v>28245.269999999997</v>
          </cell>
          <cell r="DE144">
            <v>7393.85</v>
          </cell>
          <cell r="DF144">
            <v>26092.629999999997</v>
          </cell>
        </row>
        <row r="145">
          <cell r="DA145">
            <v>-39477.166443228954</v>
          </cell>
          <cell r="DC145">
            <v>146874.22</v>
          </cell>
          <cell r="DD145"/>
          <cell r="DE145">
            <v>98947.28</v>
          </cell>
          <cell r="DF145">
            <v>0</v>
          </cell>
        </row>
        <row r="146">
          <cell r="DA146">
            <v>-7329.9891792520821</v>
          </cell>
          <cell r="DC146">
            <v>553.66999999999996</v>
          </cell>
          <cell r="DD146"/>
          <cell r="DE146">
            <v>46.669999999999959</v>
          </cell>
          <cell r="DF146">
            <v>0</v>
          </cell>
        </row>
        <row r="147">
          <cell r="DA147">
            <v>8015.2845519765106</v>
          </cell>
          <cell r="DC147">
            <v>183386.26</v>
          </cell>
          <cell r="DD147"/>
          <cell r="DE147">
            <v>104099.65000000001</v>
          </cell>
          <cell r="DF147">
            <v>0</v>
          </cell>
        </row>
        <row r="148">
          <cell r="DA148">
            <v>25822.068791189013</v>
          </cell>
          <cell r="DC148">
            <v>35487.86</v>
          </cell>
          <cell r="DD148">
            <v>446.62</v>
          </cell>
          <cell r="DE148">
            <v>18110.91</v>
          </cell>
          <cell r="DF148">
            <v>0</v>
          </cell>
        </row>
        <row r="149">
          <cell r="DA149">
            <v>-18134.658520217017</v>
          </cell>
          <cell r="DC149">
            <v>39296.980000000003</v>
          </cell>
          <cell r="DD149"/>
          <cell r="DE149">
            <v>12164.400000000001</v>
          </cell>
          <cell r="DF149">
            <v>0</v>
          </cell>
        </row>
        <row r="150">
          <cell r="DA150">
            <v>-12835.461290896361</v>
          </cell>
          <cell r="DC150">
            <v>83523.34</v>
          </cell>
          <cell r="DD150"/>
          <cell r="DE150">
            <v>57675.399999999994</v>
          </cell>
          <cell r="DF150">
            <v>0</v>
          </cell>
        </row>
        <row r="151">
          <cell r="DA151">
            <v>39150.951072866381</v>
          </cell>
          <cell r="DC151">
            <v>50997.72</v>
          </cell>
          <cell r="DD151">
            <v>14673.34</v>
          </cell>
          <cell r="DE151">
            <v>20197.22</v>
          </cell>
          <cell r="DF151">
            <v>12343.75</v>
          </cell>
        </row>
        <row r="152">
          <cell r="DA152">
            <v>-12673.537321607284</v>
          </cell>
          <cell r="DC152">
            <v>46490.48</v>
          </cell>
          <cell r="DD152">
            <v>3761.01</v>
          </cell>
          <cell r="DE152">
            <v>11858.43</v>
          </cell>
          <cell r="DF152">
            <v>2776.0600000000004</v>
          </cell>
        </row>
        <row r="153">
          <cell r="DA153">
            <v>-105176.79353526994</v>
          </cell>
          <cell r="DC153">
            <v>109879.55</v>
          </cell>
          <cell r="DD153"/>
          <cell r="DE153">
            <v>56818.76</v>
          </cell>
          <cell r="DF153">
            <v>0</v>
          </cell>
        </row>
        <row r="154">
          <cell r="DA154">
            <v>-88265.870574432454</v>
          </cell>
          <cell r="DC154">
            <v>224234.67</v>
          </cell>
          <cell r="DD154">
            <v>22136.82</v>
          </cell>
          <cell r="DE154">
            <v>153116.21000000002</v>
          </cell>
          <cell r="DF154">
            <v>21482.63</v>
          </cell>
        </row>
        <row r="155">
          <cell r="DA155">
            <v>-1439.057310553665</v>
          </cell>
          <cell r="DC155">
            <v>1382.39</v>
          </cell>
          <cell r="DD155"/>
          <cell r="DE155">
            <v>1124.5500000000002</v>
          </cell>
          <cell r="DF155">
            <v>0</v>
          </cell>
        </row>
        <row r="156">
          <cell r="DA156">
            <v>-8234.7957460977268</v>
          </cell>
          <cell r="DC156">
            <v>394.26</v>
          </cell>
          <cell r="DD156"/>
          <cell r="DE156">
            <v>0</v>
          </cell>
          <cell r="DF156">
            <v>0</v>
          </cell>
        </row>
        <row r="157">
          <cell r="DA157">
            <v>-760.65421834344306</v>
          </cell>
          <cell r="DC157">
            <v>123037.26</v>
          </cell>
          <cell r="DD157"/>
          <cell r="DE157">
            <v>67746.94</v>
          </cell>
          <cell r="DF157">
            <v>0</v>
          </cell>
        </row>
        <row r="158">
          <cell r="DA158">
            <v>15711.448066805431</v>
          </cell>
          <cell r="DC158">
            <v>65368.26</v>
          </cell>
          <cell r="DD158"/>
          <cell r="DE158">
            <v>22143.480000000003</v>
          </cell>
          <cell r="DF158">
            <v>0</v>
          </cell>
        </row>
        <row r="159">
          <cell r="DA159">
            <v>-359.82541350412066</v>
          </cell>
          <cell r="DC159">
            <v>463.39</v>
          </cell>
          <cell r="DD159"/>
          <cell r="DE159">
            <v>110.80000000000001</v>
          </cell>
          <cell r="DF159">
            <v>0</v>
          </cell>
        </row>
        <row r="160">
          <cell r="DA160">
            <v>-4642.6193952481135</v>
          </cell>
          <cell r="DC160">
            <v>335.71</v>
          </cell>
          <cell r="DD160"/>
          <cell r="DE160">
            <v>0</v>
          </cell>
          <cell r="DF160">
            <v>0</v>
          </cell>
        </row>
        <row r="161">
          <cell r="DA161">
            <v>-82245.963823036029</v>
          </cell>
          <cell r="DC161">
            <v>68021.11</v>
          </cell>
          <cell r="DD161"/>
          <cell r="DE161">
            <v>19927.599999999999</v>
          </cell>
          <cell r="DF161">
            <v>0</v>
          </cell>
        </row>
        <row r="162">
          <cell r="DA162">
            <v>-505.0813869180007</v>
          </cell>
          <cell r="DC162">
            <v>58.86</v>
          </cell>
          <cell r="DD162"/>
          <cell r="DE162">
            <v>0</v>
          </cell>
          <cell r="DF162">
            <v>0</v>
          </cell>
        </row>
        <row r="163">
          <cell r="DA163">
            <v>-3730.0424435814061</v>
          </cell>
          <cell r="DC163"/>
          <cell r="DD163"/>
          <cell r="DE163"/>
          <cell r="DF163">
            <v>0</v>
          </cell>
        </row>
        <row r="164">
          <cell r="DA164">
            <v>-4799.0765918096913</v>
          </cell>
          <cell r="DC164"/>
          <cell r="DD164"/>
          <cell r="DE164"/>
          <cell r="DF164">
            <v>0</v>
          </cell>
        </row>
        <row r="165">
          <cell r="DA165">
            <v>-6501.6802018649969</v>
          </cell>
          <cell r="DC165">
            <v>230.89</v>
          </cell>
          <cell r="DD165"/>
          <cell r="DE165">
            <v>-1.2200000000000273</v>
          </cell>
          <cell r="DF165">
            <v>0</v>
          </cell>
        </row>
        <row r="166">
          <cell r="DA166">
            <v>-6268.7947953295698</v>
          </cell>
          <cell r="DC166">
            <v>312.75</v>
          </cell>
          <cell r="DD166"/>
          <cell r="DE166">
            <v>-28.279999999999973</v>
          </cell>
          <cell r="DF166">
            <v>0</v>
          </cell>
        </row>
        <row r="167">
          <cell r="DA167">
            <v>-9210.9964744761019</v>
          </cell>
          <cell r="DC167">
            <v>1262.3599999999999</v>
          </cell>
          <cell r="DD167"/>
          <cell r="DE167">
            <v>965.28</v>
          </cell>
          <cell r="DF167">
            <v>0</v>
          </cell>
        </row>
        <row r="168">
          <cell r="DA168">
            <v>-6858.8152368940509</v>
          </cell>
          <cell r="DC168">
            <v>-116.26</v>
          </cell>
          <cell r="DD168"/>
          <cell r="DE168">
            <v>-326.5</v>
          </cell>
          <cell r="DF168">
            <v>0</v>
          </cell>
        </row>
        <row r="169">
          <cell r="DA169">
            <v>-8847.8463458587539</v>
          </cell>
          <cell r="DC169">
            <v>393.68</v>
          </cell>
          <cell r="DD169"/>
          <cell r="DE169">
            <v>72.519999999999982</v>
          </cell>
          <cell r="DF169">
            <v>0</v>
          </cell>
        </row>
        <row r="170">
          <cell r="DA170">
            <v>-13645.968036433042</v>
          </cell>
          <cell r="DC170">
            <v>692.13</v>
          </cell>
          <cell r="DD170">
            <v>73.08</v>
          </cell>
          <cell r="DE170">
            <v>295.13</v>
          </cell>
          <cell r="DF170">
            <v>-6.0000000000002274E-2</v>
          </cell>
        </row>
        <row r="171">
          <cell r="DA171">
            <v>-5481.2088224081099</v>
          </cell>
          <cell r="DC171">
            <v>533.86</v>
          </cell>
          <cell r="DD171"/>
          <cell r="DE171">
            <v>334.15</v>
          </cell>
          <cell r="DF171">
            <v>0</v>
          </cell>
        </row>
        <row r="172">
          <cell r="DA172">
            <v>78912.896501531155</v>
          </cell>
          <cell r="DC172">
            <v>86429.48</v>
          </cell>
          <cell r="DD172">
            <v>2294.66</v>
          </cell>
          <cell r="DE172">
            <v>62846.81</v>
          </cell>
          <cell r="DF172">
            <v>2105.1799999999998</v>
          </cell>
        </row>
        <row r="173">
          <cell r="DA173">
            <v>1952.5898689121022</v>
          </cell>
          <cell r="DC173">
            <v>74567.95</v>
          </cell>
          <cell r="DD173"/>
          <cell r="DE173">
            <v>63597.599999999999</v>
          </cell>
          <cell r="DF173">
            <v>0</v>
          </cell>
        </row>
        <row r="174">
          <cell r="DA174">
            <v>-2518.3952210132575</v>
          </cell>
          <cell r="DC174">
            <v>1412.3</v>
          </cell>
          <cell r="DD174"/>
          <cell r="DE174">
            <v>26.369999999999891</v>
          </cell>
          <cell r="DF174">
            <v>0</v>
          </cell>
        </row>
        <row r="175">
          <cell r="DA175">
            <v>-89.158216270938738</v>
          </cell>
          <cell r="DC175">
            <v>232.08</v>
          </cell>
          <cell r="DD175"/>
          <cell r="DE175">
            <v>0</v>
          </cell>
          <cell r="DF175">
            <v>0</v>
          </cell>
        </row>
        <row r="176">
          <cell r="DA176">
            <v>-7843.2015658036862</v>
          </cell>
          <cell r="DC176">
            <v>1405.66</v>
          </cell>
          <cell r="DD176"/>
          <cell r="DE176">
            <v>1110.0500000000002</v>
          </cell>
          <cell r="DF176">
            <v>0</v>
          </cell>
        </row>
        <row r="177">
          <cell r="DA177">
            <v>-3753.3372934842155</v>
          </cell>
          <cell r="DC177">
            <v>433.46</v>
          </cell>
          <cell r="DD177"/>
          <cell r="DE177">
            <v>87.479999999999961</v>
          </cell>
          <cell r="DF177">
            <v>0</v>
          </cell>
        </row>
        <row r="178">
          <cell r="DA178">
            <v>-8597.527434517855</v>
          </cell>
          <cell r="DC178">
            <v>245.7</v>
          </cell>
          <cell r="DD178"/>
          <cell r="DE178">
            <v>-16.75</v>
          </cell>
          <cell r="DF178">
            <v>0</v>
          </cell>
        </row>
        <row r="179">
          <cell r="DA179">
            <v>-4301.5309781462674</v>
          </cell>
          <cell r="DC179">
            <v>2309.5700000000002</v>
          </cell>
          <cell r="DD179"/>
          <cell r="DE179">
            <v>478.22000000000025</v>
          </cell>
          <cell r="DF179">
            <v>0</v>
          </cell>
        </row>
        <row r="180">
          <cell r="DA180">
            <v>-47897.508217598515</v>
          </cell>
          <cell r="DC180">
            <v>88851.55</v>
          </cell>
          <cell r="DD180"/>
          <cell r="DE180">
            <v>64011.12</v>
          </cell>
          <cell r="DF180">
            <v>0</v>
          </cell>
        </row>
        <row r="181">
          <cell r="DA181">
            <v>-133686.16560005653</v>
          </cell>
          <cell r="DC181">
            <v>147482.47</v>
          </cell>
          <cell r="DD181"/>
          <cell r="DE181">
            <v>98172.52</v>
          </cell>
          <cell r="DF181">
            <v>0</v>
          </cell>
        </row>
        <row r="182">
          <cell r="DA182">
            <v>71620.437041679077</v>
          </cell>
          <cell r="DC182">
            <v>41076.39</v>
          </cell>
          <cell r="DD182"/>
          <cell r="DE182">
            <v>24220.079999999998</v>
          </cell>
          <cell r="DF182">
            <v>0</v>
          </cell>
        </row>
        <row r="183">
          <cell r="DA183">
            <v>-54511.176696460752</v>
          </cell>
          <cell r="DC183">
            <v>164177.94</v>
          </cell>
          <cell r="DD183"/>
          <cell r="DE183">
            <v>118773.09</v>
          </cell>
          <cell r="DF183">
            <v>0</v>
          </cell>
        </row>
        <row r="184">
          <cell r="DA184">
            <v>-81570.380669539358</v>
          </cell>
          <cell r="DC184">
            <v>136396.96</v>
          </cell>
          <cell r="DD184"/>
          <cell r="DE184">
            <v>87589.75</v>
          </cell>
          <cell r="DF184">
            <v>0</v>
          </cell>
        </row>
        <row r="185">
          <cell r="DA185">
            <v>89741.835256835824</v>
          </cell>
          <cell r="DC185">
            <v>78332.75</v>
          </cell>
          <cell r="DD185"/>
          <cell r="DE185">
            <v>51795.71</v>
          </cell>
          <cell r="DF185">
            <v>0</v>
          </cell>
        </row>
        <row r="186">
          <cell r="DA186">
            <v>-9853.6465082451177</v>
          </cell>
          <cell r="DC186">
            <v>1552.89</v>
          </cell>
          <cell r="DD186">
            <v>3603.74</v>
          </cell>
          <cell r="DE186">
            <v>0</v>
          </cell>
          <cell r="DF186">
            <v>2289.42</v>
          </cell>
        </row>
        <row r="187">
          <cell r="DA187">
            <v>234408.72707736443</v>
          </cell>
          <cell r="DC187">
            <v>3704.08</v>
          </cell>
          <cell r="DD187"/>
          <cell r="DE187">
            <v>2705.93</v>
          </cell>
          <cell r="DF187">
            <v>0</v>
          </cell>
        </row>
        <row r="188">
          <cell r="DA188">
            <v>-41841.312670210813</v>
          </cell>
          <cell r="DC188">
            <v>4689.04</v>
          </cell>
          <cell r="DD188"/>
          <cell r="DE188">
            <v>3159.92</v>
          </cell>
          <cell r="DF188">
            <v>0</v>
          </cell>
        </row>
        <row r="189">
          <cell r="DA189">
            <v>19927.523420331661</v>
          </cell>
          <cell r="DC189">
            <v>30330.16</v>
          </cell>
          <cell r="DD189">
            <v>10879.439999999999</v>
          </cell>
          <cell r="DE189">
            <v>29226.17</v>
          </cell>
          <cell r="DF189">
            <v>9186.7199999999993</v>
          </cell>
        </row>
        <row r="190">
          <cell r="DA190">
            <v>15879.094102723666</v>
          </cell>
          <cell r="DC190">
            <v>1086.54</v>
          </cell>
          <cell r="DD190">
            <v>2544.94</v>
          </cell>
          <cell r="DE190">
            <v>-649.29999999999995</v>
          </cell>
          <cell r="DF190">
            <v>1709.44</v>
          </cell>
        </row>
        <row r="191">
          <cell r="DA191">
            <v>27272.527523848148</v>
          </cell>
          <cell r="DC191">
            <v>24715.51</v>
          </cell>
          <cell r="DD191">
            <v>1377.37</v>
          </cell>
          <cell r="DE191">
            <v>12092.019999999999</v>
          </cell>
          <cell r="DF191">
            <v>587.74999999999989</v>
          </cell>
        </row>
        <row r="192">
          <cell r="DA192">
            <v>-6936.6814700044752</v>
          </cell>
          <cell r="DC192">
            <v>1905.39</v>
          </cell>
          <cell r="DD192"/>
          <cell r="DE192">
            <v>0</v>
          </cell>
          <cell r="DF192">
            <v>0</v>
          </cell>
        </row>
        <row r="193">
          <cell r="DA193">
            <v>34069.302458866623</v>
          </cell>
          <cell r="DC193">
            <v>3075.62</v>
          </cell>
          <cell r="DD193">
            <v>6557.89</v>
          </cell>
          <cell r="DE193">
            <v>422.58999999999969</v>
          </cell>
          <cell r="DF193">
            <v>6091</v>
          </cell>
        </row>
        <row r="194">
          <cell r="DA194">
            <v>-35376.055500932649</v>
          </cell>
          <cell r="DC194">
            <v>46422.28</v>
          </cell>
          <cell r="DD194">
            <v>54204.75</v>
          </cell>
          <cell r="DE194">
            <v>22311.98</v>
          </cell>
          <cell r="DF194">
            <v>52395.24</v>
          </cell>
        </row>
        <row r="195">
          <cell r="DA195">
            <v>-24851.378106178483</v>
          </cell>
          <cell r="DC195">
            <v>89608.92</v>
          </cell>
          <cell r="DD195"/>
          <cell r="DE195">
            <v>78021.09</v>
          </cell>
          <cell r="DF195">
            <v>0</v>
          </cell>
        </row>
        <row r="196">
          <cell r="DA196">
            <v>1878.6981107617876</v>
          </cell>
          <cell r="DC196">
            <v>4333.5600000000004</v>
          </cell>
          <cell r="DD196"/>
          <cell r="DE196">
            <v>2466.0200000000004</v>
          </cell>
          <cell r="DF196">
            <v>0</v>
          </cell>
        </row>
        <row r="197">
          <cell r="DA197">
            <v>-27415.161732033754</v>
          </cell>
          <cell r="DC197">
            <v>101679.64</v>
          </cell>
          <cell r="DD197"/>
          <cell r="DE197">
            <v>74814.8</v>
          </cell>
          <cell r="DF197">
            <v>0</v>
          </cell>
        </row>
        <row r="198">
          <cell r="DA198">
            <v>106195.79612576641</v>
          </cell>
          <cell r="DC198">
            <v>262876.94</v>
          </cell>
          <cell r="DD198">
            <v>27973.079999999998</v>
          </cell>
          <cell r="DE198">
            <v>165055.53</v>
          </cell>
          <cell r="DF198">
            <v>23702.21</v>
          </cell>
        </row>
        <row r="199">
          <cell r="DA199">
            <v>651.10941260193795</v>
          </cell>
          <cell r="DC199">
            <v>12572.13</v>
          </cell>
          <cell r="DD199">
            <v>13627.95</v>
          </cell>
          <cell r="DE199">
            <v>10097.869999999999</v>
          </cell>
          <cell r="DF199">
            <v>12930</v>
          </cell>
        </row>
        <row r="200">
          <cell r="DA200">
            <v>131.21655699037728</v>
          </cell>
          <cell r="DC200">
            <v>73898.789999999994</v>
          </cell>
          <cell r="DD200"/>
          <cell r="DE200">
            <v>36865.089999999997</v>
          </cell>
          <cell r="DF200">
            <v>0</v>
          </cell>
        </row>
        <row r="201">
          <cell r="DA201">
            <v>31257.472456787895</v>
          </cell>
          <cell r="DC201">
            <v>3498.56</v>
          </cell>
          <cell r="DD201">
            <v>8766.52</v>
          </cell>
          <cell r="DE201">
            <v>1597.74</v>
          </cell>
          <cell r="DF201">
            <v>8052.1600000000008</v>
          </cell>
        </row>
        <row r="202">
          <cell r="DA202">
            <v>-38869.127685835498</v>
          </cell>
          <cell r="DC202">
            <v>127296.26</v>
          </cell>
          <cell r="DD202"/>
          <cell r="DE202">
            <v>72360.319999999992</v>
          </cell>
          <cell r="DF202">
            <v>0</v>
          </cell>
        </row>
        <row r="203">
          <cell r="DA203">
            <v>113062.35737090081</v>
          </cell>
          <cell r="DC203">
            <v>94181.8</v>
          </cell>
          <cell r="DD203"/>
          <cell r="DE203">
            <v>52299.850000000006</v>
          </cell>
          <cell r="DF203">
            <v>0</v>
          </cell>
        </row>
        <row r="204">
          <cell r="DA204">
            <v>-49685.753976890017</v>
          </cell>
          <cell r="DC204">
            <v>43664.87</v>
          </cell>
          <cell r="DD204"/>
          <cell r="DE204">
            <v>28783.280000000002</v>
          </cell>
          <cell r="DF204">
            <v>0</v>
          </cell>
        </row>
        <row r="205">
          <cell r="DA205">
            <v>52028.984944659955</v>
          </cell>
          <cell r="DC205">
            <v>59423.64</v>
          </cell>
          <cell r="DD205"/>
          <cell r="DE205">
            <v>30059.579999999998</v>
          </cell>
          <cell r="DF205">
            <v>0</v>
          </cell>
        </row>
        <row r="206">
          <cell r="DA206">
            <v>-35705.357816570191</v>
          </cell>
          <cell r="DC206">
            <v>36417.410000000003</v>
          </cell>
          <cell r="DD206"/>
          <cell r="DE206">
            <v>20780.740000000005</v>
          </cell>
          <cell r="DF206">
            <v>0</v>
          </cell>
        </row>
        <row r="207">
          <cell r="DA207">
            <v>535.25636878030491</v>
          </cell>
          <cell r="DC207">
            <v>5481.88</v>
          </cell>
          <cell r="DD207">
            <v>21216.62</v>
          </cell>
          <cell r="DE207">
            <v>3185.88</v>
          </cell>
          <cell r="DF207">
            <v>20060.43</v>
          </cell>
        </row>
        <row r="208">
          <cell r="DA208">
            <v>-98350.692291661748</v>
          </cell>
          <cell r="DC208">
            <v>55291.71</v>
          </cell>
          <cell r="DD208"/>
          <cell r="DE208">
            <v>39903.479999999996</v>
          </cell>
          <cell r="DF208">
            <v>0</v>
          </cell>
        </row>
        <row r="209">
          <cell r="DA209">
            <v>-114381.07936275256</v>
          </cell>
          <cell r="DC209">
            <v>78909.119999999995</v>
          </cell>
          <cell r="DD209"/>
          <cell r="DE209">
            <v>49784.36</v>
          </cell>
          <cell r="DF209">
            <v>0</v>
          </cell>
        </row>
        <row r="210">
          <cell r="DA210">
            <v>40097.848401479947</v>
          </cell>
          <cell r="DC210">
            <v>18752.52</v>
          </cell>
          <cell r="DD210"/>
          <cell r="DE210">
            <v>3867.99</v>
          </cell>
          <cell r="DF210">
            <v>0</v>
          </cell>
        </row>
        <row r="211">
          <cell r="DA211">
            <v>1753.343309274527</v>
          </cell>
          <cell r="DC211">
            <v>216.02</v>
          </cell>
          <cell r="DD211"/>
          <cell r="DE211">
            <v>0</v>
          </cell>
          <cell r="DF211">
            <v>0</v>
          </cell>
        </row>
        <row r="212">
          <cell r="DA212">
            <v>15755.315599486141</v>
          </cell>
          <cell r="DC212">
            <v>800.86</v>
          </cell>
          <cell r="DD212"/>
          <cell r="DE212">
            <v>477.06</v>
          </cell>
          <cell r="DF212">
            <v>0</v>
          </cell>
        </row>
        <row r="213">
          <cell r="DA213">
            <v>-58861.409125833248</v>
          </cell>
          <cell r="DC213">
            <v>97484.83</v>
          </cell>
          <cell r="DD213">
            <v>327.27999999999997</v>
          </cell>
          <cell r="DE213">
            <v>50721.48</v>
          </cell>
          <cell r="DF213">
            <v>0</v>
          </cell>
        </row>
        <row r="214">
          <cell r="DA214">
            <v>-82717.74740060253</v>
          </cell>
          <cell r="DC214">
            <v>58891.94</v>
          </cell>
          <cell r="DD214"/>
          <cell r="DE214">
            <v>39876.350000000006</v>
          </cell>
          <cell r="DF214">
            <v>0</v>
          </cell>
        </row>
        <row r="215">
          <cell r="DA215">
            <v>-23070.1979403328</v>
          </cell>
          <cell r="DC215">
            <v>75313.88</v>
          </cell>
          <cell r="DD215"/>
          <cell r="DE215">
            <v>26471.920000000006</v>
          </cell>
          <cell r="DF215">
            <v>0</v>
          </cell>
        </row>
        <row r="216">
          <cell r="DA216">
            <v>189266.17364754761</v>
          </cell>
          <cell r="DC216">
            <v>221781.21</v>
          </cell>
          <cell r="DD216"/>
          <cell r="DE216">
            <v>150991</v>
          </cell>
          <cell r="DF216">
            <v>0</v>
          </cell>
        </row>
        <row r="217">
          <cell r="DA217">
            <v>-19763.45146133229</v>
          </cell>
          <cell r="DC217">
            <v>33660.35</v>
          </cell>
          <cell r="DD217">
            <v>10947.4</v>
          </cell>
          <cell r="DE217">
            <v>19664.18</v>
          </cell>
          <cell r="DF217">
            <v>9877.0399999999991</v>
          </cell>
        </row>
        <row r="218">
          <cell r="DA218">
            <v>64777.653585699518</v>
          </cell>
          <cell r="DC218">
            <v>36900.11</v>
          </cell>
          <cell r="DD218"/>
          <cell r="DE218">
            <v>19874.400000000001</v>
          </cell>
          <cell r="DF218">
            <v>0</v>
          </cell>
        </row>
        <row r="219">
          <cell r="DA219">
            <v>-22837.241728369889</v>
          </cell>
          <cell r="DC219">
            <v>46583.22</v>
          </cell>
          <cell r="DD219"/>
          <cell r="DE219">
            <v>28981.07</v>
          </cell>
          <cell r="DF219">
            <v>0</v>
          </cell>
        </row>
        <row r="220">
          <cell r="DA220">
            <v>4322.8825475924896</v>
          </cell>
          <cell r="DC220">
            <v>44848.25</v>
          </cell>
          <cell r="DD220">
            <v>5259.12</v>
          </cell>
          <cell r="DE220">
            <v>33339.08</v>
          </cell>
          <cell r="DF220">
            <v>4377.9799999999996</v>
          </cell>
        </row>
        <row r="221">
          <cell r="DA221">
            <v>-35500.955267070516</v>
          </cell>
          <cell r="DC221">
            <v>32037.58</v>
          </cell>
          <cell r="DD221">
            <v>5961.920000000001</v>
          </cell>
          <cell r="DE221">
            <v>21049.81</v>
          </cell>
          <cell r="DF221">
            <v>3602.9800000000009</v>
          </cell>
        </row>
        <row r="222">
          <cell r="DA222">
            <v>98825.184634404752</v>
          </cell>
          <cell r="DC222">
            <v>18634.43</v>
          </cell>
          <cell r="DD222">
            <v>0.06</v>
          </cell>
          <cell r="DE222">
            <v>15742.95</v>
          </cell>
          <cell r="DF222">
            <v>-565.36</v>
          </cell>
        </row>
        <row r="223">
          <cell r="DA223">
            <v>-4105.8884474801762</v>
          </cell>
          <cell r="DC223">
            <v>141.55000000000001</v>
          </cell>
          <cell r="DD223"/>
          <cell r="DE223">
            <v>0</v>
          </cell>
          <cell r="DF223">
            <v>0</v>
          </cell>
        </row>
        <row r="224">
          <cell r="DA224">
            <v>6591.1561415320703</v>
          </cell>
          <cell r="DC224">
            <v>3452.58</v>
          </cell>
          <cell r="DD224"/>
          <cell r="DE224">
            <v>2000</v>
          </cell>
          <cell r="DF224">
            <v>0</v>
          </cell>
        </row>
        <row r="225">
          <cell r="DA225">
            <v>-18953.676228574033</v>
          </cell>
          <cell r="DC225">
            <v>4621.43</v>
          </cell>
          <cell r="DD225"/>
          <cell r="DE225">
            <v>1288.1000000000004</v>
          </cell>
          <cell r="DF225">
            <v>0</v>
          </cell>
        </row>
        <row r="226">
          <cell r="DA226">
            <v>86874.695784060576</v>
          </cell>
          <cell r="DC226">
            <v>17436.650000000001</v>
          </cell>
          <cell r="DD226"/>
          <cell r="DE226">
            <v>14699.530000000002</v>
          </cell>
          <cell r="DF226">
            <v>0</v>
          </cell>
        </row>
        <row r="227">
          <cell r="DA227">
            <v>77168.780577529324</v>
          </cell>
          <cell r="DC227">
            <v>14450.06</v>
          </cell>
          <cell r="DD227"/>
          <cell r="DE227">
            <v>7243.0499999999993</v>
          </cell>
          <cell r="DF227">
            <v>0</v>
          </cell>
        </row>
        <row r="228">
          <cell r="DA228">
            <v>-52394.473541512787</v>
          </cell>
          <cell r="DC228">
            <v>27704.36</v>
          </cell>
          <cell r="DD228">
            <v>0</v>
          </cell>
          <cell r="DE228">
            <v>11423.07</v>
          </cell>
          <cell r="DF228">
            <v>-320.12</v>
          </cell>
        </row>
        <row r="229">
          <cell r="DA229">
            <v>-481.47190240466989</v>
          </cell>
          <cell r="DC229">
            <v>38309.870000000003</v>
          </cell>
          <cell r="DD229"/>
          <cell r="DE229">
            <v>34440.800000000003</v>
          </cell>
          <cell r="DF229">
            <v>0</v>
          </cell>
        </row>
        <row r="230">
          <cell r="DA230">
            <v>-68289.770092544626</v>
          </cell>
          <cell r="DC230">
            <v>131843.16</v>
          </cell>
          <cell r="DD230"/>
          <cell r="DE230">
            <v>102133.76000000001</v>
          </cell>
          <cell r="DF230">
            <v>0</v>
          </cell>
        </row>
        <row r="231">
          <cell r="DA231">
            <v>-11423.523590073883</v>
          </cell>
          <cell r="DC231">
            <v>483.02</v>
          </cell>
          <cell r="DD231"/>
          <cell r="DE231">
            <v>38.509999999999991</v>
          </cell>
          <cell r="DF231">
            <v>0</v>
          </cell>
        </row>
        <row r="232">
          <cell r="DA232">
            <v>7810.5218187307746</v>
          </cell>
          <cell r="DC232">
            <v>9881.7099999999991</v>
          </cell>
          <cell r="DD232"/>
          <cell r="DE232">
            <v>7423.8899999999994</v>
          </cell>
          <cell r="DF232">
            <v>0</v>
          </cell>
        </row>
        <row r="233">
          <cell r="DA233">
            <v>21926.462152782875</v>
          </cell>
          <cell r="DC233">
            <v>10306.969999999999</v>
          </cell>
          <cell r="DD233">
            <v>292.82</v>
          </cell>
          <cell r="DE233">
            <v>8047.5399999999991</v>
          </cell>
          <cell r="DF233">
            <v>0</v>
          </cell>
        </row>
        <row r="234">
          <cell r="DA234">
            <v>8572.5611958592344</v>
          </cell>
          <cell r="DC234">
            <v>31399.46</v>
          </cell>
          <cell r="DD234"/>
          <cell r="DE234">
            <v>20739.509999999998</v>
          </cell>
          <cell r="DF234">
            <v>0</v>
          </cell>
        </row>
        <row r="235">
          <cell r="DA235">
            <v>101004.92772774451</v>
          </cell>
          <cell r="DC235">
            <v>45714.68</v>
          </cell>
          <cell r="DD235">
            <v>0</v>
          </cell>
          <cell r="DE235">
            <v>30983.22</v>
          </cell>
          <cell r="DF235">
            <v>-316.77</v>
          </cell>
        </row>
        <row r="236">
          <cell r="DA236">
            <v>-4963.5850274602199</v>
          </cell>
          <cell r="DC236">
            <v>74979.42</v>
          </cell>
          <cell r="DD236"/>
          <cell r="DE236">
            <v>56593.59</v>
          </cell>
          <cell r="DF236">
            <v>0</v>
          </cell>
        </row>
        <row r="237">
          <cell r="DA237">
            <v>61237.402805268117</v>
          </cell>
          <cell r="DC237">
            <v>58443.43</v>
          </cell>
          <cell r="DD237"/>
          <cell r="DE237">
            <v>39064.369999999995</v>
          </cell>
          <cell r="DF237">
            <v>0</v>
          </cell>
        </row>
        <row r="238">
          <cell r="DA238">
            <v>61853.396939961211</v>
          </cell>
          <cell r="DC238">
            <v>83738.460000000006</v>
          </cell>
          <cell r="DD238"/>
          <cell r="DE238">
            <v>64563.780000000006</v>
          </cell>
          <cell r="DF238">
            <v>0</v>
          </cell>
        </row>
        <row r="239">
          <cell r="DA239">
            <v>-12342.710511008299</v>
          </cell>
          <cell r="DC239">
            <v>97568.34</v>
          </cell>
          <cell r="DD239"/>
          <cell r="DE239">
            <v>77358.75</v>
          </cell>
          <cell r="DF239">
            <v>0</v>
          </cell>
        </row>
        <row r="240">
          <cell r="DA240">
            <v>8810.5695010569616</v>
          </cell>
          <cell r="DC240">
            <v>75260.259999999995</v>
          </cell>
          <cell r="DD240">
            <v>4729.91</v>
          </cell>
          <cell r="DE240">
            <v>51811.619999999995</v>
          </cell>
          <cell r="DF240">
            <v>4367.8899999999994</v>
          </cell>
        </row>
        <row r="241">
          <cell r="DA241">
            <v>62430.013679441385</v>
          </cell>
          <cell r="DC241">
            <v>156364.22</v>
          </cell>
          <cell r="DD241">
            <v>196.58</v>
          </cell>
          <cell r="DE241">
            <v>131317.54</v>
          </cell>
          <cell r="DF241">
            <v>0</v>
          </cell>
        </row>
        <row r="242">
          <cell r="DA242">
            <v>61317.017510517617</v>
          </cell>
          <cell r="DC242">
            <v>46742.61</v>
          </cell>
          <cell r="DD242"/>
          <cell r="DE242">
            <v>28588.78</v>
          </cell>
          <cell r="DF242">
            <v>0</v>
          </cell>
        </row>
        <row r="243">
          <cell r="DA243">
            <v>46213.551863997956</v>
          </cell>
          <cell r="DC243">
            <v>89290.58</v>
          </cell>
          <cell r="DD243">
            <v>21725.989999999998</v>
          </cell>
          <cell r="DE243">
            <v>61674.98</v>
          </cell>
          <cell r="DF243">
            <v>16422.839999999997</v>
          </cell>
        </row>
        <row r="244">
          <cell r="DA244">
            <v>27046.253917913928</v>
          </cell>
          <cell r="DC244">
            <v>44866.29</v>
          </cell>
          <cell r="DD244"/>
          <cell r="DE244">
            <v>28143.81</v>
          </cell>
          <cell r="DF244">
            <v>0</v>
          </cell>
        </row>
        <row r="245">
          <cell r="DA245">
            <v>2336.3284897900157</v>
          </cell>
          <cell r="DC245">
            <v>53765.91</v>
          </cell>
          <cell r="DD245"/>
          <cell r="DE245">
            <v>28860.390000000003</v>
          </cell>
          <cell r="DF245">
            <v>0</v>
          </cell>
        </row>
        <row r="246">
          <cell r="DA246">
            <v>70725.990562722276</v>
          </cell>
          <cell r="DC246">
            <v>146199.78</v>
          </cell>
          <cell r="DD246">
            <v>932</v>
          </cell>
          <cell r="DE246">
            <v>111757.98999999999</v>
          </cell>
          <cell r="DF246">
            <v>-284</v>
          </cell>
        </row>
        <row r="247">
          <cell r="DA247">
            <v>50772.742265081964</v>
          </cell>
          <cell r="DC247">
            <v>25278.99</v>
          </cell>
          <cell r="DD247">
            <v>13375.31</v>
          </cell>
          <cell r="DE247">
            <v>11125.29</v>
          </cell>
          <cell r="DF247">
            <v>11186.009999999998</v>
          </cell>
        </row>
        <row r="248">
          <cell r="DA248">
            <v>-29257.089770656734</v>
          </cell>
          <cell r="DC248">
            <v>22841.85</v>
          </cell>
          <cell r="DD248">
            <v>12189.19</v>
          </cell>
          <cell r="DE248">
            <v>8253.4299999999985</v>
          </cell>
          <cell r="DF248">
            <v>9459.42</v>
          </cell>
        </row>
        <row r="249">
          <cell r="DA249">
            <v>60105.413157633157</v>
          </cell>
          <cell r="DC249">
            <v>35646.79</v>
          </cell>
          <cell r="DD249"/>
          <cell r="DE249">
            <v>10829.89</v>
          </cell>
          <cell r="DF249">
            <v>0</v>
          </cell>
        </row>
        <row r="250">
          <cell r="DA250">
            <v>17221.57893415778</v>
          </cell>
          <cell r="DC250">
            <v>35387.360000000001</v>
          </cell>
          <cell r="DD250">
            <v>9404.2000000000007</v>
          </cell>
          <cell r="DE250">
            <v>18296.73</v>
          </cell>
          <cell r="DF250">
            <v>8980.5500000000011</v>
          </cell>
        </row>
        <row r="251">
          <cell r="DA251">
            <v>-3767.0533836610443</v>
          </cell>
          <cell r="DC251">
            <v>1649.75</v>
          </cell>
          <cell r="DD251"/>
          <cell r="DE251">
            <v>1102.44</v>
          </cell>
          <cell r="DF251">
            <v>0</v>
          </cell>
        </row>
        <row r="252">
          <cell r="DA252">
            <v>496.04908716558066</v>
          </cell>
          <cell r="DC252">
            <v>-525.25</v>
          </cell>
          <cell r="DD252"/>
          <cell r="DE252">
            <v>-783.94</v>
          </cell>
          <cell r="DF252">
            <v>0</v>
          </cell>
        </row>
        <row r="253">
          <cell r="DA253">
            <v>-43920.457270731014</v>
          </cell>
          <cell r="DC253">
            <v>54332.97</v>
          </cell>
          <cell r="DD253">
            <v>4182.3599999999997</v>
          </cell>
          <cell r="DE253">
            <v>25501.870000000003</v>
          </cell>
          <cell r="DF253">
            <v>3352.49</v>
          </cell>
        </row>
        <row r="254">
          <cell r="DA254">
            <v>47693.137105898611</v>
          </cell>
          <cell r="DC254">
            <v>251371.65</v>
          </cell>
          <cell r="DD254"/>
          <cell r="DE254">
            <v>173679.47</v>
          </cell>
          <cell r="DF254">
            <v>0</v>
          </cell>
        </row>
        <row r="255">
          <cell r="DA255">
            <v>-196354.10037210345</v>
          </cell>
          <cell r="DC255">
            <v>267873.65000000002</v>
          </cell>
          <cell r="DD255">
            <v>0</v>
          </cell>
          <cell r="DE255">
            <v>172320.42000000004</v>
          </cell>
          <cell r="DF255">
            <v>-32.619999999999997</v>
          </cell>
        </row>
        <row r="256">
          <cell r="DA256">
            <v>-100307.63223628691</v>
          </cell>
          <cell r="DC256">
            <v>166785.5</v>
          </cell>
          <cell r="DD256"/>
          <cell r="DE256">
            <v>124494.34</v>
          </cell>
          <cell r="DF256">
            <v>0</v>
          </cell>
        </row>
        <row r="257">
          <cell r="DA257">
            <v>119597.87974552668</v>
          </cell>
          <cell r="DC257">
            <v>71981.289999999994</v>
          </cell>
          <cell r="DD257">
            <v>406.5</v>
          </cell>
          <cell r="DE257">
            <v>31190.989999999991</v>
          </cell>
          <cell r="DF257">
            <v>-2</v>
          </cell>
        </row>
        <row r="258">
          <cell r="DA258">
            <v>-92487.671957116298</v>
          </cell>
          <cell r="DC258">
            <v>47477.79</v>
          </cell>
          <cell r="DD258"/>
          <cell r="DE258">
            <v>30985.93</v>
          </cell>
          <cell r="DF258">
            <v>0</v>
          </cell>
        </row>
        <row r="259">
          <cell r="DA259">
            <v>91314.88842890432</v>
          </cell>
          <cell r="DC259">
            <v>26291.23</v>
          </cell>
          <cell r="DD259">
            <v>559.67000000000007</v>
          </cell>
          <cell r="DE259">
            <v>13542.99</v>
          </cell>
          <cell r="DF259">
            <v>-215.41999999999996</v>
          </cell>
        </row>
        <row r="260">
          <cell r="DA260">
            <v>237944.03362666184</v>
          </cell>
          <cell r="DC260">
            <v>50324.33</v>
          </cell>
          <cell r="DD260">
            <v>1650.83</v>
          </cell>
          <cell r="DE260">
            <v>42487.700000000004</v>
          </cell>
          <cell r="DF260">
            <v>-307.11000000000035</v>
          </cell>
        </row>
        <row r="261">
          <cell r="DA261">
            <v>33828.502009892363</v>
          </cell>
          <cell r="DC261">
            <v>53258.27</v>
          </cell>
          <cell r="DD261">
            <v>5060.8600000000006</v>
          </cell>
          <cell r="DE261">
            <v>41656.629999999997</v>
          </cell>
          <cell r="DF261">
            <v>3711.3800000000006</v>
          </cell>
        </row>
        <row r="262">
          <cell r="DA262">
            <v>9441.8365576505312</v>
          </cell>
          <cell r="DC262">
            <v>47643.199999999997</v>
          </cell>
          <cell r="DD262"/>
          <cell r="DE262">
            <v>28761.129999999997</v>
          </cell>
          <cell r="DF262">
            <v>0</v>
          </cell>
        </row>
        <row r="263">
          <cell r="DA263">
            <v>295472.44986497285</v>
          </cell>
          <cell r="DC263">
            <v>50794.46</v>
          </cell>
          <cell r="DD263">
            <v>1116.7299999999998</v>
          </cell>
          <cell r="DE263">
            <v>34581.22</v>
          </cell>
          <cell r="DF263">
            <v>-564.8900000000001</v>
          </cell>
        </row>
        <row r="264">
          <cell r="DA264">
            <v>20355.190695855639</v>
          </cell>
          <cell r="DC264">
            <v>16303.21</v>
          </cell>
          <cell r="DD264">
            <v>4617.6000000000004</v>
          </cell>
          <cell r="DE264">
            <v>9088.02</v>
          </cell>
          <cell r="DF264">
            <v>3995.6700000000005</v>
          </cell>
        </row>
        <row r="265">
          <cell r="DA265">
            <v>-43905.846138135013</v>
          </cell>
          <cell r="DC265">
            <v>24884.16</v>
          </cell>
          <cell r="DD265"/>
          <cell r="DE265">
            <v>16485.809999999998</v>
          </cell>
          <cell r="DF265">
            <v>0</v>
          </cell>
        </row>
        <row r="266">
          <cell r="DA266">
            <v>-34302.510310177429</v>
          </cell>
          <cell r="DC266">
            <v>25017.64</v>
          </cell>
          <cell r="DD266">
            <v>3352.38</v>
          </cell>
          <cell r="DE266">
            <v>12650.519999999999</v>
          </cell>
          <cell r="DF266">
            <v>1862</v>
          </cell>
        </row>
        <row r="267">
          <cell r="DA267">
            <v>-41948.58695790841</v>
          </cell>
          <cell r="DC267">
            <v>30162.28</v>
          </cell>
          <cell r="DD267">
            <v>0</v>
          </cell>
          <cell r="DE267">
            <v>21581.739999999998</v>
          </cell>
          <cell r="DF267">
            <v>-761.37</v>
          </cell>
        </row>
        <row r="268">
          <cell r="DA268">
            <v>-5373.0822216086817</v>
          </cell>
          <cell r="DC268">
            <v>2379.0500000000002</v>
          </cell>
          <cell r="DD268"/>
          <cell r="DE268">
            <v>1952.3100000000002</v>
          </cell>
          <cell r="DF268">
            <v>0</v>
          </cell>
        </row>
        <row r="269">
          <cell r="DA269">
            <v>30555.690885501179</v>
          </cell>
          <cell r="DC269">
            <v>788.88</v>
          </cell>
          <cell r="DD269"/>
          <cell r="DE269">
            <v>0</v>
          </cell>
          <cell r="DF269">
            <v>0</v>
          </cell>
        </row>
        <row r="270">
          <cell r="DA270">
            <v>255042.1713054101</v>
          </cell>
          <cell r="DC270">
            <v>48781.88</v>
          </cell>
          <cell r="DD270"/>
          <cell r="DE270">
            <v>33105.5</v>
          </cell>
          <cell r="DF270">
            <v>0</v>
          </cell>
        </row>
        <row r="271">
          <cell r="DA271">
            <v>-20988.66463600831</v>
          </cell>
          <cell r="DC271">
            <v>59643.97</v>
          </cell>
          <cell r="DD271">
            <v>0</v>
          </cell>
          <cell r="DE271">
            <v>27628.460000000003</v>
          </cell>
          <cell r="DF271">
            <v>0</v>
          </cell>
        </row>
        <row r="272">
          <cell r="DA272">
            <v>460228.20592087775</v>
          </cell>
          <cell r="DC272">
            <v>62290.21</v>
          </cell>
          <cell r="DD272"/>
          <cell r="DE272">
            <v>30622.559999999998</v>
          </cell>
          <cell r="DF272">
            <v>0</v>
          </cell>
        </row>
        <row r="273">
          <cell r="DA273">
            <v>-11544.050348202796</v>
          </cell>
          <cell r="DC273">
            <v>32984.019999999997</v>
          </cell>
          <cell r="DD273"/>
          <cell r="DE273">
            <v>21804.319999999996</v>
          </cell>
          <cell r="DF273">
            <v>0</v>
          </cell>
        </row>
        <row r="274">
          <cell r="DA274">
            <v>18768.030425491481</v>
          </cell>
          <cell r="DC274">
            <v>3225.85</v>
          </cell>
          <cell r="DD274">
            <v>911.57</v>
          </cell>
          <cell r="DE274">
            <v>248.31999999999971</v>
          </cell>
          <cell r="DF274">
            <v>399.92000000000007</v>
          </cell>
        </row>
        <row r="275">
          <cell r="DA275">
            <v>-6067.7723957774051</v>
          </cell>
          <cell r="DC275">
            <v>-6998.88</v>
          </cell>
          <cell r="DD275"/>
          <cell r="DE275">
            <v>-7308.8</v>
          </cell>
          <cell r="DF275">
            <v>0</v>
          </cell>
        </row>
        <row r="276">
          <cell r="DA276">
            <v>81944.726071784447</v>
          </cell>
          <cell r="DC276">
            <v>46706.06</v>
          </cell>
          <cell r="DD276"/>
          <cell r="DE276">
            <v>17367.839999999997</v>
          </cell>
          <cell r="DF276">
            <v>0</v>
          </cell>
        </row>
        <row r="277">
          <cell r="DA277">
            <v>-4562.9428411521621</v>
          </cell>
          <cell r="DC277">
            <v>301.95999999999998</v>
          </cell>
          <cell r="DD277"/>
          <cell r="DE277">
            <v>1.999999999998181E-2</v>
          </cell>
          <cell r="DF277">
            <v>0</v>
          </cell>
        </row>
        <row r="278">
          <cell r="DA278">
            <v>-22082.748321894011</v>
          </cell>
          <cell r="DC278">
            <v>10671.82</v>
          </cell>
          <cell r="DD278"/>
          <cell r="DE278">
            <v>8992.41</v>
          </cell>
          <cell r="DF278">
            <v>0</v>
          </cell>
        </row>
        <row r="279">
          <cell r="DA279">
            <v>-15433.177207732184</v>
          </cell>
          <cell r="DC279">
            <v>966.87</v>
          </cell>
          <cell r="DD279"/>
          <cell r="DE279">
            <v>500.33</v>
          </cell>
          <cell r="DF279">
            <v>0</v>
          </cell>
        </row>
        <row r="280">
          <cell r="DA280">
            <v>84653.930414272356</v>
          </cell>
          <cell r="DC280">
            <v>26509.58</v>
          </cell>
          <cell r="DD280">
            <v>2178.59</v>
          </cell>
          <cell r="DE280">
            <v>21254.440000000002</v>
          </cell>
          <cell r="DF280">
            <v>778.38000000000011</v>
          </cell>
        </row>
        <row r="281">
          <cell r="DA281">
            <v>59324.954683557895</v>
          </cell>
          <cell r="DC281">
            <v>58427.87</v>
          </cell>
          <cell r="DD281">
            <v>14503.72</v>
          </cell>
          <cell r="DE281">
            <v>14421.440000000002</v>
          </cell>
          <cell r="DF281">
            <v>13797.859999999999</v>
          </cell>
        </row>
        <row r="282">
          <cell r="DA282">
            <v>-40432.775942755601</v>
          </cell>
          <cell r="DC282">
            <v>38193.64</v>
          </cell>
          <cell r="DD282">
            <v>-0.12</v>
          </cell>
          <cell r="DE282">
            <v>5515.3499999999985</v>
          </cell>
          <cell r="DF282">
            <v>-283.24</v>
          </cell>
        </row>
        <row r="283">
          <cell r="DA283">
            <v>-21860.001255864656</v>
          </cell>
          <cell r="DC283">
            <v>23152.94</v>
          </cell>
          <cell r="DD283">
            <v>972.07</v>
          </cell>
          <cell r="DE283">
            <v>16470.64</v>
          </cell>
          <cell r="DF283">
            <v>0</v>
          </cell>
        </row>
        <row r="284">
          <cell r="DA284">
            <v>-104193.17944057002</v>
          </cell>
          <cell r="DC284">
            <v>33637.589999999997</v>
          </cell>
          <cell r="DD284">
            <v>186643.72</v>
          </cell>
          <cell r="DE284">
            <v>13851.039999999997</v>
          </cell>
          <cell r="DF284">
            <v>180184.67</v>
          </cell>
        </row>
        <row r="285">
          <cell r="DA285">
            <v>-59346.233788135687</v>
          </cell>
          <cell r="DC285">
            <v>12523.22</v>
          </cell>
          <cell r="DD285"/>
          <cell r="DE285">
            <v>5498.1599999999989</v>
          </cell>
          <cell r="DF285">
            <v>0</v>
          </cell>
        </row>
        <row r="286">
          <cell r="DA286">
            <v>84710.488938872179</v>
          </cell>
          <cell r="DC286">
            <v>59654.54</v>
          </cell>
          <cell r="DD286">
            <v>24914.45</v>
          </cell>
          <cell r="DE286">
            <v>41520.240000000005</v>
          </cell>
          <cell r="DF286">
            <v>23022.16</v>
          </cell>
        </row>
        <row r="287">
          <cell r="DA287">
            <v>-299.51420156293898</v>
          </cell>
          <cell r="DC287">
            <v>40356.78</v>
          </cell>
          <cell r="DD287"/>
          <cell r="DE287">
            <v>23817.75</v>
          </cell>
          <cell r="DF287">
            <v>0</v>
          </cell>
        </row>
        <row r="288">
          <cell r="DA288">
            <v>35844.612257369852</v>
          </cell>
          <cell r="DC288">
            <v>34335.94</v>
          </cell>
          <cell r="DD288">
            <v>2237.71</v>
          </cell>
          <cell r="DE288">
            <v>28974.06</v>
          </cell>
          <cell r="DF288">
            <v>1431.18</v>
          </cell>
        </row>
        <row r="289">
          <cell r="DA289">
            <v>142339.17552695348</v>
          </cell>
          <cell r="DC289">
            <v>31414.37</v>
          </cell>
          <cell r="DD289">
            <v>2105.87</v>
          </cell>
          <cell r="DE289">
            <v>18386.48</v>
          </cell>
          <cell r="DF289">
            <v>-929.18000000000029</v>
          </cell>
        </row>
        <row r="290">
          <cell r="DA290">
            <v>112674.83791887749</v>
          </cell>
          <cell r="DC290">
            <v>36850.17</v>
          </cell>
          <cell r="DD290">
            <v>3887</v>
          </cell>
          <cell r="DE290">
            <v>26981.799999999996</v>
          </cell>
          <cell r="DF290">
            <v>827.52</v>
          </cell>
        </row>
        <row r="291">
          <cell r="DA291">
            <v>-19622.229050857815</v>
          </cell>
          <cell r="DC291">
            <v>8660.99</v>
          </cell>
          <cell r="DD291">
            <v>482.77</v>
          </cell>
          <cell r="DE291">
            <v>7546.57</v>
          </cell>
          <cell r="DF291">
            <v>0</v>
          </cell>
        </row>
        <row r="292">
          <cell r="DA292">
            <v>-9147.1497244479779</v>
          </cell>
          <cell r="DC292">
            <v>16864.64</v>
          </cell>
          <cell r="DD292">
            <v>830.89</v>
          </cell>
          <cell r="DE292">
            <v>8510.4599999999991</v>
          </cell>
          <cell r="DF292">
            <v>0</v>
          </cell>
        </row>
        <row r="293">
          <cell r="DA293">
            <v>-37660.402993743941</v>
          </cell>
          <cell r="DC293">
            <v>82642.92</v>
          </cell>
          <cell r="DD293">
            <v>42272.219999999994</v>
          </cell>
          <cell r="DE293">
            <v>65278.85</v>
          </cell>
          <cell r="DF293">
            <v>38878.429999999993</v>
          </cell>
        </row>
        <row r="294">
          <cell r="DA294">
            <v>-59447.297171977931</v>
          </cell>
          <cell r="DC294">
            <v>27571.85</v>
          </cell>
          <cell r="DD294">
            <v>543.67999999999995</v>
          </cell>
          <cell r="DE294">
            <v>16634.509999999998</v>
          </cell>
          <cell r="DF294">
            <v>-1493.94</v>
          </cell>
        </row>
        <row r="295">
          <cell r="DA295">
            <v>-45483.822627628739</v>
          </cell>
          <cell r="DC295">
            <v>50775.6</v>
          </cell>
          <cell r="DD295">
            <v>1881.29</v>
          </cell>
          <cell r="DE295">
            <v>38746.93</v>
          </cell>
          <cell r="DF295">
            <v>0</v>
          </cell>
        </row>
        <row r="296">
          <cell r="DA296">
            <v>25605.52143517782</v>
          </cell>
          <cell r="DC296">
            <v>44772.72</v>
          </cell>
          <cell r="DD296">
            <v>16019.7</v>
          </cell>
          <cell r="DE296">
            <v>30145.370000000003</v>
          </cell>
          <cell r="DF296">
            <v>15740.03</v>
          </cell>
        </row>
        <row r="297">
          <cell r="DA297">
            <v>16699.675938753018</v>
          </cell>
          <cell r="DC297">
            <v>66000.08</v>
          </cell>
          <cell r="DD297">
            <v>7004.7000000000007</v>
          </cell>
          <cell r="DE297">
            <v>55173.08</v>
          </cell>
          <cell r="DF297">
            <v>4250.7400000000007</v>
          </cell>
        </row>
        <row r="298">
          <cell r="DA298">
            <v>-64047.302291752501</v>
          </cell>
          <cell r="DC298">
            <v>47441.78</v>
          </cell>
          <cell r="DD298"/>
          <cell r="DE298">
            <v>32927.159999999996</v>
          </cell>
          <cell r="DF298">
            <v>0</v>
          </cell>
        </row>
        <row r="299">
          <cell r="DA299">
            <v>33599.976994759025</v>
          </cell>
          <cell r="DC299">
            <v>7547.53</v>
          </cell>
          <cell r="DD299"/>
          <cell r="DE299">
            <v>5759.54</v>
          </cell>
          <cell r="DF299">
            <v>0</v>
          </cell>
        </row>
        <row r="300">
          <cell r="DA300">
            <v>23193.56885789282</v>
          </cell>
          <cell r="DC300">
            <v>41038.959999999999</v>
          </cell>
          <cell r="DD300">
            <v>3796.6499999999996</v>
          </cell>
          <cell r="DE300">
            <v>28683.93</v>
          </cell>
          <cell r="DF300">
            <v>-737.32999999999993</v>
          </cell>
        </row>
        <row r="301">
          <cell r="DA301">
            <v>55557.054624563505</v>
          </cell>
          <cell r="DC301">
            <v>15617.69</v>
          </cell>
          <cell r="DD301">
            <v>40317.109999999993</v>
          </cell>
          <cell r="DE301">
            <v>4253.130000000001</v>
          </cell>
          <cell r="DF301">
            <v>37438.699999999997</v>
          </cell>
        </row>
        <row r="302">
          <cell r="DA302">
            <v>-56003.331122989395</v>
          </cell>
          <cell r="DC302">
            <v>47035.31</v>
          </cell>
          <cell r="DD302"/>
          <cell r="DE302">
            <v>33179.149999999994</v>
          </cell>
          <cell r="DF302">
            <v>0</v>
          </cell>
        </row>
        <row r="303">
          <cell r="DA303">
            <v>-44793.061483315149</v>
          </cell>
          <cell r="DC303">
            <v>97779.72</v>
          </cell>
          <cell r="DD303">
            <v>52462.29</v>
          </cell>
          <cell r="DE303">
            <v>74994.39</v>
          </cell>
          <cell r="DF303">
            <v>45222.93</v>
          </cell>
        </row>
        <row r="304">
          <cell r="DA304">
            <v>-4992.1998373138413</v>
          </cell>
          <cell r="DC304">
            <v>307.56</v>
          </cell>
          <cell r="DD304"/>
          <cell r="DE304">
            <v>0</v>
          </cell>
          <cell r="DF304">
            <v>0</v>
          </cell>
        </row>
        <row r="305">
          <cell r="DA305">
            <v>-8312.0700811298921</v>
          </cell>
          <cell r="DC305">
            <v>896.79</v>
          </cell>
          <cell r="DD305"/>
          <cell r="DE305">
            <v>523.16999999999996</v>
          </cell>
          <cell r="DF305">
            <v>0</v>
          </cell>
        </row>
        <row r="306">
          <cell r="DA306">
            <v>-12133.739764388083</v>
          </cell>
          <cell r="DC306">
            <v>733.5</v>
          </cell>
          <cell r="DD306"/>
          <cell r="DE306">
            <v>238.2</v>
          </cell>
          <cell r="DF306">
            <v>0</v>
          </cell>
        </row>
        <row r="307">
          <cell r="DA307">
            <v>-8758.0707935106002</v>
          </cell>
          <cell r="DC307">
            <v>893.21</v>
          </cell>
          <cell r="DD307"/>
          <cell r="DE307">
            <v>527.01</v>
          </cell>
          <cell r="DF307">
            <v>0</v>
          </cell>
        </row>
        <row r="308">
          <cell r="DA308">
            <v>10585.966720954957</v>
          </cell>
          <cell r="DC308">
            <v>1075.6099999999999</v>
          </cell>
          <cell r="DD308"/>
          <cell r="DE308">
            <v>359.33999999999992</v>
          </cell>
          <cell r="DF308">
            <v>0</v>
          </cell>
        </row>
        <row r="309">
          <cell r="DA309">
            <v>-12878.214470680688</v>
          </cell>
          <cell r="DC309">
            <v>59421.05</v>
          </cell>
          <cell r="DD309">
            <v>47154.73</v>
          </cell>
          <cell r="DE309">
            <v>43497.740000000005</v>
          </cell>
          <cell r="DF309">
            <v>43737.54</v>
          </cell>
        </row>
        <row r="310">
          <cell r="DA310">
            <v>-9269.9528957294915</v>
          </cell>
          <cell r="DC310">
            <v>19800.91</v>
          </cell>
          <cell r="DD310">
            <v>417.06</v>
          </cell>
          <cell r="DE310">
            <v>13048.3</v>
          </cell>
          <cell r="DF310">
            <v>-322.33999999999997</v>
          </cell>
        </row>
        <row r="311">
          <cell r="DA311">
            <v>-77425.670733235471</v>
          </cell>
          <cell r="DC311">
            <v>85093.75</v>
          </cell>
          <cell r="DD311">
            <v>4938.88</v>
          </cell>
          <cell r="DE311">
            <v>65017.83</v>
          </cell>
          <cell r="DF311">
            <v>1366.0099999999998</v>
          </cell>
        </row>
        <row r="312">
          <cell r="DA312">
            <v>56998.311400624589</v>
          </cell>
          <cell r="DC312">
            <v>72715.520000000004</v>
          </cell>
          <cell r="DD312">
            <v>35054.81</v>
          </cell>
          <cell r="DE312">
            <v>57796.310000000005</v>
          </cell>
          <cell r="DF312">
            <v>29753.789999999997</v>
          </cell>
        </row>
        <row r="313">
          <cell r="DA313">
            <v>92214.786178120383</v>
          </cell>
          <cell r="DC313">
            <v>103092.72</v>
          </cell>
          <cell r="DD313">
            <v>53759.549999999996</v>
          </cell>
          <cell r="DE313">
            <v>84806.8</v>
          </cell>
          <cell r="DF313">
            <v>49190.049999999996</v>
          </cell>
        </row>
        <row r="314">
          <cell r="DA314">
            <v>127590.19871138106</v>
          </cell>
          <cell r="DC314">
            <v>145868.92000000001</v>
          </cell>
          <cell r="DD314">
            <v>18399.099999999999</v>
          </cell>
          <cell r="DE314">
            <v>111564.64000000001</v>
          </cell>
          <cell r="DF314">
            <v>7268.8899999999994</v>
          </cell>
        </row>
        <row r="315">
          <cell r="DA315">
            <v>47443.626239387464</v>
          </cell>
          <cell r="DC315">
            <v>16189.69</v>
          </cell>
          <cell r="DD315">
            <v>4993.41</v>
          </cell>
          <cell r="DE315">
            <v>2887.4700000000012</v>
          </cell>
          <cell r="DF315">
            <v>4312.13</v>
          </cell>
        </row>
        <row r="316">
          <cell r="DA316">
            <v>130788.28113161575</v>
          </cell>
          <cell r="DC316">
            <v>39640.17</v>
          </cell>
          <cell r="DD316">
            <v>626.70000000000005</v>
          </cell>
          <cell r="DE316">
            <v>27227.07</v>
          </cell>
          <cell r="DF316">
            <v>-2170.7600000000002</v>
          </cell>
        </row>
        <row r="317">
          <cell r="DA317">
            <v>-26173.35525080323</v>
          </cell>
          <cell r="DC317">
            <v>89730.23</v>
          </cell>
          <cell r="DD317">
            <v>3546.06</v>
          </cell>
          <cell r="DE317">
            <v>69873.989999999991</v>
          </cell>
          <cell r="DF317">
            <v>-1848.8800000000006</v>
          </cell>
        </row>
        <row r="318">
          <cell r="DA318">
            <v>19874.003764369205</v>
          </cell>
          <cell r="DC318">
            <v>21926.29</v>
          </cell>
          <cell r="DD318">
            <v>4748.2199999999993</v>
          </cell>
          <cell r="DE318">
            <v>12024.410000000002</v>
          </cell>
          <cell r="DF318">
            <v>2703.6499999999996</v>
          </cell>
        </row>
        <row r="319">
          <cell r="DA319">
            <v>5467.4541307349864</v>
          </cell>
          <cell r="DC319">
            <v>30676.31</v>
          </cell>
          <cell r="DD319">
            <v>0</v>
          </cell>
          <cell r="DE319">
            <v>16389.590000000004</v>
          </cell>
          <cell r="DF319">
            <v>-3336.3900000000003</v>
          </cell>
        </row>
        <row r="320">
          <cell r="DA320">
            <v>72152.66358146217</v>
          </cell>
          <cell r="DC320">
            <v>52756.14</v>
          </cell>
          <cell r="DD320">
            <v>12121.589999999998</v>
          </cell>
          <cell r="DE320">
            <v>27452.55</v>
          </cell>
          <cell r="DF320">
            <v>6450.4999999999982</v>
          </cell>
        </row>
        <row r="321">
          <cell r="DA321">
            <v>-7770.0347366048154</v>
          </cell>
          <cell r="DC321">
            <v>38049.25</v>
          </cell>
          <cell r="DD321"/>
          <cell r="DE321">
            <v>21856.400000000001</v>
          </cell>
          <cell r="DF321">
            <v>0</v>
          </cell>
        </row>
        <row r="322">
          <cell r="DA322">
            <v>-7168.7863620074813</v>
          </cell>
          <cell r="DC322">
            <v>174.19</v>
          </cell>
          <cell r="DD322"/>
          <cell r="DE322">
            <v>-83.5</v>
          </cell>
          <cell r="DF322">
            <v>0</v>
          </cell>
        </row>
        <row r="323">
          <cell r="DA323">
            <v>105121.15850828406</v>
          </cell>
          <cell r="DC323">
            <v>106617.43</v>
          </cell>
          <cell r="DD323"/>
          <cell r="DE323">
            <v>89493.17</v>
          </cell>
          <cell r="DF323">
            <v>0</v>
          </cell>
        </row>
        <row r="324">
          <cell r="DA324">
            <v>12416.295913641312</v>
          </cell>
          <cell r="DC324">
            <v>142182.21</v>
          </cell>
          <cell r="DD324"/>
          <cell r="DE324">
            <v>98236.04</v>
          </cell>
          <cell r="DF324">
            <v>0</v>
          </cell>
        </row>
        <row r="325">
          <cell r="DA325">
            <v>-19264.386299297919</v>
          </cell>
          <cell r="DC325">
            <v>40610.959999999999</v>
          </cell>
          <cell r="DD325">
            <v>17721.990000000002</v>
          </cell>
          <cell r="DE325">
            <v>26786.080000000002</v>
          </cell>
          <cell r="DF325">
            <v>14249.570000000002</v>
          </cell>
        </row>
        <row r="326">
          <cell r="DA326">
            <v>-147823.08651345116</v>
          </cell>
          <cell r="DC326">
            <v>72521.570000000007</v>
          </cell>
          <cell r="DD326">
            <v>0</v>
          </cell>
          <cell r="DE326">
            <v>37969.380000000005</v>
          </cell>
          <cell r="DF326">
            <v>-3804.01</v>
          </cell>
        </row>
        <row r="327">
          <cell r="DA327">
            <v>94425.308227262052</v>
          </cell>
          <cell r="DC327">
            <v>148044.29999999999</v>
          </cell>
          <cell r="DD327">
            <v>10412.160000000002</v>
          </cell>
          <cell r="DE327">
            <v>91432.31</v>
          </cell>
          <cell r="DF327">
            <v>9394.5200000000023</v>
          </cell>
        </row>
        <row r="328">
          <cell r="DA328">
            <v>-15696.449210292718</v>
          </cell>
          <cell r="DC328">
            <v>18065.02</v>
          </cell>
          <cell r="DD328">
            <v>230.06</v>
          </cell>
          <cell r="DE328">
            <v>17228.8</v>
          </cell>
          <cell r="DF328">
            <v>28.539999999999992</v>
          </cell>
        </row>
        <row r="329">
          <cell r="DA329">
            <v>-106345.99236770382</v>
          </cell>
          <cell r="DC329">
            <v>63314.8</v>
          </cell>
          <cell r="DD329"/>
          <cell r="DE329">
            <v>44715.06</v>
          </cell>
          <cell r="DF329">
            <v>0</v>
          </cell>
        </row>
        <row r="330">
          <cell r="DA330">
            <v>47692.282939842378</v>
          </cell>
          <cell r="DC330">
            <v>74259.77</v>
          </cell>
          <cell r="DD330"/>
          <cell r="DE330">
            <v>43264.560000000005</v>
          </cell>
          <cell r="DF330">
            <v>0</v>
          </cell>
        </row>
        <row r="331">
          <cell r="DA331">
            <v>-57392.322089609763</v>
          </cell>
          <cell r="DC331">
            <v>31708.15</v>
          </cell>
          <cell r="DD331"/>
          <cell r="DE331">
            <v>14759.11</v>
          </cell>
          <cell r="DF331">
            <v>0</v>
          </cell>
        </row>
        <row r="332">
          <cell r="DA332">
            <v>78557.032284928224</v>
          </cell>
          <cell r="DC332">
            <v>59720.7</v>
          </cell>
          <cell r="DD332">
            <v>95868.01999999999</v>
          </cell>
          <cell r="DE332">
            <v>39988.159999999996</v>
          </cell>
          <cell r="DF332">
            <v>91986.169999999984</v>
          </cell>
        </row>
        <row r="333">
          <cell r="DA333">
            <v>13695.634693575455</v>
          </cell>
          <cell r="DC333">
            <v>40082.080000000002</v>
          </cell>
          <cell r="DD333"/>
          <cell r="DE333">
            <v>24128.68</v>
          </cell>
          <cell r="DF333">
            <v>0</v>
          </cell>
        </row>
        <row r="334">
          <cell r="DA334">
            <v>66621.01429276928</v>
          </cell>
          <cell r="DC334">
            <v>50742.13</v>
          </cell>
          <cell r="DD334"/>
          <cell r="DE334">
            <v>19231.219999999998</v>
          </cell>
          <cell r="DF334">
            <v>0</v>
          </cell>
        </row>
        <row r="335">
          <cell r="DA335">
            <v>47393.598795055965</v>
          </cell>
          <cell r="DC335">
            <v>64997.46</v>
          </cell>
          <cell r="DD335"/>
          <cell r="DE335">
            <v>47958.38</v>
          </cell>
          <cell r="DF335">
            <v>0</v>
          </cell>
        </row>
        <row r="336">
          <cell r="DA336">
            <v>988.73740175970306</v>
          </cell>
          <cell r="DC336">
            <v>2236.5300000000002</v>
          </cell>
          <cell r="DD336"/>
          <cell r="DE336">
            <v>-345.67999999999984</v>
          </cell>
          <cell r="DF336">
            <v>0</v>
          </cell>
        </row>
        <row r="337">
          <cell r="DA337">
            <v>-202143.21672722517</v>
          </cell>
          <cell r="DC337">
            <v>121741.44</v>
          </cell>
          <cell r="DD337"/>
          <cell r="DE337">
            <v>72703.86</v>
          </cell>
          <cell r="DF337">
            <v>0</v>
          </cell>
        </row>
        <row r="338">
          <cell r="DA338">
            <v>-38181.628685324249</v>
          </cell>
          <cell r="DC338">
            <v>66304.009999999995</v>
          </cell>
          <cell r="DD338">
            <v>2022.95</v>
          </cell>
          <cell r="DE338">
            <v>40082.409999999996</v>
          </cell>
          <cell r="DF338">
            <v>0</v>
          </cell>
        </row>
        <row r="339">
          <cell r="DA339">
            <v>36467.735505969176</v>
          </cell>
          <cell r="DC339">
            <v>188860.36</v>
          </cell>
          <cell r="DD339">
            <v>128994.1</v>
          </cell>
          <cell r="DE339">
            <v>133888.31999999998</v>
          </cell>
          <cell r="DF339">
            <v>122077.71</v>
          </cell>
        </row>
        <row r="340">
          <cell r="DA340">
            <v>-154319.50621881321</v>
          </cell>
          <cell r="DC340">
            <v>80586.03</v>
          </cell>
          <cell r="DD340"/>
          <cell r="DE340">
            <v>54053.94</v>
          </cell>
          <cell r="DF340">
            <v>0</v>
          </cell>
        </row>
        <row r="341">
          <cell r="DA341">
            <v>-78058.376991354569</v>
          </cell>
          <cell r="DC341">
            <v>61500.480000000003</v>
          </cell>
          <cell r="DD341"/>
          <cell r="DE341">
            <v>31988.020000000004</v>
          </cell>
          <cell r="DF341">
            <v>0</v>
          </cell>
        </row>
        <row r="342">
          <cell r="DA342">
            <v>-20980.072952728849</v>
          </cell>
          <cell r="DC342">
            <v>46507.21</v>
          </cell>
          <cell r="DD342"/>
          <cell r="DE342">
            <v>19180.829999999998</v>
          </cell>
          <cell r="DF342">
            <v>0</v>
          </cell>
        </row>
        <row r="343">
          <cell r="DA343">
            <v>-145160.64296946669</v>
          </cell>
          <cell r="DC343">
            <v>70797.27</v>
          </cell>
          <cell r="DD343">
            <v>1298.5999999999999</v>
          </cell>
          <cell r="DE343">
            <v>39597.930000000008</v>
          </cell>
          <cell r="DF343">
            <v>585.16999999999996</v>
          </cell>
        </row>
        <row r="344">
          <cell r="DA344">
            <v>40162.492904018225</v>
          </cell>
          <cell r="DC344">
            <v>41114.379999999997</v>
          </cell>
          <cell r="DD344"/>
          <cell r="DE344">
            <v>11896.099999999999</v>
          </cell>
          <cell r="DF344">
            <v>0</v>
          </cell>
        </row>
        <row r="345">
          <cell r="DA345">
            <v>-1222.0602073735463</v>
          </cell>
          <cell r="DC345">
            <v>50625.01</v>
          </cell>
          <cell r="DD345"/>
          <cell r="DE345">
            <v>6706.6300000000047</v>
          </cell>
          <cell r="DF345">
            <v>0</v>
          </cell>
        </row>
        <row r="346">
          <cell r="DA346">
            <v>92148.967531340837</v>
          </cell>
          <cell r="DC346">
            <v>79524.56</v>
          </cell>
          <cell r="DD346">
            <v>0</v>
          </cell>
          <cell r="DE346">
            <v>36714.39</v>
          </cell>
          <cell r="DF346">
            <v>-203.48</v>
          </cell>
        </row>
        <row r="347">
          <cell r="DA347">
            <v>-25964.798169893031</v>
          </cell>
          <cell r="DC347">
            <v>122125.56</v>
          </cell>
          <cell r="DD347"/>
          <cell r="DE347">
            <v>81688</v>
          </cell>
          <cell r="DF347">
            <v>0</v>
          </cell>
        </row>
        <row r="348">
          <cell r="DA348">
            <v>32800.226787958614</v>
          </cell>
          <cell r="DC348">
            <v>90669.77</v>
          </cell>
          <cell r="DD348">
            <v>0</v>
          </cell>
          <cell r="DE348">
            <v>51414.97</v>
          </cell>
          <cell r="DF348">
            <v>-539.41999999999996</v>
          </cell>
        </row>
        <row r="349">
          <cell r="DA349">
            <v>37566.00484701094</v>
          </cell>
          <cell r="DC349">
            <v>80086.350000000006</v>
          </cell>
          <cell r="DD349"/>
          <cell r="DE349">
            <v>47358.69</v>
          </cell>
          <cell r="DF349">
            <v>0</v>
          </cell>
        </row>
        <row r="350">
          <cell r="DA350">
            <v>41215.246821285444</v>
          </cell>
          <cell r="DC350">
            <v>62873.95</v>
          </cell>
          <cell r="DD350"/>
          <cell r="DE350">
            <v>37115.789999999994</v>
          </cell>
          <cell r="DF350">
            <v>0</v>
          </cell>
        </row>
        <row r="351">
          <cell r="DA351">
            <v>63435.274897842079</v>
          </cell>
          <cell r="DC351">
            <v>38482.19</v>
          </cell>
          <cell r="DD351"/>
          <cell r="DE351">
            <v>21544.480000000003</v>
          </cell>
          <cell r="DF351">
            <v>0</v>
          </cell>
        </row>
        <row r="352">
          <cell r="DA352">
            <v>11882.034646395219</v>
          </cell>
          <cell r="DC352">
            <v>28972.06</v>
          </cell>
          <cell r="DD352"/>
          <cell r="DE352">
            <v>12077.16</v>
          </cell>
          <cell r="DF352">
            <v>0</v>
          </cell>
        </row>
        <row r="353">
          <cell r="DA353">
            <v>20455.780630001529</v>
          </cell>
          <cell r="DC353">
            <v>40028.839999999997</v>
          </cell>
          <cell r="DD353"/>
          <cell r="DE353">
            <v>22779.67</v>
          </cell>
          <cell r="DF353">
            <v>0</v>
          </cell>
        </row>
        <row r="354">
          <cell r="DA354">
            <v>75343.045775358885</v>
          </cell>
          <cell r="DC354">
            <v>88074.13</v>
          </cell>
          <cell r="DD354">
            <v>1770.73</v>
          </cell>
          <cell r="DE354">
            <v>56755.58</v>
          </cell>
          <cell r="DF354">
            <v>844.44</v>
          </cell>
        </row>
        <row r="355">
          <cell r="DA355">
            <v>-5114.8550672412093</v>
          </cell>
          <cell r="DC355">
            <v>134818.99</v>
          </cell>
          <cell r="DD355"/>
          <cell r="DE355">
            <v>108912.24999999999</v>
          </cell>
          <cell r="DF355">
            <v>0</v>
          </cell>
        </row>
        <row r="356">
          <cell r="DA356">
            <v>287919.61123931676</v>
          </cell>
          <cell r="DC356">
            <v>90341.84</v>
          </cell>
          <cell r="DD356"/>
          <cell r="DE356">
            <v>65680.33</v>
          </cell>
          <cell r="DF356">
            <v>0</v>
          </cell>
        </row>
        <row r="357">
          <cell r="DA357">
            <v>-19310.550725845489</v>
          </cell>
          <cell r="DC357">
            <v>65301.45</v>
          </cell>
          <cell r="DD357"/>
          <cell r="DE357">
            <v>40481.979999999996</v>
          </cell>
          <cell r="DF357">
            <v>0</v>
          </cell>
        </row>
        <row r="358">
          <cell r="DA358">
            <v>-21499.491086150021</v>
          </cell>
          <cell r="DC358">
            <v>71183.399999999994</v>
          </cell>
          <cell r="DD358"/>
          <cell r="DE358">
            <v>45686.819999999992</v>
          </cell>
          <cell r="DF358">
            <v>0</v>
          </cell>
        </row>
        <row r="359">
          <cell r="DA359">
            <v>-48754.060752959718</v>
          </cell>
          <cell r="DC359">
            <v>72463.94</v>
          </cell>
          <cell r="DD359">
            <v>207.14</v>
          </cell>
          <cell r="DE359">
            <v>40633.520000000004</v>
          </cell>
          <cell r="DF359">
            <v>0</v>
          </cell>
        </row>
        <row r="360">
          <cell r="DA360">
            <v>41767.145419065448</v>
          </cell>
          <cell r="DC360">
            <v>35913.75</v>
          </cell>
          <cell r="DD360">
            <v>14379.220000000001</v>
          </cell>
          <cell r="DE360">
            <v>26298.83</v>
          </cell>
          <cell r="DF360">
            <v>12526.130000000001</v>
          </cell>
        </row>
        <row r="361">
          <cell r="DA361">
            <v>339769.25051250996</v>
          </cell>
          <cell r="DC361">
            <v>31127.33</v>
          </cell>
          <cell r="DD361">
            <v>3368.83</v>
          </cell>
          <cell r="DE361">
            <v>15533.980000000001</v>
          </cell>
          <cell r="DF361">
            <v>-263.39000000000033</v>
          </cell>
        </row>
        <row r="362">
          <cell r="DA362">
            <v>-96237.440379695967</v>
          </cell>
          <cell r="DC362">
            <v>14045.18</v>
          </cell>
          <cell r="DD362">
            <v>22917.480000000003</v>
          </cell>
          <cell r="DE362">
            <v>3655.1399999999994</v>
          </cell>
          <cell r="DF362">
            <v>19143.990000000002</v>
          </cell>
        </row>
        <row r="363">
          <cell r="DA363">
            <v>-55446.209881416609</v>
          </cell>
          <cell r="DC363">
            <v>21713.49</v>
          </cell>
          <cell r="DD363">
            <v>8099.5199999999995</v>
          </cell>
          <cell r="DE363">
            <v>6407.7900000000009</v>
          </cell>
          <cell r="DF363">
            <v>6499.74</v>
          </cell>
        </row>
        <row r="364">
          <cell r="DA364">
            <v>87.023162094063082</v>
          </cell>
          <cell r="DC364">
            <v>35254.160000000003</v>
          </cell>
          <cell r="DD364">
            <v>17503.289999999997</v>
          </cell>
          <cell r="DE364">
            <v>24143.910000000003</v>
          </cell>
          <cell r="DF364">
            <v>14616.729999999998</v>
          </cell>
        </row>
        <row r="365">
          <cell r="DA365">
            <v>15631.454794297926</v>
          </cell>
          <cell r="DC365">
            <v>15940.34</v>
          </cell>
          <cell r="DD365"/>
          <cell r="DE365">
            <v>6698.4</v>
          </cell>
          <cell r="DF365">
            <v>0</v>
          </cell>
        </row>
        <row r="366">
          <cell r="DA366">
            <v>-32216.669069925465</v>
          </cell>
          <cell r="DC366">
            <v>26127.73</v>
          </cell>
          <cell r="DD366">
            <v>11210.449999999999</v>
          </cell>
          <cell r="DE366">
            <v>13881.38</v>
          </cell>
          <cell r="DF366">
            <v>7873.4999999999991</v>
          </cell>
        </row>
        <row r="367">
          <cell r="DA367">
            <v>-45229.884610456706</v>
          </cell>
          <cell r="DC367">
            <v>8263.66</v>
          </cell>
          <cell r="DD367">
            <v>-466.32</v>
          </cell>
          <cell r="DE367">
            <v>-19.799999999999272</v>
          </cell>
          <cell r="DF367">
            <v>-699.48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Лист2"/>
      <sheetName val="ДЗ нас "/>
      <sheetName val="ДЗ нежит"/>
      <sheetName val="кошти 01.03.23"/>
      <sheetName val="поточний ремонт"/>
      <sheetName val="ПР будинок"/>
      <sheetName val="накладні витрати"/>
      <sheetName val="первичка 1"/>
      <sheetName val="первичка 2"/>
      <sheetName val="Лист4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  <sheetName val="паркан аморт"/>
      <sheetName val="Лист1"/>
    </sheetNames>
    <sheetDataSet>
      <sheetData sheetId="0"/>
      <sheetData sheetId="1"/>
      <sheetData sheetId="2"/>
      <sheetData sheetId="3">
        <row r="9">
          <cell r="DW9"/>
        </row>
        <row r="10">
          <cell r="DW10">
            <v>118</v>
          </cell>
        </row>
        <row r="11">
          <cell r="DW11">
            <v>102</v>
          </cell>
        </row>
        <row r="12">
          <cell r="DW12">
            <v>138</v>
          </cell>
        </row>
        <row r="13">
          <cell r="DW13">
            <v>138</v>
          </cell>
        </row>
        <row r="14">
          <cell r="DW14"/>
        </row>
        <row r="15">
          <cell r="DW15">
            <v>101</v>
          </cell>
        </row>
        <row r="16">
          <cell r="DW16">
            <v>0</v>
          </cell>
        </row>
        <row r="17">
          <cell r="DW17">
            <v>0</v>
          </cell>
        </row>
        <row r="18">
          <cell r="DW18">
            <v>138</v>
          </cell>
        </row>
        <row r="19">
          <cell r="DW19">
            <v>102</v>
          </cell>
        </row>
        <row r="20">
          <cell r="DW20"/>
        </row>
        <row r="21">
          <cell r="DW21">
            <v>102</v>
          </cell>
        </row>
        <row r="22">
          <cell r="DW22">
            <v>101</v>
          </cell>
        </row>
        <row r="23">
          <cell r="DW23">
            <v>132</v>
          </cell>
        </row>
        <row r="24">
          <cell r="DW24">
            <v>102</v>
          </cell>
        </row>
        <row r="25">
          <cell r="DW25">
            <v>102</v>
          </cell>
        </row>
        <row r="26">
          <cell r="DW26"/>
        </row>
        <row r="27">
          <cell r="DW27"/>
        </row>
        <row r="28">
          <cell r="DW28"/>
        </row>
        <row r="29">
          <cell r="DW29"/>
        </row>
        <row r="30">
          <cell r="DW30"/>
        </row>
        <row r="31">
          <cell r="DW31"/>
        </row>
        <row r="32">
          <cell r="DW32">
            <v>118</v>
          </cell>
        </row>
        <row r="33">
          <cell r="DW33">
            <v>102</v>
          </cell>
        </row>
        <row r="34">
          <cell r="DW34">
            <v>118</v>
          </cell>
        </row>
        <row r="35">
          <cell r="DW35">
            <v>102</v>
          </cell>
        </row>
        <row r="36">
          <cell r="DW36">
            <v>102</v>
          </cell>
        </row>
        <row r="37">
          <cell r="DW37">
            <v>118</v>
          </cell>
        </row>
        <row r="38">
          <cell r="DW38">
            <v>102</v>
          </cell>
        </row>
        <row r="39">
          <cell r="DW39">
            <v>102</v>
          </cell>
        </row>
        <row r="40">
          <cell r="DW40">
            <v>102</v>
          </cell>
        </row>
        <row r="41">
          <cell r="DW41">
            <v>102</v>
          </cell>
        </row>
        <row r="42">
          <cell r="DW42">
            <v>88</v>
          </cell>
        </row>
        <row r="43">
          <cell r="DW43">
            <v>84</v>
          </cell>
        </row>
        <row r="44">
          <cell r="DW44">
            <v>135</v>
          </cell>
        </row>
        <row r="45">
          <cell r="DW45">
            <v>94</v>
          </cell>
        </row>
        <row r="46">
          <cell r="DW46">
            <v>126.5</v>
          </cell>
        </row>
        <row r="47">
          <cell r="DW47"/>
        </row>
        <row r="48">
          <cell r="DW48"/>
        </row>
        <row r="49">
          <cell r="DW49">
            <v>102</v>
          </cell>
        </row>
        <row r="50">
          <cell r="DW50">
            <v>102</v>
          </cell>
        </row>
        <row r="51">
          <cell r="DW51">
            <v>101</v>
          </cell>
        </row>
        <row r="52">
          <cell r="DW52">
            <v>102</v>
          </cell>
        </row>
        <row r="53">
          <cell r="DW53">
            <v>118</v>
          </cell>
        </row>
        <row r="54">
          <cell r="DW54">
            <v>118</v>
          </cell>
        </row>
        <row r="55">
          <cell r="DW55">
            <v>102</v>
          </cell>
        </row>
        <row r="56">
          <cell r="DW56">
            <v>102</v>
          </cell>
        </row>
        <row r="57">
          <cell r="DW57">
            <v>118</v>
          </cell>
        </row>
        <row r="58">
          <cell r="DW58">
            <v>102</v>
          </cell>
        </row>
        <row r="59">
          <cell r="DW59"/>
        </row>
        <row r="60">
          <cell r="DW60"/>
        </row>
        <row r="61">
          <cell r="DW61">
            <v>102</v>
          </cell>
        </row>
        <row r="62">
          <cell r="DW62">
            <v>102</v>
          </cell>
        </row>
        <row r="63">
          <cell r="DW63">
            <v>118</v>
          </cell>
        </row>
        <row r="64">
          <cell r="DW64">
            <v>118</v>
          </cell>
        </row>
        <row r="65">
          <cell r="DW65"/>
        </row>
        <row r="66">
          <cell r="DW66"/>
        </row>
        <row r="67">
          <cell r="DW67">
            <v>138</v>
          </cell>
        </row>
        <row r="68">
          <cell r="DW68"/>
        </row>
        <row r="69">
          <cell r="DW69"/>
        </row>
        <row r="70">
          <cell r="DW70">
            <v>149</v>
          </cell>
        </row>
        <row r="71">
          <cell r="DW71">
            <v>102</v>
          </cell>
        </row>
        <row r="72">
          <cell r="DW72">
            <v>163.33000000000001</v>
          </cell>
        </row>
        <row r="73">
          <cell r="DW73">
            <v>118</v>
          </cell>
        </row>
        <row r="74">
          <cell r="DW74">
            <v>185</v>
          </cell>
        </row>
        <row r="75">
          <cell r="DW75"/>
        </row>
        <row r="76">
          <cell r="DW76"/>
        </row>
        <row r="77">
          <cell r="DW77"/>
        </row>
        <row r="78">
          <cell r="DW78"/>
        </row>
        <row r="79">
          <cell r="DW79"/>
        </row>
        <row r="80">
          <cell r="DW80"/>
        </row>
        <row r="81">
          <cell r="DW81"/>
        </row>
        <row r="82">
          <cell r="DW82"/>
        </row>
        <row r="83">
          <cell r="DW83">
            <v>101</v>
          </cell>
        </row>
        <row r="84">
          <cell r="DW84">
            <v>101</v>
          </cell>
        </row>
        <row r="85">
          <cell r="DW85">
            <v>102</v>
          </cell>
        </row>
        <row r="86">
          <cell r="DW86">
            <v>118</v>
          </cell>
        </row>
        <row r="87">
          <cell r="DW87"/>
        </row>
        <row r="88">
          <cell r="DW88">
            <v>138</v>
          </cell>
        </row>
        <row r="89">
          <cell r="DW89"/>
        </row>
        <row r="90">
          <cell r="DW90">
            <v>102</v>
          </cell>
        </row>
        <row r="91">
          <cell r="DW91">
            <v>138</v>
          </cell>
        </row>
        <row r="92">
          <cell r="DW92">
            <v>101</v>
          </cell>
        </row>
        <row r="93">
          <cell r="DW93">
            <v>101</v>
          </cell>
        </row>
        <row r="94">
          <cell r="DW94">
            <v>101</v>
          </cell>
        </row>
        <row r="95">
          <cell r="DW95">
            <v>166</v>
          </cell>
        </row>
        <row r="96">
          <cell r="DW96">
            <v>138</v>
          </cell>
        </row>
        <row r="97">
          <cell r="DW97">
            <v>102</v>
          </cell>
        </row>
        <row r="98">
          <cell r="DW98"/>
        </row>
        <row r="99">
          <cell r="DW99">
            <v>102</v>
          </cell>
        </row>
        <row r="100">
          <cell r="DW100">
            <v>102</v>
          </cell>
        </row>
        <row r="101">
          <cell r="DW101">
            <v>102</v>
          </cell>
        </row>
        <row r="102">
          <cell r="DW102">
            <v>102</v>
          </cell>
        </row>
        <row r="103">
          <cell r="DW103">
            <v>102</v>
          </cell>
        </row>
        <row r="104">
          <cell r="DW104">
            <v>102</v>
          </cell>
        </row>
        <row r="105">
          <cell r="DW105">
            <v>102</v>
          </cell>
        </row>
        <row r="106">
          <cell r="DW106">
            <v>102</v>
          </cell>
        </row>
        <row r="107">
          <cell r="DW107">
            <v>102</v>
          </cell>
        </row>
        <row r="108">
          <cell r="DW108">
            <v>102</v>
          </cell>
        </row>
        <row r="109">
          <cell r="DW109">
            <v>102</v>
          </cell>
        </row>
        <row r="110">
          <cell r="DW110">
            <v>102</v>
          </cell>
        </row>
        <row r="111">
          <cell r="DW111">
            <v>118</v>
          </cell>
        </row>
        <row r="112">
          <cell r="DW112">
            <v>118</v>
          </cell>
        </row>
        <row r="113">
          <cell r="DW113">
            <v>118</v>
          </cell>
        </row>
        <row r="114">
          <cell r="DW114">
            <v>118</v>
          </cell>
        </row>
        <row r="115">
          <cell r="DW115"/>
        </row>
        <row r="116">
          <cell r="DW116"/>
        </row>
        <row r="117">
          <cell r="DW117">
            <v>102</v>
          </cell>
        </row>
        <row r="118">
          <cell r="DW118"/>
        </row>
        <row r="119">
          <cell r="DW119">
            <v>102</v>
          </cell>
        </row>
        <row r="120">
          <cell r="DW120">
            <v>101</v>
          </cell>
        </row>
        <row r="121">
          <cell r="DW121">
            <v>102</v>
          </cell>
        </row>
        <row r="122">
          <cell r="DW122"/>
        </row>
        <row r="123">
          <cell r="DW123"/>
        </row>
        <row r="124">
          <cell r="DW124"/>
        </row>
        <row r="125">
          <cell r="DW125">
            <v>102</v>
          </cell>
        </row>
        <row r="126">
          <cell r="DW126">
            <v>132</v>
          </cell>
        </row>
        <row r="127">
          <cell r="DW127">
            <v>132</v>
          </cell>
        </row>
        <row r="128">
          <cell r="DW128"/>
        </row>
        <row r="129">
          <cell r="DW129"/>
        </row>
        <row r="130">
          <cell r="DW130"/>
        </row>
        <row r="131">
          <cell r="DW131">
            <v>101</v>
          </cell>
        </row>
        <row r="132">
          <cell r="DW132"/>
        </row>
        <row r="133">
          <cell r="DW133"/>
        </row>
        <row r="134">
          <cell r="DW134">
            <v>118</v>
          </cell>
        </row>
        <row r="135">
          <cell r="DW135">
            <v>118</v>
          </cell>
        </row>
        <row r="136">
          <cell r="DW136">
            <v>126.5</v>
          </cell>
        </row>
        <row r="137">
          <cell r="DW137">
            <v>102</v>
          </cell>
        </row>
        <row r="138">
          <cell r="DW138">
            <v>102</v>
          </cell>
        </row>
        <row r="139">
          <cell r="DW139">
            <v>126.5</v>
          </cell>
        </row>
        <row r="140">
          <cell r="DW140"/>
        </row>
        <row r="141">
          <cell r="DW141"/>
        </row>
        <row r="142">
          <cell r="DW142">
            <v>118</v>
          </cell>
        </row>
        <row r="143">
          <cell r="DW143">
            <v>101</v>
          </cell>
        </row>
        <row r="144">
          <cell r="DW144">
            <v>101</v>
          </cell>
        </row>
        <row r="145">
          <cell r="DW145">
            <v>155.6</v>
          </cell>
        </row>
        <row r="146">
          <cell r="DW146"/>
        </row>
        <row r="147">
          <cell r="DW147">
            <v>202</v>
          </cell>
        </row>
        <row r="148">
          <cell r="DW148">
            <v>151</v>
          </cell>
        </row>
        <row r="149">
          <cell r="DW149">
            <v>126.5</v>
          </cell>
        </row>
        <row r="150">
          <cell r="DW150">
            <v>118</v>
          </cell>
        </row>
        <row r="151">
          <cell r="DW151">
            <v>118</v>
          </cell>
        </row>
        <row r="152">
          <cell r="DW152">
            <v>118</v>
          </cell>
        </row>
        <row r="153">
          <cell r="DW153">
            <v>138</v>
          </cell>
        </row>
        <row r="154">
          <cell r="DW154">
            <v>138</v>
          </cell>
        </row>
        <row r="155">
          <cell r="DW155">
            <v>102</v>
          </cell>
        </row>
        <row r="156">
          <cell r="DW156">
            <v>102</v>
          </cell>
        </row>
        <row r="157">
          <cell r="DW157">
            <v>116</v>
          </cell>
        </row>
        <row r="158">
          <cell r="DW158">
            <v>116</v>
          </cell>
        </row>
        <row r="159">
          <cell r="DW159"/>
        </row>
        <row r="160">
          <cell r="DW160"/>
        </row>
        <row r="161">
          <cell r="DW161">
            <v>138</v>
          </cell>
        </row>
        <row r="162">
          <cell r="DW162"/>
        </row>
        <row r="163">
          <cell r="DW163"/>
        </row>
        <row r="164">
          <cell r="DW164"/>
        </row>
        <row r="165">
          <cell r="DW165"/>
        </row>
        <row r="166">
          <cell r="DW166"/>
        </row>
        <row r="167">
          <cell r="DW167"/>
        </row>
        <row r="168">
          <cell r="DW168"/>
        </row>
        <row r="169">
          <cell r="DW169"/>
        </row>
        <row r="170">
          <cell r="DW170"/>
        </row>
        <row r="171">
          <cell r="DW171"/>
        </row>
        <row r="172">
          <cell r="DW172">
            <v>134</v>
          </cell>
        </row>
        <row r="173">
          <cell r="DW173">
            <v>101</v>
          </cell>
        </row>
        <row r="174">
          <cell r="DW174"/>
        </row>
        <row r="175">
          <cell r="DW175"/>
        </row>
        <row r="176">
          <cell r="DW176"/>
        </row>
        <row r="177">
          <cell r="DW177">
            <v>102</v>
          </cell>
        </row>
        <row r="178">
          <cell r="DW178"/>
        </row>
        <row r="179">
          <cell r="DW179">
            <v>102</v>
          </cell>
        </row>
        <row r="180">
          <cell r="DW180">
            <v>151</v>
          </cell>
        </row>
        <row r="181">
          <cell r="DW181">
            <v>138</v>
          </cell>
        </row>
        <row r="182">
          <cell r="DW182">
            <v>101</v>
          </cell>
        </row>
        <row r="183">
          <cell r="DW183">
            <v>138</v>
          </cell>
        </row>
        <row r="184">
          <cell r="DW184">
            <v>138</v>
          </cell>
        </row>
        <row r="185">
          <cell r="DW185">
            <v>177.5</v>
          </cell>
        </row>
        <row r="186">
          <cell r="DW186">
            <v>102</v>
          </cell>
        </row>
        <row r="187">
          <cell r="DW187"/>
        </row>
        <row r="188">
          <cell r="DW188"/>
        </row>
        <row r="189">
          <cell r="DW189">
            <v>102</v>
          </cell>
        </row>
        <row r="190">
          <cell r="DW190">
            <v>102</v>
          </cell>
        </row>
        <row r="191">
          <cell r="DW191">
            <v>118</v>
          </cell>
        </row>
        <row r="192">
          <cell r="DW192">
            <v>102</v>
          </cell>
        </row>
        <row r="193">
          <cell r="DW193">
            <v>102</v>
          </cell>
        </row>
        <row r="194">
          <cell r="DW194">
            <v>151</v>
          </cell>
        </row>
        <row r="195">
          <cell r="DW195">
            <v>118</v>
          </cell>
        </row>
        <row r="196">
          <cell r="DW196">
            <v>102</v>
          </cell>
        </row>
        <row r="197">
          <cell r="DW197">
            <v>118</v>
          </cell>
        </row>
        <row r="198">
          <cell r="DW198">
            <v>232.22</v>
          </cell>
        </row>
        <row r="199">
          <cell r="DW199">
            <v>102</v>
          </cell>
        </row>
        <row r="200">
          <cell r="DW200">
            <v>118</v>
          </cell>
        </row>
        <row r="201">
          <cell r="DW201"/>
        </row>
        <row r="202">
          <cell r="DW202">
            <v>116</v>
          </cell>
        </row>
        <row r="203">
          <cell r="DW203">
            <v>138</v>
          </cell>
        </row>
        <row r="204">
          <cell r="DW204">
            <v>101</v>
          </cell>
        </row>
        <row r="205">
          <cell r="DW205">
            <v>102</v>
          </cell>
        </row>
        <row r="206">
          <cell r="DW206">
            <v>102</v>
          </cell>
        </row>
        <row r="207">
          <cell r="DW207">
            <v>102</v>
          </cell>
        </row>
        <row r="208">
          <cell r="DW208">
            <v>101</v>
          </cell>
        </row>
        <row r="209">
          <cell r="DW209">
            <v>102</v>
          </cell>
        </row>
        <row r="210">
          <cell r="DW210">
            <v>102</v>
          </cell>
        </row>
        <row r="211">
          <cell r="DW211"/>
        </row>
        <row r="212">
          <cell r="DW212"/>
        </row>
        <row r="213">
          <cell r="DW213">
            <v>138</v>
          </cell>
        </row>
        <row r="214">
          <cell r="DW214">
            <v>102</v>
          </cell>
        </row>
        <row r="215">
          <cell r="DW215">
            <v>116</v>
          </cell>
        </row>
        <row r="216">
          <cell r="DW216">
            <v>185</v>
          </cell>
        </row>
        <row r="217">
          <cell r="DW217">
            <v>118</v>
          </cell>
        </row>
        <row r="218">
          <cell r="DW218">
            <v>102</v>
          </cell>
        </row>
        <row r="219">
          <cell r="DW219">
            <v>118</v>
          </cell>
        </row>
        <row r="220">
          <cell r="DW220">
            <v>118</v>
          </cell>
        </row>
        <row r="221">
          <cell r="DW221">
            <v>102</v>
          </cell>
        </row>
        <row r="222">
          <cell r="DW222"/>
        </row>
        <row r="223">
          <cell r="DW223"/>
        </row>
        <row r="224">
          <cell r="DW224"/>
        </row>
        <row r="225">
          <cell r="DW225">
            <v>102</v>
          </cell>
        </row>
        <row r="226">
          <cell r="DW226"/>
        </row>
        <row r="227">
          <cell r="DW227">
            <v>102</v>
          </cell>
        </row>
        <row r="228">
          <cell r="DW228">
            <v>102</v>
          </cell>
        </row>
        <row r="229">
          <cell r="DW229">
            <v>102</v>
          </cell>
        </row>
        <row r="230">
          <cell r="DW230">
            <v>151</v>
          </cell>
        </row>
        <row r="231">
          <cell r="DW231"/>
        </row>
        <row r="232">
          <cell r="DW232"/>
        </row>
        <row r="233">
          <cell r="DW233">
            <v>102</v>
          </cell>
        </row>
        <row r="234">
          <cell r="DW234">
            <v>118</v>
          </cell>
        </row>
        <row r="235">
          <cell r="DW235">
            <v>118</v>
          </cell>
        </row>
        <row r="236">
          <cell r="DW236">
            <v>118</v>
          </cell>
        </row>
        <row r="237">
          <cell r="DW237">
            <v>118</v>
          </cell>
        </row>
        <row r="238">
          <cell r="DW238">
            <v>118</v>
          </cell>
        </row>
        <row r="239">
          <cell r="DW239">
            <v>118</v>
          </cell>
        </row>
        <row r="240">
          <cell r="DW240">
            <v>151</v>
          </cell>
        </row>
        <row r="241">
          <cell r="DW241">
            <v>151</v>
          </cell>
        </row>
        <row r="242">
          <cell r="DW242">
            <v>118</v>
          </cell>
        </row>
        <row r="243">
          <cell r="DW243">
            <v>166</v>
          </cell>
        </row>
        <row r="244">
          <cell r="DW244">
            <v>118</v>
          </cell>
        </row>
        <row r="245">
          <cell r="DW245">
            <v>151</v>
          </cell>
        </row>
        <row r="246">
          <cell r="DW246">
            <v>166</v>
          </cell>
        </row>
        <row r="247">
          <cell r="DW247">
            <v>101</v>
          </cell>
        </row>
        <row r="248">
          <cell r="DW248">
            <v>101</v>
          </cell>
        </row>
        <row r="249">
          <cell r="DW249">
            <v>134</v>
          </cell>
        </row>
        <row r="250">
          <cell r="DW250">
            <v>101</v>
          </cell>
        </row>
        <row r="251">
          <cell r="DW251"/>
        </row>
        <row r="252">
          <cell r="DW252"/>
        </row>
        <row r="253">
          <cell r="DW253">
            <v>101</v>
          </cell>
        </row>
        <row r="254">
          <cell r="DW254">
            <v>218</v>
          </cell>
        </row>
        <row r="255">
          <cell r="DW255">
            <v>218</v>
          </cell>
        </row>
        <row r="256">
          <cell r="DW256">
            <v>166</v>
          </cell>
        </row>
        <row r="257">
          <cell r="DW257">
            <v>134</v>
          </cell>
        </row>
        <row r="258">
          <cell r="DW258">
            <v>118</v>
          </cell>
        </row>
        <row r="259">
          <cell r="DW259">
            <v>118</v>
          </cell>
        </row>
        <row r="260">
          <cell r="DW260">
            <v>118</v>
          </cell>
        </row>
        <row r="261">
          <cell r="DW261">
            <v>102</v>
          </cell>
        </row>
        <row r="262">
          <cell r="DW262">
            <v>118</v>
          </cell>
        </row>
        <row r="263">
          <cell r="DW263">
            <v>118</v>
          </cell>
        </row>
        <row r="264">
          <cell r="DW264">
            <v>118</v>
          </cell>
        </row>
        <row r="265">
          <cell r="DW265">
            <v>102</v>
          </cell>
        </row>
        <row r="266">
          <cell r="DW266">
            <v>118</v>
          </cell>
        </row>
        <row r="267">
          <cell r="DW267">
            <v>118</v>
          </cell>
        </row>
        <row r="268">
          <cell r="DW268"/>
        </row>
        <row r="269">
          <cell r="DW269">
            <v>0</v>
          </cell>
        </row>
        <row r="270">
          <cell r="DW270">
            <v>102</v>
          </cell>
        </row>
        <row r="271">
          <cell r="DW271">
            <v>118</v>
          </cell>
        </row>
        <row r="272">
          <cell r="DW272">
            <v>126.5</v>
          </cell>
        </row>
        <row r="273">
          <cell r="DW273">
            <v>102</v>
          </cell>
        </row>
        <row r="274">
          <cell r="DW274">
            <v>102</v>
          </cell>
        </row>
        <row r="275">
          <cell r="DW275">
            <v>102</v>
          </cell>
        </row>
        <row r="276">
          <cell r="DW276">
            <v>118</v>
          </cell>
        </row>
        <row r="277">
          <cell r="DW277"/>
        </row>
        <row r="278">
          <cell r="DW278">
            <v>102</v>
          </cell>
        </row>
        <row r="279">
          <cell r="DW279"/>
        </row>
        <row r="280">
          <cell r="DW280">
            <v>118</v>
          </cell>
        </row>
        <row r="281">
          <cell r="DW281">
            <v>138</v>
          </cell>
        </row>
        <row r="282">
          <cell r="DW282">
            <v>101</v>
          </cell>
        </row>
        <row r="283">
          <cell r="DW283">
            <v>102</v>
          </cell>
        </row>
        <row r="284">
          <cell r="DW284">
            <v>151</v>
          </cell>
        </row>
        <row r="285">
          <cell r="DW285">
            <v>118</v>
          </cell>
        </row>
        <row r="286">
          <cell r="DW286">
            <v>118</v>
          </cell>
        </row>
        <row r="287">
          <cell r="DW287">
            <v>118</v>
          </cell>
        </row>
        <row r="288">
          <cell r="DW288">
            <v>102</v>
          </cell>
        </row>
        <row r="289">
          <cell r="DW289">
            <v>101</v>
          </cell>
        </row>
        <row r="290">
          <cell r="DW290">
            <v>118</v>
          </cell>
        </row>
        <row r="291">
          <cell r="DW291"/>
        </row>
        <row r="292">
          <cell r="DW292">
            <v>118</v>
          </cell>
        </row>
        <row r="293">
          <cell r="DW293">
            <v>118</v>
          </cell>
        </row>
        <row r="294">
          <cell r="DW294">
            <v>118</v>
          </cell>
        </row>
        <row r="295">
          <cell r="DW295">
            <v>118</v>
          </cell>
        </row>
        <row r="296">
          <cell r="DW296">
            <v>118</v>
          </cell>
        </row>
        <row r="297">
          <cell r="DW297">
            <v>118</v>
          </cell>
        </row>
        <row r="298">
          <cell r="DW298">
            <v>102</v>
          </cell>
        </row>
        <row r="299">
          <cell r="DW299"/>
        </row>
        <row r="300">
          <cell r="DW300">
            <v>118</v>
          </cell>
        </row>
        <row r="301">
          <cell r="DW301">
            <v>118</v>
          </cell>
        </row>
        <row r="302">
          <cell r="DW302">
            <v>118</v>
          </cell>
        </row>
        <row r="303">
          <cell r="DW303">
            <v>118</v>
          </cell>
        </row>
        <row r="304">
          <cell r="DW304"/>
        </row>
        <row r="305">
          <cell r="DW305"/>
        </row>
        <row r="306">
          <cell r="DW306"/>
        </row>
        <row r="307">
          <cell r="DW307"/>
        </row>
        <row r="308">
          <cell r="DW308">
            <v>102</v>
          </cell>
        </row>
        <row r="309">
          <cell r="DW309">
            <v>118</v>
          </cell>
        </row>
        <row r="310">
          <cell r="DW310">
            <v>102</v>
          </cell>
        </row>
        <row r="311">
          <cell r="DW311">
            <v>118</v>
          </cell>
        </row>
        <row r="312">
          <cell r="DW312">
            <v>118</v>
          </cell>
        </row>
        <row r="313">
          <cell r="DW313">
            <v>118</v>
          </cell>
        </row>
        <row r="314">
          <cell r="DW314">
            <v>235</v>
          </cell>
        </row>
        <row r="315">
          <cell r="DW315">
            <v>118</v>
          </cell>
        </row>
        <row r="316">
          <cell r="DW316">
            <v>118</v>
          </cell>
        </row>
        <row r="317">
          <cell r="DW317">
            <v>102</v>
          </cell>
        </row>
        <row r="318">
          <cell r="DW318">
            <v>102</v>
          </cell>
        </row>
        <row r="319">
          <cell r="DW319">
            <v>118</v>
          </cell>
        </row>
        <row r="320">
          <cell r="DW320">
            <v>151</v>
          </cell>
        </row>
        <row r="321">
          <cell r="DW321">
            <v>101</v>
          </cell>
        </row>
        <row r="322">
          <cell r="DW322"/>
        </row>
        <row r="323">
          <cell r="DW323">
            <v>102</v>
          </cell>
        </row>
        <row r="324">
          <cell r="DW324">
            <v>138</v>
          </cell>
        </row>
        <row r="325">
          <cell r="DW325">
            <v>118</v>
          </cell>
        </row>
        <row r="326">
          <cell r="DW326">
            <v>118</v>
          </cell>
        </row>
        <row r="327">
          <cell r="DW327">
            <v>166</v>
          </cell>
        </row>
        <row r="328">
          <cell r="DW328">
            <v>0</v>
          </cell>
        </row>
        <row r="329">
          <cell r="DW329">
            <v>102</v>
          </cell>
        </row>
        <row r="330">
          <cell r="DW330">
            <v>118</v>
          </cell>
        </row>
        <row r="331">
          <cell r="DW331">
            <v>118</v>
          </cell>
        </row>
        <row r="332">
          <cell r="DW332">
            <v>151</v>
          </cell>
        </row>
        <row r="333">
          <cell r="DW333">
            <v>118</v>
          </cell>
        </row>
        <row r="334">
          <cell r="DW334">
            <v>118</v>
          </cell>
        </row>
        <row r="335">
          <cell r="DW335">
            <v>102</v>
          </cell>
        </row>
        <row r="336">
          <cell r="DW336"/>
        </row>
        <row r="337">
          <cell r="DW337">
            <v>155.6</v>
          </cell>
        </row>
        <row r="338">
          <cell r="DW338">
            <v>126.5</v>
          </cell>
        </row>
        <row r="339">
          <cell r="DW339">
            <v>152.80000000000001</v>
          </cell>
        </row>
        <row r="340">
          <cell r="DW340">
            <v>101</v>
          </cell>
        </row>
        <row r="341">
          <cell r="DW341">
            <v>101</v>
          </cell>
        </row>
        <row r="342">
          <cell r="DW342">
            <v>101</v>
          </cell>
        </row>
        <row r="343">
          <cell r="DW343">
            <v>102</v>
          </cell>
        </row>
        <row r="344">
          <cell r="DW344">
            <v>101</v>
          </cell>
        </row>
        <row r="345">
          <cell r="DW345">
            <v>155.6</v>
          </cell>
        </row>
        <row r="346">
          <cell r="DW346">
            <v>149</v>
          </cell>
        </row>
        <row r="347">
          <cell r="DW347">
            <v>116</v>
          </cell>
        </row>
        <row r="348">
          <cell r="DW348">
            <v>116</v>
          </cell>
        </row>
        <row r="349">
          <cell r="DW349">
            <v>152.80000000000001</v>
          </cell>
        </row>
        <row r="350">
          <cell r="DW350">
            <v>125.5</v>
          </cell>
        </row>
        <row r="351">
          <cell r="DW351">
            <v>101</v>
          </cell>
        </row>
        <row r="352">
          <cell r="DW352">
            <v>101</v>
          </cell>
        </row>
        <row r="353">
          <cell r="DW353">
            <v>102</v>
          </cell>
        </row>
        <row r="354">
          <cell r="DW354">
            <v>166</v>
          </cell>
        </row>
        <row r="355">
          <cell r="DW355">
            <v>151</v>
          </cell>
        </row>
        <row r="356">
          <cell r="DW356">
            <v>151</v>
          </cell>
        </row>
        <row r="357">
          <cell r="DW357">
            <v>101</v>
          </cell>
        </row>
        <row r="358">
          <cell r="DW358">
            <v>134</v>
          </cell>
        </row>
        <row r="359">
          <cell r="DW359">
            <v>152.80000000000001</v>
          </cell>
        </row>
        <row r="360">
          <cell r="DW360">
            <v>118</v>
          </cell>
        </row>
        <row r="361">
          <cell r="DW361">
            <v>190.8</v>
          </cell>
        </row>
        <row r="362">
          <cell r="DW362">
            <v>118</v>
          </cell>
        </row>
        <row r="363">
          <cell r="DW363">
            <v>118</v>
          </cell>
        </row>
        <row r="364">
          <cell r="DW364">
            <v>118</v>
          </cell>
        </row>
        <row r="365">
          <cell r="DW365">
            <v>118</v>
          </cell>
        </row>
        <row r="366">
          <cell r="DW366">
            <v>118</v>
          </cell>
        </row>
        <row r="367">
          <cell r="DW367">
            <v>102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Лист2"/>
      <sheetName val="ДЗ нас "/>
      <sheetName val="ДЗ нежит"/>
      <sheetName val="кошти 01.03.23"/>
      <sheetName val="поточний ремонт"/>
      <sheetName val="ПР будинок"/>
      <sheetName val="накладні витрати"/>
      <sheetName val="первичка 1"/>
      <sheetName val="первичка 2"/>
      <sheetName val="Лист4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  <sheetName val="паркан аморт"/>
      <sheetName val="Лист1"/>
    </sheetNames>
    <sheetDataSet>
      <sheetData sheetId="0"/>
      <sheetData sheetId="1"/>
      <sheetData sheetId="2"/>
      <sheetData sheetId="3">
        <row r="9">
          <cell r="DW9"/>
        </row>
        <row r="10">
          <cell r="DW10">
            <v>118</v>
          </cell>
        </row>
        <row r="11">
          <cell r="DW11">
            <v>102</v>
          </cell>
        </row>
        <row r="12">
          <cell r="DW12">
            <v>138</v>
          </cell>
        </row>
        <row r="13">
          <cell r="DW13">
            <v>138</v>
          </cell>
        </row>
        <row r="14">
          <cell r="DW14"/>
        </row>
        <row r="15">
          <cell r="DW15">
            <v>101</v>
          </cell>
        </row>
        <row r="16">
          <cell r="DW16">
            <v>0</v>
          </cell>
        </row>
        <row r="17">
          <cell r="DW17">
            <v>0</v>
          </cell>
        </row>
        <row r="18">
          <cell r="DW18">
            <v>138</v>
          </cell>
        </row>
        <row r="19">
          <cell r="DW19">
            <v>102</v>
          </cell>
        </row>
        <row r="20">
          <cell r="DW20"/>
        </row>
        <row r="21">
          <cell r="DW21">
            <v>102</v>
          </cell>
        </row>
        <row r="22">
          <cell r="DW22">
            <v>101</v>
          </cell>
        </row>
        <row r="23">
          <cell r="DW23">
            <v>132</v>
          </cell>
        </row>
        <row r="24">
          <cell r="DW24">
            <v>102</v>
          </cell>
        </row>
        <row r="25">
          <cell r="DW25">
            <v>102</v>
          </cell>
        </row>
        <row r="26">
          <cell r="DW26"/>
        </row>
        <row r="27">
          <cell r="DW27"/>
        </row>
        <row r="28">
          <cell r="DW28"/>
        </row>
        <row r="29">
          <cell r="DW29"/>
        </row>
        <row r="30">
          <cell r="DW30"/>
        </row>
        <row r="31">
          <cell r="DW31"/>
        </row>
        <row r="32">
          <cell r="DW32">
            <v>118</v>
          </cell>
        </row>
        <row r="33">
          <cell r="DW33">
            <v>102</v>
          </cell>
        </row>
        <row r="34">
          <cell r="DW34">
            <v>118</v>
          </cell>
        </row>
        <row r="35">
          <cell r="DW35">
            <v>102</v>
          </cell>
        </row>
        <row r="36">
          <cell r="DW36">
            <v>102</v>
          </cell>
        </row>
        <row r="37">
          <cell r="DW37">
            <v>118</v>
          </cell>
        </row>
        <row r="38">
          <cell r="DW38">
            <v>102</v>
          </cell>
        </row>
        <row r="39">
          <cell r="DW39">
            <v>102</v>
          </cell>
        </row>
        <row r="40">
          <cell r="DW40">
            <v>102</v>
          </cell>
        </row>
        <row r="41">
          <cell r="DW41">
            <v>102</v>
          </cell>
        </row>
        <row r="42">
          <cell r="DW42">
            <v>88</v>
          </cell>
        </row>
        <row r="43">
          <cell r="DW43">
            <v>84</v>
          </cell>
        </row>
        <row r="44">
          <cell r="DW44">
            <v>135</v>
          </cell>
        </row>
        <row r="45">
          <cell r="DW45">
            <v>94</v>
          </cell>
        </row>
        <row r="46">
          <cell r="DW46">
            <v>126.5</v>
          </cell>
        </row>
        <row r="47">
          <cell r="DW47"/>
        </row>
        <row r="48">
          <cell r="DW48"/>
        </row>
        <row r="49">
          <cell r="DW49">
            <v>102</v>
          </cell>
        </row>
        <row r="50">
          <cell r="DW50">
            <v>102</v>
          </cell>
        </row>
        <row r="51">
          <cell r="DW51">
            <v>101</v>
          </cell>
        </row>
        <row r="52">
          <cell r="DW52">
            <v>102</v>
          </cell>
        </row>
        <row r="53">
          <cell r="DW53">
            <v>118</v>
          </cell>
        </row>
        <row r="54">
          <cell r="DW54">
            <v>118</v>
          </cell>
        </row>
        <row r="55">
          <cell r="DW55">
            <v>102</v>
          </cell>
        </row>
        <row r="56">
          <cell r="DW56">
            <v>102</v>
          </cell>
        </row>
        <row r="57">
          <cell r="DW57">
            <v>118</v>
          </cell>
        </row>
        <row r="58">
          <cell r="DW58">
            <v>102</v>
          </cell>
        </row>
        <row r="59">
          <cell r="DW59"/>
        </row>
        <row r="60">
          <cell r="DW60"/>
        </row>
        <row r="61">
          <cell r="DW61">
            <v>102</v>
          </cell>
        </row>
        <row r="62">
          <cell r="DW62">
            <v>102</v>
          </cell>
        </row>
        <row r="63">
          <cell r="DW63">
            <v>118</v>
          </cell>
        </row>
        <row r="64">
          <cell r="DW64">
            <v>118</v>
          </cell>
        </row>
        <row r="65">
          <cell r="DW65"/>
        </row>
        <row r="66">
          <cell r="DW66"/>
        </row>
        <row r="67">
          <cell r="DW67">
            <v>138</v>
          </cell>
        </row>
        <row r="68">
          <cell r="DW68"/>
        </row>
        <row r="69">
          <cell r="DW69"/>
        </row>
        <row r="70">
          <cell r="DW70">
            <v>149</v>
          </cell>
        </row>
        <row r="71">
          <cell r="DW71">
            <v>102</v>
          </cell>
        </row>
        <row r="72">
          <cell r="DW72">
            <v>163.33000000000001</v>
          </cell>
        </row>
        <row r="73">
          <cell r="DW73">
            <v>118</v>
          </cell>
        </row>
        <row r="74">
          <cell r="DW74">
            <v>185</v>
          </cell>
        </row>
        <row r="75">
          <cell r="DW75"/>
        </row>
        <row r="76">
          <cell r="DW76"/>
        </row>
        <row r="77">
          <cell r="DW77"/>
        </row>
        <row r="78">
          <cell r="DW78"/>
        </row>
        <row r="79">
          <cell r="DW79"/>
        </row>
        <row r="80">
          <cell r="DW80"/>
        </row>
        <row r="81">
          <cell r="DW81"/>
        </row>
        <row r="82">
          <cell r="DW82"/>
        </row>
        <row r="83">
          <cell r="DW83">
            <v>101</v>
          </cell>
        </row>
        <row r="84">
          <cell r="DW84">
            <v>101</v>
          </cell>
        </row>
        <row r="85">
          <cell r="DW85">
            <v>102</v>
          </cell>
        </row>
        <row r="86">
          <cell r="DW86">
            <v>118</v>
          </cell>
        </row>
        <row r="87">
          <cell r="DW87"/>
        </row>
        <row r="88">
          <cell r="DW88">
            <v>138</v>
          </cell>
        </row>
        <row r="89">
          <cell r="DW89"/>
        </row>
        <row r="90">
          <cell r="DW90">
            <v>102</v>
          </cell>
        </row>
        <row r="91">
          <cell r="DW91">
            <v>138</v>
          </cell>
        </row>
        <row r="92">
          <cell r="DW92">
            <v>101</v>
          </cell>
        </row>
        <row r="93">
          <cell r="DW93">
            <v>101</v>
          </cell>
        </row>
        <row r="94">
          <cell r="DW94">
            <v>101</v>
          </cell>
        </row>
        <row r="95">
          <cell r="DW95">
            <v>166</v>
          </cell>
        </row>
        <row r="96">
          <cell r="DW96">
            <v>138</v>
          </cell>
        </row>
        <row r="97">
          <cell r="DW97">
            <v>102</v>
          </cell>
        </row>
        <row r="98">
          <cell r="DW98"/>
        </row>
        <row r="99">
          <cell r="DW99">
            <v>102</v>
          </cell>
        </row>
        <row r="100">
          <cell r="DW100">
            <v>102</v>
          </cell>
        </row>
        <row r="101">
          <cell r="DW101">
            <v>102</v>
          </cell>
        </row>
        <row r="102">
          <cell r="DW102">
            <v>102</v>
          </cell>
        </row>
        <row r="103">
          <cell r="DW103">
            <v>102</v>
          </cell>
        </row>
        <row r="104">
          <cell r="DW104">
            <v>102</v>
          </cell>
        </row>
        <row r="105">
          <cell r="DW105">
            <v>102</v>
          </cell>
        </row>
        <row r="106">
          <cell r="DW106">
            <v>102</v>
          </cell>
        </row>
        <row r="107">
          <cell r="DW107">
            <v>102</v>
          </cell>
        </row>
        <row r="108">
          <cell r="DW108">
            <v>102</v>
          </cell>
        </row>
        <row r="109">
          <cell r="DW109">
            <v>102</v>
          </cell>
        </row>
        <row r="110">
          <cell r="DW110">
            <v>102</v>
          </cell>
        </row>
        <row r="111">
          <cell r="DW111">
            <v>118</v>
          </cell>
        </row>
        <row r="112">
          <cell r="DW112">
            <v>118</v>
          </cell>
        </row>
        <row r="113">
          <cell r="DW113">
            <v>118</v>
          </cell>
        </row>
        <row r="114">
          <cell r="DW114">
            <v>118</v>
          </cell>
        </row>
        <row r="115">
          <cell r="DW115"/>
        </row>
        <row r="116">
          <cell r="DW116"/>
        </row>
        <row r="117">
          <cell r="DW117">
            <v>102</v>
          </cell>
        </row>
        <row r="118">
          <cell r="DW118"/>
        </row>
        <row r="119">
          <cell r="DW119">
            <v>102</v>
          </cell>
        </row>
        <row r="120">
          <cell r="DW120">
            <v>101</v>
          </cell>
        </row>
        <row r="121">
          <cell r="DW121">
            <v>102</v>
          </cell>
        </row>
        <row r="122">
          <cell r="DW122"/>
        </row>
        <row r="123">
          <cell r="DW123"/>
        </row>
        <row r="124">
          <cell r="DW124"/>
        </row>
        <row r="125">
          <cell r="DW125">
            <v>102</v>
          </cell>
        </row>
        <row r="126">
          <cell r="DW126">
            <v>132</v>
          </cell>
        </row>
        <row r="127">
          <cell r="DW127">
            <v>132</v>
          </cell>
        </row>
        <row r="128">
          <cell r="DW128"/>
        </row>
        <row r="129">
          <cell r="DW129"/>
        </row>
        <row r="130">
          <cell r="DW130"/>
        </row>
        <row r="131">
          <cell r="DW131">
            <v>101</v>
          </cell>
        </row>
        <row r="132">
          <cell r="DW132"/>
        </row>
        <row r="133">
          <cell r="DW133"/>
        </row>
        <row r="134">
          <cell r="DW134">
            <v>118</v>
          </cell>
        </row>
        <row r="135">
          <cell r="DW135">
            <v>118</v>
          </cell>
        </row>
        <row r="136">
          <cell r="DW136">
            <v>126.5</v>
          </cell>
        </row>
        <row r="137">
          <cell r="DW137">
            <v>102</v>
          </cell>
        </row>
        <row r="138">
          <cell r="DW138">
            <v>102</v>
          </cell>
        </row>
        <row r="139">
          <cell r="DW139">
            <v>126.5</v>
          </cell>
        </row>
        <row r="140">
          <cell r="DW140"/>
        </row>
        <row r="141">
          <cell r="DW141"/>
        </row>
        <row r="142">
          <cell r="DW142">
            <v>118</v>
          </cell>
        </row>
        <row r="143">
          <cell r="DW143">
            <v>101</v>
          </cell>
        </row>
        <row r="144">
          <cell r="DW144">
            <v>101</v>
          </cell>
        </row>
        <row r="145">
          <cell r="DW145">
            <v>155.6</v>
          </cell>
        </row>
        <row r="146">
          <cell r="DW146"/>
        </row>
        <row r="147">
          <cell r="DW147">
            <v>202</v>
          </cell>
        </row>
        <row r="148">
          <cell r="DW148">
            <v>151</v>
          </cell>
        </row>
        <row r="149">
          <cell r="DW149">
            <v>126.5</v>
          </cell>
        </row>
        <row r="150">
          <cell r="DW150">
            <v>118</v>
          </cell>
        </row>
        <row r="151">
          <cell r="DW151">
            <v>118</v>
          </cell>
        </row>
        <row r="152">
          <cell r="DW152">
            <v>118</v>
          </cell>
        </row>
        <row r="153">
          <cell r="DW153">
            <v>138</v>
          </cell>
        </row>
        <row r="154">
          <cell r="DW154">
            <v>138</v>
          </cell>
        </row>
        <row r="155">
          <cell r="DW155">
            <v>102</v>
          </cell>
        </row>
        <row r="156">
          <cell r="DW156">
            <v>102</v>
          </cell>
        </row>
        <row r="157">
          <cell r="DW157">
            <v>116</v>
          </cell>
        </row>
        <row r="158">
          <cell r="DW158">
            <v>116</v>
          </cell>
        </row>
        <row r="159">
          <cell r="DW159"/>
        </row>
        <row r="160">
          <cell r="DW160"/>
        </row>
        <row r="161">
          <cell r="DW161">
            <v>138</v>
          </cell>
        </row>
        <row r="162">
          <cell r="DW162"/>
        </row>
        <row r="163">
          <cell r="DW163"/>
        </row>
        <row r="164">
          <cell r="DW164"/>
        </row>
        <row r="165">
          <cell r="DW165"/>
        </row>
        <row r="166">
          <cell r="DW166"/>
        </row>
        <row r="167">
          <cell r="DW167"/>
        </row>
        <row r="168">
          <cell r="DW168"/>
        </row>
        <row r="169">
          <cell r="DW169"/>
        </row>
        <row r="170">
          <cell r="DW170"/>
        </row>
        <row r="171">
          <cell r="DW171"/>
        </row>
        <row r="172">
          <cell r="DW172">
            <v>134</v>
          </cell>
        </row>
        <row r="173">
          <cell r="DW173">
            <v>101</v>
          </cell>
        </row>
        <row r="174">
          <cell r="DW174"/>
        </row>
        <row r="175">
          <cell r="DW175"/>
        </row>
        <row r="176">
          <cell r="DW176"/>
        </row>
        <row r="177">
          <cell r="DW177">
            <v>102</v>
          </cell>
        </row>
        <row r="178">
          <cell r="DW178"/>
        </row>
        <row r="179">
          <cell r="DW179">
            <v>102</v>
          </cell>
        </row>
        <row r="180">
          <cell r="DW180">
            <v>151</v>
          </cell>
        </row>
        <row r="181">
          <cell r="DW181">
            <v>138</v>
          </cell>
        </row>
        <row r="182">
          <cell r="DW182">
            <v>101</v>
          </cell>
        </row>
        <row r="183">
          <cell r="DW183">
            <v>138</v>
          </cell>
        </row>
        <row r="184">
          <cell r="DW184">
            <v>138</v>
          </cell>
        </row>
        <row r="185">
          <cell r="DW185">
            <v>177.5</v>
          </cell>
        </row>
        <row r="186">
          <cell r="DW186">
            <v>102</v>
          </cell>
        </row>
        <row r="187">
          <cell r="DW187"/>
        </row>
        <row r="188">
          <cell r="DW188"/>
        </row>
        <row r="189">
          <cell r="DW189">
            <v>102</v>
          </cell>
        </row>
        <row r="190">
          <cell r="DW190">
            <v>102</v>
          </cell>
        </row>
        <row r="191">
          <cell r="DW191">
            <v>118</v>
          </cell>
        </row>
        <row r="192">
          <cell r="DW192">
            <v>102</v>
          </cell>
        </row>
        <row r="193">
          <cell r="DW193">
            <v>102</v>
          </cell>
        </row>
        <row r="194">
          <cell r="DW194">
            <v>151</v>
          </cell>
        </row>
        <row r="195">
          <cell r="DW195">
            <v>118</v>
          </cell>
        </row>
        <row r="196">
          <cell r="DW196">
            <v>102</v>
          </cell>
        </row>
        <row r="197">
          <cell r="DW197">
            <v>118</v>
          </cell>
        </row>
        <row r="198">
          <cell r="DW198">
            <v>232.22</v>
          </cell>
        </row>
        <row r="199">
          <cell r="DW199">
            <v>102</v>
          </cell>
        </row>
        <row r="200">
          <cell r="DW200">
            <v>118</v>
          </cell>
        </row>
        <row r="201">
          <cell r="DW201"/>
        </row>
        <row r="202">
          <cell r="DW202">
            <v>116</v>
          </cell>
        </row>
        <row r="203">
          <cell r="DW203">
            <v>138</v>
          </cell>
        </row>
        <row r="204">
          <cell r="DW204">
            <v>101</v>
          </cell>
        </row>
        <row r="205">
          <cell r="DW205">
            <v>102</v>
          </cell>
        </row>
        <row r="206">
          <cell r="DW206">
            <v>102</v>
          </cell>
        </row>
        <row r="207">
          <cell r="DW207">
            <v>102</v>
          </cell>
        </row>
        <row r="208">
          <cell r="DW208">
            <v>101</v>
          </cell>
        </row>
        <row r="209">
          <cell r="DW209">
            <v>102</v>
          </cell>
        </row>
        <row r="210">
          <cell r="DW210">
            <v>102</v>
          </cell>
        </row>
        <row r="211">
          <cell r="DW211"/>
        </row>
        <row r="212">
          <cell r="DW212"/>
        </row>
        <row r="213">
          <cell r="DW213">
            <v>138</v>
          </cell>
        </row>
        <row r="214">
          <cell r="DW214">
            <v>102</v>
          </cell>
        </row>
        <row r="215">
          <cell r="DW215">
            <v>116</v>
          </cell>
        </row>
        <row r="216">
          <cell r="DW216">
            <v>185</v>
          </cell>
        </row>
        <row r="217">
          <cell r="DW217">
            <v>118</v>
          </cell>
        </row>
        <row r="218">
          <cell r="DW218">
            <v>102</v>
          </cell>
        </row>
        <row r="219">
          <cell r="DW219">
            <v>118</v>
          </cell>
        </row>
        <row r="220">
          <cell r="DW220">
            <v>118</v>
          </cell>
        </row>
        <row r="221">
          <cell r="DW221">
            <v>102</v>
          </cell>
        </row>
        <row r="222">
          <cell r="DW222"/>
        </row>
        <row r="223">
          <cell r="DW223"/>
        </row>
        <row r="224">
          <cell r="DW224"/>
        </row>
        <row r="225">
          <cell r="DW225">
            <v>102</v>
          </cell>
        </row>
        <row r="226">
          <cell r="DW226"/>
        </row>
        <row r="227">
          <cell r="DW227">
            <v>102</v>
          </cell>
        </row>
        <row r="228">
          <cell r="DW228">
            <v>102</v>
          </cell>
        </row>
        <row r="229">
          <cell r="DW229">
            <v>102</v>
          </cell>
        </row>
        <row r="230">
          <cell r="DW230">
            <v>151</v>
          </cell>
        </row>
        <row r="231">
          <cell r="DW231"/>
        </row>
        <row r="232">
          <cell r="DW232"/>
        </row>
        <row r="233">
          <cell r="DW233">
            <v>102</v>
          </cell>
        </row>
        <row r="234">
          <cell r="DW234">
            <v>118</v>
          </cell>
        </row>
        <row r="235">
          <cell r="DW235">
            <v>118</v>
          </cell>
        </row>
        <row r="236">
          <cell r="DW236">
            <v>118</v>
          </cell>
        </row>
        <row r="237">
          <cell r="DW237">
            <v>118</v>
          </cell>
        </row>
        <row r="238">
          <cell r="DW238">
            <v>118</v>
          </cell>
        </row>
        <row r="239">
          <cell r="DW239">
            <v>118</v>
          </cell>
        </row>
        <row r="240">
          <cell r="DW240">
            <v>151</v>
          </cell>
        </row>
        <row r="241">
          <cell r="DW241">
            <v>151</v>
          </cell>
        </row>
        <row r="242">
          <cell r="DW242">
            <v>118</v>
          </cell>
        </row>
        <row r="243">
          <cell r="DW243">
            <v>166</v>
          </cell>
        </row>
        <row r="244">
          <cell r="DW244">
            <v>118</v>
          </cell>
        </row>
        <row r="245">
          <cell r="DW245">
            <v>151</v>
          </cell>
        </row>
        <row r="246">
          <cell r="DW246">
            <v>166</v>
          </cell>
        </row>
        <row r="247">
          <cell r="DW247">
            <v>101</v>
          </cell>
        </row>
        <row r="248">
          <cell r="DW248">
            <v>101</v>
          </cell>
        </row>
        <row r="249">
          <cell r="DW249">
            <v>134</v>
          </cell>
        </row>
        <row r="250">
          <cell r="DW250">
            <v>101</v>
          </cell>
        </row>
        <row r="251">
          <cell r="DW251"/>
        </row>
        <row r="252">
          <cell r="DW252"/>
        </row>
        <row r="253">
          <cell r="DW253">
            <v>101</v>
          </cell>
        </row>
        <row r="254">
          <cell r="DW254">
            <v>218</v>
          </cell>
        </row>
        <row r="255">
          <cell r="DW255">
            <v>218</v>
          </cell>
        </row>
        <row r="256">
          <cell r="DW256">
            <v>166</v>
          </cell>
        </row>
        <row r="257">
          <cell r="DW257">
            <v>134</v>
          </cell>
        </row>
        <row r="258">
          <cell r="DW258">
            <v>118</v>
          </cell>
        </row>
        <row r="259">
          <cell r="DW259">
            <v>118</v>
          </cell>
        </row>
        <row r="260">
          <cell r="DW260">
            <v>118</v>
          </cell>
        </row>
        <row r="261">
          <cell r="DW261">
            <v>102</v>
          </cell>
        </row>
        <row r="262">
          <cell r="DW262">
            <v>118</v>
          </cell>
        </row>
        <row r="263">
          <cell r="DW263">
            <v>118</v>
          </cell>
        </row>
        <row r="264">
          <cell r="DW264">
            <v>118</v>
          </cell>
        </row>
        <row r="265">
          <cell r="DW265">
            <v>102</v>
          </cell>
        </row>
        <row r="266">
          <cell r="DW266">
            <v>118</v>
          </cell>
        </row>
        <row r="267">
          <cell r="DW267">
            <v>118</v>
          </cell>
        </row>
        <row r="268">
          <cell r="DW268"/>
        </row>
        <row r="269">
          <cell r="DW269">
            <v>0</v>
          </cell>
        </row>
        <row r="270">
          <cell r="DW270">
            <v>102</v>
          </cell>
        </row>
        <row r="271">
          <cell r="DW271">
            <v>118</v>
          </cell>
        </row>
        <row r="272">
          <cell r="DW272">
            <v>126.5</v>
          </cell>
        </row>
        <row r="273">
          <cell r="DW273">
            <v>102</v>
          </cell>
        </row>
        <row r="274">
          <cell r="DW274">
            <v>102</v>
          </cell>
        </row>
        <row r="275">
          <cell r="DW275">
            <v>102</v>
          </cell>
        </row>
        <row r="276">
          <cell r="DW276">
            <v>118</v>
          </cell>
        </row>
        <row r="277">
          <cell r="DW277"/>
        </row>
        <row r="278">
          <cell r="DW278">
            <v>102</v>
          </cell>
        </row>
        <row r="279">
          <cell r="DW279"/>
        </row>
        <row r="280">
          <cell r="DW280">
            <v>118</v>
          </cell>
        </row>
        <row r="281">
          <cell r="DW281">
            <v>138</v>
          </cell>
        </row>
        <row r="282">
          <cell r="DW282">
            <v>101</v>
          </cell>
        </row>
        <row r="283">
          <cell r="DW283">
            <v>102</v>
          </cell>
        </row>
        <row r="284">
          <cell r="DW284">
            <v>151</v>
          </cell>
        </row>
        <row r="285">
          <cell r="DW285">
            <v>118</v>
          </cell>
        </row>
        <row r="286">
          <cell r="DW286">
            <v>118</v>
          </cell>
        </row>
        <row r="287">
          <cell r="DW287">
            <v>118</v>
          </cell>
        </row>
        <row r="288">
          <cell r="DW288">
            <v>102</v>
          </cell>
        </row>
        <row r="289">
          <cell r="DW289">
            <v>101</v>
          </cell>
        </row>
        <row r="290">
          <cell r="DW290">
            <v>118</v>
          </cell>
        </row>
        <row r="291">
          <cell r="DW291"/>
        </row>
        <row r="292">
          <cell r="DW292">
            <v>118</v>
          </cell>
        </row>
        <row r="293">
          <cell r="DW293">
            <v>118</v>
          </cell>
        </row>
        <row r="294">
          <cell r="DW294">
            <v>118</v>
          </cell>
        </row>
        <row r="295">
          <cell r="DW295">
            <v>118</v>
          </cell>
        </row>
        <row r="296">
          <cell r="DW296">
            <v>118</v>
          </cell>
        </row>
        <row r="297">
          <cell r="DW297">
            <v>118</v>
          </cell>
        </row>
        <row r="298">
          <cell r="DW298">
            <v>102</v>
          </cell>
        </row>
        <row r="299">
          <cell r="DW299"/>
        </row>
        <row r="300">
          <cell r="DW300">
            <v>118</v>
          </cell>
        </row>
        <row r="301">
          <cell r="DW301">
            <v>118</v>
          </cell>
        </row>
        <row r="302">
          <cell r="DW302">
            <v>118</v>
          </cell>
        </row>
        <row r="303">
          <cell r="DW303">
            <v>118</v>
          </cell>
        </row>
        <row r="304">
          <cell r="DW304"/>
        </row>
        <row r="305">
          <cell r="DW305"/>
        </row>
        <row r="306">
          <cell r="DW306"/>
        </row>
        <row r="307">
          <cell r="DW307"/>
        </row>
        <row r="308">
          <cell r="DW308">
            <v>102</v>
          </cell>
        </row>
        <row r="309">
          <cell r="DW309">
            <v>118</v>
          </cell>
        </row>
        <row r="310">
          <cell r="DW310">
            <v>102</v>
          </cell>
        </row>
        <row r="311">
          <cell r="DW311">
            <v>118</v>
          </cell>
        </row>
        <row r="312">
          <cell r="DW312">
            <v>118</v>
          </cell>
        </row>
        <row r="313">
          <cell r="DW313">
            <v>118</v>
          </cell>
        </row>
        <row r="314">
          <cell r="DW314">
            <v>235</v>
          </cell>
        </row>
        <row r="315">
          <cell r="DW315">
            <v>118</v>
          </cell>
        </row>
        <row r="316">
          <cell r="DW316">
            <v>118</v>
          </cell>
        </row>
        <row r="317">
          <cell r="DW317">
            <v>102</v>
          </cell>
        </row>
        <row r="318">
          <cell r="DW318">
            <v>102</v>
          </cell>
        </row>
        <row r="319">
          <cell r="DW319">
            <v>118</v>
          </cell>
        </row>
        <row r="320">
          <cell r="DW320">
            <v>151</v>
          </cell>
        </row>
        <row r="321">
          <cell r="DW321">
            <v>101</v>
          </cell>
        </row>
        <row r="322">
          <cell r="DW322"/>
        </row>
        <row r="323">
          <cell r="DW323">
            <v>102</v>
          </cell>
        </row>
        <row r="324">
          <cell r="DW324">
            <v>138</v>
          </cell>
        </row>
        <row r="325">
          <cell r="DW325">
            <v>118</v>
          </cell>
        </row>
        <row r="326">
          <cell r="DW326">
            <v>118</v>
          </cell>
        </row>
        <row r="327">
          <cell r="DW327">
            <v>166</v>
          </cell>
        </row>
        <row r="328">
          <cell r="DW328">
            <v>0</v>
          </cell>
        </row>
        <row r="329">
          <cell r="DW329">
            <v>102</v>
          </cell>
        </row>
        <row r="330">
          <cell r="DW330">
            <v>118</v>
          </cell>
        </row>
        <row r="331">
          <cell r="DW331">
            <v>118</v>
          </cell>
        </row>
        <row r="332">
          <cell r="DW332">
            <v>151</v>
          </cell>
        </row>
        <row r="333">
          <cell r="DW333">
            <v>118</v>
          </cell>
        </row>
        <row r="334">
          <cell r="DW334">
            <v>118</v>
          </cell>
        </row>
        <row r="335">
          <cell r="DW335">
            <v>102</v>
          </cell>
        </row>
        <row r="336">
          <cell r="DW336"/>
        </row>
        <row r="337">
          <cell r="DW337">
            <v>155.6</v>
          </cell>
        </row>
        <row r="338">
          <cell r="DW338">
            <v>126.5</v>
          </cell>
        </row>
        <row r="339">
          <cell r="DW339">
            <v>152.80000000000001</v>
          </cell>
        </row>
        <row r="340">
          <cell r="DW340">
            <v>101</v>
          </cell>
        </row>
        <row r="341">
          <cell r="DW341">
            <v>101</v>
          </cell>
        </row>
        <row r="342">
          <cell r="DW342">
            <v>101</v>
          </cell>
        </row>
        <row r="343">
          <cell r="DW343">
            <v>102</v>
          </cell>
        </row>
        <row r="344">
          <cell r="DW344">
            <v>101</v>
          </cell>
        </row>
        <row r="345">
          <cell r="DW345">
            <v>155.6</v>
          </cell>
        </row>
        <row r="346">
          <cell r="DW346">
            <v>149</v>
          </cell>
        </row>
        <row r="347">
          <cell r="DW347">
            <v>116</v>
          </cell>
        </row>
        <row r="348">
          <cell r="DW348">
            <v>116</v>
          </cell>
        </row>
        <row r="349">
          <cell r="DW349">
            <v>152.80000000000001</v>
          </cell>
        </row>
        <row r="350">
          <cell r="DW350">
            <v>125.5</v>
          </cell>
        </row>
        <row r="351">
          <cell r="DW351">
            <v>101</v>
          </cell>
        </row>
        <row r="352">
          <cell r="DW352">
            <v>101</v>
          </cell>
        </row>
        <row r="353">
          <cell r="DW353">
            <v>102</v>
          </cell>
        </row>
        <row r="354">
          <cell r="DW354">
            <v>166</v>
          </cell>
        </row>
        <row r="355">
          <cell r="DW355">
            <v>151</v>
          </cell>
        </row>
        <row r="356">
          <cell r="DW356">
            <v>151</v>
          </cell>
        </row>
        <row r="357">
          <cell r="DW357">
            <v>101</v>
          </cell>
        </row>
        <row r="358">
          <cell r="DW358">
            <v>134</v>
          </cell>
        </row>
        <row r="359">
          <cell r="DW359">
            <v>152.80000000000001</v>
          </cell>
        </row>
        <row r="360">
          <cell r="DW360">
            <v>118</v>
          </cell>
        </row>
        <row r="361">
          <cell r="DW361">
            <v>190.8</v>
          </cell>
        </row>
        <row r="362">
          <cell r="DW362">
            <v>118</v>
          </cell>
        </row>
        <row r="363">
          <cell r="DW363">
            <v>118</v>
          </cell>
        </row>
        <row r="364">
          <cell r="DW364">
            <v>118</v>
          </cell>
        </row>
        <row r="365">
          <cell r="DW365">
            <v>118</v>
          </cell>
        </row>
        <row r="366">
          <cell r="DW366">
            <v>118</v>
          </cell>
        </row>
        <row r="367">
          <cell r="DW367">
            <v>102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Лист2"/>
      <sheetName val="ДЗ нас "/>
      <sheetName val="ДЗ нежит"/>
      <sheetName val="кошти 01.03.23"/>
      <sheetName val="поточний ремонт"/>
      <sheetName val="ПР будинок"/>
      <sheetName val="накладні витрати"/>
      <sheetName val="первичка 1"/>
      <sheetName val="первичка 2"/>
      <sheetName val="Лист4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  <sheetName val="паркан аморт"/>
      <sheetName val="Лист1"/>
    </sheetNames>
    <sheetDataSet>
      <sheetData sheetId="0"/>
      <sheetData sheetId="1"/>
      <sheetData sheetId="2"/>
      <sheetData sheetId="3">
        <row r="9">
          <cell r="E9">
            <v>372.8</v>
          </cell>
        </row>
        <row r="10">
          <cell r="E10">
            <v>1840.7</v>
          </cell>
        </row>
        <row r="11">
          <cell r="E11">
            <v>2805.68</v>
          </cell>
        </row>
        <row r="12">
          <cell r="E12">
            <v>6095.61</v>
          </cell>
        </row>
        <row r="13">
          <cell r="E13">
            <v>6316</v>
          </cell>
        </row>
        <row r="14">
          <cell r="E14">
            <v>263.3</v>
          </cell>
        </row>
        <row r="15">
          <cell r="E15">
            <v>4163.4000000000005</v>
          </cell>
        </row>
        <row r="16">
          <cell r="E16">
            <v>409.93</v>
          </cell>
        </row>
        <row r="17">
          <cell r="E17">
            <v>403.93</v>
          </cell>
        </row>
        <row r="18">
          <cell r="E18">
            <v>4890.7</v>
          </cell>
        </row>
        <row r="19">
          <cell r="E19">
            <v>853.2</v>
          </cell>
        </row>
        <row r="20">
          <cell r="E20">
            <v>256.90000000000003</v>
          </cell>
        </row>
        <row r="21">
          <cell r="E21">
            <v>3070.2</v>
          </cell>
        </row>
        <row r="22">
          <cell r="E22">
            <v>1499.03</v>
          </cell>
        </row>
        <row r="23">
          <cell r="E23">
            <v>4082.7</v>
          </cell>
        </row>
        <row r="24">
          <cell r="E24">
            <v>263.39999999999998</v>
          </cell>
        </row>
        <row r="25">
          <cell r="E25">
            <v>298.60000000000002</v>
          </cell>
        </row>
        <row r="26">
          <cell r="E26">
            <v>298.39999999999998</v>
          </cell>
        </row>
        <row r="27">
          <cell r="E27">
            <v>236.7</v>
          </cell>
        </row>
        <row r="28">
          <cell r="E28">
            <v>315.7</v>
          </cell>
        </row>
        <row r="29">
          <cell r="E29">
            <v>239.9</v>
          </cell>
        </row>
        <row r="30">
          <cell r="E30">
            <v>135.6</v>
          </cell>
        </row>
        <row r="31">
          <cell r="E31">
            <v>229.9</v>
          </cell>
        </row>
        <row r="32">
          <cell r="E32">
            <v>2167.6</v>
          </cell>
        </row>
        <row r="33">
          <cell r="E33">
            <v>2330.5700000000002</v>
          </cell>
        </row>
        <row r="34">
          <cell r="E34">
            <v>3253.33</v>
          </cell>
        </row>
        <row r="35">
          <cell r="E35">
            <v>922.6</v>
          </cell>
        </row>
        <row r="36">
          <cell r="E36">
            <v>909.2</v>
          </cell>
        </row>
        <row r="37">
          <cell r="E37">
            <v>1867.1</v>
          </cell>
        </row>
        <row r="38">
          <cell r="E38">
            <v>1172.81</v>
          </cell>
        </row>
        <row r="39">
          <cell r="E39">
            <v>1448.3</v>
          </cell>
        </row>
        <row r="40">
          <cell r="E40">
            <v>2117.4</v>
          </cell>
        </row>
        <row r="41">
          <cell r="E41">
            <v>2214.37</v>
          </cell>
        </row>
        <row r="42">
          <cell r="E42">
            <v>5953.29</v>
          </cell>
        </row>
        <row r="43">
          <cell r="E43">
            <v>3858.65</v>
          </cell>
        </row>
        <row r="44">
          <cell r="E44">
            <v>9788.74</v>
          </cell>
        </row>
        <row r="45">
          <cell r="E45">
            <v>6581.9</v>
          </cell>
        </row>
        <row r="46">
          <cell r="E46">
            <v>3446.77</v>
          </cell>
        </row>
        <row r="47">
          <cell r="E47">
            <v>244.2</v>
          </cell>
        </row>
        <row r="48">
          <cell r="E48">
            <v>323.7</v>
          </cell>
        </row>
        <row r="49">
          <cell r="E49">
            <v>2189.9</v>
          </cell>
        </row>
        <row r="50">
          <cell r="E50">
            <v>1173.1199999999999</v>
          </cell>
        </row>
        <row r="51">
          <cell r="E51">
            <v>2743.1</v>
          </cell>
        </row>
        <row r="52">
          <cell r="E52">
            <v>249.8</v>
          </cell>
        </row>
        <row r="53">
          <cell r="E53">
            <v>2889.0499999999997</v>
          </cell>
        </row>
        <row r="54">
          <cell r="E54">
            <v>3219.5</v>
          </cell>
        </row>
        <row r="55">
          <cell r="E55">
            <v>1871.6999999999998</v>
          </cell>
        </row>
        <row r="56">
          <cell r="E56">
            <v>3630</v>
          </cell>
        </row>
        <row r="57">
          <cell r="E57">
            <v>1469.3</v>
          </cell>
        </row>
        <row r="58">
          <cell r="E58">
            <v>253.5</v>
          </cell>
        </row>
        <row r="59">
          <cell r="E59">
            <v>200.6</v>
          </cell>
        </row>
        <row r="60">
          <cell r="E60">
            <v>83.8</v>
          </cell>
        </row>
        <row r="61">
          <cell r="E61">
            <v>1894.8000000000002</v>
          </cell>
        </row>
        <row r="62">
          <cell r="E62">
            <v>847.5</v>
          </cell>
        </row>
        <row r="63">
          <cell r="E63">
            <v>2696.4</v>
          </cell>
        </row>
        <row r="64">
          <cell r="E64">
            <v>1940</v>
          </cell>
        </row>
        <row r="65">
          <cell r="E65">
            <v>300.7</v>
          </cell>
        </row>
        <row r="66">
          <cell r="E66">
            <v>293.5</v>
          </cell>
        </row>
        <row r="67">
          <cell r="E67">
            <v>8443.0499999999993</v>
          </cell>
        </row>
        <row r="68">
          <cell r="E68">
            <v>174.9</v>
          </cell>
        </row>
        <row r="69">
          <cell r="E69">
            <v>136.9</v>
          </cell>
        </row>
        <row r="70">
          <cell r="E70">
            <v>7614.5</v>
          </cell>
        </row>
        <row r="71">
          <cell r="E71">
            <v>2489.87</v>
          </cell>
        </row>
        <row r="72">
          <cell r="E72">
            <v>11377.55</v>
          </cell>
        </row>
        <row r="73">
          <cell r="E73">
            <v>2481.4</v>
          </cell>
        </row>
        <row r="74">
          <cell r="E74">
            <v>11458.36</v>
          </cell>
        </row>
        <row r="75">
          <cell r="E75">
            <v>216</v>
          </cell>
        </row>
        <row r="76">
          <cell r="E76">
            <v>216.8</v>
          </cell>
        </row>
        <row r="77">
          <cell r="E77">
            <v>214.7</v>
          </cell>
        </row>
        <row r="78">
          <cell r="E78">
            <v>397.8</v>
          </cell>
        </row>
        <row r="79">
          <cell r="E79">
            <v>245.6</v>
          </cell>
        </row>
        <row r="80">
          <cell r="E80">
            <v>282.8</v>
          </cell>
        </row>
        <row r="81">
          <cell r="E81">
            <v>171.6</v>
          </cell>
        </row>
        <row r="82">
          <cell r="E82">
            <v>151.6</v>
          </cell>
        </row>
        <row r="83">
          <cell r="E83">
            <v>5047.8</v>
          </cell>
        </row>
        <row r="84">
          <cell r="E84">
            <v>2605.5</v>
          </cell>
        </row>
        <row r="85">
          <cell r="E85">
            <v>4661.7</v>
          </cell>
        </row>
        <row r="86">
          <cell r="E86">
            <v>4715.25</v>
          </cell>
        </row>
        <row r="87">
          <cell r="E87">
            <v>258.5</v>
          </cell>
        </row>
        <row r="88">
          <cell r="E88">
            <v>9737.7999999999993</v>
          </cell>
        </row>
        <row r="89">
          <cell r="E89">
            <v>250.4</v>
          </cell>
        </row>
        <row r="90">
          <cell r="E90">
            <v>1899.07</v>
          </cell>
        </row>
        <row r="91">
          <cell r="E91">
            <v>9311.5499999999993</v>
          </cell>
        </row>
        <row r="92">
          <cell r="E92">
            <v>3777.3500000000004</v>
          </cell>
        </row>
        <row r="93">
          <cell r="E93">
            <v>4652.96</v>
          </cell>
        </row>
        <row r="94">
          <cell r="E94">
            <v>4850.6500000000005</v>
          </cell>
        </row>
        <row r="95">
          <cell r="E95">
            <v>9553.74</v>
          </cell>
        </row>
        <row r="96">
          <cell r="E96">
            <v>7507.43</v>
          </cell>
        </row>
        <row r="97">
          <cell r="E97">
            <v>507.5</v>
          </cell>
        </row>
        <row r="98">
          <cell r="E98">
            <v>2425.9</v>
          </cell>
        </row>
        <row r="99">
          <cell r="E99">
            <v>452.1</v>
          </cell>
        </row>
        <row r="100">
          <cell r="E100">
            <v>378.8</v>
          </cell>
        </row>
        <row r="101">
          <cell r="E101">
            <v>766.3</v>
          </cell>
        </row>
        <row r="102">
          <cell r="E102">
            <v>994.8</v>
          </cell>
        </row>
        <row r="103">
          <cell r="E103">
            <v>598.30999999999995</v>
          </cell>
        </row>
        <row r="104">
          <cell r="E104">
            <v>465.59999999999997</v>
          </cell>
        </row>
        <row r="105">
          <cell r="E105">
            <v>475.2</v>
          </cell>
        </row>
        <row r="106">
          <cell r="E106">
            <v>1108</v>
          </cell>
        </row>
        <row r="107">
          <cell r="E107">
            <v>1472.6</v>
          </cell>
        </row>
        <row r="108">
          <cell r="E108">
            <v>498.78</v>
          </cell>
        </row>
        <row r="109">
          <cell r="E109">
            <v>1482.2</v>
          </cell>
        </row>
        <row r="110">
          <cell r="E110">
            <v>626.29999999999995</v>
          </cell>
        </row>
        <row r="111">
          <cell r="E111">
            <v>2636.9100000000003</v>
          </cell>
        </row>
        <row r="112">
          <cell r="E112">
            <v>1892.8</v>
          </cell>
        </row>
        <row r="113">
          <cell r="E113">
            <v>2744.2</v>
          </cell>
        </row>
        <row r="114">
          <cell r="E114">
            <v>4254.1000000000004</v>
          </cell>
        </row>
        <row r="115">
          <cell r="E115">
            <v>130.1</v>
          </cell>
        </row>
        <row r="116">
          <cell r="E116">
            <v>373.5</v>
          </cell>
        </row>
        <row r="117">
          <cell r="E117">
            <v>173.75</v>
          </cell>
        </row>
        <row r="118">
          <cell r="E118">
            <v>188.4</v>
          </cell>
        </row>
        <row r="119">
          <cell r="E119">
            <v>195.6</v>
          </cell>
        </row>
        <row r="120">
          <cell r="E120">
            <v>196.35</v>
          </cell>
        </row>
        <row r="121">
          <cell r="E121">
            <v>3175.8</v>
          </cell>
        </row>
        <row r="122">
          <cell r="E122">
            <v>181.9</v>
          </cell>
        </row>
        <row r="123">
          <cell r="E123">
            <v>110.2</v>
          </cell>
        </row>
        <row r="124">
          <cell r="E124">
            <v>100.2</v>
          </cell>
        </row>
        <row r="125">
          <cell r="E125">
            <v>3167.15</v>
          </cell>
        </row>
        <row r="126">
          <cell r="E126">
            <v>7111.44</v>
          </cell>
        </row>
        <row r="127">
          <cell r="E127">
            <v>9469.1</v>
          </cell>
        </row>
        <row r="128">
          <cell r="E128">
            <v>241.1</v>
          </cell>
        </row>
        <row r="129">
          <cell r="E129">
            <v>188.9</v>
          </cell>
        </row>
        <row r="130">
          <cell r="E130">
            <v>142.1</v>
          </cell>
        </row>
        <row r="131">
          <cell r="E131">
            <v>3815</v>
          </cell>
        </row>
        <row r="132">
          <cell r="E132">
            <v>214.9</v>
          </cell>
        </row>
        <row r="133">
          <cell r="E133">
            <v>181.38</v>
          </cell>
        </row>
        <row r="134">
          <cell r="E134">
            <v>1485.1</v>
          </cell>
        </row>
        <row r="135">
          <cell r="E135">
            <v>4024.2</v>
          </cell>
        </row>
        <row r="136">
          <cell r="E136">
            <v>1485</v>
          </cell>
        </row>
        <row r="137">
          <cell r="E137">
            <v>744.59999999999991</v>
          </cell>
        </row>
        <row r="138">
          <cell r="E138">
            <v>422.9</v>
          </cell>
        </row>
        <row r="139">
          <cell r="E139">
            <v>3598.13</v>
          </cell>
        </row>
        <row r="140">
          <cell r="E140">
            <v>339.3</v>
          </cell>
        </row>
        <row r="141">
          <cell r="E141">
            <v>499.90000000000003</v>
          </cell>
        </row>
        <row r="142">
          <cell r="E142">
            <v>3289.98</v>
          </cell>
        </row>
        <row r="143">
          <cell r="E143">
            <v>2046.1999999999998</v>
          </cell>
        </row>
        <row r="144">
          <cell r="E144">
            <v>2821.57</v>
          </cell>
        </row>
        <row r="145">
          <cell r="E145">
            <v>6921.8</v>
          </cell>
        </row>
        <row r="146">
          <cell r="E146">
            <v>320.5</v>
          </cell>
        </row>
        <row r="147">
          <cell r="E147">
            <v>11582.12</v>
          </cell>
        </row>
        <row r="148">
          <cell r="E148">
            <v>2850.7000000000003</v>
          </cell>
        </row>
        <row r="149">
          <cell r="E149">
            <v>3771.47</v>
          </cell>
        </row>
        <row r="150">
          <cell r="E150">
            <v>3767.85</v>
          </cell>
        </row>
        <row r="151">
          <cell r="E151">
            <v>4717.22</v>
          </cell>
        </row>
        <row r="152">
          <cell r="E152">
            <v>5265.4</v>
          </cell>
        </row>
        <row r="153">
          <cell r="E153">
            <v>7052.84</v>
          </cell>
        </row>
        <row r="154">
          <cell r="E154">
            <v>10391</v>
          </cell>
        </row>
        <row r="155">
          <cell r="E155">
            <v>110.7</v>
          </cell>
        </row>
        <row r="156">
          <cell r="E156">
            <v>211.4</v>
          </cell>
        </row>
        <row r="157">
          <cell r="E157">
            <v>7425.1</v>
          </cell>
        </row>
        <row r="158">
          <cell r="E158">
            <v>6125.75</v>
          </cell>
        </row>
        <row r="159">
          <cell r="E159">
            <v>159.9</v>
          </cell>
        </row>
        <row r="160">
          <cell r="E160">
            <v>161.4</v>
          </cell>
        </row>
        <row r="161">
          <cell r="E161">
            <v>6020</v>
          </cell>
        </row>
        <row r="162">
          <cell r="E162">
            <v>108.3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137.30000000000001</v>
          </cell>
        </row>
        <row r="166">
          <cell r="E166">
            <v>211.6</v>
          </cell>
        </row>
        <row r="167">
          <cell r="E167">
            <v>180.6</v>
          </cell>
        </row>
        <row r="168">
          <cell r="E168">
            <v>102.4</v>
          </cell>
        </row>
        <row r="169">
          <cell r="E169">
            <v>180.22</v>
          </cell>
        </row>
        <row r="170">
          <cell r="E170">
            <v>329.7</v>
          </cell>
        </row>
        <row r="171">
          <cell r="E171">
            <v>151.80000000000001</v>
          </cell>
        </row>
        <row r="172">
          <cell r="E172">
            <v>4529.63</v>
          </cell>
        </row>
        <row r="173">
          <cell r="E173">
            <v>2055.6</v>
          </cell>
        </row>
        <row r="174">
          <cell r="E174">
            <v>373.83</v>
          </cell>
        </row>
        <row r="175">
          <cell r="E175">
            <v>119.3</v>
          </cell>
        </row>
        <row r="176">
          <cell r="E176">
            <v>182.8</v>
          </cell>
        </row>
        <row r="177">
          <cell r="E177">
            <v>229</v>
          </cell>
        </row>
        <row r="178">
          <cell r="E178">
            <v>144.5</v>
          </cell>
        </row>
        <row r="179">
          <cell r="E179">
            <v>393</v>
          </cell>
        </row>
        <row r="180">
          <cell r="E180">
            <v>4524.01</v>
          </cell>
        </row>
        <row r="181">
          <cell r="E181">
            <v>6306.37</v>
          </cell>
        </row>
        <row r="182">
          <cell r="E182">
            <v>2744.3</v>
          </cell>
        </row>
        <row r="183">
          <cell r="E183">
            <v>6138.38</v>
          </cell>
        </row>
        <row r="184">
          <cell r="E184">
            <v>6304.12</v>
          </cell>
        </row>
        <row r="185">
          <cell r="E185">
            <v>4191.3999999999996</v>
          </cell>
        </row>
        <row r="186">
          <cell r="E186">
            <v>477.5</v>
          </cell>
        </row>
        <row r="187">
          <cell r="E187">
            <v>553.20000000000005</v>
          </cell>
        </row>
        <row r="188">
          <cell r="E188">
            <v>358.84</v>
          </cell>
        </row>
        <row r="189">
          <cell r="E189">
            <v>488.8</v>
          </cell>
        </row>
        <row r="190">
          <cell r="E190">
            <v>385.5</v>
          </cell>
        </row>
        <row r="191">
          <cell r="E191">
            <v>2292.33</v>
          </cell>
        </row>
        <row r="192">
          <cell r="E192">
            <v>354.3</v>
          </cell>
        </row>
        <row r="193">
          <cell r="E193">
            <v>474.29999999999995</v>
          </cell>
        </row>
        <row r="194">
          <cell r="E194">
            <v>4735.0700000000006</v>
          </cell>
        </row>
        <row r="195">
          <cell r="E195">
            <v>1981.17</v>
          </cell>
        </row>
        <row r="196">
          <cell r="E196">
            <v>286.2</v>
          </cell>
        </row>
        <row r="197">
          <cell r="E197">
            <v>3813.3</v>
          </cell>
        </row>
        <row r="198">
          <cell r="E198">
            <v>15437.47</v>
          </cell>
        </row>
        <row r="199">
          <cell r="E199">
            <v>479.4</v>
          </cell>
        </row>
        <row r="200">
          <cell r="E200">
            <v>5138.55</v>
          </cell>
        </row>
        <row r="201">
          <cell r="E201">
            <v>404.5</v>
          </cell>
        </row>
        <row r="202">
          <cell r="E202">
            <v>7450.81</v>
          </cell>
        </row>
        <row r="203">
          <cell r="E203">
            <v>6120.05</v>
          </cell>
        </row>
        <row r="204">
          <cell r="E204">
            <v>2163.8200000000002</v>
          </cell>
        </row>
        <row r="205">
          <cell r="E205">
            <v>4314</v>
          </cell>
        </row>
        <row r="206">
          <cell r="E206">
            <v>2140.7399999999998</v>
          </cell>
        </row>
        <row r="207">
          <cell r="E207">
            <v>657.8</v>
          </cell>
        </row>
        <row r="208">
          <cell r="E208">
            <v>2135.1</v>
          </cell>
        </row>
        <row r="209">
          <cell r="E209">
            <v>4349.8999999999996</v>
          </cell>
        </row>
        <row r="210">
          <cell r="E210">
            <v>2131.85</v>
          </cell>
        </row>
        <row r="211">
          <cell r="E211">
            <v>105</v>
          </cell>
        </row>
        <row r="212">
          <cell r="E212">
            <v>140.69999999999999</v>
          </cell>
        </row>
        <row r="213">
          <cell r="E213">
            <v>6742.76</v>
          </cell>
        </row>
        <row r="214">
          <cell r="E214">
            <v>3267.3</v>
          </cell>
        </row>
        <row r="215">
          <cell r="E215">
            <v>6615</v>
          </cell>
        </row>
        <row r="216">
          <cell r="E216">
            <v>9392.7999999999993</v>
          </cell>
        </row>
        <row r="217">
          <cell r="E217">
            <v>3505.5</v>
          </cell>
        </row>
        <row r="218">
          <cell r="E218">
            <v>3564.3</v>
          </cell>
        </row>
        <row r="219">
          <cell r="E219">
            <v>3571.4</v>
          </cell>
        </row>
        <row r="220">
          <cell r="E220">
            <v>2747.6</v>
          </cell>
        </row>
        <row r="221">
          <cell r="E221">
            <v>2524.1999999999998</v>
          </cell>
        </row>
        <row r="222">
          <cell r="E222">
            <v>911.81</v>
          </cell>
        </row>
        <row r="223">
          <cell r="E223">
            <v>63</v>
          </cell>
        </row>
        <row r="224">
          <cell r="E224">
            <v>253.7</v>
          </cell>
        </row>
        <row r="225">
          <cell r="E225">
            <v>601.4</v>
          </cell>
        </row>
        <row r="226">
          <cell r="E226">
            <v>427.1</v>
          </cell>
        </row>
        <row r="227">
          <cell r="E227">
            <v>1282.0999999999999</v>
          </cell>
        </row>
        <row r="228">
          <cell r="E228">
            <v>3174.5</v>
          </cell>
        </row>
        <row r="229">
          <cell r="E229">
            <v>603.29999999999995</v>
          </cell>
        </row>
        <row r="230">
          <cell r="E230">
            <v>4198.2</v>
          </cell>
        </row>
        <row r="231">
          <cell r="E231">
            <v>229.7</v>
          </cell>
        </row>
        <row r="232">
          <cell r="E232">
            <v>409.7</v>
          </cell>
        </row>
        <row r="233">
          <cell r="E233">
            <v>450.6</v>
          </cell>
        </row>
        <row r="234">
          <cell r="E234">
            <v>2102.6</v>
          </cell>
        </row>
        <row r="235">
          <cell r="E235">
            <v>2790</v>
          </cell>
        </row>
        <row r="236">
          <cell r="E236">
            <v>3559.5</v>
          </cell>
        </row>
        <row r="237">
          <cell r="E237">
            <v>3575.2</v>
          </cell>
        </row>
        <row r="238">
          <cell r="E238">
            <v>3564.2</v>
          </cell>
        </row>
        <row r="239">
          <cell r="E239">
            <v>3571.96</v>
          </cell>
        </row>
        <row r="240">
          <cell r="E240">
            <v>4572.3</v>
          </cell>
        </row>
        <row r="241">
          <cell r="E241">
            <v>4577.8</v>
          </cell>
        </row>
        <row r="242">
          <cell r="E242">
            <v>3208.93</v>
          </cell>
        </row>
        <row r="243">
          <cell r="E243">
            <v>6253.7</v>
          </cell>
        </row>
        <row r="244">
          <cell r="E244">
            <v>2767.8</v>
          </cell>
        </row>
        <row r="245">
          <cell r="E245">
            <v>4580.3</v>
          </cell>
        </row>
        <row r="246">
          <cell r="E246">
            <v>6211.0999999999995</v>
          </cell>
        </row>
        <row r="247">
          <cell r="E247">
            <v>3177.82</v>
          </cell>
        </row>
        <row r="248">
          <cell r="E248">
            <v>3167.6</v>
          </cell>
        </row>
        <row r="249">
          <cell r="E249">
            <v>4456.6000000000004</v>
          </cell>
        </row>
        <row r="250">
          <cell r="E250">
            <v>3670.1</v>
          </cell>
        </row>
        <row r="251">
          <cell r="E251">
            <v>275.8</v>
          </cell>
        </row>
        <row r="252">
          <cell r="E252">
            <v>146.1</v>
          </cell>
        </row>
        <row r="253">
          <cell r="E253">
            <v>3990.71</v>
          </cell>
        </row>
        <row r="254">
          <cell r="E254">
            <v>11337.62</v>
          </cell>
        </row>
        <row r="255">
          <cell r="E255">
            <v>13218.32</v>
          </cell>
        </row>
        <row r="256">
          <cell r="E256">
            <v>5689.68</v>
          </cell>
        </row>
        <row r="257">
          <cell r="E257">
            <v>6815.39</v>
          </cell>
        </row>
        <row r="258">
          <cell r="E258">
            <v>2823.8</v>
          </cell>
        </row>
        <row r="259">
          <cell r="E259">
            <v>2844.3999999999996</v>
          </cell>
        </row>
        <row r="260">
          <cell r="E260">
            <v>2296.6999999999998</v>
          </cell>
        </row>
        <row r="261">
          <cell r="E261">
            <v>2613.6000000000004</v>
          </cell>
        </row>
        <row r="262">
          <cell r="E262">
            <v>3567.9</v>
          </cell>
        </row>
        <row r="263">
          <cell r="E263">
            <v>3672.7</v>
          </cell>
        </row>
        <row r="264">
          <cell r="E264">
            <v>1366.1</v>
          </cell>
        </row>
        <row r="265">
          <cell r="E265">
            <v>1504.4</v>
          </cell>
        </row>
        <row r="266">
          <cell r="E266">
            <v>2594.3000000000002</v>
          </cell>
        </row>
        <row r="267">
          <cell r="E267">
            <v>1869.5</v>
          </cell>
        </row>
        <row r="268">
          <cell r="E268">
            <v>275.3</v>
          </cell>
        </row>
        <row r="269">
          <cell r="E269">
            <v>304.89999999999998</v>
          </cell>
        </row>
        <row r="270">
          <cell r="E270">
            <v>2762.24</v>
          </cell>
        </row>
        <row r="271">
          <cell r="E271">
            <v>4396.8</v>
          </cell>
        </row>
        <row r="272">
          <cell r="E272">
            <v>4752.1000000000004</v>
          </cell>
        </row>
        <row r="273">
          <cell r="E273">
            <v>1578.7</v>
          </cell>
        </row>
        <row r="274">
          <cell r="E274">
            <v>631.1</v>
          </cell>
        </row>
        <row r="275">
          <cell r="E275">
            <v>128.19999999999999</v>
          </cell>
        </row>
        <row r="276">
          <cell r="E276">
            <v>4216.5600000000004</v>
          </cell>
        </row>
        <row r="277">
          <cell r="E277">
            <v>172.4</v>
          </cell>
        </row>
        <row r="278">
          <cell r="E278">
            <v>261.2</v>
          </cell>
        </row>
        <row r="279">
          <cell r="E279">
            <v>252.8</v>
          </cell>
        </row>
        <row r="280">
          <cell r="E280">
            <v>1317.9</v>
          </cell>
        </row>
        <row r="281">
          <cell r="E281">
            <v>6739.25</v>
          </cell>
        </row>
        <row r="282">
          <cell r="E282">
            <v>4188.63</v>
          </cell>
        </row>
        <row r="283">
          <cell r="E283">
            <v>2066.5</v>
          </cell>
        </row>
        <row r="284">
          <cell r="E284">
            <v>6127.1</v>
          </cell>
        </row>
        <row r="285">
          <cell r="E285">
            <v>1452.8</v>
          </cell>
        </row>
        <row r="286">
          <cell r="E286">
            <v>4211.8</v>
          </cell>
        </row>
        <row r="287">
          <cell r="E287">
            <v>3203.6</v>
          </cell>
        </row>
        <row r="288">
          <cell r="E288">
            <v>1563</v>
          </cell>
        </row>
        <row r="289">
          <cell r="E289">
            <v>3710.4399999999996</v>
          </cell>
        </row>
        <row r="290">
          <cell r="E290">
            <v>2751.2</v>
          </cell>
        </row>
        <row r="291">
          <cell r="E291">
            <v>299.89999999999998</v>
          </cell>
        </row>
        <row r="292">
          <cell r="E292">
            <v>1950.8</v>
          </cell>
        </row>
        <row r="293">
          <cell r="E293">
            <v>4553.8999999999996</v>
          </cell>
        </row>
        <row r="294">
          <cell r="E294">
            <v>2543.14</v>
          </cell>
        </row>
        <row r="295">
          <cell r="E295">
            <v>3000.6600000000003</v>
          </cell>
        </row>
        <row r="296">
          <cell r="E296">
            <v>2616.1999999999998</v>
          </cell>
        </row>
        <row r="297">
          <cell r="E297">
            <v>2951.8</v>
          </cell>
        </row>
        <row r="298">
          <cell r="E298">
            <v>2595.52</v>
          </cell>
        </row>
        <row r="299">
          <cell r="E299">
            <v>373.3</v>
          </cell>
        </row>
        <row r="300">
          <cell r="E300">
            <v>3609.1000000000004</v>
          </cell>
        </row>
        <row r="301">
          <cell r="E301">
            <v>2695.6400000000003</v>
          </cell>
        </row>
        <row r="302">
          <cell r="E302">
            <v>2581.1999999999998</v>
          </cell>
        </row>
        <row r="303">
          <cell r="E303">
            <v>5596.9</v>
          </cell>
        </row>
        <row r="304">
          <cell r="E304">
            <v>201.1</v>
          </cell>
        </row>
        <row r="305">
          <cell r="E305">
            <v>243.32</v>
          </cell>
        </row>
        <row r="306">
          <cell r="E306">
            <v>326.10000000000002</v>
          </cell>
        </row>
        <row r="307">
          <cell r="E307">
            <v>241.4</v>
          </cell>
        </row>
        <row r="308">
          <cell r="E308">
            <v>148.4</v>
          </cell>
        </row>
        <row r="309">
          <cell r="E309">
            <v>3401.3999999999996</v>
          </cell>
        </row>
        <row r="310">
          <cell r="E310">
            <v>1246.9000000000001</v>
          </cell>
        </row>
        <row r="311">
          <cell r="E311">
            <v>4217.7</v>
          </cell>
        </row>
        <row r="312">
          <cell r="E312">
            <v>3277.6</v>
          </cell>
        </row>
        <row r="313">
          <cell r="E313">
            <v>3987.0600000000004</v>
          </cell>
        </row>
        <row r="314">
          <cell r="E314">
            <v>9137</v>
          </cell>
        </row>
        <row r="315">
          <cell r="E315">
            <v>2609.46</v>
          </cell>
        </row>
        <row r="316">
          <cell r="E316">
            <v>2534.1999999999998</v>
          </cell>
        </row>
        <row r="317">
          <cell r="E317">
            <v>5026.5</v>
          </cell>
        </row>
        <row r="318">
          <cell r="E318">
            <v>2840.51</v>
          </cell>
        </row>
        <row r="319">
          <cell r="E319">
            <v>3295.38</v>
          </cell>
        </row>
        <row r="320">
          <cell r="E320">
            <v>5802.99</v>
          </cell>
        </row>
        <row r="321">
          <cell r="E321">
            <v>3190.1</v>
          </cell>
        </row>
        <row r="322">
          <cell r="E322">
            <v>152.6</v>
          </cell>
        </row>
        <row r="323">
          <cell r="E323">
            <v>2133.27</v>
          </cell>
        </row>
        <row r="324">
          <cell r="E324">
            <v>6420.63</v>
          </cell>
        </row>
        <row r="325">
          <cell r="E325">
            <v>3374.5599999999995</v>
          </cell>
        </row>
        <row r="326">
          <cell r="E326">
            <v>5269.58</v>
          </cell>
        </row>
        <row r="327">
          <cell r="E327">
            <v>8484.5</v>
          </cell>
        </row>
        <row r="328">
          <cell r="E328">
            <v>294.26</v>
          </cell>
        </row>
        <row r="329">
          <cell r="E329">
            <v>3516.6</v>
          </cell>
        </row>
        <row r="330">
          <cell r="E330">
            <v>4153.8999999999996</v>
          </cell>
        </row>
        <row r="331">
          <cell r="E331">
            <v>2749.1</v>
          </cell>
        </row>
        <row r="332">
          <cell r="E332">
            <v>4406.5</v>
          </cell>
        </row>
        <row r="333">
          <cell r="E333">
            <v>2741.4</v>
          </cell>
        </row>
        <row r="334">
          <cell r="E334">
            <v>4247.05</v>
          </cell>
        </row>
        <row r="335">
          <cell r="E335">
            <v>2712.05</v>
          </cell>
        </row>
        <row r="336">
          <cell r="E336">
            <v>472.1</v>
          </cell>
        </row>
        <row r="337">
          <cell r="E337">
            <v>6212</v>
          </cell>
        </row>
        <row r="338">
          <cell r="E338">
            <v>4357.8100000000004</v>
          </cell>
        </row>
        <row r="339">
          <cell r="E339">
            <v>10174.199999999999</v>
          </cell>
        </row>
        <row r="340">
          <cell r="E340">
            <v>3581.3</v>
          </cell>
        </row>
        <row r="341">
          <cell r="E341">
            <v>4073.8</v>
          </cell>
        </row>
        <row r="342">
          <cell r="E342">
            <v>4387.3</v>
          </cell>
        </row>
        <row r="343">
          <cell r="E343">
            <v>5222.9000000000005</v>
          </cell>
        </row>
        <row r="344">
          <cell r="E344">
            <v>3936.36</v>
          </cell>
        </row>
        <row r="345">
          <cell r="E345">
            <v>6307.74</v>
          </cell>
        </row>
        <row r="346">
          <cell r="E346">
            <v>6324.72</v>
          </cell>
        </row>
        <row r="347">
          <cell r="E347">
            <v>6335.19</v>
          </cell>
        </row>
        <row r="348">
          <cell r="E348">
            <v>6347.35</v>
          </cell>
        </row>
        <row r="349">
          <cell r="E349">
            <v>5864.08</v>
          </cell>
        </row>
        <row r="350">
          <cell r="E350">
            <v>4467.5200000000004</v>
          </cell>
        </row>
        <row r="351">
          <cell r="E351">
            <v>2779.82</v>
          </cell>
        </row>
        <row r="352">
          <cell r="E352">
            <v>2762.3</v>
          </cell>
        </row>
        <row r="353">
          <cell r="E353">
            <v>2743.4</v>
          </cell>
        </row>
        <row r="354">
          <cell r="E354">
            <v>5790.5</v>
          </cell>
        </row>
        <row r="355">
          <cell r="E355">
            <v>4445.5</v>
          </cell>
        </row>
        <row r="356">
          <cell r="E356">
            <v>4591.2</v>
          </cell>
        </row>
        <row r="357">
          <cell r="E357">
            <v>4566.7</v>
          </cell>
        </row>
        <row r="358">
          <cell r="E358">
            <v>4553.8</v>
          </cell>
        </row>
        <row r="359">
          <cell r="E359">
            <v>6174.2300000000005</v>
          </cell>
        </row>
        <row r="360">
          <cell r="E360">
            <v>2116.4899999999998</v>
          </cell>
        </row>
        <row r="361">
          <cell r="E361">
            <v>4570.7300000000005</v>
          </cell>
        </row>
        <row r="362">
          <cell r="E362">
            <v>2726.35</v>
          </cell>
        </row>
        <row r="363">
          <cell r="E363">
            <v>2405.4</v>
          </cell>
        </row>
        <row r="364">
          <cell r="E364">
            <v>3012.17</v>
          </cell>
        </row>
        <row r="365">
          <cell r="E365">
            <v>1851.94</v>
          </cell>
        </row>
        <row r="366">
          <cell r="E366">
            <v>3396.3</v>
          </cell>
        </row>
        <row r="367">
          <cell r="E367">
            <v>1494.6000000000001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tabColor rgb="FF66FFFF"/>
  </sheetPr>
  <dimension ref="A1:X66"/>
  <sheetViews>
    <sheetView zoomScale="70" zoomScaleNormal="70" workbookViewId="0">
      <pane xSplit="2" ySplit="8" topLeftCell="C34" activePane="bottomRight" state="frozen"/>
      <selection pane="topRight" activeCell="C1" sqref="C1"/>
      <selection pane="bottomLeft" activeCell="A9" sqref="A9"/>
      <selection pane="bottomRight" activeCell="AD36" sqref="AC36:AD36"/>
    </sheetView>
  </sheetViews>
  <sheetFormatPr defaultColWidth="8.6640625" defaultRowHeight="13.8" x14ac:dyDescent="0.3"/>
  <cols>
    <col min="1" max="1" width="7.33203125" style="1" customWidth="1"/>
    <col min="2" max="2" width="55.6640625" style="1" customWidth="1"/>
    <col min="3" max="3" width="14.5546875" style="8" customWidth="1"/>
    <col min="4" max="4" width="14.44140625" style="1" customWidth="1"/>
    <col min="5" max="5" width="13.5546875" style="1" customWidth="1"/>
    <col min="6" max="6" width="14.109375" style="1" customWidth="1"/>
    <col min="7" max="7" width="11.44140625" style="2" customWidth="1"/>
    <col min="8" max="8" width="11.109375" style="2" customWidth="1"/>
    <col min="9" max="9" width="11.109375" style="1" customWidth="1"/>
    <col min="10" max="10" width="11.44140625" style="2" customWidth="1"/>
    <col min="11" max="11" width="11.109375" style="2" customWidth="1"/>
    <col min="12" max="12" width="11.109375" style="1" customWidth="1"/>
    <col min="13" max="13" width="11.44140625" style="2" customWidth="1"/>
    <col min="14" max="14" width="11.109375" style="2" customWidth="1"/>
    <col min="15" max="15" width="11.109375" style="1" customWidth="1"/>
    <col min="16" max="16" width="8.6640625" style="1"/>
    <col min="17" max="17" width="16.5546875" style="8" hidden="1" customWidth="1"/>
    <col min="18" max="18" width="16.6640625" style="8" hidden="1" customWidth="1"/>
    <col min="19" max="19" width="16.5546875" style="8" hidden="1" customWidth="1"/>
    <col min="20" max="20" width="16.44140625" style="8" hidden="1" customWidth="1"/>
    <col min="21" max="21" width="16.5546875" style="8" hidden="1" customWidth="1"/>
    <col min="22" max="22" width="16.44140625" style="8" hidden="1" customWidth="1"/>
    <col min="23" max="23" width="16.5546875" style="8" hidden="1" customWidth="1"/>
    <col min="24" max="24" width="16.44140625" style="8" hidden="1" customWidth="1"/>
    <col min="25" max="16384" width="8.6640625" style="1"/>
  </cols>
  <sheetData>
    <row r="1" spans="1:24" x14ac:dyDescent="0.3">
      <c r="A1" s="1" t="s">
        <v>0</v>
      </c>
    </row>
    <row r="3" spans="1:24" ht="15.6" x14ac:dyDescent="0.3">
      <c r="A3" s="6" t="s">
        <v>1082</v>
      </c>
      <c r="E3" s="158">
        <f>місяць!A2</f>
        <v>2023</v>
      </c>
      <c r="F3" s="158"/>
    </row>
    <row r="4" spans="1:24" ht="14.4" thickBot="1" x14ac:dyDescent="0.35"/>
    <row r="5" spans="1:24" ht="22.2" customHeight="1" x14ac:dyDescent="0.3">
      <c r="A5" s="1103" t="s">
        <v>827</v>
      </c>
      <c r="B5" s="1123" t="s">
        <v>828</v>
      </c>
      <c r="C5" s="820"/>
      <c r="D5" s="821">
        <f>E3</f>
        <v>2023</v>
      </c>
      <c r="E5" s="821" t="s">
        <v>1720</v>
      </c>
      <c r="F5" s="822"/>
      <c r="G5" s="1110" t="s">
        <v>1071</v>
      </c>
      <c r="H5" s="1111"/>
      <c r="I5" s="1111"/>
      <c r="J5" s="1118" t="s">
        <v>1072</v>
      </c>
      <c r="K5" s="1111"/>
      <c r="L5" s="1112"/>
      <c r="M5" s="1110" t="s">
        <v>1073</v>
      </c>
      <c r="N5" s="1111"/>
      <c r="O5" s="1112"/>
      <c r="Q5" s="1121" t="s">
        <v>1074</v>
      </c>
      <c r="R5" s="1122"/>
      <c r="S5" s="1121" t="s">
        <v>1077</v>
      </c>
      <c r="T5" s="1122"/>
      <c r="U5" s="1121" t="s">
        <v>1078</v>
      </c>
      <c r="V5" s="1122"/>
      <c r="W5" s="1121" t="s">
        <v>1080</v>
      </c>
      <c r="X5" s="1122"/>
    </row>
    <row r="6" spans="1:24" ht="34.950000000000003" customHeight="1" thickBot="1" x14ac:dyDescent="0.35">
      <c r="A6" s="1104"/>
      <c r="B6" s="1124"/>
      <c r="C6" s="94" t="s">
        <v>870</v>
      </c>
      <c r="D6" s="823" t="s">
        <v>440</v>
      </c>
      <c r="E6" s="823" t="s">
        <v>441</v>
      </c>
      <c r="F6" s="824" t="s">
        <v>871</v>
      </c>
      <c r="G6" s="825" t="s">
        <v>1013</v>
      </c>
      <c r="H6" s="826" t="s">
        <v>440</v>
      </c>
      <c r="I6" s="827" t="s">
        <v>441</v>
      </c>
      <c r="J6" s="828" t="s">
        <v>1013</v>
      </c>
      <c r="K6" s="826" t="s">
        <v>440</v>
      </c>
      <c r="L6" s="829" t="s">
        <v>441</v>
      </c>
      <c r="M6" s="825" t="s">
        <v>1013</v>
      </c>
      <c r="N6" s="826" t="s">
        <v>440</v>
      </c>
      <c r="O6" s="829" t="s">
        <v>441</v>
      </c>
      <c r="Q6" s="5" t="s">
        <v>1075</v>
      </c>
      <c r="R6" s="5" t="s">
        <v>1076</v>
      </c>
      <c r="S6" s="5" t="s">
        <v>1075</v>
      </c>
      <c r="T6" s="5" t="s">
        <v>1076</v>
      </c>
      <c r="U6" s="5" t="s">
        <v>1075</v>
      </c>
      <c r="V6" s="5" t="s">
        <v>1076</v>
      </c>
      <c r="W6" s="5" t="s">
        <v>1075</v>
      </c>
      <c r="X6" s="5" t="s">
        <v>1076</v>
      </c>
    </row>
    <row r="7" spans="1:24" ht="16.649999999999999" customHeight="1" x14ac:dyDescent="0.3">
      <c r="A7" s="266"/>
      <c r="B7" s="830" t="s">
        <v>829</v>
      </c>
      <c r="C7" s="1105">
        <f>'побудинковий звіт'!E368</f>
        <v>1005804.1400000005</v>
      </c>
      <c r="D7" s="1106"/>
      <c r="E7" s="1107"/>
      <c r="F7" s="133"/>
      <c r="G7" s="1113">
        <f>'побудинковий звіт'!E371</f>
        <v>201333.93999999994</v>
      </c>
      <c r="H7" s="1114"/>
      <c r="I7" s="1114"/>
      <c r="J7" s="1119">
        <f>'побудинковий звіт'!E372</f>
        <v>492705.12000000017</v>
      </c>
      <c r="K7" s="1114"/>
      <c r="L7" s="1115"/>
      <c r="M7" s="1113">
        <f>'побудинковий звіт'!E373</f>
        <v>311765.08</v>
      </c>
      <c r="N7" s="1114"/>
      <c r="O7" s="1115"/>
      <c r="Q7" s="5"/>
      <c r="R7" s="5"/>
      <c r="S7" s="5"/>
      <c r="T7" s="5"/>
      <c r="U7" s="5"/>
      <c r="V7" s="5"/>
      <c r="W7" s="5"/>
      <c r="X7" s="5"/>
    </row>
    <row r="8" spans="1:24" ht="15" customHeight="1" x14ac:dyDescent="0.3">
      <c r="A8" s="267" t="s">
        <v>830</v>
      </c>
      <c r="B8" s="831" t="s">
        <v>831</v>
      </c>
      <c r="C8" s="675"/>
      <c r="D8" s="3"/>
      <c r="E8" s="3"/>
      <c r="F8" s="134"/>
      <c r="G8" s="814"/>
      <c r="H8" s="29"/>
      <c r="I8" s="832"/>
      <c r="J8" s="34"/>
      <c r="K8" s="29"/>
      <c r="L8" s="134"/>
      <c r="M8" s="814"/>
      <c r="N8" s="29"/>
      <c r="O8" s="134"/>
      <c r="Q8" s="5"/>
      <c r="R8" s="5"/>
      <c r="S8" s="5"/>
      <c r="T8" s="5"/>
      <c r="U8" s="5"/>
      <c r="V8" s="5"/>
      <c r="W8" s="5"/>
      <c r="X8" s="5"/>
    </row>
    <row r="9" spans="1:24" ht="15" customHeight="1" x14ac:dyDescent="0.3">
      <c r="A9" s="268" t="s">
        <v>832</v>
      </c>
      <c r="B9" s="833" t="s">
        <v>6</v>
      </c>
      <c r="C9" s="834">
        <f>C10+C11+C12+C13+C14+C15+C16+C17</f>
        <v>11874752.95423561</v>
      </c>
      <c r="D9" s="9">
        <f>D10+D11+D12+D13+D14+D15+D16+D17</f>
        <v>10811088.144067921</v>
      </c>
      <c r="E9" s="9">
        <f>D9-C9</f>
        <v>-1063664.8101676889</v>
      </c>
      <c r="F9" s="269">
        <f>D9/C9</f>
        <v>0.91042636303534297</v>
      </c>
      <c r="G9" s="835">
        <f>G10+G11+G12+G13+G14+G15+G16+G17</f>
        <v>3966806.017007126</v>
      </c>
      <c r="H9" s="835">
        <f>H10+H11+H12+H13+H14+H15+H16+H17</f>
        <v>3378459.8230959801</v>
      </c>
      <c r="I9" s="159">
        <f>H9-G9</f>
        <v>-588346.19391114591</v>
      </c>
      <c r="J9" s="676">
        <f>J10+J11+J12+J13+J14+J15+J16+J17</f>
        <v>4180071.4469061899</v>
      </c>
      <c r="K9" s="9">
        <f>K10+K11+K12+K13+K14+K15+K16+K17</f>
        <v>3925728.3318833536</v>
      </c>
      <c r="L9" s="58">
        <f>K9-J9</f>
        <v>-254343.11502283625</v>
      </c>
      <c r="M9" s="835">
        <f>M10+M11+M12+M13+M14+M15+M16+M17</f>
        <v>3727875.4903222919</v>
      </c>
      <c r="N9" s="9">
        <f>N10+N11+N12+N13+N14+N15+N16+N17</f>
        <v>3506899.9890885856</v>
      </c>
      <c r="O9" s="58">
        <f>N9-M9</f>
        <v>-220975.50123370625</v>
      </c>
      <c r="Q9" s="5">
        <v>859153</v>
      </c>
      <c r="R9" s="5">
        <v>903486</v>
      </c>
      <c r="S9" s="5">
        <v>859153</v>
      </c>
      <c r="T9" s="5">
        <v>845518</v>
      </c>
      <c r="U9" s="5">
        <v>859153</v>
      </c>
      <c r="V9" s="5">
        <v>845518</v>
      </c>
      <c r="W9" s="5">
        <f>U9+C9</f>
        <v>12733905.95423561</v>
      </c>
      <c r="X9" s="5">
        <f>V9+D9</f>
        <v>11656606.144067921</v>
      </c>
    </row>
    <row r="10" spans="1:24" ht="15" customHeight="1" x14ac:dyDescent="0.3">
      <c r="A10" s="270" t="s">
        <v>833</v>
      </c>
      <c r="B10" s="836" t="s">
        <v>23</v>
      </c>
      <c r="C10" s="837">
        <f>'побудинковий звіт'!I368</f>
        <v>3192223.1263852497</v>
      </c>
      <c r="D10" s="5">
        <f>'побудинковий звіт'!J368</f>
        <v>2961621.8826939021</v>
      </c>
      <c r="E10" s="5">
        <f t="shared" ref="E10:E43" si="0">D10-C10</f>
        <v>-230601.24369134754</v>
      </c>
      <c r="F10" s="272">
        <f t="shared" ref="F10:F46" si="1">D10/C10</f>
        <v>0.92776155219686307</v>
      </c>
      <c r="G10" s="838">
        <f>'побудинковий звіт'!I371</f>
        <v>978493.19134797575</v>
      </c>
      <c r="H10" s="838">
        <f>'побудинковий звіт'!J371</f>
        <v>834109.06679078599</v>
      </c>
      <c r="I10" s="37">
        <f t="shared" ref="I10:I42" si="2">H10-G10</f>
        <v>-144384.12455718976</v>
      </c>
      <c r="J10" s="675">
        <f>'побудинковий звіт'!I372</f>
        <v>1163036.1558638504</v>
      </c>
      <c r="K10" s="5">
        <f>'побудинковий звіт'!J372</f>
        <v>1161957.3977849239</v>
      </c>
      <c r="L10" s="56">
        <f t="shared" ref="L10:L42" si="3">K10-J10</f>
        <v>-1078.7580789264757</v>
      </c>
      <c r="M10" s="838">
        <f>'побудинковий звіт'!I373</f>
        <v>1050693.7791734233</v>
      </c>
      <c r="N10" s="5">
        <f>'побудинковий звіт'!J373</f>
        <v>965555.41811819142</v>
      </c>
      <c r="O10" s="56">
        <f t="shared" ref="O10:O42" si="4">N10-M10</f>
        <v>-85138.361055231886</v>
      </c>
      <c r="Q10" s="5"/>
      <c r="R10" s="5"/>
      <c r="S10" s="5"/>
      <c r="T10" s="5"/>
      <c r="U10" s="5"/>
      <c r="V10" s="5"/>
      <c r="W10" s="5"/>
      <c r="X10" s="5"/>
    </row>
    <row r="11" spans="1:24" ht="15" customHeight="1" x14ac:dyDescent="0.3">
      <c r="A11" s="270" t="s">
        <v>834</v>
      </c>
      <c r="B11" s="836" t="s">
        <v>24</v>
      </c>
      <c r="C11" s="837">
        <f>'побудинковий звіт'!L368</f>
        <v>598809.43046173151</v>
      </c>
      <c r="D11" s="5">
        <f>'побудинковий звіт'!M368</f>
        <v>586516.51858963561</v>
      </c>
      <c r="E11" s="5">
        <f t="shared" si="0"/>
        <v>-12292.911872095894</v>
      </c>
      <c r="F11" s="272">
        <f t="shared" si="1"/>
        <v>0.97947107836525382</v>
      </c>
      <c r="G11" s="838">
        <f>'побудинковий звіт'!L371</f>
        <v>178161.01798710009</v>
      </c>
      <c r="H11" s="838">
        <f>'побудинковий звіт'!M371</f>
        <v>167688.39242212972</v>
      </c>
      <c r="I11" s="37">
        <f t="shared" si="2"/>
        <v>-10472.625564970367</v>
      </c>
      <c r="J11" s="675">
        <f>'побудинковий звіт'!L372</f>
        <v>224361.32512008131</v>
      </c>
      <c r="K11" s="5">
        <f>'побудинковий звіт'!M372</f>
        <v>228531.64104010139</v>
      </c>
      <c r="L11" s="56">
        <f t="shared" si="3"/>
        <v>4170.3159200200753</v>
      </c>
      <c r="M11" s="838">
        <f>'побудинковий звіт'!L373</f>
        <v>196287.08735454985</v>
      </c>
      <c r="N11" s="5">
        <f>'побудинковий звіт'!M373</f>
        <v>190296.48512740468</v>
      </c>
      <c r="O11" s="56">
        <f t="shared" si="4"/>
        <v>-5990.6022271451657</v>
      </c>
      <c r="Q11" s="5"/>
      <c r="R11" s="5"/>
      <c r="S11" s="5"/>
      <c r="T11" s="5"/>
      <c r="U11" s="5"/>
      <c r="V11" s="5"/>
      <c r="W11" s="5"/>
      <c r="X11" s="5"/>
    </row>
    <row r="12" spans="1:24" ht="15" customHeight="1" x14ac:dyDescent="0.3">
      <c r="A12" s="270" t="s">
        <v>835</v>
      </c>
      <c r="B12" s="836" t="s">
        <v>25</v>
      </c>
      <c r="C12" s="837">
        <f>'побудинковий звіт'!O368</f>
        <v>1382779.2</v>
      </c>
      <c r="D12" s="5">
        <f>'побудинковий звіт'!P368</f>
        <v>1204377.7067474469</v>
      </c>
      <c r="E12" s="5">
        <f t="shared" si="0"/>
        <v>-178401.49325255305</v>
      </c>
      <c r="F12" s="272">
        <f t="shared" si="1"/>
        <v>0.87098338386016139</v>
      </c>
      <c r="G12" s="838">
        <f>'побудинковий звіт'!O371</f>
        <v>503010.59999999992</v>
      </c>
      <c r="H12" s="838">
        <f>'побудинковий звіт'!P371</f>
        <v>404282.84762650542</v>
      </c>
      <c r="I12" s="37">
        <f t="shared" si="2"/>
        <v>-98727.752373494499</v>
      </c>
      <c r="J12" s="675">
        <f>'побудинковий звіт'!O372</f>
        <v>473399.15999999968</v>
      </c>
      <c r="K12" s="5">
        <f>'побудинковий звіт'!P372</f>
        <v>393704.29912094085</v>
      </c>
      <c r="L12" s="56">
        <f t="shared" si="3"/>
        <v>-79694.860879058833</v>
      </c>
      <c r="M12" s="838">
        <f>'побудинковий звіт'!O373</f>
        <v>406369.43999999994</v>
      </c>
      <c r="N12" s="5">
        <f>'побудинковий звіт'!P373</f>
        <v>406390.56</v>
      </c>
      <c r="O12" s="56">
        <f t="shared" si="4"/>
        <v>21.120000000053551</v>
      </c>
      <c r="Q12" s="5"/>
      <c r="R12" s="5"/>
      <c r="S12" s="5"/>
      <c r="T12" s="5"/>
      <c r="U12" s="5"/>
      <c r="V12" s="5"/>
      <c r="W12" s="5"/>
      <c r="X12" s="5"/>
    </row>
    <row r="13" spans="1:24" ht="15" customHeight="1" x14ac:dyDescent="0.3">
      <c r="A13" s="270" t="s">
        <v>836</v>
      </c>
      <c r="B13" s="836" t="s">
        <v>26</v>
      </c>
      <c r="C13" s="837">
        <f>'побудинковий звіт'!R368</f>
        <v>188971.56000000006</v>
      </c>
      <c r="D13" s="5">
        <f>'побудинковий звіт'!S368</f>
        <v>164574.78508981178</v>
      </c>
      <c r="E13" s="5">
        <f t="shared" si="0"/>
        <v>-24396.77491018828</v>
      </c>
      <c r="F13" s="272">
        <f t="shared" si="1"/>
        <v>0.87089710795535435</v>
      </c>
      <c r="G13" s="838">
        <f>'побудинковий звіт'!R371</f>
        <v>98679.96</v>
      </c>
      <c r="H13" s="838">
        <f>'побудинковий звіт'!S371</f>
        <v>78968.678426693557</v>
      </c>
      <c r="I13" s="37">
        <f t="shared" si="2"/>
        <v>-19711.281573306449</v>
      </c>
      <c r="J13" s="675">
        <f>'побудинковий звіт'!R372</f>
        <v>34228.080000000009</v>
      </c>
      <c r="K13" s="5">
        <f>'побудинковий звіт'!S372</f>
        <v>29558.066663118279</v>
      </c>
      <c r="L13" s="56">
        <f t="shared" si="3"/>
        <v>-4670.0133368817296</v>
      </c>
      <c r="M13" s="838">
        <f>'побудинковий звіт'!R373</f>
        <v>56063.51999999999</v>
      </c>
      <c r="N13" s="5">
        <f>'побудинковий звіт'!S373</f>
        <v>56048.04</v>
      </c>
      <c r="O13" s="56">
        <f t="shared" si="4"/>
        <v>-15.47999999998865</v>
      </c>
      <c r="Q13" s="5"/>
      <c r="R13" s="5"/>
      <c r="S13" s="5"/>
      <c r="T13" s="5"/>
      <c r="U13" s="5"/>
      <c r="V13" s="5"/>
      <c r="W13" s="5"/>
      <c r="X13" s="5"/>
    </row>
    <row r="14" spans="1:24" ht="15" customHeight="1" x14ac:dyDescent="0.3">
      <c r="A14" s="270" t="s">
        <v>837</v>
      </c>
      <c r="B14" s="836" t="s">
        <v>27</v>
      </c>
      <c r="C14" s="837">
        <f>'побудинковий звіт'!U368</f>
        <v>159115.20039849685</v>
      </c>
      <c r="D14" s="5">
        <f>'побудинковий звіт'!V368</f>
        <v>115228.70389510303</v>
      </c>
      <c r="E14" s="5">
        <f t="shared" si="0"/>
        <v>-43886.496503393821</v>
      </c>
      <c r="F14" s="272">
        <f t="shared" si="1"/>
        <v>0.72418413581177621</v>
      </c>
      <c r="G14" s="838">
        <f>'побудинковий звіт'!U371</f>
        <v>86187.796706948677</v>
      </c>
      <c r="H14" s="838">
        <f>'побудинковий звіт'!V371</f>
        <v>33187.749748329472</v>
      </c>
      <c r="I14" s="37">
        <f t="shared" si="2"/>
        <v>-53000.046958619205</v>
      </c>
      <c r="J14" s="675">
        <f>'побудинковий звіт'!U372</f>
        <v>15709.973940751644</v>
      </c>
      <c r="K14" s="5">
        <f>'побудинковий звіт'!V372</f>
        <v>42885.564584460626</v>
      </c>
      <c r="L14" s="56">
        <f t="shared" si="3"/>
        <v>27175.59064370898</v>
      </c>
      <c r="M14" s="838">
        <f>'побудинковий звіт'!U373</f>
        <v>57217.429750796502</v>
      </c>
      <c r="N14" s="5">
        <f>'побудинковий звіт'!V373</f>
        <v>39155.389562312892</v>
      </c>
      <c r="O14" s="56">
        <f t="shared" si="4"/>
        <v>-18062.04018848361</v>
      </c>
      <c r="Q14" s="5"/>
      <c r="R14" s="5"/>
      <c r="S14" s="5"/>
      <c r="T14" s="5"/>
      <c r="U14" s="5"/>
      <c r="V14" s="5"/>
      <c r="W14" s="5"/>
      <c r="X14" s="5"/>
    </row>
    <row r="15" spans="1:24" ht="15" customHeight="1" x14ac:dyDescent="0.3">
      <c r="A15" s="270" t="s">
        <v>838</v>
      </c>
      <c r="B15" s="836" t="s">
        <v>28</v>
      </c>
      <c r="C15" s="837">
        <f>'побудинковий звіт'!X368</f>
        <v>2111379.851530131</v>
      </c>
      <c r="D15" s="5">
        <f>'побудинковий звіт'!Y368</f>
        <v>1846497.9250324264</v>
      </c>
      <c r="E15" s="5">
        <f t="shared" si="0"/>
        <v>-264881.92649770458</v>
      </c>
      <c r="F15" s="272">
        <f t="shared" si="1"/>
        <v>0.87454558387220427</v>
      </c>
      <c r="G15" s="838">
        <f>'побудинковий звіт'!X371</f>
        <v>693513.02408298885</v>
      </c>
      <c r="H15" s="838">
        <f>'побудинковий звіт'!Y371</f>
        <v>538326.76497107686</v>
      </c>
      <c r="I15" s="37">
        <f t="shared" si="2"/>
        <v>-155186.25911191199</v>
      </c>
      <c r="J15" s="675">
        <f>'побудинковий звіт'!X372</f>
        <v>759761.01396438666</v>
      </c>
      <c r="K15" s="5">
        <f>'побудинковий звіт'!Y372</f>
        <v>669121.70090940141</v>
      </c>
      <c r="L15" s="56">
        <f t="shared" si="3"/>
        <v>-90639.31305498525</v>
      </c>
      <c r="M15" s="838">
        <f>'побудинковий звіт'!X373</f>
        <v>658105.81348275486</v>
      </c>
      <c r="N15" s="5">
        <f>'побудинковий звіт'!Y373</f>
        <v>639049.45915194822</v>
      </c>
      <c r="O15" s="56">
        <f t="shared" si="4"/>
        <v>-19056.354330806644</v>
      </c>
      <c r="Q15" s="5"/>
      <c r="R15" s="5"/>
      <c r="S15" s="5"/>
      <c r="T15" s="5"/>
      <c r="U15" s="5"/>
      <c r="V15" s="5"/>
      <c r="W15" s="5"/>
      <c r="X15" s="5"/>
    </row>
    <row r="16" spans="1:24" ht="15" customHeight="1" x14ac:dyDescent="0.3">
      <c r="A16" s="270" t="s">
        <v>839</v>
      </c>
      <c r="B16" s="836" t="s">
        <v>29</v>
      </c>
      <c r="C16" s="839">
        <f>'побудинковий звіт'!AA368</f>
        <v>0</v>
      </c>
      <c r="D16" s="5">
        <f>'побудинковий звіт'!AB368</f>
        <v>0</v>
      </c>
      <c r="E16" s="5">
        <f t="shared" si="0"/>
        <v>0</v>
      </c>
      <c r="F16" s="272"/>
      <c r="G16" s="838">
        <f>'побудинковий звіт'!AA371</f>
        <v>0</v>
      </c>
      <c r="H16" s="838">
        <f>'побудинковий звіт'!AB371</f>
        <v>0</v>
      </c>
      <c r="I16" s="37">
        <f t="shared" si="2"/>
        <v>0</v>
      </c>
      <c r="J16" s="675">
        <f>'побудинковий звіт'!AA372</f>
        <v>0</v>
      </c>
      <c r="K16" s="5">
        <f>'побудинковий звіт'!AB372</f>
        <v>0</v>
      </c>
      <c r="L16" s="56">
        <f t="shared" si="3"/>
        <v>0</v>
      </c>
      <c r="M16" s="838">
        <f>'побудинковий звіт'!AA373</f>
        <v>0</v>
      </c>
      <c r="N16" s="5">
        <f>'побудинковий звіт'!AB373</f>
        <v>0</v>
      </c>
      <c r="O16" s="56">
        <f t="shared" si="4"/>
        <v>0</v>
      </c>
      <c r="Q16" s="5"/>
      <c r="R16" s="5"/>
      <c r="S16" s="5"/>
      <c r="T16" s="5"/>
      <c r="U16" s="5"/>
      <c r="V16" s="5"/>
      <c r="W16" s="5"/>
      <c r="X16" s="5"/>
    </row>
    <row r="17" spans="1:24" ht="15" customHeight="1" x14ac:dyDescent="0.3">
      <c r="A17" s="270" t="s">
        <v>840</v>
      </c>
      <c r="B17" s="840" t="s">
        <v>30</v>
      </c>
      <c r="C17" s="837">
        <f>'побудинковий звіт'!AD368</f>
        <v>4241474.5854599988</v>
      </c>
      <c r="D17" s="5">
        <f>'побудинковий звіт'!AE368</f>
        <v>3932270.6220195945</v>
      </c>
      <c r="E17" s="5">
        <f t="shared" si="0"/>
        <v>-309203.96344040427</v>
      </c>
      <c r="F17" s="272">
        <f t="shared" si="1"/>
        <v>0.92709989009473925</v>
      </c>
      <c r="G17" s="838">
        <f>'побудинковий звіт'!AD371</f>
        <v>1428760.4268821129</v>
      </c>
      <c r="H17" s="838">
        <f>'побудинковий звіт'!AE371</f>
        <v>1321896.3231104587</v>
      </c>
      <c r="I17" s="37">
        <f t="shared" si="2"/>
        <v>-106864.10377165419</v>
      </c>
      <c r="J17" s="675">
        <f>'побудинковий звіт'!AD372</f>
        <v>1509575.7380171199</v>
      </c>
      <c r="K17" s="5">
        <f>'побудинковий звіт'!AE372</f>
        <v>1399969.6617804072</v>
      </c>
      <c r="L17" s="56">
        <f t="shared" si="3"/>
        <v>-109606.07623671275</v>
      </c>
      <c r="M17" s="838">
        <f>'побудинковий звіт'!AD373</f>
        <v>1303138.4205607676</v>
      </c>
      <c r="N17" s="5">
        <f>'побудинковий звіт'!AE373</f>
        <v>1210404.6371287277</v>
      </c>
      <c r="O17" s="56">
        <f t="shared" si="4"/>
        <v>-92733.783432039898</v>
      </c>
      <c r="Q17" s="5"/>
      <c r="R17" s="5"/>
      <c r="S17" s="5"/>
      <c r="T17" s="5"/>
      <c r="U17" s="5"/>
      <c r="V17" s="5"/>
      <c r="W17" s="5"/>
      <c r="X17" s="5"/>
    </row>
    <row r="18" spans="1:24" ht="15" customHeight="1" x14ac:dyDescent="0.3">
      <c r="A18" s="267" t="s">
        <v>841</v>
      </c>
      <c r="B18" s="841" t="s">
        <v>7</v>
      </c>
      <c r="C18" s="834">
        <f>'побудинковий звіт'!AJ368</f>
        <v>5202201.0792998839</v>
      </c>
      <c r="D18" s="9">
        <f>'побудинковий звіт'!AK368</f>
        <v>5105968.4875319926</v>
      </c>
      <c r="E18" s="9">
        <f t="shared" si="0"/>
        <v>-96232.59176789131</v>
      </c>
      <c r="F18" s="269">
        <f t="shared" si="1"/>
        <v>0.98150156245385989</v>
      </c>
      <c r="G18" s="835">
        <f>'побудинковий звіт'!AJ371</f>
        <v>2749555.5155708473</v>
      </c>
      <c r="H18" s="835">
        <f>'побудинковий звіт'!AK371</f>
        <v>2683153.1543550966</v>
      </c>
      <c r="I18" s="159">
        <f t="shared" si="2"/>
        <v>-66402.361215750687</v>
      </c>
      <c r="J18" s="676">
        <f>'побудинковий звіт'!AJ372</f>
        <v>794825.00002253917</v>
      </c>
      <c r="K18" s="9">
        <f>'побудинковий звіт'!AK372</f>
        <v>787165.83733627351</v>
      </c>
      <c r="L18" s="58">
        <f t="shared" si="3"/>
        <v>-7659.1626862656558</v>
      </c>
      <c r="M18" s="835">
        <f>'побудинковий звіт'!AJ373</f>
        <v>1657820.563706496</v>
      </c>
      <c r="N18" s="9">
        <f>'побудинковий звіт'!AK373</f>
        <v>1635649.4958406214</v>
      </c>
      <c r="O18" s="58">
        <f t="shared" si="4"/>
        <v>-22171.067865874618</v>
      </c>
      <c r="Q18" s="5">
        <v>224296</v>
      </c>
      <c r="R18" s="5">
        <v>214387</v>
      </c>
      <c r="S18" s="5">
        <v>224296</v>
      </c>
      <c r="T18" s="5">
        <v>220289</v>
      </c>
      <c r="U18" s="5">
        <v>224296</v>
      </c>
      <c r="V18" s="5">
        <v>220289</v>
      </c>
      <c r="W18" s="5">
        <f t="shared" ref="W18:X20" si="5">U18+C18</f>
        <v>5426497.0792998839</v>
      </c>
      <c r="X18" s="5">
        <f t="shared" si="5"/>
        <v>5326257.4875319926</v>
      </c>
    </row>
    <row r="19" spans="1:24" ht="15" customHeight="1" x14ac:dyDescent="0.3">
      <c r="A19" s="267" t="s">
        <v>842</v>
      </c>
      <c r="B19" s="841" t="s">
        <v>8</v>
      </c>
      <c r="C19" s="834">
        <f>'побудинковий звіт'!AM368</f>
        <v>75857.049072040201</v>
      </c>
      <c r="D19" s="9">
        <f>'побудинковий звіт'!AN368</f>
        <v>118826.78740394441</v>
      </c>
      <c r="E19" s="9">
        <f t="shared" si="0"/>
        <v>42969.738331904213</v>
      </c>
      <c r="F19" s="269">
        <f t="shared" si="1"/>
        <v>1.5664567612048361</v>
      </c>
      <c r="G19" s="835">
        <f>'побудинковий звіт'!AM371</f>
        <v>56823.197719353513</v>
      </c>
      <c r="H19" s="835">
        <f>'побудинковий звіт'!AN371</f>
        <v>74080.401077802395</v>
      </c>
      <c r="I19" s="159">
        <f t="shared" si="2"/>
        <v>17257.203358448882</v>
      </c>
      <c r="J19" s="676">
        <f>'побудинковий звіт'!AM372</f>
        <v>15877.007034944821</v>
      </c>
      <c r="K19" s="9">
        <f>'побудинковий звіт'!AN372</f>
        <v>21862.396390428559</v>
      </c>
      <c r="L19" s="58">
        <f t="shared" si="3"/>
        <v>5985.3893554837377</v>
      </c>
      <c r="M19" s="835">
        <f>'побудинковий звіт'!AM373</f>
        <v>3156.8443177418612</v>
      </c>
      <c r="N19" s="9">
        <f>'побудинковий звіт'!AN373</f>
        <v>22883.989935713435</v>
      </c>
      <c r="O19" s="58">
        <f t="shared" si="4"/>
        <v>19727.145617971575</v>
      </c>
      <c r="Q19" s="5">
        <v>2918</v>
      </c>
      <c r="R19" s="5">
        <v>2248</v>
      </c>
      <c r="S19" s="5">
        <v>2918</v>
      </c>
      <c r="T19" s="5">
        <v>2272</v>
      </c>
      <c r="U19" s="5">
        <v>2918</v>
      </c>
      <c r="V19" s="5">
        <v>2272</v>
      </c>
      <c r="W19" s="5">
        <f t="shared" si="5"/>
        <v>78775.049072040201</v>
      </c>
      <c r="X19" s="5">
        <f t="shared" si="5"/>
        <v>121098.78740394441</v>
      </c>
    </row>
    <row r="20" spans="1:24" ht="15" customHeight="1" x14ac:dyDescent="0.3">
      <c r="A20" s="267" t="s">
        <v>843</v>
      </c>
      <c r="B20" s="833" t="s">
        <v>9</v>
      </c>
      <c r="C20" s="834">
        <f>'побудинковий звіт'!AP368</f>
        <v>1516483.0270066741</v>
      </c>
      <c r="D20" s="9">
        <f>'побудинковий звіт'!AQ368</f>
        <v>1555834.3755018793</v>
      </c>
      <c r="E20" s="9">
        <f t="shared" si="0"/>
        <v>39351.348495205166</v>
      </c>
      <c r="F20" s="269">
        <f t="shared" si="1"/>
        <v>1.0259490860065077</v>
      </c>
      <c r="G20" s="835">
        <f>'побудинковий звіт'!AP371</f>
        <v>321701.89329097286</v>
      </c>
      <c r="H20" s="835">
        <f>'побудинковий звіт'!AQ371</f>
        <v>338421.33532428002</v>
      </c>
      <c r="I20" s="159">
        <f t="shared" si="2"/>
        <v>16719.442033307161</v>
      </c>
      <c r="J20" s="676">
        <f>'побудинковий звіт'!AP372</f>
        <v>735998.43661587243</v>
      </c>
      <c r="K20" s="9">
        <f>'побудинковий звіт'!AQ372</f>
        <v>696025.73140854738</v>
      </c>
      <c r="L20" s="58">
        <f t="shared" si="3"/>
        <v>-39972.705207325052</v>
      </c>
      <c r="M20" s="835">
        <f>'побудинковий звіт'!AP373</f>
        <v>458782.69709982869</v>
      </c>
      <c r="N20" s="9">
        <f>'побудинковий звіт'!AQ373</f>
        <v>521387.30876905093</v>
      </c>
      <c r="O20" s="58">
        <f t="shared" si="4"/>
        <v>62604.611669222242</v>
      </c>
      <c r="Q20" s="5">
        <v>111628</v>
      </c>
      <c r="R20" s="5">
        <v>64874</v>
      </c>
      <c r="S20" s="5">
        <v>111628</v>
      </c>
      <c r="T20" s="5">
        <v>206969</v>
      </c>
      <c r="U20" s="5">
        <v>111628</v>
      </c>
      <c r="V20" s="5">
        <v>206969</v>
      </c>
      <c r="W20" s="5">
        <f t="shared" si="5"/>
        <v>1628111.0270066741</v>
      </c>
      <c r="X20" s="5">
        <f t="shared" si="5"/>
        <v>1762803.3755018793</v>
      </c>
    </row>
    <row r="21" spans="1:24" ht="27.45" customHeight="1" x14ac:dyDescent="0.3">
      <c r="A21" s="267" t="s">
        <v>844</v>
      </c>
      <c r="B21" s="833" t="s">
        <v>10</v>
      </c>
      <c r="C21" s="676">
        <v>0</v>
      </c>
      <c r="D21" s="9">
        <v>0</v>
      </c>
      <c r="E21" s="9">
        <f t="shared" si="0"/>
        <v>0</v>
      </c>
      <c r="F21" s="272"/>
      <c r="G21" s="835">
        <v>0</v>
      </c>
      <c r="H21" s="835">
        <v>0</v>
      </c>
      <c r="I21" s="159">
        <f t="shared" si="2"/>
        <v>0</v>
      </c>
      <c r="J21" s="676">
        <v>0</v>
      </c>
      <c r="K21" s="9">
        <v>0</v>
      </c>
      <c r="L21" s="58">
        <f t="shared" si="3"/>
        <v>0</v>
      </c>
      <c r="M21" s="835">
        <v>0</v>
      </c>
      <c r="N21" s="9">
        <v>0</v>
      </c>
      <c r="O21" s="58">
        <f t="shared" si="4"/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</row>
    <row r="22" spans="1:24" ht="58.95" customHeight="1" x14ac:dyDescent="0.3">
      <c r="A22" s="267" t="s">
        <v>845</v>
      </c>
      <c r="B22" s="833" t="s">
        <v>846</v>
      </c>
      <c r="C22" s="834">
        <f>'побудинковий звіт'!AS368</f>
        <v>15397327.843223775</v>
      </c>
      <c r="D22" s="9">
        <f>'побудинковий звіт'!AT368</f>
        <v>13699562.151851606</v>
      </c>
      <c r="E22" s="9">
        <f t="shared" si="0"/>
        <v>-1697765.6913721692</v>
      </c>
      <c r="F22" s="269">
        <f t="shared" si="1"/>
        <v>0.88973634200304819</v>
      </c>
      <c r="G22" s="835">
        <f>'побудинковий звіт'!AS371</f>
        <v>5445466.7344822288</v>
      </c>
      <c r="H22" s="835">
        <f>'побудинковий звіт'!AT371</f>
        <v>4825702.5296343174</v>
      </c>
      <c r="I22" s="159">
        <f t="shared" si="2"/>
        <v>-619764.20484791137</v>
      </c>
      <c r="J22" s="676">
        <f>'побудинковий звіт'!AS372</f>
        <v>4588010.2695169058</v>
      </c>
      <c r="K22" s="9">
        <f>'побудинковий звіт'!AT372</f>
        <v>2880186.7160814665</v>
      </c>
      <c r="L22" s="58">
        <f t="shared" si="3"/>
        <v>-1707823.5534354392</v>
      </c>
      <c r="M22" s="835">
        <f>'побудинковий звіт'!AS373</f>
        <v>5363850.8392246412</v>
      </c>
      <c r="N22" s="9">
        <f>'побудинковий звіт'!AT373</f>
        <v>5993672.9061358217</v>
      </c>
      <c r="O22" s="58">
        <f t="shared" si="4"/>
        <v>629822.0669111805</v>
      </c>
      <c r="Q22" s="5">
        <f>861088+523</f>
        <v>861611</v>
      </c>
      <c r="R22" s="5">
        <v>750099</v>
      </c>
      <c r="S22" s="5">
        <f>861088+523</f>
        <v>861611</v>
      </c>
      <c r="T22" s="5">
        <v>597460</v>
      </c>
      <c r="U22" s="5">
        <f>861088+523</f>
        <v>861611</v>
      </c>
      <c r="V22" s="5">
        <v>597460</v>
      </c>
      <c r="W22" s="5">
        <f>U22+C22</f>
        <v>16258938.843223775</v>
      </c>
      <c r="X22" s="5">
        <f>V22+D22</f>
        <v>14297022.151851606</v>
      </c>
    </row>
    <row r="23" spans="1:24" ht="23.7" customHeight="1" x14ac:dyDescent="0.3">
      <c r="A23" s="267" t="s">
        <v>847</v>
      </c>
      <c r="B23" s="833" t="s">
        <v>12</v>
      </c>
      <c r="C23" s="834">
        <f>C24+C25+C26+C27+C28+C29+C30</f>
        <v>1919548.1495716616</v>
      </c>
      <c r="D23" s="9">
        <f>D24+D25+D26+D27+D28+D29+D30</f>
        <v>2205569.0553270192</v>
      </c>
      <c r="E23" s="9">
        <f t="shared" si="0"/>
        <v>286020.90575535758</v>
      </c>
      <c r="F23" s="269">
        <f t="shared" si="1"/>
        <v>1.1490042882327187</v>
      </c>
      <c r="G23" s="835">
        <f>G24+G25+G26+G27+G28+G29+G30</f>
        <v>497372.58521468152</v>
      </c>
      <c r="H23" s="835">
        <f>H24+H25+H26+H27+H28+H29+H30</f>
        <v>914764.65167143918</v>
      </c>
      <c r="I23" s="159">
        <f t="shared" si="2"/>
        <v>417392.06645675766</v>
      </c>
      <c r="J23" s="676">
        <f>J24+J25+J26+J27+J28+J29+J30</f>
        <v>777351.51574359194</v>
      </c>
      <c r="K23" s="9">
        <f>K24+K25+K26+K27+K28+K29+K30</f>
        <v>538817.53304785851</v>
      </c>
      <c r="L23" s="58">
        <f t="shared" si="3"/>
        <v>-238533.98269573343</v>
      </c>
      <c r="M23" s="835">
        <f>M24+M25+M26+M27+M28+M29+M30</f>
        <v>644824.04861338821</v>
      </c>
      <c r="N23" s="9">
        <f>N24+N25+N26+N27+N28+N29+N30</f>
        <v>751986.87060772139</v>
      </c>
      <c r="O23" s="58">
        <f t="shared" si="4"/>
        <v>107162.82199433318</v>
      </c>
      <c r="Q23" s="5"/>
      <c r="R23" s="5"/>
      <c r="S23" s="5"/>
      <c r="T23" s="5"/>
      <c r="U23" s="5"/>
      <c r="V23" s="5"/>
      <c r="W23" s="5"/>
      <c r="X23" s="5"/>
    </row>
    <row r="24" spans="1:24" ht="15" customHeight="1" x14ac:dyDescent="0.3">
      <c r="A24" s="270" t="s">
        <v>848</v>
      </c>
      <c r="B24" s="836" t="s">
        <v>23</v>
      </c>
      <c r="C24" s="837">
        <f>'побудинковий звіт'!AV368</f>
        <v>384471.14196236705</v>
      </c>
      <c r="D24" s="5">
        <f>'побудинковий звіт'!AW368</f>
        <v>427894.4034832904</v>
      </c>
      <c r="E24" s="5">
        <f t="shared" si="0"/>
        <v>43423.261520923348</v>
      </c>
      <c r="F24" s="272">
        <f t="shared" si="1"/>
        <v>1.112942837007969</v>
      </c>
      <c r="G24" s="838">
        <f>'побудинковий звіт'!AV371</f>
        <v>84503.9127396986</v>
      </c>
      <c r="H24" s="838">
        <f>'побудинковий звіт'!AW371</f>
        <v>147530.18689961603</v>
      </c>
      <c r="I24" s="37">
        <f t="shared" si="2"/>
        <v>63026.274159917433</v>
      </c>
      <c r="J24" s="675">
        <f>'побудинковий звіт'!AV372</f>
        <v>174242.78669244202</v>
      </c>
      <c r="K24" s="5">
        <f>'побудинковий звіт'!AW372</f>
        <v>126052.34628748207</v>
      </c>
      <c r="L24" s="56">
        <f t="shared" si="3"/>
        <v>-48190.440404959954</v>
      </c>
      <c r="M24" s="838">
        <f>'побудинковий звіт'!AV373</f>
        <v>125724.44253022659</v>
      </c>
      <c r="N24" s="5">
        <f>'побудинковий звіт'!AW373</f>
        <v>154311.87029619238</v>
      </c>
      <c r="O24" s="56">
        <f t="shared" si="4"/>
        <v>28587.427765965796</v>
      </c>
      <c r="Q24" s="5"/>
      <c r="R24" s="5"/>
      <c r="S24" s="5"/>
      <c r="T24" s="5"/>
      <c r="U24" s="5"/>
      <c r="V24" s="5"/>
      <c r="W24" s="5"/>
      <c r="X24" s="5"/>
    </row>
    <row r="25" spans="1:24" ht="15" customHeight="1" x14ac:dyDescent="0.3">
      <c r="A25" s="270" t="s">
        <v>849</v>
      </c>
      <c r="B25" s="836" t="s">
        <v>24</v>
      </c>
      <c r="C25" s="837">
        <f>'побудинковий звіт'!AY368</f>
        <v>557000.7958013704</v>
      </c>
      <c r="D25" s="5">
        <f>'побудинковий звіт'!AZ368</f>
        <v>503525.14504261717</v>
      </c>
      <c r="E25" s="5">
        <f t="shared" si="0"/>
        <v>-53475.65075875324</v>
      </c>
      <c r="F25" s="272">
        <f t="shared" si="1"/>
        <v>0.90399358284252262</v>
      </c>
      <c r="G25" s="838">
        <f>'побудинковий звіт'!AY371</f>
        <v>116589.57975141105</v>
      </c>
      <c r="H25" s="838">
        <f>'побудинковий звіт'!AZ371</f>
        <v>292504.99889256695</v>
      </c>
      <c r="I25" s="37">
        <f t="shared" si="2"/>
        <v>175915.4191411559</v>
      </c>
      <c r="J25" s="675">
        <f>'побудинковий звіт'!AY372</f>
        <v>256485.87319914723</v>
      </c>
      <c r="K25" s="5">
        <f>'побудинковий звіт'!AZ372</f>
        <v>69074.38672684753</v>
      </c>
      <c r="L25" s="56">
        <f t="shared" si="3"/>
        <v>-187411.4864722997</v>
      </c>
      <c r="M25" s="838">
        <f>'побудинковий звіт'!AY373</f>
        <v>183925.34285081233</v>
      </c>
      <c r="N25" s="5">
        <f>'побудинковий звіт'!AZ373</f>
        <v>141945.75942320266</v>
      </c>
      <c r="O25" s="56">
        <f t="shared" si="4"/>
        <v>-41979.583427609672</v>
      </c>
      <c r="Q25" s="5"/>
      <c r="R25" s="5"/>
      <c r="S25" s="5"/>
      <c r="T25" s="5"/>
      <c r="U25" s="5"/>
      <c r="V25" s="5"/>
      <c r="W25" s="5"/>
      <c r="X25" s="5"/>
    </row>
    <row r="26" spans="1:24" ht="15" customHeight="1" x14ac:dyDescent="0.3">
      <c r="A26" s="270" t="s">
        <v>850</v>
      </c>
      <c r="B26" s="836" t="s">
        <v>25</v>
      </c>
      <c r="C26" s="837">
        <f>'побудинковий звіт'!BB368</f>
        <v>485533.06740623887</v>
      </c>
      <c r="D26" s="5">
        <f>'побудинковий звіт'!BC368</f>
        <v>314820.11983599188</v>
      </c>
      <c r="E26" s="5">
        <f t="shared" si="0"/>
        <v>-170712.94757024699</v>
      </c>
      <c r="F26" s="272">
        <f t="shared" si="1"/>
        <v>0.64840098639993593</v>
      </c>
      <c r="G26" s="838">
        <f>'побудинковий звіт'!BB371</f>
        <v>105135.64756409357</v>
      </c>
      <c r="H26" s="838">
        <f>'побудинковий звіт'!BC371</f>
        <v>34794.295926193976</v>
      </c>
      <c r="I26" s="37">
        <f t="shared" si="2"/>
        <v>-70341.351637899585</v>
      </c>
      <c r="J26" s="675">
        <f>'побудинковий звіт'!BB372</f>
        <v>213602.09308418276</v>
      </c>
      <c r="K26" s="5">
        <f>'побудинковий звіт'!BC372</f>
        <v>101297.53251307728</v>
      </c>
      <c r="L26" s="56">
        <f t="shared" si="3"/>
        <v>-112304.56057110548</v>
      </c>
      <c r="M26" s="838">
        <f>'побудинковий звіт'!BB373</f>
        <v>166795.32675796264</v>
      </c>
      <c r="N26" s="5">
        <f>'побудинковий звіт'!BC373</f>
        <v>178728.2913967206</v>
      </c>
      <c r="O26" s="56">
        <f t="shared" si="4"/>
        <v>11932.964638757956</v>
      </c>
      <c r="Q26" s="5"/>
      <c r="R26" s="5"/>
      <c r="S26" s="5"/>
      <c r="T26" s="5"/>
      <c r="U26" s="5"/>
      <c r="V26" s="5"/>
      <c r="W26" s="5"/>
      <c r="X26" s="5"/>
    </row>
    <row r="27" spans="1:24" ht="15" customHeight="1" x14ac:dyDescent="0.3">
      <c r="A27" s="270" t="s">
        <v>851</v>
      </c>
      <c r="B27" s="836" t="s">
        <v>26</v>
      </c>
      <c r="C27" s="837">
        <f>'побудинковий звіт'!BE368</f>
        <v>100804.79574391781</v>
      </c>
      <c r="D27" s="5">
        <f>'побудинковий звіт'!BF368</f>
        <v>28104</v>
      </c>
      <c r="E27" s="5">
        <f t="shared" si="0"/>
        <v>-72700.795743917814</v>
      </c>
      <c r="F27" s="272">
        <f t="shared" si="1"/>
        <v>0.27879625956878834</v>
      </c>
      <c r="G27" s="838">
        <f>'побудинковий звіт'!BE371</f>
        <v>43970.599395545098</v>
      </c>
      <c r="H27" s="838">
        <f>'побудинковий звіт'!BF371</f>
        <v>13995</v>
      </c>
      <c r="I27" s="37">
        <f t="shared" si="2"/>
        <v>-29975.599395545098</v>
      </c>
      <c r="J27" s="675">
        <f>'побудинковий звіт'!BE372</f>
        <v>21966.872566776481</v>
      </c>
      <c r="K27" s="5">
        <f>'побудинковий звіт'!BF372</f>
        <v>888</v>
      </c>
      <c r="L27" s="56">
        <f t="shared" si="3"/>
        <v>-21078.872566776481</v>
      </c>
      <c r="M27" s="838">
        <f>'побудинковий звіт'!BE373</f>
        <v>34867.323781596191</v>
      </c>
      <c r="N27" s="5">
        <f>'побудинковий звіт'!BF373</f>
        <v>13221</v>
      </c>
      <c r="O27" s="56">
        <f t="shared" si="4"/>
        <v>-21646.323781596191</v>
      </c>
      <c r="Q27" s="5"/>
      <c r="R27" s="5"/>
      <c r="S27" s="5"/>
      <c r="T27" s="5"/>
      <c r="U27" s="5"/>
      <c r="V27" s="5"/>
      <c r="W27" s="5"/>
      <c r="X27" s="5"/>
    </row>
    <row r="28" spans="1:24" ht="15" customHeight="1" x14ac:dyDescent="0.3">
      <c r="A28" s="270" t="s">
        <v>852</v>
      </c>
      <c r="B28" s="836" t="s">
        <v>27</v>
      </c>
      <c r="C28" s="837">
        <f>'побудинковий звіт'!BH368</f>
        <v>87637.225335818235</v>
      </c>
      <c r="D28" s="5">
        <f>'побудинковий звіт'!BI368</f>
        <v>89151.662528232002</v>
      </c>
      <c r="E28" s="5">
        <f t="shared" si="0"/>
        <v>1514.4371924137668</v>
      </c>
      <c r="F28" s="272">
        <f t="shared" si="1"/>
        <v>1.0172807524041363</v>
      </c>
      <c r="G28" s="838">
        <f>'побудинковий звіт'!BH371</f>
        <v>36814.277860689435</v>
      </c>
      <c r="H28" s="838">
        <f>'побудинковий звіт'!BI371</f>
        <v>24121.868707680285</v>
      </c>
      <c r="I28" s="37">
        <f t="shared" si="2"/>
        <v>-12692.40915300915</v>
      </c>
      <c r="J28" s="675">
        <f>'побудинковий звіт'!BH372</f>
        <v>9429.9238399939768</v>
      </c>
      <c r="K28" s="5">
        <f>'побудинковий звіт'!BI372</f>
        <v>24003.967835938685</v>
      </c>
      <c r="L28" s="56">
        <f t="shared" si="3"/>
        <v>14574.043995944709</v>
      </c>
      <c r="M28" s="838">
        <f>'побудинковий звіт'!BH373</f>
        <v>41393.023635134843</v>
      </c>
      <c r="N28" s="5">
        <f>'побудинковий звіт'!BI373</f>
        <v>41025.825984613046</v>
      </c>
      <c r="O28" s="56">
        <f t="shared" si="4"/>
        <v>-367.19765052179719</v>
      </c>
      <c r="Q28" s="5"/>
      <c r="R28" s="5"/>
      <c r="S28" s="5"/>
      <c r="T28" s="5"/>
      <c r="U28" s="5"/>
      <c r="V28" s="5"/>
      <c r="W28" s="5"/>
      <c r="X28" s="5"/>
    </row>
    <row r="29" spans="1:24" ht="15" customHeight="1" x14ac:dyDescent="0.3">
      <c r="A29" s="270" t="s">
        <v>853</v>
      </c>
      <c r="B29" s="836" t="s">
        <v>28</v>
      </c>
      <c r="C29" s="837">
        <f>'побудинковий звіт'!BK368</f>
        <v>257688.07043680636</v>
      </c>
      <c r="D29" s="5">
        <f>'побудинковий звіт'!BL368</f>
        <v>739270.72443688789</v>
      </c>
      <c r="E29" s="5">
        <f t="shared" si="0"/>
        <v>481582.65400008153</v>
      </c>
      <c r="F29" s="272">
        <f t="shared" si="1"/>
        <v>2.8688589393515658</v>
      </c>
      <c r="G29" s="838">
        <f>'побудинковий звіт'!BK371</f>
        <v>66016.989300103771</v>
      </c>
      <c r="H29" s="838">
        <f>'побудинковий звіт'!BL371</f>
        <v>319119.301245382</v>
      </c>
      <c r="I29" s="37">
        <f t="shared" si="2"/>
        <v>253102.31194527823</v>
      </c>
      <c r="J29" s="675">
        <f>'побудинковий звіт'!BK372</f>
        <v>99661.210958333497</v>
      </c>
      <c r="K29" s="5">
        <f>'побудинковий звіт'!BL372</f>
        <v>213159.29968451295</v>
      </c>
      <c r="L29" s="56">
        <f t="shared" si="3"/>
        <v>113498.08872617946</v>
      </c>
      <c r="M29" s="838">
        <f>'побудинковий звіт'!BK373</f>
        <v>92009.870178369121</v>
      </c>
      <c r="N29" s="5">
        <f>'побудинковий звіт'!BL373</f>
        <v>206992.12350699274</v>
      </c>
      <c r="O29" s="56">
        <f t="shared" si="4"/>
        <v>114982.25332862361</v>
      </c>
      <c r="Q29" s="5"/>
      <c r="R29" s="5"/>
      <c r="S29" s="5"/>
      <c r="T29" s="5"/>
      <c r="U29" s="5"/>
      <c r="V29" s="5"/>
      <c r="W29" s="5"/>
      <c r="X29" s="5"/>
    </row>
    <row r="30" spans="1:24" ht="15" customHeight="1" x14ac:dyDescent="0.3">
      <c r="A30" s="270" t="s">
        <v>854</v>
      </c>
      <c r="B30" s="836" t="s">
        <v>29</v>
      </c>
      <c r="C30" s="837">
        <f>'побудинковий звіт'!BN368</f>
        <v>46413.052885142621</v>
      </c>
      <c r="D30" s="5">
        <f>'побудинковий звіт'!BO368</f>
        <v>102803</v>
      </c>
      <c r="E30" s="5">
        <f t="shared" si="0"/>
        <v>56389.947114857379</v>
      </c>
      <c r="F30" s="272">
        <f t="shared" si="1"/>
        <v>2.2149588016630659</v>
      </c>
      <c r="G30" s="838">
        <f>'побудинковий звіт'!BN371</f>
        <v>44341.57860314002</v>
      </c>
      <c r="H30" s="838">
        <f>'побудинковий звіт'!BO371</f>
        <v>82699</v>
      </c>
      <c r="I30" s="37">
        <f t="shared" si="2"/>
        <v>38357.42139685998</v>
      </c>
      <c r="J30" s="675">
        <f>'побудинковий звіт'!BN372</f>
        <v>1962.7554027160106</v>
      </c>
      <c r="K30" s="5">
        <f>'побудинковий звіт'!BO372</f>
        <v>4342</v>
      </c>
      <c r="L30" s="56">
        <f t="shared" si="3"/>
        <v>2379.2445972839896</v>
      </c>
      <c r="M30" s="838">
        <f>'побудинковий звіт'!BN373</f>
        <v>108.71887928658182</v>
      </c>
      <c r="N30" s="5">
        <f>'побудинковий звіт'!BO373</f>
        <v>15762</v>
      </c>
      <c r="O30" s="56">
        <f t="shared" si="4"/>
        <v>15653.281120713418</v>
      </c>
      <c r="Q30" s="5"/>
      <c r="R30" s="5"/>
      <c r="S30" s="5"/>
      <c r="T30" s="5"/>
      <c r="U30" s="5"/>
      <c r="V30" s="5"/>
      <c r="W30" s="5"/>
      <c r="X30" s="5"/>
    </row>
    <row r="31" spans="1:24" ht="22.8" x14ac:dyDescent="0.3">
      <c r="A31" s="267" t="s">
        <v>855</v>
      </c>
      <c r="B31" s="833" t="s">
        <v>13</v>
      </c>
      <c r="C31" s="834">
        <v>0</v>
      </c>
      <c r="D31" s="9">
        <v>0</v>
      </c>
      <c r="E31" s="5">
        <f t="shared" si="0"/>
        <v>0</v>
      </c>
      <c r="F31" s="272"/>
      <c r="G31" s="835">
        <v>0</v>
      </c>
      <c r="H31" s="835">
        <v>0</v>
      </c>
      <c r="I31" s="37">
        <f t="shared" si="2"/>
        <v>0</v>
      </c>
      <c r="J31" s="676">
        <v>0</v>
      </c>
      <c r="K31" s="9">
        <v>0</v>
      </c>
      <c r="L31" s="56">
        <f t="shared" si="3"/>
        <v>0</v>
      </c>
      <c r="M31" s="835">
        <v>0</v>
      </c>
      <c r="N31" s="9">
        <v>0</v>
      </c>
      <c r="O31" s="56">
        <f t="shared" si="4"/>
        <v>0</v>
      </c>
      <c r="Q31" s="5"/>
      <c r="R31" s="5"/>
      <c r="S31" s="5"/>
      <c r="T31" s="5"/>
      <c r="U31" s="5"/>
      <c r="V31" s="5"/>
      <c r="W31" s="5"/>
      <c r="X31" s="5"/>
    </row>
    <row r="32" spans="1:24" ht="21" customHeight="1" x14ac:dyDescent="0.3">
      <c r="A32" s="267" t="s">
        <v>856</v>
      </c>
      <c r="B32" s="833" t="s">
        <v>14</v>
      </c>
      <c r="C32" s="834">
        <f>'побудинковий звіт'!BT368</f>
        <v>11133085.041899102</v>
      </c>
      <c r="D32" s="9">
        <f>'побудинковий звіт'!BU368</f>
        <v>13180518.24558687</v>
      </c>
      <c r="E32" s="9">
        <f t="shared" si="0"/>
        <v>2047433.2036877684</v>
      </c>
      <c r="F32" s="269">
        <f t="shared" si="1"/>
        <v>1.1839052873468856</v>
      </c>
      <c r="G32" s="835">
        <f>'побудинковий звіт'!BT371</f>
        <v>4428185.8179364083</v>
      </c>
      <c r="H32" s="835">
        <f>'побудинковий звіт'!BU371</f>
        <v>4939345.5799498167</v>
      </c>
      <c r="I32" s="159">
        <f t="shared" si="2"/>
        <v>511159.76201340836</v>
      </c>
      <c r="J32" s="676">
        <f>'побудинковий звіт'!BT372</f>
        <v>3767705.6067782459</v>
      </c>
      <c r="K32" s="9">
        <f>'побудинковий звіт'!BU372</f>
        <v>4949175.7437922908</v>
      </c>
      <c r="L32" s="58">
        <f t="shared" si="3"/>
        <v>1181470.1370140449</v>
      </c>
      <c r="M32" s="835">
        <f>'побудинковий звіт'!BT373</f>
        <v>2937193.6171844481</v>
      </c>
      <c r="N32" s="9">
        <f>'побудинковий звіт'!BU373</f>
        <v>3291996.9218447506</v>
      </c>
      <c r="O32" s="58">
        <f t="shared" si="4"/>
        <v>354803.30466030259</v>
      </c>
      <c r="Q32" s="5">
        <v>581143</v>
      </c>
      <c r="R32" s="5">
        <v>540163</v>
      </c>
      <c r="S32" s="5">
        <v>581143</v>
      </c>
      <c r="T32" s="5">
        <v>665975</v>
      </c>
      <c r="U32" s="5">
        <v>581143</v>
      </c>
      <c r="V32" s="5">
        <v>665975</v>
      </c>
      <c r="W32" s="5">
        <v>581143</v>
      </c>
      <c r="X32" s="5">
        <v>665975</v>
      </c>
    </row>
    <row r="33" spans="1:24" ht="29.25" customHeight="1" x14ac:dyDescent="0.3">
      <c r="A33" s="267" t="s">
        <v>857</v>
      </c>
      <c r="B33" s="833" t="s">
        <v>15</v>
      </c>
      <c r="C33" s="834">
        <f>'побудинковий звіт'!BW368</f>
        <v>7414724.343192732</v>
      </c>
      <c r="D33" s="9">
        <f>'побудинковий звіт'!BX368</f>
        <v>7755828.3194839135</v>
      </c>
      <c r="E33" s="9">
        <f t="shared" si="0"/>
        <v>341103.97629118152</v>
      </c>
      <c r="F33" s="269">
        <f t="shared" si="1"/>
        <v>1.0460035950769149</v>
      </c>
      <c r="G33" s="835">
        <f>'побудинковий звіт'!BW371</f>
        <v>2838588.7328811875</v>
      </c>
      <c r="H33" s="835">
        <f>'побудинковий звіт'!BX371</f>
        <v>2951228.9776002709</v>
      </c>
      <c r="I33" s="159">
        <f t="shared" si="2"/>
        <v>112640.24471908342</v>
      </c>
      <c r="J33" s="676">
        <f>'побудинковий звіт'!BW372</f>
        <v>2367269.1258889479</v>
      </c>
      <c r="K33" s="9">
        <f>'побудинковий звіт'!BX372</f>
        <v>2584940.9758916865</v>
      </c>
      <c r="L33" s="58">
        <f t="shared" si="3"/>
        <v>217671.85000273865</v>
      </c>
      <c r="M33" s="835">
        <f>'побудинковий звіт'!BW373</f>
        <v>2208866.4844225943</v>
      </c>
      <c r="N33" s="9">
        <f>'побудинковий звіт'!BX373</f>
        <v>2219658.3659919547</v>
      </c>
      <c r="O33" s="58">
        <f t="shared" si="4"/>
        <v>10791.881569360383</v>
      </c>
      <c r="Q33" s="5">
        <v>344348</v>
      </c>
      <c r="R33" s="5">
        <v>415901</v>
      </c>
      <c r="S33" s="5">
        <v>344348</v>
      </c>
      <c r="T33" s="5">
        <v>418373</v>
      </c>
      <c r="U33" s="5">
        <v>344348</v>
      </c>
      <c r="V33" s="5">
        <v>418373</v>
      </c>
      <c r="W33" s="5">
        <v>344348</v>
      </c>
      <c r="X33" s="5">
        <v>418373</v>
      </c>
    </row>
    <row r="34" spans="1:24" ht="37.35" customHeight="1" x14ac:dyDescent="0.3">
      <c r="A34" s="267" t="s">
        <v>858</v>
      </c>
      <c r="B34" s="833" t="s">
        <v>16</v>
      </c>
      <c r="C34" s="834">
        <f>'побудинковий звіт'!BZ368</f>
        <v>2510795.4180708174</v>
      </c>
      <c r="D34" s="9">
        <f>'побудинковий звіт'!CA368</f>
        <v>3126812.4134931099</v>
      </c>
      <c r="E34" s="9">
        <f t="shared" si="0"/>
        <v>616016.9954222925</v>
      </c>
      <c r="F34" s="269">
        <f t="shared" si="1"/>
        <v>1.245347347294274</v>
      </c>
      <c r="G34" s="835">
        <f>'побудинковий звіт'!BZ371</f>
        <v>858802.73006128345</v>
      </c>
      <c r="H34" s="835">
        <f>'побудинковий звіт'!CA371</f>
        <v>1185768.7648620922</v>
      </c>
      <c r="I34" s="159">
        <f t="shared" si="2"/>
        <v>326966.03480080876</v>
      </c>
      <c r="J34" s="676">
        <f>'побудинковий звіт'!BZ372</f>
        <v>1210842.1944594439</v>
      </c>
      <c r="K34" s="9">
        <f>'побудинковий звіт'!CA372</f>
        <v>1195707.4060955369</v>
      </c>
      <c r="L34" s="58">
        <f t="shared" si="3"/>
        <v>-15134.788363907021</v>
      </c>
      <c r="M34" s="835">
        <f>'побудинковий звіт'!BZ373</f>
        <v>441150.49355009006</v>
      </c>
      <c r="N34" s="9">
        <f>'побудинковий звіт'!CA373</f>
        <v>745336.242535481</v>
      </c>
      <c r="O34" s="58">
        <f t="shared" si="4"/>
        <v>304185.74898539094</v>
      </c>
      <c r="Q34" s="5">
        <v>145286</v>
      </c>
      <c r="R34" s="5">
        <v>231498</v>
      </c>
      <c r="S34" s="5">
        <v>145286</v>
      </c>
      <c r="T34" s="5">
        <v>117525</v>
      </c>
      <c r="U34" s="5">
        <v>145286</v>
      </c>
      <c r="V34" s="5">
        <v>117525</v>
      </c>
      <c r="W34" s="5">
        <v>145286</v>
      </c>
      <c r="X34" s="5">
        <v>117525</v>
      </c>
    </row>
    <row r="35" spans="1:24" ht="15" customHeight="1" x14ac:dyDescent="0.3">
      <c r="A35" s="267" t="s">
        <v>859</v>
      </c>
      <c r="B35" s="833" t="s">
        <v>17</v>
      </c>
      <c r="C35" s="834">
        <f>'побудинковий звіт'!CC368</f>
        <v>330161.42140452046</v>
      </c>
      <c r="D35" s="9">
        <f>'побудинковий звіт'!CD368</f>
        <v>327257.55835987022</v>
      </c>
      <c r="E35" s="9">
        <f t="shared" si="0"/>
        <v>-2903.8630446502357</v>
      </c>
      <c r="F35" s="269">
        <f t="shared" si="1"/>
        <v>0.99120471727951409</v>
      </c>
      <c r="G35" s="835">
        <f>'побудинковий звіт'!CC371</f>
        <v>97107.85758535692</v>
      </c>
      <c r="H35" s="835">
        <f>'побудинковий звіт'!CD371</f>
        <v>96253.766523512953</v>
      </c>
      <c r="I35" s="159">
        <f t="shared" si="2"/>
        <v>-854.0910618439666</v>
      </c>
      <c r="J35" s="676">
        <f>'побудинковий звіт'!CC372</f>
        <v>115914.30972466586</v>
      </c>
      <c r="K35" s="9">
        <f>'побудинковий звіт'!CD372</f>
        <v>114894.81059928743</v>
      </c>
      <c r="L35" s="58">
        <f t="shared" si="3"/>
        <v>-1019.4991253784247</v>
      </c>
      <c r="M35" s="835">
        <f>'побудинковий звіт'!CC373</f>
        <v>117139.25409449769</v>
      </c>
      <c r="N35" s="9">
        <f>'побудинковий звіт'!CD373</f>
        <v>116108.98123706969</v>
      </c>
      <c r="O35" s="58">
        <f t="shared" si="4"/>
        <v>-1030.2728574280045</v>
      </c>
      <c r="Q35" s="5">
        <v>23023</v>
      </c>
      <c r="R35" s="5">
        <v>21805</v>
      </c>
      <c r="S35" s="5">
        <v>23023</v>
      </c>
      <c r="T35" s="5">
        <v>22367</v>
      </c>
      <c r="U35" s="5">
        <v>23023</v>
      </c>
      <c r="V35" s="5">
        <v>22367</v>
      </c>
      <c r="W35" s="5">
        <v>23023</v>
      </c>
      <c r="X35" s="5">
        <v>22367</v>
      </c>
    </row>
    <row r="36" spans="1:24" ht="15" customHeight="1" x14ac:dyDescent="0.3">
      <c r="A36" s="267" t="s">
        <v>860</v>
      </c>
      <c r="B36" s="833" t="s">
        <v>18</v>
      </c>
      <c r="C36" s="834">
        <f>'побудинковий звіт'!CF368</f>
        <v>40644.871953208021</v>
      </c>
      <c r="D36" s="9">
        <f>'побудинковий звіт'!CG368</f>
        <v>30764.751282670091</v>
      </c>
      <c r="E36" s="9">
        <f t="shared" si="0"/>
        <v>-9880.12067053793</v>
      </c>
      <c r="F36" s="269">
        <f t="shared" si="1"/>
        <v>0.75691593562129278</v>
      </c>
      <c r="G36" s="835">
        <f>'побудинковий звіт'!CF371</f>
        <v>11954.565801227645</v>
      </c>
      <c r="H36" s="835">
        <f>'побудинковий звіт'!CG371</f>
        <v>6191.3861888859792</v>
      </c>
      <c r="I36" s="159">
        <f t="shared" si="2"/>
        <v>-5763.1796123416661</v>
      </c>
      <c r="J36" s="676">
        <f>'побудинковий звіт'!CF372</f>
        <v>14269.75403807439</v>
      </c>
      <c r="K36" s="9">
        <f>'побудинковий звіт'!CG372</f>
        <v>13589.704063023466</v>
      </c>
      <c r="L36" s="58">
        <f t="shared" si="3"/>
        <v>-680.04997505092433</v>
      </c>
      <c r="M36" s="835">
        <f>'побудинковий звіт'!CF373</f>
        <v>14420.552113905967</v>
      </c>
      <c r="N36" s="9">
        <f>'побудинковий звіт'!CG373</f>
        <v>10983.661030760648</v>
      </c>
      <c r="O36" s="58">
        <f t="shared" si="4"/>
        <v>-3436.8910831453195</v>
      </c>
      <c r="Q36" s="5">
        <v>853</v>
      </c>
      <c r="R36" s="5">
        <v>0</v>
      </c>
      <c r="S36" s="5">
        <v>853</v>
      </c>
      <c r="T36" s="5">
        <v>0</v>
      </c>
      <c r="U36" s="5">
        <v>853</v>
      </c>
      <c r="V36" s="5">
        <v>0</v>
      </c>
      <c r="W36" s="5">
        <v>853</v>
      </c>
      <c r="X36" s="5">
        <v>0</v>
      </c>
    </row>
    <row r="37" spans="1:24" ht="42" customHeight="1" x14ac:dyDescent="0.3">
      <c r="A37" s="267" t="s">
        <v>861</v>
      </c>
      <c r="B37" s="833" t="s">
        <v>862</v>
      </c>
      <c r="C37" s="834">
        <f>C38+C39</f>
        <v>3309338.9385575838</v>
      </c>
      <c r="D37" s="9">
        <f>D38+D39</f>
        <v>2857344.3267115545</v>
      </c>
      <c r="E37" s="9">
        <f t="shared" si="0"/>
        <v>-451994.61184602929</v>
      </c>
      <c r="F37" s="269">
        <f t="shared" si="1"/>
        <v>0.86341845902220071</v>
      </c>
      <c r="G37" s="835">
        <f>G38+G39</f>
        <v>1426129.4236774112</v>
      </c>
      <c r="H37" s="835">
        <f>H38+H39</f>
        <v>1284902.2767751697</v>
      </c>
      <c r="I37" s="159">
        <f t="shared" si="2"/>
        <v>-141227.14690224151</v>
      </c>
      <c r="J37" s="676">
        <f>J38+J39</f>
        <v>766029.69189672987</v>
      </c>
      <c r="K37" s="9">
        <f>K38+K39</f>
        <v>657499.52923458838</v>
      </c>
      <c r="L37" s="58">
        <f t="shared" si="3"/>
        <v>-108530.16266214149</v>
      </c>
      <c r="M37" s="835">
        <f>M38+M39</f>
        <v>1117179.822983443</v>
      </c>
      <c r="N37" s="9">
        <f>N38+N39</f>
        <v>914942.52070179745</v>
      </c>
      <c r="O37" s="58">
        <f t="shared" si="4"/>
        <v>-202237.30228164559</v>
      </c>
      <c r="Q37" s="5"/>
      <c r="R37" s="5"/>
      <c r="S37" s="5"/>
      <c r="T37" s="5"/>
      <c r="U37" s="5"/>
      <c r="V37" s="5"/>
      <c r="W37" s="5"/>
      <c r="X37" s="5"/>
    </row>
    <row r="38" spans="1:24" ht="15" customHeight="1" x14ac:dyDescent="0.3">
      <c r="A38" s="273" t="s">
        <v>863</v>
      </c>
      <c r="B38" s="842" t="s">
        <v>31</v>
      </c>
      <c r="C38" s="837">
        <f>'побудинковий звіт'!CI368</f>
        <v>2140888.0706087765</v>
      </c>
      <c r="D38" s="5">
        <f>'побудинковий звіт'!CJ368</f>
        <v>1596598.0424807505</v>
      </c>
      <c r="E38" s="5">
        <f t="shared" si="0"/>
        <v>-544290.02812802605</v>
      </c>
      <c r="F38" s="272">
        <f t="shared" si="1"/>
        <v>0.74576436965560122</v>
      </c>
      <c r="G38" s="838">
        <f>'побудинковий звіт'!CI371</f>
        <v>807167.07060291537</v>
      </c>
      <c r="H38" s="838">
        <f>'побудинковий звіт'!CJ371</f>
        <v>645830.43835030252</v>
      </c>
      <c r="I38" s="37">
        <f t="shared" si="2"/>
        <v>-161336.63225261285</v>
      </c>
      <c r="J38" s="675">
        <f>'побудинковий звіт'!CI372</f>
        <v>583309.2111169803</v>
      </c>
      <c r="K38" s="5">
        <f>'побудинковий звіт'!CJ372</f>
        <v>432790.87593740236</v>
      </c>
      <c r="L38" s="56">
        <f t="shared" si="3"/>
        <v>-150518.33517957793</v>
      </c>
      <c r="M38" s="838">
        <f>'побудинковий звіт'!CI373</f>
        <v>750411.78888888087</v>
      </c>
      <c r="N38" s="5">
        <f>'побудинковий звіт'!CJ373</f>
        <v>517976.72819304635</v>
      </c>
      <c r="O38" s="56">
        <f t="shared" si="4"/>
        <v>-232435.06069583452</v>
      </c>
      <c r="Q38" s="5">
        <v>235151</v>
      </c>
      <c r="R38" s="5">
        <v>247971</v>
      </c>
      <c r="S38" s="5">
        <v>235151</v>
      </c>
      <c r="T38" s="5">
        <v>231680</v>
      </c>
      <c r="U38" s="5">
        <v>235151</v>
      </c>
      <c r="V38" s="5">
        <v>231680</v>
      </c>
      <c r="W38" s="5">
        <v>235151</v>
      </c>
      <c r="X38" s="5">
        <v>231680</v>
      </c>
    </row>
    <row r="39" spans="1:24" ht="15" customHeight="1" x14ac:dyDescent="0.3">
      <c r="A39" s="273" t="s">
        <v>864</v>
      </c>
      <c r="B39" s="842" t="s">
        <v>32</v>
      </c>
      <c r="C39" s="837">
        <f>'побудинковий звіт'!CL368</f>
        <v>1168450.8679488075</v>
      </c>
      <c r="D39" s="5">
        <f>'побудинковий звіт'!CM368</f>
        <v>1260746.2842308041</v>
      </c>
      <c r="E39" s="5">
        <f t="shared" si="0"/>
        <v>92295.416281996528</v>
      </c>
      <c r="F39" s="272">
        <f t="shared" si="1"/>
        <v>1.0789895568685908</v>
      </c>
      <c r="G39" s="838">
        <f>'побудинковий звіт'!CL371</f>
        <v>618962.3530744958</v>
      </c>
      <c r="H39" s="838">
        <f>'побудинковий звіт'!CM371</f>
        <v>639071.83842486702</v>
      </c>
      <c r="I39" s="37">
        <f t="shared" si="2"/>
        <v>20109.485350371222</v>
      </c>
      <c r="J39" s="675">
        <f>'побудинковий звіт'!CL372</f>
        <v>182720.48077974963</v>
      </c>
      <c r="K39" s="5">
        <f>'побудинковий звіт'!CM372</f>
        <v>224708.65329718599</v>
      </c>
      <c r="L39" s="56">
        <f t="shared" si="3"/>
        <v>41988.172517436353</v>
      </c>
      <c r="M39" s="838">
        <f>'побудинковий звіт'!CL373</f>
        <v>366768.03409456217</v>
      </c>
      <c r="N39" s="5">
        <f>'побудинковий звіт'!CM373</f>
        <v>396965.79250875104</v>
      </c>
      <c r="O39" s="56">
        <f t="shared" si="4"/>
        <v>30197.758414188866</v>
      </c>
      <c r="Q39" s="5">
        <v>128687</v>
      </c>
      <c r="R39" s="5">
        <v>112627</v>
      </c>
      <c r="S39" s="5">
        <v>128687</v>
      </c>
      <c r="T39" s="5">
        <v>111144</v>
      </c>
      <c r="U39" s="5">
        <v>128687</v>
      </c>
      <c r="V39" s="5">
        <v>111144</v>
      </c>
      <c r="W39" s="5">
        <v>128687</v>
      </c>
      <c r="X39" s="5">
        <v>111144</v>
      </c>
    </row>
    <row r="40" spans="1:24" ht="15" customHeight="1" x14ac:dyDescent="0.3">
      <c r="A40" s="267" t="s">
        <v>865</v>
      </c>
      <c r="B40" s="843" t="s">
        <v>20</v>
      </c>
      <c r="C40" s="1001">
        <f>'побудинковий звіт'!DX368</f>
        <v>0</v>
      </c>
      <c r="D40" s="5">
        <v>0</v>
      </c>
      <c r="E40" s="5">
        <f t="shared" si="0"/>
        <v>0</v>
      </c>
      <c r="F40" s="272"/>
      <c r="G40" s="838">
        <v>0</v>
      </c>
      <c r="H40" s="838">
        <v>0</v>
      </c>
      <c r="I40" s="37">
        <f t="shared" si="2"/>
        <v>0</v>
      </c>
      <c r="J40" s="675">
        <v>0</v>
      </c>
      <c r="K40" s="5">
        <v>0</v>
      </c>
      <c r="L40" s="56">
        <f t="shared" si="3"/>
        <v>0</v>
      </c>
      <c r="M40" s="838">
        <v>0</v>
      </c>
      <c r="N40" s="5">
        <v>0</v>
      </c>
      <c r="O40" s="56">
        <f t="shared" si="4"/>
        <v>0</v>
      </c>
      <c r="Q40" s="5"/>
      <c r="R40" s="5"/>
      <c r="S40" s="5"/>
      <c r="T40" s="5"/>
      <c r="U40" s="5"/>
      <c r="V40" s="5"/>
      <c r="W40" s="5"/>
      <c r="X40" s="5"/>
    </row>
    <row r="41" spans="1:24" ht="17.399999999999999" customHeight="1" x14ac:dyDescent="0.3">
      <c r="A41" s="270" t="s">
        <v>866</v>
      </c>
      <c r="B41" s="844" t="s">
        <v>21</v>
      </c>
      <c r="C41" s="676">
        <f>C9+C18+C19+C20+C21+C22+C23+C31+C32+C33+C34+C35+C36+C37+C40</f>
        <v>60724920.137487605</v>
      </c>
      <c r="D41" s="9">
        <f>D9+D18+D19+D20+D21+D22+D23+D31+D32+D33+D34+D35+D36+D37</f>
        <v>60775374.616602354</v>
      </c>
      <c r="E41" s="9">
        <f t="shared" si="0"/>
        <v>50454.479114748538</v>
      </c>
      <c r="F41" s="269">
        <f t="shared" si="1"/>
        <v>1.0008308694190213</v>
      </c>
      <c r="G41" s="835">
        <f>G9+G18+G19+G20+G21+G22+G23+G31+G32+G33+G34+G35+G36+G37</f>
        <v>22698495.071228087</v>
      </c>
      <c r="H41" s="835">
        <f>H9+H18+H19+H20+H21+H22+H23+H31+H32+H33+H34+H35+H36+H37</f>
        <v>22678272.647058666</v>
      </c>
      <c r="I41" s="159">
        <f t="shared" si="2"/>
        <v>-20222.424169421196</v>
      </c>
      <c r="J41" s="676">
        <f>J9+J18+J19+J20+J21+J22+J23+J31+J32+J33+J34+J35+J36+J37</f>
        <v>19334164.35862615</v>
      </c>
      <c r="K41" s="9">
        <f>K9+K18+K19+K20+K21+K22+K23+K31+K32+K33+K34+K35+K36+K37</f>
        <v>18365594.715824343</v>
      </c>
      <c r="L41" s="58">
        <f t="shared" si="3"/>
        <v>-968569.64280180633</v>
      </c>
      <c r="M41" s="835">
        <f>M9+M18+M19+M20+M21+M22+M23+M31+M32+M33+M34+M35+M36+M37</f>
        <v>18692260.707633365</v>
      </c>
      <c r="N41" s="9">
        <f>N9+N18+N19+N20+N21+N22+N23+N31+N32+N33+N34+N35+N36+N37</f>
        <v>19731507.253719326</v>
      </c>
      <c r="O41" s="58">
        <f t="shared" si="4"/>
        <v>1039246.5460859612</v>
      </c>
      <c r="Q41" s="9">
        <f t="shared" ref="Q41:V41" si="6">SUM(Q9:Q40)</f>
        <v>3518097</v>
      </c>
      <c r="R41" s="9">
        <f t="shared" si="6"/>
        <v>3505059</v>
      </c>
      <c r="S41" s="9">
        <f t="shared" si="6"/>
        <v>3518097</v>
      </c>
      <c r="T41" s="9">
        <f t="shared" si="6"/>
        <v>3439572</v>
      </c>
      <c r="U41" s="9">
        <f t="shared" si="6"/>
        <v>3518097</v>
      </c>
      <c r="V41" s="9">
        <f t="shared" si="6"/>
        <v>3439572</v>
      </c>
      <c r="W41" s="9">
        <f>SUM(W9:W40)</f>
        <v>37584718.952837981</v>
      </c>
      <c r="X41" s="9">
        <f>SUM(X9:X40)</f>
        <v>34730851.94635734</v>
      </c>
    </row>
    <row r="42" spans="1:24" ht="15" customHeight="1" thickBot="1" x14ac:dyDescent="0.35">
      <c r="A42" s="267" t="s">
        <v>867</v>
      </c>
      <c r="B42" s="845" t="s">
        <v>22</v>
      </c>
      <c r="C42" s="676">
        <f>C41*1.2</f>
        <v>72869904.16498512</v>
      </c>
      <c r="D42" s="9">
        <f>D41*1.2</f>
        <v>72930449.539922819</v>
      </c>
      <c r="E42" s="9">
        <f t="shared" si="0"/>
        <v>60545.374937698245</v>
      </c>
      <c r="F42" s="269">
        <f t="shared" si="1"/>
        <v>1.0008308694190213</v>
      </c>
      <c r="G42" s="835">
        <f>G41*1.2</f>
        <v>27238194.085473705</v>
      </c>
      <c r="H42" s="835">
        <f>H41*1.2</f>
        <v>27213927.176470399</v>
      </c>
      <c r="I42" s="159">
        <f t="shared" si="2"/>
        <v>-24266.90900330618</v>
      </c>
      <c r="J42" s="676">
        <f>J41*1.2</f>
        <v>23200997.230351377</v>
      </c>
      <c r="K42" s="9">
        <f>K41*1.2</f>
        <v>22038713.65898921</v>
      </c>
      <c r="L42" s="58">
        <f t="shared" si="3"/>
        <v>-1162283.5713621676</v>
      </c>
      <c r="M42" s="835">
        <f>M41*1.2</f>
        <v>22430712.849160038</v>
      </c>
      <c r="N42" s="9">
        <f>N41*1.2</f>
        <v>23677808.704463191</v>
      </c>
      <c r="O42" s="58">
        <f t="shared" si="4"/>
        <v>1247095.8553031534</v>
      </c>
      <c r="Q42" s="5"/>
      <c r="R42" s="5"/>
      <c r="S42" s="5"/>
      <c r="T42" s="5"/>
      <c r="U42" s="5"/>
      <c r="V42" s="5"/>
      <c r="W42" s="5"/>
      <c r="X42" s="5"/>
    </row>
    <row r="43" spans="1:24" s="854" customFormat="1" ht="21.6" hidden="1" customHeight="1" thickBot="1" x14ac:dyDescent="0.35">
      <c r="A43" s="846" t="s">
        <v>868</v>
      </c>
      <c r="B43" s="847" t="s">
        <v>1710</v>
      </c>
      <c r="C43" s="848">
        <f>'побудинковий звіт'!DW368</f>
        <v>65079.099999999991</v>
      </c>
      <c r="D43" s="849">
        <f>C43</f>
        <v>65079.099999999991</v>
      </c>
      <c r="E43" s="849">
        <f t="shared" si="0"/>
        <v>0</v>
      </c>
      <c r="F43" s="850">
        <f t="shared" si="1"/>
        <v>1</v>
      </c>
      <c r="G43" s="851">
        <f>'побудинковий звіт'!DW371</f>
        <v>15880.300000000001</v>
      </c>
      <c r="H43" s="849">
        <f>G43*F43</f>
        <v>15880.300000000001</v>
      </c>
      <c r="I43" s="852"/>
      <c r="J43" s="848">
        <f>'побудинковий звіт'!DW372</f>
        <v>31558.6</v>
      </c>
      <c r="K43" s="849">
        <f>J43*F43</f>
        <v>31558.6</v>
      </c>
      <c r="L43" s="853"/>
      <c r="M43" s="851">
        <f>'побудинковий звіт'!DW373</f>
        <v>17640.2</v>
      </c>
      <c r="N43" s="849">
        <f>M43*F43</f>
        <v>17640.2</v>
      </c>
      <c r="O43" s="853"/>
      <c r="Q43" s="855"/>
      <c r="R43" s="855"/>
      <c r="S43" s="855"/>
      <c r="T43" s="855"/>
      <c r="U43" s="855"/>
      <c r="V43" s="855"/>
      <c r="W43" s="855"/>
      <c r="X43" s="855"/>
    </row>
    <row r="44" spans="1:24" s="864" customFormat="1" ht="21.6" hidden="1" customHeight="1" thickBot="1" x14ac:dyDescent="0.35">
      <c r="A44" s="856"/>
      <c r="B44" s="857" t="s">
        <v>1706</v>
      </c>
      <c r="C44" s="858">
        <f>'побудинковий звіт'!DI368</f>
        <v>0</v>
      </c>
      <c r="D44" s="859"/>
      <c r="E44" s="859"/>
      <c r="F44" s="860"/>
      <c r="G44" s="861">
        <f>'побудинковий звіт'!DI371</f>
        <v>0</v>
      </c>
      <c r="H44" s="859"/>
      <c r="I44" s="862"/>
      <c r="J44" s="858">
        <f>'побудинковий звіт'!DI372</f>
        <v>0</v>
      </c>
      <c r="K44" s="859"/>
      <c r="L44" s="863"/>
      <c r="M44" s="861">
        <f>'побудинковий звіт'!DI373</f>
        <v>0</v>
      </c>
      <c r="N44" s="859"/>
      <c r="O44" s="863"/>
      <c r="Q44" s="865"/>
      <c r="R44" s="865"/>
      <c r="S44" s="865"/>
      <c r="T44" s="865"/>
      <c r="U44" s="865"/>
      <c r="V44" s="865"/>
      <c r="W44" s="865"/>
      <c r="X44" s="865"/>
    </row>
    <row r="45" spans="1:24" ht="18.899999999999999" customHeight="1" thickBot="1" x14ac:dyDescent="0.35">
      <c r="A45" s="866"/>
      <c r="B45" s="867" t="s">
        <v>948</v>
      </c>
      <c r="C45" s="868">
        <f>C42+C43+C44</f>
        <v>72934983.264985114</v>
      </c>
      <c r="D45" s="869">
        <f>D42+D43+D44</f>
        <v>72995528.639922813</v>
      </c>
      <c r="E45" s="869">
        <f>D45-C45</f>
        <v>60545.374937698245</v>
      </c>
      <c r="F45" s="870">
        <f>D45/C45</f>
        <v>1.0008301280431877</v>
      </c>
      <c r="G45" s="868">
        <f>G42+G43+G44</f>
        <v>27254074.385473706</v>
      </c>
      <c r="H45" s="869">
        <f>H42+H43+H44</f>
        <v>27229807.4764704</v>
      </c>
      <c r="I45" s="869">
        <f>H45-G45</f>
        <v>-24266.90900330618</v>
      </c>
      <c r="J45" s="868">
        <f>J42+J43+J44</f>
        <v>23232555.830351379</v>
      </c>
      <c r="K45" s="869">
        <f>K42+K43+K44</f>
        <v>22070272.258989211</v>
      </c>
      <c r="L45" s="869">
        <f>K45-J45</f>
        <v>-1162283.5713621676</v>
      </c>
      <c r="M45" s="868">
        <f>M42+M43+M44</f>
        <v>22448353.049160037</v>
      </c>
      <c r="N45" s="869">
        <f>N42+N43+N44</f>
        <v>23695448.904463191</v>
      </c>
      <c r="O45" s="871">
        <f>N45-M45</f>
        <v>1247095.8553031534</v>
      </c>
      <c r="Q45" s="5"/>
      <c r="R45" s="5"/>
      <c r="S45" s="5"/>
      <c r="T45" s="5"/>
      <c r="U45" s="5"/>
      <c r="V45" s="5"/>
      <c r="W45" s="5"/>
      <c r="X45" s="5"/>
    </row>
    <row r="46" spans="1:24" ht="14.7" hidden="1" customHeight="1" x14ac:dyDescent="0.3">
      <c r="A46" s="872"/>
      <c r="B46" s="873" t="s">
        <v>872</v>
      </c>
      <c r="C46" s="874">
        <f>C44/C7</f>
        <v>0</v>
      </c>
      <c r="D46" s="875">
        <f>D44/C7</f>
        <v>0</v>
      </c>
      <c r="E46" s="875"/>
      <c r="F46" s="269" t="e">
        <f t="shared" si="1"/>
        <v>#DIV/0!</v>
      </c>
      <c r="G46" s="876">
        <f>G44/G7</f>
        <v>0</v>
      </c>
      <c r="H46" s="875">
        <f>H44/G7</f>
        <v>0</v>
      </c>
      <c r="I46" s="877"/>
      <c r="J46" s="874">
        <f>J44/J7</f>
        <v>0</v>
      </c>
      <c r="K46" s="875">
        <f>K44/J7</f>
        <v>0</v>
      </c>
      <c r="L46" s="878"/>
      <c r="M46" s="876">
        <f>M44/M7</f>
        <v>0</v>
      </c>
      <c r="N46" s="875">
        <f>N44/M7</f>
        <v>0</v>
      </c>
      <c r="O46" s="878"/>
      <c r="Q46" s="5"/>
      <c r="R46" s="5"/>
      <c r="S46" s="5"/>
      <c r="T46" s="5"/>
      <c r="U46" s="5"/>
      <c r="V46" s="5"/>
      <c r="W46" s="5"/>
      <c r="X46" s="5"/>
    </row>
    <row r="47" spans="1:24" s="282" customFormat="1" ht="14.4" hidden="1" x14ac:dyDescent="0.3">
      <c r="A47" s="879"/>
      <c r="B47" s="880" t="s">
        <v>1066</v>
      </c>
      <c r="C47" s="881">
        <f>C42/C7</f>
        <v>72.449397717715783</v>
      </c>
      <c r="D47" s="882">
        <f>D42/C7</f>
        <v>72.509593706705942</v>
      </c>
      <c r="E47" s="883"/>
      <c r="F47" s="884"/>
      <c r="G47" s="885">
        <f>G42/G7</f>
        <v>135.28863581308602</v>
      </c>
      <c r="H47" s="886">
        <f>H42/G7</f>
        <v>135.16810517129107</v>
      </c>
      <c r="I47" s="880"/>
      <c r="J47" s="887">
        <f>J42/J7</f>
        <v>47.089011842116378</v>
      </c>
      <c r="K47" s="886">
        <f>K42/J7</f>
        <v>44.730027686721016</v>
      </c>
      <c r="L47" s="884"/>
      <c r="M47" s="885">
        <f>M42/M7</f>
        <v>71.947483179193881</v>
      </c>
      <c r="N47" s="886">
        <f>N42/M7</f>
        <v>75.947597160218166</v>
      </c>
      <c r="O47" s="884"/>
      <c r="Q47" s="888"/>
      <c r="R47" s="888"/>
      <c r="S47" s="888"/>
      <c r="T47" s="888"/>
      <c r="U47" s="888"/>
      <c r="V47" s="888"/>
      <c r="W47" s="888"/>
      <c r="X47" s="888"/>
    </row>
    <row r="48" spans="1:24" s="4" customFormat="1" ht="14.4" hidden="1" x14ac:dyDescent="0.3">
      <c r="A48" s="889"/>
      <c r="B48" s="890" t="s">
        <v>1068</v>
      </c>
      <c r="C48" s="1108">
        <f>C47*C49+C47</f>
        <v>74.147522409283397</v>
      </c>
      <c r="D48" s="1109"/>
      <c r="E48" s="31"/>
      <c r="F48" s="891"/>
      <c r="G48" s="1116">
        <f>G47*1.05</f>
        <v>142.05306760374032</v>
      </c>
      <c r="H48" s="1117"/>
      <c r="I48" s="890"/>
      <c r="J48" s="1120">
        <f>J47*1.05</f>
        <v>49.443462434222198</v>
      </c>
      <c r="K48" s="1117"/>
      <c r="L48" s="891"/>
      <c r="M48" s="1116">
        <f>M47*1.05</f>
        <v>75.544857338153577</v>
      </c>
      <c r="N48" s="1117"/>
      <c r="O48" s="891"/>
      <c r="Q48" s="9"/>
      <c r="R48" s="9"/>
      <c r="S48" s="9"/>
      <c r="T48" s="9"/>
      <c r="U48" s="9"/>
      <c r="V48" s="9"/>
      <c r="W48" s="9"/>
      <c r="X48" s="9"/>
    </row>
    <row r="49" spans="1:24" ht="14.4" hidden="1" thickBot="1" x14ac:dyDescent="0.35">
      <c r="A49" s="892"/>
      <c r="B49" s="827" t="s">
        <v>1067</v>
      </c>
      <c r="C49" s="893">
        <f>C52/C42-100%</f>
        <v>2.3438768920950981E-2</v>
      </c>
      <c r="D49" s="894">
        <f>C48/D47-100%</f>
        <v>2.258913088387593E-2</v>
      </c>
      <c r="E49" s="895"/>
      <c r="F49" s="829"/>
      <c r="G49" s="896">
        <f>G48/G47-100%</f>
        <v>5.0000000000000044E-2</v>
      </c>
      <c r="H49" s="897">
        <f>G48/H47-100%</f>
        <v>5.0936294651199754E-2</v>
      </c>
      <c r="I49" s="827"/>
      <c r="J49" s="898">
        <f>J48/J47-100%</f>
        <v>5.0000000000000044E-2</v>
      </c>
      <c r="K49" s="897">
        <f>J48/K47-100%</f>
        <v>0.10537518063956974</v>
      </c>
      <c r="L49" s="829"/>
      <c r="M49" s="896">
        <f>M48/M47-100%</f>
        <v>5.0000000000000044E-2</v>
      </c>
      <c r="N49" s="897">
        <f>M48/N47-100%</f>
        <v>-5.3028645687759335E-3</v>
      </c>
      <c r="O49" s="829"/>
      <c r="Q49" s="5"/>
      <c r="R49" s="5"/>
      <c r="S49" s="5"/>
      <c r="T49" s="5"/>
      <c r="U49" s="5"/>
      <c r="V49" s="5"/>
      <c r="W49" s="5"/>
      <c r="X49" s="5"/>
    </row>
    <row r="50" spans="1:24" ht="14.4" x14ac:dyDescent="0.3">
      <c r="C50" s="899"/>
      <c r="D50" s="900"/>
    </row>
    <row r="51" spans="1:24" ht="15.6" x14ac:dyDescent="0.3">
      <c r="B51" s="901" t="s">
        <v>1106</v>
      </c>
      <c r="C51" s="902">
        <f>'побудинковий звіт'!CX368</f>
        <v>1707980.8450148734</v>
      </c>
      <c r="D51" s="6"/>
      <c r="E51" s="6"/>
      <c r="F51" s="6"/>
    </row>
    <row r="52" spans="1:24" ht="15.6" x14ac:dyDescent="0.3">
      <c r="B52" s="901" t="s">
        <v>1107</v>
      </c>
      <c r="C52" s="9">
        <f>'побудинковий звіт'!CX369</f>
        <v>74577885.01000005</v>
      </c>
      <c r="D52" s="6"/>
      <c r="E52" s="6"/>
      <c r="F52" s="6"/>
    </row>
    <row r="53" spans="1:24" ht="15.6" x14ac:dyDescent="0.3">
      <c r="B53" s="6"/>
      <c r="C53" s="10"/>
      <c r="D53" s="6"/>
      <c r="E53" s="6"/>
      <c r="F53" s="6"/>
    </row>
    <row r="54" spans="1:24" ht="15.6" x14ac:dyDescent="0.3">
      <c r="B54" s="6"/>
      <c r="C54" s="10"/>
      <c r="D54" s="6"/>
      <c r="E54" s="6"/>
      <c r="F54" s="6"/>
    </row>
    <row r="55" spans="1:24" s="4" customFormat="1" ht="18.45" customHeight="1" x14ac:dyDescent="0.3">
      <c r="A55" s="31"/>
      <c r="B55" s="31" t="s">
        <v>1793</v>
      </c>
      <c r="C55" s="275">
        <f>(C22+C23)*1.2</f>
        <v>20780251.191354524</v>
      </c>
      <c r="D55" s="275">
        <f>(D22+D23)*1.2</f>
        <v>19086157.448614348</v>
      </c>
      <c r="E55" s="275">
        <f>D55-C55</f>
        <v>-1694093.7427401766</v>
      </c>
      <c r="F55" s="272">
        <f t="shared" ref="F55" si="7">D55/C55</f>
        <v>0.91847578130119079</v>
      </c>
      <c r="G55" s="275">
        <f>(G22+G23)*1.2</f>
        <v>7131407.1836362928</v>
      </c>
      <c r="H55" s="275">
        <f>(H22+H23)*1.2</f>
        <v>6888560.6175669078</v>
      </c>
      <c r="I55" s="275">
        <f>H55-G55</f>
        <v>-242846.56606938504</v>
      </c>
      <c r="J55" s="275">
        <f>(J22+J23)*1.2</f>
        <v>6438434.1423125966</v>
      </c>
      <c r="K55" s="275">
        <f>(K22+K23)*1.2</f>
        <v>4102805.0989551898</v>
      </c>
      <c r="L55" s="275">
        <f>K55-J55</f>
        <v>-2335629.0433574067</v>
      </c>
      <c r="M55" s="275">
        <f>(M22+M23)*1.2</f>
        <v>7210409.865405635</v>
      </c>
      <c r="N55" s="275">
        <f>(N22+N23)*1.2</f>
        <v>8094791.732092252</v>
      </c>
      <c r="O55" s="275">
        <f>N55-M55</f>
        <v>884381.86668661702</v>
      </c>
      <c r="Q55" s="54"/>
      <c r="R55" s="54"/>
      <c r="S55" s="54"/>
      <c r="T55" s="54"/>
      <c r="U55" s="54"/>
      <c r="V55" s="54"/>
      <c r="W55" s="54"/>
      <c r="X55" s="54"/>
    </row>
    <row r="58" spans="1:24" x14ac:dyDescent="0.3">
      <c r="C58" s="8">
        <f>'побудинковий звіт'!CU368</f>
        <v>72869904.16498518</v>
      </c>
      <c r="D58" s="8">
        <f>'побудинковий звіт'!CV368</f>
        <v>72930449.539922789</v>
      </c>
    </row>
    <row r="61" spans="1:24" x14ac:dyDescent="0.3">
      <c r="G61" s="8">
        <f>'побудинковий звіт'!CU371</f>
        <v>27238194.085473709</v>
      </c>
      <c r="H61" s="8">
        <f>'побудинковий звіт'!CV371</f>
        <v>27213927.176470403</v>
      </c>
      <c r="J61" s="8">
        <f>'побудинковий звіт'!CU372</f>
        <v>23200997.230351374</v>
      </c>
      <c r="K61" s="8">
        <f>'побудинковий звіт'!CV372</f>
        <v>22038713.658989213</v>
      </c>
      <c r="M61" s="8">
        <f>'побудинковий звіт'!CU373</f>
        <v>22430712.849160034</v>
      </c>
      <c r="N61" s="8">
        <f>'побудинковий звіт'!CV373</f>
        <v>23677808.704463188</v>
      </c>
    </row>
    <row r="63" spans="1:24" x14ac:dyDescent="0.3">
      <c r="C63" s="8">
        <f>G42+J42+M42</f>
        <v>72869904.16498512</v>
      </c>
      <c r="D63" s="8">
        <f>H42+K42+N42</f>
        <v>72930449.539922804</v>
      </c>
    </row>
    <row r="66" spans="4:4" s="1" customFormat="1" x14ac:dyDescent="0.3">
      <c r="D66" s="33"/>
    </row>
  </sheetData>
  <mergeCells count="17">
    <mergeCell ref="W5:X5"/>
    <mergeCell ref="Q5:R5"/>
    <mergeCell ref="S5:T5"/>
    <mergeCell ref="U5:V5"/>
    <mergeCell ref="B5:B6"/>
    <mergeCell ref="A5:A6"/>
    <mergeCell ref="C7:E7"/>
    <mergeCell ref="C48:D48"/>
    <mergeCell ref="M5:O5"/>
    <mergeCell ref="M7:O7"/>
    <mergeCell ref="M48:N48"/>
    <mergeCell ref="G48:H48"/>
    <mergeCell ref="G5:I5"/>
    <mergeCell ref="G7:I7"/>
    <mergeCell ref="J5:L5"/>
    <mergeCell ref="J7:L7"/>
    <mergeCell ref="J48:K48"/>
  </mergeCells>
  <pageMargins left="0.31496062992125984" right="0.11811023622047245" top="0.15748031496062992" bottom="0.15748031496062992" header="0.31496062992125984" footer="0.31496062992125984"/>
  <pageSetup paperSize="9" scale="80" orientation="portrait" verticalDpi="4294967295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2">
    <tabColor rgb="FFFF0066"/>
  </sheetPr>
  <dimension ref="A1:D17"/>
  <sheetViews>
    <sheetView workbookViewId="0">
      <selection activeCell="J17" sqref="J17"/>
    </sheetView>
  </sheetViews>
  <sheetFormatPr defaultColWidth="8.88671875" defaultRowHeight="13.8" x14ac:dyDescent="0.25"/>
  <cols>
    <col min="1" max="1" width="42.6640625" style="155" customWidth="1"/>
    <col min="2" max="2" width="11.109375" style="155" customWidth="1"/>
    <col min="3" max="3" width="15.33203125" style="155" customWidth="1"/>
    <col min="4" max="4" width="18.109375" style="155" customWidth="1"/>
    <col min="5" max="16384" width="8.88671875" style="155"/>
  </cols>
  <sheetData>
    <row r="1" spans="1:4" ht="17.399999999999999" x14ac:dyDescent="0.3">
      <c r="A1" s="155" t="s">
        <v>0</v>
      </c>
      <c r="D1" s="276" t="str">
        <f>'Звіт-будинок'!C1</f>
        <v>вул.ВАСИЛЯ СТУСА,  20</v>
      </c>
    </row>
    <row r="3" spans="1:4" ht="17.399999999999999" x14ac:dyDescent="0.3">
      <c r="A3" s="277" t="s">
        <v>1086</v>
      </c>
      <c r="C3" s="155">
        <f>місяць!A2</f>
        <v>2023</v>
      </c>
      <c r="D3" s="809" t="s">
        <v>1805</v>
      </c>
    </row>
    <row r="5" spans="1:4" x14ac:dyDescent="0.25">
      <c r="A5" s="278" t="s">
        <v>930</v>
      </c>
      <c r="B5" s="1294" t="s">
        <v>1055</v>
      </c>
      <c r="C5" s="1294"/>
      <c r="D5" s="243" t="s">
        <v>1056</v>
      </c>
    </row>
    <row r="6" spans="1:4" x14ac:dyDescent="0.25">
      <c r="A6" s="246" t="s">
        <v>1057</v>
      </c>
      <c r="B6" s="246" t="s">
        <v>939</v>
      </c>
      <c r="C6" s="271">
        <f>VLOOKUP($D$1,'поточний ремонт'!$B$11:$AD$378,8,FALSE)</f>
        <v>152.5</v>
      </c>
      <c r="D6" s="271">
        <f>VLOOKUP($D$1,'поточний ремонт'!$B$11:$AD$378,9,FALSE)</f>
        <v>53564</v>
      </c>
    </row>
    <row r="7" spans="1:4" x14ac:dyDescent="0.25">
      <c r="A7" s="246" t="s">
        <v>1058</v>
      </c>
      <c r="B7" s="246" t="s">
        <v>935</v>
      </c>
      <c r="C7" s="271">
        <f>VLOOKUP($D$1,'поточний ремонт'!$B$11:$AD$378,11,FALSE)</f>
        <v>0</v>
      </c>
      <c r="D7" s="271">
        <f>VLOOKUP($D$1,'поточний ремонт'!$B$11:$AD$378,12,FALSE)</f>
        <v>0</v>
      </c>
    </row>
    <row r="8" spans="1:4" x14ac:dyDescent="0.25">
      <c r="A8" s="246" t="s">
        <v>1059</v>
      </c>
      <c r="B8" s="246" t="s">
        <v>937</v>
      </c>
      <c r="C8" s="271">
        <f>VLOOKUP($D$1,'поточний ремонт'!$B$11:$AD$378,14,FALSE)</f>
        <v>0</v>
      </c>
      <c r="D8" s="271">
        <f>VLOOKUP($D$1,'поточний ремонт'!$B$11:$AD$378,15,FALSE)</f>
        <v>0</v>
      </c>
    </row>
    <row r="9" spans="1:4" x14ac:dyDescent="0.25">
      <c r="A9" s="246" t="s">
        <v>1060</v>
      </c>
      <c r="B9" s="246" t="s">
        <v>935</v>
      </c>
      <c r="C9" s="271">
        <f>VLOOKUP($D$1,'поточний ремонт'!$B$11:$AD$378,17,FALSE)</f>
        <v>2</v>
      </c>
      <c r="D9" s="271">
        <f>VLOOKUP($D$1,'поточний ремонт'!$B$11:$AD$378,18,FALSE)</f>
        <v>29430</v>
      </c>
    </row>
    <row r="10" spans="1:4" x14ac:dyDescent="0.25">
      <c r="A10" s="246" t="s">
        <v>1061</v>
      </c>
      <c r="B10" s="246"/>
      <c r="C10" s="271"/>
      <c r="D10" s="271">
        <f>VLOOKUP($D$1,'поточний ремонт'!$B$11:$AD$378,20,FALSE)</f>
        <v>0</v>
      </c>
    </row>
    <row r="11" spans="1:4" x14ac:dyDescent="0.25">
      <c r="A11" s="246" t="s">
        <v>938</v>
      </c>
      <c r="B11" s="246" t="s">
        <v>939</v>
      </c>
      <c r="C11" s="271">
        <f>VLOOKUP($D$1,'поточний ремонт'!$B$11:$AD$378,22,FALSE)</f>
        <v>10</v>
      </c>
      <c r="D11" s="271">
        <f>VLOOKUP($D$1,'поточний ремонт'!$B$11:$AD$378,23,FALSE)</f>
        <v>1425.5694688630438</v>
      </c>
    </row>
    <row r="12" spans="1:4" x14ac:dyDescent="0.25">
      <c r="A12" s="246" t="s">
        <v>1062</v>
      </c>
      <c r="B12" s="246"/>
      <c r="C12" s="271"/>
      <c r="D12" s="271">
        <f>VLOOKUP($D$1,'поточний ремонт'!$B$11:$AD$378,24,FALSE)</f>
        <v>17213</v>
      </c>
    </row>
    <row r="13" spans="1:4" x14ac:dyDescent="0.25">
      <c r="A13" s="246" t="s">
        <v>928</v>
      </c>
      <c r="B13" s="246"/>
      <c r="C13" s="271"/>
      <c r="D13" s="271">
        <f>VLOOKUP($D$1,'поточний ремонт'!$B$11:$AD$378,26,FALSE)</f>
        <v>0</v>
      </c>
    </row>
    <row r="14" spans="1:4" x14ac:dyDescent="0.25">
      <c r="A14" s="246" t="s">
        <v>1063</v>
      </c>
      <c r="B14" s="246"/>
      <c r="C14" s="271"/>
      <c r="D14" s="271">
        <f>VLOOKUP($D$1,'поточний ремонт'!$B$11:$AD$378,27,FALSE)</f>
        <v>7862</v>
      </c>
    </row>
    <row r="15" spans="1:4" x14ac:dyDescent="0.25">
      <c r="A15" s="246" t="s">
        <v>940</v>
      </c>
      <c r="B15" s="246"/>
      <c r="C15" s="271"/>
      <c r="D15" s="271">
        <f>VLOOKUP($D$1,'поточний ремонт'!$B$11:$AD$378,28,FALSE)</f>
        <v>7736</v>
      </c>
    </row>
    <row r="16" spans="1:4" x14ac:dyDescent="0.25">
      <c r="A16" s="246" t="s">
        <v>968</v>
      </c>
      <c r="B16" s="246"/>
      <c r="C16" s="271"/>
      <c r="D16" s="271">
        <f>VLOOKUP($D$1,'поточний ремонт'!$B$11:$AD$378,29,FALSE)</f>
        <v>6343</v>
      </c>
    </row>
    <row r="17" spans="1:4" s="156" customFormat="1" x14ac:dyDescent="0.25">
      <c r="A17" s="278" t="s">
        <v>1064</v>
      </c>
      <c r="B17" s="278"/>
      <c r="C17" s="278"/>
      <c r="D17" s="279">
        <f>SUM(D6:D16)</f>
        <v>123573.56946886305</v>
      </c>
    </row>
  </sheetData>
  <mergeCells count="1">
    <mergeCell ref="B5:C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51">
    <tabColor rgb="FF9900FF"/>
  </sheetPr>
  <dimension ref="A1:K53"/>
  <sheetViews>
    <sheetView zoomScaleNormal="100" workbookViewId="0">
      <selection activeCell="M14" sqref="M14"/>
    </sheetView>
  </sheetViews>
  <sheetFormatPr defaultColWidth="9.6640625" defaultRowHeight="13.2" x14ac:dyDescent="0.3"/>
  <cols>
    <col min="1" max="1" width="6.44140625" style="11" customWidth="1"/>
    <col min="2" max="2" width="38.44140625" style="11" customWidth="1"/>
    <col min="3" max="3" width="13.6640625" style="12" customWidth="1"/>
    <col min="4" max="4" width="13.33203125" style="12" customWidth="1"/>
    <col min="5" max="5" width="11.5546875" style="12" customWidth="1"/>
    <col min="6" max="7" width="13.6640625" style="12" customWidth="1"/>
    <col min="8" max="8" width="11.88671875" style="12" customWidth="1"/>
    <col min="9" max="9" width="14.109375" style="12" customWidth="1"/>
    <col min="10" max="10" width="10.88671875" style="11" customWidth="1"/>
    <col min="11" max="11" width="13.6640625" style="11" customWidth="1"/>
    <col min="12" max="16384" width="9.6640625" style="11"/>
  </cols>
  <sheetData>
    <row r="1" spans="1:11" ht="14.7" customHeight="1" x14ac:dyDescent="0.3">
      <c r="A1" s="11" t="s">
        <v>0</v>
      </c>
      <c r="F1" s="13"/>
      <c r="G1" s="13"/>
      <c r="H1" s="13"/>
    </row>
    <row r="2" spans="1:11" ht="12.6" customHeight="1" x14ac:dyDescent="0.3">
      <c r="F2" s="13"/>
      <c r="G2" s="13"/>
      <c r="H2" s="13"/>
      <c r="I2" s="14"/>
    </row>
    <row r="3" spans="1:11" ht="17.399999999999999" x14ac:dyDescent="0.3">
      <c r="A3" s="23" t="s">
        <v>1087</v>
      </c>
      <c r="F3" s="27">
        <f>місяць!A2</f>
        <v>2023</v>
      </c>
      <c r="G3" s="809" t="s">
        <v>1805</v>
      </c>
    </row>
    <row r="4" spans="1:11" ht="6.45" customHeight="1" thickBot="1" x14ac:dyDescent="0.35"/>
    <row r="5" spans="1:11" ht="21.45" customHeight="1" x14ac:dyDescent="0.3">
      <c r="A5" s="1303" t="s">
        <v>456</v>
      </c>
      <c r="B5" s="1301" t="s">
        <v>875</v>
      </c>
      <c r="C5" s="1295" t="s">
        <v>876</v>
      </c>
      <c r="D5" s="1296"/>
      <c r="E5" s="1297"/>
      <c r="F5" s="1295" t="s">
        <v>877</v>
      </c>
      <c r="G5" s="1296"/>
      <c r="H5" s="1297"/>
      <c r="I5" s="1298" t="s">
        <v>878</v>
      </c>
      <c r="J5" s="1299"/>
      <c r="K5" s="1300"/>
    </row>
    <row r="6" spans="1:11" ht="27" thickBot="1" x14ac:dyDescent="0.35">
      <c r="A6" s="1304"/>
      <c r="B6" s="1302"/>
      <c r="C6" s="184" t="s">
        <v>870</v>
      </c>
      <c r="D6" s="185" t="s">
        <v>440</v>
      </c>
      <c r="E6" s="186" t="s">
        <v>441</v>
      </c>
      <c r="F6" s="184" t="s">
        <v>870</v>
      </c>
      <c r="G6" s="185" t="s">
        <v>440</v>
      </c>
      <c r="H6" s="186" t="s">
        <v>441</v>
      </c>
      <c r="I6" s="187" t="s">
        <v>870</v>
      </c>
      <c r="J6" s="185" t="s">
        <v>440</v>
      </c>
      <c r="K6" s="186" t="s">
        <v>441</v>
      </c>
    </row>
    <row r="7" spans="1:11" ht="15" customHeight="1" x14ac:dyDescent="0.3">
      <c r="A7" s="178" t="s">
        <v>830</v>
      </c>
      <c r="B7" s="179" t="s">
        <v>879</v>
      </c>
      <c r="C7" s="180">
        <v>494626</v>
      </c>
      <c r="D7" s="181">
        <v>521756</v>
      </c>
      <c r="E7" s="182">
        <f>D7-C7</f>
        <v>27130</v>
      </c>
      <c r="F7" s="180">
        <v>289973</v>
      </c>
      <c r="G7" s="181">
        <v>473696</v>
      </c>
      <c r="H7" s="182">
        <f>G7-F7</f>
        <v>183723</v>
      </c>
      <c r="I7" s="183">
        <f>C7+F7</f>
        <v>784599</v>
      </c>
      <c r="J7" s="183">
        <f t="shared" ref="I7:J31" si="0">D7+G7</f>
        <v>995452</v>
      </c>
      <c r="K7" s="182">
        <f>J7-I7</f>
        <v>210853</v>
      </c>
    </row>
    <row r="8" spans="1:11" ht="15" customHeight="1" x14ac:dyDescent="0.3">
      <c r="A8" s="175" t="s">
        <v>865</v>
      </c>
      <c r="B8" s="163" t="s">
        <v>880</v>
      </c>
      <c r="C8" s="168">
        <v>108256</v>
      </c>
      <c r="D8" s="21">
        <v>112437</v>
      </c>
      <c r="E8" s="169">
        <f t="shared" ref="E8:E35" si="1">D8-C8</f>
        <v>4181</v>
      </c>
      <c r="F8" s="168">
        <v>63794</v>
      </c>
      <c r="G8" s="21">
        <v>90643</v>
      </c>
      <c r="H8" s="169">
        <f t="shared" ref="H8:H35" si="2">G8-F8</f>
        <v>26849</v>
      </c>
      <c r="I8" s="166">
        <f t="shared" si="0"/>
        <v>172050</v>
      </c>
      <c r="J8" s="166">
        <f t="shared" si="0"/>
        <v>203080</v>
      </c>
      <c r="K8" s="169">
        <f t="shared" ref="K8:K35" si="3">J8-I8</f>
        <v>31030</v>
      </c>
    </row>
    <row r="9" spans="1:11" ht="15" customHeight="1" x14ac:dyDescent="0.3">
      <c r="A9" s="175" t="s">
        <v>866</v>
      </c>
      <c r="B9" s="163" t="s">
        <v>881</v>
      </c>
      <c r="C9" s="168">
        <v>33168</v>
      </c>
      <c r="D9" s="21">
        <v>47318</v>
      </c>
      <c r="E9" s="169">
        <f t="shared" si="1"/>
        <v>14150</v>
      </c>
      <c r="F9" s="168">
        <v>5417</v>
      </c>
      <c r="G9" s="21">
        <v>5264</v>
      </c>
      <c r="H9" s="169">
        <f t="shared" si="2"/>
        <v>-153</v>
      </c>
      <c r="I9" s="166">
        <f t="shared" si="0"/>
        <v>38585</v>
      </c>
      <c r="J9" s="166">
        <f t="shared" si="0"/>
        <v>52582</v>
      </c>
      <c r="K9" s="169">
        <f t="shared" si="3"/>
        <v>13997</v>
      </c>
    </row>
    <row r="10" spans="1:11" ht="15" customHeight="1" x14ac:dyDescent="0.3">
      <c r="A10" s="175" t="s">
        <v>867</v>
      </c>
      <c r="B10" s="163" t="s">
        <v>882</v>
      </c>
      <c r="C10" s="168">
        <v>96718</v>
      </c>
      <c r="D10" s="21">
        <v>103530</v>
      </c>
      <c r="E10" s="169">
        <f t="shared" si="1"/>
        <v>6812</v>
      </c>
      <c r="F10" s="168">
        <v>0</v>
      </c>
      <c r="G10" s="21">
        <v>0</v>
      </c>
      <c r="H10" s="169">
        <f t="shared" si="2"/>
        <v>0</v>
      </c>
      <c r="I10" s="166">
        <f t="shared" si="0"/>
        <v>96718</v>
      </c>
      <c r="J10" s="166">
        <f t="shared" si="0"/>
        <v>103530</v>
      </c>
      <c r="K10" s="169">
        <f t="shared" si="3"/>
        <v>6812</v>
      </c>
    </row>
    <row r="11" spans="1:11" ht="15" customHeight="1" x14ac:dyDescent="0.3">
      <c r="A11" s="175" t="s">
        <v>868</v>
      </c>
      <c r="B11" s="163" t="s">
        <v>883</v>
      </c>
      <c r="C11" s="168">
        <v>17045</v>
      </c>
      <c r="D11" s="21">
        <v>2172</v>
      </c>
      <c r="E11" s="169">
        <f t="shared" si="1"/>
        <v>-14873</v>
      </c>
      <c r="F11" s="168">
        <v>0</v>
      </c>
      <c r="G11" s="21">
        <v>0</v>
      </c>
      <c r="H11" s="169">
        <f t="shared" si="2"/>
        <v>0</v>
      </c>
      <c r="I11" s="166">
        <f t="shared" si="0"/>
        <v>17045</v>
      </c>
      <c r="J11" s="166">
        <f t="shared" si="0"/>
        <v>2172</v>
      </c>
      <c r="K11" s="169">
        <f t="shared" si="3"/>
        <v>-14873</v>
      </c>
    </row>
    <row r="12" spans="1:11" ht="15" customHeight="1" x14ac:dyDescent="0.3">
      <c r="A12" s="175" t="s">
        <v>869</v>
      </c>
      <c r="B12" s="163" t="s">
        <v>884</v>
      </c>
      <c r="C12" s="168">
        <v>123610</v>
      </c>
      <c r="D12" s="21">
        <v>37597</v>
      </c>
      <c r="E12" s="169">
        <f t="shared" si="1"/>
        <v>-86013</v>
      </c>
      <c r="F12" s="168">
        <v>25000</v>
      </c>
      <c r="G12" s="21">
        <v>20123</v>
      </c>
      <c r="H12" s="169">
        <f t="shared" si="2"/>
        <v>-4877</v>
      </c>
      <c r="I12" s="166">
        <f t="shared" si="0"/>
        <v>148610</v>
      </c>
      <c r="J12" s="166">
        <f t="shared" si="0"/>
        <v>57720</v>
      </c>
      <c r="K12" s="169">
        <f t="shared" si="3"/>
        <v>-90890</v>
      </c>
    </row>
    <row r="13" spans="1:11" ht="15" customHeight="1" x14ac:dyDescent="0.3">
      <c r="A13" s="175" t="s">
        <v>885</v>
      </c>
      <c r="B13" s="163" t="s">
        <v>886</v>
      </c>
      <c r="C13" s="168">
        <v>2300</v>
      </c>
      <c r="D13" s="21">
        <v>5350</v>
      </c>
      <c r="E13" s="169">
        <f t="shared" si="1"/>
        <v>3050</v>
      </c>
      <c r="F13" s="168">
        <v>1000</v>
      </c>
      <c r="G13" s="21">
        <v>0</v>
      </c>
      <c r="H13" s="169">
        <f t="shared" si="2"/>
        <v>-1000</v>
      </c>
      <c r="I13" s="166">
        <f t="shared" si="0"/>
        <v>3300</v>
      </c>
      <c r="J13" s="166">
        <f t="shared" si="0"/>
        <v>5350</v>
      </c>
      <c r="K13" s="169">
        <f t="shared" si="3"/>
        <v>2050</v>
      </c>
    </row>
    <row r="14" spans="1:11" ht="15" customHeight="1" x14ac:dyDescent="0.3">
      <c r="A14" s="175" t="s">
        <v>887</v>
      </c>
      <c r="B14" s="163" t="s">
        <v>888</v>
      </c>
      <c r="C14" s="168">
        <v>14846</v>
      </c>
      <c r="D14" s="21">
        <v>18705</v>
      </c>
      <c r="E14" s="169">
        <f t="shared" si="1"/>
        <v>3859</v>
      </c>
      <c r="F14" s="168">
        <v>0</v>
      </c>
      <c r="G14" s="21">
        <v>0</v>
      </c>
      <c r="H14" s="169">
        <f t="shared" si="2"/>
        <v>0</v>
      </c>
      <c r="I14" s="166">
        <f t="shared" si="0"/>
        <v>14846</v>
      </c>
      <c r="J14" s="166">
        <f t="shared" si="0"/>
        <v>18705</v>
      </c>
      <c r="K14" s="169">
        <f t="shared" si="3"/>
        <v>3859</v>
      </c>
    </row>
    <row r="15" spans="1:11" ht="15" customHeight="1" x14ac:dyDescent="0.3">
      <c r="A15" s="175" t="s">
        <v>889</v>
      </c>
      <c r="B15" s="163" t="s">
        <v>890</v>
      </c>
      <c r="C15" s="168">
        <f>C16+C17+C18</f>
        <v>49996</v>
      </c>
      <c r="D15" s="21">
        <f>D16+D17+D18</f>
        <v>85485</v>
      </c>
      <c r="E15" s="169">
        <f t="shared" si="1"/>
        <v>35489</v>
      </c>
      <c r="F15" s="168">
        <f>F16+F17+F18</f>
        <v>17258</v>
      </c>
      <c r="G15" s="166">
        <f>G16+G17+G18</f>
        <v>51804</v>
      </c>
      <c r="H15" s="169">
        <f t="shared" si="2"/>
        <v>34546</v>
      </c>
      <c r="I15" s="166">
        <f t="shared" si="0"/>
        <v>67254</v>
      </c>
      <c r="J15" s="166">
        <f t="shared" si="0"/>
        <v>137289</v>
      </c>
      <c r="K15" s="169">
        <f t="shared" si="3"/>
        <v>70035</v>
      </c>
    </row>
    <row r="16" spans="1:11" s="25" customFormat="1" ht="15" customHeight="1" x14ac:dyDescent="0.3">
      <c r="A16" s="176" t="s">
        <v>891</v>
      </c>
      <c r="B16" s="164" t="s">
        <v>892</v>
      </c>
      <c r="C16" s="170">
        <v>5687</v>
      </c>
      <c r="D16" s="24">
        <v>9127</v>
      </c>
      <c r="E16" s="171">
        <f t="shared" si="1"/>
        <v>3440</v>
      </c>
      <c r="F16" s="170">
        <v>6651</v>
      </c>
      <c r="G16" s="24">
        <v>15161</v>
      </c>
      <c r="H16" s="171">
        <f t="shared" si="2"/>
        <v>8510</v>
      </c>
      <c r="I16" s="174">
        <f t="shared" si="0"/>
        <v>12338</v>
      </c>
      <c r="J16" s="174">
        <f t="shared" si="0"/>
        <v>24288</v>
      </c>
      <c r="K16" s="171">
        <f t="shared" si="3"/>
        <v>11950</v>
      </c>
    </row>
    <row r="17" spans="1:11" s="25" customFormat="1" ht="15" customHeight="1" x14ac:dyDescent="0.3">
      <c r="A17" s="176" t="s">
        <v>893</v>
      </c>
      <c r="B17" s="164" t="s">
        <v>894</v>
      </c>
      <c r="C17" s="170">
        <v>43699</v>
      </c>
      <c r="D17" s="24">
        <v>74971</v>
      </c>
      <c r="E17" s="171">
        <f t="shared" si="1"/>
        <v>31272</v>
      </c>
      <c r="F17" s="170">
        <v>10107</v>
      </c>
      <c r="G17" s="24">
        <v>36063</v>
      </c>
      <c r="H17" s="171">
        <f t="shared" si="2"/>
        <v>25956</v>
      </c>
      <c r="I17" s="174">
        <f t="shared" si="0"/>
        <v>53806</v>
      </c>
      <c r="J17" s="174">
        <f t="shared" si="0"/>
        <v>111034</v>
      </c>
      <c r="K17" s="171">
        <f t="shared" si="3"/>
        <v>57228</v>
      </c>
    </row>
    <row r="18" spans="1:11" s="25" customFormat="1" ht="15" customHeight="1" x14ac:dyDescent="0.3">
      <c r="A18" s="176" t="s">
        <v>895</v>
      </c>
      <c r="B18" s="164" t="s">
        <v>896</v>
      </c>
      <c r="C18" s="170">
        <v>610</v>
      </c>
      <c r="D18" s="24">
        <v>1387</v>
      </c>
      <c r="E18" s="171">
        <f t="shared" si="1"/>
        <v>777</v>
      </c>
      <c r="F18" s="170">
        <v>500</v>
      </c>
      <c r="G18" s="24">
        <v>580</v>
      </c>
      <c r="H18" s="171">
        <f t="shared" si="2"/>
        <v>80</v>
      </c>
      <c r="I18" s="174">
        <f t="shared" si="0"/>
        <v>1110</v>
      </c>
      <c r="J18" s="174">
        <f t="shared" si="0"/>
        <v>1967</v>
      </c>
      <c r="K18" s="171">
        <f t="shared" si="3"/>
        <v>857</v>
      </c>
    </row>
    <row r="19" spans="1:11" ht="15" customHeight="1" x14ac:dyDescent="0.3">
      <c r="A19" s="175" t="s">
        <v>897</v>
      </c>
      <c r="B19" s="163" t="s">
        <v>898</v>
      </c>
      <c r="C19" s="168">
        <v>1400</v>
      </c>
      <c r="D19" s="21">
        <v>1251</v>
      </c>
      <c r="E19" s="169">
        <f t="shared" si="1"/>
        <v>-149</v>
      </c>
      <c r="F19" s="168">
        <v>1250</v>
      </c>
      <c r="G19" s="21">
        <v>3504</v>
      </c>
      <c r="H19" s="169">
        <f t="shared" si="2"/>
        <v>2254</v>
      </c>
      <c r="I19" s="166">
        <f t="shared" si="0"/>
        <v>2650</v>
      </c>
      <c r="J19" s="166">
        <f t="shared" si="0"/>
        <v>4755</v>
      </c>
      <c r="K19" s="169">
        <f t="shared" si="3"/>
        <v>2105</v>
      </c>
    </row>
    <row r="20" spans="1:11" ht="15" customHeight="1" x14ac:dyDescent="0.3">
      <c r="A20" s="175" t="s">
        <v>899</v>
      </c>
      <c r="B20" s="163" t="s">
        <v>900</v>
      </c>
      <c r="C20" s="168">
        <v>0</v>
      </c>
      <c r="D20" s="21">
        <v>0</v>
      </c>
      <c r="E20" s="169">
        <f t="shared" si="1"/>
        <v>0</v>
      </c>
      <c r="F20" s="168">
        <v>0</v>
      </c>
      <c r="G20" s="21">
        <v>0</v>
      </c>
      <c r="H20" s="169">
        <f t="shared" si="2"/>
        <v>0</v>
      </c>
      <c r="I20" s="166">
        <f t="shared" si="0"/>
        <v>0</v>
      </c>
      <c r="J20" s="166">
        <f t="shared" si="0"/>
        <v>0</v>
      </c>
      <c r="K20" s="169">
        <f t="shared" si="3"/>
        <v>0</v>
      </c>
    </row>
    <row r="21" spans="1:11" ht="15" customHeight="1" x14ac:dyDescent="0.3">
      <c r="A21" s="175" t="s">
        <v>901</v>
      </c>
      <c r="B21" s="163" t="s">
        <v>902</v>
      </c>
      <c r="C21" s="168">
        <v>0</v>
      </c>
      <c r="D21" s="21">
        <v>0</v>
      </c>
      <c r="E21" s="169">
        <f t="shared" si="1"/>
        <v>0</v>
      </c>
      <c r="F21" s="168">
        <v>5000</v>
      </c>
      <c r="G21" s="21">
        <v>4363</v>
      </c>
      <c r="H21" s="169">
        <f t="shared" si="2"/>
        <v>-637</v>
      </c>
      <c r="I21" s="166">
        <f t="shared" si="0"/>
        <v>5000</v>
      </c>
      <c r="J21" s="166">
        <f t="shared" si="0"/>
        <v>4363</v>
      </c>
      <c r="K21" s="169">
        <f t="shared" si="3"/>
        <v>-637</v>
      </c>
    </row>
    <row r="22" spans="1:11" ht="15" customHeight="1" x14ac:dyDescent="0.3">
      <c r="A22" s="175" t="s">
        <v>903</v>
      </c>
      <c r="B22" s="163" t="s">
        <v>904</v>
      </c>
      <c r="C22" s="168">
        <v>63419</v>
      </c>
      <c r="D22" s="21">
        <v>54103</v>
      </c>
      <c r="E22" s="169">
        <f t="shared" si="1"/>
        <v>-9316</v>
      </c>
      <c r="F22" s="168">
        <v>0</v>
      </c>
      <c r="G22" s="21">
        <v>0</v>
      </c>
      <c r="H22" s="169">
        <f t="shared" si="2"/>
        <v>0</v>
      </c>
      <c r="I22" s="166">
        <f t="shared" si="0"/>
        <v>63419</v>
      </c>
      <c r="J22" s="166">
        <f t="shared" si="0"/>
        <v>54103</v>
      </c>
      <c r="K22" s="169">
        <f t="shared" si="3"/>
        <v>-9316</v>
      </c>
    </row>
    <row r="23" spans="1:11" ht="15" customHeight="1" x14ac:dyDescent="0.3">
      <c r="A23" s="175" t="s">
        <v>903</v>
      </c>
      <c r="B23" s="163" t="s">
        <v>905</v>
      </c>
      <c r="C23" s="168">
        <v>0</v>
      </c>
      <c r="D23" s="21">
        <v>0</v>
      </c>
      <c r="E23" s="169">
        <f t="shared" si="1"/>
        <v>0</v>
      </c>
      <c r="F23" s="168">
        <v>3000</v>
      </c>
      <c r="G23" s="21">
        <v>3029</v>
      </c>
      <c r="H23" s="169">
        <f t="shared" si="2"/>
        <v>29</v>
      </c>
      <c r="I23" s="166">
        <f t="shared" si="0"/>
        <v>3000</v>
      </c>
      <c r="J23" s="166">
        <f t="shared" si="0"/>
        <v>3029</v>
      </c>
      <c r="K23" s="169">
        <f t="shared" si="3"/>
        <v>29</v>
      </c>
    </row>
    <row r="24" spans="1:11" ht="15" customHeight="1" x14ac:dyDescent="0.3">
      <c r="A24" s="175" t="s">
        <v>906</v>
      </c>
      <c r="B24" s="163" t="s">
        <v>907</v>
      </c>
      <c r="C24" s="168">
        <v>0</v>
      </c>
      <c r="D24" s="21">
        <v>0</v>
      </c>
      <c r="E24" s="169">
        <f t="shared" si="1"/>
        <v>0</v>
      </c>
      <c r="F24" s="168">
        <v>500</v>
      </c>
      <c r="G24" s="21">
        <v>0</v>
      </c>
      <c r="H24" s="169">
        <f t="shared" si="2"/>
        <v>-500</v>
      </c>
      <c r="I24" s="166">
        <f t="shared" si="0"/>
        <v>500</v>
      </c>
      <c r="J24" s="166">
        <f t="shared" si="0"/>
        <v>0</v>
      </c>
      <c r="K24" s="169">
        <f t="shared" si="3"/>
        <v>-500</v>
      </c>
    </row>
    <row r="25" spans="1:11" ht="15" customHeight="1" x14ac:dyDescent="0.3">
      <c r="A25" s="175" t="s">
        <v>908</v>
      </c>
      <c r="B25" s="163" t="s">
        <v>909</v>
      </c>
      <c r="C25" s="168">
        <v>1500</v>
      </c>
      <c r="D25" s="21">
        <v>0</v>
      </c>
      <c r="E25" s="169">
        <f t="shared" si="1"/>
        <v>-1500</v>
      </c>
      <c r="F25" s="168">
        <v>1500</v>
      </c>
      <c r="G25" s="21">
        <v>2898</v>
      </c>
      <c r="H25" s="169">
        <f t="shared" si="2"/>
        <v>1398</v>
      </c>
      <c r="I25" s="166">
        <f t="shared" si="0"/>
        <v>3000</v>
      </c>
      <c r="J25" s="166">
        <f t="shared" si="0"/>
        <v>2898</v>
      </c>
      <c r="K25" s="169">
        <f t="shared" si="3"/>
        <v>-102</v>
      </c>
    </row>
    <row r="26" spans="1:11" ht="15" customHeight="1" x14ac:dyDescent="0.3">
      <c r="A26" s="175" t="s">
        <v>910</v>
      </c>
      <c r="B26" s="163" t="s">
        <v>929</v>
      </c>
      <c r="C26" s="168">
        <v>3000</v>
      </c>
      <c r="D26" s="21">
        <v>2500</v>
      </c>
      <c r="E26" s="169">
        <f t="shared" si="1"/>
        <v>-500</v>
      </c>
      <c r="F26" s="168">
        <v>5000</v>
      </c>
      <c r="G26" s="21">
        <v>2490</v>
      </c>
      <c r="H26" s="169">
        <f t="shared" si="2"/>
        <v>-2510</v>
      </c>
      <c r="I26" s="166">
        <f t="shared" si="0"/>
        <v>8000</v>
      </c>
      <c r="J26" s="166">
        <f t="shared" si="0"/>
        <v>4990</v>
      </c>
      <c r="K26" s="169">
        <f t="shared" si="3"/>
        <v>-3010</v>
      </c>
    </row>
    <row r="27" spans="1:11" ht="15" customHeight="1" x14ac:dyDescent="0.3">
      <c r="A27" s="175" t="s">
        <v>911</v>
      </c>
      <c r="B27" s="163" t="s">
        <v>912</v>
      </c>
      <c r="C27" s="168">
        <v>75401</v>
      </c>
      <c r="D27" s="21">
        <v>75016</v>
      </c>
      <c r="E27" s="169">
        <f t="shared" si="1"/>
        <v>-385</v>
      </c>
      <c r="F27" s="168">
        <v>0</v>
      </c>
      <c r="G27" s="21">
        <v>0</v>
      </c>
      <c r="H27" s="169">
        <f t="shared" si="2"/>
        <v>0</v>
      </c>
      <c r="I27" s="166">
        <f t="shared" si="0"/>
        <v>75401</v>
      </c>
      <c r="J27" s="166">
        <f t="shared" si="0"/>
        <v>75016</v>
      </c>
      <c r="K27" s="169">
        <f t="shared" si="3"/>
        <v>-385</v>
      </c>
    </row>
    <row r="28" spans="1:11" ht="15" customHeight="1" x14ac:dyDescent="0.3">
      <c r="A28" s="175" t="s">
        <v>913</v>
      </c>
      <c r="B28" s="163" t="s">
        <v>914</v>
      </c>
      <c r="C28" s="168">
        <v>0</v>
      </c>
      <c r="D28" s="21">
        <v>0</v>
      </c>
      <c r="E28" s="169">
        <f t="shared" si="1"/>
        <v>0</v>
      </c>
      <c r="F28" s="168">
        <v>8371</v>
      </c>
      <c r="G28" s="21">
        <v>8023</v>
      </c>
      <c r="H28" s="169">
        <f t="shared" si="2"/>
        <v>-348</v>
      </c>
      <c r="I28" s="166">
        <f t="shared" si="0"/>
        <v>8371</v>
      </c>
      <c r="J28" s="166">
        <f t="shared" si="0"/>
        <v>8023</v>
      </c>
      <c r="K28" s="169">
        <f t="shared" si="3"/>
        <v>-348</v>
      </c>
    </row>
    <row r="29" spans="1:11" ht="15" customHeight="1" x14ac:dyDescent="0.3">
      <c r="A29" s="175" t="s">
        <v>915</v>
      </c>
      <c r="B29" s="163" t="s">
        <v>916</v>
      </c>
      <c r="C29" s="168">
        <v>0</v>
      </c>
      <c r="D29" s="21">
        <v>0</v>
      </c>
      <c r="E29" s="169">
        <f t="shared" si="1"/>
        <v>0</v>
      </c>
      <c r="F29" s="168">
        <f>6647+244</f>
        <v>6891</v>
      </c>
      <c r="G29" s="21">
        <v>10443</v>
      </c>
      <c r="H29" s="169">
        <f t="shared" si="2"/>
        <v>3552</v>
      </c>
      <c r="I29" s="166">
        <f t="shared" si="0"/>
        <v>6891</v>
      </c>
      <c r="J29" s="166">
        <f t="shared" si="0"/>
        <v>10443</v>
      </c>
      <c r="K29" s="169">
        <f t="shared" si="3"/>
        <v>3552</v>
      </c>
    </row>
    <row r="30" spans="1:11" ht="15" customHeight="1" x14ac:dyDescent="0.3">
      <c r="A30" s="175" t="s">
        <v>917</v>
      </c>
      <c r="B30" s="163" t="s">
        <v>1804</v>
      </c>
      <c r="C30" s="168">
        <v>25000</v>
      </c>
      <c r="D30" s="21">
        <v>30397</v>
      </c>
      <c r="E30" s="169">
        <f t="shared" si="1"/>
        <v>5397</v>
      </c>
      <c r="F30" s="168">
        <v>9500</v>
      </c>
      <c r="G30" s="21">
        <v>0</v>
      </c>
      <c r="H30" s="169">
        <f t="shared" si="2"/>
        <v>-9500</v>
      </c>
      <c r="I30" s="166">
        <f t="shared" si="0"/>
        <v>34500</v>
      </c>
      <c r="J30" s="166">
        <f t="shared" si="0"/>
        <v>30397</v>
      </c>
      <c r="K30" s="169">
        <f t="shared" si="3"/>
        <v>-4103</v>
      </c>
    </row>
    <row r="31" spans="1:11" ht="15" customHeight="1" x14ac:dyDescent="0.3">
      <c r="A31" s="175" t="s">
        <v>918</v>
      </c>
      <c r="B31" s="163" t="s">
        <v>919</v>
      </c>
      <c r="C31" s="168">
        <f>11500+15300</f>
        <v>26800</v>
      </c>
      <c r="D31" s="21">
        <v>12087</v>
      </c>
      <c r="E31" s="169">
        <f t="shared" si="1"/>
        <v>-14713</v>
      </c>
      <c r="F31" s="168">
        <v>250</v>
      </c>
      <c r="G31" s="21">
        <v>196</v>
      </c>
      <c r="H31" s="169">
        <f t="shared" si="2"/>
        <v>-54</v>
      </c>
      <c r="I31" s="166">
        <f t="shared" si="0"/>
        <v>27050</v>
      </c>
      <c r="J31" s="166">
        <f t="shared" si="0"/>
        <v>12283</v>
      </c>
      <c r="K31" s="169">
        <f t="shared" si="3"/>
        <v>-14767</v>
      </c>
    </row>
    <row r="32" spans="1:11" ht="15" customHeight="1" x14ac:dyDescent="0.3">
      <c r="A32" s="175" t="s">
        <v>920</v>
      </c>
      <c r="B32" s="163" t="s">
        <v>921</v>
      </c>
      <c r="C32" s="168">
        <f>5500+8500</f>
        <v>14000</v>
      </c>
      <c r="D32" s="21">
        <v>9610</v>
      </c>
      <c r="E32" s="169">
        <f t="shared" si="1"/>
        <v>-4390</v>
      </c>
      <c r="F32" s="168">
        <v>4856</v>
      </c>
      <c r="G32" s="21">
        <v>1094</v>
      </c>
      <c r="H32" s="169">
        <f t="shared" si="2"/>
        <v>-3762</v>
      </c>
      <c r="I32" s="166">
        <f>C32+F32</f>
        <v>18856</v>
      </c>
      <c r="J32" s="166">
        <f>D32+G32</f>
        <v>10704</v>
      </c>
      <c r="K32" s="169">
        <f t="shared" si="3"/>
        <v>-8152</v>
      </c>
    </row>
    <row r="33" spans="1:11" s="15" customFormat="1" ht="15" customHeight="1" x14ac:dyDescent="0.3">
      <c r="A33" s="177"/>
      <c r="B33" s="165" t="s">
        <v>922</v>
      </c>
      <c r="C33" s="172">
        <f>C7+C8+C9+C10+C11+C12+C13+C14+C15+C19+C20+C21+C22+C23+C24+C25+C26+C27+C28+C29+C30+C31+C32</f>
        <v>1151085</v>
      </c>
      <c r="D33" s="22">
        <f>D7+D8+D9+D10+D11+D12+D13+D14+D15+D19+D20+D21+D22+D23+D24+D25+D26+D27+D28+D29+D30+D31+D32</f>
        <v>1119314</v>
      </c>
      <c r="E33" s="173">
        <f t="shared" si="1"/>
        <v>-31771</v>
      </c>
      <c r="F33" s="172">
        <f>F7+F8+F9+F10+F11+F12+F13+F14+F15+F19+F20+F21+F22+F23+F24+F25+F26+F27+F28+F29+F30+F31+F32</f>
        <v>448560</v>
      </c>
      <c r="G33" s="167">
        <f>G7+G8+G9+G10+G11+G12+G13+G14+G15+G19+G20+G21+G22+G23+G24+G25+G26+G27+G28+G29+G30+G31+G32</f>
        <v>677570</v>
      </c>
      <c r="H33" s="173">
        <f t="shared" si="2"/>
        <v>229010</v>
      </c>
      <c r="I33" s="167">
        <f>I7+I8+I9+I10+I11+I12+I13+I14+I15+I19+I20+I21+I22+I23+I24+I25+I26+I27+I28+I29+I30+I31+I32</f>
        <v>1599645</v>
      </c>
      <c r="J33" s="167">
        <f>J7+J8+J9+J10+J11+J12+J13+J14+J15+J19+J20+J21+J22+J23+J24+J25+J26+J27+J28+J29+J30+J31+J32</f>
        <v>1796884</v>
      </c>
      <c r="K33" s="173">
        <f t="shared" si="3"/>
        <v>197239</v>
      </c>
    </row>
    <row r="34" spans="1:11" s="16" customFormat="1" ht="25.95" customHeight="1" thickBot="1" x14ac:dyDescent="0.35">
      <c r="A34" s="188"/>
      <c r="B34" s="189" t="s">
        <v>923</v>
      </c>
      <c r="C34" s="190">
        <v>49794</v>
      </c>
      <c r="D34" s="191">
        <v>73618</v>
      </c>
      <c r="E34" s="192">
        <f t="shared" si="1"/>
        <v>23824</v>
      </c>
      <c r="F34" s="190">
        <v>0</v>
      </c>
      <c r="G34" s="191">
        <v>16505</v>
      </c>
      <c r="H34" s="192">
        <f t="shared" si="2"/>
        <v>16505</v>
      </c>
      <c r="I34" s="193">
        <f>C34+F34</f>
        <v>49794</v>
      </c>
      <c r="J34" s="193">
        <f>D34+G34</f>
        <v>90123</v>
      </c>
      <c r="K34" s="192">
        <f t="shared" si="3"/>
        <v>40329</v>
      </c>
    </row>
    <row r="35" spans="1:11" ht="20.100000000000001" customHeight="1" thickBot="1" x14ac:dyDescent="0.35">
      <c r="A35" s="194"/>
      <c r="B35" s="195" t="s">
        <v>924</v>
      </c>
      <c r="C35" s="196">
        <f>C33-C34</f>
        <v>1101291</v>
      </c>
      <c r="D35" s="197">
        <f>D33-D34</f>
        <v>1045696</v>
      </c>
      <c r="E35" s="198">
        <f t="shared" si="1"/>
        <v>-55595</v>
      </c>
      <c r="F35" s="196">
        <f>F33-F34</f>
        <v>448560</v>
      </c>
      <c r="G35" s="197">
        <f>G33-G34</f>
        <v>661065</v>
      </c>
      <c r="H35" s="198">
        <f t="shared" si="2"/>
        <v>212505</v>
      </c>
      <c r="I35" s="199">
        <f>I33-I34</f>
        <v>1549851</v>
      </c>
      <c r="J35" s="199">
        <f>J33-J34</f>
        <v>1706761</v>
      </c>
      <c r="K35" s="198">
        <f t="shared" si="3"/>
        <v>156910</v>
      </c>
    </row>
    <row r="36" spans="1:11" x14ac:dyDescent="0.3">
      <c r="C36" s="18"/>
      <c r="D36" s="18"/>
      <c r="E36" s="808">
        <f>D35/C35</f>
        <v>0.94951833802328356</v>
      </c>
      <c r="H36" s="808">
        <f>G35/F35</f>
        <v>1.4737493311931513</v>
      </c>
      <c r="J36" s="410">
        <f>J35/I35</f>
        <v>1.1012419903590733</v>
      </c>
    </row>
    <row r="39" spans="1:11" x14ac:dyDescent="0.3">
      <c r="B39" s="15" t="s">
        <v>873</v>
      </c>
      <c r="C39" s="15"/>
      <c r="D39" s="15"/>
      <c r="E39" s="15"/>
      <c r="F39" s="15" t="s">
        <v>825</v>
      </c>
    </row>
    <row r="40" spans="1:11" x14ac:dyDescent="0.3">
      <c r="B40" s="15"/>
      <c r="C40" s="15"/>
      <c r="D40" s="15"/>
      <c r="E40" s="15"/>
      <c r="F40" s="15"/>
      <c r="J40" s="247"/>
    </row>
    <row r="41" spans="1:11" x14ac:dyDescent="0.3">
      <c r="B41" s="15" t="s">
        <v>874</v>
      </c>
      <c r="C41" s="19"/>
      <c r="D41" s="19"/>
      <c r="E41" s="19"/>
      <c r="F41" s="26" t="s">
        <v>826</v>
      </c>
      <c r="G41" s="26"/>
      <c r="H41" s="26"/>
    </row>
    <row r="42" spans="1:11" x14ac:dyDescent="0.3">
      <c r="G42" s="15"/>
      <c r="H42" s="15"/>
    </row>
    <row r="43" spans="1:11" x14ac:dyDescent="0.3">
      <c r="G43" s="27"/>
      <c r="H43" s="27"/>
    </row>
    <row r="44" spans="1:11" x14ac:dyDescent="0.3">
      <c r="C44" s="19"/>
      <c r="D44" s="19"/>
      <c r="E44" s="19"/>
    </row>
    <row r="46" spans="1:11" x14ac:dyDescent="0.3">
      <c r="B46" s="17" t="s">
        <v>1029</v>
      </c>
      <c r="C46" s="20"/>
      <c r="D46" s="20"/>
      <c r="E46" s="20"/>
      <c r="F46" s="20"/>
      <c r="G46" s="20"/>
      <c r="H46" s="20"/>
      <c r="I46" s="21">
        <f>'зведена таблиця'!C41-'накладні витрати'!I35</f>
        <v>59175069.137487605</v>
      </c>
      <c r="J46" s="21">
        <f>'зведена таблиця'!D41-'накладні витрати'!J35</f>
        <v>59068613.616602354</v>
      </c>
      <c r="K46" s="21">
        <f>J46-I46</f>
        <v>-106455.52088525146</v>
      </c>
    </row>
    <row r="47" spans="1:11" x14ac:dyDescent="0.3">
      <c r="B47" s="17" t="s">
        <v>1030</v>
      </c>
      <c r="C47" s="20"/>
      <c r="D47" s="20"/>
      <c r="E47" s="20"/>
      <c r="F47" s="20"/>
      <c r="G47" s="20"/>
      <c r="H47" s="20"/>
      <c r="I47" s="21">
        <f>I35</f>
        <v>1549851</v>
      </c>
      <c r="J47" s="21">
        <f>J35</f>
        <v>1706761</v>
      </c>
      <c r="K47" s="21">
        <f>J47-I47</f>
        <v>156910</v>
      </c>
    </row>
    <row r="48" spans="1:11" x14ac:dyDescent="0.3">
      <c r="B48" s="17"/>
      <c r="C48" s="20"/>
      <c r="D48" s="20"/>
      <c r="E48" s="20"/>
      <c r="F48" s="20"/>
      <c r="G48" s="20"/>
      <c r="H48" s="20"/>
      <c r="I48" s="22">
        <f>SUM(I46:I47)</f>
        <v>60724920.137487605</v>
      </c>
      <c r="J48" s="22">
        <f>SUM(J46:J47)</f>
        <v>60775374.616602354</v>
      </c>
      <c r="K48" s="22">
        <f>J48-I48</f>
        <v>50454.479114748538</v>
      </c>
    </row>
    <row r="50" spans="8:10" x14ac:dyDescent="0.3">
      <c r="H50" s="12" t="s">
        <v>1031</v>
      </c>
      <c r="I50" s="250">
        <f>I46/I48</f>
        <v>0.97447751274944494</v>
      </c>
      <c r="J50" s="250">
        <f>J46/J48</f>
        <v>0.97191689873132014</v>
      </c>
    </row>
    <row r="51" spans="8:10" x14ac:dyDescent="0.3">
      <c r="H51" s="12" t="s">
        <v>1032</v>
      </c>
      <c r="I51" s="250">
        <f>I47/I48</f>
        <v>2.5522487250555032E-2</v>
      </c>
      <c r="J51" s="250">
        <f>J47/J48</f>
        <v>2.8083101268679873E-2</v>
      </c>
    </row>
    <row r="53" spans="8:10" x14ac:dyDescent="0.3">
      <c r="I53" s="281">
        <f>'зведена таблиця'!C41</f>
        <v>60724920.137487605</v>
      </c>
      <c r="J53" s="281">
        <f>'зведена таблиця'!D41</f>
        <v>60775374.616602354</v>
      </c>
    </row>
  </sheetData>
  <mergeCells count="5">
    <mergeCell ref="C5:E5"/>
    <mergeCell ref="F5:H5"/>
    <mergeCell ref="I5:K5"/>
    <mergeCell ref="B5:B6"/>
    <mergeCell ref="A5:A6"/>
  </mergeCells>
  <pageMargins left="0.31496062992125984" right="0.31496062992125984" top="0.15748031496062992" bottom="0.15748031496062992" header="0.31496062992125984" footer="0.31496062992125984"/>
  <pageSetup paperSize="9" scale="85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61">
    <pageSetUpPr fitToPage="1"/>
  </sheetPr>
  <dimension ref="A1:BZ395"/>
  <sheetViews>
    <sheetView zoomScale="80" zoomScaleNormal="80" workbookViewId="0">
      <pane xSplit="1" ySplit="8" topLeftCell="BN363" activePane="bottomRight" state="frozen"/>
      <selection pane="topRight" activeCell="B1" sqref="B1"/>
      <selection pane="bottomLeft" activeCell="A8" sqref="A8"/>
      <selection pane="bottomRight" activeCell="BS368" sqref="BS368:BS369"/>
    </sheetView>
  </sheetViews>
  <sheetFormatPr defaultColWidth="8.6640625" defaultRowHeight="14.4" x14ac:dyDescent="0.3"/>
  <cols>
    <col min="1" max="1" width="38.5546875" style="1" customWidth="1"/>
    <col min="2" max="2" width="8.109375" style="1" customWidth="1"/>
    <col min="3" max="3" width="16.44140625" style="2" customWidth="1"/>
    <col min="4" max="4" width="12.109375" style="103" customWidth="1"/>
    <col min="5" max="5" width="14.33203125" style="2" customWidth="1"/>
    <col min="6" max="9" width="12.109375" style="2" customWidth="1"/>
    <col min="10" max="10" width="11.44140625" style="686" customWidth="1"/>
    <col min="11" max="11" width="13.33203125" style="2" customWidth="1"/>
    <col min="12" max="13" width="12.109375" style="1" customWidth="1"/>
    <col min="14" max="14" width="12.109375" style="104" customWidth="1"/>
    <col min="15" max="24" width="12.109375" style="1" customWidth="1"/>
    <col min="25" max="25" width="14.109375" style="1" customWidth="1"/>
    <col min="26" max="26" width="12.109375" style="104" customWidth="1"/>
    <col min="27" max="34" width="12.109375" style="1" customWidth="1"/>
    <col min="35" max="35" width="11.88671875" style="1" customWidth="1"/>
    <col min="36" max="40" width="12.109375" style="1" customWidth="1"/>
    <col min="41" max="41" width="11.5546875" style="1" customWidth="1"/>
    <col min="42" max="42" width="17.33203125" style="1" customWidth="1"/>
    <col min="43" max="43" width="15.88671875" style="416" customWidth="1"/>
    <col min="44" max="46" width="15.88671875" style="1" customWidth="1"/>
    <col min="47" max="47" width="14.88671875" style="1" customWidth="1"/>
    <col min="48" max="48" width="17.6640625" style="262" customWidth="1"/>
    <col min="49" max="49" width="15.6640625" style="253" customWidth="1"/>
    <col min="50" max="53" width="15.88671875" style="1" customWidth="1"/>
    <col min="54" max="54" width="19.88671875" style="4" customWidth="1"/>
    <col min="55" max="59" width="13" style="1" customWidth="1"/>
    <col min="60" max="60" width="16.44140625" style="251" customWidth="1"/>
    <col min="61" max="61" width="15.88671875" style="104" customWidth="1"/>
    <col min="62" max="62" width="15.88671875" style="1" customWidth="1"/>
    <col min="63" max="63" width="8.6640625" style="1" customWidth="1"/>
    <col min="64" max="64" width="25.5546875" style="1" customWidth="1"/>
    <col min="65" max="65" width="23.6640625" style="104" customWidth="1"/>
    <col min="66" max="66" width="8.6640625" style="1"/>
    <col min="67" max="67" width="29" style="1" customWidth="1"/>
    <col min="68" max="70" width="8.6640625" style="1"/>
    <col min="71" max="71" width="40.88671875" style="1" customWidth="1"/>
    <col min="72" max="72" width="8.6640625" style="1"/>
    <col min="73" max="73" width="10.33203125" style="1" customWidth="1"/>
    <col min="74" max="74" width="8.6640625" style="1"/>
    <col min="75" max="75" width="11.33203125" style="1" customWidth="1"/>
    <col min="76" max="76" width="8.6640625" style="1"/>
    <col min="77" max="78" width="18.88671875" style="2" customWidth="1"/>
    <col min="79" max="16384" width="8.6640625" style="1"/>
  </cols>
  <sheetData>
    <row r="1" spans="1:78" x14ac:dyDescent="0.3">
      <c r="A1" s="1" t="s">
        <v>0</v>
      </c>
      <c r="S1" s="2"/>
      <c r="V1" s="2"/>
      <c r="AF1" s="4"/>
      <c r="AI1" s="432"/>
      <c r="AL1" s="122"/>
      <c r="AQ1" s="413"/>
      <c r="AV1" s="261"/>
      <c r="AX1" s="1" t="s">
        <v>1590</v>
      </c>
    </row>
    <row r="2" spans="1:78" ht="22.2" customHeight="1" x14ac:dyDescent="0.3">
      <c r="A2" s="28" t="s">
        <v>1088</v>
      </c>
      <c r="J2" s="105">
        <f>місяць!A2</f>
        <v>2023</v>
      </c>
      <c r="K2" s="809" t="s">
        <v>1805</v>
      </c>
      <c r="S2" s="2"/>
      <c r="V2" s="2"/>
      <c r="AF2" s="4"/>
      <c r="AI2" s="432"/>
      <c r="AL2" s="122"/>
      <c r="AQ2" s="414"/>
      <c r="AR2" s="794"/>
      <c r="AS2" s="406"/>
      <c r="AT2" s="406"/>
      <c r="AU2" s="447"/>
      <c r="AV2" s="447"/>
      <c r="AX2" s="405"/>
      <c r="BE2" s="395"/>
      <c r="BF2" s="395"/>
      <c r="BM2" s="255"/>
    </row>
    <row r="3" spans="1:78" s="4" customFormat="1" ht="15.6" x14ac:dyDescent="0.3">
      <c r="C3" s="122"/>
      <c r="D3" s="314"/>
      <c r="E3" s="122"/>
      <c r="F3" s="122"/>
      <c r="G3" s="122"/>
      <c r="H3" s="122"/>
      <c r="I3" s="122"/>
      <c r="J3" s="105"/>
      <c r="K3" s="122"/>
      <c r="N3" s="137"/>
      <c r="S3" s="139"/>
      <c r="V3" s="123"/>
      <c r="Y3" s="123"/>
      <c r="Z3" s="137"/>
      <c r="AC3" s="123"/>
      <c r="AF3" s="419"/>
      <c r="AI3" s="123"/>
      <c r="AL3" s="438"/>
      <c r="AQ3" s="415"/>
      <c r="AR3" s="438"/>
      <c r="AS3" s="407"/>
      <c r="AT3" s="407"/>
      <c r="AU3" s="447"/>
      <c r="AV3" s="681"/>
      <c r="AW3" s="447"/>
      <c r="AX3" s="404"/>
      <c r="AY3" s="123"/>
      <c r="BA3" s="123"/>
      <c r="BC3" s="805" t="s">
        <v>1807</v>
      </c>
      <c r="BD3" s="123"/>
      <c r="BE3" s="805"/>
      <c r="BF3" s="123"/>
      <c r="BH3" s="252"/>
      <c r="BI3" s="137"/>
      <c r="BK3" s="805"/>
      <c r="BM3" s="137"/>
      <c r="BY3" s="122"/>
      <c r="BZ3" s="122"/>
    </row>
    <row r="4" spans="1:78" ht="13.8" x14ac:dyDescent="0.3">
      <c r="A4" s="81" t="s">
        <v>966</v>
      </c>
      <c r="B4" s="120">
        <f>1045696/1251619</f>
        <v>0.83547469317739664</v>
      </c>
      <c r="C4" s="448"/>
      <c r="D4" s="104"/>
      <c r="E4" s="1"/>
      <c r="S4" s="2"/>
      <c r="V4" s="2"/>
      <c r="AF4" s="677" t="s">
        <v>1644</v>
      </c>
      <c r="AG4" s="678"/>
      <c r="AH4" s="679"/>
      <c r="AI4" s="432"/>
      <c r="AL4" s="314"/>
      <c r="AQ4" s="702"/>
      <c r="AR4" s="915" t="s">
        <v>1809</v>
      </c>
      <c r="AS4" s="790"/>
      <c r="AT4" s="790"/>
      <c r="AU4" s="790"/>
      <c r="AV4" s="575"/>
      <c r="AW4" s="254"/>
      <c r="BC4" s="118" t="s">
        <v>1808</v>
      </c>
      <c r="BH4" s="431"/>
      <c r="BK4" s="806"/>
    </row>
    <row r="5" spans="1:78" ht="21" customHeight="1" thickBot="1" x14ac:dyDescent="0.35">
      <c r="A5" s="81" t="s">
        <v>967</v>
      </c>
      <c r="B5" s="120">
        <f>661065/5135968</f>
        <v>0.12871283465940597</v>
      </c>
      <c r="C5" s="152">
        <f>B5</f>
        <v>0.12871283465940597</v>
      </c>
      <c r="D5" s="780" t="s">
        <v>1009</v>
      </c>
      <c r="E5" s="1"/>
      <c r="S5" s="2"/>
      <c r="V5" s="2"/>
      <c r="AF5" s="1307"/>
      <c r="AG5" s="1307"/>
      <c r="AH5" s="1307"/>
      <c r="AI5" s="1307"/>
      <c r="AJ5" s="1307"/>
      <c r="AK5" s="1307"/>
      <c r="AL5" s="158"/>
      <c r="AQ5" s="413"/>
      <c r="AR5" s="136"/>
      <c r="AS5" s="136"/>
      <c r="AT5" s="136"/>
      <c r="AU5" s="136"/>
      <c r="AV5" s="1340"/>
      <c r="AW5" s="1340"/>
      <c r="AX5" s="743"/>
      <c r="BB5" s="412"/>
      <c r="BE5" s="136"/>
      <c r="BH5" s="431"/>
      <c r="BK5" s="806"/>
    </row>
    <row r="6" spans="1:78" ht="14.7" customHeight="1" thickBot="1" x14ac:dyDescent="0.35">
      <c r="D6" s="104"/>
      <c r="F6" s="290" t="s">
        <v>1081</v>
      </c>
      <c r="H6" s="293">
        <v>1</v>
      </c>
      <c r="J6" s="457"/>
      <c r="M6" s="2"/>
      <c r="O6" s="2"/>
      <c r="Q6" s="2"/>
      <c r="S6" s="2"/>
      <c r="U6" s="2"/>
      <c r="W6" s="2"/>
      <c r="Y6" s="2"/>
      <c r="Z6" s="1"/>
      <c r="AA6" s="2"/>
      <c r="AC6" s="2"/>
      <c r="AE6" s="2"/>
      <c r="AF6" s="1308"/>
      <c r="AG6" s="1308"/>
      <c r="AH6" s="1308"/>
      <c r="AI6" s="1308"/>
      <c r="AJ6" s="1308"/>
      <c r="AK6" s="1308"/>
      <c r="AM6" s="2"/>
      <c r="AO6" s="2"/>
      <c r="AQ6" s="770"/>
      <c r="AR6" s="1312" t="s">
        <v>987</v>
      </c>
      <c r="AS6" s="1313"/>
      <c r="AT6" s="1313"/>
      <c r="AU6" s="1313"/>
      <c r="AV6" s="1314"/>
      <c r="AW6" s="1315"/>
      <c r="AX6" s="1320" t="s">
        <v>988</v>
      </c>
      <c r="AY6" s="1320"/>
      <c r="AZ6" s="771" t="s">
        <v>989</v>
      </c>
      <c r="BA6" s="772"/>
      <c r="BC6" s="1319" t="s">
        <v>990</v>
      </c>
      <c r="BD6" s="1320"/>
      <c r="BE6" s="1320"/>
      <c r="BF6" s="1320"/>
      <c r="BG6" s="1321"/>
      <c r="BH6" s="1321"/>
      <c r="BJ6" s="1310" t="s">
        <v>991</v>
      </c>
      <c r="BK6" s="806"/>
      <c r="BL6" s="290" t="s">
        <v>1801</v>
      </c>
      <c r="BM6" s="686" t="s">
        <v>1684</v>
      </c>
    </row>
    <row r="7" spans="1:78" ht="43.5" customHeight="1" thickBot="1" x14ac:dyDescent="0.35">
      <c r="A7" s="1349" t="s">
        <v>1</v>
      </c>
      <c r="B7" s="1351" t="s">
        <v>2</v>
      </c>
      <c r="C7" s="1359" t="s">
        <v>970</v>
      </c>
      <c r="D7" s="1353" t="s">
        <v>14</v>
      </c>
      <c r="E7" s="1354"/>
      <c r="F7" s="1354"/>
      <c r="G7" s="1354"/>
      <c r="H7" s="1354"/>
      <c r="I7" s="1354"/>
      <c r="J7" s="1354"/>
      <c r="K7" s="1355"/>
      <c r="L7" s="1353" t="s">
        <v>974</v>
      </c>
      <c r="M7" s="1354"/>
      <c r="N7" s="1354"/>
      <c r="O7" s="1354"/>
      <c r="P7" s="1354"/>
      <c r="Q7" s="1354"/>
      <c r="R7" s="1356"/>
      <c r="S7" s="1346" t="s">
        <v>959</v>
      </c>
      <c r="T7" s="1347"/>
      <c r="U7" s="1348"/>
      <c r="V7" s="1361" t="s">
        <v>962</v>
      </c>
      <c r="W7" s="1354"/>
      <c r="X7" s="1355"/>
      <c r="Y7" s="1346" t="s">
        <v>926</v>
      </c>
      <c r="Z7" s="1357"/>
      <c r="AA7" s="1347"/>
      <c r="AB7" s="1358"/>
      <c r="AC7" s="1346" t="s">
        <v>927</v>
      </c>
      <c r="AD7" s="1347"/>
      <c r="AE7" s="1348"/>
      <c r="AF7" s="1346" t="s">
        <v>964</v>
      </c>
      <c r="AG7" s="1347"/>
      <c r="AH7" s="1348"/>
      <c r="AI7" s="1357" t="s">
        <v>965</v>
      </c>
      <c r="AJ7" s="1347"/>
      <c r="AK7" s="1358"/>
      <c r="AL7" s="1346" t="s">
        <v>928</v>
      </c>
      <c r="AM7" s="1362"/>
      <c r="AN7" s="1347"/>
      <c r="AO7" s="1348"/>
      <c r="AQ7" s="1363" t="s">
        <v>992</v>
      </c>
      <c r="AR7" s="1324" t="s">
        <v>993</v>
      </c>
      <c r="AS7" s="1326" t="s">
        <v>994</v>
      </c>
      <c r="AT7" s="1328" t="s">
        <v>995</v>
      </c>
      <c r="AU7" s="1329"/>
      <c r="AV7" s="1331" t="s">
        <v>1810</v>
      </c>
      <c r="AW7" s="1316" t="s">
        <v>1799</v>
      </c>
      <c r="AX7" s="1334" t="s">
        <v>996</v>
      </c>
      <c r="AY7" s="1336" t="s">
        <v>997</v>
      </c>
      <c r="AZ7" s="1344" t="s">
        <v>994</v>
      </c>
      <c r="BA7" s="1338" t="s">
        <v>998</v>
      </c>
      <c r="BB7" s="1310"/>
      <c r="BC7" s="1309" t="s">
        <v>999</v>
      </c>
      <c r="BD7" s="1309" t="s">
        <v>1000</v>
      </c>
      <c r="BE7" s="1309" t="s">
        <v>1001</v>
      </c>
      <c r="BF7" s="1309" t="s">
        <v>1125</v>
      </c>
      <c r="BG7" s="1333" t="s">
        <v>1002</v>
      </c>
      <c r="BH7" s="1322" t="s">
        <v>1802</v>
      </c>
      <c r="BJ7" s="1311"/>
      <c r="BL7" s="310" t="s">
        <v>1800</v>
      </c>
      <c r="BM7" s="988" t="s">
        <v>1716</v>
      </c>
      <c r="BO7" s="1310" t="s">
        <v>1593</v>
      </c>
      <c r="BS7" s="1305" t="s">
        <v>1792</v>
      </c>
    </row>
    <row r="8" spans="1:78" ht="31.5" customHeight="1" thickBot="1" x14ac:dyDescent="0.35">
      <c r="A8" s="1350"/>
      <c r="B8" s="1352"/>
      <c r="C8" s="1360"/>
      <c r="D8" s="215" t="s">
        <v>951</v>
      </c>
      <c r="E8" s="29" t="s">
        <v>952</v>
      </c>
      <c r="F8" s="29" t="s">
        <v>953</v>
      </c>
      <c r="G8" s="29" t="s">
        <v>954</v>
      </c>
      <c r="H8" s="29" t="s">
        <v>955</v>
      </c>
      <c r="I8" s="29" t="s">
        <v>956</v>
      </c>
      <c r="J8" s="687" t="s">
        <v>963</v>
      </c>
      <c r="K8" s="124" t="s">
        <v>957</v>
      </c>
      <c r="L8" s="34" t="s">
        <v>951</v>
      </c>
      <c r="M8" s="29" t="s">
        <v>952</v>
      </c>
      <c r="N8" s="30" t="s">
        <v>953</v>
      </c>
      <c r="O8" s="29" t="s">
        <v>958</v>
      </c>
      <c r="P8" s="29" t="s">
        <v>955</v>
      </c>
      <c r="Q8" s="29" t="s">
        <v>956</v>
      </c>
      <c r="R8" s="989" t="s">
        <v>957</v>
      </c>
      <c r="S8" s="34" t="s">
        <v>960</v>
      </c>
      <c r="T8" s="29" t="s">
        <v>961</v>
      </c>
      <c r="U8" s="124" t="s">
        <v>957</v>
      </c>
      <c r="V8" s="814" t="s">
        <v>960</v>
      </c>
      <c r="W8" s="29" t="s">
        <v>961</v>
      </c>
      <c r="X8" s="124" t="s">
        <v>957</v>
      </c>
      <c r="Y8" s="34" t="s">
        <v>960</v>
      </c>
      <c r="Z8" s="138" t="s">
        <v>1008</v>
      </c>
      <c r="AA8" s="29" t="s">
        <v>961</v>
      </c>
      <c r="AB8" s="989" t="s">
        <v>957</v>
      </c>
      <c r="AC8" s="34" t="s">
        <v>960</v>
      </c>
      <c r="AD8" s="29" t="s">
        <v>961</v>
      </c>
      <c r="AE8" s="124" t="s">
        <v>957</v>
      </c>
      <c r="AF8" s="140" t="s">
        <v>960</v>
      </c>
      <c r="AG8" s="29" t="s">
        <v>961</v>
      </c>
      <c r="AH8" s="124" t="s">
        <v>957</v>
      </c>
      <c r="AI8" s="803" t="s">
        <v>960</v>
      </c>
      <c r="AJ8" s="29" t="s">
        <v>961</v>
      </c>
      <c r="AK8" s="989" t="s">
        <v>957</v>
      </c>
      <c r="AL8" s="140" t="s">
        <v>960</v>
      </c>
      <c r="AM8" s="29" t="s">
        <v>968</v>
      </c>
      <c r="AN8" s="29" t="s">
        <v>961</v>
      </c>
      <c r="AO8" s="124" t="s">
        <v>957</v>
      </c>
      <c r="AQ8" s="1364"/>
      <c r="AR8" s="1325"/>
      <c r="AS8" s="1327"/>
      <c r="AT8" s="991" t="s">
        <v>1003</v>
      </c>
      <c r="AU8" s="991" t="s">
        <v>1004</v>
      </c>
      <c r="AV8" s="1332"/>
      <c r="AW8" s="1317"/>
      <c r="AX8" s="1335"/>
      <c r="AY8" s="1337"/>
      <c r="AZ8" s="1345"/>
      <c r="BA8" s="1339"/>
      <c r="BB8" s="1318"/>
      <c r="BC8" s="1309"/>
      <c r="BD8" s="1309"/>
      <c r="BE8" s="1309"/>
      <c r="BF8" s="1309"/>
      <c r="BG8" s="1333"/>
      <c r="BH8" s="1323"/>
      <c r="BJ8" s="1318"/>
      <c r="BL8" s="29"/>
      <c r="BM8" s="687"/>
      <c r="BO8" s="1311"/>
      <c r="BS8" s="1306"/>
    </row>
    <row r="9" spans="1:78" ht="15" thickBot="1" x14ac:dyDescent="0.35">
      <c r="A9" s="260" t="s">
        <v>146</v>
      </c>
      <c r="B9" s="237">
        <v>2</v>
      </c>
      <c r="C9" s="40">
        <f>'[7]побудинковий звіт'!E9</f>
        <v>372.8</v>
      </c>
      <c r="D9" s="215">
        <f>(AQ9+AR9+AV9)*$AR$376</f>
        <v>229.02043535924227</v>
      </c>
      <c r="E9" s="107">
        <f>D9*$AR$379</f>
        <v>50.384537855560801</v>
      </c>
      <c r="F9" s="107">
        <f>AX9*$F$375+BM9+BK9</f>
        <v>280.84467298178083</v>
      </c>
      <c r="G9" s="107">
        <f>BL9</f>
        <v>0</v>
      </c>
      <c r="H9" s="107">
        <f>D9*$B$4</f>
        <v>191.34077796311675</v>
      </c>
      <c r="I9" s="107">
        <f>(D9+E9+F9+G9+H9)*$B$5</f>
        <v>96.73933399646036</v>
      </c>
      <c r="J9" s="687">
        <f t="shared" ref="J9:J72" si="0">F9*$J$376*-1</f>
        <v>0</v>
      </c>
      <c r="K9" s="142">
        <f>D9+E9+F9+G9+H9+I9-J9</f>
        <v>848.32975815616101</v>
      </c>
      <c r="L9" s="141">
        <f t="shared" ref="L9:L72" si="1">(AS9+AT9+AU9)*$AS$376</f>
        <v>74.675774608153276</v>
      </c>
      <c r="M9" s="107">
        <f t="shared" ref="M9:M72" si="2">L9*$AS$379</f>
        <v>16.428593087783838</v>
      </c>
      <c r="N9" s="30">
        <f>AY9+BA9</f>
        <v>7.2606504638278082</v>
      </c>
      <c r="O9" s="107">
        <f t="shared" ref="O9:O72" si="3">$O$369/$C$368*C9</f>
        <v>0.67115535238176849</v>
      </c>
      <c r="P9" s="107">
        <f>L9*$B$4</f>
        <v>62.389719878531288</v>
      </c>
      <c r="Q9" s="107">
        <f>(L9+M9+N9+O9+P9)*$B$5</f>
        <v>20.777584325741234</v>
      </c>
      <c r="R9" s="143">
        <f>SUM(L9:Q9)</f>
        <v>182.20347771641923</v>
      </c>
      <c r="S9" s="141">
        <f>BJ9*2.64/12</f>
        <v>0</v>
      </c>
      <c r="T9" s="107">
        <f t="shared" ref="T9:T72" si="4">S9*$B$5</f>
        <v>0</v>
      </c>
      <c r="U9" s="142">
        <f>T9+T9</f>
        <v>0</v>
      </c>
      <c r="V9" s="107"/>
      <c r="W9" s="107">
        <f>V9*$B$5</f>
        <v>0</v>
      </c>
      <c r="X9" s="142">
        <f>V9+W9</f>
        <v>0</v>
      </c>
      <c r="Y9" s="141">
        <v>0</v>
      </c>
      <c r="Z9" s="144">
        <v>0</v>
      </c>
      <c r="AA9" s="107">
        <f t="shared" ref="AA9:AA72" si="5">(Y9+Z9)*$B$5</f>
        <v>0</v>
      </c>
      <c r="AB9" s="142">
        <f t="shared" ref="AB9:AB72" si="6">Y9+Z9+AA9</f>
        <v>0</v>
      </c>
      <c r="AC9" s="141">
        <v>0</v>
      </c>
      <c r="AD9" s="107">
        <f>AC9*$B$5</f>
        <v>0</v>
      </c>
      <c r="AE9" s="142">
        <f>AC9+AD9</f>
        <v>0</v>
      </c>
      <c r="AF9" s="145">
        <v>0</v>
      </c>
      <c r="AG9" s="107">
        <f>AF9*$B$5</f>
        <v>0</v>
      </c>
      <c r="AH9" s="142">
        <f>AF9+AG9</f>
        <v>0</v>
      </c>
      <c r="AI9" s="145">
        <v>0</v>
      </c>
      <c r="AJ9" s="107">
        <f>AI9*$B$5</f>
        <v>0</v>
      </c>
      <c r="AK9" s="142">
        <f>AI9+AJ9</f>
        <v>0</v>
      </c>
      <c r="AL9" s="146"/>
      <c r="AM9" s="401"/>
      <c r="AN9" s="107">
        <f>AL9*$C$5</f>
        <v>0</v>
      </c>
      <c r="AO9" s="151">
        <f>AL9+AM9+AN9</f>
        <v>0</v>
      </c>
      <c r="AP9" s="574">
        <f>AR9+AS9+AT9</f>
        <v>249.3037693631052</v>
      </c>
      <c r="AQ9" s="684">
        <v>21.64</v>
      </c>
      <c r="AR9" s="411">
        <v>180.33417669235374</v>
      </c>
      <c r="AS9" s="411">
        <v>68.969592670751467</v>
      </c>
      <c r="AT9" s="411">
        <v>0</v>
      </c>
      <c r="AU9" s="411">
        <v>0</v>
      </c>
      <c r="AV9" s="742">
        <v>9.3896553210452502</v>
      </c>
      <c r="AW9" s="256"/>
      <c r="AX9" s="728">
        <f>BC9+BD9+BE9+BF9+BG9</f>
        <v>46.824672981780822</v>
      </c>
      <c r="AY9" s="729">
        <v>7.2606504638278082</v>
      </c>
      <c r="AZ9" s="730"/>
      <c r="BA9" s="731">
        <v>0</v>
      </c>
      <c r="BB9" s="742"/>
      <c r="BC9" s="727">
        <v>26.362500000000001</v>
      </c>
      <c r="BD9" s="727">
        <v>20.462172981780821</v>
      </c>
      <c r="BE9" s="727"/>
      <c r="BF9" s="727"/>
      <c r="BG9" s="727">
        <v>0</v>
      </c>
      <c r="BH9" s="727">
        <v>38.04296875</v>
      </c>
      <c r="BI9" s="137">
        <f>BC9+BD9+BE9+BG9</f>
        <v>46.824672981780822</v>
      </c>
      <c r="BJ9" s="125"/>
      <c r="BK9" s="807"/>
      <c r="BL9" s="107"/>
      <c r="BM9" s="687">
        <v>234.02</v>
      </c>
      <c r="BO9" s="577"/>
      <c r="BS9" s="904"/>
      <c r="BT9" s="789"/>
      <c r="BU9" s="789">
        <v>164.24113791428653</v>
      </c>
      <c r="BV9" s="789">
        <v>0</v>
      </c>
      <c r="BW9" s="789">
        <f>BU9+BV9</f>
        <v>164.24113791428653</v>
      </c>
    </row>
    <row r="10" spans="1:78" ht="15" thickBot="1" x14ac:dyDescent="0.35">
      <c r="A10" s="219" t="s">
        <v>239</v>
      </c>
      <c r="B10" s="237">
        <v>5</v>
      </c>
      <c r="C10" s="40">
        <f>'[7]побудинковий звіт'!E10</f>
        <v>1840.7</v>
      </c>
      <c r="D10" s="215">
        <f t="shared" ref="D10:D73" si="7">(AQ10+AR10+AV10)*$AR$376</f>
        <v>1067.6254814102276</v>
      </c>
      <c r="E10" s="107">
        <f t="shared" ref="E10:E73" si="8">D10*$AR$379</f>
        <v>234.87780205856697</v>
      </c>
      <c r="F10" s="107">
        <f t="shared" ref="F10:F73" si="9">AX10*$F$375+BM10+BK10</f>
        <v>56.279080443336802</v>
      </c>
      <c r="G10" s="107">
        <f t="shared" ref="G10:G73" si="10">BL10</f>
        <v>0</v>
      </c>
      <c r="H10" s="107">
        <f t="shared" ref="H10:H73" si="11">D10*$B$4</f>
        <v>891.97407150958031</v>
      </c>
      <c r="I10" s="107">
        <f t="shared" ref="I10:I73" si="12">(D10+E10+F10+G10+H10)*$B$5</f>
        <v>289.70124093102874</v>
      </c>
      <c r="J10" s="687">
        <f t="shared" si="0"/>
        <v>0</v>
      </c>
      <c r="K10" s="142">
        <f t="shared" ref="K10:K73" si="13">D10+E10+F10+G10+H10+I10-J10</f>
        <v>2540.4576763527402</v>
      </c>
      <c r="L10" s="141">
        <f t="shared" si="1"/>
        <v>588.96337036737577</v>
      </c>
      <c r="M10" s="107">
        <f t="shared" si="2"/>
        <v>129.57133161520514</v>
      </c>
      <c r="N10" s="30">
        <f t="shared" ref="N10:N73" si="14">AY10+BA10</f>
        <v>37.813438906123523</v>
      </c>
      <c r="O10" s="107">
        <f t="shared" si="3"/>
        <v>3.3138295523849819</v>
      </c>
      <c r="P10" s="107">
        <f t="shared" ref="P10:P73" si="15">L10*$B$4</f>
        <v>492.0639911504087</v>
      </c>
      <c r="Q10" s="107">
        <f t="shared" ref="Q10:Q73" si="16">(L10+M10+N10+O10+P10)*$B$5</f>
        <v>161.11319673321245</v>
      </c>
      <c r="R10" s="143">
        <f t="shared" ref="R10:R73" si="17">SUM(L10:Q10)</f>
        <v>1412.8391583247105</v>
      </c>
      <c r="S10" s="141">
        <f t="shared" ref="S10:S73" si="18">BJ10*2.64/12</f>
        <v>86.152000000000001</v>
      </c>
      <c r="T10" s="107">
        <f t="shared" si="4"/>
        <v>11.088868131577144</v>
      </c>
      <c r="U10" s="142">
        <f t="shared" ref="U10:U73" si="19">S10+T10</f>
        <v>97.240868131577145</v>
      </c>
      <c r="V10" s="107"/>
      <c r="W10" s="107">
        <f t="shared" ref="W10:W73" si="20">V10*$B$5</f>
        <v>0</v>
      </c>
      <c r="X10" s="142">
        <f t="shared" ref="X10:X73" si="21">V10+W10</f>
        <v>0</v>
      </c>
      <c r="Y10" s="141">
        <v>0</v>
      </c>
      <c r="Z10" s="144">
        <v>0</v>
      </c>
      <c r="AA10" s="107">
        <f t="shared" si="5"/>
        <v>0</v>
      </c>
      <c r="AB10" s="142">
        <f t="shared" si="6"/>
        <v>0</v>
      </c>
      <c r="AC10" s="141">
        <v>0</v>
      </c>
      <c r="AD10" s="107">
        <f t="shared" ref="AD10:AD73" si="22">AC10*$B$5</f>
        <v>0</v>
      </c>
      <c r="AE10" s="142">
        <f t="shared" ref="AE10:AE73" si="23">AC10+AD10</f>
        <v>0</v>
      </c>
      <c r="AF10" s="145">
        <v>99</v>
      </c>
      <c r="AG10" s="107">
        <f t="shared" ref="AG10:AG73" si="24">AF10*$B$5</f>
        <v>12.742570631281191</v>
      </c>
      <c r="AH10" s="142">
        <f t="shared" ref="AH10:AH73" si="25">AF10+AG10</f>
        <v>111.7425706312812</v>
      </c>
      <c r="AI10" s="145">
        <v>0</v>
      </c>
      <c r="AJ10" s="107">
        <f t="shared" ref="AJ10:AJ73" si="26">AI10*$B$5</f>
        <v>0</v>
      </c>
      <c r="AK10" s="142">
        <f t="shared" ref="AK10:AK73" si="27">AI10+AJ10</f>
        <v>0</v>
      </c>
      <c r="AL10" s="146">
        <f>318.75</f>
        <v>318.75</v>
      </c>
      <c r="AM10" s="146"/>
      <c r="AN10" s="107">
        <f t="shared" ref="AN10:AN73" si="28">AL10*$C$5</f>
        <v>41.027216047685656</v>
      </c>
      <c r="AO10" s="151">
        <f t="shared" ref="AO10:AO73" si="29">AL10+AM10+AN10</f>
        <v>359.77721604768567</v>
      </c>
      <c r="AP10" s="282">
        <f t="shared" ref="AP10:AP73" si="30">AR10+AS10+AT10</f>
        <v>1249.7146773577508</v>
      </c>
      <c r="AQ10" s="684">
        <v>279.56</v>
      </c>
      <c r="AR10" s="740">
        <v>705.75562282662042</v>
      </c>
      <c r="AS10" s="740">
        <v>530.14838172335328</v>
      </c>
      <c r="AT10" s="740">
        <v>13.81067280777703</v>
      </c>
      <c r="AU10" s="411">
        <v>0</v>
      </c>
      <c r="AV10" s="801"/>
      <c r="AW10" s="256"/>
      <c r="AX10" s="728">
        <f t="shared" ref="AX10:AX73" si="31">BC10+BD10+BE10+BF10+BG10</f>
        <v>56.279080443336802</v>
      </c>
      <c r="AY10" s="729">
        <v>37.813438906123523</v>
      </c>
      <c r="AZ10" s="730"/>
      <c r="BA10" s="731">
        <v>0</v>
      </c>
      <c r="BC10" s="727">
        <v>0</v>
      </c>
      <c r="BD10" s="727">
        <v>56.279080443336802</v>
      </c>
      <c r="BE10" s="727"/>
      <c r="BF10" s="727"/>
      <c r="BG10" s="727">
        <v>0</v>
      </c>
      <c r="BH10" s="727">
        <v>0</v>
      </c>
      <c r="BI10" s="137">
        <f>BC10+BD10+BE10+BG10</f>
        <v>56.279080443336802</v>
      </c>
      <c r="BJ10" s="126">
        <v>391.6</v>
      </c>
      <c r="BK10" s="807"/>
      <c r="BL10" s="107"/>
      <c r="BM10" s="687"/>
      <c r="BO10" s="577"/>
      <c r="BS10" s="904"/>
      <c r="BT10" s="789"/>
      <c r="BU10" s="789">
        <v>692.67337600729297</v>
      </c>
      <c r="BV10" s="789">
        <v>0</v>
      </c>
      <c r="BW10" s="789">
        <f t="shared" ref="BW10:BW73" si="32">BU10+BV10</f>
        <v>692.67337600729297</v>
      </c>
    </row>
    <row r="11" spans="1:78" ht="15" thickBot="1" x14ac:dyDescent="0.35">
      <c r="A11" s="219" t="s">
        <v>240</v>
      </c>
      <c r="B11" s="237">
        <v>5</v>
      </c>
      <c r="C11" s="40">
        <f>'[7]побудинковий звіт'!E11</f>
        <v>2805.68</v>
      </c>
      <c r="D11" s="215">
        <f t="shared" si="7"/>
        <v>1759.7424885109322</v>
      </c>
      <c r="E11" s="107">
        <f t="shared" si="8"/>
        <v>387.14367077915762</v>
      </c>
      <c r="F11" s="107">
        <f t="shared" si="9"/>
        <v>319.89795706396239</v>
      </c>
      <c r="G11" s="107">
        <f t="shared" si="10"/>
        <v>0</v>
      </c>
      <c r="H11" s="107">
        <f t="shared" si="11"/>
        <v>1470.2203156598996</v>
      </c>
      <c r="I11" s="107">
        <f t="shared" si="12"/>
        <v>506.74300051116035</v>
      </c>
      <c r="J11" s="687">
        <f t="shared" si="0"/>
        <v>0</v>
      </c>
      <c r="K11" s="142">
        <f t="shared" si="13"/>
        <v>4443.7474325251123</v>
      </c>
      <c r="L11" s="141">
        <f t="shared" si="1"/>
        <v>674.02251686983993</v>
      </c>
      <c r="M11" s="107">
        <f t="shared" si="2"/>
        <v>148.28425576786071</v>
      </c>
      <c r="N11" s="30">
        <f t="shared" si="14"/>
        <v>57.700674162406486</v>
      </c>
      <c r="O11" s="107">
        <f t="shared" si="3"/>
        <v>5.0510921380645923</v>
      </c>
      <c r="P11" s="107">
        <f t="shared" si="15"/>
        <v>563.12875547648616</v>
      </c>
      <c r="Q11" s="107">
        <f t="shared" si="16"/>
        <v>186.40029178184636</v>
      </c>
      <c r="R11" s="143">
        <f t="shared" si="17"/>
        <v>1634.5875861965044</v>
      </c>
      <c r="S11" s="141">
        <f t="shared" si="18"/>
        <v>126.39</v>
      </c>
      <c r="T11" s="107">
        <f t="shared" si="4"/>
        <v>16.268015172602322</v>
      </c>
      <c r="U11" s="142">
        <f t="shared" si="19"/>
        <v>142.65801517260232</v>
      </c>
      <c r="V11" s="107"/>
      <c r="W11" s="107">
        <f t="shared" si="20"/>
        <v>0</v>
      </c>
      <c r="X11" s="142">
        <f t="shared" si="21"/>
        <v>0</v>
      </c>
      <c r="Y11" s="141">
        <v>0</v>
      </c>
      <c r="Z11" s="144">
        <v>0</v>
      </c>
      <c r="AA11" s="107">
        <f t="shared" si="5"/>
        <v>0</v>
      </c>
      <c r="AB11" s="142">
        <f t="shared" si="6"/>
        <v>0</v>
      </c>
      <c r="AC11" s="141">
        <v>0</v>
      </c>
      <c r="AD11" s="107">
        <f t="shared" si="22"/>
        <v>0</v>
      </c>
      <c r="AE11" s="142">
        <f t="shared" si="23"/>
        <v>0</v>
      </c>
      <c r="AF11" s="145">
        <v>473</v>
      </c>
      <c r="AG11" s="107">
        <f t="shared" si="24"/>
        <v>60.881170793899024</v>
      </c>
      <c r="AH11" s="142">
        <f t="shared" si="25"/>
        <v>533.88117079389906</v>
      </c>
      <c r="AI11" s="145">
        <v>0</v>
      </c>
      <c r="AJ11" s="107">
        <f t="shared" si="26"/>
        <v>0</v>
      </c>
      <c r="AK11" s="142">
        <f t="shared" si="27"/>
        <v>0</v>
      </c>
      <c r="AL11" s="146">
        <v>3442.5</v>
      </c>
      <c r="AM11" s="146"/>
      <c r="AN11" s="107">
        <f t="shared" si="28"/>
        <v>443.09393331500507</v>
      </c>
      <c r="AO11" s="151">
        <f t="shared" si="29"/>
        <v>3885.593933315005</v>
      </c>
      <c r="AP11" s="282">
        <f t="shared" si="30"/>
        <v>1870.7816416017909</v>
      </c>
      <c r="AQ11" s="684">
        <v>375.81</v>
      </c>
      <c r="AR11" s="740">
        <v>1248.2630445954733</v>
      </c>
      <c r="AS11" s="740">
        <v>602.26630381593509</v>
      </c>
      <c r="AT11" s="740">
        <v>20.25229319038252</v>
      </c>
      <c r="AU11" s="411">
        <v>0</v>
      </c>
      <c r="AV11" s="801"/>
      <c r="AW11" s="256"/>
      <c r="AX11" s="728">
        <f t="shared" si="31"/>
        <v>85.877957063962384</v>
      </c>
      <c r="AY11" s="729">
        <v>57.700674162406486</v>
      </c>
      <c r="AZ11" s="730"/>
      <c r="BA11" s="731">
        <v>0</v>
      </c>
      <c r="BC11" s="727">
        <v>0</v>
      </c>
      <c r="BD11" s="727">
        <v>85.877957063962384</v>
      </c>
      <c r="BE11" s="727"/>
      <c r="BF11" s="727"/>
      <c r="BG11" s="727">
        <v>0</v>
      </c>
      <c r="BH11" s="727">
        <v>0</v>
      </c>
      <c r="BI11" s="137">
        <f>BC11+BD11+BE11+BG11</f>
        <v>85.877957063962384</v>
      </c>
      <c r="BJ11" s="126">
        <v>574.5</v>
      </c>
      <c r="BK11" s="807"/>
      <c r="BL11" s="107"/>
      <c r="BM11" s="687">
        <v>234.02</v>
      </c>
      <c r="BO11" s="577"/>
      <c r="BS11" s="904"/>
      <c r="BT11" s="789"/>
      <c r="BU11" s="789">
        <v>1069.1307965657356</v>
      </c>
      <c r="BV11" s="789">
        <v>0</v>
      </c>
      <c r="BW11" s="789">
        <f t="shared" si="32"/>
        <v>1069.1307965657356</v>
      </c>
    </row>
    <row r="12" spans="1:78" ht="15" thickBot="1" x14ac:dyDescent="0.35">
      <c r="A12" s="260" t="s">
        <v>338</v>
      </c>
      <c r="B12" s="237">
        <v>9</v>
      </c>
      <c r="C12" s="40">
        <f>'[7]побудинковий звіт'!E12</f>
        <v>6095.61</v>
      </c>
      <c r="D12" s="215">
        <f t="shared" si="7"/>
        <v>1138.842152802607</v>
      </c>
      <c r="E12" s="107">
        <f t="shared" si="8"/>
        <v>250.54548284909504</v>
      </c>
      <c r="F12" s="107">
        <f t="shared" si="9"/>
        <v>181.62877971506887</v>
      </c>
      <c r="G12" s="107">
        <f t="shared" si="10"/>
        <v>0</v>
      </c>
      <c r="H12" s="107">
        <f t="shared" si="11"/>
        <v>951.47379819024388</v>
      </c>
      <c r="I12" s="107">
        <f t="shared" si="12"/>
        <v>324.67686578753376</v>
      </c>
      <c r="J12" s="687">
        <f t="shared" si="0"/>
        <v>0</v>
      </c>
      <c r="K12" s="142">
        <f t="shared" si="13"/>
        <v>2847.1670793445487</v>
      </c>
      <c r="L12" s="141">
        <f t="shared" si="1"/>
        <v>1161.3450416595886</v>
      </c>
      <c r="M12" s="107">
        <f t="shared" si="2"/>
        <v>255.4947066040562</v>
      </c>
      <c r="N12" s="30">
        <f t="shared" si="14"/>
        <v>118.71572504226867</v>
      </c>
      <c r="O12" s="107">
        <f t="shared" si="3"/>
        <v>10.973984113551051</v>
      </c>
      <c r="P12" s="107">
        <f t="shared" si="15"/>
        <v>970.27439235363568</v>
      </c>
      <c r="Q12" s="107">
        <f t="shared" si="16"/>
        <v>323.94495778600151</v>
      </c>
      <c r="R12" s="143">
        <f t="shared" si="17"/>
        <v>2840.7488075591018</v>
      </c>
      <c r="S12" s="141">
        <f t="shared" si="18"/>
        <v>162.73400000000001</v>
      </c>
      <c r="T12" s="107">
        <f t="shared" si="4"/>
        <v>20.945954435463772</v>
      </c>
      <c r="U12" s="142">
        <f t="shared" si="19"/>
        <v>183.67995443546377</v>
      </c>
      <c r="V12" s="107"/>
      <c r="W12" s="107">
        <f t="shared" si="20"/>
        <v>0</v>
      </c>
      <c r="X12" s="142">
        <f t="shared" si="21"/>
        <v>0</v>
      </c>
      <c r="Y12" s="141">
        <v>4653.6499999999996</v>
      </c>
      <c r="Z12" s="144">
        <v>0</v>
      </c>
      <c r="AA12" s="107">
        <f t="shared" si="5"/>
        <v>598.98448301274459</v>
      </c>
      <c r="AB12" s="142">
        <f t="shared" si="6"/>
        <v>5252.6344830127446</v>
      </c>
      <c r="AC12" s="141">
        <v>0</v>
      </c>
      <c r="AD12" s="107">
        <f t="shared" si="22"/>
        <v>0</v>
      </c>
      <c r="AE12" s="142">
        <f t="shared" si="23"/>
        <v>0</v>
      </c>
      <c r="AF12" s="145">
        <v>1018.6</v>
      </c>
      <c r="AG12" s="107">
        <f t="shared" si="24"/>
        <v>131.10689338407093</v>
      </c>
      <c r="AH12" s="142">
        <f t="shared" si="25"/>
        <v>1149.706893384071</v>
      </c>
      <c r="AI12" s="145">
        <v>1529</v>
      </c>
      <c r="AJ12" s="107">
        <f t="shared" si="26"/>
        <v>196.80192419423173</v>
      </c>
      <c r="AK12" s="142">
        <f t="shared" si="27"/>
        <v>1725.8019241942318</v>
      </c>
      <c r="AL12" s="146"/>
      <c r="AM12" s="401"/>
      <c r="AN12" s="107">
        <f t="shared" si="28"/>
        <v>0</v>
      </c>
      <c r="AO12" s="151">
        <f t="shared" si="29"/>
        <v>0</v>
      </c>
      <c r="AP12" s="282">
        <f t="shared" si="30"/>
        <v>1802.4628428991603</v>
      </c>
      <c r="AQ12" s="684">
        <v>283.18</v>
      </c>
      <c r="AR12" s="411">
        <v>729.85937954367603</v>
      </c>
      <c r="AS12" s="411">
        <v>1041.1319742370436</v>
      </c>
      <c r="AT12" s="411">
        <v>31.47148911844053</v>
      </c>
      <c r="AU12" s="411">
        <v>0</v>
      </c>
      <c r="AV12" s="742">
        <v>38.002380538428675</v>
      </c>
      <c r="AW12" s="256"/>
      <c r="AX12" s="728">
        <f t="shared" si="31"/>
        <v>181.62877971506887</v>
      </c>
      <c r="AY12" s="729">
        <v>118.71572504226867</v>
      </c>
      <c r="AZ12" s="730"/>
      <c r="BA12" s="731">
        <v>0</v>
      </c>
      <c r="BB12" s="742"/>
      <c r="BC12" s="727">
        <v>26.362500000000001</v>
      </c>
      <c r="BD12" s="727">
        <v>155.26627971506886</v>
      </c>
      <c r="BE12" s="727"/>
      <c r="BF12" s="727"/>
      <c r="BG12" s="727">
        <v>0</v>
      </c>
      <c r="BH12" s="727">
        <v>38.04296875</v>
      </c>
      <c r="BI12" s="137">
        <f>BC12+BD12+BE12+BG12</f>
        <v>181.62877971506887</v>
      </c>
      <c r="BJ12" s="126">
        <v>739.7</v>
      </c>
      <c r="BK12" s="807"/>
      <c r="BL12" s="107"/>
      <c r="BM12" s="687"/>
      <c r="BO12" s="577"/>
      <c r="BS12" s="904"/>
      <c r="BT12" s="789"/>
      <c r="BU12" s="789">
        <v>1234.9814771371459</v>
      </c>
      <c r="BV12" s="789">
        <v>0</v>
      </c>
      <c r="BW12" s="789">
        <f t="shared" si="32"/>
        <v>1234.9814771371459</v>
      </c>
    </row>
    <row r="13" spans="1:78" ht="15" thickBot="1" x14ac:dyDescent="0.35">
      <c r="A13" s="260" t="s">
        <v>339</v>
      </c>
      <c r="B13" s="237">
        <v>9</v>
      </c>
      <c r="C13" s="40">
        <f>'[7]побудинковий звіт'!E13</f>
        <v>6316</v>
      </c>
      <c r="D13" s="215">
        <f t="shared" si="7"/>
        <v>2011.8240886707945</v>
      </c>
      <c r="E13" s="107">
        <f t="shared" si="8"/>
        <v>442.60166912774196</v>
      </c>
      <c r="F13" s="107">
        <f t="shared" si="9"/>
        <v>654.8672631450288</v>
      </c>
      <c r="G13" s="107">
        <f t="shared" si="10"/>
        <v>0</v>
      </c>
      <c r="H13" s="107">
        <f t="shared" si="11"/>
        <v>1680.8281132091277</v>
      </c>
      <c r="I13" s="107">
        <f t="shared" si="12"/>
        <v>616.5500695387218</v>
      </c>
      <c r="J13" s="687">
        <f t="shared" si="0"/>
        <v>0</v>
      </c>
      <c r="K13" s="142">
        <f t="shared" si="13"/>
        <v>5406.671203691415</v>
      </c>
      <c r="L13" s="141">
        <f t="shared" si="1"/>
        <v>2231.8134757307089</v>
      </c>
      <c r="M13" s="107">
        <f t="shared" si="2"/>
        <v>490.99665364045808</v>
      </c>
      <c r="N13" s="30">
        <f t="shared" si="14"/>
        <v>136.32206201667043</v>
      </c>
      <c r="O13" s="107">
        <f t="shared" si="3"/>
        <v>11.370754306982967</v>
      </c>
      <c r="P13" s="107">
        <f t="shared" si="15"/>
        <v>1864.6236788652932</v>
      </c>
      <c r="Q13" s="107">
        <f t="shared" si="16"/>
        <v>609.47157031835707</v>
      </c>
      <c r="R13" s="143">
        <f t="shared" si="17"/>
        <v>5344.5981948784711</v>
      </c>
      <c r="S13" s="141">
        <f t="shared" si="18"/>
        <v>200.398</v>
      </c>
      <c r="T13" s="107">
        <f t="shared" si="4"/>
        <v>25.793794640075639</v>
      </c>
      <c r="U13" s="142">
        <f t="shared" si="19"/>
        <v>226.19179464007564</v>
      </c>
      <c r="V13" s="107"/>
      <c r="W13" s="107">
        <f t="shared" si="20"/>
        <v>0</v>
      </c>
      <c r="X13" s="142">
        <f t="shared" si="21"/>
        <v>0</v>
      </c>
      <c r="Y13" s="141">
        <v>4653.6499999999996</v>
      </c>
      <c r="Z13" s="144">
        <v>0</v>
      </c>
      <c r="AA13" s="107">
        <f t="shared" si="5"/>
        <v>598.98448301274459</v>
      </c>
      <c r="AB13" s="142">
        <f t="shared" si="6"/>
        <v>5252.6344830127446</v>
      </c>
      <c r="AC13" s="141">
        <v>0</v>
      </c>
      <c r="AD13" s="107">
        <f t="shared" si="22"/>
        <v>0</v>
      </c>
      <c r="AE13" s="142">
        <f t="shared" si="23"/>
        <v>0</v>
      </c>
      <c r="AF13" s="145">
        <v>814</v>
      </c>
      <c r="AG13" s="107">
        <f t="shared" si="24"/>
        <v>104.77224741275646</v>
      </c>
      <c r="AH13" s="142">
        <f t="shared" si="25"/>
        <v>918.77224741275643</v>
      </c>
      <c r="AI13" s="145">
        <v>1221</v>
      </c>
      <c r="AJ13" s="107">
        <f t="shared" si="26"/>
        <v>157.1583711191347</v>
      </c>
      <c r="AK13" s="142">
        <f t="shared" si="27"/>
        <v>1378.1583711191347</v>
      </c>
      <c r="AL13" s="146"/>
      <c r="AM13" s="401"/>
      <c r="AN13" s="107">
        <f t="shared" si="28"/>
        <v>0</v>
      </c>
      <c r="AO13" s="151">
        <f t="shared" si="29"/>
        <v>0</v>
      </c>
      <c r="AP13" s="282">
        <f t="shared" si="30"/>
        <v>3511.6464706047072</v>
      </c>
      <c r="AQ13" s="684">
        <v>330.83</v>
      </c>
      <c r="AR13" s="411">
        <v>1450.3720192053793</v>
      </c>
      <c r="AS13" s="411">
        <v>1990.720170224912</v>
      </c>
      <c r="AT13" s="411">
        <v>70.554281174416403</v>
      </c>
      <c r="AU13" s="411">
        <v>0</v>
      </c>
      <c r="AV13" s="742">
        <v>75.518094226031224</v>
      </c>
      <c r="AW13" s="256"/>
      <c r="AX13" s="728">
        <f t="shared" si="31"/>
        <v>186.8372631450288</v>
      </c>
      <c r="AY13" s="729">
        <v>123.02206201667042</v>
      </c>
      <c r="AZ13" s="730"/>
      <c r="BA13" s="731">
        <v>13.3</v>
      </c>
      <c r="BB13" s="742"/>
      <c r="BC13" s="727">
        <v>26.362500000000001</v>
      </c>
      <c r="BD13" s="727">
        <v>160.47476314502879</v>
      </c>
      <c r="BE13" s="727"/>
      <c r="BF13" s="727"/>
      <c r="BG13" s="727">
        <v>0</v>
      </c>
      <c r="BH13" s="727">
        <v>38.04296875</v>
      </c>
      <c r="BI13" s="137">
        <f>BC13+BD13+BE13+BG13</f>
        <v>186.8372631450288</v>
      </c>
      <c r="BJ13" s="126">
        <v>910.9</v>
      </c>
      <c r="BK13" s="807"/>
      <c r="BL13" s="107"/>
      <c r="BM13" s="687">
        <v>468.03</v>
      </c>
      <c r="BO13" s="577"/>
      <c r="BS13" s="904"/>
      <c r="BT13" s="789"/>
      <c r="BU13" s="789">
        <v>910.29280794589476</v>
      </c>
      <c r="BV13" s="789">
        <v>178.33984000000001</v>
      </c>
      <c r="BW13" s="789">
        <f t="shared" si="32"/>
        <v>1088.6326479458949</v>
      </c>
    </row>
    <row r="14" spans="1:78" ht="15" thickBot="1" x14ac:dyDescent="0.35">
      <c r="A14" s="220" t="s">
        <v>33</v>
      </c>
      <c r="B14" s="238">
        <v>1</v>
      </c>
      <c r="C14" s="40">
        <f>'[7]побудинковий звіт'!E14</f>
        <v>263.3</v>
      </c>
      <c r="D14" s="215">
        <f t="shared" si="7"/>
        <v>0</v>
      </c>
      <c r="E14" s="107">
        <f t="shared" si="8"/>
        <v>0</v>
      </c>
      <c r="F14" s="107">
        <f t="shared" si="9"/>
        <v>0</v>
      </c>
      <c r="G14" s="107">
        <f t="shared" si="10"/>
        <v>0</v>
      </c>
      <c r="H14" s="107">
        <f t="shared" si="11"/>
        <v>0</v>
      </c>
      <c r="I14" s="107">
        <f t="shared" si="12"/>
        <v>0</v>
      </c>
      <c r="J14" s="687">
        <f t="shared" si="0"/>
        <v>0</v>
      </c>
      <c r="K14" s="142">
        <f t="shared" si="13"/>
        <v>0</v>
      </c>
      <c r="L14" s="141">
        <f t="shared" si="1"/>
        <v>0</v>
      </c>
      <c r="M14" s="107">
        <f t="shared" si="2"/>
        <v>0</v>
      </c>
      <c r="N14" s="30">
        <f t="shared" si="14"/>
        <v>0</v>
      </c>
      <c r="O14" s="107">
        <f t="shared" si="3"/>
        <v>0.47402147071384026</v>
      </c>
      <c r="P14" s="107">
        <f t="shared" si="15"/>
        <v>0</v>
      </c>
      <c r="Q14" s="107">
        <f t="shared" si="16"/>
        <v>6.1012647184998971E-2</v>
      </c>
      <c r="R14" s="143">
        <f t="shared" si="17"/>
        <v>0.53503411789883926</v>
      </c>
      <c r="S14" s="141">
        <f t="shared" si="18"/>
        <v>0</v>
      </c>
      <c r="T14" s="107">
        <f t="shared" si="4"/>
        <v>0</v>
      </c>
      <c r="U14" s="142">
        <f t="shared" si="19"/>
        <v>0</v>
      </c>
      <c r="V14" s="107"/>
      <c r="W14" s="107">
        <f t="shared" si="20"/>
        <v>0</v>
      </c>
      <c r="X14" s="142">
        <f t="shared" si="21"/>
        <v>0</v>
      </c>
      <c r="Y14" s="141">
        <v>0</v>
      </c>
      <c r="Z14" s="144">
        <v>0</v>
      </c>
      <c r="AA14" s="107">
        <f t="shared" si="5"/>
        <v>0</v>
      </c>
      <c r="AB14" s="142">
        <f t="shared" si="6"/>
        <v>0</v>
      </c>
      <c r="AC14" s="141">
        <v>0</v>
      </c>
      <c r="AD14" s="107">
        <f t="shared" si="22"/>
        <v>0</v>
      </c>
      <c r="AE14" s="142">
        <f t="shared" si="23"/>
        <v>0</v>
      </c>
      <c r="AF14" s="145">
        <v>0</v>
      </c>
      <c r="AG14" s="107">
        <f t="shared" si="24"/>
        <v>0</v>
      </c>
      <c r="AH14" s="142">
        <f t="shared" si="25"/>
        <v>0</v>
      </c>
      <c r="AI14" s="145">
        <v>0</v>
      </c>
      <c r="AJ14" s="107">
        <f t="shared" si="26"/>
        <v>0</v>
      </c>
      <c r="AK14" s="142">
        <f t="shared" si="27"/>
        <v>0</v>
      </c>
      <c r="AL14" s="146"/>
      <c r="AM14" s="215"/>
      <c r="AN14" s="107">
        <f t="shared" si="28"/>
        <v>0</v>
      </c>
      <c r="AO14" s="151">
        <f t="shared" si="29"/>
        <v>0</v>
      </c>
      <c r="AP14" s="282">
        <f t="shared" si="30"/>
        <v>0</v>
      </c>
      <c r="AQ14" s="684">
        <v>0</v>
      </c>
      <c r="AR14" s="411">
        <v>0</v>
      </c>
      <c r="AS14" s="411">
        <v>0</v>
      </c>
      <c r="AT14" s="411">
        <v>0</v>
      </c>
      <c r="AU14" s="411">
        <v>0</v>
      </c>
      <c r="AV14" s="742">
        <v>0</v>
      </c>
      <c r="AW14" s="256"/>
      <c r="AX14" s="728">
        <f t="shared" si="31"/>
        <v>0</v>
      </c>
      <c r="AY14" s="729">
        <v>0</v>
      </c>
      <c r="AZ14" s="730"/>
      <c r="BA14" s="731">
        <v>0</v>
      </c>
      <c r="BB14" s="742"/>
      <c r="BC14" s="727">
        <v>0</v>
      </c>
      <c r="BD14" s="727">
        <v>0</v>
      </c>
      <c r="BE14" s="727"/>
      <c r="BF14" s="727"/>
      <c r="BG14" s="727">
        <v>0</v>
      </c>
      <c r="BH14" s="727">
        <v>0</v>
      </c>
      <c r="BI14" s="137">
        <f>BC14+BD14+BE14+BG14+BH14</f>
        <v>0</v>
      </c>
      <c r="BJ14" s="126"/>
      <c r="BK14" s="807"/>
      <c r="BL14" s="107"/>
      <c r="BM14" s="687"/>
      <c r="BO14" s="577"/>
      <c r="BS14" s="904"/>
      <c r="BT14" s="789"/>
      <c r="BU14" s="789">
        <v>0</v>
      </c>
      <c r="BV14" s="789">
        <v>0</v>
      </c>
      <c r="BW14" s="789">
        <f t="shared" si="32"/>
        <v>0</v>
      </c>
    </row>
    <row r="15" spans="1:78" ht="15" thickBot="1" x14ac:dyDescent="0.35">
      <c r="A15" s="219" t="s">
        <v>340</v>
      </c>
      <c r="B15" s="237">
        <v>9</v>
      </c>
      <c r="C15" s="40">
        <f>'[7]побудинковий звіт'!E15</f>
        <v>4163.4000000000005</v>
      </c>
      <c r="D15" s="215">
        <f t="shared" si="7"/>
        <v>4101.7877403439725</v>
      </c>
      <c r="E15" s="107">
        <f t="shared" si="8"/>
        <v>902.39405647211345</v>
      </c>
      <c r="F15" s="107">
        <f t="shared" si="9"/>
        <v>125.96198523654091</v>
      </c>
      <c r="G15" s="107">
        <f t="shared" si="10"/>
        <v>0</v>
      </c>
      <c r="H15" s="107">
        <f t="shared" si="11"/>
        <v>3426.9398538426876</v>
      </c>
      <c r="I15" s="107">
        <f t="shared" si="12"/>
        <v>1101.4064911937021</v>
      </c>
      <c r="J15" s="687">
        <f t="shared" si="0"/>
        <v>0</v>
      </c>
      <c r="K15" s="142">
        <f t="shared" si="13"/>
        <v>9658.4901270890168</v>
      </c>
      <c r="L15" s="141">
        <f t="shared" si="1"/>
        <v>2114.5017941683391</v>
      </c>
      <c r="M15" s="107">
        <f t="shared" si="2"/>
        <v>465.18820517179739</v>
      </c>
      <c r="N15" s="30">
        <f t="shared" si="14"/>
        <v>68.441667073664291</v>
      </c>
      <c r="O15" s="107">
        <f t="shared" si="3"/>
        <v>7.4954082459931737</v>
      </c>
      <c r="P15" s="107">
        <f t="shared" si="15"/>
        <v>1766.6127377058478</v>
      </c>
      <c r="Q15" s="107">
        <f t="shared" si="16"/>
        <v>569.19902179326141</v>
      </c>
      <c r="R15" s="143">
        <f t="shared" si="17"/>
        <v>4991.4388341589038</v>
      </c>
      <c r="S15" s="141">
        <f t="shared" si="18"/>
        <v>127.16000000000001</v>
      </c>
      <c r="T15" s="107">
        <f t="shared" si="4"/>
        <v>16.367124055290066</v>
      </c>
      <c r="U15" s="142">
        <f t="shared" si="19"/>
        <v>143.52712405529007</v>
      </c>
      <c r="V15" s="107"/>
      <c r="W15" s="107">
        <f t="shared" si="20"/>
        <v>0</v>
      </c>
      <c r="X15" s="142">
        <f t="shared" si="21"/>
        <v>0</v>
      </c>
      <c r="Y15" s="141">
        <v>4308.93</v>
      </c>
      <c r="Z15" s="144">
        <v>0</v>
      </c>
      <c r="AA15" s="107">
        <f t="shared" si="5"/>
        <v>554.61459464895427</v>
      </c>
      <c r="AB15" s="142">
        <f t="shared" si="6"/>
        <v>4863.5445946489544</v>
      </c>
      <c r="AC15" s="141">
        <v>0</v>
      </c>
      <c r="AD15" s="107">
        <f t="shared" si="22"/>
        <v>0</v>
      </c>
      <c r="AE15" s="142">
        <f t="shared" si="23"/>
        <v>0</v>
      </c>
      <c r="AF15" s="145">
        <v>937.2</v>
      </c>
      <c r="AG15" s="107">
        <f t="shared" si="24"/>
        <v>120.62966864279528</v>
      </c>
      <c r="AH15" s="142">
        <f t="shared" si="25"/>
        <v>1057.8296686427952</v>
      </c>
      <c r="AI15" s="145">
        <v>1403.6</v>
      </c>
      <c r="AJ15" s="107">
        <f t="shared" si="26"/>
        <v>180.6613347279422</v>
      </c>
      <c r="AK15" s="142">
        <f t="shared" si="27"/>
        <v>1584.2613347279421</v>
      </c>
      <c r="AL15" s="146"/>
      <c r="AM15" s="146"/>
      <c r="AN15" s="107">
        <f t="shared" si="28"/>
        <v>0</v>
      </c>
      <c r="AO15" s="151">
        <f t="shared" si="29"/>
        <v>0</v>
      </c>
      <c r="AP15" s="282">
        <f t="shared" si="30"/>
        <v>5738.4824061904656</v>
      </c>
      <c r="AQ15" s="684">
        <v>0</v>
      </c>
      <c r="AR15" s="741">
        <v>3785.5555271508911</v>
      </c>
      <c r="AS15" s="741">
        <v>1892.3442465494757</v>
      </c>
      <c r="AT15" s="741">
        <v>60.582632490099016</v>
      </c>
      <c r="AU15" s="411">
        <v>0</v>
      </c>
      <c r="AV15" s="801"/>
      <c r="AW15" s="256"/>
      <c r="AX15" s="728">
        <f t="shared" si="31"/>
        <v>125.96198523654091</v>
      </c>
      <c r="AY15" s="729">
        <v>68.441667073664291</v>
      </c>
      <c r="AZ15" s="730"/>
      <c r="BA15" s="731">
        <v>0</v>
      </c>
      <c r="BC15" s="727">
        <v>0</v>
      </c>
      <c r="BD15" s="727">
        <v>125.96198523654091</v>
      </c>
      <c r="BE15" s="727"/>
      <c r="BF15" s="727"/>
      <c r="BG15" s="727">
        <v>0</v>
      </c>
      <c r="BH15" s="727">
        <v>12.268058515095651</v>
      </c>
      <c r="BI15" s="137">
        <f>BC15+BD15+BE15+BG15</f>
        <v>125.96198523654091</v>
      </c>
      <c r="BJ15" s="126">
        <v>578</v>
      </c>
      <c r="BK15" s="807"/>
      <c r="BL15" s="107"/>
      <c r="BM15" s="687"/>
      <c r="BO15" s="577"/>
      <c r="BS15" s="904"/>
      <c r="BT15" s="789"/>
      <c r="BU15" s="789">
        <v>3184.3886415131274</v>
      </c>
      <c r="BV15" s="789">
        <v>0</v>
      </c>
      <c r="BW15" s="789">
        <f t="shared" si="32"/>
        <v>3184.3886415131274</v>
      </c>
    </row>
    <row r="16" spans="1:78" ht="15" thickBot="1" x14ac:dyDescent="0.35">
      <c r="A16" s="219" t="s">
        <v>147</v>
      </c>
      <c r="B16" s="237">
        <v>2</v>
      </c>
      <c r="C16" s="40">
        <f>'[7]побудинковий звіт'!E16</f>
        <v>409.93</v>
      </c>
      <c r="D16" s="215">
        <f t="shared" si="7"/>
        <v>443.35570922520299</v>
      </c>
      <c r="E16" s="107">
        <f t="shared" si="8"/>
        <v>97.538337484584531</v>
      </c>
      <c r="F16" s="107">
        <f t="shared" si="9"/>
        <v>13.706118610767973</v>
      </c>
      <c r="G16" s="107">
        <f t="shared" si="10"/>
        <v>0</v>
      </c>
      <c r="H16" s="107">
        <f t="shared" si="11"/>
        <v>370.41247513337356</v>
      </c>
      <c r="I16" s="107">
        <f t="shared" si="12"/>
        <v>119.0609990486071</v>
      </c>
      <c r="J16" s="687">
        <f t="shared" si="0"/>
        <v>0</v>
      </c>
      <c r="K16" s="142">
        <f t="shared" si="13"/>
        <v>1044.073639502536</v>
      </c>
      <c r="L16" s="141">
        <f t="shared" si="1"/>
        <v>165.02028842669262</v>
      </c>
      <c r="M16" s="107">
        <f t="shared" si="2"/>
        <v>36.304292577031518</v>
      </c>
      <c r="N16" s="30">
        <f t="shared" si="14"/>
        <v>6.7586701141017063</v>
      </c>
      <c r="O16" s="107">
        <f t="shared" si="3"/>
        <v>0.73800084120670162</v>
      </c>
      <c r="P16" s="107">
        <f t="shared" si="15"/>
        <v>137.87027484133651</v>
      </c>
      <c r="Q16" s="107">
        <f t="shared" si="16"/>
        <v>44.623649166872916</v>
      </c>
      <c r="R16" s="143">
        <f t="shared" si="17"/>
        <v>391.31517596724194</v>
      </c>
      <c r="S16" s="141">
        <f t="shared" si="18"/>
        <v>0</v>
      </c>
      <c r="T16" s="107">
        <f t="shared" si="4"/>
        <v>0</v>
      </c>
      <c r="U16" s="142">
        <f t="shared" si="19"/>
        <v>0</v>
      </c>
      <c r="V16" s="107"/>
      <c r="W16" s="107">
        <f t="shared" si="20"/>
        <v>0</v>
      </c>
      <c r="X16" s="142">
        <f t="shared" si="21"/>
        <v>0</v>
      </c>
      <c r="Y16" s="141">
        <v>0</v>
      </c>
      <c r="Z16" s="144">
        <v>0</v>
      </c>
      <c r="AA16" s="107">
        <f t="shared" si="5"/>
        <v>0</v>
      </c>
      <c r="AB16" s="142">
        <f t="shared" si="6"/>
        <v>0</v>
      </c>
      <c r="AC16" s="141">
        <v>0</v>
      </c>
      <c r="AD16" s="107">
        <f t="shared" si="22"/>
        <v>0</v>
      </c>
      <c r="AE16" s="142">
        <f t="shared" si="23"/>
        <v>0</v>
      </c>
      <c r="AF16" s="145">
        <v>101.2</v>
      </c>
      <c r="AG16" s="107">
        <f t="shared" si="24"/>
        <v>13.025738867531885</v>
      </c>
      <c r="AH16" s="142">
        <f t="shared" si="25"/>
        <v>114.22573886753189</v>
      </c>
      <c r="AI16" s="145">
        <v>0</v>
      </c>
      <c r="AJ16" s="107">
        <f t="shared" si="26"/>
        <v>0</v>
      </c>
      <c r="AK16" s="142">
        <f t="shared" si="27"/>
        <v>0</v>
      </c>
      <c r="AL16" s="146">
        <v>446.25</v>
      </c>
      <c r="AM16" s="146"/>
      <c r="AN16" s="107">
        <f t="shared" si="28"/>
        <v>57.438102466759915</v>
      </c>
      <c r="AO16" s="151">
        <f t="shared" si="29"/>
        <v>503.68810246675991</v>
      </c>
      <c r="AP16" s="282">
        <f t="shared" si="30"/>
        <v>459.25530552171472</v>
      </c>
      <c r="AQ16" s="684">
        <v>102.33</v>
      </c>
      <c r="AR16" s="741">
        <v>306.8446725564657</v>
      </c>
      <c r="AS16" s="741">
        <v>152.41063296524902</v>
      </c>
      <c r="AT16" s="741">
        <v>0</v>
      </c>
      <c r="AU16" s="411">
        <v>0</v>
      </c>
      <c r="AV16" s="801"/>
      <c r="AW16" s="256"/>
      <c r="AX16" s="728">
        <f t="shared" si="31"/>
        <v>13.706118610767973</v>
      </c>
      <c r="AY16" s="729">
        <v>6.7586701141017063</v>
      </c>
      <c r="AZ16" s="730"/>
      <c r="BA16" s="731">
        <v>0</v>
      </c>
      <c r="BC16" s="727">
        <v>0</v>
      </c>
      <c r="BD16" s="727">
        <v>13.706118610767973</v>
      </c>
      <c r="BE16" s="727"/>
      <c r="BF16" s="727"/>
      <c r="BG16" s="727">
        <v>0</v>
      </c>
      <c r="BH16" s="727">
        <v>2.478751167189408</v>
      </c>
      <c r="BI16" s="137">
        <f>BC16+BD16+BE16+BG16</f>
        <v>13.706118610767973</v>
      </c>
      <c r="BJ16" s="126"/>
      <c r="BK16" s="807"/>
      <c r="BL16" s="107"/>
      <c r="BM16" s="687"/>
      <c r="BO16" s="577"/>
      <c r="BS16" s="904"/>
      <c r="BT16" s="789"/>
      <c r="BU16" s="789">
        <v>258.11348241456142</v>
      </c>
      <c r="BV16" s="789">
        <v>0</v>
      </c>
      <c r="BW16" s="789">
        <f t="shared" si="32"/>
        <v>258.11348241456142</v>
      </c>
    </row>
    <row r="17" spans="1:75" ht="15" thickBot="1" x14ac:dyDescent="0.35">
      <c r="A17" s="219" t="s">
        <v>148</v>
      </c>
      <c r="B17" s="237">
        <v>2</v>
      </c>
      <c r="C17" s="40">
        <f>'[7]побудинковий звіт'!E17</f>
        <v>403.93</v>
      </c>
      <c r="D17" s="215">
        <f t="shared" si="7"/>
        <v>431.50601879761211</v>
      </c>
      <c r="E17" s="107">
        <f t="shared" si="8"/>
        <v>94.931403413443192</v>
      </c>
      <c r="F17" s="107">
        <f t="shared" si="9"/>
        <v>12.641281586637714</v>
      </c>
      <c r="G17" s="107">
        <f t="shared" si="10"/>
        <v>0</v>
      </c>
      <c r="H17" s="107">
        <f t="shared" si="11"/>
        <v>360.51235865913492</v>
      </c>
      <c r="I17" s="107">
        <f t="shared" si="12"/>
        <v>115.78891568308502</v>
      </c>
      <c r="J17" s="687">
        <f t="shared" si="0"/>
        <v>0</v>
      </c>
      <c r="K17" s="142">
        <f t="shared" si="13"/>
        <v>1015.3799781399129</v>
      </c>
      <c r="L17" s="141">
        <f t="shared" si="1"/>
        <v>168.50901455835964</v>
      </c>
      <c r="M17" s="107">
        <f t="shared" si="2"/>
        <v>37.071808713457614</v>
      </c>
      <c r="N17" s="30">
        <f t="shared" si="14"/>
        <v>6.6412767148882246</v>
      </c>
      <c r="O17" s="107">
        <f t="shared" si="3"/>
        <v>0.7271989846769521</v>
      </c>
      <c r="P17" s="107">
        <f t="shared" si="15"/>
        <v>140.78501723577099</v>
      </c>
      <c r="Q17" s="107">
        <f t="shared" si="16"/>
        <v>45.530146555329367</v>
      </c>
      <c r="R17" s="143">
        <f t="shared" si="17"/>
        <v>399.26446276248282</v>
      </c>
      <c r="S17" s="141">
        <f t="shared" si="18"/>
        <v>0</v>
      </c>
      <c r="T17" s="107">
        <f t="shared" si="4"/>
        <v>0</v>
      </c>
      <c r="U17" s="142">
        <f t="shared" si="19"/>
        <v>0</v>
      </c>
      <c r="V17" s="107"/>
      <c r="W17" s="107">
        <f t="shared" si="20"/>
        <v>0</v>
      </c>
      <c r="X17" s="142">
        <f t="shared" si="21"/>
        <v>0</v>
      </c>
      <c r="Y17" s="141">
        <v>0</v>
      </c>
      <c r="Z17" s="144">
        <v>0</v>
      </c>
      <c r="AA17" s="107">
        <f t="shared" si="5"/>
        <v>0</v>
      </c>
      <c r="AB17" s="142">
        <f t="shared" si="6"/>
        <v>0</v>
      </c>
      <c r="AC17" s="141">
        <v>0</v>
      </c>
      <c r="AD17" s="107">
        <f t="shared" si="22"/>
        <v>0</v>
      </c>
      <c r="AE17" s="142">
        <f t="shared" si="23"/>
        <v>0</v>
      </c>
      <c r="AF17" s="145">
        <v>105.6</v>
      </c>
      <c r="AG17" s="107">
        <f t="shared" si="24"/>
        <v>13.59207534003327</v>
      </c>
      <c r="AH17" s="142">
        <f t="shared" si="25"/>
        <v>119.19207534003327</v>
      </c>
      <c r="AI17" s="145">
        <v>0</v>
      </c>
      <c r="AJ17" s="107">
        <f t="shared" si="26"/>
        <v>0</v>
      </c>
      <c r="AK17" s="142">
        <f t="shared" si="27"/>
        <v>0</v>
      </c>
      <c r="AL17" s="146">
        <v>510</v>
      </c>
      <c r="AM17" s="146"/>
      <c r="AN17" s="107">
        <f t="shared" si="28"/>
        <v>65.643545676297052</v>
      </c>
      <c r="AO17" s="151">
        <f t="shared" si="29"/>
        <v>575.64354567629709</v>
      </c>
      <c r="AP17" s="282">
        <f t="shared" si="30"/>
        <v>404.3113240407439</v>
      </c>
      <c r="AQ17" s="684">
        <v>149.56</v>
      </c>
      <c r="AR17" s="741">
        <v>248.67854813150174</v>
      </c>
      <c r="AS17" s="741">
        <v>155.63277590924213</v>
      </c>
      <c r="AT17" s="741">
        <v>0</v>
      </c>
      <c r="AU17" s="411">
        <v>0</v>
      </c>
      <c r="AV17" s="801"/>
      <c r="AW17" s="256"/>
      <c r="AX17" s="728">
        <f t="shared" si="31"/>
        <v>12.641281586637714</v>
      </c>
      <c r="AY17" s="729">
        <v>6.6412767148882246</v>
      </c>
      <c r="AZ17" s="730"/>
      <c r="BA17" s="731">
        <v>0</v>
      </c>
      <c r="BC17" s="727">
        <v>0</v>
      </c>
      <c r="BD17" s="727">
        <v>12.641281586637714</v>
      </c>
      <c r="BE17" s="727"/>
      <c r="BF17" s="727"/>
      <c r="BG17" s="727">
        <v>0</v>
      </c>
      <c r="BH17" s="727">
        <v>1.6089257068977902</v>
      </c>
      <c r="BI17" s="137">
        <f>BC17+BD17+BE17+BG17</f>
        <v>12.641281586637714</v>
      </c>
      <c r="BJ17" s="126"/>
      <c r="BK17" s="807"/>
      <c r="BL17" s="107"/>
      <c r="BM17" s="687"/>
      <c r="BO17" s="577"/>
      <c r="BS17" s="904"/>
      <c r="BT17" s="789"/>
      <c r="BU17" s="789">
        <v>209.18431665279931</v>
      </c>
      <c r="BV17" s="789">
        <v>0</v>
      </c>
      <c r="BW17" s="789">
        <f t="shared" si="32"/>
        <v>209.18431665279931</v>
      </c>
    </row>
    <row r="18" spans="1:75" ht="15" thickBot="1" x14ac:dyDescent="0.35">
      <c r="A18" s="219" t="s">
        <v>241</v>
      </c>
      <c r="B18" s="237">
        <v>5</v>
      </c>
      <c r="C18" s="40">
        <f>'[7]побудинковий звіт'!E18</f>
        <v>4890.7</v>
      </c>
      <c r="D18" s="215">
        <f t="shared" si="7"/>
        <v>5585.7465676834499</v>
      </c>
      <c r="E18" s="107">
        <f t="shared" si="8"/>
        <v>1228.8652711255013</v>
      </c>
      <c r="F18" s="107">
        <f t="shared" si="9"/>
        <v>143.41996374997098</v>
      </c>
      <c r="G18" s="107">
        <f t="shared" si="10"/>
        <v>0</v>
      </c>
      <c r="H18" s="107">
        <f t="shared" si="11"/>
        <v>4666.7498998020264</v>
      </c>
      <c r="I18" s="107">
        <f t="shared" si="12"/>
        <v>1496.2586052076729</v>
      </c>
      <c r="J18" s="687">
        <f t="shared" si="0"/>
        <v>0</v>
      </c>
      <c r="K18" s="142">
        <f t="shared" si="13"/>
        <v>13121.040307568623</v>
      </c>
      <c r="L18" s="141">
        <f t="shared" si="1"/>
        <v>1206.2119243197396</v>
      </c>
      <c r="M18" s="107">
        <f t="shared" si="2"/>
        <v>265.3653743300859</v>
      </c>
      <c r="N18" s="30">
        <f t="shared" si="14"/>
        <v>150.4522942621025</v>
      </c>
      <c r="O18" s="107">
        <f t="shared" si="3"/>
        <v>8.8047732883409733</v>
      </c>
      <c r="P18" s="107">
        <f t="shared" si="15"/>
        <v>1007.7595373779517</v>
      </c>
      <c r="Q18" s="107">
        <f t="shared" si="16"/>
        <v>339.62090084458009</v>
      </c>
      <c r="R18" s="143">
        <f t="shared" si="17"/>
        <v>2978.2148044228006</v>
      </c>
      <c r="S18" s="141">
        <f t="shared" si="18"/>
        <v>135.41</v>
      </c>
      <c r="T18" s="107">
        <f t="shared" si="4"/>
        <v>17.429004941230161</v>
      </c>
      <c r="U18" s="142">
        <f t="shared" si="19"/>
        <v>152.83900494123014</v>
      </c>
      <c r="V18" s="107"/>
      <c r="W18" s="107">
        <f t="shared" si="20"/>
        <v>0</v>
      </c>
      <c r="X18" s="142">
        <f t="shared" si="21"/>
        <v>0</v>
      </c>
      <c r="Y18" s="141">
        <v>0</v>
      </c>
      <c r="Z18" s="144">
        <v>0</v>
      </c>
      <c r="AA18" s="107">
        <f t="shared" si="5"/>
        <v>0</v>
      </c>
      <c r="AB18" s="142">
        <f t="shared" si="6"/>
        <v>0</v>
      </c>
      <c r="AC18" s="141">
        <v>0</v>
      </c>
      <c r="AD18" s="107">
        <f t="shared" si="22"/>
        <v>0</v>
      </c>
      <c r="AE18" s="142">
        <f t="shared" si="23"/>
        <v>0</v>
      </c>
      <c r="AF18" s="145">
        <v>869</v>
      </c>
      <c r="AG18" s="107">
        <f t="shared" si="24"/>
        <v>111.85145331902379</v>
      </c>
      <c r="AH18" s="142">
        <f t="shared" si="25"/>
        <v>980.85145331902379</v>
      </c>
      <c r="AI18" s="145">
        <v>0</v>
      </c>
      <c r="AJ18" s="107">
        <f t="shared" si="26"/>
        <v>0</v>
      </c>
      <c r="AK18" s="142">
        <f t="shared" si="27"/>
        <v>0</v>
      </c>
      <c r="AL18" s="146">
        <v>6502.5</v>
      </c>
      <c r="AM18" s="146"/>
      <c r="AN18" s="107">
        <f t="shared" si="28"/>
        <v>836.9552073727873</v>
      </c>
      <c r="AO18" s="151">
        <f t="shared" si="29"/>
        <v>7339.4552073727873</v>
      </c>
      <c r="AP18" s="282">
        <f t="shared" si="30"/>
        <v>4631.8487242763304</v>
      </c>
      <c r="AQ18" s="684">
        <v>1637.3</v>
      </c>
      <c r="AR18" s="741">
        <v>3517.8067805339401</v>
      </c>
      <c r="AS18" s="741">
        <v>1063.5564166673082</v>
      </c>
      <c r="AT18" s="741">
        <v>50.485527075082516</v>
      </c>
      <c r="AU18" s="411">
        <v>0</v>
      </c>
      <c r="AV18" s="801"/>
      <c r="AW18" s="256"/>
      <c r="AX18" s="728">
        <f t="shared" si="31"/>
        <v>143.41996374997098</v>
      </c>
      <c r="AY18" s="729">
        <v>150.4522942621025</v>
      </c>
      <c r="AZ18" s="730"/>
      <c r="BA18" s="731">
        <v>0</v>
      </c>
      <c r="BC18" s="727">
        <v>0</v>
      </c>
      <c r="BD18" s="727">
        <v>143.41996374997098</v>
      </c>
      <c r="BE18" s="727"/>
      <c r="BF18" s="727"/>
      <c r="BG18" s="727">
        <v>0</v>
      </c>
      <c r="BH18" s="727">
        <v>9.7742236694040763</v>
      </c>
      <c r="BI18" s="137">
        <f>BC18+BD18+BE18+BG18</f>
        <v>143.41996374997098</v>
      </c>
      <c r="BJ18" s="126">
        <v>615.5</v>
      </c>
      <c r="BK18" s="807"/>
      <c r="BL18" s="107"/>
      <c r="BM18" s="687"/>
      <c r="BO18" s="577"/>
      <c r="BS18" s="904"/>
      <c r="BT18" s="789"/>
      <c r="BU18" s="789">
        <v>2959.1666767499582</v>
      </c>
      <c r="BV18" s="789">
        <v>0</v>
      </c>
      <c r="BW18" s="789">
        <f t="shared" si="32"/>
        <v>2959.1666767499582</v>
      </c>
    </row>
    <row r="19" spans="1:75" ht="15" thickBot="1" x14ac:dyDescent="0.35">
      <c r="A19" s="219" t="s">
        <v>192</v>
      </c>
      <c r="B19" s="237">
        <v>3</v>
      </c>
      <c r="C19" s="40">
        <f>'[7]побудинковий звіт'!E19</f>
        <v>853.2</v>
      </c>
      <c r="D19" s="215">
        <f t="shared" si="7"/>
        <v>581.53625250304435</v>
      </c>
      <c r="E19" s="107">
        <f t="shared" si="8"/>
        <v>127.9380823927779</v>
      </c>
      <c r="F19" s="107">
        <f t="shared" si="9"/>
        <v>22.992268426896981</v>
      </c>
      <c r="G19" s="107">
        <f t="shared" si="10"/>
        <v>0</v>
      </c>
      <c r="H19" s="107">
        <f t="shared" si="11"/>
        <v>485.85882213151405</v>
      </c>
      <c r="I19" s="107">
        <f t="shared" si="12"/>
        <v>156.81411904784116</v>
      </c>
      <c r="J19" s="687">
        <f t="shared" si="0"/>
        <v>0</v>
      </c>
      <c r="K19" s="142">
        <f t="shared" si="13"/>
        <v>1375.1395445020744</v>
      </c>
      <c r="L19" s="141">
        <f t="shared" si="1"/>
        <v>667.28264683361544</v>
      </c>
      <c r="M19" s="107">
        <f t="shared" si="2"/>
        <v>146.80149133895861</v>
      </c>
      <c r="N19" s="30">
        <f t="shared" si="14"/>
        <v>15.448310999839672</v>
      </c>
      <c r="O19" s="107">
        <f t="shared" si="3"/>
        <v>1.5360239985303779</v>
      </c>
      <c r="P19" s="107">
        <f t="shared" si="15"/>
        <v>557.49776462591603</v>
      </c>
      <c r="Q19" s="107">
        <f t="shared" si="16"/>
        <v>178.72629657918066</v>
      </c>
      <c r="R19" s="143">
        <f t="shared" si="17"/>
        <v>1567.2925343760407</v>
      </c>
      <c r="S19" s="141">
        <f t="shared" si="18"/>
        <v>34.1</v>
      </c>
      <c r="T19" s="107">
        <f t="shared" si="4"/>
        <v>4.3891076618857436</v>
      </c>
      <c r="U19" s="142">
        <f t="shared" si="19"/>
        <v>38.489107661885747</v>
      </c>
      <c r="V19" s="107"/>
      <c r="W19" s="107">
        <f t="shared" si="20"/>
        <v>0</v>
      </c>
      <c r="X19" s="142">
        <f t="shared" si="21"/>
        <v>0</v>
      </c>
      <c r="Y19" s="141">
        <v>0</v>
      </c>
      <c r="Z19" s="144">
        <v>0</v>
      </c>
      <c r="AA19" s="107">
        <f t="shared" si="5"/>
        <v>0</v>
      </c>
      <c r="AB19" s="142">
        <f t="shared" si="6"/>
        <v>0</v>
      </c>
      <c r="AC19" s="141">
        <v>0</v>
      </c>
      <c r="AD19" s="107">
        <f t="shared" si="22"/>
        <v>0</v>
      </c>
      <c r="AE19" s="142">
        <f t="shared" si="23"/>
        <v>0</v>
      </c>
      <c r="AF19" s="145">
        <v>110</v>
      </c>
      <c r="AG19" s="107">
        <f t="shared" si="24"/>
        <v>14.158411812534657</v>
      </c>
      <c r="AH19" s="142">
        <f t="shared" si="25"/>
        <v>124.15841181253465</v>
      </c>
      <c r="AI19" s="145">
        <v>0</v>
      </c>
      <c r="AJ19" s="107">
        <f t="shared" si="26"/>
        <v>0</v>
      </c>
      <c r="AK19" s="142">
        <f t="shared" si="27"/>
        <v>0</v>
      </c>
      <c r="AL19" s="146"/>
      <c r="AM19" s="401"/>
      <c r="AN19" s="107">
        <f t="shared" si="28"/>
        <v>0</v>
      </c>
      <c r="AO19" s="151">
        <f t="shared" si="29"/>
        <v>0</v>
      </c>
      <c r="AP19" s="282">
        <f t="shared" si="30"/>
        <v>631.92396761190582</v>
      </c>
      <c r="AQ19" s="684">
        <v>105.93</v>
      </c>
      <c r="AR19" s="740">
        <v>430.77202220578698</v>
      </c>
      <c r="AS19" s="740">
        <v>195.68816098143634</v>
      </c>
      <c r="AT19" s="740">
        <v>5.4637844246825935</v>
      </c>
      <c r="AU19" s="411">
        <v>415.14179362595729</v>
      </c>
      <c r="AV19" s="801"/>
      <c r="AW19" s="256"/>
      <c r="AX19" s="728">
        <f t="shared" si="31"/>
        <v>22.992268426896981</v>
      </c>
      <c r="AY19" s="729">
        <v>15.448310999839672</v>
      </c>
      <c r="AZ19" s="730"/>
      <c r="BA19" s="731">
        <v>0</v>
      </c>
      <c r="BC19" s="727">
        <v>0</v>
      </c>
      <c r="BD19" s="727">
        <v>22.992268426896981</v>
      </c>
      <c r="BE19" s="727"/>
      <c r="BF19" s="727"/>
      <c r="BG19" s="727">
        <v>0</v>
      </c>
      <c r="BH19" s="727">
        <v>0</v>
      </c>
      <c r="BI19" s="137">
        <f>BC19+BD19+BE19+BG19</f>
        <v>22.992268426896981</v>
      </c>
      <c r="BJ19" s="126">
        <v>155</v>
      </c>
      <c r="BK19" s="807"/>
      <c r="BL19" s="107"/>
      <c r="BM19" s="687"/>
      <c r="BO19" s="577"/>
      <c r="BS19" s="904"/>
      <c r="BT19" s="789"/>
      <c r="BU19" s="789">
        <v>252.12126865412648</v>
      </c>
      <c r="BV19" s="789">
        <v>0</v>
      </c>
      <c r="BW19" s="789">
        <f t="shared" si="32"/>
        <v>252.12126865412648</v>
      </c>
    </row>
    <row r="20" spans="1:75" ht="15" thickBot="1" x14ac:dyDescent="0.35">
      <c r="A20" s="220" t="s">
        <v>37</v>
      </c>
      <c r="B20" s="238">
        <v>1</v>
      </c>
      <c r="C20" s="40">
        <f>'[7]побудинковий звіт'!E20</f>
        <v>256.90000000000003</v>
      </c>
      <c r="D20" s="215">
        <f t="shared" si="7"/>
        <v>14.757767683712038</v>
      </c>
      <c r="E20" s="107">
        <f t="shared" si="8"/>
        <v>3.2467116017712785</v>
      </c>
      <c r="F20" s="107">
        <f t="shared" si="9"/>
        <v>0</v>
      </c>
      <c r="G20" s="107">
        <f t="shared" si="10"/>
        <v>0</v>
      </c>
      <c r="H20" s="107">
        <f t="shared" si="11"/>
        <v>12.329741427532614</v>
      </c>
      <c r="I20" s="107">
        <f t="shared" si="12"/>
        <v>3.9044035351563475</v>
      </c>
      <c r="J20" s="687">
        <f t="shared" si="0"/>
        <v>0</v>
      </c>
      <c r="K20" s="142">
        <f t="shared" si="13"/>
        <v>34.238624248172279</v>
      </c>
      <c r="L20" s="141">
        <f t="shared" si="1"/>
        <v>0</v>
      </c>
      <c r="M20" s="107">
        <f t="shared" si="2"/>
        <v>0</v>
      </c>
      <c r="N20" s="30">
        <f t="shared" si="14"/>
        <v>0</v>
      </c>
      <c r="O20" s="107">
        <f t="shared" si="3"/>
        <v>0.46249949041544086</v>
      </c>
      <c r="P20" s="107">
        <f t="shared" si="15"/>
        <v>0</v>
      </c>
      <c r="Q20" s="107">
        <f t="shared" si="16"/>
        <v>5.9529620439902155E-2</v>
      </c>
      <c r="R20" s="143">
        <f t="shared" si="17"/>
        <v>0.52202911085534298</v>
      </c>
      <c r="S20" s="141">
        <f t="shared" si="18"/>
        <v>0</v>
      </c>
      <c r="T20" s="107">
        <f t="shared" si="4"/>
        <v>0</v>
      </c>
      <c r="U20" s="142">
        <f t="shared" si="19"/>
        <v>0</v>
      </c>
      <c r="V20" s="107"/>
      <c r="W20" s="107">
        <f t="shared" si="20"/>
        <v>0</v>
      </c>
      <c r="X20" s="142">
        <f t="shared" si="21"/>
        <v>0</v>
      </c>
      <c r="Y20" s="141">
        <v>0</v>
      </c>
      <c r="Z20" s="144">
        <v>0</v>
      </c>
      <c r="AA20" s="107">
        <f t="shared" si="5"/>
        <v>0</v>
      </c>
      <c r="AB20" s="142">
        <f t="shared" si="6"/>
        <v>0</v>
      </c>
      <c r="AC20" s="141">
        <v>0</v>
      </c>
      <c r="AD20" s="107">
        <f t="shared" si="22"/>
        <v>0</v>
      </c>
      <c r="AE20" s="142">
        <f t="shared" si="23"/>
        <v>0</v>
      </c>
      <c r="AF20" s="145">
        <v>0</v>
      </c>
      <c r="AG20" s="107">
        <f t="shared" si="24"/>
        <v>0</v>
      </c>
      <c r="AH20" s="142">
        <f t="shared" si="25"/>
        <v>0</v>
      </c>
      <c r="AI20" s="145">
        <v>0</v>
      </c>
      <c r="AJ20" s="107">
        <f t="shared" si="26"/>
        <v>0</v>
      </c>
      <c r="AK20" s="142">
        <f t="shared" si="27"/>
        <v>0</v>
      </c>
      <c r="AL20" s="146"/>
      <c r="AM20" s="215"/>
      <c r="AN20" s="107">
        <f t="shared" si="28"/>
        <v>0</v>
      </c>
      <c r="AO20" s="151">
        <f t="shared" si="29"/>
        <v>0</v>
      </c>
      <c r="AP20" s="282">
        <f t="shared" si="30"/>
        <v>0</v>
      </c>
      <c r="AQ20" s="684">
        <v>13.62</v>
      </c>
      <c r="AR20" s="411">
        <v>0</v>
      </c>
      <c r="AS20" s="411">
        <v>0</v>
      </c>
      <c r="AT20" s="411">
        <v>0</v>
      </c>
      <c r="AU20" s="411">
        <v>0</v>
      </c>
      <c r="AV20" s="742">
        <v>0</v>
      </c>
      <c r="AW20" s="256"/>
      <c r="AX20" s="728">
        <f t="shared" si="31"/>
        <v>0</v>
      </c>
      <c r="AY20" s="729">
        <v>0</v>
      </c>
      <c r="AZ20" s="730"/>
      <c r="BA20" s="731">
        <v>0</v>
      </c>
      <c r="BB20" s="742"/>
      <c r="BC20" s="727">
        <v>0</v>
      </c>
      <c r="BD20" s="727">
        <v>0</v>
      </c>
      <c r="BE20" s="727"/>
      <c r="BF20" s="727"/>
      <c r="BG20" s="727">
        <v>0</v>
      </c>
      <c r="BH20" s="727">
        <v>0</v>
      </c>
      <c r="BI20" s="137">
        <f>BC20+BD20+BE20+BG20+BH20</f>
        <v>0</v>
      </c>
      <c r="BJ20" s="126"/>
      <c r="BK20" s="807"/>
      <c r="BL20" s="107"/>
      <c r="BM20" s="687"/>
      <c r="BO20" s="577"/>
      <c r="BS20" s="904"/>
      <c r="BT20" s="789"/>
      <c r="BU20" s="789">
        <v>0</v>
      </c>
      <c r="BV20" s="789">
        <v>0</v>
      </c>
      <c r="BW20" s="789">
        <f t="shared" si="32"/>
        <v>0</v>
      </c>
    </row>
    <row r="21" spans="1:75" ht="15" thickBot="1" x14ac:dyDescent="0.35">
      <c r="A21" s="219" t="s">
        <v>242</v>
      </c>
      <c r="B21" s="237">
        <v>5</v>
      </c>
      <c r="C21" s="40">
        <f>'[7]побудинковий звіт'!E21</f>
        <v>3070.2</v>
      </c>
      <c r="D21" s="215">
        <f t="shared" si="7"/>
        <v>1613.5230519047684</v>
      </c>
      <c r="E21" s="107">
        <f t="shared" si="8"/>
        <v>354.97536786179643</v>
      </c>
      <c r="F21" s="107">
        <f t="shared" si="9"/>
        <v>90.107066862909704</v>
      </c>
      <c r="G21" s="107">
        <f t="shared" si="10"/>
        <v>0</v>
      </c>
      <c r="H21" s="107">
        <f t="shared" si="11"/>
        <v>1348.0576767247931</v>
      </c>
      <c r="I21" s="107">
        <f t="shared" si="12"/>
        <v>438.48127248510673</v>
      </c>
      <c r="J21" s="687">
        <f t="shared" si="0"/>
        <v>0</v>
      </c>
      <c r="K21" s="142">
        <f t="shared" si="13"/>
        <v>3845.1444358393742</v>
      </c>
      <c r="L21" s="141">
        <f t="shared" si="1"/>
        <v>1428.3830227990752</v>
      </c>
      <c r="M21" s="107">
        <f t="shared" si="2"/>
        <v>314.24278593961265</v>
      </c>
      <c r="N21" s="30">
        <f t="shared" si="14"/>
        <v>60.542177323972737</v>
      </c>
      <c r="O21" s="107">
        <f t="shared" si="3"/>
        <v>5.5273099862728152</v>
      </c>
      <c r="P21" s="107">
        <f t="shared" si="15"/>
        <v>1193.3778677128598</v>
      </c>
      <c r="Q21" s="107">
        <f t="shared" si="16"/>
        <v>386.40534676271142</v>
      </c>
      <c r="R21" s="143">
        <f t="shared" si="17"/>
        <v>3388.4785105245041</v>
      </c>
      <c r="S21" s="141">
        <f t="shared" si="18"/>
        <v>103.99400000000001</v>
      </c>
      <c r="T21" s="107">
        <f t="shared" si="4"/>
        <v>13.385362527570267</v>
      </c>
      <c r="U21" s="142">
        <f t="shared" si="19"/>
        <v>117.37936252757028</v>
      </c>
      <c r="V21" s="107"/>
      <c r="W21" s="107">
        <f t="shared" si="20"/>
        <v>0</v>
      </c>
      <c r="X21" s="142">
        <f t="shared" si="21"/>
        <v>0</v>
      </c>
      <c r="Y21" s="141">
        <v>0</v>
      </c>
      <c r="Z21" s="144">
        <v>0</v>
      </c>
      <c r="AA21" s="107">
        <f t="shared" si="5"/>
        <v>0</v>
      </c>
      <c r="AB21" s="142">
        <f t="shared" si="6"/>
        <v>0</v>
      </c>
      <c r="AC21" s="141">
        <v>0</v>
      </c>
      <c r="AD21" s="107">
        <f t="shared" si="22"/>
        <v>0</v>
      </c>
      <c r="AE21" s="142">
        <f t="shared" si="23"/>
        <v>0</v>
      </c>
      <c r="AF21" s="145">
        <v>864.6</v>
      </c>
      <c r="AG21" s="107">
        <f t="shared" si="24"/>
        <v>111.28511684652241</v>
      </c>
      <c r="AH21" s="142">
        <f t="shared" si="25"/>
        <v>975.88511684652246</v>
      </c>
      <c r="AI21" s="145">
        <v>0</v>
      </c>
      <c r="AJ21" s="107">
        <f t="shared" si="26"/>
        <v>0</v>
      </c>
      <c r="AK21" s="142">
        <f t="shared" si="27"/>
        <v>0</v>
      </c>
      <c r="AL21" s="146"/>
      <c r="AM21" s="401"/>
      <c r="AN21" s="107">
        <f t="shared" si="28"/>
        <v>0</v>
      </c>
      <c r="AO21" s="151">
        <f t="shared" si="29"/>
        <v>0</v>
      </c>
      <c r="AP21" s="282">
        <f t="shared" si="30"/>
        <v>1849.2793313105585</v>
      </c>
      <c r="AQ21" s="684">
        <v>65.72</v>
      </c>
      <c r="AR21" s="740">
        <v>1423.4065696774576</v>
      </c>
      <c r="AS21" s="740">
        <v>409.20922721612624</v>
      </c>
      <c r="AT21" s="740">
        <v>16.663534416974766</v>
      </c>
      <c r="AU21" s="411">
        <v>893.3635740755991</v>
      </c>
      <c r="AV21" s="801"/>
      <c r="AW21" s="256"/>
      <c r="AX21" s="728">
        <f t="shared" si="31"/>
        <v>90.107066862909704</v>
      </c>
      <c r="AY21" s="729">
        <v>60.542177323972737</v>
      </c>
      <c r="AZ21" s="730"/>
      <c r="BA21" s="731">
        <v>0</v>
      </c>
      <c r="BC21" s="727">
        <v>0</v>
      </c>
      <c r="BD21" s="727">
        <v>90.107066862909704</v>
      </c>
      <c r="BE21" s="727"/>
      <c r="BF21" s="727"/>
      <c r="BG21" s="727">
        <v>0</v>
      </c>
      <c r="BH21" s="727">
        <v>0</v>
      </c>
      <c r="BI21" s="137">
        <f>BC21+BD21+BE21+BG21</f>
        <v>90.107066862909704</v>
      </c>
      <c r="BJ21" s="126">
        <v>472.7</v>
      </c>
      <c r="BK21" s="807"/>
      <c r="BL21" s="107"/>
      <c r="BM21" s="687"/>
      <c r="BO21" s="577"/>
      <c r="BS21" s="904"/>
      <c r="BT21" s="789"/>
      <c r="BU21" s="789">
        <v>1397.01276102888</v>
      </c>
      <c r="BV21" s="789">
        <v>0</v>
      </c>
      <c r="BW21" s="789">
        <f t="shared" si="32"/>
        <v>1397.01276102888</v>
      </c>
    </row>
    <row r="22" spans="1:75" ht="15" thickBot="1" x14ac:dyDescent="0.35">
      <c r="A22" s="219" t="s">
        <v>193</v>
      </c>
      <c r="B22" s="237">
        <v>3</v>
      </c>
      <c r="C22" s="40">
        <f>'[7]побудинковий звіт'!E22</f>
        <v>1499.03</v>
      </c>
      <c r="D22" s="215">
        <f t="shared" si="7"/>
        <v>838.79944542208523</v>
      </c>
      <c r="E22" s="107">
        <f t="shared" si="8"/>
        <v>184.53603210036397</v>
      </c>
      <c r="F22" s="107">
        <f t="shared" si="9"/>
        <v>43.206202502793801</v>
      </c>
      <c r="G22" s="107">
        <f t="shared" si="10"/>
        <v>0</v>
      </c>
      <c r="H22" s="107">
        <f t="shared" si="11"/>
        <v>700.79570930138709</v>
      </c>
      <c r="I22" s="107">
        <f t="shared" si="12"/>
        <v>227.47900517978476</v>
      </c>
      <c r="J22" s="687">
        <f t="shared" si="0"/>
        <v>0</v>
      </c>
      <c r="K22" s="142">
        <f t="shared" si="13"/>
        <v>1994.816394506415</v>
      </c>
      <c r="L22" s="141">
        <f t="shared" si="1"/>
        <v>1358.4642782954577</v>
      </c>
      <c r="M22" s="107">
        <f t="shared" si="2"/>
        <v>298.86073454897013</v>
      </c>
      <c r="N22" s="30">
        <f t="shared" si="14"/>
        <v>29.029882610642872</v>
      </c>
      <c r="O22" s="107">
        <f t="shared" si="3"/>
        <v>2.6987178322983971</v>
      </c>
      <c r="P22" s="107">
        <f t="shared" si="15"/>
        <v>1134.9625261013512</v>
      </c>
      <c r="Q22" s="107">
        <f t="shared" si="16"/>
        <v>363.48712242463432</v>
      </c>
      <c r="R22" s="143">
        <f t="shared" si="17"/>
        <v>3187.5032618133546</v>
      </c>
      <c r="S22" s="141">
        <f t="shared" si="18"/>
        <v>147.18</v>
      </c>
      <c r="T22" s="107">
        <f t="shared" si="4"/>
        <v>18.943955005171372</v>
      </c>
      <c r="U22" s="142">
        <f t="shared" si="19"/>
        <v>166.12395500517138</v>
      </c>
      <c r="V22" s="107"/>
      <c r="W22" s="107">
        <f t="shared" si="20"/>
        <v>0</v>
      </c>
      <c r="X22" s="142">
        <f t="shared" si="21"/>
        <v>0</v>
      </c>
      <c r="Y22" s="141">
        <v>0</v>
      </c>
      <c r="Z22" s="144">
        <v>0</v>
      </c>
      <c r="AA22" s="107">
        <f t="shared" si="5"/>
        <v>0</v>
      </c>
      <c r="AB22" s="142">
        <f t="shared" si="6"/>
        <v>0</v>
      </c>
      <c r="AC22" s="141">
        <v>0</v>
      </c>
      <c r="AD22" s="107">
        <f t="shared" si="22"/>
        <v>0</v>
      </c>
      <c r="AE22" s="142">
        <f t="shared" si="23"/>
        <v>0</v>
      </c>
      <c r="AF22" s="145">
        <v>231</v>
      </c>
      <c r="AG22" s="107">
        <f t="shared" si="24"/>
        <v>29.732664806322781</v>
      </c>
      <c r="AH22" s="142">
        <f t="shared" si="25"/>
        <v>260.73266480632276</v>
      </c>
      <c r="AI22" s="145">
        <v>0</v>
      </c>
      <c r="AJ22" s="107">
        <f t="shared" si="26"/>
        <v>0</v>
      </c>
      <c r="AK22" s="142">
        <f t="shared" si="27"/>
        <v>0</v>
      </c>
      <c r="AL22" s="146"/>
      <c r="AM22" s="401"/>
      <c r="AN22" s="107">
        <f t="shared" si="28"/>
        <v>0</v>
      </c>
      <c r="AO22" s="151">
        <f t="shared" si="29"/>
        <v>0</v>
      </c>
      <c r="AP22" s="282">
        <f t="shared" si="30"/>
        <v>1170.4696416337106</v>
      </c>
      <c r="AQ22" s="684">
        <v>102.62</v>
      </c>
      <c r="AR22" s="740">
        <v>671.51120273317622</v>
      </c>
      <c r="AS22" s="740">
        <v>475.3694065135283</v>
      </c>
      <c r="AT22" s="740">
        <v>23.589032387006021</v>
      </c>
      <c r="AU22" s="411">
        <v>755.70183644898293</v>
      </c>
      <c r="AV22" s="801"/>
      <c r="AW22" s="256"/>
      <c r="AX22" s="728">
        <f t="shared" si="31"/>
        <v>43.206202502793801</v>
      </c>
      <c r="AY22" s="729">
        <v>29.029882610642872</v>
      </c>
      <c r="AZ22" s="730"/>
      <c r="BA22" s="731">
        <v>0</v>
      </c>
      <c r="BC22" s="727">
        <v>0</v>
      </c>
      <c r="BD22" s="727">
        <v>43.206202502793801</v>
      </c>
      <c r="BE22" s="727"/>
      <c r="BF22" s="727"/>
      <c r="BG22" s="727">
        <v>0</v>
      </c>
      <c r="BH22" s="727">
        <v>0</v>
      </c>
      <c r="BI22" s="137">
        <f>BC22+BD22+BE22+BG22</f>
        <v>43.206202502793801</v>
      </c>
      <c r="BJ22" s="126">
        <v>669</v>
      </c>
      <c r="BK22" s="807"/>
      <c r="BL22" s="107"/>
      <c r="BM22" s="687"/>
      <c r="BO22" s="577"/>
      <c r="BS22" s="904"/>
      <c r="BT22" s="789"/>
      <c r="BU22" s="789">
        <v>659.06332555301037</v>
      </c>
      <c r="BV22" s="789">
        <v>0</v>
      </c>
      <c r="BW22" s="789">
        <f t="shared" si="32"/>
        <v>659.06332555301037</v>
      </c>
    </row>
    <row r="23" spans="1:75" ht="15" thickBot="1" x14ac:dyDescent="0.35">
      <c r="A23" s="260" t="s">
        <v>341</v>
      </c>
      <c r="B23" s="237">
        <v>9</v>
      </c>
      <c r="C23" s="40">
        <f>'[7]побудинковий звіт'!E23</f>
        <v>4082.7</v>
      </c>
      <c r="D23" s="215">
        <f t="shared" si="7"/>
        <v>1426.6059227394026</v>
      </c>
      <c r="E23" s="107">
        <f t="shared" si="8"/>
        <v>313.85356510427209</v>
      </c>
      <c r="F23" s="107">
        <f t="shared" si="9"/>
        <v>655.9131045374553</v>
      </c>
      <c r="G23" s="107">
        <f t="shared" si="10"/>
        <v>0</v>
      </c>
      <c r="H23" s="107">
        <f t="shared" si="11"/>
        <v>1191.8931455857592</v>
      </c>
      <c r="I23" s="107">
        <f t="shared" si="12"/>
        <v>461.85585464494352</v>
      </c>
      <c r="J23" s="687">
        <f t="shared" si="0"/>
        <v>0</v>
      </c>
      <c r="K23" s="142">
        <f t="shared" si="13"/>
        <v>4050.1215926118325</v>
      </c>
      <c r="L23" s="141">
        <f t="shared" si="1"/>
        <v>700.59173030800889</v>
      </c>
      <c r="M23" s="107">
        <f t="shared" si="2"/>
        <v>154.12945521210588</v>
      </c>
      <c r="N23" s="30">
        <f t="shared" si="14"/>
        <v>39.725184418105094</v>
      </c>
      <c r="O23" s="107">
        <f t="shared" si="3"/>
        <v>7.3501232756680421</v>
      </c>
      <c r="P23" s="107">
        <f t="shared" si="15"/>
        <v>585.32666092170518</v>
      </c>
      <c r="Q23" s="107">
        <f t="shared" si="16"/>
        <v>191.4118366564289</v>
      </c>
      <c r="R23" s="143">
        <f t="shared" si="17"/>
        <v>1678.534990792022</v>
      </c>
      <c r="S23" s="141">
        <f t="shared" si="18"/>
        <v>134.20000000000002</v>
      </c>
      <c r="T23" s="107">
        <f t="shared" si="4"/>
        <v>17.273262411292283</v>
      </c>
      <c r="U23" s="142">
        <f t="shared" si="19"/>
        <v>151.4732624112923</v>
      </c>
      <c r="V23" s="107"/>
      <c r="W23" s="107">
        <f t="shared" si="20"/>
        <v>0</v>
      </c>
      <c r="X23" s="142">
        <f t="shared" si="21"/>
        <v>0</v>
      </c>
      <c r="Y23" s="141">
        <v>3095.4</v>
      </c>
      <c r="Z23" s="144">
        <v>0</v>
      </c>
      <c r="AA23" s="107">
        <f t="shared" si="5"/>
        <v>398.41770840472526</v>
      </c>
      <c r="AB23" s="142">
        <f t="shared" si="6"/>
        <v>3493.8177084047252</v>
      </c>
      <c r="AC23" s="141">
        <v>291.65800000000002</v>
      </c>
      <c r="AD23" s="107">
        <f t="shared" si="22"/>
        <v>37.540127931093032</v>
      </c>
      <c r="AE23" s="142">
        <f t="shared" si="23"/>
        <v>329.19812793109304</v>
      </c>
      <c r="AF23" s="145">
        <v>1086.8</v>
      </c>
      <c r="AG23" s="107">
        <f t="shared" si="24"/>
        <v>139.88510870784239</v>
      </c>
      <c r="AH23" s="142">
        <f t="shared" si="25"/>
        <v>1226.6851087078423</v>
      </c>
      <c r="AI23" s="145">
        <v>1023</v>
      </c>
      <c r="AJ23" s="107">
        <f t="shared" si="26"/>
        <v>131.67322985657231</v>
      </c>
      <c r="AK23" s="142">
        <f t="shared" si="27"/>
        <v>1154.6732298565723</v>
      </c>
      <c r="AL23" s="146"/>
      <c r="AM23" s="146"/>
      <c r="AN23" s="107">
        <f t="shared" si="28"/>
        <v>0</v>
      </c>
      <c r="AO23" s="151">
        <f t="shared" si="29"/>
        <v>0</v>
      </c>
      <c r="AP23" s="282">
        <f t="shared" si="30"/>
        <v>1312.2141917414151</v>
      </c>
      <c r="AQ23" s="684">
        <v>616.83000000000004</v>
      </c>
      <c r="AR23" s="411">
        <v>665.15660818921583</v>
      </c>
      <c r="AS23" s="411">
        <v>623.83345874154202</v>
      </c>
      <c r="AT23" s="411">
        <v>23.224124810657219</v>
      </c>
      <c r="AU23" s="411">
        <v>0</v>
      </c>
      <c r="AV23" s="742">
        <v>34.633431110882142</v>
      </c>
      <c r="AW23" s="256"/>
      <c r="AX23" s="728">
        <f t="shared" si="31"/>
        <v>70.873104537455305</v>
      </c>
      <c r="AY23" s="729">
        <v>39.725184418105094</v>
      </c>
      <c r="AZ23" s="730"/>
      <c r="BA23" s="731">
        <v>0</v>
      </c>
      <c r="BB23" s="742"/>
      <c r="BC23" s="727">
        <v>15.817499999999999</v>
      </c>
      <c r="BD23" s="727">
        <v>55.055604537455309</v>
      </c>
      <c r="BE23" s="727"/>
      <c r="BF23" s="727"/>
      <c r="BG23" s="727">
        <v>0</v>
      </c>
      <c r="BH23" s="727">
        <v>22.825781249999999</v>
      </c>
      <c r="BI23" s="137">
        <f>BC23+BD23+BE23+BG23</f>
        <v>70.873104537455305</v>
      </c>
      <c r="BJ23" s="437">
        <v>610</v>
      </c>
      <c r="BK23" s="807"/>
      <c r="BL23" s="107"/>
      <c r="BM23" s="687">
        <v>585.04</v>
      </c>
      <c r="BO23" s="577"/>
      <c r="BS23" s="904"/>
      <c r="BT23" s="789"/>
      <c r="BU23" s="789">
        <v>1125.4947380978442</v>
      </c>
      <c r="BV23" s="789">
        <v>0</v>
      </c>
      <c r="BW23" s="789">
        <f t="shared" si="32"/>
        <v>1125.4947380978442</v>
      </c>
    </row>
    <row r="24" spans="1:75" ht="15" thickBot="1" x14ac:dyDescent="0.35">
      <c r="A24" s="220" t="s">
        <v>39</v>
      </c>
      <c r="B24" s="238">
        <v>1</v>
      </c>
      <c r="C24" s="40">
        <f>'[7]побудинковий звіт'!E24</f>
        <v>263.39999999999998</v>
      </c>
      <c r="D24" s="215">
        <f t="shared" si="7"/>
        <v>37.002772863345527</v>
      </c>
      <c r="E24" s="107">
        <f t="shared" si="8"/>
        <v>8.1406168282297475</v>
      </c>
      <c r="F24" s="107">
        <f t="shared" si="9"/>
        <v>0</v>
      </c>
      <c r="G24" s="107">
        <f t="shared" si="10"/>
        <v>0</v>
      </c>
      <c r="H24" s="107">
        <f t="shared" si="11"/>
        <v>30.914880304716501</v>
      </c>
      <c r="I24" s="107">
        <f t="shared" si="12"/>
        <v>9.7896755305131613</v>
      </c>
      <c r="J24" s="687">
        <f t="shared" si="0"/>
        <v>0</v>
      </c>
      <c r="K24" s="142">
        <f t="shared" si="13"/>
        <v>85.847945526804935</v>
      </c>
      <c r="L24" s="141">
        <f t="shared" si="1"/>
        <v>0</v>
      </c>
      <c r="M24" s="107">
        <f t="shared" si="2"/>
        <v>0</v>
      </c>
      <c r="N24" s="30">
        <f t="shared" si="14"/>
        <v>0</v>
      </c>
      <c r="O24" s="107">
        <f t="shared" si="3"/>
        <v>0.47420150165600272</v>
      </c>
      <c r="P24" s="107">
        <f t="shared" si="15"/>
        <v>0</v>
      </c>
      <c r="Q24" s="107">
        <f t="shared" si="16"/>
        <v>6.1035819477891107E-2</v>
      </c>
      <c r="R24" s="143">
        <f t="shared" si="17"/>
        <v>0.53523732113389388</v>
      </c>
      <c r="S24" s="141">
        <f t="shared" si="18"/>
        <v>0</v>
      </c>
      <c r="T24" s="107">
        <f t="shared" si="4"/>
        <v>0</v>
      </c>
      <c r="U24" s="142">
        <f t="shared" si="19"/>
        <v>0</v>
      </c>
      <c r="V24" s="107"/>
      <c r="W24" s="107">
        <f t="shared" si="20"/>
        <v>0</v>
      </c>
      <c r="X24" s="142">
        <f t="shared" si="21"/>
        <v>0</v>
      </c>
      <c r="Y24" s="141">
        <v>0</v>
      </c>
      <c r="Z24" s="144">
        <v>0</v>
      </c>
      <c r="AA24" s="107">
        <f t="shared" si="5"/>
        <v>0</v>
      </c>
      <c r="AB24" s="142">
        <f t="shared" si="6"/>
        <v>0</v>
      </c>
      <c r="AC24" s="141">
        <v>0</v>
      </c>
      <c r="AD24" s="107">
        <f t="shared" si="22"/>
        <v>0</v>
      </c>
      <c r="AE24" s="142">
        <f t="shared" si="23"/>
        <v>0</v>
      </c>
      <c r="AF24" s="145">
        <v>0</v>
      </c>
      <c r="AG24" s="107">
        <f t="shared" si="24"/>
        <v>0</v>
      </c>
      <c r="AH24" s="142">
        <f t="shared" si="25"/>
        <v>0</v>
      </c>
      <c r="AI24" s="145">
        <v>0</v>
      </c>
      <c r="AJ24" s="107">
        <f t="shared" si="26"/>
        <v>0</v>
      </c>
      <c r="AK24" s="142">
        <f t="shared" si="27"/>
        <v>0</v>
      </c>
      <c r="AL24" s="146"/>
      <c r="AM24" s="215"/>
      <c r="AN24" s="107">
        <f t="shared" si="28"/>
        <v>0</v>
      </c>
      <c r="AO24" s="151">
        <f t="shared" si="29"/>
        <v>0</v>
      </c>
      <c r="AP24" s="282">
        <f t="shared" si="30"/>
        <v>0</v>
      </c>
      <c r="AQ24" s="684">
        <v>34.15</v>
      </c>
      <c r="AR24" s="411">
        <v>0</v>
      </c>
      <c r="AS24" s="411">
        <v>0</v>
      </c>
      <c r="AT24" s="411">
        <v>0</v>
      </c>
      <c r="AU24" s="411">
        <v>0</v>
      </c>
      <c r="AV24" s="742">
        <v>0</v>
      </c>
      <c r="AW24" s="256"/>
      <c r="AX24" s="728">
        <f t="shared" si="31"/>
        <v>0</v>
      </c>
      <c r="AY24" s="729">
        <v>0</v>
      </c>
      <c r="AZ24" s="730"/>
      <c r="BA24" s="731">
        <v>0</v>
      </c>
      <c r="BB24" s="742"/>
      <c r="BC24" s="727">
        <v>0</v>
      </c>
      <c r="BD24" s="727">
        <v>0</v>
      </c>
      <c r="BE24" s="727"/>
      <c r="BF24" s="727"/>
      <c r="BG24" s="727">
        <v>0</v>
      </c>
      <c r="BH24" s="727">
        <v>0</v>
      </c>
      <c r="BI24" s="137">
        <f t="shared" ref="BI24:BI34" si="33">BC24+BD24+BE24+BG24+BH24</f>
        <v>0</v>
      </c>
      <c r="BJ24" s="126"/>
      <c r="BK24" s="807"/>
      <c r="BL24" s="107"/>
      <c r="BM24" s="687"/>
      <c r="BO24" s="577"/>
      <c r="BS24" s="904"/>
      <c r="BT24" s="789"/>
      <c r="BU24" s="789">
        <v>0</v>
      </c>
      <c r="BV24" s="789">
        <v>0</v>
      </c>
      <c r="BW24" s="789">
        <f t="shared" si="32"/>
        <v>0</v>
      </c>
    </row>
    <row r="25" spans="1:75" ht="15" thickBot="1" x14ac:dyDescent="0.35">
      <c r="A25" s="220" t="s">
        <v>40</v>
      </c>
      <c r="B25" s="238">
        <v>1</v>
      </c>
      <c r="C25" s="40">
        <f>'[7]побудинковий звіт'!E25</f>
        <v>298.60000000000002</v>
      </c>
      <c r="D25" s="215">
        <f t="shared" si="7"/>
        <v>46.256174920533546</v>
      </c>
      <c r="E25" s="107">
        <f t="shared" si="8"/>
        <v>10.176366980882223</v>
      </c>
      <c r="F25" s="107">
        <f t="shared" si="9"/>
        <v>0</v>
      </c>
      <c r="G25" s="107">
        <f t="shared" si="10"/>
        <v>0</v>
      </c>
      <c r="H25" s="107">
        <f t="shared" si="11"/>
        <v>38.645863549292756</v>
      </c>
      <c r="I25" s="107">
        <f t="shared" si="12"/>
        <v>12.237811080457009</v>
      </c>
      <c r="J25" s="687">
        <f t="shared" si="0"/>
        <v>0</v>
      </c>
      <c r="K25" s="142">
        <f t="shared" si="13"/>
        <v>107.31621653116552</v>
      </c>
      <c r="L25" s="141">
        <f t="shared" si="1"/>
        <v>0</v>
      </c>
      <c r="M25" s="107">
        <f t="shared" si="2"/>
        <v>0</v>
      </c>
      <c r="N25" s="30">
        <f t="shared" si="14"/>
        <v>0</v>
      </c>
      <c r="O25" s="107">
        <f t="shared" si="3"/>
        <v>0.53757239329719975</v>
      </c>
      <c r="P25" s="107">
        <f t="shared" si="15"/>
        <v>0</v>
      </c>
      <c r="Q25" s="107">
        <f t="shared" si="16"/>
        <v>6.9192466575923636E-2</v>
      </c>
      <c r="R25" s="143">
        <f t="shared" si="17"/>
        <v>0.60676485987312334</v>
      </c>
      <c r="S25" s="141">
        <f t="shared" si="18"/>
        <v>0</v>
      </c>
      <c r="T25" s="107">
        <f t="shared" si="4"/>
        <v>0</v>
      </c>
      <c r="U25" s="142">
        <f t="shared" si="19"/>
        <v>0</v>
      </c>
      <c r="V25" s="107"/>
      <c r="W25" s="107">
        <f t="shared" si="20"/>
        <v>0</v>
      </c>
      <c r="X25" s="142">
        <f t="shared" si="21"/>
        <v>0</v>
      </c>
      <c r="Y25" s="141">
        <v>0</v>
      </c>
      <c r="Z25" s="144">
        <v>0</v>
      </c>
      <c r="AA25" s="107">
        <f t="shared" si="5"/>
        <v>0</v>
      </c>
      <c r="AB25" s="142">
        <f t="shared" si="6"/>
        <v>0</v>
      </c>
      <c r="AC25" s="141">
        <v>0</v>
      </c>
      <c r="AD25" s="107">
        <f t="shared" si="22"/>
        <v>0</v>
      </c>
      <c r="AE25" s="142">
        <f t="shared" si="23"/>
        <v>0</v>
      </c>
      <c r="AF25" s="145">
        <v>0</v>
      </c>
      <c r="AG25" s="107">
        <f t="shared" si="24"/>
        <v>0</v>
      </c>
      <c r="AH25" s="142">
        <f t="shared" si="25"/>
        <v>0</v>
      </c>
      <c r="AI25" s="145">
        <v>0</v>
      </c>
      <c r="AJ25" s="107">
        <f t="shared" si="26"/>
        <v>0</v>
      </c>
      <c r="AK25" s="142">
        <f t="shared" si="27"/>
        <v>0</v>
      </c>
      <c r="AL25" s="146"/>
      <c r="AM25" s="215"/>
      <c r="AN25" s="107">
        <f t="shared" si="28"/>
        <v>0</v>
      </c>
      <c r="AO25" s="151">
        <f t="shared" si="29"/>
        <v>0</v>
      </c>
      <c r="AP25" s="282">
        <f t="shared" si="30"/>
        <v>0</v>
      </c>
      <c r="AQ25" s="684">
        <v>42.69</v>
      </c>
      <c r="AR25" s="411">
        <v>0</v>
      </c>
      <c r="AS25" s="411">
        <v>0</v>
      </c>
      <c r="AT25" s="411">
        <v>0</v>
      </c>
      <c r="AU25" s="411">
        <v>0</v>
      </c>
      <c r="AV25" s="742">
        <v>0</v>
      </c>
      <c r="AW25" s="256"/>
      <c r="AX25" s="728">
        <f t="shared" si="31"/>
        <v>0</v>
      </c>
      <c r="AY25" s="729">
        <v>0</v>
      </c>
      <c r="AZ25" s="730"/>
      <c r="BA25" s="731">
        <v>0</v>
      </c>
      <c r="BB25" s="742"/>
      <c r="BC25" s="727">
        <v>0</v>
      </c>
      <c r="BD25" s="727">
        <v>0</v>
      </c>
      <c r="BE25" s="727"/>
      <c r="BF25" s="727"/>
      <c r="BG25" s="727">
        <v>0</v>
      </c>
      <c r="BH25" s="727">
        <v>0</v>
      </c>
      <c r="BI25" s="137">
        <f t="shared" si="33"/>
        <v>0</v>
      </c>
      <c r="BJ25" s="126"/>
      <c r="BK25" s="807"/>
      <c r="BL25" s="107"/>
      <c r="BM25" s="687"/>
      <c r="BO25" s="577"/>
      <c r="BS25" s="904"/>
      <c r="BT25" s="789"/>
      <c r="BU25" s="789">
        <v>0</v>
      </c>
      <c r="BV25" s="789">
        <v>0</v>
      </c>
      <c r="BW25" s="789">
        <f t="shared" si="32"/>
        <v>0</v>
      </c>
    </row>
    <row r="26" spans="1:75" ht="15" thickBot="1" x14ac:dyDescent="0.35">
      <c r="A26" s="220" t="s">
        <v>41</v>
      </c>
      <c r="B26" s="238">
        <v>1</v>
      </c>
      <c r="C26" s="40">
        <f>'[7]побудинковий звіт'!E26</f>
        <v>298.39999999999998</v>
      </c>
      <c r="D26" s="215">
        <f t="shared" si="7"/>
        <v>39.321541060345808</v>
      </c>
      <c r="E26" s="107">
        <f t="shared" si="8"/>
        <v>8.650746257582945</v>
      </c>
      <c r="F26" s="107">
        <f t="shared" si="9"/>
        <v>0</v>
      </c>
      <c r="G26" s="107">
        <f t="shared" si="10"/>
        <v>0</v>
      </c>
      <c r="H26" s="107">
        <f t="shared" si="11"/>
        <v>32.852152452654821</v>
      </c>
      <c r="I26" s="107">
        <f t="shared" si="12"/>
        <v>10.403142752630242</v>
      </c>
      <c r="J26" s="687">
        <f t="shared" si="0"/>
        <v>0</v>
      </c>
      <c r="K26" s="142">
        <f t="shared" si="13"/>
        <v>91.227582523213826</v>
      </c>
      <c r="L26" s="141">
        <f t="shared" si="1"/>
        <v>0</v>
      </c>
      <c r="M26" s="107">
        <f t="shared" si="2"/>
        <v>0</v>
      </c>
      <c r="N26" s="30">
        <f t="shared" si="14"/>
        <v>0</v>
      </c>
      <c r="O26" s="107">
        <f t="shared" si="3"/>
        <v>0.53721233141287472</v>
      </c>
      <c r="P26" s="107">
        <f t="shared" si="15"/>
        <v>0</v>
      </c>
      <c r="Q26" s="107">
        <f t="shared" si="16"/>
        <v>6.914612199013935E-2</v>
      </c>
      <c r="R26" s="143">
        <f t="shared" si="17"/>
        <v>0.60635845340301409</v>
      </c>
      <c r="S26" s="141">
        <f t="shared" si="18"/>
        <v>0</v>
      </c>
      <c r="T26" s="107">
        <f t="shared" si="4"/>
        <v>0</v>
      </c>
      <c r="U26" s="142">
        <f t="shared" si="19"/>
        <v>0</v>
      </c>
      <c r="V26" s="107"/>
      <c r="W26" s="107">
        <f t="shared" si="20"/>
        <v>0</v>
      </c>
      <c r="X26" s="142">
        <f t="shared" si="21"/>
        <v>0</v>
      </c>
      <c r="Y26" s="141">
        <v>0</v>
      </c>
      <c r="Z26" s="144">
        <v>0</v>
      </c>
      <c r="AA26" s="107">
        <f t="shared" si="5"/>
        <v>0</v>
      </c>
      <c r="AB26" s="142">
        <f t="shared" si="6"/>
        <v>0</v>
      </c>
      <c r="AC26" s="141">
        <v>0</v>
      </c>
      <c r="AD26" s="107">
        <f t="shared" si="22"/>
        <v>0</v>
      </c>
      <c r="AE26" s="142">
        <f t="shared" si="23"/>
        <v>0</v>
      </c>
      <c r="AF26" s="145">
        <v>0</v>
      </c>
      <c r="AG26" s="107">
        <f t="shared" si="24"/>
        <v>0</v>
      </c>
      <c r="AH26" s="142">
        <f t="shared" si="25"/>
        <v>0</v>
      </c>
      <c r="AI26" s="145">
        <v>0</v>
      </c>
      <c r="AJ26" s="107">
        <f t="shared" si="26"/>
        <v>0</v>
      </c>
      <c r="AK26" s="142">
        <f t="shared" si="27"/>
        <v>0</v>
      </c>
      <c r="AL26" s="146"/>
      <c r="AM26" s="215"/>
      <c r="AN26" s="107">
        <f t="shared" si="28"/>
        <v>0</v>
      </c>
      <c r="AO26" s="151">
        <f t="shared" si="29"/>
        <v>0</v>
      </c>
      <c r="AP26" s="282">
        <f t="shared" si="30"/>
        <v>0</v>
      </c>
      <c r="AQ26" s="684">
        <v>36.29</v>
      </c>
      <c r="AR26" s="411">
        <v>0</v>
      </c>
      <c r="AS26" s="411">
        <v>0</v>
      </c>
      <c r="AT26" s="411">
        <v>0</v>
      </c>
      <c r="AU26" s="411">
        <v>0</v>
      </c>
      <c r="AV26" s="742">
        <v>0</v>
      </c>
      <c r="AW26" s="256"/>
      <c r="AX26" s="728">
        <f t="shared" si="31"/>
        <v>0</v>
      </c>
      <c r="AY26" s="729">
        <v>0</v>
      </c>
      <c r="AZ26" s="730"/>
      <c r="BA26" s="731">
        <v>0</v>
      </c>
      <c r="BB26" s="742"/>
      <c r="BC26" s="727">
        <v>0</v>
      </c>
      <c r="BD26" s="727">
        <v>0</v>
      </c>
      <c r="BE26" s="727"/>
      <c r="BF26" s="727"/>
      <c r="BG26" s="727">
        <v>0</v>
      </c>
      <c r="BH26" s="727">
        <v>0</v>
      </c>
      <c r="BI26" s="137">
        <f t="shared" si="33"/>
        <v>0</v>
      </c>
      <c r="BJ26" s="126"/>
      <c r="BK26" s="807"/>
      <c r="BL26" s="107"/>
      <c r="BM26" s="687"/>
      <c r="BO26" s="577"/>
      <c r="BS26" s="904"/>
      <c r="BT26" s="789"/>
      <c r="BU26" s="789">
        <v>0</v>
      </c>
      <c r="BV26" s="789">
        <v>0</v>
      </c>
      <c r="BW26" s="789">
        <f t="shared" si="32"/>
        <v>0</v>
      </c>
    </row>
    <row r="27" spans="1:75" ht="15" thickBot="1" x14ac:dyDescent="0.35">
      <c r="A27" s="220" t="s">
        <v>42</v>
      </c>
      <c r="B27" s="238">
        <v>1</v>
      </c>
      <c r="C27" s="40">
        <f>'[7]побудинковий звіт'!E27</f>
        <v>236.7</v>
      </c>
      <c r="D27" s="215">
        <f t="shared" si="7"/>
        <v>23.122669777563502</v>
      </c>
      <c r="E27" s="107">
        <f t="shared" si="8"/>
        <v>5.0869915992510339</v>
      </c>
      <c r="F27" s="107">
        <f t="shared" si="9"/>
        <v>0</v>
      </c>
      <c r="G27" s="107">
        <f t="shared" si="10"/>
        <v>0</v>
      </c>
      <c r="H27" s="107">
        <f t="shared" si="11"/>
        <v>19.318405437852128</v>
      </c>
      <c r="I27" s="107">
        <f t="shared" si="12"/>
        <v>6.11747220559739</v>
      </c>
      <c r="J27" s="687">
        <f t="shared" si="0"/>
        <v>0</v>
      </c>
      <c r="K27" s="142">
        <f t="shared" si="13"/>
        <v>53.645539020264053</v>
      </c>
      <c r="L27" s="141">
        <f t="shared" si="1"/>
        <v>0</v>
      </c>
      <c r="M27" s="107">
        <f t="shared" si="2"/>
        <v>0</v>
      </c>
      <c r="N27" s="30">
        <f t="shared" si="14"/>
        <v>0</v>
      </c>
      <c r="O27" s="107">
        <f t="shared" si="3"/>
        <v>0.42613324009861747</v>
      </c>
      <c r="P27" s="107">
        <f t="shared" si="15"/>
        <v>0</v>
      </c>
      <c r="Q27" s="107">
        <f t="shared" si="16"/>
        <v>5.4848817275690298E-2</v>
      </c>
      <c r="R27" s="143">
        <f t="shared" si="17"/>
        <v>0.48098205737430777</v>
      </c>
      <c r="S27" s="141">
        <f t="shared" si="18"/>
        <v>0</v>
      </c>
      <c r="T27" s="107">
        <f t="shared" si="4"/>
        <v>0</v>
      </c>
      <c r="U27" s="142">
        <f t="shared" si="19"/>
        <v>0</v>
      </c>
      <c r="V27" s="107"/>
      <c r="W27" s="107">
        <f t="shared" si="20"/>
        <v>0</v>
      </c>
      <c r="X27" s="142">
        <f t="shared" si="21"/>
        <v>0</v>
      </c>
      <c r="Y27" s="141">
        <v>0</v>
      </c>
      <c r="Z27" s="144">
        <v>0</v>
      </c>
      <c r="AA27" s="107">
        <f t="shared" si="5"/>
        <v>0</v>
      </c>
      <c r="AB27" s="142">
        <f t="shared" si="6"/>
        <v>0</v>
      </c>
      <c r="AC27" s="141">
        <v>0</v>
      </c>
      <c r="AD27" s="107">
        <f t="shared" si="22"/>
        <v>0</v>
      </c>
      <c r="AE27" s="142">
        <f t="shared" si="23"/>
        <v>0</v>
      </c>
      <c r="AF27" s="145">
        <v>55</v>
      </c>
      <c r="AG27" s="107">
        <f t="shared" si="24"/>
        <v>7.0792059062673287</v>
      </c>
      <c r="AH27" s="142">
        <f t="shared" si="25"/>
        <v>62.079205906267326</v>
      </c>
      <c r="AI27" s="145">
        <v>0</v>
      </c>
      <c r="AJ27" s="107">
        <f t="shared" si="26"/>
        <v>0</v>
      </c>
      <c r="AK27" s="142">
        <f t="shared" si="27"/>
        <v>0</v>
      </c>
      <c r="AL27" s="146"/>
      <c r="AM27" s="215"/>
      <c r="AN27" s="107">
        <f t="shared" si="28"/>
        <v>0</v>
      </c>
      <c r="AO27" s="151">
        <f t="shared" si="29"/>
        <v>0</v>
      </c>
      <c r="AP27" s="282">
        <f t="shared" si="30"/>
        <v>0</v>
      </c>
      <c r="AQ27" s="684">
        <v>21.34</v>
      </c>
      <c r="AR27" s="411">
        <v>0</v>
      </c>
      <c r="AS27" s="411">
        <v>0</v>
      </c>
      <c r="AT27" s="411">
        <v>0</v>
      </c>
      <c r="AU27" s="411">
        <v>0</v>
      </c>
      <c r="AV27" s="742">
        <v>0</v>
      </c>
      <c r="AW27" s="256"/>
      <c r="AX27" s="728">
        <f t="shared" si="31"/>
        <v>0</v>
      </c>
      <c r="AY27" s="729">
        <v>0</v>
      </c>
      <c r="AZ27" s="730"/>
      <c r="BA27" s="731">
        <v>0</v>
      </c>
      <c r="BB27" s="742"/>
      <c r="BC27" s="727">
        <v>0</v>
      </c>
      <c r="BD27" s="727">
        <v>0</v>
      </c>
      <c r="BE27" s="727"/>
      <c r="BF27" s="727"/>
      <c r="BG27" s="727">
        <v>0</v>
      </c>
      <c r="BH27" s="727">
        <v>0</v>
      </c>
      <c r="BI27" s="137">
        <f t="shared" si="33"/>
        <v>0</v>
      </c>
      <c r="BJ27" s="126"/>
      <c r="BK27" s="807"/>
      <c r="BL27" s="107"/>
      <c r="BM27" s="687"/>
      <c r="BO27" s="577"/>
      <c r="BS27" s="904"/>
      <c r="BT27" s="789"/>
      <c r="BU27" s="789">
        <v>0</v>
      </c>
      <c r="BV27" s="789">
        <v>0</v>
      </c>
      <c r="BW27" s="789">
        <f t="shared" si="32"/>
        <v>0</v>
      </c>
    </row>
    <row r="28" spans="1:75" ht="15" thickBot="1" x14ac:dyDescent="0.35">
      <c r="A28" s="220" t="s">
        <v>43</v>
      </c>
      <c r="B28" s="238">
        <v>1</v>
      </c>
      <c r="C28" s="40">
        <f>'[7]побудинковий звіт'!E28</f>
        <v>315.7</v>
      </c>
      <c r="D28" s="215">
        <f t="shared" si="7"/>
        <v>30.068139003157789</v>
      </c>
      <c r="E28" s="107">
        <f t="shared" si="8"/>
        <v>6.6149961049304693</v>
      </c>
      <c r="F28" s="107">
        <f t="shared" si="9"/>
        <v>0</v>
      </c>
      <c r="G28" s="107">
        <f t="shared" si="10"/>
        <v>0</v>
      </c>
      <c r="H28" s="107">
        <f t="shared" si="11"/>
        <v>25.121169208078566</v>
      </c>
      <c r="I28" s="107">
        <f t="shared" si="12"/>
        <v>7.9550072026863905</v>
      </c>
      <c r="J28" s="687">
        <f t="shared" si="0"/>
        <v>0</v>
      </c>
      <c r="K28" s="142">
        <f t="shared" si="13"/>
        <v>69.75931151885321</v>
      </c>
      <c r="L28" s="141">
        <f t="shared" si="1"/>
        <v>0</v>
      </c>
      <c r="M28" s="107">
        <f t="shared" si="2"/>
        <v>0</v>
      </c>
      <c r="N28" s="30">
        <f t="shared" si="14"/>
        <v>0</v>
      </c>
      <c r="O28" s="107">
        <f t="shared" si="3"/>
        <v>0.56835768440698575</v>
      </c>
      <c r="P28" s="107">
        <f t="shared" si="15"/>
        <v>0</v>
      </c>
      <c r="Q28" s="107">
        <f t="shared" si="16"/>
        <v>7.3154928660479193E-2</v>
      </c>
      <c r="R28" s="143">
        <f t="shared" si="17"/>
        <v>0.64151261306746499</v>
      </c>
      <c r="S28" s="141">
        <f t="shared" si="18"/>
        <v>0</v>
      </c>
      <c r="T28" s="107">
        <f t="shared" si="4"/>
        <v>0</v>
      </c>
      <c r="U28" s="142">
        <f t="shared" si="19"/>
        <v>0</v>
      </c>
      <c r="V28" s="107"/>
      <c r="W28" s="107">
        <f t="shared" si="20"/>
        <v>0</v>
      </c>
      <c r="X28" s="142">
        <f t="shared" si="21"/>
        <v>0</v>
      </c>
      <c r="Y28" s="141">
        <v>0</v>
      </c>
      <c r="Z28" s="144">
        <v>0</v>
      </c>
      <c r="AA28" s="107">
        <f t="shared" si="5"/>
        <v>0</v>
      </c>
      <c r="AB28" s="142">
        <f t="shared" si="6"/>
        <v>0</v>
      </c>
      <c r="AC28" s="141">
        <v>0</v>
      </c>
      <c r="AD28" s="107">
        <f t="shared" si="22"/>
        <v>0</v>
      </c>
      <c r="AE28" s="142">
        <f t="shared" si="23"/>
        <v>0</v>
      </c>
      <c r="AF28" s="145">
        <v>0</v>
      </c>
      <c r="AG28" s="107">
        <f t="shared" si="24"/>
        <v>0</v>
      </c>
      <c r="AH28" s="142">
        <f t="shared" si="25"/>
        <v>0</v>
      </c>
      <c r="AI28" s="145">
        <v>0</v>
      </c>
      <c r="AJ28" s="107">
        <f t="shared" si="26"/>
        <v>0</v>
      </c>
      <c r="AK28" s="142">
        <f t="shared" si="27"/>
        <v>0</v>
      </c>
      <c r="AL28" s="146"/>
      <c r="AM28" s="215"/>
      <c r="AN28" s="107">
        <f t="shared" si="28"/>
        <v>0</v>
      </c>
      <c r="AO28" s="151">
        <f t="shared" si="29"/>
        <v>0</v>
      </c>
      <c r="AP28" s="282">
        <f t="shared" si="30"/>
        <v>0</v>
      </c>
      <c r="AQ28" s="684">
        <v>27.75</v>
      </c>
      <c r="AR28" s="411">
        <v>0</v>
      </c>
      <c r="AS28" s="411">
        <v>0</v>
      </c>
      <c r="AT28" s="411">
        <v>0</v>
      </c>
      <c r="AU28" s="411">
        <v>0</v>
      </c>
      <c r="AV28" s="742">
        <v>0</v>
      </c>
      <c r="AW28" s="256"/>
      <c r="AX28" s="728">
        <f t="shared" si="31"/>
        <v>0</v>
      </c>
      <c r="AY28" s="729">
        <v>0</v>
      </c>
      <c r="AZ28" s="730"/>
      <c r="BA28" s="731">
        <v>0</v>
      </c>
      <c r="BB28" s="742"/>
      <c r="BC28" s="727">
        <v>0</v>
      </c>
      <c r="BD28" s="727">
        <v>0</v>
      </c>
      <c r="BE28" s="727"/>
      <c r="BF28" s="727"/>
      <c r="BG28" s="727">
        <v>0</v>
      </c>
      <c r="BH28" s="727">
        <v>0</v>
      </c>
      <c r="BI28" s="137">
        <f t="shared" si="33"/>
        <v>0</v>
      </c>
      <c r="BJ28" s="126"/>
      <c r="BK28" s="807"/>
      <c r="BL28" s="107"/>
      <c r="BM28" s="687"/>
      <c r="BO28" s="577"/>
      <c r="BS28" s="904"/>
      <c r="BT28" s="789"/>
      <c r="BU28" s="789">
        <v>0</v>
      </c>
      <c r="BV28" s="789">
        <v>0</v>
      </c>
      <c r="BW28" s="789">
        <f t="shared" si="32"/>
        <v>0</v>
      </c>
    </row>
    <row r="29" spans="1:75" ht="15" thickBot="1" x14ac:dyDescent="0.35">
      <c r="A29" s="220" t="s">
        <v>44</v>
      </c>
      <c r="B29" s="238">
        <v>1</v>
      </c>
      <c r="C29" s="40">
        <f>'[7]побудинковий звіт'!E29</f>
        <v>239.9</v>
      </c>
      <c r="D29" s="215">
        <f t="shared" si="7"/>
        <v>22.461712487764359</v>
      </c>
      <c r="E29" s="107">
        <f t="shared" si="8"/>
        <v>4.9415808740615716</v>
      </c>
      <c r="F29" s="107">
        <f t="shared" si="9"/>
        <v>0</v>
      </c>
      <c r="G29" s="107">
        <f t="shared" si="10"/>
        <v>0</v>
      </c>
      <c r="H29" s="107">
        <f t="shared" si="11"/>
        <v>18.766192348953826</v>
      </c>
      <c r="I29" s="107">
        <f t="shared" si="12"/>
        <v>5.9426053806014014</v>
      </c>
      <c r="J29" s="687">
        <f t="shared" si="0"/>
        <v>0</v>
      </c>
      <c r="K29" s="142">
        <f t="shared" si="13"/>
        <v>52.112091091381153</v>
      </c>
      <c r="L29" s="141">
        <f t="shared" si="1"/>
        <v>0</v>
      </c>
      <c r="M29" s="107">
        <f t="shared" si="2"/>
        <v>0</v>
      </c>
      <c r="N29" s="30">
        <f t="shared" si="14"/>
        <v>0</v>
      </c>
      <c r="O29" s="107">
        <f t="shared" si="3"/>
        <v>0.43189423024781726</v>
      </c>
      <c r="P29" s="107">
        <f t="shared" si="15"/>
        <v>0</v>
      </c>
      <c r="Q29" s="107">
        <f t="shared" si="16"/>
        <v>5.5590330648238713E-2</v>
      </c>
      <c r="R29" s="143">
        <f t="shared" si="17"/>
        <v>0.48748456089605596</v>
      </c>
      <c r="S29" s="141">
        <f t="shared" si="18"/>
        <v>0</v>
      </c>
      <c r="T29" s="107">
        <f t="shared" si="4"/>
        <v>0</v>
      </c>
      <c r="U29" s="142">
        <f t="shared" si="19"/>
        <v>0</v>
      </c>
      <c r="V29" s="107"/>
      <c r="W29" s="107">
        <f t="shared" si="20"/>
        <v>0</v>
      </c>
      <c r="X29" s="142">
        <f t="shared" si="21"/>
        <v>0</v>
      </c>
      <c r="Y29" s="141">
        <v>0</v>
      </c>
      <c r="Z29" s="144">
        <v>0</v>
      </c>
      <c r="AA29" s="107">
        <f t="shared" si="5"/>
        <v>0</v>
      </c>
      <c r="AB29" s="142">
        <f t="shared" si="6"/>
        <v>0</v>
      </c>
      <c r="AC29" s="141">
        <v>0</v>
      </c>
      <c r="AD29" s="107">
        <f t="shared" si="22"/>
        <v>0</v>
      </c>
      <c r="AE29" s="142">
        <f t="shared" si="23"/>
        <v>0</v>
      </c>
      <c r="AF29" s="145">
        <v>61.6</v>
      </c>
      <c r="AG29" s="107">
        <f t="shared" si="24"/>
        <v>7.9287106150194084</v>
      </c>
      <c r="AH29" s="142">
        <f t="shared" si="25"/>
        <v>69.528710615019406</v>
      </c>
      <c r="AI29" s="145">
        <v>0</v>
      </c>
      <c r="AJ29" s="107">
        <f t="shared" si="26"/>
        <v>0</v>
      </c>
      <c r="AK29" s="142">
        <f t="shared" si="27"/>
        <v>0</v>
      </c>
      <c r="AL29" s="146"/>
      <c r="AM29" s="215"/>
      <c r="AN29" s="107">
        <f t="shared" si="28"/>
        <v>0</v>
      </c>
      <c r="AO29" s="151">
        <f t="shared" si="29"/>
        <v>0</v>
      </c>
      <c r="AP29" s="282">
        <f t="shared" si="30"/>
        <v>0</v>
      </c>
      <c r="AQ29" s="684">
        <v>20.73</v>
      </c>
      <c r="AR29" s="411">
        <v>0</v>
      </c>
      <c r="AS29" s="411">
        <v>0</v>
      </c>
      <c r="AT29" s="411">
        <v>0</v>
      </c>
      <c r="AU29" s="411">
        <v>0</v>
      </c>
      <c r="AV29" s="742">
        <v>0</v>
      </c>
      <c r="AW29" s="256"/>
      <c r="AX29" s="728">
        <f t="shared" si="31"/>
        <v>0</v>
      </c>
      <c r="AY29" s="729">
        <v>0</v>
      </c>
      <c r="AZ29" s="730"/>
      <c r="BA29" s="731">
        <v>0</v>
      </c>
      <c r="BB29" s="742"/>
      <c r="BC29" s="727">
        <v>0</v>
      </c>
      <c r="BD29" s="727">
        <v>0</v>
      </c>
      <c r="BE29" s="727"/>
      <c r="BF29" s="727"/>
      <c r="BG29" s="727">
        <v>0</v>
      </c>
      <c r="BH29" s="727">
        <v>0</v>
      </c>
      <c r="BI29" s="137">
        <f t="shared" si="33"/>
        <v>0</v>
      </c>
      <c r="BJ29" s="126"/>
      <c r="BK29" s="807"/>
      <c r="BL29" s="107"/>
      <c r="BM29" s="687"/>
      <c r="BO29" s="577"/>
      <c r="BS29" s="904"/>
      <c r="BT29" s="789"/>
      <c r="BU29" s="789">
        <v>0</v>
      </c>
      <c r="BV29" s="789">
        <v>0</v>
      </c>
      <c r="BW29" s="789">
        <f t="shared" si="32"/>
        <v>0</v>
      </c>
    </row>
    <row r="30" spans="1:75" ht="15" thickBot="1" x14ac:dyDescent="0.35">
      <c r="A30" s="220" t="s">
        <v>47</v>
      </c>
      <c r="B30" s="238">
        <v>1</v>
      </c>
      <c r="C30" s="40">
        <f>'[7]побудинковий звіт'!E30</f>
        <v>135.6</v>
      </c>
      <c r="D30" s="215">
        <f t="shared" si="7"/>
        <v>14.974474991842905</v>
      </c>
      <c r="E30" s="107">
        <f t="shared" si="8"/>
        <v>3.2943872493743811</v>
      </c>
      <c r="F30" s="107">
        <f t="shared" si="9"/>
        <v>0</v>
      </c>
      <c r="G30" s="107">
        <f t="shared" si="10"/>
        <v>0</v>
      </c>
      <c r="H30" s="107">
        <f t="shared" si="11"/>
        <v>12.510794899302551</v>
      </c>
      <c r="I30" s="107">
        <f t="shared" si="12"/>
        <v>3.9617369204009343</v>
      </c>
      <c r="J30" s="687">
        <f t="shared" si="0"/>
        <v>0</v>
      </c>
      <c r="K30" s="142">
        <f t="shared" si="13"/>
        <v>34.741394060920769</v>
      </c>
      <c r="L30" s="141">
        <f t="shared" si="1"/>
        <v>0</v>
      </c>
      <c r="M30" s="107">
        <f t="shared" si="2"/>
        <v>0</v>
      </c>
      <c r="N30" s="30">
        <f t="shared" si="14"/>
        <v>0</v>
      </c>
      <c r="O30" s="107">
        <f t="shared" si="3"/>
        <v>0.24412195757233854</v>
      </c>
      <c r="P30" s="107">
        <f t="shared" si="15"/>
        <v>0</v>
      </c>
      <c r="Q30" s="107">
        <f t="shared" si="16"/>
        <v>3.1421629161738927E-2</v>
      </c>
      <c r="R30" s="143">
        <f t="shared" si="17"/>
        <v>0.27554358673407747</v>
      </c>
      <c r="S30" s="141">
        <f t="shared" si="18"/>
        <v>0</v>
      </c>
      <c r="T30" s="107">
        <f t="shared" si="4"/>
        <v>0</v>
      </c>
      <c r="U30" s="142">
        <f t="shared" si="19"/>
        <v>0</v>
      </c>
      <c r="V30" s="107"/>
      <c r="W30" s="107">
        <f t="shared" si="20"/>
        <v>0</v>
      </c>
      <c r="X30" s="142">
        <f t="shared" si="21"/>
        <v>0</v>
      </c>
      <c r="Y30" s="141">
        <v>0</v>
      </c>
      <c r="Z30" s="144">
        <v>0</v>
      </c>
      <c r="AA30" s="107">
        <f t="shared" si="5"/>
        <v>0</v>
      </c>
      <c r="AB30" s="142">
        <f t="shared" si="6"/>
        <v>0</v>
      </c>
      <c r="AC30" s="141">
        <v>0</v>
      </c>
      <c r="AD30" s="107">
        <f t="shared" si="22"/>
        <v>0</v>
      </c>
      <c r="AE30" s="142">
        <f t="shared" si="23"/>
        <v>0</v>
      </c>
      <c r="AF30" s="145">
        <v>0</v>
      </c>
      <c r="AG30" s="107">
        <f t="shared" si="24"/>
        <v>0</v>
      </c>
      <c r="AH30" s="142">
        <f t="shared" si="25"/>
        <v>0</v>
      </c>
      <c r="AI30" s="145">
        <v>0</v>
      </c>
      <c r="AJ30" s="107">
        <f t="shared" si="26"/>
        <v>0</v>
      </c>
      <c r="AK30" s="142">
        <f t="shared" si="27"/>
        <v>0</v>
      </c>
      <c r="AL30" s="146"/>
      <c r="AM30" s="215"/>
      <c r="AN30" s="107">
        <f t="shared" si="28"/>
        <v>0</v>
      </c>
      <c r="AO30" s="151">
        <f t="shared" si="29"/>
        <v>0</v>
      </c>
      <c r="AP30" s="282">
        <f t="shared" si="30"/>
        <v>0</v>
      </c>
      <c r="AQ30" s="684">
        <v>13.82</v>
      </c>
      <c r="AR30" s="411">
        <v>0</v>
      </c>
      <c r="AS30" s="411">
        <v>0</v>
      </c>
      <c r="AT30" s="411">
        <v>0</v>
      </c>
      <c r="AU30" s="411">
        <v>0</v>
      </c>
      <c r="AV30" s="742">
        <v>0</v>
      </c>
      <c r="AW30" s="256"/>
      <c r="AX30" s="728">
        <f t="shared" si="31"/>
        <v>0</v>
      </c>
      <c r="AY30" s="729">
        <v>0</v>
      </c>
      <c r="AZ30" s="730"/>
      <c r="BA30" s="731">
        <v>0</v>
      </c>
      <c r="BB30" s="742"/>
      <c r="BC30" s="727">
        <v>0</v>
      </c>
      <c r="BD30" s="727">
        <v>0</v>
      </c>
      <c r="BE30" s="727"/>
      <c r="BF30" s="727"/>
      <c r="BG30" s="727">
        <v>0</v>
      </c>
      <c r="BH30" s="727">
        <v>0</v>
      </c>
      <c r="BI30" s="137">
        <f t="shared" si="33"/>
        <v>0</v>
      </c>
      <c r="BJ30" s="126"/>
      <c r="BK30" s="807"/>
      <c r="BL30" s="107"/>
      <c r="BM30" s="687"/>
      <c r="BO30" s="577"/>
      <c r="BS30" s="904"/>
      <c r="BT30" s="789"/>
      <c r="BU30" s="789">
        <v>0</v>
      </c>
      <c r="BV30" s="789">
        <v>0</v>
      </c>
      <c r="BW30" s="789">
        <f t="shared" si="32"/>
        <v>0</v>
      </c>
    </row>
    <row r="31" spans="1:75" ht="15" thickBot="1" x14ac:dyDescent="0.35">
      <c r="A31" s="220" t="s">
        <v>48</v>
      </c>
      <c r="B31" s="238">
        <v>1</v>
      </c>
      <c r="C31" s="40">
        <f>'[7]побудинковий звіт'!E31</f>
        <v>229.9</v>
      </c>
      <c r="D31" s="215">
        <f t="shared" si="7"/>
        <v>29.948949983685811</v>
      </c>
      <c r="E31" s="107">
        <f t="shared" si="8"/>
        <v>6.5887744987487622</v>
      </c>
      <c r="F31" s="107">
        <f t="shared" si="9"/>
        <v>0</v>
      </c>
      <c r="G31" s="107">
        <f t="shared" si="10"/>
        <v>0</v>
      </c>
      <c r="H31" s="107">
        <f t="shared" si="11"/>
        <v>25.021589798605103</v>
      </c>
      <c r="I31" s="107">
        <f t="shared" si="12"/>
        <v>7.9234738408018686</v>
      </c>
      <c r="J31" s="687">
        <f t="shared" si="0"/>
        <v>0</v>
      </c>
      <c r="K31" s="142">
        <f t="shared" si="13"/>
        <v>69.482788121841537</v>
      </c>
      <c r="L31" s="141">
        <f t="shared" si="1"/>
        <v>0</v>
      </c>
      <c r="M31" s="107">
        <f t="shared" si="2"/>
        <v>0</v>
      </c>
      <c r="N31" s="30">
        <f t="shared" si="14"/>
        <v>0</v>
      </c>
      <c r="O31" s="107">
        <f t="shared" si="3"/>
        <v>0.41389113603156807</v>
      </c>
      <c r="P31" s="107">
        <f t="shared" si="15"/>
        <v>0</v>
      </c>
      <c r="Q31" s="107">
        <f t="shared" si="16"/>
        <v>5.3273101359024924E-2</v>
      </c>
      <c r="R31" s="143">
        <f t="shared" si="17"/>
        <v>0.46716423739059298</v>
      </c>
      <c r="S31" s="141">
        <f t="shared" si="18"/>
        <v>0</v>
      </c>
      <c r="T31" s="107">
        <f t="shared" si="4"/>
        <v>0</v>
      </c>
      <c r="U31" s="142">
        <f t="shared" si="19"/>
        <v>0</v>
      </c>
      <c r="V31" s="107"/>
      <c r="W31" s="107">
        <f t="shared" si="20"/>
        <v>0</v>
      </c>
      <c r="X31" s="142">
        <f t="shared" si="21"/>
        <v>0</v>
      </c>
      <c r="Y31" s="141">
        <v>0</v>
      </c>
      <c r="Z31" s="144">
        <v>0</v>
      </c>
      <c r="AA31" s="107">
        <f t="shared" si="5"/>
        <v>0</v>
      </c>
      <c r="AB31" s="142">
        <f t="shared" si="6"/>
        <v>0</v>
      </c>
      <c r="AC31" s="141">
        <v>0</v>
      </c>
      <c r="AD31" s="107">
        <f t="shared" si="22"/>
        <v>0</v>
      </c>
      <c r="AE31" s="142">
        <f t="shared" si="23"/>
        <v>0</v>
      </c>
      <c r="AF31" s="145">
        <v>22</v>
      </c>
      <c r="AG31" s="107">
        <f t="shared" si="24"/>
        <v>2.8316823625069314</v>
      </c>
      <c r="AH31" s="142">
        <f t="shared" si="25"/>
        <v>24.831682362506932</v>
      </c>
      <c r="AI31" s="145">
        <v>0</v>
      </c>
      <c r="AJ31" s="107">
        <f t="shared" si="26"/>
        <v>0</v>
      </c>
      <c r="AK31" s="142">
        <f t="shared" si="27"/>
        <v>0</v>
      </c>
      <c r="AL31" s="146"/>
      <c r="AM31" s="215"/>
      <c r="AN31" s="107">
        <f t="shared" si="28"/>
        <v>0</v>
      </c>
      <c r="AO31" s="151">
        <f t="shared" si="29"/>
        <v>0</v>
      </c>
      <c r="AP31" s="282">
        <f t="shared" si="30"/>
        <v>0</v>
      </c>
      <c r="AQ31" s="684">
        <v>27.64</v>
      </c>
      <c r="AR31" s="411">
        <v>0</v>
      </c>
      <c r="AS31" s="411">
        <v>0</v>
      </c>
      <c r="AT31" s="411">
        <v>0</v>
      </c>
      <c r="AU31" s="411">
        <v>0</v>
      </c>
      <c r="AV31" s="742">
        <v>0</v>
      </c>
      <c r="AW31" s="256"/>
      <c r="AX31" s="728">
        <f t="shared" si="31"/>
        <v>0</v>
      </c>
      <c r="AY31" s="729">
        <v>0</v>
      </c>
      <c r="AZ31" s="730"/>
      <c r="BA31" s="731">
        <v>0</v>
      </c>
      <c r="BB31" s="742"/>
      <c r="BC31" s="727">
        <v>0</v>
      </c>
      <c r="BD31" s="727">
        <v>0</v>
      </c>
      <c r="BE31" s="727"/>
      <c r="BF31" s="727"/>
      <c r="BG31" s="727">
        <v>0</v>
      </c>
      <c r="BH31" s="727">
        <v>0</v>
      </c>
      <c r="BI31" s="137">
        <f t="shared" si="33"/>
        <v>0</v>
      </c>
      <c r="BJ31" s="126"/>
      <c r="BK31" s="807"/>
      <c r="BL31" s="107"/>
      <c r="BM31" s="687"/>
      <c r="BO31" s="577"/>
      <c r="BS31" s="904"/>
      <c r="BT31" s="789"/>
      <c r="BU31" s="789">
        <v>0</v>
      </c>
      <c r="BV31" s="789">
        <v>0</v>
      </c>
      <c r="BW31" s="789">
        <f t="shared" si="32"/>
        <v>0</v>
      </c>
    </row>
    <row r="32" spans="1:75" ht="15" thickBot="1" x14ac:dyDescent="0.35">
      <c r="A32" s="219" t="s">
        <v>201</v>
      </c>
      <c r="B32" s="237">
        <v>4</v>
      </c>
      <c r="C32" s="40">
        <f>'[7]побудинковий звіт'!E32</f>
        <v>2167.6</v>
      </c>
      <c r="D32" s="215">
        <f t="shared" si="7"/>
        <v>1466.3316223017675</v>
      </c>
      <c r="E32" s="107">
        <f t="shared" si="8"/>
        <v>322.59322630655282</v>
      </c>
      <c r="F32" s="107">
        <f t="shared" si="9"/>
        <v>70.300695204739682</v>
      </c>
      <c r="G32" s="107">
        <f t="shared" si="10"/>
        <v>0</v>
      </c>
      <c r="H32" s="107">
        <f t="shared" si="11"/>
        <v>1225.0829622388835</v>
      </c>
      <c r="I32" s="107">
        <f t="shared" si="12"/>
        <v>396.99009077806323</v>
      </c>
      <c r="J32" s="687">
        <f t="shared" si="0"/>
        <v>0</v>
      </c>
      <c r="K32" s="142">
        <f t="shared" si="13"/>
        <v>3481.2985968300068</v>
      </c>
      <c r="L32" s="141">
        <f t="shared" si="1"/>
        <v>1406.5831262432218</v>
      </c>
      <c r="M32" s="107">
        <f t="shared" si="2"/>
        <v>309.44683127089752</v>
      </c>
      <c r="N32" s="30">
        <f t="shared" si="14"/>
        <v>47.234443460015108</v>
      </c>
      <c r="O32" s="107">
        <f t="shared" si="3"/>
        <v>3.9023507023141666</v>
      </c>
      <c r="P32" s="107">
        <f t="shared" si="15"/>
        <v>1175.1646058265592</v>
      </c>
      <c r="Q32" s="107">
        <f t="shared" si="16"/>
        <v>378.7158095314702</v>
      </c>
      <c r="R32" s="143">
        <f t="shared" si="17"/>
        <v>3321.0471670344782</v>
      </c>
      <c r="S32" s="141">
        <f t="shared" si="18"/>
        <v>100.10000000000001</v>
      </c>
      <c r="T32" s="107">
        <f t="shared" si="4"/>
        <v>12.884154749406539</v>
      </c>
      <c r="U32" s="142">
        <f t="shared" si="19"/>
        <v>112.98415474940654</v>
      </c>
      <c r="V32" s="107"/>
      <c r="W32" s="107">
        <f t="shared" si="20"/>
        <v>0</v>
      </c>
      <c r="X32" s="142">
        <f t="shared" si="21"/>
        <v>0</v>
      </c>
      <c r="Y32" s="141">
        <v>0</v>
      </c>
      <c r="Z32" s="144">
        <v>0</v>
      </c>
      <c r="AA32" s="107">
        <f t="shared" si="5"/>
        <v>0</v>
      </c>
      <c r="AB32" s="142">
        <f t="shared" si="6"/>
        <v>0</v>
      </c>
      <c r="AC32" s="141">
        <v>0</v>
      </c>
      <c r="AD32" s="107">
        <f t="shared" si="22"/>
        <v>0</v>
      </c>
      <c r="AE32" s="142">
        <f t="shared" si="23"/>
        <v>0</v>
      </c>
      <c r="AF32" s="145">
        <v>136.4</v>
      </c>
      <c r="AG32" s="107">
        <f t="shared" si="24"/>
        <v>17.556430647542975</v>
      </c>
      <c r="AH32" s="142">
        <f t="shared" si="25"/>
        <v>153.95643064754299</v>
      </c>
      <c r="AI32" s="145">
        <v>0</v>
      </c>
      <c r="AJ32" s="107">
        <f t="shared" si="26"/>
        <v>0</v>
      </c>
      <c r="AK32" s="142">
        <f t="shared" si="27"/>
        <v>0</v>
      </c>
      <c r="AL32" s="146"/>
      <c r="AM32" s="401"/>
      <c r="AN32" s="107">
        <f t="shared" si="28"/>
        <v>0</v>
      </c>
      <c r="AO32" s="151">
        <f t="shared" si="29"/>
        <v>0</v>
      </c>
      <c r="AP32" s="282">
        <f t="shared" si="30"/>
        <v>1785.5385399502857</v>
      </c>
      <c r="AQ32" s="684">
        <v>70.08</v>
      </c>
      <c r="AR32" s="740">
        <v>1283.2030387208424</v>
      </c>
      <c r="AS32" s="740">
        <v>477.97024854594173</v>
      </c>
      <c r="AT32" s="740">
        <v>24.365252683501524</v>
      </c>
      <c r="AU32" s="411">
        <v>796.76672815613927</v>
      </c>
      <c r="AV32" s="801"/>
      <c r="AW32" s="256"/>
      <c r="AX32" s="728">
        <f t="shared" si="31"/>
        <v>70.300695204739682</v>
      </c>
      <c r="AY32" s="729">
        <v>47.234443460015108</v>
      </c>
      <c r="AZ32" s="730"/>
      <c r="BA32" s="731">
        <v>0</v>
      </c>
      <c r="BC32" s="727">
        <v>0</v>
      </c>
      <c r="BD32" s="727">
        <v>70.300695204739682</v>
      </c>
      <c r="BE32" s="727"/>
      <c r="BF32" s="727"/>
      <c r="BG32" s="727">
        <v>0</v>
      </c>
      <c r="BH32" s="727">
        <v>0</v>
      </c>
      <c r="BI32" s="137">
        <f t="shared" si="33"/>
        <v>70.300695204739682</v>
      </c>
      <c r="BJ32" s="126">
        <v>455</v>
      </c>
      <c r="BK32" s="807"/>
      <c r="BL32" s="107"/>
      <c r="BM32" s="687"/>
      <c r="BO32" s="577"/>
      <c r="BS32" s="904"/>
      <c r="BT32" s="789"/>
      <c r="BU32" s="789">
        <v>1259.4001148143236</v>
      </c>
      <c r="BV32" s="789">
        <v>0</v>
      </c>
      <c r="BW32" s="789">
        <f t="shared" si="32"/>
        <v>1259.4001148143236</v>
      </c>
    </row>
    <row r="33" spans="1:75" ht="15" thickBot="1" x14ac:dyDescent="0.35">
      <c r="A33" s="219" t="s">
        <v>202</v>
      </c>
      <c r="B33" s="237">
        <v>4</v>
      </c>
      <c r="C33" s="40">
        <f>'[7]побудинковий звіт'!E33</f>
        <v>2330.5700000000002</v>
      </c>
      <c r="D33" s="215">
        <f t="shared" si="7"/>
        <v>2533.803635805622</v>
      </c>
      <c r="E33" s="107">
        <f t="shared" si="8"/>
        <v>557.43726539752197</v>
      </c>
      <c r="F33" s="107">
        <f t="shared" si="9"/>
        <v>70.798147608071602</v>
      </c>
      <c r="G33" s="107">
        <f t="shared" si="10"/>
        <v>0</v>
      </c>
      <c r="H33" s="107">
        <f t="shared" si="11"/>
        <v>2116.9288151964743</v>
      </c>
      <c r="I33" s="107">
        <f t="shared" si="12"/>
        <v>679.47091785233931</v>
      </c>
      <c r="J33" s="687">
        <f t="shared" si="0"/>
        <v>0</v>
      </c>
      <c r="K33" s="142">
        <f t="shared" si="13"/>
        <v>5958.4387818600289</v>
      </c>
      <c r="L33" s="141">
        <f t="shared" si="1"/>
        <v>1859.2394309522156</v>
      </c>
      <c r="M33" s="107">
        <f t="shared" si="2"/>
        <v>409.03074958584745</v>
      </c>
      <c r="N33" s="30">
        <f t="shared" si="14"/>
        <v>47.568677529120677</v>
      </c>
      <c r="O33" s="107">
        <f t="shared" si="3"/>
        <v>4.1957471287563797</v>
      </c>
      <c r="P33" s="107">
        <f t="shared" si="15"/>
        <v>1553.3474931181199</v>
      </c>
      <c r="Q33" s="107">
        <f t="shared" si="16"/>
        <v>498.55398959300055</v>
      </c>
      <c r="R33" s="143">
        <f t="shared" si="17"/>
        <v>4371.9360879070609</v>
      </c>
      <c r="S33" s="141">
        <f t="shared" si="18"/>
        <v>0</v>
      </c>
      <c r="T33" s="107">
        <f t="shared" si="4"/>
        <v>0</v>
      </c>
      <c r="U33" s="142">
        <f t="shared" si="19"/>
        <v>0</v>
      </c>
      <c r="V33" s="107"/>
      <c r="W33" s="107">
        <f t="shared" si="20"/>
        <v>0</v>
      </c>
      <c r="X33" s="142">
        <f t="shared" si="21"/>
        <v>0</v>
      </c>
      <c r="Y33" s="141">
        <v>0</v>
      </c>
      <c r="Z33" s="144">
        <v>0</v>
      </c>
      <c r="AA33" s="107">
        <f t="shared" si="5"/>
        <v>0</v>
      </c>
      <c r="AB33" s="142">
        <f t="shared" si="6"/>
        <v>0</v>
      </c>
      <c r="AC33" s="141">
        <v>0</v>
      </c>
      <c r="AD33" s="107">
        <f t="shared" si="22"/>
        <v>0</v>
      </c>
      <c r="AE33" s="142">
        <f t="shared" si="23"/>
        <v>0</v>
      </c>
      <c r="AF33" s="145">
        <v>325.60000000000002</v>
      </c>
      <c r="AG33" s="107">
        <f t="shared" si="24"/>
        <v>41.908898965102587</v>
      </c>
      <c r="AH33" s="142">
        <f t="shared" si="25"/>
        <v>367.50889896510262</v>
      </c>
      <c r="AI33" s="145">
        <v>0</v>
      </c>
      <c r="AJ33" s="107">
        <f t="shared" si="26"/>
        <v>0</v>
      </c>
      <c r="AK33" s="142">
        <f t="shared" si="27"/>
        <v>0</v>
      </c>
      <c r="AL33" s="146"/>
      <c r="AM33" s="215"/>
      <c r="AN33" s="107">
        <f t="shared" si="28"/>
        <v>0</v>
      </c>
      <c r="AO33" s="151">
        <f t="shared" si="29"/>
        <v>0</v>
      </c>
      <c r="AP33" s="282">
        <f t="shared" si="30"/>
        <v>3130.2545169726282</v>
      </c>
      <c r="AQ33" s="684">
        <v>56.45</v>
      </c>
      <c r="AR33" s="740">
        <v>2282.0070254321913</v>
      </c>
      <c r="AS33" s="740">
        <v>848.24749154043695</v>
      </c>
      <c r="AT33" s="740">
        <v>0</v>
      </c>
      <c r="AU33" s="411">
        <v>868.92232561969854</v>
      </c>
      <c r="AV33" s="801"/>
      <c r="AW33" s="256"/>
      <c r="AX33" s="728">
        <f t="shared" si="31"/>
        <v>70.798147608071602</v>
      </c>
      <c r="AY33" s="729">
        <v>47.568677529120677</v>
      </c>
      <c r="AZ33" s="730"/>
      <c r="BA33" s="731">
        <v>0</v>
      </c>
      <c r="BC33" s="727">
        <v>0</v>
      </c>
      <c r="BD33" s="727">
        <v>70.798147608071602</v>
      </c>
      <c r="BE33" s="727"/>
      <c r="BF33" s="727"/>
      <c r="BG33" s="727">
        <v>0</v>
      </c>
      <c r="BH33" s="727">
        <v>0</v>
      </c>
      <c r="BI33" s="137">
        <f t="shared" si="33"/>
        <v>70.798147608071602</v>
      </c>
      <c r="BJ33" s="126"/>
      <c r="BK33" s="807"/>
      <c r="BL33" s="107"/>
      <c r="BM33" s="687"/>
      <c r="BO33" s="577"/>
      <c r="BS33" s="904"/>
      <c r="BT33" s="789"/>
      <c r="BU33" s="789">
        <v>1335.6023953874917</v>
      </c>
      <c r="BV33" s="789">
        <v>0</v>
      </c>
      <c r="BW33" s="789">
        <f t="shared" si="32"/>
        <v>1335.6023953874917</v>
      </c>
    </row>
    <row r="34" spans="1:75" ht="15" thickBot="1" x14ac:dyDescent="0.35">
      <c r="A34" s="219" t="s">
        <v>203</v>
      </c>
      <c r="B34" s="237">
        <v>4</v>
      </c>
      <c r="C34" s="40">
        <f>'[7]побудинковий звіт'!E34</f>
        <v>3253.33</v>
      </c>
      <c r="D34" s="215">
        <f t="shared" si="7"/>
        <v>2646.2975895375107</v>
      </c>
      <c r="E34" s="107">
        <f t="shared" si="8"/>
        <v>582.18595588636538</v>
      </c>
      <c r="F34" s="107">
        <f t="shared" si="9"/>
        <v>99.479167981123453</v>
      </c>
      <c r="G34" s="107">
        <f t="shared" si="10"/>
        <v>0</v>
      </c>
      <c r="H34" s="107">
        <f t="shared" si="11"/>
        <v>2210.9146666749361</v>
      </c>
      <c r="I34" s="107">
        <f t="shared" si="12"/>
        <v>712.9246084209525</v>
      </c>
      <c r="J34" s="687">
        <f t="shared" si="0"/>
        <v>0</v>
      </c>
      <c r="K34" s="142">
        <f t="shared" si="13"/>
        <v>6251.801988500888</v>
      </c>
      <c r="L34" s="141">
        <f t="shared" si="1"/>
        <v>2481.5269743749195</v>
      </c>
      <c r="M34" s="107">
        <f t="shared" si="2"/>
        <v>545.93336476638035</v>
      </c>
      <c r="N34" s="30">
        <f t="shared" si="14"/>
        <v>66.839212923415374</v>
      </c>
      <c r="O34" s="107">
        <f t="shared" si="3"/>
        <v>5.8570006506549861</v>
      </c>
      <c r="P34" s="107">
        <f t="shared" si="15"/>
        <v>2073.2529875273194</v>
      </c>
      <c r="Q34" s="107">
        <f t="shared" si="16"/>
        <v>665.88420677865088</v>
      </c>
      <c r="R34" s="143">
        <f t="shared" si="17"/>
        <v>5839.293747021341</v>
      </c>
      <c r="S34" s="141">
        <f t="shared" si="18"/>
        <v>75.900000000000006</v>
      </c>
      <c r="T34" s="107">
        <f t="shared" si="4"/>
        <v>9.7693041506489138</v>
      </c>
      <c r="U34" s="142">
        <f t="shared" si="19"/>
        <v>85.669304150648912</v>
      </c>
      <c r="V34" s="107"/>
      <c r="W34" s="107">
        <f t="shared" si="20"/>
        <v>0</v>
      </c>
      <c r="X34" s="142">
        <f t="shared" si="21"/>
        <v>0</v>
      </c>
      <c r="Y34" s="141">
        <v>0</v>
      </c>
      <c r="Z34" s="144">
        <v>0</v>
      </c>
      <c r="AA34" s="107">
        <f t="shared" si="5"/>
        <v>0</v>
      </c>
      <c r="AB34" s="142">
        <f t="shared" si="6"/>
        <v>0</v>
      </c>
      <c r="AC34" s="141">
        <v>0</v>
      </c>
      <c r="AD34" s="107">
        <f t="shared" si="22"/>
        <v>0</v>
      </c>
      <c r="AE34" s="142">
        <f t="shared" si="23"/>
        <v>0</v>
      </c>
      <c r="AF34" s="145">
        <v>198</v>
      </c>
      <c r="AG34" s="107">
        <f t="shared" si="24"/>
        <v>25.485141262562383</v>
      </c>
      <c r="AH34" s="142">
        <f t="shared" si="25"/>
        <v>223.48514126256239</v>
      </c>
      <c r="AI34" s="145">
        <v>0</v>
      </c>
      <c r="AJ34" s="107">
        <f t="shared" si="26"/>
        <v>0</v>
      </c>
      <c r="AK34" s="142">
        <f t="shared" si="27"/>
        <v>0</v>
      </c>
      <c r="AL34" s="146">
        <v>573.75</v>
      </c>
      <c r="AM34" s="146"/>
      <c r="AN34" s="107">
        <f t="shared" si="28"/>
        <v>73.848988885834174</v>
      </c>
      <c r="AO34" s="151">
        <f t="shared" si="29"/>
        <v>647.59898888583416</v>
      </c>
      <c r="AP34" s="282">
        <f t="shared" si="30"/>
        <v>2952.2077263660894</v>
      </c>
      <c r="AQ34" s="684">
        <v>480.84</v>
      </c>
      <c r="AR34" s="740">
        <v>1961.4381237626224</v>
      </c>
      <c r="AS34" s="740">
        <v>978.60209743632356</v>
      </c>
      <c r="AT34" s="740">
        <v>12.167505167143707</v>
      </c>
      <c r="AU34" s="411">
        <v>1301.1370501523511</v>
      </c>
      <c r="AV34" s="801"/>
      <c r="AW34" s="256"/>
      <c r="AX34" s="728">
        <f t="shared" si="31"/>
        <v>99.479167981123453</v>
      </c>
      <c r="AY34" s="729">
        <v>66.839212923415374</v>
      </c>
      <c r="AZ34" s="730"/>
      <c r="BA34" s="731">
        <v>0</v>
      </c>
      <c r="BC34" s="727">
        <v>0</v>
      </c>
      <c r="BD34" s="727">
        <v>99.479167981123453</v>
      </c>
      <c r="BE34" s="727"/>
      <c r="BF34" s="727"/>
      <c r="BG34" s="727">
        <v>0</v>
      </c>
      <c r="BH34" s="727">
        <v>0</v>
      </c>
      <c r="BI34" s="137">
        <f t="shared" si="33"/>
        <v>99.479167981123453</v>
      </c>
      <c r="BJ34" s="126">
        <v>345</v>
      </c>
      <c r="BK34" s="807"/>
      <c r="BL34" s="107"/>
      <c r="BM34" s="687"/>
      <c r="BO34" s="577"/>
      <c r="BS34" s="904"/>
      <c r="BT34" s="789"/>
      <c r="BU34" s="789">
        <v>1147.9782119344168</v>
      </c>
      <c r="BV34" s="789">
        <v>0</v>
      </c>
      <c r="BW34" s="789">
        <f t="shared" si="32"/>
        <v>1147.9782119344168</v>
      </c>
    </row>
    <row r="35" spans="1:75" ht="15" thickBot="1" x14ac:dyDescent="0.35">
      <c r="A35" s="219" t="s">
        <v>149</v>
      </c>
      <c r="B35" s="237">
        <v>2</v>
      </c>
      <c r="C35" s="40">
        <f>'[7]побудинковий звіт'!E35</f>
        <v>922.6</v>
      </c>
      <c r="D35" s="215">
        <f t="shared" si="7"/>
        <v>813.2671268823641</v>
      </c>
      <c r="E35" s="107">
        <f t="shared" si="8"/>
        <v>178.91891733072816</v>
      </c>
      <c r="F35" s="107">
        <f t="shared" si="9"/>
        <v>90.484324469916146</v>
      </c>
      <c r="G35" s="107">
        <f t="shared" si="10"/>
        <v>0</v>
      </c>
      <c r="H35" s="107">
        <f t="shared" si="11"/>
        <v>679.46410330330605</v>
      </c>
      <c r="I35" s="107">
        <f t="shared" si="12"/>
        <v>226.80932294041412</v>
      </c>
      <c r="J35" s="687">
        <f t="shared" si="0"/>
        <v>0</v>
      </c>
      <c r="K35" s="142">
        <f t="shared" si="13"/>
        <v>1988.9437949267285</v>
      </c>
      <c r="L35" s="141">
        <f t="shared" si="1"/>
        <v>1088.1593194265442</v>
      </c>
      <c r="M35" s="107">
        <f t="shared" si="2"/>
        <v>239.39392349586217</v>
      </c>
      <c r="N35" s="30">
        <f t="shared" si="14"/>
        <v>21.489997522516333</v>
      </c>
      <c r="O35" s="107">
        <f t="shared" si="3"/>
        <v>1.6609654723911471</v>
      </c>
      <c r="P35" s="107">
        <f t="shared" si="15"/>
        <v>909.12957352601677</v>
      </c>
      <c r="Q35" s="107">
        <f t="shared" si="16"/>
        <v>290.86961161122991</v>
      </c>
      <c r="R35" s="143">
        <f t="shared" si="17"/>
        <v>2550.7033910545606</v>
      </c>
      <c r="S35" s="141">
        <f t="shared" si="18"/>
        <v>0</v>
      </c>
      <c r="T35" s="107">
        <f t="shared" si="4"/>
        <v>0</v>
      </c>
      <c r="U35" s="142">
        <f t="shared" si="19"/>
        <v>0</v>
      </c>
      <c r="V35" s="107"/>
      <c r="W35" s="107">
        <f t="shared" si="20"/>
        <v>0</v>
      </c>
      <c r="X35" s="142">
        <f t="shared" si="21"/>
        <v>0</v>
      </c>
      <c r="Y35" s="141">
        <v>0</v>
      </c>
      <c r="Z35" s="144">
        <v>0</v>
      </c>
      <c r="AA35" s="107">
        <f t="shared" si="5"/>
        <v>0</v>
      </c>
      <c r="AB35" s="142">
        <f t="shared" si="6"/>
        <v>0</v>
      </c>
      <c r="AC35" s="141">
        <v>0</v>
      </c>
      <c r="AD35" s="107">
        <f t="shared" si="22"/>
        <v>0</v>
      </c>
      <c r="AE35" s="142">
        <f t="shared" si="23"/>
        <v>0</v>
      </c>
      <c r="AF35" s="145">
        <v>145.19999999999999</v>
      </c>
      <c r="AG35" s="107">
        <f t="shared" si="24"/>
        <v>18.689103592545745</v>
      </c>
      <c r="AH35" s="142">
        <f t="shared" si="25"/>
        <v>163.88910359254572</v>
      </c>
      <c r="AI35" s="145">
        <v>0</v>
      </c>
      <c r="AJ35" s="107">
        <f t="shared" si="26"/>
        <v>0</v>
      </c>
      <c r="AK35" s="142">
        <f t="shared" si="27"/>
        <v>0</v>
      </c>
      <c r="AL35" s="215"/>
      <c r="AM35" s="215"/>
      <c r="AN35" s="107">
        <f t="shared" si="28"/>
        <v>0</v>
      </c>
      <c r="AO35" s="151">
        <f t="shared" si="29"/>
        <v>0</v>
      </c>
      <c r="AP35" s="282">
        <f t="shared" si="30"/>
        <v>974.04558348806438</v>
      </c>
      <c r="AQ35" s="684">
        <v>32.119999999999997</v>
      </c>
      <c r="AR35" s="740">
        <v>718.44732871347549</v>
      </c>
      <c r="AS35" s="740">
        <v>237.4730068122654</v>
      </c>
      <c r="AT35" s="740">
        <v>18.125247962323435</v>
      </c>
      <c r="AU35" s="411">
        <v>749.41180927283199</v>
      </c>
      <c r="AV35" s="801"/>
      <c r="AW35" s="256"/>
      <c r="AX35" s="728">
        <f t="shared" si="31"/>
        <v>31.984324469916139</v>
      </c>
      <c r="AY35" s="729">
        <v>21.489997522516333</v>
      </c>
      <c r="AZ35" s="730"/>
      <c r="BA35" s="731">
        <v>0</v>
      </c>
      <c r="BC35" s="727">
        <v>0</v>
      </c>
      <c r="BD35" s="727">
        <v>31.984324469916139</v>
      </c>
      <c r="BE35" s="727"/>
      <c r="BF35" s="727"/>
      <c r="BG35" s="727">
        <v>0</v>
      </c>
      <c r="BH35" s="727">
        <v>0</v>
      </c>
      <c r="BI35" s="137">
        <f t="shared" ref="BI35:BI46" si="34">BC35+BD35+BE35+BG35</f>
        <v>31.984324469916139</v>
      </c>
      <c r="BJ35" s="126"/>
      <c r="BK35" s="807"/>
      <c r="BL35" s="107"/>
      <c r="BM35" s="687">
        <v>58.5</v>
      </c>
      <c r="BO35" s="577"/>
      <c r="BS35" s="904"/>
      <c r="BT35" s="789"/>
      <c r="BU35" s="789">
        <v>420.48567942822075</v>
      </c>
      <c r="BV35" s="789">
        <v>0</v>
      </c>
      <c r="BW35" s="789">
        <f t="shared" si="32"/>
        <v>420.48567942822075</v>
      </c>
    </row>
    <row r="36" spans="1:75" ht="15" thickBot="1" x14ac:dyDescent="0.35">
      <c r="A36" s="219" t="s">
        <v>150</v>
      </c>
      <c r="B36" s="237">
        <v>2</v>
      </c>
      <c r="C36" s="40">
        <f>'[7]побудинковий звіт'!E36</f>
        <v>909.2</v>
      </c>
      <c r="D36" s="215">
        <f t="shared" si="7"/>
        <v>842.22416081657389</v>
      </c>
      <c r="E36" s="107">
        <f t="shared" si="8"/>
        <v>185.28947011635353</v>
      </c>
      <c r="F36" s="107">
        <f t="shared" si="9"/>
        <v>27.679389104880105</v>
      </c>
      <c r="G36" s="107">
        <f t="shared" si="10"/>
        <v>0</v>
      </c>
      <c r="H36" s="107">
        <f t="shared" si="11"/>
        <v>703.6569723448174</v>
      </c>
      <c r="I36" s="107">
        <f t="shared" si="12"/>
        <v>226.38656826024223</v>
      </c>
      <c r="J36" s="687">
        <f t="shared" si="0"/>
        <v>0</v>
      </c>
      <c r="K36" s="142">
        <f t="shared" si="13"/>
        <v>1985.2365606428671</v>
      </c>
      <c r="L36" s="141">
        <f t="shared" si="1"/>
        <v>1054.9136216323257</v>
      </c>
      <c r="M36" s="107">
        <f t="shared" si="2"/>
        <v>232.07990440671813</v>
      </c>
      <c r="N36" s="30">
        <f t="shared" si="14"/>
        <v>18.597547803397415</v>
      </c>
      <c r="O36" s="107">
        <f t="shared" si="3"/>
        <v>1.6368413261413732</v>
      </c>
      <c r="P36" s="107">
        <f t="shared" si="15"/>
        <v>881.35363436192358</v>
      </c>
      <c r="Q36" s="107">
        <f t="shared" si="16"/>
        <v>281.69853512334657</v>
      </c>
      <c r="R36" s="143">
        <f t="shared" si="17"/>
        <v>2470.280084653853</v>
      </c>
      <c r="S36" s="141">
        <f t="shared" si="18"/>
        <v>0</v>
      </c>
      <c r="T36" s="107">
        <f t="shared" si="4"/>
        <v>0</v>
      </c>
      <c r="U36" s="142">
        <f t="shared" si="19"/>
        <v>0</v>
      </c>
      <c r="V36" s="107"/>
      <c r="W36" s="107">
        <f t="shared" si="20"/>
        <v>0</v>
      </c>
      <c r="X36" s="142">
        <f t="shared" si="21"/>
        <v>0</v>
      </c>
      <c r="Y36" s="141">
        <v>0</v>
      </c>
      <c r="Z36" s="144">
        <v>0</v>
      </c>
      <c r="AA36" s="107">
        <f t="shared" si="5"/>
        <v>0</v>
      </c>
      <c r="AB36" s="142">
        <f t="shared" si="6"/>
        <v>0</v>
      </c>
      <c r="AC36" s="141">
        <v>0</v>
      </c>
      <c r="AD36" s="107">
        <f t="shared" si="22"/>
        <v>0</v>
      </c>
      <c r="AE36" s="142">
        <f t="shared" si="23"/>
        <v>0</v>
      </c>
      <c r="AF36" s="145">
        <v>125.4</v>
      </c>
      <c r="AG36" s="107">
        <f t="shared" si="24"/>
        <v>16.140589466289509</v>
      </c>
      <c r="AH36" s="142">
        <f t="shared" si="25"/>
        <v>141.5405894662895</v>
      </c>
      <c r="AI36" s="145">
        <v>0</v>
      </c>
      <c r="AJ36" s="107">
        <f t="shared" si="26"/>
        <v>0</v>
      </c>
      <c r="AK36" s="142">
        <f t="shared" si="27"/>
        <v>0</v>
      </c>
      <c r="AL36" s="146"/>
      <c r="AM36" s="146"/>
      <c r="AN36" s="107">
        <f t="shared" si="28"/>
        <v>0</v>
      </c>
      <c r="AO36" s="151">
        <f t="shared" si="29"/>
        <v>0</v>
      </c>
      <c r="AP36" s="282">
        <f t="shared" si="30"/>
        <v>1000.1648924259844</v>
      </c>
      <c r="AQ36" s="684">
        <v>14.6</v>
      </c>
      <c r="AR36" s="740">
        <v>762.69188561371891</v>
      </c>
      <c r="AS36" s="740">
        <v>237.4730068122654</v>
      </c>
      <c r="AT36" s="740">
        <v>0</v>
      </c>
      <c r="AU36" s="411">
        <v>736.83175492053033</v>
      </c>
      <c r="AV36" s="801"/>
      <c r="AW36" s="256"/>
      <c r="AX36" s="728">
        <f t="shared" si="31"/>
        <v>27.679389104880105</v>
      </c>
      <c r="AY36" s="729">
        <v>18.597547803397415</v>
      </c>
      <c r="AZ36" s="730"/>
      <c r="BA36" s="731">
        <v>0</v>
      </c>
      <c r="BC36" s="727">
        <v>0</v>
      </c>
      <c r="BD36" s="727">
        <v>27.679389104880105</v>
      </c>
      <c r="BE36" s="727"/>
      <c r="BF36" s="727"/>
      <c r="BG36" s="727">
        <v>0</v>
      </c>
      <c r="BH36" s="727">
        <v>0</v>
      </c>
      <c r="BI36" s="137">
        <f t="shared" si="34"/>
        <v>27.679389104880105</v>
      </c>
      <c r="BJ36" s="126"/>
      <c r="BK36" s="807"/>
      <c r="BL36" s="107"/>
      <c r="BM36" s="687"/>
      <c r="BO36" s="577"/>
      <c r="BS36" s="904"/>
      <c r="BT36" s="789"/>
      <c r="BU36" s="789">
        <v>446.38361434741688</v>
      </c>
      <c r="BV36" s="789">
        <v>0</v>
      </c>
      <c r="BW36" s="789">
        <f t="shared" si="32"/>
        <v>446.38361434741688</v>
      </c>
    </row>
    <row r="37" spans="1:75" ht="15" thickBot="1" x14ac:dyDescent="0.35">
      <c r="A37" s="219" t="s">
        <v>243</v>
      </c>
      <c r="B37" s="237">
        <v>5</v>
      </c>
      <c r="C37" s="40">
        <f>'[7]побудинковий звіт'!E37</f>
        <v>1867.1</v>
      </c>
      <c r="D37" s="215">
        <f t="shared" si="7"/>
        <v>995.61787455268257</v>
      </c>
      <c r="E37" s="107">
        <f t="shared" si="8"/>
        <v>219.03611532038872</v>
      </c>
      <c r="F37" s="107">
        <f t="shared" si="9"/>
        <v>57.086255824281054</v>
      </c>
      <c r="G37" s="107">
        <f t="shared" si="10"/>
        <v>0</v>
      </c>
      <c r="H37" s="107">
        <f t="shared" si="11"/>
        <v>831.81353826383429</v>
      </c>
      <c r="I37" s="107">
        <f t="shared" si="12"/>
        <v>270.75437039216399</v>
      </c>
      <c r="J37" s="687">
        <f t="shared" si="0"/>
        <v>0</v>
      </c>
      <c r="K37" s="142">
        <f t="shared" si="13"/>
        <v>2374.3081543533508</v>
      </c>
      <c r="L37" s="141">
        <f t="shared" si="1"/>
        <v>337.66068987555855</v>
      </c>
      <c r="M37" s="107">
        <f t="shared" si="2"/>
        <v>74.285002128391142</v>
      </c>
      <c r="N37" s="30">
        <f t="shared" si="14"/>
        <v>38.355773228458311</v>
      </c>
      <c r="O37" s="107">
        <f t="shared" si="3"/>
        <v>3.3613577211158794</v>
      </c>
      <c r="P37" s="107">
        <f t="shared" si="15"/>
        <v>282.10696127185037</v>
      </c>
      <c r="Q37" s="107">
        <f t="shared" si="16"/>
        <v>94.703014584387404</v>
      </c>
      <c r="R37" s="143">
        <f t="shared" si="17"/>
        <v>830.47279880976157</v>
      </c>
      <c r="S37" s="141">
        <f t="shared" si="18"/>
        <v>0</v>
      </c>
      <c r="T37" s="107">
        <f t="shared" si="4"/>
        <v>0</v>
      </c>
      <c r="U37" s="142">
        <f t="shared" si="19"/>
        <v>0</v>
      </c>
      <c r="V37" s="107"/>
      <c r="W37" s="107">
        <f t="shared" si="20"/>
        <v>0</v>
      </c>
      <c r="X37" s="142">
        <f t="shared" si="21"/>
        <v>0</v>
      </c>
      <c r="Y37" s="141">
        <v>0</v>
      </c>
      <c r="Z37" s="144">
        <v>0</v>
      </c>
      <c r="AA37" s="107">
        <f t="shared" si="5"/>
        <v>0</v>
      </c>
      <c r="AB37" s="142">
        <f t="shared" si="6"/>
        <v>0</v>
      </c>
      <c r="AC37" s="141">
        <v>0</v>
      </c>
      <c r="AD37" s="107">
        <f t="shared" si="22"/>
        <v>0</v>
      </c>
      <c r="AE37" s="142">
        <f t="shared" si="23"/>
        <v>0</v>
      </c>
      <c r="AF37" s="145">
        <v>63.8</v>
      </c>
      <c r="AG37" s="107">
        <f t="shared" si="24"/>
        <v>8.2118788512701002</v>
      </c>
      <c r="AH37" s="142">
        <f t="shared" si="25"/>
        <v>72.011878851270097</v>
      </c>
      <c r="AI37" s="145">
        <v>0</v>
      </c>
      <c r="AJ37" s="107">
        <f t="shared" si="26"/>
        <v>0</v>
      </c>
      <c r="AK37" s="142">
        <f t="shared" si="27"/>
        <v>0</v>
      </c>
      <c r="AL37" s="146"/>
      <c r="AM37" s="146"/>
      <c r="AN37" s="107">
        <f t="shared" si="28"/>
        <v>0</v>
      </c>
      <c r="AO37" s="151">
        <f t="shared" si="29"/>
        <v>0</v>
      </c>
      <c r="AP37" s="282">
        <f t="shared" si="30"/>
        <v>1161.608633313976</v>
      </c>
      <c r="AQ37" s="684">
        <v>69.11</v>
      </c>
      <c r="AR37" s="740">
        <v>849.74952821807085</v>
      </c>
      <c r="AS37" s="740">
        <v>311.85910509590525</v>
      </c>
      <c r="AT37" s="740">
        <v>0</v>
      </c>
      <c r="AU37" s="411">
        <v>0</v>
      </c>
      <c r="AV37" s="801"/>
      <c r="AW37" s="256"/>
      <c r="AX37" s="728">
        <f t="shared" si="31"/>
        <v>57.086255824281054</v>
      </c>
      <c r="AY37" s="729">
        <v>38.355773228458311</v>
      </c>
      <c r="AZ37" s="730"/>
      <c r="BA37" s="731">
        <v>0</v>
      </c>
      <c r="BC37" s="727">
        <v>0</v>
      </c>
      <c r="BD37" s="727">
        <v>57.086255824281054</v>
      </c>
      <c r="BE37" s="727"/>
      <c r="BF37" s="727"/>
      <c r="BG37" s="727">
        <v>0</v>
      </c>
      <c r="BH37" s="727">
        <v>0</v>
      </c>
      <c r="BI37" s="137">
        <f t="shared" si="34"/>
        <v>57.086255824281054</v>
      </c>
      <c r="BJ37" s="126"/>
      <c r="BK37" s="807"/>
      <c r="BL37" s="107"/>
      <c r="BM37" s="687"/>
      <c r="BO37" s="577"/>
      <c r="BS37" s="904"/>
      <c r="BT37" s="789"/>
      <c r="BU37" s="789">
        <v>833.99265219415508</v>
      </c>
      <c r="BV37" s="789">
        <v>0</v>
      </c>
      <c r="BW37" s="789">
        <f t="shared" si="32"/>
        <v>833.99265219415508</v>
      </c>
    </row>
    <row r="38" spans="1:75" ht="15" thickBot="1" x14ac:dyDescent="0.35">
      <c r="A38" s="219" t="s">
        <v>204</v>
      </c>
      <c r="B38" s="237">
        <v>4</v>
      </c>
      <c r="C38" s="40">
        <f>'[7]побудинковий звіт'!E38</f>
        <v>1172.81</v>
      </c>
      <c r="D38" s="215">
        <f t="shared" si="7"/>
        <v>1227.239142327476</v>
      </c>
      <c r="E38" s="107">
        <f t="shared" si="8"/>
        <v>269.99283678520584</v>
      </c>
      <c r="F38" s="107">
        <f t="shared" si="9"/>
        <v>211.51521971036988</v>
      </c>
      <c r="G38" s="107">
        <f t="shared" si="10"/>
        <v>0</v>
      </c>
      <c r="H38" s="107">
        <f t="shared" si="11"/>
        <v>1025.3272458913393</v>
      </c>
      <c r="I38" s="107">
        <f t="shared" si="12"/>
        <v>351.91047194903058</v>
      </c>
      <c r="J38" s="687">
        <f t="shared" si="0"/>
        <v>0</v>
      </c>
      <c r="K38" s="142">
        <f t="shared" si="13"/>
        <v>3085.9849166634212</v>
      </c>
      <c r="L38" s="141">
        <f t="shared" si="1"/>
        <v>900.58345220861861</v>
      </c>
      <c r="M38" s="107">
        <f t="shared" si="2"/>
        <v>198.12742694083326</v>
      </c>
      <c r="N38" s="30">
        <f t="shared" si="14"/>
        <v>24.191603080480313</v>
      </c>
      <c r="O38" s="107">
        <f t="shared" si="3"/>
        <v>2.111420892775917</v>
      </c>
      <c r="P38" s="107">
        <f t="shared" si="15"/>
        <v>752.41468341463633</v>
      </c>
      <c r="Q38" s="107">
        <f t="shared" si="16"/>
        <v>241.64915524382346</v>
      </c>
      <c r="R38" s="143">
        <f t="shared" si="17"/>
        <v>2119.0777417811678</v>
      </c>
      <c r="S38" s="141">
        <f t="shared" si="18"/>
        <v>21.560000000000002</v>
      </c>
      <c r="T38" s="107">
        <f t="shared" si="4"/>
        <v>2.7750487152567929</v>
      </c>
      <c r="U38" s="142">
        <f t="shared" si="19"/>
        <v>24.335048715256796</v>
      </c>
      <c r="V38" s="107"/>
      <c r="W38" s="107">
        <f t="shared" si="20"/>
        <v>0</v>
      </c>
      <c r="X38" s="142">
        <f t="shared" si="21"/>
        <v>0</v>
      </c>
      <c r="Y38" s="141">
        <v>0</v>
      </c>
      <c r="Z38" s="144">
        <v>0</v>
      </c>
      <c r="AA38" s="107">
        <f t="shared" si="5"/>
        <v>0</v>
      </c>
      <c r="AB38" s="142">
        <f t="shared" si="6"/>
        <v>0</v>
      </c>
      <c r="AC38" s="141">
        <v>0</v>
      </c>
      <c r="AD38" s="107">
        <f t="shared" si="22"/>
        <v>0</v>
      </c>
      <c r="AE38" s="142">
        <f t="shared" si="23"/>
        <v>0</v>
      </c>
      <c r="AF38" s="145">
        <v>68.2</v>
      </c>
      <c r="AG38" s="107">
        <f t="shared" si="24"/>
        <v>8.7782153237714873</v>
      </c>
      <c r="AH38" s="142">
        <f t="shared" si="25"/>
        <v>76.978215323771494</v>
      </c>
      <c r="AI38" s="145">
        <v>0</v>
      </c>
      <c r="AJ38" s="107">
        <f t="shared" si="26"/>
        <v>0</v>
      </c>
      <c r="AK38" s="142">
        <f t="shared" si="27"/>
        <v>0</v>
      </c>
      <c r="AL38" s="146"/>
      <c r="AM38" s="401"/>
      <c r="AN38" s="107">
        <f t="shared" si="28"/>
        <v>0</v>
      </c>
      <c r="AO38" s="151">
        <f t="shared" si="29"/>
        <v>0</v>
      </c>
      <c r="AP38" s="282">
        <f t="shared" si="30"/>
        <v>1376.793028755442</v>
      </c>
      <c r="AQ38" s="684">
        <v>50.25</v>
      </c>
      <c r="AR38" s="740">
        <v>1082.3736783730071</v>
      </c>
      <c r="AS38" s="740">
        <v>290.96164178895503</v>
      </c>
      <c r="AT38" s="740">
        <v>3.4577085934799427</v>
      </c>
      <c r="AU38" s="411">
        <v>537.34803590545994</v>
      </c>
      <c r="AV38" s="801"/>
      <c r="AW38" s="256"/>
      <c r="AX38" s="728">
        <f t="shared" si="31"/>
        <v>36.005219710369886</v>
      </c>
      <c r="AY38" s="729">
        <v>24.191603080480313</v>
      </c>
      <c r="AZ38" s="730"/>
      <c r="BA38" s="731">
        <v>0</v>
      </c>
      <c r="BC38" s="727">
        <v>0</v>
      </c>
      <c r="BD38" s="727">
        <v>36.005219710369886</v>
      </c>
      <c r="BE38" s="727"/>
      <c r="BF38" s="727"/>
      <c r="BG38" s="727">
        <v>0</v>
      </c>
      <c r="BH38" s="727">
        <v>0</v>
      </c>
      <c r="BI38" s="137">
        <f t="shared" si="34"/>
        <v>36.005219710369886</v>
      </c>
      <c r="BJ38" s="126">
        <v>98</v>
      </c>
      <c r="BK38" s="807"/>
      <c r="BL38" s="107"/>
      <c r="BM38" s="687">
        <v>175.51</v>
      </c>
      <c r="BO38" s="577"/>
      <c r="BS38" s="904"/>
      <c r="BT38" s="789"/>
      <c r="BU38" s="789">
        <v>1062.3239961454276</v>
      </c>
      <c r="BV38" s="789">
        <v>0</v>
      </c>
      <c r="BW38" s="789">
        <f t="shared" si="32"/>
        <v>1062.3239961454276</v>
      </c>
    </row>
    <row r="39" spans="1:75" ht="15" thickBot="1" x14ac:dyDescent="0.35">
      <c r="A39" s="219" t="s">
        <v>205</v>
      </c>
      <c r="B39" s="237">
        <v>4</v>
      </c>
      <c r="C39" s="40">
        <f>'[7]побудинковий звіт'!E39</f>
        <v>1448.3</v>
      </c>
      <c r="D39" s="215">
        <f t="shared" si="7"/>
        <v>1757.3770732373475</v>
      </c>
      <c r="E39" s="107">
        <f t="shared" si="8"/>
        <v>386.62327898438565</v>
      </c>
      <c r="F39" s="107">
        <f t="shared" si="9"/>
        <v>45.684903568443445</v>
      </c>
      <c r="G39" s="107">
        <f t="shared" si="10"/>
        <v>0</v>
      </c>
      <c r="H39" s="107">
        <f t="shared" si="11"/>
        <v>1468.2440710599642</v>
      </c>
      <c r="I39" s="107">
        <f t="shared" si="12"/>
        <v>470.82245264265435</v>
      </c>
      <c r="J39" s="687">
        <f t="shared" si="0"/>
        <v>0</v>
      </c>
      <c r="K39" s="142">
        <f t="shared" si="13"/>
        <v>4128.7517794927953</v>
      </c>
      <c r="L39" s="141">
        <f t="shared" si="1"/>
        <v>937.08900469931405</v>
      </c>
      <c r="M39" s="107">
        <f t="shared" si="2"/>
        <v>206.1586106876556</v>
      </c>
      <c r="N39" s="30">
        <f t="shared" si="14"/>
        <v>30.695300925479309</v>
      </c>
      <c r="O39" s="107">
        <f t="shared" si="3"/>
        <v>2.6073881353393649</v>
      </c>
      <c r="P39" s="107">
        <f t="shared" si="15"/>
        <v>782.91414868107142</v>
      </c>
      <c r="Q39" s="107">
        <f t="shared" si="16"/>
        <v>252.2082241765583</v>
      </c>
      <c r="R39" s="143">
        <f t="shared" si="17"/>
        <v>2211.6726773054183</v>
      </c>
      <c r="S39" s="141">
        <f t="shared" si="18"/>
        <v>67.760000000000005</v>
      </c>
      <c r="T39" s="107">
        <f t="shared" si="4"/>
        <v>8.7215816765213496</v>
      </c>
      <c r="U39" s="142">
        <f t="shared" si="19"/>
        <v>76.481581676521358</v>
      </c>
      <c r="V39" s="107"/>
      <c r="W39" s="107">
        <f t="shared" si="20"/>
        <v>0</v>
      </c>
      <c r="X39" s="142">
        <f t="shared" si="21"/>
        <v>0</v>
      </c>
      <c r="Y39" s="141">
        <v>0</v>
      </c>
      <c r="Z39" s="144">
        <v>0</v>
      </c>
      <c r="AA39" s="107">
        <f t="shared" si="5"/>
        <v>0</v>
      </c>
      <c r="AB39" s="142">
        <f t="shared" si="6"/>
        <v>0</v>
      </c>
      <c r="AC39" s="141">
        <v>0</v>
      </c>
      <c r="AD39" s="107">
        <f t="shared" si="22"/>
        <v>0</v>
      </c>
      <c r="AE39" s="142">
        <f t="shared" si="23"/>
        <v>0</v>
      </c>
      <c r="AF39" s="145">
        <v>48.4</v>
      </c>
      <c r="AG39" s="107">
        <f t="shared" si="24"/>
        <v>6.229701197515249</v>
      </c>
      <c r="AH39" s="142">
        <f t="shared" si="25"/>
        <v>54.629701197515246</v>
      </c>
      <c r="AI39" s="145">
        <v>0</v>
      </c>
      <c r="AJ39" s="107">
        <f t="shared" si="26"/>
        <v>0</v>
      </c>
      <c r="AK39" s="142">
        <f t="shared" si="27"/>
        <v>0</v>
      </c>
      <c r="AL39" s="146">
        <v>255</v>
      </c>
      <c r="AM39" s="146"/>
      <c r="AN39" s="107">
        <f t="shared" si="28"/>
        <v>32.821772838148526</v>
      </c>
      <c r="AO39" s="151">
        <f t="shared" si="29"/>
        <v>287.82177283814855</v>
      </c>
      <c r="AP39" s="282">
        <f t="shared" si="30"/>
        <v>1774.631132667063</v>
      </c>
      <c r="AQ39" s="684">
        <v>178.09</v>
      </c>
      <c r="AR39" s="740">
        <v>1443.7999938308392</v>
      </c>
      <c r="AS39" s="740">
        <v>316.44586139337866</v>
      </c>
      <c r="AT39" s="740">
        <v>14.385277442845126</v>
      </c>
      <c r="AU39" s="411">
        <v>534.65230997282379</v>
      </c>
      <c r="AV39" s="801"/>
      <c r="AW39" s="256"/>
      <c r="AX39" s="728">
        <f t="shared" si="31"/>
        <v>45.684903568443445</v>
      </c>
      <c r="AY39" s="729">
        <v>30.695300925479309</v>
      </c>
      <c r="AZ39" s="730"/>
      <c r="BA39" s="731">
        <v>0</v>
      </c>
      <c r="BC39" s="727">
        <v>0</v>
      </c>
      <c r="BD39" s="727">
        <v>45.684903568443445</v>
      </c>
      <c r="BE39" s="727"/>
      <c r="BF39" s="727"/>
      <c r="BG39" s="727">
        <v>0</v>
      </c>
      <c r="BH39" s="727">
        <v>0</v>
      </c>
      <c r="BI39" s="137">
        <f t="shared" si="34"/>
        <v>45.684903568443445</v>
      </c>
      <c r="BJ39" s="126">
        <v>308</v>
      </c>
      <c r="BK39" s="807"/>
      <c r="BL39" s="107"/>
      <c r="BM39" s="687"/>
      <c r="BO39" s="577"/>
      <c r="BS39" s="904"/>
      <c r="BT39" s="789"/>
      <c r="BU39" s="789">
        <v>1417.0273344683631</v>
      </c>
      <c r="BV39" s="789">
        <v>0</v>
      </c>
      <c r="BW39" s="789">
        <f t="shared" si="32"/>
        <v>1417.0273344683631</v>
      </c>
    </row>
    <row r="40" spans="1:75" ht="15" thickBot="1" x14ac:dyDescent="0.35">
      <c r="A40" s="219" t="s">
        <v>244</v>
      </c>
      <c r="B40" s="237">
        <v>5</v>
      </c>
      <c r="C40" s="40">
        <f>'[7]побудинковий звіт'!E40</f>
        <v>2117.4</v>
      </c>
      <c r="D40" s="215">
        <f t="shared" si="7"/>
        <v>1517.3300535759226</v>
      </c>
      <c r="E40" s="107">
        <f t="shared" si="8"/>
        <v>333.81289055649762</v>
      </c>
      <c r="F40" s="107">
        <f t="shared" si="9"/>
        <v>70.257890449689597</v>
      </c>
      <c r="G40" s="107">
        <f t="shared" si="10"/>
        <v>0</v>
      </c>
      <c r="H40" s="107">
        <f t="shared" si="11"/>
        <v>1267.6908609601867</v>
      </c>
      <c r="I40" s="107">
        <f t="shared" si="12"/>
        <v>410.47703212202026</v>
      </c>
      <c r="J40" s="687">
        <f t="shared" si="0"/>
        <v>0</v>
      </c>
      <c r="K40" s="142">
        <f t="shared" si="13"/>
        <v>3599.5687276643166</v>
      </c>
      <c r="L40" s="141">
        <f t="shared" si="1"/>
        <v>1026.2537309398915</v>
      </c>
      <c r="M40" s="107">
        <f t="shared" si="2"/>
        <v>225.77475813140978</v>
      </c>
      <c r="N40" s="30">
        <f t="shared" si="14"/>
        <v>47.205683306557958</v>
      </c>
      <c r="O40" s="107">
        <f t="shared" si="3"/>
        <v>3.8119751693485964</v>
      </c>
      <c r="P40" s="107">
        <f t="shared" si="15"/>
        <v>857.40902097916444</v>
      </c>
      <c r="Q40" s="107">
        <f t="shared" si="16"/>
        <v>278.07830889559403</v>
      </c>
      <c r="R40" s="143">
        <f t="shared" si="17"/>
        <v>2438.5334774219664</v>
      </c>
      <c r="S40" s="141">
        <f t="shared" si="18"/>
        <v>0</v>
      </c>
      <c r="T40" s="107">
        <f t="shared" si="4"/>
        <v>0</v>
      </c>
      <c r="U40" s="142">
        <f t="shared" si="19"/>
        <v>0</v>
      </c>
      <c r="V40" s="107"/>
      <c r="W40" s="107">
        <f t="shared" si="20"/>
        <v>0</v>
      </c>
      <c r="X40" s="142">
        <f t="shared" si="21"/>
        <v>0</v>
      </c>
      <c r="Y40" s="141">
        <v>0</v>
      </c>
      <c r="Z40" s="144">
        <v>0</v>
      </c>
      <c r="AA40" s="107">
        <f t="shared" si="5"/>
        <v>0</v>
      </c>
      <c r="AB40" s="142">
        <f t="shared" si="6"/>
        <v>0</v>
      </c>
      <c r="AC40" s="141">
        <v>0</v>
      </c>
      <c r="AD40" s="107">
        <f t="shared" si="22"/>
        <v>0</v>
      </c>
      <c r="AE40" s="142">
        <f t="shared" si="23"/>
        <v>0</v>
      </c>
      <c r="AF40" s="145">
        <v>314.60000000000002</v>
      </c>
      <c r="AG40" s="107">
        <f t="shared" si="24"/>
        <v>40.493057783849125</v>
      </c>
      <c r="AH40" s="142">
        <f t="shared" si="25"/>
        <v>355.09305778384913</v>
      </c>
      <c r="AI40" s="145">
        <v>0</v>
      </c>
      <c r="AJ40" s="107">
        <f t="shared" si="26"/>
        <v>0</v>
      </c>
      <c r="AK40" s="142">
        <f t="shared" si="27"/>
        <v>0</v>
      </c>
      <c r="AL40" s="146"/>
      <c r="AM40" s="401"/>
      <c r="AN40" s="107">
        <f t="shared" si="28"/>
        <v>0</v>
      </c>
      <c r="AO40" s="151">
        <f t="shared" si="29"/>
        <v>0</v>
      </c>
      <c r="AP40" s="282">
        <f t="shared" si="30"/>
        <v>1380.9463113808465</v>
      </c>
      <c r="AQ40" s="684">
        <v>385.86</v>
      </c>
      <c r="AR40" s="740">
        <v>1014.4896851704008</v>
      </c>
      <c r="AS40" s="740">
        <v>366.45662621044562</v>
      </c>
      <c r="AT40" s="740">
        <v>0</v>
      </c>
      <c r="AU40" s="411">
        <v>581.37822613851597</v>
      </c>
      <c r="AV40" s="801"/>
      <c r="AW40" s="256"/>
      <c r="AX40" s="728">
        <f t="shared" si="31"/>
        <v>70.257890449689597</v>
      </c>
      <c r="AY40" s="729">
        <v>47.205683306557958</v>
      </c>
      <c r="AZ40" s="730"/>
      <c r="BA40" s="731">
        <v>0</v>
      </c>
      <c r="BC40" s="727">
        <v>0</v>
      </c>
      <c r="BD40" s="727">
        <v>70.257890449689597</v>
      </c>
      <c r="BE40" s="727"/>
      <c r="BF40" s="727"/>
      <c r="BG40" s="727">
        <v>0</v>
      </c>
      <c r="BH40" s="727">
        <v>0</v>
      </c>
      <c r="BI40" s="137">
        <f t="shared" si="34"/>
        <v>70.257890449689597</v>
      </c>
      <c r="BJ40" s="126"/>
      <c r="BK40" s="807"/>
      <c r="BL40" s="107"/>
      <c r="BM40" s="687"/>
      <c r="BO40" s="577"/>
      <c r="BS40" s="904"/>
      <c r="BT40" s="789"/>
      <c r="BU40" s="789">
        <v>995.67200618047775</v>
      </c>
      <c r="BV40" s="789">
        <v>0</v>
      </c>
      <c r="BW40" s="789">
        <f t="shared" si="32"/>
        <v>995.67200618047775</v>
      </c>
    </row>
    <row r="41" spans="1:75" ht="15" thickBot="1" x14ac:dyDescent="0.35">
      <c r="A41" s="260" t="s">
        <v>342</v>
      </c>
      <c r="B41" s="237">
        <v>9</v>
      </c>
      <c r="C41" s="40">
        <f>'[7]побудинковий звіт'!E41</f>
        <v>2214.37</v>
      </c>
      <c r="D41" s="215">
        <f t="shared" si="7"/>
        <v>539.05599683522871</v>
      </c>
      <c r="E41" s="107">
        <f t="shared" si="8"/>
        <v>118.59241834122022</v>
      </c>
      <c r="F41" s="107">
        <f t="shared" si="9"/>
        <v>133.48764391021592</v>
      </c>
      <c r="G41" s="107">
        <f t="shared" si="10"/>
        <v>0</v>
      </c>
      <c r="H41" s="107">
        <f t="shared" si="11"/>
        <v>450.36764356134842</v>
      </c>
      <c r="I41" s="107">
        <f t="shared" si="12"/>
        <v>159.79746080797403</v>
      </c>
      <c r="J41" s="687">
        <f t="shared" si="0"/>
        <v>0</v>
      </c>
      <c r="K41" s="142">
        <f t="shared" si="13"/>
        <v>1401.3011634559871</v>
      </c>
      <c r="L41" s="141">
        <f t="shared" si="1"/>
        <v>196.05698546793661</v>
      </c>
      <c r="M41" s="107">
        <f t="shared" si="2"/>
        <v>43.132333787919094</v>
      </c>
      <c r="N41" s="30">
        <f t="shared" si="14"/>
        <v>43.127056243525701</v>
      </c>
      <c r="O41" s="107">
        <f t="shared" si="3"/>
        <v>3.986551173963564</v>
      </c>
      <c r="P41" s="107">
        <f t="shared" si="15"/>
        <v>163.80064977910965</v>
      </c>
      <c r="Q41" s="107">
        <f t="shared" si="16"/>
        <v>57.934107215532087</v>
      </c>
      <c r="R41" s="143">
        <f t="shared" si="17"/>
        <v>508.0376836679867</v>
      </c>
      <c r="S41" s="141">
        <f t="shared" si="18"/>
        <v>54.846000000000004</v>
      </c>
      <c r="T41" s="107">
        <f t="shared" si="4"/>
        <v>7.0593841297297804</v>
      </c>
      <c r="U41" s="142">
        <f t="shared" si="19"/>
        <v>61.905384129729782</v>
      </c>
      <c r="V41" s="107"/>
      <c r="W41" s="107">
        <f t="shared" si="20"/>
        <v>0</v>
      </c>
      <c r="X41" s="142">
        <f t="shared" si="21"/>
        <v>0</v>
      </c>
      <c r="Y41" s="141">
        <v>1551.22</v>
      </c>
      <c r="Z41" s="144">
        <v>0</v>
      </c>
      <c r="AA41" s="107">
        <f t="shared" si="5"/>
        <v>199.66192338036373</v>
      </c>
      <c r="AB41" s="142">
        <f t="shared" si="6"/>
        <v>1750.8819233803638</v>
      </c>
      <c r="AC41" s="141">
        <v>0</v>
      </c>
      <c r="AD41" s="107">
        <f t="shared" si="22"/>
        <v>0</v>
      </c>
      <c r="AE41" s="142">
        <f t="shared" si="23"/>
        <v>0</v>
      </c>
      <c r="AF41" s="145">
        <v>1564.2</v>
      </c>
      <c r="AG41" s="107">
        <f t="shared" si="24"/>
        <v>201.33261597424283</v>
      </c>
      <c r="AH41" s="142">
        <f t="shared" si="25"/>
        <v>1765.5326159742428</v>
      </c>
      <c r="AI41" s="145">
        <v>374</v>
      </c>
      <c r="AJ41" s="107">
        <f t="shared" si="26"/>
        <v>48.138600162617834</v>
      </c>
      <c r="AK41" s="142">
        <f t="shared" si="27"/>
        <v>422.13860016261782</v>
      </c>
      <c r="AL41" s="146"/>
      <c r="AM41" s="146"/>
      <c r="AN41" s="107">
        <f t="shared" si="28"/>
        <v>0</v>
      </c>
      <c r="AO41" s="151">
        <f t="shared" si="29"/>
        <v>0</v>
      </c>
      <c r="AP41" s="282">
        <f t="shared" si="30"/>
        <v>385.22300508885291</v>
      </c>
      <c r="AQ41" s="684">
        <v>282.72000000000003</v>
      </c>
      <c r="AR41" s="411">
        <v>204.14727472069859</v>
      </c>
      <c r="AS41" s="411">
        <v>175.81841215836164</v>
      </c>
      <c r="AT41" s="411">
        <v>5.2573182097926958</v>
      </c>
      <c r="AU41" s="411">
        <v>0</v>
      </c>
      <c r="AV41" s="742">
        <v>10.629557743944664</v>
      </c>
      <c r="AW41" s="256"/>
      <c r="AX41" s="728">
        <f t="shared" si="31"/>
        <v>74.987643910215908</v>
      </c>
      <c r="AY41" s="729">
        <v>43.127056243525701</v>
      </c>
      <c r="AZ41" s="730"/>
      <c r="BA41" s="731">
        <v>0</v>
      </c>
      <c r="BB41" s="742"/>
      <c r="BC41" s="727">
        <v>15.817499999999999</v>
      </c>
      <c r="BD41" s="727">
        <v>59.170143910215913</v>
      </c>
      <c r="BE41" s="727"/>
      <c r="BF41" s="727"/>
      <c r="BG41" s="727">
        <v>0</v>
      </c>
      <c r="BH41" s="727">
        <v>22.825781249999999</v>
      </c>
      <c r="BI41" s="137">
        <f t="shared" si="34"/>
        <v>74.987643910215908</v>
      </c>
      <c r="BJ41" s="126">
        <v>249.3</v>
      </c>
      <c r="BK41" s="807"/>
      <c r="BL41" s="107"/>
      <c r="BM41" s="687">
        <v>58.5</v>
      </c>
      <c r="BO41" s="577"/>
      <c r="BS41" s="904"/>
      <c r="BT41" s="789"/>
      <c r="BU41" s="789">
        <v>180.73751502119455</v>
      </c>
      <c r="BV41" s="789">
        <v>0</v>
      </c>
      <c r="BW41" s="789">
        <f t="shared" si="32"/>
        <v>180.73751502119455</v>
      </c>
    </row>
    <row r="42" spans="1:75" ht="15" thickBot="1" x14ac:dyDescent="0.35">
      <c r="A42" s="260" t="s">
        <v>343</v>
      </c>
      <c r="B42" s="237">
        <v>9</v>
      </c>
      <c r="C42" s="40">
        <f>'[7]побудинковий звіт'!E42</f>
        <v>5953.29</v>
      </c>
      <c r="D42" s="215">
        <f t="shared" si="7"/>
        <v>489.27646136795613</v>
      </c>
      <c r="E42" s="107">
        <f t="shared" si="8"/>
        <v>107.64091139272988</v>
      </c>
      <c r="F42" s="107">
        <f t="shared" si="9"/>
        <v>178.26355904298677</v>
      </c>
      <c r="G42" s="107">
        <f t="shared" si="10"/>
        <v>0</v>
      </c>
      <c r="H42" s="107">
        <f t="shared" si="11"/>
        <v>408.77810144031554</v>
      </c>
      <c r="I42" s="107">
        <f t="shared" si="12"/>
        <v>152.39072328944363</v>
      </c>
      <c r="J42" s="687">
        <f t="shared" si="0"/>
        <v>0</v>
      </c>
      <c r="K42" s="142">
        <f t="shared" si="13"/>
        <v>1336.3497565334321</v>
      </c>
      <c r="L42" s="141">
        <f t="shared" si="1"/>
        <v>601.61945574810034</v>
      </c>
      <c r="M42" s="107">
        <f t="shared" si="2"/>
        <v>132.35565729371604</v>
      </c>
      <c r="N42" s="30">
        <f t="shared" si="14"/>
        <v>115.93338457750892</v>
      </c>
      <c r="O42" s="107">
        <f t="shared" si="3"/>
        <v>10.717764076665393</v>
      </c>
      <c r="P42" s="107">
        <f t="shared" si="15"/>
        <v>502.6378302006965</v>
      </c>
      <c r="Q42" s="107">
        <f t="shared" si="16"/>
        <v>175.46958565740354</v>
      </c>
      <c r="R42" s="143">
        <f t="shared" si="17"/>
        <v>1538.7336775540907</v>
      </c>
      <c r="S42" s="141">
        <f t="shared" si="18"/>
        <v>164.54680000000002</v>
      </c>
      <c r="T42" s="107">
        <f t="shared" si="4"/>
        <v>21.179285062134344</v>
      </c>
      <c r="U42" s="142">
        <f t="shared" si="19"/>
        <v>185.72608506213436</v>
      </c>
      <c r="V42" s="107"/>
      <c r="W42" s="107">
        <f t="shared" si="20"/>
        <v>0</v>
      </c>
      <c r="X42" s="142">
        <f t="shared" si="21"/>
        <v>0</v>
      </c>
      <c r="Y42" s="141">
        <v>6463.3950000000004</v>
      </c>
      <c r="Z42" s="144">
        <v>0</v>
      </c>
      <c r="AA42" s="107">
        <f t="shared" si="5"/>
        <v>831.92189197343134</v>
      </c>
      <c r="AB42" s="142">
        <f t="shared" si="6"/>
        <v>7295.3168919734317</v>
      </c>
      <c r="AC42" s="141">
        <v>0</v>
      </c>
      <c r="AD42" s="107">
        <f t="shared" si="22"/>
        <v>0</v>
      </c>
      <c r="AE42" s="142">
        <f t="shared" si="23"/>
        <v>0</v>
      </c>
      <c r="AF42" s="145">
        <v>1117.5999999999999</v>
      </c>
      <c r="AG42" s="107">
        <f t="shared" si="24"/>
        <v>143.84946401535211</v>
      </c>
      <c r="AH42" s="142">
        <f t="shared" si="25"/>
        <v>1261.4494640153521</v>
      </c>
      <c r="AI42" s="145">
        <v>1328.8</v>
      </c>
      <c r="AJ42" s="107">
        <f t="shared" si="26"/>
        <v>171.03361469541866</v>
      </c>
      <c r="AK42" s="142">
        <f t="shared" si="27"/>
        <v>1499.8336146954186</v>
      </c>
      <c r="AL42" s="146"/>
      <c r="AM42" s="146"/>
      <c r="AN42" s="107">
        <f t="shared" si="28"/>
        <v>0</v>
      </c>
      <c r="AO42" s="151">
        <f t="shared" si="29"/>
        <v>0</v>
      </c>
      <c r="AP42" s="282">
        <f t="shared" si="30"/>
        <v>817.63215265272845</v>
      </c>
      <c r="AQ42" s="684">
        <v>175.93</v>
      </c>
      <c r="AR42" s="411">
        <v>261.98409913772264</v>
      </c>
      <c r="AS42" s="411">
        <v>543.9185562302481</v>
      </c>
      <c r="AT42" s="411">
        <v>11.729497284757743</v>
      </c>
      <c r="AU42" s="411">
        <v>0</v>
      </c>
      <c r="AV42" s="742">
        <v>13.6410104596777</v>
      </c>
      <c r="AW42" s="256"/>
      <c r="AX42" s="728">
        <f t="shared" si="31"/>
        <v>178.26355904298677</v>
      </c>
      <c r="AY42" s="729">
        <v>115.93338457750892</v>
      </c>
      <c r="AZ42" s="730"/>
      <c r="BA42" s="731">
        <v>0</v>
      </c>
      <c r="BB42" s="742"/>
      <c r="BC42" s="727">
        <v>26.362500000000001</v>
      </c>
      <c r="BD42" s="727">
        <v>151.90105904298676</v>
      </c>
      <c r="BE42" s="727"/>
      <c r="BF42" s="727"/>
      <c r="BG42" s="727">
        <v>0</v>
      </c>
      <c r="BH42" s="727">
        <v>38.04296875</v>
      </c>
      <c r="BI42" s="137">
        <f t="shared" si="34"/>
        <v>178.26355904298677</v>
      </c>
      <c r="BJ42" s="126">
        <v>747.94</v>
      </c>
      <c r="BK42" s="807"/>
      <c r="BL42" s="107"/>
      <c r="BM42" s="687"/>
      <c r="BO42" s="577"/>
      <c r="BS42" s="904"/>
      <c r="BT42" s="789"/>
      <c r="BU42" s="789">
        <v>231.93762771031683</v>
      </c>
      <c r="BV42" s="789">
        <v>0</v>
      </c>
      <c r="BW42" s="789">
        <f t="shared" si="32"/>
        <v>231.93762771031683</v>
      </c>
    </row>
    <row r="43" spans="1:75" ht="15" thickBot="1" x14ac:dyDescent="0.35">
      <c r="A43" s="260" t="s">
        <v>344</v>
      </c>
      <c r="B43" s="237">
        <v>9</v>
      </c>
      <c r="C43" s="40">
        <f>'[7]побудинковий звіт'!E43</f>
        <v>3858.65</v>
      </c>
      <c r="D43" s="215">
        <f t="shared" si="7"/>
        <v>299.32102219671611</v>
      </c>
      <c r="E43" s="107">
        <f t="shared" si="8"/>
        <v>65.850679875703023</v>
      </c>
      <c r="F43" s="107">
        <f t="shared" si="9"/>
        <v>128.93172306304484</v>
      </c>
      <c r="G43" s="107">
        <f t="shared" si="10"/>
        <v>0</v>
      </c>
      <c r="H43" s="107">
        <f t="shared" si="11"/>
        <v>250.07513918134612</v>
      </c>
      <c r="I43" s="107">
        <f t="shared" si="12"/>
        <v>95.785332505983689</v>
      </c>
      <c r="J43" s="687">
        <f t="shared" si="0"/>
        <v>0</v>
      </c>
      <c r="K43" s="142">
        <f t="shared" si="13"/>
        <v>839.96389682279369</v>
      </c>
      <c r="L43" s="141">
        <f t="shared" si="1"/>
        <v>415.01983992115095</v>
      </c>
      <c r="M43" s="107">
        <f t="shared" si="2"/>
        <v>91.303935033803455</v>
      </c>
      <c r="N43" s="30">
        <f t="shared" si="14"/>
        <v>95.096174221119142</v>
      </c>
      <c r="O43" s="107">
        <f t="shared" si="3"/>
        <v>6.9467639497529801</v>
      </c>
      <c r="P43" s="107">
        <f t="shared" si="15"/>
        <v>346.73857342065588</v>
      </c>
      <c r="Q43" s="107">
        <f t="shared" si="16"/>
        <v>122.93430882958195</v>
      </c>
      <c r="R43" s="143">
        <f t="shared" si="17"/>
        <v>1078.0395953760644</v>
      </c>
      <c r="S43" s="141">
        <f t="shared" si="18"/>
        <v>88.858000000000004</v>
      </c>
      <c r="T43" s="107">
        <f t="shared" si="4"/>
        <v>11.437165062165496</v>
      </c>
      <c r="U43" s="142">
        <f t="shared" si="19"/>
        <v>100.29516506216549</v>
      </c>
      <c r="V43" s="107"/>
      <c r="W43" s="107">
        <f t="shared" si="20"/>
        <v>0</v>
      </c>
      <c r="X43" s="142">
        <f t="shared" si="21"/>
        <v>0</v>
      </c>
      <c r="Y43" s="141">
        <v>4308.93</v>
      </c>
      <c r="Z43" s="144">
        <v>0</v>
      </c>
      <c r="AA43" s="107">
        <f t="shared" si="5"/>
        <v>554.61459464895427</v>
      </c>
      <c r="AB43" s="142">
        <f t="shared" si="6"/>
        <v>4863.5445946489544</v>
      </c>
      <c r="AC43" s="141">
        <v>0</v>
      </c>
      <c r="AD43" s="107">
        <f t="shared" si="22"/>
        <v>0</v>
      </c>
      <c r="AE43" s="142">
        <f t="shared" si="23"/>
        <v>0</v>
      </c>
      <c r="AF43" s="145">
        <v>92.4</v>
      </c>
      <c r="AG43" s="107">
        <f t="shared" si="24"/>
        <v>11.893065922529113</v>
      </c>
      <c r="AH43" s="142">
        <f t="shared" si="25"/>
        <v>104.29306592252912</v>
      </c>
      <c r="AI43" s="145">
        <v>855.8</v>
      </c>
      <c r="AJ43" s="107">
        <f t="shared" si="26"/>
        <v>110.15244390151963</v>
      </c>
      <c r="AK43" s="142">
        <f t="shared" si="27"/>
        <v>965.95244390151959</v>
      </c>
      <c r="AL43" s="146"/>
      <c r="AM43" s="146"/>
      <c r="AN43" s="107">
        <f t="shared" si="28"/>
        <v>0</v>
      </c>
      <c r="AO43" s="151">
        <f t="shared" si="29"/>
        <v>0</v>
      </c>
      <c r="AP43" s="282">
        <f t="shared" si="30"/>
        <v>523.73949100219784</v>
      </c>
      <c r="AQ43" s="684">
        <v>128.5</v>
      </c>
      <c r="AR43" s="411">
        <v>140.43246191760025</v>
      </c>
      <c r="AS43" s="411">
        <v>376.78248919371322</v>
      </c>
      <c r="AT43" s="411">
        <v>6.524539890884351</v>
      </c>
      <c r="AU43" s="411">
        <v>0</v>
      </c>
      <c r="AV43" s="742">
        <v>7.3120494266686027</v>
      </c>
      <c r="AW43" s="256"/>
      <c r="AX43" s="728">
        <f t="shared" si="31"/>
        <v>128.93172306304484</v>
      </c>
      <c r="AY43" s="729">
        <v>75.146174221119139</v>
      </c>
      <c r="AZ43" s="730"/>
      <c r="BA43" s="731">
        <v>19.950000000000003</v>
      </c>
      <c r="BB43" s="742"/>
      <c r="BC43" s="727">
        <v>26.362500000000001</v>
      </c>
      <c r="BD43" s="727">
        <v>102.56922306304484</v>
      </c>
      <c r="BE43" s="727"/>
      <c r="BF43" s="727"/>
      <c r="BG43" s="727">
        <v>0</v>
      </c>
      <c r="BH43" s="727">
        <v>38.04296875</v>
      </c>
      <c r="BI43" s="137">
        <f t="shared" si="34"/>
        <v>128.93172306304484</v>
      </c>
      <c r="BJ43" s="126">
        <v>403.9</v>
      </c>
      <c r="BK43" s="807"/>
      <c r="BL43" s="107"/>
      <c r="BM43" s="687"/>
      <c r="BO43" s="577"/>
      <c r="BS43" s="904"/>
      <c r="BT43" s="789"/>
      <c r="BU43" s="789">
        <v>124.32201936869424</v>
      </c>
      <c r="BV43" s="789">
        <v>0</v>
      </c>
      <c r="BW43" s="789">
        <f t="shared" si="32"/>
        <v>124.32201936869424</v>
      </c>
    </row>
    <row r="44" spans="1:75" ht="15" thickBot="1" x14ac:dyDescent="0.35">
      <c r="A44" s="260" t="s">
        <v>345</v>
      </c>
      <c r="B44" s="237">
        <v>9</v>
      </c>
      <c r="C44" s="40">
        <f>'[7]побудинковий звіт'!E44</f>
        <v>9788.74</v>
      </c>
      <c r="D44" s="215">
        <f t="shared" si="7"/>
        <v>3279.7463414486501</v>
      </c>
      <c r="E44" s="107">
        <f t="shared" si="8"/>
        <v>721.54479768649105</v>
      </c>
      <c r="F44" s="107">
        <f t="shared" si="9"/>
        <v>327.12724847586423</v>
      </c>
      <c r="G44" s="107">
        <f t="shared" si="10"/>
        <v>0</v>
      </c>
      <c r="H44" s="107">
        <f t="shared" si="11"/>
        <v>2740.1450683215003</v>
      </c>
      <c r="I44" s="107">
        <f t="shared" si="12"/>
        <v>909.81483938295992</v>
      </c>
      <c r="J44" s="687">
        <f t="shared" si="0"/>
        <v>0</v>
      </c>
      <c r="K44" s="142">
        <f t="shared" si="13"/>
        <v>7978.3782953154659</v>
      </c>
      <c r="L44" s="141">
        <f t="shared" si="1"/>
        <v>2609.9825043660867</v>
      </c>
      <c r="M44" s="107">
        <f t="shared" si="2"/>
        <v>574.19344835003415</v>
      </c>
      <c r="N44" s="30">
        <f t="shared" si="14"/>
        <v>190.64543889830958</v>
      </c>
      <c r="O44" s="107">
        <f t="shared" si="3"/>
        <v>17.622760847836673</v>
      </c>
      <c r="P44" s="107">
        <f t="shared" si="15"/>
        <v>2180.5743320336296</v>
      </c>
      <c r="Q44" s="107">
        <f t="shared" si="16"/>
        <v>717.31900674873361</v>
      </c>
      <c r="R44" s="143">
        <f t="shared" si="17"/>
        <v>6290.3374912446307</v>
      </c>
      <c r="S44" s="141">
        <f t="shared" si="18"/>
        <v>174.0266</v>
      </c>
      <c r="T44" s="107">
        <f t="shared" si="4"/>
        <v>22.399456992138578</v>
      </c>
      <c r="U44" s="142">
        <f t="shared" si="19"/>
        <v>196.42605699213857</v>
      </c>
      <c r="V44" s="107"/>
      <c r="W44" s="107">
        <f t="shared" si="20"/>
        <v>0</v>
      </c>
      <c r="X44" s="142">
        <f t="shared" si="21"/>
        <v>0</v>
      </c>
      <c r="Y44" s="141">
        <v>4157.68</v>
      </c>
      <c r="Z44" s="144">
        <v>0</v>
      </c>
      <c r="AA44" s="107">
        <f t="shared" si="5"/>
        <v>535.14677840671902</v>
      </c>
      <c r="AB44" s="142">
        <f t="shared" si="6"/>
        <v>4692.8267784067193</v>
      </c>
      <c r="AC44" s="141">
        <v>236.15</v>
      </c>
      <c r="AD44" s="107">
        <f t="shared" si="22"/>
        <v>30.395535904818722</v>
      </c>
      <c r="AE44" s="142">
        <f t="shared" si="23"/>
        <v>266.54553590481873</v>
      </c>
      <c r="AF44" s="145">
        <v>3902.8</v>
      </c>
      <c r="AG44" s="107">
        <f t="shared" si="24"/>
        <v>502.34045110872967</v>
      </c>
      <c r="AH44" s="142">
        <f t="shared" si="25"/>
        <v>4405.1404511087294</v>
      </c>
      <c r="AI44" s="145">
        <v>2961.2</v>
      </c>
      <c r="AJ44" s="107">
        <f t="shared" si="26"/>
        <v>381.14444599343295</v>
      </c>
      <c r="AK44" s="142">
        <f t="shared" si="27"/>
        <v>3342.3444459934326</v>
      </c>
      <c r="AL44" s="146">
        <v>722.5</v>
      </c>
      <c r="AM44" s="146"/>
      <c r="AN44" s="107">
        <f t="shared" si="28"/>
        <v>92.995023041420822</v>
      </c>
      <c r="AO44" s="151">
        <f t="shared" si="29"/>
        <v>815.49502304142084</v>
      </c>
      <c r="AP44" s="282">
        <f t="shared" si="30"/>
        <v>5022.8588312019174</v>
      </c>
      <c r="AQ44" s="684">
        <v>278.56</v>
      </c>
      <c r="AR44" s="411">
        <v>2612.3122898572633</v>
      </c>
      <c r="AS44" s="411">
        <v>2359.5971025518434</v>
      </c>
      <c r="AT44" s="411">
        <v>50.949438792810533</v>
      </c>
      <c r="AU44" s="411">
        <v>0</v>
      </c>
      <c r="AV44" s="742">
        <v>136.01809952273004</v>
      </c>
      <c r="AW44" s="256"/>
      <c r="AX44" s="728">
        <f t="shared" si="31"/>
        <v>268.62724847586423</v>
      </c>
      <c r="AY44" s="729">
        <v>190.64543889830958</v>
      </c>
      <c r="AZ44" s="730"/>
      <c r="BA44" s="731">
        <v>0</v>
      </c>
      <c r="BB44" s="742"/>
      <c r="BC44" s="727">
        <v>26.362500000000001</v>
      </c>
      <c r="BD44" s="727">
        <v>242.26474847586422</v>
      </c>
      <c r="BE44" s="727"/>
      <c r="BF44" s="727"/>
      <c r="BG44" s="727">
        <v>0</v>
      </c>
      <c r="BH44" s="727">
        <v>38.04296875</v>
      </c>
      <c r="BI44" s="137">
        <f t="shared" si="34"/>
        <v>268.62724847586423</v>
      </c>
      <c r="BJ44" s="126">
        <v>791.03</v>
      </c>
      <c r="BK44" s="807"/>
      <c r="BL44" s="107"/>
      <c r="BM44" s="687">
        <v>58.5</v>
      </c>
      <c r="BO44" s="577"/>
      <c r="BS44" s="904"/>
      <c r="BT44" s="789"/>
      <c r="BU44" s="789">
        <v>2421.3728185904934</v>
      </c>
      <c r="BV44" s="789">
        <v>0</v>
      </c>
      <c r="BW44" s="789">
        <f t="shared" si="32"/>
        <v>2421.3728185904934</v>
      </c>
    </row>
    <row r="45" spans="1:75" ht="15" thickBot="1" x14ac:dyDescent="0.35">
      <c r="A45" s="260" t="s">
        <v>346</v>
      </c>
      <c r="B45" s="237">
        <v>9</v>
      </c>
      <c r="C45" s="40">
        <f>'[7]побудинковий звіт'!E45</f>
        <v>6581.9</v>
      </c>
      <c r="D45" s="215">
        <f t="shared" si="7"/>
        <v>3488.7952063202529</v>
      </c>
      <c r="E45" s="107">
        <f t="shared" si="8"/>
        <v>767.53558636551634</v>
      </c>
      <c r="F45" s="107">
        <f t="shared" si="9"/>
        <v>251.65264647265872</v>
      </c>
      <c r="G45" s="107">
        <f t="shared" si="10"/>
        <v>0</v>
      </c>
      <c r="H45" s="107">
        <f t="shared" si="11"/>
        <v>2914.8001045591855</v>
      </c>
      <c r="I45" s="107">
        <f t="shared" si="12"/>
        <v>955.40751097508462</v>
      </c>
      <c r="J45" s="687">
        <f t="shared" si="0"/>
        <v>0</v>
      </c>
      <c r="K45" s="142">
        <f t="shared" si="13"/>
        <v>8378.1910546926974</v>
      </c>
      <c r="L45" s="141">
        <f t="shared" si="1"/>
        <v>1671.1703262875933</v>
      </c>
      <c r="M45" s="107">
        <f t="shared" si="2"/>
        <v>367.65574130328764</v>
      </c>
      <c r="N45" s="30">
        <f t="shared" si="14"/>
        <v>128.24357593660665</v>
      </c>
      <c r="O45" s="107">
        <f t="shared" si="3"/>
        <v>11.84945658219303</v>
      </c>
      <c r="P45" s="107">
        <f t="shared" si="15"/>
        <v>1396.2205156022969</v>
      </c>
      <c r="Q45" s="107">
        <f t="shared" si="16"/>
        <v>460.166354241428</v>
      </c>
      <c r="R45" s="143">
        <f t="shared" si="17"/>
        <v>4035.3059699534056</v>
      </c>
      <c r="S45" s="141">
        <f t="shared" si="18"/>
        <v>168.5266</v>
      </c>
      <c r="T45" s="107">
        <f t="shared" si="4"/>
        <v>21.691536401511847</v>
      </c>
      <c r="U45" s="142">
        <f t="shared" si="19"/>
        <v>190.21813640151186</v>
      </c>
      <c r="V45" s="107"/>
      <c r="W45" s="107">
        <f t="shared" si="20"/>
        <v>0</v>
      </c>
      <c r="X45" s="142">
        <f t="shared" si="21"/>
        <v>0</v>
      </c>
      <c r="Y45" s="141">
        <v>2110.5</v>
      </c>
      <c r="Z45" s="144">
        <v>0</v>
      </c>
      <c r="AA45" s="107">
        <f t="shared" si="5"/>
        <v>271.64843754867633</v>
      </c>
      <c r="AB45" s="142">
        <f t="shared" si="6"/>
        <v>2382.1484375486762</v>
      </c>
      <c r="AC45" s="141">
        <v>118.075</v>
      </c>
      <c r="AD45" s="107">
        <f t="shared" si="22"/>
        <v>15.197767952409361</v>
      </c>
      <c r="AE45" s="142">
        <f t="shared" si="23"/>
        <v>133.27276795240937</v>
      </c>
      <c r="AF45" s="145">
        <v>1023</v>
      </c>
      <c r="AG45" s="107">
        <f t="shared" si="24"/>
        <v>131.67322985657231</v>
      </c>
      <c r="AH45" s="142">
        <f t="shared" si="25"/>
        <v>1154.6732298565723</v>
      </c>
      <c r="AI45" s="145">
        <v>561</v>
      </c>
      <c r="AJ45" s="107">
        <f t="shared" si="26"/>
        <v>72.207900243926744</v>
      </c>
      <c r="AK45" s="142">
        <f t="shared" si="27"/>
        <v>633.2079002439267</v>
      </c>
      <c r="AL45" s="146"/>
      <c r="AM45" s="146"/>
      <c r="AN45" s="107">
        <f t="shared" si="28"/>
        <v>0</v>
      </c>
      <c r="AO45" s="151">
        <f t="shared" si="29"/>
        <v>0</v>
      </c>
      <c r="AP45" s="282">
        <f t="shared" si="30"/>
        <v>3937.5014246082715</v>
      </c>
      <c r="AQ45" s="684">
        <v>701.14</v>
      </c>
      <c r="AR45" s="411">
        <v>2394.0298330204182</v>
      </c>
      <c r="AS45" s="411">
        <v>1496.7107219039176</v>
      </c>
      <c r="AT45" s="411">
        <v>46.760869683935766</v>
      </c>
      <c r="AU45" s="411">
        <v>0</v>
      </c>
      <c r="AV45" s="742">
        <v>124.6525499085519</v>
      </c>
      <c r="AW45" s="256"/>
      <c r="AX45" s="728">
        <f t="shared" si="31"/>
        <v>193.15264647265872</v>
      </c>
      <c r="AY45" s="729">
        <v>128.24357593660665</v>
      </c>
      <c r="AZ45" s="730"/>
      <c r="BA45" s="731">
        <v>0</v>
      </c>
      <c r="BB45" s="742"/>
      <c r="BC45" s="727">
        <v>26.362500000000001</v>
      </c>
      <c r="BD45" s="727">
        <v>166.79014647265871</v>
      </c>
      <c r="BE45" s="727"/>
      <c r="BF45" s="727"/>
      <c r="BG45" s="727">
        <v>0</v>
      </c>
      <c r="BH45" s="727">
        <v>38.04296875</v>
      </c>
      <c r="BI45" s="137">
        <f t="shared" si="34"/>
        <v>193.15264647265872</v>
      </c>
      <c r="BJ45" s="126">
        <v>766.03</v>
      </c>
      <c r="BK45" s="807"/>
      <c r="BL45" s="107"/>
      <c r="BM45" s="687">
        <v>58.5</v>
      </c>
      <c r="BO45" s="577"/>
      <c r="BS45" s="904"/>
      <c r="BT45" s="789"/>
      <c r="BU45" s="789">
        <v>2219.0426785420113</v>
      </c>
      <c r="BV45" s="789">
        <v>0</v>
      </c>
      <c r="BW45" s="789">
        <f t="shared" si="32"/>
        <v>2219.0426785420113</v>
      </c>
    </row>
    <row r="46" spans="1:75" ht="15" thickBot="1" x14ac:dyDescent="0.35">
      <c r="A46" s="219" t="s">
        <v>245</v>
      </c>
      <c r="B46" s="237">
        <v>5</v>
      </c>
      <c r="C46" s="40">
        <f>'[7]побудинковий звіт'!E46</f>
        <v>3446.77</v>
      </c>
      <c r="D46" s="215">
        <f t="shared" si="7"/>
        <v>2699.6048067730358</v>
      </c>
      <c r="E46" s="107">
        <f t="shared" si="8"/>
        <v>593.91355347199067</v>
      </c>
      <c r="F46" s="107">
        <f t="shared" si="9"/>
        <v>397.90133220602797</v>
      </c>
      <c r="G46" s="107">
        <f t="shared" si="10"/>
        <v>0</v>
      </c>
      <c r="H46" s="107">
        <f t="shared" si="11"/>
        <v>2255.4514976389273</v>
      </c>
      <c r="I46" s="107">
        <f t="shared" si="12"/>
        <v>765.43864823083663</v>
      </c>
      <c r="J46" s="687">
        <f t="shared" si="0"/>
        <v>0</v>
      </c>
      <c r="K46" s="142">
        <f t="shared" si="13"/>
        <v>6712.309838320818</v>
      </c>
      <c r="L46" s="141">
        <f t="shared" si="1"/>
        <v>2143.2628265621429</v>
      </c>
      <c r="M46" s="107">
        <f t="shared" si="2"/>
        <v>471.51560251667587</v>
      </c>
      <c r="N46" s="30">
        <f t="shared" si="14"/>
        <v>70.804827225821015</v>
      </c>
      <c r="O46" s="107">
        <f t="shared" si="3"/>
        <v>6.2052525051741103</v>
      </c>
      <c r="P46" s="107">
        <f t="shared" si="15"/>
        <v>1790.6418524205262</v>
      </c>
      <c r="Q46" s="107">
        <f t="shared" si="16"/>
        <v>576.94631795734222</v>
      </c>
      <c r="R46" s="143">
        <f t="shared" si="17"/>
        <v>5059.3766791876824</v>
      </c>
      <c r="S46" s="141">
        <f t="shared" si="18"/>
        <v>0</v>
      </c>
      <c r="T46" s="107">
        <f t="shared" si="4"/>
        <v>0</v>
      </c>
      <c r="U46" s="142">
        <f t="shared" si="19"/>
        <v>0</v>
      </c>
      <c r="V46" s="107"/>
      <c r="W46" s="107">
        <f t="shared" si="20"/>
        <v>0</v>
      </c>
      <c r="X46" s="142">
        <f t="shared" si="21"/>
        <v>0</v>
      </c>
      <c r="Y46" s="141">
        <v>0</v>
      </c>
      <c r="Z46" s="144">
        <v>0</v>
      </c>
      <c r="AA46" s="107">
        <f t="shared" si="5"/>
        <v>0</v>
      </c>
      <c r="AB46" s="142">
        <f t="shared" si="6"/>
        <v>0</v>
      </c>
      <c r="AC46" s="141">
        <v>0</v>
      </c>
      <c r="AD46" s="107">
        <f t="shared" si="22"/>
        <v>0</v>
      </c>
      <c r="AE46" s="142">
        <f t="shared" si="23"/>
        <v>0</v>
      </c>
      <c r="AF46" s="145">
        <v>261.8</v>
      </c>
      <c r="AG46" s="107">
        <f t="shared" si="24"/>
        <v>33.697020113832487</v>
      </c>
      <c r="AH46" s="142">
        <f t="shared" si="25"/>
        <v>295.49702011383249</v>
      </c>
      <c r="AI46" s="145">
        <v>0</v>
      </c>
      <c r="AJ46" s="107">
        <f t="shared" si="26"/>
        <v>0</v>
      </c>
      <c r="AK46" s="142">
        <f t="shared" si="27"/>
        <v>0</v>
      </c>
      <c r="AL46" s="146"/>
      <c r="AM46" s="146"/>
      <c r="AN46" s="107">
        <f t="shared" si="28"/>
        <v>0</v>
      </c>
      <c r="AO46" s="151">
        <f t="shared" si="29"/>
        <v>0</v>
      </c>
      <c r="AP46" s="282">
        <f t="shared" si="30"/>
        <v>3502.1557542361506</v>
      </c>
      <c r="AQ46" s="684">
        <v>174.11</v>
      </c>
      <c r="AR46" s="740">
        <v>2317.3655575688999</v>
      </c>
      <c r="AS46" s="740">
        <v>1157.9774491705448</v>
      </c>
      <c r="AT46" s="740">
        <v>26.812747496705889</v>
      </c>
      <c r="AU46" s="411">
        <v>794.70000494111821</v>
      </c>
      <c r="AV46" s="801"/>
      <c r="AW46" s="256"/>
      <c r="AX46" s="728">
        <f t="shared" si="31"/>
        <v>105.38133220602796</v>
      </c>
      <c r="AY46" s="729">
        <v>70.804827225821015</v>
      </c>
      <c r="AZ46" s="730"/>
      <c r="BA46" s="731">
        <v>0</v>
      </c>
      <c r="BC46" s="727">
        <v>0</v>
      </c>
      <c r="BD46" s="727">
        <v>105.38133220602796</v>
      </c>
      <c r="BE46" s="727"/>
      <c r="BF46" s="727"/>
      <c r="BG46" s="727">
        <v>0</v>
      </c>
      <c r="BH46" s="727">
        <v>0</v>
      </c>
      <c r="BI46" s="137">
        <f t="shared" si="34"/>
        <v>105.38133220602796</v>
      </c>
      <c r="BJ46" s="126"/>
      <c r="BK46" s="807"/>
      <c r="BL46" s="107"/>
      <c r="BM46" s="687">
        <v>292.52</v>
      </c>
      <c r="BO46" s="577"/>
      <c r="BS46" s="904"/>
      <c r="BT46" s="789"/>
      <c r="BU46" s="789">
        <v>2267.0027894439536</v>
      </c>
      <c r="BV46" s="789">
        <v>0</v>
      </c>
      <c r="BW46" s="789">
        <f t="shared" si="32"/>
        <v>2267.0027894439536</v>
      </c>
    </row>
    <row r="47" spans="1:75" ht="15" thickBot="1" x14ac:dyDescent="0.35">
      <c r="A47" s="220" t="s">
        <v>50</v>
      </c>
      <c r="B47" s="238">
        <v>1</v>
      </c>
      <c r="C47" s="40">
        <f>'[7]побудинковий звіт'!E47</f>
        <v>244.2</v>
      </c>
      <c r="D47" s="215">
        <f t="shared" si="7"/>
        <v>25.083870916147845</v>
      </c>
      <c r="E47" s="107">
        <f t="shared" si="8"/>
        <v>5.518456210059111</v>
      </c>
      <c r="F47" s="107">
        <f t="shared" si="9"/>
        <v>0</v>
      </c>
      <c r="G47" s="107">
        <f t="shared" si="10"/>
        <v>0</v>
      </c>
      <c r="H47" s="107">
        <f t="shared" si="11"/>
        <v>20.956939357370043</v>
      </c>
      <c r="I47" s="107">
        <f t="shared" si="12"/>
        <v>6.6363393420608983</v>
      </c>
      <c r="J47" s="687">
        <f t="shared" si="0"/>
        <v>0</v>
      </c>
      <c r="K47" s="142">
        <f t="shared" si="13"/>
        <v>58.195605825637898</v>
      </c>
      <c r="L47" s="141">
        <f t="shared" si="1"/>
        <v>0</v>
      </c>
      <c r="M47" s="107">
        <f t="shared" si="2"/>
        <v>0</v>
      </c>
      <c r="N47" s="30">
        <f t="shared" si="14"/>
        <v>0</v>
      </c>
      <c r="O47" s="107">
        <f t="shared" si="3"/>
        <v>0.43963556076080434</v>
      </c>
      <c r="P47" s="107">
        <f t="shared" si="15"/>
        <v>0</v>
      </c>
      <c r="Q47" s="107">
        <f t="shared" si="16"/>
        <v>5.6586739242600638E-2</v>
      </c>
      <c r="R47" s="143">
        <f t="shared" si="17"/>
        <v>0.496222300003405</v>
      </c>
      <c r="S47" s="141">
        <f t="shared" si="18"/>
        <v>0</v>
      </c>
      <c r="T47" s="107">
        <f t="shared" si="4"/>
        <v>0</v>
      </c>
      <c r="U47" s="142">
        <f t="shared" si="19"/>
        <v>0</v>
      </c>
      <c r="V47" s="107"/>
      <c r="W47" s="107">
        <f t="shared" si="20"/>
        <v>0</v>
      </c>
      <c r="X47" s="142">
        <f t="shared" si="21"/>
        <v>0</v>
      </c>
      <c r="Y47" s="141">
        <v>0</v>
      </c>
      <c r="Z47" s="144">
        <v>0</v>
      </c>
      <c r="AA47" s="107">
        <f t="shared" si="5"/>
        <v>0</v>
      </c>
      <c r="AB47" s="142">
        <f t="shared" si="6"/>
        <v>0</v>
      </c>
      <c r="AC47" s="141">
        <v>0</v>
      </c>
      <c r="AD47" s="107">
        <f t="shared" si="22"/>
        <v>0</v>
      </c>
      <c r="AE47" s="142">
        <f t="shared" si="23"/>
        <v>0</v>
      </c>
      <c r="AF47" s="145">
        <v>0</v>
      </c>
      <c r="AG47" s="107">
        <f t="shared" si="24"/>
        <v>0</v>
      </c>
      <c r="AH47" s="142">
        <f t="shared" si="25"/>
        <v>0</v>
      </c>
      <c r="AI47" s="145">
        <v>0</v>
      </c>
      <c r="AJ47" s="107">
        <f t="shared" si="26"/>
        <v>0</v>
      </c>
      <c r="AK47" s="142">
        <f t="shared" si="27"/>
        <v>0</v>
      </c>
      <c r="AL47" s="146"/>
      <c r="AM47" s="215"/>
      <c r="AN47" s="107">
        <f t="shared" si="28"/>
        <v>0</v>
      </c>
      <c r="AO47" s="151">
        <f t="shared" si="29"/>
        <v>0</v>
      </c>
      <c r="AP47" s="282">
        <f t="shared" si="30"/>
        <v>0</v>
      </c>
      <c r="AQ47" s="684">
        <v>23.15</v>
      </c>
      <c r="AR47" s="411">
        <v>0</v>
      </c>
      <c r="AS47" s="411">
        <v>0</v>
      </c>
      <c r="AT47" s="411">
        <v>0</v>
      </c>
      <c r="AU47" s="411">
        <v>0</v>
      </c>
      <c r="AV47" s="742">
        <v>0</v>
      </c>
      <c r="AW47" s="256"/>
      <c r="AX47" s="728">
        <f t="shared" si="31"/>
        <v>0</v>
      </c>
      <c r="AY47" s="729">
        <v>0</v>
      </c>
      <c r="AZ47" s="730"/>
      <c r="BA47" s="731">
        <v>0</v>
      </c>
      <c r="BB47" s="742"/>
      <c r="BC47" s="727">
        <v>0</v>
      </c>
      <c r="BD47" s="727">
        <v>0</v>
      </c>
      <c r="BE47" s="727"/>
      <c r="BF47" s="727"/>
      <c r="BG47" s="727">
        <v>0</v>
      </c>
      <c r="BH47" s="727">
        <v>0</v>
      </c>
      <c r="BI47" s="137">
        <f>BC47+BD47+BE47+BG47+BH47</f>
        <v>0</v>
      </c>
      <c r="BJ47" s="126"/>
      <c r="BK47" s="807"/>
      <c r="BL47" s="107"/>
      <c r="BM47" s="687"/>
      <c r="BO47" s="577"/>
      <c r="BS47" s="904"/>
      <c r="BT47" s="789"/>
      <c r="BU47" s="789">
        <v>0</v>
      </c>
      <c r="BV47" s="789">
        <v>0</v>
      </c>
      <c r="BW47" s="789">
        <f t="shared" si="32"/>
        <v>0</v>
      </c>
    </row>
    <row r="48" spans="1:75" ht="15" thickBot="1" x14ac:dyDescent="0.35">
      <c r="A48" s="220" t="s">
        <v>51</v>
      </c>
      <c r="B48" s="238">
        <v>1</v>
      </c>
      <c r="C48" s="40">
        <f>'[7]побудинковий звіт'!E48</f>
        <v>323.7</v>
      </c>
      <c r="D48" s="215">
        <f t="shared" si="7"/>
        <v>13.2733226230156</v>
      </c>
      <c r="E48" s="107">
        <f t="shared" si="8"/>
        <v>2.9201334156900267</v>
      </c>
      <c r="F48" s="107">
        <f t="shared" si="9"/>
        <v>0</v>
      </c>
      <c r="G48" s="107">
        <f t="shared" si="10"/>
        <v>0</v>
      </c>
      <c r="H48" s="107">
        <f t="shared" si="11"/>
        <v>11.089525145908556</v>
      </c>
      <c r="I48" s="107">
        <f t="shared" si="12"/>
        <v>3.5116698462309293</v>
      </c>
      <c r="J48" s="687">
        <f t="shared" si="0"/>
        <v>0</v>
      </c>
      <c r="K48" s="142">
        <f t="shared" si="13"/>
        <v>30.794651030845113</v>
      </c>
      <c r="L48" s="141">
        <f t="shared" si="1"/>
        <v>0</v>
      </c>
      <c r="M48" s="107">
        <f t="shared" si="2"/>
        <v>0</v>
      </c>
      <c r="N48" s="30">
        <f t="shared" si="14"/>
        <v>0</v>
      </c>
      <c r="O48" s="107">
        <f t="shared" si="3"/>
        <v>0.58276015977998508</v>
      </c>
      <c r="P48" s="107">
        <f t="shared" si="15"/>
        <v>0</v>
      </c>
      <c r="Q48" s="107">
        <f t="shared" si="16"/>
        <v>7.5008712091850227E-2</v>
      </c>
      <c r="R48" s="143">
        <f t="shared" si="17"/>
        <v>0.6577688718718353</v>
      </c>
      <c r="S48" s="141">
        <f t="shared" si="18"/>
        <v>0</v>
      </c>
      <c r="T48" s="107">
        <f t="shared" si="4"/>
        <v>0</v>
      </c>
      <c r="U48" s="142">
        <f t="shared" si="19"/>
        <v>0</v>
      </c>
      <c r="V48" s="107"/>
      <c r="W48" s="107">
        <f t="shared" si="20"/>
        <v>0</v>
      </c>
      <c r="X48" s="142">
        <f t="shared" si="21"/>
        <v>0</v>
      </c>
      <c r="Y48" s="141">
        <v>0</v>
      </c>
      <c r="Z48" s="144">
        <v>0</v>
      </c>
      <c r="AA48" s="107">
        <f t="shared" si="5"/>
        <v>0</v>
      </c>
      <c r="AB48" s="142">
        <f t="shared" si="6"/>
        <v>0</v>
      </c>
      <c r="AC48" s="141">
        <v>0</v>
      </c>
      <c r="AD48" s="107">
        <f t="shared" si="22"/>
        <v>0</v>
      </c>
      <c r="AE48" s="142">
        <f t="shared" si="23"/>
        <v>0</v>
      </c>
      <c r="AF48" s="145">
        <v>0</v>
      </c>
      <c r="AG48" s="107">
        <f t="shared" si="24"/>
        <v>0</v>
      </c>
      <c r="AH48" s="142">
        <f t="shared" si="25"/>
        <v>0</v>
      </c>
      <c r="AI48" s="145">
        <v>0</v>
      </c>
      <c r="AJ48" s="107">
        <f t="shared" si="26"/>
        <v>0</v>
      </c>
      <c r="AK48" s="142">
        <f t="shared" si="27"/>
        <v>0</v>
      </c>
      <c r="AL48" s="146"/>
      <c r="AM48" s="215"/>
      <c r="AN48" s="107">
        <f t="shared" si="28"/>
        <v>0</v>
      </c>
      <c r="AO48" s="151">
        <f t="shared" si="29"/>
        <v>0</v>
      </c>
      <c r="AP48" s="282">
        <f t="shared" si="30"/>
        <v>0</v>
      </c>
      <c r="AQ48" s="684">
        <v>12.25</v>
      </c>
      <c r="AR48" s="411">
        <v>0</v>
      </c>
      <c r="AS48" s="411">
        <v>0</v>
      </c>
      <c r="AT48" s="411">
        <v>0</v>
      </c>
      <c r="AU48" s="411">
        <v>0</v>
      </c>
      <c r="AV48" s="742">
        <v>0</v>
      </c>
      <c r="AW48" s="256"/>
      <c r="AX48" s="728">
        <f t="shared" si="31"/>
        <v>0</v>
      </c>
      <c r="AY48" s="729">
        <v>0</v>
      </c>
      <c r="AZ48" s="730"/>
      <c r="BA48" s="731">
        <v>0</v>
      </c>
      <c r="BB48" s="742"/>
      <c r="BC48" s="727">
        <v>0</v>
      </c>
      <c r="BD48" s="727">
        <v>0</v>
      </c>
      <c r="BE48" s="727"/>
      <c r="BF48" s="727"/>
      <c r="BG48" s="727">
        <v>0</v>
      </c>
      <c r="BH48" s="727">
        <v>0</v>
      </c>
      <c r="BI48" s="137">
        <f>BC48+BD48+BE48+BG48+BH48</f>
        <v>0</v>
      </c>
      <c r="BJ48" s="126"/>
      <c r="BK48" s="807"/>
      <c r="BL48" s="107"/>
      <c r="BM48" s="687"/>
      <c r="BO48" s="577"/>
      <c r="BS48" s="904"/>
      <c r="BT48" s="789"/>
      <c r="BU48" s="789">
        <v>0</v>
      </c>
      <c r="BV48" s="789">
        <v>0</v>
      </c>
      <c r="BW48" s="789">
        <f t="shared" si="32"/>
        <v>0</v>
      </c>
    </row>
    <row r="49" spans="1:75" ht="15" thickBot="1" x14ac:dyDescent="0.35">
      <c r="A49" s="219" t="s">
        <v>246</v>
      </c>
      <c r="B49" s="237">
        <v>5</v>
      </c>
      <c r="C49" s="40">
        <f>'[7]побудинковий звіт'!E49</f>
        <v>2189.9</v>
      </c>
      <c r="D49" s="215">
        <f t="shared" si="7"/>
        <v>1838.6050252763355</v>
      </c>
      <c r="E49" s="107">
        <f t="shared" si="8"/>
        <v>404.49344335647913</v>
      </c>
      <c r="F49" s="107">
        <f t="shared" si="9"/>
        <v>66.557310167857992</v>
      </c>
      <c r="G49" s="107">
        <f t="shared" si="10"/>
        <v>0</v>
      </c>
      <c r="H49" s="107">
        <f t="shared" si="11"/>
        <v>1536.1079693671659</v>
      </c>
      <c r="I49" s="107">
        <f t="shared" si="12"/>
        <v>494.99915345706438</v>
      </c>
      <c r="J49" s="687">
        <f t="shared" si="0"/>
        <v>0</v>
      </c>
      <c r="K49" s="142">
        <f t="shared" si="13"/>
        <v>4340.762901624903</v>
      </c>
      <c r="L49" s="141">
        <f t="shared" si="1"/>
        <v>779.52720059932665</v>
      </c>
      <c r="M49" s="107">
        <f t="shared" si="2"/>
        <v>171.49517693931409</v>
      </c>
      <c r="N49" s="30">
        <f t="shared" si="14"/>
        <v>106.01050741699845</v>
      </c>
      <c r="O49" s="107">
        <f t="shared" si="3"/>
        <v>3.9424976024164025</v>
      </c>
      <c r="P49" s="107">
        <f t="shared" si="15"/>
        <v>651.27524874415735</v>
      </c>
      <c r="Q49" s="107">
        <f t="shared" si="16"/>
        <v>220.38863240226522</v>
      </c>
      <c r="R49" s="143">
        <f t="shared" si="17"/>
        <v>1932.6392637044783</v>
      </c>
      <c r="S49" s="141">
        <f t="shared" si="18"/>
        <v>45.408000000000008</v>
      </c>
      <c r="T49" s="107">
        <f t="shared" si="4"/>
        <v>5.8445923962143072</v>
      </c>
      <c r="U49" s="142">
        <f t="shared" si="19"/>
        <v>51.252592396214318</v>
      </c>
      <c r="V49" s="107"/>
      <c r="W49" s="107">
        <f t="shared" si="20"/>
        <v>0</v>
      </c>
      <c r="X49" s="142">
        <f t="shared" si="21"/>
        <v>0</v>
      </c>
      <c r="Y49" s="141">
        <v>0</v>
      </c>
      <c r="Z49" s="144">
        <v>0</v>
      </c>
      <c r="AA49" s="107">
        <f t="shared" si="5"/>
        <v>0</v>
      </c>
      <c r="AB49" s="142">
        <f t="shared" si="6"/>
        <v>0</v>
      </c>
      <c r="AC49" s="141">
        <v>0</v>
      </c>
      <c r="AD49" s="107">
        <f t="shared" si="22"/>
        <v>0</v>
      </c>
      <c r="AE49" s="142">
        <f t="shared" si="23"/>
        <v>0</v>
      </c>
      <c r="AF49" s="145">
        <v>204.6</v>
      </c>
      <c r="AG49" s="107">
        <f t="shared" si="24"/>
        <v>26.334645971314462</v>
      </c>
      <c r="AH49" s="142">
        <f t="shared" si="25"/>
        <v>230.93464597131447</v>
      </c>
      <c r="AI49" s="145">
        <v>0</v>
      </c>
      <c r="AJ49" s="107">
        <f t="shared" si="26"/>
        <v>0</v>
      </c>
      <c r="AK49" s="142">
        <f t="shared" si="27"/>
        <v>0</v>
      </c>
      <c r="AL49" s="146"/>
      <c r="AM49" s="146"/>
      <c r="AN49" s="107">
        <f t="shared" si="28"/>
        <v>0</v>
      </c>
      <c r="AO49" s="151">
        <f t="shared" si="29"/>
        <v>0</v>
      </c>
      <c r="AP49" s="282">
        <f t="shared" si="30"/>
        <v>2416.8169569310921</v>
      </c>
      <c r="AQ49" s="684">
        <v>0</v>
      </c>
      <c r="AR49" s="741">
        <v>1696.855580122867</v>
      </c>
      <c r="AS49" s="741">
        <v>709.32494328575797</v>
      </c>
      <c r="AT49" s="741">
        <v>10.636433522467058</v>
      </c>
      <c r="AU49" s="411">
        <v>0</v>
      </c>
      <c r="AV49" s="801"/>
      <c r="AW49" s="256"/>
      <c r="AX49" s="728">
        <f t="shared" si="31"/>
        <v>66.557310167857992</v>
      </c>
      <c r="AY49" s="729">
        <v>106.01050741699845</v>
      </c>
      <c r="AZ49" s="730"/>
      <c r="BA49" s="731">
        <v>0</v>
      </c>
      <c r="BC49" s="727">
        <v>0</v>
      </c>
      <c r="BD49" s="727">
        <v>66.557310167857992</v>
      </c>
      <c r="BE49" s="727"/>
      <c r="BF49" s="727"/>
      <c r="BG49" s="727">
        <v>0</v>
      </c>
      <c r="BH49" s="727">
        <v>6.7373763976344963</v>
      </c>
      <c r="BI49" s="137">
        <f>BC49+BD49+BE49+BG49</f>
        <v>66.557310167857992</v>
      </c>
      <c r="BJ49" s="126">
        <v>206.4</v>
      </c>
      <c r="BK49" s="807"/>
      <c r="BL49" s="107"/>
      <c r="BM49" s="687"/>
      <c r="BO49" s="577"/>
      <c r="BS49" s="904"/>
      <c r="BT49" s="789"/>
      <c r="BU49" s="789">
        <v>1508.3358383016937</v>
      </c>
      <c r="BV49" s="789">
        <v>0</v>
      </c>
      <c r="BW49" s="789">
        <f t="shared" si="32"/>
        <v>1508.3358383016937</v>
      </c>
    </row>
    <row r="50" spans="1:75" ht="15" thickBot="1" x14ac:dyDescent="0.35">
      <c r="A50" s="219" t="s">
        <v>206</v>
      </c>
      <c r="B50" s="237">
        <v>4</v>
      </c>
      <c r="C50" s="40">
        <f>'[7]побудинковий звіт'!E50</f>
        <v>1173.1199999999999</v>
      </c>
      <c r="D50" s="215">
        <f t="shared" si="7"/>
        <v>300.78997546993673</v>
      </c>
      <c r="E50" s="107">
        <f t="shared" si="8"/>
        <v>66.17384986569337</v>
      </c>
      <c r="F50" s="107">
        <f t="shared" si="9"/>
        <v>36.766600348808439</v>
      </c>
      <c r="G50" s="107">
        <f t="shared" si="10"/>
        <v>0</v>
      </c>
      <c r="H50" s="107">
        <f t="shared" si="11"/>
        <v>251.30241246658207</v>
      </c>
      <c r="I50" s="107">
        <f t="shared" si="12"/>
        <v>84.311133393413741</v>
      </c>
      <c r="J50" s="687">
        <f t="shared" si="0"/>
        <v>0</v>
      </c>
      <c r="K50" s="142">
        <f t="shared" si="13"/>
        <v>739.34397154443423</v>
      </c>
      <c r="L50" s="141">
        <f t="shared" si="1"/>
        <v>582.73127706530897</v>
      </c>
      <c r="M50" s="107">
        <f t="shared" si="2"/>
        <v>128.20027754202007</v>
      </c>
      <c r="N50" s="30">
        <f t="shared" si="14"/>
        <v>19.24232364642954</v>
      </c>
      <c r="O50" s="107">
        <f t="shared" si="3"/>
        <v>2.1119789886966207</v>
      </c>
      <c r="P50" s="107">
        <f t="shared" si="15"/>
        <v>486.85723491101152</v>
      </c>
      <c r="Q50" s="107">
        <f t="shared" si="16"/>
        <v>156.91936324650612</v>
      </c>
      <c r="R50" s="143">
        <f t="shared" si="17"/>
        <v>1376.0624553999728</v>
      </c>
      <c r="S50" s="141">
        <f t="shared" si="18"/>
        <v>44.77</v>
      </c>
      <c r="T50" s="107">
        <f t="shared" si="4"/>
        <v>5.7624736077016054</v>
      </c>
      <c r="U50" s="142">
        <f t="shared" si="19"/>
        <v>50.532473607701611</v>
      </c>
      <c r="V50" s="107"/>
      <c r="W50" s="107">
        <f t="shared" si="20"/>
        <v>0</v>
      </c>
      <c r="X50" s="142">
        <f t="shared" si="21"/>
        <v>0</v>
      </c>
      <c r="Y50" s="141">
        <v>0</v>
      </c>
      <c r="Z50" s="144">
        <v>0</v>
      </c>
      <c r="AA50" s="107">
        <f t="shared" si="5"/>
        <v>0</v>
      </c>
      <c r="AB50" s="142">
        <f t="shared" si="6"/>
        <v>0</v>
      </c>
      <c r="AC50" s="141">
        <v>0</v>
      </c>
      <c r="AD50" s="107">
        <f t="shared" si="22"/>
        <v>0</v>
      </c>
      <c r="AE50" s="142">
        <f t="shared" si="23"/>
        <v>0</v>
      </c>
      <c r="AF50" s="145">
        <v>77</v>
      </c>
      <c r="AG50" s="107">
        <f t="shared" si="24"/>
        <v>9.9108882687742597</v>
      </c>
      <c r="AH50" s="142">
        <f t="shared" si="25"/>
        <v>86.910888268774258</v>
      </c>
      <c r="AI50" s="145">
        <v>0</v>
      </c>
      <c r="AJ50" s="107">
        <f t="shared" si="26"/>
        <v>0</v>
      </c>
      <c r="AK50" s="142">
        <f t="shared" si="27"/>
        <v>0</v>
      </c>
      <c r="AL50" s="146">
        <v>127.5</v>
      </c>
      <c r="AM50" s="146"/>
      <c r="AN50" s="107">
        <f t="shared" si="28"/>
        <v>16.410886419074263</v>
      </c>
      <c r="AO50" s="151">
        <f t="shared" si="29"/>
        <v>143.91088641907427</v>
      </c>
      <c r="AP50" s="282">
        <f t="shared" si="30"/>
        <v>375.50148425409003</v>
      </c>
      <c r="AQ50" s="684">
        <v>0</v>
      </c>
      <c r="AR50" s="741">
        <v>277.60021391460714</v>
      </c>
      <c r="AS50" s="741">
        <v>95.171253732304336</v>
      </c>
      <c r="AT50" s="741">
        <v>2.7300166071785625</v>
      </c>
      <c r="AU50" s="411">
        <v>440.30190233056078</v>
      </c>
      <c r="AV50" s="801"/>
      <c r="AW50" s="256"/>
      <c r="AX50" s="728">
        <f t="shared" si="31"/>
        <v>36.766600348808439</v>
      </c>
      <c r="AY50" s="729">
        <v>19.24232364642954</v>
      </c>
      <c r="AZ50" s="730"/>
      <c r="BA50" s="731">
        <v>0</v>
      </c>
      <c r="BC50" s="727">
        <v>0</v>
      </c>
      <c r="BD50" s="727">
        <v>36.766600348808439</v>
      </c>
      <c r="BE50" s="727"/>
      <c r="BF50" s="727"/>
      <c r="BG50" s="727">
        <v>0</v>
      </c>
      <c r="BH50" s="727">
        <v>4.8016376565230932</v>
      </c>
      <c r="BI50" s="137">
        <f>BC50+BD50+BE50+BG50</f>
        <v>36.766600348808439</v>
      </c>
      <c r="BJ50" s="126">
        <v>203.5</v>
      </c>
      <c r="BK50" s="807"/>
      <c r="BL50" s="107"/>
      <c r="BM50" s="687"/>
      <c r="BO50" s="577"/>
      <c r="BS50" s="904"/>
      <c r="BT50" s="789"/>
      <c r="BU50" s="789">
        <v>861.64549888786632</v>
      </c>
      <c r="BV50" s="789">
        <v>0</v>
      </c>
      <c r="BW50" s="789">
        <f t="shared" si="32"/>
        <v>861.64549888786632</v>
      </c>
    </row>
    <row r="51" spans="1:75" ht="15" thickBot="1" x14ac:dyDescent="0.35">
      <c r="A51" s="219" t="s">
        <v>247</v>
      </c>
      <c r="B51" s="237">
        <v>5</v>
      </c>
      <c r="C51" s="40">
        <f>'[7]побудинковий звіт'!E51</f>
        <v>2743.1</v>
      </c>
      <c r="D51" s="215">
        <f t="shared" si="7"/>
        <v>1032.4941619966917</v>
      </c>
      <c r="E51" s="107">
        <f t="shared" si="8"/>
        <v>227.14890533312607</v>
      </c>
      <c r="F51" s="107">
        <f t="shared" si="9"/>
        <v>77.055597138973653</v>
      </c>
      <c r="G51" s="107">
        <f t="shared" si="10"/>
        <v>0</v>
      </c>
      <c r="H51" s="107">
        <f t="shared" si="11"/>
        <v>862.6227432016392</v>
      </c>
      <c r="I51" s="107">
        <f t="shared" si="12"/>
        <v>283.08089270837615</v>
      </c>
      <c r="J51" s="687">
        <f t="shared" si="0"/>
        <v>0</v>
      </c>
      <c r="K51" s="142">
        <f t="shared" si="13"/>
        <v>2482.402300378807</v>
      </c>
      <c r="L51" s="141">
        <f t="shared" si="1"/>
        <v>721.6072227010676</v>
      </c>
      <c r="M51" s="107">
        <f t="shared" si="2"/>
        <v>158.75284177724882</v>
      </c>
      <c r="N51" s="30">
        <f t="shared" si="14"/>
        <v>45.102741277650523</v>
      </c>
      <c r="O51" s="107">
        <f t="shared" si="3"/>
        <v>4.9384287744593056</v>
      </c>
      <c r="P51" s="107">
        <f t="shared" si="15"/>
        <v>602.88457298076776</v>
      </c>
      <c r="Q51" s="107">
        <f t="shared" si="16"/>
        <v>197.35356262780209</v>
      </c>
      <c r="R51" s="143">
        <f t="shared" si="17"/>
        <v>1730.6393701389961</v>
      </c>
      <c r="S51" s="141">
        <f t="shared" si="18"/>
        <v>109.23</v>
      </c>
      <c r="T51" s="107">
        <f t="shared" si="4"/>
        <v>14.059302929846915</v>
      </c>
      <c r="U51" s="142">
        <f t="shared" si="19"/>
        <v>123.28930292984691</v>
      </c>
      <c r="V51" s="107"/>
      <c r="W51" s="107">
        <f t="shared" si="20"/>
        <v>0</v>
      </c>
      <c r="X51" s="142">
        <f t="shared" si="21"/>
        <v>0</v>
      </c>
      <c r="Y51" s="141">
        <v>0</v>
      </c>
      <c r="Z51" s="144">
        <v>0</v>
      </c>
      <c r="AA51" s="107">
        <f t="shared" si="5"/>
        <v>0</v>
      </c>
      <c r="AB51" s="142">
        <f t="shared" si="6"/>
        <v>0</v>
      </c>
      <c r="AC51" s="141">
        <v>0</v>
      </c>
      <c r="AD51" s="107">
        <f t="shared" si="22"/>
        <v>0</v>
      </c>
      <c r="AE51" s="142">
        <f t="shared" si="23"/>
        <v>0</v>
      </c>
      <c r="AF51" s="145">
        <v>239.8</v>
      </c>
      <c r="AG51" s="107">
        <f t="shared" si="24"/>
        <v>30.865337751325555</v>
      </c>
      <c r="AH51" s="142">
        <f t="shared" si="25"/>
        <v>270.66533775132558</v>
      </c>
      <c r="AI51" s="145">
        <v>0</v>
      </c>
      <c r="AJ51" s="107">
        <f t="shared" si="26"/>
        <v>0</v>
      </c>
      <c r="AK51" s="142">
        <f t="shared" si="27"/>
        <v>0</v>
      </c>
      <c r="AL51" s="215"/>
      <c r="AM51" s="215"/>
      <c r="AN51" s="107">
        <f t="shared" si="28"/>
        <v>0</v>
      </c>
      <c r="AO51" s="151">
        <f t="shared" si="29"/>
        <v>0</v>
      </c>
      <c r="AP51" s="282">
        <f t="shared" si="30"/>
        <v>1619.3600185412959</v>
      </c>
      <c r="AQ51" s="684">
        <v>0</v>
      </c>
      <c r="AR51" s="741">
        <v>952.89279434284776</v>
      </c>
      <c r="AS51" s="741">
        <v>642.7552485148401</v>
      </c>
      <c r="AT51" s="741">
        <v>23.711975683608088</v>
      </c>
      <c r="AU51" s="411">
        <v>0</v>
      </c>
      <c r="AV51" s="801"/>
      <c r="AW51" s="256"/>
      <c r="AX51" s="728">
        <f t="shared" si="31"/>
        <v>77.055597138973653</v>
      </c>
      <c r="AY51" s="729">
        <v>45.102741277650523</v>
      </c>
      <c r="AZ51" s="730"/>
      <c r="BA51" s="731">
        <v>0</v>
      </c>
      <c r="BC51" s="727">
        <v>0</v>
      </c>
      <c r="BD51" s="727">
        <v>77.055597138973653</v>
      </c>
      <c r="BE51" s="727"/>
      <c r="BF51" s="727"/>
      <c r="BG51" s="727">
        <v>0</v>
      </c>
      <c r="BH51" s="727">
        <v>2.131826561639572</v>
      </c>
      <c r="BI51" s="137">
        <f>BC51+BD51+BE51+BG51</f>
        <v>77.055597138973653</v>
      </c>
      <c r="BJ51" s="126">
        <v>496.5</v>
      </c>
      <c r="BK51" s="807"/>
      <c r="BL51" s="107"/>
      <c r="BM51" s="687"/>
      <c r="BO51" s="577"/>
      <c r="BS51" s="904"/>
      <c r="BT51" s="789"/>
      <c r="BU51" s="789">
        <v>925.46250731719999</v>
      </c>
      <c r="BV51" s="789">
        <v>0</v>
      </c>
      <c r="BW51" s="789">
        <f t="shared" si="32"/>
        <v>925.46250731719999</v>
      </c>
    </row>
    <row r="52" spans="1:75" ht="15" thickBot="1" x14ac:dyDescent="0.35">
      <c r="A52" s="220" t="s">
        <v>52</v>
      </c>
      <c r="B52" s="238">
        <v>1</v>
      </c>
      <c r="C52" s="40">
        <f>'[7]побудинковий звіт'!E52</f>
        <v>249.8</v>
      </c>
      <c r="D52" s="215">
        <f t="shared" si="7"/>
        <v>0</v>
      </c>
      <c r="E52" s="107">
        <f t="shared" si="8"/>
        <v>0</v>
      </c>
      <c r="F52" s="107">
        <f t="shared" si="9"/>
        <v>0</v>
      </c>
      <c r="G52" s="107">
        <f t="shared" si="10"/>
        <v>0</v>
      </c>
      <c r="H52" s="107">
        <f t="shared" si="11"/>
        <v>0</v>
      </c>
      <c r="I52" s="107">
        <f t="shared" si="12"/>
        <v>0</v>
      </c>
      <c r="J52" s="687">
        <f t="shared" si="0"/>
        <v>0</v>
      </c>
      <c r="K52" s="142">
        <f t="shared" si="13"/>
        <v>0</v>
      </c>
      <c r="L52" s="141">
        <f t="shared" si="1"/>
        <v>0</v>
      </c>
      <c r="M52" s="107">
        <f t="shared" si="2"/>
        <v>0</v>
      </c>
      <c r="N52" s="30">
        <f t="shared" si="14"/>
        <v>0</v>
      </c>
      <c r="O52" s="107">
        <f t="shared" si="3"/>
        <v>0.44971729352190393</v>
      </c>
      <c r="P52" s="107">
        <f t="shared" si="15"/>
        <v>0</v>
      </c>
      <c r="Q52" s="107">
        <f t="shared" si="16"/>
        <v>5.7884387644560366E-2</v>
      </c>
      <c r="R52" s="143">
        <f t="shared" si="17"/>
        <v>0.50760168116646431</v>
      </c>
      <c r="S52" s="141">
        <f t="shared" si="18"/>
        <v>0</v>
      </c>
      <c r="T52" s="107">
        <f t="shared" si="4"/>
        <v>0</v>
      </c>
      <c r="U52" s="142">
        <f t="shared" si="19"/>
        <v>0</v>
      </c>
      <c r="V52" s="107"/>
      <c r="W52" s="107">
        <f t="shared" si="20"/>
        <v>0</v>
      </c>
      <c r="X52" s="142">
        <f t="shared" si="21"/>
        <v>0</v>
      </c>
      <c r="Y52" s="141">
        <v>0</v>
      </c>
      <c r="Z52" s="144">
        <v>0</v>
      </c>
      <c r="AA52" s="107">
        <f t="shared" si="5"/>
        <v>0</v>
      </c>
      <c r="AB52" s="142">
        <f t="shared" si="6"/>
        <v>0</v>
      </c>
      <c r="AC52" s="141">
        <v>0</v>
      </c>
      <c r="AD52" s="107">
        <f t="shared" si="22"/>
        <v>0</v>
      </c>
      <c r="AE52" s="142">
        <f t="shared" si="23"/>
        <v>0</v>
      </c>
      <c r="AF52" s="145">
        <v>0</v>
      </c>
      <c r="AG52" s="107">
        <f t="shared" si="24"/>
        <v>0</v>
      </c>
      <c r="AH52" s="142">
        <f t="shared" si="25"/>
        <v>0</v>
      </c>
      <c r="AI52" s="145">
        <v>0</v>
      </c>
      <c r="AJ52" s="107">
        <f t="shared" si="26"/>
        <v>0</v>
      </c>
      <c r="AK52" s="142">
        <f t="shared" si="27"/>
        <v>0</v>
      </c>
      <c r="AL52" s="146"/>
      <c r="AM52" s="215"/>
      <c r="AN52" s="107">
        <f t="shared" si="28"/>
        <v>0</v>
      </c>
      <c r="AO52" s="151">
        <f t="shared" si="29"/>
        <v>0</v>
      </c>
      <c r="AP52" s="282">
        <f t="shared" si="30"/>
        <v>0</v>
      </c>
      <c r="AQ52" s="684">
        <v>0</v>
      </c>
      <c r="AR52" s="740">
        <v>0</v>
      </c>
      <c r="AS52" s="740">
        <v>0</v>
      </c>
      <c r="AT52" s="740">
        <v>0</v>
      </c>
      <c r="AU52" s="411">
        <v>0</v>
      </c>
      <c r="AV52" s="801"/>
      <c r="AW52" s="256"/>
      <c r="AX52" s="728">
        <f t="shared" si="31"/>
        <v>0</v>
      </c>
      <c r="AY52" s="729">
        <v>0</v>
      </c>
      <c r="AZ52" s="730"/>
      <c r="BA52" s="731">
        <v>0</v>
      </c>
      <c r="BC52" s="727">
        <v>0</v>
      </c>
      <c r="BD52" s="727">
        <v>0</v>
      </c>
      <c r="BE52" s="727"/>
      <c r="BF52" s="727"/>
      <c r="BG52" s="727">
        <v>0</v>
      </c>
      <c r="BH52" s="727">
        <v>0</v>
      </c>
      <c r="BI52" s="137">
        <f>BC52+BD52+BE52+BG52+BH52</f>
        <v>0</v>
      </c>
      <c r="BJ52" s="126"/>
      <c r="BK52" s="807"/>
      <c r="BL52" s="107"/>
      <c r="BM52" s="687"/>
      <c r="BO52" s="577"/>
      <c r="BS52" s="904"/>
      <c r="BT52" s="789"/>
      <c r="BU52" s="789">
        <v>0</v>
      </c>
      <c r="BV52" s="789">
        <v>0</v>
      </c>
      <c r="BW52" s="789">
        <f t="shared" si="32"/>
        <v>0</v>
      </c>
    </row>
    <row r="53" spans="1:75" ht="15" thickBot="1" x14ac:dyDescent="0.35">
      <c r="A53" s="219" t="s">
        <v>248</v>
      </c>
      <c r="B53" s="237">
        <v>5</v>
      </c>
      <c r="C53" s="40">
        <f>'[7]побудинковий звіт'!E53</f>
        <v>2889.0499999999997</v>
      </c>
      <c r="D53" s="215">
        <f t="shared" si="7"/>
        <v>1892.4814195560352</v>
      </c>
      <c r="E53" s="107">
        <f t="shared" si="8"/>
        <v>416.34625999639434</v>
      </c>
      <c r="F53" s="107">
        <f t="shared" si="9"/>
        <v>263.87430183587094</v>
      </c>
      <c r="G53" s="107">
        <f t="shared" si="10"/>
        <v>0</v>
      </c>
      <c r="H53" s="107">
        <f t="shared" si="11"/>
        <v>1581.1203333475025</v>
      </c>
      <c r="I53" s="107">
        <f t="shared" si="12"/>
        <v>534.65024480114039</v>
      </c>
      <c r="J53" s="687">
        <f t="shared" si="0"/>
        <v>0</v>
      </c>
      <c r="K53" s="142">
        <f t="shared" si="13"/>
        <v>4688.4725595369437</v>
      </c>
      <c r="L53" s="141">
        <f t="shared" si="1"/>
        <v>672.06202916831887</v>
      </c>
      <c r="M53" s="107">
        <f t="shared" si="2"/>
        <v>147.85295050359127</v>
      </c>
      <c r="N53" s="30">
        <f t="shared" si="14"/>
        <v>59.371228218931705</v>
      </c>
      <c r="O53" s="107">
        <f t="shared" si="3"/>
        <v>5.2011839345454618</v>
      </c>
      <c r="P53" s="107">
        <f t="shared" si="15"/>
        <v>561.49081761557977</v>
      </c>
      <c r="Q53" s="107">
        <f t="shared" si="16"/>
        <v>186.11595419287909</v>
      </c>
      <c r="R53" s="143">
        <f t="shared" si="17"/>
        <v>1632.0941636338462</v>
      </c>
      <c r="S53" s="141">
        <f t="shared" si="18"/>
        <v>0</v>
      </c>
      <c r="T53" s="107">
        <f t="shared" si="4"/>
        <v>0</v>
      </c>
      <c r="U53" s="142">
        <f t="shared" si="19"/>
        <v>0</v>
      </c>
      <c r="V53" s="107"/>
      <c r="W53" s="107">
        <f t="shared" si="20"/>
        <v>0</v>
      </c>
      <c r="X53" s="142">
        <f t="shared" si="21"/>
        <v>0</v>
      </c>
      <c r="Y53" s="141">
        <v>0</v>
      </c>
      <c r="Z53" s="144">
        <v>0</v>
      </c>
      <c r="AA53" s="107">
        <f t="shared" si="5"/>
        <v>0</v>
      </c>
      <c r="AB53" s="142">
        <f t="shared" si="6"/>
        <v>0</v>
      </c>
      <c r="AC53" s="141">
        <v>0</v>
      </c>
      <c r="AD53" s="107">
        <f t="shared" si="22"/>
        <v>0</v>
      </c>
      <c r="AE53" s="142">
        <f t="shared" si="23"/>
        <v>0</v>
      </c>
      <c r="AF53" s="145">
        <v>308</v>
      </c>
      <c r="AG53" s="107">
        <f t="shared" si="24"/>
        <v>39.643553075097039</v>
      </c>
      <c r="AH53" s="142">
        <f t="shared" si="25"/>
        <v>347.64355307509703</v>
      </c>
      <c r="AI53" s="145">
        <v>0</v>
      </c>
      <c r="AJ53" s="107">
        <f t="shared" si="26"/>
        <v>0</v>
      </c>
      <c r="AK53" s="142">
        <f t="shared" si="27"/>
        <v>0</v>
      </c>
      <c r="AL53" s="146"/>
      <c r="AM53" s="146"/>
      <c r="AN53" s="107">
        <f t="shared" si="28"/>
        <v>0</v>
      </c>
      <c r="AO53" s="151">
        <f t="shared" si="29"/>
        <v>0</v>
      </c>
      <c r="AP53" s="282">
        <f t="shared" si="30"/>
        <v>2192.6762251691598</v>
      </c>
      <c r="AQ53" s="684">
        <v>174.61</v>
      </c>
      <c r="AR53" s="740">
        <v>1571.9683095909147</v>
      </c>
      <c r="AS53" s="740">
        <v>620.70791557824487</v>
      </c>
      <c r="AT53" s="740">
        <v>0</v>
      </c>
      <c r="AU53" s="411">
        <v>0</v>
      </c>
      <c r="AV53" s="801"/>
      <c r="AW53" s="256"/>
      <c r="AX53" s="728">
        <f t="shared" si="31"/>
        <v>88.364301835870961</v>
      </c>
      <c r="AY53" s="729">
        <v>59.371228218931705</v>
      </c>
      <c r="AZ53" s="730"/>
      <c r="BA53" s="731">
        <v>0</v>
      </c>
      <c r="BC53" s="727">
        <v>0</v>
      </c>
      <c r="BD53" s="727">
        <v>88.364301835870961</v>
      </c>
      <c r="BE53" s="727"/>
      <c r="BF53" s="727"/>
      <c r="BG53" s="727">
        <v>0</v>
      </c>
      <c r="BH53" s="727">
        <v>0</v>
      </c>
      <c r="BI53" s="137">
        <f t="shared" ref="BI53:BI58" si="35">BC53+BD53+BE53+BG53</f>
        <v>88.364301835870961</v>
      </c>
      <c r="BJ53" s="126"/>
      <c r="BK53" s="807"/>
      <c r="BL53" s="107"/>
      <c r="BM53" s="687">
        <v>175.51</v>
      </c>
      <c r="BO53" s="577"/>
      <c r="BS53" s="904"/>
      <c r="BT53" s="789"/>
      <c r="BU53" s="789">
        <v>1539.2242978608292</v>
      </c>
      <c r="BV53" s="789">
        <v>0</v>
      </c>
      <c r="BW53" s="789">
        <f t="shared" si="32"/>
        <v>1539.2242978608292</v>
      </c>
    </row>
    <row r="54" spans="1:75" ht="15" thickBot="1" x14ac:dyDescent="0.35">
      <c r="A54" s="219" t="s">
        <v>249</v>
      </c>
      <c r="B54" s="237">
        <v>5</v>
      </c>
      <c r="C54" s="40">
        <f>'[7]побудинковий звіт'!E54</f>
        <v>3219.5</v>
      </c>
      <c r="D54" s="215">
        <f t="shared" si="7"/>
        <v>2393.1993619801156</v>
      </c>
      <c r="E54" s="107">
        <f t="shared" si="8"/>
        <v>526.50429932354507</v>
      </c>
      <c r="F54" s="107">
        <f t="shared" si="9"/>
        <v>449.46564920265268</v>
      </c>
      <c r="G54" s="107">
        <f t="shared" si="10"/>
        <v>0</v>
      </c>
      <c r="H54" s="107">
        <f t="shared" si="11"/>
        <v>1999.4575026626785</v>
      </c>
      <c r="I54" s="107">
        <f t="shared" si="12"/>
        <v>691.01117535147409</v>
      </c>
      <c r="J54" s="687">
        <f t="shared" si="0"/>
        <v>0</v>
      </c>
      <c r="K54" s="142">
        <f t="shared" si="13"/>
        <v>6059.637988520466</v>
      </c>
      <c r="L54" s="141">
        <f t="shared" si="1"/>
        <v>771.83747611630963</v>
      </c>
      <c r="M54" s="107">
        <f t="shared" si="2"/>
        <v>169.80344551568234</v>
      </c>
      <c r="N54" s="30">
        <f t="shared" si="14"/>
        <v>66.138081468063604</v>
      </c>
      <c r="O54" s="107">
        <f t="shared" si="3"/>
        <v>5.7960961829214153</v>
      </c>
      <c r="P54" s="107">
        <f t="shared" si="15"/>
        <v>644.85067854109002</v>
      </c>
      <c r="Q54" s="107">
        <f t="shared" si="16"/>
        <v>213.46068293596591</v>
      </c>
      <c r="R54" s="143">
        <f t="shared" si="17"/>
        <v>1871.8864607600331</v>
      </c>
      <c r="S54" s="141">
        <f t="shared" si="18"/>
        <v>147.46599999999998</v>
      </c>
      <c r="T54" s="107">
        <f t="shared" si="4"/>
        <v>18.980766875883958</v>
      </c>
      <c r="U54" s="142">
        <f t="shared" si="19"/>
        <v>166.44676687588395</v>
      </c>
      <c r="V54" s="107"/>
      <c r="W54" s="107">
        <f t="shared" si="20"/>
        <v>0</v>
      </c>
      <c r="X54" s="142">
        <f t="shared" si="21"/>
        <v>0</v>
      </c>
      <c r="Y54" s="141">
        <v>0</v>
      </c>
      <c r="Z54" s="144">
        <v>0</v>
      </c>
      <c r="AA54" s="107">
        <f t="shared" si="5"/>
        <v>0</v>
      </c>
      <c r="AB54" s="142">
        <f t="shared" si="6"/>
        <v>0</v>
      </c>
      <c r="AC54" s="141">
        <v>0</v>
      </c>
      <c r="AD54" s="107">
        <f t="shared" si="22"/>
        <v>0</v>
      </c>
      <c r="AE54" s="142">
        <f t="shared" si="23"/>
        <v>0</v>
      </c>
      <c r="AF54" s="145">
        <v>129.80000000000001</v>
      </c>
      <c r="AG54" s="107">
        <f t="shared" si="24"/>
        <v>16.706925938790896</v>
      </c>
      <c r="AH54" s="142">
        <f t="shared" si="25"/>
        <v>146.50692593879091</v>
      </c>
      <c r="AI54" s="145">
        <v>0</v>
      </c>
      <c r="AJ54" s="107">
        <f t="shared" si="26"/>
        <v>0</v>
      </c>
      <c r="AK54" s="142">
        <f t="shared" si="27"/>
        <v>0</v>
      </c>
      <c r="AL54" s="146">
        <v>1593.75</v>
      </c>
      <c r="AM54" s="146"/>
      <c r="AN54" s="107">
        <f t="shared" si="28"/>
        <v>205.13608023842826</v>
      </c>
      <c r="AO54" s="151">
        <f t="shared" si="29"/>
        <v>1798.8860802384283</v>
      </c>
      <c r="AP54" s="282">
        <f t="shared" si="30"/>
        <v>2625.2620510154206</v>
      </c>
      <c r="AQ54" s="684">
        <v>296.29000000000002</v>
      </c>
      <c r="AR54" s="740">
        <v>1912.4028056296943</v>
      </c>
      <c r="AS54" s="740">
        <v>689.17473693520708</v>
      </c>
      <c r="AT54" s="740">
        <v>23.684508450519395</v>
      </c>
      <c r="AU54" s="411">
        <v>0</v>
      </c>
      <c r="AV54" s="801"/>
      <c r="AW54" s="256"/>
      <c r="AX54" s="728">
        <f t="shared" si="31"/>
        <v>98.435649202652712</v>
      </c>
      <c r="AY54" s="729">
        <v>66.138081468063604</v>
      </c>
      <c r="AZ54" s="730"/>
      <c r="BA54" s="731">
        <v>0</v>
      </c>
      <c r="BC54" s="727">
        <v>0</v>
      </c>
      <c r="BD54" s="727">
        <v>98.435649202652712</v>
      </c>
      <c r="BE54" s="727"/>
      <c r="BF54" s="727"/>
      <c r="BG54" s="727">
        <v>0</v>
      </c>
      <c r="BH54" s="727">
        <v>0</v>
      </c>
      <c r="BI54" s="137">
        <f t="shared" si="35"/>
        <v>98.435649202652712</v>
      </c>
      <c r="BJ54" s="126">
        <v>670.3</v>
      </c>
      <c r="BK54" s="807"/>
      <c r="BL54" s="107"/>
      <c r="BM54" s="687">
        <v>351.03</v>
      </c>
      <c r="BO54" s="577"/>
      <c r="BS54" s="904"/>
      <c r="BT54" s="789"/>
      <c r="BU54" s="789">
        <v>1872.5735027184194</v>
      </c>
      <c r="BV54" s="789">
        <v>0</v>
      </c>
      <c r="BW54" s="789">
        <f t="shared" si="32"/>
        <v>1872.5735027184194</v>
      </c>
    </row>
    <row r="55" spans="1:75" ht="15" thickBot="1" x14ac:dyDescent="0.35">
      <c r="A55" s="219" t="s">
        <v>250</v>
      </c>
      <c r="B55" s="237">
        <v>5</v>
      </c>
      <c r="C55" s="40">
        <f>'[7]побудинковий звіт'!E55</f>
        <v>1871.6999999999998</v>
      </c>
      <c r="D55" s="215">
        <f t="shared" si="7"/>
        <v>813.68485572970644</v>
      </c>
      <c r="E55" s="107">
        <f t="shared" si="8"/>
        <v>179.01081775389028</v>
      </c>
      <c r="F55" s="107">
        <f t="shared" si="9"/>
        <v>55.899952612893287</v>
      </c>
      <c r="G55" s="107">
        <f t="shared" si="10"/>
        <v>0</v>
      </c>
      <c r="H55" s="107">
        <f t="shared" si="11"/>
        <v>679.81310518387079</v>
      </c>
      <c r="I55" s="107">
        <f t="shared" si="12"/>
        <v>222.46838725316272</v>
      </c>
      <c r="J55" s="687">
        <f t="shared" si="0"/>
        <v>0</v>
      </c>
      <c r="K55" s="142">
        <f t="shared" si="13"/>
        <v>1950.8771185335236</v>
      </c>
      <c r="L55" s="141">
        <f t="shared" si="1"/>
        <v>318.07864008605702</v>
      </c>
      <c r="M55" s="107">
        <f t="shared" si="2"/>
        <v>69.976971451715457</v>
      </c>
      <c r="N55" s="30">
        <f t="shared" si="14"/>
        <v>37.558706118360206</v>
      </c>
      <c r="O55" s="107">
        <f t="shared" si="3"/>
        <v>3.3696391444553542</v>
      </c>
      <c r="P55" s="107">
        <f t="shared" si="15"/>
        <v>265.74665423218204</v>
      </c>
      <c r="Q55" s="107">
        <f t="shared" si="16"/>
        <v>89.420746270689023</v>
      </c>
      <c r="R55" s="143">
        <f t="shared" si="17"/>
        <v>784.15135730345912</v>
      </c>
      <c r="S55" s="141">
        <f t="shared" si="18"/>
        <v>39.027999999999999</v>
      </c>
      <c r="T55" s="107">
        <f t="shared" si="4"/>
        <v>5.0234045110872962</v>
      </c>
      <c r="U55" s="142">
        <f t="shared" si="19"/>
        <v>44.051404511087298</v>
      </c>
      <c r="V55" s="107"/>
      <c r="W55" s="107">
        <f t="shared" si="20"/>
        <v>0</v>
      </c>
      <c r="X55" s="142">
        <f t="shared" si="21"/>
        <v>0</v>
      </c>
      <c r="Y55" s="141">
        <v>0</v>
      </c>
      <c r="Z55" s="144">
        <v>0</v>
      </c>
      <c r="AA55" s="107">
        <f t="shared" si="5"/>
        <v>0</v>
      </c>
      <c r="AB55" s="142">
        <f t="shared" si="6"/>
        <v>0</v>
      </c>
      <c r="AC55" s="141">
        <v>0</v>
      </c>
      <c r="AD55" s="107">
        <f t="shared" si="22"/>
        <v>0</v>
      </c>
      <c r="AE55" s="142">
        <f t="shared" si="23"/>
        <v>0</v>
      </c>
      <c r="AF55" s="145">
        <v>352</v>
      </c>
      <c r="AG55" s="107">
        <f t="shared" si="24"/>
        <v>45.306917800110902</v>
      </c>
      <c r="AH55" s="142">
        <f t="shared" si="25"/>
        <v>397.30691780011091</v>
      </c>
      <c r="AI55" s="145">
        <v>0</v>
      </c>
      <c r="AJ55" s="107">
        <f t="shared" si="26"/>
        <v>0</v>
      </c>
      <c r="AK55" s="142">
        <f t="shared" si="27"/>
        <v>0</v>
      </c>
      <c r="AL55" s="912">
        <v>1657.5</v>
      </c>
      <c r="AM55" s="146"/>
      <c r="AN55" s="107">
        <f>AL55*$C$5</f>
        <v>213.34152344796539</v>
      </c>
      <c r="AO55" s="151">
        <f t="shared" si="29"/>
        <v>1870.8415234479653</v>
      </c>
      <c r="AP55" s="282">
        <f t="shared" si="30"/>
        <v>892.84622600720093</v>
      </c>
      <c r="AQ55" s="684">
        <v>151.88</v>
      </c>
      <c r="AR55" s="740">
        <v>599.07285225760074</v>
      </c>
      <c r="AS55" s="740">
        <v>287.47162335259111</v>
      </c>
      <c r="AT55" s="740">
        <v>6.3017503970090338</v>
      </c>
      <c r="AU55" s="411">
        <v>0</v>
      </c>
      <c r="AV55" s="801"/>
      <c r="AW55" s="256"/>
      <c r="AX55" s="728">
        <f t="shared" si="31"/>
        <v>55.899952612893287</v>
      </c>
      <c r="AY55" s="729">
        <v>37.558706118360206</v>
      </c>
      <c r="AZ55" s="730"/>
      <c r="BA55" s="731">
        <v>0</v>
      </c>
      <c r="BC55" s="727">
        <v>0</v>
      </c>
      <c r="BD55" s="727">
        <v>55.899952612893287</v>
      </c>
      <c r="BE55" s="727"/>
      <c r="BF55" s="727"/>
      <c r="BG55" s="727">
        <v>0</v>
      </c>
      <c r="BH55" s="727">
        <v>0</v>
      </c>
      <c r="BI55" s="137">
        <f t="shared" si="35"/>
        <v>55.899952612893287</v>
      </c>
      <c r="BJ55" s="126">
        <v>177.4</v>
      </c>
      <c r="BK55" s="807"/>
      <c r="BL55" s="107"/>
      <c r="BM55" s="687"/>
      <c r="BO55" s="577"/>
      <c r="BS55" s="904"/>
      <c r="BT55" s="789"/>
      <c r="BU55" s="789">
        <v>614.42839221776467</v>
      </c>
      <c r="BV55" s="789">
        <v>0</v>
      </c>
      <c r="BW55" s="789">
        <f t="shared" si="32"/>
        <v>614.42839221776467</v>
      </c>
    </row>
    <row r="56" spans="1:75" ht="15" thickBot="1" x14ac:dyDescent="0.35">
      <c r="A56" s="219" t="s">
        <v>333</v>
      </c>
      <c r="B56" s="237">
        <v>6</v>
      </c>
      <c r="C56" s="40">
        <f>'[7]побудинковий звіт'!E56</f>
        <v>3630</v>
      </c>
      <c r="D56" s="215">
        <f t="shared" si="7"/>
        <v>1026.3180969613863</v>
      </c>
      <c r="E56" s="107">
        <f t="shared" si="8"/>
        <v>225.79016989066812</v>
      </c>
      <c r="F56" s="107">
        <f t="shared" si="9"/>
        <v>109.92872593359762</v>
      </c>
      <c r="G56" s="107">
        <f t="shared" si="10"/>
        <v>0</v>
      </c>
      <c r="H56" s="107">
        <f t="shared" si="11"/>
        <v>857.46279716122388</v>
      </c>
      <c r="I56" s="107">
        <f t="shared" si="12"/>
        <v>285.67810949001853</v>
      </c>
      <c r="J56" s="687">
        <f t="shared" si="0"/>
        <v>0</v>
      </c>
      <c r="K56" s="142">
        <f t="shared" si="13"/>
        <v>2505.1778994368942</v>
      </c>
      <c r="L56" s="141">
        <f t="shared" si="1"/>
        <v>638.66943390801737</v>
      </c>
      <c r="M56" s="107">
        <f t="shared" si="2"/>
        <v>140.50661412401985</v>
      </c>
      <c r="N56" s="30">
        <f t="shared" si="14"/>
        <v>73.860182671307925</v>
      </c>
      <c r="O56" s="107">
        <f t="shared" si="3"/>
        <v>6.5351232004984432</v>
      </c>
      <c r="P56" s="107">
        <f t="shared" si="15"/>
        <v>533.59214933608246</v>
      </c>
      <c r="Q56" s="107">
        <f t="shared" si="16"/>
        <v>179.31802364603939</v>
      </c>
      <c r="R56" s="143">
        <f t="shared" si="17"/>
        <v>1572.4815268859654</v>
      </c>
      <c r="S56" s="141">
        <f t="shared" si="18"/>
        <v>0</v>
      </c>
      <c r="T56" s="107">
        <f t="shared" si="4"/>
        <v>0</v>
      </c>
      <c r="U56" s="142">
        <f t="shared" si="19"/>
        <v>0</v>
      </c>
      <c r="V56" s="107"/>
      <c r="W56" s="107">
        <f t="shared" si="20"/>
        <v>0</v>
      </c>
      <c r="X56" s="142">
        <f t="shared" si="21"/>
        <v>0</v>
      </c>
      <c r="Y56" s="141">
        <v>0</v>
      </c>
      <c r="Z56" s="144">
        <v>0</v>
      </c>
      <c r="AA56" s="107">
        <f t="shared" si="5"/>
        <v>0</v>
      </c>
      <c r="AB56" s="142">
        <f t="shared" si="6"/>
        <v>0</v>
      </c>
      <c r="AC56" s="141">
        <v>0</v>
      </c>
      <c r="AD56" s="107">
        <f t="shared" si="22"/>
        <v>0</v>
      </c>
      <c r="AE56" s="142">
        <f t="shared" si="23"/>
        <v>0</v>
      </c>
      <c r="AF56" s="145">
        <v>437.8</v>
      </c>
      <c r="AG56" s="107">
        <f t="shared" si="24"/>
        <v>56.350479013887934</v>
      </c>
      <c r="AH56" s="142">
        <f t="shared" si="25"/>
        <v>494.15047901388795</v>
      </c>
      <c r="AI56" s="145">
        <v>0</v>
      </c>
      <c r="AJ56" s="107">
        <f t="shared" si="26"/>
        <v>0</v>
      </c>
      <c r="AK56" s="142">
        <f t="shared" si="27"/>
        <v>0</v>
      </c>
      <c r="AL56" s="146"/>
      <c r="AM56" s="146"/>
      <c r="AN56" s="107">
        <f>AL56*$C$5</f>
        <v>0</v>
      </c>
      <c r="AO56" s="151">
        <f t="shared" si="29"/>
        <v>0</v>
      </c>
      <c r="AP56" s="282">
        <f t="shared" si="30"/>
        <v>1407.5898210384776</v>
      </c>
      <c r="AQ56" s="684">
        <v>129.47</v>
      </c>
      <c r="AR56" s="740">
        <v>817.72288040032788</v>
      </c>
      <c r="AS56" s="740">
        <v>589.86694063814957</v>
      </c>
      <c r="AT56" s="740">
        <v>0</v>
      </c>
      <c r="AU56" s="411">
        <v>0</v>
      </c>
      <c r="AV56" s="801"/>
      <c r="AW56" s="256"/>
      <c r="AX56" s="728">
        <f t="shared" si="31"/>
        <v>109.92872593359762</v>
      </c>
      <c r="AY56" s="729">
        <v>73.860182671307925</v>
      </c>
      <c r="AZ56" s="730"/>
      <c r="BA56" s="731">
        <v>0</v>
      </c>
      <c r="BC56" s="727">
        <v>0</v>
      </c>
      <c r="BD56" s="727">
        <v>109.92872593359762</v>
      </c>
      <c r="BE56" s="727"/>
      <c r="BF56" s="727"/>
      <c r="BG56" s="727">
        <v>0</v>
      </c>
      <c r="BH56" s="727">
        <v>0</v>
      </c>
      <c r="BI56" s="137">
        <f t="shared" si="35"/>
        <v>109.92872593359762</v>
      </c>
      <c r="BJ56" s="126"/>
      <c r="BK56" s="807"/>
      <c r="BL56" s="107"/>
      <c r="BM56" s="687"/>
      <c r="BO56" s="577"/>
      <c r="BS56" s="904"/>
      <c r="BT56" s="789"/>
      <c r="BU56" s="789">
        <v>802.55790816639842</v>
      </c>
      <c r="BV56" s="789">
        <v>0</v>
      </c>
      <c r="BW56" s="789">
        <f t="shared" si="32"/>
        <v>802.55790816639842</v>
      </c>
    </row>
    <row r="57" spans="1:75" ht="15" thickBot="1" x14ac:dyDescent="0.35">
      <c r="A57" s="219" t="s">
        <v>207</v>
      </c>
      <c r="B57" s="237">
        <v>4</v>
      </c>
      <c r="C57" s="40">
        <f>'[7]побудинковий звіт'!E57</f>
        <v>1469.3</v>
      </c>
      <c r="D57" s="215">
        <f t="shared" si="7"/>
        <v>1230.478415607276</v>
      </c>
      <c r="E57" s="107">
        <f t="shared" si="8"/>
        <v>270.70547750189377</v>
      </c>
      <c r="F57" s="107">
        <f t="shared" si="9"/>
        <v>220.43359042505284</v>
      </c>
      <c r="G57" s="107">
        <f t="shared" si="10"/>
        <v>0</v>
      </c>
      <c r="H57" s="107">
        <f t="shared" si="11"/>
        <v>1028.0335767408981</v>
      </c>
      <c r="I57" s="107">
        <f t="shared" si="12"/>
        <v>353.91538229225193</v>
      </c>
      <c r="J57" s="687">
        <f t="shared" si="0"/>
        <v>0</v>
      </c>
      <c r="K57" s="142">
        <f t="shared" si="13"/>
        <v>3103.5664425673722</v>
      </c>
      <c r="L57" s="141">
        <f t="shared" si="1"/>
        <v>286.6885078960247</v>
      </c>
      <c r="M57" s="107">
        <f t="shared" si="2"/>
        <v>63.07117487407298</v>
      </c>
      <c r="N57" s="30">
        <f t="shared" si="14"/>
        <v>30.183781053277169</v>
      </c>
      <c r="O57" s="107">
        <f t="shared" si="3"/>
        <v>2.6451946331934884</v>
      </c>
      <c r="P57" s="107">
        <f t="shared" si="15"/>
        <v>239.5209931719169</v>
      </c>
      <c r="Q57" s="107">
        <f t="shared" si="16"/>
        <v>80.073496730077878</v>
      </c>
      <c r="R57" s="143">
        <f t="shared" si="17"/>
        <v>702.18314835856313</v>
      </c>
      <c r="S57" s="141">
        <f t="shared" si="18"/>
        <v>73.128</v>
      </c>
      <c r="T57" s="107">
        <f t="shared" si="4"/>
        <v>9.4125121729730399</v>
      </c>
      <c r="U57" s="142">
        <f t="shared" si="19"/>
        <v>82.540512172973038</v>
      </c>
      <c r="V57" s="107"/>
      <c r="W57" s="107">
        <f t="shared" si="20"/>
        <v>0</v>
      </c>
      <c r="X57" s="142">
        <f t="shared" si="21"/>
        <v>0</v>
      </c>
      <c r="Y57" s="141">
        <v>0</v>
      </c>
      <c r="Z57" s="144">
        <v>0</v>
      </c>
      <c r="AA57" s="107">
        <f t="shared" si="5"/>
        <v>0</v>
      </c>
      <c r="AB57" s="142">
        <f t="shared" si="6"/>
        <v>0</v>
      </c>
      <c r="AC57" s="141">
        <v>0</v>
      </c>
      <c r="AD57" s="107">
        <f t="shared" si="22"/>
        <v>0</v>
      </c>
      <c r="AE57" s="142">
        <f t="shared" si="23"/>
        <v>0</v>
      </c>
      <c r="AF57" s="145">
        <v>292.60000000000002</v>
      </c>
      <c r="AG57" s="107">
        <f t="shared" si="24"/>
        <v>37.661375421342193</v>
      </c>
      <c r="AH57" s="142">
        <f t="shared" si="25"/>
        <v>330.26137542134222</v>
      </c>
      <c r="AI57" s="145">
        <v>0</v>
      </c>
      <c r="AJ57" s="107">
        <f t="shared" si="26"/>
        <v>0</v>
      </c>
      <c r="AK57" s="142">
        <f t="shared" si="27"/>
        <v>0</v>
      </c>
      <c r="AL57" s="146"/>
      <c r="AM57" s="215"/>
      <c r="AN57" s="107">
        <f>AL57*$C$5</f>
        <v>0</v>
      </c>
      <c r="AO57" s="151">
        <f t="shared" si="29"/>
        <v>0</v>
      </c>
      <c r="AP57" s="282">
        <f t="shared" si="30"/>
        <v>1248.5150641722576</v>
      </c>
      <c r="AQ57" s="684">
        <v>151.88</v>
      </c>
      <c r="AR57" s="740">
        <v>983.73321601965063</v>
      </c>
      <c r="AS57" s="740">
        <v>253.05789744060348</v>
      </c>
      <c r="AT57" s="740">
        <v>11.723950712003418</v>
      </c>
      <c r="AU57" s="411">
        <v>0</v>
      </c>
      <c r="AV57" s="801"/>
      <c r="AW57" s="256"/>
      <c r="AX57" s="728">
        <f t="shared" si="31"/>
        <v>44.923590425052836</v>
      </c>
      <c r="AY57" s="729">
        <v>30.183781053277169</v>
      </c>
      <c r="AZ57" s="730"/>
      <c r="BA57" s="731">
        <v>0</v>
      </c>
      <c r="BC57" s="727">
        <v>0</v>
      </c>
      <c r="BD57" s="727">
        <v>44.923590425052836</v>
      </c>
      <c r="BE57" s="727"/>
      <c r="BF57" s="727"/>
      <c r="BG57" s="727">
        <v>0</v>
      </c>
      <c r="BH57" s="727">
        <v>0</v>
      </c>
      <c r="BI57" s="137">
        <f t="shared" si="35"/>
        <v>44.923590425052836</v>
      </c>
      <c r="BJ57" s="126">
        <v>332.4</v>
      </c>
      <c r="BK57" s="807"/>
      <c r="BL57" s="107"/>
      <c r="BM57" s="687">
        <v>175.51</v>
      </c>
      <c r="BO57" s="577"/>
      <c r="BS57" s="904"/>
      <c r="BT57" s="789"/>
      <c r="BU57" s="789">
        <v>965.48731033334207</v>
      </c>
      <c r="BV57" s="789">
        <v>0</v>
      </c>
      <c r="BW57" s="789">
        <f t="shared" si="32"/>
        <v>965.48731033334207</v>
      </c>
    </row>
    <row r="58" spans="1:75" ht="15" thickBot="1" x14ac:dyDescent="0.35">
      <c r="A58" s="219" t="s">
        <v>151</v>
      </c>
      <c r="B58" s="237">
        <v>2</v>
      </c>
      <c r="C58" s="40">
        <f>'[7]побудинковий звіт'!E58</f>
        <v>253.5</v>
      </c>
      <c r="D58" s="215">
        <f t="shared" si="7"/>
        <v>0</v>
      </c>
      <c r="E58" s="107">
        <f t="shared" si="8"/>
        <v>0</v>
      </c>
      <c r="F58" s="107">
        <f t="shared" si="9"/>
        <v>0</v>
      </c>
      <c r="G58" s="107">
        <f t="shared" si="10"/>
        <v>0</v>
      </c>
      <c r="H58" s="107">
        <f t="shared" si="11"/>
        <v>0</v>
      </c>
      <c r="I58" s="107">
        <f t="shared" si="12"/>
        <v>0</v>
      </c>
      <c r="J58" s="687">
        <f t="shared" si="0"/>
        <v>0</v>
      </c>
      <c r="K58" s="142">
        <f t="shared" si="13"/>
        <v>0</v>
      </c>
      <c r="L58" s="141">
        <f t="shared" si="1"/>
        <v>0</v>
      </c>
      <c r="M58" s="107">
        <f t="shared" si="2"/>
        <v>0</v>
      </c>
      <c r="N58" s="30">
        <f t="shared" si="14"/>
        <v>0</v>
      </c>
      <c r="O58" s="107">
        <f t="shared" si="3"/>
        <v>0.45637843838191605</v>
      </c>
      <c r="P58" s="107">
        <f t="shared" si="15"/>
        <v>0</v>
      </c>
      <c r="Q58" s="107">
        <f t="shared" si="16"/>
        <v>5.8741762481569454E-2</v>
      </c>
      <c r="R58" s="143">
        <f t="shared" si="17"/>
        <v>0.51512020086348553</v>
      </c>
      <c r="S58" s="141">
        <f t="shared" si="18"/>
        <v>0</v>
      </c>
      <c r="T58" s="107">
        <f t="shared" si="4"/>
        <v>0</v>
      </c>
      <c r="U58" s="142">
        <f t="shared" si="19"/>
        <v>0</v>
      </c>
      <c r="V58" s="107"/>
      <c r="W58" s="107">
        <f t="shared" si="20"/>
        <v>0</v>
      </c>
      <c r="X58" s="142">
        <f t="shared" si="21"/>
        <v>0</v>
      </c>
      <c r="Y58" s="141">
        <v>0</v>
      </c>
      <c r="Z58" s="144">
        <v>0</v>
      </c>
      <c r="AA58" s="107">
        <f t="shared" si="5"/>
        <v>0</v>
      </c>
      <c r="AB58" s="142">
        <f t="shared" si="6"/>
        <v>0</v>
      </c>
      <c r="AC58" s="141">
        <v>0</v>
      </c>
      <c r="AD58" s="107">
        <f t="shared" si="22"/>
        <v>0</v>
      </c>
      <c r="AE58" s="142">
        <f t="shared" si="23"/>
        <v>0</v>
      </c>
      <c r="AF58" s="145">
        <v>6.6</v>
      </c>
      <c r="AG58" s="107">
        <f t="shared" si="24"/>
        <v>0.8495047087520794</v>
      </c>
      <c r="AH58" s="142">
        <f t="shared" si="25"/>
        <v>7.4495047087520794</v>
      </c>
      <c r="AI58" s="145">
        <v>0</v>
      </c>
      <c r="AJ58" s="107">
        <f t="shared" si="26"/>
        <v>0</v>
      </c>
      <c r="AK58" s="142">
        <f t="shared" si="27"/>
        <v>0</v>
      </c>
      <c r="AL58" s="146">
        <v>255</v>
      </c>
      <c r="AM58" s="146"/>
      <c r="AN58" s="107">
        <f>AL58*$C$5</f>
        <v>32.821772838148526</v>
      </c>
      <c r="AO58" s="151">
        <f t="shared" si="29"/>
        <v>287.82177283814855</v>
      </c>
      <c r="AP58" s="282">
        <f t="shared" si="30"/>
        <v>0</v>
      </c>
      <c r="AQ58" s="684">
        <v>0</v>
      </c>
      <c r="AR58" s="740">
        <v>0</v>
      </c>
      <c r="AS58" s="740">
        <v>0</v>
      </c>
      <c r="AT58" s="740">
        <v>0</v>
      </c>
      <c r="AU58" s="411">
        <v>0</v>
      </c>
      <c r="AV58" s="801"/>
      <c r="AW58" s="256"/>
      <c r="AX58" s="728">
        <f t="shared" si="31"/>
        <v>0</v>
      </c>
      <c r="AY58" s="729">
        <v>0</v>
      </c>
      <c r="AZ58" s="730"/>
      <c r="BA58" s="731">
        <v>0</v>
      </c>
      <c r="BC58" s="727">
        <v>0</v>
      </c>
      <c r="BD58" s="727">
        <v>0</v>
      </c>
      <c r="BE58" s="727"/>
      <c r="BF58" s="727"/>
      <c r="BG58" s="727">
        <v>0</v>
      </c>
      <c r="BH58" s="727">
        <v>0</v>
      </c>
      <c r="BI58" s="137">
        <f t="shared" si="35"/>
        <v>0</v>
      </c>
      <c r="BJ58" s="126"/>
      <c r="BK58" s="807"/>
      <c r="BL58" s="107"/>
      <c r="BM58" s="687"/>
      <c r="BO58" s="577"/>
      <c r="BS58" s="904"/>
      <c r="BT58" s="789"/>
      <c r="BU58" s="789">
        <v>0</v>
      </c>
      <c r="BV58" s="789">
        <v>0</v>
      </c>
      <c r="BW58" s="789">
        <f t="shared" si="32"/>
        <v>0</v>
      </c>
    </row>
    <row r="59" spans="1:75" ht="15" thickBot="1" x14ac:dyDescent="0.35">
      <c r="A59" s="220" t="s">
        <v>53</v>
      </c>
      <c r="B59" s="238">
        <v>1</v>
      </c>
      <c r="C59" s="40">
        <f>'[7]побудинковий звіт'!E59</f>
        <v>200.6</v>
      </c>
      <c r="D59" s="215">
        <f t="shared" si="7"/>
        <v>30.609907273484954</v>
      </c>
      <c r="E59" s="107">
        <f t="shared" si="8"/>
        <v>6.7341852239382245</v>
      </c>
      <c r="F59" s="107">
        <f t="shared" si="9"/>
        <v>0</v>
      </c>
      <c r="G59" s="107">
        <f t="shared" si="10"/>
        <v>0</v>
      </c>
      <c r="H59" s="107">
        <f t="shared" si="11"/>
        <v>25.573802887503405</v>
      </c>
      <c r="I59" s="107">
        <f t="shared" si="12"/>
        <v>8.0983406657978563</v>
      </c>
      <c r="J59" s="687">
        <f t="shared" si="0"/>
        <v>0</v>
      </c>
      <c r="K59" s="142">
        <f t="shared" si="13"/>
        <v>71.016236050724444</v>
      </c>
      <c r="L59" s="141">
        <f t="shared" si="1"/>
        <v>0</v>
      </c>
      <c r="M59" s="107">
        <f t="shared" si="2"/>
        <v>0</v>
      </c>
      <c r="N59" s="30">
        <f t="shared" si="14"/>
        <v>0</v>
      </c>
      <c r="O59" s="107">
        <f t="shared" si="3"/>
        <v>0.36114206997795806</v>
      </c>
      <c r="P59" s="107">
        <f t="shared" si="15"/>
        <v>0</v>
      </c>
      <c r="Q59" s="107">
        <f t="shared" si="16"/>
        <v>4.6483619541628537E-2</v>
      </c>
      <c r="R59" s="143">
        <f t="shared" si="17"/>
        <v>0.40762568951958661</v>
      </c>
      <c r="S59" s="141">
        <f t="shared" si="18"/>
        <v>0</v>
      </c>
      <c r="T59" s="107">
        <f t="shared" si="4"/>
        <v>0</v>
      </c>
      <c r="U59" s="142">
        <f t="shared" si="19"/>
        <v>0</v>
      </c>
      <c r="V59" s="107"/>
      <c r="W59" s="107">
        <f t="shared" si="20"/>
        <v>0</v>
      </c>
      <c r="X59" s="142">
        <f t="shared" si="21"/>
        <v>0</v>
      </c>
      <c r="Y59" s="141">
        <v>0</v>
      </c>
      <c r="Z59" s="144">
        <v>0</v>
      </c>
      <c r="AA59" s="107">
        <f t="shared" si="5"/>
        <v>0</v>
      </c>
      <c r="AB59" s="142">
        <f t="shared" si="6"/>
        <v>0</v>
      </c>
      <c r="AC59" s="141">
        <v>0</v>
      </c>
      <c r="AD59" s="107">
        <f t="shared" si="22"/>
        <v>0</v>
      </c>
      <c r="AE59" s="142">
        <f t="shared" si="23"/>
        <v>0</v>
      </c>
      <c r="AF59" s="145">
        <v>0</v>
      </c>
      <c r="AG59" s="107">
        <f t="shared" si="24"/>
        <v>0</v>
      </c>
      <c r="AH59" s="142">
        <f t="shared" si="25"/>
        <v>0</v>
      </c>
      <c r="AI59" s="145">
        <v>0</v>
      </c>
      <c r="AJ59" s="107">
        <f t="shared" si="26"/>
        <v>0</v>
      </c>
      <c r="AK59" s="142">
        <f t="shared" si="27"/>
        <v>0</v>
      </c>
      <c r="AL59" s="146"/>
      <c r="AM59" s="215"/>
      <c r="AN59" s="107">
        <f>AL59*$C$5</f>
        <v>0</v>
      </c>
      <c r="AO59" s="151">
        <f t="shared" si="29"/>
        <v>0</v>
      </c>
      <c r="AP59" s="282">
        <f t="shared" si="30"/>
        <v>0</v>
      </c>
      <c r="AQ59" s="684">
        <v>28.25</v>
      </c>
      <c r="AR59" s="740">
        <v>0</v>
      </c>
      <c r="AS59" s="740">
        <v>0</v>
      </c>
      <c r="AT59" s="740">
        <v>0</v>
      </c>
      <c r="AU59" s="411">
        <v>0</v>
      </c>
      <c r="AV59" s="801"/>
      <c r="AW59" s="256"/>
      <c r="AX59" s="728">
        <f t="shared" si="31"/>
        <v>0</v>
      </c>
      <c r="AY59" s="729">
        <v>0</v>
      </c>
      <c r="AZ59" s="730"/>
      <c r="BA59" s="731">
        <v>0</v>
      </c>
      <c r="BC59" s="727">
        <v>0</v>
      </c>
      <c r="BD59" s="727">
        <v>0</v>
      </c>
      <c r="BE59" s="727"/>
      <c r="BF59" s="727"/>
      <c r="BG59" s="727">
        <v>0</v>
      </c>
      <c r="BH59" s="727">
        <v>0</v>
      </c>
      <c r="BI59" s="137">
        <f>BC59+BD59+BE59+BG59+BH59</f>
        <v>0</v>
      </c>
      <c r="BJ59" s="126"/>
      <c r="BK59" s="807"/>
      <c r="BL59" s="107"/>
      <c r="BM59" s="687"/>
      <c r="BO59" s="577"/>
      <c r="BS59" s="904"/>
      <c r="BT59" s="789"/>
      <c r="BU59" s="789">
        <v>0</v>
      </c>
      <c r="BV59" s="789">
        <v>0</v>
      </c>
      <c r="BW59" s="789">
        <f t="shared" si="32"/>
        <v>0</v>
      </c>
    </row>
    <row r="60" spans="1:75" ht="15" thickBot="1" x14ac:dyDescent="0.35">
      <c r="A60" s="220" t="s">
        <v>54</v>
      </c>
      <c r="B60" s="238">
        <v>1</v>
      </c>
      <c r="C60" s="40">
        <f>'[7]побудинковий звіт'!E60</f>
        <v>83.8</v>
      </c>
      <c r="D60" s="215">
        <f t="shared" si="7"/>
        <v>15.299535954039206</v>
      </c>
      <c r="E60" s="107">
        <f t="shared" si="8"/>
        <v>3.365900720779035</v>
      </c>
      <c r="F60" s="107">
        <f t="shared" si="9"/>
        <v>0</v>
      </c>
      <c r="G60" s="107">
        <f t="shared" si="10"/>
        <v>0</v>
      </c>
      <c r="H60" s="107">
        <f t="shared" si="11"/>
        <v>12.782375106957454</v>
      </c>
      <c r="I60" s="107">
        <f t="shared" si="12"/>
        <v>4.0477369982678146</v>
      </c>
      <c r="J60" s="687">
        <f t="shared" si="0"/>
        <v>0</v>
      </c>
      <c r="K60" s="142">
        <f t="shared" si="13"/>
        <v>35.495548780043514</v>
      </c>
      <c r="L60" s="141">
        <f t="shared" si="1"/>
        <v>0</v>
      </c>
      <c r="M60" s="107">
        <f t="shared" si="2"/>
        <v>0</v>
      </c>
      <c r="N60" s="30">
        <f t="shared" si="14"/>
        <v>0</v>
      </c>
      <c r="O60" s="107">
        <f t="shared" si="3"/>
        <v>0.1508659295321679</v>
      </c>
      <c r="P60" s="107">
        <f t="shared" si="15"/>
        <v>0</v>
      </c>
      <c r="Q60" s="107">
        <f t="shared" si="16"/>
        <v>1.9418381443611521E-2</v>
      </c>
      <c r="R60" s="143">
        <f t="shared" si="17"/>
        <v>0.17028431097577942</v>
      </c>
      <c r="S60" s="141">
        <f t="shared" si="18"/>
        <v>0</v>
      </c>
      <c r="T60" s="107">
        <f t="shared" si="4"/>
        <v>0</v>
      </c>
      <c r="U60" s="142">
        <f t="shared" si="19"/>
        <v>0</v>
      </c>
      <c r="V60" s="107"/>
      <c r="W60" s="107">
        <f t="shared" si="20"/>
        <v>0</v>
      </c>
      <c r="X60" s="142">
        <f t="shared" si="21"/>
        <v>0</v>
      </c>
      <c r="Y60" s="141">
        <v>0</v>
      </c>
      <c r="Z60" s="144">
        <v>0</v>
      </c>
      <c r="AA60" s="107">
        <f t="shared" si="5"/>
        <v>0</v>
      </c>
      <c r="AB60" s="142">
        <f t="shared" si="6"/>
        <v>0</v>
      </c>
      <c r="AC60" s="141">
        <v>0</v>
      </c>
      <c r="AD60" s="107">
        <f t="shared" si="22"/>
        <v>0</v>
      </c>
      <c r="AE60" s="142">
        <f t="shared" si="23"/>
        <v>0</v>
      </c>
      <c r="AF60" s="145">
        <v>0</v>
      </c>
      <c r="AG60" s="107">
        <f t="shared" si="24"/>
        <v>0</v>
      </c>
      <c r="AH60" s="142">
        <f t="shared" si="25"/>
        <v>0</v>
      </c>
      <c r="AI60" s="145">
        <v>0</v>
      </c>
      <c r="AJ60" s="107">
        <f t="shared" si="26"/>
        <v>0</v>
      </c>
      <c r="AK60" s="142">
        <f t="shared" si="27"/>
        <v>0</v>
      </c>
      <c r="AL60" s="146"/>
      <c r="AM60" s="215"/>
      <c r="AN60" s="107">
        <f t="shared" si="28"/>
        <v>0</v>
      </c>
      <c r="AO60" s="151">
        <f t="shared" si="29"/>
        <v>0</v>
      </c>
      <c r="AP60" s="282">
        <f t="shared" si="30"/>
        <v>0</v>
      </c>
      <c r="AQ60" s="684">
        <v>14.12</v>
      </c>
      <c r="AR60" s="740">
        <v>0</v>
      </c>
      <c r="AS60" s="740">
        <v>0</v>
      </c>
      <c r="AT60" s="740">
        <v>0</v>
      </c>
      <c r="AU60" s="411">
        <v>0</v>
      </c>
      <c r="AV60" s="801"/>
      <c r="AW60" s="256"/>
      <c r="AX60" s="728">
        <f t="shared" si="31"/>
        <v>0</v>
      </c>
      <c r="AY60" s="729">
        <v>0</v>
      </c>
      <c r="AZ60" s="730"/>
      <c r="BA60" s="731">
        <v>0</v>
      </c>
      <c r="BC60" s="727">
        <v>0</v>
      </c>
      <c r="BD60" s="727">
        <v>0</v>
      </c>
      <c r="BE60" s="727"/>
      <c r="BF60" s="727"/>
      <c r="BG60" s="727">
        <v>0</v>
      </c>
      <c r="BH60" s="727">
        <v>0</v>
      </c>
      <c r="BI60" s="137">
        <f>BC60+BD60+BE60+BG60+BH60</f>
        <v>0</v>
      </c>
      <c r="BJ60" s="126"/>
      <c r="BK60" s="807"/>
      <c r="BL60" s="107"/>
      <c r="BM60" s="687"/>
      <c r="BO60" s="577"/>
      <c r="BS60" s="904"/>
      <c r="BT60" s="789"/>
      <c r="BU60" s="789">
        <v>0</v>
      </c>
      <c r="BV60" s="789">
        <v>0</v>
      </c>
      <c r="BW60" s="789">
        <f t="shared" si="32"/>
        <v>0</v>
      </c>
    </row>
    <row r="61" spans="1:75" ht="15" thickBot="1" x14ac:dyDescent="0.35">
      <c r="A61" s="219" t="s">
        <v>251</v>
      </c>
      <c r="B61" s="237">
        <v>5</v>
      </c>
      <c r="C61" s="40">
        <f>'[7]побудинковий звіт'!E61</f>
        <v>1894.8000000000002</v>
      </c>
      <c r="D61" s="215">
        <f t="shared" si="7"/>
        <v>686.17357630796062</v>
      </c>
      <c r="E61" s="107">
        <f t="shared" si="8"/>
        <v>150.95831285423668</v>
      </c>
      <c r="F61" s="107">
        <f t="shared" si="9"/>
        <v>58.752583788730377</v>
      </c>
      <c r="G61" s="107">
        <f t="shared" si="10"/>
        <v>0</v>
      </c>
      <c r="H61" s="107">
        <f t="shared" si="11"/>
        <v>573.28065813233036</v>
      </c>
      <c r="I61" s="107">
        <f t="shared" si="12"/>
        <v>189.1004086044839</v>
      </c>
      <c r="J61" s="687">
        <f t="shared" si="0"/>
        <v>0</v>
      </c>
      <c r="K61" s="142">
        <f t="shared" si="13"/>
        <v>1658.2655396877419</v>
      </c>
      <c r="L61" s="141">
        <f t="shared" si="1"/>
        <v>306.56438442380437</v>
      </c>
      <c r="M61" s="107">
        <f t="shared" si="2"/>
        <v>67.443847128915237</v>
      </c>
      <c r="N61" s="30">
        <f t="shared" si="14"/>
        <v>39.475364916611589</v>
      </c>
      <c r="O61" s="107">
        <f t="shared" si="3"/>
        <v>3.4112262920948901</v>
      </c>
      <c r="P61" s="107">
        <f t="shared" si="15"/>
        <v>256.12678501559543</v>
      </c>
      <c r="Q61" s="107">
        <f t="shared" si="16"/>
        <v>86.626518924011336</v>
      </c>
      <c r="R61" s="143">
        <f t="shared" si="17"/>
        <v>759.64812670103277</v>
      </c>
      <c r="S61" s="141">
        <f t="shared" si="18"/>
        <v>0</v>
      </c>
      <c r="T61" s="107">
        <f t="shared" si="4"/>
        <v>0</v>
      </c>
      <c r="U61" s="142">
        <f t="shared" si="19"/>
        <v>0</v>
      </c>
      <c r="V61" s="107"/>
      <c r="W61" s="107">
        <f t="shared" si="20"/>
        <v>0</v>
      </c>
      <c r="X61" s="142">
        <f t="shared" si="21"/>
        <v>0</v>
      </c>
      <c r="Y61" s="141">
        <v>0</v>
      </c>
      <c r="Z61" s="144">
        <v>0</v>
      </c>
      <c r="AA61" s="107">
        <f t="shared" si="5"/>
        <v>0</v>
      </c>
      <c r="AB61" s="142">
        <f t="shared" si="6"/>
        <v>0</v>
      </c>
      <c r="AC61" s="141">
        <v>0</v>
      </c>
      <c r="AD61" s="107">
        <f t="shared" si="22"/>
        <v>0</v>
      </c>
      <c r="AE61" s="142">
        <f t="shared" si="23"/>
        <v>0</v>
      </c>
      <c r="AF61" s="145">
        <v>281.60000000000002</v>
      </c>
      <c r="AG61" s="107">
        <f t="shared" si="24"/>
        <v>36.245534240088723</v>
      </c>
      <c r="AH61" s="142">
        <f t="shared" si="25"/>
        <v>317.84553424008874</v>
      </c>
      <c r="AI61" s="145">
        <v>0</v>
      </c>
      <c r="AJ61" s="107">
        <f t="shared" si="26"/>
        <v>0</v>
      </c>
      <c r="AK61" s="142">
        <f t="shared" si="27"/>
        <v>0</v>
      </c>
      <c r="AL61" s="146">
        <v>510</v>
      </c>
      <c r="AM61" s="146"/>
      <c r="AN61" s="107">
        <f t="shared" si="28"/>
        <v>65.643545676297052</v>
      </c>
      <c r="AO61" s="151">
        <f t="shared" si="29"/>
        <v>575.64354567629709</v>
      </c>
      <c r="AP61" s="282">
        <f t="shared" si="30"/>
        <v>851.20116098034805</v>
      </c>
      <c r="AQ61" s="684">
        <v>65.209999999999994</v>
      </c>
      <c r="AR61" s="740">
        <v>568.06220685477626</v>
      </c>
      <c r="AS61" s="740">
        <v>283.13895412557184</v>
      </c>
      <c r="AT61" s="740">
        <v>0</v>
      </c>
      <c r="AU61" s="411">
        <v>0</v>
      </c>
      <c r="AV61" s="801"/>
      <c r="AW61" s="256"/>
      <c r="AX61" s="728">
        <f t="shared" si="31"/>
        <v>58.752583788730377</v>
      </c>
      <c r="AY61" s="729">
        <v>39.475364916611589</v>
      </c>
      <c r="AZ61" s="730"/>
      <c r="BA61" s="731">
        <v>0</v>
      </c>
      <c r="BC61" s="727">
        <v>0</v>
      </c>
      <c r="BD61" s="727">
        <v>58.752583788730377</v>
      </c>
      <c r="BE61" s="727"/>
      <c r="BF61" s="727"/>
      <c r="BG61" s="727">
        <v>0</v>
      </c>
      <c r="BH61" s="727">
        <v>0</v>
      </c>
      <c r="BI61" s="137">
        <f>BC61+BD61+BE61+BG61</f>
        <v>58.752583788730377</v>
      </c>
      <c r="BJ61" s="126"/>
      <c r="BK61" s="807"/>
      <c r="BL61" s="107"/>
      <c r="BM61" s="687"/>
      <c r="BO61" s="577"/>
      <c r="BS61" s="904"/>
      <c r="BT61" s="789"/>
      <c r="BU61" s="789">
        <v>557.52810095283655</v>
      </c>
      <c r="BV61" s="789">
        <v>0</v>
      </c>
      <c r="BW61" s="789">
        <f t="shared" si="32"/>
        <v>557.52810095283655</v>
      </c>
    </row>
    <row r="62" spans="1:75" ht="15" thickBot="1" x14ac:dyDescent="0.35">
      <c r="A62" s="219" t="s">
        <v>194</v>
      </c>
      <c r="B62" s="237">
        <v>3</v>
      </c>
      <c r="C62" s="40">
        <f>'[7]побудинковий звіт'!E62</f>
        <v>847.5</v>
      </c>
      <c r="D62" s="215">
        <f t="shared" si="7"/>
        <v>828.3545511524826</v>
      </c>
      <c r="E62" s="107">
        <f t="shared" si="8"/>
        <v>182.23815344207466</v>
      </c>
      <c r="F62" s="107">
        <f t="shared" si="9"/>
        <v>25.912164217812755</v>
      </c>
      <c r="G62" s="107">
        <f t="shared" si="10"/>
        <v>0</v>
      </c>
      <c r="H62" s="107">
        <f t="shared" si="11"/>
        <v>692.06926446622049</v>
      </c>
      <c r="I62" s="107">
        <f t="shared" si="12"/>
        <v>222.48967661321322</v>
      </c>
      <c r="J62" s="687">
        <f t="shared" si="0"/>
        <v>0</v>
      </c>
      <c r="K62" s="142">
        <f t="shared" si="13"/>
        <v>1951.0638098918039</v>
      </c>
      <c r="L62" s="141">
        <f t="shared" si="1"/>
        <v>254.24968030647995</v>
      </c>
      <c r="M62" s="107">
        <f t="shared" si="2"/>
        <v>55.934666394451256</v>
      </c>
      <c r="N62" s="30">
        <f t="shared" si="14"/>
        <v>17.410164324952291</v>
      </c>
      <c r="O62" s="107">
        <f t="shared" si="3"/>
        <v>1.5257622348271158</v>
      </c>
      <c r="P62" s="107">
        <f t="shared" si="15"/>
        <v>212.41917364450751</v>
      </c>
      <c r="Q62" s="107">
        <f t="shared" si="16"/>
        <v>69.703077291057497</v>
      </c>
      <c r="R62" s="143">
        <f t="shared" si="17"/>
        <v>611.24252419627567</v>
      </c>
      <c r="S62" s="141">
        <f t="shared" si="18"/>
        <v>61.160000000000004</v>
      </c>
      <c r="T62" s="107">
        <f t="shared" si="4"/>
        <v>7.8720769677692699</v>
      </c>
      <c r="U62" s="142">
        <f t="shared" si="19"/>
        <v>69.032076967769271</v>
      </c>
      <c r="V62" s="107"/>
      <c r="W62" s="107">
        <f t="shared" si="20"/>
        <v>0</v>
      </c>
      <c r="X62" s="142">
        <f t="shared" si="21"/>
        <v>0</v>
      </c>
      <c r="Y62" s="141">
        <v>0</v>
      </c>
      <c r="Z62" s="144">
        <v>0</v>
      </c>
      <c r="AA62" s="107">
        <f t="shared" si="5"/>
        <v>0</v>
      </c>
      <c r="AB62" s="142">
        <f t="shared" si="6"/>
        <v>0</v>
      </c>
      <c r="AC62" s="141">
        <v>0</v>
      </c>
      <c r="AD62" s="107">
        <f t="shared" si="22"/>
        <v>0</v>
      </c>
      <c r="AE62" s="142">
        <f t="shared" si="23"/>
        <v>0</v>
      </c>
      <c r="AF62" s="145">
        <v>99</v>
      </c>
      <c r="AG62" s="107">
        <f t="shared" si="24"/>
        <v>12.742570631281191</v>
      </c>
      <c r="AH62" s="142">
        <f t="shared" si="25"/>
        <v>111.7425706312812</v>
      </c>
      <c r="AI62" s="145">
        <v>0</v>
      </c>
      <c r="AJ62" s="107">
        <f t="shared" si="26"/>
        <v>0</v>
      </c>
      <c r="AK62" s="142">
        <f t="shared" si="27"/>
        <v>0</v>
      </c>
      <c r="AL62" s="146"/>
      <c r="AM62" s="146"/>
      <c r="AN62" s="107">
        <f t="shared" si="28"/>
        <v>0</v>
      </c>
      <c r="AO62" s="151">
        <f t="shared" si="29"/>
        <v>0</v>
      </c>
      <c r="AP62" s="282">
        <f t="shared" si="30"/>
        <v>815.28333089705654</v>
      </c>
      <c r="AQ62" s="684">
        <v>184.03</v>
      </c>
      <c r="AR62" s="740">
        <v>580.46157003256144</v>
      </c>
      <c r="AS62" s="740">
        <v>224.5292813486262</v>
      </c>
      <c r="AT62" s="740">
        <v>10.29247951586887</v>
      </c>
      <c r="AU62" s="411">
        <v>0</v>
      </c>
      <c r="AV62" s="801"/>
      <c r="AW62" s="256"/>
      <c r="AX62" s="728">
        <f t="shared" si="31"/>
        <v>25.912164217812755</v>
      </c>
      <c r="AY62" s="729">
        <v>17.410164324952291</v>
      </c>
      <c r="AZ62" s="730"/>
      <c r="BA62" s="731">
        <v>0</v>
      </c>
      <c r="BC62" s="727">
        <v>0</v>
      </c>
      <c r="BD62" s="727">
        <v>25.912164217812755</v>
      </c>
      <c r="BE62" s="727"/>
      <c r="BF62" s="727"/>
      <c r="BG62" s="727">
        <v>0</v>
      </c>
      <c r="BH62" s="727">
        <v>0</v>
      </c>
      <c r="BI62" s="137">
        <f>BC62+BD62+BE62+BG62</f>
        <v>25.912164217812755</v>
      </c>
      <c r="BJ62" s="126">
        <v>278</v>
      </c>
      <c r="BK62" s="807"/>
      <c r="BL62" s="107"/>
      <c r="BM62" s="687"/>
      <c r="BO62" s="577"/>
      <c r="BS62" s="904"/>
      <c r="BT62" s="789"/>
      <c r="BU62" s="789">
        <v>339.72822275992075</v>
      </c>
      <c r="BV62" s="789">
        <v>0</v>
      </c>
      <c r="BW62" s="789">
        <f t="shared" si="32"/>
        <v>339.72822275992075</v>
      </c>
    </row>
    <row r="63" spans="1:75" ht="15" thickBot="1" x14ac:dyDescent="0.35">
      <c r="A63" s="219" t="s">
        <v>412</v>
      </c>
      <c r="B63" s="237">
        <v>10</v>
      </c>
      <c r="C63" s="40">
        <f>'[7]побудинковий звіт'!E63</f>
        <v>2696.4</v>
      </c>
      <c r="D63" s="215">
        <f t="shared" si="7"/>
        <v>451.16667275282123</v>
      </c>
      <c r="E63" s="107">
        <f t="shared" si="8"/>
        <v>99.256750895721211</v>
      </c>
      <c r="F63" s="107">
        <f t="shared" si="9"/>
        <v>82.469475568975042</v>
      </c>
      <c r="G63" s="107">
        <f t="shared" si="10"/>
        <v>0</v>
      </c>
      <c r="H63" s="107">
        <f t="shared" si="11"/>
        <v>376.93833749003022</v>
      </c>
      <c r="I63" s="107">
        <f t="shared" si="12"/>
        <v>129.97824100424202</v>
      </c>
      <c r="J63" s="687">
        <f t="shared" si="0"/>
        <v>0</v>
      </c>
      <c r="K63" s="142">
        <f t="shared" si="13"/>
        <v>1139.8094777117897</v>
      </c>
      <c r="L63" s="141">
        <f t="shared" si="1"/>
        <v>296.83083327231003</v>
      </c>
      <c r="M63" s="107">
        <f t="shared" si="2"/>
        <v>65.302475954580331</v>
      </c>
      <c r="N63" s="30">
        <f t="shared" si="14"/>
        <v>55.41054422854728</v>
      </c>
      <c r="O63" s="107">
        <f t="shared" si="3"/>
        <v>4.8543543244694218</v>
      </c>
      <c r="P63" s="107">
        <f t="shared" si="15"/>
        <v>247.99464935377421</v>
      </c>
      <c r="Q63" s="107">
        <f t="shared" si="16"/>
        <v>86.288164977094283</v>
      </c>
      <c r="R63" s="143">
        <f t="shared" si="17"/>
        <v>756.68102211077553</v>
      </c>
      <c r="S63" s="141">
        <f t="shared" si="18"/>
        <v>63.140000000000008</v>
      </c>
      <c r="T63" s="107">
        <f t="shared" si="4"/>
        <v>8.1269283803948937</v>
      </c>
      <c r="U63" s="142">
        <f t="shared" si="19"/>
        <v>71.266928380394901</v>
      </c>
      <c r="V63" s="107"/>
      <c r="W63" s="107">
        <f t="shared" si="20"/>
        <v>0</v>
      </c>
      <c r="X63" s="142">
        <f t="shared" si="21"/>
        <v>0</v>
      </c>
      <c r="Y63" s="141">
        <v>1594.6</v>
      </c>
      <c r="Z63" s="144">
        <v>0</v>
      </c>
      <c r="AA63" s="107">
        <f t="shared" si="5"/>
        <v>205.24548614788876</v>
      </c>
      <c r="AB63" s="142">
        <f t="shared" si="6"/>
        <v>1799.8454861478886</v>
      </c>
      <c r="AC63" s="141">
        <v>0</v>
      </c>
      <c r="AD63" s="107">
        <f t="shared" si="22"/>
        <v>0</v>
      </c>
      <c r="AE63" s="142">
        <f t="shared" si="23"/>
        <v>0</v>
      </c>
      <c r="AF63" s="145">
        <v>550</v>
      </c>
      <c r="AG63" s="107">
        <f t="shared" si="24"/>
        <v>70.792059062673289</v>
      </c>
      <c r="AH63" s="142">
        <f t="shared" si="25"/>
        <v>620.79205906267327</v>
      </c>
      <c r="AI63" s="145">
        <v>1991</v>
      </c>
      <c r="AJ63" s="107">
        <f t="shared" si="26"/>
        <v>256.26725380687731</v>
      </c>
      <c r="AK63" s="142">
        <f t="shared" si="27"/>
        <v>2247.2672538068773</v>
      </c>
      <c r="AL63" s="146"/>
      <c r="AM63" s="146"/>
      <c r="AN63" s="107">
        <f t="shared" si="28"/>
        <v>0</v>
      </c>
      <c r="AO63" s="151">
        <f t="shared" si="29"/>
        <v>0</v>
      </c>
      <c r="AP63" s="282">
        <f t="shared" si="30"/>
        <v>690.53261101243083</v>
      </c>
      <c r="AQ63" s="684">
        <v>0</v>
      </c>
      <c r="AR63" s="740">
        <v>416.38344054402364</v>
      </c>
      <c r="AS63" s="740">
        <v>268.56579289639706</v>
      </c>
      <c r="AT63" s="740">
        <v>5.5833775720101171</v>
      </c>
      <c r="AU63" s="411">
        <v>0</v>
      </c>
      <c r="AV63" s="801"/>
      <c r="AW63" s="256"/>
      <c r="AX63" s="728">
        <f t="shared" si="31"/>
        <v>82.469475568975042</v>
      </c>
      <c r="AY63" s="729">
        <v>55.41054422854728</v>
      </c>
      <c r="AZ63" s="730"/>
      <c r="BA63" s="731">
        <v>0</v>
      </c>
      <c r="BC63" s="727">
        <v>0</v>
      </c>
      <c r="BD63" s="727">
        <v>82.469475568975042</v>
      </c>
      <c r="BE63" s="727"/>
      <c r="BF63" s="727"/>
      <c r="BG63" s="727">
        <v>0</v>
      </c>
      <c r="BH63" s="727">
        <v>0</v>
      </c>
      <c r="BI63" s="137">
        <f>BC63+BD63+BE63+BG63</f>
        <v>82.469475568975042</v>
      </c>
      <c r="BJ63" s="126">
        <v>287</v>
      </c>
      <c r="BK63" s="807"/>
      <c r="BL63" s="107"/>
      <c r="BM63" s="687"/>
      <c r="BO63" s="577"/>
      <c r="BS63" s="904"/>
      <c r="BT63" s="789"/>
      <c r="BU63" s="789">
        <v>1675.8779826308485</v>
      </c>
      <c r="BV63" s="789">
        <v>0</v>
      </c>
      <c r="BW63" s="789">
        <f t="shared" si="32"/>
        <v>1675.8779826308485</v>
      </c>
    </row>
    <row r="64" spans="1:75" ht="15" thickBot="1" x14ac:dyDescent="0.35">
      <c r="A64" s="219" t="s">
        <v>252</v>
      </c>
      <c r="B64" s="237">
        <v>5</v>
      </c>
      <c r="C64" s="40">
        <f>'[7]побудинковий звіт'!E64</f>
        <v>1940</v>
      </c>
      <c r="D64" s="215">
        <f t="shared" si="7"/>
        <v>1412.236358006998</v>
      </c>
      <c r="E64" s="107">
        <f t="shared" si="8"/>
        <v>310.69225822311057</v>
      </c>
      <c r="F64" s="107">
        <f t="shared" si="9"/>
        <v>57.687356884484245</v>
      </c>
      <c r="G64" s="107">
        <f t="shared" si="10"/>
        <v>0</v>
      </c>
      <c r="H64" s="107">
        <f t="shared" si="11"/>
        <v>1179.8877378998607</v>
      </c>
      <c r="I64" s="107">
        <f t="shared" si="12"/>
        <v>381.05482466436115</v>
      </c>
      <c r="J64" s="687">
        <f t="shared" si="0"/>
        <v>0</v>
      </c>
      <c r="K64" s="142">
        <f t="shared" si="13"/>
        <v>3341.5585356788147</v>
      </c>
      <c r="L64" s="141">
        <f t="shared" si="1"/>
        <v>920.28398891535767</v>
      </c>
      <c r="M64" s="107">
        <f t="shared" si="2"/>
        <v>202.46152461660921</v>
      </c>
      <c r="N64" s="30">
        <f t="shared" si="14"/>
        <v>38.759647954863695</v>
      </c>
      <c r="O64" s="107">
        <f t="shared" si="3"/>
        <v>3.4926002779523362</v>
      </c>
      <c r="P64" s="107">
        <f t="shared" si="15"/>
        <v>768.87398327512915</v>
      </c>
      <c r="Q64" s="107">
        <f t="shared" si="16"/>
        <v>248.91411417181911</v>
      </c>
      <c r="R64" s="143">
        <f t="shared" si="17"/>
        <v>2182.7858592117313</v>
      </c>
      <c r="S64" s="141">
        <f t="shared" si="18"/>
        <v>59.180000000000007</v>
      </c>
      <c r="T64" s="107">
        <f t="shared" si="4"/>
        <v>7.6172255551436461</v>
      </c>
      <c r="U64" s="142">
        <f t="shared" si="19"/>
        <v>66.797225555143655</v>
      </c>
      <c r="V64" s="107"/>
      <c r="W64" s="107">
        <f t="shared" si="20"/>
        <v>0</v>
      </c>
      <c r="X64" s="142">
        <f t="shared" si="21"/>
        <v>0</v>
      </c>
      <c r="Y64" s="141">
        <v>0</v>
      </c>
      <c r="Z64" s="144">
        <v>0</v>
      </c>
      <c r="AA64" s="107">
        <f t="shared" si="5"/>
        <v>0</v>
      </c>
      <c r="AB64" s="142">
        <f t="shared" si="6"/>
        <v>0</v>
      </c>
      <c r="AC64" s="141">
        <v>0</v>
      </c>
      <c r="AD64" s="107">
        <f t="shared" si="22"/>
        <v>0</v>
      </c>
      <c r="AE64" s="142">
        <f t="shared" si="23"/>
        <v>0</v>
      </c>
      <c r="AF64" s="145">
        <v>264</v>
      </c>
      <c r="AG64" s="107">
        <f t="shared" si="24"/>
        <v>33.980188350083175</v>
      </c>
      <c r="AH64" s="142">
        <f t="shared" si="25"/>
        <v>297.98018835008315</v>
      </c>
      <c r="AI64" s="145">
        <v>0</v>
      </c>
      <c r="AJ64" s="107">
        <f t="shared" si="26"/>
        <v>0</v>
      </c>
      <c r="AK64" s="142">
        <f t="shared" si="27"/>
        <v>0</v>
      </c>
      <c r="AL64" s="146"/>
      <c r="AM64" s="146"/>
      <c r="AN64" s="107">
        <f t="shared" si="28"/>
        <v>0</v>
      </c>
      <c r="AO64" s="151">
        <f t="shared" si="29"/>
        <v>0</v>
      </c>
      <c r="AP64" s="282">
        <f t="shared" si="30"/>
        <v>1514.4688182985662</v>
      </c>
      <c r="AQ64" s="684">
        <v>66.19</v>
      </c>
      <c r="AR64" s="740">
        <v>1237.1683132823239</v>
      </c>
      <c r="AS64" s="740">
        <v>267.84273860738841</v>
      </c>
      <c r="AT64" s="740">
        <v>9.4577664088540825</v>
      </c>
      <c r="AU64" s="411">
        <v>572.66204562299254</v>
      </c>
      <c r="AV64" s="801"/>
      <c r="AW64" s="256"/>
      <c r="AX64" s="728">
        <f t="shared" si="31"/>
        <v>57.687356884484245</v>
      </c>
      <c r="AY64" s="729">
        <v>38.759647954863695</v>
      </c>
      <c r="AZ64" s="730"/>
      <c r="BA64" s="731">
        <v>0</v>
      </c>
      <c r="BC64" s="727">
        <v>0</v>
      </c>
      <c r="BD64" s="727">
        <v>57.687356884484245</v>
      </c>
      <c r="BE64" s="727"/>
      <c r="BF64" s="727"/>
      <c r="BG64" s="727">
        <v>0</v>
      </c>
      <c r="BH64" s="727">
        <v>0</v>
      </c>
      <c r="BI64" s="137">
        <f>BC64+BD64+BE64+BG64</f>
        <v>57.687356884484245</v>
      </c>
      <c r="BJ64" s="126">
        <v>269</v>
      </c>
      <c r="BK64" s="807"/>
      <c r="BL64" s="107"/>
      <c r="BM64" s="687"/>
      <c r="BO64" s="577"/>
      <c r="BS64" s="904"/>
      <c r="BT64" s="789"/>
      <c r="BU64" s="789">
        <v>1217.8527593939414</v>
      </c>
      <c r="BV64" s="789">
        <v>0</v>
      </c>
      <c r="BW64" s="789">
        <f t="shared" si="32"/>
        <v>1217.8527593939414</v>
      </c>
    </row>
    <row r="65" spans="1:75" ht="15" thickBot="1" x14ac:dyDescent="0.35">
      <c r="A65" s="220" t="s">
        <v>57</v>
      </c>
      <c r="B65" s="238">
        <v>1</v>
      </c>
      <c r="C65" s="40">
        <f>'[7]побудинковий звіт'!E65</f>
        <v>300.7</v>
      </c>
      <c r="D65" s="215">
        <f t="shared" si="7"/>
        <v>0</v>
      </c>
      <c r="E65" s="107">
        <f t="shared" si="8"/>
        <v>0</v>
      </c>
      <c r="F65" s="107">
        <f t="shared" si="9"/>
        <v>0</v>
      </c>
      <c r="G65" s="107">
        <f t="shared" si="10"/>
        <v>0</v>
      </c>
      <c r="H65" s="107">
        <f t="shared" si="11"/>
        <v>0</v>
      </c>
      <c r="I65" s="107">
        <f t="shared" si="12"/>
        <v>0</v>
      </c>
      <c r="J65" s="687">
        <f t="shared" si="0"/>
        <v>0</v>
      </c>
      <c r="K65" s="142">
        <f t="shared" si="13"/>
        <v>0</v>
      </c>
      <c r="L65" s="141">
        <f t="shared" si="1"/>
        <v>0</v>
      </c>
      <c r="M65" s="107">
        <f t="shared" si="2"/>
        <v>0</v>
      </c>
      <c r="N65" s="30">
        <f t="shared" si="14"/>
        <v>0</v>
      </c>
      <c r="O65" s="107">
        <f t="shared" si="3"/>
        <v>0.54135304308261212</v>
      </c>
      <c r="P65" s="107">
        <f t="shared" si="15"/>
        <v>0</v>
      </c>
      <c r="Q65" s="107">
        <f t="shared" si="16"/>
        <v>6.9679084726658527E-2</v>
      </c>
      <c r="R65" s="143">
        <f t="shared" si="17"/>
        <v>0.61103212780927063</v>
      </c>
      <c r="S65" s="141">
        <f t="shared" si="18"/>
        <v>0</v>
      </c>
      <c r="T65" s="107">
        <f t="shared" si="4"/>
        <v>0</v>
      </c>
      <c r="U65" s="142">
        <f t="shared" si="19"/>
        <v>0</v>
      </c>
      <c r="V65" s="107"/>
      <c r="W65" s="107">
        <f t="shared" si="20"/>
        <v>0</v>
      </c>
      <c r="X65" s="142">
        <f t="shared" si="21"/>
        <v>0</v>
      </c>
      <c r="Y65" s="141">
        <v>0</v>
      </c>
      <c r="Z65" s="144">
        <v>0</v>
      </c>
      <c r="AA65" s="107">
        <f t="shared" si="5"/>
        <v>0</v>
      </c>
      <c r="AB65" s="142">
        <f t="shared" si="6"/>
        <v>0</v>
      </c>
      <c r="AC65" s="141">
        <v>0</v>
      </c>
      <c r="AD65" s="107">
        <f t="shared" si="22"/>
        <v>0</v>
      </c>
      <c r="AE65" s="142">
        <f t="shared" si="23"/>
        <v>0</v>
      </c>
      <c r="AF65" s="145">
        <v>0</v>
      </c>
      <c r="AG65" s="107">
        <f t="shared" si="24"/>
        <v>0</v>
      </c>
      <c r="AH65" s="142">
        <f t="shared" si="25"/>
        <v>0</v>
      </c>
      <c r="AI65" s="145">
        <v>0</v>
      </c>
      <c r="AJ65" s="107">
        <f t="shared" si="26"/>
        <v>0</v>
      </c>
      <c r="AK65" s="142">
        <f t="shared" si="27"/>
        <v>0</v>
      </c>
      <c r="AL65" s="146"/>
      <c r="AM65" s="146"/>
      <c r="AN65" s="107">
        <f t="shared" si="28"/>
        <v>0</v>
      </c>
      <c r="AO65" s="151">
        <f t="shared" si="29"/>
        <v>0</v>
      </c>
      <c r="AP65" s="282">
        <f t="shared" si="30"/>
        <v>0</v>
      </c>
      <c r="AQ65" s="684">
        <v>0</v>
      </c>
      <c r="AR65" s="741">
        <v>0</v>
      </c>
      <c r="AS65" s="741">
        <v>0</v>
      </c>
      <c r="AT65" s="741">
        <v>0</v>
      </c>
      <c r="AU65" s="411">
        <v>0</v>
      </c>
      <c r="AV65" s="801"/>
      <c r="AW65" s="256"/>
      <c r="AX65" s="728">
        <f t="shared" si="31"/>
        <v>0</v>
      </c>
      <c r="AY65" s="729">
        <v>0</v>
      </c>
      <c r="AZ65" s="730"/>
      <c r="BA65" s="731">
        <v>0</v>
      </c>
      <c r="BC65" s="727">
        <v>0</v>
      </c>
      <c r="BD65" s="727">
        <v>0</v>
      </c>
      <c r="BE65" s="727"/>
      <c r="BF65" s="727"/>
      <c r="BG65" s="727">
        <v>0</v>
      </c>
      <c r="BH65" s="727">
        <v>0</v>
      </c>
      <c r="BI65" s="137">
        <f t="shared" ref="BI65:BI89" si="36">BC65+BD65+BE65+BG65+BH65</f>
        <v>0</v>
      </c>
      <c r="BJ65" s="126"/>
      <c r="BK65" s="807"/>
      <c r="BL65" s="107"/>
      <c r="BM65" s="687"/>
      <c r="BO65" s="577"/>
      <c r="BS65" s="904"/>
      <c r="BT65" s="789"/>
      <c r="BU65" s="789">
        <v>0</v>
      </c>
      <c r="BV65" s="789">
        <v>0</v>
      </c>
      <c r="BW65" s="789">
        <f t="shared" si="32"/>
        <v>0</v>
      </c>
    </row>
    <row r="66" spans="1:75" ht="15" thickBot="1" x14ac:dyDescent="0.35">
      <c r="A66" s="220" t="s">
        <v>60</v>
      </c>
      <c r="B66" s="238">
        <v>1</v>
      </c>
      <c r="C66" s="40">
        <f>'[7]побудинковий звіт'!E66</f>
        <v>293.5</v>
      </c>
      <c r="D66" s="215">
        <f t="shared" si="7"/>
        <v>0</v>
      </c>
      <c r="E66" s="107">
        <f t="shared" si="8"/>
        <v>0</v>
      </c>
      <c r="F66" s="107">
        <f t="shared" si="9"/>
        <v>0</v>
      </c>
      <c r="G66" s="107">
        <f t="shared" si="10"/>
        <v>0</v>
      </c>
      <c r="H66" s="107">
        <f t="shared" si="11"/>
        <v>0</v>
      </c>
      <c r="I66" s="107">
        <f t="shared" si="12"/>
        <v>0</v>
      </c>
      <c r="J66" s="687">
        <f t="shared" si="0"/>
        <v>0</v>
      </c>
      <c r="K66" s="142">
        <f t="shared" si="13"/>
        <v>0</v>
      </c>
      <c r="L66" s="141">
        <f t="shared" si="1"/>
        <v>0</v>
      </c>
      <c r="M66" s="107">
        <f t="shared" si="2"/>
        <v>0</v>
      </c>
      <c r="N66" s="30">
        <f t="shared" si="14"/>
        <v>0</v>
      </c>
      <c r="O66" s="107">
        <f t="shared" si="3"/>
        <v>0.52839081524691267</v>
      </c>
      <c r="P66" s="107">
        <f t="shared" si="15"/>
        <v>0</v>
      </c>
      <c r="Q66" s="107">
        <f t="shared" si="16"/>
        <v>6.8010679638424595E-2</v>
      </c>
      <c r="R66" s="143">
        <f t="shared" si="17"/>
        <v>0.59640149488533722</v>
      </c>
      <c r="S66" s="141">
        <f t="shared" si="18"/>
        <v>0</v>
      </c>
      <c r="T66" s="107">
        <f t="shared" si="4"/>
        <v>0</v>
      </c>
      <c r="U66" s="142">
        <f t="shared" si="19"/>
        <v>0</v>
      </c>
      <c r="V66" s="107"/>
      <c r="W66" s="107">
        <f t="shared" si="20"/>
        <v>0</v>
      </c>
      <c r="X66" s="142">
        <f t="shared" si="21"/>
        <v>0</v>
      </c>
      <c r="Y66" s="141">
        <v>0</v>
      </c>
      <c r="Z66" s="144">
        <v>0</v>
      </c>
      <c r="AA66" s="107">
        <f t="shared" si="5"/>
        <v>0</v>
      </c>
      <c r="AB66" s="142">
        <f t="shared" si="6"/>
        <v>0</v>
      </c>
      <c r="AC66" s="141">
        <v>0</v>
      </c>
      <c r="AD66" s="107">
        <f t="shared" si="22"/>
        <v>0</v>
      </c>
      <c r="AE66" s="142">
        <f t="shared" si="23"/>
        <v>0</v>
      </c>
      <c r="AF66" s="145">
        <v>0</v>
      </c>
      <c r="AG66" s="107">
        <f t="shared" si="24"/>
        <v>0</v>
      </c>
      <c r="AH66" s="142">
        <f t="shared" si="25"/>
        <v>0</v>
      </c>
      <c r="AI66" s="145">
        <v>0</v>
      </c>
      <c r="AJ66" s="107">
        <f t="shared" si="26"/>
        <v>0</v>
      </c>
      <c r="AK66" s="142">
        <f t="shared" si="27"/>
        <v>0</v>
      </c>
      <c r="AL66" s="146"/>
      <c r="AM66" s="146"/>
      <c r="AN66" s="107">
        <f t="shared" si="28"/>
        <v>0</v>
      </c>
      <c r="AO66" s="151">
        <f t="shared" si="29"/>
        <v>0</v>
      </c>
      <c r="AP66" s="282">
        <f t="shared" si="30"/>
        <v>0</v>
      </c>
      <c r="AQ66" s="684">
        <v>0</v>
      </c>
      <c r="AR66" s="741">
        <v>0</v>
      </c>
      <c r="AS66" s="741">
        <v>0</v>
      </c>
      <c r="AT66" s="741">
        <v>0</v>
      </c>
      <c r="AU66" s="411">
        <v>0</v>
      </c>
      <c r="AV66" s="801"/>
      <c r="AW66" s="256"/>
      <c r="AX66" s="728">
        <f t="shared" si="31"/>
        <v>0</v>
      </c>
      <c r="AY66" s="729">
        <v>0</v>
      </c>
      <c r="AZ66" s="730"/>
      <c r="BA66" s="731">
        <v>0</v>
      </c>
      <c r="BC66" s="727">
        <v>0</v>
      </c>
      <c r="BD66" s="727">
        <v>0</v>
      </c>
      <c r="BE66" s="727"/>
      <c r="BF66" s="727"/>
      <c r="BG66" s="727">
        <v>0</v>
      </c>
      <c r="BH66" s="727">
        <v>0</v>
      </c>
      <c r="BI66" s="137">
        <f t="shared" si="36"/>
        <v>0</v>
      </c>
      <c r="BJ66" s="126"/>
      <c r="BK66" s="807"/>
      <c r="BL66" s="107"/>
      <c r="BM66" s="687"/>
      <c r="BO66" s="577"/>
      <c r="BS66" s="904"/>
      <c r="BT66" s="789"/>
      <c r="BU66" s="789">
        <v>0</v>
      </c>
      <c r="BV66" s="789">
        <v>0</v>
      </c>
      <c r="BW66" s="789">
        <f t="shared" si="32"/>
        <v>0</v>
      </c>
    </row>
    <row r="67" spans="1:75" ht="15" thickBot="1" x14ac:dyDescent="0.35">
      <c r="A67" s="219" t="s">
        <v>347</v>
      </c>
      <c r="B67" s="237">
        <v>9</v>
      </c>
      <c r="C67" s="40">
        <f>'[7]побудинковий звіт'!E67</f>
        <v>8443.0499999999993</v>
      </c>
      <c r="D67" s="215">
        <f t="shared" si="7"/>
        <v>1397.7475185170092</v>
      </c>
      <c r="E67" s="107">
        <f t="shared" si="8"/>
        <v>307.50471087336695</v>
      </c>
      <c r="F67" s="107">
        <f t="shared" si="9"/>
        <v>242.28494261564583</v>
      </c>
      <c r="G67" s="107">
        <f t="shared" si="10"/>
        <v>0</v>
      </c>
      <c r="H67" s="107">
        <f t="shared" si="11"/>
        <v>1167.7826791724658</v>
      </c>
      <c r="I67" s="107">
        <f t="shared" si="12"/>
        <v>400.98164891590187</v>
      </c>
      <c r="J67" s="687">
        <f t="shared" si="0"/>
        <v>0</v>
      </c>
      <c r="K67" s="142">
        <f t="shared" si="13"/>
        <v>3516.3015000943897</v>
      </c>
      <c r="L67" s="141">
        <f t="shared" si="1"/>
        <v>964.14655645322011</v>
      </c>
      <c r="M67" s="107">
        <f t="shared" si="2"/>
        <v>212.11124405569356</v>
      </c>
      <c r="N67" s="30">
        <f t="shared" si="14"/>
        <v>238.83824663563149</v>
      </c>
      <c r="O67" s="107">
        <f t="shared" si="3"/>
        <v>15.200102462250241</v>
      </c>
      <c r="P67" s="107">
        <f t="shared" si="15"/>
        <v>805.5200484307976</v>
      </c>
      <c r="Q67" s="107">
        <f t="shared" si="16"/>
        <v>287.77824062683442</v>
      </c>
      <c r="R67" s="143">
        <f t="shared" si="17"/>
        <v>2523.5944386644273</v>
      </c>
      <c r="S67" s="141">
        <f t="shared" si="18"/>
        <v>318.01000000000005</v>
      </c>
      <c r="T67" s="107">
        <f t="shared" si="4"/>
        <v>40.931968550037702</v>
      </c>
      <c r="U67" s="142">
        <f t="shared" si="19"/>
        <v>358.94196855003776</v>
      </c>
      <c r="V67" s="107"/>
      <c r="W67" s="107">
        <f t="shared" si="20"/>
        <v>0</v>
      </c>
      <c r="X67" s="142">
        <f t="shared" si="21"/>
        <v>0</v>
      </c>
      <c r="Y67" s="141">
        <v>7856.93</v>
      </c>
      <c r="Z67" s="144">
        <v>0</v>
      </c>
      <c r="AA67" s="107">
        <f t="shared" si="5"/>
        <v>1011.2877320205266</v>
      </c>
      <c r="AB67" s="142">
        <f t="shared" si="6"/>
        <v>8868.2177320205265</v>
      </c>
      <c r="AC67" s="141">
        <v>0</v>
      </c>
      <c r="AD67" s="107">
        <f t="shared" si="22"/>
        <v>0</v>
      </c>
      <c r="AE67" s="142">
        <f t="shared" si="23"/>
        <v>0</v>
      </c>
      <c r="AF67" s="145">
        <v>917.4</v>
      </c>
      <c r="AG67" s="107">
        <f t="shared" si="24"/>
        <v>118.08115451653903</v>
      </c>
      <c r="AH67" s="142">
        <f t="shared" si="25"/>
        <v>1035.4811545165389</v>
      </c>
      <c r="AI67" s="145">
        <v>1757.8</v>
      </c>
      <c r="AJ67" s="107">
        <f t="shared" si="26"/>
        <v>226.25142076430382</v>
      </c>
      <c r="AK67" s="142">
        <f t="shared" si="27"/>
        <v>1984.0514207643037</v>
      </c>
      <c r="AL67" s="146">
        <v>5567.5</v>
      </c>
      <c r="AM67" s="146"/>
      <c r="AN67" s="107">
        <f t="shared" si="28"/>
        <v>716.60870696624272</v>
      </c>
      <c r="AO67" s="151">
        <f t="shared" si="29"/>
        <v>6284.1087069662426</v>
      </c>
      <c r="AP67" s="282">
        <f t="shared" si="30"/>
        <v>2180.4599665293572</v>
      </c>
      <c r="AQ67" s="684">
        <v>0</v>
      </c>
      <c r="AR67" s="741">
        <v>1289.9865081365197</v>
      </c>
      <c r="AS67" s="741">
        <v>858.46851680605846</v>
      </c>
      <c r="AT67" s="741">
        <v>32.004941586778855</v>
      </c>
      <c r="AU67" s="411">
        <v>0</v>
      </c>
      <c r="AV67" s="801"/>
      <c r="AW67" s="256"/>
      <c r="AX67" s="728">
        <f t="shared" si="31"/>
        <v>242.28494261564583</v>
      </c>
      <c r="AY67" s="729">
        <v>238.83824663563149</v>
      </c>
      <c r="AZ67" s="730"/>
      <c r="BA67" s="731">
        <v>0</v>
      </c>
      <c r="BC67" s="727">
        <v>0</v>
      </c>
      <c r="BD67" s="727">
        <v>242.28494261564583</v>
      </c>
      <c r="BE67" s="727"/>
      <c r="BF67" s="727"/>
      <c r="BG67" s="727">
        <v>0</v>
      </c>
      <c r="BH67" s="727">
        <v>11.649627696506812</v>
      </c>
      <c r="BI67" s="137">
        <f>BC67+BD67+BE67+BG67</f>
        <v>242.28494261564583</v>
      </c>
      <c r="BJ67" s="126">
        <v>1445.5</v>
      </c>
      <c r="BK67" s="807"/>
      <c r="BL67" s="107"/>
      <c r="BM67" s="687"/>
      <c r="BO67" s="577"/>
      <c r="BS67" s="904"/>
      <c r="BT67" s="789"/>
      <c r="BU67" s="789">
        <v>5156.2963915628661</v>
      </c>
      <c r="BV67" s="789">
        <v>0</v>
      </c>
      <c r="BW67" s="789">
        <f t="shared" si="32"/>
        <v>5156.2963915628661</v>
      </c>
    </row>
    <row r="68" spans="1:75" ht="15" thickBot="1" x14ac:dyDescent="0.35">
      <c r="A68" s="220" t="s">
        <v>62</v>
      </c>
      <c r="B68" s="238">
        <v>1</v>
      </c>
      <c r="C68" s="40">
        <f>'[7]побудинковий звіт'!E68</f>
        <v>174.9</v>
      </c>
      <c r="D68" s="215">
        <f t="shared" si="7"/>
        <v>0</v>
      </c>
      <c r="E68" s="107">
        <f t="shared" si="8"/>
        <v>0</v>
      </c>
      <c r="F68" s="107">
        <f t="shared" si="9"/>
        <v>0</v>
      </c>
      <c r="G68" s="107">
        <f t="shared" si="10"/>
        <v>0</v>
      </c>
      <c r="H68" s="107">
        <f t="shared" si="11"/>
        <v>0</v>
      </c>
      <c r="I68" s="107">
        <f t="shared" si="12"/>
        <v>0</v>
      </c>
      <c r="J68" s="687">
        <f t="shared" si="0"/>
        <v>0</v>
      </c>
      <c r="K68" s="142">
        <f t="shared" si="13"/>
        <v>0</v>
      </c>
      <c r="L68" s="141">
        <f t="shared" si="1"/>
        <v>0</v>
      </c>
      <c r="M68" s="107">
        <f t="shared" si="2"/>
        <v>0</v>
      </c>
      <c r="N68" s="30">
        <f t="shared" si="14"/>
        <v>0</v>
      </c>
      <c r="O68" s="107">
        <f t="shared" si="3"/>
        <v>0.31487411784219771</v>
      </c>
      <c r="P68" s="107">
        <f t="shared" si="15"/>
        <v>0</v>
      </c>
      <c r="Q68" s="107">
        <f t="shared" si="16"/>
        <v>4.0528340268349103E-2</v>
      </c>
      <c r="R68" s="143">
        <f t="shared" si="17"/>
        <v>0.35540245811054683</v>
      </c>
      <c r="S68" s="141">
        <f t="shared" si="18"/>
        <v>0</v>
      </c>
      <c r="T68" s="107">
        <f t="shared" si="4"/>
        <v>0</v>
      </c>
      <c r="U68" s="142">
        <f t="shared" si="19"/>
        <v>0</v>
      </c>
      <c r="V68" s="107"/>
      <c r="W68" s="107">
        <f t="shared" si="20"/>
        <v>0</v>
      </c>
      <c r="X68" s="142">
        <f t="shared" si="21"/>
        <v>0</v>
      </c>
      <c r="Y68" s="141">
        <v>0</v>
      </c>
      <c r="Z68" s="144">
        <v>0</v>
      </c>
      <c r="AA68" s="107">
        <f t="shared" si="5"/>
        <v>0</v>
      </c>
      <c r="AB68" s="142">
        <f t="shared" si="6"/>
        <v>0</v>
      </c>
      <c r="AC68" s="141">
        <v>0</v>
      </c>
      <c r="AD68" s="107">
        <f t="shared" si="22"/>
        <v>0</v>
      </c>
      <c r="AE68" s="142">
        <f t="shared" si="23"/>
        <v>0</v>
      </c>
      <c r="AF68" s="145">
        <v>0</v>
      </c>
      <c r="AG68" s="107">
        <f t="shared" si="24"/>
        <v>0</v>
      </c>
      <c r="AH68" s="142">
        <f t="shared" si="25"/>
        <v>0</v>
      </c>
      <c r="AI68" s="145">
        <v>0</v>
      </c>
      <c r="AJ68" s="107">
        <f t="shared" si="26"/>
        <v>0</v>
      </c>
      <c r="AK68" s="142">
        <f t="shared" si="27"/>
        <v>0</v>
      </c>
      <c r="AL68" s="146"/>
      <c r="AM68" s="146"/>
      <c r="AN68" s="107">
        <f t="shared" si="28"/>
        <v>0</v>
      </c>
      <c r="AO68" s="151">
        <f t="shared" si="29"/>
        <v>0</v>
      </c>
      <c r="AP68" s="282">
        <f t="shared" si="30"/>
        <v>0</v>
      </c>
      <c r="AQ68" s="684">
        <v>0</v>
      </c>
      <c r="AR68" s="741">
        <v>0</v>
      </c>
      <c r="AS68" s="741">
        <v>0</v>
      </c>
      <c r="AT68" s="741">
        <v>0</v>
      </c>
      <c r="AU68" s="411">
        <v>0</v>
      </c>
      <c r="AV68" s="801"/>
      <c r="AW68" s="256"/>
      <c r="AX68" s="728">
        <f t="shared" si="31"/>
        <v>0</v>
      </c>
      <c r="AY68" s="729">
        <v>0</v>
      </c>
      <c r="AZ68" s="730"/>
      <c r="BA68" s="731">
        <v>0</v>
      </c>
      <c r="BC68" s="727">
        <v>0</v>
      </c>
      <c r="BD68" s="727">
        <v>0</v>
      </c>
      <c r="BE68" s="727"/>
      <c r="BF68" s="727"/>
      <c r="BG68" s="727">
        <v>0</v>
      </c>
      <c r="BH68" s="727">
        <v>0</v>
      </c>
      <c r="BI68" s="137">
        <f t="shared" si="36"/>
        <v>0</v>
      </c>
      <c r="BJ68" s="126"/>
      <c r="BK68" s="807"/>
      <c r="BL68" s="107"/>
      <c r="BM68" s="687"/>
      <c r="BO68" s="577"/>
      <c r="BS68" s="904"/>
      <c r="BT68" s="789"/>
      <c r="BU68" s="789">
        <v>0</v>
      </c>
      <c r="BV68" s="789">
        <v>0</v>
      </c>
      <c r="BW68" s="789">
        <f t="shared" si="32"/>
        <v>0</v>
      </c>
    </row>
    <row r="69" spans="1:75" ht="15" thickBot="1" x14ac:dyDescent="0.35">
      <c r="A69" s="220" t="s">
        <v>64</v>
      </c>
      <c r="B69" s="238">
        <v>1</v>
      </c>
      <c r="C69" s="40">
        <f>'[7]побудинковий звіт'!E69</f>
        <v>136.9</v>
      </c>
      <c r="D69" s="215">
        <f t="shared" si="7"/>
        <v>0</v>
      </c>
      <c r="E69" s="107">
        <f t="shared" si="8"/>
        <v>0</v>
      </c>
      <c r="F69" s="107">
        <f t="shared" si="9"/>
        <v>0</v>
      </c>
      <c r="G69" s="107">
        <f t="shared" si="10"/>
        <v>0</v>
      </c>
      <c r="H69" s="107">
        <f t="shared" si="11"/>
        <v>0</v>
      </c>
      <c r="I69" s="107">
        <f t="shared" si="12"/>
        <v>0</v>
      </c>
      <c r="J69" s="687">
        <f t="shared" si="0"/>
        <v>0</v>
      </c>
      <c r="K69" s="142">
        <f t="shared" si="13"/>
        <v>0</v>
      </c>
      <c r="L69" s="141">
        <f t="shared" si="1"/>
        <v>0</v>
      </c>
      <c r="M69" s="107">
        <f t="shared" si="2"/>
        <v>0</v>
      </c>
      <c r="N69" s="30">
        <f t="shared" si="14"/>
        <v>0</v>
      </c>
      <c r="O69" s="107">
        <f t="shared" si="3"/>
        <v>0.24646235982045095</v>
      </c>
      <c r="P69" s="107">
        <f t="shared" si="15"/>
        <v>0</v>
      </c>
      <c r="Q69" s="107">
        <f t="shared" si="16"/>
        <v>3.1722868969336723E-2</v>
      </c>
      <c r="R69" s="143">
        <f t="shared" si="17"/>
        <v>0.27818522878978769</v>
      </c>
      <c r="S69" s="141">
        <f t="shared" si="18"/>
        <v>0</v>
      </c>
      <c r="T69" s="107">
        <f t="shared" si="4"/>
        <v>0</v>
      </c>
      <c r="U69" s="142">
        <f t="shared" si="19"/>
        <v>0</v>
      </c>
      <c r="V69" s="107"/>
      <c r="W69" s="107">
        <f t="shared" si="20"/>
        <v>0</v>
      </c>
      <c r="X69" s="142">
        <f t="shared" si="21"/>
        <v>0</v>
      </c>
      <c r="Y69" s="141">
        <v>0</v>
      </c>
      <c r="Z69" s="144">
        <v>0</v>
      </c>
      <c r="AA69" s="107">
        <f t="shared" si="5"/>
        <v>0</v>
      </c>
      <c r="AB69" s="142">
        <f t="shared" si="6"/>
        <v>0</v>
      </c>
      <c r="AC69" s="141">
        <v>0</v>
      </c>
      <c r="AD69" s="107">
        <f t="shared" si="22"/>
        <v>0</v>
      </c>
      <c r="AE69" s="142">
        <f t="shared" si="23"/>
        <v>0</v>
      </c>
      <c r="AF69" s="145">
        <v>0</v>
      </c>
      <c r="AG69" s="107">
        <f t="shared" si="24"/>
        <v>0</v>
      </c>
      <c r="AH69" s="142">
        <f t="shared" si="25"/>
        <v>0</v>
      </c>
      <c r="AI69" s="145">
        <v>0</v>
      </c>
      <c r="AJ69" s="107">
        <f t="shared" si="26"/>
        <v>0</v>
      </c>
      <c r="AK69" s="142">
        <f t="shared" si="27"/>
        <v>0</v>
      </c>
      <c r="AL69" s="146"/>
      <c r="AM69" s="146"/>
      <c r="AN69" s="107">
        <f t="shared" si="28"/>
        <v>0</v>
      </c>
      <c r="AO69" s="151">
        <f t="shared" si="29"/>
        <v>0</v>
      </c>
      <c r="AP69" s="282">
        <f t="shared" si="30"/>
        <v>0</v>
      </c>
      <c r="AQ69" s="684">
        <v>0</v>
      </c>
      <c r="AR69" s="741">
        <v>0</v>
      </c>
      <c r="AS69" s="741">
        <v>0</v>
      </c>
      <c r="AT69" s="741">
        <v>0</v>
      </c>
      <c r="AU69" s="411">
        <v>0</v>
      </c>
      <c r="AV69" s="801"/>
      <c r="AW69" s="256"/>
      <c r="AX69" s="728">
        <f t="shared" si="31"/>
        <v>0</v>
      </c>
      <c r="AY69" s="729">
        <v>0</v>
      </c>
      <c r="AZ69" s="730"/>
      <c r="BA69" s="731">
        <v>0</v>
      </c>
      <c r="BC69" s="727">
        <v>0</v>
      </c>
      <c r="BD69" s="727">
        <v>0</v>
      </c>
      <c r="BE69" s="727"/>
      <c r="BF69" s="727"/>
      <c r="BG69" s="727">
        <v>0</v>
      </c>
      <c r="BH69" s="727">
        <v>0</v>
      </c>
      <c r="BI69" s="137">
        <f t="shared" si="36"/>
        <v>0</v>
      </c>
      <c r="BJ69" s="126"/>
      <c r="BK69" s="807"/>
      <c r="BL69" s="107"/>
      <c r="BM69" s="687"/>
      <c r="BO69" s="577"/>
      <c r="BS69" s="904"/>
      <c r="BT69" s="789"/>
      <c r="BU69" s="789">
        <v>0</v>
      </c>
      <c r="BV69" s="789">
        <v>0</v>
      </c>
      <c r="BW69" s="789">
        <f t="shared" si="32"/>
        <v>0</v>
      </c>
    </row>
    <row r="70" spans="1:75" ht="15" thickBot="1" x14ac:dyDescent="0.35">
      <c r="A70" s="219" t="s">
        <v>348</v>
      </c>
      <c r="B70" s="237">
        <v>9</v>
      </c>
      <c r="C70" s="40">
        <f>'[7]побудинковий звіт'!E70</f>
        <v>7614.5</v>
      </c>
      <c r="D70" s="215">
        <f t="shared" si="7"/>
        <v>3970.3918503284922</v>
      </c>
      <c r="E70" s="107">
        <f t="shared" si="8"/>
        <v>873.48693652814245</v>
      </c>
      <c r="F70" s="107">
        <f t="shared" si="9"/>
        <v>223.15305854838834</v>
      </c>
      <c r="G70" s="107">
        <f t="shared" si="10"/>
        <v>0</v>
      </c>
      <c r="H70" s="107">
        <f t="shared" si="11"/>
        <v>3317.1619129472333</v>
      </c>
      <c r="I70" s="107">
        <f t="shared" si="12"/>
        <v>1079.1533449712174</v>
      </c>
      <c r="J70" s="687">
        <f t="shared" si="0"/>
        <v>0</v>
      </c>
      <c r="K70" s="142">
        <f t="shared" si="13"/>
        <v>9463.3471033234728</v>
      </c>
      <c r="L70" s="141">
        <f t="shared" si="1"/>
        <v>2830.1319665096034</v>
      </c>
      <c r="M70" s="107">
        <f t="shared" si="2"/>
        <v>622.62610205906469</v>
      </c>
      <c r="N70" s="30">
        <f t="shared" si="14"/>
        <v>125.23277914975523</v>
      </c>
      <c r="O70" s="107">
        <f t="shared" si="3"/>
        <v>13.708456090962919</v>
      </c>
      <c r="P70" s="107">
        <f t="shared" si="15"/>
        <v>2364.5036363711533</v>
      </c>
      <c r="Q70" s="107">
        <f t="shared" si="16"/>
        <v>766.63976423732549</v>
      </c>
      <c r="R70" s="143">
        <f t="shared" si="17"/>
        <v>6722.8427044178652</v>
      </c>
      <c r="S70" s="141">
        <f t="shared" si="18"/>
        <v>205.17200000000003</v>
      </c>
      <c r="T70" s="107">
        <f t="shared" si="4"/>
        <v>26.408269712739646</v>
      </c>
      <c r="U70" s="142">
        <f t="shared" si="19"/>
        <v>231.58026971273966</v>
      </c>
      <c r="V70" s="107"/>
      <c r="W70" s="107">
        <f t="shared" si="20"/>
        <v>0</v>
      </c>
      <c r="X70" s="142">
        <f t="shared" si="21"/>
        <v>0</v>
      </c>
      <c r="Y70" s="141">
        <v>4909.84</v>
      </c>
      <c r="Z70" s="144">
        <v>0</v>
      </c>
      <c r="AA70" s="107">
        <f t="shared" si="5"/>
        <v>631.95942412413785</v>
      </c>
      <c r="AB70" s="142">
        <f t="shared" si="6"/>
        <v>5541.7994241241377</v>
      </c>
      <c r="AC70" s="141">
        <v>236.15</v>
      </c>
      <c r="AD70" s="107">
        <f t="shared" si="22"/>
        <v>30.395535904818722</v>
      </c>
      <c r="AE70" s="142">
        <f t="shared" si="23"/>
        <v>266.54553590481873</v>
      </c>
      <c r="AF70" s="145">
        <v>1133</v>
      </c>
      <c r="AG70" s="107">
        <f t="shared" si="24"/>
        <v>145.83164166910697</v>
      </c>
      <c r="AH70" s="142">
        <f t="shared" si="25"/>
        <v>1278.8316416691071</v>
      </c>
      <c r="AI70" s="145">
        <v>1700.6</v>
      </c>
      <c r="AJ70" s="107">
        <f t="shared" si="26"/>
        <v>218.88904662178578</v>
      </c>
      <c r="AK70" s="142">
        <f t="shared" si="27"/>
        <v>1919.4890466217857</v>
      </c>
      <c r="AL70" s="146">
        <v>4462.5</v>
      </c>
      <c r="AM70" s="146"/>
      <c r="AN70" s="107">
        <f t="shared" si="28"/>
        <v>574.38102466759915</v>
      </c>
      <c r="AO70" s="151">
        <f t="shared" si="29"/>
        <v>5036.8810246675994</v>
      </c>
      <c r="AP70" s="282">
        <f t="shared" si="30"/>
        <v>6278.16353562106</v>
      </c>
      <c r="AQ70" s="684">
        <v>0</v>
      </c>
      <c r="AR70" s="741">
        <v>3664.2897598366367</v>
      </c>
      <c r="AS70" s="741">
        <v>2531.022265948674</v>
      </c>
      <c r="AT70" s="741">
        <v>82.851509835749283</v>
      </c>
      <c r="AU70" s="411">
        <v>0</v>
      </c>
      <c r="AV70" s="801"/>
      <c r="AW70" s="256"/>
      <c r="AX70" s="728">
        <f t="shared" si="31"/>
        <v>223.15305854838834</v>
      </c>
      <c r="AY70" s="729">
        <v>125.23277914975523</v>
      </c>
      <c r="AZ70" s="730"/>
      <c r="BA70" s="731">
        <v>0</v>
      </c>
      <c r="BC70" s="727">
        <v>0</v>
      </c>
      <c r="BD70" s="727">
        <v>223.15305854838834</v>
      </c>
      <c r="BE70" s="727"/>
      <c r="BF70" s="727"/>
      <c r="BG70" s="727">
        <v>0</v>
      </c>
      <c r="BH70" s="727">
        <v>15.118873752005173</v>
      </c>
      <c r="BI70" s="137">
        <f>BC70+BD70+BE70+BG70</f>
        <v>223.15305854838834</v>
      </c>
      <c r="BJ70" s="126">
        <v>932.6</v>
      </c>
      <c r="BK70" s="807"/>
      <c r="BL70" s="107"/>
      <c r="BM70" s="687"/>
      <c r="BO70" s="577"/>
      <c r="BS70" s="904"/>
      <c r="BT70" s="789"/>
      <c r="BU70" s="789">
        <v>3580.4375193880783</v>
      </c>
      <c r="BV70" s="789">
        <v>0</v>
      </c>
      <c r="BW70" s="789">
        <f t="shared" si="32"/>
        <v>3580.4375193880783</v>
      </c>
    </row>
    <row r="71" spans="1:75" ht="15" thickBot="1" x14ac:dyDescent="0.35">
      <c r="A71" s="219" t="s">
        <v>253</v>
      </c>
      <c r="B71" s="237">
        <v>5</v>
      </c>
      <c r="C71" s="40">
        <f>'[7]побудинковий звіт'!E71</f>
        <v>2489.87</v>
      </c>
      <c r="D71" s="215">
        <f t="shared" si="7"/>
        <v>2824.4179061319746</v>
      </c>
      <c r="E71" s="107">
        <f t="shared" si="8"/>
        <v>621.37245826210665</v>
      </c>
      <c r="F71" s="107">
        <f t="shared" si="9"/>
        <v>74.022016969685851</v>
      </c>
      <c r="G71" s="107">
        <f t="shared" si="10"/>
        <v>0</v>
      </c>
      <c r="H71" s="107">
        <f t="shared" si="11"/>
        <v>2359.7296835303564</v>
      </c>
      <c r="I71" s="107">
        <f t="shared" si="12"/>
        <v>756.77252567173969</v>
      </c>
      <c r="J71" s="687">
        <f t="shared" si="0"/>
        <v>0</v>
      </c>
      <c r="K71" s="142">
        <f t="shared" si="13"/>
        <v>6636.314590565863</v>
      </c>
      <c r="L71" s="141">
        <f t="shared" si="1"/>
        <v>1006.9940664995586</v>
      </c>
      <c r="M71" s="107">
        <f t="shared" si="2"/>
        <v>221.5376518977244</v>
      </c>
      <c r="N71" s="30">
        <f t="shared" si="14"/>
        <v>40.958129502617666</v>
      </c>
      <c r="O71" s="107">
        <f t="shared" si="3"/>
        <v>4.4825364196212281</v>
      </c>
      <c r="P71" s="107">
        <f t="shared" si="15"/>
        <v>841.31805874017766</v>
      </c>
      <c r="Q71" s="107">
        <f t="shared" si="16"/>
        <v>272.2650290541647</v>
      </c>
      <c r="R71" s="143">
        <f t="shared" si="17"/>
        <v>2387.5554721138642</v>
      </c>
      <c r="S71" s="141">
        <f t="shared" si="18"/>
        <v>111.23200000000001</v>
      </c>
      <c r="T71" s="107">
        <f t="shared" si="4"/>
        <v>14.316986024835046</v>
      </c>
      <c r="U71" s="142">
        <f t="shared" si="19"/>
        <v>125.54898602483506</v>
      </c>
      <c r="V71" s="107"/>
      <c r="W71" s="107">
        <f t="shared" si="20"/>
        <v>0</v>
      </c>
      <c r="X71" s="142">
        <f t="shared" si="21"/>
        <v>0</v>
      </c>
      <c r="Y71" s="141">
        <v>0</v>
      </c>
      <c r="Z71" s="144">
        <v>0</v>
      </c>
      <c r="AA71" s="107">
        <f t="shared" si="5"/>
        <v>0</v>
      </c>
      <c r="AB71" s="142">
        <f t="shared" si="6"/>
        <v>0</v>
      </c>
      <c r="AC71" s="141">
        <v>0</v>
      </c>
      <c r="AD71" s="107">
        <f t="shared" si="22"/>
        <v>0</v>
      </c>
      <c r="AE71" s="142">
        <f t="shared" si="23"/>
        <v>0</v>
      </c>
      <c r="AF71" s="145">
        <v>272.8</v>
      </c>
      <c r="AG71" s="107">
        <f t="shared" si="24"/>
        <v>35.112861295085949</v>
      </c>
      <c r="AH71" s="142">
        <f t="shared" si="25"/>
        <v>307.91286129508597</v>
      </c>
      <c r="AI71" s="145">
        <v>0</v>
      </c>
      <c r="AJ71" s="107">
        <f t="shared" si="26"/>
        <v>0</v>
      </c>
      <c r="AK71" s="142">
        <f t="shared" si="27"/>
        <v>0</v>
      </c>
      <c r="AL71" s="146"/>
      <c r="AM71" s="146"/>
      <c r="AN71" s="107">
        <f t="shared" si="28"/>
        <v>0</v>
      </c>
      <c r="AO71" s="151">
        <f t="shared" si="29"/>
        <v>0</v>
      </c>
      <c r="AP71" s="282">
        <f t="shared" si="30"/>
        <v>3536.7129143137549</v>
      </c>
      <c r="AQ71" s="684">
        <v>0</v>
      </c>
      <c r="AR71" s="741">
        <v>2606.6660423157882</v>
      </c>
      <c r="AS71" s="741">
        <v>908.96928462665176</v>
      </c>
      <c r="AT71" s="741">
        <v>21.077587371315285</v>
      </c>
      <c r="AU71" s="411">
        <v>0</v>
      </c>
      <c r="AV71" s="801"/>
      <c r="AW71" s="256"/>
      <c r="AX71" s="728">
        <f t="shared" si="31"/>
        <v>74.022016969685851</v>
      </c>
      <c r="AY71" s="729">
        <v>40.958129502617666</v>
      </c>
      <c r="AZ71" s="730"/>
      <c r="BA71" s="731">
        <v>0</v>
      </c>
      <c r="BC71" s="727">
        <v>0</v>
      </c>
      <c r="BD71" s="727">
        <v>74.022016969685851</v>
      </c>
      <c r="BE71" s="727"/>
      <c r="BF71" s="727"/>
      <c r="BG71" s="727">
        <v>0</v>
      </c>
      <c r="BH71" s="727">
        <v>5.9831924725261576</v>
      </c>
      <c r="BI71" s="137">
        <f>BC71+BD71+BE71+BG71</f>
        <v>74.022016969685851</v>
      </c>
      <c r="BJ71" s="126">
        <v>505.6</v>
      </c>
      <c r="BK71" s="807"/>
      <c r="BL71" s="107"/>
      <c r="BM71" s="687"/>
      <c r="BO71" s="577"/>
      <c r="BS71" s="904"/>
      <c r="BT71" s="789"/>
      <c r="BU71" s="789">
        <v>2394.7749642166027</v>
      </c>
      <c r="BV71" s="789">
        <v>0</v>
      </c>
      <c r="BW71" s="789">
        <f t="shared" si="32"/>
        <v>2394.7749642166027</v>
      </c>
    </row>
    <row r="72" spans="1:75" ht="15" thickBot="1" x14ac:dyDescent="0.35">
      <c r="A72" s="219" t="s">
        <v>349</v>
      </c>
      <c r="B72" s="237">
        <v>9</v>
      </c>
      <c r="C72" s="40">
        <f>'[7]побудинковий звіт'!E72</f>
        <v>11377.55</v>
      </c>
      <c r="D72" s="215">
        <f t="shared" si="7"/>
        <v>8680.6887885449796</v>
      </c>
      <c r="E72" s="107">
        <f t="shared" si="8"/>
        <v>1909.7531283298922</v>
      </c>
      <c r="F72" s="107">
        <f t="shared" si="9"/>
        <v>430.71911807778935</v>
      </c>
      <c r="G72" s="107">
        <f t="shared" si="10"/>
        <v>0</v>
      </c>
      <c r="H72" s="107">
        <f t="shared" si="11"/>
        <v>7252.495802178084</v>
      </c>
      <c r="I72" s="107">
        <f t="shared" si="12"/>
        <v>2352.054171100333</v>
      </c>
      <c r="J72" s="687">
        <f t="shared" si="0"/>
        <v>0</v>
      </c>
      <c r="K72" s="142">
        <f t="shared" si="13"/>
        <v>20625.711008231076</v>
      </c>
      <c r="L72" s="141">
        <f t="shared" si="1"/>
        <v>4716.9773292084228</v>
      </c>
      <c r="M72" s="107">
        <f t="shared" si="2"/>
        <v>1037.7301280435017</v>
      </c>
      <c r="N72" s="30">
        <f t="shared" si="14"/>
        <v>337.08874229415335</v>
      </c>
      <c r="O72" s="107">
        <f t="shared" si="3"/>
        <v>20.483110460008557</v>
      </c>
      <c r="P72" s="107">
        <f t="shared" si="15"/>
        <v>3940.9151868451431</v>
      </c>
      <c r="Q72" s="107">
        <f t="shared" si="16"/>
        <v>1293.9751610720625</v>
      </c>
      <c r="R72" s="143">
        <f t="shared" si="17"/>
        <v>11347.169657923294</v>
      </c>
      <c r="S72" s="141">
        <f t="shared" si="18"/>
        <v>237.072</v>
      </c>
      <c r="T72" s="107">
        <f t="shared" si="4"/>
        <v>30.514209138374692</v>
      </c>
      <c r="U72" s="142">
        <f t="shared" si="19"/>
        <v>267.58620913837467</v>
      </c>
      <c r="V72" s="107"/>
      <c r="W72" s="107">
        <f t="shared" si="20"/>
        <v>0</v>
      </c>
      <c r="X72" s="142">
        <f t="shared" si="21"/>
        <v>0</v>
      </c>
      <c r="Y72" s="141">
        <v>9480.8250000000007</v>
      </c>
      <c r="Z72" s="144">
        <v>0</v>
      </c>
      <c r="AA72" s="107">
        <f t="shared" si="5"/>
        <v>1220.3038606597627</v>
      </c>
      <c r="AB72" s="142">
        <f t="shared" si="6"/>
        <v>10701.128860659763</v>
      </c>
      <c r="AC72" s="141">
        <v>0</v>
      </c>
      <c r="AD72" s="107">
        <f t="shared" si="22"/>
        <v>0</v>
      </c>
      <c r="AE72" s="142">
        <f t="shared" si="23"/>
        <v>0</v>
      </c>
      <c r="AF72" s="145">
        <v>2329.8000000000002</v>
      </c>
      <c r="AG72" s="107">
        <f t="shared" si="24"/>
        <v>299.87516218948406</v>
      </c>
      <c r="AH72" s="142">
        <f t="shared" si="25"/>
        <v>2629.6751621894841</v>
      </c>
      <c r="AI72" s="145">
        <v>2175.8000000000002</v>
      </c>
      <c r="AJ72" s="107">
        <f t="shared" si="26"/>
        <v>280.05338565193551</v>
      </c>
      <c r="AK72" s="142">
        <f t="shared" si="27"/>
        <v>2455.8533856519357</v>
      </c>
      <c r="AL72" s="146">
        <v>552.5</v>
      </c>
      <c r="AM72" s="146"/>
      <c r="AN72" s="107">
        <f t="shared" si="28"/>
        <v>71.1138411493218</v>
      </c>
      <c r="AO72" s="151">
        <f t="shared" si="29"/>
        <v>623.61384114932184</v>
      </c>
      <c r="AP72" s="282">
        <f t="shared" si="30"/>
        <v>12367.980822493844</v>
      </c>
      <c r="AQ72" s="684">
        <v>0</v>
      </c>
      <c r="AR72" s="741">
        <v>8011.4407432007929</v>
      </c>
      <c r="AS72" s="741">
        <v>4225.9690790751074</v>
      </c>
      <c r="AT72" s="741">
        <v>130.57100021794318</v>
      </c>
      <c r="AU72" s="411">
        <v>0</v>
      </c>
      <c r="AV72" s="801"/>
      <c r="AW72" s="256"/>
      <c r="AX72" s="728">
        <f t="shared" si="31"/>
        <v>430.71911807778935</v>
      </c>
      <c r="AY72" s="729">
        <v>337.08874229415335</v>
      </c>
      <c r="AZ72" s="730"/>
      <c r="BA72" s="731">
        <v>0</v>
      </c>
      <c r="BC72" s="727">
        <v>90</v>
      </c>
      <c r="BD72" s="727">
        <v>340.71911807778935</v>
      </c>
      <c r="BE72" s="727"/>
      <c r="BF72" s="727"/>
      <c r="BG72" s="727">
        <v>0</v>
      </c>
      <c r="BH72" s="727">
        <v>29.931046041132955</v>
      </c>
      <c r="BI72" s="137">
        <f>BC72+BD72+BE72+BG72</f>
        <v>430.71911807778935</v>
      </c>
      <c r="BJ72" s="126">
        <v>1077.5999999999999</v>
      </c>
      <c r="BK72" s="807"/>
      <c r="BL72" s="107"/>
      <c r="BM72" s="687"/>
      <c r="BO72" s="577"/>
      <c r="BS72" s="904"/>
      <c r="BT72" s="789"/>
      <c r="BU72" s="789">
        <v>7918.8759772437143</v>
      </c>
      <c r="BV72" s="789">
        <v>0</v>
      </c>
      <c r="BW72" s="789">
        <f t="shared" si="32"/>
        <v>7918.8759772437143</v>
      </c>
    </row>
    <row r="73" spans="1:75" ht="15" thickBot="1" x14ac:dyDescent="0.35">
      <c r="A73" s="219" t="s">
        <v>254</v>
      </c>
      <c r="B73" s="237">
        <v>5</v>
      </c>
      <c r="C73" s="40">
        <f>'[7]побудинковий звіт'!E73</f>
        <v>2481.4</v>
      </c>
      <c r="D73" s="215">
        <f t="shared" si="7"/>
        <v>2160.9751654430675</v>
      </c>
      <c r="E73" s="107">
        <f t="shared" si="8"/>
        <v>475.41493342025944</v>
      </c>
      <c r="F73" s="107">
        <f t="shared" si="9"/>
        <v>72.903982264170281</v>
      </c>
      <c r="G73" s="107">
        <f t="shared" si="10"/>
        <v>0</v>
      </c>
      <c r="H73" s="107">
        <f t="shared" si="11"/>
        <v>1805.4400633125208</v>
      </c>
      <c r="I73" s="107">
        <f t="shared" si="12"/>
        <v>581.10422946448273</v>
      </c>
      <c r="J73" s="687">
        <f t="shared" ref="J73:J136" si="37">F73*$J$376*-1</f>
        <v>0</v>
      </c>
      <c r="K73" s="142">
        <f t="shared" si="13"/>
        <v>5095.8383739045012</v>
      </c>
      <c r="L73" s="141">
        <f t="shared" ref="L73:L136" si="38">(AS73+AT73+AU73)*$AS$376</f>
        <v>971.25807396132052</v>
      </c>
      <c r="M73" s="107">
        <f t="shared" ref="M73:M136" si="39">L73*$AS$379</f>
        <v>213.67577054357113</v>
      </c>
      <c r="N73" s="30">
        <f t="shared" si="14"/>
        <v>40.799631972026916</v>
      </c>
      <c r="O73" s="107">
        <f t="shared" ref="O73:O136" si="40">$O$369/$C$368*C73</f>
        <v>4.467287798820065</v>
      </c>
      <c r="P73" s="107">
        <f t="shared" si="15"/>
        <v>811.46154133890343</v>
      </c>
      <c r="Q73" s="107">
        <f t="shared" si="16"/>
        <v>262.788142772919</v>
      </c>
      <c r="R73" s="143">
        <f t="shared" si="17"/>
        <v>2304.4504483875608</v>
      </c>
      <c r="S73" s="141">
        <f t="shared" si="18"/>
        <v>118.866</v>
      </c>
      <c r="T73" s="107">
        <f t="shared" ref="T73:T136" si="41">S73*$B$5</f>
        <v>15.299579804624951</v>
      </c>
      <c r="U73" s="142">
        <f t="shared" si="19"/>
        <v>134.16557980462494</v>
      </c>
      <c r="V73" s="107"/>
      <c r="W73" s="107">
        <f t="shared" si="20"/>
        <v>0</v>
      </c>
      <c r="X73" s="142">
        <f t="shared" si="21"/>
        <v>0</v>
      </c>
      <c r="Y73" s="141">
        <v>0</v>
      </c>
      <c r="Z73" s="144">
        <v>0</v>
      </c>
      <c r="AA73" s="107">
        <f t="shared" ref="AA73:AA136" si="42">(Y73+Z73)*$B$5</f>
        <v>0</v>
      </c>
      <c r="AB73" s="142">
        <f t="shared" ref="AB73:AB136" si="43">Y73+Z73+AA73</f>
        <v>0</v>
      </c>
      <c r="AC73" s="141">
        <v>0</v>
      </c>
      <c r="AD73" s="107">
        <f t="shared" si="22"/>
        <v>0</v>
      </c>
      <c r="AE73" s="142">
        <f t="shared" si="23"/>
        <v>0</v>
      </c>
      <c r="AF73" s="145">
        <v>184.8</v>
      </c>
      <c r="AG73" s="107">
        <f t="shared" si="24"/>
        <v>23.786131845058225</v>
      </c>
      <c r="AH73" s="142">
        <f t="shared" si="25"/>
        <v>208.58613184505825</v>
      </c>
      <c r="AI73" s="145">
        <v>0</v>
      </c>
      <c r="AJ73" s="107">
        <f t="shared" si="26"/>
        <v>0</v>
      </c>
      <c r="AK73" s="142">
        <f t="shared" si="27"/>
        <v>0</v>
      </c>
      <c r="AL73" s="146"/>
      <c r="AM73" s="146"/>
      <c r="AN73" s="107">
        <f t="shared" si="28"/>
        <v>0</v>
      </c>
      <c r="AO73" s="151">
        <f t="shared" si="29"/>
        <v>0</v>
      </c>
      <c r="AP73" s="282">
        <f t="shared" si="30"/>
        <v>2891.4137754542362</v>
      </c>
      <c r="AQ73" s="684">
        <v>0</v>
      </c>
      <c r="AR73" s="741">
        <v>1994.3722102238294</v>
      </c>
      <c r="AS73" s="741">
        <v>875.84029782937455</v>
      </c>
      <c r="AT73" s="741">
        <v>21.20126740103219</v>
      </c>
      <c r="AU73" s="411">
        <v>0</v>
      </c>
      <c r="AV73" s="801"/>
      <c r="AW73" s="256"/>
      <c r="AX73" s="728">
        <f t="shared" si="31"/>
        <v>72.903982264170281</v>
      </c>
      <c r="AY73" s="729">
        <v>40.799631972026916</v>
      </c>
      <c r="AZ73" s="730"/>
      <c r="BA73" s="731">
        <v>0</v>
      </c>
      <c r="BC73" s="727">
        <v>0</v>
      </c>
      <c r="BD73" s="727">
        <v>72.903982264170281</v>
      </c>
      <c r="BE73" s="727"/>
      <c r="BF73" s="727"/>
      <c r="BG73" s="727">
        <v>0</v>
      </c>
      <c r="BH73" s="727">
        <v>5.128450690736706</v>
      </c>
      <c r="BI73" s="137">
        <f>BC73+BD73+BE73+BG73</f>
        <v>72.903982264170281</v>
      </c>
      <c r="BJ73" s="126">
        <v>540.29999999999995</v>
      </c>
      <c r="BK73" s="807"/>
      <c r="BL73" s="107"/>
      <c r="BM73" s="687"/>
      <c r="BO73" s="577"/>
      <c r="BS73" s="904"/>
      <c r="BT73" s="789"/>
      <c r="BU73" s="789">
        <v>1799.0236170215405</v>
      </c>
      <c r="BV73" s="789">
        <v>0</v>
      </c>
      <c r="BW73" s="789">
        <f t="shared" si="32"/>
        <v>1799.0236170215405</v>
      </c>
    </row>
    <row r="74" spans="1:75" ht="15" thickBot="1" x14ac:dyDescent="0.35">
      <c r="A74" s="219" t="s">
        <v>350</v>
      </c>
      <c r="B74" s="237">
        <v>9</v>
      </c>
      <c r="C74" s="40">
        <f>'[7]побудинковий звіт'!E74</f>
        <v>11458.36</v>
      </c>
      <c r="D74" s="215">
        <f t="shared" ref="D74:D137" si="44">(AQ74+AR74+AV74)*$AR$376</f>
        <v>1819.7584841248026</v>
      </c>
      <c r="E74" s="107">
        <f t="shared" ref="E74:E137" si="45">D74*$AR$379</f>
        <v>400.34720084058188</v>
      </c>
      <c r="F74" s="107">
        <f t="shared" ref="F74:F137" si="46">AX74*$F$375+BM74+BK74</f>
        <v>420.48193470439656</v>
      </c>
      <c r="G74" s="107">
        <f t="shared" ref="G74:G137" si="47">BL74</f>
        <v>0</v>
      </c>
      <c r="H74" s="107">
        <f t="shared" ref="H74:H137" si="48">D74*$B$4</f>
        <v>1520.3621611811338</v>
      </c>
      <c r="I74" s="107">
        <f t="shared" ref="I74:I137" si="49">(D74+E74+F74+G74+H74)*$B$5</f>
        <v>535.56764116875536</v>
      </c>
      <c r="J74" s="687">
        <f t="shared" si="37"/>
        <v>0</v>
      </c>
      <c r="K74" s="142">
        <f t="shared" ref="K74:K137" si="50">D74+E74+F74+G74+H74+I74-J74</f>
        <v>4696.5174220196704</v>
      </c>
      <c r="L74" s="141">
        <f t="shared" si="38"/>
        <v>3055.8883837119743</v>
      </c>
      <c r="M74" s="107">
        <f t="shared" si="39"/>
        <v>672.29228007509789</v>
      </c>
      <c r="N74" s="30">
        <f t="shared" ref="N74:N137" si="51">AY74+BA74</f>
        <v>188.35063912743556</v>
      </c>
      <c r="O74" s="107">
        <f t="shared" si="40"/>
        <v>20.628593464370066</v>
      </c>
      <c r="P74" s="107">
        <f t="shared" ref="P74:P137" si="52">L74*$B$4</f>
        <v>2553.1174097661324</v>
      </c>
      <c r="Q74" s="107">
        <f t="shared" ref="Q74:Q137" si="53">(L74+M74+N74+O74+P74)*$B$5</f>
        <v>835.38198979953745</v>
      </c>
      <c r="R74" s="143">
        <f t="shared" ref="R74:R137" si="54">SUM(L74:Q74)</f>
        <v>7325.659295944547</v>
      </c>
      <c r="S74" s="141">
        <f t="shared" ref="S74:S137" si="55">BJ74*2.64/12</f>
        <v>169.97200000000001</v>
      </c>
      <c r="T74" s="107">
        <f t="shared" si="41"/>
        <v>21.877577932728553</v>
      </c>
      <c r="U74" s="142">
        <f t="shared" ref="U74:U137" si="56">S74+T74</f>
        <v>191.84957793272855</v>
      </c>
      <c r="V74" s="107"/>
      <c r="W74" s="107">
        <f t="shared" ref="W74:W137" si="57">V74*$B$5</f>
        <v>0</v>
      </c>
      <c r="X74" s="142">
        <f t="shared" ref="X74:X137" si="58">V74+W74</f>
        <v>0</v>
      </c>
      <c r="Y74" s="141">
        <v>10729.54</v>
      </c>
      <c r="Z74" s="144">
        <v>0</v>
      </c>
      <c r="AA74" s="107">
        <f t="shared" si="42"/>
        <v>1381.0295079914829</v>
      </c>
      <c r="AB74" s="142">
        <f t="shared" si="43"/>
        <v>12110.569507991484</v>
      </c>
      <c r="AC74" s="141">
        <v>0</v>
      </c>
      <c r="AD74" s="107">
        <f t="shared" ref="AD74:AD137" si="59">AC74*$B$5</f>
        <v>0</v>
      </c>
      <c r="AE74" s="142">
        <f t="shared" ref="AE74:AE137" si="60">AC74+AD74</f>
        <v>0</v>
      </c>
      <c r="AF74" s="145">
        <v>1628</v>
      </c>
      <c r="AG74" s="107">
        <f t="shared" ref="AG74:AG137" si="61">AF74*$B$5</f>
        <v>209.54449482551291</v>
      </c>
      <c r="AH74" s="142">
        <f t="shared" ref="AH74:AH137" si="62">AF74+AG74</f>
        <v>1837.5444948255129</v>
      </c>
      <c r="AI74" s="145">
        <v>1771</v>
      </c>
      <c r="AJ74" s="107">
        <f t="shared" ref="AJ74:AJ137" si="63">AI74*$B$5</f>
        <v>227.95043018180797</v>
      </c>
      <c r="AK74" s="142">
        <f t="shared" ref="AK74:AK137" si="64">AI74+AJ74</f>
        <v>1998.9504301818079</v>
      </c>
      <c r="AL74" s="146"/>
      <c r="AM74" s="146"/>
      <c r="AN74" s="107">
        <f t="shared" ref="AN74:AN137" si="65">AL74*$C$5</f>
        <v>0</v>
      </c>
      <c r="AO74" s="151">
        <f t="shared" ref="AO74:AO137" si="66">AL74+AM74+AN74</f>
        <v>0</v>
      </c>
      <c r="AP74" s="282">
        <f t="shared" ref="AP74:AP137" si="67">AR74+AS74+AT74</f>
        <v>2690.1340161034955</v>
      </c>
      <c r="AQ74" s="684">
        <v>0</v>
      </c>
      <c r="AR74" s="741">
        <v>1679.4620355173922</v>
      </c>
      <c r="AS74" s="741">
        <v>995.31595082186277</v>
      </c>
      <c r="AT74" s="741">
        <v>15.356029764240274</v>
      </c>
      <c r="AU74" s="411">
        <v>1811.7075417936258</v>
      </c>
      <c r="AV74" s="801"/>
      <c r="AW74" s="256"/>
      <c r="AX74" s="728">
        <f t="shared" ref="AX74:AX137" si="68">BC74+BD74+BE74+BF74+BG74</f>
        <v>420.48193470439656</v>
      </c>
      <c r="AY74" s="729">
        <v>188.35063912743556</v>
      </c>
      <c r="AZ74" s="730"/>
      <c r="BA74" s="731">
        <v>0</v>
      </c>
      <c r="BC74" s="727">
        <v>90</v>
      </c>
      <c r="BD74" s="727">
        <v>330.48193470439656</v>
      </c>
      <c r="BE74" s="727"/>
      <c r="BF74" s="727"/>
      <c r="BG74" s="727">
        <v>0</v>
      </c>
      <c r="BH74" s="727">
        <v>17.59762491919458</v>
      </c>
      <c r="BI74" s="137">
        <f>BC74+BD74+BE74+BG74</f>
        <v>420.48193470439656</v>
      </c>
      <c r="BJ74" s="126">
        <v>772.6</v>
      </c>
      <c r="BK74" s="807"/>
      <c r="BL74" s="107"/>
      <c r="BM74" s="687"/>
      <c r="BO74" s="577"/>
      <c r="BS74" s="904"/>
      <c r="BT74" s="789"/>
      <c r="BU74" s="789">
        <v>6281.5547230288821</v>
      </c>
      <c r="BV74" s="789">
        <v>0</v>
      </c>
      <c r="BW74" s="789">
        <f t="shared" ref="BW74:BW137" si="69">BU74+BV74</f>
        <v>6281.5547230288821</v>
      </c>
    </row>
    <row r="75" spans="1:75" ht="15" thickBot="1" x14ac:dyDescent="0.35">
      <c r="A75" s="220" t="s">
        <v>65</v>
      </c>
      <c r="B75" s="238">
        <v>1</v>
      </c>
      <c r="C75" s="40">
        <f>'[7]побудинковий звіт'!E75</f>
        <v>216</v>
      </c>
      <c r="D75" s="215">
        <f t="shared" si="44"/>
        <v>0</v>
      </c>
      <c r="E75" s="107">
        <f t="shared" si="45"/>
        <v>0</v>
      </c>
      <c r="F75" s="107">
        <f t="shared" si="46"/>
        <v>0</v>
      </c>
      <c r="G75" s="107">
        <f t="shared" si="47"/>
        <v>0</v>
      </c>
      <c r="H75" s="107">
        <f t="shared" si="48"/>
        <v>0</v>
      </c>
      <c r="I75" s="107">
        <f t="shared" si="49"/>
        <v>0</v>
      </c>
      <c r="J75" s="687">
        <f t="shared" si="37"/>
        <v>0</v>
      </c>
      <c r="K75" s="142">
        <f t="shared" si="50"/>
        <v>0</v>
      </c>
      <c r="L75" s="141">
        <f t="shared" si="38"/>
        <v>0</v>
      </c>
      <c r="M75" s="107">
        <f t="shared" si="39"/>
        <v>0</v>
      </c>
      <c r="N75" s="30">
        <f t="shared" si="51"/>
        <v>0</v>
      </c>
      <c r="O75" s="107">
        <f t="shared" si="40"/>
        <v>0.38886683507098174</v>
      </c>
      <c r="P75" s="107">
        <f t="shared" si="52"/>
        <v>0</v>
      </c>
      <c r="Q75" s="107">
        <f t="shared" si="53"/>
        <v>5.0052152647017761E-2</v>
      </c>
      <c r="R75" s="143">
        <f t="shared" si="54"/>
        <v>0.43891898771799953</v>
      </c>
      <c r="S75" s="141">
        <f t="shared" si="55"/>
        <v>0</v>
      </c>
      <c r="T75" s="107">
        <f t="shared" si="41"/>
        <v>0</v>
      </c>
      <c r="U75" s="142">
        <f t="shared" si="56"/>
        <v>0</v>
      </c>
      <c r="V75" s="107"/>
      <c r="W75" s="107">
        <f t="shared" si="57"/>
        <v>0</v>
      </c>
      <c r="X75" s="142">
        <f t="shared" si="58"/>
        <v>0</v>
      </c>
      <c r="Y75" s="141">
        <v>0</v>
      </c>
      <c r="Z75" s="144">
        <v>0</v>
      </c>
      <c r="AA75" s="107">
        <f t="shared" si="42"/>
        <v>0</v>
      </c>
      <c r="AB75" s="142">
        <f t="shared" si="43"/>
        <v>0</v>
      </c>
      <c r="AC75" s="141">
        <v>0</v>
      </c>
      <c r="AD75" s="107">
        <f t="shared" si="59"/>
        <v>0</v>
      </c>
      <c r="AE75" s="142">
        <f t="shared" si="60"/>
        <v>0</v>
      </c>
      <c r="AF75" s="145">
        <v>0</v>
      </c>
      <c r="AG75" s="107">
        <f t="shared" si="61"/>
        <v>0</v>
      </c>
      <c r="AH75" s="142">
        <f t="shared" si="62"/>
        <v>0</v>
      </c>
      <c r="AI75" s="145">
        <v>0</v>
      </c>
      <c r="AJ75" s="107">
        <f t="shared" si="63"/>
        <v>0</v>
      </c>
      <c r="AK75" s="142">
        <f t="shared" si="64"/>
        <v>0</v>
      </c>
      <c r="AL75" s="146"/>
      <c r="AM75" s="215"/>
      <c r="AN75" s="107">
        <f t="shared" si="65"/>
        <v>0</v>
      </c>
      <c r="AO75" s="151">
        <f t="shared" si="66"/>
        <v>0</v>
      </c>
      <c r="AP75" s="282">
        <f t="shared" si="67"/>
        <v>0</v>
      </c>
      <c r="AQ75" s="684">
        <v>0</v>
      </c>
      <c r="AR75" s="411">
        <v>0</v>
      </c>
      <c r="AS75" s="411">
        <v>0</v>
      </c>
      <c r="AT75" s="411">
        <v>0</v>
      </c>
      <c r="AU75" s="411">
        <v>0</v>
      </c>
      <c r="AV75" s="742">
        <v>0</v>
      </c>
      <c r="AW75" s="256"/>
      <c r="AX75" s="728">
        <f t="shared" si="68"/>
        <v>0</v>
      </c>
      <c r="AY75" s="729">
        <v>0</v>
      </c>
      <c r="AZ75" s="730"/>
      <c r="BA75" s="731">
        <v>0</v>
      </c>
      <c r="BB75" s="742"/>
      <c r="BC75" s="727">
        <v>0</v>
      </c>
      <c r="BD75" s="727">
        <v>0</v>
      </c>
      <c r="BE75" s="727"/>
      <c r="BF75" s="727"/>
      <c r="BG75" s="727">
        <v>0</v>
      </c>
      <c r="BH75" s="727">
        <v>0</v>
      </c>
      <c r="BI75" s="137">
        <f t="shared" si="36"/>
        <v>0</v>
      </c>
      <c r="BJ75" s="126"/>
      <c r="BK75" s="807"/>
      <c r="BL75" s="107"/>
      <c r="BM75" s="687"/>
      <c r="BO75" s="577"/>
      <c r="BS75" s="904"/>
      <c r="BT75" s="789"/>
      <c r="BU75" s="789">
        <v>0</v>
      </c>
      <c r="BV75" s="789">
        <v>0</v>
      </c>
      <c r="BW75" s="789">
        <f t="shared" si="69"/>
        <v>0</v>
      </c>
    </row>
    <row r="76" spans="1:75" ht="15" thickBot="1" x14ac:dyDescent="0.35">
      <c r="A76" s="220" t="s">
        <v>66</v>
      </c>
      <c r="B76" s="238">
        <v>1</v>
      </c>
      <c r="C76" s="40">
        <f>'[7]побудинковий звіт'!E76</f>
        <v>216.8</v>
      </c>
      <c r="D76" s="215">
        <f t="shared" si="44"/>
        <v>0</v>
      </c>
      <c r="E76" s="107">
        <f t="shared" si="45"/>
        <v>0</v>
      </c>
      <c r="F76" s="107">
        <f t="shared" si="46"/>
        <v>0</v>
      </c>
      <c r="G76" s="107">
        <f t="shared" si="47"/>
        <v>0</v>
      </c>
      <c r="H76" s="107">
        <f t="shared" si="48"/>
        <v>0</v>
      </c>
      <c r="I76" s="107">
        <f t="shared" si="49"/>
        <v>0</v>
      </c>
      <c r="J76" s="687">
        <f t="shared" si="37"/>
        <v>0</v>
      </c>
      <c r="K76" s="142">
        <f t="shared" si="50"/>
        <v>0</v>
      </c>
      <c r="L76" s="141">
        <f t="shared" si="38"/>
        <v>0</v>
      </c>
      <c r="M76" s="107">
        <f t="shared" si="39"/>
        <v>0</v>
      </c>
      <c r="N76" s="30">
        <f t="shared" si="51"/>
        <v>0</v>
      </c>
      <c r="O76" s="107">
        <f t="shared" si="40"/>
        <v>0.39030708260828167</v>
      </c>
      <c r="P76" s="107">
        <f t="shared" si="52"/>
        <v>0</v>
      </c>
      <c r="Q76" s="107">
        <f t="shared" si="53"/>
        <v>5.023753099015487E-2</v>
      </c>
      <c r="R76" s="143">
        <f t="shared" si="54"/>
        <v>0.44054461359843655</v>
      </c>
      <c r="S76" s="141">
        <f t="shared" si="55"/>
        <v>0</v>
      </c>
      <c r="T76" s="107">
        <f t="shared" si="41"/>
        <v>0</v>
      </c>
      <c r="U76" s="142">
        <f t="shared" si="56"/>
        <v>0</v>
      </c>
      <c r="V76" s="107"/>
      <c r="W76" s="107">
        <f t="shared" si="57"/>
        <v>0</v>
      </c>
      <c r="X76" s="142">
        <f t="shared" si="58"/>
        <v>0</v>
      </c>
      <c r="Y76" s="141">
        <v>0</v>
      </c>
      <c r="Z76" s="144">
        <v>0</v>
      </c>
      <c r="AA76" s="107">
        <f t="shared" si="42"/>
        <v>0</v>
      </c>
      <c r="AB76" s="142">
        <f t="shared" si="43"/>
        <v>0</v>
      </c>
      <c r="AC76" s="141">
        <v>0</v>
      </c>
      <c r="AD76" s="107">
        <f t="shared" si="59"/>
        <v>0</v>
      </c>
      <c r="AE76" s="142">
        <f t="shared" si="60"/>
        <v>0</v>
      </c>
      <c r="AF76" s="145">
        <v>0</v>
      </c>
      <c r="AG76" s="107">
        <f t="shared" si="61"/>
        <v>0</v>
      </c>
      <c r="AH76" s="142">
        <f t="shared" si="62"/>
        <v>0</v>
      </c>
      <c r="AI76" s="145">
        <v>0</v>
      </c>
      <c r="AJ76" s="107">
        <f t="shared" si="63"/>
        <v>0</v>
      </c>
      <c r="AK76" s="142">
        <f t="shared" si="64"/>
        <v>0</v>
      </c>
      <c r="AL76" s="146"/>
      <c r="AM76" s="215"/>
      <c r="AN76" s="107">
        <f t="shared" si="65"/>
        <v>0</v>
      </c>
      <c r="AO76" s="151">
        <f t="shared" si="66"/>
        <v>0</v>
      </c>
      <c r="AP76" s="282">
        <f t="shared" si="67"/>
        <v>0</v>
      </c>
      <c r="AQ76" s="684">
        <v>0</v>
      </c>
      <c r="AR76" s="411">
        <v>0</v>
      </c>
      <c r="AS76" s="411">
        <v>0</v>
      </c>
      <c r="AT76" s="411">
        <v>0</v>
      </c>
      <c r="AU76" s="411">
        <v>0</v>
      </c>
      <c r="AV76" s="742">
        <v>0</v>
      </c>
      <c r="AW76" s="256"/>
      <c r="AX76" s="728">
        <f t="shared" si="68"/>
        <v>0</v>
      </c>
      <c r="AY76" s="729">
        <v>0</v>
      </c>
      <c r="AZ76" s="730"/>
      <c r="BA76" s="731">
        <v>0</v>
      </c>
      <c r="BB76" s="742"/>
      <c r="BC76" s="727">
        <v>0</v>
      </c>
      <c r="BD76" s="727">
        <v>0</v>
      </c>
      <c r="BE76" s="727"/>
      <c r="BF76" s="727"/>
      <c r="BG76" s="727">
        <v>0</v>
      </c>
      <c r="BH76" s="727">
        <v>0</v>
      </c>
      <c r="BI76" s="137">
        <f t="shared" si="36"/>
        <v>0</v>
      </c>
      <c r="BJ76" s="126"/>
      <c r="BK76" s="807"/>
      <c r="BL76" s="107"/>
      <c r="BM76" s="687"/>
      <c r="BO76" s="577"/>
      <c r="BS76" s="904"/>
      <c r="BT76" s="789"/>
      <c r="BU76" s="789">
        <v>0</v>
      </c>
      <c r="BV76" s="789">
        <v>0</v>
      </c>
      <c r="BW76" s="789">
        <f t="shared" si="69"/>
        <v>0</v>
      </c>
    </row>
    <row r="77" spans="1:75" ht="15" thickBot="1" x14ac:dyDescent="0.35">
      <c r="A77" s="220" t="s">
        <v>67</v>
      </c>
      <c r="B77" s="238">
        <v>1</v>
      </c>
      <c r="C77" s="40">
        <f>'[7]побудинковий звіт'!E77</f>
        <v>214.7</v>
      </c>
      <c r="D77" s="215">
        <f t="shared" si="44"/>
        <v>0</v>
      </c>
      <c r="E77" s="107">
        <f t="shared" si="45"/>
        <v>0</v>
      </c>
      <c r="F77" s="107">
        <f t="shared" si="46"/>
        <v>0</v>
      </c>
      <c r="G77" s="107">
        <f t="shared" si="47"/>
        <v>0</v>
      </c>
      <c r="H77" s="107">
        <f t="shared" si="48"/>
        <v>0</v>
      </c>
      <c r="I77" s="107">
        <f t="shared" si="49"/>
        <v>0</v>
      </c>
      <c r="J77" s="687">
        <f t="shared" si="37"/>
        <v>0</v>
      </c>
      <c r="K77" s="142">
        <f t="shared" si="50"/>
        <v>0</v>
      </c>
      <c r="L77" s="141">
        <f t="shared" si="38"/>
        <v>0</v>
      </c>
      <c r="M77" s="107">
        <f t="shared" si="39"/>
        <v>0</v>
      </c>
      <c r="N77" s="30">
        <f t="shared" si="51"/>
        <v>0</v>
      </c>
      <c r="O77" s="107">
        <f t="shared" si="40"/>
        <v>0.38652643282286936</v>
      </c>
      <c r="P77" s="107">
        <f t="shared" si="52"/>
        <v>0</v>
      </c>
      <c r="Q77" s="107">
        <f t="shared" si="53"/>
        <v>4.9750912839419972E-2</v>
      </c>
      <c r="R77" s="143">
        <f t="shared" si="54"/>
        <v>0.43627734566228932</v>
      </c>
      <c r="S77" s="141">
        <f t="shared" si="55"/>
        <v>0</v>
      </c>
      <c r="T77" s="107">
        <f t="shared" si="41"/>
        <v>0</v>
      </c>
      <c r="U77" s="142">
        <f t="shared" si="56"/>
        <v>0</v>
      </c>
      <c r="V77" s="107"/>
      <c r="W77" s="107">
        <f t="shared" si="57"/>
        <v>0</v>
      </c>
      <c r="X77" s="142">
        <f t="shared" si="58"/>
        <v>0</v>
      </c>
      <c r="Y77" s="141">
        <v>0</v>
      </c>
      <c r="Z77" s="144">
        <v>0</v>
      </c>
      <c r="AA77" s="107">
        <f t="shared" si="42"/>
        <v>0</v>
      </c>
      <c r="AB77" s="142">
        <f t="shared" si="43"/>
        <v>0</v>
      </c>
      <c r="AC77" s="141">
        <v>0</v>
      </c>
      <c r="AD77" s="107">
        <f t="shared" si="59"/>
        <v>0</v>
      </c>
      <c r="AE77" s="142">
        <f t="shared" si="60"/>
        <v>0</v>
      </c>
      <c r="AF77" s="145">
        <v>0</v>
      </c>
      <c r="AG77" s="107">
        <f t="shared" si="61"/>
        <v>0</v>
      </c>
      <c r="AH77" s="142">
        <f t="shared" si="62"/>
        <v>0</v>
      </c>
      <c r="AI77" s="145">
        <v>0</v>
      </c>
      <c r="AJ77" s="107">
        <f t="shared" si="63"/>
        <v>0</v>
      </c>
      <c r="AK77" s="142">
        <f t="shared" si="64"/>
        <v>0</v>
      </c>
      <c r="AL77" s="146"/>
      <c r="AM77" s="215"/>
      <c r="AN77" s="107">
        <f t="shared" si="65"/>
        <v>0</v>
      </c>
      <c r="AO77" s="151">
        <f t="shared" si="66"/>
        <v>0</v>
      </c>
      <c r="AP77" s="282">
        <f t="shared" si="67"/>
        <v>0</v>
      </c>
      <c r="AQ77" s="684">
        <v>0</v>
      </c>
      <c r="AR77" s="411">
        <v>0</v>
      </c>
      <c r="AS77" s="411">
        <v>0</v>
      </c>
      <c r="AT77" s="411">
        <v>0</v>
      </c>
      <c r="AU77" s="411">
        <v>0</v>
      </c>
      <c r="AV77" s="742">
        <v>0</v>
      </c>
      <c r="AW77" s="256"/>
      <c r="AX77" s="728">
        <f t="shared" si="68"/>
        <v>0</v>
      </c>
      <c r="AY77" s="729">
        <v>0</v>
      </c>
      <c r="AZ77" s="730"/>
      <c r="BA77" s="731">
        <v>0</v>
      </c>
      <c r="BB77" s="742"/>
      <c r="BC77" s="727">
        <v>0</v>
      </c>
      <c r="BD77" s="727">
        <v>0</v>
      </c>
      <c r="BE77" s="727"/>
      <c r="BF77" s="727"/>
      <c r="BG77" s="727">
        <v>0</v>
      </c>
      <c r="BH77" s="727">
        <v>0</v>
      </c>
      <c r="BI77" s="137">
        <f t="shared" si="36"/>
        <v>0</v>
      </c>
      <c r="BJ77" s="126"/>
      <c r="BK77" s="807"/>
      <c r="BL77" s="107"/>
      <c r="BM77" s="687"/>
      <c r="BO77" s="577"/>
      <c r="BS77" s="904"/>
      <c r="BT77" s="789"/>
      <c r="BU77" s="789">
        <v>0</v>
      </c>
      <c r="BV77" s="789">
        <v>0</v>
      </c>
      <c r="BW77" s="789">
        <f t="shared" si="69"/>
        <v>0</v>
      </c>
    </row>
    <row r="78" spans="1:75" ht="15" thickBot="1" x14ac:dyDescent="0.35">
      <c r="A78" s="220" t="s">
        <v>68</v>
      </c>
      <c r="B78" s="238">
        <v>1</v>
      </c>
      <c r="C78" s="40">
        <f>'[7]побудинковий звіт'!E78</f>
        <v>397.8</v>
      </c>
      <c r="D78" s="215">
        <f t="shared" si="44"/>
        <v>0</v>
      </c>
      <c r="E78" s="107">
        <f t="shared" si="45"/>
        <v>0</v>
      </c>
      <c r="F78" s="107">
        <f t="shared" si="46"/>
        <v>0</v>
      </c>
      <c r="G78" s="107">
        <f t="shared" si="47"/>
        <v>0</v>
      </c>
      <c r="H78" s="107">
        <f t="shared" si="48"/>
        <v>0</v>
      </c>
      <c r="I78" s="107">
        <f t="shared" si="49"/>
        <v>0</v>
      </c>
      <c r="J78" s="687">
        <f t="shared" si="37"/>
        <v>0</v>
      </c>
      <c r="K78" s="142">
        <f t="shared" si="50"/>
        <v>0</v>
      </c>
      <c r="L78" s="141">
        <f t="shared" si="38"/>
        <v>0</v>
      </c>
      <c r="M78" s="107">
        <f t="shared" si="39"/>
        <v>0</v>
      </c>
      <c r="N78" s="30">
        <f t="shared" si="51"/>
        <v>0</v>
      </c>
      <c r="O78" s="107">
        <f t="shared" si="40"/>
        <v>0.71616308792239136</v>
      </c>
      <c r="P78" s="107">
        <f t="shared" si="52"/>
        <v>0</v>
      </c>
      <c r="Q78" s="107">
        <f t="shared" si="53"/>
        <v>9.2179381124924381E-2</v>
      </c>
      <c r="R78" s="143">
        <f t="shared" si="54"/>
        <v>0.80834246904731577</v>
      </c>
      <c r="S78" s="141">
        <f t="shared" si="55"/>
        <v>0</v>
      </c>
      <c r="T78" s="107">
        <f t="shared" si="41"/>
        <v>0</v>
      </c>
      <c r="U78" s="142">
        <f t="shared" si="56"/>
        <v>0</v>
      </c>
      <c r="V78" s="107"/>
      <c r="W78" s="107">
        <f t="shared" si="57"/>
        <v>0</v>
      </c>
      <c r="X78" s="142">
        <f t="shared" si="58"/>
        <v>0</v>
      </c>
      <c r="Y78" s="141">
        <v>0</v>
      </c>
      <c r="Z78" s="144">
        <v>0</v>
      </c>
      <c r="AA78" s="107">
        <f t="shared" si="42"/>
        <v>0</v>
      </c>
      <c r="AB78" s="142">
        <f t="shared" si="43"/>
        <v>0</v>
      </c>
      <c r="AC78" s="141">
        <v>0</v>
      </c>
      <c r="AD78" s="107">
        <f t="shared" si="59"/>
        <v>0</v>
      </c>
      <c r="AE78" s="142">
        <f t="shared" si="60"/>
        <v>0</v>
      </c>
      <c r="AF78" s="145">
        <v>0</v>
      </c>
      <c r="AG78" s="107">
        <f t="shared" si="61"/>
        <v>0</v>
      </c>
      <c r="AH78" s="142">
        <f t="shared" si="62"/>
        <v>0</v>
      </c>
      <c r="AI78" s="145">
        <v>0</v>
      </c>
      <c r="AJ78" s="107">
        <f t="shared" si="63"/>
        <v>0</v>
      </c>
      <c r="AK78" s="142">
        <f t="shared" si="64"/>
        <v>0</v>
      </c>
      <c r="AL78" s="146"/>
      <c r="AM78" s="215"/>
      <c r="AN78" s="107">
        <f t="shared" si="65"/>
        <v>0</v>
      </c>
      <c r="AO78" s="151">
        <f t="shared" si="66"/>
        <v>0</v>
      </c>
      <c r="AP78" s="282">
        <f t="shared" si="67"/>
        <v>0</v>
      </c>
      <c r="AQ78" s="684">
        <v>0</v>
      </c>
      <c r="AR78" s="741">
        <v>0</v>
      </c>
      <c r="AS78" s="741">
        <v>0</v>
      </c>
      <c r="AT78" s="741">
        <v>0</v>
      </c>
      <c r="AU78" s="411">
        <v>0</v>
      </c>
      <c r="AV78" s="801"/>
      <c r="AW78" s="256"/>
      <c r="AX78" s="728">
        <f t="shared" si="68"/>
        <v>0</v>
      </c>
      <c r="AY78" s="729">
        <v>0</v>
      </c>
      <c r="AZ78" s="730"/>
      <c r="BA78" s="731">
        <v>0</v>
      </c>
      <c r="BC78" s="727">
        <v>0</v>
      </c>
      <c r="BD78" s="727">
        <v>0</v>
      </c>
      <c r="BE78" s="727"/>
      <c r="BF78" s="727"/>
      <c r="BG78" s="727">
        <v>0</v>
      </c>
      <c r="BH78" s="727">
        <v>0</v>
      </c>
      <c r="BI78" s="137">
        <f t="shared" si="36"/>
        <v>0</v>
      </c>
      <c r="BJ78" s="126"/>
      <c r="BK78" s="807"/>
      <c r="BL78" s="107"/>
      <c r="BM78" s="687"/>
      <c r="BO78" s="577"/>
      <c r="BS78" s="904"/>
      <c r="BT78" s="789"/>
      <c r="BU78" s="789">
        <v>0</v>
      </c>
      <c r="BV78" s="789">
        <v>0</v>
      </c>
      <c r="BW78" s="789">
        <f t="shared" si="69"/>
        <v>0</v>
      </c>
    </row>
    <row r="79" spans="1:75" ht="15" thickBot="1" x14ac:dyDescent="0.35">
      <c r="A79" s="220" t="s">
        <v>72</v>
      </c>
      <c r="B79" s="238">
        <v>1</v>
      </c>
      <c r="C79" s="40">
        <f>'[7]побудинковий звіт'!E79</f>
        <v>245.6</v>
      </c>
      <c r="D79" s="215">
        <f t="shared" si="44"/>
        <v>53.667564858609197</v>
      </c>
      <c r="E79" s="107">
        <f t="shared" si="45"/>
        <v>11.806874128908328</v>
      </c>
      <c r="F79" s="107">
        <f t="shared" si="46"/>
        <v>0</v>
      </c>
      <c r="G79" s="107">
        <f t="shared" si="47"/>
        <v>0</v>
      </c>
      <c r="H79" s="107">
        <f t="shared" si="48"/>
        <v>44.837892283824551</v>
      </c>
      <c r="I79" s="107">
        <f t="shared" si="49"/>
        <v>14.198612855821873</v>
      </c>
      <c r="J79" s="687">
        <f t="shared" si="37"/>
        <v>0</v>
      </c>
      <c r="K79" s="142">
        <f t="shared" si="50"/>
        <v>124.51094412716397</v>
      </c>
      <c r="L79" s="141">
        <f t="shared" si="38"/>
        <v>0</v>
      </c>
      <c r="M79" s="107">
        <f t="shared" si="39"/>
        <v>0</v>
      </c>
      <c r="N79" s="30">
        <f t="shared" si="51"/>
        <v>0</v>
      </c>
      <c r="O79" s="107">
        <f t="shared" si="40"/>
        <v>0.44215599395107924</v>
      </c>
      <c r="P79" s="107">
        <f t="shared" si="52"/>
        <v>0</v>
      </c>
      <c r="Q79" s="107">
        <f t="shared" si="53"/>
        <v>5.691115134309057E-2</v>
      </c>
      <c r="R79" s="143">
        <f t="shared" si="54"/>
        <v>0.49906714529416979</v>
      </c>
      <c r="S79" s="141">
        <f t="shared" si="55"/>
        <v>0</v>
      </c>
      <c r="T79" s="107">
        <f t="shared" si="41"/>
        <v>0</v>
      </c>
      <c r="U79" s="142">
        <f t="shared" si="56"/>
        <v>0</v>
      </c>
      <c r="V79" s="107"/>
      <c r="W79" s="107">
        <f t="shared" si="57"/>
        <v>0</v>
      </c>
      <c r="X79" s="142">
        <f t="shared" si="58"/>
        <v>0</v>
      </c>
      <c r="Y79" s="141">
        <v>0</v>
      </c>
      <c r="Z79" s="144">
        <v>0</v>
      </c>
      <c r="AA79" s="107">
        <f t="shared" si="42"/>
        <v>0</v>
      </c>
      <c r="AB79" s="142">
        <f t="shared" si="43"/>
        <v>0</v>
      </c>
      <c r="AC79" s="141">
        <v>0</v>
      </c>
      <c r="AD79" s="107">
        <f t="shared" si="59"/>
        <v>0</v>
      </c>
      <c r="AE79" s="142">
        <f t="shared" si="60"/>
        <v>0</v>
      </c>
      <c r="AF79" s="145">
        <v>0</v>
      </c>
      <c r="AG79" s="107">
        <f t="shared" si="61"/>
        <v>0</v>
      </c>
      <c r="AH79" s="142">
        <f t="shared" si="62"/>
        <v>0</v>
      </c>
      <c r="AI79" s="145">
        <v>0</v>
      </c>
      <c r="AJ79" s="107">
        <f t="shared" si="63"/>
        <v>0</v>
      </c>
      <c r="AK79" s="142">
        <f t="shared" si="64"/>
        <v>0</v>
      </c>
      <c r="AL79" s="146"/>
      <c r="AM79" s="215"/>
      <c r="AN79" s="107">
        <f t="shared" si="65"/>
        <v>0</v>
      </c>
      <c r="AO79" s="151">
        <f t="shared" si="66"/>
        <v>0</v>
      </c>
      <c r="AP79" s="282">
        <f t="shared" si="67"/>
        <v>0</v>
      </c>
      <c r="AQ79" s="684">
        <v>49.53</v>
      </c>
      <c r="AR79" s="741">
        <v>0</v>
      </c>
      <c r="AS79" s="741">
        <v>0</v>
      </c>
      <c r="AT79" s="741">
        <v>0</v>
      </c>
      <c r="AU79" s="411">
        <v>0</v>
      </c>
      <c r="AV79" s="801"/>
      <c r="AW79" s="256"/>
      <c r="AX79" s="728">
        <f t="shared" si="68"/>
        <v>0</v>
      </c>
      <c r="AY79" s="729">
        <v>0</v>
      </c>
      <c r="AZ79" s="730"/>
      <c r="BA79" s="731">
        <v>0</v>
      </c>
      <c r="BC79" s="727">
        <v>0</v>
      </c>
      <c r="BD79" s="727">
        <v>0</v>
      </c>
      <c r="BE79" s="727"/>
      <c r="BF79" s="727"/>
      <c r="BG79" s="727">
        <v>0</v>
      </c>
      <c r="BH79" s="727">
        <v>0</v>
      </c>
      <c r="BI79" s="137">
        <f t="shared" si="36"/>
        <v>0</v>
      </c>
      <c r="BJ79" s="126"/>
      <c r="BK79" s="807"/>
      <c r="BL79" s="107"/>
      <c r="BM79" s="687"/>
      <c r="BO79" s="577"/>
      <c r="BS79" s="904"/>
      <c r="BT79" s="789"/>
      <c r="BU79" s="789">
        <v>0</v>
      </c>
      <c r="BV79" s="789">
        <v>0</v>
      </c>
      <c r="BW79" s="789">
        <f t="shared" si="69"/>
        <v>0</v>
      </c>
    </row>
    <row r="80" spans="1:75" ht="15" thickBot="1" x14ac:dyDescent="0.35">
      <c r="A80" s="220" t="s">
        <v>74</v>
      </c>
      <c r="B80" s="238">
        <v>1</v>
      </c>
      <c r="C80" s="40">
        <f>'[7]побудинковий звіт'!E80</f>
        <v>282.8</v>
      </c>
      <c r="D80" s="215">
        <f t="shared" si="44"/>
        <v>122.66717176747723</v>
      </c>
      <c r="E80" s="107">
        <f t="shared" si="45"/>
        <v>26.986800325736155</v>
      </c>
      <c r="F80" s="107">
        <f t="shared" si="46"/>
        <v>0</v>
      </c>
      <c r="G80" s="107">
        <f t="shared" si="47"/>
        <v>0</v>
      </c>
      <c r="H80" s="107">
        <f t="shared" si="48"/>
        <v>102.48531769537205</v>
      </c>
      <c r="I80" s="107">
        <f t="shared" si="49"/>
        <v>32.45356271769824</v>
      </c>
      <c r="J80" s="687">
        <f t="shared" si="37"/>
        <v>0</v>
      </c>
      <c r="K80" s="142">
        <f t="shared" si="50"/>
        <v>284.59285250628363</v>
      </c>
      <c r="L80" s="141">
        <f t="shared" si="38"/>
        <v>0</v>
      </c>
      <c r="M80" s="107">
        <f t="shared" si="39"/>
        <v>0</v>
      </c>
      <c r="N80" s="30">
        <f t="shared" si="51"/>
        <v>0</v>
      </c>
      <c r="O80" s="107">
        <f t="shared" si="40"/>
        <v>0.50912750443552612</v>
      </c>
      <c r="P80" s="107">
        <f t="shared" si="52"/>
        <v>0</v>
      </c>
      <c r="Q80" s="107">
        <f t="shared" si="53"/>
        <v>6.5531244298965854E-2</v>
      </c>
      <c r="R80" s="143">
        <f t="shared" si="54"/>
        <v>0.57465874873449196</v>
      </c>
      <c r="S80" s="141">
        <f t="shared" si="55"/>
        <v>0</v>
      </c>
      <c r="T80" s="107">
        <f t="shared" si="41"/>
        <v>0</v>
      </c>
      <c r="U80" s="142">
        <f t="shared" si="56"/>
        <v>0</v>
      </c>
      <c r="V80" s="107"/>
      <c r="W80" s="107">
        <f t="shared" si="57"/>
        <v>0</v>
      </c>
      <c r="X80" s="142">
        <f t="shared" si="58"/>
        <v>0</v>
      </c>
      <c r="Y80" s="141">
        <v>0</v>
      </c>
      <c r="Z80" s="144">
        <v>0</v>
      </c>
      <c r="AA80" s="107">
        <f t="shared" si="42"/>
        <v>0</v>
      </c>
      <c r="AB80" s="142">
        <f t="shared" si="43"/>
        <v>0</v>
      </c>
      <c r="AC80" s="141">
        <v>0</v>
      </c>
      <c r="AD80" s="107">
        <f t="shared" si="59"/>
        <v>0</v>
      </c>
      <c r="AE80" s="142">
        <f t="shared" si="60"/>
        <v>0</v>
      </c>
      <c r="AF80" s="145">
        <v>0</v>
      </c>
      <c r="AG80" s="107">
        <f t="shared" si="61"/>
        <v>0</v>
      </c>
      <c r="AH80" s="142">
        <f t="shared" si="62"/>
        <v>0</v>
      </c>
      <c r="AI80" s="145">
        <v>0</v>
      </c>
      <c r="AJ80" s="107">
        <f t="shared" si="63"/>
        <v>0</v>
      </c>
      <c r="AK80" s="142">
        <f t="shared" si="64"/>
        <v>0</v>
      </c>
      <c r="AL80" s="146"/>
      <c r="AM80" s="215"/>
      <c r="AN80" s="107">
        <f t="shared" si="65"/>
        <v>0</v>
      </c>
      <c r="AO80" s="151">
        <f t="shared" si="66"/>
        <v>0</v>
      </c>
      <c r="AP80" s="282">
        <f t="shared" si="67"/>
        <v>0</v>
      </c>
      <c r="AQ80" s="684">
        <v>113.21</v>
      </c>
      <c r="AR80" s="741">
        <v>0</v>
      </c>
      <c r="AS80" s="741">
        <v>0</v>
      </c>
      <c r="AT80" s="741">
        <v>0</v>
      </c>
      <c r="AU80" s="411">
        <v>0</v>
      </c>
      <c r="AV80" s="801"/>
      <c r="AW80" s="256"/>
      <c r="AX80" s="728">
        <f t="shared" si="68"/>
        <v>0</v>
      </c>
      <c r="AY80" s="729">
        <v>0</v>
      </c>
      <c r="AZ80" s="730"/>
      <c r="BA80" s="731">
        <v>0</v>
      </c>
      <c r="BC80" s="727">
        <v>0</v>
      </c>
      <c r="BD80" s="727">
        <v>0</v>
      </c>
      <c r="BE80" s="727"/>
      <c r="BF80" s="727"/>
      <c r="BG80" s="727">
        <v>0</v>
      </c>
      <c r="BH80" s="727">
        <v>0</v>
      </c>
      <c r="BI80" s="137">
        <f t="shared" si="36"/>
        <v>0</v>
      </c>
      <c r="BJ80" s="126"/>
      <c r="BK80" s="807"/>
      <c r="BL80" s="107"/>
      <c r="BM80" s="687"/>
      <c r="BO80" s="577"/>
      <c r="BS80" s="904"/>
      <c r="BT80" s="789"/>
      <c r="BU80" s="789">
        <v>0</v>
      </c>
      <c r="BV80" s="789">
        <v>0</v>
      </c>
      <c r="BW80" s="789">
        <f t="shared" si="69"/>
        <v>0</v>
      </c>
    </row>
    <row r="81" spans="1:75" ht="15" thickBot="1" x14ac:dyDescent="0.35">
      <c r="A81" s="219" t="s">
        <v>152</v>
      </c>
      <c r="B81" s="237">
        <v>2</v>
      </c>
      <c r="C81" s="40">
        <f>'[7]побудинковий звіт'!E81</f>
        <v>171.6</v>
      </c>
      <c r="D81" s="215">
        <f t="shared" si="44"/>
        <v>92.003087666959559</v>
      </c>
      <c r="E81" s="107">
        <f t="shared" si="45"/>
        <v>20.240696189897157</v>
      </c>
      <c r="F81" s="107">
        <f t="shared" si="46"/>
        <v>0</v>
      </c>
      <c r="G81" s="107">
        <f t="shared" si="47"/>
        <v>0</v>
      </c>
      <c r="H81" s="107">
        <f t="shared" si="48"/>
        <v>76.86625143992616</v>
      </c>
      <c r="I81" s="107">
        <f t="shared" si="49"/>
        <v>24.340888705589244</v>
      </c>
      <c r="J81" s="687">
        <f t="shared" si="37"/>
        <v>0</v>
      </c>
      <c r="K81" s="142">
        <f t="shared" si="50"/>
        <v>213.45092400237212</v>
      </c>
      <c r="L81" s="141">
        <f t="shared" si="38"/>
        <v>159.55866904201636</v>
      </c>
      <c r="M81" s="107">
        <f t="shared" si="39"/>
        <v>35.102741967854421</v>
      </c>
      <c r="N81" s="30">
        <f t="shared" si="51"/>
        <v>0</v>
      </c>
      <c r="O81" s="107">
        <f t="shared" si="40"/>
        <v>0.30893309675083547</v>
      </c>
      <c r="P81" s="107">
        <f t="shared" si="52"/>
        <v>133.30723006167239</v>
      </c>
      <c r="Q81" s="107">
        <f t="shared" si="53"/>
        <v>42.253537126314505</v>
      </c>
      <c r="R81" s="143">
        <f t="shared" si="54"/>
        <v>370.53111129460848</v>
      </c>
      <c r="S81" s="141">
        <f t="shared" si="55"/>
        <v>0</v>
      </c>
      <c r="T81" s="107">
        <f t="shared" si="41"/>
        <v>0</v>
      </c>
      <c r="U81" s="142">
        <f t="shared" si="56"/>
        <v>0</v>
      </c>
      <c r="V81" s="107"/>
      <c r="W81" s="107">
        <f t="shared" si="57"/>
        <v>0</v>
      </c>
      <c r="X81" s="142">
        <f t="shared" si="58"/>
        <v>0</v>
      </c>
      <c r="Y81" s="141">
        <v>0</v>
      </c>
      <c r="Z81" s="144">
        <v>0</v>
      </c>
      <c r="AA81" s="107">
        <f t="shared" si="42"/>
        <v>0</v>
      </c>
      <c r="AB81" s="142">
        <f t="shared" si="43"/>
        <v>0</v>
      </c>
      <c r="AC81" s="141">
        <v>0</v>
      </c>
      <c r="AD81" s="107">
        <f t="shared" si="59"/>
        <v>0</v>
      </c>
      <c r="AE81" s="142">
        <f t="shared" si="60"/>
        <v>0</v>
      </c>
      <c r="AF81" s="145">
        <v>0</v>
      </c>
      <c r="AG81" s="107">
        <f t="shared" si="61"/>
        <v>0</v>
      </c>
      <c r="AH81" s="142">
        <f t="shared" si="62"/>
        <v>0</v>
      </c>
      <c r="AI81" s="145">
        <v>0</v>
      </c>
      <c r="AJ81" s="107">
        <f t="shared" si="63"/>
        <v>0</v>
      </c>
      <c r="AK81" s="142">
        <f t="shared" si="64"/>
        <v>0</v>
      </c>
      <c r="AL81" s="146"/>
      <c r="AM81" s="215"/>
      <c r="AN81" s="107">
        <f t="shared" si="65"/>
        <v>0</v>
      </c>
      <c r="AO81" s="151">
        <f t="shared" si="66"/>
        <v>0</v>
      </c>
      <c r="AP81" s="282">
        <f t="shared" si="67"/>
        <v>0</v>
      </c>
      <c r="AQ81" s="684">
        <v>84.91</v>
      </c>
      <c r="AR81" s="741">
        <v>0</v>
      </c>
      <c r="AS81" s="741">
        <v>0</v>
      </c>
      <c r="AT81" s="741">
        <v>0</v>
      </c>
      <c r="AU81" s="411">
        <v>147.36635098410605</v>
      </c>
      <c r="AV81" s="801"/>
      <c r="AW81" s="256"/>
      <c r="AX81" s="728">
        <f t="shared" si="68"/>
        <v>0</v>
      </c>
      <c r="AY81" s="729">
        <v>0</v>
      </c>
      <c r="AZ81" s="730"/>
      <c r="BA81" s="731">
        <v>0</v>
      </c>
      <c r="BC81" s="727">
        <v>0</v>
      </c>
      <c r="BD81" s="727">
        <v>0</v>
      </c>
      <c r="BE81" s="727"/>
      <c r="BF81" s="727"/>
      <c r="BG81" s="727">
        <v>0</v>
      </c>
      <c r="BH81" s="727">
        <v>0</v>
      </c>
      <c r="BI81" s="137">
        <f>BC81+BD81+BE81+BG81</f>
        <v>0</v>
      </c>
      <c r="BJ81" s="126"/>
      <c r="BK81" s="807"/>
      <c r="BL81" s="107"/>
      <c r="BM81" s="687"/>
      <c r="BO81" s="577"/>
      <c r="BS81" s="904"/>
      <c r="BT81" s="789"/>
      <c r="BU81" s="789">
        <v>0</v>
      </c>
      <c r="BV81" s="789">
        <v>0</v>
      </c>
      <c r="BW81" s="789">
        <f t="shared" si="69"/>
        <v>0</v>
      </c>
    </row>
    <row r="82" spans="1:75" ht="15" thickBot="1" x14ac:dyDescent="0.35">
      <c r="A82" s="220" t="s">
        <v>75</v>
      </c>
      <c r="B82" s="238">
        <v>1</v>
      </c>
      <c r="C82" s="40">
        <f>'[7]побудинковий звіт'!E82</f>
        <v>151.6</v>
      </c>
      <c r="D82" s="215">
        <f t="shared" si="44"/>
        <v>99.674526374792237</v>
      </c>
      <c r="E82" s="107">
        <f t="shared" si="45"/>
        <v>21.92841411504698</v>
      </c>
      <c r="F82" s="107">
        <f t="shared" si="46"/>
        <v>0</v>
      </c>
      <c r="G82" s="107">
        <f t="shared" si="47"/>
        <v>0</v>
      </c>
      <c r="H82" s="107">
        <f t="shared" si="48"/>
        <v>83.275544340581874</v>
      </c>
      <c r="I82" s="107">
        <f t="shared" si="49"/>
        <v>26.370490543247605</v>
      </c>
      <c r="J82" s="687">
        <f t="shared" si="37"/>
        <v>0</v>
      </c>
      <c r="K82" s="142">
        <f t="shared" si="50"/>
        <v>231.24897537366869</v>
      </c>
      <c r="L82" s="141">
        <f t="shared" si="38"/>
        <v>0</v>
      </c>
      <c r="M82" s="107">
        <f t="shared" si="39"/>
        <v>0</v>
      </c>
      <c r="N82" s="30">
        <f t="shared" si="51"/>
        <v>0</v>
      </c>
      <c r="O82" s="107">
        <f t="shared" si="40"/>
        <v>0.27292690831833716</v>
      </c>
      <c r="P82" s="107">
        <f t="shared" si="52"/>
        <v>0</v>
      </c>
      <c r="Q82" s="107">
        <f t="shared" si="53"/>
        <v>3.5129196024480981E-2</v>
      </c>
      <c r="R82" s="143">
        <f t="shared" si="54"/>
        <v>0.30805610434281816</v>
      </c>
      <c r="S82" s="141">
        <f t="shared" si="55"/>
        <v>0</v>
      </c>
      <c r="T82" s="107">
        <f t="shared" si="41"/>
        <v>0</v>
      </c>
      <c r="U82" s="142">
        <f t="shared" si="56"/>
        <v>0</v>
      </c>
      <c r="V82" s="107"/>
      <c r="W82" s="107">
        <f t="shared" si="57"/>
        <v>0</v>
      </c>
      <c r="X82" s="142">
        <f t="shared" si="58"/>
        <v>0</v>
      </c>
      <c r="Y82" s="141">
        <v>0</v>
      </c>
      <c r="Z82" s="144">
        <v>0</v>
      </c>
      <c r="AA82" s="107">
        <f t="shared" si="42"/>
        <v>0</v>
      </c>
      <c r="AB82" s="142">
        <f t="shared" si="43"/>
        <v>0</v>
      </c>
      <c r="AC82" s="141">
        <v>0</v>
      </c>
      <c r="AD82" s="107">
        <f t="shared" si="59"/>
        <v>0</v>
      </c>
      <c r="AE82" s="142">
        <f t="shared" si="60"/>
        <v>0</v>
      </c>
      <c r="AF82" s="145">
        <v>0</v>
      </c>
      <c r="AG82" s="107">
        <f t="shared" si="61"/>
        <v>0</v>
      </c>
      <c r="AH82" s="142">
        <f t="shared" si="62"/>
        <v>0</v>
      </c>
      <c r="AI82" s="145">
        <v>0</v>
      </c>
      <c r="AJ82" s="107">
        <f t="shared" si="63"/>
        <v>0</v>
      </c>
      <c r="AK82" s="142">
        <f t="shared" si="64"/>
        <v>0</v>
      </c>
      <c r="AL82" s="146"/>
      <c r="AM82" s="215"/>
      <c r="AN82" s="107">
        <f t="shared" si="65"/>
        <v>0</v>
      </c>
      <c r="AO82" s="151">
        <f t="shared" si="66"/>
        <v>0</v>
      </c>
      <c r="AP82" s="282">
        <f t="shared" si="67"/>
        <v>0</v>
      </c>
      <c r="AQ82" s="684">
        <v>91.99</v>
      </c>
      <c r="AR82" s="741">
        <v>0</v>
      </c>
      <c r="AS82" s="741">
        <v>0</v>
      </c>
      <c r="AT82" s="741">
        <v>0</v>
      </c>
      <c r="AU82" s="411">
        <v>0</v>
      </c>
      <c r="AV82" s="801"/>
      <c r="AW82" s="256"/>
      <c r="AX82" s="728">
        <f t="shared" si="68"/>
        <v>0</v>
      </c>
      <c r="AY82" s="729">
        <v>0</v>
      </c>
      <c r="AZ82" s="730"/>
      <c r="BA82" s="731">
        <v>0</v>
      </c>
      <c r="BC82" s="727">
        <v>0</v>
      </c>
      <c r="BD82" s="727">
        <v>0</v>
      </c>
      <c r="BE82" s="727"/>
      <c r="BF82" s="727"/>
      <c r="BG82" s="727">
        <v>0</v>
      </c>
      <c r="BH82" s="727">
        <v>0</v>
      </c>
      <c r="BI82" s="137">
        <f t="shared" si="36"/>
        <v>0</v>
      </c>
      <c r="BJ82" s="126"/>
      <c r="BK82" s="807"/>
      <c r="BL82" s="107"/>
      <c r="BM82" s="687"/>
      <c r="BO82" s="577"/>
      <c r="BS82" s="904"/>
      <c r="BT82" s="789"/>
      <c r="BU82" s="789">
        <v>0</v>
      </c>
      <c r="BV82" s="789">
        <v>0</v>
      </c>
      <c r="BW82" s="789">
        <f t="shared" si="69"/>
        <v>0</v>
      </c>
    </row>
    <row r="83" spans="1:75" ht="15" thickBot="1" x14ac:dyDescent="0.35">
      <c r="A83" s="260" t="s">
        <v>351</v>
      </c>
      <c r="B83" s="237">
        <v>9</v>
      </c>
      <c r="C83" s="40">
        <f>'[7]побудинковий звіт'!E83</f>
        <v>5047.8</v>
      </c>
      <c r="D83" s="215">
        <f t="shared" si="44"/>
        <v>894.66787441048064</v>
      </c>
      <c r="E83" s="107">
        <f t="shared" si="45"/>
        <v>196.82709674217659</v>
      </c>
      <c r="F83" s="107">
        <f t="shared" si="46"/>
        <v>273.95931698278764</v>
      </c>
      <c r="G83" s="107">
        <f t="shared" si="47"/>
        <v>0</v>
      </c>
      <c r="H83" s="107">
        <f t="shared" si="48"/>
        <v>747.47236786876999</v>
      </c>
      <c r="I83" s="107">
        <f t="shared" si="49"/>
        <v>271.96077932172204</v>
      </c>
      <c r="J83" s="687">
        <f t="shared" si="37"/>
        <v>0</v>
      </c>
      <c r="K83" s="142">
        <f t="shared" si="50"/>
        <v>2384.8874353259366</v>
      </c>
      <c r="L83" s="141">
        <f t="shared" si="38"/>
        <v>918.37186287818736</v>
      </c>
      <c r="M83" s="107">
        <f t="shared" si="39"/>
        <v>202.04085886841892</v>
      </c>
      <c r="N83" s="30">
        <f t="shared" si="51"/>
        <v>98.310921167677066</v>
      </c>
      <c r="O83" s="107">
        <f t="shared" si="40"/>
        <v>9.0876018984782494</v>
      </c>
      <c r="P83" s="107">
        <f t="shared" si="52"/>
        <v>767.2764503609078</v>
      </c>
      <c r="Q83" s="107">
        <f t="shared" si="53"/>
        <v>256.7933926399038</v>
      </c>
      <c r="R83" s="143">
        <f t="shared" si="54"/>
        <v>2251.8810878135728</v>
      </c>
      <c r="S83" s="141">
        <f t="shared" si="55"/>
        <v>142.69200000000001</v>
      </c>
      <c r="T83" s="107">
        <f t="shared" si="41"/>
        <v>18.366291803219958</v>
      </c>
      <c r="U83" s="142">
        <f t="shared" si="56"/>
        <v>161.05829180321996</v>
      </c>
      <c r="V83" s="107"/>
      <c r="W83" s="107">
        <f t="shared" si="57"/>
        <v>0</v>
      </c>
      <c r="X83" s="142">
        <f t="shared" si="58"/>
        <v>0</v>
      </c>
      <c r="Y83" s="141">
        <v>3102.43</v>
      </c>
      <c r="Z83" s="144">
        <v>0</v>
      </c>
      <c r="AA83" s="107">
        <f t="shared" si="42"/>
        <v>399.32255963238083</v>
      </c>
      <c r="AB83" s="142">
        <f t="shared" si="43"/>
        <v>3501.7525596323808</v>
      </c>
      <c r="AC83" s="141">
        <v>236.15</v>
      </c>
      <c r="AD83" s="107">
        <f t="shared" si="59"/>
        <v>30.395535904818722</v>
      </c>
      <c r="AE83" s="142">
        <f t="shared" si="60"/>
        <v>266.54553590481873</v>
      </c>
      <c r="AF83" s="145">
        <v>959.2</v>
      </c>
      <c r="AG83" s="107">
        <f t="shared" si="61"/>
        <v>123.46135100530222</v>
      </c>
      <c r="AH83" s="142">
        <f t="shared" si="62"/>
        <v>1082.6613510053023</v>
      </c>
      <c r="AI83" s="145">
        <v>519.20000000000005</v>
      </c>
      <c r="AJ83" s="107">
        <f t="shared" si="63"/>
        <v>66.827703755163583</v>
      </c>
      <c r="AK83" s="142">
        <f t="shared" si="64"/>
        <v>586.02770375516366</v>
      </c>
      <c r="AL83" s="146"/>
      <c r="AM83" s="146"/>
      <c r="AN83" s="107">
        <f t="shared" si="65"/>
        <v>0</v>
      </c>
      <c r="AO83" s="151">
        <f t="shared" si="66"/>
        <v>0</v>
      </c>
      <c r="AP83" s="282">
        <f t="shared" si="67"/>
        <v>1365.1520406305806</v>
      </c>
      <c r="AQ83" s="684">
        <v>281.82</v>
      </c>
      <c r="AR83" s="411">
        <v>516.9555052032506</v>
      </c>
      <c r="AS83" s="411">
        <v>817.64433323783783</v>
      </c>
      <c r="AT83" s="411">
        <v>30.55220218949227</v>
      </c>
      <c r="AU83" s="411">
        <v>0</v>
      </c>
      <c r="AV83" s="742">
        <v>26.916883417258262</v>
      </c>
      <c r="AW83" s="256"/>
      <c r="AX83" s="728">
        <f t="shared" si="68"/>
        <v>156.94931698278762</v>
      </c>
      <c r="AY83" s="729">
        <v>98.310921167677066</v>
      </c>
      <c r="AZ83" s="730"/>
      <c r="BA83" s="731">
        <v>0</v>
      </c>
      <c r="BB83" s="742"/>
      <c r="BC83" s="727">
        <v>26.362500000000001</v>
      </c>
      <c r="BD83" s="727">
        <v>130.58681698278761</v>
      </c>
      <c r="BE83" s="727"/>
      <c r="BF83" s="727"/>
      <c r="BG83" s="727">
        <v>0</v>
      </c>
      <c r="BH83" s="727">
        <v>38.04296875</v>
      </c>
      <c r="BI83" s="137">
        <f>BC83+BD83+BE83+BG83</f>
        <v>156.94931698278762</v>
      </c>
      <c r="BJ83" s="126">
        <v>648.6</v>
      </c>
      <c r="BK83" s="807"/>
      <c r="BL83" s="107"/>
      <c r="BM83" s="687">
        <v>117.01</v>
      </c>
      <c r="BO83" s="577"/>
      <c r="BS83" s="904"/>
      <c r="BT83" s="789"/>
      <c r="BU83" s="789">
        <v>874.72099670796581</v>
      </c>
      <c r="BV83" s="789">
        <v>200.63232000000002</v>
      </c>
      <c r="BW83" s="789">
        <f t="shared" si="69"/>
        <v>1075.3533167079659</v>
      </c>
    </row>
    <row r="84" spans="1:75" ht="15" thickBot="1" x14ac:dyDescent="0.35">
      <c r="A84" s="260" t="s">
        <v>413</v>
      </c>
      <c r="B84" s="237">
        <v>10</v>
      </c>
      <c r="C84" s="40">
        <f>'[7]побудинковий звіт'!E84</f>
        <v>2605.5</v>
      </c>
      <c r="D84" s="215">
        <f t="shared" si="44"/>
        <v>647.37491520120034</v>
      </c>
      <c r="E84" s="107">
        <f t="shared" si="45"/>
        <v>142.42260028250809</v>
      </c>
      <c r="F84" s="107">
        <f t="shared" si="46"/>
        <v>201.22526461492487</v>
      </c>
      <c r="G84" s="107">
        <f t="shared" si="47"/>
        <v>0</v>
      </c>
      <c r="H84" s="107">
        <f t="shared" si="48"/>
        <v>540.86535864846599</v>
      </c>
      <c r="I84" s="107">
        <f t="shared" si="49"/>
        <v>197.17366471926053</v>
      </c>
      <c r="J84" s="687">
        <f t="shared" si="37"/>
        <v>0</v>
      </c>
      <c r="K84" s="142">
        <f t="shared" si="50"/>
        <v>1729.0618034663598</v>
      </c>
      <c r="L84" s="141">
        <f t="shared" si="38"/>
        <v>797.28514428777476</v>
      </c>
      <c r="M84" s="107">
        <f t="shared" si="39"/>
        <v>175.40190616260145</v>
      </c>
      <c r="N84" s="30">
        <f t="shared" si="51"/>
        <v>50.7563872687276</v>
      </c>
      <c r="O84" s="107">
        <f t="shared" si="40"/>
        <v>4.690706198043717</v>
      </c>
      <c r="P84" s="107">
        <f t="shared" si="52"/>
        <v>666.11156129872506</v>
      </c>
      <c r="Q84" s="107">
        <f t="shared" si="53"/>
        <v>218.07116732785929</v>
      </c>
      <c r="R84" s="143">
        <f t="shared" si="54"/>
        <v>1912.316872543732</v>
      </c>
      <c r="S84" s="141">
        <f t="shared" si="55"/>
        <v>67.254000000000005</v>
      </c>
      <c r="T84" s="107">
        <f t="shared" si="41"/>
        <v>8.6564529821836906</v>
      </c>
      <c r="U84" s="142">
        <f t="shared" si="56"/>
        <v>75.910452982183699</v>
      </c>
      <c r="V84" s="107"/>
      <c r="W84" s="107">
        <f t="shared" si="57"/>
        <v>0</v>
      </c>
      <c r="X84" s="142">
        <f t="shared" si="58"/>
        <v>0</v>
      </c>
      <c r="Y84" s="141">
        <v>1551.22</v>
      </c>
      <c r="Z84" s="144">
        <v>0</v>
      </c>
      <c r="AA84" s="107">
        <f t="shared" si="42"/>
        <v>199.66192338036373</v>
      </c>
      <c r="AB84" s="142">
        <f t="shared" si="43"/>
        <v>1750.8819233803638</v>
      </c>
      <c r="AC84" s="141">
        <v>0</v>
      </c>
      <c r="AD84" s="107">
        <f t="shared" si="59"/>
        <v>0</v>
      </c>
      <c r="AE84" s="142">
        <f t="shared" si="60"/>
        <v>0</v>
      </c>
      <c r="AF84" s="145">
        <v>402.6</v>
      </c>
      <c r="AG84" s="107">
        <f t="shared" si="61"/>
        <v>51.819787233876845</v>
      </c>
      <c r="AH84" s="142">
        <f t="shared" si="62"/>
        <v>454.41978723387689</v>
      </c>
      <c r="AI84" s="145">
        <v>393.8</v>
      </c>
      <c r="AJ84" s="107">
        <f t="shared" si="63"/>
        <v>50.687114288874071</v>
      </c>
      <c r="AK84" s="142">
        <f t="shared" si="64"/>
        <v>444.48711428887407</v>
      </c>
      <c r="AL84" s="146"/>
      <c r="AM84" s="146"/>
      <c r="AN84" s="107">
        <f t="shared" si="65"/>
        <v>0</v>
      </c>
      <c r="AO84" s="151">
        <f t="shared" si="66"/>
        <v>0</v>
      </c>
      <c r="AP84" s="282">
        <f t="shared" si="67"/>
        <v>1187.7920818641001</v>
      </c>
      <c r="AQ84" s="684">
        <v>122.53</v>
      </c>
      <c r="AR84" s="411">
        <v>451.42969483148721</v>
      </c>
      <c r="AS84" s="411">
        <v>708.88393903225904</v>
      </c>
      <c r="AT84" s="411">
        <v>27.478448000353943</v>
      </c>
      <c r="AU84" s="411">
        <v>0</v>
      </c>
      <c r="AV84" s="742">
        <v>23.505079923832504</v>
      </c>
      <c r="AW84" s="256"/>
      <c r="AX84" s="728">
        <f t="shared" si="68"/>
        <v>84.215264614924877</v>
      </c>
      <c r="AY84" s="729">
        <v>50.7563872687276</v>
      </c>
      <c r="AZ84" s="730"/>
      <c r="BA84" s="731">
        <v>0</v>
      </c>
      <c r="BB84" s="742"/>
      <c r="BC84" s="727">
        <v>15.817499999999999</v>
      </c>
      <c r="BD84" s="727">
        <v>68.397764614924881</v>
      </c>
      <c r="BE84" s="727"/>
      <c r="BF84" s="727"/>
      <c r="BG84" s="727">
        <v>0</v>
      </c>
      <c r="BH84" s="727">
        <v>22.825781249999999</v>
      </c>
      <c r="BI84" s="137">
        <f>BC84+BD84+BE84+BG84</f>
        <v>84.215264614924877</v>
      </c>
      <c r="BJ84" s="126">
        <v>305.7</v>
      </c>
      <c r="BK84" s="807"/>
      <c r="BL84" s="107"/>
      <c r="BM84" s="687">
        <v>117.01</v>
      </c>
      <c r="BO84" s="577"/>
      <c r="BS84" s="904"/>
      <c r="BT84" s="789"/>
      <c r="BU84" s="789">
        <v>283.32811093056597</v>
      </c>
      <c r="BV84" s="789">
        <v>200.63232000000002</v>
      </c>
      <c r="BW84" s="789">
        <f t="shared" si="69"/>
        <v>483.96043093056596</v>
      </c>
    </row>
    <row r="85" spans="1:75" ht="15" thickBot="1" x14ac:dyDescent="0.35">
      <c r="A85" s="260" t="s">
        <v>414</v>
      </c>
      <c r="B85" s="237">
        <v>10</v>
      </c>
      <c r="C85" s="40">
        <f>'[7]побудинковий звіт'!E85</f>
        <v>4661.7</v>
      </c>
      <c r="D85" s="215">
        <f t="shared" si="44"/>
        <v>1353.2918168696392</v>
      </c>
      <c r="E85" s="107">
        <f t="shared" si="45"/>
        <v>297.72444834337068</v>
      </c>
      <c r="F85" s="107">
        <f t="shared" si="46"/>
        <v>155.46291072235152</v>
      </c>
      <c r="G85" s="107">
        <f t="shared" si="47"/>
        <v>0</v>
      </c>
      <c r="H85" s="107">
        <f t="shared" si="48"/>
        <v>1130.6410654786434</v>
      </c>
      <c r="I85" s="107">
        <f t="shared" si="49"/>
        <v>378.04507200791534</v>
      </c>
      <c r="J85" s="687">
        <f t="shared" si="37"/>
        <v>0</v>
      </c>
      <c r="K85" s="142">
        <f t="shared" si="50"/>
        <v>3315.16531342192</v>
      </c>
      <c r="L85" s="141">
        <f t="shared" si="38"/>
        <v>1670.579095645018</v>
      </c>
      <c r="M85" s="107">
        <f t="shared" si="39"/>
        <v>367.52567117413446</v>
      </c>
      <c r="N85" s="30">
        <f t="shared" si="51"/>
        <v>90.791239987194444</v>
      </c>
      <c r="O85" s="107">
        <f t="shared" si="40"/>
        <v>8.392502430788868</v>
      </c>
      <c r="P85" s="107">
        <f t="shared" si="52"/>
        <v>1395.7265573625941</v>
      </c>
      <c r="Q85" s="107">
        <f t="shared" si="53"/>
        <v>454.74438411644121</v>
      </c>
      <c r="R85" s="143">
        <f t="shared" si="54"/>
        <v>3987.7594507161712</v>
      </c>
      <c r="S85" s="141">
        <f t="shared" si="55"/>
        <v>116.64400000000002</v>
      </c>
      <c r="T85" s="107">
        <f t="shared" si="41"/>
        <v>15.013579886011753</v>
      </c>
      <c r="U85" s="142">
        <f t="shared" si="56"/>
        <v>131.65757988601177</v>
      </c>
      <c r="V85" s="107"/>
      <c r="W85" s="107">
        <f t="shared" si="57"/>
        <v>0</v>
      </c>
      <c r="X85" s="142">
        <f t="shared" si="58"/>
        <v>0</v>
      </c>
      <c r="Y85" s="141">
        <v>2672.13</v>
      </c>
      <c r="Z85" s="144">
        <v>0</v>
      </c>
      <c r="AA85" s="107">
        <f t="shared" si="42"/>
        <v>343.93742687843849</v>
      </c>
      <c r="AB85" s="142">
        <f t="shared" si="43"/>
        <v>3016.0674268784387</v>
      </c>
      <c r="AC85" s="141">
        <v>0</v>
      </c>
      <c r="AD85" s="107">
        <f t="shared" si="59"/>
        <v>0</v>
      </c>
      <c r="AE85" s="142">
        <f t="shared" si="60"/>
        <v>0</v>
      </c>
      <c r="AF85" s="145">
        <v>470.8</v>
      </c>
      <c r="AG85" s="107">
        <f t="shared" si="61"/>
        <v>60.598002557648336</v>
      </c>
      <c r="AH85" s="142">
        <f t="shared" si="62"/>
        <v>531.3980025576484</v>
      </c>
      <c r="AI85" s="145">
        <v>616</v>
      </c>
      <c r="AJ85" s="107">
        <f t="shared" si="63"/>
        <v>79.287106150194077</v>
      </c>
      <c r="AK85" s="142">
        <f t="shared" si="64"/>
        <v>695.28710615019406</v>
      </c>
      <c r="AL85" s="146"/>
      <c r="AM85" s="146"/>
      <c r="AN85" s="107">
        <f t="shared" si="65"/>
        <v>0</v>
      </c>
      <c r="AO85" s="151">
        <f t="shared" si="66"/>
        <v>0</v>
      </c>
      <c r="AP85" s="282">
        <f t="shared" si="67"/>
        <v>2484.2031853423264</v>
      </c>
      <c r="AQ85" s="684">
        <v>258.67</v>
      </c>
      <c r="AR85" s="411">
        <v>941.27764683268822</v>
      </c>
      <c r="AS85" s="411">
        <v>1498.7901866104958</v>
      </c>
      <c r="AT85" s="411">
        <v>44.135351899142194</v>
      </c>
      <c r="AU85" s="411">
        <v>0</v>
      </c>
      <c r="AV85" s="742">
        <v>49.010524944705338</v>
      </c>
      <c r="AW85" s="256"/>
      <c r="AX85" s="728">
        <f t="shared" si="68"/>
        <v>155.46291072235152</v>
      </c>
      <c r="AY85" s="729">
        <v>90.791239987194444</v>
      </c>
      <c r="AZ85" s="730"/>
      <c r="BA85" s="731">
        <v>0</v>
      </c>
      <c r="BB85" s="742"/>
      <c r="BC85" s="727">
        <v>31.634999999999998</v>
      </c>
      <c r="BD85" s="727">
        <v>123.82791072235152</v>
      </c>
      <c r="BE85" s="727"/>
      <c r="BF85" s="727"/>
      <c r="BG85" s="727">
        <v>0</v>
      </c>
      <c r="BH85" s="727">
        <v>45.651562499999997</v>
      </c>
      <c r="BI85" s="137">
        <f>BC85+BD85+BE85+BG85</f>
        <v>155.46291072235152</v>
      </c>
      <c r="BJ85" s="126">
        <v>530.20000000000005</v>
      </c>
      <c r="BK85" s="807"/>
      <c r="BL85" s="107"/>
      <c r="BM85" s="687"/>
      <c r="BO85" s="577"/>
      <c r="BS85" s="904"/>
      <c r="BT85" s="789"/>
      <c r="BU85" s="789">
        <v>590.77817183284355</v>
      </c>
      <c r="BV85" s="789">
        <v>200.63232000000002</v>
      </c>
      <c r="BW85" s="789">
        <f t="shared" si="69"/>
        <v>791.4104918328436</v>
      </c>
    </row>
    <row r="86" spans="1:75" ht="15" thickBot="1" x14ac:dyDescent="0.35">
      <c r="A86" s="219" t="s">
        <v>352</v>
      </c>
      <c r="B86" s="237">
        <v>9</v>
      </c>
      <c r="C86" s="40">
        <f>'[7]побудинковий звіт'!E86</f>
        <v>4715.25</v>
      </c>
      <c r="D86" s="215">
        <f t="shared" si="44"/>
        <v>2666.934121655866</v>
      </c>
      <c r="E86" s="107">
        <f t="shared" si="45"/>
        <v>586.72599674382764</v>
      </c>
      <c r="F86" s="107">
        <f t="shared" si="46"/>
        <v>135.36257666465849</v>
      </c>
      <c r="G86" s="107">
        <f t="shared" si="47"/>
        <v>0</v>
      </c>
      <c r="H86" s="107">
        <f t="shared" si="48"/>
        <v>2228.1559670147644</v>
      </c>
      <c r="I86" s="107">
        <f t="shared" si="49"/>
        <v>723.0029883845325</v>
      </c>
      <c r="J86" s="687">
        <f t="shared" si="37"/>
        <v>0</v>
      </c>
      <c r="K86" s="142">
        <f t="shared" si="50"/>
        <v>6340.181650463649</v>
      </c>
      <c r="L86" s="141">
        <f t="shared" si="38"/>
        <v>1275.0449260070861</v>
      </c>
      <c r="M86" s="107">
        <f t="shared" si="39"/>
        <v>280.50856342542454</v>
      </c>
      <c r="N86" s="30">
        <f t="shared" si="51"/>
        <v>277.50266179446965</v>
      </c>
      <c r="O86" s="107">
        <f t="shared" si="40"/>
        <v>8.4889090003168821</v>
      </c>
      <c r="P86" s="107">
        <f t="shared" si="52"/>
        <v>1065.2677683431666</v>
      </c>
      <c r="Q86" s="107">
        <f t="shared" si="53"/>
        <v>374.14411898963027</v>
      </c>
      <c r="R86" s="143">
        <f t="shared" si="54"/>
        <v>3280.9569475600938</v>
      </c>
      <c r="S86" s="141">
        <f t="shared" si="55"/>
        <v>148.10400000000001</v>
      </c>
      <c r="T86" s="107">
        <f t="shared" si="41"/>
        <v>19.062885664396664</v>
      </c>
      <c r="U86" s="142">
        <f t="shared" si="56"/>
        <v>167.16688566439669</v>
      </c>
      <c r="V86" s="107"/>
      <c r="W86" s="107">
        <f t="shared" si="57"/>
        <v>0</v>
      </c>
      <c r="X86" s="142">
        <f t="shared" si="58"/>
        <v>0</v>
      </c>
      <c r="Y86" s="141">
        <v>4266.1400000000003</v>
      </c>
      <c r="Z86" s="144">
        <v>0</v>
      </c>
      <c r="AA86" s="107">
        <f t="shared" si="42"/>
        <v>549.10697245387826</v>
      </c>
      <c r="AB86" s="142">
        <f t="shared" si="43"/>
        <v>4815.2469724538787</v>
      </c>
      <c r="AC86" s="141">
        <v>236.15</v>
      </c>
      <c r="AD86" s="107">
        <f t="shared" si="59"/>
        <v>30.395535904818722</v>
      </c>
      <c r="AE86" s="142">
        <f t="shared" si="60"/>
        <v>266.54553590481873</v>
      </c>
      <c r="AF86" s="145">
        <v>1278.2</v>
      </c>
      <c r="AG86" s="107">
        <f t="shared" si="61"/>
        <v>164.52074526165271</v>
      </c>
      <c r="AH86" s="142">
        <f t="shared" si="62"/>
        <v>1442.7207452616528</v>
      </c>
      <c r="AI86" s="145">
        <v>990</v>
      </c>
      <c r="AJ86" s="107">
        <f t="shared" si="63"/>
        <v>127.42570631281191</v>
      </c>
      <c r="AK86" s="142">
        <f t="shared" si="64"/>
        <v>1117.4257063128118</v>
      </c>
      <c r="AL86" s="146"/>
      <c r="AM86" s="146"/>
      <c r="AN86" s="107">
        <f t="shared" si="65"/>
        <v>0</v>
      </c>
      <c r="AO86" s="151">
        <f t="shared" si="66"/>
        <v>0</v>
      </c>
      <c r="AP86" s="282">
        <f t="shared" si="67"/>
        <v>3638.9388837375363</v>
      </c>
      <c r="AQ86" s="684">
        <v>0</v>
      </c>
      <c r="AR86" s="741">
        <v>2461.3236578485266</v>
      </c>
      <c r="AS86" s="741">
        <v>1143.855344717105</v>
      </c>
      <c r="AT86" s="741">
        <v>33.75988117190456</v>
      </c>
      <c r="AU86" s="411">
        <v>0</v>
      </c>
      <c r="AV86" s="801"/>
      <c r="AW86" s="256"/>
      <c r="AX86" s="728">
        <f t="shared" si="68"/>
        <v>135.36257666465849</v>
      </c>
      <c r="AY86" s="729">
        <v>277.50266179446965</v>
      </c>
      <c r="AZ86" s="730"/>
      <c r="BA86" s="731">
        <v>0</v>
      </c>
      <c r="BC86" s="727">
        <v>0</v>
      </c>
      <c r="BD86" s="727">
        <v>135.36257666465849</v>
      </c>
      <c r="BE86" s="727"/>
      <c r="BF86" s="727"/>
      <c r="BG86" s="727">
        <v>0</v>
      </c>
      <c r="BH86" s="727">
        <v>6.6167069696171623</v>
      </c>
      <c r="BI86" s="137">
        <f>BC86+BD86+BE86+BG86</f>
        <v>135.36257666465849</v>
      </c>
      <c r="BJ86" s="126">
        <v>673.2</v>
      </c>
      <c r="BK86" s="807"/>
      <c r="BL86" s="107"/>
      <c r="BM86" s="687"/>
      <c r="BO86" s="577"/>
      <c r="BS86" s="904"/>
      <c r="BT86" s="789"/>
      <c r="BU86" s="789">
        <v>3513.5665557422371</v>
      </c>
      <c r="BV86" s="789">
        <v>0</v>
      </c>
      <c r="BW86" s="789">
        <f t="shared" si="69"/>
        <v>3513.5665557422371</v>
      </c>
    </row>
    <row r="87" spans="1:75" ht="15" thickBot="1" x14ac:dyDescent="0.35">
      <c r="A87" s="220" t="s">
        <v>76</v>
      </c>
      <c r="B87" s="238">
        <v>1</v>
      </c>
      <c r="C87" s="40">
        <f>'[7]побудинковий звіт'!E87</f>
        <v>258.5</v>
      </c>
      <c r="D87" s="215">
        <f t="shared" si="44"/>
        <v>53.667564858609197</v>
      </c>
      <c r="E87" s="107">
        <f t="shared" si="45"/>
        <v>11.806874128908328</v>
      </c>
      <c r="F87" s="107">
        <f t="shared" si="46"/>
        <v>0</v>
      </c>
      <c r="G87" s="107">
        <f t="shared" si="47"/>
        <v>0</v>
      </c>
      <c r="H87" s="107">
        <f t="shared" si="48"/>
        <v>44.837892283824551</v>
      </c>
      <c r="I87" s="107">
        <f t="shared" si="49"/>
        <v>14.198612855821873</v>
      </c>
      <c r="J87" s="687">
        <f t="shared" si="37"/>
        <v>0</v>
      </c>
      <c r="K87" s="142">
        <f t="shared" si="50"/>
        <v>124.51094412716397</v>
      </c>
      <c r="L87" s="141">
        <f t="shared" si="38"/>
        <v>0</v>
      </c>
      <c r="M87" s="107">
        <f t="shared" si="39"/>
        <v>0</v>
      </c>
      <c r="N87" s="30">
        <f t="shared" si="51"/>
        <v>0</v>
      </c>
      <c r="O87" s="107">
        <f t="shared" si="40"/>
        <v>0.46537998549004067</v>
      </c>
      <c r="P87" s="107">
        <f t="shared" si="52"/>
        <v>0</v>
      </c>
      <c r="Q87" s="107">
        <f t="shared" si="53"/>
        <v>5.9900377126176359E-2</v>
      </c>
      <c r="R87" s="143">
        <f t="shared" si="54"/>
        <v>0.52528036261621702</v>
      </c>
      <c r="S87" s="141">
        <f t="shared" si="55"/>
        <v>0</v>
      </c>
      <c r="T87" s="107">
        <f t="shared" si="41"/>
        <v>0</v>
      </c>
      <c r="U87" s="142">
        <f t="shared" si="56"/>
        <v>0</v>
      </c>
      <c r="V87" s="107"/>
      <c r="W87" s="107">
        <f t="shared" si="57"/>
        <v>0</v>
      </c>
      <c r="X87" s="142">
        <f t="shared" si="58"/>
        <v>0</v>
      </c>
      <c r="Y87" s="141">
        <v>0</v>
      </c>
      <c r="Z87" s="144">
        <v>0</v>
      </c>
      <c r="AA87" s="107">
        <f t="shared" si="42"/>
        <v>0</v>
      </c>
      <c r="AB87" s="142">
        <f t="shared" si="43"/>
        <v>0</v>
      </c>
      <c r="AC87" s="141">
        <v>0</v>
      </c>
      <c r="AD87" s="107">
        <f t="shared" si="59"/>
        <v>0</v>
      </c>
      <c r="AE87" s="142">
        <f t="shared" si="60"/>
        <v>0</v>
      </c>
      <c r="AF87" s="145">
        <v>0</v>
      </c>
      <c r="AG87" s="107">
        <f t="shared" si="61"/>
        <v>0</v>
      </c>
      <c r="AH87" s="142">
        <f t="shared" si="62"/>
        <v>0</v>
      </c>
      <c r="AI87" s="145">
        <v>0</v>
      </c>
      <c r="AJ87" s="107">
        <f t="shared" si="63"/>
        <v>0</v>
      </c>
      <c r="AK87" s="142">
        <f t="shared" si="64"/>
        <v>0</v>
      </c>
      <c r="AL87" s="146"/>
      <c r="AM87" s="146"/>
      <c r="AN87" s="107">
        <f t="shared" si="65"/>
        <v>0</v>
      </c>
      <c r="AO87" s="151">
        <f t="shared" si="66"/>
        <v>0</v>
      </c>
      <c r="AP87" s="282">
        <f t="shared" si="67"/>
        <v>0</v>
      </c>
      <c r="AQ87" s="684">
        <v>49.53</v>
      </c>
      <c r="AR87" s="741">
        <v>0</v>
      </c>
      <c r="AS87" s="741">
        <v>0</v>
      </c>
      <c r="AT87" s="741">
        <v>0</v>
      </c>
      <c r="AU87" s="411">
        <v>0</v>
      </c>
      <c r="AV87" s="801"/>
      <c r="AW87" s="256"/>
      <c r="AX87" s="728">
        <f t="shared" si="68"/>
        <v>0</v>
      </c>
      <c r="AY87" s="729">
        <v>0</v>
      </c>
      <c r="AZ87" s="730"/>
      <c r="BA87" s="731">
        <v>0</v>
      </c>
      <c r="BC87" s="727">
        <v>0</v>
      </c>
      <c r="BD87" s="727">
        <v>0</v>
      </c>
      <c r="BE87" s="727"/>
      <c r="BF87" s="727"/>
      <c r="BG87" s="727">
        <v>0</v>
      </c>
      <c r="BH87" s="727">
        <v>0</v>
      </c>
      <c r="BI87" s="137">
        <f t="shared" si="36"/>
        <v>0</v>
      </c>
      <c r="BJ87" s="126"/>
      <c r="BK87" s="807"/>
      <c r="BL87" s="107"/>
      <c r="BM87" s="687"/>
      <c r="BO87" s="577"/>
      <c r="BS87" s="904"/>
      <c r="BT87" s="789"/>
      <c r="BU87" s="789">
        <v>0</v>
      </c>
      <c r="BV87" s="789">
        <v>0</v>
      </c>
      <c r="BW87" s="789">
        <f t="shared" si="69"/>
        <v>0</v>
      </c>
    </row>
    <row r="88" spans="1:75" ht="15" thickBot="1" x14ac:dyDescent="0.35">
      <c r="A88" s="219" t="s">
        <v>353</v>
      </c>
      <c r="B88" s="237">
        <v>9</v>
      </c>
      <c r="C88" s="40">
        <f>'[7]побудинковий звіт'!E88</f>
        <v>9737.7999999999993</v>
      </c>
      <c r="D88" s="215">
        <f t="shared" si="44"/>
        <v>7228.2836699499649</v>
      </c>
      <c r="E88" s="107">
        <f t="shared" si="45"/>
        <v>1590.2237353974565</v>
      </c>
      <c r="F88" s="107">
        <f t="shared" si="46"/>
        <v>375.86312689558395</v>
      </c>
      <c r="G88" s="107">
        <f t="shared" si="47"/>
        <v>0</v>
      </c>
      <c r="H88" s="107">
        <f t="shared" si="48"/>
        <v>6039.0480813506338</v>
      </c>
      <c r="I88" s="107">
        <f t="shared" si="49"/>
        <v>1960.7364913089955</v>
      </c>
      <c r="J88" s="687">
        <f t="shared" si="37"/>
        <v>0</v>
      </c>
      <c r="K88" s="142">
        <f t="shared" si="50"/>
        <v>17194.155104902635</v>
      </c>
      <c r="L88" s="141">
        <f t="shared" si="38"/>
        <v>3919.7815940895584</v>
      </c>
      <c r="M88" s="107">
        <f t="shared" si="39"/>
        <v>862.34789180547818</v>
      </c>
      <c r="N88" s="30">
        <f t="shared" si="51"/>
        <v>160.17129082043448</v>
      </c>
      <c r="O88" s="107">
        <f t="shared" si="40"/>
        <v>17.531053085899099</v>
      </c>
      <c r="P88" s="107">
        <f t="shared" si="52"/>
        <v>3274.8783246443804</v>
      </c>
      <c r="Q88" s="107">
        <f t="shared" si="53"/>
        <v>1059.9128865773073</v>
      </c>
      <c r="R88" s="143">
        <f t="shared" si="54"/>
        <v>9294.6230410230582</v>
      </c>
      <c r="S88" s="141">
        <f t="shared" si="55"/>
        <v>223.08</v>
      </c>
      <c r="T88" s="107">
        <f t="shared" si="41"/>
        <v>28.713259155820285</v>
      </c>
      <c r="U88" s="142">
        <f t="shared" si="56"/>
        <v>251.79325915582029</v>
      </c>
      <c r="V88" s="107"/>
      <c r="W88" s="107">
        <f t="shared" si="57"/>
        <v>0</v>
      </c>
      <c r="X88" s="142">
        <f t="shared" si="58"/>
        <v>0</v>
      </c>
      <c r="Y88" s="141">
        <v>5657.32</v>
      </c>
      <c r="Z88" s="144">
        <v>0</v>
      </c>
      <c r="AA88" s="107">
        <f t="shared" si="42"/>
        <v>728.16969377535054</v>
      </c>
      <c r="AB88" s="142">
        <f t="shared" si="43"/>
        <v>6385.4896937753501</v>
      </c>
      <c r="AC88" s="141">
        <v>354.22500000000002</v>
      </c>
      <c r="AD88" s="107">
        <f t="shared" si="59"/>
        <v>45.593303857228086</v>
      </c>
      <c r="AE88" s="142">
        <f t="shared" si="60"/>
        <v>399.8183038572281</v>
      </c>
      <c r="AF88" s="145">
        <v>1641.2</v>
      </c>
      <c r="AG88" s="107">
        <f t="shared" si="61"/>
        <v>211.2435042430171</v>
      </c>
      <c r="AH88" s="142">
        <f t="shared" si="62"/>
        <v>1852.4435042430171</v>
      </c>
      <c r="AI88" s="145">
        <v>2464</v>
      </c>
      <c r="AJ88" s="107">
        <f t="shared" si="63"/>
        <v>317.14842460077631</v>
      </c>
      <c r="AK88" s="142">
        <f t="shared" si="64"/>
        <v>2781.1484246007763</v>
      </c>
      <c r="AL88" s="146"/>
      <c r="AM88" s="215"/>
      <c r="AN88" s="107">
        <f t="shared" si="65"/>
        <v>0</v>
      </c>
      <c r="AO88" s="151">
        <f t="shared" si="66"/>
        <v>0</v>
      </c>
      <c r="AP88" s="282">
        <f t="shared" si="67"/>
        <v>10291.270797217869</v>
      </c>
      <c r="AQ88" s="684">
        <v>0</v>
      </c>
      <c r="AR88" s="741">
        <v>6671.010527789761</v>
      </c>
      <c r="AS88" s="741">
        <v>3530.8376672221416</v>
      </c>
      <c r="AT88" s="741">
        <v>89.422602205967266</v>
      </c>
      <c r="AU88" s="411">
        <v>0</v>
      </c>
      <c r="AV88" s="801"/>
      <c r="AW88" s="256"/>
      <c r="AX88" s="728">
        <f t="shared" si="68"/>
        <v>375.86312689558395</v>
      </c>
      <c r="AY88" s="729">
        <v>160.17129082043448</v>
      </c>
      <c r="AZ88" s="730"/>
      <c r="BA88" s="731">
        <v>0</v>
      </c>
      <c r="BC88" s="727">
        <v>90</v>
      </c>
      <c r="BD88" s="727">
        <v>285.86312689558395</v>
      </c>
      <c r="BE88" s="727"/>
      <c r="BF88" s="727"/>
      <c r="BG88" s="727">
        <v>0</v>
      </c>
      <c r="BH88" s="727">
        <v>19.789786194842819</v>
      </c>
      <c r="BI88" s="137">
        <f>BC88+BD88+BE88+BG88</f>
        <v>375.86312689558395</v>
      </c>
      <c r="BJ88" s="126">
        <v>1014</v>
      </c>
      <c r="BK88" s="807"/>
      <c r="BL88" s="107"/>
      <c r="BM88" s="687"/>
      <c r="BO88" s="577"/>
      <c r="BS88" s="904"/>
      <c r="BT88" s="789"/>
      <c r="BU88" s="789">
        <v>7467.2948551934069</v>
      </c>
      <c r="BV88" s="789">
        <v>0</v>
      </c>
      <c r="BW88" s="789">
        <f t="shared" si="69"/>
        <v>7467.2948551934069</v>
      </c>
    </row>
    <row r="89" spans="1:75" ht="15" thickBot="1" x14ac:dyDescent="0.35">
      <c r="A89" s="220" t="s">
        <v>77</v>
      </c>
      <c r="B89" s="238">
        <v>1</v>
      </c>
      <c r="C89" s="40">
        <f>'[7]побудинковий звіт'!E89</f>
        <v>250.4</v>
      </c>
      <c r="D89" s="215">
        <f t="shared" si="44"/>
        <v>168.66329791825373</v>
      </c>
      <c r="E89" s="107">
        <f t="shared" si="45"/>
        <v>37.105956529494655</v>
      </c>
      <c r="F89" s="107">
        <f t="shared" si="46"/>
        <v>0</v>
      </c>
      <c r="G89" s="107">
        <f t="shared" si="47"/>
        <v>0</v>
      </c>
      <c r="H89" s="107">
        <f t="shared" si="48"/>
        <v>140.91391707854089</v>
      </c>
      <c r="I89" s="107">
        <f t="shared" si="49"/>
        <v>44.622573735861749</v>
      </c>
      <c r="J89" s="687">
        <f t="shared" si="37"/>
        <v>0</v>
      </c>
      <c r="K89" s="142">
        <f t="shared" si="50"/>
        <v>391.30574526215099</v>
      </c>
      <c r="L89" s="141">
        <f t="shared" si="38"/>
        <v>0</v>
      </c>
      <c r="M89" s="107">
        <f t="shared" si="39"/>
        <v>0</v>
      </c>
      <c r="N89" s="30">
        <f t="shared" si="51"/>
        <v>0</v>
      </c>
      <c r="O89" s="107">
        <f t="shared" si="40"/>
        <v>0.45079747917487883</v>
      </c>
      <c r="P89" s="107">
        <f t="shared" si="52"/>
        <v>0</v>
      </c>
      <c r="Q89" s="107">
        <f t="shared" si="53"/>
        <v>5.8023421401913189E-2</v>
      </c>
      <c r="R89" s="143">
        <f t="shared" si="54"/>
        <v>0.50882090057679208</v>
      </c>
      <c r="S89" s="141">
        <f t="shared" si="55"/>
        <v>0</v>
      </c>
      <c r="T89" s="107">
        <f t="shared" si="41"/>
        <v>0</v>
      </c>
      <c r="U89" s="142">
        <f t="shared" si="56"/>
        <v>0</v>
      </c>
      <c r="V89" s="107"/>
      <c r="W89" s="107">
        <f t="shared" si="57"/>
        <v>0</v>
      </c>
      <c r="X89" s="142">
        <f t="shared" si="58"/>
        <v>0</v>
      </c>
      <c r="Y89" s="141">
        <v>0</v>
      </c>
      <c r="Z89" s="144">
        <v>0</v>
      </c>
      <c r="AA89" s="107">
        <f t="shared" si="42"/>
        <v>0</v>
      </c>
      <c r="AB89" s="142">
        <f t="shared" si="43"/>
        <v>0</v>
      </c>
      <c r="AC89" s="141">
        <v>0</v>
      </c>
      <c r="AD89" s="107">
        <f t="shared" si="59"/>
        <v>0</v>
      </c>
      <c r="AE89" s="142">
        <f t="shared" si="60"/>
        <v>0</v>
      </c>
      <c r="AF89" s="145">
        <v>0</v>
      </c>
      <c r="AG89" s="107">
        <f t="shared" si="61"/>
        <v>0</v>
      </c>
      <c r="AH89" s="142">
        <f t="shared" si="62"/>
        <v>0</v>
      </c>
      <c r="AI89" s="145">
        <v>0</v>
      </c>
      <c r="AJ89" s="107">
        <f t="shared" si="63"/>
        <v>0</v>
      </c>
      <c r="AK89" s="142">
        <f t="shared" si="64"/>
        <v>0</v>
      </c>
      <c r="AL89" s="146"/>
      <c r="AM89" s="146"/>
      <c r="AN89" s="107">
        <f t="shared" si="65"/>
        <v>0</v>
      </c>
      <c r="AO89" s="151">
        <f t="shared" si="66"/>
        <v>0</v>
      </c>
      <c r="AP89" s="282">
        <f t="shared" si="67"/>
        <v>0</v>
      </c>
      <c r="AQ89" s="684">
        <v>155.66</v>
      </c>
      <c r="AR89" s="741">
        <v>0</v>
      </c>
      <c r="AS89" s="741">
        <v>0</v>
      </c>
      <c r="AT89" s="741">
        <v>0</v>
      </c>
      <c r="AU89" s="411">
        <v>0</v>
      </c>
      <c r="AV89" s="801"/>
      <c r="AW89" s="256"/>
      <c r="AX89" s="728">
        <f t="shared" si="68"/>
        <v>0</v>
      </c>
      <c r="AY89" s="729">
        <v>0</v>
      </c>
      <c r="AZ89" s="730"/>
      <c r="BA89" s="731">
        <v>0</v>
      </c>
      <c r="BC89" s="727">
        <v>0</v>
      </c>
      <c r="BD89" s="727">
        <v>0</v>
      </c>
      <c r="BE89" s="727"/>
      <c r="BF89" s="727"/>
      <c r="BG89" s="727">
        <v>0</v>
      </c>
      <c r="BH89" s="727">
        <v>0</v>
      </c>
      <c r="BI89" s="137">
        <f t="shared" si="36"/>
        <v>0</v>
      </c>
      <c r="BJ89" s="126"/>
      <c r="BK89" s="807"/>
      <c r="BL89" s="107"/>
      <c r="BM89" s="687"/>
      <c r="BO89" s="577"/>
      <c r="BS89" s="904"/>
      <c r="BT89" s="789"/>
      <c r="BU89" s="789">
        <v>0</v>
      </c>
      <c r="BV89" s="789">
        <v>0</v>
      </c>
      <c r="BW89" s="789">
        <f t="shared" si="69"/>
        <v>0</v>
      </c>
    </row>
    <row r="90" spans="1:75" ht="15" thickBot="1" x14ac:dyDescent="0.35">
      <c r="A90" s="219" t="s">
        <v>255</v>
      </c>
      <c r="B90" s="237">
        <v>5</v>
      </c>
      <c r="C90" s="40">
        <f>'[7]побудинковий звіт'!E90</f>
        <v>1899.07</v>
      </c>
      <c r="D90" s="215">
        <f t="shared" si="44"/>
        <v>1098.798675412713</v>
      </c>
      <c r="E90" s="107">
        <f t="shared" si="45"/>
        <v>241.73591046637452</v>
      </c>
      <c r="F90" s="107">
        <f t="shared" si="46"/>
        <v>56.235921333841532</v>
      </c>
      <c r="G90" s="107">
        <f t="shared" si="47"/>
        <v>0</v>
      </c>
      <c r="H90" s="107">
        <f t="shared" si="48"/>
        <v>918.01848620416627</v>
      </c>
      <c r="I90" s="107">
        <f t="shared" si="49"/>
        <v>297.94305298110737</v>
      </c>
      <c r="J90" s="687">
        <f t="shared" si="37"/>
        <v>0</v>
      </c>
      <c r="K90" s="142">
        <f t="shared" si="50"/>
        <v>2612.7320463982028</v>
      </c>
      <c r="L90" s="141">
        <f t="shared" si="38"/>
        <v>318.3740761974633</v>
      </c>
      <c r="M90" s="107">
        <f t="shared" si="39"/>
        <v>70.041967090303729</v>
      </c>
      <c r="N90" s="30">
        <f t="shared" si="51"/>
        <v>31.225822108158759</v>
      </c>
      <c r="O90" s="107">
        <f t="shared" si="40"/>
        <v>3.4189136133252283</v>
      </c>
      <c r="P90" s="107">
        <f t="shared" si="52"/>
        <v>265.99348362671276</v>
      </c>
      <c r="Q90" s="107">
        <f t="shared" si="53"/>
        <v>88.690127378021714</v>
      </c>
      <c r="R90" s="143">
        <f t="shared" si="54"/>
        <v>777.74439001398559</v>
      </c>
      <c r="S90" s="141">
        <f t="shared" si="55"/>
        <v>52.360000000000007</v>
      </c>
      <c r="T90" s="107">
        <f t="shared" si="41"/>
        <v>6.7394040227664975</v>
      </c>
      <c r="U90" s="142">
        <f t="shared" si="56"/>
        <v>59.099404022766507</v>
      </c>
      <c r="V90" s="107"/>
      <c r="W90" s="107">
        <f t="shared" si="57"/>
        <v>0</v>
      </c>
      <c r="X90" s="142">
        <f t="shared" si="58"/>
        <v>0</v>
      </c>
      <c r="Y90" s="141">
        <v>0</v>
      </c>
      <c r="Z90" s="144">
        <v>0</v>
      </c>
      <c r="AA90" s="107">
        <f t="shared" si="42"/>
        <v>0</v>
      </c>
      <c r="AB90" s="142">
        <f t="shared" si="43"/>
        <v>0</v>
      </c>
      <c r="AC90" s="141">
        <v>0</v>
      </c>
      <c r="AD90" s="107">
        <f t="shared" si="59"/>
        <v>0</v>
      </c>
      <c r="AE90" s="142">
        <f t="shared" si="60"/>
        <v>0</v>
      </c>
      <c r="AF90" s="145">
        <v>94.6</v>
      </c>
      <c r="AG90" s="107">
        <f t="shared" si="61"/>
        <v>12.176234158779804</v>
      </c>
      <c r="AH90" s="142">
        <f t="shared" si="62"/>
        <v>106.7762341587798</v>
      </c>
      <c r="AI90" s="145">
        <v>0</v>
      </c>
      <c r="AJ90" s="107">
        <f t="shared" si="63"/>
        <v>0</v>
      </c>
      <c r="AK90" s="142">
        <f t="shared" si="64"/>
        <v>0</v>
      </c>
      <c r="AL90" s="146">
        <v>2167.5</v>
      </c>
      <c r="AM90" s="146"/>
      <c r="AN90" s="107">
        <f t="shared" si="65"/>
        <v>278.98506912426245</v>
      </c>
      <c r="AO90" s="151">
        <f t="shared" si="66"/>
        <v>2446.4850691242623</v>
      </c>
      <c r="AP90" s="282">
        <f t="shared" si="67"/>
        <v>926.55171706683052</v>
      </c>
      <c r="AQ90" s="684">
        <v>381.58</v>
      </c>
      <c r="AR90" s="741">
        <v>632.50548229408275</v>
      </c>
      <c r="AS90" s="741">
        <v>285.60331880153177</v>
      </c>
      <c r="AT90" s="741">
        <v>8.4429159712159905</v>
      </c>
      <c r="AU90" s="411">
        <v>0</v>
      </c>
      <c r="AV90" s="801"/>
      <c r="AW90" s="256"/>
      <c r="AX90" s="728">
        <f t="shared" si="68"/>
        <v>56.235921333841532</v>
      </c>
      <c r="AY90" s="729">
        <v>31.225822108158759</v>
      </c>
      <c r="AZ90" s="730"/>
      <c r="BA90" s="731">
        <v>0</v>
      </c>
      <c r="BC90" s="727">
        <v>0</v>
      </c>
      <c r="BD90" s="727">
        <v>56.235921333841532</v>
      </c>
      <c r="BE90" s="727"/>
      <c r="BF90" s="727"/>
      <c r="BG90" s="727">
        <v>0</v>
      </c>
      <c r="BH90" s="727">
        <v>4.364210979960256</v>
      </c>
      <c r="BI90" s="137">
        <f>BC90+BD90+BE90+BG90</f>
        <v>56.235921333841532</v>
      </c>
      <c r="BJ90" s="126">
        <v>238</v>
      </c>
      <c r="BK90" s="807"/>
      <c r="BL90" s="107"/>
      <c r="BM90" s="687"/>
      <c r="BO90" s="577"/>
      <c r="BS90" s="904"/>
      <c r="BT90" s="789"/>
      <c r="BU90" s="789">
        <v>708.00790359033545</v>
      </c>
      <c r="BV90" s="789">
        <v>0</v>
      </c>
      <c r="BW90" s="789">
        <f t="shared" si="69"/>
        <v>708.00790359033545</v>
      </c>
    </row>
    <row r="91" spans="1:75" ht="15" thickBot="1" x14ac:dyDescent="0.35">
      <c r="A91" s="219" t="s">
        <v>354</v>
      </c>
      <c r="B91" s="237">
        <v>9</v>
      </c>
      <c r="C91" s="40">
        <f>'[7]побудинковий звіт'!E91</f>
        <v>9311.5499999999993</v>
      </c>
      <c r="D91" s="215">
        <f t="shared" si="44"/>
        <v>1527.8454600238319</v>
      </c>
      <c r="E91" s="107">
        <f t="shared" si="45"/>
        <v>336.12628190696915</v>
      </c>
      <c r="F91" s="107">
        <f t="shared" si="46"/>
        <v>358.1299989489454</v>
      </c>
      <c r="G91" s="107">
        <f t="shared" si="47"/>
        <v>0</v>
      </c>
      <c r="H91" s="107">
        <f t="shared" si="48"/>
        <v>1276.4762169358894</v>
      </c>
      <c r="I91" s="107">
        <f t="shared" si="49"/>
        <v>450.31188622736619</v>
      </c>
      <c r="J91" s="687">
        <f t="shared" si="37"/>
        <v>0</v>
      </c>
      <c r="K91" s="142">
        <f t="shared" si="50"/>
        <v>3948.8898440430025</v>
      </c>
      <c r="L91" s="141">
        <f t="shared" si="38"/>
        <v>836.84080045732139</v>
      </c>
      <c r="M91" s="107">
        <f t="shared" si="39"/>
        <v>184.10410956041952</v>
      </c>
      <c r="N91" s="30">
        <f t="shared" si="51"/>
        <v>152.57442525928752</v>
      </c>
      <c r="O91" s="107">
        <f t="shared" si="40"/>
        <v>16.763671194931479</v>
      </c>
      <c r="P91" s="107">
        <f t="shared" si="52"/>
        <v>699.15931100040757</v>
      </c>
      <c r="Q91" s="107">
        <f t="shared" si="53"/>
        <v>243.19547660730569</v>
      </c>
      <c r="R91" s="143">
        <f t="shared" si="54"/>
        <v>2132.6377940796733</v>
      </c>
      <c r="S91" s="141">
        <f t="shared" si="55"/>
        <v>193.77599999999998</v>
      </c>
      <c r="T91" s="107">
        <f t="shared" si="41"/>
        <v>24.941458248961048</v>
      </c>
      <c r="U91" s="142">
        <f t="shared" si="56"/>
        <v>218.71745824896104</v>
      </c>
      <c r="V91" s="107"/>
      <c r="W91" s="107">
        <f t="shared" si="57"/>
        <v>0</v>
      </c>
      <c r="X91" s="142">
        <f t="shared" si="58"/>
        <v>0</v>
      </c>
      <c r="Y91" s="141">
        <v>6784.83</v>
      </c>
      <c r="Z91" s="144">
        <v>0</v>
      </c>
      <c r="AA91" s="107">
        <f t="shared" si="42"/>
        <v>873.29470198217746</v>
      </c>
      <c r="AB91" s="142">
        <f t="shared" si="43"/>
        <v>7658.1247019821776</v>
      </c>
      <c r="AC91" s="141">
        <v>236.15</v>
      </c>
      <c r="AD91" s="107">
        <f t="shared" si="59"/>
        <v>30.395535904818722</v>
      </c>
      <c r="AE91" s="142">
        <f t="shared" si="60"/>
        <v>266.54553590481873</v>
      </c>
      <c r="AF91" s="145">
        <v>2439.8000000000002</v>
      </c>
      <c r="AG91" s="107">
        <f t="shared" si="61"/>
        <v>314.03357400201872</v>
      </c>
      <c r="AH91" s="142">
        <f t="shared" si="62"/>
        <v>2753.8335740020188</v>
      </c>
      <c r="AI91" s="145">
        <v>1623.6</v>
      </c>
      <c r="AJ91" s="107">
        <f t="shared" si="63"/>
        <v>208.97815835301154</v>
      </c>
      <c r="AK91" s="142">
        <f t="shared" si="64"/>
        <v>1832.5781583530115</v>
      </c>
      <c r="AL91" s="146"/>
      <c r="AM91" s="215"/>
      <c r="AN91" s="107">
        <f t="shared" si="65"/>
        <v>0</v>
      </c>
      <c r="AO91" s="151">
        <f t="shared" si="66"/>
        <v>0</v>
      </c>
      <c r="AP91" s="282">
        <f t="shared" si="67"/>
        <v>2182.9498802254598</v>
      </c>
      <c r="AQ91" s="684">
        <v>0</v>
      </c>
      <c r="AR91" s="741">
        <v>1410.0543938289193</v>
      </c>
      <c r="AS91" s="741">
        <v>753.53392749539773</v>
      </c>
      <c r="AT91" s="741">
        <v>19.361558901142846</v>
      </c>
      <c r="AU91" s="411">
        <v>0</v>
      </c>
      <c r="AV91" s="801"/>
      <c r="AW91" s="256"/>
      <c r="AX91" s="728">
        <f t="shared" si="68"/>
        <v>358.1299989489454</v>
      </c>
      <c r="AY91" s="729">
        <v>152.57442525928752</v>
      </c>
      <c r="AZ91" s="730"/>
      <c r="BA91" s="731">
        <v>0</v>
      </c>
      <c r="BC91" s="727">
        <v>90</v>
      </c>
      <c r="BD91" s="727">
        <v>268.1299989489454</v>
      </c>
      <c r="BE91" s="727"/>
      <c r="BF91" s="727"/>
      <c r="BG91" s="727">
        <v>0</v>
      </c>
      <c r="BH91" s="727">
        <v>14.67641918260828</v>
      </c>
      <c r="BI91" s="137">
        <f>BC91+BD91+BE91+BG91</f>
        <v>358.1299989489454</v>
      </c>
      <c r="BJ91" s="126">
        <v>880.8</v>
      </c>
      <c r="BK91" s="807"/>
      <c r="BL91" s="107"/>
      <c r="BM91" s="687"/>
      <c r="BO91" s="577"/>
      <c r="BS91" s="904"/>
      <c r="BT91" s="789"/>
      <c r="BU91" s="789">
        <v>1314.2370699331741</v>
      </c>
      <c r="BV91" s="789">
        <v>0</v>
      </c>
      <c r="BW91" s="789">
        <f t="shared" si="69"/>
        <v>1314.2370699331741</v>
      </c>
    </row>
    <row r="92" spans="1:75" ht="15" thickBot="1" x14ac:dyDescent="0.35">
      <c r="A92" s="219" t="s">
        <v>355</v>
      </c>
      <c r="B92" s="237">
        <v>9</v>
      </c>
      <c r="C92" s="40">
        <f>'[7]побудинковий звіт'!E92</f>
        <v>3777.3500000000004</v>
      </c>
      <c r="D92" s="215">
        <f t="shared" si="44"/>
        <v>524.72811874474098</v>
      </c>
      <c r="E92" s="107">
        <f t="shared" si="45"/>
        <v>115.44028252893929</v>
      </c>
      <c r="F92" s="107">
        <f t="shared" si="46"/>
        <v>108.73803129044583</v>
      </c>
      <c r="G92" s="107">
        <f t="shared" si="47"/>
        <v>0</v>
      </c>
      <c r="H92" s="107">
        <f t="shared" si="48"/>
        <v>438.39706400981504</v>
      </c>
      <c r="I92" s="107">
        <f t="shared" si="49"/>
        <v>152.82119864505628</v>
      </c>
      <c r="J92" s="687">
        <f t="shared" si="37"/>
        <v>0</v>
      </c>
      <c r="K92" s="142">
        <f t="shared" si="50"/>
        <v>1340.1246952189974</v>
      </c>
      <c r="L92" s="141">
        <f t="shared" si="38"/>
        <v>450.09902420629459</v>
      </c>
      <c r="M92" s="107">
        <f t="shared" si="39"/>
        <v>99.021319252394264</v>
      </c>
      <c r="N92" s="30">
        <f t="shared" si="51"/>
        <v>62.104725347493357</v>
      </c>
      <c r="O92" s="107">
        <f t="shared" si="40"/>
        <v>6.8003987937748755</v>
      </c>
      <c r="P92" s="107">
        <f t="shared" si="52"/>
        <v>376.04634414819958</v>
      </c>
      <c r="Q92" s="107">
        <f t="shared" si="53"/>
        <v>127.94980074511663</v>
      </c>
      <c r="R92" s="143">
        <f t="shared" si="54"/>
        <v>1122.0216124932733</v>
      </c>
      <c r="S92" s="141">
        <f t="shared" si="55"/>
        <v>90.816000000000017</v>
      </c>
      <c r="T92" s="107">
        <f t="shared" si="41"/>
        <v>11.689184792428614</v>
      </c>
      <c r="U92" s="142">
        <f t="shared" si="56"/>
        <v>102.50518479242864</v>
      </c>
      <c r="V92" s="107"/>
      <c r="W92" s="107">
        <f t="shared" si="57"/>
        <v>0</v>
      </c>
      <c r="X92" s="142">
        <f t="shared" si="58"/>
        <v>0</v>
      </c>
      <c r="Y92" s="141">
        <v>4308.93</v>
      </c>
      <c r="Z92" s="144">
        <v>0</v>
      </c>
      <c r="AA92" s="107">
        <f t="shared" si="42"/>
        <v>554.61459464895427</v>
      </c>
      <c r="AB92" s="142">
        <f t="shared" si="43"/>
        <v>4863.5445946489544</v>
      </c>
      <c r="AC92" s="141">
        <v>0</v>
      </c>
      <c r="AD92" s="107">
        <f t="shared" si="59"/>
        <v>0</v>
      </c>
      <c r="AE92" s="142">
        <f t="shared" si="60"/>
        <v>0</v>
      </c>
      <c r="AF92" s="145">
        <v>411.4</v>
      </c>
      <c r="AG92" s="107">
        <f t="shared" si="61"/>
        <v>52.952460178879612</v>
      </c>
      <c r="AH92" s="142">
        <f t="shared" si="62"/>
        <v>464.3524601788796</v>
      </c>
      <c r="AI92" s="145">
        <v>739.2</v>
      </c>
      <c r="AJ92" s="107">
        <f t="shared" si="63"/>
        <v>95.144527380232901</v>
      </c>
      <c r="AK92" s="142">
        <f t="shared" si="64"/>
        <v>834.34452738023299</v>
      </c>
      <c r="AL92" s="215"/>
      <c r="AM92" s="215"/>
      <c r="AN92" s="107">
        <f t="shared" si="65"/>
        <v>0</v>
      </c>
      <c r="AO92" s="151">
        <f t="shared" si="66"/>
        <v>0</v>
      </c>
      <c r="AP92" s="282">
        <f t="shared" si="67"/>
        <v>899.97929533700187</v>
      </c>
      <c r="AQ92" s="684">
        <v>0</v>
      </c>
      <c r="AR92" s="741">
        <v>484.27357920745703</v>
      </c>
      <c r="AS92" s="741">
        <v>406.81715713006997</v>
      </c>
      <c r="AT92" s="741">
        <v>8.8885589994749132</v>
      </c>
      <c r="AU92" s="411">
        <v>0</v>
      </c>
      <c r="AV92" s="801"/>
      <c r="AW92" s="256"/>
      <c r="AX92" s="728">
        <f t="shared" si="68"/>
        <v>108.73803129044583</v>
      </c>
      <c r="AY92" s="729">
        <v>62.104725347493357</v>
      </c>
      <c r="AZ92" s="730"/>
      <c r="BA92" s="731">
        <v>0</v>
      </c>
      <c r="BC92" s="727">
        <v>0</v>
      </c>
      <c r="BD92" s="727">
        <v>108.73803129044583</v>
      </c>
      <c r="BE92" s="727"/>
      <c r="BF92" s="727"/>
      <c r="BG92" s="727">
        <v>0</v>
      </c>
      <c r="BH92" s="727">
        <v>5.5709052601335989</v>
      </c>
      <c r="BI92" s="137">
        <f t="shared" ref="BI92:BI114" si="70">BC92+BD92+BE92+BG92</f>
        <v>108.73803129044583</v>
      </c>
      <c r="BJ92" s="126">
        <v>412.8</v>
      </c>
      <c r="BK92" s="807"/>
      <c r="BL92" s="107"/>
      <c r="BM92" s="687"/>
      <c r="BO92" s="577"/>
      <c r="BS92" s="904"/>
      <c r="BT92" s="789"/>
      <c r="BU92" s="789">
        <v>467.13394653246019</v>
      </c>
      <c r="BV92" s="789">
        <v>0</v>
      </c>
      <c r="BW92" s="789">
        <f t="shared" si="69"/>
        <v>467.13394653246019</v>
      </c>
    </row>
    <row r="93" spans="1:75" ht="15" thickBot="1" x14ac:dyDescent="0.35">
      <c r="A93" s="219" t="s">
        <v>356</v>
      </c>
      <c r="B93" s="237">
        <v>9</v>
      </c>
      <c r="C93" s="40">
        <f>'[7]побудинковий звіт'!E93</f>
        <v>4652.96</v>
      </c>
      <c r="D93" s="215">
        <f t="shared" si="44"/>
        <v>648.34949475766462</v>
      </c>
      <c r="E93" s="107">
        <f t="shared" si="45"/>
        <v>142.63700796398379</v>
      </c>
      <c r="F93" s="107">
        <f t="shared" si="46"/>
        <v>224.79785520763815</v>
      </c>
      <c r="G93" s="107">
        <f t="shared" si="47"/>
        <v>0</v>
      </c>
      <c r="H93" s="107">
        <f t="shared" si="48"/>
        <v>541.67959520438001</v>
      </c>
      <c r="I93" s="107">
        <f t="shared" si="49"/>
        <v>200.46560028767843</v>
      </c>
      <c r="J93" s="687">
        <f t="shared" si="37"/>
        <v>0</v>
      </c>
      <c r="K93" s="142">
        <f t="shared" si="50"/>
        <v>1757.929553421345</v>
      </c>
      <c r="L93" s="141">
        <f t="shared" si="38"/>
        <v>453.0733257392485</v>
      </c>
      <c r="M93" s="107">
        <f t="shared" si="39"/>
        <v>99.675662509784942</v>
      </c>
      <c r="N93" s="30">
        <f t="shared" si="51"/>
        <v>176.47867567359907</v>
      </c>
      <c r="O93" s="107">
        <f t="shared" si="40"/>
        <v>8.376767726443866</v>
      </c>
      <c r="P93" s="107">
        <f t="shared" si="52"/>
        <v>378.53129780886132</v>
      </c>
      <c r="Q93" s="107">
        <f t="shared" si="53"/>
        <v>143.660993603175</v>
      </c>
      <c r="R93" s="143">
        <f t="shared" si="54"/>
        <v>1259.7967230611127</v>
      </c>
      <c r="S93" s="141">
        <f t="shared" si="55"/>
        <v>78.474000000000004</v>
      </c>
      <c r="T93" s="107">
        <f t="shared" si="41"/>
        <v>10.100610987062225</v>
      </c>
      <c r="U93" s="142">
        <f t="shared" si="56"/>
        <v>88.574610987062229</v>
      </c>
      <c r="V93" s="107"/>
      <c r="W93" s="107">
        <f t="shared" si="57"/>
        <v>0</v>
      </c>
      <c r="X93" s="142">
        <f t="shared" si="58"/>
        <v>0</v>
      </c>
      <c r="Y93" s="141">
        <v>3102.43</v>
      </c>
      <c r="Z93" s="144">
        <v>0</v>
      </c>
      <c r="AA93" s="107">
        <f t="shared" si="42"/>
        <v>399.32255963238083</v>
      </c>
      <c r="AB93" s="142">
        <f t="shared" si="43"/>
        <v>3501.7525596323808</v>
      </c>
      <c r="AC93" s="141">
        <v>0</v>
      </c>
      <c r="AD93" s="107">
        <f t="shared" si="59"/>
        <v>0</v>
      </c>
      <c r="AE93" s="142">
        <f t="shared" si="60"/>
        <v>0</v>
      </c>
      <c r="AF93" s="145">
        <v>710.6</v>
      </c>
      <c r="AG93" s="107">
        <f t="shared" si="61"/>
        <v>91.463340308973883</v>
      </c>
      <c r="AH93" s="142">
        <f t="shared" si="62"/>
        <v>802.06334030897392</v>
      </c>
      <c r="AI93" s="145">
        <v>1067</v>
      </c>
      <c r="AJ93" s="107">
        <f t="shared" si="63"/>
        <v>137.33659458158618</v>
      </c>
      <c r="AK93" s="142">
        <f t="shared" si="64"/>
        <v>1204.3365945815863</v>
      </c>
      <c r="AL93" s="146">
        <v>297.5</v>
      </c>
      <c r="AM93" s="146"/>
      <c r="AN93" s="107">
        <f t="shared" si="65"/>
        <v>38.292068311173274</v>
      </c>
      <c r="AO93" s="151">
        <f t="shared" si="66"/>
        <v>335.7920683111733</v>
      </c>
      <c r="AP93" s="282">
        <f t="shared" si="67"/>
        <v>1016.8169610171473</v>
      </c>
      <c r="AQ93" s="684">
        <v>0</v>
      </c>
      <c r="AR93" s="741">
        <v>598.36421793964985</v>
      </c>
      <c r="AS93" s="741">
        <v>411.12784984820047</v>
      </c>
      <c r="AT93" s="741">
        <v>7.3248932292968876</v>
      </c>
      <c r="AU93" s="411">
        <v>0</v>
      </c>
      <c r="AV93" s="801"/>
      <c r="AW93" s="256"/>
      <c r="AX93" s="728">
        <f t="shared" si="68"/>
        <v>224.79785520763815</v>
      </c>
      <c r="AY93" s="729">
        <v>176.47867567359907</v>
      </c>
      <c r="AZ93" s="730"/>
      <c r="BA93" s="731">
        <v>0</v>
      </c>
      <c r="BC93" s="727">
        <v>90</v>
      </c>
      <c r="BD93" s="727">
        <v>134.79785520763815</v>
      </c>
      <c r="BE93" s="727"/>
      <c r="BF93" s="727"/>
      <c r="BG93" s="727">
        <v>0</v>
      </c>
      <c r="BH93" s="727">
        <v>7.7530107501137264</v>
      </c>
      <c r="BI93" s="137">
        <f t="shared" si="70"/>
        <v>224.79785520763815</v>
      </c>
      <c r="BJ93" s="126">
        <v>356.7</v>
      </c>
      <c r="BK93" s="807"/>
      <c r="BL93" s="107"/>
      <c r="BM93" s="687"/>
      <c r="BO93" s="577"/>
      <c r="BS93" s="904"/>
      <c r="BT93" s="789"/>
      <c r="BU93" s="789">
        <v>838.49792457175499</v>
      </c>
      <c r="BV93" s="789">
        <v>0</v>
      </c>
      <c r="BW93" s="789">
        <f t="shared" si="69"/>
        <v>838.49792457175499</v>
      </c>
    </row>
    <row r="94" spans="1:75" ht="15" thickBot="1" x14ac:dyDescent="0.35">
      <c r="A94" s="219" t="s">
        <v>415</v>
      </c>
      <c r="B94" s="237">
        <v>10</v>
      </c>
      <c r="C94" s="40">
        <f>'[7]побудинковий звіт'!E94</f>
        <v>4850.6500000000005</v>
      </c>
      <c r="D94" s="215">
        <f t="shared" si="44"/>
        <v>949.01054118102263</v>
      </c>
      <c r="E94" s="107">
        <f t="shared" si="45"/>
        <v>208.78249341574249</v>
      </c>
      <c r="F94" s="107">
        <f t="shared" si="46"/>
        <v>139.88464958701184</v>
      </c>
      <c r="G94" s="107">
        <f t="shared" si="47"/>
        <v>0</v>
      </c>
      <c r="H94" s="107">
        <f t="shared" si="48"/>
        <v>792.87429071533006</v>
      </c>
      <c r="I94" s="107">
        <f t="shared" si="49"/>
        <v>269.08087069208341</v>
      </c>
      <c r="J94" s="687">
        <f t="shared" si="37"/>
        <v>0</v>
      </c>
      <c r="K94" s="142">
        <f t="shared" si="50"/>
        <v>2359.6328455911907</v>
      </c>
      <c r="L94" s="141">
        <f t="shared" si="38"/>
        <v>530.47271199640647</v>
      </c>
      <c r="M94" s="107">
        <f t="shared" si="39"/>
        <v>116.70344734007747</v>
      </c>
      <c r="N94" s="30">
        <f t="shared" si="51"/>
        <v>79.752701946061364</v>
      </c>
      <c r="O94" s="107">
        <f t="shared" si="40"/>
        <v>8.7326708960048975</v>
      </c>
      <c r="P94" s="107">
        <f t="shared" si="52"/>
        <v>443.19652629417919</v>
      </c>
      <c r="Q94" s="107">
        <f t="shared" si="53"/>
        <v>151.73416236710875</v>
      </c>
      <c r="R94" s="143">
        <f t="shared" si="54"/>
        <v>1330.5922208398383</v>
      </c>
      <c r="S94" s="141">
        <f t="shared" si="55"/>
        <v>57.816000000000003</v>
      </c>
      <c r="T94" s="107">
        <f t="shared" si="41"/>
        <v>7.4416612486682157</v>
      </c>
      <c r="U94" s="142">
        <f t="shared" si="56"/>
        <v>65.257661248668214</v>
      </c>
      <c r="V94" s="107"/>
      <c r="W94" s="107">
        <f t="shared" si="57"/>
        <v>0</v>
      </c>
      <c r="X94" s="142">
        <f t="shared" si="58"/>
        <v>0</v>
      </c>
      <c r="Y94" s="141">
        <v>2679.17</v>
      </c>
      <c r="Z94" s="144">
        <v>0</v>
      </c>
      <c r="AA94" s="107">
        <f t="shared" si="42"/>
        <v>344.84356523444069</v>
      </c>
      <c r="AB94" s="142">
        <f t="shared" si="43"/>
        <v>3024.0135652344406</v>
      </c>
      <c r="AC94" s="141">
        <v>118.075</v>
      </c>
      <c r="AD94" s="107">
        <f t="shared" si="59"/>
        <v>15.197767952409361</v>
      </c>
      <c r="AE94" s="142">
        <f t="shared" si="60"/>
        <v>133.27276795240937</v>
      </c>
      <c r="AF94" s="145">
        <v>1102.2</v>
      </c>
      <c r="AG94" s="107">
        <f t="shared" si="61"/>
        <v>141.86728636159728</v>
      </c>
      <c r="AH94" s="142">
        <f t="shared" si="62"/>
        <v>1244.0672863615973</v>
      </c>
      <c r="AI94" s="145">
        <v>1267.2</v>
      </c>
      <c r="AJ94" s="107">
        <f t="shared" si="63"/>
        <v>163.10490408039925</v>
      </c>
      <c r="AK94" s="142">
        <f t="shared" si="64"/>
        <v>1430.3049040803994</v>
      </c>
      <c r="AL94" s="146"/>
      <c r="AM94" s="146"/>
      <c r="AN94" s="107">
        <f t="shared" si="65"/>
        <v>0</v>
      </c>
      <c r="AO94" s="151">
        <f t="shared" si="66"/>
        <v>0</v>
      </c>
      <c r="AP94" s="282">
        <f t="shared" si="67"/>
        <v>1365.7832714639801</v>
      </c>
      <c r="AQ94" s="684">
        <v>0</v>
      </c>
      <c r="AR94" s="741">
        <v>875.84544274614552</v>
      </c>
      <c r="AS94" s="741">
        <v>482.79774051002397</v>
      </c>
      <c r="AT94" s="741">
        <v>7.1400882078104928</v>
      </c>
      <c r="AU94" s="411">
        <v>0</v>
      </c>
      <c r="AV94" s="801"/>
      <c r="AW94" s="256"/>
      <c r="AX94" s="728">
        <f t="shared" si="68"/>
        <v>139.88464958701184</v>
      </c>
      <c r="AY94" s="729">
        <v>79.752701946061364</v>
      </c>
      <c r="AZ94" s="730"/>
      <c r="BA94" s="731">
        <v>0</v>
      </c>
      <c r="BC94" s="727">
        <v>0</v>
      </c>
      <c r="BD94" s="727">
        <v>139.88464958701184</v>
      </c>
      <c r="BE94" s="727"/>
      <c r="BF94" s="727"/>
      <c r="BG94" s="727">
        <v>0</v>
      </c>
      <c r="BH94" s="727">
        <v>7.4010582517298351</v>
      </c>
      <c r="BI94" s="137">
        <f t="shared" si="70"/>
        <v>139.88464958701184</v>
      </c>
      <c r="BJ94" s="126">
        <v>262.8</v>
      </c>
      <c r="BK94" s="807"/>
      <c r="BL94" s="107"/>
      <c r="BM94" s="687"/>
      <c r="BO94" s="577"/>
      <c r="BS94" s="904"/>
      <c r="BT94" s="789"/>
      <c r="BU94" s="789">
        <v>1168.7560143786845</v>
      </c>
      <c r="BV94" s="789">
        <v>0</v>
      </c>
      <c r="BW94" s="789">
        <f t="shared" si="69"/>
        <v>1168.7560143786845</v>
      </c>
    </row>
    <row r="95" spans="1:75" ht="15" thickBot="1" x14ac:dyDescent="0.35">
      <c r="A95" s="219" t="s">
        <v>357</v>
      </c>
      <c r="B95" s="237">
        <v>9</v>
      </c>
      <c r="C95" s="40">
        <f>'[7]побудинковий звіт'!E95</f>
        <v>9553.74</v>
      </c>
      <c r="D95" s="215">
        <f t="shared" si="44"/>
        <v>7231.3275648448052</v>
      </c>
      <c r="E95" s="107">
        <f t="shared" si="45"/>
        <v>1590.8933928335575</v>
      </c>
      <c r="F95" s="107">
        <f t="shared" si="46"/>
        <v>284.72593795854459</v>
      </c>
      <c r="G95" s="107">
        <f t="shared" si="47"/>
        <v>0</v>
      </c>
      <c r="H95" s="107">
        <f t="shared" si="48"/>
        <v>6041.5911785039643</v>
      </c>
      <c r="I95" s="107">
        <f t="shared" si="49"/>
        <v>1949.8112764686102</v>
      </c>
      <c r="J95" s="687">
        <f t="shared" si="37"/>
        <v>0</v>
      </c>
      <c r="K95" s="142">
        <f t="shared" si="50"/>
        <v>17098.349350609482</v>
      </c>
      <c r="L95" s="141">
        <f t="shared" si="38"/>
        <v>4458.6812992806454</v>
      </c>
      <c r="M95" s="107">
        <f t="shared" si="39"/>
        <v>980.90526892231912</v>
      </c>
      <c r="N95" s="30">
        <f t="shared" si="51"/>
        <v>206.99575004675216</v>
      </c>
      <c r="O95" s="107">
        <f t="shared" si="40"/>
        <v>17.199688133754819</v>
      </c>
      <c r="P95" s="107">
        <f t="shared" si="52"/>
        <v>3725.1153904922935</v>
      </c>
      <c r="Q95" s="107">
        <f t="shared" si="53"/>
        <v>1208.4715982781975</v>
      </c>
      <c r="R95" s="143">
        <f t="shared" si="54"/>
        <v>10597.368995153964</v>
      </c>
      <c r="S95" s="141">
        <f t="shared" si="55"/>
        <v>144.76000000000002</v>
      </c>
      <c r="T95" s="107">
        <f t="shared" si="41"/>
        <v>18.632469945295611</v>
      </c>
      <c r="U95" s="142">
        <f t="shared" si="56"/>
        <v>163.39246994529563</v>
      </c>
      <c r="V95" s="107"/>
      <c r="W95" s="107">
        <f t="shared" si="57"/>
        <v>0</v>
      </c>
      <c r="X95" s="142">
        <f t="shared" si="58"/>
        <v>0</v>
      </c>
      <c r="Y95" s="141">
        <v>6204.87</v>
      </c>
      <c r="Z95" s="144">
        <v>0</v>
      </c>
      <c r="AA95" s="107">
        <f t="shared" si="42"/>
        <v>798.64640639310835</v>
      </c>
      <c r="AB95" s="142">
        <f t="shared" si="43"/>
        <v>7003.5164063931079</v>
      </c>
      <c r="AC95" s="141">
        <v>0</v>
      </c>
      <c r="AD95" s="107">
        <f t="shared" si="59"/>
        <v>0</v>
      </c>
      <c r="AE95" s="142">
        <f t="shared" si="60"/>
        <v>0</v>
      </c>
      <c r="AF95" s="145">
        <v>1575.2</v>
      </c>
      <c r="AG95" s="107">
        <f t="shared" si="61"/>
        <v>202.74845715549628</v>
      </c>
      <c r="AH95" s="142">
        <f t="shared" si="62"/>
        <v>1777.9484571554963</v>
      </c>
      <c r="AI95" s="145">
        <v>2360.6</v>
      </c>
      <c r="AJ95" s="107">
        <f t="shared" si="63"/>
        <v>303.83951749699372</v>
      </c>
      <c r="AK95" s="142">
        <f t="shared" si="64"/>
        <v>2664.4395174969936</v>
      </c>
      <c r="AL95" s="146">
        <v>467.5</v>
      </c>
      <c r="AM95" s="146"/>
      <c r="AN95" s="107">
        <f t="shared" si="65"/>
        <v>60.173250203272289</v>
      </c>
      <c r="AO95" s="151">
        <f t="shared" si="66"/>
        <v>527.67325020327235</v>
      </c>
      <c r="AP95" s="282">
        <f t="shared" si="67"/>
        <v>10791.800911524857</v>
      </c>
      <c r="AQ95" s="684">
        <v>0</v>
      </c>
      <c r="AR95" s="741">
        <v>6673.8197499808302</v>
      </c>
      <c r="AS95" s="741">
        <v>4026.6359209431721</v>
      </c>
      <c r="AT95" s="741">
        <v>91.345240600855433</v>
      </c>
      <c r="AU95" s="411">
        <v>0</v>
      </c>
      <c r="AV95" s="801"/>
      <c r="AW95" s="256"/>
      <c r="AX95" s="728">
        <f t="shared" si="68"/>
        <v>284.72593795854459</v>
      </c>
      <c r="AY95" s="729">
        <v>206.99575004675216</v>
      </c>
      <c r="AZ95" s="730"/>
      <c r="BA95" s="731">
        <v>0</v>
      </c>
      <c r="BC95" s="727">
        <v>0</v>
      </c>
      <c r="BD95" s="727">
        <v>284.72593795854459</v>
      </c>
      <c r="BE95" s="727"/>
      <c r="BF95" s="727"/>
      <c r="BG95" s="727">
        <v>0</v>
      </c>
      <c r="BH95" s="727">
        <v>23.927741997270573</v>
      </c>
      <c r="BI95" s="137">
        <f t="shared" si="70"/>
        <v>284.72593795854459</v>
      </c>
      <c r="BJ95" s="126">
        <v>658</v>
      </c>
      <c r="BK95" s="807"/>
      <c r="BL95" s="107"/>
      <c r="BM95" s="687"/>
      <c r="BO95" s="577"/>
      <c r="BS95" s="904"/>
      <c r="BT95" s="789"/>
      <c r="BU95" s="789">
        <v>6467.5836852266084</v>
      </c>
      <c r="BV95" s="789">
        <v>0</v>
      </c>
      <c r="BW95" s="789">
        <f t="shared" si="69"/>
        <v>6467.5836852266084</v>
      </c>
    </row>
    <row r="96" spans="1:75" ht="15" thickBot="1" x14ac:dyDescent="0.35">
      <c r="A96" s="219" t="s">
        <v>358</v>
      </c>
      <c r="B96" s="237">
        <v>9</v>
      </c>
      <c r="C96" s="40">
        <f>'[7]побудинковий звіт'!E96</f>
        <v>7507.43</v>
      </c>
      <c r="D96" s="215">
        <f t="shared" si="44"/>
        <v>5220.381224423405</v>
      </c>
      <c r="E96" s="107">
        <f t="shared" si="45"/>
        <v>1148.4848284819457</v>
      </c>
      <c r="F96" s="107">
        <f t="shared" si="46"/>
        <v>220.53967622584702</v>
      </c>
      <c r="G96" s="107">
        <f t="shared" si="47"/>
        <v>0</v>
      </c>
      <c r="H96" s="107">
        <f t="shared" si="48"/>
        <v>4361.4964017441862</v>
      </c>
      <c r="I96" s="107">
        <f t="shared" si="49"/>
        <v>1409.5216553426999</v>
      </c>
      <c r="J96" s="687">
        <f t="shared" si="37"/>
        <v>0</v>
      </c>
      <c r="K96" s="142">
        <f t="shared" si="50"/>
        <v>12360.423786218083</v>
      </c>
      <c r="L96" s="141">
        <f t="shared" si="38"/>
        <v>3215.1507230990924</v>
      </c>
      <c r="M96" s="107">
        <f t="shared" si="39"/>
        <v>707.32982982572116</v>
      </c>
      <c r="N96" s="30">
        <f t="shared" si="51"/>
        <v>173.46283525265</v>
      </c>
      <c r="O96" s="107">
        <f t="shared" si="40"/>
        <v>13.515696961189541</v>
      </c>
      <c r="P96" s="107">
        <f t="shared" si="52"/>
        <v>2686.1770639002993</v>
      </c>
      <c r="Q96" s="107">
        <f t="shared" si="53"/>
        <v>874.68559205673296</v>
      </c>
      <c r="R96" s="143">
        <f t="shared" si="54"/>
        <v>7670.321741095685</v>
      </c>
      <c r="S96" s="141">
        <f t="shared" si="55"/>
        <v>148.72</v>
      </c>
      <c r="T96" s="107">
        <f t="shared" si="41"/>
        <v>19.142172770546857</v>
      </c>
      <c r="U96" s="142">
        <f t="shared" si="56"/>
        <v>167.86217277054686</v>
      </c>
      <c r="V96" s="107"/>
      <c r="W96" s="107">
        <f t="shared" si="57"/>
        <v>0</v>
      </c>
      <c r="X96" s="142">
        <f t="shared" si="58"/>
        <v>0</v>
      </c>
      <c r="Y96" s="141">
        <v>4455.5</v>
      </c>
      <c r="Z96" s="144">
        <v>0</v>
      </c>
      <c r="AA96" s="107">
        <f t="shared" si="42"/>
        <v>573.48003482498336</v>
      </c>
      <c r="AB96" s="142">
        <f t="shared" si="43"/>
        <v>5028.9800348249837</v>
      </c>
      <c r="AC96" s="141">
        <v>354.22500000000002</v>
      </c>
      <c r="AD96" s="107">
        <f t="shared" si="59"/>
        <v>45.593303857228086</v>
      </c>
      <c r="AE96" s="142">
        <f t="shared" si="60"/>
        <v>399.8183038572281</v>
      </c>
      <c r="AF96" s="145">
        <v>589.6</v>
      </c>
      <c r="AG96" s="107">
        <f t="shared" si="61"/>
        <v>75.889087315185762</v>
      </c>
      <c r="AH96" s="142">
        <f t="shared" si="62"/>
        <v>665.48908731518577</v>
      </c>
      <c r="AI96" s="145">
        <v>1548.8</v>
      </c>
      <c r="AJ96" s="107">
        <f t="shared" si="63"/>
        <v>199.35043832048797</v>
      </c>
      <c r="AK96" s="142">
        <f t="shared" si="64"/>
        <v>1748.1504383204879</v>
      </c>
      <c r="AL96" s="146"/>
      <c r="AM96" s="146"/>
      <c r="AN96" s="107">
        <f t="shared" si="65"/>
        <v>0</v>
      </c>
      <c r="AO96" s="151">
        <f t="shared" si="66"/>
        <v>0</v>
      </c>
      <c r="AP96" s="282">
        <f t="shared" si="67"/>
        <v>7787.3819008269929</v>
      </c>
      <c r="AQ96" s="684">
        <v>0</v>
      </c>
      <c r="AR96" s="741">
        <v>4817.9097137516746</v>
      </c>
      <c r="AS96" s="741">
        <v>2908.2023260212004</v>
      </c>
      <c r="AT96" s="741">
        <v>61.269861054117797</v>
      </c>
      <c r="AU96" s="411">
        <v>0</v>
      </c>
      <c r="AV96" s="801"/>
      <c r="AW96" s="256"/>
      <c r="AX96" s="728">
        <f t="shared" si="68"/>
        <v>220.53967622584702</v>
      </c>
      <c r="AY96" s="729">
        <v>173.46283525265</v>
      </c>
      <c r="AZ96" s="730"/>
      <c r="BA96" s="731">
        <v>0</v>
      </c>
      <c r="BC96" s="727">
        <v>0</v>
      </c>
      <c r="BD96" s="727">
        <v>220.53967622584702</v>
      </c>
      <c r="BE96" s="727"/>
      <c r="BF96" s="727"/>
      <c r="BG96" s="727">
        <v>0</v>
      </c>
      <c r="BH96" s="727">
        <v>15.445686786218786</v>
      </c>
      <c r="BI96" s="137">
        <f t="shared" si="70"/>
        <v>220.53967622584702</v>
      </c>
      <c r="BJ96" s="126">
        <v>676</v>
      </c>
      <c r="BK96" s="807"/>
      <c r="BL96" s="107"/>
      <c r="BM96" s="687"/>
      <c r="BO96" s="577"/>
      <c r="BS96" s="904"/>
      <c r="BT96" s="789"/>
      <c r="BU96" s="789">
        <v>2457.5067229877741</v>
      </c>
      <c r="BV96" s="789">
        <v>0</v>
      </c>
      <c r="BW96" s="789">
        <f t="shared" si="69"/>
        <v>2457.5067229877741</v>
      </c>
    </row>
    <row r="97" spans="1:75" ht="15" thickBot="1" x14ac:dyDescent="0.35">
      <c r="A97" s="219" t="s">
        <v>153</v>
      </c>
      <c r="B97" s="237">
        <v>2</v>
      </c>
      <c r="C97" s="40">
        <f>'[7]побудинковий звіт'!E97</f>
        <v>507.5</v>
      </c>
      <c r="D97" s="215">
        <f t="shared" si="44"/>
        <v>116.72397697397722</v>
      </c>
      <c r="E97" s="107">
        <f t="shared" si="45"/>
        <v>25.679296379259231</v>
      </c>
      <c r="F97" s="107">
        <f t="shared" si="46"/>
        <v>15.498378810630427</v>
      </c>
      <c r="G97" s="107">
        <f t="shared" si="47"/>
        <v>0</v>
      </c>
      <c r="H97" s="107">
        <f t="shared" si="48"/>
        <v>97.519928848779131</v>
      </c>
      <c r="I97" s="107">
        <f t="shared" si="49"/>
        <v>32.876035725324769</v>
      </c>
      <c r="J97" s="687">
        <f t="shared" si="37"/>
        <v>0</v>
      </c>
      <c r="K97" s="142">
        <f t="shared" si="50"/>
        <v>288.29761673797077</v>
      </c>
      <c r="L97" s="141">
        <f t="shared" si="38"/>
        <v>33.249767826469075</v>
      </c>
      <c r="M97" s="107">
        <f t="shared" si="39"/>
        <v>7.3149144920246574</v>
      </c>
      <c r="N97" s="30">
        <f t="shared" si="51"/>
        <v>10.413229848163205</v>
      </c>
      <c r="O97" s="107">
        <f t="shared" si="40"/>
        <v>0.91365703147464461</v>
      </c>
      <c r="P97" s="107">
        <f t="shared" si="52"/>
        <v>27.779339573038925</v>
      </c>
      <c r="Q97" s="107">
        <f t="shared" si="53"/>
        <v>10.254668507828287</v>
      </c>
      <c r="R97" s="143">
        <f t="shared" si="54"/>
        <v>89.925577278998787</v>
      </c>
      <c r="S97" s="141">
        <f t="shared" si="55"/>
        <v>0</v>
      </c>
      <c r="T97" s="107">
        <f t="shared" si="41"/>
        <v>0</v>
      </c>
      <c r="U97" s="142">
        <f t="shared" si="56"/>
        <v>0</v>
      </c>
      <c r="V97" s="107"/>
      <c r="W97" s="107">
        <f t="shared" si="57"/>
        <v>0</v>
      </c>
      <c r="X97" s="142">
        <f t="shared" si="58"/>
        <v>0</v>
      </c>
      <c r="Y97" s="141">
        <v>0</v>
      </c>
      <c r="Z97" s="144">
        <v>0</v>
      </c>
      <c r="AA97" s="107">
        <f t="shared" si="42"/>
        <v>0</v>
      </c>
      <c r="AB97" s="142">
        <f t="shared" si="43"/>
        <v>0</v>
      </c>
      <c r="AC97" s="141">
        <v>0</v>
      </c>
      <c r="AD97" s="107">
        <f t="shared" si="59"/>
        <v>0</v>
      </c>
      <c r="AE97" s="142">
        <f t="shared" si="60"/>
        <v>0</v>
      </c>
      <c r="AF97" s="145">
        <v>30.8</v>
      </c>
      <c r="AG97" s="107">
        <f t="shared" si="61"/>
        <v>3.9643553075097042</v>
      </c>
      <c r="AH97" s="142">
        <f t="shared" si="62"/>
        <v>34.764355307509703</v>
      </c>
      <c r="AI97" s="145">
        <v>0</v>
      </c>
      <c r="AJ97" s="107">
        <f t="shared" si="63"/>
        <v>0</v>
      </c>
      <c r="AK97" s="142">
        <f t="shared" si="64"/>
        <v>0</v>
      </c>
      <c r="AL97" s="146"/>
      <c r="AM97" s="401"/>
      <c r="AN97" s="107">
        <f t="shared" si="65"/>
        <v>0</v>
      </c>
      <c r="AO97" s="151">
        <f t="shared" si="66"/>
        <v>0</v>
      </c>
      <c r="AP97" s="282">
        <f t="shared" si="67"/>
        <v>122.75406423500846</v>
      </c>
      <c r="AQ97" s="684">
        <v>15.68</v>
      </c>
      <c r="AR97" s="740">
        <v>92.0450028905246</v>
      </c>
      <c r="AS97" s="740">
        <v>30.709061344483864</v>
      </c>
      <c r="AT97" s="740">
        <v>0</v>
      </c>
      <c r="AU97" s="411">
        <v>0</v>
      </c>
      <c r="AV97" s="801"/>
      <c r="AW97" s="256"/>
      <c r="AX97" s="728">
        <f t="shared" si="68"/>
        <v>15.498378810630427</v>
      </c>
      <c r="AY97" s="729">
        <v>10.413229848163205</v>
      </c>
      <c r="AZ97" s="730"/>
      <c r="BA97" s="731">
        <v>0</v>
      </c>
      <c r="BC97" s="727">
        <v>0</v>
      </c>
      <c r="BD97" s="727">
        <v>15.498378810630427</v>
      </c>
      <c r="BE97" s="727"/>
      <c r="BF97" s="727"/>
      <c r="BG97" s="727">
        <v>0</v>
      </c>
      <c r="BH97" s="727">
        <v>0</v>
      </c>
      <c r="BI97" s="137">
        <f t="shared" si="70"/>
        <v>15.498378810630427</v>
      </c>
      <c r="BJ97" s="126"/>
      <c r="BK97" s="807"/>
      <c r="BL97" s="107"/>
      <c r="BM97" s="687"/>
      <c r="BO97" s="577"/>
      <c r="BS97" s="904"/>
      <c r="BT97" s="789"/>
      <c r="BU97" s="789">
        <v>370.47627347442085</v>
      </c>
      <c r="BV97" s="789">
        <v>0</v>
      </c>
      <c r="BW97" s="789">
        <f t="shared" si="69"/>
        <v>370.47627347442085</v>
      </c>
    </row>
    <row r="98" spans="1:75" ht="15" thickBot="1" x14ac:dyDescent="0.35">
      <c r="A98" s="219" t="s">
        <v>208</v>
      </c>
      <c r="B98" s="237">
        <v>4</v>
      </c>
      <c r="C98" s="40">
        <f>'[7]побудинковий звіт'!E98</f>
        <v>2425.9</v>
      </c>
      <c r="D98" s="215">
        <f t="shared" si="44"/>
        <v>1515.4069244963841</v>
      </c>
      <c r="E98" s="107">
        <f t="shared" si="45"/>
        <v>333.38980180567438</v>
      </c>
      <c r="F98" s="107">
        <f t="shared" si="46"/>
        <v>74.449698962093294</v>
      </c>
      <c r="G98" s="107">
        <f t="shared" si="47"/>
        <v>0</v>
      </c>
      <c r="H98" s="107">
        <f t="shared" si="48"/>
        <v>1266.0841352825189</v>
      </c>
      <c r="I98" s="107">
        <f t="shared" si="49"/>
        <v>410.50777711383415</v>
      </c>
      <c r="J98" s="687">
        <f t="shared" si="37"/>
        <v>0</v>
      </c>
      <c r="K98" s="142">
        <f t="shared" si="50"/>
        <v>3599.8383376605043</v>
      </c>
      <c r="L98" s="141">
        <f t="shared" si="38"/>
        <v>365.90808369169889</v>
      </c>
      <c r="M98" s="107">
        <f t="shared" si="39"/>
        <v>80.49939951805122</v>
      </c>
      <c r="N98" s="30">
        <f t="shared" si="51"/>
        <v>50.022124048682983</v>
      </c>
      <c r="O98" s="107">
        <f t="shared" si="40"/>
        <v>4.3673706259198823</v>
      </c>
      <c r="P98" s="107">
        <f t="shared" si="52"/>
        <v>305.70694395345129</v>
      </c>
      <c r="Q98" s="107">
        <f t="shared" si="53"/>
        <v>103.80740594367177</v>
      </c>
      <c r="R98" s="143">
        <f t="shared" si="54"/>
        <v>910.31132778147594</v>
      </c>
      <c r="S98" s="141">
        <f t="shared" si="55"/>
        <v>6.6220000000000008</v>
      </c>
      <c r="T98" s="107">
        <f t="shared" si="41"/>
        <v>0.85233639111458648</v>
      </c>
      <c r="U98" s="142">
        <f t="shared" si="56"/>
        <v>7.474336391114587</v>
      </c>
      <c r="V98" s="107"/>
      <c r="W98" s="107">
        <f t="shared" si="57"/>
        <v>0</v>
      </c>
      <c r="X98" s="142">
        <f t="shared" si="58"/>
        <v>0</v>
      </c>
      <c r="Y98" s="141">
        <v>0</v>
      </c>
      <c r="Z98" s="144">
        <v>0</v>
      </c>
      <c r="AA98" s="107">
        <f t="shared" si="42"/>
        <v>0</v>
      </c>
      <c r="AB98" s="142">
        <f t="shared" si="43"/>
        <v>0</v>
      </c>
      <c r="AC98" s="141">
        <v>0</v>
      </c>
      <c r="AD98" s="107">
        <f t="shared" si="59"/>
        <v>0</v>
      </c>
      <c r="AE98" s="142">
        <f t="shared" si="60"/>
        <v>0</v>
      </c>
      <c r="AF98" s="145">
        <v>0</v>
      </c>
      <c r="AG98" s="107">
        <f t="shared" si="61"/>
        <v>0</v>
      </c>
      <c r="AH98" s="142">
        <f t="shared" si="62"/>
        <v>0</v>
      </c>
      <c r="AI98" s="145">
        <v>0</v>
      </c>
      <c r="AJ98" s="107">
        <f t="shared" si="63"/>
        <v>0</v>
      </c>
      <c r="AK98" s="142">
        <f t="shared" si="64"/>
        <v>0</v>
      </c>
      <c r="AL98" s="215"/>
      <c r="AM98" s="215"/>
      <c r="AN98" s="107">
        <f t="shared" si="65"/>
        <v>0</v>
      </c>
      <c r="AO98" s="151">
        <f t="shared" si="66"/>
        <v>0</v>
      </c>
      <c r="AP98" s="282">
        <f t="shared" si="67"/>
        <v>1502.8128596463625</v>
      </c>
      <c r="AQ98" s="684">
        <v>233.71</v>
      </c>
      <c r="AR98" s="740">
        <v>1164.8648220186908</v>
      </c>
      <c r="AS98" s="740">
        <v>337.94803762767162</v>
      </c>
      <c r="AT98" s="740">
        <v>0</v>
      </c>
      <c r="AU98" s="411">
        <v>0</v>
      </c>
      <c r="AV98" s="801"/>
      <c r="AW98" s="256"/>
      <c r="AX98" s="728">
        <f t="shared" si="68"/>
        <v>74.449698962093294</v>
      </c>
      <c r="AY98" s="729">
        <v>50.022124048682983</v>
      </c>
      <c r="AZ98" s="730"/>
      <c r="BA98" s="731">
        <v>0</v>
      </c>
      <c r="BC98" s="727">
        <v>0</v>
      </c>
      <c r="BD98" s="727">
        <v>74.449698962093294</v>
      </c>
      <c r="BE98" s="727"/>
      <c r="BF98" s="727"/>
      <c r="BG98" s="727">
        <v>0</v>
      </c>
      <c r="BH98" s="727">
        <v>0</v>
      </c>
      <c r="BI98" s="137">
        <f t="shared" si="70"/>
        <v>74.449698962093294</v>
      </c>
      <c r="BJ98" s="126">
        <v>30.1</v>
      </c>
      <c r="BK98" s="807"/>
      <c r="BL98" s="107"/>
      <c r="BM98" s="687"/>
      <c r="BO98" s="577"/>
      <c r="BS98" s="904"/>
      <c r="BT98" s="789"/>
      <c r="BU98" s="789">
        <v>1214.6168926355958</v>
      </c>
      <c r="BV98" s="789">
        <v>0</v>
      </c>
      <c r="BW98" s="789">
        <f t="shared" si="69"/>
        <v>1214.6168926355958</v>
      </c>
    </row>
    <row r="99" spans="1:75" ht="15" thickBot="1" x14ac:dyDescent="0.35">
      <c r="A99" s="219" t="s">
        <v>154</v>
      </c>
      <c r="B99" s="237">
        <v>2</v>
      </c>
      <c r="C99" s="40">
        <f>'[7]побудинковий звіт'!E99</f>
        <v>452.1</v>
      </c>
      <c r="D99" s="215">
        <f t="shared" si="44"/>
        <v>124.44368573003258</v>
      </c>
      <c r="E99" s="107">
        <f t="shared" si="45"/>
        <v>27.377633723886408</v>
      </c>
      <c r="F99" s="107">
        <f t="shared" si="46"/>
        <v>13.822878398670381</v>
      </c>
      <c r="G99" s="107">
        <f t="shared" si="47"/>
        <v>0</v>
      </c>
      <c r="H99" s="107">
        <f t="shared" si="48"/>
        <v>103.96955015316334</v>
      </c>
      <c r="I99" s="107">
        <f t="shared" si="49"/>
        <v>34.702749768967195</v>
      </c>
      <c r="J99" s="687">
        <f t="shared" si="37"/>
        <v>0</v>
      </c>
      <c r="K99" s="142">
        <f t="shared" si="50"/>
        <v>304.31649777471989</v>
      </c>
      <c r="L99" s="141">
        <f t="shared" si="38"/>
        <v>39.899703898435192</v>
      </c>
      <c r="M99" s="107">
        <f t="shared" si="39"/>
        <v>8.7778935419156099</v>
      </c>
      <c r="N99" s="30">
        <f t="shared" si="51"/>
        <v>9.2874752699833998</v>
      </c>
      <c r="O99" s="107">
        <f t="shared" si="40"/>
        <v>0.81391988951662431</v>
      </c>
      <c r="P99" s="107">
        <f t="shared" si="52"/>
        <v>33.335192872414119</v>
      </c>
      <c r="Q99" s="107">
        <f t="shared" si="53"/>
        <v>11.856277924477494</v>
      </c>
      <c r="R99" s="143">
        <f t="shared" si="54"/>
        <v>103.97046339674245</v>
      </c>
      <c r="S99" s="141">
        <f t="shared" si="55"/>
        <v>0</v>
      </c>
      <c r="T99" s="107">
        <f t="shared" si="41"/>
        <v>0</v>
      </c>
      <c r="U99" s="142">
        <f t="shared" si="56"/>
        <v>0</v>
      </c>
      <c r="V99" s="107"/>
      <c r="W99" s="107">
        <f t="shared" si="57"/>
        <v>0</v>
      </c>
      <c r="X99" s="142">
        <f t="shared" si="58"/>
        <v>0</v>
      </c>
      <c r="Y99" s="141">
        <v>0</v>
      </c>
      <c r="Z99" s="144">
        <v>0</v>
      </c>
      <c r="AA99" s="107">
        <f t="shared" si="42"/>
        <v>0</v>
      </c>
      <c r="AB99" s="142">
        <f t="shared" si="43"/>
        <v>0</v>
      </c>
      <c r="AC99" s="141">
        <v>0</v>
      </c>
      <c r="AD99" s="107">
        <f t="shared" si="59"/>
        <v>0</v>
      </c>
      <c r="AE99" s="142">
        <f t="shared" si="60"/>
        <v>0</v>
      </c>
      <c r="AF99" s="145">
        <v>0</v>
      </c>
      <c r="AG99" s="107">
        <f t="shared" si="61"/>
        <v>0</v>
      </c>
      <c r="AH99" s="142">
        <f t="shared" si="62"/>
        <v>0</v>
      </c>
      <c r="AI99" s="145">
        <v>0</v>
      </c>
      <c r="AJ99" s="107">
        <f t="shared" si="63"/>
        <v>0</v>
      </c>
      <c r="AK99" s="142">
        <f t="shared" si="64"/>
        <v>0</v>
      </c>
      <c r="AL99" s="146"/>
      <c r="AM99" s="401"/>
      <c r="AN99" s="107">
        <f t="shared" si="65"/>
        <v>0</v>
      </c>
      <c r="AO99" s="151">
        <f t="shared" si="66"/>
        <v>0</v>
      </c>
      <c r="AP99" s="282">
        <f t="shared" si="67"/>
        <v>126.60040895863129</v>
      </c>
      <c r="AQ99" s="684">
        <v>25.1</v>
      </c>
      <c r="AR99" s="740">
        <v>89.749551501864929</v>
      </c>
      <c r="AS99" s="740">
        <v>36.850857456766363</v>
      </c>
      <c r="AT99" s="740">
        <v>0</v>
      </c>
      <c r="AU99" s="411">
        <v>0</v>
      </c>
      <c r="AV99" s="801"/>
      <c r="AW99" s="256"/>
      <c r="AX99" s="728">
        <f t="shared" si="68"/>
        <v>13.822878398670381</v>
      </c>
      <c r="AY99" s="729">
        <v>9.2874752699833998</v>
      </c>
      <c r="AZ99" s="730"/>
      <c r="BA99" s="731">
        <v>0</v>
      </c>
      <c r="BC99" s="727">
        <v>0</v>
      </c>
      <c r="BD99" s="727">
        <v>13.822878398670381</v>
      </c>
      <c r="BE99" s="727"/>
      <c r="BF99" s="727"/>
      <c r="BG99" s="727">
        <v>0</v>
      </c>
      <c r="BH99" s="727">
        <v>0</v>
      </c>
      <c r="BI99" s="137">
        <f t="shared" si="70"/>
        <v>13.822878398670381</v>
      </c>
      <c r="BJ99" s="126"/>
      <c r="BK99" s="807"/>
      <c r="BL99" s="107"/>
      <c r="BM99" s="687"/>
      <c r="BO99" s="577"/>
      <c r="BS99" s="904"/>
      <c r="BT99" s="789"/>
      <c r="BU99" s="789">
        <v>361.24478478348885</v>
      </c>
      <c r="BV99" s="789">
        <v>0</v>
      </c>
      <c r="BW99" s="789">
        <f t="shared" si="69"/>
        <v>361.24478478348885</v>
      </c>
    </row>
    <row r="100" spans="1:75" ht="15" thickBot="1" x14ac:dyDescent="0.35">
      <c r="A100" s="219" t="s">
        <v>155</v>
      </c>
      <c r="B100" s="237">
        <v>2</v>
      </c>
      <c r="C100" s="40">
        <f>'[7]побудинковий звіт'!E100</f>
        <v>378.8</v>
      </c>
      <c r="D100" s="215">
        <f t="shared" si="44"/>
        <v>91.882142453321947</v>
      </c>
      <c r="E100" s="107">
        <f t="shared" si="45"/>
        <v>20.214088220676356</v>
      </c>
      <c r="F100" s="107">
        <f t="shared" si="46"/>
        <v>11.587858688555793</v>
      </c>
      <c r="G100" s="107">
        <f t="shared" si="47"/>
        <v>0</v>
      </c>
      <c r="H100" s="107">
        <f t="shared" si="48"/>
        <v>76.765204774671005</v>
      </c>
      <c r="I100" s="107">
        <f t="shared" si="49"/>
        <v>25.800396853879292</v>
      </c>
      <c r="J100" s="687">
        <f t="shared" si="37"/>
        <v>0</v>
      </c>
      <c r="K100" s="142">
        <f t="shared" si="50"/>
        <v>226.24969099110439</v>
      </c>
      <c r="L100" s="141">
        <f t="shared" si="38"/>
        <v>31.850254471743643</v>
      </c>
      <c r="M100" s="107">
        <f t="shared" si="39"/>
        <v>7.0070230031669967</v>
      </c>
      <c r="N100" s="30">
        <f t="shared" si="51"/>
        <v>7.7857844001851539</v>
      </c>
      <c r="O100" s="107">
        <f t="shared" si="40"/>
        <v>0.68195720891151801</v>
      </c>
      <c r="P100" s="107">
        <f t="shared" si="52"/>
        <v>26.610081582402024</v>
      </c>
      <c r="Q100" s="107">
        <f t="shared" si="53"/>
        <v>9.5163963876020823</v>
      </c>
      <c r="R100" s="143">
        <f t="shared" si="54"/>
        <v>83.451497054011426</v>
      </c>
      <c r="S100" s="141">
        <f t="shared" si="55"/>
        <v>22.88</v>
      </c>
      <c r="T100" s="107">
        <f t="shared" si="41"/>
        <v>2.9449496570072085</v>
      </c>
      <c r="U100" s="142">
        <f t="shared" si="56"/>
        <v>25.824949657007206</v>
      </c>
      <c r="V100" s="107"/>
      <c r="W100" s="107">
        <f t="shared" si="57"/>
        <v>0</v>
      </c>
      <c r="X100" s="142">
        <f t="shared" si="58"/>
        <v>0</v>
      </c>
      <c r="Y100" s="141">
        <v>0</v>
      </c>
      <c r="Z100" s="144">
        <v>0</v>
      </c>
      <c r="AA100" s="107">
        <f t="shared" si="42"/>
        <v>0</v>
      </c>
      <c r="AB100" s="142">
        <f t="shared" si="43"/>
        <v>0</v>
      </c>
      <c r="AC100" s="141">
        <v>0</v>
      </c>
      <c r="AD100" s="107">
        <f t="shared" si="59"/>
        <v>0</v>
      </c>
      <c r="AE100" s="142">
        <f t="shared" si="60"/>
        <v>0</v>
      </c>
      <c r="AF100" s="145">
        <v>15.4</v>
      </c>
      <c r="AG100" s="107">
        <f t="shared" si="61"/>
        <v>1.9821776537548521</v>
      </c>
      <c r="AH100" s="142">
        <f t="shared" si="62"/>
        <v>17.382177653754852</v>
      </c>
      <c r="AI100" s="145">
        <v>0</v>
      </c>
      <c r="AJ100" s="107">
        <f t="shared" si="63"/>
        <v>0</v>
      </c>
      <c r="AK100" s="142">
        <f t="shared" si="64"/>
        <v>0</v>
      </c>
      <c r="AL100" s="146"/>
      <c r="AM100" s="401"/>
      <c r="AN100" s="107">
        <f t="shared" si="65"/>
        <v>0</v>
      </c>
      <c r="AO100" s="151">
        <f t="shared" si="66"/>
        <v>0</v>
      </c>
      <c r="AP100" s="282">
        <f t="shared" si="67"/>
        <v>95.394867867587919</v>
      </c>
      <c r="AQ100" s="684">
        <v>18.82</v>
      </c>
      <c r="AR100" s="740">
        <v>65.978379201716109</v>
      </c>
      <c r="AS100" s="740">
        <v>28.517083627893108</v>
      </c>
      <c r="AT100" s="740">
        <v>0.89940503797871485</v>
      </c>
      <c r="AU100" s="411">
        <v>0</v>
      </c>
      <c r="AV100" s="801"/>
      <c r="AW100" s="256"/>
      <c r="AX100" s="728">
        <f t="shared" si="68"/>
        <v>11.587858688555793</v>
      </c>
      <c r="AY100" s="729">
        <v>7.7857844001851539</v>
      </c>
      <c r="AZ100" s="730"/>
      <c r="BA100" s="731">
        <v>0</v>
      </c>
      <c r="BC100" s="727">
        <v>0</v>
      </c>
      <c r="BD100" s="727">
        <v>11.587858688555793</v>
      </c>
      <c r="BE100" s="727"/>
      <c r="BF100" s="727"/>
      <c r="BG100" s="727">
        <v>0</v>
      </c>
      <c r="BH100" s="727">
        <v>0</v>
      </c>
      <c r="BI100" s="137">
        <f t="shared" si="70"/>
        <v>11.587858688555793</v>
      </c>
      <c r="BJ100" s="126">
        <v>104</v>
      </c>
      <c r="BK100" s="807"/>
      <c r="BL100" s="107"/>
      <c r="BM100" s="687"/>
      <c r="BO100" s="577"/>
      <c r="BS100" s="904"/>
      <c r="BT100" s="789"/>
      <c r="BU100" s="789">
        <v>265.56994854409436</v>
      </c>
      <c r="BV100" s="789">
        <v>0</v>
      </c>
      <c r="BW100" s="789">
        <f t="shared" si="69"/>
        <v>265.56994854409436</v>
      </c>
    </row>
    <row r="101" spans="1:75" ht="15" thickBot="1" x14ac:dyDescent="0.35">
      <c r="A101" s="219" t="s">
        <v>156</v>
      </c>
      <c r="B101" s="237">
        <v>2</v>
      </c>
      <c r="C101" s="40">
        <f>'[7]побудинковий звіт'!E101</f>
        <v>766.3</v>
      </c>
      <c r="D101" s="215">
        <f t="shared" si="44"/>
        <v>674.77068088591454</v>
      </c>
      <c r="E101" s="107">
        <f t="shared" si="45"/>
        <v>148.44967376640213</v>
      </c>
      <c r="F101" s="107">
        <f t="shared" si="46"/>
        <v>23.414201012390571</v>
      </c>
      <c r="G101" s="107">
        <f t="shared" si="47"/>
        <v>0</v>
      </c>
      <c r="H101" s="107">
        <f t="shared" si="48"/>
        <v>563.75382757826253</v>
      </c>
      <c r="I101" s="107">
        <f t="shared" si="49"/>
        <v>181.53508677789927</v>
      </c>
      <c r="J101" s="687">
        <f t="shared" si="37"/>
        <v>0</v>
      </c>
      <c r="K101" s="142">
        <f t="shared" si="50"/>
        <v>1591.923470020869</v>
      </c>
      <c r="L101" s="141">
        <f t="shared" si="38"/>
        <v>278.58971581276694</v>
      </c>
      <c r="M101" s="107">
        <f t="shared" si="39"/>
        <v>61.289449001973622</v>
      </c>
      <c r="N101" s="30">
        <f t="shared" si="51"/>
        <v>15.731803941060132</v>
      </c>
      <c r="O101" s="107">
        <f t="shared" si="40"/>
        <v>1.3795771097911727</v>
      </c>
      <c r="P101" s="107">
        <f t="shared" si="52"/>
        <v>232.75465734104958</v>
      </c>
      <c r="Q101" s="107">
        <f t="shared" si="53"/>
        <v>75.907776831514227</v>
      </c>
      <c r="R101" s="143">
        <f t="shared" si="54"/>
        <v>665.65298003815565</v>
      </c>
      <c r="S101" s="141">
        <f t="shared" si="55"/>
        <v>0</v>
      </c>
      <c r="T101" s="107">
        <f t="shared" si="41"/>
        <v>0</v>
      </c>
      <c r="U101" s="142">
        <f t="shared" si="56"/>
        <v>0</v>
      </c>
      <c r="V101" s="107"/>
      <c r="W101" s="107">
        <f t="shared" si="57"/>
        <v>0</v>
      </c>
      <c r="X101" s="142">
        <f t="shared" si="58"/>
        <v>0</v>
      </c>
      <c r="Y101" s="141">
        <v>0</v>
      </c>
      <c r="Z101" s="144">
        <v>0</v>
      </c>
      <c r="AA101" s="107">
        <f t="shared" si="42"/>
        <v>0</v>
      </c>
      <c r="AB101" s="142">
        <f t="shared" si="43"/>
        <v>0</v>
      </c>
      <c r="AC101" s="141">
        <v>0</v>
      </c>
      <c r="AD101" s="107">
        <f t="shared" si="59"/>
        <v>0</v>
      </c>
      <c r="AE101" s="142">
        <f t="shared" si="60"/>
        <v>0</v>
      </c>
      <c r="AF101" s="145">
        <v>26.4</v>
      </c>
      <c r="AG101" s="107">
        <f t="shared" si="61"/>
        <v>3.3980188350083176</v>
      </c>
      <c r="AH101" s="142">
        <f t="shared" si="62"/>
        <v>29.798018835008317</v>
      </c>
      <c r="AI101" s="145">
        <v>0</v>
      </c>
      <c r="AJ101" s="107">
        <f t="shared" si="63"/>
        <v>0</v>
      </c>
      <c r="AK101" s="142">
        <f t="shared" si="64"/>
        <v>0</v>
      </c>
      <c r="AL101" s="146">
        <v>828.75</v>
      </c>
      <c r="AM101" s="146"/>
      <c r="AN101" s="107">
        <f t="shared" si="65"/>
        <v>106.67076172398269</v>
      </c>
      <c r="AO101" s="151">
        <f t="shared" si="66"/>
        <v>935.42076172398265</v>
      </c>
      <c r="AP101" s="282">
        <f t="shared" si="67"/>
        <v>767.49033835569082</v>
      </c>
      <c r="AQ101" s="684">
        <v>112.56</v>
      </c>
      <c r="AR101" s="740">
        <v>510.18843124204056</v>
      </c>
      <c r="AS101" s="740">
        <v>253.63250207567165</v>
      </c>
      <c r="AT101" s="740">
        <v>3.6694050379787151</v>
      </c>
      <c r="AU101" s="411">
        <v>0</v>
      </c>
      <c r="AV101" s="801"/>
      <c r="AW101" s="256"/>
      <c r="AX101" s="728">
        <f t="shared" si="68"/>
        <v>23.414201012390571</v>
      </c>
      <c r="AY101" s="729">
        <v>15.731803941060132</v>
      </c>
      <c r="AZ101" s="730"/>
      <c r="BA101" s="731">
        <v>0</v>
      </c>
      <c r="BC101" s="727">
        <v>0</v>
      </c>
      <c r="BD101" s="727">
        <v>23.414201012390571</v>
      </c>
      <c r="BE101" s="727"/>
      <c r="BF101" s="727"/>
      <c r="BG101" s="727">
        <v>0</v>
      </c>
      <c r="BH101" s="727">
        <v>0</v>
      </c>
      <c r="BI101" s="137">
        <f t="shared" si="70"/>
        <v>23.414201012390571</v>
      </c>
      <c r="BJ101" s="126"/>
      <c r="BK101" s="807"/>
      <c r="BL101" s="107"/>
      <c r="BM101" s="687"/>
      <c r="BO101" s="577"/>
      <c r="BS101" s="904"/>
      <c r="BT101" s="789"/>
      <c r="BU101" s="789">
        <v>500.73274376980686</v>
      </c>
      <c r="BV101" s="789">
        <v>0</v>
      </c>
      <c r="BW101" s="789">
        <f t="shared" si="69"/>
        <v>500.73274376980686</v>
      </c>
    </row>
    <row r="102" spans="1:75" ht="15" thickBot="1" x14ac:dyDescent="0.35">
      <c r="A102" s="219" t="s">
        <v>157</v>
      </c>
      <c r="B102" s="237">
        <v>2</v>
      </c>
      <c r="C102" s="40">
        <f>'[7]побудинковий звіт'!E102</f>
        <v>994.8</v>
      </c>
      <c r="D102" s="215">
        <f t="shared" si="44"/>
        <v>270.33195760255228</v>
      </c>
      <c r="E102" s="107">
        <f t="shared" si="45"/>
        <v>59.473080339002976</v>
      </c>
      <c r="F102" s="107">
        <f t="shared" si="46"/>
        <v>30.415835945581271</v>
      </c>
      <c r="G102" s="107">
        <f t="shared" si="47"/>
        <v>0</v>
      </c>
      <c r="H102" s="107">
        <f t="shared" si="48"/>
        <v>225.85550933403735</v>
      </c>
      <c r="I102" s="107">
        <f t="shared" si="49"/>
        <v>75.435552611329598</v>
      </c>
      <c r="J102" s="687">
        <f t="shared" si="37"/>
        <v>0</v>
      </c>
      <c r="K102" s="142">
        <f t="shared" si="50"/>
        <v>661.51193583250347</v>
      </c>
      <c r="L102" s="141">
        <f t="shared" si="38"/>
        <v>69.522456509820756</v>
      </c>
      <c r="M102" s="107">
        <f t="shared" si="39"/>
        <v>15.294868442359492</v>
      </c>
      <c r="N102" s="30">
        <f t="shared" si="51"/>
        <v>20.436143327979394</v>
      </c>
      <c r="O102" s="107">
        <f t="shared" si="40"/>
        <v>1.7909478126324658</v>
      </c>
      <c r="P102" s="107">
        <f t="shared" si="52"/>
        <v>58.084253021481395</v>
      </c>
      <c r="Q102" s="107">
        <f t="shared" si="53"/>
        <v>21.254179085233243</v>
      </c>
      <c r="R102" s="143">
        <f t="shared" si="54"/>
        <v>186.38284819950672</v>
      </c>
      <c r="S102" s="141">
        <f t="shared" si="55"/>
        <v>42.900000000000006</v>
      </c>
      <c r="T102" s="107">
        <f t="shared" si="41"/>
        <v>5.5217806068885169</v>
      </c>
      <c r="U102" s="142">
        <f t="shared" si="56"/>
        <v>48.421780606888525</v>
      </c>
      <c r="V102" s="107"/>
      <c r="W102" s="107">
        <f t="shared" si="57"/>
        <v>0</v>
      </c>
      <c r="X102" s="142">
        <f t="shared" si="58"/>
        <v>0</v>
      </c>
      <c r="Y102" s="141">
        <v>0</v>
      </c>
      <c r="Z102" s="144">
        <v>0</v>
      </c>
      <c r="AA102" s="107">
        <f t="shared" si="42"/>
        <v>0</v>
      </c>
      <c r="AB102" s="142">
        <f t="shared" si="43"/>
        <v>0</v>
      </c>
      <c r="AC102" s="141">
        <v>0</v>
      </c>
      <c r="AD102" s="107">
        <f t="shared" si="59"/>
        <v>0</v>
      </c>
      <c r="AE102" s="142">
        <f t="shared" si="60"/>
        <v>0</v>
      </c>
      <c r="AF102" s="145">
        <v>33</v>
      </c>
      <c r="AG102" s="107">
        <f t="shared" si="61"/>
        <v>4.2475235437603969</v>
      </c>
      <c r="AH102" s="142">
        <f t="shared" si="62"/>
        <v>37.247523543760394</v>
      </c>
      <c r="AI102" s="145">
        <v>0</v>
      </c>
      <c r="AJ102" s="107">
        <f t="shared" si="63"/>
        <v>0</v>
      </c>
      <c r="AK102" s="142">
        <f t="shared" si="64"/>
        <v>0</v>
      </c>
      <c r="AL102" s="146"/>
      <c r="AM102" s="401"/>
      <c r="AN102" s="107">
        <f t="shared" si="65"/>
        <v>0</v>
      </c>
      <c r="AO102" s="151">
        <f t="shared" si="66"/>
        <v>0</v>
      </c>
      <c r="AP102" s="282">
        <f t="shared" si="67"/>
        <v>263.84044705015236</v>
      </c>
      <c r="AQ102" s="684">
        <v>49.86</v>
      </c>
      <c r="AR102" s="740">
        <v>199.63039322596546</v>
      </c>
      <c r="AS102" s="740">
        <v>62.53495976951249</v>
      </c>
      <c r="AT102" s="740">
        <v>1.6750940546744053</v>
      </c>
      <c r="AU102" s="411">
        <v>0</v>
      </c>
      <c r="AV102" s="801"/>
      <c r="AW102" s="256"/>
      <c r="AX102" s="728">
        <f t="shared" si="68"/>
        <v>30.415835945581271</v>
      </c>
      <c r="AY102" s="729">
        <v>20.436143327979394</v>
      </c>
      <c r="AZ102" s="730"/>
      <c r="BA102" s="731">
        <v>0</v>
      </c>
      <c r="BC102" s="727">
        <v>0</v>
      </c>
      <c r="BD102" s="727">
        <v>30.415835945581271</v>
      </c>
      <c r="BE102" s="727"/>
      <c r="BF102" s="727"/>
      <c r="BG102" s="727">
        <v>0</v>
      </c>
      <c r="BH102" s="727">
        <v>0</v>
      </c>
      <c r="BI102" s="137">
        <f t="shared" si="70"/>
        <v>30.415835945581271</v>
      </c>
      <c r="BJ102" s="126">
        <v>195</v>
      </c>
      <c r="BK102" s="807"/>
      <c r="BL102" s="107"/>
      <c r="BM102" s="687"/>
      <c r="BO102" s="577"/>
      <c r="BS102" s="904"/>
      <c r="BT102" s="789"/>
      <c r="BU102" s="789">
        <v>803.4743947818655</v>
      </c>
      <c r="BV102" s="789">
        <v>0</v>
      </c>
      <c r="BW102" s="789">
        <f t="shared" si="69"/>
        <v>803.4743947818655</v>
      </c>
    </row>
    <row r="103" spans="1:75" ht="15" thickBot="1" x14ac:dyDescent="0.35">
      <c r="A103" s="219" t="s">
        <v>158</v>
      </c>
      <c r="B103" s="237">
        <v>2</v>
      </c>
      <c r="C103" s="40">
        <f>'[7]побудинковий звіт'!E103</f>
        <v>598.30999999999995</v>
      </c>
      <c r="D103" s="215">
        <f t="shared" si="44"/>
        <v>530.53327554678651</v>
      </c>
      <c r="E103" s="107">
        <f t="shared" si="45"/>
        <v>116.71741809193536</v>
      </c>
      <c r="F103" s="107">
        <f t="shared" si="46"/>
        <v>17.969130421770778</v>
      </c>
      <c r="G103" s="107">
        <f t="shared" si="47"/>
        <v>0</v>
      </c>
      <c r="H103" s="107">
        <f t="shared" si="48"/>
        <v>443.24712560785071</v>
      </c>
      <c r="I103" s="107">
        <f t="shared" si="49"/>
        <v>142.67392321807753</v>
      </c>
      <c r="J103" s="687">
        <f t="shared" si="37"/>
        <v>0</v>
      </c>
      <c r="K103" s="142">
        <f t="shared" si="50"/>
        <v>1251.1408728864208</v>
      </c>
      <c r="L103" s="141">
        <f t="shared" si="38"/>
        <v>203.4807944857977</v>
      </c>
      <c r="M103" s="107">
        <f t="shared" si="39"/>
        <v>44.76556408456932</v>
      </c>
      <c r="N103" s="30">
        <f t="shared" si="51"/>
        <v>12.073306991643317</v>
      </c>
      <c r="O103" s="107">
        <f t="shared" si="40"/>
        <v>1.077143130052403</v>
      </c>
      <c r="P103" s="107">
        <f t="shared" si="52"/>
        <v>170.00305434051475</v>
      </c>
      <c r="Q103" s="107">
        <f t="shared" si="53"/>
        <v>55.526699242602533</v>
      </c>
      <c r="R103" s="143">
        <f t="shared" si="54"/>
        <v>486.92656227518006</v>
      </c>
      <c r="S103" s="141">
        <f t="shared" si="55"/>
        <v>35.200000000000003</v>
      </c>
      <c r="T103" s="107">
        <f t="shared" si="41"/>
        <v>4.5306917800110904</v>
      </c>
      <c r="U103" s="142">
        <f t="shared" si="56"/>
        <v>39.730691780011092</v>
      </c>
      <c r="V103" s="107"/>
      <c r="W103" s="107">
        <f t="shared" si="57"/>
        <v>0</v>
      </c>
      <c r="X103" s="142">
        <f t="shared" si="58"/>
        <v>0</v>
      </c>
      <c r="Y103" s="141">
        <v>0</v>
      </c>
      <c r="Z103" s="144">
        <v>0</v>
      </c>
      <c r="AA103" s="107">
        <f t="shared" si="42"/>
        <v>0</v>
      </c>
      <c r="AB103" s="142">
        <f t="shared" si="43"/>
        <v>0</v>
      </c>
      <c r="AC103" s="141">
        <v>0</v>
      </c>
      <c r="AD103" s="107">
        <f t="shared" si="59"/>
        <v>0</v>
      </c>
      <c r="AE103" s="142">
        <f t="shared" si="60"/>
        <v>0</v>
      </c>
      <c r="AF103" s="145">
        <v>248.6</v>
      </c>
      <c r="AG103" s="107">
        <f t="shared" si="61"/>
        <v>31.998010696328326</v>
      </c>
      <c r="AH103" s="142">
        <f t="shared" si="62"/>
        <v>280.59801069632834</v>
      </c>
      <c r="AI103" s="145">
        <v>0</v>
      </c>
      <c r="AJ103" s="107">
        <f t="shared" si="63"/>
        <v>0</v>
      </c>
      <c r="AK103" s="142">
        <f t="shared" si="64"/>
        <v>0</v>
      </c>
      <c r="AL103" s="146"/>
      <c r="AM103" s="401"/>
      <c r="AN103" s="107">
        <f t="shared" si="65"/>
        <v>0</v>
      </c>
      <c r="AO103" s="151">
        <f t="shared" si="66"/>
        <v>0</v>
      </c>
      <c r="AP103" s="282">
        <f t="shared" si="67"/>
        <v>650.55344618864422</v>
      </c>
      <c r="AQ103" s="684">
        <v>27.01</v>
      </c>
      <c r="AR103" s="740">
        <v>462.62118052890384</v>
      </c>
      <c r="AS103" s="740">
        <v>182.2658644984065</v>
      </c>
      <c r="AT103" s="740">
        <v>5.6664011613339049</v>
      </c>
      <c r="AU103" s="411">
        <v>0</v>
      </c>
      <c r="AV103" s="801"/>
      <c r="AW103" s="256"/>
      <c r="AX103" s="728">
        <f t="shared" si="68"/>
        <v>17.969130421770778</v>
      </c>
      <c r="AY103" s="729">
        <v>12.073306991643317</v>
      </c>
      <c r="AZ103" s="730"/>
      <c r="BA103" s="731">
        <v>0</v>
      </c>
      <c r="BC103" s="727">
        <v>0</v>
      </c>
      <c r="BD103" s="727">
        <v>17.969130421770778</v>
      </c>
      <c r="BE103" s="727"/>
      <c r="BF103" s="727"/>
      <c r="BG103" s="727">
        <v>0</v>
      </c>
      <c r="BH103" s="727">
        <v>0</v>
      </c>
      <c r="BI103" s="137">
        <f t="shared" si="70"/>
        <v>17.969130421770778</v>
      </c>
      <c r="BJ103" s="126">
        <v>160</v>
      </c>
      <c r="BK103" s="807"/>
      <c r="BL103" s="107"/>
      <c r="BM103" s="687"/>
      <c r="BO103" s="577"/>
      <c r="BS103" s="904"/>
      <c r="BT103" s="789"/>
      <c r="BU103" s="789">
        <v>452.34314619833276</v>
      </c>
      <c r="BV103" s="789">
        <v>0</v>
      </c>
      <c r="BW103" s="789">
        <f t="shared" si="69"/>
        <v>452.34314619833276</v>
      </c>
    </row>
    <row r="104" spans="1:75" ht="15" thickBot="1" x14ac:dyDescent="0.35">
      <c r="A104" s="219" t="s">
        <v>159</v>
      </c>
      <c r="B104" s="237">
        <v>2</v>
      </c>
      <c r="C104" s="40">
        <f>'[7]побудинковий звіт'!E104</f>
        <v>465.59999999999997</v>
      </c>
      <c r="D104" s="215">
        <f t="shared" si="44"/>
        <v>423.97742917026733</v>
      </c>
      <c r="E104" s="107">
        <f t="shared" si="45"/>
        <v>93.275112312245497</v>
      </c>
      <c r="F104" s="107">
        <f t="shared" si="46"/>
        <v>14.206592452869259</v>
      </c>
      <c r="G104" s="107">
        <f t="shared" si="47"/>
        <v>0</v>
      </c>
      <c r="H104" s="107">
        <f t="shared" si="48"/>
        <v>354.22241255017053</v>
      </c>
      <c r="I104" s="107">
        <f t="shared" si="49"/>
        <v>113.99858245368192</v>
      </c>
      <c r="J104" s="687">
        <f t="shared" si="37"/>
        <v>0</v>
      </c>
      <c r="K104" s="142">
        <f t="shared" si="50"/>
        <v>999.68012893923458</v>
      </c>
      <c r="L104" s="141">
        <f t="shared" si="38"/>
        <v>77.571584010395497</v>
      </c>
      <c r="M104" s="107">
        <f t="shared" si="39"/>
        <v>17.065668157695761</v>
      </c>
      <c r="N104" s="30">
        <f t="shared" si="51"/>
        <v>9.545289502759978</v>
      </c>
      <c r="O104" s="107">
        <f t="shared" si="40"/>
        <v>0.83822406670856053</v>
      </c>
      <c r="P104" s="107">
        <f t="shared" si="52"/>
        <v>64.80909535036983</v>
      </c>
      <c r="Q104" s="107">
        <f t="shared" si="53"/>
        <v>21.85928283044057</v>
      </c>
      <c r="R104" s="143">
        <f t="shared" si="54"/>
        <v>191.68914391837021</v>
      </c>
      <c r="S104" s="141">
        <f t="shared" si="55"/>
        <v>13.64</v>
      </c>
      <c r="T104" s="107">
        <f t="shared" si="41"/>
        <v>1.7556430647542975</v>
      </c>
      <c r="U104" s="142">
        <f t="shared" si="56"/>
        <v>15.395643064754298</v>
      </c>
      <c r="V104" s="107"/>
      <c r="W104" s="107">
        <f t="shared" si="57"/>
        <v>0</v>
      </c>
      <c r="X104" s="142">
        <f t="shared" si="58"/>
        <v>0</v>
      </c>
      <c r="Y104" s="141">
        <v>0</v>
      </c>
      <c r="Z104" s="144">
        <v>0</v>
      </c>
      <c r="AA104" s="107">
        <f t="shared" si="42"/>
        <v>0</v>
      </c>
      <c r="AB104" s="142">
        <f t="shared" si="43"/>
        <v>0</v>
      </c>
      <c r="AC104" s="141">
        <v>0</v>
      </c>
      <c r="AD104" s="107">
        <f t="shared" si="59"/>
        <v>0</v>
      </c>
      <c r="AE104" s="142">
        <f t="shared" si="60"/>
        <v>0</v>
      </c>
      <c r="AF104" s="145">
        <v>63.8</v>
      </c>
      <c r="AG104" s="107">
        <f t="shared" si="61"/>
        <v>8.2118788512701002</v>
      </c>
      <c r="AH104" s="142">
        <f t="shared" si="62"/>
        <v>72.011878851270097</v>
      </c>
      <c r="AI104" s="145">
        <v>0</v>
      </c>
      <c r="AJ104" s="107">
        <f t="shared" si="63"/>
        <v>0</v>
      </c>
      <c r="AK104" s="142">
        <f t="shared" si="64"/>
        <v>0</v>
      </c>
      <c r="AL104" s="146">
        <v>255</v>
      </c>
      <c r="AM104" s="146"/>
      <c r="AN104" s="107">
        <f t="shared" si="65"/>
        <v>32.821772838148526</v>
      </c>
      <c r="AO104" s="151">
        <f t="shared" si="66"/>
        <v>287.82177283814855</v>
      </c>
      <c r="AP104" s="282">
        <f t="shared" si="67"/>
        <v>429.83450938014948</v>
      </c>
      <c r="AQ104" s="684">
        <v>33.1</v>
      </c>
      <c r="AR104" s="740">
        <v>358.19038409192223</v>
      </c>
      <c r="AS104" s="740">
        <v>69.456595361739971</v>
      </c>
      <c r="AT104" s="740">
        <v>2.1875299264873105</v>
      </c>
      <c r="AU104" s="411">
        <v>0</v>
      </c>
      <c r="AV104" s="801"/>
      <c r="AW104" s="256"/>
      <c r="AX104" s="728">
        <f t="shared" si="68"/>
        <v>14.206592452869259</v>
      </c>
      <c r="AY104" s="729">
        <v>9.545289502759978</v>
      </c>
      <c r="AZ104" s="730"/>
      <c r="BA104" s="731">
        <v>0</v>
      </c>
      <c r="BC104" s="727">
        <v>0</v>
      </c>
      <c r="BD104" s="727">
        <v>14.206592452869259</v>
      </c>
      <c r="BE104" s="727"/>
      <c r="BF104" s="727"/>
      <c r="BG104" s="727">
        <v>0</v>
      </c>
      <c r="BH104" s="727">
        <v>0</v>
      </c>
      <c r="BI104" s="137">
        <f t="shared" si="70"/>
        <v>14.206592452869259</v>
      </c>
      <c r="BJ104" s="126">
        <v>62</v>
      </c>
      <c r="BK104" s="807"/>
      <c r="BL104" s="107"/>
      <c r="BM104" s="687"/>
      <c r="BO104" s="577"/>
      <c r="BS104" s="904"/>
      <c r="BT104" s="789"/>
      <c r="BU104" s="789">
        <v>351.55550921321282</v>
      </c>
      <c r="BV104" s="789">
        <v>0</v>
      </c>
      <c r="BW104" s="789">
        <f t="shared" si="69"/>
        <v>351.55550921321282</v>
      </c>
    </row>
    <row r="105" spans="1:75" ht="15" thickBot="1" x14ac:dyDescent="0.35">
      <c r="A105" s="219" t="s">
        <v>160</v>
      </c>
      <c r="B105" s="237">
        <v>2</v>
      </c>
      <c r="C105" s="40">
        <f>'[7]побудинковий звіт'!E105</f>
        <v>475.2</v>
      </c>
      <c r="D105" s="215">
        <f t="shared" si="44"/>
        <v>459.96955201927915</v>
      </c>
      <c r="E105" s="107">
        <f t="shared" si="45"/>
        <v>101.19338595164128</v>
      </c>
      <c r="F105" s="107">
        <f t="shared" si="46"/>
        <v>14.529156856996604</v>
      </c>
      <c r="G105" s="107">
        <f t="shared" si="47"/>
        <v>0</v>
      </c>
      <c r="H105" s="107">
        <f t="shared" si="48"/>
        <v>384.29292034425185</v>
      </c>
      <c r="I105" s="107">
        <f t="shared" si="49"/>
        <v>123.56239253336271</v>
      </c>
      <c r="J105" s="687">
        <f t="shared" si="37"/>
        <v>0</v>
      </c>
      <c r="K105" s="142">
        <f t="shared" si="50"/>
        <v>1083.5474077055317</v>
      </c>
      <c r="L105" s="141">
        <f t="shared" si="38"/>
        <v>105.47082369648277</v>
      </c>
      <c r="M105" s="107">
        <f t="shared" si="39"/>
        <v>23.203471999254234</v>
      </c>
      <c r="N105" s="30">
        <f t="shared" si="51"/>
        <v>9.7620178020263459</v>
      </c>
      <c r="O105" s="107">
        <f t="shared" si="40"/>
        <v>0.85550703715615983</v>
      </c>
      <c r="P105" s="107">
        <f t="shared" si="52"/>
        <v>88.118204066986237</v>
      </c>
      <c r="Q105" s="107">
        <f t="shared" si="53"/>
        <v>29.270588896476539</v>
      </c>
      <c r="R105" s="143">
        <f t="shared" si="54"/>
        <v>256.68061349838229</v>
      </c>
      <c r="S105" s="141">
        <f t="shared" si="55"/>
        <v>0</v>
      </c>
      <c r="T105" s="107">
        <f t="shared" si="41"/>
        <v>0</v>
      </c>
      <c r="U105" s="142">
        <f t="shared" si="56"/>
        <v>0</v>
      </c>
      <c r="V105" s="107"/>
      <c r="W105" s="107">
        <f t="shared" si="57"/>
        <v>0</v>
      </c>
      <c r="X105" s="142">
        <f t="shared" si="58"/>
        <v>0</v>
      </c>
      <c r="Y105" s="141">
        <v>0</v>
      </c>
      <c r="Z105" s="144">
        <v>0</v>
      </c>
      <c r="AA105" s="107">
        <f t="shared" si="42"/>
        <v>0</v>
      </c>
      <c r="AB105" s="142">
        <f t="shared" si="43"/>
        <v>0</v>
      </c>
      <c r="AC105" s="141">
        <v>0</v>
      </c>
      <c r="AD105" s="107">
        <f t="shared" si="59"/>
        <v>0</v>
      </c>
      <c r="AE105" s="142">
        <f t="shared" si="60"/>
        <v>0</v>
      </c>
      <c r="AF105" s="145">
        <v>11</v>
      </c>
      <c r="AG105" s="107">
        <f t="shared" si="61"/>
        <v>1.4158411812534657</v>
      </c>
      <c r="AH105" s="142">
        <f t="shared" si="62"/>
        <v>12.415841181253466</v>
      </c>
      <c r="AI105" s="145">
        <v>0</v>
      </c>
      <c r="AJ105" s="107">
        <f t="shared" si="63"/>
        <v>0</v>
      </c>
      <c r="AK105" s="142">
        <f t="shared" si="64"/>
        <v>0</v>
      </c>
      <c r="AL105" s="146"/>
      <c r="AM105" s="401"/>
      <c r="AN105" s="107">
        <f t="shared" si="65"/>
        <v>0</v>
      </c>
      <c r="AO105" s="151">
        <f t="shared" si="66"/>
        <v>0</v>
      </c>
      <c r="AP105" s="282">
        <f t="shared" si="67"/>
        <v>480.36915845208182</v>
      </c>
      <c r="AQ105" s="684">
        <v>41.55</v>
      </c>
      <c r="AR105" s="740">
        <v>382.95765134465057</v>
      </c>
      <c r="AS105" s="740">
        <v>97.411507107431262</v>
      </c>
      <c r="AT105" s="740">
        <v>0</v>
      </c>
      <c r="AU105" s="411">
        <v>0</v>
      </c>
      <c r="AV105" s="801"/>
      <c r="AW105" s="256"/>
      <c r="AX105" s="728">
        <f t="shared" si="68"/>
        <v>14.529156856996604</v>
      </c>
      <c r="AY105" s="729">
        <v>9.7620178020263459</v>
      </c>
      <c r="AZ105" s="730"/>
      <c r="BA105" s="731">
        <v>0</v>
      </c>
      <c r="BC105" s="727">
        <v>0</v>
      </c>
      <c r="BD105" s="727">
        <v>14.529156856996604</v>
      </c>
      <c r="BE105" s="727"/>
      <c r="BF105" s="727"/>
      <c r="BG105" s="727">
        <v>0</v>
      </c>
      <c r="BH105" s="727">
        <v>0</v>
      </c>
      <c r="BI105" s="137">
        <f t="shared" si="70"/>
        <v>14.529156856996604</v>
      </c>
      <c r="BJ105" s="126"/>
      <c r="BK105" s="807"/>
      <c r="BL105" s="107"/>
      <c r="BM105" s="687"/>
      <c r="BO105" s="577"/>
      <c r="BS105" s="904"/>
      <c r="BT105" s="789"/>
      <c r="BU105" s="789">
        <v>374.45033287819439</v>
      </c>
      <c r="BV105" s="789">
        <v>0</v>
      </c>
      <c r="BW105" s="789">
        <f t="shared" si="69"/>
        <v>374.45033287819439</v>
      </c>
    </row>
    <row r="106" spans="1:75" ht="15" thickBot="1" x14ac:dyDescent="0.35">
      <c r="A106" s="219" t="s">
        <v>195</v>
      </c>
      <c r="B106" s="237">
        <v>3</v>
      </c>
      <c r="C106" s="40">
        <f>'[7]побудинковий звіт'!E106</f>
        <v>1108</v>
      </c>
      <c r="D106" s="215">
        <f t="shared" si="44"/>
        <v>1027.2497107666604</v>
      </c>
      <c r="E106" s="107">
        <f t="shared" si="45"/>
        <v>225.99512509898815</v>
      </c>
      <c r="F106" s="107">
        <f t="shared" si="46"/>
        <v>33.87690613963013</v>
      </c>
      <c r="G106" s="107">
        <f t="shared" si="47"/>
        <v>0</v>
      </c>
      <c r="H106" s="107">
        <f t="shared" si="48"/>
        <v>858.24113691934508</v>
      </c>
      <c r="I106" s="107">
        <f t="shared" si="49"/>
        <v>276.13573751945233</v>
      </c>
      <c r="J106" s="687">
        <f t="shared" si="37"/>
        <v>0</v>
      </c>
      <c r="K106" s="142">
        <f t="shared" si="50"/>
        <v>2421.4986164440766</v>
      </c>
      <c r="L106" s="141">
        <f t="shared" si="38"/>
        <v>296.52002443652293</v>
      </c>
      <c r="M106" s="107">
        <f t="shared" si="39"/>
        <v>65.23409833254658</v>
      </c>
      <c r="N106" s="30">
        <f t="shared" si="51"/>
        <v>22.761607164657391</v>
      </c>
      <c r="O106" s="107">
        <f t="shared" si="40"/>
        <v>1.9947428391604063</v>
      </c>
      <c r="P106" s="107">
        <f t="shared" si="52"/>
        <v>247.73497643705815</v>
      </c>
      <c r="Q106" s="107">
        <f t="shared" si="53"/>
        <v>81.635529637640389</v>
      </c>
      <c r="R106" s="143">
        <f t="shared" si="54"/>
        <v>715.88097884758588</v>
      </c>
      <c r="S106" s="141">
        <f t="shared" si="55"/>
        <v>19.360000000000003</v>
      </c>
      <c r="T106" s="107">
        <f t="shared" si="41"/>
        <v>2.4918804790061002</v>
      </c>
      <c r="U106" s="142">
        <f t="shared" si="56"/>
        <v>21.851880479006102</v>
      </c>
      <c r="V106" s="107"/>
      <c r="W106" s="107">
        <f t="shared" si="57"/>
        <v>0</v>
      </c>
      <c r="X106" s="142">
        <f t="shared" si="58"/>
        <v>0</v>
      </c>
      <c r="Y106" s="141">
        <v>0</v>
      </c>
      <c r="Z106" s="144">
        <v>0</v>
      </c>
      <c r="AA106" s="107">
        <f t="shared" si="42"/>
        <v>0</v>
      </c>
      <c r="AB106" s="142">
        <f t="shared" si="43"/>
        <v>0</v>
      </c>
      <c r="AC106" s="141">
        <v>0</v>
      </c>
      <c r="AD106" s="107">
        <f t="shared" si="59"/>
        <v>0</v>
      </c>
      <c r="AE106" s="142">
        <f t="shared" si="60"/>
        <v>0</v>
      </c>
      <c r="AF106" s="145">
        <v>96.8</v>
      </c>
      <c r="AG106" s="107">
        <f t="shared" si="61"/>
        <v>12.459402395030498</v>
      </c>
      <c r="AH106" s="142">
        <f t="shared" si="62"/>
        <v>109.25940239503049</v>
      </c>
      <c r="AI106" s="145">
        <v>0</v>
      </c>
      <c r="AJ106" s="107">
        <f t="shared" si="63"/>
        <v>0</v>
      </c>
      <c r="AK106" s="142">
        <f t="shared" si="64"/>
        <v>0</v>
      </c>
      <c r="AL106" s="146"/>
      <c r="AM106" s="215"/>
      <c r="AN106" s="107">
        <f t="shared" si="65"/>
        <v>0</v>
      </c>
      <c r="AO106" s="151">
        <f t="shared" si="66"/>
        <v>0</v>
      </c>
      <c r="AP106" s="282">
        <f t="shared" si="67"/>
        <v>1115.9847817224061</v>
      </c>
      <c r="AQ106" s="684">
        <v>105.93</v>
      </c>
      <c r="AR106" s="740">
        <v>842.12267032925058</v>
      </c>
      <c r="AS106" s="740">
        <v>270.71368355137702</v>
      </c>
      <c r="AT106" s="740">
        <v>3.1484278417786555</v>
      </c>
      <c r="AU106" s="411">
        <v>0</v>
      </c>
      <c r="AV106" s="801"/>
      <c r="AW106" s="256"/>
      <c r="AX106" s="728">
        <f t="shared" si="68"/>
        <v>33.87690613963013</v>
      </c>
      <c r="AY106" s="729">
        <v>22.761607164657391</v>
      </c>
      <c r="AZ106" s="730"/>
      <c r="BA106" s="731">
        <v>0</v>
      </c>
      <c r="BC106" s="727">
        <v>0</v>
      </c>
      <c r="BD106" s="727">
        <v>33.87690613963013</v>
      </c>
      <c r="BE106" s="727"/>
      <c r="BF106" s="727"/>
      <c r="BG106" s="727">
        <v>0</v>
      </c>
      <c r="BH106" s="727">
        <v>0</v>
      </c>
      <c r="BI106" s="137">
        <f t="shared" si="70"/>
        <v>33.87690613963013</v>
      </c>
      <c r="BJ106" s="126">
        <v>88</v>
      </c>
      <c r="BK106" s="807"/>
      <c r="BL106" s="107"/>
      <c r="BM106" s="687"/>
      <c r="BO106" s="577"/>
      <c r="BS106" s="904"/>
      <c r="BT106" s="789"/>
      <c r="BU106" s="789">
        <v>823.81694236197438</v>
      </c>
      <c r="BV106" s="789">
        <v>0</v>
      </c>
      <c r="BW106" s="789">
        <f t="shared" si="69"/>
        <v>823.81694236197438</v>
      </c>
    </row>
    <row r="107" spans="1:75" ht="15" thickBot="1" x14ac:dyDescent="0.35">
      <c r="A107" s="219" t="s">
        <v>209</v>
      </c>
      <c r="B107" s="237">
        <v>4</v>
      </c>
      <c r="C107" s="40">
        <f>'[7]побудинковий звіт'!E107</f>
        <v>1472.6</v>
      </c>
      <c r="D107" s="215">
        <f t="shared" si="44"/>
        <v>1169.6450617113724</v>
      </c>
      <c r="E107" s="107">
        <f t="shared" si="45"/>
        <v>257.32212846825394</v>
      </c>
      <c r="F107" s="107">
        <f t="shared" si="46"/>
        <v>44.9816825926208</v>
      </c>
      <c r="G107" s="107">
        <f t="shared" si="47"/>
        <v>0</v>
      </c>
      <c r="H107" s="107">
        <f t="shared" si="48"/>
        <v>977.20884905976595</v>
      </c>
      <c r="I107" s="107">
        <f t="shared" si="49"/>
        <v>315.23803290497131</v>
      </c>
      <c r="J107" s="687">
        <f t="shared" si="37"/>
        <v>0</v>
      </c>
      <c r="K107" s="142">
        <f t="shared" si="50"/>
        <v>2764.3957547369846</v>
      </c>
      <c r="L107" s="141">
        <f t="shared" si="38"/>
        <v>357.13889546928903</v>
      </c>
      <c r="M107" s="107">
        <f t="shared" si="39"/>
        <v>78.57018718952682</v>
      </c>
      <c r="N107" s="30">
        <f t="shared" si="51"/>
        <v>30.222812690111869</v>
      </c>
      <c r="O107" s="107">
        <f t="shared" si="40"/>
        <v>2.6511356542848503</v>
      </c>
      <c r="P107" s="107">
        <f t="shared" si="52"/>
        <v>298.38050911391861</v>
      </c>
      <c r="Q107" s="107">
        <f t="shared" si="53"/>
        <v>98.718051328889004</v>
      </c>
      <c r="R107" s="143">
        <f t="shared" si="54"/>
        <v>865.68159144602032</v>
      </c>
      <c r="S107" s="141">
        <f t="shared" si="55"/>
        <v>27.5</v>
      </c>
      <c r="T107" s="107">
        <f t="shared" si="41"/>
        <v>3.5396029531336644</v>
      </c>
      <c r="U107" s="142">
        <f t="shared" si="56"/>
        <v>31.039602953133663</v>
      </c>
      <c r="V107" s="107"/>
      <c r="W107" s="107">
        <f t="shared" si="57"/>
        <v>0</v>
      </c>
      <c r="X107" s="142">
        <f t="shared" si="58"/>
        <v>0</v>
      </c>
      <c r="Y107" s="141">
        <v>0</v>
      </c>
      <c r="Z107" s="144">
        <v>0</v>
      </c>
      <c r="AA107" s="107">
        <f t="shared" si="42"/>
        <v>0</v>
      </c>
      <c r="AB107" s="142">
        <f t="shared" si="43"/>
        <v>0</v>
      </c>
      <c r="AC107" s="141">
        <v>0</v>
      </c>
      <c r="AD107" s="107">
        <f t="shared" si="59"/>
        <v>0</v>
      </c>
      <c r="AE107" s="142">
        <f t="shared" si="60"/>
        <v>0</v>
      </c>
      <c r="AF107" s="145">
        <v>149.6</v>
      </c>
      <c r="AG107" s="107">
        <f t="shared" si="61"/>
        <v>19.255440065047132</v>
      </c>
      <c r="AH107" s="142">
        <f t="shared" si="62"/>
        <v>168.85544006504713</v>
      </c>
      <c r="AI107" s="145">
        <v>0</v>
      </c>
      <c r="AJ107" s="107">
        <f t="shared" si="63"/>
        <v>0</v>
      </c>
      <c r="AK107" s="142">
        <f t="shared" si="64"/>
        <v>0</v>
      </c>
      <c r="AL107" s="146"/>
      <c r="AM107" s="215"/>
      <c r="AN107" s="107">
        <f t="shared" si="65"/>
        <v>0</v>
      </c>
      <c r="AO107" s="151">
        <f t="shared" si="66"/>
        <v>0</v>
      </c>
      <c r="AP107" s="282">
        <f t="shared" si="67"/>
        <v>1237.17880929425</v>
      </c>
      <c r="AQ107" s="684">
        <v>172.14</v>
      </c>
      <c r="AR107" s="740">
        <v>907.32988202634829</v>
      </c>
      <c r="AS107" s="740">
        <v>325.38183971317005</v>
      </c>
      <c r="AT107" s="740">
        <v>4.4670875547314042</v>
      </c>
      <c r="AU107" s="411">
        <v>0</v>
      </c>
      <c r="AV107" s="801"/>
      <c r="AW107" s="256"/>
      <c r="AX107" s="728">
        <f t="shared" si="68"/>
        <v>44.9816825926208</v>
      </c>
      <c r="AY107" s="729">
        <v>30.222812690111869</v>
      </c>
      <c r="AZ107" s="730"/>
      <c r="BA107" s="731">
        <v>0</v>
      </c>
      <c r="BC107" s="727">
        <v>0</v>
      </c>
      <c r="BD107" s="727">
        <v>44.9816825926208</v>
      </c>
      <c r="BE107" s="727"/>
      <c r="BF107" s="727"/>
      <c r="BG107" s="727">
        <v>0</v>
      </c>
      <c r="BH107" s="727">
        <v>0</v>
      </c>
      <c r="BI107" s="137">
        <f t="shared" si="70"/>
        <v>44.9816825926208</v>
      </c>
      <c r="BJ107" s="126">
        <v>125</v>
      </c>
      <c r="BK107" s="807"/>
      <c r="BL107" s="107"/>
      <c r="BM107" s="687"/>
      <c r="BO107" s="577"/>
      <c r="BS107" s="904"/>
      <c r="BT107" s="789"/>
      <c r="BU107" s="789">
        <v>887.60752813691488</v>
      </c>
      <c r="BV107" s="789">
        <v>0</v>
      </c>
      <c r="BW107" s="789">
        <f t="shared" si="69"/>
        <v>887.60752813691488</v>
      </c>
    </row>
    <row r="108" spans="1:75" ht="15" thickBot="1" x14ac:dyDescent="0.35">
      <c r="A108" s="219" t="s">
        <v>161</v>
      </c>
      <c r="B108" s="237">
        <v>2</v>
      </c>
      <c r="C108" s="40">
        <f>'[7]побудинковий звіт'!E108</f>
        <v>498.78</v>
      </c>
      <c r="D108" s="215">
        <f t="shared" si="44"/>
        <v>411.70903583915549</v>
      </c>
      <c r="E108" s="107">
        <f t="shared" si="45"/>
        <v>90.576063525403825</v>
      </c>
      <c r="F108" s="107">
        <f t="shared" si="46"/>
        <v>15.250111231339995</v>
      </c>
      <c r="G108" s="107">
        <f t="shared" si="47"/>
        <v>0</v>
      </c>
      <c r="H108" s="107">
        <f t="shared" si="48"/>
        <v>343.97248039608024</v>
      </c>
      <c r="I108" s="107">
        <f t="shared" si="49"/>
        <v>110.88709698845729</v>
      </c>
      <c r="J108" s="687">
        <f t="shared" si="37"/>
        <v>0</v>
      </c>
      <c r="K108" s="142">
        <f t="shared" si="50"/>
        <v>972.39478798043694</v>
      </c>
      <c r="L108" s="141">
        <f t="shared" si="38"/>
        <v>109.67023257551867</v>
      </c>
      <c r="M108" s="107">
        <f t="shared" si="39"/>
        <v>24.127337604196679</v>
      </c>
      <c r="N108" s="30">
        <f t="shared" si="51"/>
        <v>10.246420958111745</v>
      </c>
      <c r="O108" s="107">
        <f t="shared" si="40"/>
        <v>0.89795833331807529</v>
      </c>
      <c r="P108" s="107">
        <f t="shared" si="52"/>
        <v>91.626703911725187</v>
      </c>
      <c r="Q108" s="107">
        <f t="shared" si="53"/>
        <v>30.449421968467714</v>
      </c>
      <c r="R108" s="143">
        <f t="shared" si="54"/>
        <v>267.0180753513381</v>
      </c>
      <c r="S108" s="141">
        <f t="shared" si="55"/>
        <v>27.94</v>
      </c>
      <c r="T108" s="107">
        <f t="shared" si="41"/>
        <v>3.5962366003838029</v>
      </c>
      <c r="U108" s="142">
        <f t="shared" si="56"/>
        <v>31.536236600383805</v>
      </c>
      <c r="V108" s="107"/>
      <c r="W108" s="107">
        <f t="shared" si="57"/>
        <v>0</v>
      </c>
      <c r="X108" s="142">
        <f t="shared" si="58"/>
        <v>0</v>
      </c>
      <c r="Y108" s="141">
        <v>0</v>
      </c>
      <c r="Z108" s="144">
        <v>0</v>
      </c>
      <c r="AA108" s="107">
        <f t="shared" si="42"/>
        <v>0</v>
      </c>
      <c r="AB108" s="142">
        <f t="shared" si="43"/>
        <v>0</v>
      </c>
      <c r="AC108" s="141">
        <v>0</v>
      </c>
      <c r="AD108" s="107">
        <f t="shared" si="59"/>
        <v>0</v>
      </c>
      <c r="AE108" s="142">
        <f t="shared" si="60"/>
        <v>0</v>
      </c>
      <c r="AF108" s="145">
        <v>0</v>
      </c>
      <c r="AG108" s="107">
        <f t="shared" si="61"/>
        <v>0</v>
      </c>
      <c r="AH108" s="142">
        <f t="shared" si="62"/>
        <v>0</v>
      </c>
      <c r="AI108" s="145">
        <v>0</v>
      </c>
      <c r="AJ108" s="107">
        <f t="shared" si="63"/>
        <v>0</v>
      </c>
      <c r="AK108" s="142">
        <f t="shared" si="64"/>
        <v>0</v>
      </c>
      <c r="AL108" s="146"/>
      <c r="AM108" s="401"/>
      <c r="AN108" s="107">
        <f t="shared" si="65"/>
        <v>0</v>
      </c>
      <c r="AO108" s="151">
        <f t="shared" si="66"/>
        <v>0</v>
      </c>
      <c r="AP108" s="282">
        <f t="shared" si="67"/>
        <v>464.30786473226289</v>
      </c>
      <c r="AQ108" s="684">
        <v>16.95</v>
      </c>
      <c r="AR108" s="740">
        <v>363.01783716267602</v>
      </c>
      <c r="AS108" s="740">
        <v>96.832864810330534</v>
      </c>
      <c r="AT108" s="740">
        <v>4.4571627592563514</v>
      </c>
      <c r="AU108" s="411">
        <v>0</v>
      </c>
      <c r="AV108" s="801"/>
      <c r="AW108" s="256"/>
      <c r="AX108" s="728">
        <f t="shared" si="68"/>
        <v>15.250111231339995</v>
      </c>
      <c r="AY108" s="729">
        <v>10.246420958111745</v>
      </c>
      <c r="AZ108" s="730"/>
      <c r="BA108" s="731">
        <v>0</v>
      </c>
      <c r="BC108" s="727">
        <v>0</v>
      </c>
      <c r="BD108" s="727">
        <v>15.250111231339995</v>
      </c>
      <c r="BE108" s="727"/>
      <c r="BF108" s="727"/>
      <c r="BG108" s="727">
        <v>0</v>
      </c>
      <c r="BH108" s="727">
        <v>0</v>
      </c>
      <c r="BI108" s="137">
        <f t="shared" si="70"/>
        <v>15.250111231339995</v>
      </c>
      <c r="BJ108" s="126">
        <v>127</v>
      </c>
      <c r="BK108" s="807"/>
      <c r="BL108" s="107"/>
      <c r="BM108" s="687"/>
      <c r="BO108" s="577"/>
      <c r="BS108" s="904"/>
      <c r="BT108" s="789"/>
      <c r="BU108" s="789">
        <v>357.78472699316291</v>
      </c>
      <c r="BV108" s="789">
        <v>0</v>
      </c>
      <c r="BW108" s="789">
        <f t="shared" si="69"/>
        <v>357.78472699316291</v>
      </c>
    </row>
    <row r="109" spans="1:75" ht="15" thickBot="1" x14ac:dyDescent="0.35">
      <c r="A109" s="219" t="s">
        <v>210</v>
      </c>
      <c r="B109" s="237">
        <v>4</v>
      </c>
      <c r="C109" s="40">
        <f>'[7]побудинковий звіт'!E109</f>
        <v>1482.2</v>
      </c>
      <c r="D109" s="215">
        <f t="shared" si="44"/>
        <v>1431.064220409909</v>
      </c>
      <c r="E109" s="107">
        <f t="shared" si="45"/>
        <v>314.83439141087933</v>
      </c>
      <c r="F109" s="107">
        <f t="shared" si="46"/>
        <v>45.317394171513527</v>
      </c>
      <c r="G109" s="107">
        <f t="shared" si="47"/>
        <v>0</v>
      </c>
      <c r="H109" s="107">
        <f t="shared" si="48"/>
        <v>1195.6179404641191</v>
      </c>
      <c r="I109" s="107">
        <f t="shared" si="49"/>
        <v>384.44386390534635</v>
      </c>
      <c r="J109" s="687">
        <f t="shared" si="37"/>
        <v>0</v>
      </c>
      <c r="K109" s="142">
        <f t="shared" si="50"/>
        <v>3371.2778103617675</v>
      </c>
      <c r="L109" s="141">
        <f t="shared" si="38"/>
        <v>381.4550648428488</v>
      </c>
      <c r="M109" s="107">
        <f t="shared" si="39"/>
        <v>83.919719272562347</v>
      </c>
      <c r="N109" s="30">
        <f t="shared" si="51"/>
        <v>30.448374465082935</v>
      </c>
      <c r="O109" s="107">
        <f t="shared" si="40"/>
        <v>2.6684186247324497</v>
      </c>
      <c r="P109" s="107">
        <f t="shared" si="52"/>
        <v>318.69605326054307</v>
      </c>
      <c r="Q109" s="107">
        <f t="shared" si="53"/>
        <v>105.18253636585236</v>
      </c>
      <c r="R109" s="143">
        <f t="shared" si="54"/>
        <v>922.37016683162199</v>
      </c>
      <c r="S109" s="141">
        <f t="shared" si="55"/>
        <v>24.86</v>
      </c>
      <c r="T109" s="107">
        <f t="shared" si="41"/>
        <v>3.1998010696328323</v>
      </c>
      <c r="U109" s="142">
        <f t="shared" si="56"/>
        <v>28.059801069632833</v>
      </c>
      <c r="V109" s="107"/>
      <c r="W109" s="107">
        <f t="shared" si="57"/>
        <v>0</v>
      </c>
      <c r="X109" s="142">
        <f t="shared" si="58"/>
        <v>0</v>
      </c>
      <c r="Y109" s="141">
        <v>0</v>
      </c>
      <c r="Z109" s="144">
        <v>0</v>
      </c>
      <c r="AA109" s="107">
        <f t="shared" si="42"/>
        <v>0</v>
      </c>
      <c r="AB109" s="142">
        <f t="shared" si="43"/>
        <v>0</v>
      </c>
      <c r="AC109" s="141">
        <v>0</v>
      </c>
      <c r="AD109" s="107">
        <f t="shared" si="59"/>
        <v>0</v>
      </c>
      <c r="AE109" s="142">
        <f t="shared" si="60"/>
        <v>0</v>
      </c>
      <c r="AF109" s="145">
        <v>63.8</v>
      </c>
      <c r="AG109" s="107">
        <f t="shared" si="61"/>
        <v>8.2118788512701002</v>
      </c>
      <c r="AH109" s="142">
        <f t="shared" si="62"/>
        <v>72.011878851270097</v>
      </c>
      <c r="AI109" s="145">
        <v>0</v>
      </c>
      <c r="AJ109" s="107">
        <f t="shared" si="63"/>
        <v>0</v>
      </c>
      <c r="AK109" s="142">
        <f t="shared" si="64"/>
        <v>0</v>
      </c>
      <c r="AL109" s="146"/>
      <c r="AM109" s="401"/>
      <c r="AN109" s="107">
        <f t="shared" si="65"/>
        <v>0</v>
      </c>
      <c r="AO109" s="151">
        <f t="shared" si="66"/>
        <v>0</v>
      </c>
      <c r="AP109" s="282">
        <f t="shared" si="67"/>
        <v>1499.1116502609259</v>
      </c>
      <c r="AQ109" s="684">
        <v>173.93</v>
      </c>
      <c r="AR109" s="740">
        <v>1146.8046191995579</v>
      </c>
      <c r="AS109" s="740">
        <v>348.26927457597003</v>
      </c>
      <c r="AT109" s="740">
        <v>4.0377564853979511</v>
      </c>
      <c r="AU109" s="411">
        <v>0</v>
      </c>
      <c r="AV109" s="801"/>
      <c r="AW109" s="256"/>
      <c r="AX109" s="728">
        <f t="shared" si="68"/>
        <v>45.317394171513527</v>
      </c>
      <c r="AY109" s="729">
        <v>30.448374465082935</v>
      </c>
      <c r="AZ109" s="730"/>
      <c r="BA109" s="731">
        <v>0</v>
      </c>
      <c r="BC109" s="727">
        <v>0</v>
      </c>
      <c r="BD109" s="727">
        <v>45.317394171513527</v>
      </c>
      <c r="BE109" s="727"/>
      <c r="BF109" s="727"/>
      <c r="BG109" s="727">
        <v>0</v>
      </c>
      <c r="BH109" s="727">
        <v>0</v>
      </c>
      <c r="BI109" s="137">
        <f t="shared" si="70"/>
        <v>45.317394171513527</v>
      </c>
      <c r="BJ109" s="126">
        <v>113</v>
      </c>
      <c r="BK109" s="807"/>
      <c r="BL109" s="107"/>
      <c r="BM109" s="687"/>
      <c r="BO109" s="577"/>
      <c r="BS109" s="904"/>
      <c r="BT109" s="789"/>
      <c r="BU109" s="789">
        <v>1121.886182826805</v>
      </c>
      <c r="BV109" s="789">
        <v>0</v>
      </c>
      <c r="BW109" s="789">
        <f t="shared" si="69"/>
        <v>1121.886182826805</v>
      </c>
    </row>
    <row r="110" spans="1:75" ht="15" thickBot="1" x14ac:dyDescent="0.35">
      <c r="A110" s="219" t="s">
        <v>162</v>
      </c>
      <c r="B110" s="237">
        <v>2</v>
      </c>
      <c r="C110" s="40">
        <f>'[7]побудинковий звіт'!E110</f>
        <v>626.29999999999995</v>
      </c>
      <c r="D110" s="215">
        <f t="shared" si="44"/>
        <v>450.69446204875271</v>
      </c>
      <c r="E110" s="107">
        <f t="shared" si="45"/>
        <v>99.152864454069757</v>
      </c>
      <c r="F110" s="107">
        <f t="shared" si="46"/>
        <v>19.149012919901036</v>
      </c>
      <c r="G110" s="107">
        <f t="shared" si="47"/>
        <v>0</v>
      </c>
      <c r="H110" s="107">
        <f t="shared" si="48"/>
        <v>376.54381739693349</v>
      </c>
      <c r="I110" s="107">
        <f t="shared" si="49"/>
        <v>121.70315386855731</v>
      </c>
      <c r="J110" s="687">
        <f t="shared" si="37"/>
        <v>0</v>
      </c>
      <c r="K110" s="142">
        <f t="shared" si="50"/>
        <v>1067.2433106882143</v>
      </c>
      <c r="L110" s="141">
        <f t="shared" si="38"/>
        <v>163.56715591480886</v>
      </c>
      <c r="M110" s="107">
        <f t="shared" si="39"/>
        <v>35.984604929121126</v>
      </c>
      <c r="N110" s="30">
        <f t="shared" si="51"/>
        <v>12.866060078722853</v>
      </c>
      <c r="O110" s="107">
        <f t="shared" si="40"/>
        <v>1.1275337907636844</v>
      </c>
      <c r="P110" s="107">
        <f t="shared" si="52"/>
        <v>136.65621940182433</v>
      </c>
      <c r="Q110" s="107">
        <f t="shared" si="53"/>
        <v>45.075437306558705</v>
      </c>
      <c r="R110" s="143">
        <f t="shared" si="54"/>
        <v>395.27701142179956</v>
      </c>
      <c r="S110" s="141">
        <f t="shared" si="55"/>
        <v>0</v>
      </c>
      <c r="T110" s="107">
        <f t="shared" si="41"/>
        <v>0</v>
      </c>
      <c r="U110" s="142">
        <f t="shared" si="56"/>
        <v>0</v>
      </c>
      <c r="V110" s="107"/>
      <c r="W110" s="107">
        <f t="shared" si="57"/>
        <v>0</v>
      </c>
      <c r="X110" s="142">
        <f t="shared" si="58"/>
        <v>0</v>
      </c>
      <c r="Y110" s="141">
        <v>0</v>
      </c>
      <c r="Z110" s="144">
        <v>0</v>
      </c>
      <c r="AA110" s="107">
        <f t="shared" si="42"/>
        <v>0</v>
      </c>
      <c r="AB110" s="142">
        <f t="shared" si="43"/>
        <v>0</v>
      </c>
      <c r="AC110" s="141">
        <v>0</v>
      </c>
      <c r="AD110" s="107">
        <f t="shared" si="59"/>
        <v>0</v>
      </c>
      <c r="AE110" s="142">
        <f t="shared" si="60"/>
        <v>0</v>
      </c>
      <c r="AF110" s="145">
        <v>132</v>
      </c>
      <c r="AG110" s="107">
        <f t="shared" si="61"/>
        <v>16.990094175041587</v>
      </c>
      <c r="AH110" s="142">
        <f t="shared" si="62"/>
        <v>148.99009417504158</v>
      </c>
      <c r="AI110" s="145">
        <v>0</v>
      </c>
      <c r="AJ110" s="107">
        <f t="shared" si="63"/>
        <v>0</v>
      </c>
      <c r="AK110" s="142">
        <f t="shared" si="64"/>
        <v>0</v>
      </c>
      <c r="AL110" s="146"/>
      <c r="AM110" s="215"/>
      <c r="AN110" s="107">
        <f t="shared" si="65"/>
        <v>0</v>
      </c>
      <c r="AO110" s="151">
        <f t="shared" si="66"/>
        <v>0</v>
      </c>
      <c r="AP110" s="282">
        <f t="shared" si="67"/>
        <v>520.66617380402272</v>
      </c>
      <c r="AQ110" s="684">
        <v>46.35</v>
      </c>
      <c r="AR110" s="740">
        <v>369.59763548683253</v>
      </c>
      <c r="AS110" s="740">
        <v>151.06853831719022</v>
      </c>
      <c r="AT110" s="740">
        <v>0</v>
      </c>
      <c r="AU110" s="411">
        <v>0</v>
      </c>
      <c r="AV110" s="801"/>
      <c r="AW110" s="256"/>
      <c r="AX110" s="728">
        <f t="shared" si="68"/>
        <v>19.149012919901036</v>
      </c>
      <c r="AY110" s="729">
        <v>12.866060078722853</v>
      </c>
      <c r="AZ110" s="730"/>
      <c r="BA110" s="731">
        <v>0</v>
      </c>
      <c r="BC110" s="727">
        <v>0</v>
      </c>
      <c r="BD110" s="727">
        <v>19.149012919901036</v>
      </c>
      <c r="BE110" s="727"/>
      <c r="BF110" s="727"/>
      <c r="BG110" s="727">
        <v>0</v>
      </c>
      <c r="BH110" s="727">
        <v>0</v>
      </c>
      <c r="BI110" s="137">
        <f t="shared" si="70"/>
        <v>19.149012919901036</v>
      </c>
      <c r="BJ110" s="126"/>
      <c r="BK110" s="807"/>
      <c r="BL110" s="107"/>
      <c r="BM110" s="687"/>
      <c r="BO110" s="577"/>
      <c r="BS110" s="904"/>
      <c r="BT110" s="789"/>
      <c r="BU110" s="789">
        <v>363.00829708819339</v>
      </c>
      <c r="BV110" s="789">
        <v>0</v>
      </c>
      <c r="BW110" s="789">
        <f t="shared" si="69"/>
        <v>363.00829708819339</v>
      </c>
    </row>
    <row r="111" spans="1:75" ht="15" thickBot="1" x14ac:dyDescent="0.35">
      <c r="A111" s="219" t="s">
        <v>256</v>
      </c>
      <c r="B111" s="237">
        <v>5</v>
      </c>
      <c r="C111" s="40">
        <f>'[7]побудинковий звіт'!E111</f>
        <v>2636.9100000000003</v>
      </c>
      <c r="D111" s="215">
        <f t="shared" si="44"/>
        <v>3823.0940859730158</v>
      </c>
      <c r="E111" s="107">
        <f t="shared" si="45"/>
        <v>841.08140130781806</v>
      </c>
      <c r="F111" s="107">
        <f t="shared" si="46"/>
        <v>80.629176850072213</v>
      </c>
      <c r="G111" s="107">
        <f t="shared" si="47"/>
        <v>0</v>
      </c>
      <c r="H111" s="107">
        <f t="shared" si="48"/>
        <v>3194.0983584666251</v>
      </c>
      <c r="I111" s="107">
        <f t="shared" si="49"/>
        <v>1021.8387121246543</v>
      </c>
      <c r="J111" s="687">
        <f t="shared" si="37"/>
        <v>0</v>
      </c>
      <c r="K111" s="142">
        <f t="shared" si="50"/>
        <v>8960.7417347221854</v>
      </c>
      <c r="L111" s="141">
        <f t="shared" si="38"/>
        <v>504.59196153174281</v>
      </c>
      <c r="M111" s="107">
        <f t="shared" si="39"/>
        <v>111.00970903710702</v>
      </c>
      <c r="N111" s="30">
        <f t="shared" si="51"/>
        <v>54.174063059557447</v>
      </c>
      <c r="O111" s="107">
        <f t="shared" si="40"/>
        <v>4.7472539169769563</v>
      </c>
      <c r="P111" s="107">
        <f t="shared" si="52"/>
        <v>421.57381424051357</v>
      </c>
      <c r="Q111" s="107">
        <f t="shared" si="53"/>
        <v>141.08172641897193</v>
      </c>
      <c r="R111" s="143">
        <f t="shared" si="54"/>
        <v>1237.1785282048695</v>
      </c>
      <c r="S111" s="141">
        <f t="shared" si="55"/>
        <v>57.420000000000009</v>
      </c>
      <c r="T111" s="107">
        <f t="shared" si="41"/>
        <v>7.390690966143092</v>
      </c>
      <c r="U111" s="142">
        <f t="shared" si="56"/>
        <v>64.810690966143099</v>
      </c>
      <c r="V111" s="107"/>
      <c r="W111" s="107">
        <f t="shared" si="57"/>
        <v>0</v>
      </c>
      <c r="X111" s="142">
        <f t="shared" si="58"/>
        <v>0</v>
      </c>
      <c r="Y111" s="141">
        <v>0</v>
      </c>
      <c r="Z111" s="144">
        <v>0</v>
      </c>
      <c r="AA111" s="107">
        <f t="shared" si="42"/>
        <v>0</v>
      </c>
      <c r="AB111" s="142">
        <f t="shared" si="43"/>
        <v>0</v>
      </c>
      <c r="AC111" s="141">
        <v>0</v>
      </c>
      <c r="AD111" s="107">
        <f t="shared" si="59"/>
        <v>0</v>
      </c>
      <c r="AE111" s="142">
        <f t="shared" si="60"/>
        <v>0</v>
      </c>
      <c r="AF111" s="145">
        <v>110</v>
      </c>
      <c r="AG111" s="107">
        <f t="shared" si="61"/>
        <v>14.158411812534657</v>
      </c>
      <c r="AH111" s="142">
        <f t="shared" si="62"/>
        <v>124.15841181253465</v>
      </c>
      <c r="AI111" s="145">
        <v>0</v>
      </c>
      <c r="AJ111" s="107">
        <f t="shared" si="63"/>
        <v>0</v>
      </c>
      <c r="AK111" s="142">
        <f t="shared" si="64"/>
        <v>0</v>
      </c>
      <c r="AL111" s="146"/>
      <c r="AM111" s="401"/>
      <c r="AN111" s="107">
        <f t="shared" si="65"/>
        <v>0</v>
      </c>
      <c r="AO111" s="151">
        <f t="shared" si="66"/>
        <v>0</v>
      </c>
      <c r="AP111" s="282">
        <f t="shared" si="67"/>
        <v>3650.3127899224555</v>
      </c>
      <c r="AQ111" s="684">
        <v>344.07</v>
      </c>
      <c r="AR111" s="740">
        <v>3184.2780921319877</v>
      </c>
      <c r="AS111" s="740">
        <v>456.83094094247514</v>
      </c>
      <c r="AT111" s="740">
        <v>9.2037568479925813</v>
      </c>
      <c r="AU111" s="411">
        <v>0</v>
      </c>
      <c r="AV111" s="801"/>
      <c r="AW111" s="256"/>
      <c r="AX111" s="728">
        <f t="shared" si="68"/>
        <v>80.629176850072213</v>
      </c>
      <c r="AY111" s="729">
        <v>54.174063059557447</v>
      </c>
      <c r="AZ111" s="730"/>
      <c r="BA111" s="731">
        <v>0</v>
      </c>
      <c r="BC111" s="727">
        <v>0</v>
      </c>
      <c r="BD111" s="727">
        <v>80.629176850072213</v>
      </c>
      <c r="BE111" s="727"/>
      <c r="BF111" s="727"/>
      <c r="BG111" s="727">
        <v>0</v>
      </c>
      <c r="BH111" s="727">
        <v>0</v>
      </c>
      <c r="BI111" s="137">
        <f t="shared" si="70"/>
        <v>80.629176850072213</v>
      </c>
      <c r="BJ111" s="126">
        <v>261</v>
      </c>
      <c r="BK111" s="807"/>
      <c r="BL111" s="107"/>
      <c r="BM111" s="687"/>
      <c r="BO111" s="577"/>
      <c r="BS111" s="904"/>
      <c r="BT111" s="789"/>
      <c r="BU111" s="789">
        <v>3125.2351190005638</v>
      </c>
      <c r="BV111" s="789">
        <v>0</v>
      </c>
      <c r="BW111" s="789">
        <f t="shared" si="69"/>
        <v>3125.2351190005638</v>
      </c>
    </row>
    <row r="112" spans="1:75" ht="15" thickBot="1" x14ac:dyDescent="0.35">
      <c r="A112" s="219" t="s">
        <v>257</v>
      </c>
      <c r="B112" s="237">
        <v>5</v>
      </c>
      <c r="C112" s="40">
        <f>'[7]побудинковий звіт'!E112</f>
        <v>1892.8</v>
      </c>
      <c r="D112" s="215">
        <f t="shared" si="44"/>
        <v>370.06658497910877</v>
      </c>
      <c r="E112" s="107">
        <f t="shared" si="45"/>
        <v>81.414716685480087</v>
      </c>
      <c r="F112" s="107">
        <f t="shared" si="46"/>
        <v>57.872028827700277</v>
      </c>
      <c r="G112" s="107">
        <f t="shared" si="47"/>
        <v>0</v>
      </c>
      <c r="H112" s="107">
        <f t="shared" si="48"/>
        <v>309.18126654062786</v>
      </c>
      <c r="I112" s="107">
        <f t="shared" si="49"/>
        <v>105.35590825090134</v>
      </c>
      <c r="J112" s="687">
        <f t="shared" si="37"/>
        <v>0</v>
      </c>
      <c r="K112" s="142">
        <f t="shared" si="50"/>
        <v>923.89050528381836</v>
      </c>
      <c r="L112" s="141">
        <f t="shared" si="38"/>
        <v>78.781231719214645</v>
      </c>
      <c r="M112" s="107">
        <f t="shared" si="39"/>
        <v>17.331789401057996</v>
      </c>
      <c r="N112" s="30">
        <f t="shared" si="51"/>
        <v>38.883727474064536</v>
      </c>
      <c r="O112" s="107">
        <f t="shared" si="40"/>
        <v>3.4076256732516401</v>
      </c>
      <c r="P112" s="107">
        <f t="shared" si="52"/>
        <v>65.819725398748247</v>
      </c>
      <c r="Q112" s="107">
        <f t="shared" si="53"/>
        <v>26.286262773819288</v>
      </c>
      <c r="R112" s="143">
        <f t="shared" si="54"/>
        <v>230.51036244015634</v>
      </c>
      <c r="S112" s="141">
        <f t="shared" si="55"/>
        <v>46.199999999999996</v>
      </c>
      <c r="T112" s="107">
        <f t="shared" si="41"/>
        <v>5.9465329612645554</v>
      </c>
      <c r="U112" s="142">
        <f t="shared" si="56"/>
        <v>52.146532961264555</v>
      </c>
      <c r="V112" s="107"/>
      <c r="W112" s="107">
        <f t="shared" si="57"/>
        <v>0</v>
      </c>
      <c r="X112" s="142">
        <f t="shared" si="58"/>
        <v>0</v>
      </c>
      <c r="Y112" s="141">
        <v>0</v>
      </c>
      <c r="Z112" s="144">
        <v>0</v>
      </c>
      <c r="AA112" s="107">
        <f t="shared" si="42"/>
        <v>0</v>
      </c>
      <c r="AB112" s="142">
        <f t="shared" si="43"/>
        <v>0</v>
      </c>
      <c r="AC112" s="141">
        <v>0</v>
      </c>
      <c r="AD112" s="107">
        <f t="shared" si="59"/>
        <v>0</v>
      </c>
      <c r="AE112" s="142">
        <f t="shared" si="60"/>
        <v>0</v>
      </c>
      <c r="AF112" s="145">
        <v>55</v>
      </c>
      <c r="AG112" s="107">
        <f t="shared" si="61"/>
        <v>7.0792059062673287</v>
      </c>
      <c r="AH112" s="142">
        <f t="shared" si="62"/>
        <v>62.079205906267326</v>
      </c>
      <c r="AI112" s="145">
        <v>0</v>
      </c>
      <c r="AJ112" s="107">
        <f t="shared" si="63"/>
        <v>0</v>
      </c>
      <c r="AK112" s="142">
        <f t="shared" si="64"/>
        <v>0</v>
      </c>
      <c r="AL112" s="146"/>
      <c r="AM112" s="401"/>
      <c r="AN112" s="107">
        <f t="shared" si="65"/>
        <v>0</v>
      </c>
      <c r="AO112" s="151">
        <f t="shared" si="66"/>
        <v>0</v>
      </c>
      <c r="AP112" s="282">
        <f t="shared" si="67"/>
        <v>326.72720114808487</v>
      </c>
      <c r="AQ112" s="684">
        <v>87.57</v>
      </c>
      <c r="AR112" s="740">
        <v>253.96586066938733</v>
      </c>
      <c r="AS112" s="740">
        <v>70.951803355097809</v>
      </c>
      <c r="AT112" s="740">
        <v>1.8095371235997604</v>
      </c>
      <c r="AU112" s="411">
        <v>0</v>
      </c>
      <c r="AV112" s="801"/>
      <c r="AW112" s="256"/>
      <c r="AX112" s="728">
        <f t="shared" si="68"/>
        <v>57.872028827700277</v>
      </c>
      <c r="AY112" s="729">
        <v>38.883727474064536</v>
      </c>
      <c r="AZ112" s="730"/>
      <c r="BA112" s="731">
        <v>0</v>
      </c>
      <c r="BC112" s="727">
        <v>0</v>
      </c>
      <c r="BD112" s="727">
        <v>57.872028827700277</v>
      </c>
      <c r="BE112" s="727"/>
      <c r="BF112" s="727"/>
      <c r="BG112" s="727">
        <v>0</v>
      </c>
      <c r="BH112" s="727">
        <v>0</v>
      </c>
      <c r="BI112" s="137">
        <f t="shared" si="70"/>
        <v>57.872028827700277</v>
      </c>
      <c r="BJ112" s="126">
        <v>210</v>
      </c>
      <c r="BK112" s="807"/>
      <c r="BL112" s="107"/>
      <c r="BM112" s="687"/>
      <c r="BO112" s="577"/>
      <c r="BS112" s="904"/>
      <c r="BT112" s="789"/>
      <c r="BU112" s="789">
        <v>1022.1501667956024</v>
      </c>
      <c r="BV112" s="789">
        <v>0</v>
      </c>
      <c r="BW112" s="789">
        <f t="shared" si="69"/>
        <v>1022.1501667956024</v>
      </c>
    </row>
    <row r="113" spans="1:75" ht="15" thickBot="1" x14ac:dyDescent="0.35">
      <c r="A113" s="219" t="s">
        <v>416</v>
      </c>
      <c r="B113" s="237">
        <v>10</v>
      </c>
      <c r="C113" s="40">
        <f>'[7]побудинковий звіт'!E113</f>
        <v>2744.2</v>
      </c>
      <c r="D113" s="215">
        <f t="shared" si="44"/>
        <v>1903.1805196295313</v>
      </c>
      <c r="E113" s="107">
        <f t="shared" si="45"/>
        <v>418.70006397824386</v>
      </c>
      <c r="F113" s="107">
        <f t="shared" si="46"/>
        <v>83.903434863152526</v>
      </c>
      <c r="G113" s="107">
        <f t="shared" si="47"/>
        <v>0</v>
      </c>
      <c r="H113" s="107">
        <f t="shared" si="48"/>
        <v>1590.0591606986809</v>
      </c>
      <c r="I113" s="107">
        <f t="shared" si="49"/>
        <v>514.31630244537303</v>
      </c>
      <c r="J113" s="687">
        <f t="shared" si="37"/>
        <v>0</v>
      </c>
      <c r="K113" s="142">
        <f t="shared" si="50"/>
        <v>4510.1594816149818</v>
      </c>
      <c r="L113" s="141">
        <f t="shared" si="38"/>
        <v>1371.2723463930845</v>
      </c>
      <c r="M113" s="107">
        <f t="shared" si="39"/>
        <v>301.67849626782294</v>
      </c>
      <c r="N113" s="30">
        <f t="shared" si="51"/>
        <v>140.37400936936174</v>
      </c>
      <c r="O113" s="107">
        <f t="shared" si="40"/>
        <v>4.9404091148230931</v>
      </c>
      <c r="P113" s="107">
        <f t="shared" si="52"/>
        <v>1145.6633428654111</v>
      </c>
      <c r="Q113" s="107">
        <f t="shared" si="53"/>
        <v>381.49565235028791</v>
      </c>
      <c r="R113" s="143">
        <f t="shared" si="54"/>
        <v>3345.4242563607913</v>
      </c>
      <c r="S113" s="141">
        <f t="shared" si="55"/>
        <v>47.52</v>
      </c>
      <c r="T113" s="107">
        <f t="shared" si="41"/>
        <v>6.1164339030149719</v>
      </c>
      <c r="U113" s="142">
        <f t="shared" si="56"/>
        <v>53.636433903014975</v>
      </c>
      <c r="V113" s="107"/>
      <c r="W113" s="107">
        <f t="shared" si="57"/>
        <v>0</v>
      </c>
      <c r="X113" s="142">
        <f t="shared" si="58"/>
        <v>0</v>
      </c>
      <c r="Y113" s="141">
        <v>1336.07</v>
      </c>
      <c r="Z113" s="144">
        <v>0</v>
      </c>
      <c r="AA113" s="107">
        <f t="shared" si="42"/>
        <v>171.96935700339253</v>
      </c>
      <c r="AB113" s="142">
        <f t="shared" si="43"/>
        <v>1508.0393570033925</v>
      </c>
      <c r="AC113" s="141">
        <v>0</v>
      </c>
      <c r="AD113" s="107">
        <f t="shared" si="59"/>
        <v>0</v>
      </c>
      <c r="AE113" s="142">
        <f t="shared" si="60"/>
        <v>0</v>
      </c>
      <c r="AF113" s="145">
        <v>341</v>
      </c>
      <c r="AG113" s="107">
        <f t="shared" si="61"/>
        <v>43.89107661885744</v>
      </c>
      <c r="AH113" s="142">
        <f t="shared" si="62"/>
        <v>384.89107661885743</v>
      </c>
      <c r="AI113" s="145">
        <v>539</v>
      </c>
      <c r="AJ113" s="107">
        <f t="shared" si="63"/>
        <v>69.376217881419819</v>
      </c>
      <c r="AK113" s="142">
        <f t="shared" si="64"/>
        <v>608.37621788141985</v>
      </c>
      <c r="AL113" s="146"/>
      <c r="AM113" s="215"/>
      <c r="AN113" s="107">
        <f t="shared" si="65"/>
        <v>0</v>
      </c>
      <c r="AO113" s="151">
        <f t="shared" si="66"/>
        <v>0</v>
      </c>
      <c r="AP113" s="282">
        <f t="shared" si="67"/>
        <v>3022.9421934277207</v>
      </c>
      <c r="AQ113" s="684">
        <v>0</v>
      </c>
      <c r="AR113" s="740">
        <v>1756.4525497960813</v>
      </c>
      <c r="AS113" s="740">
        <v>1246.3229960547228</v>
      </c>
      <c r="AT113" s="740">
        <v>20.166647576916375</v>
      </c>
      <c r="AU113" s="411">
        <v>0</v>
      </c>
      <c r="AV113" s="801"/>
      <c r="AW113" s="256"/>
      <c r="AX113" s="728">
        <f t="shared" si="68"/>
        <v>83.903434863152526</v>
      </c>
      <c r="AY113" s="729">
        <v>56.374009369361737</v>
      </c>
      <c r="AZ113" s="730"/>
      <c r="BA113" s="731">
        <v>84</v>
      </c>
      <c r="BC113" s="727">
        <v>0</v>
      </c>
      <c r="BD113" s="727">
        <v>83.903434863152526</v>
      </c>
      <c r="BE113" s="727"/>
      <c r="BF113" s="727"/>
      <c r="BG113" s="727">
        <v>0</v>
      </c>
      <c r="BH113" s="727">
        <v>0</v>
      </c>
      <c r="BI113" s="137">
        <f t="shared" si="70"/>
        <v>83.903434863152526</v>
      </c>
      <c r="BJ113" s="126">
        <v>216</v>
      </c>
      <c r="BK113" s="807"/>
      <c r="BL113" s="107"/>
      <c r="BM113" s="687"/>
      <c r="BO113" s="577"/>
      <c r="BS113" s="904"/>
      <c r="BT113" s="789"/>
      <c r="BU113" s="789">
        <v>1725.1712578930872</v>
      </c>
      <c r="BV113" s="789">
        <v>0</v>
      </c>
      <c r="BW113" s="789">
        <f t="shared" si="69"/>
        <v>1725.1712578930872</v>
      </c>
    </row>
    <row r="114" spans="1:75" ht="15" thickBot="1" x14ac:dyDescent="0.35">
      <c r="A114" s="219" t="s">
        <v>359</v>
      </c>
      <c r="B114" s="237">
        <v>9</v>
      </c>
      <c r="C114" s="40">
        <f>'[7]побудинковий звіт'!E114</f>
        <v>4254.1000000000004</v>
      </c>
      <c r="D114" s="215">
        <f t="shared" si="44"/>
        <v>2644.7057888451618</v>
      </c>
      <c r="E114" s="107">
        <f t="shared" si="45"/>
        <v>581.83575944159679</v>
      </c>
      <c r="F114" s="107">
        <f t="shared" si="46"/>
        <v>305.58142066716107</v>
      </c>
      <c r="G114" s="107">
        <f t="shared" si="47"/>
        <v>0</v>
      </c>
      <c r="H114" s="107">
        <f t="shared" si="48"/>
        <v>2209.5847574798963</v>
      </c>
      <c r="I114" s="107">
        <f t="shared" si="49"/>
        <v>739.03147725510951</v>
      </c>
      <c r="J114" s="687">
        <f t="shared" si="37"/>
        <v>0</v>
      </c>
      <c r="K114" s="142">
        <f t="shared" si="50"/>
        <v>6480.739203688925</v>
      </c>
      <c r="L114" s="141">
        <f t="shared" si="38"/>
        <v>1712.7489140090579</v>
      </c>
      <c r="M114" s="107">
        <f t="shared" si="39"/>
        <v>376.8029875478025</v>
      </c>
      <c r="N114" s="30">
        <f t="shared" si="51"/>
        <v>171.39388916957171</v>
      </c>
      <c r="O114" s="107">
        <f t="shared" si="40"/>
        <v>7.6586963105345536</v>
      </c>
      <c r="P114" s="107">
        <f t="shared" si="52"/>
        <v>1430.9583734216369</v>
      </c>
      <c r="Q114" s="107">
        <f t="shared" si="53"/>
        <v>476.18122277028726</v>
      </c>
      <c r="R114" s="143">
        <f t="shared" si="54"/>
        <v>4175.7440832288912</v>
      </c>
      <c r="S114" s="141">
        <f t="shared" si="55"/>
        <v>61.6</v>
      </c>
      <c r="T114" s="107">
        <f t="shared" si="41"/>
        <v>7.9287106150194084</v>
      </c>
      <c r="U114" s="142">
        <f t="shared" si="56"/>
        <v>69.528710615019406</v>
      </c>
      <c r="V114" s="107"/>
      <c r="W114" s="107">
        <f t="shared" si="57"/>
        <v>0</v>
      </c>
      <c r="X114" s="142">
        <f t="shared" si="58"/>
        <v>0</v>
      </c>
      <c r="Y114" s="141">
        <v>2755.38</v>
      </c>
      <c r="Z114" s="144">
        <v>0</v>
      </c>
      <c r="AA114" s="107">
        <f t="shared" si="42"/>
        <v>354.65277036383407</v>
      </c>
      <c r="AB114" s="142">
        <f t="shared" si="43"/>
        <v>3110.0327703638341</v>
      </c>
      <c r="AC114" s="141">
        <v>118.075</v>
      </c>
      <c r="AD114" s="107">
        <f t="shared" si="59"/>
        <v>15.197767952409361</v>
      </c>
      <c r="AE114" s="142">
        <f t="shared" si="60"/>
        <v>133.27276795240937</v>
      </c>
      <c r="AF114" s="145">
        <v>321.2</v>
      </c>
      <c r="AG114" s="107">
        <f t="shared" si="61"/>
        <v>41.342562492601196</v>
      </c>
      <c r="AH114" s="142">
        <f t="shared" si="62"/>
        <v>362.54256249260118</v>
      </c>
      <c r="AI114" s="145">
        <v>759</v>
      </c>
      <c r="AJ114" s="107">
        <f t="shared" si="63"/>
        <v>97.693041506489138</v>
      </c>
      <c r="AK114" s="142">
        <f t="shared" si="64"/>
        <v>856.69304150648918</v>
      </c>
      <c r="AL114" s="146"/>
      <c r="AM114" s="401"/>
      <c r="AN114" s="107">
        <f t="shared" si="65"/>
        <v>0</v>
      </c>
      <c r="AO114" s="151">
        <f t="shared" si="66"/>
        <v>0</v>
      </c>
      <c r="AP114" s="282">
        <f t="shared" si="67"/>
        <v>4022.6820895646929</v>
      </c>
      <c r="AQ114" s="684">
        <v>0</v>
      </c>
      <c r="AR114" s="740">
        <v>2440.8090448413082</v>
      </c>
      <c r="AS114" s="740">
        <v>1547.3217953783183</v>
      </c>
      <c r="AT114" s="740">
        <v>34.551249345066516</v>
      </c>
      <c r="AU114" s="411">
        <v>0</v>
      </c>
      <c r="AV114" s="801"/>
      <c r="AW114" s="256"/>
      <c r="AX114" s="728">
        <f t="shared" si="68"/>
        <v>130.07142066716108</v>
      </c>
      <c r="AY114" s="729">
        <v>87.393889169571722</v>
      </c>
      <c r="AZ114" s="730"/>
      <c r="BA114" s="731">
        <v>84</v>
      </c>
      <c r="BC114" s="727">
        <v>0</v>
      </c>
      <c r="BD114" s="727">
        <v>130.07142066716108</v>
      </c>
      <c r="BE114" s="727"/>
      <c r="BF114" s="727"/>
      <c r="BG114" s="727">
        <v>0</v>
      </c>
      <c r="BH114" s="727">
        <v>0</v>
      </c>
      <c r="BI114" s="137">
        <f t="shared" si="70"/>
        <v>130.07142066716108</v>
      </c>
      <c r="BJ114" s="126">
        <v>280</v>
      </c>
      <c r="BK114" s="807"/>
      <c r="BL114" s="107"/>
      <c r="BM114" s="687">
        <v>175.51</v>
      </c>
      <c r="BO114" s="577"/>
      <c r="BS114" s="904"/>
      <c r="BT114" s="789"/>
      <c r="BU114" s="789">
        <v>2397.3393888113728</v>
      </c>
      <c r="BV114" s="789">
        <v>0</v>
      </c>
      <c r="BW114" s="789">
        <f t="shared" si="69"/>
        <v>2397.3393888113728</v>
      </c>
    </row>
    <row r="115" spans="1:75" ht="15" thickBot="1" x14ac:dyDescent="0.35">
      <c r="A115" s="220" t="s">
        <v>80</v>
      </c>
      <c r="B115" s="238">
        <v>1</v>
      </c>
      <c r="C115" s="40">
        <f>'[7]побудинковий звіт'!E115</f>
        <v>130.1</v>
      </c>
      <c r="D115" s="215">
        <f t="shared" si="44"/>
        <v>16.38307249469354</v>
      </c>
      <c r="E115" s="107">
        <f t="shared" si="45"/>
        <v>3.6042789587945472</v>
      </c>
      <c r="F115" s="107">
        <f t="shared" si="46"/>
        <v>0</v>
      </c>
      <c r="G115" s="107">
        <f t="shared" si="47"/>
        <v>0</v>
      </c>
      <c r="H115" s="107">
        <f t="shared" si="48"/>
        <v>13.687642465807132</v>
      </c>
      <c r="I115" s="107">
        <f t="shared" si="49"/>
        <v>4.3344039244907471</v>
      </c>
      <c r="J115" s="687">
        <f t="shared" si="37"/>
        <v>0</v>
      </c>
      <c r="K115" s="142">
        <f t="shared" si="50"/>
        <v>38.009397843785962</v>
      </c>
      <c r="L115" s="141">
        <f t="shared" si="38"/>
        <v>0</v>
      </c>
      <c r="M115" s="107">
        <f t="shared" si="39"/>
        <v>0</v>
      </c>
      <c r="N115" s="30">
        <f t="shared" si="51"/>
        <v>0</v>
      </c>
      <c r="O115" s="107">
        <f t="shared" si="40"/>
        <v>0.2342202557534015</v>
      </c>
      <c r="P115" s="107">
        <f t="shared" si="52"/>
        <v>0</v>
      </c>
      <c r="Q115" s="107">
        <f t="shared" si="53"/>
        <v>3.0147153052671346E-2</v>
      </c>
      <c r="R115" s="143">
        <f t="shared" si="54"/>
        <v>0.26436740880607285</v>
      </c>
      <c r="S115" s="141">
        <f t="shared" si="55"/>
        <v>0</v>
      </c>
      <c r="T115" s="107">
        <f t="shared" si="41"/>
        <v>0</v>
      </c>
      <c r="U115" s="142">
        <f t="shared" si="56"/>
        <v>0</v>
      </c>
      <c r="V115" s="107"/>
      <c r="W115" s="107">
        <f t="shared" si="57"/>
        <v>0</v>
      </c>
      <c r="X115" s="142">
        <f t="shared" si="58"/>
        <v>0</v>
      </c>
      <c r="Y115" s="141">
        <v>0</v>
      </c>
      <c r="Z115" s="144">
        <v>0</v>
      </c>
      <c r="AA115" s="107">
        <f t="shared" si="42"/>
        <v>0</v>
      </c>
      <c r="AB115" s="142">
        <f t="shared" si="43"/>
        <v>0</v>
      </c>
      <c r="AC115" s="141">
        <v>0</v>
      </c>
      <c r="AD115" s="107">
        <f t="shared" si="59"/>
        <v>0</v>
      </c>
      <c r="AE115" s="142">
        <f t="shared" si="60"/>
        <v>0</v>
      </c>
      <c r="AF115" s="145">
        <v>0</v>
      </c>
      <c r="AG115" s="107">
        <f t="shared" si="61"/>
        <v>0</v>
      </c>
      <c r="AH115" s="142">
        <f t="shared" si="62"/>
        <v>0</v>
      </c>
      <c r="AI115" s="145">
        <v>0</v>
      </c>
      <c r="AJ115" s="107">
        <f t="shared" si="63"/>
        <v>0</v>
      </c>
      <c r="AK115" s="142">
        <f t="shared" si="64"/>
        <v>0</v>
      </c>
      <c r="AL115" s="146"/>
      <c r="AM115" s="215"/>
      <c r="AN115" s="107">
        <f t="shared" si="65"/>
        <v>0</v>
      </c>
      <c r="AO115" s="151">
        <f t="shared" si="66"/>
        <v>0</v>
      </c>
      <c r="AP115" s="282">
        <f t="shared" si="67"/>
        <v>0</v>
      </c>
      <c r="AQ115" s="684">
        <v>15.12</v>
      </c>
      <c r="AR115" s="740">
        <v>0</v>
      </c>
      <c r="AS115" s="740">
        <v>0</v>
      </c>
      <c r="AT115" s="740">
        <v>0</v>
      </c>
      <c r="AU115" s="411">
        <v>0</v>
      </c>
      <c r="AV115" s="801"/>
      <c r="AW115" s="256"/>
      <c r="AX115" s="728">
        <f t="shared" si="68"/>
        <v>0</v>
      </c>
      <c r="AY115" s="729">
        <v>0</v>
      </c>
      <c r="AZ115" s="730"/>
      <c r="BA115" s="731">
        <v>0</v>
      </c>
      <c r="BC115" s="727">
        <v>0</v>
      </c>
      <c r="BD115" s="727">
        <v>0</v>
      </c>
      <c r="BE115" s="727"/>
      <c r="BF115" s="727"/>
      <c r="BG115" s="727">
        <v>0</v>
      </c>
      <c r="BH115" s="727">
        <v>0</v>
      </c>
      <c r="BI115" s="137">
        <f>BC115+BD115+BE115+BG115+BH115</f>
        <v>0</v>
      </c>
      <c r="BJ115" s="126"/>
      <c r="BK115" s="807"/>
      <c r="BL115" s="107"/>
      <c r="BM115" s="687"/>
      <c r="BO115" s="577"/>
      <c r="BS115" s="904"/>
      <c r="BT115" s="789"/>
      <c r="BU115" s="789">
        <v>0</v>
      </c>
      <c r="BV115" s="789">
        <v>0</v>
      </c>
      <c r="BW115" s="789">
        <f t="shared" si="69"/>
        <v>0</v>
      </c>
    </row>
    <row r="116" spans="1:75" ht="15" thickBot="1" x14ac:dyDescent="0.35">
      <c r="A116" s="260" t="s">
        <v>163</v>
      </c>
      <c r="B116" s="237">
        <v>2</v>
      </c>
      <c r="C116" s="40">
        <f>'[7]побудинковий звіт'!E116</f>
        <v>373.5</v>
      </c>
      <c r="D116" s="215">
        <f t="shared" si="44"/>
        <v>44.923424975528718</v>
      </c>
      <c r="E116" s="107">
        <f t="shared" si="45"/>
        <v>9.8831617481231433</v>
      </c>
      <c r="F116" s="107">
        <f t="shared" si="46"/>
        <v>0</v>
      </c>
      <c r="G116" s="107">
        <f t="shared" si="47"/>
        <v>0</v>
      </c>
      <c r="H116" s="107">
        <f t="shared" si="48"/>
        <v>37.532384697907652</v>
      </c>
      <c r="I116" s="107">
        <f t="shared" si="49"/>
        <v>11.885210761202803</v>
      </c>
      <c r="J116" s="687">
        <f t="shared" si="37"/>
        <v>0</v>
      </c>
      <c r="K116" s="142">
        <f t="shared" si="50"/>
        <v>104.22418218276231</v>
      </c>
      <c r="L116" s="141">
        <f t="shared" si="38"/>
        <v>0</v>
      </c>
      <c r="M116" s="107">
        <f t="shared" si="39"/>
        <v>0</v>
      </c>
      <c r="N116" s="30">
        <f t="shared" si="51"/>
        <v>0</v>
      </c>
      <c r="O116" s="107">
        <f t="shared" si="40"/>
        <v>0.67241556897690591</v>
      </c>
      <c r="P116" s="107">
        <f t="shared" si="52"/>
        <v>0</v>
      </c>
      <c r="Q116" s="107">
        <f t="shared" si="53"/>
        <v>8.6548513952134878E-2</v>
      </c>
      <c r="R116" s="143">
        <f t="shared" si="54"/>
        <v>0.75896408292904083</v>
      </c>
      <c r="S116" s="141">
        <f t="shared" si="55"/>
        <v>22.77</v>
      </c>
      <c r="T116" s="107">
        <f t="shared" si="41"/>
        <v>2.930791245194674</v>
      </c>
      <c r="U116" s="142">
        <f t="shared" si="56"/>
        <v>25.700791245194672</v>
      </c>
      <c r="V116" s="107"/>
      <c r="W116" s="107">
        <f t="shared" si="57"/>
        <v>0</v>
      </c>
      <c r="X116" s="142">
        <f t="shared" si="58"/>
        <v>0</v>
      </c>
      <c r="Y116" s="141">
        <v>0</v>
      </c>
      <c r="Z116" s="144">
        <v>0</v>
      </c>
      <c r="AA116" s="107">
        <f t="shared" si="42"/>
        <v>0</v>
      </c>
      <c r="AB116" s="142">
        <f t="shared" si="43"/>
        <v>0</v>
      </c>
      <c r="AC116" s="141">
        <v>0</v>
      </c>
      <c r="AD116" s="107">
        <f t="shared" si="59"/>
        <v>0</v>
      </c>
      <c r="AE116" s="142">
        <f t="shared" si="60"/>
        <v>0</v>
      </c>
      <c r="AF116" s="145">
        <v>0</v>
      </c>
      <c r="AG116" s="107">
        <f t="shared" si="61"/>
        <v>0</v>
      </c>
      <c r="AH116" s="142">
        <f t="shared" si="62"/>
        <v>0</v>
      </c>
      <c r="AI116" s="145">
        <v>0</v>
      </c>
      <c r="AJ116" s="107">
        <f t="shared" si="63"/>
        <v>0</v>
      </c>
      <c r="AK116" s="142">
        <f t="shared" si="64"/>
        <v>0</v>
      </c>
      <c r="AL116" s="146"/>
      <c r="AM116" s="215"/>
      <c r="AN116" s="107">
        <f t="shared" si="65"/>
        <v>0</v>
      </c>
      <c r="AO116" s="151">
        <f t="shared" si="66"/>
        <v>0</v>
      </c>
      <c r="AP116" s="282">
        <f t="shared" si="67"/>
        <v>0</v>
      </c>
      <c r="AQ116" s="684">
        <v>41.46</v>
      </c>
      <c r="AR116" s="411">
        <v>0</v>
      </c>
      <c r="AS116" s="411">
        <v>0</v>
      </c>
      <c r="AT116" s="411">
        <v>0</v>
      </c>
      <c r="AU116" s="411">
        <v>0</v>
      </c>
      <c r="AV116" s="742">
        <v>0</v>
      </c>
      <c r="AW116" s="256"/>
      <c r="AX116" s="728">
        <f t="shared" si="68"/>
        <v>0</v>
      </c>
      <c r="AY116" s="729">
        <v>0</v>
      </c>
      <c r="AZ116" s="730"/>
      <c r="BA116" s="731">
        <v>0</v>
      </c>
      <c r="BB116" s="742"/>
      <c r="BC116" s="727">
        <v>0</v>
      </c>
      <c r="BD116" s="727">
        <v>0</v>
      </c>
      <c r="BE116" s="727"/>
      <c r="BF116" s="727"/>
      <c r="BG116" s="727">
        <v>0</v>
      </c>
      <c r="BH116" s="727">
        <v>0</v>
      </c>
      <c r="BI116" s="137">
        <f>BC116+BD116+BE116+BG116</f>
        <v>0</v>
      </c>
      <c r="BJ116" s="126">
        <v>103.5</v>
      </c>
      <c r="BK116" s="807"/>
      <c r="BL116" s="107"/>
      <c r="BM116" s="687"/>
      <c r="BO116" s="577"/>
      <c r="BS116" s="904"/>
      <c r="BT116" s="789"/>
      <c r="BU116" s="789">
        <v>0</v>
      </c>
      <c r="BV116" s="789">
        <v>0</v>
      </c>
      <c r="BW116" s="789">
        <f t="shared" si="69"/>
        <v>0</v>
      </c>
    </row>
    <row r="117" spans="1:75" ht="15" thickBot="1" x14ac:dyDescent="0.35">
      <c r="A117" s="220" t="s">
        <v>83</v>
      </c>
      <c r="B117" s="238">
        <v>1</v>
      </c>
      <c r="C117" s="40">
        <f>'[7]побудинковий звіт'!E117</f>
        <v>173.75</v>
      </c>
      <c r="D117" s="215">
        <f t="shared" si="44"/>
        <v>22.461712487764359</v>
      </c>
      <c r="E117" s="107">
        <f t="shared" si="45"/>
        <v>4.9415808740615716</v>
      </c>
      <c r="F117" s="107">
        <f t="shared" si="46"/>
        <v>0</v>
      </c>
      <c r="G117" s="107">
        <f t="shared" si="47"/>
        <v>0</v>
      </c>
      <c r="H117" s="107">
        <f t="shared" si="48"/>
        <v>18.766192348953826</v>
      </c>
      <c r="I117" s="107">
        <f t="shared" si="49"/>
        <v>5.9426053806014014</v>
      </c>
      <c r="J117" s="687">
        <f t="shared" si="37"/>
        <v>0</v>
      </c>
      <c r="K117" s="142">
        <f t="shared" si="50"/>
        <v>52.112091091381153</v>
      </c>
      <c r="L117" s="141">
        <f t="shared" si="38"/>
        <v>0</v>
      </c>
      <c r="M117" s="107">
        <f t="shared" si="39"/>
        <v>0</v>
      </c>
      <c r="N117" s="30">
        <f t="shared" si="51"/>
        <v>0</v>
      </c>
      <c r="O117" s="107">
        <f t="shared" si="40"/>
        <v>0.31280376200732907</v>
      </c>
      <c r="P117" s="107">
        <f t="shared" si="52"/>
        <v>0</v>
      </c>
      <c r="Q117" s="107">
        <f t="shared" si="53"/>
        <v>4.0261858900089521E-2</v>
      </c>
      <c r="R117" s="143">
        <f t="shared" si="54"/>
        <v>0.35306562090741861</v>
      </c>
      <c r="S117" s="141">
        <f t="shared" si="55"/>
        <v>0</v>
      </c>
      <c r="T117" s="107">
        <f t="shared" si="41"/>
        <v>0</v>
      </c>
      <c r="U117" s="142">
        <f t="shared" si="56"/>
        <v>0</v>
      </c>
      <c r="V117" s="107"/>
      <c r="W117" s="107">
        <f t="shared" si="57"/>
        <v>0</v>
      </c>
      <c r="X117" s="142">
        <f t="shared" si="58"/>
        <v>0</v>
      </c>
      <c r="Y117" s="141">
        <v>0</v>
      </c>
      <c r="Z117" s="144">
        <v>0</v>
      </c>
      <c r="AA117" s="107">
        <f t="shared" si="42"/>
        <v>0</v>
      </c>
      <c r="AB117" s="142">
        <f t="shared" si="43"/>
        <v>0</v>
      </c>
      <c r="AC117" s="141">
        <v>0</v>
      </c>
      <c r="AD117" s="107">
        <f t="shared" si="59"/>
        <v>0</v>
      </c>
      <c r="AE117" s="142">
        <f t="shared" si="60"/>
        <v>0</v>
      </c>
      <c r="AF117" s="145">
        <v>0</v>
      </c>
      <c r="AG117" s="107">
        <f t="shared" si="61"/>
        <v>0</v>
      </c>
      <c r="AH117" s="142">
        <f t="shared" si="62"/>
        <v>0</v>
      </c>
      <c r="AI117" s="145">
        <v>0</v>
      </c>
      <c r="AJ117" s="107">
        <f t="shared" si="63"/>
        <v>0</v>
      </c>
      <c r="AK117" s="142">
        <f t="shared" si="64"/>
        <v>0</v>
      </c>
      <c r="AL117" s="146"/>
      <c r="AM117" s="215"/>
      <c r="AN117" s="107">
        <f t="shared" si="65"/>
        <v>0</v>
      </c>
      <c r="AO117" s="151">
        <f t="shared" si="66"/>
        <v>0</v>
      </c>
      <c r="AP117" s="282">
        <f t="shared" si="67"/>
        <v>0</v>
      </c>
      <c r="AQ117" s="684">
        <v>20.73</v>
      </c>
      <c r="AR117" s="411">
        <v>0</v>
      </c>
      <c r="AS117" s="411">
        <v>0</v>
      </c>
      <c r="AT117" s="411">
        <v>0</v>
      </c>
      <c r="AU117" s="411">
        <v>0</v>
      </c>
      <c r="AV117" s="742">
        <v>0</v>
      </c>
      <c r="AW117" s="256"/>
      <c r="AX117" s="728">
        <f t="shared" si="68"/>
        <v>0</v>
      </c>
      <c r="AY117" s="729">
        <v>0</v>
      </c>
      <c r="AZ117" s="730"/>
      <c r="BA117" s="731">
        <v>0</v>
      </c>
      <c r="BB117" s="742"/>
      <c r="BC117" s="727">
        <v>0</v>
      </c>
      <c r="BD117" s="727">
        <v>0</v>
      </c>
      <c r="BE117" s="727"/>
      <c r="BF117" s="727"/>
      <c r="BG117" s="727">
        <v>0</v>
      </c>
      <c r="BH117" s="727">
        <v>0</v>
      </c>
      <c r="BI117" s="137">
        <f>BC117+BD117+BE117+BG117+BH117</f>
        <v>0</v>
      </c>
      <c r="BJ117" s="126"/>
      <c r="BK117" s="807"/>
      <c r="BL117" s="107"/>
      <c r="BM117" s="687"/>
      <c r="BO117" s="577"/>
      <c r="BS117" s="904"/>
      <c r="BT117" s="789"/>
      <c r="BU117" s="789">
        <v>0</v>
      </c>
      <c r="BV117" s="789">
        <v>0</v>
      </c>
      <c r="BW117" s="789">
        <f t="shared" si="69"/>
        <v>0</v>
      </c>
    </row>
    <row r="118" spans="1:75" ht="15" thickBot="1" x14ac:dyDescent="0.35">
      <c r="A118" s="220" t="s">
        <v>84</v>
      </c>
      <c r="B118" s="238">
        <v>1</v>
      </c>
      <c r="C118" s="40">
        <f>'[7]побудинковий звіт'!E118</f>
        <v>188.4</v>
      </c>
      <c r="D118" s="215">
        <f t="shared" si="44"/>
        <v>19.969578444259387</v>
      </c>
      <c r="E118" s="107">
        <f t="shared" si="45"/>
        <v>4.393310926625893</v>
      </c>
      <c r="F118" s="107">
        <f t="shared" si="46"/>
        <v>0</v>
      </c>
      <c r="G118" s="107">
        <f t="shared" si="47"/>
        <v>0</v>
      </c>
      <c r="H118" s="107">
        <f t="shared" si="48"/>
        <v>16.684077423599565</v>
      </c>
      <c r="I118" s="107">
        <f t="shared" si="49"/>
        <v>5.2832714502886553</v>
      </c>
      <c r="J118" s="687">
        <f t="shared" si="37"/>
        <v>0</v>
      </c>
      <c r="K118" s="142">
        <f t="shared" si="50"/>
        <v>46.330238244773497</v>
      </c>
      <c r="L118" s="141">
        <f t="shared" si="38"/>
        <v>0</v>
      </c>
      <c r="M118" s="107">
        <f t="shared" si="39"/>
        <v>0</v>
      </c>
      <c r="N118" s="30">
        <f t="shared" si="51"/>
        <v>0</v>
      </c>
      <c r="O118" s="107">
        <f t="shared" si="40"/>
        <v>0.3391782950341341</v>
      </c>
      <c r="P118" s="107">
        <f t="shared" si="52"/>
        <v>0</v>
      </c>
      <c r="Q118" s="107">
        <f t="shared" si="53"/>
        <v>4.3656599808787722E-2</v>
      </c>
      <c r="R118" s="143">
        <f t="shared" si="54"/>
        <v>0.38283489484292182</v>
      </c>
      <c r="S118" s="141">
        <f t="shared" si="55"/>
        <v>0</v>
      </c>
      <c r="T118" s="107">
        <f t="shared" si="41"/>
        <v>0</v>
      </c>
      <c r="U118" s="142">
        <f t="shared" si="56"/>
        <v>0</v>
      </c>
      <c r="V118" s="107"/>
      <c r="W118" s="107">
        <f t="shared" si="57"/>
        <v>0</v>
      </c>
      <c r="X118" s="142">
        <f t="shared" si="58"/>
        <v>0</v>
      </c>
      <c r="Y118" s="141">
        <v>0</v>
      </c>
      <c r="Z118" s="144">
        <v>0</v>
      </c>
      <c r="AA118" s="107">
        <f t="shared" si="42"/>
        <v>0</v>
      </c>
      <c r="AB118" s="142">
        <f t="shared" si="43"/>
        <v>0</v>
      </c>
      <c r="AC118" s="141">
        <v>0</v>
      </c>
      <c r="AD118" s="107">
        <f t="shared" si="59"/>
        <v>0</v>
      </c>
      <c r="AE118" s="142">
        <f t="shared" si="60"/>
        <v>0</v>
      </c>
      <c r="AF118" s="145">
        <v>0</v>
      </c>
      <c r="AG118" s="107">
        <f t="shared" si="61"/>
        <v>0</v>
      </c>
      <c r="AH118" s="142">
        <f t="shared" si="62"/>
        <v>0</v>
      </c>
      <c r="AI118" s="145">
        <v>0</v>
      </c>
      <c r="AJ118" s="107">
        <f t="shared" si="63"/>
        <v>0</v>
      </c>
      <c r="AK118" s="142">
        <f t="shared" si="64"/>
        <v>0</v>
      </c>
      <c r="AL118" s="146"/>
      <c r="AM118" s="215"/>
      <c r="AN118" s="107">
        <f t="shared" si="65"/>
        <v>0</v>
      </c>
      <c r="AO118" s="151">
        <f t="shared" si="66"/>
        <v>0</v>
      </c>
      <c r="AP118" s="282">
        <f t="shared" si="67"/>
        <v>0</v>
      </c>
      <c r="AQ118" s="684">
        <v>18.43</v>
      </c>
      <c r="AR118" s="411">
        <v>0</v>
      </c>
      <c r="AS118" s="411">
        <v>0</v>
      </c>
      <c r="AT118" s="411">
        <v>0</v>
      </c>
      <c r="AU118" s="411">
        <v>0</v>
      </c>
      <c r="AV118" s="742">
        <v>0</v>
      </c>
      <c r="AW118" s="256"/>
      <c r="AX118" s="728">
        <f t="shared" si="68"/>
        <v>0</v>
      </c>
      <c r="AY118" s="729">
        <v>0</v>
      </c>
      <c r="AZ118" s="730"/>
      <c r="BA118" s="731">
        <v>0</v>
      </c>
      <c r="BB118" s="742"/>
      <c r="BC118" s="727">
        <v>0</v>
      </c>
      <c r="BD118" s="727">
        <v>0</v>
      </c>
      <c r="BE118" s="727"/>
      <c r="BF118" s="727"/>
      <c r="BG118" s="727">
        <v>0</v>
      </c>
      <c r="BH118" s="727">
        <v>0</v>
      </c>
      <c r="BI118" s="137">
        <f>BC118+BD118+BE118+BG118+BH118</f>
        <v>0</v>
      </c>
      <c r="BJ118" s="126"/>
      <c r="BK118" s="807"/>
      <c r="BL118" s="107"/>
      <c r="BM118" s="687"/>
      <c r="BO118" s="577"/>
      <c r="BS118" s="904"/>
      <c r="BT118" s="789"/>
      <c r="BU118" s="789">
        <v>0</v>
      </c>
      <c r="BV118" s="789">
        <v>0</v>
      </c>
      <c r="BW118" s="789">
        <f t="shared" si="69"/>
        <v>0</v>
      </c>
    </row>
    <row r="119" spans="1:75" ht="15" thickBot="1" x14ac:dyDescent="0.35">
      <c r="A119" s="220" t="s">
        <v>85</v>
      </c>
      <c r="B119" s="238">
        <v>1</v>
      </c>
      <c r="C119" s="40">
        <f>'[7]побудинковий звіт'!E119</f>
        <v>195.6</v>
      </c>
      <c r="D119" s="215">
        <f t="shared" si="44"/>
        <v>15.63543228164205</v>
      </c>
      <c r="E119" s="107">
        <f t="shared" si="45"/>
        <v>3.4397979745638438</v>
      </c>
      <c r="F119" s="107">
        <f t="shared" si="46"/>
        <v>0</v>
      </c>
      <c r="G119" s="107">
        <f t="shared" si="47"/>
        <v>0</v>
      </c>
      <c r="H119" s="107">
        <f t="shared" si="48"/>
        <v>13.063007988200855</v>
      </c>
      <c r="I119" s="107">
        <f t="shared" si="49"/>
        <v>4.1366037453969238</v>
      </c>
      <c r="J119" s="687">
        <f t="shared" si="37"/>
        <v>0</v>
      </c>
      <c r="K119" s="142">
        <f t="shared" si="50"/>
        <v>36.274841989803676</v>
      </c>
      <c r="L119" s="141">
        <f t="shared" si="38"/>
        <v>0</v>
      </c>
      <c r="M119" s="107">
        <f t="shared" si="39"/>
        <v>0</v>
      </c>
      <c r="N119" s="30">
        <f t="shared" si="51"/>
        <v>0</v>
      </c>
      <c r="O119" s="107">
        <f t="shared" si="40"/>
        <v>0.35214052286983344</v>
      </c>
      <c r="P119" s="107">
        <f t="shared" si="52"/>
        <v>0</v>
      </c>
      <c r="Q119" s="107">
        <f t="shared" si="53"/>
        <v>4.532500489702164E-2</v>
      </c>
      <c r="R119" s="143">
        <f t="shared" si="54"/>
        <v>0.39746552776685506</v>
      </c>
      <c r="S119" s="141">
        <f t="shared" si="55"/>
        <v>0</v>
      </c>
      <c r="T119" s="107">
        <f t="shared" si="41"/>
        <v>0</v>
      </c>
      <c r="U119" s="142">
        <f t="shared" si="56"/>
        <v>0</v>
      </c>
      <c r="V119" s="107"/>
      <c r="W119" s="107">
        <f t="shared" si="57"/>
        <v>0</v>
      </c>
      <c r="X119" s="142">
        <f t="shared" si="58"/>
        <v>0</v>
      </c>
      <c r="Y119" s="141">
        <v>0</v>
      </c>
      <c r="Z119" s="144">
        <v>0</v>
      </c>
      <c r="AA119" s="107">
        <f t="shared" si="42"/>
        <v>0</v>
      </c>
      <c r="AB119" s="142">
        <f t="shared" si="43"/>
        <v>0</v>
      </c>
      <c r="AC119" s="141">
        <v>0</v>
      </c>
      <c r="AD119" s="107">
        <f t="shared" si="59"/>
        <v>0</v>
      </c>
      <c r="AE119" s="142">
        <f t="shared" si="60"/>
        <v>0</v>
      </c>
      <c r="AF119" s="145">
        <v>0</v>
      </c>
      <c r="AG119" s="107">
        <f t="shared" si="61"/>
        <v>0</v>
      </c>
      <c r="AH119" s="142">
        <f t="shared" si="62"/>
        <v>0</v>
      </c>
      <c r="AI119" s="145">
        <v>0</v>
      </c>
      <c r="AJ119" s="107">
        <f t="shared" si="63"/>
        <v>0</v>
      </c>
      <c r="AK119" s="142">
        <f t="shared" si="64"/>
        <v>0</v>
      </c>
      <c r="AL119" s="146"/>
      <c r="AM119" s="402"/>
      <c r="AN119" s="107">
        <f t="shared" si="65"/>
        <v>0</v>
      </c>
      <c r="AO119" s="151">
        <f t="shared" si="66"/>
        <v>0</v>
      </c>
      <c r="AP119" s="282">
        <f t="shared" si="67"/>
        <v>0</v>
      </c>
      <c r="AQ119" s="684">
        <v>14.43</v>
      </c>
      <c r="AR119" s="411">
        <v>0</v>
      </c>
      <c r="AS119" s="411">
        <v>0</v>
      </c>
      <c r="AT119" s="411">
        <v>0</v>
      </c>
      <c r="AU119" s="411">
        <v>0</v>
      </c>
      <c r="AV119" s="742">
        <v>0</v>
      </c>
      <c r="AW119" s="256"/>
      <c r="AX119" s="728">
        <f t="shared" si="68"/>
        <v>0</v>
      </c>
      <c r="AY119" s="729">
        <v>0</v>
      </c>
      <c r="AZ119" s="730"/>
      <c r="BA119" s="731">
        <v>0</v>
      </c>
      <c r="BB119" s="742"/>
      <c r="BC119" s="727">
        <v>0</v>
      </c>
      <c r="BD119" s="727">
        <v>0</v>
      </c>
      <c r="BE119" s="727"/>
      <c r="BF119" s="727"/>
      <c r="BG119" s="727">
        <v>0</v>
      </c>
      <c r="BH119" s="727">
        <v>0</v>
      </c>
      <c r="BI119" s="137">
        <f>BC119+BD119+BE119+BG119+BH119</f>
        <v>0</v>
      </c>
      <c r="BJ119" s="126"/>
      <c r="BK119" s="807"/>
      <c r="BL119" s="107"/>
      <c r="BM119" s="687"/>
      <c r="BO119" s="577"/>
      <c r="BS119" s="904"/>
      <c r="BT119" s="789"/>
      <c r="BU119" s="789">
        <v>0</v>
      </c>
      <c r="BV119" s="789">
        <v>0</v>
      </c>
      <c r="BW119" s="789">
        <f t="shared" si="69"/>
        <v>0</v>
      </c>
    </row>
    <row r="120" spans="1:75" ht="15" thickBot="1" x14ac:dyDescent="0.35">
      <c r="A120" s="220" t="s">
        <v>86</v>
      </c>
      <c r="B120" s="238">
        <v>1</v>
      </c>
      <c r="C120" s="40">
        <f>'[7]побудинковий звіт'!E120</f>
        <v>196.35</v>
      </c>
      <c r="D120" s="215">
        <f t="shared" si="44"/>
        <v>23.740285605736474</v>
      </c>
      <c r="E120" s="107">
        <f t="shared" si="45"/>
        <v>5.2228671949198766</v>
      </c>
      <c r="F120" s="107">
        <f t="shared" si="46"/>
        <v>0</v>
      </c>
      <c r="G120" s="107">
        <f t="shared" si="47"/>
        <v>0</v>
      </c>
      <c r="H120" s="107">
        <f t="shared" si="48"/>
        <v>19.834407832396447</v>
      </c>
      <c r="I120" s="107">
        <f t="shared" si="49"/>
        <v>6.2808723535444626</v>
      </c>
      <c r="J120" s="687">
        <f t="shared" si="37"/>
        <v>0</v>
      </c>
      <c r="K120" s="142">
        <f t="shared" si="50"/>
        <v>55.078432986597257</v>
      </c>
      <c r="L120" s="141">
        <f t="shared" si="38"/>
        <v>0</v>
      </c>
      <c r="M120" s="107">
        <f t="shared" si="39"/>
        <v>0</v>
      </c>
      <c r="N120" s="30">
        <f t="shared" si="51"/>
        <v>0</v>
      </c>
      <c r="O120" s="107">
        <f t="shared" si="40"/>
        <v>0.35349075493605214</v>
      </c>
      <c r="P120" s="107">
        <f t="shared" si="52"/>
        <v>0</v>
      </c>
      <c r="Q120" s="107">
        <f t="shared" si="53"/>
        <v>4.5498797093712677E-2</v>
      </c>
      <c r="R120" s="143">
        <f t="shared" si="54"/>
        <v>0.39898955202976483</v>
      </c>
      <c r="S120" s="141">
        <f t="shared" si="55"/>
        <v>0</v>
      </c>
      <c r="T120" s="107">
        <f t="shared" si="41"/>
        <v>0</v>
      </c>
      <c r="U120" s="142">
        <f t="shared" si="56"/>
        <v>0</v>
      </c>
      <c r="V120" s="107"/>
      <c r="W120" s="107">
        <f t="shared" si="57"/>
        <v>0</v>
      </c>
      <c r="X120" s="142">
        <f t="shared" si="58"/>
        <v>0</v>
      </c>
      <c r="Y120" s="141">
        <v>0</v>
      </c>
      <c r="Z120" s="144">
        <v>0</v>
      </c>
      <c r="AA120" s="107">
        <f t="shared" si="42"/>
        <v>0</v>
      </c>
      <c r="AB120" s="142">
        <f t="shared" si="43"/>
        <v>0</v>
      </c>
      <c r="AC120" s="141">
        <v>0</v>
      </c>
      <c r="AD120" s="107">
        <f t="shared" si="59"/>
        <v>0</v>
      </c>
      <c r="AE120" s="142">
        <f t="shared" si="60"/>
        <v>0</v>
      </c>
      <c r="AF120" s="145">
        <v>0</v>
      </c>
      <c r="AG120" s="107">
        <f t="shared" si="61"/>
        <v>0</v>
      </c>
      <c r="AH120" s="142">
        <f t="shared" si="62"/>
        <v>0</v>
      </c>
      <c r="AI120" s="145">
        <v>0</v>
      </c>
      <c r="AJ120" s="107">
        <f t="shared" si="63"/>
        <v>0</v>
      </c>
      <c r="AK120" s="142">
        <f t="shared" si="64"/>
        <v>0</v>
      </c>
      <c r="AL120" s="146"/>
      <c r="AM120" s="215"/>
      <c r="AN120" s="107">
        <f t="shared" si="65"/>
        <v>0</v>
      </c>
      <c r="AO120" s="151">
        <f t="shared" si="66"/>
        <v>0</v>
      </c>
      <c r="AP120" s="282">
        <f t="shared" si="67"/>
        <v>0</v>
      </c>
      <c r="AQ120" s="684">
        <v>21.91</v>
      </c>
      <c r="AR120" s="411">
        <v>0</v>
      </c>
      <c r="AS120" s="411">
        <v>0</v>
      </c>
      <c r="AT120" s="411">
        <v>0</v>
      </c>
      <c r="AU120" s="411">
        <v>0</v>
      </c>
      <c r="AV120" s="742">
        <v>0</v>
      </c>
      <c r="AW120" s="256"/>
      <c r="AX120" s="728">
        <f t="shared" si="68"/>
        <v>0</v>
      </c>
      <c r="AY120" s="729">
        <v>0</v>
      </c>
      <c r="AZ120" s="730"/>
      <c r="BA120" s="731">
        <v>0</v>
      </c>
      <c r="BB120" s="742"/>
      <c r="BC120" s="727">
        <v>0</v>
      </c>
      <c r="BD120" s="727">
        <v>0</v>
      </c>
      <c r="BE120" s="727"/>
      <c r="BF120" s="727"/>
      <c r="BG120" s="727">
        <v>0</v>
      </c>
      <c r="BH120" s="727">
        <v>0</v>
      </c>
      <c r="BI120" s="137">
        <f>BC120+BD120+BE120+BG120+BH120</f>
        <v>0</v>
      </c>
      <c r="BJ120" s="126"/>
      <c r="BK120" s="807"/>
      <c r="BL120" s="107"/>
      <c r="BM120" s="687"/>
      <c r="BO120" s="577"/>
      <c r="BS120" s="904"/>
      <c r="BT120" s="789"/>
      <c r="BU120" s="789">
        <v>0</v>
      </c>
      <c r="BV120" s="789">
        <v>0</v>
      </c>
      <c r="BW120" s="789">
        <f t="shared" si="69"/>
        <v>0</v>
      </c>
    </row>
    <row r="121" spans="1:75" ht="15" thickBot="1" x14ac:dyDescent="0.3">
      <c r="A121" s="260" t="s">
        <v>258</v>
      </c>
      <c r="B121" s="237">
        <v>5</v>
      </c>
      <c r="C121" s="40">
        <f>'[7]побудинковий звіт'!E121</f>
        <v>3175.8</v>
      </c>
      <c r="D121" s="215">
        <f t="shared" si="44"/>
        <v>1410.4803831994338</v>
      </c>
      <c r="E121" s="107">
        <f t="shared" si="45"/>
        <v>310.30594344283196</v>
      </c>
      <c r="F121" s="107">
        <f t="shared" si="46"/>
        <v>448.66445305301119</v>
      </c>
      <c r="G121" s="107">
        <f t="shared" si="47"/>
        <v>0</v>
      </c>
      <c r="H121" s="107">
        <f t="shared" si="48"/>
        <v>1178.4206653862839</v>
      </c>
      <c r="I121" s="107">
        <f t="shared" si="49"/>
        <v>430.91402377172949</v>
      </c>
      <c r="J121" s="687">
        <f t="shared" si="37"/>
        <v>0</v>
      </c>
      <c r="K121" s="142">
        <f t="shared" si="50"/>
        <v>3778.7854688532907</v>
      </c>
      <c r="L121" s="141">
        <f t="shared" si="38"/>
        <v>1615.3443405102018</v>
      </c>
      <c r="M121" s="107">
        <f t="shared" si="39"/>
        <v>355.37408223950558</v>
      </c>
      <c r="N121" s="30">
        <f t="shared" si="51"/>
        <v>79.088335442387873</v>
      </c>
      <c r="O121" s="107">
        <f t="shared" si="40"/>
        <v>5.717422661196407</v>
      </c>
      <c r="P121" s="107">
        <f t="shared" si="52"/>
        <v>1349.5793172636049</v>
      </c>
      <c r="Q121" s="107">
        <f t="shared" si="53"/>
        <v>438.280523551285</v>
      </c>
      <c r="R121" s="143">
        <f t="shared" si="54"/>
        <v>3843.3840216681815</v>
      </c>
      <c r="S121" s="141">
        <f t="shared" si="55"/>
        <v>138.732</v>
      </c>
      <c r="T121" s="107">
        <f t="shared" si="41"/>
        <v>17.856588977968709</v>
      </c>
      <c r="U121" s="142">
        <f t="shared" si="56"/>
        <v>156.5885889779687</v>
      </c>
      <c r="V121" s="107"/>
      <c r="W121" s="107">
        <f t="shared" si="57"/>
        <v>0</v>
      </c>
      <c r="X121" s="142">
        <f t="shared" si="58"/>
        <v>0</v>
      </c>
      <c r="Y121" s="141">
        <v>0</v>
      </c>
      <c r="Z121" s="144">
        <v>0</v>
      </c>
      <c r="AA121" s="107">
        <f t="shared" si="42"/>
        <v>0</v>
      </c>
      <c r="AB121" s="142">
        <f t="shared" si="43"/>
        <v>0</v>
      </c>
      <c r="AC121" s="141">
        <v>0</v>
      </c>
      <c r="AD121" s="107">
        <f t="shared" si="59"/>
        <v>0</v>
      </c>
      <c r="AE121" s="142">
        <f t="shared" si="60"/>
        <v>0</v>
      </c>
      <c r="AF121" s="145">
        <v>182.6</v>
      </c>
      <c r="AG121" s="107">
        <f t="shared" si="61"/>
        <v>23.50296360880753</v>
      </c>
      <c r="AH121" s="142">
        <f t="shared" si="62"/>
        <v>206.10296360880753</v>
      </c>
      <c r="AI121" s="145">
        <v>0</v>
      </c>
      <c r="AJ121" s="107">
        <f t="shared" si="63"/>
        <v>0</v>
      </c>
      <c r="AK121" s="142">
        <f t="shared" si="64"/>
        <v>0</v>
      </c>
      <c r="AL121" s="146"/>
      <c r="AM121" s="401"/>
      <c r="AN121" s="107">
        <f t="shared" si="65"/>
        <v>0</v>
      </c>
      <c r="AO121" s="151">
        <f t="shared" si="66"/>
        <v>0</v>
      </c>
      <c r="AP121" s="282">
        <f t="shared" si="67"/>
        <v>1416.7509608919158</v>
      </c>
      <c r="AQ121" s="684">
        <v>228.23</v>
      </c>
      <c r="AR121" s="411">
        <v>1020.378559424354</v>
      </c>
      <c r="AS121" s="411">
        <v>383.30428571398056</v>
      </c>
      <c r="AT121" s="411">
        <v>13.068115753581491</v>
      </c>
      <c r="AU121" s="990">
        <v>1095.5390219169678</v>
      </c>
      <c r="AV121" s="742">
        <v>53.129158020469738</v>
      </c>
      <c r="AW121" s="256"/>
      <c r="AX121" s="728">
        <f t="shared" si="68"/>
        <v>97.6344530530112</v>
      </c>
      <c r="AY121" s="729">
        <v>61.851276618858464</v>
      </c>
      <c r="AZ121" s="730"/>
      <c r="BA121" s="731">
        <v>17.237058823529413</v>
      </c>
      <c r="BB121" s="742"/>
      <c r="BC121" s="727">
        <v>15.817499999999999</v>
      </c>
      <c r="BD121" s="727">
        <v>81.816953053011204</v>
      </c>
      <c r="BE121" s="727"/>
      <c r="BF121" s="727"/>
      <c r="BG121" s="727">
        <v>0</v>
      </c>
      <c r="BH121" s="727">
        <v>22.825781249999999</v>
      </c>
      <c r="BI121" s="137">
        <f>BC121+BD121+BE121+BG121</f>
        <v>97.6344530530112</v>
      </c>
      <c r="BJ121" s="126">
        <v>630.6</v>
      </c>
      <c r="BK121" s="807"/>
      <c r="BL121" s="107"/>
      <c r="BM121" s="687">
        <v>351.03</v>
      </c>
      <c r="BO121" s="577"/>
      <c r="BS121" s="904"/>
      <c r="BT121" s="789"/>
      <c r="BU121" s="789">
        <v>1377.9824158490719</v>
      </c>
      <c r="BV121" s="789">
        <v>0</v>
      </c>
      <c r="BW121" s="789">
        <f t="shared" si="69"/>
        <v>1377.9824158490719</v>
      </c>
    </row>
    <row r="122" spans="1:75" ht="15" thickBot="1" x14ac:dyDescent="0.35">
      <c r="A122" s="220" t="s">
        <v>89</v>
      </c>
      <c r="B122" s="238">
        <v>1</v>
      </c>
      <c r="C122" s="40">
        <f>'[7]побудинковий звіт'!E122</f>
        <v>181.9</v>
      </c>
      <c r="D122" s="215">
        <f t="shared" si="44"/>
        <v>0</v>
      </c>
      <c r="E122" s="107">
        <f t="shared" si="45"/>
        <v>0</v>
      </c>
      <c r="F122" s="107">
        <f t="shared" si="46"/>
        <v>0</v>
      </c>
      <c r="G122" s="107">
        <f t="shared" si="47"/>
        <v>0</v>
      </c>
      <c r="H122" s="107">
        <f t="shared" si="48"/>
        <v>0</v>
      </c>
      <c r="I122" s="107">
        <f t="shared" si="49"/>
        <v>0</v>
      </c>
      <c r="J122" s="687">
        <f t="shared" si="37"/>
        <v>0</v>
      </c>
      <c r="K122" s="142">
        <f t="shared" si="50"/>
        <v>0</v>
      </c>
      <c r="L122" s="141">
        <f t="shared" si="38"/>
        <v>0</v>
      </c>
      <c r="M122" s="107">
        <f t="shared" si="39"/>
        <v>0</v>
      </c>
      <c r="N122" s="30">
        <f t="shared" si="51"/>
        <v>0</v>
      </c>
      <c r="O122" s="107">
        <f t="shared" si="40"/>
        <v>0.32747628379357213</v>
      </c>
      <c r="P122" s="107">
        <f t="shared" si="52"/>
        <v>0</v>
      </c>
      <c r="Q122" s="107">
        <f t="shared" si="53"/>
        <v>4.2150400770798756E-2</v>
      </c>
      <c r="R122" s="143">
        <f t="shared" si="54"/>
        <v>0.36962668456437087</v>
      </c>
      <c r="S122" s="141">
        <f t="shared" si="55"/>
        <v>0</v>
      </c>
      <c r="T122" s="107">
        <f t="shared" si="41"/>
        <v>0</v>
      </c>
      <c r="U122" s="142">
        <f t="shared" si="56"/>
        <v>0</v>
      </c>
      <c r="V122" s="107"/>
      <c r="W122" s="107">
        <f t="shared" si="57"/>
        <v>0</v>
      </c>
      <c r="X122" s="142">
        <f t="shared" si="58"/>
        <v>0</v>
      </c>
      <c r="Y122" s="141">
        <v>0</v>
      </c>
      <c r="Z122" s="144">
        <v>0</v>
      </c>
      <c r="AA122" s="107">
        <f t="shared" si="42"/>
        <v>0</v>
      </c>
      <c r="AB122" s="142">
        <f t="shared" si="43"/>
        <v>0</v>
      </c>
      <c r="AC122" s="141">
        <v>0</v>
      </c>
      <c r="AD122" s="107">
        <f t="shared" si="59"/>
        <v>0</v>
      </c>
      <c r="AE122" s="142">
        <f t="shared" si="60"/>
        <v>0</v>
      </c>
      <c r="AF122" s="145">
        <v>0</v>
      </c>
      <c r="AG122" s="107">
        <f t="shared" si="61"/>
        <v>0</v>
      </c>
      <c r="AH122" s="142">
        <f t="shared" si="62"/>
        <v>0</v>
      </c>
      <c r="AI122" s="145">
        <v>0</v>
      </c>
      <c r="AJ122" s="107">
        <f t="shared" si="63"/>
        <v>0</v>
      </c>
      <c r="AK122" s="142">
        <f t="shared" si="64"/>
        <v>0</v>
      </c>
      <c r="AL122" s="146"/>
      <c r="AM122" s="215"/>
      <c r="AN122" s="107">
        <f t="shared" si="65"/>
        <v>0</v>
      </c>
      <c r="AO122" s="151">
        <f t="shared" si="66"/>
        <v>0</v>
      </c>
      <c r="AP122" s="282">
        <f t="shared" si="67"/>
        <v>0</v>
      </c>
      <c r="AQ122" s="684">
        <v>0</v>
      </c>
      <c r="AR122" s="411">
        <v>0</v>
      </c>
      <c r="AS122" s="411">
        <v>0</v>
      </c>
      <c r="AT122" s="411">
        <v>0</v>
      </c>
      <c r="AU122" s="411">
        <v>0</v>
      </c>
      <c r="AV122" s="742">
        <v>0</v>
      </c>
      <c r="AW122" s="256"/>
      <c r="AX122" s="728">
        <f t="shared" si="68"/>
        <v>0</v>
      </c>
      <c r="AY122" s="729">
        <v>0</v>
      </c>
      <c r="AZ122" s="730"/>
      <c r="BA122" s="731">
        <v>0</v>
      </c>
      <c r="BB122" s="742"/>
      <c r="BC122" s="727">
        <v>0</v>
      </c>
      <c r="BD122" s="727">
        <v>0</v>
      </c>
      <c r="BE122" s="727"/>
      <c r="BF122" s="727"/>
      <c r="BG122" s="727">
        <v>0</v>
      </c>
      <c r="BH122" s="727">
        <v>0</v>
      </c>
      <c r="BI122" s="137">
        <f>BC122+BD122+BE122+BG122+BH122</f>
        <v>0</v>
      </c>
      <c r="BJ122" s="126"/>
      <c r="BK122" s="807"/>
      <c r="BL122" s="107"/>
      <c r="BM122" s="687"/>
      <c r="BO122" s="577"/>
      <c r="BS122" s="904"/>
      <c r="BT122" s="789"/>
      <c r="BU122" s="789">
        <v>0</v>
      </c>
      <c r="BV122" s="789">
        <v>0</v>
      </c>
      <c r="BW122" s="789">
        <f t="shared" si="69"/>
        <v>0</v>
      </c>
    </row>
    <row r="123" spans="1:75" ht="15" thickBot="1" x14ac:dyDescent="0.35">
      <c r="A123" s="220" t="s">
        <v>90</v>
      </c>
      <c r="B123" s="238">
        <v>1</v>
      </c>
      <c r="C123" s="40">
        <f>'[7]побудинковий звіт'!E123</f>
        <v>110.2</v>
      </c>
      <c r="D123" s="215">
        <f t="shared" si="44"/>
        <v>0</v>
      </c>
      <c r="E123" s="107">
        <f t="shared" si="45"/>
        <v>0</v>
      </c>
      <c r="F123" s="107">
        <f t="shared" si="46"/>
        <v>0</v>
      </c>
      <c r="G123" s="107">
        <f t="shared" si="47"/>
        <v>0</v>
      </c>
      <c r="H123" s="107">
        <f t="shared" si="48"/>
        <v>0</v>
      </c>
      <c r="I123" s="107">
        <f t="shared" si="49"/>
        <v>0</v>
      </c>
      <c r="J123" s="687">
        <f t="shared" si="37"/>
        <v>0</v>
      </c>
      <c r="K123" s="142">
        <f t="shared" si="50"/>
        <v>0</v>
      </c>
      <c r="L123" s="141">
        <f t="shared" si="38"/>
        <v>0</v>
      </c>
      <c r="M123" s="107">
        <f t="shared" si="39"/>
        <v>0</v>
      </c>
      <c r="N123" s="30">
        <f t="shared" si="51"/>
        <v>0</v>
      </c>
      <c r="O123" s="107">
        <f t="shared" si="40"/>
        <v>0.1983940982630657</v>
      </c>
      <c r="P123" s="107">
        <f t="shared" si="52"/>
        <v>0</v>
      </c>
      <c r="Q123" s="107">
        <f t="shared" si="53"/>
        <v>2.5535866767135918E-2</v>
      </c>
      <c r="R123" s="143">
        <f t="shared" si="54"/>
        <v>0.22392996503020163</v>
      </c>
      <c r="S123" s="141">
        <f t="shared" si="55"/>
        <v>0</v>
      </c>
      <c r="T123" s="107">
        <f t="shared" si="41"/>
        <v>0</v>
      </c>
      <c r="U123" s="142">
        <f t="shared" si="56"/>
        <v>0</v>
      </c>
      <c r="V123" s="107"/>
      <c r="W123" s="107">
        <f t="shared" si="57"/>
        <v>0</v>
      </c>
      <c r="X123" s="142">
        <f t="shared" si="58"/>
        <v>0</v>
      </c>
      <c r="Y123" s="141">
        <v>0</v>
      </c>
      <c r="Z123" s="144">
        <v>0</v>
      </c>
      <c r="AA123" s="107">
        <f t="shared" si="42"/>
        <v>0</v>
      </c>
      <c r="AB123" s="142">
        <f t="shared" si="43"/>
        <v>0</v>
      </c>
      <c r="AC123" s="141">
        <v>0</v>
      </c>
      <c r="AD123" s="107">
        <f t="shared" si="59"/>
        <v>0</v>
      </c>
      <c r="AE123" s="142">
        <f t="shared" si="60"/>
        <v>0</v>
      </c>
      <c r="AF123" s="145">
        <v>0</v>
      </c>
      <c r="AG123" s="107">
        <f t="shared" si="61"/>
        <v>0</v>
      </c>
      <c r="AH123" s="142">
        <f t="shared" si="62"/>
        <v>0</v>
      </c>
      <c r="AI123" s="145">
        <v>0</v>
      </c>
      <c r="AJ123" s="107">
        <f t="shared" si="63"/>
        <v>0</v>
      </c>
      <c r="AK123" s="142">
        <f t="shared" si="64"/>
        <v>0</v>
      </c>
      <c r="AL123" s="146"/>
      <c r="AM123" s="215"/>
      <c r="AN123" s="107">
        <f t="shared" si="65"/>
        <v>0</v>
      </c>
      <c r="AO123" s="151">
        <f t="shared" si="66"/>
        <v>0</v>
      </c>
      <c r="AP123" s="282">
        <f t="shared" si="67"/>
        <v>0</v>
      </c>
      <c r="AQ123" s="684">
        <v>0</v>
      </c>
      <c r="AR123" s="411">
        <v>0</v>
      </c>
      <c r="AS123" s="411">
        <v>0</v>
      </c>
      <c r="AT123" s="411">
        <v>0</v>
      </c>
      <c r="AU123" s="411">
        <v>0</v>
      </c>
      <c r="AV123" s="742">
        <v>0</v>
      </c>
      <c r="AW123" s="256"/>
      <c r="AX123" s="728">
        <f t="shared" si="68"/>
        <v>0</v>
      </c>
      <c r="AY123" s="729">
        <v>0</v>
      </c>
      <c r="AZ123" s="730"/>
      <c r="BA123" s="731">
        <v>0</v>
      </c>
      <c r="BB123" s="742"/>
      <c r="BC123" s="727">
        <v>0</v>
      </c>
      <c r="BD123" s="727">
        <v>0</v>
      </c>
      <c r="BE123" s="727"/>
      <c r="BF123" s="727"/>
      <c r="BG123" s="727">
        <v>0</v>
      </c>
      <c r="BH123" s="727">
        <v>0</v>
      </c>
      <c r="BI123" s="137">
        <f>BC123+BD123+BE123+BG123+BH123</f>
        <v>0</v>
      </c>
      <c r="BJ123" s="126"/>
      <c r="BK123" s="807"/>
      <c r="BL123" s="107"/>
      <c r="BM123" s="687"/>
      <c r="BO123" s="577"/>
      <c r="BS123" s="904"/>
      <c r="BT123" s="789"/>
      <c r="BU123" s="789">
        <v>0</v>
      </c>
      <c r="BV123" s="789">
        <v>0</v>
      </c>
      <c r="BW123" s="789">
        <f t="shared" si="69"/>
        <v>0</v>
      </c>
    </row>
    <row r="124" spans="1:75" ht="15" thickBot="1" x14ac:dyDescent="0.35">
      <c r="A124" s="220" t="s">
        <v>91</v>
      </c>
      <c r="B124" s="238">
        <v>1</v>
      </c>
      <c r="C124" s="40">
        <f>'[7]побудинковий звіт'!E124</f>
        <v>100.2</v>
      </c>
      <c r="D124" s="215">
        <f t="shared" si="44"/>
        <v>0</v>
      </c>
      <c r="E124" s="107">
        <f t="shared" si="45"/>
        <v>0</v>
      </c>
      <c r="F124" s="107">
        <f t="shared" si="46"/>
        <v>0</v>
      </c>
      <c r="G124" s="107">
        <f t="shared" si="47"/>
        <v>0</v>
      </c>
      <c r="H124" s="107">
        <f t="shared" si="48"/>
        <v>0</v>
      </c>
      <c r="I124" s="107">
        <f t="shared" si="49"/>
        <v>0</v>
      </c>
      <c r="J124" s="687">
        <f t="shared" si="37"/>
        <v>0</v>
      </c>
      <c r="K124" s="142">
        <f t="shared" si="50"/>
        <v>0</v>
      </c>
      <c r="L124" s="141">
        <f t="shared" si="38"/>
        <v>0</v>
      </c>
      <c r="M124" s="107">
        <f t="shared" si="39"/>
        <v>0</v>
      </c>
      <c r="N124" s="30">
        <f t="shared" si="51"/>
        <v>0</v>
      </c>
      <c r="O124" s="107">
        <f t="shared" si="40"/>
        <v>0.18039100404681654</v>
      </c>
      <c r="P124" s="107">
        <f t="shared" si="52"/>
        <v>0</v>
      </c>
      <c r="Q124" s="107">
        <f t="shared" si="53"/>
        <v>2.3218637477922133E-2</v>
      </c>
      <c r="R124" s="143">
        <f t="shared" si="54"/>
        <v>0.20360964152473868</v>
      </c>
      <c r="S124" s="141">
        <f t="shared" si="55"/>
        <v>0</v>
      </c>
      <c r="T124" s="107">
        <f t="shared" si="41"/>
        <v>0</v>
      </c>
      <c r="U124" s="142">
        <f t="shared" si="56"/>
        <v>0</v>
      </c>
      <c r="V124" s="107"/>
      <c r="W124" s="107">
        <f t="shared" si="57"/>
        <v>0</v>
      </c>
      <c r="X124" s="142">
        <f t="shared" si="58"/>
        <v>0</v>
      </c>
      <c r="Y124" s="141">
        <v>0</v>
      </c>
      <c r="Z124" s="144">
        <v>0</v>
      </c>
      <c r="AA124" s="107">
        <f t="shared" si="42"/>
        <v>0</v>
      </c>
      <c r="AB124" s="142">
        <f t="shared" si="43"/>
        <v>0</v>
      </c>
      <c r="AC124" s="141">
        <v>0</v>
      </c>
      <c r="AD124" s="107">
        <f t="shared" si="59"/>
        <v>0</v>
      </c>
      <c r="AE124" s="142">
        <f t="shared" si="60"/>
        <v>0</v>
      </c>
      <c r="AF124" s="145">
        <v>0</v>
      </c>
      <c r="AG124" s="107">
        <f t="shared" si="61"/>
        <v>0</v>
      </c>
      <c r="AH124" s="142">
        <f t="shared" si="62"/>
        <v>0</v>
      </c>
      <c r="AI124" s="145">
        <v>0</v>
      </c>
      <c r="AJ124" s="107">
        <f t="shared" si="63"/>
        <v>0</v>
      </c>
      <c r="AK124" s="142">
        <f t="shared" si="64"/>
        <v>0</v>
      </c>
      <c r="AL124" s="146"/>
      <c r="AM124" s="215"/>
      <c r="AN124" s="107">
        <f t="shared" si="65"/>
        <v>0</v>
      </c>
      <c r="AO124" s="151">
        <f t="shared" si="66"/>
        <v>0</v>
      </c>
      <c r="AP124" s="282">
        <f t="shared" si="67"/>
        <v>0</v>
      </c>
      <c r="AQ124" s="684">
        <v>0</v>
      </c>
      <c r="AR124" s="411">
        <v>0</v>
      </c>
      <c r="AS124" s="411">
        <v>0</v>
      </c>
      <c r="AT124" s="411">
        <v>0</v>
      </c>
      <c r="AU124" s="411">
        <v>0</v>
      </c>
      <c r="AV124" s="742">
        <v>0</v>
      </c>
      <c r="AW124" s="256"/>
      <c r="AX124" s="728">
        <f t="shared" si="68"/>
        <v>0</v>
      </c>
      <c r="AY124" s="729">
        <v>0</v>
      </c>
      <c r="AZ124" s="730"/>
      <c r="BA124" s="731">
        <v>0</v>
      </c>
      <c r="BB124" s="742"/>
      <c r="BC124" s="727">
        <v>0</v>
      </c>
      <c r="BD124" s="727">
        <v>0</v>
      </c>
      <c r="BE124" s="727"/>
      <c r="BF124" s="727"/>
      <c r="BG124" s="727">
        <v>0</v>
      </c>
      <c r="BH124" s="727">
        <v>0</v>
      </c>
      <c r="BI124" s="137">
        <f>BC124+BD124+BE124+BG124+BH124</f>
        <v>0</v>
      </c>
      <c r="BJ124" s="126"/>
      <c r="BK124" s="807"/>
      <c r="BL124" s="107"/>
      <c r="BM124" s="687"/>
      <c r="BO124" s="577"/>
      <c r="BS124" s="904"/>
      <c r="BT124" s="789"/>
      <c r="BU124" s="789">
        <v>0</v>
      </c>
      <c r="BV124" s="789">
        <v>0</v>
      </c>
      <c r="BW124" s="789">
        <f t="shared" si="69"/>
        <v>0</v>
      </c>
    </row>
    <row r="125" spans="1:75" ht="15" thickBot="1" x14ac:dyDescent="0.35">
      <c r="A125" s="260" t="s">
        <v>259</v>
      </c>
      <c r="B125" s="237">
        <v>5</v>
      </c>
      <c r="C125" s="40">
        <f>'[7]побудинковий звіт'!E125</f>
        <v>3167.15</v>
      </c>
      <c r="D125" s="215">
        <f t="shared" si="44"/>
        <v>1557.0656811870595</v>
      </c>
      <c r="E125" s="107">
        <f t="shared" si="45"/>
        <v>342.55473593133217</v>
      </c>
      <c r="F125" s="107">
        <f t="shared" si="46"/>
        <v>104.73731592052425</v>
      </c>
      <c r="G125" s="107">
        <f t="shared" si="47"/>
        <v>0</v>
      </c>
      <c r="H125" s="107">
        <f t="shared" si="48"/>
        <v>1300.8889722468125</v>
      </c>
      <c r="I125" s="107">
        <f t="shared" si="49"/>
        <v>425.42767268598828</v>
      </c>
      <c r="J125" s="687">
        <f t="shared" si="37"/>
        <v>0</v>
      </c>
      <c r="K125" s="142">
        <f t="shared" si="50"/>
        <v>3730.6743779717167</v>
      </c>
      <c r="L125" s="141">
        <f t="shared" si="38"/>
        <v>1891.6672901441432</v>
      </c>
      <c r="M125" s="107">
        <f t="shared" si="39"/>
        <v>416.16484502935106</v>
      </c>
      <c r="N125" s="30">
        <f t="shared" si="51"/>
        <v>71.660931832833143</v>
      </c>
      <c r="O125" s="107">
        <f t="shared" si="40"/>
        <v>5.7018499846993516</v>
      </c>
      <c r="P125" s="107">
        <f t="shared" si="52"/>
        <v>1580.4401488268954</v>
      </c>
      <c r="Q125" s="107">
        <f t="shared" si="53"/>
        <v>510.42813054616482</v>
      </c>
      <c r="R125" s="143">
        <f t="shared" si="54"/>
        <v>4476.0631963640872</v>
      </c>
      <c r="S125" s="141">
        <f t="shared" si="55"/>
        <v>127.93</v>
      </c>
      <c r="T125" s="107">
        <f t="shared" si="41"/>
        <v>16.466232937977807</v>
      </c>
      <c r="U125" s="142">
        <f t="shared" si="56"/>
        <v>144.3962329379778</v>
      </c>
      <c r="V125" s="107"/>
      <c r="W125" s="107">
        <f t="shared" si="57"/>
        <v>0</v>
      </c>
      <c r="X125" s="142">
        <f t="shared" si="58"/>
        <v>0</v>
      </c>
      <c r="Y125" s="141">
        <v>0</v>
      </c>
      <c r="Z125" s="144">
        <v>0</v>
      </c>
      <c r="AA125" s="107">
        <f t="shared" si="42"/>
        <v>0</v>
      </c>
      <c r="AB125" s="142">
        <f t="shared" si="43"/>
        <v>0</v>
      </c>
      <c r="AC125" s="141">
        <v>0</v>
      </c>
      <c r="AD125" s="107">
        <f t="shared" si="59"/>
        <v>0</v>
      </c>
      <c r="AE125" s="142">
        <f t="shared" si="60"/>
        <v>0</v>
      </c>
      <c r="AF125" s="145">
        <v>413.6</v>
      </c>
      <c r="AG125" s="107">
        <f t="shared" si="61"/>
        <v>53.235628415130314</v>
      </c>
      <c r="AH125" s="142">
        <f t="shared" si="62"/>
        <v>466.83562841513032</v>
      </c>
      <c r="AI125" s="145">
        <v>0</v>
      </c>
      <c r="AJ125" s="107">
        <f t="shared" si="63"/>
        <v>0</v>
      </c>
      <c r="AK125" s="142">
        <f t="shared" si="64"/>
        <v>0</v>
      </c>
      <c r="AL125" s="146"/>
      <c r="AM125" s="401"/>
      <c r="AN125" s="107">
        <f t="shared" si="65"/>
        <v>0</v>
      </c>
      <c r="AO125" s="151">
        <f t="shared" si="66"/>
        <v>0</v>
      </c>
      <c r="AP125" s="282">
        <f t="shared" si="67"/>
        <v>1906.7798268661963</v>
      </c>
      <c r="AQ125" s="684">
        <v>112.71</v>
      </c>
      <c r="AR125" s="411">
        <v>1258.7700981941712</v>
      </c>
      <c r="AS125" s="411">
        <v>627.44269068082758</v>
      </c>
      <c r="AT125" s="411">
        <v>20.567037991197544</v>
      </c>
      <c r="AU125" s="411">
        <v>1099.1100455041242</v>
      </c>
      <c r="AV125" s="742">
        <v>65.541749030996087</v>
      </c>
      <c r="AW125" s="256"/>
      <c r="AX125" s="728">
        <f t="shared" si="68"/>
        <v>104.73731592052425</v>
      </c>
      <c r="AY125" s="729">
        <v>67.72387300930373</v>
      </c>
      <c r="AZ125" s="730"/>
      <c r="BA125" s="731">
        <v>3.9370588235294122</v>
      </c>
      <c r="BB125" s="742"/>
      <c r="BC125" s="727">
        <v>15.817499999999999</v>
      </c>
      <c r="BD125" s="727">
        <v>88.919815920524258</v>
      </c>
      <c r="BE125" s="727"/>
      <c r="BF125" s="727"/>
      <c r="BG125" s="727">
        <v>0</v>
      </c>
      <c r="BH125" s="727">
        <v>22.825781249999999</v>
      </c>
      <c r="BI125" s="137">
        <f>BC125+BD125+BE125+BG125</f>
        <v>104.73731592052425</v>
      </c>
      <c r="BJ125" s="126">
        <v>581.5</v>
      </c>
      <c r="BK125" s="807"/>
      <c r="BL125" s="107"/>
      <c r="BM125" s="687"/>
      <c r="BO125" s="577"/>
      <c r="BS125" s="904"/>
      <c r="BT125" s="789"/>
      <c r="BU125" s="789">
        <v>1158.9648706382297</v>
      </c>
      <c r="BV125" s="789">
        <v>0</v>
      </c>
      <c r="BW125" s="789">
        <f t="shared" si="69"/>
        <v>1158.9648706382297</v>
      </c>
    </row>
    <row r="126" spans="1:75" ht="15" thickBot="1" x14ac:dyDescent="0.35">
      <c r="A126" s="219" t="s">
        <v>417</v>
      </c>
      <c r="B126" s="237">
        <v>10</v>
      </c>
      <c r="C126" s="40">
        <f>'[7]побудинковий звіт'!E126</f>
        <v>7111.44</v>
      </c>
      <c r="D126" s="215">
        <f t="shared" si="44"/>
        <v>5264.9687988224623</v>
      </c>
      <c r="E126" s="107">
        <f t="shared" si="45"/>
        <v>1158.2941030415413</v>
      </c>
      <c r="F126" s="107">
        <f t="shared" si="46"/>
        <v>294.28730325139952</v>
      </c>
      <c r="G126" s="107">
        <f t="shared" si="47"/>
        <v>0</v>
      </c>
      <c r="H126" s="107">
        <f t="shared" si="48"/>
        <v>4398.7481917847635</v>
      </c>
      <c r="I126" s="107">
        <f t="shared" si="49"/>
        <v>1430.8102775848308</v>
      </c>
      <c r="J126" s="687">
        <f t="shared" si="37"/>
        <v>0</v>
      </c>
      <c r="K126" s="142">
        <f t="shared" si="50"/>
        <v>12547.108674484998</v>
      </c>
      <c r="L126" s="141">
        <f t="shared" si="38"/>
        <v>4532.8552156253145</v>
      </c>
      <c r="M126" s="107">
        <f t="shared" si="39"/>
        <v>997.22345371180563</v>
      </c>
      <c r="N126" s="30">
        <f t="shared" si="51"/>
        <v>393.7238256166284</v>
      </c>
      <c r="O126" s="107">
        <f t="shared" si="40"/>
        <v>12.802792433320288</v>
      </c>
      <c r="P126" s="107">
        <f t="shared" si="52"/>
        <v>3787.0858204921219</v>
      </c>
      <c r="Q126" s="107">
        <f t="shared" si="53"/>
        <v>1251.5638458475903</v>
      </c>
      <c r="R126" s="143">
        <f t="shared" si="54"/>
        <v>10975.254953726781</v>
      </c>
      <c r="S126" s="141">
        <f t="shared" si="55"/>
        <v>133.14400000000003</v>
      </c>
      <c r="T126" s="107">
        <f t="shared" si="41"/>
        <v>17.137341657891952</v>
      </c>
      <c r="U126" s="142">
        <f t="shared" si="56"/>
        <v>150.28134165789197</v>
      </c>
      <c r="V126" s="107"/>
      <c r="W126" s="107">
        <f t="shared" si="57"/>
        <v>0</v>
      </c>
      <c r="X126" s="142">
        <f t="shared" si="58"/>
        <v>0</v>
      </c>
      <c r="Y126" s="141">
        <v>4273.7700000000004</v>
      </c>
      <c r="Z126" s="144">
        <v>0</v>
      </c>
      <c r="AA126" s="107">
        <f t="shared" si="42"/>
        <v>550.08905138232956</v>
      </c>
      <c r="AB126" s="142">
        <f t="shared" si="43"/>
        <v>4823.8590513823301</v>
      </c>
      <c r="AC126" s="141">
        <v>118.075</v>
      </c>
      <c r="AD126" s="107">
        <f t="shared" si="59"/>
        <v>15.197767952409361</v>
      </c>
      <c r="AE126" s="142">
        <f t="shared" si="60"/>
        <v>133.27276795240937</v>
      </c>
      <c r="AF126" s="145">
        <v>1441</v>
      </c>
      <c r="AG126" s="107">
        <f t="shared" si="61"/>
        <v>185.475194744204</v>
      </c>
      <c r="AH126" s="142">
        <f t="shared" si="62"/>
        <v>1626.4751947442039</v>
      </c>
      <c r="AI126" s="145">
        <v>1449.8</v>
      </c>
      <c r="AJ126" s="107">
        <f t="shared" si="63"/>
        <v>186.60786768920678</v>
      </c>
      <c r="AK126" s="142">
        <f t="shared" si="64"/>
        <v>1636.4078676892068</v>
      </c>
      <c r="AL126" s="146"/>
      <c r="AM126" s="146"/>
      <c r="AN126" s="107">
        <f t="shared" si="65"/>
        <v>0</v>
      </c>
      <c r="AO126" s="151">
        <f t="shared" si="66"/>
        <v>0</v>
      </c>
      <c r="AP126" s="282">
        <f t="shared" si="67"/>
        <v>8035.5483508735406</v>
      </c>
      <c r="AQ126" s="684">
        <v>0</v>
      </c>
      <c r="AR126" s="741">
        <v>4859.0597559755679</v>
      </c>
      <c r="AS126" s="741">
        <v>3112.9862894112725</v>
      </c>
      <c r="AT126" s="741">
        <v>63.502305486700571</v>
      </c>
      <c r="AU126" s="411">
        <v>1009.9986494276537</v>
      </c>
      <c r="AV126" s="801"/>
      <c r="AW126" s="256"/>
      <c r="AX126" s="728">
        <f t="shared" si="68"/>
        <v>294.28730325139952</v>
      </c>
      <c r="AY126" s="729">
        <v>166.92382561662839</v>
      </c>
      <c r="AZ126" s="730"/>
      <c r="BA126" s="731">
        <v>226.8</v>
      </c>
      <c r="BC126" s="727">
        <v>90</v>
      </c>
      <c r="BD126" s="727">
        <v>204.28730325139955</v>
      </c>
      <c r="BE126" s="727"/>
      <c r="BF126" s="727"/>
      <c r="BG126" s="727">
        <v>0</v>
      </c>
      <c r="BH126" s="727">
        <v>10.05578566811119</v>
      </c>
      <c r="BI126" s="137">
        <f>BC126+BD126+BE126+BG126</f>
        <v>294.28730325139952</v>
      </c>
      <c r="BJ126" s="126">
        <v>605.20000000000005</v>
      </c>
      <c r="BK126" s="807"/>
      <c r="BL126" s="107"/>
      <c r="BM126" s="687"/>
      <c r="BO126" s="577"/>
      <c r="BS126" s="904"/>
      <c r="BT126" s="789"/>
      <c r="BU126" s="789">
        <v>4687.8820425531903</v>
      </c>
      <c r="BV126" s="789">
        <v>0</v>
      </c>
      <c r="BW126" s="789">
        <f t="shared" si="69"/>
        <v>4687.8820425531903</v>
      </c>
    </row>
    <row r="127" spans="1:75" ht="15" thickBot="1" x14ac:dyDescent="0.35">
      <c r="A127" s="219" t="s">
        <v>418</v>
      </c>
      <c r="B127" s="237">
        <v>10</v>
      </c>
      <c r="C127" s="40">
        <f>'[7]побудинковий звіт'!E127</f>
        <v>9469.1</v>
      </c>
      <c r="D127" s="215">
        <f t="shared" si="44"/>
        <v>5866.4268395358058</v>
      </c>
      <c r="E127" s="107">
        <f t="shared" si="45"/>
        <v>1290.6149825006937</v>
      </c>
      <c r="F127" s="107">
        <f t="shared" si="46"/>
        <v>354.6043033944793</v>
      </c>
      <c r="G127" s="107">
        <f t="shared" si="47"/>
        <v>0</v>
      </c>
      <c r="H127" s="107">
        <f t="shared" si="48"/>
        <v>4901.2511638088217</v>
      </c>
      <c r="I127" s="107">
        <f t="shared" si="49"/>
        <v>1597.6991964341109</v>
      </c>
      <c r="J127" s="687">
        <f t="shared" si="37"/>
        <v>0</v>
      </c>
      <c r="K127" s="142">
        <f t="shared" si="50"/>
        <v>14010.59648567391</v>
      </c>
      <c r="L127" s="141">
        <f t="shared" si="38"/>
        <v>5078.6326993122675</v>
      </c>
      <c r="M127" s="107">
        <f t="shared" si="39"/>
        <v>1117.2939349758669</v>
      </c>
      <c r="N127" s="30">
        <f t="shared" si="51"/>
        <v>205.6185972290881</v>
      </c>
      <c r="O127" s="107">
        <f t="shared" si="40"/>
        <v>17.047309944308488</v>
      </c>
      <c r="P127" s="107">
        <f t="shared" si="52"/>
        <v>4243.06909621861</v>
      </c>
      <c r="Q127" s="107">
        <f t="shared" si="53"/>
        <v>1372.2926915652556</v>
      </c>
      <c r="R127" s="143">
        <f t="shared" si="54"/>
        <v>12033.954329245396</v>
      </c>
      <c r="S127" s="141">
        <f t="shared" si="55"/>
        <v>96.096000000000004</v>
      </c>
      <c r="T127" s="107">
        <f t="shared" si="41"/>
        <v>12.368788559430277</v>
      </c>
      <c r="U127" s="142">
        <f t="shared" si="56"/>
        <v>108.46478855943027</v>
      </c>
      <c r="V127" s="107"/>
      <c r="W127" s="107">
        <f t="shared" si="57"/>
        <v>0</v>
      </c>
      <c r="X127" s="142">
        <f t="shared" si="58"/>
        <v>0</v>
      </c>
      <c r="Y127" s="141">
        <v>3542.72</v>
      </c>
      <c r="Z127" s="144">
        <v>0</v>
      </c>
      <c r="AA127" s="107">
        <f t="shared" si="42"/>
        <v>455.9935336045707</v>
      </c>
      <c r="AB127" s="142">
        <f t="shared" si="43"/>
        <v>3998.7135336045703</v>
      </c>
      <c r="AC127" s="141">
        <v>118.075</v>
      </c>
      <c r="AD127" s="107">
        <f t="shared" si="59"/>
        <v>15.197767952409361</v>
      </c>
      <c r="AE127" s="142">
        <f t="shared" si="60"/>
        <v>133.27276795240937</v>
      </c>
      <c r="AF127" s="145">
        <v>1036.2</v>
      </c>
      <c r="AG127" s="107">
        <f t="shared" si="61"/>
        <v>133.37223927407646</v>
      </c>
      <c r="AH127" s="142">
        <f t="shared" si="62"/>
        <v>1169.5722392740765</v>
      </c>
      <c r="AI127" s="145">
        <v>2076.8000000000002</v>
      </c>
      <c r="AJ127" s="107">
        <f t="shared" si="63"/>
        <v>267.31081502065433</v>
      </c>
      <c r="AK127" s="142">
        <f t="shared" si="64"/>
        <v>2344.1108150206546</v>
      </c>
      <c r="AL127" s="146"/>
      <c r="AM127" s="146"/>
      <c r="AN127" s="107">
        <f t="shared" si="65"/>
        <v>0</v>
      </c>
      <c r="AO127" s="151">
        <f t="shared" si="66"/>
        <v>0</v>
      </c>
      <c r="AP127" s="282">
        <f t="shared" si="67"/>
        <v>8735.9082662405017</v>
      </c>
      <c r="AQ127" s="684">
        <v>0</v>
      </c>
      <c r="AR127" s="741">
        <v>5414.1476723924243</v>
      </c>
      <c r="AS127" s="741">
        <v>3289.8135507549819</v>
      </c>
      <c r="AT127" s="741">
        <v>31.947043093096205</v>
      </c>
      <c r="AU127" s="411">
        <v>1368.7997710615168</v>
      </c>
      <c r="AV127" s="801"/>
      <c r="AW127" s="256"/>
      <c r="AX127" s="728">
        <f t="shared" si="68"/>
        <v>354.6043033944793</v>
      </c>
      <c r="AY127" s="729">
        <v>205.6185972290881</v>
      </c>
      <c r="AZ127" s="730"/>
      <c r="BA127" s="731">
        <v>0</v>
      </c>
      <c r="BC127" s="727">
        <v>90</v>
      </c>
      <c r="BD127" s="727">
        <v>264.6043033944793</v>
      </c>
      <c r="BE127" s="727"/>
      <c r="BF127" s="727"/>
      <c r="BG127" s="727">
        <v>0</v>
      </c>
      <c r="BH127" s="727">
        <v>6.0938061148753802</v>
      </c>
      <c r="BI127" s="137">
        <f>BC127+BD127+BE127+BG127</f>
        <v>354.6043033944793</v>
      </c>
      <c r="BJ127" s="126">
        <v>436.8</v>
      </c>
      <c r="BK127" s="807"/>
      <c r="BL127" s="107"/>
      <c r="BM127" s="687"/>
      <c r="BO127" s="577"/>
      <c r="BS127" s="904"/>
      <c r="BT127" s="789"/>
      <c r="BU127" s="789">
        <v>4297.4318648144126</v>
      </c>
      <c r="BV127" s="789">
        <v>0</v>
      </c>
      <c r="BW127" s="789">
        <f t="shared" si="69"/>
        <v>4297.4318648144126</v>
      </c>
    </row>
    <row r="128" spans="1:75" ht="15" thickBot="1" x14ac:dyDescent="0.35">
      <c r="A128" s="220" t="s">
        <v>92</v>
      </c>
      <c r="B128" s="238">
        <v>1</v>
      </c>
      <c r="C128" s="40">
        <f>'[7]побудинковий звіт'!E128</f>
        <v>241.1</v>
      </c>
      <c r="D128" s="215">
        <f t="shared" si="44"/>
        <v>36.287638746513672</v>
      </c>
      <c r="E128" s="107">
        <f t="shared" si="45"/>
        <v>7.9832871911395102</v>
      </c>
      <c r="F128" s="107">
        <f t="shared" si="46"/>
        <v>0</v>
      </c>
      <c r="G128" s="107">
        <f t="shared" si="47"/>
        <v>0</v>
      </c>
      <c r="H128" s="107">
        <f t="shared" si="48"/>
        <v>30.31740384787572</v>
      </c>
      <c r="I128" s="107">
        <f t="shared" si="49"/>
        <v>9.6004753592060261</v>
      </c>
      <c r="J128" s="687">
        <f t="shared" si="37"/>
        <v>0</v>
      </c>
      <c r="K128" s="142">
        <f t="shared" si="50"/>
        <v>84.188805144734928</v>
      </c>
      <c r="L128" s="141">
        <f t="shared" si="38"/>
        <v>0</v>
      </c>
      <c r="M128" s="107">
        <f t="shared" si="39"/>
        <v>0</v>
      </c>
      <c r="N128" s="30">
        <f t="shared" si="51"/>
        <v>0</v>
      </c>
      <c r="O128" s="107">
        <f t="shared" si="40"/>
        <v>0.43405460155376713</v>
      </c>
      <c r="P128" s="107">
        <f t="shared" si="52"/>
        <v>0</v>
      </c>
      <c r="Q128" s="107">
        <f t="shared" si="53"/>
        <v>5.5868398162944366E-2</v>
      </c>
      <c r="R128" s="143">
        <f t="shared" si="54"/>
        <v>0.48992299971671149</v>
      </c>
      <c r="S128" s="141">
        <f t="shared" si="55"/>
        <v>0</v>
      </c>
      <c r="T128" s="107">
        <f t="shared" si="41"/>
        <v>0</v>
      </c>
      <c r="U128" s="142">
        <f t="shared" si="56"/>
        <v>0</v>
      </c>
      <c r="V128" s="107"/>
      <c r="W128" s="107">
        <f t="shared" si="57"/>
        <v>0</v>
      </c>
      <c r="X128" s="142">
        <f t="shared" si="58"/>
        <v>0</v>
      </c>
      <c r="Y128" s="141">
        <v>0</v>
      </c>
      <c r="Z128" s="144">
        <v>0</v>
      </c>
      <c r="AA128" s="107">
        <f t="shared" si="42"/>
        <v>0</v>
      </c>
      <c r="AB128" s="142">
        <f t="shared" si="43"/>
        <v>0</v>
      </c>
      <c r="AC128" s="141">
        <v>0</v>
      </c>
      <c r="AD128" s="107">
        <f t="shared" si="59"/>
        <v>0</v>
      </c>
      <c r="AE128" s="142">
        <f t="shared" si="60"/>
        <v>0</v>
      </c>
      <c r="AF128" s="145">
        <v>0</v>
      </c>
      <c r="AG128" s="107">
        <f t="shared" si="61"/>
        <v>0</v>
      </c>
      <c r="AH128" s="142">
        <f t="shared" si="62"/>
        <v>0</v>
      </c>
      <c r="AI128" s="145">
        <v>0</v>
      </c>
      <c r="AJ128" s="107">
        <f t="shared" si="63"/>
        <v>0</v>
      </c>
      <c r="AK128" s="142">
        <f t="shared" si="64"/>
        <v>0</v>
      </c>
      <c r="AL128" s="146"/>
      <c r="AM128" s="215"/>
      <c r="AN128" s="107">
        <f t="shared" si="65"/>
        <v>0</v>
      </c>
      <c r="AO128" s="151">
        <f t="shared" si="66"/>
        <v>0</v>
      </c>
      <c r="AP128" s="282">
        <f t="shared" si="67"/>
        <v>0</v>
      </c>
      <c r="AQ128" s="684">
        <v>33.49</v>
      </c>
      <c r="AR128" s="411">
        <v>0</v>
      </c>
      <c r="AS128" s="411">
        <v>0</v>
      </c>
      <c r="AT128" s="411">
        <v>0</v>
      </c>
      <c r="AU128" s="411">
        <v>0</v>
      </c>
      <c r="AV128" s="742">
        <v>0</v>
      </c>
      <c r="AW128" s="256"/>
      <c r="AX128" s="728">
        <f t="shared" si="68"/>
        <v>0</v>
      </c>
      <c r="AY128" s="729">
        <v>0</v>
      </c>
      <c r="AZ128" s="730"/>
      <c r="BA128" s="731">
        <v>0</v>
      </c>
      <c r="BB128" s="742"/>
      <c r="BC128" s="727">
        <v>0</v>
      </c>
      <c r="BD128" s="727">
        <v>0</v>
      </c>
      <c r="BE128" s="727"/>
      <c r="BF128" s="727"/>
      <c r="BG128" s="727">
        <v>0</v>
      </c>
      <c r="BH128" s="727">
        <v>0</v>
      </c>
      <c r="BI128" s="137">
        <f>BC128+BD128+BE128+BG128+BH128</f>
        <v>0</v>
      </c>
      <c r="BJ128" s="126"/>
      <c r="BK128" s="807"/>
      <c r="BL128" s="107"/>
      <c r="BM128" s="687"/>
      <c r="BO128" s="577"/>
      <c r="BS128" s="904"/>
      <c r="BT128" s="789"/>
      <c r="BU128" s="789">
        <v>0</v>
      </c>
      <c r="BV128" s="789">
        <v>0</v>
      </c>
      <c r="BW128" s="789">
        <f t="shared" si="69"/>
        <v>0</v>
      </c>
    </row>
    <row r="129" spans="1:75" ht="15" thickBot="1" x14ac:dyDescent="0.35">
      <c r="A129" s="220" t="s">
        <v>93</v>
      </c>
      <c r="B129" s="238">
        <v>1</v>
      </c>
      <c r="C129" s="40">
        <f>'[7]побудинковий звіт'!E129</f>
        <v>188.9</v>
      </c>
      <c r="D129" s="215">
        <f t="shared" si="44"/>
        <v>15.548749358389703</v>
      </c>
      <c r="E129" s="107">
        <f t="shared" si="45"/>
        <v>3.4207277155226028</v>
      </c>
      <c r="F129" s="107">
        <f t="shared" si="46"/>
        <v>0</v>
      </c>
      <c r="G129" s="107">
        <f t="shared" si="47"/>
        <v>0</v>
      </c>
      <c r="H129" s="107">
        <f t="shared" si="48"/>
        <v>12.990586599492881</v>
      </c>
      <c r="I129" s="107">
        <f t="shared" si="49"/>
        <v>4.1136703912990891</v>
      </c>
      <c r="J129" s="687">
        <f t="shared" si="37"/>
        <v>0</v>
      </c>
      <c r="K129" s="142">
        <f t="shared" si="50"/>
        <v>36.073734064704276</v>
      </c>
      <c r="L129" s="141">
        <f t="shared" si="38"/>
        <v>0</v>
      </c>
      <c r="M129" s="107">
        <f t="shared" si="39"/>
        <v>0</v>
      </c>
      <c r="N129" s="30">
        <f t="shared" si="51"/>
        <v>0</v>
      </c>
      <c r="O129" s="107">
        <f t="shared" si="40"/>
        <v>0.34007844974494655</v>
      </c>
      <c r="P129" s="107">
        <f t="shared" si="52"/>
        <v>0</v>
      </c>
      <c r="Q129" s="107">
        <f t="shared" si="53"/>
        <v>4.3772461273248409E-2</v>
      </c>
      <c r="R129" s="143">
        <f t="shared" si="54"/>
        <v>0.38385091101819496</v>
      </c>
      <c r="S129" s="141">
        <f t="shared" si="55"/>
        <v>0</v>
      </c>
      <c r="T129" s="107">
        <f t="shared" si="41"/>
        <v>0</v>
      </c>
      <c r="U129" s="142">
        <f t="shared" si="56"/>
        <v>0</v>
      </c>
      <c r="V129" s="107"/>
      <c r="W129" s="107">
        <f t="shared" si="57"/>
        <v>0</v>
      </c>
      <c r="X129" s="142">
        <f t="shared" si="58"/>
        <v>0</v>
      </c>
      <c r="Y129" s="141">
        <v>0</v>
      </c>
      <c r="Z129" s="144">
        <v>0</v>
      </c>
      <c r="AA129" s="107">
        <f t="shared" si="42"/>
        <v>0</v>
      </c>
      <c r="AB129" s="142">
        <f t="shared" si="43"/>
        <v>0</v>
      </c>
      <c r="AC129" s="141">
        <v>0</v>
      </c>
      <c r="AD129" s="107">
        <f t="shared" si="59"/>
        <v>0</v>
      </c>
      <c r="AE129" s="142">
        <f t="shared" si="60"/>
        <v>0</v>
      </c>
      <c r="AF129" s="145">
        <v>0</v>
      </c>
      <c r="AG129" s="107">
        <f t="shared" si="61"/>
        <v>0</v>
      </c>
      <c r="AH129" s="142">
        <f t="shared" si="62"/>
        <v>0</v>
      </c>
      <c r="AI129" s="145">
        <v>0</v>
      </c>
      <c r="AJ129" s="107">
        <f t="shared" si="63"/>
        <v>0</v>
      </c>
      <c r="AK129" s="142">
        <f t="shared" si="64"/>
        <v>0</v>
      </c>
      <c r="AL129" s="146"/>
      <c r="AM129" s="215"/>
      <c r="AN129" s="107">
        <f t="shared" si="65"/>
        <v>0</v>
      </c>
      <c r="AO129" s="151">
        <f t="shared" si="66"/>
        <v>0</v>
      </c>
      <c r="AP129" s="282">
        <f t="shared" si="67"/>
        <v>0</v>
      </c>
      <c r="AQ129" s="684">
        <v>14.35</v>
      </c>
      <c r="AR129" s="411">
        <v>0</v>
      </c>
      <c r="AS129" s="411">
        <v>0</v>
      </c>
      <c r="AT129" s="411">
        <v>0</v>
      </c>
      <c r="AU129" s="411">
        <v>0</v>
      </c>
      <c r="AV129" s="742">
        <v>0</v>
      </c>
      <c r="AW129" s="256"/>
      <c r="AX129" s="728">
        <f t="shared" si="68"/>
        <v>0</v>
      </c>
      <c r="AY129" s="729">
        <v>0</v>
      </c>
      <c r="AZ129" s="730"/>
      <c r="BA129" s="731">
        <v>0</v>
      </c>
      <c r="BB129" s="742"/>
      <c r="BC129" s="727">
        <v>0</v>
      </c>
      <c r="BD129" s="727">
        <v>0</v>
      </c>
      <c r="BE129" s="727"/>
      <c r="BF129" s="727"/>
      <c r="BG129" s="727">
        <v>0</v>
      </c>
      <c r="BH129" s="727">
        <v>0</v>
      </c>
      <c r="BI129" s="137">
        <f>BC129+BD129+BE129+BG129+BH129</f>
        <v>0</v>
      </c>
      <c r="BJ129" s="126"/>
      <c r="BK129" s="807"/>
      <c r="BL129" s="107"/>
      <c r="BM129" s="687"/>
      <c r="BO129" s="577"/>
      <c r="BS129" s="904"/>
      <c r="BT129" s="789"/>
      <c r="BU129" s="789">
        <v>0</v>
      </c>
      <c r="BV129" s="789">
        <v>0</v>
      </c>
      <c r="BW129" s="789">
        <f t="shared" si="69"/>
        <v>0</v>
      </c>
    </row>
    <row r="130" spans="1:75" ht="15" thickBot="1" x14ac:dyDescent="0.35">
      <c r="A130" s="220" t="s">
        <v>95</v>
      </c>
      <c r="B130" s="238">
        <v>1</v>
      </c>
      <c r="C130" s="40">
        <f>'[7]побудинковий звіт'!E130</f>
        <v>142.1</v>
      </c>
      <c r="D130" s="215">
        <f t="shared" si="44"/>
        <v>0</v>
      </c>
      <c r="E130" s="107">
        <f t="shared" si="45"/>
        <v>0</v>
      </c>
      <c r="F130" s="107">
        <f t="shared" si="46"/>
        <v>0</v>
      </c>
      <c r="G130" s="107">
        <f t="shared" si="47"/>
        <v>0</v>
      </c>
      <c r="H130" s="107">
        <f t="shared" si="48"/>
        <v>0</v>
      </c>
      <c r="I130" s="107">
        <f t="shared" si="49"/>
        <v>0</v>
      </c>
      <c r="J130" s="687">
        <f t="shared" si="37"/>
        <v>0</v>
      </c>
      <c r="K130" s="142">
        <f t="shared" si="50"/>
        <v>0</v>
      </c>
      <c r="L130" s="141">
        <f t="shared" si="38"/>
        <v>0</v>
      </c>
      <c r="M130" s="107">
        <f t="shared" si="39"/>
        <v>0</v>
      </c>
      <c r="N130" s="30">
        <f t="shared" si="51"/>
        <v>0</v>
      </c>
      <c r="O130" s="107">
        <f t="shared" si="40"/>
        <v>0.25582396881290048</v>
      </c>
      <c r="P130" s="107">
        <f t="shared" si="52"/>
        <v>0</v>
      </c>
      <c r="Q130" s="107">
        <f t="shared" si="53"/>
        <v>3.2927828199727886E-2</v>
      </c>
      <c r="R130" s="143">
        <f t="shared" si="54"/>
        <v>0.28875179701262838</v>
      </c>
      <c r="S130" s="141">
        <f t="shared" si="55"/>
        <v>0</v>
      </c>
      <c r="T130" s="107">
        <f t="shared" si="41"/>
        <v>0</v>
      </c>
      <c r="U130" s="142">
        <f t="shared" si="56"/>
        <v>0</v>
      </c>
      <c r="V130" s="107"/>
      <c r="W130" s="107">
        <f t="shared" si="57"/>
        <v>0</v>
      </c>
      <c r="X130" s="142">
        <f t="shared" si="58"/>
        <v>0</v>
      </c>
      <c r="Y130" s="141">
        <v>0</v>
      </c>
      <c r="Z130" s="144">
        <v>0</v>
      </c>
      <c r="AA130" s="107">
        <f t="shared" si="42"/>
        <v>0</v>
      </c>
      <c r="AB130" s="142">
        <f t="shared" si="43"/>
        <v>0</v>
      </c>
      <c r="AC130" s="141">
        <v>0</v>
      </c>
      <c r="AD130" s="107">
        <f t="shared" si="59"/>
        <v>0</v>
      </c>
      <c r="AE130" s="142">
        <f t="shared" si="60"/>
        <v>0</v>
      </c>
      <c r="AF130" s="145">
        <v>0</v>
      </c>
      <c r="AG130" s="107">
        <f t="shared" si="61"/>
        <v>0</v>
      </c>
      <c r="AH130" s="142">
        <f t="shared" si="62"/>
        <v>0</v>
      </c>
      <c r="AI130" s="145">
        <v>0</v>
      </c>
      <c r="AJ130" s="107">
        <f t="shared" si="63"/>
        <v>0</v>
      </c>
      <c r="AK130" s="142">
        <f t="shared" si="64"/>
        <v>0</v>
      </c>
      <c r="AL130" s="146"/>
      <c r="AM130" s="215"/>
      <c r="AN130" s="107">
        <f t="shared" si="65"/>
        <v>0</v>
      </c>
      <c r="AO130" s="151">
        <f t="shared" si="66"/>
        <v>0</v>
      </c>
      <c r="AP130" s="282">
        <f t="shared" si="67"/>
        <v>0</v>
      </c>
      <c r="AQ130" s="684">
        <v>0</v>
      </c>
      <c r="AR130" s="411">
        <v>0</v>
      </c>
      <c r="AS130" s="411">
        <v>0</v>
      </c>
      <c r="AT130" s="411">
        <v>0</v>
      </c>
      <c r="AU130" s="411">
        <v>0</v>
      </c>
      <c r="AV130" s="742">
        <v>0</v>
      </c>
      <c r="AW130" s="256"/>
      <c r="AX130" s="728">
        <f t="shared" si="68"/>
        <v>0</v>
      </c>
      <c r="AY130" s="729">
        <v>0</v>
      </c>
      <c r="AZ130" s="730"/>
      <c r="BA130" s="731">
        <v>0</v>
      </c>
      <c r="BB130" s="742"/>
      <c r="BC130" s="727">
        <v>0</v>
      </c>
      <c r="BD130" s="727">
        <v>0</v>
      </c>
      <c r="BE130" s="727"/>
      <c r="BF130" s="727"/>
      <c r="BG130" s="727">
        <v>0</v>
      </c>
      <c r="BH130" s="727">
        <v>0</v>
      </c>
      <c r="BI130" s="137">
        <f>BC130+BD130+BE130+BG130+BH130</f>
        <v>0</v>
      </c>
      <c r="BJ130" s="126"/>
      <c r="BK130" s="807"/>
      <c r="BL130" s="107"/>
      <c r="BM130" s="687"/>
      <c r="BO130" s="577"/>
      <c r="BS130" s="904"/>
      <c r="BT130" s="789"/>
      <c r="BU130" s="789">
        <v>0</v>
      </c>
      <c r="BV130" s="789">
        <v>0</v>
      </c>
      <c r="BW130" s="789">
        <f t="shared" si="69"/>
        <v>0</v>
      </c>
    </row>
    <row r="131" spans="1:75" ht="15" thickBot="1" x14ac:dyDescent="0.35">
      <c r="A131" s="260" t="s">
        <v>361</v>
      </c>
      <c r="B131" s="237">
        <v>9</v>
      </c>
      <c r="C131" s="40">
        <f>'[7]побудинковий звіт'!E131</f>
        <v>3815</v>
      </c>
      <c r="D131" s="215">
        <f t="shared" si="44"/>
        <v>815.04198156228574</v>
      </c>
      <c r="E131" s="107">
        <f t="shared" si="45"/>
        <v>179.30938568639417</v>
      </c>
      <c r="F131" s="107">
        <f t="shared" si="46"/>
        <v>127.90938946953817</v>
      </c>
      <c r="G131" s="107">
        <f t="shared" si="47"/>
        <v>0</v>
      </c>
      <c r="H131" s="107">
        <f t="shared" si="48"/>
        <v>680.94694947244807</v>
      </c>
      <c r="I131" s="107">
        <f t="shared" si="49"/>
        <v>232.09597534348592</v>
      </c>
      <c r="J131" s="687">
        <f t="shared" si="37"/>
        <v>0</v>
      </c>
      <c r="K131" s="142">
        <f t="shared" si="50"/>
        <v>2035.303681534152</v>
      </c>
      <c r="L131" s="141">
        <f t="shared" si="38"/>
        <v>1382.7658716262197</v>
      </c>
      <c r="M131" s="107">
        <f t="shared" si="39"/>
        <v>304.20705991768347</v>
      </c>
      <c r="N131" s="30">
        <f t="shared" si="51"/>
        <v>78.237974916617091</v>
      </c>
      <c r="O131" s="107">
        <f t="shared" si="40"/>
        <v>6.8681804434990523</v>
      </c>
      <c r="P131" s="107">
        <f t="shared" si="52"/>
        <v>1155.2658923330914</v>
      </c>
      <c r="Q131" s="107">
        <f t="shared" si="53"/>
        <v>376.78687030358844</v>
      </c>
      <c r="R131" s="143">
        <f t="shared" si="54"/>
        <v>3304.131849540699</v>
      </c>
      <c r="S131" s="141">
        <f t="shared" si="55"/>
        <v>100.87</v>
      </c>
      <c r="T131" s="107">
        <f t="shared" si="41"/>
        <v>12.983263632094282</v>
      </c>
      <c r="U131" s="142">
        <f t="shared" si="56"/>
        <v>113.85326363209428</v>
      </c>
      <c r="V131" s="107"/>
      <c r="W131" s="107">
        <f t="shared" si="57"/>
        <v>0</v>
      </c>
      <c r="X131" s="142">
        <f t="shared" si="58"/>
        <v>0</v>
      </c>
      <c r="Y131" s="141">
        <v>1120.33</v>
      </c>
      <c r="Z131" s="144">
        <v>0</v>
      </c>
      <c r="AA131" s="107">
        <f t="shared" si="42"/>
        <v>144.20085005397229</v>
      </c>
      <c r="AB131" s="142">
        <f t="shared" si="43"/>
        <v>1264.5308500539722</v>
      </c>
      <c r="AC131" s="141">
        <v>0</v>
      </c>
      <c r="AD131" s="107">
        <f t="shared" si="59"/>
        <v>0</v>
      </c>
      <c r="AE131" s="142">
        <f t="shared" si="60"/>
        <v>0</v>
      </c>
      <c r="AF131" s="145">
        <v>37.4</v>
      </c>
      <c r="AG131" s="107">
        <f t="shared" si="61"/>
        <v>4.8138600162617831</v>
      </c>
      <c r="AH131" s="142">
        <f t="shared" si="62"/>
        <v>42.213860016261783</v>
      </c>
      <c r="AI131" s="145">
        <v>1115.4000000000001</v>
      </c>
      <c r="AJ131" s="107">
        <f t="shared" si="63"/>
        <v>143.56629577910144</v>
      </c>
      <c r="AK131" s="142">
        <f t="shared" si="64"/>
        <v>1258.9662957791015</v>
      </c>
      <c r="AL131" s="146"/>
      <c r="AM131" s="401"/>
      <c r="AN131" s="107">
        <f>AL131*$C$5</f>
        <v>0</v>
      </c>
      <c r="AO131" s="151">
        <f t="shared" si="66"/>
        <v>0</v>
      </c>
      <c r="AP131" s="282">
        <f t="shared" si="67"/>
        <v>1034.8632059741319</v>
      </c>
      <c r="AQ131" s="684">
        <v>311.62</v>
      </c>
      <c r="AR131" s="411">
        <v>418.78026237232785</v>
      </c>
      <c r="AS131" s="411">
        <v>598.90651932628282</v>
      </c>
      <c r="AT131" s="411">
        <v>17.176424275521242</v>
      </c>
      <c r="AU131" s="411">
        <v>661.02197329402134</v>
      </c>
      <c r="AV131" s="742">
        <v>21.805086484750518</v>
      </c>
      <c r="AW131" s="256"/>
      <c r="AX131" s="728">
        <f t="shared" si="68"/>
        <v>127.90938946953817</v>
      </c>
      <c r="AY131" s="729">
        <v>74.300916093087679</v>
      </c>
      <c r="AZ131" s="730"/>
      <c r="BA131" s="731">
        <v>3.9370588235294122</v>
      </c>
      <c r="BB131" s="742"/>
      <c r="BC131" s="727">
        <v>26.362500000000001</v>
      </c>
      <c r="BD131" s="727">
        <v>101.54688946953817</v>
      </c>
      <c r="BE131" s="727"/>
      <c r="BF131" s="727"/>
      <c r="BG131" s="727">
        <v>0</v>
      </c>
      <c r="BH131" s="727">
        <v>38.04296875</v>
      </c>
      <c r="BI131" s="137">
        <f>BC131+BD131+BE131+BG131</f>
        <v>127.90938946953817</v>
      </c>
      <c r="BJ131" s="126">
        <v>458.5</v>
      </c>
      <c r="BK131" s="807"/>
      <c r="BL131" s="107"/>
      <c r="BM131" s="687"/>
      <c r="BO131" s="577"/>
      <c r="BS131" s="904"/>
      <c r="BT131" s="789"/>
      <c r="BU131" s="789">
        <v>565.56120095584026</v>
      </c>
      <c r="BV131" s="789">
        <v>0</v>
      </c>
      <c r="BW131" s="789">
        <f t="shared" si="69"/>
        <v>565.56120095584026</v>
      </c>
    </row>
    <row r="132" spans="1:75" ht="15" thickBot="1" x14ac:dyDescent="0.35">
      <c r="A132" s="220" t="s">
        <v>97</v>
      </c>
      <c r="B132" s="238">
        <v>1</v>
      </c>
      <c r="C132" s="40">
        <f>'[7]побудинковий звіт'!E132</f>
        <v>214.9</v>
      </c>
      <c r="D132" s="215">
        <f t="shared" si="44"/>
        <v>0</v>
      </c>
      <c r="E132" s="107">
        <f t="shared" si="45"/>
        <v>0</v>
      </c>
      <c r="F132" s="107">
        <f t="shared" si="46"/>
        <v>0</v>
      </c>
      <c r="G132" s="107">
        <f t="shared" si="47"/>
        <v>0</v>
      </c>
      <c r="H132" s="107">
        <f t="shared" si="48"/>
        <v>0</v>
      </c>
      <c r="I132" s="107">
        <f t="shared" si="49"/>
        <v>0</v>
      </c>
      <c r="J132" s="687">
        <f t="shared" si="37"/>
        <v>0</v>
      </c>
      <c r="K132" s="142">
        <f t="shared" si="50"/>
        <v>0</v>
      </c>
      <c r="L132" s="141">
        <f t="shared" si="38"/>
        <v>0</v>
      </c>
      <c r="M132" s="107">
        <f t="shared" si="39"/>
        <v>0</v>
      </c>
      <c r="N132" s="30">
        <f t="shared" si="51"/>
        <v>0</v>
      </c>
      <c r="O132" s="107">
        <f t="shared" si="40"/>
        <v>0.38688649470719433</v>
      </c>
      <c r="P132" s="107">
        <f t="shared" si="52"/>
        <v>0</v>
      </c>
      <c r="Q132" s="107">
        <f t="shared" si="53"/>
        <v>4.9797257425204244E-2</v>
      </c>
      <c r="R132" s="143">
        <f t="shared" si="54"/>
        <v>0.43668375213239857</v>
      </c>
      <c r="S132" s="141">
        <f t="shared" si="55"/>
        <v>0</v>
      </c>
      <c r="T132" s="107">
        <f t="shared" si="41"/>
        <v>0</v>
      </c>
      <c r="U132" s="142">
        <f t="shared" si="56"/>
        <v>0</v>
      </c>
      <c r="V132" s="107"/>
      <c r="W132" s="107">
        <f t="shared" si="57"/>
        <v>0</v>
      </c>
      <c r="X132" s="142">
        <f t="shared" si="58"/>
        <v>0</v>
      </c>
      <c r="Y132" s="141">
        <v>0</v>
      </c>
      <c r="Z132" s="144">
        <v>0</v>
      </c>
      <c r="AA132" s="107">
        <f t="shared" si="42"/>
        <v>0</v>
      </c>
      <c r="AB132" s="142">
        <f t="shared" si="43"/>
        <v>0</v>
      </c>
      <c r="AC132" s="141">
        <v>0</v>
      </c>
      <c r="AD132" s="107">
        <f t="shared" si="59"/>
        <v>0</v>
      </c>
      <c r="AE132" s="142">
        <f t="shared" si="60"/>
        <v>0</v>
      </c>
      <c r="AF132" s="145">
        <v>0</v>
      </c>
      <c r="AG132" s="107">
        <f t="shared" si="61"/>
        <v>0</v>
      </c>
      <c r="AH132" s="142">
        <f t="shared" si="62"/>
        <v>0</v>
      </c>
      <c r="AI132" s="145">
        <v>0</v>
      </c>
      <c r="AJ132" s="107">
        <f t="shared" si="63"/>
        <v>0</v>
      </c>
      <c r="AK132" s="142">
        <f t="shared" si="64"/>
        <v>0</v>
      </c>
      <c r="AL132" s="146"/>
      <c r="AM132" s="401"/>
      <c r="AN132" s="107">
        <f t="shared" si="65"/>
        <v>0</v>
      </c>
      <c r="AO132" s="151">
        <f t="shared" si="66"/>
        <v>0</v>
      </c>
      <c r="AP132" s="282">
        <f t="shared" si="67"/>
        <v>0</v>
      </c>
      <c r="AQ132" s="684">
        <v>0</v>
      </c>
      <c r="AR132" s="411">
        <v>0</v>
      </c>
      <c r="AS132" s="411">
        <v>0</v>
      </c>
      <c r="AT132" s="411">
        <v>0</v>
      </c>
      <c r="AU132" s="411">
        <v>0</v>
      </c>
      <c r="AV132" s="742">
        <v>0</v>
      </c>
      <c r="AW132" s="256"/>
      <c r="AX132" s="728">
        <f t="shared" si="68"/>
        <v>0</v>
      </c>
      <c r="AY132" s="729">
        <v>0</v>
      </c>
      <c r="AZ132" s="730"/>
      <c r="BA132" s="731">
        <v>0</v>
      </c>
      <c r="BB132" s="742"/>
      <c r="BC132" s="727">
        <v>0</v>
      </c>
      <c r="BD132" s="727">
        <v>0</v>
      </c>
      <c r="BE132" s="727"/>
      <c r="BF132" s="727"/>
      <c r="BG132" s="727">
        <v>0</v>
      </c>
      <c r="BH132" s="727">
        <v>0</v>
      </c>
      <c r="BI132" s="137">
        <f>BC132+BD132+BE132+BG132+BH132</f>
        <v>0</v>
      </c>
      <c r="BJ132" s="126"/>
      <c r="BK132" s="807"/>
      <c r="BL132" s="107"/>
      <c r="BM132" s="687"/>
      <c r="BO132" s="577"/>
      <c r="BS132" s="904"/>
      <c r="BT132" s="789"/>
      <c r="BU132" s="789">
        <v>0</v>
      </c>
      <c r="BV132" s="789">
        <v>0</v>
      </c>
      <c r="BW132" s="789">
        <f t="shared" si="69"/>
        <v>0</v>
      </c>
    </row>
    <row r="133" spans="1:75" ht="15" thickBot="1" x14ac:dyDescent="0.35">
      <c r="A133" s="220" t="s">
        <v>98</v>
      </c>
      <c r="B133" s="238">
        <v>1</v>
      </c>
      <c r="C133" s="40">
        <f>'[7]побудинковий звіт'!E133</f>
        <v>181.38</v>
      </c>
      <c r="D133" s="215">
        <f t="shared" si="44"/>
        <v>0</v>
      </c>
      <c r="E133" s="107">
        <f t="shared" si="45"/>
        <v>0</v>
      </c>
      <c r="F133" s="107">
        <f t="shared" si="46"/>
        <v>0</v>
      </c>
      <c r="G133" s="107">
        <f t="shared" si="47"/>
        <v>0</v>
      </c>
      <c r="H133" s="107">
        <f t="shared" si="48"/>
        <v>0</v>
      </c>
      <c r="I133" s="107">
        <f t="shared" si="49"/>
        <v>0</v>
      </c>
      <c r="J133" s="687">
        <f t="shared" si="37"/>
        <v>0</v>
      </c>
      <c r="K133" s="142">
        <f t="shared" si="50"/>
        <v>0</v>
      </c>
      <c r="L133" s="141">
        <f t="shared" si="38"/>
        <v>0</v>
      </c>
      <c r="M133" s="107">
        <f t="shared" si="39"/>
        <v>0</v>
      </c>
      <c r="N133" s="30">
        <f t="shared" si="51"/>
        <v>0</v>
      </c>
      <c r="O133" s="107">
        <f t="shared" si="40"/>
        <v>0.32654012289432716</v>
      </c>
      <c r="P133" s="107">
        <f t="shared" si="52"/>
        <v>0</v>
      </c>
      <c r="Q133" s="107">
        <f t="shared" si="53"/>
        <v>4.202990484775964E-2</v>
      </c>
      <c r="R133" s="143">
        <f t="shared" si="54"/>
        <v>0.3685700277420868</v>
      </c>
      <c r="S133" s="141">
        <f t="shared" si="55"/>
        <v>0</v>
      </c>
      <c r="T133" s="107">
        <f t="shared" si="41"/>
        <v>0</v>
      </c>
      <c r="U133" s="142">
        <f t="shared" si="56"/>
        <v>0</v>
      </c>
      <c r="V133" s="107"/>
      <c r="W133" s="107">
        <f t="shared" si="57"/>
        <v>0</v>
      </c>
      <c r="X133" s="142">
        <f t="shared" si="58"/>
        <v>0</v>
      </c>
      <c r="Y133" s="141">
        <v>0</v>
      </c>
      <c r="Z133" s="144">
        <v>0</v>
      </c>
      <c r="AA133" s="107">
        <f t="shared" si="42"/>
        <v>0</v>
      </c>
      <c r="AB133" s="142">
        <f t="shared" si="43"/>
        <v>0</v>
      </c>
      <c r="AC133" s="141">
        <v>0</v>
      </c>
      <c r="AD133" s="107">
        <f t="shared" si="59"/>
        <v>0</v>
      </c>
      <c r="AE133" s="142">
        <f t="shared" si="60"/>
        <v>0</v>
      </c>
      <c r="AF133" s="145">
        <v>0</v>
      </c>
      <c r="AG133" s="107">
        <f t="shared" si="61"/>
        <v>0</v>
      </c>
      <c r="AH133" s="142">
        <f t="shared" si="62"/>
        <v>0</v>
      </c>
      <c r="AI133" s="145">
        <v>0</v>
      </c>
      <c r="AJ133" s="107">
        <f t="shared" si="63"/>
        <v>0</v>
      </c>
      <c r="AK133" s="142">
        <f t="shared" si="64"/>
        <v>0</v>
      </c>
      <c r="AL133" s="146"/>
      <c r="AM133" s="146"/>
      <c r="AN133" s="107">
        <f t="shared" si="65"/>
        <v>0</v>
      </c>
      <c r="AO133" s="151">
        <f t="shared" si="66"/>
        <v>0</v>
      </c>
      <c r="AP133" s="282">
        <f t="shared" si="67"/>
        <v>0</v>
      </c>
      <c r="AQ133" s="684">
        <v>0</v>
      </c>
      <c r="AR133" s="411">
        <v>0</v>
      </c>
      <c r="AS133" s="411">
        <v>0</v>
      </c>
      <c r="AT133" s="411">
        <v>0</v>
      </c>
      <c r="AU133" s="411">
        <v>0</v>
      </c>
      <c r="AV133" s="742">
        <v>0</v>
      </c>
      <c r="AW133" s="256"/>
      <c r="AX133" s="728">
        <f t="shared" si="68"/>
        <v>0</v>
      </c>
      <c r="AY133" s="729">
        <v>0</v>
      </c>
      <c r="AZ133" s="730"/>
      <c r="BA133" s="731">
        <v>0</v>
      </c>
      <c r="BB133" s="742"/>
      <c r="BC133" s="727">
        <v>0</v>
      </c>
      <c r="BD133" s="727">
        <v>0</v>
      </c>
      <c r="BE133" s="727"/>
      <c r="BF133" s="727"/>
      <c r="BG133" s="727">
        <v>0</v>
      </c>
      <c r="BH133" s="727">
        <v>0</v>
      </c>
      <c r="BI133" s="137">
        <f>BC133+BD133+BE133+BG133+BH133</f>
        <v>0</v>
      </c>
      <c r="BJ133" s="126"/>
      <c r="BK133" s="807"/>
      <c r="BL133" s="107"/>
      <c r="BM133" s="687"/>
      <c r="BO133" s="577"/>
      <c r="BS133" s="904"/>
      <c r="BT133" s="789"/>
      <c r="BU133" s="789">
        <v>0</v>
      </c>
      <c r="BV133" s="789">
        <v>0</v>
      </c>
      <c r="BW133" s="789">
        <f t="shared" si="69"/>
        <v>0</v>
      </c>
    </row>
    <row r="134" spans="1:75" ht="15" thickBot="1" x14ac:dyDescent="0.35">
      <c r="A134" s="219" t="s">
        <v>211</v>
      </c>
      <c r="B134" s="237">
        <v>4</v>
      </c>
      <c r="C134" s="40">
        <f>'[7]побудинковий звіт'!E134</f>
        <v>1485.1</v>
      </c>
      <c r="D134" s="215">
        <f t="shared" si="44"/>
        <v>1622.1834726885004</v>
      </c>
      <c r="E134" s="107">
        <f t="shared" si="45"/>
        <v>356.88066202534378</v>
      </c>
      <c r="F134" s="107">
        <f t="shared" si="46"/>
        <v>45.421960073135843</v>
      </c>
      <c r="G134" s="107">
        <f t="shared" si="47"/>
        <v>0</v>
      </c>
      <c r="H134" s="107">
        <f t="shared" si="48"/>
        <v>1355.2932391218687</v>
      </c>
      <c r="I134" s="107">
        <f t="shared" si="49"/>
        <v>435.02097859068687</v>
      </c>
      <c r="J134" s="687">
        <f t="shared" si="37"/>
        <v>0</v>
      </c>
      <c r="K134" s="142">
        <f t="shared" si="50"/>
        <v>3814.8003124995353</v>
      </c>
      <c r="L134" s="141">
        <f t="shared" si="38"/>
        <v>385.55018667635687</v>
      </c>
      <c r="M134" s="107">
        <f t="shared" si="39"/>
        <v>84.820641835476849</v>
      </c>
      <c r="N134" s="30">
        <f t="shared" si="51"/>
        <v>30.518631411385396</v>
      </c>
      <c r="O134" s="107">
        <f t="shared" si="40"/>
        <v>2.6736395220551619</v>
      </c>
      <c r="P134" s="107">
        <f t="shared" si="52"/>
        <v>322.11742391791728</v>
      </c>
      <c r="Q134" s="107">
        <f t="shared" si="53"/>
        <v>106.27568068513827</v>
      </c>
      <c r="R134" s="143">
        <f t="shared" si="54"/>
        <v>931.95620404832982</v>
      </c>
      <c r="S134" s="141">
        <f t="shared" si="55"/>
        <v>44.22</v>
      </c>
      <c r="T134" s="107">
        <f t="shared" si="41"/>
        <v>5.6916815486389316</v>
      </c>
      <c r="U134" s="142">
        <f t="shared" si="56"/>
        <v>49.911681548638931</v>
      </c>
      <c r="V134" s="107"/>
      <c r="W134" s="107">
        <f t="shared" si="57"/>
        <v>0</v>
      </c>
      <c r="X134" s="142">
        <f t="shared" si="58"/>
        <v>0</v>
      </c>
      <c r="Y134" s="141">
        <v>0</v>
      </c>
      <c r="Z134" s="144">
        <v>0</v>
      </c>
      <c r="AA134" s="107">
        <f t="shared" si="42"/>
        <v>0</v>
      </c>
      <c r="AB134" s="142">
        <f t="shared" si="43"/>
        <v>0</v>
      </c>
      <c r="AC134" s="141">
        <v>0</v>
      </c>
      <c r="AD134" s="107">
        <f t="shared" si="59"/>
        <v>0</v>
      </c>
      <c r="AE134" s="142">
        <f t="shared" si="60"/>
        <v>0</v>
      </c>
      <c r="AF134" s="145">
        <v>279.39999999999998</v>
      </c>
      <c r="AG134" s="107">
        <f t="shared" si="61"/>
        <v>35.962366003838028</v>
      </c>
      <c r="AH134" s="142">
        <f t="shared" si="62"/>
        <v>315.36236600383802</v>
      </c>
      <c r="AI134" s="145">
        <v>0</v>
      </c>
      <c r="AJ134" s="107">
        <f t="shared" si="63"/>
        <v>0</v>
      </c>
      <c r="AK134" s="142">
        <f t="shared" si="64"/>
        <v>0</v>
      </c>
      <c r="AL134" s="146">
        <v>382.5</v>
      </c>
      <c r="AM134" s="146"/>
      <c r="AN134" s="107">
        <f t="shared" si="65"/>
        <v>49.232659257222785</v>
      </c>
      <c r="AO134" s="151">
        <f t="shared" si="66"/>
        <v>431.73265925722279</v>
      </c>
      <c r="AP134" s="282">
        <f t="shared" si="67"/>
        <v>1667.8285383406553</v>
      </c>
      <c r="AQ134" s="684">
        <v>185.38</v>
      </c>
      <c r="AR134" s="740">
        <v>1311.7393050018261</v>
      </c>
      <c r="AS134" s="740">
        <v>348.9030490116528</v>
      </c>
      <c r="AT134" s="740">
        <v>7.1861843271766066</v>
      </c>
      <c r="AU134" s="411">
        <v>0</v>
      </c>
      <c r="AV134" s="801"/>
      <c r="AW134" s="256"/>
      <c r="AX134" s="728">
        <f t="shared" si="68"/>
        <v>45.421960073135843</v>
      </c>
      <c r="AY134" s="729">
        <v>30.518631411385396</v>
      </c>
      <c r="AZ134" s="730"/>
      <c r="BA134" s="731">
        <v>0</v>
      </c>
      <c r="BC134" s="727">
        <v>0</v>
      </c>
      <c r="BD134" s="727">
        <v>45.421960073135843</v>
      </c>
      <c r="BE134" s="727"/>
      <c r="BF134" s="727"/>
      <c r="BG134" s="727">
        <v>0</v>
      </c>
      <c r="BH134" s="727">
        <v>0</v>
      </c>
      <c r="BI134" s="137">
        <f t="shared" ref="BI134:BI140" si="71">BC134+BD134+BE134+BG134</f>
        <v>45.421960073135843</v>
      </c>
      <c r="BJ134" s="126">
        <v>201</v>
      </c>
      <c r="BK134" s="807"/>
      <c r="BL134" s="107"/>
      <c r="BM134" s="687"/>
      <c r="BO134" s="577"/>
      <c r="BS134" s="904"/>
      <c r="BT134" s="789"/>
      <c r="BU134" s="789">
        <v>1283.2355226158788</v>
      </c>
      <c r="BV134" s="789">
        <v>0</v>
      </c>
      <c r="BW134" s="789">
        <f t="shared" si="69"/>
        <v>1283.2355226158788</v>
      </c>
    </row>
    <row r="135" spans="1:75" ht="15" thickBot="1" x14ac:dyDescent="0.35">
      <c r="A135" s="219" t="s">
        <v>362</v>
      </c>
      <c r="B135" s="237">
        <v>9</v>
      </c>
      <c r="C135" s="40">
        <f>'[7]побудинковий звіт'!E135</f>
        <v>4024.2</v>
      </c>
      <c r="D135" s="215">
        <f t="shared" si="44"/>
        <v>2431.263149782756</v>
      </c>
      <c r="E135" s="107">
        <f t="shared" si="45"/>
        <v>534.87833963335345</v>
      </c>
      <c r="F135" s="107">
        <f t="shared" si="46"/>
        <v>115.67310457150656</v>
      </c>
      <c r="G135" s="107">
        <f t="shared" si="47"/>
        <v>0</v>
      </c>
      <c r="H135" s="107">
        <f t="shared" si="48"/>
        <v>2031.2588340982591</v>
      </c>
      <c r="I135" s="107">
        <f t="shared" si="49"/>
        <v>658.11817475061935</v>
      </c>
      <c r="J135" s="687">
        <f t="shared" si="37"/>
        <v>0</v>
      </c>
      <c r="K135" s="142">
        <f t="shared" si="50"/>
        <v>5771.191602836494</v>
      </c>
      <c r="L135" s="141">
        <f t="shared" si="38"/>
        <v>2210.8941760507037</v>
      </c>
      <c r="M135" s="107">
        <f t="shared" si="39"/>
        <v>486.39442937258036</v>
      </c>
      <c r="N135" s="30">
        <f t="shared" si="51"/>
        <v>66.164498195363535</v>
      </c>
      <c r="O135" s="107">
        <f t="shared" si="40"/>
        <v>7.2448051745029849</v>
      </c>
      <c r="P135" s="107">
        <f t="shared" si="52"/>
        <v>1847.1461333836548</v>
      </c>
      <c r="Q135" s="107">
        <f t="shared" si="53"/>
        <v>594.37579668362605</v>
      </c>
      <c r="R135" s="143">
        <f t="shared" si="54"/>
        <v>5212.219838860432</v>
      </c>
      <c r="S135" s="141">
        <f t="shared" si="55"/>
        <v>84.326000000000008</v>
      </c>
      <c r="T135" s="107">
        <f t="shared" si="41"/>
        <v>10.85383849548907</v>
      </c>
      <c r="U135" s="142">
        <f t="shared" si="56"/>
        <v>95.179838495489079</v>
      </c>
      <c r="V135" s="107"/>
      <c r="W135" s="107">
        <f t="shared" si="57"/>
        <v>0</v>
      </c>
      <c r="X135" s="142">
        <f t="shared" si="58"/>
        <v>0</v>
      </c>
      <c r="Y135" s="141">
        <v>3102.43</v>
      </c>
      <c r="Z135" s="144">
        <v>0</v>
      </c>
      <c r="AA135" s="107">
        <f t="shared" si="42"/>
        <v>399.32255963238083</v>
      </c>
      <c r="AB135" s="142">
        <f t="shared" si="43"/>
        <v>3501.7525596323808</v>
      </c>
      <c r="AC135" s="141">
        <v>0</v>
      </c>
      <c r="AD135" s="107">
        <f t="shared" si="59"/>
        <v>0</v>
      </c>
      <c r="AE135" s="142">
        <f t="shared" si="60"/>
        <v>0</v>
      </c>
      <c r="AF135" s="145">
        <v>827.2</v>
      </c>
      <c r="AG135" s="107">
        <f t="shared" si="61"/>
        <v>106.47125683026063</v>
      </c>
      <c r="AH135" s="142">
        <f t="shared" si="62"/>
        <v>933.67125683026063</v>
      </c>
      <c r="AI135" s="145">
        <v>569.79999999999995</v>
      </c>
      <c r="AJ135" s="107">
        <f t="shared" si="63"/>
        <v>73.340573188929511</v>
      </c>
      <c r="AK135" s="142">
        <f t="shared" si="64"/>
        <v>643.14057318892947</v>
      </c>
      <c r="AL135" s="146">
        <v>2677.5</v>
      </c>
      <c r="AM135" s="146"/>
      <c r="AN135" s="107">
        <f t="shared" si="65"/>
        <v>344.62861480055949</v>
      </c>
      <c r="AO135" s="151">
        <f t="shared" si="66"/>
        <v>3022.1286148005593</v>
      </c>
      <c r="AP135" s="282">
        <f t="shared" si="67"/>
        <v>4285.7756734735995</v>
      </c>
      <c r="AQ135" s="684">
        <v>0</v>
      </c>
      <c r="AR135" s="741">
        <v>2243.8220203580263</v>
      </c>
      <c r="AS135" s="741">
        <v>2007.3823454285791</v>
      </c>
      <c r="AT135" s="741">
        <v>34.57130768699389</v>
      </c>
      <c r="AU135" s="411">
        <v>0</v>
      </c>
      <c r="AV135" s="801"/>
      <c r="AW135" s="256"/>
      <c r="AX135" s="728">
        <f t="shared" si="68"/>
        <v>115.67310457150656</v>
      </c>
      <c r="AY135" s="729">
        <v>66.164498195363535</v>
      </c>
      <c r="AZ135" s="730"/>
      <c r="BA135" s="731">
        <v>0</v>
      </c>
      <c r="BC135" s="727">
        <v>0</v>
      </c>
      <c r="BD135" s="727">
        <v>115.67310457150656</v>
      </c>
      <c r="BE135" s="727"/>
      <c r="BF135" s="727"/>
      <c r="BG135" s="727">
        <v>0</v>
      </c>
      <c r="BH135" s="727">
        <v>5.7619651878277116</v>
      </c>
      <c r="BI135" s="137">
        <f t="shared" si="71"/>
        <v>115.67310457150656</v>
      </c>
      <c r="BJ135" s="126">
        <v>383.3</v>
      </c>
      <c r="BK135" s="807"/>
      <c r="BL135" s="107"/>
      <c r="BM135" s="687"/>
      <c r="BO135" s="577"/>
      <c r="BS135" s="904"/>
      <c r="BT135" s="789"/>
      <c r="BU135" s="789">
        <v>2178.7282945459742</v>
      </c>
      <c r="BV135" s="789">
        <v>0</v>
      </c>
      <c r="BW135" s="789">
        <f t="shared" si="69"/>
        <v>2178.7282945459742</v>
      </c>
    </row>
    <row r="136" spans="1:75" ht="15" thickBot="1" x14ac:dyDescent="0.35">
      <c r="A136" s="219" t="s">
        <v>212</v>
      </c>
      <c r="B136" s="237">
        <v>4</v>
      </c>
      <c r="C136" s="40">
        <f>'[7]побудинковий звіт'!E136</f>
        <v>1485</v>
      </c>
      <c r="D136" s="215">
        <f t="shared" si="44"/>
        <v>756.90734880997593</v>
      </c>
      <c r="E136" s="107">
        <f t="shared" si="45"/>
        <v>166.51975580016457</v>
      </c>
      <c r="F136" s="107">
        <f t="shared" si="46"/>
        <v>45.39444273060365</v>
      </c>
      <c r="G136" s="107">
        <f t="shared" si="47"/>
        <v>0</v>
      </c>
      <c r="H136" s="107">
        <f t="shared" si="48"/>
        <v>632.37693501073136</v>
      </c>
      <c r="I136" s="107">
        <f t="shared" si="49"/>
        <v>206.09479551579722</v>
      </c>
      <c r="J136" s="687">
        <f t="shared" si="37"/>
        <v>0</v>
      </c>
      <c r="K136" s="142">
        <f t="shared" si="50"/>
        <v>1807.2932778672725</v>
      </c>
      <c r="L136" s="141">
        <f t="shared" si="38"/>
        <v>322.6956004804324</v>
      </c>
      <c r="M136" s="107">
        <f t="shared" si="39"/>
        <v>70.992697957662216</v>
      </c>
      <c r="N136" s="30">
        <f t="shared" si="51"/>
        <v>30.500142741305794</v>
      </c>
      <c r="O136" s="107">
        <f t="shared" si="40"/>
        <v>2.6734594911129994</v>
      </c>
      <c r="P136" s="107">
        <f t="shared" si="52"/>
        <v>269.604007801085</v>
      </c>
      <c r="Q136" s="107">
        <f t="shared" si="53"/>
        <v>89.644101323017836</v>
      </c>
      <c r="R136" s="143">
        <f t="shared" si="54"/>
        <v>786.1100097946163</v>
      </c>
      <c r="S136" s="141">
        <f t="shared" si="55"/>
        <v>46.199999999999996</v>
      </c>
      <c r="T136" s="107">
        <f t="shared" si="41"/>
        <v>5.9465329612645554</v>
      </c>
      <c r="U136" s="142">
        <f t="shared" si="56"/>
        <v>52.146532961264555</v>
      </c>
      <c r="V136" s="107"/>
      <c r="W136" s="107">
        <f t="shared" si="57"/>
        <v>0</v>
      </c>
      <c r="X136" s="142">
        <f t="shared" si="58"/>
        <v>0</v>
      </c>
      <c r="Y136" s="141">
        <v>0</v>
      </c>
      <c r="Z136" s="144">
        <v>0</v>
      </c>
      <c r="AA136" s="107">
        <f t="shared" si="42"/>
        <v>0</v>
      </c>
      <c r="AB136" s="142">
        <f t="shared" si="43"/>
        <v>0</v>
      </c>
      <c r="AC136" s="141">
        <v>0</v>
      </c>
      <c r="AD136" s="107">
        <f t="shared" si="59"/>
        <v>0</v>
      </c>
      <c r="AE136" s="142">
        <f t="shared" si="60"/>
        <v>0</v>
      </c>
      <c r="AF136" s="145">
        <v>48.4</v>
      </c>
      <c r="AG136" s="107">
        <f t="shared" si="61"/>
        <v>6.229701197515249</v>
      </c>
      <c r="AH136" s="142">
        <f t="shared" si="62"/>
        <v>54.629701197515246</v>
      </c>
      <c r="AI136" s="145">
        <v>0</v>
      </c>
      <c r="AJ136" s="107">
        <f t="shared" si="63"/>
        <v>0</v>
      </c>
      <c r="AK136" s="142">
        <f t="shared" si="64"/>
        <v>0</v>
      </c>
      <c r="AL136" s="146">
        <v>255</v>
      </c>
      <c r="AM136" s="146"/>
      <c r="AN136" s="107">
        <f t="shared" si="65"/>
        <v>32.821772838148526</v>
      </c>
      <c r="AO136" s="151">
        <f t="shared" si="66"/>
        <v>287.82177283814855</v>
      </c>
      <c r="AP136" s="282">
        <f t="shared" si="67"/>
        <v>844.31021434918773</v>
      </c>
      <c r="AQ136" s="684">
        <v>152.28</v>
      </c>
      <c r="AR136" s="740">
        <v>546.27267488523159</v>
      </c>
      <c r="AS136" s="740">
        <v>290.53446791893816</v>
      </c>
      <c r="AT136" s="740">
        <v>7.5030715450179644</v>
      </c>
      <c r="AU136" s="411">
        <v>0</v>
      </c>
      <c r="AV136" s="801"/>
      <c r="AW136" s="256"/>
      <c r="AX136" s="728">
        <f t="shared" si="68"/>
        <v>45.39444273060365</v>
      </c>
      <c r="AY136" s="729">
        <v>30.500142741305794</v>
      </c>
      <c r="AZ136" s="730"/>
      <c r="BA136" s="731">
        <v>0</v>
      </c>
      <c r="BC136" s="727">
        <v>0</v>
      </c>
      <c r="BD136" s="727">
        <v>45.39444273060365</v>
      </c>
      <c r="BE136" s="727"/>
      <c r="BF136" s="727"/>
      <c r="BG136" s="727">
        <v>0</v>
      </c>
      <c r="BH136" s="727">
        <v>0</v>
      </c>
      <c r="BI136" s="137">
        <f t="shared" si="71"/>
        <v>45.39444273060365</v>
      </c>
      <c r="BJ136" s="126">
        <v>210</v>
      </c>
      <c r="BK136" s="807"/>
      <c r="BL136" s="107"/>
      <c r="BM136" s="687"/>
      <c r="BO136" s="577"/>
      <c r="BS136" s="904"/>
      <c r="BT136" s="789"/>
      <c r="BU136" s="789">
        <v>534.40128861263361</v>
      </c>
      <c r="BV136" s="789">
        <v>0</v>
      </c>
      <c r="BW136" s="789">
        <f t="shared" si="69"/>
        <v>534.40128861263361</v>
      </c>
    </row>
    <row r="137" spans="1:75" ht="15" thickBot="1" x14ac:dyDescent="0.35">
      <c r="A137" s="219" t="s">
        <v>164</v>
      </c>
      <c r="B137" s="237">
        <v>2</v>
      </c>
      <c r="C137" s="40">
        <f>'[7]побудинковий звіт'!E137</f>
        <v>744.59999999999991</v>
      </c>
      <c r="D137" s="215">
        <f t="shared" si="44"/>
        <v>638.58523540175656</v>
      </c>
      <c r="E137" s="107">
        <f t="shared" si="45"/>
        <v>140.4888691117562</v>
      </c>
      <c r="F137" s="107">
        <f t="shared" si="46"/>
        <v>23.444775837426338</v>
      </c>
      <c r="G137" s="107">
        <f t="shared" si="47"/>
        <v>0</v>
      </c>
      <c r="H137" s="107">
        <f t="shared" si="48"/>
        <v>533.5218036148982</v>
      </c>
      <c r="I137" s="107">
        <f t="shared" si="49"/>
        <v>171.96558365353451</v>
      </c>
      <c r="J137" s="687">
        <f t="shared" ref="J137:J200" si="72">F137*$J$376*-1</f>
        <v>0</v>
      </c>
      <c r="K137" s="142">
        <f t="shared" si="50"/>
        <v>1508.006267619372</v>
      </c>
      <c r="L137" s="141">
        <f t="shared" ref="L137:L200" si="73">(AS137+AT137+AU137)*$AS$376</f>
        <v>192.53732122462031</v>
      </c>
      <c r="M137" s="107">
        <f t="shared" ref="M137:M200" si="74">L137*$AS$379</f>
        <v>42.358011298966261</v>
      </c>
      <c r="N137" s="30">
        <f t="shared" si="51"/>
        <v>15.752346907815241</v>
      </c>
      <c r="O137" s="107">
        <f t="shared" ref="O137:O200" si="75">$O$369/$C$368*C137</f>
        <v>1.340510395341912</v>
      </c>
      <c r="P137" s="107">
        <f t="shared" si="52"/>
        <v>160.86005937533753</v>
      </c>
      <c r="Q137" s="107">
        <f t="shared" si="53"/>
        <v>53.138868438972722</v>
      </c>
      <c r="R137" s="143">
        <f t="shared" si="54"/>
        <v>465.987117641054</v>
      </c>
      <c r="S137" s="141">
        <f t="shared" si="55"/>
        <v>23.099999999999998</v>
      </c>
      <c r="T137" s="107">
        <f t="shared" ref="T137:T200" si="76">S137*$B$5</f>
        <v>2.9732664806322777</v>
      </c>
      <c r="U137" s="142">
        <f t="shared" si="56"/>
        <v>26.073266480632277</v>
      </c>
      <c r="V137" s="735"/>
      <c r="W137" s="107">
        <f t="shared" si="57"/>
        <v>0</v>
      </c>
      <c r="X137" s="142">
        <f t="shared" si="58"/>
        <v>0</v>
      </c>
      <c r="Y137" s="141">
        <v>0</v>
      </c>
      <c r="Z137" s="144">
        <v>0</v>
      </c>
      <c r="AA137" s="107">
        <f t="shared" ref="AA137:AA200" si="77">(Y137+Z137)*$B$5</f>
        <v>0</v>
      </c>
      <c r="AB137" s="142">
        <f t="shared" ref="AB137:AB200" si="78">Y137+Z137+AA137</f>
        <v>0</v>
      </c>
      <c r="AC137" s="141">
        <v>0</v>
      </c>
      <c r="AD137" s="107">
        <f t="shared" si="59"/>
        <v>0</v>
      </c>
      <c r="AE137" s="142">
        <f t="shared" si="60"/>
        <v>0</v>
      </c>
      <c r="AF137" s="145">
        <v>24.2</v>
      </c>
      <c r="AG137" s="107">
        <f t="shared" si="61"/>
        <v>3.1148505987576245</v>
      </c>
      <c r="AH137" s="142">
        <f t="shared" si="62"/>
        <v>27.314850598757623</v>
      </c>
      <c r="AI137" s="145">
        <v>0</v>
      </c>
      <c r="AJ137" s="107">
        <f t="shared" si="63"/>
        <v>0</v>
      </c>
      <c r="AK137" s="142">
        <f t="shared" si="64"/>
        <v>0</v>
      </c>
      <c r="AL137" s="146">
        <v>637.5</v>
      </c>
      <c r="AM137" s="146"/>
      <c r="AN137" s="107">
        <f t="shared" si="65"/>
        <v>82.054432095371311</v>
      </c>
      <c r="AO137" s="151">
        <f t="shared" si="66"/>
        <v>719.55443209537134</v>
      </c>
      <c r="AP137" s="282">
        <f t="shared" si="67"/>
        <v>732.22775917203842</v>
      </c>
      <c r="AQ137" s="684">
        <v>34.950000000000003</v>
      </c>
      <c r="AR137" s="740">
        <v>554.40274579306993</v>
      </c>
      <c r="AS137" s="740">
        <v>177.82501337896852</v>
      </c>
      <c r="AT137" s="740">
        <v>0</v>
      </c>
      <c r="AU137" s="411">
        <v>0</v>
      </c>
      <c r="AV137" s="801"/>
      <c r="AW137" s="256"/>
      <c r="AX137" s="728">
        <f t="shared" si="68"/>
        <v>23.444775837426338</v>
      </c>
      <c r="AY137" s="729">
        <v>15.752346907815241</v>
      </c>
      <c r="AZ137" s="730"/>
      <c r="BA137" s="731">
        <v>0</v>
      </c>
      <c r="BC137" s="727">
        <v>0</v>
      </c>
      <c r="BD137" s="727">
        <v>23.444775837426338</v>
      </c>
      <c r="BE137" s="727"/>
      <c r="BF137" s="727"/>
      <c r="BG137" s="727">
        <v>0</v>
      </c>
      <c r="BH137" s="727">
        <v>0</v>
      </c>
      <c r="BI137" s="137">
        <f t="shared" si="71"/>
        <v>23.444775837426338</v>
      </c>
      <c r="BJ137" s="126">
        <v>105</v>
      </c>
      <c r="BK137" s="807"/>
      <c r="BL137" s="107"/>
      <c r="BM137" s="687"/>
      <c r="BO137" s="577"/>
      <c r="BS137" s="904"/>
      <c r="BT137" s="789"/>
      <c r="BU137" s="789">
        <v>544.12184214764898</v>
      </c>
      <c r="BV137" s="789">
        <v>0</v>
      </c>
      <c r="BW137" s="789">
        <f t="shared" si="69"/>
        <v>544.12184214764898</v>
      </c>
    </row>
    <row r="138" spans="1:75" ht="15" thickBot="1" x14ac:dyDescent="0.35">
      <c r="A138" s="219" t="s">
        <v>165</v>
      </c>
      <c r="B138" s="237">
        <v>2</v>
      </c>
      <c r="C138" s="40">
        <f>'[7]побудинковий звіт'!E138</f>
        <v>422.9</v>
      </c>
      <c r="D138" s="215">
        <f t="shared" ref="D138:D201" si="79">(AQ138+AR138+AV138)*$AR$376</f>
        <v>318.83157095324617</v>
      </c>
      <c r="E138" s="107">
        <f t="shared" ref="E138:E201" si="80">D138*$AR$379</f>
        <v>70.14300418669373</v>
      </c>
      <c r="F138" s="107">
        <f t="shared" ref="F138:F201" si="81">AX138*$F$375+BM138+BK138</f>
        <v>246.95009350762598</v>
      </c>
      <c r="G138" s="107">
        <f t="shared" ref="G138:G201" si="82">BL138</f>
        <v>0</v>
      </c>
      <c r="H138" s="107">
        <f t="shared" ref="H138:H201" si="83">D138*$B$4</f>
        <v>266.3757089174307</v>
      </c>
      <c r="I138" s="107">
        <f t="shared" ref="I138:I201" si="84">(D138+E138+F138+G138+H138)*$B$5</f>
        <v>116.13763931064298</v>
      </c>
      <c r="J138" s="687">
        <f t="shared" si="72"/>
        <v>0</v>
      </c>
      <c r="K138" s="142">
        <f t="shared" ref="K138:K201" si="85">D138+E138+F138+G138+H138+I138-J138</f>
        <v>1018.4380168756395</v>
      </c>
      <c r="L138" s="141">
        <f t="shared" si="73"/>
        <v>126.29531427948307</v>
      </c>
      <c r="M138" s="107">
        <f t="shared" si="74"/>
        <v>27.784838363964766</v>
      </c>
      <c r="N138" s="30">
        <f t="shared" ref="N138:N201" si="86">AY138+BA138</f>
        <v>8.6876206407343055</v>
      </c>
      <c r="O138" s="107">
        <f t="shared" si="75"/>
        <v>0.76135085440517669</v>
      </c>
      <c r="P138" s="107">
        <f t="shared" ref="P138:P201" si="87">L138*$B$4</f>
        <v>105.516538947394</v>
      </c>
      <c r="Q138" s="107">
        <f t="shared" ref="Q138:Q201" si="88">(L138+M138+N138+O138+P138)*$B$5</f>
        <v>34.629629948616163</v>
      </c>
      <c r="R138" s="143">
        <f t="shared" ref="R138:R201" si="89">SUM(L138:Q138)</f>
        <v>303.67529303459753</v>
      </c>
      <c r="S138" s="141">
        <f t="shared" ref="S138:S201" si="90">BJ138*2.64/12</f>
        <v>0</v>
      </c>
      <c r="T138" s="107">
        <f t="shared" si="76"/>
        <v>0</v>
      </c>
      <c r="U138" s="142">
        <f t="shared" ref="U138:U201" si="91">S138+T138</f>
        <v>0</v>
      </c>
      <c r="V138" s="107"/>
      <c r="W138" s="107">
        <f t="shared" ref="W138:W201" si="92">V138*$B$5</f>
        <v>0</v>
      </c>
      <c r="X138" s="142">
        <f t="shared" ref="X138:X201" si="93">V138+W138</f>
        <v>0</v>
      </c>
      <c r="Y138" s="141">
        <v>0</v>
      </c>
      <c r="Z138" s="144">
        <v>0</v>
      </c>
      <c r="AA138" s="107">
        <f t="shared" si="77"/>
        <v>0</v>
      </c>
      <c r="AB138" s="142">
        <f t="shared" si="78"/>
        <v>0</v>
      </c>
      <c r="AC138" s="141">
        <v>0</v>
      </c>
      <c r="AD138" s="107">
        <f t="shared" ref="AD138:AD201" si="94">AC138*$B$5</f>
        <v>0</v>
      </c>
      <c r="AE138" s="142">
        <f t="shared" ref="AE138:AE201" si="95">AC138+AD138</f>
        <v>0</v>
      </c>
      <c r="AF138" s="145">
        <v>68.2</v>
      </c>
      <c r="AG138" s="107">
        <f t="shared" ref="AG138:AG201" si="96">AF138*$B$5</f>
        <v>8.7782153237714873</v>
      </c>
      <c r="AH138" s="142">
        <f t="shared" ref="AH138:AH201" si="97">AF138+AG138</f>
        <v>76.978215323771494</v>
      </c>
      <c r="AI138" s="145">
        <v>0</v>
      </c>
      <c r="AJ138" s="107">
        <f t="shared" ref="AJ138:AJ201" si="98">AI138*$B$5</f>
        <v>0</v>
      </c>
      <c r="AK138" s="142">
        <f t="shared" ref="AK138:AK201" si="99">AI138+AJ138</f>
        <v>0</v>
      </c>
      <c r="AL138" s="146">
        <v>382.5</v>
      </c>
      <c r="AM138" s="146"/>
      <c r="AN138" s="107">
        <f t="shared" ref="AN138:AN201" si="100">AL138*$C$5</f>
        <v>49.232659257222785</v>
      </c>
      <c r="AO138" s="151">
        <f t="shared" ref="AO138:AO201" si="101">AL138+AM138+AN138</f>
        <v>431.73265925722279</v>
      </c>
      <c r="AP138" s="282">
        <f t="shared" ref="AP138:AP201" si="102">AR138+AS138+AT138</f>
        <v>392.53561201608011</v>
      </c>
      <c r="AQ138" s="684">
        <v>18.36</v>
      </c>
      <c r="AR138" s="740">
        <v>275.89087109725676</v>
      </c>
      <c r="AS138" s="740">
        <v>116.64474091882337</v>
      </c>
      <c r="AT138" s="740">
        <v>0</v>
      </c>
      <c r="AU138" s="411">
        <v>0</v>
      </c>
      <c r="AV138" s="801"/>
      <c r="AW138" s="256"/>
      <c r="AX138" s="728">
        <f t="shared" ref="AX138:AX201" si="103">BC138+BD138+BE138+BF138+BG138</f>
        <v>12.930093507625974</v>
      </c>
      <c r="AY138" s="729">
        <v>8.6876206407343055</v>
      </c>
      <c r="AZ138" s="730"/>
      <c r="BA138" s="731">
        <v>0</v>
      </c>
      <c r="BC138" s="727">
        <v>0</v>
      </c>
      <c r="BD138" s="727">
        <v>12.930093507625974</v>
      </c>
      <c r="BE138" s="727"/>
      <c r="BF138" s="727"/>
      <c r="BG138" s="727">
        <v>0</v>
      </c>
      <c r="BH138" s="727">
        <v>0</v>
      </c>
      <c r="BI138" s="137">
        <f t="shared" si="71"/>
        <v>12.930093507625974</v>
      </c>
      <c r="BJ138" s="126"/>
      <c r="BK138" s="807"/>
      <c r="BL138" s="107"/>
      <c r="BM138" s="687">
        <v>234.02</v>
      </c>
      <c r="BO138" s="577"/>
      <c r="BS138" s="904"/>
      <c r="BT138" s="789"/>
      <c r="BU138" s="789">
        <v>270.77163862910089</v>
      </c>
      <c r="BV138" s="789">
        <v>0</v>
      </c>
      <c r="BW138" s="789">
        <f t="shared" ref="BW138:BW201" si="104">BU138+BV138</f>
        <v>270.77163862910089</v>
      </c>
    </row>
    <row r="139" spans="1:75" ht="15" thickBot="1" x14ac:dyDescent="0.35">
      <c r="A139" s="219" t="s">
        <v>260</v>
      </c>
      <c r="B139" s="237">
        <v>5</v>
      </c>
      <c r="C139" s="40">
        <f>'[7]побудинковий звіт'!E139</f>
        <v>3598.13</v>
      </c>
      <c r="D139" s="215">
        <f t="shared" si="79"/>
        <v>1929.5464263079248</v>
      </c>
      <c r="E139" s="107">
        <f t="shared" si="80"/>
        <v>424.5005682915376</v>
      </c>
      <c r="F139" s="107">
        <f t="shared" si="81"/>
        <v>105.9573619097018</v>
      </c>
      <c r="G139" s="107">
        <f t="shared" si="82"/>
        <v>0</v>
      </c>
      <c r="H139" s="107">
        <f t="shared" si="83"/>
        <v>1612.0872084911557</v>
      </c>
      <c r="I139" s="107">
        <f t="shared" si="84"/>
        <v>524.13044832384787</v>
      </c>
      <c r="J139" s="687">
        <f t="shared" si="72"/>
        <v>0</v>
      </c>
      <c r="K139" s="142">
        <f t="shared" si="85"/>
        <v>4596.2220133241681</v>
      </c>
      <c r="L139" s="141">
        <f t="shared" si="73"/>
        <v>830.43180332952306</v>
      </c>
      <c r="M139" s="107">
        <f t="shared" si="74"/>
        <v>182.69413682875566</v>
      </c>
      <c r="N139" s="30">
        <f t="shared" si="86"/>
        <v>71.191856719487205</v>
      </c>
      <c r="O139" s="107">
        <f t="shared" si="75"/>
        <v>6.4777473392312572</v>
      </c>
      <c r="P139" s="107">
        <f t="shared" si="87"/>
        <v>693.8047560914855</v>
      </c>
      <c r="Q139" s="107">
        <f t="shared" si="88"/>
        <v>229.70096338673196</v>
      </c>
      <c r="R139" s="143">
        <f t="shared" si="89"/>
        <v>2014.3012636952144</v>
      </c>
      <c r="S139" s="141">
        <f t="shared" si="90"/>
        <v>65.78</v>
      </c>
      <c r="T139" s="107">
        <f t="shared" si="76"/>
        <v>8.4667302638957249</v>
      </c>
      <c r="U139" s="142">
        <f t="shared" si="91"/>
        <v>74.246730263895728</v>
      </c>
      <c r="V139" s="107"/>
      <c r="W139" s="107">
        <f t="shared" si="92"/>
        <v>0</v>
      </c>
      <c r="X139" s="142">
        <f t="shared" si="93"/>
        <v>0</v>
      </c>
      <c r="Y139" s="141">
        <v>0</v>
      </c>
      <c r="Z139" s="144">
        <v>0</v>
      </c>
      <c r="AA139" s="107">
        <f t="shared" si="77"/>
        <v>0</v>
      </c>
      <c r="AB139" s="142">
        <f t="shared" si="78"/>
        <v>0</v>
      </c>
      <c r="AC139" s="141">
        <v>0</v>
      </c>
      <c r="AD139" s="107">
        <f t="shared" si="94"/>
        <v>0</v>
      </c>
      <c r="AE139" s="142">
        <f t="shared" si="95"/>
        <v>0</v>
      </c>
      <c r="AF139" s="145">
        <v>171.6</v>
      </c>
      <c r="AG139" s="107">
        <f t="shared" si="96"/>
        <v>22.087122427554064</v>
      </c>
      <c r="AH139" s="142">
        <f t="shared" si="97"/>
        <v>193.68712242755407</v>
      </c>
      <c r="AI139" s="145">
        <v>0</v>
      </c>
      <c r="AJ139" s="107">
        <f t="shared" si="98"/>
        <v>0</v>
      </c>
      <c r="AK139" s="142">
        <f t="shared" si="99"/>
        <v>0</v>
      </c>
      <c r="AL139" s="146"/>
      <c r="AM139" s="215"/>
      <c r="AN139" s="107">
        <f t="shared" si="100"/>
        <v>0</v>
      </c>
      <c r="AO139" s="151">
        <f t="shared" si="101"/>
        <v>0</v>
      </c>
      <c r="AP139" s="282">
        <f t="shared" si="102"/>
        <v>2424.8819639027197</v>
      </c>
      <c r="AQ139" s="684">
        <v>122.88</v>
      </c>
      <c r="AR139" s="740">
        <v>1657.9057454836686</v>
      </c>
      <c r="AS139" s="740">
        <v>758.90151117888365</v>
      </c>
      <c r="AT139" s="740">
        <v>8.0747072401674469</v>
      </c>
      <c r="AU139" s="411">
        <v>0</v>
      </c>
      <c r="AV139" s="801"/>
      <c r="AW139" s="256"/>
      <c r="AX139" s="728">
        <f t="shared" si="103"/>
        <v>105.9573619097018</v>
      </c>
      <c r="AY139" s="729">
        <v>71.191856719487205</v>
      </c>
      <c r="AZ139" s="730"/>
      <c r="BA139" s="731">
        <v>0</v>
      </c>
      <c r="BC139" s="727">
        <v>0</v>
      </c>
      <c r="BD139" s="727">
        <v>105.9573619097018</v>
      </c>
      <c r="BE139" s="727"/>
      <c r="BF139" s="727"/>
      <c r="BG139" s="727">
        <v>0</v>
      </c>
      <c r="BH139" s="727">
        <v>0</v>
      </c>
      <c r="BI139" s="137">
        <f t="shared" si="71"/>
        <v>105.9573619097018</v>
      </c>
      <c r="BJ139" s="126">
        <v>299</v>
      </c>
      <c r="BK139" s="807"/>
      <c r="BL139" s="107"/>
      <c r="BM139" s="687"/>
      <c r="BO139" s="577"/>
      <c r="BS139" s="904"/>
      <c r="BT139" s="789"/>
      <c r="BU139" s="789">
        <v>1627.1637461897762</v>
      </c>
      <c r="BV139" s="789">
        <v>0</v>
      </c>
      <c r="BW139" s="789">
        <f t="shared" si="104"/>
        <v>1627.1637461897762</v>
      </c>
    </row>
    <row r="140" spans="1:75" ht="15" thickBot="1" x14ac:dyDescent="0.35">
      <c r="A140" s="219" t="s">
        <v>166</v>
      </c>
      <c r="B140" s="237">
        <v>2</v>
      </c>
      <c r="C140" s="40">
        <f>'[7]побудинковий звіт'!E140</f>
        <v>339.3</v>
      </c>
      <c r="D140" s="215">
        <f t="shared" si="79"/>
        <v>252.04520766988543</v>
      </c>
      <c r="E140" s="107">
        <f t="shared" si="80"/>
        <v>55.449991994103257</v>
      </c>
      <c r="F140" s="107">
        <f t="shared" si="81"/>
        <v>10.374038134635834</v>
      </c>
      <c r="G140" s="107">
        <f t="shared" si="82"/>
        <v>0</v>
      </c>
      <c r="H140" s="107">
        <f t="shared" si="83"/>
        <v>210.57739254483076</v>
      </c>
      <c r="I140" s="107">
        <f t="shared" si="84"/>
        <v>68.017863757717379</v>
      </c>
      <c r="J140" s="687">
        <f t="shared" si="72"/>
        <v>0</v>
      </c>
      <c r="K140" s="142">
        <f t="shared" si="85"/>
        <v>596.46449410117259</v>
      </c>
      <c r="L140" s="141">
        <f t="shared" si="73"/>
        <v>92.361157154350181</v>
      </c>
      <c r="M140" s="107">
        <f t="shared" si="74"/>
        <v>20.319358934912273</v>
      </c>
      <c r="N140" s="30">
        <f t="shared" si="86"/>
        <v>6.9702286200074486</v>
      </c>
      <c r="O140" s="107">
        <f t="shared" si="75"/>
        <v>0.61084498675733379</v>
      </c>
      <c r="P140" s="107">
        <f t="shared" si="87"/>
        <v>77.165409435040033</v>
      </c>
      <c r="Q140" s="107">
        <f t="shared" si="88"/>
        <v>25.411388696459746</v>
      </c>
      <c r="R140" s="143">
        <f t="shared" si="89"/>
        <v>222.83838782752699</v>
      </c>
      <c r="S140" s="141">
        <f t="shared" si="90"/>
        <v>0</v>
      </c>
      <c r="T140" s="107">
        <f t="shared" si="76"/>
        <v>0</v>
      </c>
      <c r="U140" s="142">
        <f t="shared" si="91"/>
        <v>0</v>
      </c>
      <c r="V140" s="107"/>
      <c r="W140" s="107">
        <f t="shared" si="92"/>
        <v>0</v>
      </c>
      <c r="X140" s="142">
        <f t="shared" si="93"/>
        <v>0</v>
      </c>
      <c r="Y140" s="141">
        <v>0</v>
      </c>
      <c r="Z140" s="144">
        <v>0</v>
      </c>
      <c r="AA140" s="107">
        <f t="shared" si="77"/>
        <v>0</v>
      </c>
      <c r="AB140" s="142">
        <f t="shared" si="78"/>
        <v>0</v>
      </c>
      <c r="AC140" s="141">
        <v>0</v>
      </c>
      <c r="AD140" s="107">
        <f t="shared" si="94"/>
        <v>0</v>
      </c>
      <c r="AE140" s="142">
        <f t="shared" si="95"/>
        <v>0</v>
      </c>
      <c r="AF140" s="145">
        <v>0</v>
      </c>
      <c r="AG140" s="107">
        <f t="shared" si="96"/>
        <v>0</v>
      </c>
      <c r="AH140" s="142">
        <f t="shared" si="97"/>
        <v>0</v>
      </c>
      <c r="AI140" s="145">
        <v>0</v>
      </c>
      <c r="AJ140" s="107">
        <f t="shared" si="98"/>
        <v>0</v>
      </c>
      <c r="AK140" s="142">
        <f t="shared" si="99"/>
        <v>0</v>
      </c>
      <c r="AL140" s="146"/>
      <c r="AM140" s="215"/>
      <c r="AN140" s="107">
        <f t="shared" si="100"/>
        <v>0</v>
      </c>
      <c r="AO140" s="151">
        <f t="shared" si="101"/>
        <v>0</v>
      </c>
      <c r="AP140" s="282">
        <f t="shared" si="102"/>
        <v>310.35706841827118</v>
      </c>
      <c r="AQ140" s="684">
        <v>7.56</v>
      </c>
      <c r="AR140" s="740">
        <v>225.05348206833742</v>
      </c>
      <c r="AS140" s="740">
        <v>85.303586349933767</v>
      </c>
      <c r="AT140" s="740">
        <v>0</v>
      </c>
      <c r="AU140" s="411">
        <v>0</v>
      </c>
      <c r="AV140" s="801"/>
      <c r="AW140" s="256"/>
      <c r="AX140" s="728">
        <f t="shared" si="103"/>
        <v>10.374038134635834</v>
      </c>
      <c r="AY140" s="729">
        <v>6.9702286200074486</v>
      </c>
      <c r="AZ140" s="730"/>
      <c r="BA140" s="731">
        <v>0</v>
      </c>
      <c r="BC140" s="727">
        <v>0</v>
      </c>
      <c r="BD140" s="727">
        <v>10.374038134635834</v>
      </c>
      <c r="BE140" s="727"/>
      <c r="BF140" s="727"/>
      <c r="BG140" s="727">
        <v>0</v>
      </c>
      <c r="BH140" s="727">
        <v>0</v>
      </c>
      <c r="BI140" s="137">
        <f t="shared" si="71"/>
        <v>10.374038134635834</v>
      </c>
      <c r="BJ140" s="126"/>
      <c r="BK140" s="807"/>
      <c r="BL140" s="107"/>
      <c r="BM140" s="687"/>
      <c r="BO140" s="577"/>
      <c r="BS140" s="904"/>
      <c r="BT140" s="789"/>
      <c r="BU140" s="789">
        <v>220.88589624407999</v>
      </c>
      <c r="BV140" s="789">
        <v>0</v>
      </c>
      <c r="BW140" s="789">
        <f t="shared" si="104"/>
        <v>220.88589624407999</v>
      </c>
    </row>
    <row r="141" spans="1:75" ht="15" thickBot="1" x14ac:dyDescent="0.35">
      <c r="A141" s="220" t="s">
        <v>99</v>
      </c>
      <c r="B141" s="238">
        <v>1</v>
      </c>
      <c r="C141" s="40">
        <f>'[7]побудинковий звіт'!E141</f>
        <v>499.90000000000003</v>
      </c>
      <c r="D141" s="215">
        <f t="shared" si="79"/>
        <v>31.17334627462521</v>
      </c>
      <c r="E141" s="107">
        <f t="shared" si="80"/>
        <v>6.8581419077062913</v>
      </c>
      <c r="F141" s="107">
        <f t="shared" si="81"/>
        <v>0</v>
      </c>
      <c r="G141" s="107">
        <f t="shared" si="82"/>
        <v>0</v>
      </c>
      <c r="H141" s="107">
        <f t="shared" si="83"/>
        <v>26.044541914105238</v>
      </c>
      <c r="I141" s="107">
        <f t="shared" si="84"/>
        <v>8.2474074674337832</v>
      </c>
      <c r="J141" s="687">
        <f t="shared" si="72"/>
        <v>0</v>
      </c>
      <c r="K141" s="142">
        <f t="shared" si="85"/>
        <v>72.323437563870527</v>
      </c>
      <c r="L141" s="141">
        <f t="shared" si="73"/>
        <v>0</v>
      </c>
      <c r="M141" s="107">
        <f t="shared" si="74"/>
        <v>0</v>
      </c>
      <c r="N141" s="30">
        <f t="shared" si="86"/>
        <v>0</v>
      </c>
      <c r="O141" s="107">
        <f t="shared" si="75"/>
        <v>0.89997467987029534</v>
      </c>
      <c r="P141" s="107">
        <f t="shared" si="87"/>
        <v>0</v>
      </c>
      <c r="Q141" s="107">
        <f t="shared" si="88"/>
        <v>0.11583829216779715</v>
      </c>
      <c r="R141" s="143">
        <f t="shared" si="89"/>
        <v>1.0158129720380924</v>
      </c>
      <c r="S141" s="141">
        <f t="shared" si="90"/>
        <v>0</v>
      </c>
      <c r="T141" s="107">
        <f t="shared" si="76"/>
        <v>0</v>
      </c>
      <c r="U141" s="142">
        <f t="shared" si="91"/>
        <v>0</v>
      </c>
      <c r="V141" s="107"/>
      <c r="W141" s="107">
        <f t="shared" si="92"/>
        <v>0</v>
      </c>
      <c r="X141" s="142">
        <f t="shared" si="93"/>
        <v>0</v>
      </c>
      <c r="Y141" s="141">
        <v>0</v>
      </c>
      <c r="Z141" s="144">
        <v>0</v>
      </c>
      <c r="AA141" s="107">
        <f t="shared" si="77"/>
        <v>0</v>
      </c>
      <c r="AB141" s="142">
        <f t="shared" si="78"/>
        <v>0</v>
      </c>
      <c r="AC141" s="141">
        <v>0</v>
      </c>
      <c r="AD141" s="107">
        <f t="shared" si="94"/>
        <v>0</v>
      </c>
      <c r="AE141" s="142">
        <f t="shared" si="95"/>
        <v>0</v>
      </c>
      <c r="AF141" s="145">
        <v>0</v>
      </c>
      <c r="AG141" s="107">
        <f t="shared" si="96"/>
        <v>0</v>
      </c>
      <c r="AH141" s="142">
        <f t="shared" si="97"/>
        <v>0</v>
      </c>
      <c r="AI141" s="145">
        <v>0</v>
      </c>
      <c r="AJ141" s="107">
        <f t="shared" si="98"/>
        <v>0</v>
      </c>
      <c r="AK141" s="142">
        <f t="shared" si="99"/>
        <v>0</v>
      </c>
      <c r="AL141" s="215"/>
      <c r="AM141" s="215"/>
      <c r="AN141" s="107">
        <f t="shared" si="100"/>
        <v>0</v>
      </c>
      <c r="AO141" s="151">
        <f t="shared" si="101"/>
        <v>0</v>
      </c>
      <c r="AP141" s="282">
        <f t="shared" si="102"/>
        <v>0</v>
      </c>
      <c r="AQ141" s="684">
        <v>28.77</v>
      </c>
      <c r="AR141" s="740">
        <v>0</v>
      </c>
      <c r="AS141" s="740">
        <v>0</v>
      </c>
      <c r="AT141" s="740">
        <v>0</v>
      </c>
      <c r="AU141" s="411">
        <v>0</v>
      </c>
      <c r="AV141" s="801"/>
      <c r="AW141" s="256"/>
      <c r="AX141" s="728">
        <f t="shared" si="103"/>
        <v>0</v>
      </c>
      <c r="AY141" s="729">
        <v>0</v>
      </c>
      <c r="AZ141" s="730"/>
      <c r="BA141" s="731">
        <v>0</v>
      </c>
      <c r="BC141" s="727">
        <v>0</v>
      </c>
      <c r="BD141" s="727">
        <v>0</v>
      </c>
      <c r="BE141" s="727"/>
      <c r="BF141" s="727"/>
      <c r="BG141" s="727">
        <v>0</v>
      </c>
      <c r="BH141" s="727">
        <v>0</v>
      </c>
      <c r="BI141" s="137">
        <f>BC141+BD141+BE141+BG141+BH141</f>
        <v>0</v>
      </c>
      <c r="BJ141" s="126"/>
      <c r="BK141" s="807"/>
      <c r="BL141" s="107"/>
      <c r="BM141" s="687"/>
      <c r="BO141" s="577"/>
      <c r="BS141" s="904"/>
      <c r="BT141" s="789"/>
      <c r="BU141" s="789">
        <v>0</v>
      </c>
      <c r="BV141" s="789">
        <v>0</v>
      </c>
      <c r="BW141" s="789">
        <f t="shared" si="104"/>
        <v>0</v>
      </c>
    </row>
    <row r="142" spans="1:75" ht="15" thickBot="1" x14ac:dyDescent="0.35">
      <c r="A142" s="219" t="s">
        <v>261</v>
      </c>
      <c r="B142" s="237">
        <v>5</v>
      </c>
      <c r="C142" s="40">
        <f>'[7]побудинковий звіт'!E142</f>
        <v>3289.98</v>
      </c>
      <c r="D142" s="215">
        <f t="shared" si="79"/>
        <v>2469.6776500007904</v>
      </c>
      <c r="E142" s="107">
        <f t="shared" si="80"/>
        <v>543.32953673898282</v>
      </c>
      <c r="F142" s="107">
        <f t="shared" si="81"/>
        <v>215.39764672734657</v>
      </c>
      <c r="G142" s="107">
        <f t="shared" si="82"/>
        <v>0</v>
      </c>
      <c r="H142" s="107">
        <f t="shared" si="83"/>
        <v>2063.3531768814842</v>
      </c>
      <c r="I142" s="107">
        <f t="shared" si="84"/>
        <v>681.1171738435869</v>
      </c>
      <c r="J142" s="687">
        <f t="shared" si="72"/>
        <v>0</v>
      </c>
      <c r="K142" s="142">
        <f t="shared" si="85"/>
        <v>5972.8751841921903</v>
      </c>
      <c r="L142" s="141">
        <f t="shared" si="73"/>
        <v>617.99677594886623</v>
      </c>
      <c r="M142" s="107">
        <f t="shared" si="74"/>
        <v>135.95865077933499</v>
      </c>
      <c r="N142" s="30">
        <f t="shared" si="86"/>
        <v>150.10582901025808</v>
      </c>
      <c r="O142" s="107">
        <f t="shared" si="75"/>
        <v>5.9229819909575392</v>
      </c>
      <c r="P142" s="107">
        <f t="shared" si="87"/>
        <v>516.32066677049932</v>
      </c>
      <c r="Q142" s="107">
        <f t="shared" si="88"/>
        <v>183.58374734679754</v>
      </c>
      <c r="R142" s="143">
        <f t="shared" si="89"/>
        <v>1609.8886518467136</v>
      </c>
      <c r="S142" s="141">
        <f t="shared" si="90"/>
        <v>0</v>
      </c>
      <c r="T142" s="107">
        <f t="shared" si="76"/>
        <v>0</v>
      </c>
      <c r="U142" s="142">
        <f t="shared" si="91"/>
        <v>0</v>
      </c>
      <c r="V142" s="107"/>
      <c r="W142" s="107">
        <f t="shared" si="92"/>
        <v>0</v>
      </c>
      <c r="X142" s="142">
        <f t="shared" si="93"/>
        <v>0</v>
      </c>
      <c r="Y142" s="141">
        <v>0</v>
      </c>
      <c r="Z142" s="144">
        <v>0</v>
      </c>
      <c r="AA142" s="107">
        <f t="shared" si="77"/>
        <v>0</v>
      </c>
      <c r="AB142" s="142">
        <f t="shared" si="78"/>
        <v>0</v>
      </c>
      <c r="AC142" s="141">
        <v>0</v>
      </c>
      <c r="AD142" s="107">
        <f t="shared" si="94"/>
        <v>0</v>
      </c>
      <c r="AE142" s="142">
        <f t="shared" si="95"/>
        <v>0</v>
      </c>
      <c r="AF142" s="145">
        <v>195.8</v>
      </c>
      <c r="AG142" s="107">
        <f t="shared" si="96"/>
        <v>25.201973026311691</v>
      </c>
      <c r="AH142" s="142">
        <f t="shared" si="97"/>
        <v>221.0019730263117</v>
      </c>
      <c r="AI142" s="145">
        <v>0</v>
      </c>
      <c r="AJ142" s="107">
        <f t="shared" si="98"/>
        <v>0</v>
      </c>
      <c r="AK142" s="142">
        <f t="shared" si="99"/>
        <v>0</v>
      </c>
      <c r="AL142" s="146"/>
      <c r="AM142" s="146"/>
      <c r="AN142" s="107">
        <f t="shared" si="100"/>
        <v>0</v>
      </c>
      <c r="AO142" s="151">
        <f t="shared" si="101"/>
        <v>0</v>
      </c>
      <c r="AP142" s="282">
        <f t="shared" si="102"/>
        <v>2468.1688464111835</v>
      </c>
      <c r="AQ142" s="684">
        <v>381.88</v>
      </c>
      <c r="AR142" s="740">
        <v>1897.3949089102082</v>
      </c>
      <c r="AS142" s="740">
        <v>569.00980046348513</v>
      </c>
      <c r="AT142" s="740">
        <v>1.7641370374897671</v>
      </c>
      <c r="AU142" s="411">
        <v>0</v>
      </c>
      <c r="AV142" s="801"/>
      <c r="AW142" s="256"/>
      <c r="AX142" s="728">
        <f t="shared" si="103"/>
        <v>98.387646727346549</v>
      </c>
      <c r="AY142" s="729">
        <v>66.105829010258077</v>
      </c>
      <c r="AZ142" s="730"/>
      <c r="BA142" s="731">
        <v>84</v>
      </c>
      <c r="BC142" s="727">
        <v>0</v>
      </c>
      <c r="BD142" s="727">
        <v>98.387646727346549</v>
      </c>
      <c r="BE142" s="727"/>
      <c r="BF142" s="727"/>
      <c r="BG142" s="727">
        <v>0</v>
      </c>
      <c r="BH142" s="727">
        <v>0</v>
      </c>
      <c r="BI142" s="137">
        <f>BC142+BD142+BE142+BG142</f>
        <v>98.387646727346549</v>
      </c>
      <c r="BJ142" s="126"/>
      <c r="BK142" s="807"/>
      <c r="BL142" s="107"/>
      <c r="BM142" s="687">
        <v>117.01</v>
      </c>
      <c r="BO142" s="577"/>
      <c r="BS142" s="904"/>
      <c r="BT142" s="789"/>
      <c r="BU142" s="789">
        <v>1862.2150053979626</v>
      </c>
      <c r="BV142" s="789">
        <v>0</v>
      </c>
      <c r="BW142" s="789">
        <f t="shared" si="104"/>
        <v>1862.2150053979626</v>
      </c>
    </row>
    <row r="143" spans="1:75" ht="15" thickBot="1" x14ac:dyDescent="0.35">
      <c r="A143" s="219" t="s">
        <v>213</v>
      </c>
      <c r="B143" s="237">
        <v>4</v>
      </c>
      <c r="C143" s="40">
        <f>'[7]побудинковий звіт'!E143</f>
        <v>2046.1999999999998</v>
      </c>
      <c r="D143" s="215">
        <f t="shared" si="79"/>
        <v>900.33337485946561</v>
      </c>
      <c r="E143" s="107">
        <f t="shared" si="80"/>
        <v>198.07350788184112</v>
      </c>
      <c r="F143" s="107">
        <f t="shared" si="81"/>
        <v>62.562206988186972</v>
      </c>
      <c r="G143" s="107">
        <f t="shared" si="82"/>
        <v>0</v>
      </c>
      <c r="H143" s="107">
        <f t="shared" si="83"/>
        <v>752.20575011808205</v>
      </c>
      <c r="I143" s="107">
        <f t="shared" si="84"/>
        <v>246.25015683583649</v>
      </c>
      <c r="J143" s="687">
        <f t="shared" si="72"/>
        <v>0</v>
      </c>
      <c r="K143" s="142">
        <f t="shared" si="85"/>
        <v>2159.4249966834122</v>
      </c>
      <c r="L143" s="141">
        <f t="shared" si="73"/>
        <v>438.77760650403565</v>
      </c>
      <c r="M143" s="107">
        <f t="shared" si="74"/>
        <v>96.530619081110899</v>
      </c>
      <c r="N143" s="30">
        <f t="shared" si="86"/>
        <v>42.035018574297787</v>
      </c>
      <c r="O143" s="107">
        <f t="shared" si="75"/>
        <v>3.6837931385289018</v>
      </c>
      <c r="P143" s="107">
        <f t="shared" si="87"/>
        <v>366.58758616707166</v>
      </c>
      <c r="Q143" s="107">
        <f t="shared" si="88"/>
        <v>121.97016435089158</v>
      </c>
      <c r="R143" s="143">
        <f t="shared" si="89"/>
        <v>1069.5847878159366</v>
      </c>
      <c r="S143" s="141">
        <f t="shared" si="90"/>
        <v>150.172</v>
      </c>
      <c r="T143" s="107">
        <f t="shared" si="76"/>
        <v>19.329063806472313</v>
      </c>
      <c r="U143" s="142">
        <f t="shared" si="91"/>
        <v>169.5010638064723</v>
      </c>
      <c r="V143" s="107"/>
      <c r="W143" s="107">
        <f t="shared" si="92"/>
        <v>0</v>
      </c>
      <c r="X143" s="142">
        <f t="shared" si="93"/>
        <v>0</v>
      </c>
      <c r="Y143" s="141">
        <v>0</v>
      </c>
      <c r="Z143" s="144">
        <v>0</v>
      </c>
      <c r="AA143" s="107">
        <f t="shared" si="77"/>
        <v>0</v>
      </c>
      <c r="AB143" s="142">
        <f t="shared" si="78"/>
        <v>0</v>
      </c>
      <c r="AC143" s="141">
        <v>0</v>
      </c>
      <c r="AD143" s="107">
        <f t="shared" si="94"/>
        <v>0</v>
      </c>
      <c r="AE143" s="142">
        <f t="shared" si="95"/>
        <v>0</v>
      </c>
      <c r="AF143" s="145">
        <v>189.2</v>
      </c>
      <c r="AG143" s="107">
        <f t="shared" si="96"/>
        <v>24.352468317559609</v>
      </c>
      <c r="AH143" s="142">
        <f t="shared" si="97"/>
        <v>213.5524683175596</v>
      </c>
      <c r="AI143" s="145">
        <v>0</v>
      </c>
      <c r="AJ143" s="107">
        <f t="shared" si="98"/>
        <v>0</v>
      </c>
      <c r="AK143" s="142">
        <f t="shared" si="99"/>
        <v>0</v>
      </c>
      <c r="AL143" s="146"/>
      <c r="AM143" s="146"/>
      <c r="AN143" s="107">
        <f t="shared" si="100"/>
        <v>0</v>
      </c>
      <c r="AO143" s="151">
        <f t="shared" si="101"/>
        <v>0</v>
      </c>
      <c r="AP143" s="282">
        <f t="shared" si="102"/>
        <v>1173.2604997468641</v>
      </c>
      <c r="AQ143" s="684">
        <v>62.91</v>
      </c>
      <c r="AR143" s="740">
        <v>768.01110056183722</v>
      </c>
      <c r="AS143" s="740">
        <v>381.13667101854742</v>
      </c>
      <c r="AT143" s="740">
        <v>24.112728166479528</v>
      </c>
      <c r="AU143" s="411">
        <v>0</v>
      </c>
      <c r="AV143" s="801"/>
      <c r="AW143" s="256"/>
      <c r="AX143" s="728">
        <f t="shared" si="103"/>
        <v>62.562206988186972</v>
      </c>
      <c r="AY143" s="729">
        <v>42.035018574297787</v>
      </c>
      <c r="AZ143" s="730"/>
      <c r="BA143" s="731">
        <v>0</v>
      </c>
      <c r="BC143" s="727">
        <v>0</v>
      </c>
      <c r="BD143" s="727">
        <v>62.562206988186972</v>
      </c>
      <c r="BE143" s="727"/>
      <c r="BF143" s="727"/>
      <c r="BG143" s="727">
        <v>0</v>
      </c>
      <c r="BH143" s="727">
        <v>0</v>
      </c>
      <c r="BI143" s="137">
        <f>BC143+BD143+BE143+BG143</f>
        <v>62.562206988186972</v>
      </c>
      <c r="BJ143" s="126">
        <v>682.6</v>
      </c>
      <c r="BK143" s="807"/>
      <c r="BL143" s="107"/>
      <c r="BM143" s="687"/>
      <c r="BO143" s="577"/>
      <c r="BS143" s="904"/>
      <c r="BT143" s="789"/>
      <c r="BU143" s="789">
        <v>752.21652876812959</v>
      </c>
      <c r="BV143" s="789">
        <v>0</v>
      </c>
      <c r="BW143" s="789">
        <f t="shared" si="104"/>
        <v>752.21652876812959</v>
      </c>
    </row>
    <row r="144" spans="1:75" ht="15" thickBot="1" x14ac:dyDescent="0.35">
      <c r="A144" s="221" t="s">
        <v>429</v>
      </c>
      <c r="B144" s="239">
        <v>5</v>
      </c>
      <c r="C144" s="40">
        <f>'[7]побудинковий звіт'!E144</f>
        <v>2821.57</v>
      </c>
      <c r="D144" s="215">
        <f t="shared" si="79"/>
        <v>1937.2784247899517</v>
      </c>
      <c r="E144" s="107">
        <f t="shared" si="80"/>
        <v>426.20160937813642</v>
      </c>
      <c r="F144" s="107">
        <f t="shared" si="81"/>
        <v>85.954088378301435</v>
      </c>
      <c r="G144" s="107">
        <f t="shared" si="82"/>
        <v>0</v>
      </c>
      <c r="H144" s="107">
        <f t="shared" si="83"/>
        <v>1618.5470975505752</v>
      </c>
      <c r="I144" s="107">
        <f t="shared" si="84"/>
        <v>523.60139417990922</v>
      </c>
      <c r="J144" s="687">
        <f t="shared" si="72"/>
        <v>0</v>
      </c>
      <c r="K144" s="142">
        <f t="shared" si="85"/>
        <v>4591.5826142768738</v>
      </c>
      <c r="L144" s="141">
        <f t="shared" si="73"/>
        <v>850.89877054479371</v>
      </c>
      <c r="M144" s="107">
        <f t="shared" si="74"/>
        <v>187.19684842277749</v>
      </c>
      <c r="N144" s="30">
        <f t="shared" si="86"/>
        <v>57.751826149626694</v>
      </c>
      <c r="O144" s="107">
        <f t="shared" si="75"/>
        <v>5.0796990547742134</v>
      </c>
      <c r="P144" s="107">
        <f t="shared" si="87"/>
        <v>710.90438924593559</v>
      </c>
      <c r="Q144" s="107">
        <f t="shared" si="88"/>
        <v>233.20597259151714</v>
      </c>
      <c r="R144" s="143">
        <f t="shared" si="89"/>
        <v>2045.0375060094248</v>
      </c>
      <c r="S144" s="141">
        <f t="shared" si="90"/>
        <v>128.47999999999999</v>
      </c>
      <c r="T144" s="107">
        <f t="shared" si="76"/>
        <v>16.537024997040479</v>
      </c>
      <c r="U144" s="142">
        <f t="shared" si="91"/>
        <v>145.01702499704047</v>
      </c>
      <c r="V144" s="107"/>
      <c r="W144" s="107">
        <f t="shared" si="92"/>
        <v>0</v>
      </c>
      <c r="X144" s="142">
        <f t="shared" si="93"/>
        <v>0</v>
      </c>
      <c r="Y144" s="141">
        <v>0</v>
      </c>
      <c r="Z144" s="144">
        <v>0</v>
      </c>
      <c r="AA144" s="107">
        <f t="shared" si="77"/>
        <v>0</v>
      </c>
      <c r="AB144" s="142">
        <f t="shared" si="78"/>
        <v>0</v>
      </c>
      <c r="AC144" s="141">
        <v>0</v>
      </c>
      <c r="AD144" s="107">
        <f t="shared" si="94"/>
        <v>0</v>
      </c>
      <c r="AE144" s="142">
        <f t="shared" si="95"/>
        <v>0</v>
      </c>
      <c r="AF144" s="145">
        <v>22</v>
      </c>
      <c r="AG144" s="107">
        <f t="shared" si="96"/>
        <v>2.8316823625069314</v>
      </c>
      <c r="AH144" s="142">
        <f t="shared" si="97"/>
        <v>24.831682362506932</v>
      </c>
      <c r="AI144" s="145">
        <v>0</v>
      </c>
      <c r="AJ144" s="107">
        <f t="shared" si="98"/>
        <v>0</v>
      </c>
      <c r="AK144" s="142">
        <f t="shared" si="99"/>
        <v>0</v>
      </c>
      <c r="AL144" s="146"/>
      <c r="AM144" s="146"/>
      <c r="AN144" s="107">
        <f t="shared" si="100"/>
        <v>0</v>
      </c>
      <c r="AO144" s="151">
        <f t="shared" si="101"/>
        <v>0</v>
      </c>
      <c r="AP144" s="282">
        <f t="shared" si="102"/>
        <v>2308.4108845394144</v>
      </c>
      <c r="AQ144" s="684">
        <v>265.39</v>
      </c>
      <c r="AR144" s="740">
        <v>1522.5316363299135</v>
      </c>
      <c r="AS144" s="740">
        <v>765.20700254413453</v>
      </c>
      <c r="AT144" s="740">
        <v>20.672245665366372</v>
      </c>
      <c r="AU144" s="411">
        <v>0</v>
      </c>
      <c r="AV144" s="801"/>
      <c r="AW144" s="256"/>
      <c r="AX144" s="728">
        <f t="shared" si="103"/>
        <v>85.954088378301435</v>
      </c>
      <c r="AY144" s="729">
        <v>57.751826149626694</v>
      </c>
      <c r="AZ144" s="730"/>
      <c r="BA144" s="731">
        <v>0</v>
      </c>
      <c r="BC144" s="727">
        <v>0</v>
      </c>
      <c r="BD144" s="727">
        <v>85.954088378301435</v>
      </c>
      <c r="BE144" s="727"/>
      <c r="BF144" s="727"/>
      <c r="BG144" s="727">
        <v>0</v>
      </c>
      <c r="BH144" s="727">
        <v>0</v>
      </c>
      <c r="BI144" s="137">
        <f>BC144+BD144+BE144+BG144</f>
        <v>85.954088378301435</v>
      </c>
      <c r="BJ144" s="126">
        <v>584</v>
      </c>
      <c r="BK144" s="807"/>
      <c r="BL144" s="107"/>
      <c r="BM144" s="687"/>
      <c r="BO144" s="577"/>
      <c r="BS144" s="904"/>
      <c r="BT144" s="789"/>
      <c r="BU144" s="789">
        <v>1488.7149528881587</v>
      </c>
      <c r="BV144" s="789">
        <v>0</v>
      </c>
      <c r="BW144" s="789">
        <f t="shared" si="104"/>
        <v>1488.7149528881587</v>
      </c>
    </row>
    <row r="145" spans="1:75" ht="15" thickBot="1" x14ac:dyDescent="0.35">
      <c r="A145" s="219" t="s">
        <v>419</v>
      </c>
      <c r="B145" s="237">
        <v>10</v>
      </c>
      <c r="C145" s="40">
        <f>'[7]побудинковий звіт'!E145</f>
        <v>6921.8</v>
      </c>
      <c r="D145" s="215">
        <f t="shared" si="79"/>
        <v>4748.8833777048985</v>
      </c>
      <c r="E145" s="107">
        <f t="shared" si="80"/>
        <v>1044.7552155784513</v>
      </c>
      <c r="F145" s="107">
        <f t="shared" si="81"/>
        <v>199.11321492456588</v>
      </c>
      <c r="G145" s="107">
        <f t="shared" si="82"/>
        <v>0</v>
      </c>
      <c r="H145" s="107">
        <f t="shared" si="83"/>
        <v>3967.5718829232392</v>
      </c>
      <c r="I145" s="107">
        <f t="shared" si="84"/>
        <v>1282.0214964107286</v>
      </c>
      <c r="J145" s="687">
        <f t="shared" si="72"/>
        <v>0</v>
      </c>
      <c r="K145" s="142">
        <f t="shared" si="85"/>
        <v>11242.345187541883</v>
      </c>
      <c r="L145" s="141">
        <f t="shared" si="73"/>
        <v>3111.3268505983583</v>
      </c>
      <c r="M145" s="107">
        <f t="shared" si="74"/>
        <v>684.48868538413024</v>
      </c>
      <c r="N145" s="30">
        <f t="shared" si="86"/>
        <v>113.80911895738441</v>
      </c>
      <c r="O145" s="107">
        <f t="shared" si="75"/>
        <v>12.461381754603341</v>
      </c>
      <c r="P145" s="107">
        <f t="shared" si="87"/>
        <v>2599.4348458782592</v>
      </c>
      <c r="Q145" s="107">
        <f t="shared" si="88"/>
        <v>839.40343908644775</v>
      </c>
      <c r="R145" s="143">
        <f t="shared" si="89"/>
        <v>7360.9243216591831</v>
      </c>
      <c r="S145" s="141">
        <f t="shared" si="90"/>
        <v>117.7</v>
      </c>
      <c r="T145" s="107">
        <f t="shared" si="76"/>
        <v>15.149500639412084</v>
      </c>
      <c r="U145" s="142">
        <f t="shared" si="91"/>
        <v>132.8495006394121</v>
      </c>
      <c r="V145" s="107"/>
      <c r="W145" s="107">
        <f t="shared" si="92"/>
        <v>0</v>
      </c>
      <c r="X145" s="142">
        <f t="shared" si="93"/>
        <v>0</v>
      </c>
      <c r="Y145" s="141">
        <v>4008.2</v>
      </c>
      <c r="Z145" s="144">
        <v>0</v>
      </c>
      <c r="AA145" s="107">
        <f t="shared" si="77"/>
        <v>515.90678388183096</v>
      </c>
      <c r="AB145" s="142">
        <f t="shared" si="78"/>
        <v>4524.1067838818308</v>
      </c>
      <c r="AC145" s="141">
        <v>0</v>
      </c>
      <c r="AD145" s="107">
        <f t="shared" si="94"/>
        <v>0</v>
      </c>
      <c r="AE145" s="142">
        <f t="shared" si="95"/>
        <v>0</v>
      </c>
      <c r="AF145" s="145">
        <v>937.2</v>
      </c>
      <c r="AG145" s="107">
        <f t="shared" si="96"/>
        <v>120.62966864279528</v>
      </c>
      <c r="AH145" s="142">
        <f t="shared" si="97"/>
        <v>1057.8296686427952</v>
      </c>
      <c r="AI145" s="145">
        <v>1403.6</v>
      </c>
      <c r="AJ145" s="107">
        <f t="shared" si="98"/>
        <v>180.6613347279422</v>
      </c>
      <c r="AK145" s="142">
        <f t="shared" si="99"/>
        <v>1584.2613347279421</v>
      </c>
      <c r="AL145" s="146"/>
      <c r="AM145" s="146"/>
      <c r="AN145" s="107">
        <f t="shared" si="100"/>
        <v>0</v>
      </c>
      <c r="AO145" s="151">
        <f t="shared" si="101"/>
        <v>0</v>
      </c>
      <c r="AP145" s="282">
        <f t="shared" si="102"/>
        <v>7256.344338403308</v>
      </c>
      <c r="AQ145" s="684">
        <v>0</v>
      </c>
      <c r="AR145" s="741">
        <v>4382.7625553237967</v>
      </c>
      <c r="AS145" s="741">
        <v>2825.6619931793516</v>
      </c>
      <c r="AT145" s="741">
        <v>47.919789900159799</v>
      </c>
      <c r="AU145" s="411">
        <v>0</v>
      </c>
      <c r="AV145" s="801"/>
      <c r="AW145" s="256"/>
      <c r="AX145" s="728">
        <f t="shared" si="103"/>
        <v>199.11321492456588</v>
      </c>
      <c r="AY145" s="729">
        <v>113.80911895738441</v>
      </c>
      <c r="AZ145" s="730"/>
      <c r="BA145" s="731">
        <v>0</v>
      </c>
      <c r="BC145" s="727">
        <v>0</v>
      </c>
      <c r="BD145" s="727">
        <v>199.11321492456588</v>
      </c>
      <c r="BE145" s="727"/>
      <c r="BF145" s="727"/>
      <c r="BG145" s="727">
        <v>0</v>
      </c>
      <c r="BH145" s="727">
        <v>10.05578566811119</v>
      </c>
      <c r="BI145" s="137">
        <f>BC145+BD145+BE145+BG145</f>
        <v>199.11321492456588</v>
      </c>
      <c r="BJ145" s="126">
        <v>535</v>
      </c>
      <c r="BK145" s="807"/>
      <c r="BL145" s="107"/>
      <c r="BM145" s="687"/>
      <c r="BO145" s="577"/>
      <c r="BS145" s="904"/>
      <c r="BT145" s="789"/>
      <c r="BU145" s="789">
        <v>4272.5779806492683</v>
      </c>
      <c r="BV145" s="789">
        <v>0</v>
      </c>
      <c r="BW145" s="789">
        <f t="shared" si="104"/>
        <v>4272.5779806492683</v>
      </c>
    </row>
    <row r="146" spans="1:75" ht="15" thickBot="1" x14ac:dyDescent="0.35">
      <c r="A146" s="220" t="s">
        <v>100</v>
      </c>
      <c r="B146" s="238">
        <v>1</v>
      </c>
      <c r="C146" s="40">
        <f>'[7]побудинковий звіт'!E146</f>
        <v>320.5</v>
      </c>
      <c r="D146" s="215">
        <f t="shared" si="79"/>
        <v>83.48649045741648</v>
      </c>
      <c r="E146" s="107">
        <f t="shared" si="80"/>
        <v>18.367043239095228</v>
      </c>
      <c r="F146" s="107">
        <f t="shared" si="81"/>
        <v>0</v>
      </c>
      <c r="G146" s="107">
        <f t="shared" si="82"/>
        <v>0</v>
      </c>
      <c r="H146" s="107">
        <f t="shared" si="83"/>
        <v>69.750849999367688</v>
      </c>
      <c r="I146" s="107">
        <f t="shared" si="84"/>
        <v>22.087686665476987</v>
      </c>
      <c r="J146" s="687">
        <f t="shared" si="72"/>
        <v>0</v>
      </c>
      <c r="K146" s="142">
        <f t="shared" si="85"/>
        <v>193.69207036135637</v>
      </c>
      <c r="L146" s="141">
        <f t="shared" si="73"/>
        <v>0</v>
      </c>
      <c r="M146" s="107">
        <f t="shared" si="74"/>
        <v>0</v>
      </c>
      <c r="N146" s="30">
        <f t="shared" si="86"/>
        <v>0</v>
      </c>
      <c r="O146" s="107">
        <f t="shared" si="75"/>
        <v>0.57699916963078546</v>
      </c>
      <c r="P146" s="107">
        <f t="shared" si="87"/>
        <v>0</v>
      </c>
      <c r="Q146" s="107">
        <f t="shared" si="88"/>
        <v>7.4267198719301833E-2</v>
      </c>
      <c r="R146" s="143">
        <f t="shared" si="89"/>
        <v>0.65126636835008733</v>
      </c>
      <c r="S146" s="141">
        <f t="shared" si="90"/>
        <v>0</v>
      </c>
      <c r="T146" s="107">
        <f t="shared" si="76"/>
        <v>0</v>
      </c>
      <c r="U146" s="142">
        <f t="shared" si="91"/>
        <v>0</v>
      </c>
      <c r="V146" s="107"/>
      <c r="W146" s="107">
        <f t="shared" si="92"/>
        <v>0</v>
      </c>
      <c r="X146" s="142">
        <f t="shared" si="93"/>
        <v>0</v>
      </c>
      <c r="Y146" s="141">
        <v>0</v>
      </c>
      <c r="Z146" s="144">
        <v>0</v>
      </c>
      <c r="AA146" s="107">
        <f t="shared" si="77"/>
        <v>0</v>
      </c>
      <c r="AB146" s="142">
        <f t="shared" si="78"/>
        <v>0</v>
      </c>
      <c r="AC146" s="141">
        <v>0</v>
      </c>
      <c r="AD146" s="107">
        <f t="shared" si="94"/>
        <v>0</v>
      </c>
      <c r="AE146" s="142">
        <f t="shared" si="95"/>
        <v>0</v>
      </c>
      <c r="AF146" s="145">
        <v>0</v>
      </c>
      <c r="AG146" s="107">
        <f t="shared" si="96"/>
        <v>0</v>
      </c>
      <c r="AH146" s="142">
        <f t="shared" si="97"/>
        <v>0</v>
      </c>
      <c r="AI146" s="145">
        <v>0</v>
      </c>
      <c r="AJ146" s="107">
        <f t="shared" si="98"/>
        <v>0</v>
      </c>
      <c r="AK146" s="142">
        <f t="shared" si="99"/>
        <v>0</v>
      </c>
      <c r="AL146" s="146"/>
      <c r="AM146" s="215"/>
      <c r="AN146" s="107">
        <f t="shared" si="100"/>
        <v>0</v>
      </c>
      <c r="AO146" s="151">
        <f t="shared" si="101"/>
        <v>0</v>
      </c>
      <c r="AP146" s="282">
        <f t="shared" si="102"/>
        <v>0</v>
      </c>
      <c r="AQ146" s="684">
        <v>77.05</v>
      </c>
      <c r="AR146" s="740">
        <v>0</v>
      </c>
      <c r="AS146" s="740">
        <v>0</v>
      </c>
      <c r="AT146" s="740">
        <v>0</v>
      </c>
      <c r="AU146" s="411">
        <v>0</v>
      </c>
      <c r="AV146" s="801"/>
      <c r="AW146" s="256"/>
      <c r="AX146" s="728">
        <f t="shared" si="103"/>
        <v>0</v>
      </c>
      <c r="AY146" s="729">
        <v>0</v>
      </c>
      <c r="AZ146" s="730"/>
      <c r="BA146" s="731">
        <v>0</v>
      </c>
      <c r="BC146" s="727">
        <v>0</v>
      </c>
      <c r="BD146" s="727">
        <v>0</v>
      </c>
      <c r="BE146" s="727"/>
      <c r="BF146" s="727"/>
      <c r="BG146" s="727">
        <v>0</v>
      </c>
      <c r="BH146" s="727">
        <v>0</v>
      </c>
      <c r="BI146" s="137">
        <f>BC146+BD146+BE146+BG146+BH146</f>
        <v>0</v>
      </c>
      <c r="BJ146" s="126"/>
      <c r="BK146" s="807"/>
      <c r="BL146" s="107"/>
      <c r="BM146" s="687"/>
      <c r="BO146" s="577"/>
      <c r="BS146" s="904"/>
      <c r="BT146" s="789"/>
      <c r="BU146" s="789">
        <v>0</v>
      </c>
      <c r="BV146" s="789">
        <v>0</v>
      </c>
      <c r="BW146" s="789">
        <f t="shared" si="104"/>
        <v>0</v>
      </c>
    </row>
    <row r="147" spans="1:75" ht="15" thickBot="1" x14ac:dyDescent="0.35">
      <c r="A147" s="219" t="s">
        <v>363</v>
      </c>
      <c r="B147" s="237">
        <v>9</v>
      </c>
      <c r="C147" s="40">
        <f>'[7]побудинковий звіт'!E147</f>
        <v>11582.12</v>
      </c>
      <c r="D147" s="215">
        <f t="shared" si="79"/>
        <v>7106.1787970292235</v>
      </c>
      <c r="E147" s="107">
        <f t="shared" si="80"/>
        <v>1563.3606409213101</v>
      </c>
      <c r="F147" s="107">
        <f t="shared" si="81"/>
        <v>421.45470764866303</v>
      </c>
      <c r="G147" s="107">
        <f t="shared" si="82"/>
        <v>0</v>
      </c>
      <c r="H147" s="107">
        <f t="shared" si="83"/>
        <v>5937.0325501117122</v>
      </c>
      <c r="I147" s="107">
        <f t="shared" si="84"/>
        <v>1934.2999153421772</v>
      </c>
      <c r="J147" s="687">
        <f t="shared" si="72"/>
        <v>0</v>
      </c>
      <c r="K147" s="142">
        <f t="shared" si="85"/>
        <v>16962.326611053086</v>
      </c>
      <c r="L147" s="141">
        <f t="shared" si="73"/>
        <v>4034.0503885627545</v>
      </c>
      <c r="M147" s="107">
        <f t="shared" si="74"/>
        <v>887.48690826539962</v>
      </c>
      <c r="N147" s="30">
        <f t="shared" si="86"/>
        <v>330.44958049208446</v>
      </c>
      <c r="O147" s="107">
        <f t="shared" si="75"/>
        <v>20.851399758390368</v>
      </c>
      <c r="P147" s="107">
        <f t="shared" si="87"/>
        <v>3370.3470106466252</v>
      </c>
      <c r="Q147" s="107">
        <f t="shared" si="88"/>
        <v>1112.488878869591</v>
      </c>
      <c r="R147" s="143">
        <f t="shared" si="89"/>
        <v>9755.6741665948466</v>
      </c>
      <c r="S147" s="141">
        <f t="shared" si="90"/>
        <v>128.70000000000002</v>
      </c>
      <c r="T147" s="107">
        <f t="shared" si="76"/>
        <v>16.565341820665552</v>
      </c>
      <c r="U147" s="142">
        <f t="shared" si="91"/>
        <v>145.26534182066558</v>
      </c>
      <c r="V147" s="107"/>
      <c r="W147" s="107">
        <f t="shared" si="92"/>
        <v>0</v>
      </c>
      <c r="X147" s="142">
        <f t="shared" si="93"/>
        <v>0</v>
      </c>
      <c r="Y147" s="141">
        <v>8603.2150000000001</v>
      </c>
      <c r="Z147" s="144">
        <v>0</v>
      </c>
      <c r="AA147" s="107">
        <f t="shared" si="77"/>
        <v>1107.3441898343215</v>
      </c>
      <c r="AB147" s="142">
        <f t="shared" si="78"/>
        <v>9710.5591898343209</v>
      </c>
      <c r="AC147" s="141">
        <v>472.3</v>
      </c>
      <c r="AD147" s="107">
        <f t="shared" si="94"/>
        <v>60.791071809637444</v>
      </c>
      <c r="AE147" s="142">
        <f t="shared" si="95"/>
        <v>533.09107180963747</v>
      </c>
      <c r="AF147" s="145">
        <v>446.6</v>
      </c>
      <c r="AG147" s="107">
        <f t="shared" si="96"/>
        <v>57.483151958890708</v>
      </c>
      <c r="AH147" s="142">
        <f t="shared" si="97"/>
        <v>504.08315195889071</v>
      </c>
      <c r="AI147" s="145">
        <v>2321</v>
      </c>
      <c r="AJ147" s="107">
        <f t="shared" si="98"/>
        <v>298.74248924448125</v>
      </c>
      <c r="AK147" s="142">
        <f t="shared" si="99"/>
        <v>2619.7424892444815</v>
      </c>
      <c r="AL147" s="146"/>
      <c r="AM147" s="146"/>
      <c r="AN147" s="107">
        <f t="shared" si="100"/>
        <v>0</v>
      </c>
      <c r="AO147" s="151">
        <f t="shared" si="101"/>
        <v>0</v>
      </c>
      <c r="AP147" s="282">
        <f t="shared" si="102"/>
        <v>10284.11694563216</v>
      </c>
      <c r="AQ147" s="684">
        <v>0</v>
      </c>
      <c r="AR147" s="741">
        <v>6558.3194755369186</v>
      </c>
      <c r="AS147" s="741">
        <v>3647.8378148548063</v>
      </c>
      <c r="AT147" s="741">
        <v>77.959655240434202</v>
      </c>
      <c r="AU147" s="411">
        <v>0</v>
      </c>
      <c r="AV147" s="801"/>
      <c r="AW147" s="256"/>
      <c r="AX147" s="728">
        <f t="shared" si="103"/>
        <v>421.45470764866303</v>
      </c>
      <c r="AY147" s="729">
        <v>330.44958049208446</v>
      </c>
      <c r="AZ147" s="730"/>
      <c r="BA147" s="731">
        <v>0</v>
      </c>
      <c r="BC147" s="727">
        <v>90</v>
      </c>
      <c r="BD147" s="727">
        <v>331.45470764866303</v>
      </c>
      <c r="BE147" s="727"/>
      <c r="BF147" s="727"/>
      <c r="BG147" s="727">
        <v>0</v>
      </c>
      <c r="BH147" s="727">
        <v>15.083678502166784</v>
      </c>
      <c r="BI147" s="137">
        <f t="shared" ref="BI147:BI154" si="105">BC147+BD147+BE147+BG147</f>
        <v>421.45470764866303</v>
      </c>
      <c r="BJ147" s="126">
        <v>585</v>
      </c>
      <c r="BK147" s="807"/>
      <c r="BL147" s="107"/>
      <c r="BM147" s="687"/>
      <c r="BO147" s="577"/>
      <c r="BS147" s="904"/>
      <c r="BT147" s="789"/>
      <c r="BU147" s="789">
        <v>6328.2111792007063</v>
      </c>
      <c r="BV147" s="789">
        <v>0</v>
      </c>
      <c r="BW147" s="789">
        <f t="shared" si="104"/>
        <v>6328.2111792007063</v>
      </c>
    </row>
    <row r="148" spans="1:75" ht="15" thickBot="1" x14ac:dyDescent="0.35">
      <c r="A148" s="219" t="s">
        <v>262</v>
      </c>
      <c r="B148" s="237">
        <v>5</v>
      </c>
      <c r="C148" s="40">
        <f>'[7]побудинковий звіт'!E148</f>
        <v>2850.7000000000003</v>
      </c>
      <c r="D148" s="215">
        <f t="shared" si="79"/>
        <v>3148.9658392710458</v>
      </c>
      <c r="E148" s="107">
        <f t="shared" si="80"/>
        <v>692.77306317991417</v>
      </c>
      <c r="F148" s="107">
        <f t="shared" si="81"/>
        <v>85.401708303579127</v>
      </c>
      <c r="G148" s="107">
        <f t="shared" si="82"/>
        <v>0</v>
      </c>
      <c r="H148" s="107">
        <f t="shared" si="83"/>
        <v>2630.8812683910801</v>
      </c>
      <c r="I148" s="107">
        <f t="shared" si="84"/>
        <v>844.10158582323697</v>
      </c>
      <c r="J148" s="687">
        <f t="shared" si="72"/>
        <v>0</v>
      </c>
      <c r="K148" s="142">
        <f t="shared" si="85"/>
        <v>7402.1234649688558</v>
      </c>
      <c r="L148" s="141">
        <f t="shared" si="73"/>
        <v>1399.5535520899002</v>
      </c>
      <c r="M148" s="107">
        <f t="shared" si="74"/>
        <v>307.9003322362197</v>
      </c>
      <c r="N148" s="30">
        <f t="shared" si="86"/>
        <v>96.870218926873122</v>
      </c>
      <c r="O148" s="107">
        <f t="shared" si="75"/>
        <v>5.1321420682261474</v>
      </c>
      <c r="P148" s="107">
        <f t="shared" si="87"/>
        <v>1169.2915745176449</v>
      </c>
      <c r="Q148" s="107">
        <f t="shared" si="88"/>
        <v>383.4030756269857</v>
      </c>
      <c r="R148" s="143">
        <f t="shared" si="89"/>
        <v>3362.1508954658498</v>
      </c>
      <c r="S148" s="141">
        <f t="shared" si="90"/>
        <v>124.96</v>
      </c>
      <c r="T148" s="107">
        <f t="shared" si="76"/>
        <v>16.083955819039371</v>
      </c>
      <c r="U148" s="142">
        <f t="shared" si="91"/>
        <v>141.04395581903935</v>
      </c>
      <c r="V148" s="107"/>
      <c r="W148" s="107">
        <f t="shared" si="92"/>
        <v>0</v>
      </c>
      <c r="X148" s="142">
        <f t="shared" si="93"/>
        <v>0</v>
      </c>
      <c r="Y148" s="141">
        <v>0</v>
      </c>
      <c r="Z148" s="144">
        <v>0</v>
      </c>
      <c r="AA148" s="107">
        <f t="shared" si="77"/>
        <v>0</v>
      </c>
      <c r="AB148" s="142">
        <f t="shared" si="78"/>
        <v>0</v>
      </c>
      <c r="AC148" s="141">
        <v>0</v>
      </c>
      <c r="AD148" s="107">
        <f t="shared" si="94"/>
        <v>0</v>
      </c>
      <c r="AE148" s="142">
        <f t="shared" si="95"/>
        <v>0</v>
      </c>
      <c r="AF148" s="145">
        <v>171.6</v>
      </c>
      <c r="AG148" s="107">
        <f t="shared" si="96"/>
        <v>22.087122427554064</v>
      </c>
      <c r="AH148" s="142">
        <f t="shared" si="97"/>
        <v>193.68712242755407</v>
      </c>
      <c r="AI148" s="145">
        <v>0</v>
      </c>
      <c r="AJ148" s="107">
        <f t="shared" si="98"/>
        <v>0</v>
      </c>
      <c r="AK148" s="142">
        <f t="shared" si="99"/>
        <v>0</v>
      </c>
      <c r="AL148" s="146"/>
      <c r="AM148" s="146"/>
      <c r="AN148" s="107">
        <f t="shared" si="100"/>
        <v>0</v>
      </c>
      <c r="AO148" s="151">
        <f t="shared" si="101"/>
        <v>0</v>
      </c>
      <c r="AP148" s="282">
        <f t="shared" si="102"/>
        <v>2667.1460637159739</v>
      </c>
      <c r="AQ148" s="684">
        <v>898.61</v>
      </c>
      <c r="AR148" s="741">
        <v>2007.5825658450092</v>
      </c>
      <c r="AS148" s="741">
        <v>635.93331015632714</v>
      </c>
      <c r="AT148" s="741">
        <v>23.63018771463743</v>
      </c>
      <c r="AU148" s="411">
        <v>633.04630651404091</v>
      </c>
      <c r="AV148" s="801"/>
      <c r="AW148" s="256"/>
      <c r="AX148" s="728">
        <f t="shared" si="103"/>
        <v>85.401708303579127</v>
      </c>
      <c r="AY148" s="729">
        <v>96.870218926873122</v>
      </c>
      <c r="AZ148" s="730"/>
      <c r="BA148" s="731">
        <v>0</v>
      </c>
      <c r="BC148" s="727">
        <v>0</v>
      </c>
      <c r="BD148" s="727">
        <v>85.401708303579127</v>
      </c>
      <c r="BE148" s="727"/>
      <c r="BF148" s="727"/>
      <c r="BG148" s="727">
        <v>0</v>
      </c>
      <c r="BH148" s="727">
        <v>7.5418392510833918</v>
      </c>
      <c r="BI148" s="137">
        <f t="shared" si="105"/>
        <v>85.401708303579127</v>
      </c>
      <c r="BJ148" s="126">
        <v>568</v>
      </c>
      <c r="BK148" s="807"/>
      <c r="BL148" s="107"/>
      <c r="BM148" s="687"/>
      <c r="BO148" s="577"/>
      <c r="BS148" s="904"/>
      <c r="BT148" s="789"/>
      <c r="BU148" s="789">
        <v>1957.1118109983322</v>
      </c>
      <c r="BV148" s="789">
        <v>0</v>
      </c>
      <c r="BW148" s="789">
        <f t="shared" si="104"/>
        <v>1957.1118109983322</v>
      </c>
    </row>
    <row r="149" spans="1:75" ht="15" thickBot="1" x14ac:dyDescent="0.35">
      <c r="A149" s="219" t="s">
        <v>364</v>
      </c>
      <c r="B149" s="237">
        <v>9</v>
      </c>
      <c r="C149" s="40">
        <f>'[7]побудинковий звіт'!E149</f>
        <v>3771.47</v>
      </c>
      <c r="D149" s="215">
        <f t="shared" si="79"/>
        <v>2717.434434604967</v>
      </c>
      <c r="E149" s="107">
        <f t="shared" si="80"/>
        <v>597.83607487074437</v>
      </c>
      <c r="F149" s="107">
        <f t="shared" si="81"/>
        <v>199.04191155080042</v>
      </c>
      <c r="G149" s="107">
        <f t="shared" si="82"/>
        <v>0</v>
      </c>
      <c r="H149" s="107">
        <f t="shared" si="83"/>
        <v>2270.3477004812771</v>
      </c>
      <c r="I149" s="107">
        <f t="shared" si="84"/>
        <v>744.56000178049123</v>
      </c>
      <c r="J149" s="687">
        <f t="shared" si="72"/>
        <v>0</v>
      </c>
      <c r="K149" s="142">
        <f t="shared" si="85"/>
        <v>6529.220123288279</v>
      </c>
      <c r="L149" s="141">
        <f t="shared" si="73"/>
        <v>2033.8242744177539</v>
      </c>
      <c r="M149" s="107">
        <f t="shared" si="74"/>
        <v>447.43923436742494</v>
      </c>
      <c r="N149" s="30">
        <f t="shared" si="86"/>
        <v>112.00919934617258</v>
      </c>
      <c r="O149" s="107">
        <f t="shared" si="75"/>
        <v>6.7898129743757192</v>
      </c>
      <c r="P149" s="107">
        <f t="shared" si="87"/>
        <v>1699.2087116459143</v>
      </c>
      <c r="Q149" s="107">
        <f t="shared" si="88"/>
        <v>553.37138733710253</v>
      </c>
      <c r="R149" s="143">
        <f t="shared" si="89"/>
        <v>4852.6426200887445</v>
      </c>
      <c r="S149" s="141">
        <f t="shared" si="90"/>
        <v>70.400000000000006</v>
      </c>
      <c r="T149" s="107">
        <f t="shared" si="76"/>
        <v>9.0613835600221808</v>
      </c>
      <c r="U149" s="142">
        <f t="shared" si="91"/>
        <v>79.461383560022185</v>
      </c>
      <c r="V149" s="107"/>
      <c r="W149" s="107">
        <f t="shared" si="92"/>
        <v>0</v>
      </c>
      <c r="X149" s="142">
        <f t="shared" si="93"/>
        <v>0</v>
      </c>
      <c r="Y149" s="141">
        <v>2755.38</v>
      </c>
      <c r="Z149" s="144">
        <v>0</v>
      </c>
      <c r="AA149" s="107">
        <f t="shared" si="77"/>
        <v>354.65277036383407</v>
      </c>
      <c r="AB149" s="142">
        <f t="shared" si="78"/>
        <v>3110.0327703638341</v>
      </c>
      <c r="AC149" s="141">
        <v>236.15</v>
      </c>
      <c r="AD149" s="107">
        <f t="shared" si="94"/>
        <v>30.395535904818722</v>
      </c>
      <c r="AE149" s="142">
        <f t="shared" si="95"/>
        <v>266.54553590481873</v>
      </c>
      <c r="AF149" s="145">
        <v>292.60000000000002</v>
      </c>
      <c r="AG149" s="107">
        <f t="shared" si="96"/>
        <v>37.661375421342193</v>
      </c>
      <c r="AH149" s="142">
        <f t="shared" si="97"/>
        <v>330.26137542134222</v>
      </c>
      <c r="AI149" s="145">
        <v>803</v>
      </c>
      <c r="AJ149" s="107">
        <f t="shared" si="98"/>
        <v>103.356406231503</v>
      </c>
      <c r="AK149" s="142">
        <f t="shared" si="99"/>
        <v>906.356406231503</v>
      </c>
      <c r="AL149" s="146">
        <v>2592.5</v>
      </c>
      <c r="AM149" s="146"/>
      <c r="AN149" s="107">
        <f t="shared" si="100"/>
        <v>333.68802385450999</v>
      </c>
      <c r="AO149" s="151">
        <f t="shared" si="101"/>
        <v>2926.18802385451</v>
      </c>
      <c r="AP149" s="282">
        <f t="shared" si="102"/>
        <v>3752.8491459583956</v>
      </c>
      <c r="AQ149" s="684">
        <v>0</v>
      </c>
      <c r="AR149" s="741">
        <v>2507.9305889988177</v>
      </c>
      <c r="AS149" s="741">
        <v>1211.2548369410131</v>
      </c>
      <c r="AT149" s="741">
        <v>33.663720018565009</v>
      </c>
      <c r="AU149" s="411">
        <v>633.49559416948034</v>
      </c>
      <c r="AV149" s="801"/>
      <c r="AW149" s="256"/>
      <c r="AX149" s="728">
        <f t="shared" si="103"/>
        <v>199.04191155080042</v>
      </c>
      <c r="AY149" s="729">
        <v>112.00919934617258</v>
      </c>
      <c r="AZ149" s="730"/>
      <c r="BA149" s="731">
        <v>0</v>
      </c>
      <c r="BC149" s="727">
        <v>90</v>
      </c>
      <c r="BD149" s="727">
        <v>109.04191155080044</v>
      </c>
      <c r="BE149" s="727"/>
      <c r="BF149" s="727"/>
      <c r="BG149" s="727">
        <v>0</v>
      </c>
      <c r="BH149" s="727">
        <v>6.0334714008667136</v>
      </c>
      <c r="BI149" s="137">
        <f t="shared" si="105"/>
        <v>199.04191155080042</v>
      </c>
      <c r="BJ149" s="126">
        <v>320</v>
      </c>
      <c r="BK149" s="807"/>
      <c r="BL149" s="107"/>
      <c r="BM149" s="687"/>
      <c r="BO149" s="577"/>
      <c r="BS149" s="904"/>
      <c r="BT149" s="789"/>
      <c r="BU149" s="789">
        <v>2488.0595206970875</v>
      </c>
      <c r="BV149" s="789">
        <v>0</v>
      </c>
      <c r="BW149" s="789">
        <f t="shared" si="104"/>
        <v>2488.0595206970875</v>
      </c>
    </row>
    <row r="150" spans="1:75" ht="15" thickBot="1" x14ac:dyDescent="0.35">
      <c r="A150" s="219" t="s">
        <v>365</v>
      </c>
      <c r="B150" s="237">
        <v>9</v>
      </c>
      <c r="C150" s="40">
        <f>'[7]побудинковий звіт'!E150</f>
        <v>3767.85</v>
      </c>
      <c r="D150" s="215">
        <f t="shared" si="79"/>
        <v>2526.0214340939492</v>
      </c>
      <c r="E150" s="107">
        <f t="shared" si="80"/>
        <v>555.72517959117749</v>
      </c>
      <c r="F150" s="107">
        <f t="shared" si="81"/>
        <v>112.46256512552227</v>
      </c>
      <c r="G150" s="107">
        <f t="shared" si="82"/>
        <v>0</v>
      </c>
      <c r="H150" s="107">
        <f t="shared" si="83"/>
        <v>2110.4269826091695</v>
      </c>
      <c r="I150" s="107">
        <f t="shared" si="84"/>
        <v>682.77475717313507</v>
      </c>
      <c r="J150" s="687">
        <f t="shared" si="72"/>
        <v>0</v>
      </c>
      <c r="K150" s="142">
        <f t="shared" si="85"/>
        <v>5987.4109185929537</v>
      </c>
      <c r="L150" s="141">
        <f t="shared" si="73"/>
        <v>1821.7130553389061</v>
      </c>
      <c r="M150" s="107">
        <f t="shared" si="74"/>
        <v>400.77498580910202</v>
      </c>
      <c r="N150" s="30">
        <f t="shared" si="86"/>
        <v>61.949680563938294</v>
      </c>
      <c r="O150" s="107">
        <f t="shared" si="75"/>
        <v>6.7832958542694373</v>
      </c>
      <c r="P150" s="107">
        <f t="shared" si="87"/>
        <v>1521.9951559665303</v>
      </c>
      <c r="Q150" s="107">
        <f t="shared" si="88"/>
        <v>490.80986286449308</v>
      </c>
      <c r="R150" s="143">
        <f t="shared" si="89"/>
        <v>4304.0260363972393</v>
      </c>
      <c r="S150" s="141">
        <f t="shared" si="90"/>
        <v>70.400000000000006</v>
      </c>
      <c r="T150" s="107">
        <f t="shared" si="76"/>
        <v>9.0613835600221808</v>
      </c>
      <c r="U150" s="142">
        <f t="shared" si="91"/>
        <v>79.461383560022185</v>
      </c>
      <c r="V150" s="107"/>
      <c r="W150" s="107">
        <f t="shared" si="92"/>
        <v>0</v>
      </c>
      <c r="X150" s="142">
        <f t="shared" si="93"/>
        <v>0</v>
      </c>
      <c r="Y150" s="141">
        <v>2227.75</v>
      </c>
      <c r="Z150" s="144">
        <v>0</v>
      </c>
      <c r="AA150" s="107">
        <f t="shared" si="77"/>
        <v>286.74001741249168</v>
      </c>
      <c r="AB150" s="142">
        <f t="shared" si="78"/>
        <v>2514.4900174124919</v>
      </c>
      <c r="AC150" s="141">
        <v>0</v>
      </c>
      <c r="AD150" s="107">
        <f t="shared" si="94"/>
        <v>0</v>
      </c>
      <c r="AE150" s="142">
        <f t="shared" si="95"/>
        <v>0</v>
      </c>
      <c r="AF150" s="145">
        <v>250.8</v>
      </c>
      <c r="AG150" s="107">
        <f t="shared" si="96"/>
        <v>32.281178932579017</v>
      </c>
      <c r="AH150" s="142">
        <f t="shared" si="97"/>
        <v>283.08117893257901</v>
      </c>
      <c r="AI150" s="145">
        <v>818.4</v>
      </c>
      <c r="AJ150" s="107">
        <f t="shared" si="98"/>
        <v>105.33858388525785</v>
      </c>
      <c r="AK150" s="142">
        <f t="shared" si="99"/>
        <v>923.73858388525787</v>
      </c>
      <c r="AL150" s="146"/>
      <c r="AM150" s="146"/>
      <c r="AN150" s="107">
        <f t="shared" si="100"/>
        <v>0</v>
      </c>
      <c r="AO150" s="151">
        <f t="shared" si="101"/>
        <v>0</v>
      </c>
      <c r="AP150" s="282">
        <f t="shared" si="102"/>
        <v>4013.7857372613048</v>
      </c>
      <c r="AQ150" s="684">
        <v>0</v>
      </c>
      <c r="AR150" s="741">
        <v>2331.2748018341081</v>
      </c>
      <c r="AS150" s="741">
        <v>1649.5092767991177</v>
      </c>
      <c r="AT150" s="741">
        <v>33.001658628079056</v>
      </c>
      <c r="AU150" s="411">
        <v>0</v>
      </c>
      <c r="AV150" s="801"/>
      <c r="AW150" s="256"/>
      <c r="AX150" s="728">
        <f t="shared" si="103"/>
        <v>112.46256512552227</v>
      </c>
      <c r="AY150" s="729">
        <v>61.949680563938294</v>
      </c>
      <c r="AZ150" s="730"/>
      <c r="BA150" s="731">
        <v>0</v>
      </c>
      <c r="BC150" s="727">
        <v>0</v>
      </c>
      <c r="BD150" s="727">
        <v>112.46256512552227</v>
      </c>
      <c r="BE150" s="727"/>
      <c r="BF150" s="727"/>
      <c r="BG150" s="727">
        <v>0</v>
      </c>
      <c r="BH150" s="727">
        <v>9.5529963847056294</v>
      </c>
      <c r="BI150" s="137">
        <f t="shared" si="105"/>
        <v>112.46256512552227</v>
      </c>
      <c r="BJ150" s="126">
        <v>320</v>
      </c>
      <c r="BK150" s="807"/>
      <c r="BL150" s="107"/>
      <c r="BM150" s="687"/>
      <c r="BO150" s="577"/>
      <c r="BS150" s="904"/>
      <c r="BT150" s="789"/>
      <c r="BU150" s="789">
        <v>2223.903629084647</v>
      </c>
      <c r="BV150" s="789">
        <v>0</v>
      </c>
      <c r="BW150" s="789">
        <f t="shared" si="104"/>
        <v>2223.903629084647</v>
      </c>
    </row>
    <row r="151" spans="1:75" ht="15" thickBot="1" x14ac:dyDescent="0.35">
      <c r="A151" s="219" t="s">
        <v>366</v>
      </c>
      <c r="B151" s="237">
        <v>9</v>
      </c>
      <c r="C151" s="40">
        <f>'[7]побудинковий звіт'!E151</f>
        <v>4717.22</v>
      </c>
      <c r="D151" s="215">
        <f t="shared" si="79"/>
        <v>3289.4915588298218</v>
      </c>
      <c r="E151" s="107">
        <f t="shared" si="80"/>
        <v>723.68874730077812</v>
      </c>
      <c r="F151" s="107">
        <f t="shared" si="81"/>
        <v>126.04206604732067</v>
      </c>
      <c r="G151" s="107">
        <f t="shared" si="82"/>
        <v>0</v>
      </c>
      <c r="H151" s="107">
        <f t="shared" si="83"/>
        <v>2748.2869508229815</v>
      </c>
      <c r="I151" s="107">
        <f t="shared" si="84"/>
        <v>886.51084870653233</v>
      </c>
      <c r="J151" s="687">
        <f t="shared" si="72"/>
        <v>0</v>
      </c>
      <c r="K151" s="142">
        <f t="shared" si="85"/>
        <v>7774.0201717074351</v>
      </c>
      <c r="L151" s="141">
        <f t="shared" si="73"/>
        <v>2028.5566403581477</v>
      </c>
      <c r="M151" s="107">
        <f t="shared" si="74"/>
        <v>446.28036032889338</v>
      </c>
      <c r="N151" s="30">
        <f t="shared" si="86"/>
        <v>70.569216913751774</v>
      </c>
      <c r="O151" s="107">
        <f t="shared" si="75"/>
        <v>8.492455609877485</v>
      </c>
      <c r="P151" s="107">
        <f t="shared" si="87"/>
        <v>1694.8077366961941</v>
      </c>
      <c r="Q151" s="107">
        <f t="shared" si="88"/>
        <v>546.86304565470061</v>
      </c>
      <c r="R151" s="143">
        <f t="shared" si="89"/>
        <v>4795.5694555615655</v>
      </c>
      <c r="S151" s="141">
        <f t="shared" si="90"/>
        <v>52.800000000000004</v>
      </c>
      <c r="T151" s="107">
        <f t="shared" si="76"/>
        <v>6.7960376700166361</v>
      </c>
      <c r="U151" s="142">
        <f t="shared" si="91"/>
        <v>59.596037670016642</v>
      </c>
      <c r="V151" s="107"/>
      <c r="W151" s="107">
        <f t="shared" si="92"/>
        <v>0</v>
      </c>
      <c r="X151" s="142">
        <f t="shared" si="93"/>
        <v>0</v>
      </c>
      <c r="Y151" s="141">
        <v>3102.43</v>
      </c>
      <c r="Z151" s="144">
        <v>0</v>
      </c>
      <c r="AA151" s="107">
        <f t="shared" si="77"/>
        <v>399.32255963238083</v>
      </c>
      <c r="AB151" s="142">
        <f t="shared" si="78"/>
        <v>3501.7525596323808</v>
      </c>
      <c r="AC151" s="141">
        <v>0</v>
      </c>
      <c r="AD151" s="107">
        <f t="shared" si="94"/>
        <v>0</v>
      </c>
      <c r="AE151" s="142">
        <f t="shared" si="95"/>
        <v>0</v>
      </c>
      <c r="AF151" s="145">
        <v>440</v>
      </c>
      <c r="AG151" s="107">
        <f t="shared" si="96"/>
        <v>56.63364725013863</v>
      </c>
      <c r="AH151" s="142">
        <f t="shared" si="97"/>
        <v>496.63364725013861</v>
      </c>
      <c r="AI151" s="145">
        <v>915.2</v>
      </c>
      <c r="AJ151" s="107">
        <f t="shared" si="98"/>
        <v>117.79798628028836</v>
      </c>
      <c r="AK151" s="142">
        <f t="shared" si="99"/>
        <v>1032.9979862802884</v>
      </c>
      <c r="AL151" s="146"/>
      <c r="AM151" s="401"/>
      <c r="AN151" s="107">
        <f t="shared" si="100"/>
        <v>0</v>
      </c>
      <c r="AO151" s="151">
        <f t="shared" si="101"/>
        <v>0</v>
      </c>
      <c r="AP151" s="282">
        <f t="shared" si="102"/>
        <v>4909.4333191347396</v>
      </c>
      <c r="AQ151" s="684">
        <v>0</v>
      </c>
      <c r="AR151" s="741">
        <v>3035.8842876155682</v>
      </c>
      <c r="AS151" s="741">
        <v>1837.5099067984584</v>
      </c>
      <c r="AT151" s="741">
        <v>36.039124720713239</v>
      </c>
      <c r="AU151" s="411">
        <v>0</v>
      </c>
      <c r="AV151" s="801"/>
      <c r="AW151" s="256"/>
      <c r="AX151" s="728">
        <f t="shared" si="103"/>
        <v>126.04206604732067</v>
      </c>
      <c r="AY151" s="729">
        <v>70.569216913751774</v>
      </c>
      <c r="AZ151" s="730"/>
      <c r="BA151" s="731">
        <v>0</v>
      </c>
      <c r="BC151" s="727">
        <v>0</v>
      </c>
      <c r="BD151" s="727">
        <v>126.04206604732067</v>
      </c>
      <c r="BE151" s="727"/>
      <c r="BF151" s="727"/>
      <c r="BG151" s="727">
        <v>0</v>
      </c>
      <c r="BH151" s="727">
        <v>8.8138961380994569</v>
      </c>
      <c r="BI151" s="137">
        <f t="shared" si="105"/>
        <v>126.04206604732067</v>
      </c>
      <c r="BJ151" s="126">
        <v>240</v>
      </c>
      <c r="BK151" s="807"/>
      <c r="BL151" s="107"/>
      <c r="BM151" s="687"/>
      <c r="BO151" s="577"/>
      <c r="BS151" s="904"/>
      <c r="BT151" s="789"/>
      <c r="BU151" s="789">
        <v>2790.639455170643</v>
      </c>
      <c r="BV151" s="789">
        <v>0</v>
      </c>
      <c r="BW151" s="789">
        <f t="shared" si="104"/>
        <v>2790.639455170643</v>
      </c>
    </row>
    <row r="152" spans="1:75" ht="15" thickBot="1" x14ac:dyDescent="0.35">
      <c r="A152" s="219" t="s">
        <v>420</v>
      </c>
      <c r="B152" s="237">
        <v>10</v>
      </c>
      <c r="C152" s="40">
        <f>'[7]побудинковий звіт'!E152</f>
        <v>5265.4</v>
      </c>
      <c r="D152" s="215">
        <f t="shared" si="79"/>
        <v>3996.4129948749542</v>
      </c>
      <c r="E152" s="107">
        <f t="shared" si="80"/>
        <v>879.21159310907024</v>
      </c>
      <c r="F152" s="107">
        <f t="shared" si="81"/>
        <v>249.67949872489439</v>
      </c>
      <c r="G152" s="107">
        <f t="shared" si="82"/>
        <v>0</v>
      </c>
      <c r="H152" s="107">
        <f t="shared" si="83"/>
        <v>3338.901920703313</v>
      </c>
      <c r="I152" s="107">
        <f t="shared" si="84"/>
        <v>1089.4519483552012</v>
      </c>
      <c r="J152" s="687">
        <f t="shared" si="72"/>
        <v>0</v>
      </c>
      <c r="K152" s="142">
        <f t="shared" si="85"/>
        <v>9553.6579557674322</v>
      </c>
      <c r="L152" s="141">
        <f t="shared" si="73"/>
        <v>2226.2069531334992</v>
      </c>
      <c r="M152" s="107">
        <f t="shared" si="74"/>
        <v>489.76322447456943</v>
      </c>
      <c r="N152" s="30">
        <f t="shared" si="86"/>
        <v>86.571877341550405</v>
      </c>
      <c r="O152" s="107">
        <f t="shared" si="75"/>
        <v>9.4793492286238301</v>
      </c>
      <c r="P152" s="107">
        <f t="shared" si="87"/>
        <v>1859.9395711185973</v>
      </c>
      <c r="Q152" s="107">
        <f t="shared" si="88"/>
        <v>601.3413405485793</v>
      </c>
      <c r="R152" s="143">
        <f t="shared" si="89"/>
        <v>5273.3023158454198</v>
      </c>
      <c r="S152" s="141">
        <f t="shared" si="90"/>
        <v>44</v>
      </c>
      <c r="T152" s="107">
        <f t="shared" si="76"/>
        <v>5.6633647250138628</v>
      </c>
      <c r="U152" s="142">
        <f t="shared" si="91"/>
        <v>49.663364725013864</v>
      </c>
      <c r="V152" s="107"/>
      <c r="W152" s="107">
        <f t="shared" si="92"/>
        <v>0</v>
      </c>
      <c r="X152" s="142">
        <f t="shared" si="93"/>
        <v>0</v>
      </c>
      <c r="Y152" s="141">
        <v>3189.2</v>
      </c>
      <c r="Z152" s="144">
        <v>0</v>
      </c>
      <c r="AA152" s="107">
        <f t="shared" si="77"/>
        <v>410.49097229577751</v>
      </c>
      <c r="AB152" s="142">
        <f t="shared" si="78"/>
        <v>3599.6909722957771</v>
      </c>
      <c r="AC152" s="141">
        <v>0</v>
      </c>
      <c r="AD152" s="107">
        <f t="shared" si="94"/>
        <v>0</v>
      </c>
      <c r="AE152" s="142">
        <f t="shared" si="95"/>
        <v>0</v>
      </c>
      <c r="AF152" s="145">
        <v>578.6</v>
      </c>
      <c r="AG152" s="107">
        <f t="shared" si="96"/>
        <v>74.473246133932292</v>
      </c>
      <c r="AH152" s="142">
        <f t="shared" si="97"/>
        <v>653.07324613393234</v>
      </c>
      <c r="AI152" s="145">
        <v>1126.4000000000001</v>
      </c>
      <c r="AJ152" s="107">
        <f t="shared" si="98"/>
        <v>144.98213696035489</v>
      </c>
      <c r="AK152" s="142">
        <f t="shared" si="99"/>
        <v>1271.382136960355</v>
      </c>
      <c r="AL152" s="146"/>
      <c r="AM152" s="215"/>
      <c r="AN152" s="107">
        <f t="shared" si="100"/>
        <v>0</v>
      </c>
      <c r="AO152" s="151">
        <f t="shared" si="101"/>
        <v>0</v>
      </c>
      <c r="AP152" s="282">
        <f t="shared" si="102"/>
        <v>5744.4011118994949</v>
      </c>
      <c r="AQ152" s="684">
        <v>0</v>
      </c>
      <c r="AR152" s="741">
        <v>3688.304773239644</v>
      </c>
      <c r="AS152" s="741">
        <v>2018.1690593410131</v>
      </c>
      <c r="AT152" s="741">
        <v>37.927279318837165</v>
      </c>
      <c r="AU152" s="411">
        <v>0</v>
      </c>
      <c r="AV152" s="801"/>
      <c r="AW152" s="256"/>
      <c r="AX152" s="728">
        <f t="shared" si="103"/>
        <v>249.67949872489439</v>
      </c>
      <c r="AY152" s="729">
        <v>86.571877341550405</v>
      </c>
      <c r="AZ152" s="730"/>
      <c r="BA152" s="731">
        <v>0</v>
      </c>
      <c r="BC152" s="727">
        <v>90</v>
      </c>
      <c r="BD152" s="727">
        <v>159.67949872489439</v>
      </c>
      <c r="BE152" s="727"/>
      <c r="BF152" s="727"/>
      <c r="BG152" s="727">
        <v>0</v>
      </c>
      <c r="BH152" s="727">
        <v>15.868029784279456</v>
      </c>
      <c r="BI152" s="137">
        <f t="shared" si="105"/>
        <v>249.67949872489439</v>
      </c>
      <c r="BJ152" s="126">
        <v>200</v>
      </c>
      <c r="BK152" s="807"/>
      <c r="BL152" s="107"/>
      <c r="BM152" s="687"/>
      <c r="BO152" s="577"/>
      <c r="BS152" s="904"/>
      <c r="BT152" s="789"/>
      <c r="BU152" s="789">
        <v>3390.3498192152329</v>
      </c>
      <c r="BV152" s="789">
        <v>0</v>
      </c>
      <c r="BW152" s="789">
        <f t="shared" si="104"/>
        <v>3390.3498192152329</v>
      </c>
    </row>
    <row r="153" spans="1:75" ht="15" thickBot="1" x14ac:dyDescent="0.35">
      <c r="A153" s="219" t="s">
        <v>334</v>
      </c>
      <c r="B153" s="237">
        <v>8</v>
      </c>
      <c r="C153" s="40">
        <f>'[7]побудинковий звіт'!E153</f>
        <v>7052.84</v>
      </c>
      <c r="D153" s="215">
        <f t="shared" si="79"/>
        <v>4998.5385533047329</v>
      </c>
      <c r="E153" s="107">
        <f t="shared" si="80"/>
        <v>1099.6794000780371</v>
      </c>
      <c r="F153" s="107">
        <f t="shared" si="81"/>
        <v>295.16249703112783</v>
      </c>
      <c r="G153" s="107">
        <f t="shared" si="82"/>
        <v>0</v>
      </c>
      <c r="H153" s="107">
        <f t="shared" si="83"/>
        <v>4176.1524641576598</v>
      </c>
      <c r="I153" s="107">
        <f t="shared" si="84"/>
        <v>1360.4345424603982</v>
      </c>
      <c r="J153" s="687">
        <f t="shared" si="72"/>
        <v>0</v>
      </c>
      <c r="K153" s="142">
        <f t="shared" si="85"/>
        <v>11929.967457031957</v>
      </c>
      <c r="L153" s="141">
        <f t="shared" si="73"/>
        <v>2575.508215500437</v>
      </c>
      <c r="M153" s="107">
        <f t="shared" si="74"/>
        <v>566.60914049736891</v>
      </c>
      <c r="N153" s="30">
        <f t="shared" si="86"/>
        <v>115.93732646357394</v>
      </c>
      <c r="O153" s="107">
        <f t="shared" si="75"/>
        <v>12.69729430121307</v>
      </c>
      <c r="P153" s="107">
        <f t="shared" si="87"/>
        <v>2151.771936121092</v>
      </c>
      <c r="Q153" s="107">
        <f t="shared" si="88"/>
        <v>697.94842383567277</v>
      </c>
      <c r="R153" s="143">
        <f t="shared" si="89"/>
        <v>6120.4723367193574</v>
      </c>
      <c r="S153" s="141">
        <f t="shared" si="90"/>
        <v>222.97000000000003</v>
      </c>
      <c r="T153" s="107">
        <f t="shared" si="76"/>
        <v>28.699100744007755</v>
      </c>
      <c r="U153" s="142">
        <f t="shared" si="91"/>
        <v>251.66910074400778</v>
      </c>
      <c r="V153" s="107"/>
      <c r="W153" s="107">
        <f t="shared" si="92"/>
        <v>0</v>
      </c>
      <c r="X153" s="142">
        <f t="shared" si="93"/>
        <v>0</v>
      </c>
      <c r="Y153" s="141">
        <v>4690.0200000000004</v>
      </c>
      <c r="Z153" s="144">
        <v>0</v>
      </c>
      <c r="AA153" s="107">
        <f t="shared" si="77"/>
        <v>603.66576880930722</v>
      </c>
      <c r="AB153" s="142">
        <f t="shared" si="78"/>
        <v>5293.6857688093078</v>
      </c>
      <c r="AC153" s="141">
        <v>354.22500000000002</v>
      </c>
      <c r="AD153" s="107">
        <f t="shared" si="94"/>
        <v>45.593303857228086</v>
      </c>
      <c r="AE153" s="142">
        <f t="shared" si="95"/>
        <v>399.8183038572281</v>
      </c>
      <c r="AF153" s="145">
        <v>1854.6</v>
      </c>
      <c r="AG153" s="107">
        <f t="shared" si="96"/>
        <v>238.7108231593343</v>
      </c>
      <c r="AH153" s="142">
        <f t="shared" si="97"/>
        <v>2093.3108231593342</v>
      </c>
      <c r="AI153" s="145">
        <v>1819.4</v>
      </c>
      <c r="AJ153" s="107">
        <f t="shared" si="98"/>
        <v>234.18013137932323</v>
      </c>
      <c r="AK153" s="142">
        <f t="shared" si="99"/>
        <v>2053.5801313793231</v>
      </c>
      <c r="AL153" s="215"/>
      <c r="AM153" s="215"/>
      <c r="AN153" s="107">
        <f t="shared" si="100"/>
        <v>0</v>
      </c>
      <c r="AO153" s="151">
        <f t="shared" si="101"/>
        <v>0</v>
      </c>
      <c r="AP153" s="282">
        <f t="shared" si="102"/>
        <v>6991.8767956838283</v>
      </c>
      <c r="AQ153" s="684">
        <v>0</v>
      </c>
      <c r="AR153" s="741">
        <v>4613.1702676922878</v>
      </c>
      <c r="AS153" s="741">
        <v>2278.1595652877713</v>
      </c>
      <c r="AT153" s="741">
        <v>100.54696270376934</v>
      </c>
      <c r="AU153" s="411">
        <v>0</v>
      </c>
      <c r="AV153" s="801"/>
      <c r="AW153" s="256"/>
      <c r="AX153" s="728">
        <f t="shared" si="103"/>
        <v>295.16249703112783</v>
      </c>
      <c r="AY153" s="729">
        <v>115.93732646357394</v>
      </c>
      <c r="AZ153" s="730"/>
      <c r="BA153" s="731">
        <v>0</v>
      </c>
      <c r="BC153" s="727">
        <v>90</v>
      </c>
      <c r="BD153" s="727">
        <v>205.16249703112783</v>
      </c>
      <c r="BE153" s="727"/>
      <c r="BF153" s="727"/>
      <c r="BG153" s="727">
        <v>0</v>
      </c>
      <c r="BH153" s="727">
        <v>12.569732085138986</v>
      </c>
      <c r="BI153" s="137">
        <f t="shared" si="105"/>
        <v>295.16249703112783</v>
      </c>
      <c r="BJ153" s="126">
        <v>1013.5</v>
      </c>
      <c r="BK153" s="807"/>
      <c r="BL153" s="107"/>
      <c r="BM153" s="687"/>
      <c r="BO153" s="577"/>
      <c r="BS153" s="904"/>
      <c r="BT153" s="789"/>
      <c r="BU153" s="789">
        <v>4476.7569632259065</v>
      </c>
      <c r="BV153" s="789">
        <v>0</v>
      </c>
      <c r="BW153" s="789">
        <f t="shared" si="104"/>
        <v>4476.7569632259065</v>
      </c>
    </row>
    <row r="154" spans="1:75" ht="15" thickBot="1" x14ac:dyDescent="0.35">
      <c r="A154" s="219" t="s">
        <v>367</v>
      </c>
      <c r="B154" s="237">
        <v>9</v>
      </c>
      <c r="C154" s="40">
        <f>'[7]побудинковий звіт'!E154</f>
        <v>10391</v>
      </c>
      <c r="D154" s="215">
        <f t="shared" si="79"/>
        <v>6935.0831313727103</v>
      </c>
      <c r="E154" s="107">
        <f t="shared" si="80"/>
        <v>1525.7195630425142</v>
      </c>
      <c r="F154" s="107">
        <f t="shared" si="81"/>
        <v>297.87206411073487</v>
      </c>
      <c r="G154" s="107">
        <f t="shared" si="82"/>
        <v>0</v>
      </c>
      <c r="H154" s="107">
        <f t="shared" si="83"/>
        <v>5794.0864513433544</v>
      </c>
      <c r="I154" s="107">
        <f t="shared" si="84"/>
        <v>1873.1271474437258</v>
      </c>
      <c r="J154" s="687">
        <f t="shared" si="72"/>
        <v>0</v>
      </c>
      <c r="K154" s="142">
        <f t="shared" si="85"/>
        <v>16425.888357313041</v>
      </c>
      <c r="L154" s="141">
        <f t="shared" si="73"/>
        <v>4276.4300377218515</v>
      </c>
      <c r="M154" s="107">
        <f t="shared" si="74"/>
        <v>940.81018009872389</v>
      </c>
      <c r="N154" s="30">
        <f t="shared" si="86"/>
        <v>170.73587466702037</v>
      </c>
      <c r="O154" s="107">
        <f t="shared" si="75"/>
        <v>18.707015200104497</v>
      </c>
      <c r="P154" s="107">
        <f t="shared" si="87"/>
        <v>3572.8490736602666</v>
      </c>
      <c r="Q154" s="107">
        <f t="shared" si="88"/>
        <v>1155.781040976656</v>
      </c>
      <c r="R154" s="143">
        <f t="shared" si="89"/>
        <v>10135.313222324623</v>
      </c>
      <c r="S154" s="141">
        <f t="shared" si="90"/>
        <v>163.636</v>
      </c>
      <c r="T154" s="107">
        <f t="shared" si="76"/>
        <v>21.062053412326556</v>
      </c>
      <c r="U154" s="142">
        <f t="shared" si="91"/>
        <v>184.69805341232654</v>
      </c>
      <c r="V154" s="107"/>
      <c r="W154" s="107">
        <f t="shared" si="92"/>
        <v>0</v>
      </c>
      <c r="X154" s="142">
        <f t="shared" si="93"/>
        <v>0</v>
      </c>
      <c r="Y154" s="141">
        <v>6787.03</v>
      </c>
      <c r="Z154" s="144">
        <v>0</v>
      </c>
      <c r="AA154" s="107">
        <f t="shared" si="77"/>
        <v>873.57787021842807</v>
      </c>
      <c r="AB154" s="142">
        <f t="shared" si="78"/>
        <v>7660.6078702184277</v>
      </c>
      <c r="AC154" s="141">
        <v>118.075</v>
      </c>
      <c r="AD154" s="107">
        <f t="shared" si="94"/>
        <v>15.197767952409361</v>
      </c>
      <c r="AE154" s="142">
        <f t="shared" si="95"/>
        <v>133.27276795240937</v>
      </c>
      <c r="AF154" s="145">
        <v>1641.2</v>
      </c>
      <c r="AG154" s="107">
        <f t="shared" si="96"/>
        <v>211.2435042430171</v>
      </c>
      <c r="AH154" s="142">
        <f t="shared" si="97"/>
        <v>1852.4435042430171</v>
      </c>
      <c r="AI154" s="145">
        <v>1718.2</v>
      </c>
      <c r="AJ154" s="107">
        <f t="shared" si="98"/>
        <v>221.15439251179134</v>
      </c>
      <c r="AK154" s="142">
        <f t="shared" si="99"/>
        <v>1939.3543925117915</v>
      </c>
      <c r="AL154" s="146"/>
      <c r="AM154" s="146"/>
      <c r="AN154" s="107">
        <f t="shared" si="100"/>
        <v>0</v>
      </c>
      <c r="AO154" s="151">
        <f t="shared" si="101"/>
        <v>0</v>
      </c>
      <c r="AP154" s="282">
        <f t="shared" si="102"/>
        <v>10350.070855724482</v>
      </c>
      <c r="AQ154" s="684">
        <v>0</v>
      </c>
      <c r="AR154" s="741">
        <v>6400.4146340876487</v>
      </c>
      <c r="AS154" s="741">
        <v>3831.1235508404257</v>
      </c>
      <c r="AT154" s="741">
        <v>118.53267079640769</v>
      </c>
      <c r="AU154" s="411">
        <v>0</v>
      </c>
      <c r="AV154" s="801"/>
      <c r="AW154" s="256"/>
      <c r="AX154" s="728">
        <f t="shared" si="103"/>
        <v>297.87206411073487</v>
      </c>
      <c r="AY154" s="729">
        <v>170.73587466702037</v>
      </c>
      <c r="AZ154" s="730"/>
      <c r="BA154" s="731">
        <v>0</v>
      </c>
      <c r="BC154" s="727">
        <v>0</v>
      </c>
      <c r="BD154" s="727">
        <v>297.87206411073487</v>
      </c>
      <c r="BE154" s="727"/>
      <c r="BF154" s="727"/>
      <c r="BG154" s="727">
        <v>0</v>
      </c>
      <c r="BH154" s="727">
        <v>14.249048291713555</v>
      </c>
      <c r="BI154" s="137">
        <f t="shared" si="105"/>
        <v>297.87206411073487</v>
      </c>
      <c r="BJ154" s="126">
        <v>743.8</v>
      </c>
      <c r="BK154" s="807"/>
      <c r="BL154" s="107"/>
      <c r="BM154" s="687"/>
      <c r="BO154" s="577"/>
      <c r="BS154" s="904"/>
      <c r="BT154" s="789"/>
      <c r="BU154" s="789">
        <v>5561.4242943926456</v>
      </c>
      <c r="BV154" s="789">
        <v>0</v>
      </c>
      <c r="BW154" s="789">
        <f t="shared" si="104"/>
        <v>5561.4242943926456</v>
      </c>
    </row>
    <row r="155" spans="1:75" ht="15" thickBot="1" x14ac:dyDescent="0.35">
      <c r="A155" s="220" t="s">
        <v>101</v>
      </c>
      <c r="B155" s="238">
        <v>1</v>
      </c>
      <c r="C155" s="40">
        <f>'[7]побудинковий звіт'!E155</f>
        <v>110.7</v>
      </c>
      <c r="D155" s="215">
        <f t="shared" si="79"/>
        <v>61.328168201035346</v>
      </c>
      <c r="E155" s="107">
        <f t="shared" si="80"/>
        <v>13.492208271678001</v>
      </c>
      <c r="F155" s="107">
        <f t="shared" si="81"/>
        <v>0</v>
      </c>
      <c r="G155" s="107">
        <f t="shared" si="82"/>
        <v>0</v>
      </c>
      <c r="H155" s="107">
        <f t="shared" si="83"/>
        <v>51.238132510891781</v>
      </c>
      <c r="I155" s="107">
        <f t="shared" si="84"/>
        <v>16.225348024218007</v>
      </c>
      <c r="J155" s="687">
        <f t="shared" si="72"/>
        <v>0</v>
      </c>
      <c r="K155" s="142">
        <f t="shared" si="85"/>
        <v>142.28385700782314</v>
      </c>
      <c r="L155" s="141">
        <f t="shared" si="73"/>
        <v>0</v>
      </c>
      <c r="M155" s="107">
        <f t="shared" si="74"/>
        <v>0</v>
      </c>
      <c r="N155" s="30">
        <f t="shared" si="86"/>
        <v>0</v>
      </c>
      <c r="O155" s="107">
        <f t="shared" si="75"/>
        <v>0.19929425297387815</v>
      </c>
      <c r="P155" s="107">
        <f t="shared" si="87"/>
        <v>0</v>
      </c>
      <c r="Q155" s="107">
        <f t="shared" si="88"/>
        <v>2.5651728231596605E-2</v>
      </c>
      <c r="R155" s="143">
        <f t="shared" si="89"/>
        <v>0.22494598120547477</v>
      </c>
      <c r="S155" s="141">
        <f t="shared" si="90"/>
        <v>0</v>
      </c>
      <c r="T155" s="107">
        <f t="shared" si="76"/>
        <v>0</v>
      </c>
      <c r="U155" s="142">
        <f t="shared" si="91"/>
        <v>0</v>
      </c>
      <c r="V155" s="107"/>
      <c r="W155" s="107">
        <f t="shared" si="92"/>
        <v>0</v>
      </c>
      <c r="X155" s="142">
        <f t="shared" si="93"/>
        <v>0</v>
      </c>
      <c r="Y155" s="141">
        <v>0</v>
      </c>
      <c r="Z155" s="144">
        <v>0</v>
      </c>
      <c r="AA155" s="107">
        <f t="shared" si="77"/>
        <v>0</v>
      </c>
      <c r="AB155" s="142">
        <f t="shared" si="78"/>
        <v>0</v>
      </c>
      <c r="AC155" s="141">
        <v>0</v>
      </c>
      <c r="AD155" s="107">
        <f t="shared" si="94"/>
        <v>0</v>
      </c>
      <c r="AE155" s="142">
        <f t="shared" si="95"/>
        <v>0</v>
      </c>
      <c r="AF155" s="145">
        <v>0</v>
      </c>
      <c r="AG155" s="107">
        <f t="shared" si="96"/>
        <v>0</v>
      </c>
      <c r="AH155" s="142">
        <f t="shared" si="97"/>
        <v>0</v>
      </c>
      <c r="AI155" s="145">
        <v>0</v>
      </c>
      <c r="AJ155" s="107">
        <f t="shared" si="98"/>
        <v>0</v>
      </c>
      <c r="AK155" s="142">
        <f t="shared" si="99"/>
        <v>0</v>
      </c>
      <c r="AL155" s="146"/>
      <c r="AM155" s="215"/>
      <c r="AN155" s="107">
        <f t="shared" si="100"/>
        <v>0</v>
      </c>
      <c r="AO155" s="151">
        <f t="shared" si="101"/>
        <v>0</v>
      </c>
      <c r="AP155" s="282">
        <f t="shared" si="102"/>
        <v>0</v>
      </c>
      <c r="AQ155" s="684">
        <v>56.6</v>
      </c>
      <c r="AR155" s="741">
        <v>0</v>
      </c>
      <c r="AS155" s="741">
        <v>0</v>
      </c>
      <c r="AT155" s="741">
        <v>0</v>
      </c>
      <c r="AU155" s="411">
        <v>0</v>
      </c>
      <c r="AV155" s="801"/>
      <c r="AW155" s="256"/>
      <c r="AX155" s="728">
        <f t="shared" si="103"/>
        <v>0</v>
      </c>
      <c r="AY155" s="729">
        <v>0</v>
      </c>
      <c r="AZ155" s="730"/>
      <c r="BA155" s="731">
        <v>0</v>
      </c>
      <c r="BC155" s="727">
        <v>0</v>
      </c>
      <c r="BD155" s="727">
        <v>0</v>
      </c>
      <c r="BE155" s="727"/>
      <c r="BF155" s="727"/>
      <c r="BG155" s="727">
        <v>0</v>
      </c>
      <c r="BH155" s="727">
        <v>0</v>
      </c>
      <c r="BI155" s="137">
        <f>BC155+BD155+BE155+BG155+BH155</f>
        <v>0</v>
      </c>
      <c r="BJ155" s="126"/>
      <c r="BK155" s="807"/>
      <c r="BL155" s="107"/>
      <c r="BM155" s="687"/>
      <c r="BO155" s="577"/>
      <c r="BS155" s="904"/>
      <c r="BT155" s="789"/>
      <c r="BU155" s="789">
        <v>0</v>
      </c>
      <c r="BV155" s="789">
        <v>0</v>
      </c>
      <c r="BW155" s="789">
        <f t="shared" si="104"/>
        <v>0</v>
      </c>
    </row>
    <row r="156" spans="1:75" ht="15" thickBot="1" x14ac:dyDescent="0.35">
      <c r="A156" s="220" t="s">
        <v>102</v>
      </c>
      <c r="B156" s="238">
        <v>1</v>
      </c>
      <c r="C156" s="40">
        <f>'[7]побудинковий звіт'!E156</f>
        <v>211.4</v>
      </c>
      <c r="D156" s="215">
        <f t="shared" si="79"/>
        <v>68.999606908868031</v>
      </c>
      <c r="E156" s="107">
        <f t="shared" si="80"/>
        <v>15.179926196827829</v>
      </c>
      <c r="F156" s="107">
        <f t="shared" si="81"/>
        <v>0</v>
      </c>
      <c r="G156" s="107">
        <f t="shared" si="82"/>
        <v>0</v>
      </c>
      <c r="H156" s="107">
        <f t="shared" si="83"/>
        <v>57.647425411547495</v>
      </c>
      <c r="I156" s="107">
        <f t="shared" si="84"/>
        <v>18.254949861876373</v>
      </c>
      <c r="J156" s="687">
        <f t="shared" si="72"/>
        <v>0</v>
      </c>
      <c r="K156" s="142">
        <f t="shared" si="85"/>
        <v>160.08190837911974</v>
      </c>
      <c r="L156" s="141">
        <f t="shared" si="73"/>
        <v>0</v>
      </c>
      <c r="M156" s="107">
        <f t="shared" si="74"/>
        <v>0</v>
      </c>
      <c r="N156" s="30">
        <f t="shared" si="86"/>
        <v>0</v>
      </c>
      <c r="O156" s="107">
        <f t="shared" si="75"/>
        <v>0.38058541173150712</v>
      </c>
      <c r="P156" s="107">
        <f t="shared" si="87"/>
        <v>0</v>
      </c>
      <c r="Q156" s="107">
        <f t="shared" si="88"/>
        <v>4.8986227173979421E-2</v>
      </c>
      <c r="R156" s="143">
        <f t="shared" si="89"/>
        <v>0.42957163890548655</v>
      </c>
      <c r="S156" s="141">
        <f t="shared" si="90"/>
        <v>0</v>
      </c>
      <c r="T156" s="107">
        <f t="shared" si="76"/>
        <v>0</v>
      </c>
      <c r="U156" s="142">
        <f t="shared" si="91"/>
        <v>0</v>
      </c>
      <c r="V156" s="107"/>
      <c r="W156" s="107">
        <f t="shared" si="92"/>
        <v>0</v>
      </c>
      <c r="X156" s="142">
        <f t="shared" si="93"/>
        <v>0</v>
      </c>
      <c r="Y156" s="141">
        <v>0</v>
      </c>
      <c r="Z156" s="144">
        <v>0</v>
      </c>
      <c r="AA156" s="107">
        <f t="shared" si="77"/>
        <v>0</v>
      </c>
      <c r="AB156" s="142">
        <f t="shared" si="78"/>
        <v>0</v>
      </c>
      <c r="AC156" s="141">
        <v>0</v>
      </c>
      <c r="AD156" s="107">
        <f t="shared" si="94"/>
        <v>0</v>
      </c>
      <c r="AE156" s="142">
        <f t="shared" si="95"/>
        <v>0</v>
      </c>
      <c r="AF156" s="145">
        <v>0</v>
      </c>
      <c r="AG156" s="107">
        <f t="shared" si="96"/>
        <v>0</v>
      </c>
      <c r="AH156" s="142">
        <f t="shared" si="97"/>
        <v>0</v>
      </c>
      <c r="AI156" s="145">
        <v>0</v>
      </c>
      <c r="AJ156" s="107">
        <f t="shared" si="98"/>
        <v>0</v>
      </c>
      <c r="AK156" s="142">
        <f t="shared" si="99"/>
        <v>0</v>
      </c>
      <c r="AL156" s="146"/>
      <c r="AM156" s="215"/>
      <c r="AN156" s="107">
        <f t="shared" si="100"/>
        <v>0</v>
      </c>
      <c r="AO156" s="151">
        <f t="shared" si="101"/>
        <v>0</v>
      </c>
      <c r="AP156" s="282">
        <f t="shared" si="102"/>
        <v>0</v>
      </c>
      <c r="AQ156" s="684">
        <v>63.68</v>
      </c>
      <c r="AR156" s="741">
        <v>0</v>
      </c>
      <c r="AS156" s="741">
        <v>0</v>
      </c>
      <c r="AT156" s="741">
        <v>0</v>
      </c>
      <c r="AU156" s="411">
        <v>0</v>
      </c>
      <c r="AV156" s="801"/>
      <c r="AW156" s="256"/>
      <c r="AX156" s="728">
        <f t="shared" si="103"/>
        <v>0</v>
      </c>
      <c r="AY156" s="729">
        <v>0</v>
      </c>
      <c r="AZ156" s="730"/>
      <c r="BA156" s="731">
        <v>0</v>
      </c>
      <c r="BC156" s="727">
        <v>0</v>
      </c>
      <c r="BD156" s="727">
        <v>0</v>
      </c>
      <c r="BE156" s="727"/>
      <c r="BF156" s="727"/>
      <c r="BG156" s="727">
        <v>0</v>
      </c>
      <c r="BH156" s="727">
        <v>0</v>
      </c>
      <c r="BI156" s="137">
        <f>BC156+BD156+BE156+BG156+BH156</f>
        <v>0</v>
      </c>
      <c r="BJ156" s="126"/>
      <c r="BK156" s="807"/>
      <c r="BL156" s="107"/>
      <c r="BM156" s="687"/>
      <c r="BO156" s="577"/>
      <c r="BS156" s="904"/>
      <c r="BT156" s="789"/>
      <c r="BU156" s="789">
        <v>0</v>
      </c>
      <c r="BV156" s="789">
        <v>0</v>
      </c>
      <c r="BW156" s="789">
        <f t="shared" si="104"/>
        <v>0</v>
      </c>
    </row>
    <row r="157" spans="1:75" ht="15" thickBot="1" x14ac:dyDescent="0.35">
      <c r="A157" s="219" t="s">
        <v>368</v>
      </c>
      <c r="B157" s="237">
        <v>9</v>
      </c>
      <c r="C157" s="40">
        <f>'[7]побудинковий звіт'!E157</f>
        <v>7425.1</v>
      </c>
      <c r="D157" s="215">
        <f t="shared" si="79"/>
        <v>6577.539318594746</v>
      </c>
      <c r="E157" s="107">
        <f t="shared" si="80"/>
        <v>1447.0598585420184</v>
      </c>
      <c r="F157" s="107">
        <f t="shared" si="81"/>
        <v>215.0675471451969</v>
      </c>
      <c r="G157" s="107">
        <f t="shared" si="82"/>
        <v>0</v>
      </c>
      <c r="H157" s="107">
        <f t="shared" si="83"/>
        <v>5495.367644065208</v>
      </c>
      <c r="I157" s="107">
        <f t="shared" si="84"/>
        <v>1767.8752076943276</v>
      </c>
      <c r="J157" s="687">
        <f t="shared" si="72"/>
        <v>0</v>
      </c>
      <c r="K157" s="142">
        <f t="shared" si="85"/>
        <v>15502.909576041497</v>
      </c>
      <c r="L157" s="141">
        <f t="shared" si="73"/>
        <v>1919.0463693339727</v>
      </c>
      <c r="M157" s="107">
        <f t="shared" si="74"/>
        <v>422.18821410035378</v>
      </c>
      <c r="N157" s="30">
        <f t="shared" si="86"/>
        <v>272.11790807398575</v>
      </c>
      <c r="O157" s="107">
        <f t="shared" si="75"/>
        <v>13.367477486507161</v>
      </c>
      <c r="P157" s="107">
        <f t="shared" si="87"/>
        <v>1603.3146766124978</v>
      </c>
      <c r="Q157" s="107">
        <f t="shared" si="88"/>
        <v>544.45974994361347</v>
      </c>
      <c r="R157" s="143">
        <f t="shared" si="89"/>
        <v>4774.4943955509298</v>
      </c>
      <c r="S157" s="141">
        <f t="shared" si="90"/>
        <v>165.08799999999999</v>
      </c>
      <c r="T157" s="107">
        <f t="shared" si="76"/>
        <v>21.248944448252011</v>
      </c>
      <c r="U157" s="142">
        <f t="shared" si="91"/>
        <v>186.33694444825201</v>
      </c>
      <c r="V157" s="107"/>
      <c r="W157" s="107">
        <f t="shared" si="92"/>
        <v>0</v>
      </c>
      <c r="X157" s="142">
        <f t="shared" si="93"/>
        <v>0</v>
      </c>
      <c r="Y157" s="141">
        <v>5307.92</v>
      </c>
      <c r="Z157" s="144">
        <v>0</v>
      </c>
      <c r="AA157" s="107">
        <f t="shared" si="77"/>
        <v>683.19742934535418</v>
      </c>
      <c r="AB157" s="142">
        <f t="shared" si="78"/>
        <v>5991.1174293453541</v>
      </c>
      <c r="AC157" s="141">
        <v>118.075</v>
      </c>
      <c r="AD157" s="107">
        <f t="shared" si="94"/>
        <v>15.197767952409361</v>
      </c>
      <c r="AE157" s="142">
        <f t="shared" si="95"/>
        <v>133.27276795240937</v>
      </c>
      <c r="AF157" s="145">
        <v>1287</v>
      </c>
      <c r="AG157" s="107">
        <f t="shared" si="96"/>
        <v>165.65341820665549</v>
      </c>
      <c r="AH157" s="142">
        <f t="shared" si="97"/>
        <v>1452.6534182066555</v>
      </c>
      <c r="AI157" s="145">
        <v>1183.5999999999999</v>
      </c>
      <c r="AJ157" s="107">
        <f t="shared" si="98"/>
        <v>152.3445111028729</v>
      </c>
      <c r="AK157" s="142">
        <f t="shared" si="99"/>
        <v>1335.9445111028729</v>
      </c>
      <c r="AL157" s="146"/>
      <c r="AM157" s="146"/>
      <c r="AN157" s="107">
        <f t="shared" si="100"/>
        <v>0</v>
      </c>
      <c r="AO157" s="151">
        <f t="shared" si="101"/>
        <v>0</v>
      </c>
      <c r="AP157" s="282">
        <f t="shared" si="102"/>
        <v>7842.8428299729803</v>
      </c>
      <c r="AQ157" s="684">
        <v>0</v>
      </c>
      <c r="AR157" s="741">
        <v>6070.4360875754583</v>
      </c>
      <c r="AS157" s="741">
        <v>1703.8851916544004</v>
      </c>
      <c r="AT157" s="741">
        <v>68.521550743122035</v>
      </c>
      <c r="AU157" s="411">
        <v>0</v>
      </c>
      <c r="AV157" s="801"/>
      <c r="AW157" s="256"/>
      <c r="AX157" s="728">
        <f t="shared" si="103"/>
        <v>215.0675471451969</v>
      </c>
      <c r="AY157" s="729">
        <v>272.11790807398575</v>
      </c>
      <c r="AZ157" s="730"/>
      <c r="BA157" s="731">
        <v>0</v>
      </c>
      <c r="BC157" s="727">
        <v>0</v>
      </c>
      <c r="BD157" s="727">
        <v>215.0675471451969</v>
      </c>
      <c r="BE157" s="727"/>
      <c r="BF157" s="727"/>
      <c r="BG157" s="727">
        <v>0</v>
      </c>
      <c r="BH157" s="727">
        <v>12.207723801086983</v>
      </c>
      <c r="BI157" s="137">
        <f>BC157+BD157+BE157+BG157</f>
        <v>215.0675471451969</v>
      </c>
      <c r="BJ157" s="126">
        <v>750.4</v>
      </c>
      <c r="BK157" s="807"/>
      <c r="BL157" s="107"/>
      <c r="BM157" s="687"/>
      <c r="BO157" s="577"/>
      <c r="BS157" s="904"/>
      <c r="BT157" s="789"/>
      <c r="BU157" s="789">
        <v>5875.7950945713237</v>
      </c>
      <c r="BV157" s="789">
        <v>0</v>
      </c>
      <c r="BW157" s="789">
        <f t="shared" si="104"/>
        <v>5875.7950945713237</v>
      </c>
    </row>
    <row r="158" spans="1:75" ht="15" thickBot="1" x14ac:dyDescent="0.35">
      <c r="A158" s="219" t="s">
        <v>335</v>
      </c>
      <c r="B158" s="237">
        <v>8</v>
      </c>
      <c r="C158" s="40">
        <f>'[7]побудинковий звіт'!E158</f>
        <v>6125.75</v>
      </c>
      <c r="D158" s="215">
        <f t="shared" si="79"/>
        <v>4307.0560272103821</v>
      </c>
      <c r="E158" s="107">
        <f t="shared" si="80"/>
        <v>947.55311729541381</v>
      </c>
      <c r="F158" s="107">
        <f t="shared" si="81"/>
        <v>177.38198932677651</v>
      </c>
      <c r="G158" s="107">
        <f t="shared" si="82"/>
        <v>0</v>
      </c>
      <c r="H158" s="107">
        <f t="shared" si="83"/>
        <v>3598.4363128314508</v>
      </c>
      <c r="I158" s="107">
        <f t="shared" si="84"/>
        <v>1162.3319148462281</v>
      </c>
      <c r="J158" s="687">
        <f t="shared" si="72"/>
        <v>0</v>
      </c>
      <c r="K158" s="142">
        <f t="shared" si="85"/>
        <v>10192.759361510252</v>
      </c>
      <c r="L158" s="141">
        <f t="shared" si="73"/>
        <v>1883.44344721372</v>
      </c>
      <c r="M158" s="107">
        <f t="shared" si="74"/>
        <v>414.35560810036418</v>
      </c>
      <c r="N158" s="30">
        <f t="shared" si="86"/>
        <v>150.72731810525457</v>
      </c>
      <c r="O158" s="107">
        <f t="shared" si="75"/>
        <v>11.028245439518827</v>
      </c>
      <c r="P158" s="107">
        <f t="shared" si="87"/>
        <v>1573.569336177861</v>
      </c>
      <c r="Q158" s="107">
        <f t="shared" si="88"/>
        <v>519.11481678553071</v>
      </c>
      <c r="R158" s="143">
        <f t="shared" si="89"/>
        <v>4552.2387718222499</v>
      </c>
      <c r="S158" s="141">
        <f t="shared" si="90"/>
        <v>184.79999999999998</v>
      </c>
      <c r="T158" s="107">
        <f t="shared" si="76"/>
        <v>23.786131845058222</v>
      </c>
      <c r="U158" s="142">
        <f t="shared" si="91"/>
        <v>208.58613184505822</v>
      </c>
      <c r="V158" s="107"/>
      <c r="W158" s="107">
        <f t="shared" si="92"/>
        <v>0</v>
      </c>
      <c r="X158" s="142">
        <f t="shared" si="93"/>
        <v>0</v>
      </c>
      <c r="Y158" s="141">
        <v>5555.89</v>
      </c>
      <c r="Z158" s="144">
        <v>0</v>
      </c>
      <c r="AA158" s="107">
        <f t="shared" si="77"/>
        <v>715.11435095584704</v>
      </c>
      <c r="AB158" s="142">
        <f t="shared" si="78"/>
        <v>6271.0043509558473</v>
      </c>
      <c r="AC158" s="141">
        <v>118.075</v>
      </c>
      <c r="AD158" s="107">
        <f t="shared" si="94"/>
        <v>15.197767952409361</v>
      </c>
      <c r="AE158" s="142">
        <f t="shared" si="95"/>
        <v>133.27276795240937</v>
      </c>
      <c r="AF158" s="145">
        <v>0</v>
      </c>
      <c r="AG158" s="107">
        <f t="shared" si="96"/>
        <v>0</v>
      </c>
      <c r="AH158" s="142">
        <f t="shared" si="97"/>
        <v>0</v>
      </c>
      <c r="AI158" s="145">
        <v>1146.2</v>
      </c>
      <c r="AJ158" s="107">
        <f t="shared" si="98"/>
        <v>147.53065108661113</v>
      </c>
      <c r="AK158" s="142">
        <f t="shared" si="99"/>
        <v>1293.7306510866113</v>
      </c>
      <c r="AL158" s="146"/>
      <c r="AM158" s="146"/>
      <c r="AN158" s="107">
        <f t="shared" si="100"/>
        <v>0</v>
      </c>
      <c r="AO158" s="151">
        <f t="shared" si="101"/>
        <v>0</v>
      </c>
      <c r="AP158" s="282">
        <f t="shared" si="102"/>
        <v>5714.5227486308322</v>
      </c>
      <c r="AQ158" s="684">
        <v>0</v>
      </c>
      <c r="AR158" s="741">
        <v>3974.9984108606091</v>
      </c>
      <c r="AS158" s="741">
        <v>1676.5094492621226</v>
      </c>
      <c r="AT158" s="741">
        <v>63.014888508100391</v>
      </c>
      <c r="AU158" s="411">
        <v>0</v>
      </c>
      <c r="AV158" s="801"/>
      <c r="AW158" s="256"/>
      <c r="AX158" s="728">
        <f t="shared" si="103"/>
        <v>177.38198932677651</v>
      </c>
      <c r="AY158" s="729">
        <v>150.72731810525457</v>
      </c>
      <c r="AZ158" s="730"/>
      <c r="BA158" s="731">
        <v>0</v>
      </c>
      <c r="BC158" s="727">
        <v>0</v>
      </c>
      <c r="BD158" s="727">
        <v>177.38198932677651</v>
      </c>
      <c r="BE158" s="727"/>
      <c r="BF158" s="727"/>
      <c r="BG158" s="727">
        <v>0</v>
      </c>
      <c r="BH158" s="727">
        <v>10.05578566811119</v>
      </c>
      <c r="BI158" s="137">
        <f>BC158+BD158+BE158+BG158</f>
        <v>177.38198932677651</v>
      </c>
      <c r="BJ158" s="126">
        <v>840</v>
      </c>
      <c r="BK158" s="807"/>
      <c r="BL158" s="107"/>
      <c r="BM158" s="687"/>
      <c r="BO158" s="577"/>
      <c r="BS158" s="904"/>
      <c r="BT158" s="789"/>
      <c r="BU158" s="789">
        <v>3859.6824660375541</v>
      </c>
      <c r="BV158" s="789">
        <v>0</v>
      </c>
      <c r="BW158" s="789">
        <f t="shared" si="104"/>
        <v>3859.6824660375541</v>
      </c>
    </row>
    <row r="159" spans="1:75" ht="15" thickBot="1" x14ac:dyDescent="0.35">
      <c r="A159" s="220" t="s">
        <v>103</v>
      </c>
      <c r="B159" s="238">
        <v>1</v>
      </c>
      <c r="C159" s="40">
        <f>'[7]побудинковий звіт'!E159</f>
        <v>159.9</v>
      </c>
      <c r="D159" s="215">
        <f t="shared" si="79"/>
        <v>115.00656842505109</v>
      </c>
      <c r="E159" s="107">
        <f t="shared" si="80"/>
        <v>25.301466182966486</v>
      </c>
      <c r="F159" s="107">
        <f t="shared" si="81"/>
        <v>0</v>
      </c>
      <c r="G159" s="107">
        <f t="shared" si="82"/>
        <v>0</v>
      </c>
      <c r="H159" s="107">
        <f t="shared" si="83"/>
        <v>96.085077468304831</v>
      </c>
      <c r="I159" s="107">
        <f t="shared" si="84"/>
        <v>30.426827549302111</v>
      </c>
      <c r="J159" s="687">
        <f t="shared" si="72"/>
        <v>0</v>
      </c>
      <c r="K159" s="142">
        <f t="shared" si="85"/>
        <v>266.8199396256245</v>
      </c>
      <c r="L159" s="141">
        <f t="shared" si="73"/>
        <v>0</v>
      </c>
      <c r="M159" s="107">
        <f t="shared" si="74"/>
        <v>0</v>
      </c>
      <c r="N159" s="30">
        <f t="shared" si="86"/>
        <v>0</v>
      </c>
      <c r="O159" s="107">
        <f t="shared" si="75"/>
        <v>0.28786947651782402</v>
      </c>
      <c r="P159" s="107">
        <f t="shared" si="87"/>
        <v>0</v>
      </c>
      <c r="Q159" s="107">
        <f t="shared" si="88"/>
        <v>3.705249633452843E-2</v>
      </c>
      <c r="R159" s="143">
        <f t="shared" si="89"/>
        <v>0.32492197285235247</v>
      </c>
      <c r="S159" s="141">
        <f t="shared" si="90"/>
        <v>0</v>
      </c>
      <c r="T159" s="107">
        <f t="shared" si="76"/>
        <v>0</v>
      </c>
      <c r="U159" s="142">
        <f t="shared" si="91"/>
        <v>0</v>
      </c>
      <c r="V159" s="107"/>
      <c r="W159" s="107">
        <f t="shared" si="92"/>
        <v>0</v>
      </c>
      <c r="X159" s="142">
        <f t="shared" si="93"/>
        <v>0</v>
      </c>
      <c r="Y159" s="141">
        <v>0</v>
      </c>
      <c r="Z159" s="144">
        <v>0</v>
      </c>
      <c r="AA159" s="107">
        <f t="shared" si="77"/>
        <v>0</v>
      </c>
      <c r="AB159" s="142">
        <f t="shared" si="78"/>
        <v>0</v>
      </c>
      <c r="AC159" s="141">
        <v>0</v>
      </c>
      <c r="AD159" s="107">
        <f t="shared" si="94"/>
        <v>0</v>
      </c>
      <c r="AE159" s="142">
        <f t="shared" si="95"/>
        <v>0</v>
      </c>
      <c r="AF159" s="145">
        <v>0</v>
      </c>
      <c r="AG159" s="107">
        <f t="shared" si="96"/>
        <v>0</v>
      </c>
      <c r="AH159" s="142">
        <f t="shared" si="97"/>
        <v>0</v>
      </c>
      <c r="AI159" s="145">
        <v>0</v>
      </c>
      <c r="AJ159" s="107">
        <f t="shared" si="98"/>
        <v>0</v>
      </c>
      <c r="AK159" s="142">
        <f t="shared" si="99"/>
        <v>0</v>
      </c>
      <c r="AL159" s="146"/>
      <c r="AM159" s="215"/>
      <c r="AN159" s="107">
        <f t="shared" si="100"/>
        <v>0</v>
      </c>
      <c r="AO159" s="151">
        <f t="shared" si="101"/>
        <v>0</v>
      </c>
      <c r="AP159" s="282">
        <f t="shared" si="102"/>
        <v>0</v>
      </c>
      <c r="AQ159" s="684">
        <v>106.14</v>
      </c>
      <c r="AR159" s="741">
        <v>0</v>
      </c>
      <c r="AS159" s="741">
        <v>0</v>
      </c>
      <c r="AT159" s="741">
        <v>0</v>
      </c>
      <c r="AU159" s="411">
        <v>0</v>
      </c>
      <c r="AV159" s="801"/>
      <c r="AW159" s="256"/>
      <c r="AX159" s="728">
        <f t="shared" si="103"/>
        <v>0</v>
      </c>
      <c r="AY159" s="729">
        <v>0</v>
      </c>
      <c r="AZ159" s="730"/>
      <c r="BA159" s="731">
        <v>0</v>
      </c>
      <c r="BC159" s="727">
        <v>0</v>
      </c>
      <c r="BD159" s="727">
        <v>0</v>
      </c>
      <c r="BE159" s="727"/>
      <c r="BF159" s="727"/>
      <c r="BG159" s="727">
        <v>0</v>
      </c>
      <c r="BH159" s="727">
        <v>0</v>
      </c>
      <c r="BI159" s="137">
        <f>BC159+BD159+BE159+BG159+BH159</f>
        <v>0</v>
      </c>
      <c r="BJ159" s="126"/>
      <c r="BK159" s="807"/>
      <c r="BL159" s="107"/>
      <c r="BM159" s="687"/>
      <c r="BO159" s="577"/>
      <c r="BS159" s="904"/>
      <c r="BT159" s="789"/>
      <c r="BU159" s="789">
        <v>0</v>
      </c>
      <c r="BV159" s="789">
        <v>0</v>
      </c>
      <c r="BW159" s="789">
        <f t="shared" si="104"/>
        <v>0</v>
      </c>
    </row>
    <row r="160" spans="1:75" ht="15" thickBot="1" x14ac:dyDescent="0.35">
      <c r="A160" s="220" t="s">
        <v>104</v>
      </c>
      <c r="B160" s="238">
        <v>1</v>
      </c>
      <c r="C160" s="40">
        <f>'[7]побудинковий звіт'!E160</f>
        <v>161.4</v>
      </c>
      <c r="D160" s="215">
        <f t="shared" si="79"/>
        <v>115.00656842505109</v>
      </c>
      <c r="E160" s="107">
        <f t="shared" si="80"/>
        <v>25.301466182966486</v>
      </c>
      <c r="F160" s="107">
        <f t="shared" si="81"/>
        <v>0</v>
      </c>
      <c r="G160" s="107">
        <f t="shared" si="82"/>
        <v>0</v>
      </c>
      <c r="H160" s="107">
        <f t="shared" si="83"/>
        <v>96.085077468304831</v>
      </c>
      <c r="I160" s="107">
        <f t="shared" si="84"/>
        <v>30.426827549302111</v>
      </c>
      <c r="J160" s="687">
        <f t="shared" si="72"/>
        <v>0</v>
      </c>
      <c r="K160" s="142">
        <f t="shared" si="85"/>
        <v>266.8199396256245</v>
      </c>
      <c r="L160" s="141">
        <f t="shared" si="73"/>
        <v>0</v>
      </c>
      <c r="M160" s="107">
        <f t="shared" si="74"/>
        <v>0</v>
      </c>
      <c r="N160" s="30">
        <f t="shared" si="86"/>
        <v>0</v>
      </c>
      <c r="O160" s="107">
        <f t="shared" si="75"/>
        <v>0.29056994065026137</v>
      </c>
      <c r="P160" s="107">
        <f t="shared" si="87"/>
        <v>0</v>
      </c>
      <c r="Q160" s="107">
        <f t="shared" si="88"/>
        <v>3.7400080727910498E-2</v>
      </c>
      <c r="R160" s="143">
        <f t="shared" si="89"/>
        <v>0.32797002137817188</v>
      </c>
      <c r="S160" s="141">
        <f t="shared" si="90"/>
        <v>0</v>
      </c>
      <c r="T160" s="107">
        <f t="shared" si="76"/>
        <v>0</v>
      </c>
      <c r="U160" s="142">
        <f t="shared" si="91"/>
        <v>0</v>
      </c>
      <c r="V160" s="107"/>
      <c r="W160" s="107">
        <f t="shared" si="92"/>
        <v>0</v>
      </c>
      <c r="X160" s="142">
        <f t="shared" si="93"/>
        <v>0</v>
      </c>
      <c r="Y160" s="141">
        <v>0</v>
      </c>
      <c r="Z160" s="144">
        <v>0</v>
      </c>
      <c r="AA160" s="107">
        <f t="shared" si="77"/>
        <v>0</v>
      </c>
      <c r="AB160" s="142">
        <f t="shared" si="78"/>
        <v>0</v>
      </c>
      <c r="AC160" s="141">
        <v>0</v>
      </c>
      <c r="AD160" s="107">
        <f t="shared" si="94"/>
        <v>0</v>
      </c>
      <c r="AE160" s="142">
        <f t="shared" si="95"/>
        <v>0</v>
      </c>
      <c r="AF160" s="145">
        <v>0</v>
      </c>
      <c r="AG160" s="107">
        <f t="shared" si="96"/>
        <v>0</v>
      </c>
      <c r="AH160" s="142">
        <f t="shared" si="97"/>
        <v>0</v>
      </c>
      <c r="AI160" s="145">
        <v>0</v>
      </c>
      <c r="AJ160" s="107">
        <f t="shared" si="98"/>
        <v>0</v>
      </c>
      <c r="AK160" s="142">
        <f t="shared" si="99"/>
        <v>0</v>
      </c>
      <c r="AL160" s="146"/>
      <c r="AM160" s="215"/>
      <c r="AN160" s="107">
        <f t="shared" si="100"/>
        <v>0</v>
      </c>
      <c r="AO160" s="151">
        <f t="shared" si="101"/>
        <v>0</v>
      </c>
      <c r="AP160" s="282">
        <f t="shared" si="102"/>
        <v>0</v>
      </c>
      <c r="AQ160" s="684">
        <v>106.14</v>
      </c>
      <c r="AR160" s="741">
        <v>0</v>
      </c>
      <c r="AS160" s="741">
        <v>0</v>
      </c>
      <c r="AT160" s="741">
        <v>0</v>
      </c>
      <c r="AU160" s="411">
        <v>0</v>
      </c>
      <c r="AV160" s="801"/>
      <c r="AW160" s="256"/>
      <c r="AX160" s="728">
        <f t="shared" si="103"/>
        <v>0</v>
      </c>
      <c r="AY160" s="729">
        <v>0</v>
      </c>
      <c r="AZ160" s="730"/>
      <c r="BA160" s="731">
        <v>0</v>
      </c>
      <c r="BC160" s="727">
        <v>0</v>
      </c>
      <c r="BD160" s="727">
        <v>0</v>
      </c>
      <c r="BE160" s="727"/>
      <c r="BF160" s="727"/>
      <c r="BG160" s="727">
        <v>0</v>
      </c>
      <c r="BH160" s="727">
        <v>0</v>
      </c>
      <c r="BI160" s="137">
        <f>BC160+BD160+BE160+BG160+BH160</f>
        <v>0</v>
      </c>
      <c r="BJ160" s="126"/>
      <c r="BK160" s="807"/>
      <c r="BL160" s="107"/>
      <c r="BM160" s="687"/>
      <c r="BO160" s="577"/>
      <c r="BS160" s="904"/>
      <c r="BT160" s="789"/>
      <c r="BU160" s="789">
        <v>0</v>
      </c>
      <c r="BV160" s="789">
        <v>0</v>
      </c>
      <c r="BW160" s="789">
        <f t="shared" si="104"/>
        <v>0</v>
      </c>
    </row>
    <row r="161" spans="1:75" ht="15" thickBot="1" x14ac:dyDescent="0.35">
      <c r="A161" s="219" t="s">
        <v>369</v>
      </c>
      <c r="B161" s="237">
        <v>9</v>
      </c>
      <c r="C161" s="40">
        <f>'[7]побудинковий звіт'!E161</f>
        <v>6020</v>
      </c>
      <c r="D161" s="215">
        <f t="shared" si="79"/>
        <v>2313.5144863139321</v>
      </c>
      <c r="E161" s="107">
        <f t="shared" si="80"/>
        <v>508.97361203696858</v>
      </c>
      <c r="F161" s="107">
        <f t="shared" si="81"/>
        <v>178.5282927155603</v>
      </c>
      <c r="G161" s="107">
        <f t="shared" si="82"/>
        <v>0</v>
      </c>
      <c r="H161" s="107">
        <f t="shared" si="83"/>
        <v>1932.8828056145949</v>
      </c>
      <c r="I161" s="107">
        <f t="shared" si="84"/>
        <v>635.05615152858468</v>
      </c>
      <c r="J161" s="687">
        <f t="shared" si="72"/>
        <v>0</v>
      </c>
      <c r="K161" s="142">
        <f t="shared" si="85"/>
        <v>5568.9553482096399</v>
      </c>
      <c r="L161" s="141">
        <f t="shared" si="73"/>
        <v>1371.7776820759311</v>
      </c>
      <c r="M161" s="107">
        <f t="shared" si="74"/>
        <v>301.78966959477918</v>
      </c>
      <c r="N161" s="30">
        <f t="shared" si="86"/>
        <v>248.99601209164396</v>
      </c>
      <c r="O161" s="107">
        <f t="shared" si="75"/>
        <v>10.837862718181992</v>
      </c>
      <c r="P161" s="107">
        <f t="shared" si="87"/>
        <v>1146.0855380399889</v>
      </c>
      <c r="Q161" s="107">
        <f t="shared" si="88"/>
        <v>396.36947075755938</v>
      </c>
      <c r="R161" s="143">
        <f t="shared" si="89"/>
        <v>3475.8562352780846</v>
      </c>
      <c r="S161" s="141">
        <f t="shared" si="90"/>
        <v>202.07000000000002</v>
      </c>
      <c r="T161" s="107">
        <f t="shared" si="76"/>
        <v>26.009002499626167</v>
      </c>
      <c r="U161" s="142">
        <f t="shared" si="91"/>
        <v>228.0790024996262</v>
      </c>
      <c r="V161" s="735"/>
      <c r="W161" s="107">
        <f t="shared" si="92"/>
        <v>0</v>
      </c>
      <c r="X161" s="142">
        <f t="shared" si="93"/>
        <v>0</v>
      </c>
      <c r="Y161" s="141">
        <v>6420.61</v>
      </c>
      <c r="Z161" s="144">
        <v>0</v>
      </c>
      <c r="AA161" s="107">
        <f t="shared" si="77"/>
        <v>826.41491334252851</v>
      </c>
      <c r="AB161" s="142">
        <f t="shared" si="78"/>
        <v>7247.0249133425277</v>
      </c>
      <c r="AC161" s="141">
        <v>0</v>
      </c>
      <c r="AD161" s="107">
        <f t="shared" si="94"/>
        <v>0</v>
      </c>
      <c r="AE161" s="142">
        <f t="shared" si="95"/>
        <v>0</v>
      </c>
      <c r="AF161" s="145">
        <v>1540</v>
      </c>
      <c r="AG161" s="107">
        <f t="shared" si="96"/>
        <v>198.21776537548519</v>
      </c>
      <c r="AH161" s="142">
        <f t="shared" si="97"/>
        <v>1738.2177653754852</v>
      </c>
      <c r="AI161" s="145">
        <v>1322.2</v>
      </c>
      <c r="AJ161" s="107">
        <f t="shared" si="98"/>
        <v>170.18410998666658</v>
      </c>
      <c r="AK161" s="142">
        <f t="shared" si="99"/>
        <v>1492.3841099866665</v>
      </c>
      <c r="AL161" s="146"/>
      <c r="AM161" s="401"/>
      <c r="AN161" s="107">
        <f t="shared" si="100"/>
        <v>0</v>
      </c>
      <c r="AO161" s="151">
        <f t="shared" si="101"/>
        <v>0</v>
      </c>
      <c r="AP161" s="282">
        <f t="shared" si="102"/>
        <v>3402.1076956198549</v>
      </c>
      <c r="AQ161" s="684">
        <v>0</v>
      </c>
      <c r="AR161" s="741">
        <v>2135.1513303989072</v>
      </c>
      <c r="AS161" s="741">
        <v>1228.1397630202885</v>
      </c>
      <c r="AT161" s="741">
        <v>38.816602200658735</v>
      </c>
      <c r="AU161" s="411">
        <v>0</v>
      </c>
      <c r="AV161" s="801"/>
      <c r="AW161" s="256"/>
      <c r="AX161" s="728">
        <f t="shared" si="103"/>
        <v>178.5282927155603</v>
      </c>
      <c r="AY161" s="729">
        <v>248.99601209164396</v>
      </c>
      <c r="AZ161" s="730"/>
      <c r="BA161" s="731">
        <v>0</v>
      </c>
      <c r="BC161" s="727">
        <v>0</v>
      </c>
      <c r="BD161" s="727">
        <v>178.5282927155603</v>
      </c>
      <c r="BE161" s="727"/>
      <c r="BF161" s="727"/>
      <c r="BG161" s="727">
        <v>0</v>
      </c>
      <c r="BH161" s="727">
        <v>14.078099935355665</v>
      </c>
      <c r="BI161" s="137">
        <f>BC161+BD161+BE161+BG161</f>
        <v>178.5282927155603</v>
      </c>
      <c r="BJ161" s="126">
        <v>918.5</v>
      </c>
      <c r="BK161" s="807"/>
      <c r="BL161" s="107"/>
      <c r="BM161" s="687"/>
      <c r="BO161" s="577"/>
      <c r="BS161" s="904"/>
      <c r="BT161" s="789"/>
      <c r="BU161" s="789">
        <v>1711.6223142057765</v>
      </c>
      <c r="BV161" s="789">
        <v>0</v>
      </c>
      <c r="BW161" s="789">
        <f t="shared" si="104"/>
        <v>1711.6223142057765</v>
      </c>
    </row>
    <row r="162" spans="1:75" ht="15" thickBot="1" x14ac:dyDescent="0.35">
      <c r="A162" s="220" t="s">
        <v>105</v>
      </c>
      <c r="B162" s="238">
        <v>1</v>
      </c>
      <c r="C162" s="40">
        <f>'[7]побудинковий звіт'!E162</f>
        <v>108.3</v>
      </c>
      <c r="D162" s="215">
        <f t="shared" si="79"/>
        <v>0</v>
      </c>
      <c r="E162" s="107">
        <f t="shared" si="80"/>
        <v>0</v>
      </c>
      <c r="F162" s="107">
        <f t="shared" si="81"/>
        <v>0</v>
      </c>
      <c r="G162" s="107">
        <f t="shared" si="82"/>
        <v>0</v>
      </c>
      <c r="H162" s="107">
        <f t="shared" si="83"/>
        <v>0</v>
      </c>
      <c r="I162" s="107">
        <f t="shared" si="84"/>
        <v>0</v>
      </c>
      <c r="J162" s="687">
        <f t="shared" si="72"/>
        <v>0</v>
      </c>
      <c r="K162" s="142">
        <f t="shared" si="85"/>
        <v>0</v>
      </c>
      <c r="L162" s="141">
        <f t="shared" si="73"/>
        <v>0</v>
      </c>
      <c r="M162" s="107">
        <f t="shared" si="74"/>
        <v>0</v>
      </c>
      <c r="N162" s="30">
        <f t="shared" si="86"/>
        <v>0</v>
      </c>
      <c r="O162" s="107">
        <f t="shared" si="75"/>
        <v>0.19497351036197835</v>
      </c>
      <c r="P162" s="107">
        <f t="shared" si="87"/>
        <v>0</v>
      </c>
      <c r="Q162" s="107">
        <f t="shared" si="88"/>
        <v>2.5095593202185296E-2</v>
      </c>
      <c r="R162" s="143">
        <f t="shared" si="89"/>
        <v>0.22006910356416365</v>
      </c>
      <c r="S162" s="141">
        <f t="shared" si="90"/>
        <v>0</v>
      </c>
      <c r="T162" s="107">
        <f t="shared" si="76"/>
        <v>0</v>
      </c>
      <c r="U162" s="142">
        <f t="shared" si="91"/>
        <v>0</v>
      </c>
      <c r="V162" s="107"/>
      <c r="W162" s="107">
        <f t="shared" si="92"/>
        <v>0</v>
      </c>
      <c r="X162" s="142">
        <f t="shared" si="93"/>
        <v>0</v>
      </c>
      <c r="Y162" s="141">
        <v>0</v>
      </c>
      <c r="Z162" s="144">
        <v>0</v>
      </c>
      <c r="AA162" s="107">
        <f t="shared" si="77"/>
        <v>0</v>
      </c>
      <c r="AB162" s="142">
        <f t="shared" si="78"/>
        <v>0</v>
      </c>
      <c r="AC162" s="141">
        <v>0</v>
      </c>
      <c r="AD162" s="107">
        <f t="shared" si="94"/>
        <v>0</v>
      </c>
      <c r="AE162" s="142">
        <f t="shared" si="95"/>
        <v>0</v>
      </c>
      <c r="AF162" s="145">
        <v>0</v>
      </c>
      <c r="AG162" s="107">
        <f t="shared" si="96"/>
        <v>0</v>
      </c>
      <c r="AH162" s="142">
        <f t="shared" si="97"/>
        <v>0</v>
      </c>
      <c r="AI162" s="145">
        <v>0</v>
      </c>
      <c r="AJ162" s="107">
        <f t="shared" si="98"/>
        <v>0</v>
      </c>
      <c r="AK162" s="142">
        <f t="shared" si="99"/>
        <v>0</v>
      </c>
      <c r="AL162" s="146"/>
      <c r="AM162" s="215"/>
      <c r="AN162" s="107">
        <f t="shared" si="100"/>
        <v>0</v>
      </c>
      <c r="AO162" s="151">
        <f t="shared" si="101"/>
        <v>0</v>
      </c>
      <c r="AP162" s="282">
        <f t="shared" si="102"/>
        <v>0</v>
      </c>
      <c r="AQ162" s="684">
        <v>0</v>
      </c>
      <c r="AR162" s="740">
        <v>0</v>
      </c>
      <c r="AS162" s="740">
        <v>0</v>
      </c>
      <c r="AT162" s="740">
        <v>0</v>
      </c>
      <c r="AU162" s="411">
        <v>0</v>
      </c>
      <c r="AV162" s="801"/>
      <c r="AW162" s="256"/>
      <c r="AX162" s="728">
        <f t="shared" si="103"/>
        <v>0</v>
      </c>
      <c r="AY162" s="729">
        <v>0</v>
      </c>
      <c r="AZ162" s="730"/>
      <c r="BA162" s="731">
        <v>0</v>
      </c>
      <c r="BC162" s="727">
        <v>0</v>
      </c>
      <c r="BD162" s="727">
        <v>0</v>
      </c>
      <c r="BE162" s="727"/>
      <c r="BF162" s="727"/>
      <c r="BG162" s="727">
        <v>0</v>
      </c>
      <c r="BH162" s="727">
        <v>0</v>
      </c>
      <c r="BI162" s="137">
        <f t="shared" ref="BI162:BI178" si="106">BC162+BD162+BE162+BG162+BH162</f>
        <v>0</v>
      </c>
      <c r="BJ162" s="126"/>
      <c r="BK162" s="807"/>
      <c r="BL162" s="107"/>
      <c r="BM162" s="687"/>
      <c r="BO162" s="577"/>
      <c r="BS162" s="904"/>
      <c r="BT162" s="789"/>
      <c r="BU162" s="789">
        <v>0</v>
      </c>
      <c r="BV162" s="789">
        <v>0</v>
      </c>
      <c r="BW162" s="789">
        <f t="shared" si="104"/>
        <v>0</v>
      </c>
    </row>
    <row r="163" spans="1:75" ht="15" thickBot="1" x14ac:dyDescent="0.35">
      <c r="A163" s="220" t="s">
        <v>106</v>
      </c>
      <c r="B163" s="238">
        <v>1</v>
      </c>
      <c r="C163" s="40">
        <f>'[7]побудинковий звіт'!E163</f>
        <v>0</v>
      </c>
      <c r="D163" s="215">
        <f t="shared" si="79"/>
        <v>0</v>
      </c>
      <c r="E163" s="107">
        <f t="shared" si="80"/>
        <v>0</v>
      </c>
      <c r="F163" s="107">
        <f t="shared" si="81"/>
        <v>0</v>
      </c>
      <c r="G163" s="107">
        <f t="shared" si="82"/>
        <v>0</v>
      </c>
      <c r="H163" s="107">
        <f t="shared" si="83"/>
        <v>0</v>
      </c>
      <c r="I163" s="107">
        <f t="shared" si="84"/>
        <v>0</v>
      </c>
      <c r="J163" s="687">
        <f t="shared" si="72"/>
        <v>0</v>
      </c>
      <c r="K163" s="142">
        <f t="shared" si="85"/>
        <v>0</v>
      </c>
      <c r="L163" s="141">
        <f t="shared" si="73"/>
        <v>0</v>
      </c>
      <c r="M163" s="107">
        <f t="shared" si="74"/>
        <v>0</v>
      </c>
      <c r="N163" s="30">
        <f t="shared" si="86"/>
        <v>0</v>
      </c>
      <c r="O163" s="107">
        <f t="shared" si="75"/>
        <v>0</v>
      </c>
      <c r="P163" s="107">
        <f t="shared" si="87"/>
        <v>0</v>
      </c>
      <c r="Q163" s="107">
        <f t="shared" si="88"/>
        <v>0</v>
      </c>
      <c r="R163" s="143">
        <f t="shared" si="89"/>
        <v>0</v>
      </c>
      <c r="S163" s="141">
        <f t="shared" si="90"/>
        <v>0</v>
      </c>
      <c r="T163" s="107">
        <f t="shared" si="76"/>
        <v>0</v>
      </c>
      <c r="U163" s="142">
        <f t="shared" si="91"/>
        <v>0</v>
      </c>
      <c r="V163" s="107"/>
      <c r="W163" s="107">
        <f t="shared" si="92"/>
        <v>0</v>
      </c>
      <c r="X163" s="142">
        <f t="shared" si="93"/>
        <v>0</v>
      </c>
      <c r="Y163" s="141">
        <v>0</v>
      </c>
      <c r="Z163" s="144">
        <v>0</v>
      </c>
      <c r="AA163" s="107">
        <f t="shared" si="77"/>
        <v>0</v>
      </c>
      <c r="AB163" s="142">
        <f t="shared" si="78"/>
        <v>0</v>
      </c>
      <c r="AC163" s="141">
        <v>0</v>
      </c>
      <c r="AD163" s="107">
        <f t="shared" si="94"/>
        <v>0</v>
      </c>
      <c r="AE163" s="142">
        <f t="shared" si="95"/>
        <v>0</v>
      </c>
      <c r="AF163" s="145">
        <v>0</v>
      </c>
      <c r="AG163" s="107">
        <f t="shared" si="96"/>
        <v>0</v>
      </c>
      <c r="AH163" s="142">
        <f t="shared" si="97"/>
        <v>0</v>
      </c>
      <c r="AI163" s="145">
        <v>0</v>
      </c>
      <c r="AJ163" s="107">
        <f t="shared" si="98"/>
        <v>0</v>
      </c>
      <c r="AK163" s="142">
        <f t="shared" si="99"/>
        <v>0</v>
      </c>
      <c r="AL163" s="146"/>
      <c r="AM163" s="215"/>
      <c r="AN163" s="107">
        <f t="shared" si="100"/>
        <v>0</v>
      </c>
      <c r="AO163" s="151">
        <f t="shared" si="101"/>
        <v>0</v>
      </c>
      <c r="AP163" s="282">
        <f t="shared" si="102"/>
        <v>0</v>
      </c>
      <c r="AQ163" s="684">
        <v>0</v>
      </c>
      <c r="AR163" s="740">
        <v>0</v>
      </c>
      <c r="AS163" s="740">
        <v>0</v>
      </c>
      <c r="AT163" s="740">
        <v>0</v>
      </c>
      <c r="AU163" s="411">
        <v>0</v>
      </c>
      <c r="AV163" s="801"/>
      <c r="AW163" s="256"/>
      <c r="AX163" s="728">
        <f t="shared" si="103"/>
        <v>0</v>
      </c>
      <c r="AY163" s="729">
        <v>0</v>
      </c>
      <c r="AZ163" s="730"/>
      <c r="BA163" s="731">
        <v>0</v>
      </c>
      <c r="BC163" s="727">
        <v>0</v>
      </c>
      <c r="BD163" s="727">
        <v>0</v>
      </c>
      <c r="BE163" s="727"/>
      <c r="BF163" s="727"/>
      <c r="BG163" s="727">
        <v>0</v>
      </c>
      <c r="BH163" s="727">
        <v>0</v>
      </c>
      <c r="BI163" s="137">
        <f t="shared" si="106"/>
        <v>0</v>
      </c>
      <c r="BJ163" s="126"/>
      <c r="BK163" s="807"/>
      <c r="BL163" s="107"/>
      <c r="BM163" s="687"/>
      <c r="BO163" s="577"/>
      <c r="BS163" s="904"/>
      <c r="BT163" s="789"/>
      <c r="BU163" s="789">
        <v>0</v>
      </c>
      <c r="BV163" s="789">
        <v>0</v>
      </c>
      <c r="BW163" s="789">
        <f t="shared" si="104"/>
        <v>0</v>
      </c>
    </row>
    <row r="164" spans="1:75" ht="15" thickBot="1" x14ac:dyDescent="0.35">
      <c r="A164" s="220" t="s">
        <v>107</v>
      </c>
      <c r="B164" s="238">
        <v>1</v>
      </c>
      <c r="C164" s="40">
        <f>'[7]побудинковий звіт'!E164</f>
        <v>0</v>
      </c>
      <c r="D164" s="215">
        <f t="shared" si="79"/>
        <v>0</v>
      </c>
      <c r="E164" s="107">
        <f t="shared" si="80"/>
        <v>0</v>
      </c>
      <c r="F164" s="107">
        <f t="shared" si="81"/>
        <v>0</v>
      </c>
      <c r="G164" s="107">
        <f t="shared" si="82"/>
        <v>0</v>
      </c>
      <c r="H164" s="107">
        <f t="shared" si="83"/>
        <v>0</v>
      </c>
      <c r="I164" s="107">
        <f t="shared" si="84"/>
        <v>0</v>
      </c>
      <c r="J164" s="687">
        <f t="shared" si="72"/>
        <v>0</v>
      </c>
      <c r="K164" s="142">
        <f t="shared" si="85"/>
        <v>0</v>
      </c>
      <c r="L164" s="141">
        <f t="shared" si="73"/>
        <v>0</v>
      </c>
      <c r="M164" s="107">
        <f t="shared" si="74"/>
        <v>0</v>
      </c>
      <c r="N164" s="30">
        <f t="shared" si="86"/>
        <v>0</v>
      </c>
      <c r="O164" s="107">
        <f t="shared" si="75"/>
        <v>0</v>
      </c>
      <c r="P164" s="107">
        <f t="shared" si="87"/>
        <v>0</v>
      </c>
      <c r="Q164" s="107">
        <f t="shared" si="88"/>
        <v>0</v>
      </c>
      <c r="R164" s="143">
        <f t="shared" si="89"/>
        <v>0</v>
      </c>
      <c r="S164" s="141">
        <f t="shared" si="90"/>
        <v>0</v>
      </c>
      <c r="T164" s="107">
        <f t="shared" si="76"/>
        <v>0</v>
      </c>
      <c r="U164" s="142">
        <f t="shared" si="91"/>
        <v>0</v>
      </c>
      <c r="V164" s="107"/>
      <c r="W164" s="107">
        <f t="shared" si="92"/>
        <v>0</v>
      </c>
      <c r="X164" s="142">
        <f t="shared" si="93"/>
        <v>0</v>
      </c>
      <c r="Y164" s="141">
        <v>0</v>
      </c>
      <c r="Z164" s="144">
        <v>0</v>
      </c>
      <c r="AA164" s="107">
        <f t="shared" si="77"/>
        <v>0</v>
      </c>
      <c r="AB164" s="142">
        <f t="shared" si="78"/>
        <v>0</v>
      </c>
      <c r="AC164" s="141">
        <v>0</v>
      </c>
      <c r="AD164" s="107">
        <f t="shared" si="94"/>
        <v>0</v>
      </c>
      <c r="AE164" s="142">
        <f t="shared" si="95"/>
        <v>0</v>
      </c>
      <c r="AF164" s="145">
        <v>0</v>
      </c>
      <c r="AG164" s="107">
        <f t="shared" si="96"/>
        <v>0</v>
      </c>
      <c r="AH164" s="142">
        <f t="shared" si="97"/>
        <v>0</v>
      </c>
      <c r="AI164" s="145">
        <v>0</v>
      </c>
      <c r="AJ164" s="107">
        <f t="shared" si="98"/>
        <v>0</v>
      </c>
      <c r="AK164" s="142">
        <f t="shared" si="99"/>
        <v>0</v>
      </c>
      <c r="AL164" s="146"/>
      <c r="AM164" s="215"/>
      <c r="AN164" s="107">
        <f t="shared" si="100"/>
        <v>0</v>
      </c>
      <c r="AO164" s="151">
        <f t="shared" si="101"/>
        <v>0</v>
      </c>
      <c r="AP164" s="282">
        <f t="shared" si="102"/>
        <v>0</v>
      </c>
      <c r="AQ164" s="684">
        <v>0</v>
      </c>
      <c r="AR164" s="740">
        <v>0</v>
      </c>
      <c r="AS164" s="740">
        <v>0</v>
      </c>
      <c r="AT164" s="740">
        <v>0</v>
      </c>
      <c r="AU164" s="411">
        <v>0</v>
      </c>
      <c r="AV164" s="801"/>
      <c r="AW164" s="256"/>
      <c r="AX164" s="728">
        <f t="shared" si="103"/>
        <v>0</v>
      </c>
      <c r="AY164" s="729">
        <v>0</v>
      </c>
      <c r="AZ164" s="730"/>
      <c r="BA164" s="731">
        <v>0</v>
      </c>
      <c r="BC164" s="727">
        <v>0</v>
      </c>
      <c r="BD164" s="727">
        <v>0</v>
      </c>
      <c r="BE164" s="727"/>
      <c r="BF164" s="727"/>
      <c r="BG164" s="727">
        <v>0</v>
      </c>
      <c r="BH164" s="727">
        <v>0</v>
      </c>
      <c r="BI164" s="137">
        <f t="shared" si="106"/>
        <v>0</v>
      </c>
      <c r="BJ164" s="126"/>
      <c r="BK164" s="807"/>
      <c r="BL164" s="107"/>
      <c r="BM164" s="687"/>
      <c r="BO164" s="577"/>
      <c r="BS164" s="904"/>
      <c r="BT164" s="789"/>
      <c r="BU164" s="789">
        <v>0</v>
      </c>
      <c r="BV164" s="789">
        <v>0</v>
      </c>
      <c r="BW164" s="789">
        <f t="shared" si="104"/>
        <v>0</v>
      </c>
    </row>
    <row r="165" spans="1:75" ht="15" thickBot="1" x14ac:dyDescent="0.35">
      <c r="A165" s="220" t="s">
        <v>108</v>
      </c>
      <c r="B165" s="238">
        <v>1</v>
      </c>
      <c r="C165" s="40">
        <f>'[7]побудинковий звіт'!E165</f>
        <v>137.30000000000001</v>
      </c>
      <c r="D165" s="215">
        <f t="shared" si="79"/>
        <v>0</v>
      </c>
      <c r="E165" s="107">
        <f t="shared" si="80"/>
        <v>0</v>
      </c>
      <c r="F165" s="107">
        <f t="shared" si="81"/>
        <v>0</v>
      </c>
      <c r="G165" s="107">
        <f t="shared" si="82"/>
        <v>0</v>
      </c>
      <c r="H165" s="107">
        <f t="shared" si="83"/>
        <v>0</v>
      </c>
      <c r="I165" s="107">
        <f t="shared" si="84"/>
        <v>0</v>
      </c>
      <c r="J165" s="687">
        <f t="shared" si="72"/>
        <v>0</v>
      </c>
      <c r="K165" s="142">
        <f t="shared" si="85"/>
        <v>0</v>
      </c>
      <c r="L165" s="141">
        <f t="shared" si="73"/>
        <v>0</v>
      </c>
      <c r="M165" s="107">
        <f t="shared" si="74"/>
        <v>0</v>
      </c>
      <c r="N165" s="30">
        <f t="shared" si="86"/>
        <v>0</v>
      </c>
      <c r="O165" s="107">
        <f t="shared" si="75"/>
        <v>0.24718248358910092</v>
      </c>
      <c r="P165" s="107">
        <f t="shared" si="87"/>
        <v>0</v>
      </c>
      <c r="Q165" s="107">
        <f t="shared" si="88"/>
        <v>3.1815558140905274E-2</v>
      </c>
      <c r="R165" s="143">
        <f t="shared" si="89"/>
        <v>0.2789980417300062</v>
      </c>
      <c r="S165" s="141">
        <f t="shared" si="90"/>
        <v>0</v>
      </c>
      <c r="T165" s="107">
        <f t="shared" si="76"/>
        <v>0</v>
      </c>
      <c r="U165" s="142">
        <f t="shared" si="91"/>
        <v>0</v>
      </c>
      <c r="V165" s="107"/>
      <c r="W165" s="107">
        <f t="shared" si="92"/>
        <v>0</v>
      </c>
      <c r="X165" s="142">
        <f t="shared" si="93"/>
        <v>0</v>
      </c>
      <c r="Y165" s="141">
        <v>0</v>
      </c>
      <c r="Z165" s="144">
        <v>0</v>
      </c>
      <c r="AA165" s="107">
        <f t="shared" si="77"/>
        <v>0</v>
      </c>
      <c r="AB165" s="142">
        <f t="shared" si="78"/>
        <v>0</v>
      </c>
      <c r="AC165" s="141">
        <v>0</v>
      </c>
      <c r="AD165" s="107">
        <f t="shared" si="94"/>
        <v>0</v>
      </c>
      <c r="AE165" s="142">
        <f t="shared" si="95"/>
        <v>0</v>
      </c>
      <c r="AF165" s="145">
        <v>0</v>
      </c>
      <c r="AG165" s="107">
        <f t="shared" si="96"/>
        <v>0</v>
      </c>
      <c r="AH165" s="142">
        <f t="shared" si="97"/>
        <v>0</v>
      </c>
      <c r="AI165" s="145">
        <v>0</v>
      </c>
      <c r="AJ165" s="107">
        <f t="shared" si="98"/>
        <v>0</v>
      </c>
      <c r="AK165" s="142">
        <f t="shared" si="99"/>
        <v>0</v>
      </c>
      <c r="AL165" s="146"/>
      <c r="AM165" s="215"/>
      <c r="AN165" s="107">
        <f t="shared" si="100"/>
        <v>0</v>
      </c>
      <c r="AO165" s="151">
        <f t="shared" si="101"/>
        <v>0</v>
      </c>
      <c r="AP165" s="282">
        <f t="shared" si="102"/>
        <v>0</v>
      </c>
      <c r="AQ165" s="684">
        <v>0</v>
      </c>
      <c r="AR165" s="411">
        <v>0</v>
      </c>
      <c r="AS165" s="411">
        <v>0</v>
      </c>
      <c r="AT165" s="411">
        <v>0</v>
      </c>
      <c r="AU165" s="411">
        <v>0</v>
      </c>
      <c r="AV165" s="742">
        <v>0</v>
      </c>
      <c r="AW165" s="256"/>
      <c r="AX165" s="728">
        <f t="shared" si="103"/>
        <v>0</v>
      </c>
      <c r="AY165" s="729">
        <v>0</v>
      </c>
      <c r="AZ165" s="730"/>
      <c r="BA165" s="731">
        <v>0</v>
      </c>
      <c r="BB165" s="742"/>
      <c r="BC165" s="727">
        <v>0</v>
      </c>
      <c r="BD165" s="727">
        <v>0</v>
      </c>
      <c r="BE165" s="727"/>
      <c r="BF165" s="727"/>
      <c r="BG165" s="727">
        <v>0</v>
      </c>
      <c r="BH165" s="727">
        <v>0</v>
      </c>
      <c r="BI165" s="137">
        <f t="shared" si="106"/>
        <v>0</v>
      </c>
      <c r="BJ165" s="126"/>
      <c r="BK165" s="807"/>
      <c r="BL165" s="107"/>
      <c r="BM165" s="687"/>
      <c r="BO165" s="577"/>
      <c r="BS165" s="904"/>
      <c r="BT165" s="789"/>
      <c r="BU165" s="789">
        <v>0</v>
      </c>
      <c r="BV165" s="789">
        <v>0</v>
      </c>
      <c r="BW165" s="789">
        <f t="shared" si="104"/>
        <v>0</v>
      </c>
    </row>
    <row r="166" spans="1:75" ht="15" thickBot="1" x14ac:dyDescent="0.35">
      <c r="A166" s="220" t="s">
        <v>109</v>
      </c>
      <c r="B166" s="238">
        <v>1</v>
      </c>
      <c r="C166" s="40">
        <f>'[7]побудинковий звіт'!E166</f>
        <v>211.6</v>
      </c>
      <c r="D166" s="215">
        <f t="shared" si="79"/>
        <v>0</v>
      </c>
      <c r="E166" s="107">
        <f t="shared" si="80"/>
        <v>0</v>
      </c>
      <c r="F166" s="107">
        <f t="shared" si="81"/>
        <v>0</v>
      </c>
      <c r="G166" s="107">
        <f t="shared" si="82"/>
        <v>0</v>
      </c>
      <c r="H166" s="107">
        <f t="shared" si="83"/>
        <v>0</v>
      </c>
      <c r="I166" s="107">
        <f t="shared" si="84"/>
        <v>0</v>
      </c>
      <c r="J166" s="687">
        <f t="shared" si="72"/>
        <v>0</v>
      </c>
      <c r="K166" s="142">
        <f t="shared" si="85"/>
        <v>0</v>
      </c>
      <c r="L166" s="141">
        <f t="shared" si="73"/>
        <v>0</v>
      </c>
      <c r="M166" s="107">
        <f t="shared" si="74"/>
        <v>0</v>
      </c>
      <c r="N166" s="30">
        <f t="shared" si="86"/>
        <v>0</v>
      </c>
      <c r="O166" s="107">
        <f t="shared" si="75"/>
        <v>0.38094547361583209</v>
      </c>
      <c r="P166" s="107">
        <f t="shared" si="87"/>
        <v>0</v>
      </c>
      <c r="Q166" s="107">
        <f t="shared" si="88"/>
        <v>4.9032571759763693E-2</v>
      </c>
      <c r="R166" s="143">
        <f t="shared" si="89"/>
        <v>0.42997804537559581</v>
      </c>
      <c r="S166" s="141">
        <f t="shared" si="90"/>
        <v>0</v>
      </c>
      <c r="T166" s="107">
        <f t="shared" si="76"/>
        <v>0</v>
      </c>
      <c r="U166" s="142">
        <f t="shared" si="91"/>
        <v>0</v>
      </c>
      <c r="V166" s="107"/>
      <c r="W166" s="107">
        <f t="shared" si="92"/>
        <v>0</v>
      </c>
      <c r="X166" s="142">
        <f t="shared" si="93"/>
        <v>0</v>
      </c>
      <c r="Y166" s="141">
        <v>0</v>
      </c>
      <c r="Z166" s="144">
        <v>0</v>
      </c>
      <c r="AA166" s="107">
        <f t="shared" si="77"/>
        <v>0</v>
      </c>
      <c r="AB166" s="142">
        <f t="shared" si="78"/>
        <v>0</v>
      </c>
      <c r="AC166" s="141">
        <v>0</v>
      </c>
      <c r="AD166" s="107">
        <f t="shared" si="94"/>
        <v>0</v>
      </c>
      <c r="AE166" s="142">
        <f t="shared" si="95"/>
        <v>0</v>
      </c>
      <c r="AF166" s="145">
        <v>0</v>
      </c>
      <c r="AG166" s="107">
        <f t="shared" si="96"/>
        <v>0</v>
      </c>
      <c r="AH166" s="142">
        <f t="shared" si="97"/>
        <v>0</v>
      </c>
      <c r="AI166" s="145">
        <v>0</v>
      </c>
      <c r="AJ166" s="107">
        <f t="shared" si="98"/>
        <v>0</v>
      </c>
      <c r="AK166" s="142">
        <f t="shared" si="99"/>
        <v>0</v>
      </c>
      <c r="AL166" s="146"/>
      <c r="AM166" s="215"/>
      <c r="AN166" s="107">
        <f t="shared" si="100"/>
        <v>0</v>
      </c>
      <c r="AO166" s="151">
        <f t="shared" si="101"/>
        <v>0</v>
      </c>
      <c r="AP166" s="282">
        <f t="shared" si="102"/>
        <v>0</v>
      </c>
      <c r="AQ166" s="684">
        <v>0</v>
      </c>
      <c r="AR166" s="411">
        <v>0</v>
      </c>
      <c r="AS166" s="411">
        <v>0</v>
      </c>
      <c r="AT166" s="411">
        <v>0</v>
      </c>
      <c r="AU166" s="411">
        <v>0</v>
      </c>
      <c r="AV166" s="742">
        <v>0</v>
      </c>
      <c r="AW166" s="256"/>
      <c r="AX166" s="728">
        <f t="shared" si="103"/>
        <v>0</v>
      </c>
      <c r="AY166" s="729">
        <v>0</v>
      </c>
      <c r="AZ166" s="730"/>
      <c r="BA166" s="731">
        <v>0</v>
      </c>
      <c r="BB166" s="742"/>
      <c r="BC166" s="727">
        <v>0</v>
      </c>
      <c r="BD166" s="727">
        <v>0</v>
      </c>
      <c r="BE166" s="727"/>
      <c r="BF166" s="727"/>
      <c r="BG166" s="727">
        <v>0</v>
      </c>
      <c r="BH166" s="727">
        <v>0</v>
      </c>
      <c r="BI166" s="137">
        <f t="shared" si="106"/>
        <v>0</v>
      </c>
      <c r="BJ166" s="126"/>
      <c r="BK166" s="807"/>
      <c r="BL166" s="107"/>
      <c r="BM166" s="687"/>
      <c r="BO166" s="577"/>
      <c r="BS166" s="904"/>
      <c r="BT166" s="789"/>
      <c r="BU166" s="789">
        <v>0</v>
      </c>
      <c r="BV166" s="789">
        <v>0</v>
      </c>
      <c r="BW166" s="789">
        <f t="shared" si="104"/>
        <v>0</v>
      </c>
    </row>
    <row r="167" spans="1:75" ht="15" thickBot="1" x14ac:dyDescent="0.35">
      <c r="A167" s="220" t="s">
        <v>110</v>
      </c>
      <c r="B167" s="238">
        <v>1</v>
      </c>
      <c r="C167" s="40">
        <f>'[7]побудинковий звіт'!E167</f>
        <v>180.6</v>
      </c>
      <c r="D167" s="215">
        <f t="shared" si="79"/>
        <v>0</v>
      </c>
      <c r="E167" s="107">
        <f t="shared" si="80"/>
        <v>0</v>
      </c>
      <c r="F167" s="107">
        <f t="shared" si="81"/>
        <v>0</v>
      </c>
      <c r="G167" s="107">
        <f t="shared" si="82"/>
        <v>0</v>
      </c>
      <c r="H167" s="107">
        <f t="shared" si="83"/>
        <v>0</v>
      </c>
      <c r="I167" s="107">
        <f t="shared" si="84"/>
        <v>0</v>
      </c>
      <c r="J167" s="687">
        <f t="shared" si="72"/>
        <v>0</v>
      </c>
      <c r="K167" s="142">
        <f t="shared" si="85"/>
        <v>0</v>
      </c>
      <c r="L167" s="141">
        <f t="shared" si="73"/>
        <v>0</v>
      </c>
      <c r="M167" s="107">
        <f t="shared" si="74"/>
        <v>0</v>
      </c>
      <c r="N167" s="30">
        <f t="shared" si="86"/>
        <v>0</v>
      </c>
      <c r="O167" s="107">
        <f t="shared" si="75"/>
        <v>0.32513588154545975</v>
      </c>
      <c r="P167" s="107">
        <f t="shared" si="87"/>
        <v>0</v>
      </c>
      <c r="Q167" s="107">
        <f t="shared" si="88"/>
        <v>4.1849160963200967E-2</v>
      </c>
      <c r="R167" s="143">
        <f t="shared" si="89"/>
        <v>0.36698504250866071</v>
      </c>
      <c r="S167" s="141">
        <f t="shared" si="90"/>
        <v>0</v>
      </c>
      <c r="T167" s="107">
        <f t="shared" si="76"/>
        <v>0</v>
      </c>
      <c r="U167" s="142">
        <f t="shared" si="91"/>
        <v>0</v>
      </c>
      <c r="V167" s="107"/>
      <c r="W167" s="107">
        <f t="shared" si="92"/>
        <v>0</v>
      </c>
      <c r="X167" s="142">
        <f t="shared" si="93"/>
        <v>0</v>
      </c>
      <c r="Y167" s="141">
        <v>0</v>
      </c>
      <c r="Z167" s="144">
        <v>0</v>
      </c>
      <c r="AA167" s="107">
        <f t="shared" si="77"/>
        <v>0</v>
      </c>
      <c r="AB167" s="142">
        <f t="shared" si="78"/>
        <v>0</v>
      </c>
      <c r="AC167" s="141">
        <v>0</v>
      </c>
      <c r="AD167" s="107">
        <f t="shared" si="94"/>
        <v>0</v>
      </c>
      <c r="AE167" s="142">
        <f t="shared" si="95"/>
        <v>0</v>
      </c>
      <c r="AF167" s="145">
        <v>0</v>
      </c>
      <c r="AG167" s="107">
        <f t="shared" si="96"/>
        <v>0</v>
      </c>
      <c r="AH167" s="142">
        <f t="shared" si="97"/>
        <v>0</v>
      </c>
      <c r="AI167" s="145">
        <v>0</v>
      </c>
      <c r="AJ167" s="107">
        <f t="shared" si="98"/>
        <v>0</v>
      </c>
      <c r="AK167" s="142">
        <f t="shared" si="99"/>
        <v>0</v>
      </c>
      <c r="AL167" s="146"/>
      <c r="AM167" s="215"/>
      <c r="AN167" s="107">
        <f t="shared" si="100"/>
        <v>0</v>
      </c>
      <c r="AO167" s="151">
        <f t="shared" si="101"/>
        <v>0</v>
      </c>
      <c r="AP167" s="282">
        <f t="shared" si="102"/>
        <v>0</v>
      </c>
      <c r="AQ167" s="684">
        <v>0</v>
      </c>
      <c r="AR167" s="411">
        <v>0</v>
      </c>
      <c r="AS167" s="411">
        <v>0</v>
      </c>
      <c r="AT167" s="411">
        <v>0</v>
      </c>
      <c r="AU167" s="411">
        <v>0</v>
      </c>
      <c r="AV167" s="742">
        <v>0</v>
      </c>
      <c r="AW167" s="256"/>
      <c r="AX167" s="728">
        <f t="shared" si="103"/>
        <v>0</v>
      </c>
      <c r="AY167" s="729">
        <v>0</v>
      </c>
      <c r="AZ167" s="730"/>
      <c r="BA167" s="731">
        <v>0</v>
      </c>
      <c r="BB167" s="742"/>
      <c r="BC167" s="727">
        <v>0</v>
      </c>
      <c r="BD167" s="727">
        <v>0</v>
      </c>
      <c r="BE167" s="727"/>
      <c r="BF167" s="727"/>
      <c r="BG167" s="727">
        <v>0</v>
      </c>
      <c r="BH167" s="727">
        <v>0</v>
      </c>
      <c r="BI167" s="137">
        <f t="shared" si="106"/>
        <v>0</v>
      </c>
      <c r="BJ167" s="126"/>
      <c r="BK167" s="807"/>
      <c r="BL167" s="107"/>
      <c r="BM167" s="687"/>
      <c r="BO167" s="577"/>
      <c r="BS167" s="904"/>
      <c r="BT167" s="789"/>
      <c r="BU167" s="789">
        <v>0</v>
      </c>
      <c r="BV167" s="789">
        <v>0</v>
      </c>
      <c r="BW167" s="789">
        <f t="shared" si="104"/>
        <v>0</v>
      </c>
    </row>
    <row r="168" spans="1:75" ht="15" thickBot="1" x14ac:dyDescent="0.35">
      <c r="A168" s="220" t="s">
        <v>111</v>
      </c>
      <c r="B168" s="238">
        <v>1</v>
      </c>
      <c r="C168" s="40">
        <f>'[7]побудинковий звіт'!E168</f>
        <v>102.4</v>
      </c>
      <c r="D168" s="215">
        <f t="shared" si="79"/>
        <v>0</v>
      </c>
      <c r="E168" s="107">
        <f t="shared" si="80"/>
        <v>0</v>
      </c>
      <c r="F168" s="107">
        <f t="shared" si="81"/>
        <v>0</v>
      </c>
      <c r="G168" s="107">
        <f t="shared" si="82"/>
        <v>0</v>
      </c>
      <c r="H168" s="107">
        <f t="shared" si="83"/>
        <v>0</v>
      </c>
      <c r="I168" s="107">
        <f t="shared" si="84"/>
        <v>0</v>
      </c>
      <c r="J168" s="687">
        <f t="shared" si="72"/>
        <v>0</v>
      </c>
      <c r="K168" s="142">
        <f t="shared" si="85"/>
        <v>0</v>
      </c>
      <c r="L168" s="141">
        <f t="shared" si="73"/>
        <v>0</v>
      </c>
      <c r="M168" s="107">
        <f t="shared" si="74"/>
        <v>0</v>
      </c>
      <c r="N168" s="30">
        <f t="shared" si="86"/>
        <v>0</v>
      </c>
      <c r="O168" s="107">
        <f t="shared" si="75"/>
        <v>0.18435168477439134</v>
      </c>
      <c r="P168" s="107">
        <f t="shared" si="87"/>
        <v>0</v>
      </c>
      <c r="Q168" s="107">
        <f t="shared" si="88"/>
        <v>2.3728427921549163E-2</v>
      </c>
      <c r="R168" s="143">
        <f t="shared" si="89"/>
        <v>0.20808011269594051</v>
      </c>
      <c r="S168" s="141">
        <f t="shared" si="90"/>
        <v>0</v>
      </c>
      <c r="T168" s="107">
        <f t="shared" si="76"/>
        <v>0</v>
      </c>
      <c r="U168" s="142">
        <f t="shared" si="91"/>
        <v>0</v>
      </c>
      <c r="V168" s="107"/>
      <c r="W168" s="107">
        <f t="shared" si="92"/>
        <v>0</v>
      </c>
      <c r="X168" s="142">
        <f t="shared" si="93"/>
        <v>0</v>
      </c>
      <c r="Y168" s="141">
        <v>0</v>
      </c>
      <c r="Z168" s="144">
        <v>0</v>
      </c>
      <c r="AA168" s="107">
        <f t="shared" si="77"/>
        <v>0</v>
      </c>
      <c r="AB168" s="142">
        <f t="shared" si="78"/>
        <v>0</v>
      </c>
      <c r="AC168" s="141">
        <v>0</v>
      </c>
      <c r="AD168" s="107">
        <f t="shared" si="94"/>
        <v>0</v>
      </c>
      <c r="AE168" s="142">
        <f t="shared" si="95"/>
        <v>0</v>
      </c>
      <c r="AF168" s="145">
        <v>0</v>
      </c>
      <c r="AG168" s="107">
        <f t="shared" si="96"/>
        <v>0</v>
      </c>
      <c r="AH168" s="142">
        <f t="shared" si="97"/>
        <v>0</v>
      </c>
      <c r="AI168" s="145">
        <v>0</v>
      </c>
      <c r="AJ168" s="107">
        <f t="shared" si="98"/>
        <v>0</v>
      </c>
      <c r="AK168" s="142">
        <f t="shared" si="99"/>
        <v>0</v>
      </c>
      <c r="AL168" s="146"/>
      <c r="AM168" s="215"/>
      <c r="AN168" s="107">
        <f t="shared" si="100"/>
        <v>0</v>
      </c>
      <c r="AO168" s="151">
        <f t="shared" si="101"/>
        <v>0</v>
      </c>
      <c r="AP168" s="282">
        <f t="shared" si="102"/>
        <v>0</v>
      </c>
      <c r="AQ168" s="684">
        <v>0</v>
      </c>
      <c r="AR168" s="411">
        <v>0</v>
      </c>
      <c r="AS168" s="411">
        <v>0</v>
      </c>
      <c r="AT168" s="411">
        <v>0</v>
      </c>
      <c r="AU168" s="411">
        <v>0</v>
      </c>
      <c r="AV168" s="742">
        <v>0</v>
      </c>
      <c r="AW168" s="256"/>
      <c r="AX168" s="728">
        <f t="shared" si="103"/>
        <v>0</v>
      </c>
      <c r="AY168" s="729">
        <v>0</v>
      </c>
      <c r="AZ168" s="730"/>
      <c r="BA168" s="731">
        <v>0</v>
      </c>
      <c r="BB168" s="742"/>
      <c r="BC168" s="727">
        <v>0</v>
      </c>
      <c r="BD168" s="727">
        <v>0</v>
      </c>
      <c r="BE168" s="727"/>
      <c r="BF168" s="727"/>
      <c r="BG168" s="727">
        <v>0</v>
      </c>
      <c r="BH168" s="727">
        <v>0</v>
      </c>
      <c r="BI168" s="137">
        <f t="shared" si="106"/>
        <v>0</v>
      </c>
      <c r="BJ168" s="126"/>
      <c r="BK168" s="807"/>
      <c r="BL168" s="107"/>
      <c r="BM168" s="687"/>
      <c r="BO168" s="577"/>
      <c r="BS168" s="904"/>
      <c r="BT168" s="789"/>
      <c r="BU168" s="789">
        <v>0</v>
      </c>
      <c r="BV168" s="789">
        <v>0</v>
      </c>
      <c r="BW168" s="789">
        <f t="shared" si="104"/>
        <v>0</v>
      </c>
    </row>
    <row r="169" spans="1:75" ht="15" thickBot="1" x14ac:dyDescent="0.35">
      <c r="A169" s="220" t="s">
        <v>112</v>
      </c>
      <c r="B169" s="238">
        <v>1</v>
      </c>
      <c r="C169" s="40">
        <f>'[7]побудинковий звіт'!E169</f>
        <v>180.22</v>
      </c>
      <c r="D169" s="215">
        <f t="shared" si="79"/>
        <v>0</v>
      </c>
      <c r="E169" s="107">
        <f t="shared" si="80"/>
        <v>0</v>
      </c>
      <c r="F169" s="107">
        <f t="shared" si="81"/>
        <v>0</v>
      </c>
      <c r="G169" s="107">
        <f t="shared" si="82"/>
        <v>0</v>
      </c>
      <c r="H169" s="107">
        <f t="shared" si="83"/>
        <v>0</v>
      </c>
      <c r="I169" s="107">
        <f t="shared" si="84"/>
        <v>0</v>
      </c>
      <c r="J169" s="687">
        <f t="shared" si="72"/>
        <v>0</v>
      </c>
      <c r="K169" s="142">
        <f t="shared" si="85"/>
        <v>0</v>
      </c>
      <c r="L169" s="141">
        <f t="shared" si="73"/>
        <v>0</v>
      </c>
      <c r="M169" s="107">
        <f t="shared" si="74"/>
        <v>0</v>
      </c>
      <c r="N169" s="30">
        <f t="shared" si="86"/>
        <v>0</v>
      </c>
      <c r="O169" s="107">
        <f t="shared" si="75"/>
        <v>0.32445176396524228</v>
      </c>
      <c r="P169" s="107">
        <f t="shared" si="87"/>
        <v>0</v>
      </c>
      <c r="Q169" s="107">
        <f t="shared" si="88"/>
        <v>4.1761106250210844E-2</v>
      </c>
      <c r="R169" s="143">
        <f t="shared" si="89"/>
        <v>0.36621287021545312</v>
      </c>
      <c r="S169" s="141">
        <f t="shared" si="90"/>
        <v>0</v>
      </c>
      <c r="T169" s="107">
        <f t="shared" si="76"/>
        <v>0</v>
      </c>
      <c r="U169" s="142">
        <f t="shared" si="91"/>
        <v>0</v>
      </c>
      <c r="V169" s="107"/>
      <c r="W169" s="107">
        <f t="shared" si="92"/>
        <v>0</v>
      </c>
      <c r="X169" s="142">
        <f t="shared" si="93"/>
        <v>0</v>
      </c>
      <c r="Y169" s="141">
        <v>0</v>
      </c>
      <c r="Z169" s="144">
        <v>0</v>
      </c>
      <c r="AA169" s="107">
        <f t="shared" si="77"/>
        <v>0</v>
      </c>
      <c r="AB169" s="142">
        <f t="shared" si="78"/>
        <v>0</v>
      </c>
      <c r="AC169" s="141">
        <v>0</v>
      </c>
      <c r="AD169" s="107">
        <f t="shared" si="94"/>
        <v>0</v>
      </c>
      <c r="AE169" s="142">
        <f t="shared" si="95"/>
        <v>0</v>
      </c>
      <c r="AF169" s="145">
        <v>0</v>
      </c>
      <c r="AG169" s="107">
        <f t="shared" si="96"/>
        <v>0</v>
      </c>
      <c r="AH169" s="142">
        <f t="shared" si="97"/>
        <v>0</v>
      </c>
      <c r="AI169" s="145">
        <v>0</v>
      </c>
      <c r="AJ169" s="107">
        <f t="shared" si="98"/>
        <v>0</v>
      </c>
      <c r="AK169" s="142">
        <f t="shared" si="99"/>
        <v>0</v>
      </c>
      <c r="AL169" s="146"/>
      <c r="AM169" s="215"/>
      <c r="AN169" s="107">
        <f t="shared" si="100"/>
        <v>0</v>
      </c>
      <c r="AO169" s="151">
        <f t="shared" si="101"/>
        <v>0</v>
      </c>
      <c r="AP169" s="282">
        <f t="shared" si="102"/>
        <v>0</v>
      </c>
      <c r="AQ169" s="684">
        <v>0</v>
      </c>
      <c r="AR169" s="411">
        <v>0</v>
      </c>
      <c r="AS169" s="411">
        <v>0</v>
      </c>
      <c r="AT169" s="411">
        <v>0</v>
      </c>
      <c r="AU169" s="411">
        <v>0</v>
      </c>
      <c r="AV169" s="742">
        <v>0</v>
      </c>
      <c r="AW169" s="256"/>
      <c r="AX169" s="728">
        <f t="shared" si="103"/>
        <v>0</v>
      </c>
      <c r="AY169" s="729">
        <v>0</v>
      </c>
      <c r="AZ169" s="730"/>
      <c r="BA169" s="731">
        <v>0</v>
      </c>
      <c r="BB169" s="742"/>
      <c r="BC169" s="727">
        <v>0</v>
      </c>
      <c r="BD169" s="727">
        <v>0</v>
      </c>
      <c r="BE169" s="727"/>
      <c r="BF169" s="727"/>
      <c r="BG169" s="727">
        <v>0</v>
      </c>
      <c r="BH169" s="727">
        <v>0</v>
      </c>
      <c r="BI169" s="137">
        <f t="shared" si="106"/>
        <v>0</v>
      </c>
      <c r="BJ169" s="126"/>
      <c r="BK169" s="807"/>
      <c r="BL169" s="107"/>
      <c r="BM169" s="687"/>
      <c r="BO169" s="577"/>
      <c r="BS169" s="904"/>
      <c r="BT169" s="789"/>
      <c r="BU169" s="789">
        <v>0</v>
      </c>
      <c r="BV169" s="789">
        <v>0</v>
      </c>
      <c r="BW169" s="789">
        <f t="shared" si="104"/>
        <v>0</v>
      </c>
    </row>
    <row r="170" spans="1:75" ht="15" thickBot="1" x14ac:dyDescent="0.35">
      <c r="A170" s="220" t="s">
        <v>113</v>
      </c>
      <c r="B170" s="238">
        <v>1</v>
      </c>
      <c r="C170" s="40">
        <f>'[7]побудинковий звіт'!E170</f>
        <v>329.7</v>
      </c>
      <c r="D170" s="215">
        <f t="shared" si="79"/>
        <v>0</v>
      </c>
      <c r="E170" s="107">
        <f t="shared" si="80"/>
        <v>0</v>
      </c>
      <c r="F170" s="107">
        <f t="shared" si="81"/>
        <v>0</v>
      </c>
      <c r="G170" s="107">
        <f t="shared" si="82"/>
        <v>0</v>
      </c>
      <c r="H170" s="107">
        <f t="shared" si="83"/>
        <v>0</v>
      </c>
      <c r="I170" s="107">
        <f t="shared" si="84"/>
        <v>0</v>
      </c>
      <c r="J170" s="687">
        <f t="shared" si="72"/>
        <v>0</v>
      </c>
      <c r="K170" s="142">
        <f t="shared" si="85"/>
        <v>0</v>
      </c>
      <c r="L170" s="141">
        <f t="shared" si="73"/>
        <v>0</v>
      </c>
      <c r="M170" s="107">
        <f t="shared" si="74"/>
        <v>0</v>
      </c>
      <c r="N170" s="30">
        <f t="shared" si="86"/>
        <v>0</v>
      </c>
      <c r="O170" s="107">
        <f t="shared" si="75"/>
        <v>0.5935620163097346</v>
      </c>
      <c r="P170" s="107">
        <f t="shared" si="87"/>
        <v>0</v>
      </c>
      <c r="Q170" s="107">
        <f t="shared" si="88"/>
        <v>7.6399049665378499E-2</v>
      </c>
      <c r="R170" s="143">
        <f t="shared" si="89"/>
        <v>0.66996106597511307</v>
      </c>
      <c r="S170" s="141">
        <f t="shared" si="90"/>
        <v>0</v>
      </c>
      <c r="T170" s="107">
        <f t="shared" si="76"/>
        <v>0</v>
      </c>
      <c r="U170" s="142">
        <f t="shared" si="91"/>
        <v>0</v>
      </c>
      <c r="V170" s="107"/>
      <c r="W170" s="107">
        <f t="shared" si="92"/>
        <v>0</v>
      </c>
      <c r="X170" s="142">
        <f t="shared" si="93"/>
        <v>0</v>
      </c>
      <c r="Y170" s="141">
        <v>0</v>
      </c>
      <c r="Z170" s="144">
        <v>0</v>
      </c>
      <c r="AA170" s="107">
        <f t="shared" si="77"/>
        <v>0</v>
      </c>
      <c r="AB170" s="142">
        <f t="shared" si="78"/>
        <v>0</v>
      </c>
      <c r="AC170" s="141">
        <v>0</v>
      </c>
      <c r="AD170" s="107">
        <f t="shared" si="94"/>
        <v>0</v>
      </c>
      <c r="AE170" s="142">
        <f t="shared" si="95"/>
        <v>0</v>
      </c>
      <c r="AF170" s="145">
        <v>0</v>
      </c>
      <c r="AG170" s="107">
        <f t="shared" si="96"/>
        <v>0</v>
      </c>
      <c r="AH170" s="142">
        <f t="shared" si="97"/>
        <v>0</v>
      </c>
      <c r="AI170" s="145">
        <v>0</v>
      </c>
      <c r="AJ170" s="107">
        <f t="shared" si="98"/>
        <v>0</v>
      </c>
      <c r="AK170" s="142">
        <f t="shared" si="99"/>
        <v>0</v>
      </c>
      <c r="AL170" s="146"/>
      <c r="AM170" s="215"/>
      <c r="AN170" s="107">
        <f t="shared" si="100"/>
        <v>0</v>
      </c>
      <c r="AO170" s="151">
        <f t="shared" si="101"/>
        <v>0</v>
      </c>
      <c r="AP170" s="282">
        <f t="shared" si="102"/>
        <v>0</v>
      </c>
      <c r="AQ170" s="684">
        <v>0</v>
      </c>
      <c r="AR170" s="411">
        <v>0</v>
      </c>
      <c r="AS170" s="411">
        <v>0</v>
      </c>
      <c r="AT170" s="411">
        <v>0</v>
      </c>
      <c r="AU170" s="411">
        <v>0</v>
      </c>
      <c r="AV170" s="742">
        <v>0</v>
      </c>
      <c r="AW170" s="256"/>
      <c r="AX170" s="728">
        <f t="shared" si="103"/>
        <v>0</v>
      </c>
      <c r="AY170" s="729">
        <v>0</v>
      </c>
      <c r="AZ170" s="730"/>
      <c r="BA170" s="731">
        <v>0</v>
      </c>
      <c r="BB170" s="742"/>
      <c r="BC170" s="727">
        <v>0</v>
      </c>
      <c r="BD170" s="727">
        <v>0</v>
      </c>
      <c r="BE170" s="727"/>
      <c r="BF170" s="727"/>
      <c r="BG170" s="727">
        <v>0</v>
      </c>
      <c r="BH170" s="727">
        <v>0</v>
      </c>
      <c r="BI170" s="137">
        <f t="shared" si="106"/>
        <v>0</v>
      </c>
      <c r="BJ170" s="126"/>
      <c r="BK170" s="807"/>
      <c r="BL170" s="107"/>
      <c r="BM170" s="687"/>
      <c r="BO170" s="577"/>
      <c r="BS170" s="904"/>
      <c r="BT170" s="789"/>
      <c r="BU170" s="789">
        <v>0</v>
      </c>
      <c r="BV170" s="789">
        <v>0</v>
      </c>
      <c r="BW170" s="789">
        <f t="shared" si="104"/>
        <v>0</v>
      </c>
    </row>
    <row r="171" spans="1:75" ht="15" thickBot="1" x14ac:dyDescent="0.35">
      <c r="A171" s="220" t="s">
        <v>114</v>
      </c>
      <c r="B171" s="238">
        <v>1</v>
      </c>
      <c r="C171" s="40">
        <f>'[7]побудинковий звіт'!E171</f>
        <v>151.80000000000001</v>
      </c>
      <c r="D171" s="215">
        <f t="shared" si="79"/>
        <v>0</v>
      </c>
      <c r="E171" s="107">
        <f t="shared" si="80"/>
        <v>0</v>
      </c>
      <c r="F171" s="107">
        <f t="shared" si="81"/>
        <v>0</v>
      </c>
      <c r="G171" s="107">
        <f t="shared" si="82"/>
        <v>0</v>
      </c>
      <c r="H171" s="107">
        <f t="shared" si="83"/>
        <v>0</v>
      </c>
      <c r="I171" s="107">
        <f t="shared" si="84"/>
        <v>0</v>
      </c>
      <c r="J171" s="687">
        <f t="shared" si="72"/>
        <v>0</v>
      </c>
      <c r="K171" s="142">
        <f t="shared" si="85"/>
        <v>0</v>
      </c>
      <c r="L171" s="141">
        <f t="shared" si="73"/>
        <v>0</v>
      </c>
      <c r="M171" s="107">
        <f t="shared" si="74"/>
        <v>0</v>
      </c>
      <c r="N171" s="30">
        <f t="shared" si="86"/>
        <v>0</v>
      </c>
      <c r="O171" s="107">
        <f t="shared" si="75"/>
        <v>0.27328697020266218</v>
      </c>
      <c r="P171" s="107">
        <f t="shared" si="87"/>
        <v>0</v>
      </c>
      <c r="Q171" s="107">
        <f t="shared" si="88"/>
        <v>3.5175540610265267E-2</v>
      </c>
      <c r="R171" s="143">
        <f t="shared" si="89"/>
        <v>0.30846251081292747</v>
      </c>
      <c r="S171" s="141">
        <f t="shared" si="90"/>
        <v>0</v>
      </c>
      <c r="T171" s="107">
        <f t="shared" si="76"/>
        <v>0</v>
      </c>
      <c r="U171" s="142">
        <f t="shared" si="91"/>
        <v>0</v>
      </c>
      <c r="V171" s="107"/>
      <c r="W171" s="107">
        <f t="shared" si="92"/>
        <v>0</v>
      </c>
      <c r="X171" s="142">
        <f t="shared" si="93"/>
        <v>0</v>
      </c>
      <c r="Y171" s="141">
        <v>0</v>
      </c>
      <c r="Z171" s="144">
        <v>0</v>
      </c>
      <c r="AA171" s="107">
        <f t="shared" si="77"/>
        <v>0</v>
      </c>
      <c r="AB171" s="142">
        <f t="shared" si="78"/>
        <v>0</v>
      </c>
      <c r="AC171" s="141">
        <v>0</v>
      </c>
      <c r="AD171" s="107">
        <f t="shared" si="94"/>
        <v>0</v>
      </c>
      <c r="AE171" s="142">
        <f t="shared" si="95"/>
        <v>0</v>
      </c>
      <c r="AF171" s="145">
        <v>0</v>
      </c>
      <c r="AG171" s="107">
        <f t="shared" si="96"/>
        <v>0</v>
      </c>
      <c r="AH171" s="142">
        <f t="shared" si="97"/>
        <v>0</v>
      </c>
      <c r="AI171" s="145">
        <v>0</v>
      </c>
      <c r="AJ171" s="107">
        <f t="shared" si="98"/>
        <v>0</v>
      </c>
      <c r="AK171" s="142">
        <f t="shared" si="99"/>
        <v>0</v>
      </c>
      <c r="AL171" s="146"/>
      <c r="AM171" s="215"/>
      <c r="AN171" s="107">
        <f t="shared" si="100"/>
        <v>0</v>
      </c>
      <c r="AO171" s="151">
        <f t="shared" si="101"/>
        <v>0</v>
      </c>
      <c r="AP171" s="282">
        <f t="shared" si="102"/>
        <v>0</v>
      </c>
      <c r="AQ171" s="684">
        <v>0</v>
      </c>
      <c r="AR171" s="411">
        <v>0</v>
      </c>
      <c r="AS171" s="411">
        <v>0</v>
      </c>
      <c r="AT171" s="411">
        <v>0</v>
      </c>
      <c r="AU171" s="411">
        <v>0</v>
      </c>
      <c r="AV171" s="742">
        <v>0</v>
      </c>
      <c r="AW171" s="256"/>
      <c r="AX171" s="728">
        <f t="shared" si="103"/>
        <v>0</v>
      </c>
      <c r="AY171" s="729">
        <v>0</v>
      </c>
      <c r="AZ171" s="730"/>
      <c r="BA171" s="731">
        <v>0</v>
      </c>
      <c r="BB171" s="742"/>
      <c r="BC171" s="727">
        <v>0</v>
      </c>
      <c r="BD171" s="727">
        <v>0</v>
      </c>
      <c r="BE171" s="727"/>
      <c r="BF171" s="727"/>
      <c r="BG171" s="727">
        <v>0</v>
      </c>
      <c r="BH171" s="727">
        <v>0</v>
      </c>
      <c r="BI171" s="137">
        <f t="shared" si="106"/>
        <v>0</v>
      </c>
      <c r="BJ171" s="126"/>
      <c r="BK171" s="807"/>
      <c r="BL171" s="107"/>
      <c r="BM171" s="687"/>
      <c r="BO171" s="577"/>
      <c r="BS171" s="904"/>
      <c r="BT171" s="789"/>
      <c r="BU171" s="789">
        <v>0</v>
      </c>
      <c r="BV171" s="789">
        <v>0</v>
      </c>
      <c r="BW171" s="789">
        <f t="shared" si="104"/>
        <v>0</v>
      </c>
    </row>
    <row r="172" spans="1:75" ht="15" thickBot="1" x14ac:dyDescent="0.35">
      <c r="A172" s="219" t="s">
        <v>263</v>
      </c>
      <c r="B172" s="237">
        <v>5</v>
      </c>
      <c r="C172" s="40">
        <f>'[7]побудинковий звіт'!E172</f>
        <v>4529.63</v>
      </c>
      <c r="D172" s="215">
        <f t="shared" si="79"/>
        <v>1998.7330738067685</v>
      </c>
      <c r="E172" s="107">
        <f t="shared" si="80"/>
        <v>439.72164345252389</v>
      </c>
      <c r="F172" s="107">
        <f t="shared" si="81"/>
        <v>138.88216799771814</v>
      </c>
      <c r="G172" s="107">
        <f t="shared" si="82"/>
        <v>0</v>
      </c>
      <c r="H172" s="107">
        <f t="shared" si="83"/>
        <v>1669.8909015822248</v>
      </c>
      <c r="I172" s="107">
        <f t="shared" si="84"/>
        <v>546.67272788827324</v>
      </c>
      <c r="J172" s="687">
        <f t="shared" si="72"/>
        <v>0</v>
      </c>
      <c r="K172" s="142">
        <f t="shared" si="85"/>
        <v>4793.9005147275093</v>
      </c>
      <c r="L172" s="141">
        <f t="shared" si="73"/>
        <v>1018.9130606763946</v>
      </c>
      <c r="M172" s="107">
        <f t="shared" si="74"/>
        <v>224.15981827463034</v>
      </c>
      <c r="N172" s="30">
        <f t="shared" si="86"/>
        <v>93.3137558993906</v>
      </c>
      <c r="O172" s="107">
        <f t="shared" si="75"/>
        <v>8.1547355654748657</v>
      </c>
      <c r="P172" s="107">
        <f t="shared" si="87"/>
        <v>851.27607674305295</v>
      </c>
      <c r="Q172" s="107">
        <f t="shared" si="88"/>
        <v>282.62988801840794</v>
      </c>
      <c r="R172" s="143">
        <f t="shared" si="89"/>
        <v>2478.4473351773513</v>
      </c>
      <c r="S172" s="141">
        <f t="shared" si="90"/>
        <v>198.48400000000004</v>
      </c>
      <c r="T172" s="107">
        <f t="shared" si="76"/>
        <v>25.547438274537541</v>
      </c>
      <c r="U172" s="142">
        <f t="shared" si="91"/>
        <v>224.03143827453758</v>
      </c>
      <c r="V172" s="107"/>
      <c r="W172" s="107">
        <f t="shared" si="92"/>
        <v>0</v>
      </c>
      <c r="X172" s="142">
        <f t="shared" si="93"/>
        <v>0</v>
      </c>
      <c r="Y172" s="141">
        <v>0</v>
      </c>
      <c r="Z172" s="144">
        <v>0</v>
      </c>
      <c r="AA172" s="107">
        <f t="shared" si="77"/>
        <v>0</v>
      </c>
      <c r="AB172" s="142">
        <f t="shared" si="78"/>
        <v>0</v>
      </c>
      <c r="AC172" s="141">
        <v>0</v>
      </c>
      <c r="AD172" s="107">
        <f t="shared" si="94"/>
        <v>0</v>
      </c>
      <c r="AE172" s="142">
        <f t="shared" si="95"/>
        <v>0</v>
      </c>
      <c r="AF172" s="145">
        <v>605</v>
      </c>
      <c r="AG172" s="107">
        <f t="shared" si="96"/>
        <v>77.871264968940608</v>
      </c>
      <c r="AH172" s="142">
        <f t="shared" si="97"/>
        <v>682.87126496894064</v>
      </c>
      <c r="AI172" s="145">
        <v>0</v>
      </c>
      <c r="AJ172" s="107">
        <f t="shared" si="98"/>
        <v>0</v>
      </c>
      <c r="AK172" s="142">
        <f t="shared" si="99"/>
        <v>0</v>
      </c>
      <c r="AL172" s="146"/>
      <c r="AM172" s="401"/>
      <c r="AN172" s="107">
        <f t="shared" si="100"/>
        <v>0</v>
      </c>
      <c r="AO172" s="151">
        <f t="shared" si="101"/>
        <v>0</v>
      </c>
      <c r="AP172" s="282">
        <f t="shared" si="102"/>
        <v>2673.4334689066709</v>
      </c>
      <c r="AQ172" s="684">
        <v>112.26</v>
      </c>
      <c r="AR172" s="740">
        <v>1732.3783659564981</v>
      </c>
      <c r="AS172" s="740">
        <v>909.29105866283135</v>
      </c>
      <c r="AT172" s="740">
        <v>31.764044287341807</v>
      </c>
      <c r="AU172" s="411">
        <v>0</v>
      </c>
      <c r="AV172" s="801"/>
      <c r="AW172" s="256"/>
      <c r="AX172" s="728">
        <f t="shared" si="103"/>
        <v>138.88216799771814</v>
      </c>
      <c r="AY172" s="729">
        <v>93.3137558993906</v>
      </c>
      <c r="AZ172" s="730"/>
      <c r="BA172" s="731">
        <v>0</v>
      </c>
      <c r="BC172" s="727">
        <v>0</v>
      </c>
      <c r="BD172" s="727">
        <v>138.88216799771814</v>
      </c>
      <c r="BE172" s="727"/>
      <c r="BF172" s="727"/>
      <c r="BG172" s="727">
        <v>0</v>
      </c>
      <c r="BH172" s="727">
        <v>0</v>
      </c>
      <c r="BI172" s="137">
        <f>BC172+BD172+BE172+BG172</f>
        <v>138.88216799771814</v>
      </c>
      <c r="BJ172" s="126">
        <v>902.2</v>
      </c>
      <c r="BK172" s="807"/>
      <c r="BL172" s="107"/>
      <c r="BM172" s="687"/>
      <c r="BO172" s="577"/>
      <c r="BS172" s="904"/>
      <c r="BT172" s="789"/>
      <c r="BU172" s="789">
        <v>1684.7113495257283</v>
      </c>
      <c r="BV172" s="789">
        <v>0</v>
      </c>
      <c r="BW172" s="789">
        <f t="shared" si="104"/>
        <v>1684.7113495257283</v>
      </c>
    </row>
    <row r="173" spans="1:75" ht="15" thickBot="1" x14ac:dyDescent="0.35">
      <c r="A173" s="260" t="s">
        <v>214</v>
      </c>
      <c r="B173" s="237">
        <v>4</v>
      </c>
      <c r="C173" s="40">
        <f>'[7]побудинковий звіт'!E173</f>
        <v>2055.6</v>
      </c>
      <c r="D173" s="215">
        <f t="shared" si="79"/>
        <v>1051.1492737122198</v>
      </c>
      <c r="E173" s="107">
        <f t="shared" si="80"/>
        <v>231.25303333793212</v>
      </c>
      <c r="F173" s="107">
        <f t="shared" si="81"/>
        <v>87.192716281144527</v>
      </c>
      <c r="G173" s="107">
        <f t="shared" si="82"/>
        <v>0</v>
      </c>
      <c r="H173" s="107">
        <f t="shared" si="83"/>
        <v>878.20861693836014</v>
      </c>
      <c r="I173" s="107">
        <f t="shared" si="84"/>
        <v>289.32117829683915</v>
      </c>
      <c r="J173" s="687">
        <f t="shared" si="72"/>
        <v>0</v>
      </c>
      <c r="K173" s="142">
        <f t="shared" si="85"/>
        <v>2537.1248185664958</v>
      </c>
      <c r="L173" s="141">
        <f t="shared" si="73"/>
        <v>1076.2489197105888</v>
      </c>
      <c r="M173" s="107">
        <f t="shared" si="74"/>
        <v>236.77364789145048</v>
      </c>
      <c r="N173" s="30">
        <f t="shared" si="86"/>
        <v>40.636660924830259</v>
      </c>
      <c r="O173" s="107">
        <f t="shared" si="75"/>
        <v>3.7007160470921763</v>
      </c>
      <c r="P173" s="107">
        <f t="shared" si="87"/>
        <v>899.17873597770881</v>
      </c>
      <c r="Q173" s="107">
        <f t="shared" si="88"/>
        <v>290.44549009240126</v>
      </c>
      <c r="R173" s="143">
        <f t="shared" si="89"/>
        <v>2546.9841706440716</v>
      </c>
      <c r="S173" s="141">
        <f t="shared" si="90"/>
        <v>114.95659999999999</v>
      </c>
      <c r="T173" s="107">
        <f t="shared" si="76"/>
        <v>14.796389848807468</v>
      </c>
      <c r="U173" s="142">
        <f t="shared" si="91"/>
        <v>129.75298984880746</v>
      </c>
      <c r="V173" s="107"/>
      <c r="W173" s="107">
        <f t="shared" si="92"/>
        <v>0</v>
      </c>
      <c r="X173" s="142">
        <f t="shared" si="93"/>
        <v>0</v>
      </c>
      <c r="Y173" s="141">
        <v>0</v>
      </c>
      <c r="Z173" s="144">
        <v>0</v>
      </c>
      <c r="AA173" s="107">
        <f t="shared" si="77"/>
        <v>0</v>
      </c>
      <c r="AB173" s="142">
        <f t="shared" si="78"/>
        <v>0</v>
      </c>
      <c r="AC173" s="141">
        <v>0</v>
      </c>
      <c r="AD173" s="107">
        <f t="shared" si="94"/>
        <v>0</v>
      </c>
      <c r="AE173" s="142">
        <f t="shared" si="95"/>
        <v>0</v>
      </c>
      <c r="AF173" s="145">
        <v>85.8</v>
      </c>
      <c r="AG173" s="107">
        <f t="shared" si="96"/>
        <v>11.043561213777032</v>
      </c>
      <c r="AH173" s="142">
        <f t="shared" si="97"/>
        <v>96.843561213777036</v>
      </c>
      <c r="AI173" s="145">
        <v>0</v>
      </c>
      <c r="AJ173" s="107">
        <f t="shared" si="98"/>
        <v>0</v>
      </c>
      <c r="AK173" s="142">
        <f t="shared" si="99"/>
        <v>0</v>
      </c>
      <c r="AL173" s="146">
        <v>1742.5</v>
      </c>
      <c r="AM173" s="146"/>
      <c r="AN173" s="107">
        <f t="shared" si="100"/>
        <v>224.28211439401491</v>
      </c>
      <c r="AO173" s="151">
        <f t="shared" si="101"/>
        <v>1966.782114394015</v>
      </c>
      <c r="AP173" s="282">
        <f t="shared" si="102"/>
        <v>1001.8887492790132</v>
      </c>
      <c r="AQ173" s="684">
        <v>166.15</v>
      </c>
      <c r="AR173" s="411">
        <v>764.17075958647399</v>
      </c>
      <c r="AS173" s="411">
        <v>226.87733232000014</v>
      </c>
      <c r="AT173" s="411">
        <v>10.84065737253904</v>
      </c>
      <c r="AU173" s="411">
        <v>756.29178113709179</v>
      </c>
      <c r="AV173" s="742">
        <v>39.788908406304117</v>
      </c>
      <c r="AW173" s="256"/>
      <c r="AX173" s="728">
        <f t="shared" si="103"/>
        <v>87.192716281144527</v>
      </c>
      <c r="AY173" s="729">
        <v>40.636660924830259</v>
      </c>
      <c r="AZ173" s="730"/>
      <c r="BA173" s="731">
        <v>0</v>
      </c>
      <c r="BB173" s="742"/>
      <c r="BC173" s="727">
        <v>26.362500000000001</v>
      </c>
      <c r="BD173" s="727">
        <v>60.83021628114453</v>
      </c>
      <c r="BE173" s="727"/>
      <c r="BF173" s="727"/>
      <c r="BG173" s="727">
        <v>0</v>
      </c>
      <c r="BH173" s="727">
        <v>38.04296875</v>
      </c>
      <c r="BI173" s="137">
        <f>BC173+BD173+BE173+BG173</f>
        <v>87.192716281144527</v>
      </c>
      <c r="BJ173" s="126">
        <v>522.53</v>
      </c>
      <c r="BK173" s="807"/>
      <c r="BL173" s="107"/>
      <c r="BM173" s="687"/>
      <c r="BO173" s="577"/>
      <c r="BS173" s="904"/>
      <c r="BT173" s="789"/>
      <c r="BU173" s="789">
        <v>1031.9907164667779</v>
      </c>
      <c r="BV173" s="789">
        <v>0</v>
      </c>
      <c r="BW173" s="789">
        <f t="shared" si="104"/>
        <v>1031.9907164667779</v>
      </c>
    </row>
    <row r="174" spans="1:75" ht="15" thickBot="1" x14ac:dyDescent="0.35">
      <c r="A174" s="260" t="s">
        <v>167</v>
      </c>
      <c r="B174" s="237">
        <v>2</v>
      </c>
      <c r="C174" s="40">
        <f>'[7]побудинковий звіт'!E174</f>
        <v>373.83</v>
      </c>
      <c r="D174" s="215">
        <f t="shared" si="79"/>
        <v>0</v>
      </c>
      <c r="E174" s="107">
        <f t="shared" si="80"/>
        <v>0</v>
      </c>
      <c r="F174" s="107">
        <f t="shared" si="81"/>
        <v>0</v>
      </c>
      <c r="G174" s="107">
        <f t="shared" si="82"/>
        <v>0</v>
      </c>
      <c r="H174" s="107">
        <f t="shared" si="83"/>
        <v>0</v>
      </c>
      <c r="I174" s="107">
        <f t="shared" si="84"/>
        <v>0</v>
      </c>
      <c r="J174" s="687">
        <f t="shared" si="72"/>
        <v>0</v>
      </c>
      <c r="K174" s="142">
        <f t="shared" si="85"/>
        <v>0</v>
      </c>
      <c r="L174" s="141">
        <f t="shared" si="73"/>
        <v>330.03094543477363</v>
      </c>
      <c r="M174" s="107">
        <f t="shared" si="74"/>
        <v>72.606466251941725</v>
      </c>
      <c r="N174" s="30">
        <f t="shared" si="86"/>
        <v>0</v>
      </c>
      <c r="O174" s="107">
        <f t="shared" si="75"/>
        <v>0.67300967108604215</v>
      </c>
      <c r="P174" s="107">
        <f t="shared" si="87"/>
        <v>275.73250287616361</v>
      </c>
      <c r="Q174" s="107">
        <f t="shared" si="88"/>
        <v>87.401539633565889</v>
      </c>
      <c r="R174" s="143">
        <f t="shared" si="89"/>
        <v>766.444463867531</v>
      </c>
      <c r="S174" s="141">
        <f t="shared" si="90"/>
        <v>6.6000000000000005</v>
      </c>
      <c r="T174" s="107">
        <f t="shared" si="76"/>
        <v>0.84950470875207951</v>
      </c>
      <c r="U174" s="142">
        <f t="shared" si="91"/>
        <v>7.4495047087520803</v>
      </c>
      <c r="V174" s="107"/>
      <c r="W174" s="107">
        <f t="shared" si="92"/>
        <v>0</v>
      </c>
      <c r="X174" s="142">
        <f t="shared" si="93"/>
        <v>0</v>
      </c>
      <c r="Y174" s="141">
        <v>0</v>
      </c>
      <c r="Z174" s="144">
        <v>0</v>
      </c>
      <c r="AA174" s="107">
        <f t="shared" si="77"/>
        <v>0</v>
      </c>
      <c r="AB174" s="142">
        <f t="shared" si="78"/>
        <v>0</v>
      </c>
      <c r="AC174" s="141">
        <v>0</v>
      </c>
      <c r="AD174" s="107">
        <f t="shared" si="94"/>
        <v>0</v>
      </c>
      <c r="AE174" s="142">
        <f t="shared" si="95"/>
        <v>0</v>
      </c>
      <c r="AF174" s="145">
        <v>72.599999999999994</v>
      </c>
      <c r="AG174" s="107">
        <f t="shared" si="96"/>
        <v>9.3445517962728726</v>
      </c>
      <c r="AH174" s="142">
        <f t="shared" si="97"/>
        <v>81.944551796272862</v>
      </c>
      <c r="AI174" s="145">
        <v>0</v>
      </c>
      <c r="AJ174" s="107">
        <f t="shared" si="98"/>
        <v>0</v>
      </c>
      <c r="AK174" s="142">
        <f t="shared" si="99"/>
        <v>0</v>
      </c>
      <c r="AL174" s="146"/>
      <c r="AM174" s="146"/>
      <c r="AN174" s="107">
        <f t="shared" si="100"/>
        <v>0</v>
      </c>
      <c r="AO174" s="151">
        <f t="shared" si="101"/>
        <v>0</v>
      </c>
      <c r="AP174" s="282">
        <f t="shared" si="102"/>
        <v>0</v>
      </c>
      <c r="AQ174" s="684">
        <v>0</v>
      </c>
      <c r="AR174" s="411">
        <v>0</v>
      </c>
      <c r="AS174" s="411">
        <v>0</v>
      </c>
      <c r="AT174" s="411">
        <v>0</v>
      </c>
      <c r="AU174" s="411">
        <v>304.81237047515168</v>
      </c>
      <c r="AV174" s="742">
        <v>0</v>
      </c>
      <c r="AW174" s="256"/>
      <c r="AX174" s="728">
        <f t="shared" si="103"/>
        <v>0</v>
      </c>
      <c r="AY174" s="729">
        <v>0</v>
      </c>
      <c r="AZ174" s="730"/>
      <c r="BA174" s="731">
        <v>0</v>
      </c>
      <c r="BB174" s="742"/>
      <c r="BC174" s="727">
        <v>0</v>
      </c>
      <c r="BD174" s="727">
        <v>0</v>
      </c>
      <c r="BE174" s="727"/>
      <c r="BF174" s="727"/>
      <c r="BG174" s="727">
        <v>0</v>
      </c>
      <c r="BH174" s="727">
        <v>0</v>
      </c>
      <c r="BI174" s="137">
        <f>BC174+BD174+BE174+BG174</f>
        <v>0</v>
      </c>
      <c r="BJ174" s="126">
        <v>30</v>
      </c>
      <c r="BK174" s="807"/>
      <c r="BL174" s="107"/>
      <c r="BM174" s="687"/>
      <c r="BO174" s="577"/>
      <c r="BS174" s="904"/>
      <c r="BT174" s="789"/>
      <c r="BU174" s="789">
        <v>0</v>
      </c>
      <c r="BV174" s="789">
        <v>0</v>
      </c>
      <c r="BW174" s="789">
        <f t="shared" si="104"/>
        <v>0</v>
      </c>
    </row>
    <row r="175" spans="1:75" ht="15" thickBot="1" x14ac:dyDescent="0.35">
      <c r="A175" s="220" t="s">
        <v>116</v>
      </c>
      <c r="B175" s="238">
        <v>1</v>
      </c>
      <c r="C175" s="40">
        <f>'[7]побудинковий звіт'!E175</f>
        <v>119.3</v>
      </c>
      <c r="D175" s="215">
        <f t="shared" si="79"/>
        <v>0</v>
      </c>
      <c r="E175" s="107">
        <f t="shared" si="80"/>
        <v>0</v>
      </c>
      <c r="F175" s="107">
        <f t="shared" si="81"/>
        <v>0</v>
      </c>
      <c r="G175" s="107">
        <f t="shared" si="82"/>
        <v>0</v>
      </c>
      <c r="H175" s="107">
        <f t="shared" si="83"/>
        <v>0</v>
      </c>
      <c r="I175" s="107">
        <f t="shared" si="84"/>
        <v>0</v>
      </c>
      <c r="J175" s="687">
        <f t="shared" si="72"/>
        <v>0</v>
      </c>
      <c r="K175" s="142">
        <f t="shared" si="85"/>
        <v>0</v>
      </c>
      <c r="L175" s="141">
        <f t="shared" si="73"/>
        <v>0</v>
      </c>
      <c r="M175" s="107">
        <f t="shared" si="74"/>
        <v>0</v>
      </c>
      <c r="N175" s="30">
        <f t="shared" si="86"/>
        <v>0</v>
      </c>
      <c r="O175" s="107">
        <f t="shared" si="75"/>
        <v>0.21477691399985241</v>
      </c>
      <c r="P175" s="107">
        <f t="shared" si="87"/>
        <v>0</v>
      </c>
      <c r="Q175" s="107">
        <f t="shared" si="88"/>
        <v>2.7644545420320459E-2</v>
      </c>
      <c r="R175" s="143">
        <f t="shared" si="89"/>
        <v>0.24242145942017287</v>
      </c>
      <c r="S175" s="141">
        <f t="shared" si="90"/>
        <v>0</v>
      </c>
      <c r="T175" s="107">
        <f t="shared" si="76"/>
        <v>0</v>
      </c>
      <c r="U175" s="142">
        <f t="shared" si="91"/>
        <v>0</v>
      </c>
      <c r="V175" s="107"/>
      <c r="W175" s="107">
        <f t="shared" si="92"/>
        <v>0</v>
      </c>
      <c r="X175" s="142">
        <f t="shared" si="93"/>
        <v>0</v>
      </c>
      <c r="Y175" s="141">
        <v>0</v>
      </c>
      <c r="Z175" s="144">
        <v>0</v>
      </c>
      <c r="AA175" s="107">
        <f t="shared" si="77"/>
        <v>0</v>
      </c>
      <c r="AB175" s="142">
        <f t="shared" si="78"/>
        <v>0</v>
      </c>
      <c r="AC175" s="141">
        <v>0</v>
      </c>
      <c r="AD175" s="107">
        <f t="shared" si="94"/>
        <v>0</v>
      </c>
      <c r="AE175" s="142">
        <f t="shared" si="95"/>
        <v>0</v>
      </c>
      <c r="AF175" s="145">
        <v>0</v>
      </c>
      <c r="AG175" s="107">
        <f t="shared" si="96"/>
        <v>0</v>
      </c>
      <c r="AH175" s="142">
        <f t="shared" si="97"/>
        <v>0</v>
      </c>
      <c r="AI175" s="145">
        <v>0</v>
      </c>
      <c r="AJ175" s="107">
        <f t="shared" si="98"/>
        <v>0</v>
      </c>
      <c r="AK175" s="142">
        <f t="shared" si="99"/>
        <v>0</v>
      </c>
      <c r="AL175" s="146"/>
      <c r="AM175" s="215"/>
      <c r="AN175" s="107">
        <f t="shared" si="100"/>
        <v>0</v>
      </c>
      <c r="AO175" s="151">
        <f t="shared" si="101"/>
        <v>0</v>
      </c>
      <c r="AP175" s="282">
        <f t="shared" si="102"/>
        <v>0</v>
      </c>
      <c r="AQ175" s="684">
        <v>0</v>
      </c>
      <c r="AR175" s="411">
        <v>0</v>
      </c>
      <c r="AS175" s="411">
        <v>0</v>
      </c>
      <c r="AT175" s="411">
        <v>0</v>
      </c>
      <c r="AU175" s="411">
        <v>0</v>
      </c>
      <c r="AV175" s="742">
        <v>0</v>
      </c>
      <c r="AW175" s="256"/>
      <c r="AX175" s="728">
        <f t="shared" si="103"/>
        <v>0</v>
      </c>
      <c r="AY175" s="729">
        <v>0</v>
      </c>
      <c r="AZ175" s="730"/>
      <c r="BA175" s="731">
        <v>0</v>
      </c>
      <c r="BB175" s="742"/>
      <c r="BC175" s="727">
        <v>0</v>
      </c>
      <c r="BD175" s="727">
        <v>0</v>
      </c>
      <c r="BE175" s="727"/>
      <c r="BF175" s="727"/>
      <c r="BG175" s="727">
        <v>0</v>
      </c>
      <c r="BH175" s="727">
        <v>0</v>
      </c>
      <c r="BI175" s="137">
        <f t="shared" si="106"/>
        <v>0</v>
      </c>
      <c r="BJ175" s="126"/>
      <c r="BK175" s="807"/>
      <c r="BL175" s="107"/>
      <c r="BM175" s="687"/>
      <c r="BO175" s="577"/>
      <c r="BS175" s="904"/>
      <c r="BT175" s="789"/>
      <c r="BU175" s="789">
        <v>0</v>
      </c>
      <c r="BV175" s="789">
        <v>0</v>
      </c>
      <c r="BW175" s="789">
        <f t="shared" si="104"/>
        <v>0</v>
      </c>
    </row>
    <row r="176" spans="1:75" ht="15" thickBot="1" x14ac:dyDescent="0.35">
      <c r="A176" s="220" t="s">
        <v>117</v>
      </c>
      <c r="B176" s="238">
        <v>1</v>
      </c>
      <c r="C176" s="40">
        <f>'[7]побудинковий звіт'!E176</f>
        <v>182.8</v>
      </c>
      <c r="D176" s="215">
        <f t="shared" si="79"/>
        <v>21.757413736339039</v>
      </c>
      <c r="E176" s="107">
        <f t="shared" si="80"/>
        <v>4.7866350193514879</v>
      </c>
      <c r="F176" s="107">
        <f t="shared" si="81"/>
        <v>0</v>
      </c>
      <c r="G176" s="107">
        <f t="shared" si="82"/>
        <v>0</v>
      </c>
      <c r="H176" s="107">
        <f t="shared" si="83"/>
        <v>18.177768565701534</v>
      </c>
      <c r="I176" s="107">
        <f t="shared" si="84"/>
        <v>5.7562718785564941</v>
      </c>
      <c r="J176" s="687">
        <f t="shared" si="72"/>
        <v>0</v>
      </c>
      <c r="K176" s="142">
        <f t="shared" si="85"/>
        <v>50.478089199948556</v>
      </c>
      <c r="L176" s="141">
        <f t="shared" si="73"/>
        <v>0</v>
      </c>
      <c r="M176" s="107">
        <f t="shared" si="74"/>
        <v>0</v>
      </c>
      <c r="N176" s="30">
        <f t="shared" si="86"/>
        <v>0</v>
      </c>
      <c r="O176" s="107">
        <f t="shared" si="75"/>
        <v>0.32909656227303458</v>
      </c>
      <c r="P176" s="107">
        <f t="shared" si="87"/>
        <v>0</v>
      </c>
      <c r="Q176" s="107">
        <f t="shared" si="88"/>
        <v>4.2358951406828001E-2</v>
      </c>
      <c r="R176" s="143">
        <f t="shared" si="89"/>
        <v>0.37145551367986257</v>
      </c>
      <c r="S176" s="141">
        <f t="shared" si="90"/>
        <v>0</v>
      </c>
      <c r="T176" s="107">
        <f t="shared" si="76"/>
        <v>0</v>
      </c>
      <c r="U176" s="142">
        <f t="shared" si="91"/>
        <v>0</v>
      </c>
      <c r="V176" s="107"/>
      <c r="W176" s="107">
        <f t="shared" si="92"/>
        <v>0</v>
      </c>
      <c r="X176" s="142">
        <f t="shared" si="93"/>
        <v>0</v>
      </c>
      <c r="Y176" s="141">
        <v>0</v>
      </c>
      <c r="Z176" s="144">
        <v>0</v>
      </c>
      <c r="AA176" s="107">
        <f t="shared" si="77"/>
        <v>0</v>
      </c>
      <c r="AB176" s="142">
        <f t="shared" si="78"/>
        <v>0</v>
      </c>
      <c r="AC176" s="141">
        <v>0</v>
      </c>
      <c r="AD176" s="107">
        <f t="shared" si="94"/>
        <v>0</v>
      </c>
      <c r="AE176" s="142">
        <f t="shared" si="95"/>
        <v>0</v>
      </c>
      <c r="AF176" s="145">
        <v>0</v>
      </c>
      <c r="AG176" s="107">
        <f t="shared" si="96"/>
        <v>0</v>
      </c>
      <c r="AH176" s="142">
        <f t="shared" si="97"/>
        <v>0</v>
      </c>
      <c r="AI176" s="145">
        <v>0</v>
      </c>
      <c r="AJ176" s="107">
        <f t="shared" si="98"/>
        <v>0</v>
      </c>
      <c r="AK176" s="142">
        <f t="shared" si="99"/>
        <v>0</v>
      </c>
      <c r="AL176" s="146"/>
      <c r="AM176" s="215"/>
      <c r="AN176" s="107">
        <f t="shared" si="100"/>
        <v>0</v>
      </c>
      <c r="AO176" s="151">
        <f t="shared" si="101"/>
        <v>0</v>
      </c>
      <c r="AP176" s="282">
        <f t="shared" si="102"/>
        <v>0</v>
      </c>
      <c r="AQ176" s="684">
        <v>20.079999999999998</v>
      </c>
      <c r="AR176" s="411">
        <v>0</v>
      </c>
      <c r="AS176" s="411">
        <v>0</v>
      </c>
      <c r="AT176" s="411">
        <v>0</v>
      </c>
      <c r="AU176" s="411">
        <v>0</v>
      </c>
      <c r="AV176" s="742">
        <v>0</v>
      </c>
      <c r="AW176" s="256"/>
      <c r="AX176" s="728">
        <f t="shared" si="103"/>
        <v>0</v>
      </c>
      <c r="AY176" s="729">
        <v>0</v>
      </c>
      <c r="AZ176" s="730"/>
      <c r="BA176" s="731">
        <v>0</v>
      </c>
      <c r="BB176" s="742"/>
      <c r="BC176" s="727">
        <v>0</v>
      </c>
      <c r="BD176" s="727">
        <v>0</v>
      </c>
      <c r="BE176" s="727"/>
      <c r="BF176" s="727"/>
      <c r="BG176" s="727">
        <v>0</v>
      </c>
      <c r="BH176" s="727">
        <v>0</v>
      </c>
      <c r="BI176" s="137">
        <f t="shared" si="106"/>
        <v>0</v>
      </c>
      <c r="BJ176" s="126"/>
      <c r="BK176" s="807"/>
      <c r="BL176" s="107"/>
      <c r="BM176" s="687"/>
      <c r="BO176" s="577"/>
      <c r="BS176" s="904"/>
      <c r="BT176" s="789"/>
      <c r="BU176" s="789">
        <v>0</v>
      </c>
      <c r="BV176" s="789">
        <v>0</v>
      </c>
      <c r="BW176" s="789">
        <f t="shared" si="104"/>
        <v>0</v>
      </c>
    </row>
    <row r="177" spans="1:75" ht="15" thickBot="1" x14ac:dyDescent="0.35">
      <c r="A177" s="220" t="s">
        <v>118</v>
      </c>
      <c r="B177" s="238">
        <v>1</v>
      </c>
      <c r="C177" s="40">
        <f>'[7]побудинковий звіт'!E177</f>
        <v>229</v>
      </c>
      <c r="D177" s="215">
        <f t="shared" si="79"/>
        <v>21.757413736339039</v>
      </c>
      <c r="E177" s="107">
        <f t="shared" si="80"/>
        <v>4.7866350193514879</v>
      </c>
      <c r="F177" s="107">
        <f t="shared" si="81"/>
        <v>0</v>
      </c>
      <c r="G177" s="107">
        <f t="shared" si="82"/>
        <v>0</v>
      </c>
      <c r="H177" s="107">
        <f t="shared" si="83"/>
        <v>18.177768565701534</v>
      </c>
      <c r="I177" s="107">
        <f t="shared" si="84"/>
        <v>5.7562718785564941</v>
      </c>
      <c r="J177" s="687">
        <f t="shared" si="72"/>
        <v>0</v>
      </c>
      <c r="K177" s="142">
        <f t="shared" si="85"/>
        <v>50.478089199948556</v>
      </c>
      <c r="L177" s="141">
        <f t="shared" si="73"/>
        <v>0</v>
      </c>
      <c r="M177" s="107">
        <f t="shared" si="74"/>
        <v>0</v>
      </c>
      <c r="N177" s="30">
        <f t="shared" si="86"/>
        <v>0</v>
      </c>
      <c r="O177" s="107">
        <f t="shared" si="75"/>
        <v>0.41227085755210563</v>
      </c>
      <c r="P177" s="107">
        <f t="shared" si="87"/>
        <v>0</v>
      </c>
      <c r="Q177" s="107">
        <f t="shared" si="88"/>
        <v>5.3064550722995686E-2</v>
      </c>
      <c r="R177" s="143">
        <f t="shared" si="89"/>
        <v>0.46533540827510134</v>
      </c>
      <c r="S177" s="141">
        <f t="shared" si="90"/>
        <v>0</v>
      </c>
      <c r="T177" s="107">
        <f t="shared" si="76"/>
        <v>0</v>
      </c>
      <c r="U177" s="142">
        <f t="shared" si="91"/>
        <v>0</v>
      </c>
      <c r="V177" s="107"/>
      <c r="W177" s="107">
        <f t="shared" si="92"/>
        <v>0</v>
      </c>
      <c r="X177" s="142">
        <f t="shared" si="93"/>
        <v>0</v>
      </c>
      <c r="Y177" s="141">
        <v>0</v>
      </c>
      <c r="Z177" s="144">
        <v>0</v>
      </c>
      <c r="AA177" s="107">
        <f t="shared" si="77"/>
        <v>0</v>
      </c>
      <c r="AB177" s="142">
        <f t="shared" si="78"/>
        <v>0</v>
      </c>
      <c r="AC177" s="141">
        <v>0</v>
      </c>
      <c r="AD177" s="107">
        <f t="shared" si="94"/>
        <v>0</v>
      </c>
      <c r="AE177" s="142">
        <f t="shared" si="95"/>
        <v>0</v>
      </c>
      <c r="AF177" s="145">
        <v>0</v>
      </c>
      <c r="AG177" s="107">
        <f t="shared" si="96"/>
        <v>0</v>
      </c>
      <c r="AH177" s="142">
        <f t="shared" si="97"/>
        <v>0</v>
      </c>
      <c r="AI177" s="145">
        <v>0</v>
      </c>
      <c r="AJ177" s="107">
        <f t="shared" si="98"/>
        <v>0</v>
      </c>
      <c r="AK177" s="142">
        <f t="shared" si="99"/>
        <v>0</v>
      </c>
      <c r="AL177" s="146"/>
      <c r="AM177" s="215"/>
      <c r="AN177" s="107">
        <f t="shared" si="100"/>
        <v>0</v>
      </c>
      <c r="AO177" s="151">
        <f t="shared" si="101"/>
        <v>0</v>
      </c>
      <c r="AP177" s="282">
        <f t="shared" si="102"/>
        <v>0</v>
      </c>
      <c r="AQ177" s="684">
        <v>20.079999999999998</v>
      </c>
      <c r="AR177" s="411">
        <v>0</v>
      </c>
      <c r="AS177" s="411">
        <v>0</v>
      </c>
      <c r="AT177" s="411">
        <v>0</v>
      </c>
      <c r="AU177" s="411">
        <v>0</v>
      </c>
      <c r="AV177" s="742">
        <v>0</v>
      </c>
      <c r="AW177" s="256"/>
      <c r="AX177" s="728">
        <f t="shared" si="103"/>
        <v>0</v>
      </c>
      <c r="AY177" s="729">
        <v>0</v>
      </c>
      <c r="AZ177" s="730"/>
      <c r="BA177" s="731">
        <v>0</v>
      </c>
      <c r="BB177" s="742"/>
      <c r="BC177" s="727">
        <v>0</v>
      </c>
      <c r="BD177" s="727">
        <v>0</v>
      </c>
      <c r="BE177" s="727"/>
      <c r="BF177" s="727"/>
      <c r="BG177" s="727">
        <v>0</v>
      </c>
      <c r="BH177" s="727">
        <v>0</v>
      </c>
      <c r="BI177" s="137">
        <f t="shared" si="106"/>
        <v>0</v>
      </c>
      <c r="BJ177" s="126"/>
      <c r="BK177" s="807"/>
      <c r="BL177" s="107"/>
      <c r="BM177" s="687"/>
      <c r="BO177" s="577"/>
      <c r="BS177" s="904"/>
      <c r="BT177" s="789"/>
      <c r="BU177" s="789">
        <v>0</v>
      </c>
      <c r="BV177" s="789">
        <v>0</v>
      </c>
      <c r="BW177" s="789">
        <f t="shared" si="104"/>
        <v>0</v>
      </c>
    </row>
    <row r="178" spans="1:75" ht="15" thickBot="1" x14ac:dyDescent="0.35">
      <c r="A178" s="220" t="s">
        <v>119</v>
      </c>
      <c r="B178" s="238">
        <v>1</v>
      </c>
      <c r="C178" s="40">
        <f>'[7]побудинковий звіт'!E178</f>
        <v>144.5</v>
      </c>
      <c r="D178" s="215">
        <f t="shared" si="79"/>
        <v>0</v>
      </c>
      <c r="E178" s="107">
        <f t="shared" si="80"/>
        <v>0</v>
      </c>
      <c r="F178" s="107">
        <f t="shared" si="81"/>
        <v>0</v>
      </c>
      <c r="G178" s="107">
        <f t="shared" si="82"/>
        <v>0</v>
      </c>
      <c r="H178" s="107">
        <f t="shared" si="83"/>
        <v>0</v>
      </c>
      <c r="I178" s="107">
        <f t="shared" si="84"/>
        <v>0</v>
      </c>
      <c r="J178" s="687">
        <f t="shared" si="72"/>
        <v>0</v>
      </c>
      <c r="K178" s="142">
        <f t="shared" si="85"/>
        <v>0</v>
      </c>
      <c r="L178" s="141">
        <f t="shared" si="73"/>
        <v>0</v>
      </c>
      <c r="M178" s="107">
        <f t="shared" si="74"/>
        <v>0</v>
      </c>
      <c r="N178" s="30">
        <f t="shared" si="86"/>
        <v>0</v>
      </c>
      <c r="O178" s="107">
        <f t="shared" si="75"/>
        <v>0.26014471142480028</v>
      </c>
      <c r="P178" s="107">
        <f t="shared" si="87"/>
        <v>0</v>
      </c>
      <c r="Q178" s="107">
        <f t="shared" si="88"/>
        <v>3.3483963229139199E-2</v>
      </c>
      <c r="R178" s="143">
        <f t="shared" si="89"/>
        <v>0.29362867465393949</v>
      </c>
      <c r="S178" s="141">
        <f t="shared" si="90"/>
        <v>0</v>
      </c>
      <c r="T178" s="107">
        <f t="shared" si="76"/>
        <v>0</v>
      </c>
      <c r="U178" s="142">
        <f t="shared" si="91"/>
        <v>0</v>
      </c>
      <c r="V178" s="107"/>
      <c r="W178" s="107">
        <f t="shared" si="92"/>
        <v>0</v>
      </c>
      <c r="X178" s="142">
        <f t="shared" si="93"/>
        <v>0</v>
      </c>
      <c r="Y178" s="141">
        <v>0</v>
      </c>
      <c r="Z178" s="144">
        <v>0</v>
      </c>
      <c r="AA178" s="107">
        <f t="shared" si="77"/>
        <v>0</v>
      </c>
      <c r="AB178" s="142">
        <f t="shared" si="78"/>
        <v>0</v>
      </c>
      <c r="AC178" s="141">
        <v>0</v>
      </c>
      <c r="AD178" s="107">
        <f t="shared" si="94"/>
        <v>0</v>
      </c>
      <c r="AE178" s="142">
        <f t="shared" si="95"/>
        <v>0</v>
      </c>
      <c r="AF178" s="145">
        <v>0</v>
      </c>
      <c r="AG178" s="107">
        <f t="shared" si="96"/>
        <v>0</v>
      </c>
      <c r="AH178" s="142">
        <f t="shared" si="97"/>
        <v>0</v>
      </c>
      <c r="AI178" s="145">
        <v>0</v>
      </c>
      <c r="AJ178" s="107">
        <f t="shared" si="98"/>
        <v>0</v>
      </c>
      <c r="AK178" s="142">
        <f t="shared" si="99"/>
        <v>0</v>
      </c>
      <c r="AL178" s="146"/>
      <c r="AM178" s="215"/>
      <c r="AN178" s="107">
        <f t="shared" si="100"/>
        <v>0</v>
      </c>
      <c r="AO178" s="151">
        <f t="shared" si="101"/>
        <v>0</v>
      </c>
      <c r="AP178" s="282">
        <f t="shared" si="102"/>
        <v>0</v>
      </c>
      <c r="AQ178" s="684">
        <v>0</v>
      </c>
      <c r="AR178" s="411">
        <v>0</v>
      </c>
      <c r="AS178" s="411">
        <v>0</v>
      </c>
      <c r="AT178" s="411">
        <v>0</v>
      </c>
      <c r="AU178" s="411">
        <v>0</v>
      </c>
      <c r="AV178" s="742">
        <v>0</v>
      </c>
      <c r="AW178" s="256"/>
      <c r="AX178" s="728">
        <f t="shared" si="103"/>
        <v>0</v>
      </c>
      <c r="AY178" s="729">
        <v>0</v>
      </c>
      <c r="AZ178" s="730"/>
      <c r="BA178" s="731">
        <v>0</v>
      </c>
      <c r="BB178" s="742"/>
      <c r="BC178" s="727">
        <v>0</v>
      </c>
      <c r="BD178" s="727">
        <v>0</v>
      </c>
      <c r="BE178" s="727"/>
      <c r="BF178" s="727"/>
      <c r="BG178" s="727">
        <v>0</v>
      </c>
      <c r="BH178" s="727">
        <v>0</v>
      </c>
      <c r="BI178" s="137">
        <f t="shared" si="106"/>
        <v>0</v>
      </c>
      <c r="BJ178" s="126"/>
      <c r="BK178" s="807"/>
      <c r="BL178" s="107"/>
      <c r="BM178" s="687"/>
      <c r="BO178" s="577"/>
      <c r="BS178" s="904"/>
      <c r="BT178" s="789"/>
      <c r="BU178" s="789">
        <v>0</v>
      </c>
      <c r="BV178" s="789">
        <v>0</v>
      </c>
      <c r="BW178" s="789">
        <f t="shared" si="104"/>
        <v>0</v>
      </c>
    </row>
    <row r="179" spans="1:75" ht="15" thickBot="1" x14ac:dyDescent="0.35">
      <c r="A179" s="260" t="s">
        <v>168</v>
      </c>
      <c r="B179" s="237">
        <v>2</v>
      </c>
      <c r="C179" s="40">
        <f>'[7]побудинковий звіт'!E179</f>
        <v>393</v>
      </c>
      <c r="D179" s="215">
        <f t="shared" si="79"/>
        <v>86.453931710263291</v>
      </c>
      <c r="E179" s="107">
        <f t="shared" si="80"/>
        <v>19.019880859911407</v>
      </c>
      <c r="F179" s="107">
        <f t="shared" si="81"/>
        <v>47.300505668159502</v>
      </c>
      <c r="G179" s="107">
        <f t="shared" si="82"/>
        <v>0</v>
      </c>
      <c r="H179" s="107">
        <f t="shared" si="83"/>
        <v>72.230072069611822</v>
      </c>
      <c r="I179" s="107">
        <f t="shared" si="84"/>
        <v>28.960952887347105</v>
      </c>
      <c r="J179" s="687">
        <f t="shared" si="72"/>
        <v>0</v>
      </c>
      <c r="K179" s="142">
        <f t="shared" si="85"/>
        <v>253.96534319529314</v>
      </c>
      <c r="L179" s="141">
        <f t="shared" si="73"/>
        <v>295.7788739309857</v>
      </c>
      <c r="M179" s="107">
        <f t="shared" si="74"/>
        <v>65.071045988782245</v>
      </c>
      <c r="N179" s="30">
        <f t="shared" si="86"/>
        <v>7.6540655372433699</v>
      </c>
      <c r="O179" s="107">
        <f t="shared" si="75"/>
        <v>0.70752160269859177</v>
      </c>
      <c r="P179" s="107">
        <f t="shared" si="87"/>
        <v>247.11576394584617</v>
      </c>
      <c r="Q179" s="107">
        <f t="shared" si="88"/>
        <v>79.329230129021042</v>
      </c>
      <c r="R179" s="143">
        <f t="shared" si="89"/>
        <v>695.65650113457718</v>
      </c>
      <c r="S179" s="141">
        <f t="shared" si="90"/>
        <v>0</v>
      </c>
      <c r="T179" s="107">
        <f t="shared" si="76"/>
        <v>0</v>
      </c>
      <c r="U179" s="142">
        <f t="shared" si="91"/>
        <v>0</v>
      </c>
      <c r="V179" s="107"/>
      <c r="W179" s="107">
        <f t="shared" si="92"/>
        <v>0</v>
      </c>
      <c r="X179" s="142">
        <f t="shared" si="93"/>
        <v>0</v>
      </c>
      <c r="Y179" s="141">
        <v>0</v>
      </c>
      <c r="Z179" s="144">
        <v>0</v>
      </c>
      <c r="AA179" s="107">
        <f t="shared" si="77"/>
        <v>0</v>
      </c>
      <c r="AB179" s="142">
        <f t="shared" si="78"/>
        <v>0</v>
      </c>
      <c r="AC179" s="141">
        <v>0</v>
      </c>
      <c r="AD179" s="107">
        <f t="shared" si="94"/>
        <v>0</v>
      </c>
      <c r="AE179" s="142">
        <f t="shared" si="95"/>
        <v>0</v>
      </c>
      <c r="AF179" s="145">
        <v>2.2000000000000002</v>
      </c>
      <c r="AG179" s="107">
        <f t="shared" si="96"/>
        <v>0.28316823625069315</v>
      </c>
      <c r="AH179" s="142">
        <f t="shared" si="97"/>
        <v>2.4831682362506933</v>
      </c>
      <c r="AI179" s="145">
        <v>0</v>
      </c>
      <c r="AJ179" s="107">
        <f t="shared" si="98"/>
        <v>0</v>
      </c>
      <c r="AK179" s="142">
        <f t="shared" si="99"/>
        <v>0</v>
      </c>
      <c r="AL179" s="215"/>
      <c r="AM179" s="215"/>
      <c r="AN179" s="107">
        <f t="shared" si="100"/>
        <v>0</v>
      </c>
      <c r="AO179" s="151">
        <f t="shared" si="101"/>
        <v>0</v>
      </c>
      <c r="AP179" s="282">
        <f t="shared" si="102"/>
        <v>66.200156729205091</v>
      </c>
      <c r="AQ179" s="684">
        <v>34.69</v>
      </c>
      <c r="AR179" s="411">
        <v>42.866677031207786</v>
      </c>
      <c r="AS179" s="411">
        <v>23.333479697997305</v>
      </c>
      <c r="AT179" s="411">
        <v>0</v>
      </c>
      <c r="AU179" s="411">
        <v>249.84411454427706</v>
      </c>
      <c r="AV179" s="742">
        <v>2.2319858024930599</v>
      </c>
      <c r="AW179" s="256"/>
      <c r="AX179" s="728">
        <f t="shared" si="103"/>
        <v>47.300505668159502</v>
      </c>
      <c r="AY179" s="729">
        <v>7.6540655372433699</v>
      </c>
      <c r="AZ179" s="730"/>
      <c r="BA179" s="731">
        <v>0</v>
      </c>
      <c r="BB179" s="742"/>
      <c r="BC179" s="727">
        <v>26.362500000000001</v>
      </c>
      <c r="BD179" s="727">
        <v>20.938005668159501</v>
      </c>
      <c r="BE179" s="727"/>
      <c r="BF179" s="727"/>
      <c r="BG179" s="727">
        <v>0</v>
      </c>
      <c r="BH179" s="727">
        <v>38.04296875</v>
      </c>
      <c r="BI179" s="137">
        <f t="shared" ref="BI179:BI210" si="107">BC179+BD179+BE179+BG179</f>
        <v>47.300505668159502</v>
      </c>
      <c r="BJ179" s="126"/>
      <c r="BK179" s="807"/>
      <c r="BL179" s="107"/>
      <c r="BM179" s="687"/>
      <c r="BO179" s="577"/>
      <c r="BS179" s="904"/>
      <c r="BT179" s="789"/>
      <c r="BU179" s="789">
        <v>37.946343515482347</v>
      </c>
      <c r="BV179" s="789">
        <v>0</v>
      </c>
      <c r="BW179" s="789">
        <f t="shared" si="104"/>
        <v>37.946343515482347</v>
      </c>
    </row>
    <row r="180" spans="1:75" ht="15" thickBot="1" x14ac:dyDescent="0.35">
      <c r="A180" s="219" t="s">
        <v>264</v>
      </c>
      <c r="B180" s="237">
        <v>5</v>
      </c>
      <c r="C180" s="40">
        <f>'[7]побудинковий звіт'!E180</f>
        <v>4524.01</v>
      </c>
      <c r="D180" s="215">
        <f t="shared" si="79"/>
        <v>2522.0160365389397</v>
      </c>
      <c r="E180" s="107">
        <f t="shared" si="80"/>
        <v>554.84399139318816</v>
      </c>
      <c r="F180" s="107">
        <f t="shared" si="81"/>
        <v>138.3088900282975</v>
      </c>
      <c r="G180" s="107">
        <f t="shared" si="82"/>
        <v>0</v>
      </c>
      <c r="H180" s="107">
        <f t="shared" si="83"/>
        <v>2107.0805743158448</v>
      </c>
      <c r="I180" s="107">
        <f t="shared" si="84"/>
        <v>685.04181891546307</v>
      </c>
      <c r="J180" s="687">
        <f t="shared" si="72"/>
        <v>0</v>
      </c>
      <c r="K180" s="142">
        <f t="shared" si="85"/>
        <v>6007.2913111917342</v>
      </c>
      <c r="L180" s="141">
        <f t="shared" si="73"/>
        <v>1007.5028329342289</v>
      </c>
      <c r="M180" s="107">
        <f t="shared" si="74"/>
        <v>221.64957998652937</v>
      </c>
      <c r="N180" s="30">
        <f t="shared" si="86"/>
        <v>176.92857527273236</v>
      </c>
      <c r="O180" s="107">
        <f t="shared" si="75"/>
        <v>8.1446178265253337</v>
      </c>
      <c r="P180" s="107">
        <f t="shared" si="87"/>
        <v>841.74312022108279</v>
      </c>
      <c r="Q180" s="107">
        <f t="shared" si="88"/>
        <v>290.37212965746124</v>
      </c>
      <c r="R180" s="143">
        <f t="shared" si="89"/>
        <v>2546.3408558985602</v>
      </c>
      <c r="S180" s="141">
        <f t="shared" si="90"/>
        <v>155.71599999999998</v>
      </c>
      <c r="T180" s="107">
        <f t="shared" si="76"/>
        <v>20.042647761824057</v>
      </c>
      <c r="U180" s="142">
        <f t="shared" si="91"/>
        <v>175.75864776182402</v>
      </c>
      <c r="V180" s="107"/>
      <c r="W180" s="107">
        <f t="shared" si="92"/>
        <v>0</v>
      </c>
      <c r="X180" s="142">
        <f t="shared" si="93"/>
        <v>0</v>
      </c>
      <c r="Y180" s="141">
        <v>0</v>
      </c>
      <c r="Z180" s="144">
        <v>0</v>
      </c>
      <c r="AA180" s="107">
        <f t="shared" si="77"/>
        <v>0</v>
      </c>
      <c r="AB180" s="142">
        <f t="shared" si="78"/>
        <v>0</v>
      </c>
      <c r="AC180" s="141">
        <v>0</v>
      </c>
      <c r="AD180" s="107">
        <f t="shared" si="94"/>
        <v>0</v>
      </c>
      <c r="AE180" s="142">
        <f t="shared" si="95"/>
        <v>0</v>
      </c>
      <c r="AF180" s="145">
        <v>396</v>
      </c>
      <c r="AG180" s="107">
        <f t="shared" si="96"/>
        <v>50.970282525124766</v>
      </c>
      <c r="AH180" s="142">
        <f t="shared" si="97"/>
        <v>446.97028252512479</v>
      </c>
      <c r="AI180" s="145">
        <v>0</v>
      </c>
      <c r="AJ180" s="107">
        <f t="shared" si="98"/>
        <v>0</v>
      </c>
      <c r="AK180" s="142">
        <f t="shared" si="99"/>
        <v>0</v>
      </c>
      <c r="AL180" s="146"/>
      <c r="AM180" s="401"/>
      <c r="AN180" s="107">
        <f t="shared" si="100"/>
        <v>0</v>
      </c>
      <c r="AO180" s="151">
        <f t="shared" si="101"/>
        <v>0</v>
      </c>
      <c r="AP180" s="282">
        <f t="shared" si="102"/>
        <v>2956.8549673619909</v>
      </c>
      <c r="AQ180" s="684">
        <v>301.24</v>
      </c>
      <c r="AR180" s="740">
        <v>2026.338205176103</v>
      </c>
      <c r="AS180" s="740">
        <v>905.55674330117563</v>
      </c>
      <c r="AT180" s="740">
        <v>24.960018884712358</v>
      </c>
      <c r="AU180" s="411">
        <v>0</v>
      </c>
      <c r="AV180" s="801"/>
      <c r="AW180" s="256"/>
      <c r="AX180" s="728">
        <f t="shared" si="103"/>
        <v>138.3088900282975</v>
      </c>
      <c r="AY180" s="729">
        <v>92.92857527273236</v>
      </c>
      <c r="AZ180" s="730"/>
      <c r="BA180" s="731">
        <v>84</v>
      </c>
      <c r="BC180" s="727">
        <v>0</v>
      </c>
      <c r="BD180" s="727">
        <v>138.3088900282975</v>
      </c>
      <c r="BE180" s="727"/>
      <c r="BF180" s="727"/>
      <c r="BG180" s="727">
        <v>0</v>
      </c>
      <c r="BH180" s="727">
        <v>0</v>
      </c>
      <c r="BI180" s="137">
        <f t="shared" si="107"/>
        <v>138.3088900282975</v>
      </c>
      <c r="BJ180" s="126">
        <v>707.8</v>
      </c>
      <c r="BK180" s="807"/>
      <c r="BL180" s="107"/>
      <c r="BM180" s="687"/>
      <c r="BO180" s="577"/>
      <c r="BS180" s="904"/>
      <c r="BT180" s="789"/>
      <c r="BU180" s="789">
        <v>1988.7639064926325</v>
      </c>
      <c r="BV180" s="789">
        <v>0</v>
      </c>
      <c r="BW180" s="789">
        <f t="shared" si="104"/>
        <v>1988.7639064926325</v>
      </c>
    </row>
    <row r="181" spans="1:75" ht="15" thickBot="1" x14ac:dyDescent="0.35">
      <c r="A181" s="260" t="s">
        <v>370</v>
      </c>
      <c r="B181" s="237">
        <v>9</v>
      </c>
      <c r="C181" s="40">
        <f>'[7]побудинковий звіт'!E181</f>
        <v>6306.37</v>
      </c>
      <c r="D181" s="215">
        <f t="shared" si="79"/>
        <v>2338.5736765172333</v>
      </c>
      <c r="E181" s="107">
        <f t="shared" si="80"/>
        <v>514.48663848566696</v>
      </c>
      <c r="F181" s="107">
        <f t="shared" si="81"/>
        <v>186.53927881420253</v>
      </c>
      <c r="G181" s="107">
        <f t="shared" si="82"/>
        <v>0</v>
      </c>
      <c r="H181" s="107">
        <f t="shared" si="83"/>
        <v>1953.8191248609719</v>
      </c>
      <c r="I181" s="107">
        <f t="shared" si="84"/>
        <v>642.71707792239386</v>
      </c>
      <c r="J181" s="687">
        <f t="shared" si="72"/>
        <v>0</v>
      </c>
      <c r="K181" s="142">
        <f t="shared" si="85"/>
        <v>5636.1357966004689</v>
      </c>
      <c r="L181" s="141">
        <f t="shared" si="73"/>
        <v>2137.882988310274</v>
      </c>
      <c r="M181" s="107">
        <f t="shared" si="74"/>
        <v>470.3320436720328</v>
      </c>
      <c r="N181" s="30">
        <f t="shared" si="86"/>
        <v>122.77569069594234</v>
      </c>
      <c r="O181" s="107">
        <f t="shared" si="75"/>
        <v>11.353417327252718</v>
      </c>
      <c r="P181" s="107">
        <f t="shared" si="87"/>
        <v>1786.1471337077021</v>
      </c>
      <c r="Q181" s="107">
        <f t="shared" si="88"/>
        <v>582.87494857001047</v>
      </c>
      <c r="R181" s="143">
        <f t="shared" si="89"/>
        <v>5111.3662222832154</v>
      </c>
      <c r="S181" s="141">
        <f t="shared" si="90"/>
        <v>132</v>
      </c>
      <c r="T181" s="107">
        <f t="shared" si="76"/>
        <v>16.990094175041587</v>
      </c>
      <c r="U181" s="142">
        <f t="shared" si="91"/>
        <v>148.99009417504158</v>
      </c>
      <c r="V181" s="107"/>
      <c r="W181" s="107">
        <f t="shared" si="92"/>
        <v>0</v>
      </c>
      <c r="X181" s="142">
        <f t="shared" si="93"/>
        <v>0</v>
      </c>
      <c r="Y181" s="141">
        <v>6463.3950000000004</v>
      </c>
      <c r="Z181" s="144">
        <v>0</v>
      </c>
      <c r="AA181" s="107">
        <f t="shared" si="77"/>
        <v>831.92189197343134</v>
      </c>
      <c r="AB181" s="142">
        <f t="shared" si="78"/>
        <v>7295.3168919734317</v>
      </c>
      <c r="AC181" s="141">
        <v>0</v>
      </c>
      <c r="AD181" s="107">
        <f t="shared" si="94"/>
        <v>0</v>
      </c>
      <c r="AE181" s="142">
        <f t="shared" si="95"/>
        <v>0</v>
      </c>
      <c r="AF181" s="145">
        <v>2272.6</v>
      </c>
      <c r="AG181" s="107">
        <f t="shared" si="96"/>
        <v>292.51278804696602</v>
      </c>
      <c r="AH181" s="142">
        <f t="shared" si="97"/>
        <v>2565.1127880469658</v>
      </c>
      <c r="AI181" s="145">
        <v>231</v>
      </c>
      <c r="AJ181" s="107">
        <f t="shared" si="98"/>
        <v>29.732664806322781</v>
      </c>
      <c r="AK181" s="142">
        <f t="shared" si="99"/>
        <v>260.73266480632276</v>
      </c>
      <c r="AL181" s="146"/>
      <c r="AM181" s="146"/>
      <c r="AN181" s="107">
        <f t="shared" si="100"/>
        <v>0</v>
      </c>
      <c r="AO181" s="151">
        <f t="shared" si="101"/>
        <v>0</v>
      </c>
      <c r="AP181" s="282">
        <f t="shared" si="102"/>
        <v>3770.4589756549808</v>
      </c>
      <c r="AQ181" s="684">
        <v>268.83</v>
      </c>
      <c r="AR181" s="411">
        <v>1795.9375240169056</v>
      </c>
      <c r="AS181" s="411">
        <v>1919.7715107784109</v>
      </c>
      <c r="AT181" s="411">
        <v>54.749940859664413</v>
      </c>
      <c r="AU181" s="411">
        <v>0</v>
      </c>
      <c r="AV181" s="742">
        <v>93.5110284581191</v>
      </c>
      <c r="AW181" s="256"/>
      <c r="AX181" s="728">
        <f t="shared" si="103"/>
        <v>186.53927881420253</v>
      </c>
      <c r="AY181" s="729">
        <v>122.77569069594234</v>
      </c>
      <c r="AZ181" s="730"/>
      <c r="BA181" s="731">
        <v>0</v>
      </c>
      <c r="BB181" s="742"/>
      <c r="BC181" s="727">
        <v>26.362500000000001</v>
      </c>
      <c r="BD181" s="727">
        <v>160.17677881420252</v>
      </c>
      <c r="BE181" s="727"/>
      <c r="BF181" s="727"/>
      <c r="BG181" s="727">
        <v>0</v>
      </c>
      <c r="BH181" s="727">
        <v>38.04296875</v>
      </c>
      <c r="BI181" s="137">
        <f t="shared" si="107"/>
        <v>186.53927881420253</v>
      </c>
      <c r="BJ181" s="126">
        <v>600</v>
      </c>
      <c r="BK181" s="807"/>
      <c r="BL181" s="107"/>
      <c r="BM181" s="687"/>
      <c r="BO181" s="577"/>
      <c r="BS181" s="904"/>
      <c r="BT181" s="789"/>
      <c r="BU181" s="789">
        <v>1588.767199463231</v>
      </c>
      <c r="BV181" s="789">
        <v>0</v>
      </c>
      <c r="BW181" s="789">
        <f t="shared" si="104"/>
        <v>1588.767199463231</v>
      </c>
    </row>
    <row r="182" spans="1:75" ht="15" thickBot="1" x14ac:dyDescent="0.35">
      <c r="A182" s="260" t="s">
        <v>265</v>
      </c>
      <c r="B182" s="237">
        <v>5</v>
      </c>
      <c r="C182" s="40">
        <f>'[7]побудинковий звіт'!E182</f>
        <v>2744.3</v>
      </c>
      <c r="D182" s="215">
        <f t="shared" si="79"/>
        <v>1599.2933082925058</v>
      </c>
      <c r="E182" s="107">
        <f t="shared" si="80"/>
        <v>351.84482165275472</v>
      </c>
      <c r="F182" s="107">
        <f t="shared" si="81"/>
        <v>102.69025709146804</v>
      </c>
      <c r="G182" s="107">
        <f t="shared" si="82"/>
        <v>0</v>
      </c>
      <c r="H182" s="107">
        <f t="shared" si="83"/>
        <v>1336.169086046345</v>
      </c>
      <c r="I182" s="107">
        <f t="shared" si="84"/>
        <v>436.33618424874572</v>
      </c>
      <c r="J182" s="687">
        <f t="shared" si="72"/>
        <v>0</v>
      </c>
      <c r="K182" s="142">
        <f t="shared" si="85"/>
        <v>3826.3336573318193</v>
      </c>
      <c r="L182" s="141">
        <f t="shared" si="73"/>
        <v>747.17712597895695</v>
      </c>
      <c r="M182" s="107">
        <f t="shared" si="74"/>
        <v>164.37819402100808</v>
      </c>
      <c r="N182" s="30">
        <f t="shared" si="86"/>
        <v>53.449917202062863</v>
      </c>
      <c r="O182" s="107">
        <f t="shared" si="75"/>
        <v>4.940589145765256</v>
      </c>
      <c r="P182" s="107">
        <f t="shared" si="87"/>
        <v>624.24758007643811</v>
      </c>
      <c r="Q182" s="107">
        <f t="shared" si="88"/>
        <v>205.19315233619727</v>
      </c>
      <c r="R182" s="143">
        <f t="shared" si="89"/>
        <v>1799.3865587604287</v>
      </c>
      <c r="S182" s="141">
        <f t="shared" si="90"/>
        <v>121</v>
      </c>
      <c r="T182" s="107">
        <f t="shared" si="76"/>
        <v>15.574252993788123</v>
      </c>
      <c r="U182" s="142">
        <f t="shared" si="91"/>
        <v>136.57425299378812</v>
      </c>
      <c r="V182" s="107"/>
      <c r="W182" s="107">
        <f t="shared" si="92"/>
        <v>0</v>
      </c>
      <c r="X182" s="142">
        <f t="shared" si="93"/>
        <v>0</v>
      </c>
      <c r="Y182" s="141">
        <v>0</v>
      </c>
      <c r="Z182" s="144">
        <v>0</v>
      </c>
      <c r="AA182" s="107">
        <f t="shared" si="77"/>
        <v>0</v>
      </c>
      <c r="AB182" s="142">
        <f t="shared" si="78"/>
        <v>0</v>
      </c>
      <c r="AC182" s="141">
        <v>0</v>
      </c>
      <c r="AD182" s="107">
        <f t="shared" si="94"/>
        <v>0</v>
      </c>
      <c r="AE182" s="142">
        <f t="shared" si="95"/>
        <v>0</v>
      </c>
      <c r="AF182" s="145">
        <v>312.39999999999998</v>
      </c>
      <c r="AG182" s="107">
        <f t="shared" si="96"/>
        <v>40.209889547598422</v>
      </c>
      <c r="AH182" s="142">
        <f t="shared" si="97"/>
        <v>352.60988954759841</v>
      </c>
      <c r="AI182" s="145">
        <v>0</v>
      </c>
      <c r="AJ182" s="107">
        <f t="shared" si="98"/>
        <v>0</v>
      </c>
      <c r="AK182" s="142">
        <f t="shared" si="99"/>
        <v>0</v>
      </c>
      <c r="AL182" s="146"/>
      <c r="AM182" s="146"/>
      <c r="AN182" s="107">
        <f t="shared" si="100"/>
        <v>0</v>
      </c>
      <c r="AO182" s="151">
        <f t="shared" si="101"/>
        <v>0</v>
      </c>
      <c r="AP182" s="282">
        <f t="shared" si="102"/>
        <v>1850.3065408422765</v>
      </c>
      <c r="AQ182" s="684">
        <v>255.36</v>
      </c>
      <c r="AR182" s="411">
        <v>1160.2232802121955</v>
      </c>
      <c r="AS182" s="411">
        <v>668.86184750061886</v>
      </c>
      <c r="AT182" s="411">
        <v>21.22141312946199</v>
      </c>
      <c r="AU182" s="411">
        <v>0</v>
      </c>
      <c r="AV182" s="742">
        <v>60.410604891773303</v>
      </c>
      <c r="AW182" s="256"/>
      <c r="AX182" s="728">
        <f t="shared" si="103"/>
        <v>102.69025709146804</v>
      </c>
      <c r="AY182" s="729">
        <v>53.449917202062863</v>
      </c>
      <c r="AZ182" s="730"/>
      <c r="BA182" s="731">
        <v>0</v>
      </c>
      <c r="BB182" s="742"/>
      <c r="BC182" s="727">
        <v>26.362500000000001</v>
      </c>
      <c r="BD182" s="727">
        <v>76.327757091468044</v>
      </c>
      <c r="BE182" s="727"/>
      <c r="BF182" s="727"/>
      <c r="BG182" s="727">
        <v>0</v>
      </c>
      <c r="BH182" s="727">
        <v>38.04296875</v>
      </c>
      <c r="BI182" s="137">
        <f t="shared" si="107"/>
        <v>102.69025709146804</v>
      </c>
      <c r="BJ182" s="126">
        <v>550</v>
      </c>
      <c r="BK182" s="807"/>
      <c r="BL182" s="107"/>
      <c r="BM182" s="687"/>
      <c r="BO182" s="577"/>
      <c r="BS182" s="904"/>
      <c r="BT182" s="789"/>
      <c r="BU182" s="789">
        <v>1056.6877775828254</v>
      </c>
      <c r="BV182" s="789">
        <v>0</v>
      </c>
      <c r="BW182" s="789">
        <f t="shared" si="104"/>
        <v>1056.6877775828254</v>
      </c>
    </row>
    <row r="183" spans="1:75" ht="15" thickBot="1" x14ac:dyDescent="0.35">
      <c r="A183" s="260" t="s">
        <v>371</v>
      </c>
      <c r="B183" s="237">
        <v>9</v>
      </c>
      <c r="C183" s="40">
        <f>'[7]побудинковий звіт'!E183</f>
        <v>6138.38</v>
      </c>
      <c r="D183" s="215">
        <f t="shared" si="79"/>
        <v>1477.7633334597524</v>
      </c>
      <c r="E183" s="107">
        <f t="shared" si="80"/>
        <v>325.10820486158804</v>
      </c>
      <c r="F183" s="107">
        <f t="shared" si="81"/>
        <v>182.63909971104815</v>
      </c>
      <c r="G183" s="107">
        <f t="shared" si="82"/>
        <v>0</v>
      </c>
      <c r="H183" s="107">
        <f t="shared" si="83"/>
        <v>1234.6338676110936</v>
      </c>
      <c r="I183" s="107">
        <f t="shared" si="84"/>
        <v>414.4739273342841</v>
      </c>
      <c r="J183" s="687">
        <f t="shared" si="72"/>
        <v>0</v>
      </c>
      <c r="K183" s="142">
        <f t="shared" si="85"/>
        <v>3634.6184329777661</v>
      </c>
      <c r="L183" s="141">
        <f t="shared" si="73"/>
        <v>3550.1240397499059</v>
      </c>
      <c r="M183" s="107">
        <f t="shared" si="74"/>
        <v>781.02361262741613</v>
      </c>
      <c r="N183" s="30">
        <f t="shared" si="86"/>
        <v>119.55105041349609</v>
      </c>
      <c r="O183" s="107">
        <f t="shared" si="75"/>
        <v>11.050983347513949</v>
      </c>
      <c r="P183" s="107">
        <f t="shared" si="87"/>
        <v>2966.0387928517525</v>
      </c>
      <c r="Q183" s="107">
        <f t="shared" si="88"/>
        <v>956.0517103812914</v>
      </c>
      <c r="R183" s="143">
        <f t="shared" si="89"/>
        <v>8383.8401893713763</v>
      </c>
      <c r="S183" s="141">
        <f t="shared" si="90"/>
        <v>132</v>
      </c>
      <c r="T183" s="107">
        <f t="shared" si="76"/>
        <v>16.990094175041587</v>
      </c>
      <c r="U183" s="142">
        <f t="shared" si="91"/>
        <v>148.99009417504158</v>
      </c>
      <c r="V183" s="107"/>
      <c r="W183" s="107">
        <f t="shared" si="92"/>
        <v>0</v>
      </c>
      <c r="X183" s="142">
        <f t="shared" si="93"/>
        <v>0</v>
      </c>
      <c r="Y183" s="141">
        <v>6463.3950000000004</v>
      </c>
      <c r="Z183" s="144">
        <v>0</v>
      </c>
      <c r="AA183" s="107">
        <f t="shared" si="77"/>
        <v>831.92189197343134</v>
      </c>
      <c r="AB183" s="142">
        <f t="shared" si="78"/>
        <v>7295.3168919734317</v>
      </c>
      <c r="AC183" s="141">
        <v>0</v>
      </c>
      <c r="AD183" s="107">
        <f t="shared" si="94"/>
        <v>0</v>
      </c>
      <c r="AE183" s="142">
        <f t="shared" si="95"/>
        <v>0</v>
      </c>
      <c r="AF183" s="145">
        <v>849.2</v>
      </c>
      <c r="AG183" s="107">
        <f t="shared" si="96"/>
        <v>109.30293919276755</v>
      </c>
      <c r="AH183" s="142">
        <f t="shared" si="97"/>
        <v>958.5029391927676</v>
      </c>
      <c r="AI183" s="145">
        <v>1276</v>
      </c>
      <c r="AJ183" s="107">
        <f t="shared" si="98"/>
        <v>164.23757702540203</v>
      </c>
      <c r="AK183" s="142">
        <f t="shared" si="99"/>
        <v>1440.2375770254021</v>
      </c>
      <c r="AL183" s="146"/>
      <c r="AM183" s="146"/>
      <c r="AN183" s="107">
        <f t="shared" si="100"/>
        <v>0</v>
      </c>
      <c r="AO183" s="151">
        <f t="shared" si="101"/>
        <v>0</v>
      </c>
      <c r="AP183" s="282">
        <f t="shared" si="102"/>
        <v>2926.2599415279419</v>
      </c>
      <c r="AQ183" s="684">
        <v>350.61</v>
      </c>
      <c r="AR183" s="411">
        <v>963.0777917338429</v>
      </c>
      <c r="AS183" s="411">
        <v>1908.4322089344346</v>
      </c>
      <c r="AT183" s="411">
        <v>54.749940859664413</v>
      </c>
      <c r="AU183" s="411">
        <v>1315.6671187538345</v>
      </c>
      <c r="AV183" s="742">
        <v>50.145616752177254</v>
      </c>
      <c r="AW183" s="256"/>
      <c r="AX183" s="728">
        <f t="shared" si="103"/>
        <v>182.63909971104815</v>
      </c>
      <c r="AY183" s="729">
        <v>119.55105041349609</v>
      </c>
      <c r="AZ183" s="730"/>
      <c r="BA183" s="731">
        <v>0</v>
      </c>
      <c r="BB183" s="742"/>
      <c r="BC183" s="727">
        <v>26.362500000000001</v>
      </c>
      <c r="BD183" s="727">
        <v>156.27659971104814</v>
      </c>
      <c r="BE183" s="727"/>
      <c r="BF183" s="727"/>
      <c r="BG183" s="727">
        <v>0</v>
      </c>
      <c r="BH183" s="727">
        <v>38.04296875</v>
      </c>
      <c r="BI183" s="137">
        <f t="shared" si="107"/>
        <v>182.63909971104815</v>
      </c>
      <c r="BJ183" s="126">
        <v>600</v>
      </c>
      <c r="BK183" s="807"/>
      <c r="BL183" s="107"/>
      <c r="BM183" s="687"/>
      <c r="BO183" s="577"/>
      <c r="BS183" s="904"/>
      <c r="BT183" s="789"/>
      <c r="BU183" s="789">
        <v>851.98427081358659</v>
      </c>
      <c r="BV183" s="789">
        <v>0</v>
      </c>
      <c r="BW183" s="789">
        <f t="shared" si="104"/>
        <v>851.98427081358659</v>
      </c>
    </row>
    <row r="184" spans="1:75" ht="15" thickBot="1" x14ac:dyDescent="0.35">
      <c r="A184" s="260" t="s">
        <v>372</v>
      </c>
      <c r="B184" s="237">
        <v>9</v>
      </c>
      <c r="C184" s="40">
        <f>'[7]побудинковий звіт'!E184</f>
        <v>6304.12</v>
      </c>
      <c r="D184" s="215">
        <f t="shared" si="79"/>
        <v>2307.9810777268103</v>
      </c>
      <c r="E184" s="107">
        <f t="shared" si="80"/>
        <v>507.75626113118238</v>
      </c>
      <c r="F184" s="107">
        <f t="shared" si="81"/>
        <v>186.54799456142828</v>
      </c>
      <c r="G184" s="107">
        <f t="shared" si="82"/>
        <v>0</v>
      </c>
      <c r="H184" s="107">
        <f t="shared" si="83"/>
        <v>1928.259782773044</v>
      </c>
      <c r="I184" s="107">
        <f t="shared" si="84"/>
        <v>634.62443832122233</v>
      </c>
      <c r="J184" s="687">
        <f t="shared" si="72"/>
        <v>0</v>
      </c>
      <c r="K184" s="142">
        <f t="shared" si="85"/>
        <v>5565.1695545136872</v>
      </c>
      <c r="L184" s="141">
        <f t="shared" si="73"/>
        <v>2194.4603501116794</v>
      </c>
      <c r="M184" s="107">
        <f t="shared" si="74"/>
        <v>482.77900468305569</v>
      </c>
      <c r="N184" s="30">
        <f t="shared" si="86"/>
        <v>122.78289681362372</v>
      </c>
      <c r="O184" s="107">
        <f t="shared" si="75"/>
        <v>11.349366631054062</v>
      </c>
      <c r="P184" s="107">
        <f t="shared" si="87"/>
        <v>1833.4160876995177</v>
      </c>
      <c r="Q184" s="107">
        <f t="shared" si="88"/>
        <v>597.84379202255911</v>
      </c>
      <c r="R184" s="143">
        <f t="shared" si="89"/>
        <v>5242.631497961489</v>
      </c>
      <c r="S184" s="141">
        <f t="shared" si="90"/>
        <v>132</v>
      </c>
      <c r="T184" s="107">
        <f t="shared" si="76"/>
        <v>16.990094175041587</v>
      </c>
      <c r="U184" s="142">
        <f t="shared" si="91"/>
        <v>148.99009417504158</v>
      </c>
      <c r="V184" s="107"/>
      <c r="W184" s="107">
        <f t="shared" si="92"/>
        <v>0</v>
      </c>
      <c r="X184" s="142">
        <f t="shared" si="93"/>
        <v>0</v>
      </c>
      <c r="Y184" s="141">
        <v>5598.68</v>
      </c>
      <c r="Z184" s="144">
        <v>0</v>
      </c>
      <c r="AA184" s="107">
        <f t="shared" si="77"/>
        <v>720.62197315092305</v>
      </c>
      <c r="AB184" s="142">
        <f t="shared" si="78"/>
        <v>6319.301973150923</v>
      </c>
      <c r="AC184" s="141">
        <v>118.075</v>
      </c>
      <c r="AD184" s="107">
        <f t="shared" si="94"/>
        <v>15.197767952409361</v>
      </c>
      <c r="AE184" s="142">
        <f t="shared" si="95"/>
        <v>133.27276795240937</v>
      </c>
      <c r="AF184" s="145">
        <v>1223.2</v>
      </c>
      <c r="AG184" s="107">
        <f t="shared" si="96"/>
        <v>157.4415393553854</v>
      </c>
      <c r="AH184" s="142">
        <f t="shared" si="97"/>
        <v>1380.6415393553855</v>
      </c>
      <c r="AI184" s="145">
        <v>1832.6</v>
      </c>
      <c r="AJ184" s="107">
        <f t="shared" si="98"/>
        <v>235.87914079682739</v>
      </c>
      <c r="AK184" s="142">
        <f t="shared" si="99"/>
        <v>2068.4791407968273</v>
      </c>
      <c r="AL184" s="146"/>
      <c r="AM184" s="146"/>
      <c r="AN184" s="107">
        <f t="shared" si="100"/>
        <v>0</v>
      </c>
      <c r="AO184" s="151">
        <f t="shared" si="101"/>
        <v>0</v>
      </c>
      <c r="AP184" s="282">
        <f t="shared" si="102"/>
        <v>3718.1438026130736</v>
      </c>
      <c r="AQ184" s="684">
        <v>350.61</v>
      </c>
      <c r="AR184" s="411">
        <v>1691.3682214623918</v>
      </c>
      <c r="AS184" s="411">
        <v>1972.0256085614576</v>
      </c>
      <c r="AT184" s="411">
        <v>54.749972589224171</v>
      </c>
      <c r="AU184" s="411">
        <v>0</v>
      </c>
      <c r="AV184" s="742">
        <v>88.066305077569723</v>
      </c>
      <c r="AW184" s="256"/>
      <c r="AX184" s="728">
        <f t="shared" si="103"/>
        <v>186.54799456142828</v>
      </c>
      <c r="AY184" s="729">
        <v>122.78289681362372</v>
      </c>
      <c r="AZ184" s="730"/>
      <c r="BA184" s="731">
        <v>0</v>
      </c>
      <c r="BB184" s="742"/>
      <c r="BC184" s="727">
        <v>26.362500000000001</v>
      </c>
      <c r="BD184" s="727">
        <v>160.18549456142827</v>
      </c>
      <c r="BE184" s="727"/>
      <c r="BF184" s="727"/>
      <c r="BG184" s="727">
        <v>0</v>
      </c>
      <c r="BH184" s="727">
        <v>38.04296875</v>
      </c>
      <c r="BI184" s="137">
        <f t="shared" si="107"/>
        <v>186.54799456142828</v>
      </c>
      <c r="BJ184" s="126">
        <v>600</v>
      </c>
      <c r="BK184" s="807"/>
      <c r="BL184" s="107"/>
      <c r="BM184" s="687"/>
      <c r="BO184" s="577"/>
      <c r="BS184" s="904"/>
      <c r="BT184" s="789"/>
      <c r="BU184" s="789">
        <v>1540.4334504225412</v>
      </c>
      <c r="BV184" s="789">
        <v>0</v>
      </c>
      <c r="BW184" s="789">
        <f t="shared" si="104"/>
        <v>1540.4334504225412</v>
      </c>
    </row>
    <row r="185" spans="1:75" ht="15" thickBot="1" x14ac:dyDescent="0.35">
      <c r="A185" s="260" t="s">
        <v>373</v>
      </c>
      <c r="B185" s="237">
        <v>9</v>
      </c>
      <c r="C185" s="40">
        <f>'[7]побудинковий звіт'!E185</f>
        <v>4191.3999999999996</v>
      </c>
      <c r="D185" s="215">
        <f t="shared" si="79"/>
        <v>2440.8555766010359</v>
      </c>
      <c r="E185" s="107">
        <f t="shared" si="80"/>
        <v>536.98867529573306</v>
      </c>
      <c r="F185" s="107">
        <f t="shared" si="81"/>
        <v>121.53986320735169</v>
      </c>
      <c r="G185" s="107">
        <f t="shared" si="82"/>
        <v>0</v>
      </c>
      <c r="H185" s="107">
        <f t="shared" si="83"/>
        <v>2039.273063951088</v>
      </c>
      <c r="I185" s="107">
        <f t="shared" si="84"/>
        <v>661.41113185910262</v>
      </c>
      <c r="J185" s="687">
        <f t="shared" si="72"/>
        <v>0</v>
      </c>
      <c r="K185" s="142">
        <f t="shared" si="85"/>
        <v>5800.068310914312</v>
      </c>
      <c r="L185" s="141">
        <f t="shared" si="73"/>
        <v>2353.8030991424316</v>
      </c>
      <c r="M185" s="107">
        <f t="shared" si="74"/>
        <v>517.83424447201492</v>
      </c>
      <c r="N185" s="30">
        <f t="shared" si="86"/>
        <v>81.616099339369129</v>
      </c>
      <c r="O185" s="107">
        <f t="shared" si="75"/>
        <v>7.5458169097986705</v>
      </c>
      <c r="P185" s="107">
        <f t="shared" si="87"/>
        <v>1966.5429220560284</v>
      </c>
      <c r="Q185" s="107">
        <f t="shared" si="88"/>
        <v>634.21217957173963</v>
      </c>
      <c r="R185" s="143">
        <f t="shared" si="89"/>
        <v>5561.5543614913822</v>
      </c>
      <c r="S185" s="141">
        <f t="shared" si="90"/>
        <v>129.80000000000001</v>
      </c>
      <c r="T185" s="107">
        <f t="shared" si="76"/>
        <v>16.706925938790896</v>
      </c>
      <c r="U185" s="142">
        <f t="shared" si="91"/>
        <v>146.50692593879091</v>
      </c>
      <c r="V185" s="107"/>
      <c r="W185" s="107">
        <f t="shared" si="92"/>
        <v>0</v>
      </c>
      <c r="X185" s="142">
        <f t="shared" si="93"/>
        <v>0</v>
      </c>
      <c r="Y185" s="141">
        <v>517.47</v>
      </c>
      <c r="Z185" s="144">
        <v>0</v>
      </c>
      <c r="AA185" s="107">
        <f t="shared" si="77"/>
        <v>66.605030551202816</v>
      </c>
      <c r="AB185" s="142">
        <f t="shared" si="78"/>
        <v>584.07503055120287</v>
      </c>
      <c r="AC185" s="141">
        <v>65.058000000000007</v>
      </c>
      <c r="AD185" s="107">
        <f t="shared" si="94"/>
        <v>8.3737995972716348</v>
      </c>
      <c r="AE185" s="142">
        <f t="shared" si="95"/>
        <v>73.431799597271635</v>
      </c>
      <c r="AF185" s="145">
        <v>985.6</v>
      </c>
      <c r="AG185" s="107">
        <f t="shared" si="96"/>
        <v>126.85936984031053</v>
      </c>
      <c r="AH185" s="142">
        <f t="shared" si="97"/>
        <v>1112.4593698403105</v>
      </c>
      <c r="AI185" s="145">
        <v>360.8</v>
      </c>
      <c r="AJ185" s="107">
        <f t="shared" si="98"/>
        <v>46.439590745113676</v>
      </c>
      <c r="AK185" s="142">
        <f t="shared" si="99"/>
        <v>407.23959074511367</v>
      </c>
      <c r="AL185" s="146"/>
      <c r="AM185" s="146"/>
      <c r="AN185" s="107">
        <f t="shared" si="100"/>
        <v>0</v>
      </c>
      <c r="AO185" s="151">
        <f t="shared" si="101"/>
        <v>0</v>
      </c>
      <c r="AP185" s="282">
        <f t="shared" si="102"/>
        <v>3849.0193735665985</v>
      </c>
      <c r="AQ185" s="684">
        <v>490.38</v>
      </c>
      <c r="AR185" s="411">
        <v>1675.0768623993799</v>
      </c>
      <c r="AS185" s="411">
        <v>2119.8809829816059</v>
      </c>
      <c r="AT185" s="411">
        <v>54.061528185612424</v>
      </c>
      <c r="AU185" s="411">
        <v>0</v>
      </c>
      <c r="AV185" s="742">
        <v>87.218045201827863</v>
      </c>
      <c r="AW185" s="256"/>
      <c r="AX185" s="728">
        <f t="shared" si="103"/>
        <v>121.53986320735169</v>
      </c>
      <c r="AY185" s="729">
        <v>81.616099339369129</v>
      </c>
      <c r="AZ185" s="730"/>
      <c r="BA185" s="731">
        <v>0</v>
      </c>
      <c r="BB185" s="742"/>
      <c r="BC185" s="727">
        <v>15.817499999999999</v>
      </c>
      <c r="BD185" s="727">
        <v>105.72236320735169</v>
      </c>
      <c r="BE185" s="727"/>
      <c r="BF185" s="727"/>
      <c r="BG185" s="727">
        <v>0</v>
      </c>
      <c r="BH185" s="727">
        <v>22.825781249999999</v>
      </c>
      <c r="BI185" s="137">
        <f t="shared" si="107"/>
        <v>121.53986320735169</v>
      </c>
      <c r="BJ185" s="126">
        <v>590</v>
      </c>
      <c r="BK185" s="807"/>
      <c r="BL185" s="107"/>
      <c r="BM185" s="687"/>
      <c r="BO185" s="577"/>
      <c r="BS185" s="904"/>
      <c r="BT185" s="789"/>
      <c r="BU185" s="789">
        <v>1695.3325652087885</v>
      </c>
      <c r="BV185" s="789">
        <v>111.4624</v>
      </c>
      <c r="BW185" s="789">
        <f t="shared" si="104"/>
        <v>1806.7949652087887</v>
      </c>
    </row>
    <row r="186" spans="1:75" ht="15" thickBot="1" x14ac:dyDescent="0.35">
      <c r="A186" s="219" t="s">
        <v>169</v>
      </c>
      <c r="B186" s="237">
        <v>2</v>
      </c>
      <c r="C186" s="40">
        <f>'[7]побудинковий звіт'!E186</f>
        <v>477.5</v>
      </c>
      <c r="D186" s="215">
        <f t="shared" si="79"/>
        <v>379.75561846020031</v>
      </c>
      <c r="E186" s="107">
        <f t="shared" si="80"/>
        <v>83.546305831427233</v>
      </c>
      <c r="F186" s="107">
        <f t="shared" si="81"/>
        <v>14.694260912189748</v>
      </c>
      <c r="G186" s="107">
        <f t="shared" si="82"/>
        <v>0</v>
      </c>
      <c r="H186" s="107">
        <f t="shared" si="83"/>
        <v>317.27620881542833</v>
      </c>
      <c r="I186" s="107">
        <f t="shared" si="84"/>
        <v>102.36176416058913</v>
      </c>
      <c r="J186" s="687">
        <f t="shared" si="72"/>
        <v>0</v>
      </c>
      <c r="K186" s="142">
        <f t="shared" si="85"/>
        <v>897.6341581798348</v>
      </c>
      <c r="L186" s="141">
        <f t="shared" si="73"/>
        <v>103.00578418970925</v>
      </c>
      <c r="M186" s="107">
        <f t="shared" si="74"/>
        <v>22.661165860287554</v>
      </c>
      <c r="N186" s="30">
        <f t="shared" si="86"/>
        <v>9.8729498225039194</v>
      </c>
      <c r="O186" s="107">
        <f t="shared" si="75"/>
        <v>0.85964774882589712</v>
      </c>
      <c r="P186" s="107">
        <f t="shared" si="87"/>
        <v>86.058725941394471</v>
      </c>
      <c r="Q186" s="107">
        <f t="shared" si="88"/>
        <v>28.63323498369542</v>
      </c>
      <c r="R186" s="143">
        <f t="shared" si="89"/>
        <v>251.09150854641649</v>
      </c>
      <c r="S186" s="141">
        <f t="shared" si="90"/>
        <v>0</v>
      </c>
      <c r="T186" s="107">
        <f t="shared" si="76"/>
        <v>0</v>
      </c>
      <c r="U186" s="142">
        <f t="shared" si="91"/>
        <v>0</v>
      </c>
      <c r="V186" s="107"/>
      <c r="W186" s="107">
        <f t="shared" si="92"/>
        <v>0</v>
      </c>
      <c r="X186" s="142">
        <f t="shared" si="93"/>
        <v>0</v>
      </c>
      <c r="Y186" s="141">
        <v>0</v>
      </c>
      <c r="Z186" s="144">
        <v>0</v>
      </c>
      <c r="AA186" s="107">
        <f t="shared" si="77"/>
        <v>0</v>
      </c>
      <c r="AB186" s="142">
        <f t="shared" si="78"/>
        <v>0</v>
      </c>
      <c r="AC186" s="141">
        <v>0</v>
      </c>
      <c r="AD186" s="107">
        <f t="shared" si="94"/>
        <v>0</v>
      </c>
      <c r="AE186" s="142">
        <f t="shared" si="95"/>
        <v>0</v>
      </c>
      <c r="AF186" s="145">
        <v>28.6</v>
      </c>
      <c r="AG186" s="107">
        <f t="shared" si="96"/>
        <v>3.6811870712590111</v>
      </c>
      <c r="AH186" s="142">
        <f t="shared" si="97"/>
        <v>32.281187071259012</v>
      </c>
      <c r="AI186" s="145">
        <v>0</v>
      </c>
      <c r="AJ186" s="107">
        <f t="shared" si="98"/>
        <v>0</v>
      </c>
      <c r="AK186" s="142">
        <f t="shared" si="99"/>
        <v>0</v>
      </c>
      <c r="AL186" s="146"/>
      <c r="AM186" s="146"/>
      <c r="AN186" s="107">
        <f t="shared" si="100"/>
        <v>0</v>
      </c>
      <c r="AO186" s="151">
        <f t="shared" si="101"/>
        <v>0</v>
      </c>
      <c r="AP186" s="282">
        <f t="shared" si="102"/>
        <v>426.9127346389979</v>
      </c>
      <c r="AQ186" s="684">
        <v>18.7</v>
      </c>
      <c r="AR186" s="740">
        <v>331.77790656960258</v>
      </c>
      <c r="AS186" s="740">
        <v>95.134828069395311</v>
      </c>
      <c r="AT186" s="740">
        <v>0</v>
      </c>
      <c r="AU186" s="411">
        <v>0</v>
      </c>
      <c r="AV186" s="801"/>
      <c r="AW186" s="256"/>
      <c r="AX186" s="728">
        <f t="shared" si="103"/>
        <v>14.694260912189748</v>
      </c>
      <c r="AY186" s="729">
        <v>9.8729498225039194</v>
      </c>
      <c r="AZ186" s="730"/>
      <c r="BA186" s="731">
        <v>0</v>
      </c>
      <c r="BC186" s="727">
        <v>0</v>
      </c>
      <c r="BD186" s="727">
        <v>14.694260912189748</v>
      </c>
      <c r="BE186" s="727"/>
      <c r="BF186" s="727"/>
      <c r="BG186" s="727">
        <v>0</v>
      </c>
      <c r="BH186" s="727">
        <v>0</v>
      </c>
      <c r="BI186" s="137">
        <f t="shared" si="107"/>
        <v>14.694260912189748</v>
      </c>
      <c r="BJ186" s="126"/>
      <c r="BK186" s="807"/>
      <c r="BL186" s="107"/>
      <c r="BM186" s="687"/>
      <c r="BO186" s="577"/>
      <c r="BS186" s="904"/>
      <c r="BT186" s="789"/>
      <c r="BU186" s="789">
        <v>324.40827467897111</v>
      </c>
      <c r="BV186" s="789">
        <v>0</v>
      </c>
      <c r="BW186" s="789">
        <f t="shared" si="104"/>
        <v>324.40827467897111</v>
      </c>
    </row>
    <row r="187" spans="1:75" ht="15" thickBot="1" x14ac:dyDescent="0.35">
      <c r="A187" s="219" t="s">
        <v>170</v>
      </c>
      <c r="B187" s="237">
        <v>2</v>
      </c>
      <c r="C187" s="40">
        <f>'[7]побудинковий звіт'!E187</f>
        <v>553.20000000000005</v>
      </c>
      <c r="D187" s="215">
        <f t="shared" si="79"/>
        <v>0</v>
      </c>
      <c r="E187" s="107">
        <f t="shared" si="80"/>
        <v>0</v>
      </c>
      <c r="F187" s="107">
        <f t="shared" si="81"/>
        <v>0</v>
      </c>
      <c r="G187" s="107">
        <f t="shared" si="82"/>
        <v>0</v>
      </c>
      <c r="H187" s="107">
        <f t="shared" si="83"/>
        <v>0</v>
      </c>
      <c r="I187" s="107">
        <f t="shared" si="84"/>
        <v>0</v>
      </c>
      <c r="J187" s="687">
        <f t="shared" si="72"/>
        <v>0</v>
      </c>
      <c r="K187" s="142">
        <f t="shared" si="85"/>
        <v>0</v>
      </c>
      <c r="L187" s="141">
        <f t="shared" si="73"/>
        <v>0</v>
      </c>
      <c r="M187" s="107">
        <f t="shared" si="74"/>
        <v>0</v>
      </c>
      <c r="N187" s="30">
        <f t="shared" si="86"/>
        <v>0</v>
      </c>
      <c r="O187" s="107">
        <f t="shared" si="75"/>
        <v>0.99593117204290327</v>
      </c>
      <c r="P187" s="107">
        <f t="shared" si="87"/>
        <v>0</v>
      </c>
      <c r="Q187" s="107">
        <f t="shared" si="88"/>
        <v>0.12818912427930662</v>
      </c>
      <c r="R187" s="143">
        <f t="shared" si="89"/>
        <v>1.1241202963222099</v>
      </c>
      <c r="S187" s="141">
        <f t="shared" si="90"/>
        <v>0</v>
      </c>
      <c r="T187" s="107">
        <f t="shared" si="76"/>
        <v>0</v>
      </c>
      <c r="U187" s="142">
        <f t="shared" si="91"/>
        <v>0</v>
      </c>
      <c r="V187" s="107"/>
      <c r="W187" s="107">
        <f t="shared" si="92"/>
        <v>0</v>
      </c>
      <c r="X187" s="142">
        <f t="shared" si="93"/>
        <v>0</v>
      </c>
      <c r="Y187" s="141">
        <v>0</v>
      </c>
      <c r="Z187" s="144">
        <v>0</v>
      </c>
      <c r="AA187" s="107">
        <f t="shared" si="77"/>
        <v>0</v>
      </c>
      <c r="AB187" s="142">
        <f t="shared" si="78"/>
        <v>0</v>
      </c>
      <c r="AC187" s="141">
        <v>0</v>
      </c>
      <c r="AD187" s="107">
        <f t="shared" si="94"/>
        <v>0</v>
      </c>
      <c r="AE187" s="142">
        <f t="shared" si="95"/>
        <v>0</v>
      </c>
      <c r="AF187" s="145">
        <v>0</v>
      </c>
      <c r="AG187" s="107">
        <f t="shared" si="96"/>
        <v>0</v>
      </c>
      <c r="AH187" s="142">
        <f t="shared" si="97"/>
        <v>0</v>
      </c>
      <c r="AI187" s="145">
        <v>0</v>
      </c>
      <c r="AJ187" s="107">
        <f t="shared" si="98"/>
        <v>0</v>
      </c>
      <c r="AK187" s="142">
        <f t="shared" si="99"/>
        <v>0</v>
      </c>
      <c r="AL187" s="146"/>
      <c r="AM187" s="146"/>
      <c r="AN187" s="107">
        <f t="shared" si="100"/>
        <v>0</v>
      </c>
      <c r="AO187" s="151">
        <f t="shared" si="101"/>
        <v>0</v>
      </c>
      <c r="AP187" s="282">
        <f t="shared" si="102"/>
        <v>0</v>
      </c>
      <c r="AQ187" s="684">
        <v>0</v>
      </c>
      <c r="AR187" s="741">
        <v>0</v>
      </c>
      <c r="AS187" s="741">
        <v>0</v>
      </c>
      <c r="AT187" s="741">
        <v>0</v>
      </c>
      <c r="AU187" s="411">
        <v>0</v>
      </c>
      <c r="AV187" s="801"/>
      <c r="AW187" s="256"/>
      <c r="AX187" s="728">
        <f t="shared" si="103"/>
        <v>0</v>
      </c>
      <c r="AY187" s="729">
        <v>0</v>
      </c>
      <c r="AZ187" s="730"/>
      <c r="BA187" s="731">
        <v>0</v>
      </c>
      <c r="BC187" s="727">
        <v>0</v>
      </c>
      <c r="BD187" s="727">
        <v>0</v>
      </c>
      <c r="BE187" s="727"/>
      <c r="BF187" s="727"/>
      <c r="BG187" s="727">
        <v>0</v>
      </c>
      <c r="BH187" s="727">
        <v>0</v>
      </c>
      <c r="BI187" s="137">
        <f t="shared" si="107"/>
        <v>0</v>
      </c>
      <c r="BJ187" s="126"/>
      <c r="BK187" s="807"/>
      <c r="BL187" s="107"/>
      <c r="BM187" s="687"/>
      <c r="BO187" s="577"/>
      <c r="BS187" s="904"/>
      <c r="BT187" s="789"/>
      <c r="BU187" s="789">
        <v>0</v>
      </c>
      <c r="BV187" s="789">
        <v>0</v>
      </c>
      <c r="BW187" s="789">
        <f t="shared" si="104"/>
        <v>0</v>
      </c>
    </row>
    <row r="188" spans="1:75" ht="15" thickBot="1" x14ac:dyDescent="0.35">
      <c r="A188" s="219" t="s">
        <v>171</v>
      </c>
      <c r="B188" s="237">
        <v>2</v>
      </c>
      <c r="C188" s="40">
        <f>'[7]побудинковий звіт'!E188</f>
        <v>358.84</v>
      </c>
      <c r="D188" s="215">
        <f t="shared" si="79"/>
        <v>0</v>
      </c>
      <c r="E188" s="107">
        <f t="shared" si="80"/>
        <v>0</v>
      </c>
      <c r="F188" s="107">
        <f t="shared" si="81"/>
        <v>0</v>
      </c>
      <c r="G188" s="107">
        <f t="shared" si="82"/>
        <v>0</v>
      </c>
      <c r="H188" s="107">
        <f t="shared" si="83"/>
        <v>0</v>
      </c>
      <c r="I188" s="107">
        <f t="shared" si="84"/>
        <v>0</v>
      </c>
      <c r="J188" s="687">
        <f t="shared" si="72"/>
        <v>0</v>
      </c>
      <c r="K188" s="142">
        <f t="shared" si="85"/>
        <v>0</v>
      </c>
      <c r="L188" s="141">
        <f t="shared" si="73"/>
        <v>0</v>
      </c>
      <c r="M188" s="107">
        <f t="shared" si="74"/>
        <v>0</v>
      </c>
      <c r="N188" s="30">
        <f t="shared" si="86"/>
        <v>0</v>
      </c>
      <c r="O188" s="107">
        <f t="shared" si="75"/>
        <v>0.64602303285588458</v>
      </c>
      <c r="P188" s="107">
        <f t="shared" si="87"/>
        <v>0</v>
      </c>
      <c r="Q188" s="107">
        <f t="shared" si="88"/>
        <v>8.3151455814147471E-2</v>
      </c>
      <c r="R188" s="143">
        <f t="shared" si="89"/>
        <v>0.72917448867003209</v>
      </c>
      <c r="S188" s="141">
        <f t="shared" si="90"/>
        <v>0</v>
      </c>
      <c r="T188" s="107">
        <f t="shared" si="76"/>
        <v>0</v>
      </c>
      <c r="U188" s="142">
        <f t="shared" si="91"/>
        <v>0</v>
      </c>
      <c r="V188" s="107"/>
      <c r="W188" s="107">
        <f t="shared" si="92"/>
        <v>0</v>
      </c>
      <c r="X188" s="142">
        <f t="shared" si="93"/>
        <v>0</v>
      </c>
      <c r="Y188" s="141">
        <v>0</v>
      </c>
      <c r="Z188" s="144">
        <v>0</v>
      </c>
      <c r="AA188" s="107">
        <f t="shared" si="77"/>
        <v>0</v>
      </c>
      <c r="AB188" s="142">
        <f t="shared" si="78"/>
        <v>0</v>
      </c>
      <c r="AC188" s="141">
        <v>0</v>
      </c>
      <c r="AD188" s="107">
        <f t="shared" si="94"/>
        <v>0</v>
      </c>
      <c r="AE188" s="142">
        <f t="shared" si="95"/>
        <v>0</v>
      </c>
      <c r="AF188" s="145">
        <v>33</v>
      </c>
      <c r="AG188" s="107">
        <f t="shared" si="96"/>
        <v>4.2475235437603969</v>
      </c>
      <c r="AH188" s="142">
        <f t="shared" si="97"/>
        <v>37.247523543760394</v>
      </c>
      <c r="AI188" s="145">
        <v>0</v>
      </c>
      <c r="AJ188" s="107">
        <f t="shared" si="98"/>
        <v>0</v>
      </c>
      <c r="AK188" s="142">
        <f t="shared" si="99"/>
        <v>0</v>
      </c>
      <c r="AL188" s="146">
        <v>212.5</v>
      </c>
      <c r="AM188" s="146"/>
      <c r="AN188" s="107">
        <f t="shared" si="100"/>
        <v>27.35147736512377</v>
      </c>
      <c r="AO188" s="151">
        <f t="shared" si="101"/>
        <v>239.85147736512377</v>
      </c>
      <c r="AP188" s="282">
        <f t="shared" si="102"/>
        <v>0</v>
      </c>
      <c r="AQ188" s="684">
        <v>0</v>
      </c>
      <c r="AR188" s="741">
        <v>0</v>
      </c>
      <c r="AS188" s="741">
        <v>0</v>
      </c>
      <c r="AT188" s="741">
        <v>0</v>
      </c>
      <c r="AU188" s="411">
        <v>0</v>
      </c>
      <c r="AV188" s="801"/>
      <c r="AW188" s="256"/>
      <c r="AX188" s="728">
        <f t="shared" si="103"/>
        <v>0</v>
      </c>
      <c r="AY188" s="729">
        <v>0</v>
      </c>
      <c r="AZ188" s="730"/>
      <c r="BA188" s="731">
        <v>0</v>
      </c>
      <c r="BC188" s="727">
        <v>0</v>
      </c>
      <c r="BD188" s="727">
        <v>0</v>
      </c>
      <c r="BE188" s="727"/>
      <c r="BF188" s="727"/>
      <c r="BG188" s="727">
        <v>0</v>
      </c>
      <c r="BH188" s="727">
        <v>0</v>
      </c>
      <c r="BI188" s="137">
        <f t="shared" si="107"/>
        <v>0</v>
      </c>
      <c r="BJ188" s="126"/>
      <c r="BK188" s="807"/>
      <c r="BL188" s="107"/>
      <c r="BM188" s="687"/>
      <c r="BO188" s="577"/>
      <c r="BS188" s="904"/>
      <c r="BT188" s="789"/>
      <c r="BU188" s="789">
        <v>0</v>
      </c>
      <c r="BV188" s="789">
        <v>0</v>
      </c>
      <c r="BW188" s="789">
        <f t="shared" si="104"/>
        <v>0</v>
      </c>
    </row>
    <row r="189" spans="1:75" ht="15" thickBot="1" x14ac:dyDescent="0.35">
      <c r="A189" s="219" t="s">
        <v>1096</v>
      </c>
      <c r="B189" s="237">
        <v>2</v>
      </c>
      <c r="C189" s="40">
        <f>'[7]побудинковий звіт'!E189</f>
        <v>488.8</v>
      </c>
      <c r="D189" s="215">
        <f t="shared" si="79"/>
        <v>105.79860756618206</v>
      </c>
      <c r="E189" s="107">
        <f t="shared" si="80"/>
        <v>23.275713102292819</v>
      </c>
      <c r="F189" s="107">
        <f t="shared" si="81"/>
        <v>14.944974477483038</v>
      </c>
      <c r="G189" s="107">
        <f t="shared" si="82"/>
        <v>0</v>
      </c>
      <c r="H189" s="107">
        <f t="shared" si="83"/>
        <v>88.392059194951742</v>
      </c>
      <c r="I189" s="107">
        <f t="shared" si="84"/>
        <v>29.914324224250119</v>
      </c>
      <c r="J189" s="687">
        <f t="shared" si="72"/>
        <v>0</v>
      </c>
      <c r="K189" s="142">
        <f t="shared" si="85"/>
        <v>262.32567856515976</v>
      </c>
      <c r="L189" s="141">
        <f t="shared" si="73"/>
        <v>16.837557113303145</v>
      </c>
      <c r="M189" s="107">
        <f t="shared" si="74"/>
        <v>3.7042451298064734</v>
      </c>
      <c r="N189" s="30">
        <f t="shared" si="86"/>
        <v>10.041402149895788</v>
      </c>
      <c r="O189" s="107">
        <f t="shared" si="75"/>
        <v>0.87999124529025874</v>
      </c>
      <c r="P189" s="107">
        <f t="shared" si="87"/>
        <v>14.067352863093838</v>
      </c>
      <c r="Q189" s="107">
        <f t="shared" si="88"/>
        <v>5.8603659612114116</v>
      </c>
      <c r="R189" s="143">
        <f t="shared" si="89"/>
        <v>51.390914462600918</v>
      </c>
      <c r="S189" s="141">
        <f t="shared" si="90"/>
        <v>0</v>
      </c>
      <c r="T189" s="107">
        <f t="shared" si="76"/>
        <v>0</v>
      </c>
      <c r="U189" s="142">
        <f t="shared" si="91"/>
        <v>0</v>
      </c>
      <c r="V189" s="107"/>
      <c r="W189" s="107">
        <f t="shared" si="92"/>
        <v>0</v>
      </c>
      <c r="X189" s="142">
        <f t="shared" si="93"/>
        <v>0</v>
      </c>
      <c r="Y189" s="141">
        <v>0</v>
      </c>
      <c r="Z189" s="144">
        <v>0</v>
      </c>
      <c r="AA189" s="107">
        <f t="shared" si="77"/>
        <v>0</v>
      </c>
      <c r="AB189" s="142">
        <f t="shared" si="78"/>
        <v>0</v>
      </c>
      <c r="AC189" s="141">
        <v>0</v>
      </c>
      <c r="AD189" s="107">
        <f t="shared" si="94"/>
        <v>0</v>
      </c>
      <c r="AE189" s="142">
        <f t="shared" si="95"/>
        <v>0</v>
      </c>
      <c r="AF189" s="145">
        <v>6.6</v>
      </c>
      <c r="AG189" s="107">
        <f t="shared" si="96"/>
        <v>0.8495047087520794</v>
      </c>
      <c r="AH189" s="142">
        <f t="shared" si="97"/>
        <v>7.4495047087520794</v>
      </c>
      <c r="AI189" s="145">
        <v>0</v>
      </c>
      <c r="AJ189" s="107">
        <f t="shared" si="98"/>
        <v>0</v>
      </c>
      <c r="AK189" s="142">
        <f t="shared" si="99"/>
        <v>0</v>
      </c>
      <c r="AL189" s="146"/>
      <c r="AM189" s="146"/>
      <c r="AN189" s="107">
        <f t="shared" si="100"/>
        <v>0</v>
      </c>
      <c r="AO189" s="151">
        <f t="shared" si="101"/>
        <v>0</v>
      </c>
      <c r="AP189" s="282">
        <f t="shared" si="102"/>
        <v>109.03289078140648</v>
      </c>
      <c r="AQ189" s="684">
        <v>4.16</v>
      </c>
      <c r="AR189" s="740">
        <v>93.481937854990619</v>
      </c>
      <c r="AS189" s="740">
        <v>15.550952926415853</v>
      </c>
      <c r="AT189" s="740">
        <v>0</v>
      </c>
      <c r="AU189" s="411">
        <v>0</v>
      </c>
      <c r="AV189" s="801"/>
      <c r="AW189" s="256"/>
      <c r="AX189" s="728">
        <f t="shared" si="103"/>
        <v>14.944974477483038</v>
      </c>
      <c r="AY189" s="729">
        <v>10.041402149895788</v>
      </c>
      <c r="AZ189" s="730"/>
      <c r="BA189" s="731">
        <v>0</v>
      </c>
      <c r="BC189" s="727">
        <v>0</v>
      </c>
      <c r="BD189" s="727">
        <v>14.944974477483038</v>
      </c>
      <c r="BE189" s="727"/>
      <c r="BF189" s="727"/>
      <c r="BG189" s="727">
        <v>0</v>
      </c>
      <c r="BH189" s="727">
        <v>0</v>
      </c>
      <c r="BI189" s="137">
        <f t="shared" si="107"/>
        <v>14.944974477483038</v>
      </c>
      <c r="BJ189" s="126">
        <v>0</v>
      </c>
      <c r="BK189" s="807"/>
      <c r="BL189" s="107"/>
      <c r="BM189" s="687"/>
      <c r="BO189" s="577"/>
      <c r="BS189" s="904"/>
      <c r="BT189" s="789"/>
      <c r="BU189" s="789">
        <v>376.22477807656355</v>
      </c>
      <c r="BV189" s="789">
        <v>0</v>
      </c>
      <c r="BW189" s="789">
        <f t="shared" si="104"/>
        <v>376.22477807656355</v>
      </c>
    </row>
    <row r="190" spans="1:75" ht="15" thickBot="1" x14ac:dyDescent="0.35">
      <c r="A190" s="219" t="s">
        <v>172</v>
      </c>
      <c r="B190" s="237">
        <v>2</v>
      </c>
      <c r="C190" s="40">
        <f>'[7]побудинковий звіт'!E190</f>
        <v>385.5</v>
      </c>
      <c r="D190" s="215">
        <f t="shared" si="79"/>
        <v>95.759453323742079</v>
      </c>
      <c r="E190" s="107">
        <f t="shared" si="80"/>
        <v>21.067097324523459</v>
      </c>
      <c r="F190" s="107">
        <f t="shared" si="81"/>
        <v>9.9031858290850163</v>
      </c>
      <c r="G190" s="107">
        <f t="shared" si="82"/>
        <v>0</v>
      </c>
      <c r="H190" s="107">
        <f t="shared" si="83"/>
        <v>80.004599884488655</v>
      </c>
      <c r="I190" s="107">
        <f t="shared" si="84"/>
        <v>26.609362454563431</v>
      </c>
      <c r="J190" s="687">
        <f t="shared" si="72"/>
        <v>0</v>
      </c>
      <c r="K190" s="142">
        <f t="shared" si="85"/>
        <v>233.34369881640265</v>
      </c>
      <c r="L190" s="141">
        <f t="shared" si="73"/>
        <v>32.936455966686232</v>
      </c>
      <c r="M190" s="107">
        <f t="shared" si="74"/>
        <v>7.2459862073036962</v>
      </c>
      <c r="N190" s="30">
        <f t="shared" si="86"/>
        <v>6.6538669319788166</v>
      </c>
      <c r="O190" s="107">
        <f t="shared" si="75"/>
        <v>0.69401928203640495</v>
      </c>
      <c r="P190" s="107">
        <f t="shared" si="87"/>
        <v>27.517575443118016</v>
      </c>
      <c r="Q190" s="107">
        <f t="shared" si="88"/>
        <v>9.6596284373503565</v>
      </c>
      <c r="R190" s="143">
        <f t="shared" si="89"/>
        <v>84.707532268473528</v>
      </c>
      <c r="S190" s="141">
        <f t="shared" si="90"/>
        <v>13.420000000000002</v>
      </c>
      <c r="T190" s="107">
        <f t="shared" si="76"/>
        <v>1.7273262411292283</v>
      </c>
      <c r="U190" s="142">
        <f t="shared" si="91"/>
        <v>15.14732624112923</v>
      </c>
      <c r="V190" s="107"/>
      <c r="W190" s="107">
        <f t="shared" si="92"/>
        <v>0</v>
      </c>
      <c r="X190" s="142">
        <f t="shared" si="93"/>
        <v>0</v>
      </c>
      <c r="Y190" s="141">
        <v>0</v>
      </c>
      <c r="Z190" s="144">
        <v>0</v>
      </c>
      <c r="AA190" s="107">
        <f t="shared" si="77"/>
        <v>0</v>
      </c>
      <c r="AB190" s="142">
        <f t="shared" si="78"/>
        <v>0</v>
      </c>
      <c r="AC190" s="141">
        <v>0</v>
      </c>
      <c r="AD190" s="107">
        <f t="shared" si="94"/>
        <v>0</v>
      </c>
      <c r="AE190" s="142">
        <f t="shared" si="95"/>
        <v>0</v>
      </c>
      <c r="AF190" s="145">
        <v>2.2000000000000002</v>
      </c>
      <c r="AG190" s="107">
        <f t="shared" si="96"/>
        <v>0.28316823625069315</v>
      </c>
      <c r="AH190" s="142">
        <f t="shared" si="97"/>
        <v>2.4831682362506933</v>
      </c>
      <c r="AI190" s="145">
        <v>0</v>
      </c>
      <c r="AJ190" s="107">
        <f t="shared" si="98"/>
        <v>0</v>
      </c>
      <c r="AK190" s="142">
        <f t="shared" si="99"/>
        <v>0</v>
      </c>
      <c r="AL190" s="146"/>
      <c r="AM190" s="146"/>
      <c r="AN190" s="107">
        <f t="shared" si="100"/>
        <v>0</v>
      </c>
      <c r="AO190" s="151">
        <f t="shared" si="101"/>
        <v>0</v>
      </c>
      <c r="AP190" s="282">
        <f t="shared" si="102"/>
        <v>112.17645467890294</v>
      </c>
      <c r="AQ190" s="684">
        <v>6.62</v>
      </c>
      <c r="AR190" s="740">
        <v>81.756764170698006</v>
      </c>
      <c r="AS190" s="740">
        <v>29.892483714003102</v>
      </c>
      <c r="AT190" s="740">
        <v>0.52720679420183036</v>
      </c>
      <c r="AU190" s="411">
        <v>0</v>
      </c>
      <c r="AV190" s="801"/>
      <c r="AW190" s="256"/>
      <c r="AX190" s="728">
        <f t="shared" si="103"/>
        <v>9.9031858290850163</v>
      </c>
      <c r="AY190" s="729">
        <v>6.6538669319788166</v>
      </c>
      <c r="AZ190" s="730"/>
      <c r="BA190" s="731">
        <v>0</v>
      </c>
      <c r="BC190" s="727">
        <v>0</v>
      </c>
      <c r="BD190" s="727">
        <v>9.9031858290850163</v>
      </c>
      <c r="BE190" s="727"/>
      <c r="BF190" s="727"/>
      <c r="BG190" s="727">
        <v>0</v>
      </c>
      <c r="BH190" s="727">
        <v>0</v>
      </c>
      <c r="BI190" s="137">
        <f t="shared" si="107"/>
        <v>9.9031858290850163</v>
      </c>
      <c r="BJ190" s="126">
        <v>61</v>
      </c>
      <c r="BK190" s="807"/>
      <c r="BL190" s="107"/>
      <c r="BM190" s="687"/>
      <c r="BO190" s="577"/>
      <c r="BS190" s="904"/>
      <c r="BT190" s="789"/>
      <c r="BU190" s="789">
        <v>329.06294452235545</v>
      </c>
      <c r="BV190" s="789">
        <v>0</v>
      </c>
      <c r="BW190" s="789">
        <f t="shared" si="104"/>
        <v>329.06294452235545</v>
      </c>
    </row>
    <row r="191" spans="1:75" ht="15" thickBot="1" x14ac:dyDescent="0.35">
      <c r="A191" s="219" t="s">
        <v>266</v>
      </c>
      <c r="B191" s="237">
        <v>5</v>
      </c>
      <c r="C191" s="40">
        <f>'[7]побудинковий звіт'!E191</f>
        <v>2292.33</v>
      </c>
      <c r="D191" s="215">
        <f t="shared" si="79"/>
        <v>600.5189726383918</v>
      </c>
      <c r="E191" s="107">
        <f t="shared" si="80"/>
        <v>132.11428431013371</v>
      </c>
      <c r="F191" s="107">
        <f t="shared" si="81"/>
        <v>70.087588674240365</v>
      </c>
      <c r="G191" s="107">
        <f t="shared" si="82"/>
        <v>0</v>
      </c>
      <c r="H191" s="107">
        <f t="shared" si="83"/>
        <v>501.71840441226584</v>
      </c>
      <c r="I191" s="107">
        <f t="shared" si="84"/>
        <v>167.89807351299856</v>
      </c>
      <c r="J191" s="687">
        <f t="shared" si="72"/>
        <v>0</v>
      </c>
      <c r="K191" s="142">
        <f t="shared" si="85"/>
        <v>1472.3373235480303</v>
      </c>
      <c r="L191" s="141">
        <f t="shared" si="73"/>
        <v>237.89942710906828</v>
      </c>
      <c r="M191" s="107">
        <f t="shared" si="74"/>
        <v>52.33762762154263</v>
      </c>
      <c r="N191" s="30">
        <f t="shared" si="86"/>
        <v>47.091258981732011</v>
      </c>
      <c r="O191" s="107">
        <f t="shared" si="75"/>
        <v>4.1269032964734427</v>
      </c>
      <c r="P191" s="107">
        <f t="shared" si="87"/>
        <v>198.75895087102725</v>
      </c>
      <c r="Q191" s="107">
        <f t="shared" si="88"/>
        <v>69.532496870986904</v>
      </c>
      <c r="R191" s="143">
        <f t="shared" si="89"/>
        <v>609.74666475083063</v>
      </c>
      <c r="S191" s="141">
        <f t="shared" si="90"/>
        <v>147.4</v>
      </c>
      <c r="T191" s="107">
        <f t="shared" si="76"/>
        <v>18.97227182879644</v>
      </c>
      <c r="U191" s="142">
        <f t="shared" si="91"/>
        <v>166.37227182879644</v>
      </c>
      <c r="V191" s="107"/>
      <c r="W191" s="107">
        <f t="shared" si="92"/>
        <v>0</v>
      </c>
      <c r="X191" s="142">
        <f t="shared" si="93"/>
        <v>0</v>
      </c>
      <c r="Y191" s="141">
        <v>0</v>
      </c>
      <c r="Z191" s="144">
        <v>0</v>
      </c>
      <c r="AA191" s="107">
        <f t="shared" si="77"/>
        <v>0</v>
      </c>
      <c r="AB191" s="142">
        <f t="shared" si="78"/>
        <v>0</v>
      </c>
      <c r="AC191" s="141">
        <v>0</v>
      </c>
      <c r="AD191" s="107">
        <f t="shared" si="94"/>
        <v>0</v>
      </c>
      <c r="AE191" s="142">
        <f t="shared" si="95"/>
        <v>0</v>
      </c>
      <c r="AF191" s="145">
        <v>41.8</v>
      </c>
      <c r="AG191" s="107">
        <f t="shared" si="96"/>
        <v>5.3801964887631692</v>
      </c>
      <c r="AH191" s="142">
        <f t="shared" si="97"/>
        <v>47.180196488763166</v>
      </c>
      <c r="AI191" s="145">
        <v>0</v>
      </c>
      <c r="AJ191" s="107">
        <f t="shared" si="98"/>
        <v>0</v>
      </c>
      <c r="AK191" s="142">
        <f t="shared" si="99"/>
        <v>0</v>
      </c>
      <c r="AL191" s="146"/>
      <c r="AM191" s="215"/>
      <c r="AN191" s="107">
        <f t="shared" si="100"/>
        <v>0</v>
      </c>
      <c r="AO191" s="151">
        <f t="shared" si="101"/>
        <v>0</v>
      </c>
      <c r="AP191" s="282">
        <f t="shared" si="102"/>
        <v>595.56212253154683</v>
      </c>
      <c r="AQ191" s="684">
        <v>178.38</v>
      </c>
      <c r="AR191" s="740">
        <v>375.84124691405941</v>
      </c>
      <c r="AS191" s="740">
        <v>213.96152009819588</v>
      </c>
      <c r="AT191" s="740">
        <v>5.7593555192915042</v>
      </c>
      <c r="AU191" s="411">
        <v>0</v>
      </c>
      <c r="AV191" s="801"/>
      <c r="AW191" s="256"/>
      <c r="AX191" s="728">
        <f t="shared" si="103"/>
        <v>70.087588674240365</v>
      </c>
      <c r="AY191" s="729">
        <v>47.091258981732011</v>
      </c>
      <c r="AZ191" s="730"/>
      <c r="BA191" s="731">
        <v>0</v>
      </c>
      <c r="BC191" s="727">
        <v>0</v>
      </c>
      <c r="BD191" s="727">
        <v>70.087588674240365</v>
      </c>
      <c r="BE191" s="727"/>
      <c r="BF191" s="727"/>
      <c r="BG191" s="727">
        <v>0</v>
      </c>
      <c r="BH191" s="727">
        <v>0</v>
      </c>
      <c r="BI191" s="137">
        <f t="shared" si="107"/>
        <v>70.087588674240365</v>
      </c>
      <c r="BJ191" s="126">
        <v>670</v>
      </c>
      <c r="BK191" s="807"/>
      <c r="BL191" s="107"/>
      <c r="BM191" s="687"/>
      <c r="BO191" s="577"/>
      <c r="BS191" s="904"/>
      <c r="BT191" s="789"/>
      <c r="BU191" s="789">
        <v>1512.7129428502133</v>
      </c>
      <c r="BV191" s="789">
        <v>0</v>
      </c>
      <c r="BW191" s="789">
        <f t="shared" si="104"/>
        <v>1512.7129428502133</v>
      </c>
    </row>
    <row r="192" spans="1:75" ht="15" thickBot="1" x14ac:dyDescent="0.35">
      <c r="A192" s="219" t="s">
        <v>173</v>
      </c>
      <c r="B192" s="237">
        <v>2</v>
      </c>
      <c r="C192" s="40">
        <f>'[7]побудинковий звіт'!E192</f>
        <v>354.3</v>
      </c>
      <c r="D192" s="215">
        <f t="shared" si="79"/>
        <v>409.91672072330925</v>
      </c>
      <c r="E192" s="107">
        <f t="shared" si="80"/>
        <v>90.181753870626537</v>
      </c>
      <c r="F192" s="107">
        <f t="shared" si="81"/>
        <v>10.832660510172342</v>
      </c>
      <c r="G192" s="107">
        <f t="shared" si="82"/>
        <v>0</v>
      </c>
      <c r="H192" s="107">
        <f t="shared" si="83"/>
        <v>342.47504647459141</v>
      </c>
      <c r="I192" s="107">
        <f t="shared" si="84"/>
        <v>109.84432874685413</v>
      </c>
      <c r="J192" s="687">
        <f t="shared" si="72"/>
        <v>0</v>
      </c>
      <c r="K192" s="142">
        <f t="shared" si="85"/>
        <v>963.25051032555359</v>
      </c>
      <c r="L192" s="141">
        <f t="shared" si="73"/>
        <v>0</v>
      </c>
      <c r="M192" s="107">
        <f t="shared" si="74"/>
        <v>0</v>
      </c>
      <c r="N192" s="30">
        <f t="shared" si="86"/>
        <v>0</v>
      </c>
      <c r="O192" s="107">
        <f t="shared" si="75"/>
        <v>0.63784962808170753</v>
      </c>
      <c r="P192" s="107">
        <f t="shared" si="87"/>
        <v>0</v>
      </c>
      <c r="Q192" s="107">
        <f t="shared" si="88"/>
        <v>8.2099433716844417E-2</v>
      </c>
      <c r="R192" s="143">
        <f t="shared" si="89"/>
        <v>0.719949061798552</v>
      </c>
      <c r="S192" s="141">
        <f t="shared" si="90"/>
        <v>0</v>
      </c>
      <c r="T192" s="107">
        <f t="shared" si="76"/>
        <v>0</v>
      </c>
      <c r="U192" s="142">
        <f t="shared" si="91"/>
        <v>0</v>
      </c>
      <c r="V192" s="107"/>
      <c r="W192" s="107">
        <f t="shared" si="92"/>
        <v>0</v>
      </c>
      <c r="X192" s="142">
        <f t="shared" si="93"/>
        <v>0</v>
      </c>
      <c r="Y192" s="141">
        <v>0</v>
      </c>
      <c r="Z192" s="144">
        <v>0</v>
      </c>
      <c r="AA192" s="107">
        <f t="shared" si="77"/>
        <v>0</v>
      </c>
      <c r="AB192" s="142">
        <f t="shared" si="78"/>
        <v>0</v>
      </c>
      <c r="AC192" s="141">
        <v>0</v>
      </c>
      <c r="AD192" s="107">
        <f t="shared" si="94"/>
        <v>0</v>
      </c>
      <c r="AE192" s="142">
        <f t="shared" si="95"/>
        <v>0</v>
      </c>
      <c r="AF192" s="145">
        <v>0</v>
      </c>
      <c r="AG192" s="107">
        <f t="shared" si="96"/>
        <v>0</v>
      </c>
      <c r="AH192" s="142">
        <f t="shared" si="97"/>
        <v>0</v>
      </c>
      <c r="AI192" s="145">
        <v>0</v>
      </c>
      <c r="AJ192" s="107">
        <f t="shared" si="98"/>
        <v>0</v>
      </c>
      <c r="AK192" s="142">
        <f t="shared" si="99"/>
        <v>0</v>
      </c>
      <c r="AL192" s="146"/>
      <c r="AM192" s="215"/>
      <c r="AN192" s="107">
        <f t="shared" si="100"/>
        <v>0</v>
      </c>
      <c r="AO192" s="151">
        <f t="shared" si="101"/>
        <v>0</v>
      </c>
      <c r="AP192" s="282">
        <f t="shared" si="102"/>
        <v>346.71370271626046</v>
      </c>
      <c r="AQ192" s="684">
        <v>31.6</v>
      </c>
      <c r="AR192" s="740">
        <v>346.71370271626046</v>
      </c>
      <c r="AS192" s="740">
        <v>0</v>
      </c>
      <c r="AT192" s="740">
        <v>0</v>
      </c>
      <c r="AU192" s="411">
        <v>0</v>
      </c>
      <c r="AV192" s="801"/>
      <c r="AW192" s="256"/>
      <c r="AX192" s="728">
        <f t="shared" si="103"/>
        <v>10.832660510172342</v>
      </c>
      <c r="AY192" s="729">
        <v>0</v>
      </c>
      <c r="AZ192" s="730"/>
      <c r="BA192" s="731">
        <v>0</v>
      </c>
      <c r="BC192" s="727">
        <v>0</v>
      </c>
      <c r="BD192" s="727">
        <v>10.832660510172342</v>
      </c>
      <c r="BE192" s="727"/>
      <c r="BF192" s="727"/>
      <c r="BG192" s="727">
        <v>0</v>
      </c>
      <c r="BH192" s="727">
        <v>0</v>
      </c>
      <c r="BI192" s="137">
        <f t="shared" si="107"/>
        <v>10.832660510172342</v>
      </c>
      <c r="BJ192" s="126"/>
      <c r="BK192" s="807"/>
      <c r="BL192" s="107"/>
      <c r="BM192" s="687"/>
      <c r="BO192" s="577"/>
      <c r="BS192" s="904"/>
      <c r="BT192" s="789"/>
      <c r="BU192" s="789">
        <v>361.52159740954897</v>
      </c>
      <c r="BV192" s="789">
        <v>0</v>
      </c>
      <c r="BW192" s="789">
        <f t="shared" si="104"/>
        <v>361.52159740954897</v>
      </c>
    </row>
    <row r="193" spans="1:75" ht="15" thickBot="1" x14ac:dyDescent="0.35">
      <c r="A193" s="219" t="s">
        <v>174</v>
      </c>
      <c r="B193" s="237">
        <v>2</v>
      </c>
      <c r="C193" s="40">
        <f>'[7]побудинковий звіт'!E193</f>
        <v>474.29999999999995</v>
      </c>
      <c r="D193" s="215">
        <f t="shared" si="79"/>
        <v>164.34260568081632</v>
      </c>
      <c r="E193" s="107">
        <f t="shared" si="80"/>
        <v>36.155403443444001</v>
      </c>
      <c r="F193" s="107">
        <f t="shared" si="81"/>
        <v>131.51163951446441</v>
      </c>
      <c r="G193" s="107">
        <f t="shared" si="82"/>
        <v>0</v>
      </c>
      <c r="H193" s="107">
        <f t="shared" si="83"/>
        <v>137.3040880571539</v>
      </c>
      <c r="I193" s="107">
        <f t="shared" si="84"/>
        <v>60.406701394724607</v>
      </c>
      <c r="J193" s="687">
        <f t="shared" si="72"/>
        <v>0</v>
      </c>
      <c r="K193" s="142">
        <f t="shared" si="85"/>
        <v>529.72043809060312</v>
      </c>
      <c r="L193" s="141">
        <f t="shared" si="73"/>
        <v>20.823292777453069</v>
      </c>
      <c r="M193" s="107">
        <f t="shared" si="74"/>
        <v>4.5811028487304588</v>
      </c>
      <c r="N193" s="30">
        <f t="shared" si="86"/>
        <v>9.743529131946751</v>
      </c>
      <c r="O193" s="107">
        <f t="shared" si="75"/>
        <v>0.85388675867669728</v>
      </c>
      <c r="P193" s="107">
        <f t="shared" si="87"/>
        <v>17.397334144185702</v>
      </c>
      <c r="Q193" s="107">
        <f t="shared" si="88"/>
        <v>6.8731554064168856</v>
      </c>
      <c r="R193" s="143">
        <f t="shared" si="89"/>
        <v>60.272301067409558</v>
      </c>
      <c r="S193" s="141">
        <f t="shared" si="90"/>
        <v>23.540000000000003</v>
      </c>
      <c r="T193" s="107">
        <f t="shared" si="76"/>
        <v>3.0299001278824171</v>
      </c>
      <c r="U193" s="142">
        <f t="shared" si="91"/>
        <v>26.56990012788242</v>
      </c>
      <c r="V193" s="107"/>
      <c r="W193" s="107">
        <f t="shared" si="92"/>
        <v>0</v>
      </c>
      <c r="X193" s="142">
        <f t="shared" si="93"/>
        <v>0</v>
      </c>
      <c r="Y193" s="141">
        <v>0</v>
      </c>
      <c r="Z193" s="144">
        <v>0</v>
      </c>
      <c r="AA193" s="107">
        <f t="shared" si="77"/>
        <v>0</v>
      </c>
      <c r="AB193" s="142">
        <f t="shared" si="78"/>
        <v>0</v>
      </c>
      <c r="AC193" s="141">
        <v>0</v>
      </c>
      <c r="AD193" s="107">
        <f t="shared" si="94"/>
        <v>0</v>
      </c>
      <c r="AE193" s="142">
        <f t="shared" si="95"/>
        <v>0</v>
      </c>
      <c r="AF193" s="145">
        <v>72.599999999999994</v>
      </c>
      <c r="AG193" s="107">
        <f t="shared" si="96"/>
        <v>9.3445517962728726</v>
      </c>
      <c r="AH193" s="142">
        <f t="shared" si="97"/>
        <v>81.944551796272862</v>
      </c>
      <c r="AI193" s="145">
        <v>0</v>
      </c>
      <c r="AJ193" s="107">
        <f t="shared" si="98"/>
        <v>0</v>
      </c>
      <c r="AK193" s="142">
        <f t="shared" si="99"/>
        <v>0</v>
      </c>
      <c r="AL193" s="146"/>
      <c r="AM193" s="146"/>
      <c r="AN193" s="107">
        <f t="shared" si="100"/>
        <v>0</v>
      </c>
      <c r="AO193" s="151">
        <f t="shared" si="101"/>
        <v>0</v>
      </c>
      <c r="AP193" s="282">
        <f t="shared" si="102"/>
        <v>121.24454421225859</v>
      </c>
      <c r="AQ193" s="684">
        <v>49.66</v>
      </c>
      <c r="AR193" s="740">
        <v>102.01241667878759</v>
      </c>
      <c r="AS193" s="740">
        <v>18.311914664778584</v>
      </c>
      <c r="AT193" s="740">
        <v>0.92021286869241581</v>
      </c>
      <c r="AU193" s="411">
        <v>0</v>
      </c>
      <c r="AV193" s="801"/>
      <c r="AW193" s="256"/>
      <c r="AX193" s="728">
        <f t="shared" si="103"/>
        <v>14.501639514464411</v>
      </c>
      <c r="AY193" s="729">
        <v>9.743529131946751</v>
      </c>
      <c r="AZ193" s="730"/>
      <c r="BA193" s="731">
        <v>0</v>
      </c>
      <c r="BC193" s="727">
        <v>0</v>
      </c>
      <c r="BD193" s="727">
        <v>14.501639514464411</v>
      </c>
      <c r="BE193" s="727"/>
      <c r="BF193" s="727"/>
      <c r="BG193" s="727">
        <v>0</v>
      </c>
      <c r="BH193" s="727">
        <v>0</v>
      </c>
      <c r="BI193" s="137">
        <f t="shared" si="107"/>
        <v>14.501639514464411</v>
      </c>
      <c r="BJ193" s="126">
        <v>107</v>
      </c>
      <c r="BK193" s="807"/>
      <c r="BL193" s="107"/>
      <c r="BM193" s="687">
        <v>117.01</v>
      </c>
      <c r="BO193" s="577"/>
      <c r="BS193" s="904"/>
      <c r="BT193" s="789"/>
      <c r="BU193" s="789">
        <v>410.56098200973202</v>
      </c>
      <c r="BV193" s="789">
        <v>0</v>
      </c>
      <c r="BW193" s="789">
        <f t="shared" si="104"/>
        <v>410.56098200973202</v>
      </c>
    </row>
    <row r="194" spans="1:75" ht="15" thickBot="1" x14ac:dyDescent="0.35">
      <c r="A194" s="219" t="s">
        <v>267</v>
      </c>
      <c r="B194" s="237">
        <v>5</v>
      </c>
      <c r="C194" s="40">
        <f>'[7]побудинковий звіт'!E194</f>
        <v>4735.0700000000006</v>
      </c>
      <c r="D194" s="215">
        <f t="shared" si="79"/>
        <v>2732.0611777091294</v>
      </c>
      <c r="E194" s="107">
        <f t="shared" si="80"/>
        <v>601.05396104094234</v>
      </c>
      <c r="F194" s="107">
        <f t="shared" si="81"/>
        <v>144.18995762392734</v>
      </c>
      <c r="G194" s="107">
        <f t="shared" si="82"/>
        <v>0</v>
      </c>
      <c r="H194" s="107">
        <f t="shared" si="83"/>
        <v>2282.5679741884119</v>
      </c>
      <c r="I194" s="107">
        <f t="shared" si="84"/>
        <v>741.36959019046458</v>
      </c>
      <c r="J194" s="687">
        <f t="shared" si="72"/>
        <v>0</v>
      </c>
      <c r="K194" s="142">
        <f t="shared" si="85"/>
        <v>6501.242660752876</v>
      </c>
      <c r="L194" s="141">
        <f t="shared" si="73"/>
        <v>878.49437840290989</v>
      </c>
      <c r="M194" s="107">
        <f t="shared" si="74"/>
        <v>193.26785357659003</v>
      </c>
      <c r="N194" s="30">
        <f t="shared" si="86"/>
        <v>180.880014928077</v>
      </c>
      <c r="O194" s="107">
        <f t="shared" si="75"/>
        <v>8.5245911330534891</v>
      </c>
      <c r="P194" s="107">
        <f t="shared" si="87"/>
        <v>733.95982125423893</v>
      </c>
      <c r="Q194" s="107">
        <f t="shared" si="88"/>
        <v>256.79840782239353</v>
      </c>
      <c r="R194" s="143">
        <f t="shared" si="89"/>
        <v>2251.9250671172631</v>
      </c>
      <c r="S194" s="141">
        <f t="shared" si="90"/>
        <v>203.06000000000003</v>
      </c>
      <c r="T194" s="107">
        <f t="shared" si="76"/>
        <v>26.13642820593898</v>
      </c>
      <c r="U194" s="142">
        <f t="shared" si="91"/>
        <v>229.19642820593901</v>
      </c>
      <c r="V194" s="418"/>
      <c r="W194" s="107">
        <f t="shared" si="92"/>
        <v>0</v>
      </c>
      <c r="X194" s="142">
        <f t="shared" si="93"/>
        <v>0</v>
      </c>
      <c r="Y194" s="141">
        <v>0</v>
      </c>
      <c r="Z194" s="144">
        <v>0</v>
      </c>
      <c r="AA194" s="107">
        <f t="shared" si="77"/>
        <v>0</v>
      </c>
      <c r="AB194" s="142">
        <f t="shared" si="78"/>
        <v>0</v>
      </c>
      <c r="AC194" s="141">
        <v>0</v>
      </c>
      <c r="AD194" s="107">
        <f t="shared" si="94"/>
        <v>0</v>
      </c>
      <c r="AE194" s="142">
        <f t="shared" si="95"/>
        <v>0</v>
      </c>
      <c r="AF194" s="145">
        <v>404.8</v>
      </c>
      <c r="AG194" s="107">
        <f t="shared" si="96"/>
        <v>52.10295547012754</v>
      </c>
      <c r="AH194" s="142">
        <f t="shared" si="97"/>
        <v>456.90295547012755</v>
      </c>
      <c r="AI194" s="145">
        <v>0</v>
      </c>
      <c r="AJ194" s="107">
        <f t="shared" si="98"/>
        <v>0</v>
      </c>
      <c r="AK194" s="142">
        <f t="shared" si="99"/>
        <v>0</v>
      </c>
      <c r="AL194" s="146"/>
      <c r="AM194" s="146"/>
      <c r="AN194" s="107">
        <f t="shared" si="100"/>
        <v>0</v>
      </c>
      <c r="AO194" s="151">
        <f t="shared" si="101"/>
        <v>0</v>
      </c>
      <c r="AP194" s="282">
        <f t="shared" si="102"/>
        <v>3067.54586546165</v>
      </c>
      <c r="AQ194" s="684">
        <v>265.25</v>
      </c>
      <c r="AR194" s="740">
        <v>2256.1796659153465</v>
      </c>
      <c r="AS194" s="740">
        <v>781.57701224312291</v>
      </c>
      <c r="AT194" s="740">
        <v>29.78918730318091</v>
      </c>
      <c r="AU194" s="411">
        <v>0</v>
      </c>
      <c r="AV194" s="801"/>
      <c r="AW194" s="256"/>
      <c r="AX194" s="728">
        <f t="shared" si="103"/>
        <v>144.18995762392734</v>
      </c>
      <c r="AY194" s="729">
        <v>96.880014928077003</v>
      </c>
      <c r="AZ194" s="730"/>
      <c r="BA194" s="731">
        <v>84</v>
      </c>
      <c r="BC194" s="727">
        <v>0</v>
      </c>
      <c r="BD194" s="727">
        <v>144.18995762392734</v>
      </c>
      <c r="BE194" s="727"/>
      <c r="BF194" s="727"/>
      <c r="BG194" s="727">
        <v>0</v>
      </c>
      <c r="BH194" s="727">
        <v>0</v>
      </c>
      <c r="BI194" s="137">
        <f t="shared" si="107"/>
        <v>144.18995762392734</v>
      </c>
      <c r="BJ194" s="126">
        <v>923</v>
      </c>
      <c r="BK194" s="807"/>
      <c r="BL194" s="107"/>
      <c r="BM194" s="687"/>
      <c r="BO194" s="577"/>
      <c r="BS194" s="904"/>
      <c r="BT194" s="789"/>
      <c r="BU194" s="789">
        <v>3134.3162976496683</v>
      </c>
      <c r="BV194" s="789">
        <v>0</v>
      </c>
      <c r="BW194" s="789">
        <f t="shared" si="104"/>
        <v>3134.3162976496683</v>
      </c>
    </row>
    <row r="195" spans="1:75" ht="15" thickBot="1" x14ac:dyDescent="0.35">
      <c r="A195" s="219" t="s">
        <v>215</v>
      </c>
      <c r="B195" s="237">
        <v>4</v>
      </c>
      <c r="C195" s="40">
        <f>'[7]побудинковий звіт'!E195</f>
        <v>1981.17</v>
      </c>
      <c r="D195" s="215">
        <f t="shared" si="79"/>
        <v>1737.6203188230679</v>
      </c>
      <c r="E195" s="107">
        <f t="shared" si="80"/>
        <v>382.27678938345616</v>
      </c>
      <c r="F195" s="107">
        <f t="shared" si="81"/>
        <v>60.573926116111032</v>
      </c>
      <c r="G195" s="107">
        <f t="shared" si="82"/>
        <v>0</v>
      </c>
      <c r="H195" s="107">
        <f t="shared" si="83"/>
        <v>1451.7378027275129</v>
      </c>
      <c r="I195" s="107">
        <f t="shared" si="84"/>
        <v>467.51189549166895</v>
      </c>
      <c r="J195" s="687">
        <f t="shared" si="72"/>
        <v>0</v>
      </c>
      <c r="K195" s="142">
        <f t="shared" si="85"/>
        <v>4099.7207325418167</v>
      </c>
      <c r="L195" s="141">
        <f t="shared" si="73"/>
        <v>560.02482461151908</v>
      </c>
      <c r="M195" s="107">
        <f t="shared" si="74"/>
        <v>123.20488151448832</v>
      </c>
      <c r="N195" s="30">
        <f t="shared" si="86"/>
        <v>40.699109446213257</v>
      </c>
      <c r="O195" s="107">
        <f t="shared" si="75"/>
        <v>3.5667190168406337</v>
      </c>
      <c r="P195" s="107">
        <f t="shared" si="87"/>
        <v>467.88656851403425</v>
      </c>
      <c r="Q195" s="107">
        <f t="shared" si="88"/>
        <v>153.86101899152172</v>
      </c>
      <c r="R195" s="143">
        <f t="shared" si="89"/>
        <v>1349.2431220946171</v>
      </c>
      <c r="S195" s="141">
        <f t="shared" si="90"/>
        <v>0</v>
      </c>
      <c r="T195" s="107">
        <f t="shared" si="76"/>
        <v>0</v>
      </c>
      <c r="U195" s="142">
        <f t="shared" si="91"/>
        <v>0</v>
      </c>
      <c r="V195" s="107"/>
      <c r="W195" s="107">
        <f t="shared" si="92"/>
        <v>0</v>
      </c>
      <c r="X195" s="142">
        <f t="shared" si="93"/>
        <v>0</v>
      </c>
      <c r="Y195" s="141">
        <v>0</v>
      </c>
      <c r="Z195" s="144">
        <v>0</v>
      </c>
      <c r="AA195" s="107">
        <f t="shared" si="77"/>
        <v>0</v>
      </c>
      <c r="AB195" s="142">
        <f t="shared" si="78"/>
        <v>0</v>
      </c>
      <c r="AC195" s="141">
        <v>0</v>
      </c>
      <c r="AD195" s="107">
        <f t="shared" si="94"/>
        <v>0</v>
      </c>
      <c r="AE195" s="142">
        <f t="shared" si="95"/>
        <v>0</v>
      </c>
      <c r="AF195" s="145">
        <v>484</v>
      </c>
      <c r="AG195" s="107">
        <f t="shared" si="96"/>
        <v>62.297011975152493</v>
      </c>
      <c r="AH195" s="142">
        <f t="shared" si="97"/>
        <v>546.29701197515249</v>
      </c>
      <c r="AI195" s="145">
        <v>0</v>
      </c>
      <c r="AJ195" s="107">
        <f t="shared" si="98"/>
        <v>0</v>
      </c>
      <c r="AK195" s="142">
        <f t="shared" si="99"/>
        <v>0</v>
      </c>
      <c r="AL195" s="146"/>
      <c r="AM195" s="401"/>
      <c r="AN195" s="107">
        <f t="shared" si="100"/>
        <v>0</v>
      </c>
      <c r="AO195" s="151">
        <f t="shared" si="101"/>
        <v>0</v>
      </c>
      <c r="AP195" s="282">
        <f t="shared" si="102"/>
        <v>2004.0381928246079</v>
      </c>
      <c r="AQ195" s="684">
        <v>116.85</v>
      </c>
      <c r="AR195" s="740">
        <v>1486.806409938644</v>
      </c>
      <c r="AS195" s="740">
        <v>517.23178288596375</v>
      </c>
      <c r="AT195" s="740">
        <v>0</v>
      </c>
      <c r="AU195" s="411">
        <v>0</v>
      </c>
      <c r="AV195" s="801"/>
      <c r="AW195" s="256"/>
      <c r="AX195" s="728">
        <f t="shared" si="103"/>
        <v>60.573926116111032</v>
      </c>
      <c r="AY195" s="729">
        <v>40.699109446213257</v>
      </c>
      <c r="AZ195" s="730"/>
      <c r="BA195" s="731">
        <v>0</v>
      </c>
      <c r="BC195" s="727">
        <v>0</v>
      </c>
      <c r="BD195" s="727">
        <v>60.573926116111032</v>
      </c>
      <c r="BE195" s="727"/>
      <c r="BF195" s="727"/>
      <c r="BG195" s="727">
        <v>0</v>
      </c>
      <c r="BH195" s="727">
        <v>0</v>
      </c>
      <c r="BI195" s="137">
        <f t="shared" si="107"/>
        <v>60.573926116111032</v>
      </c>
      <c r="BJ195" s="126"/>
      <c r="BK195" s="807"/>
      <c r="BL195" s="107"/>
      <c r="BM195" s="687"/>
      <c r="BO195" s="577"/>
      <c r="BS195" s="904"/>
      <c r="BT195" s="789"/>
      <c r="BU195" s="789">
        <v>1550.3018187575667</v>
      </c>
      <c r="BV195" s="789">
        <v>0</v>
      </c>
      <c r="BW195" s="789">
        <f t="shared" si="104"/>
        <v>1550.3018187575667</v>
      </c>
    </row>
    <row r="196" spans="1:75" ht="15" thickBot="1" x14ac:dyDescent="0.35">
      <c r="A196" s="219" t="s">
        <v>175</v>
      </c>
      <c r="B196" s="237">
        <v>2</v>
      </c>
      <c r="C196" s="40">
        <f>'[7]побудинковий звіт'!E196</f>
        <v>286.2</v>
      </c>
      <c r="D196" s="215">
        <f t="shared" si="79"/>
        <v>307.73020585371341</v>
      </c>
      <c r="E196" s="107">
        <f t="shared" si="80"/>
        <v>67.70070182521043</v>
      </c>
      <c r="F196" s="107">
        <f t="shared" si="81"/>
        <v>8.7505149252365904</v>
      </c>
      <c r="G196" s="107">
        <f t="shared" si="82"/>
        <v>0</v>
      </c>
      <c r="H196" s="107">
        <f t="shared" si="83"/>
        <v>257.10079931704831</v>
      </c>
      <c r="I196" s="107">
        <f t="shared" si="84"/>
        <v>82.54125260016103</v>
      </c>
      <c r="J196" s="687">
        <f t="shared" si="72"/>
        <v>0</v>
      </c>
      <c r="K196" s="142">
        <f t="shared" si="85"/>
        <v>723.82347452136969</v>
      </c>
      <c r="L196" s="141">
        <f t="shared" si="73"/>
        <v>35.419503759361625</v>
      </c>
      <c r="M196" s="107">
        <f t="shared" si="74"/>
        <v>7.7922541505213889</v>
      </c>
      <c r="N196" s="30">
        <f t="shared" si="86"/>
        <v>5.8793970853113215</v>
      </c>
      <c r="O196" s="107">
        <f t="shared" si="75"/>
        <v>0.51524855646905077</v>
      </c>
      <c r="P196" s="107">
        <f t="shared" si="87"/>
        <v>29.5920990358483</v>
      </c>
      <c r="Q196" s="107">
        <f t="shared" si="88"/>
        <v>10.193863768818927</v>
      </c>
      <c r="R196" s="143">
        <f t="shared" si="89"/>
        <v>89.392366356330612</v>
      </c>
      <c r="S196" s="141">
        <f t="shared" si="90"/>
        <v>0</v>
      </c>
      <c r="T196" s="107">
        <f t="shared" si="76"/>
        <v>0</v>
      </c>
      <c r="U196" s="142">
        <f t="shared" si="91"/>
        <v>0</v>
      </c>
      <c r="V196" s="107"/>
      <c r="W196" s="107">
        <f t="shared" si="92"/>
        <v>0</v>
      </c>
      <c r="X196" s="142">
        <f t="shared" si="93"/>
        <v>0</v>
      </c>
      <c r="Y196" s="141">
        <v>0</v>
      </c>
      <c r="Z196" s="144">
        <v>0</v>
      </c>
      <c r="AA196" s="107">
        <f t="shared" si="77"/>
        <v>0</v>
      </c>
      <c r="AB196" s="142">
        <f t="shared" si="78"/>
        <v>0</v>
      </c>
      <c r="AC196" s="141">
        <v>0</v>
      </c>
      <c r="AD196" s="107">
        <f t="shared" si="94"/>
        <v>0</v>
      </c>
      <c r="AE196" s="142">
        <f t="shared" si="95"/>
        <v>0</v>
      </c>
      <c r="AF196" s="145">
        <v>63.8</v>
      </c>
      <c r="AG196" s="107">
        <f t="shared" si="96"/>
        <v>8.2118788512701002</v>
      </c>
      <c r="AH196" s="142">
        <f t="shared" si="97"/>
        <v>72.011878851270097</v>
      </c>
      <c r="AI196" s="145">
        <v>0</v>
      </c>
      <c r="AJ196" s="107">
        <f t="shared" si="98"/>
        <v>0</v>
      </c>
      <c r="AK196" s="142">
        <f t="shared" si="99"/>
        <v>0</v>
      </c>
      <c r="AL196" s="146"/>
      <c r="AM196" s="401"/>
      <c r="AN196" s="107">
        <f t="shared" si="100"/>
        <v>0</v>
      </c>
      <c r="AO196" s="151">
        <f t="shared" si="101"/>
        <v>0</v>
      </c>
      <c r="AP196" s="282">
        <f t="shared" si="102"/>
        <v>301.87838073688124</v>
      </c>
      <c r="AQ196" s="684">
        <v>14.84</v>
      </c>
      <c r="AR196" s="740">
        <v>269.16537896754164</v>
      </c>
      <c r="AS196" s="740">
        <v>32.713001769339577</v>
      </c>
      <c r="AT196" s="740">
        <v>0</v>
      </c>
      <c r="AU196" s="411">
        <v>0</v>
      </c>
      <c r="AV196" s="801"/>
      <c r="AW196" s="256"/>
      <c r="AX196" s="728">
        <f t="shared" si="103"/>
        <v>8.7505149252365904</v>
      </c>
      <c r="AY196" s="729">
        <v>5.8793970853113215</v>
      </c>
      <c r="AZ196" s="730"/>
      <c r="BA196" s="731">
        <v>0</v>
      </c>
      <c r="BC196" s="727">
        <v>0</v>
      </c>
      <c r="BD196" s="727">
        <v>8.7505149252365904</v>
      </c>
      <c r="BE196" s="727"/>
      <c r="BF196" s="727"/>
      <c r="BG196" s="727">
        <v>0</v>
      </c>
      <c r="BH196" s="727">
        <v>0</v>
      </c>
      <c r="BI196" s="137">
        <f t="shared" si="107"/>
        <v>8.7505149252365904</v>
      </c>
      <c r="BJ196" s="126"/>
      <c r="BK196" s="807"/>
      <c r="BL196" s="107"/>
      <c r="BM196" s="687"/>
      <c r="BO196" s="577"/>
      <c r="BS196" s="904"/>
      <c r="BT196" s="789"/>
      <c r="BU196" s="789">
        <v>280.66071395187527</v>
      </c>
      <c r="BV196" s="789">
        <v>0</v>
      </c>
      <c r="BW196" s="789">
        <f t="shared" si="104"/>
        <v>280.66071395187527</v>
      </c>
    </row>
    <row r="197" spans="1:75" ht="15" thickBot="1" x14ac:dyDescent="0.35">
      <c r="A197" s="219" t="s">
        <v>374</v>
      </c>
      <c r="B197" s="237">
        <v>9</v>
      </c>
      <c r="C197" s="40">
        <f>'[7]побудинковий звіт'!E197</f>
        <v>3813.3</v>
      </c>
      <c r="D197" s="215">
        <f t="shared" si="79"/>
        <v>3022.45123287655</v>
      </c>
      <c r="E197" s="107">
        <f t="shared" si="80"/>
        <v>664.93982652936825</v>
      </c>
      <c r="F197" s="107">
        <f t="shared" si="81"/>
        <v>112.7486206098061</v>
      </c>
      <c r="G197" s="107">
        <f t="shared" si="82"/>
        <v>0</v>
      </c>
      <c r="H197" s="107">
        <f t="shared" si="83"/>
        <v>2525.1815164311797</v>
      </c>
      <c r="I197" s="107">
        <f t="shared" si="84"/>
        <v>814.15002132590632</v>
      </c>
      <c r="J197" s="687">
        <f t="shared" si="72"/>
        <v>0</v>
      </c>
      <c r="K197" s="142">
        <f t="shared" si="85"/>
        <v>7139.4712177728097</v>
      </c>
      <c r="L197" s="141">
        <f t="shared" si="73"/>
        <v>1351.8272786698078</v>
      </c>
      <c r="M197" s="107">
        <f t="shared" si="74"/>
        <v>297.40060150387319</v>
      </c>
      <c r="N197" s="30">
        <f t="shared" si="86"/>
        <v>62.696953672377063</v>
      </c>
      <c r="O197" s="107">
        <f t="shared" si="75"/>
        <v>6.8651199174822901</v>
      </c>
      <c r="P197" s="107">
        <f t="shared" si="87"/>
        <v>1129.4174808754929</v>
      </c>
      <c r="Q197" s="107">
        <f t="shared" si="88"/>
        <v>366.60085261038478</v>
      </c>
      <c r="R197" s="143">
        <f t="shared" si="89"/>
        <v>3214.8082872494183</v>
      </c>
      <c r="S197" s="141">
        <f t="shared" si="90"/>
        <v>70.400000000000006</v>
      </c>
      <c r="T197" s="107">
        <f t="shared" si="76"/>
        <v>9.0613835600221808</v>
      </c>
      <c r="U197" s="142">
        <f t="shared" si="91"/>
        <v>79.461383560022185</v>
      </c>
      <c r="V197" s="107"/>
      <c r="W197" s="107">
        <f t="shared" si="92"/>
        <v>0</v>
      </c>
      <c r="X197" s="142">
        <f t="shared" si="93"/>
        <v>0</v>
      </c>
      <c r="Y197" s="141">
        <v>2227.75</v>
      </c>
      <c r="Z197" s="144">
        <v>0</v>
      </c>
      <c r="AA197" s="107">
        <f t="shared" si="77"/>
        <v>286.74001741249168</v>
      </c>
      <c r="AB197" s="142">
        <f t="shared" si="78"/>
        <v>2514.4900174124919</v>
      </c>
      <c r="AC197" s="141">
        <v>236.15</v>
      </c>
      <c r="AD197" s="107">
        <f t="shared" si="94"/>
        <v>30.395535904818722</v>
      </c>
      <c r="AE197" s="142">
        <f t="shared" si="95"/>
        <v>266.54553590481873</v>
      </c>
      <c r="AF197" s="145">
        <v>466.4</v>
      </c>
      <c r="AG197" s="107">
        <f t="shared" si="96"/>
        <v>60.031666085146945</v>
      </c>
      <c r="AH197" s="142">
        <f t="shared" si="97"/>
        <v>526.43166608514696</v>
      </c>
      <c r="AI197" s="145">
        <v>1249.5999999999999</v>
      </c>
      <c r="AJ197" s="107">
        <f t="shared" si="98"/>
        <v>160.83955819039369</v>
      </c>
      <c r="AK197" s="142">
        <f t="shared" si="99"/>
        <v>1410.4395581903937</v>
      </c>
      <c r="AL197" s="146">
        <v>212.5</v>
      </c>
      <c r="AM197" s="146"/>
      <c r="AN197" s="107">
        <f t="shared" si="100"/>
        <v>27.35147736512377</v>
      </c>
      <c r="AO197" s="151">
        <f t="shared" si="101"/>
        <v>239.85147736512377</v>
      </c>
      <c r="AP197" s="282">
        <f t="shared" si="102"/>
        <v>4037.9621809488476</v>
      </c>
      <c r="AQ197" s="684">
        <v>0</v>
      </c>
      <c r="AR197" s="741">
        <v>2789.4317537748457</v>
      </c>
      <c r="AS197" s="741">
        <v>1217.9145349163946</v>
      </c>
      <c r="AT197" s="741">
        <v>30.615892257607193</v>
      </c>
      <c r="AU197" s="411">
        <v>0</v>
      </c>
      <c r="AV197" s="801"/>
      <c r="AW197" s="256"/>
      <c r="AX197" s="728">
        <f t="shared" si="103"/>
        <v>112.7486206098061</v>
      </c>
      <c r="AY197" s="729">
        <v>62.696953672377063</v>
      </c>
      <c r="AZ197" s="730"/>
      <c r="BA197" s="731">
        <v>0</v>
      </c>
      <c r="BC197" s="727">
        <v>0</v>
      </c>
      <c r="BD197" s="727">
        <v>112.7486206098061</v>
      </c>
      <c r="BE197" s="727"/>
      <c r="BF197" s="727"/>
      <c r="BG197" s="727">
        <v>0</v>
      </c>
      <c r="BH197" s="727">
        <v>8.5976967462350657</v>
      </c>
      <c r="BI197" s="137">
        <f t="shared" si="107"/>
        <v>112.7486206098061</v>
      </c>
      <c r="BJ197" s="126">
        <v>320</v>
      </c>
      <c r="BK197" s="807"/>
      <c r="BL197" s="107"/>
      <c r="BM197" s="687"/>
      <c r="BO197" s="577"/>
      <c r="BS197" s="904"/>
      <c r="BT197" s="789"/>
      <c r="BU197" s="789">
        <v>2767.3305065803938</v>
      </c>
      <c r="BV197" s="789">
        <v>0</v>
      </c>
      <c r="BW197" s="789">
        <f t="shared" si="104"/>
        <v>2767.3305065803938</v>
      </c>
    </row>
    <row r="198" spans="1:75" ht="15" thickBot="1" x14ac:dyDescent="0.35">
      <c r="A198" s="219" t="s">
        <v>375</v>
      </c>
      <c r="B198" s="237">
        <v>9</v>
      </c>
      <c r="C198" s="40">
        <f>'[7]побудинковий звіт'!E198</f>
        <v>15437.47</v>
      </c>
      <c r="D198" s="215">
        <f t="shared" si="79"/>
        <v>11174.515633299618</v>
      </c>
      <c r="E198" s="107">
        <f t="shared" si="80"/>
        <v>2458.3954923515057</v>
      </c>
      <c r="F198" s="107">
        <f t="shared" si="81"/>
        <v>617.1874671515659</v>
      </c>
      <c r="G198" s="107">
        <f t="shared" si="82"/>
        <v>0</v>
      </c>
      <c r="H198" s="107">
        <f t="shared" si="83"/>
        <v>9336.02502013702</v>
      </c>
      <c r="I198" s="107">
        <f t="shared" si="84"/>
        <v>3035.8368288486195</v>
      </c>
      <c r="J198" s="687">
        <f t="shared" si="72"/>
        <v>0</v>
      </c>
      <c r="K198" s="142">
        <f t="shared" si="85"/>
        <v>26621.960441788327</v>
      </c>
      <c r="L198" s="141">
        <f t="shared" si="73"/>
        <v>5958.5311414873431</v>
      </c>
      <c r="M198" s="107">
        <f t="shared" si="74"/>
        <v>1310.8706811284396</v>
      </c>
      <c r="N198" s="30">
        <f t="shared" si="86"/>
        <v>253.70094668847813</v>
      </c>
      <c r="O198" s="107">
        <f t="shared" si="75"/>
        <v>27.792222687051982</v>
      </c>
      <c r="P198" s="107">
        <f t="shared" si="87"/>
        <v>4978.201977222101</v>
      </c>
      <c r="Q198" s="107">
        <f t="shared" si="88"/>
        <v>1612.6555866300305</v>
      </c>
      <c r="R198" s="143">
        <f t="shared" si="89"/>
        <v>14141.752555843443</v>
      </c>
      <c r="S198" s="141">
        <f t="shared" si="90"/>
        <v>157.08000000000001</v>
      </c>
      <c r="T198" s="107">
        <f t="shared" si="76"/>
        <v>20.218212068299493</v>
      </c>
      <c r="U198" s="142">
        <f t="shared" si="91"/>
        <v>177.29821206829951</v>
      </c>
      <c r="V198" s="107"/>
      <c r="W198" s="107">
        <f t="shared" si="92"/>
        <v>0</v>
      </c>
      <c r="X198" s="142">
        <f t="shared" si="93"/>
        <v>0</v>
      </c>
      <c r="Y198" s="141">
        <v>8500.625</v>
      </c>
      <c r="Z198" s="144">
        <v>0</v>
      </c>
      <c r="AA198" s="107">
        <f t="shared" si="77"/>
        <v>1094.1395401266129</v>
      </c>
      <c r="AB198" s="142">
        <f t="shared" si="78"/>
        <v>9594.7645401266127</v>
      </c>
      <c r="AC198" s="141">
        <v>826.52</v>
      </c>
      <c r="AD198" s="107">
        <f t="shared" si="94"/>
        <v>106.38373210269222</v>
      </c>
      <c r="AE198" s="142">
        <f t="shared" si="95"/>
        <v>932.90373210269217</v>
      </c>
      <c r="AF198" s="145">
        <v>851.4</v>
      </c>
      <c r="AG198" s="107">
        <f t="shared" si="96"/>
        <v>109.58610742901824</v>
      </c>
      <c r="AH198" s="142">
        <f t="shared" si="97"/>
        <v>960.98610742901826</v>
      </c>
      <c r="AI198" s="145">
        <v>1680.8</v>
      </c>
      <c r="AJ198" s="107">
        <f t="shared" si="98"/>
        <v>216.34053249552954</v>
      </c>
      <c r="AK198" s="142">
        <f t="shared" si="99"/>
        <v>1897.1405324955294</v>
      </c>
      <c r="AL198" s="146"/>
      <c r="AM198" s="146"/>
      <c r="AN198" s="107">
        <f t="shared" si="100"/>
        <v>0</v>
      </c>
      <c r="AO198" s="151">
        <f t="shared" si="101"/>
        <v>0</v>
      </c>
      <c r="AP198" s="282">
        <f t="shared" si="102"/>
        <v>15816.226375763119</v>
      </c>
      <c r="AQ198" s="684">
        <v>0</v>
      </c>
      <c r="AR198" s="741">
        <v>10313.003035921116</v>
      </c>
      <c r="AS198" s="741">
        <v>5400.3059093054853</v>
      </c>
      <c r="AT198" s="741">
        <v>102.91743053651682</v>
      </c>
      <c r="AU198" s="411">
        <v>0</v>
      </c>
      <c r="AV198" s="801"/>
      <c r="AW198" s="256"/>
      <c r="AX198" s="728">
        <f t="shared" si="103"/>
        <v>617.1874671515659</v>
      </c>
      <c r="AY198" s="729">
        <v>253.70094668847813</v>
      </c>
      <c r="AZ198" s="730"/>
      <c r="BA198" s="731">
        <v>0</v>
      </c>
      <c r="BC198" s="727">
        <v>176</v>
      </c>
      <c r="BD198" s="727">
        <v>441.18746715156595</v>
      </c>
      <c r="BE198" s="727"/>
      <c r="BF198" s="727"/>
      <c r="BG198" s="727">
        <v>0</v>
      </c>
      <c r="BH198" s="727">
        <v>19.744535159336319</v>
      </c>
      <c r="BI198" s="137">
        <f t="shared" si="107"/>
        <v>617.1874671515659</v>
      </c>
      <c r="BJ198" s="126">
        <v>714</v>
      </c>
      <c r="BK198" s="807"/>
      <c r="BL198" s="107"/>
      <c r="BM198" s="687"/>
      <c r="BO198" s="577"/>
      <c r="BS198" s="904"/>
      <c r="BT198" s="789"/>
      <c r="BU198" s="789">
        <v>10227.28917022184</v>
      </c>
      <c r="BV198" s="789">
        <v>0</v>
      </c>
      <c r="BW198" s="789">
        <f t="shared" si="104"/>
        <v>10227.28917022184</v>
      </c>
    </row>
    <row r="199" spans="1:75" ht="15" thickBot="1" x14ac:dyDescent="0.35">
      <c r="A199" s="219" t="s">
        <v>176</v>
      </c>
      <c r="B199" s="237">
        <v>2</v>
      </c>
      <c r="C199" s="40">
        <f>'[7]побудинковий звіт'!E199</f>
        <v>479.4</v>
      </c>
      <c r="D199" s="215">
        <f t="shared" si="79"/>
        <v>138.11693936394823</v>
      </c>
      <c r="E199" s="107">
        <f t="shared" si="80"/>
        <v>30.385752035451329</v>
      </c>
      <c r="F199" s="107">
        <f t="shared" si="81"/>
        <v>12.988185675193934</v>
      </c>
      <c r="G199" s="107">
        <f t="shared" si="82"/>
        <v>0</v>
      </c>
      <c r="H199" s="107">
        <f t="shared" si="83"/>
        <v>115.39320753769574</v>
      </c>
      <c r="I199" s="107">
        <f t="shared" si="84"/>
        <v>38.212792095710682</v>
      </c>
      <c r="J199" s="687">
        <f t="shared" si="72"/>
        <v>0</v>
      </c>
      <c r="K199" s="142">
        <f t="shared" si="85"/>
        <v>335.09687670799997</v>
      </c>
      <c r="L199" s="141">
        <f t="shared" si="73"/>
        <v>18.337665394423556</v>
      </c>
      <c r="M199" s="107">
        <f t="shared" si="74"/>
        <v>4.0342673983059996</v>
      </c>
      <c r="N199" s="30">
        <f t="shared" si="86"/>
        <v>8.7266522775690074</v>
      </c>
      <c r="O199" s="107">
        <f t="shared" si="75"/>
        <v>0.86306833672698446</v>
      </c>
      <c r="P199" s="107">
        <f t="shared" si="87"/>
        <v>15.320655368995785</v>
      </c>
      <c r="Q199" s="107">
        <f t="shared" si="88"/>
        <v>6.0858399918030139</v>
      </c>
      <c r="R199" s="143">
        <f t="shared" si="89"/>
        <v>53.368148767824344</v>
      </c>
      <c r="S199" s="141">
        <f t="shared" si="90"/>
        <v>0</v>
      </c>
      <c r="T199" s="107">
        <f t="shared" si="76"/>
        <v>0</v>
      </c>
      <c r="U199" s="142">
        <f t="shared" si="91"/>
        <v>0</v>
      </c>
      <c r="V199" s="107"/>
      <c r="W199" s="107">
        <f t="shared" si="92"/>
        <v>0</v>
      </c>
      <c r="X199" s="142">
        <f t="shared" si="93"/>
        <v>0</v>
      </c>
      <c r="Y199" s="141">
        <v>0</v>
      </c>
      <c r="Z199" s="144">
        <v>0</v>
      </c>
      <c r="AA199" s="107">
        <f t="shared" si="77"/>
        <v>0</v>
      </c>
      <c r="AB199" s="142">
        <f t="shared" si="78"/>
        <v>0</v>
      </c>
      <c r="AC199" s="141">
        <v>0</v>
      </c>
      <c r="AD199" s="107">
        <f t="shared" si="94"/>
        <v>0</v>
      </c>
      <c r="AE199" s="142">
        <f t="shared" si="95"/>
        <v>0</v>
      </c>
      <c r="AF199" s="145">
        <v>63.8</v>
      </c>
      <c r="AG199" s="107">
        <f t="shared" si="96"/>
        <v>8.2118788512701002</v>
      </c>
      <c r="AH199" s="142">
        <f t="shared" si="97"/>
        <v>72.011878851270097</v>
      </c>
      <c r="AI199" s="145">
        <v>0</v>
      </c>
      <c r="AJ199" s="107">
        <f t="shared" si="98"/>
        <v>0</v>
      </c>
      <c r="AK199" s="142">
        <f t="shared" si="99"/>
        <v>0</v>
      </c>
      <c r="AL199" s="146"/>
      <c r="AM199" s="146"/>
      <c r="AN199" s="107">
        <f t="shared" si="100"/>
        <v>0</v>
      </c>
      <c r="AO199" s="151">
        <f t="shared" si="101"/>
        <v>0</v>
      </c>
      <c r="AP199" s="282">
        <f t="shared" si="102"/>
        <v>117.92508315055213</v>
      </c>
      <c r="AQ199" s="684">
        <v>26.48</v>
      </c>
      <c r="AR199" s="740">
        <v>100.9886493549549</v>
      </c>
      <c r="AS199" s="740">
        <v>16.936433795597218</v>
      </c>
      <c r="AT199" s="740">
        <v>0</v>
      </c>
      <c r="AU199" s="411">
        <v>0</v>
      </c>
      <c r="AV199" s="801"/>
      <c r="AW199" s="256"/>
      <c r="AX199" s="728">
        <f t="shared" si="103"/>
        <v>12.988185675193934</v>
      </c>
      <c r="AY199" s="729">
        <v>8.7266522775690074</v>
      </c>
      <c r="AZ199" s="730"/>
      <c r="BA199" s="731">
        <v>0</v>
      </c>
      <c r="BC199" s="727">
        <v>0</v>
      </c>
      <c r="BD199" s="727">
        <v>12.988185675193934</v>
      </c>
      <c r="BE199" s="727"/>
      <c r="BF199" s="727"/>
      <c r="BG199" s="727">
        <v>0</v>
      </c>
      <c r="BH199" s="727">
        <v>0</v>
      </c>
      <c r="BI199" s="137">
        <f t="shared" si="107"/>
        <v>12.988185675193934</v>
      </c>
      <c r="BJ199" s="126"/>
      <c r="BK199" s="807"/>
      <c r="BL199" s="107"/>
      <c r="BM199" s="687"/>
      <c r="BO199" s="577"/>
      <c r="BS199" s="904"/>
      <c r="BT199" s="789"/>
      <c r="BU199" s="789">
        <v>406.45313966662218</v>
      </c>
      <c r="BV199" s="789">
        <v>0</v>
      </c>
      <c r="BW199" s="789">
        <f t="shared" si="104"/>
        <v>406.45313966662218</v>
      </c>
    </row>
    <row r="200" spans="1:75" ht="15" thickBot="1" x14ac:dyDescent="0.35">
      <c r="A200" s="219" t="s">
        <v>336</v>
      </c>
      <c r="B200" s="237">
        <v>8</v>
      </c>
      <c r="C200" s="40">
        <f>'[7]побудинковий звіт'!E200</f>
        <v>5138.55</v>
      </c>
      <c r="D200" s="215">
        <f t="shared" si="79"/>
        <v>3844.0460175151729</v>
      </c>
      <c r="E200" s="107">
        <f t="shared" si="80"/>
        <v>845.69083009646317</v>
      </c>
      <c r="F200" s="107">
        <f t="shared" si="81"/>
        <v>238.47939781035299</v>
      </c>
      <c r="G200" s="107">
        <f t="shared" si="82"/>
        <v>0</v>
      </c>
      <c r="H200" s="107">
        <f t="shared" si="83"/>
        <v>3211.6031670432826</v>
      </c>
      <c r="I200" s="107">
        <f t="shared" si="84"/>
        <v>1047.6992301940654</v>
      </c>
      <c r="J200" s="687">
        <f t="shared" si="72"/>
        <v>0</v>
      </c>
      <c r="K200" s="142">
        <f t="shared" si="85"/>
        <v>9187.5186426593355</v>
      </c>
      <c r="L200" s="141">
        <f t="shared" si="73"/>
        <v>1825.0926966053344</v>
      </c>
      <c r="M200" s="107">
        <f t="shared" si="74"/>
        <v>401.51850338813188</v>
      </c>
      <c r="N200" s="30">
        <f t="shared" si="86"/>
        <v>84.533112425237817</v>
      </c>
      <c r="O200" s="107">
        <f t="shared" si="75"/>
        <v>9.2509799784907099</v>
      </c>
      <c r="P200" s="107">
        <f t="shared" si="87"/>
        <v>1524.8187607166492</v>
      </c>
      <c r="Q200" s="107">
        <f t="shared" si="88"/>
        <v>494.92840064846655</v>
      </c>
      <c r="R200" s="143">
        <f t="shared" si="89"/>
        <v>4340.1424537623107</v>
      </c>
      <c r="S200" s="141">
        <f t="shared" si="90"/>
        <v>134.64000000000001</v>
      </c>
      <c r="T200" s="107">
        <f t="shared" si="76"/>
        <v>17.32989605854242</v>
      </c>
      <c r="U200" s="142">
        <f t="shared" si="91"/>
        <v>151.96989605854245</v>
      </c>
      <c r="V200" s="107"/>
      <c r="W200" s="107">
        <f t="shared" si="92"/>
        <v>0</v>
      </c>
      <c r="X200" s="142">
        <f t="shared" si="93"/>
        <v>0</v>
      </c>
      <c r="Y200" s="141">
        <v>2872.63</v>
      </c>
      <c r="Z200" s="144">
        <v>0</v>
      </c>
      <c r="AA200" s="107">
        <f t="shared" si="77"/>
        <v>369.74435022764942</v>
      </c>
      <c r="AB200" s="142">
        <f t="shared" si="78"/>
        <v>3242.3743502276493</v>
      </c>
      <c r="AC200" s="141">
        <v>118.075</v>
      </c>
      <c r="AD200" s="107">
        <f t="shared" si="94"/>
        <v>15.197767952409361</v>
      </c>
      <c r="AE200" s="142">
        <f t="shared" si="95"/>
        <v>133.27276795240937</v>
      </c>
      <c r="AF200" s="145">
        <v>1711.6</v>
      </c>
      <c r="AG200" s="107">
        <f t="shared" si="96"/>
        <v>220.30488780303926</v>
      </c>
      <c r="AH200" s="142">
        <f t="shared" si="97"/>
        <v>1931.9048878030392</v>
      </c>
      <c r="AI200" s="145">
        <v>776.6</v>
      </c>
      <c r="AJ200" s="107">
        <f t="shared" si="98"/>
        <v>99.958387396494686</v>
      </c>
      <c r="AK200" s="142">
        <f t="shared" si="99"/>
        <v>876.55838739649471</v>
      </c>
      <c r="AL200" s="146"/>
      <c r="AM200" s="146"/>
      <c r="AN200" s="107">
        <f t="shared" si="100"/>
        <v>0</v>
      </c>
      <c r="AO200" s="151">
        <f t="shared" si="101"/>
        <v>0</v>
      </c>
      <c r="AP200" s="282">
        <f t="shared" si="102"/>
        <v>5233.3170385287367</v>
      </c>
      <c r="AQ200" s="684">
        <v>0</v>
      </c>
      <c r="AR200" s="741">
        <v>3547.6847095473122</v>
      </c>
      <c r="AS200" s="741">
        <v>1634.8980073838138</v>
      </c>
      <c r="AT200" s="741">
        <v>50.734321597610275</v>
      </c>
      <c r="AU200" s="411">
        <v>0</v>
      </c>
      <c r="AV200" s="801"/>
      <c r="AW200" s="256"/>
      <c r="AX200" s="728">
        <f t="shared" si="103"/>
        <v>238.47939781035299</v>
      </c>
      <c r="AY200" s="729">
        <v>84.533112425237817</v>
      </c>
      <c r="AZ200" s="730"/>
      <c r="BA200" s="731">
        <v>0</v>
      </c>
      <c r="BC200" s="727">
        <v>90</v>
      </c>
      <c r="BD200" s="727">
        <v>148.47939781035299</v>
      </c>
      <c r="BE200" s="727"/>
      <c r="BF200" s="727"/>
      <c r="BG200" s="727">
        <v>0</v>
      </c>
      <c r="BH200" s="727">
        <v>8.0546843201570617</v>
      </c>
      <c r="BI200" s="137">
        <f t="shared" si="107"/>
        <v>238.47939781035299</v>
      </c>
      <c r="BJ200" s="126">
        <v>612</v>
      </c>
      <c r="BK200" s="807"/>
      <c r="BL200" s="107"/>
      <c r="BM200" s="687"/>
      <c r="BO200" s="577"/>
      <c r="BS200" s="904"/>
      <c r="BT200" s="789"/>
      <c r="BU200" s="789">
        <v>3442.769164167868</v>
      </c>
      <c r="BV200" s="789">
        <v>0</v>
      </c>
      <c r="BW200" s="789">
        <f t="shared" si="104"/>
        <v>3442.769164167868</v>
      </c>
    </row>
    <row r="201" spans="1:75" ht="15" thickBot="1" x14ac:dyDescent="0.35">
      <c r="A201" s="219" t="s">
        <v>177</v>
      </c>
      <c r="B201" s="237">
        <v>2</v>
      </c>
      <c r="C201" s="40">
        <f>'[7]побудинковий звіт'!E201</f>
        <v>404.5</v>
      </c>
      <c r="D201" s="215">
        <f t="shared" si="79"/>
        <v>142.45967315278222</v>
      </c>
      <c r="E201" s="107">
        <f t="shared" si="80"/>
        <v>31.341154266858794</v>
      </c>
      <c r="F201" s="107">
        <f t="shared" si="81"/>
        <v>12.379746656982165</v>
      </c>
      <c r="G201" s="107">
        <f t="shared" si="82"/>
        <v>0</v>
      </c>
      <c r="H201" s="107">
        <f t="shared" si="83"/>
        <v>119.02145171747293</v>
      </c>
      <c r="I201" s="107">
        <f t="shared" si="84"/>
        <v>39.283417883751255</v>
      </c>
      <c r="J201" s="687">
        <f t="shared" ref="J201:J264" si="108">F201*$J$376*-1</f>
        <v>0</v>
      </c>
      <c r="K201" s="142">
        <f t="shared" si="85"/>
        <v>344.4854436778474</v>
      </c>
      <c r="L201" s="141">
        <f t="shared" ref="L201:L264" si="109">(AS201+AT201+AU201)*$AS$376</f>
        <v>18.293044004886511</v>
      </c>
      <c r="M201" s="107">
        <f t="shared" ref="M201:M264" si="110">L201*$AS$379</f>
        <v>4.0244507388128472</v>
      </c>
      <c r="N201" s="30">
        <f t="shared" si="86"/>
        <v>8.3178472391423988</v>
      </c>
      <c r="O201" s="107">
        <f t="shared" ref="O201:O264" si="111">$O$369/$C$368*C201</f>
        <v>0.7282251610472783</v>
      </c>
      <c r="P201" s="107">
        <f t="shared" si="87"/>
        <v>15.283375327263172</v>
      </c>
      <c r="Q201" s="107">
        <f t="shared" si="88"/>
        <v>6.0040601936562359</v>
      </c>
      <c r="R201" s="143">
        <f t="shared" si="89"/>
        <v>52.651002664808438</v>
      </c>
      <c r="S201" s="141">
        <f t="shared" si="90"/>
        <v>0</v>
      </c>
      <c r="T201" s="107">
        <f t="shared" ref="T201:T264" si="112">S201*$B$5</f>
        <v>0</v>
      </c>
      <c r="U201" s="142">
        <f t="shared" si="91"/>
        <v>0</v>
      </c>
      <c r="V201" s="107"/>
      <c r="W201" s="107">
        <f t="shared" si="92"/>
        <v>0</v>
      </c>
      <c r="X201" s="142">
        <f t="shared" si="93"/>
        <v>0</v>
      </c>
      <c r="Y201" s="141">
        <v>0</v>
      </c>
      <c r="Z201" s="144">
        <v>0</v>
      </c>
      <c r="AA201" s="107">
        <f t="shared" ref="AA201:AA264" si="113">(Y201+Z201)*$B$5</f>
        <v>0</v>
      </c>
      <c r="AB201" s="142">
        <f t="shared" ref="AB201:AB264" si="114">Y201+Z201+AA201</f>
        <v>0</v>
      </c>
      <c r="AC201" s="141">
        <v>0</v>
      </c>
      <c r="AD201" s="107">
        <f t="shared" si="94"/>
        <v>0</v>
      </c>
      <c r="AE201" s="142">
        <f t="shared" si="95"/>
        <v>0</v>
      </c>
      <c r="AF201" s="145">
        <v>26.4</v>
      </c>
      <c r="AG201" s="107">
        <f t="shared" si="96"/>
        <v>3.3980188350083176</v>
      </c>
      <c r="AH201" s="142">
        <f t="shared" si="97"/>
        <v>29.798018835008317</v>
      </c>
      <c r="AI201" s="145">
        <v>0</v>
      </c>
      <c r="AJ201" s="107">
        <f t="shared" si="98"/>
        <v>0</v>
      </c>
      <c r="AK201" s="142">
        <f t="shared" si="99"/>
        <v>0</v>
      </c>
      <c r="AL201" s="146"/>
      <c r="AM201" s="215"/>
      <c r="AN201" s="107">
        <f t="shared" si="100"/>
        <v>0</v>
      </c>
      <c r="AO201" s="151">
        <f t="shared" si="101"/>
        <v>0</v>
      </c>
      <c r="AP201" s="282">
        <f t="shared" si="102"/>
        <v>105.34179695742272</v>
      </c>
      <c r="AQ201" s="684">
        <v>43.03</v>
      </c>
      <c r="AR201" s="740">
        <v>88.44657490789605</v>
      </c>
      <c r="AS201" s="740">
        <v>16.895222049526666</v>
      </c>
      <c r="AT201" s="740">
        <v>0</v>
      </c>
      <c r="AU201" s="411">
        <v>0</v>
      </c>
      <c r="AV201" s="801"/>
      <c r="AW201" s="256"/>
      <c r="AX201" s="728">
        <f t="shared" si="103"/>
        <v>12.379746656982165</v>
      </c>
      <c r="AY201" s="729">
        <v>8.3178472391423988</v>
      </c>
      <c r="AZ201" s="730"/>
      <c r="BA201" s="731">
        <v>0</v>
      </c>
      <c r="BC201" s="727">
        <v>0</v>
      </c>
      <c r="BD201" s="727">
        <v>12.379746656982165</v>
      </c>
      <c r="BE201" s="727"/>
      <c r="BF201" s="727"/>
      <c r="BG201" s="727">
        <v>0</v>
      </c>
      <c r="BH201" s="727">
        <v>0</v>
      </c>
      <c r="BI201" s="137">
        <f t="shared" si="107"/>
        <v>12.379746656982165</v>
      </c>
      <c r="BJ201" s="126"/>
      <c r="BK201" s="807"/>
      <c r="BL201" s="107"/>
      <c r="BM201" s="687"/>
      <c r="BO201" s="577"/>
      <c r="BS201" s="904"/>
      <c r="BT201" s="789"/>
      <c r="BU201" s="789">
        <v>355.97579435264686</v>
      </c>
      <c r="BV201" s="789">
        <v>0</v>
      </c>
      <c r="BW201" s="789">
        <f t="shared" si="104"/>
        <v>355.97579435264686</v>
      </c>
    </row>
    <row r="202" spans="1:75" ht="15" thickBot="1" x14ac:dyDescent="0.35">
      <c r="A202" s="219" t="s">
        <v>376</v>
      </c>
      <c r="B202" s="237">
        <v>9</v>
      </c>
      <c r="C202" s="40">
        <f>'[7]побудинковий звіт'!E202</f>
        <v>7450.81</v>
      </c>
      <c r="D202" s="215">
        <f t="shared" ref="D202:D265" si="115">(AQ202+AR202+AV202)*$AR$376</f>
        <v>1278.7185536918894</v>
      </c>
      <c r="E202" s="107">
        <f t="shared" ref="E202:E265" si="116">D202*$AR$379</f>
        <v>281.31831674337502</v>
      </c>
      <c r="F202" s="107">
        <f t="shared" ref="F202:F265" si="117">AX202*$F$375+BM202+BK202</f>
        <v>219.98459218360654</v>
      </c>
      <c r="G202" s="107">
        <f t="shared" ref="G202:G265" si="118">BL202</f>
        <v>0</v>
      </c>
      <c r="H202" s="107">
        <f t="shared" ref="H202:H265" si="119">D202*$B$4</f>
        <v>1068.3369913059757</v>
      </c>
      <c r="I202" s="107">
        <f t="shared" ref="I202:I265" si="120">(D202+E202+F202+G202+H202)*$B$5</f>
        <v>366.62029073075001</v>
      </c>
      <c r="J202" s="687">
        <f t="shared" si="108"/>
        <v>0</v>
      </c>
      <c r="K202" s="142">
        <f t="shared" ref="K202:K265" si="121">D202+E202+F202+G202+H202+I202-J202</f>
        <v>3214.978744655597</v>
      </c>
      <c r="L202" s="141">
        <f t="shared" si="109"/>
        <v>644.60608221937844</v>
      </c>
      <c r="M202" s="107">
        <f t="shared" si="110"/>
        <v>141.81267060517996</v>
      </c>
      <c r="N202" s="30">
        <f t="shared" ref="N202:N265" si="122">AY202+BA202</f>
        <v>122.55361186658479</v>
      </c>
      <c r="O202" s="107">
        <f t="shared" si="111"/>
        <v>13.413763441737137</v>
      </c>
      <c r="P202" s="107">
        <f t="shared" ref="P202:P265" si="123">L202*$B$4</f>
        <v>538.55206876251896</v>
      </c>
      <c r="Q202" s="107">
        <f t="shared" ref="Q202:Q265" si="124">(L202+M202+N202+O202+P202)*$B$5</f>
        <v>188.04149658460824</v>
      </c>
      <c r="R202" s="143">
        <f t="shared" ref="R202:R265" si="125">SUM(L202:Q202)</f>
        <v>1648.9796934800077</v>
      </c>
      <c r="S202" s="141">
        <f t="shared" ref="S202:S265" si="126">BJ202*2.64/12</f>
        <v>171.24800000000002</v>
      </c>
      <c r="T202" s="107">
        <f t="shared" si="112"/>
        <v>22.041815509753956</v>
      </c>
      <c r="U202" s="142">
        <f t="shared" ref="U202:U265" si="127">S202+T202</f>
        <v>193.28981550975396</v>
      </c>
      <c r="V202" s="107"/>
      <c r="W202" s="107">
        <f t="shared" ref="W202:W265" si="128">V202*$B$5</f>
        <v>0</v>
      </c>
      <c r="X202" s="142">
        <f t="shared" ref="X202:X265" si="129">V202+W202</f>
        <v>0</v>
      </c>
      <c r="Y202" s="141">
        <v>6335.03</v>
      </c>
      <c r="Z202" s="144">
        <v>0</v>
      </c>
      <c r="AA202" s="107">
        <f t="shared" si="113"/>
        <v>815.3996689523766</v>
      </c>
      <c r="AB202" s="142">
        <f t="shared" si="114"/>
        <v>7150.4296689523762</v>
      </c>
      <c r="AC202" s="141">
        <v>0</v>
      </c>
      <c r="AD202" s="107">
        <f t="shared" ref="AD202:AD265" si="130">AC202*$B$5</f>
        <v>0</v>
      </c>
      <c r="AE202" s="142">
        <f t="shared" ref="AE202:AE265" si="131">AC202+AD202</f>
        <v>0</v>
      </c>
      <c r="AF202" s="145">
        <v>1091.2</v>
      </c>
      <c r="AG202" s="107">
        <f t="shared" ref="AG202:AG265" si="132">AF202*$B$5</f>
        <v>140.4514451803438</v>
      </c>
      <c r="AH202" s="142">
        <f t="shared" ref="AH202:AH265" si="133">AF202+AG202</f>
        <v>1231.6514451803439</v>
      </c>
      <c r="AI202" s="145">
        <v>1555.4</v>
      </c>
      <c r="AJ202" s="107">
        <f t="shared" ref="AJ202:AJ265" si="134">AI202*$B$5</f>
        <v>200.19994302924007</v>
      </c>
      <c r="AK202" s="142">
        <f t="shared" ref="AK202:AK265" si="135">AI202+AJ202</f>
        <v>1755.5999430292402</v>
      </c>
      <c r="AL202" s="146"/>
      <c r="AM202" s="146"/>
      <c r="AN202" s="107">
        <f t="shared" ref="AN202:AN265" si="136">AL202*$C$5</f>
        <v>0</v>
      </c>
      <c r="AO202" s="151">
        <f t="shared" ref="AO202:AO265" si="137">AL202+AM202+AN202</f>
        <v>0</v>
      </c>
      <c r="AP202" s="282">
        <f t="shared" ref="AP202:AP265" si="138">AR202+AS202+AT202</f>
        <v>1775.4841764549501</v>
      </c>
      <c r="AQ202" s="684">
        <v>0</v>
      </c>
      <c r="AR202" s="741">
        <v>1180.1342231796693</v>
      </c>
      <c r="AS202" s="741">
        <v>578.22092169001428</v>
      </c>
      <c r="AT202" s="741">
        <v>17.12903158526662</v>
      </c>
      <c r="AU202" s="411">
        <v>0</v>
      </c>
      <c r="AV202" s="801"/>
      <c r="AW202" s="256"/>
      <c r="AX202" s="728">
        <f t="shared" ref="AX202:AX265" si="139">BC202+BD202+BE202+BF202+BG202</f>
        <v>219.98459218360654</v>
      </c>
      <c r="AY202" s="729">
        <v>122.55361186658479</v>
      </c>
      <c r="AZ202" s="730"/>
      <c r="BA202" s="731">
        <v>0</v>
      </c>
      <c r="BC202" s="727">
        <v>0</v>
      </c>
      <c r="BD202" s="727">
        <v>219.98459218360654</v>
      </c>
      <c r="BE202" s="727"/>
      <c r="BF202" s="727"/>
      <c r="BG202" s="727">
        <v>0</v>
      </c>
      <c r="BH202" s="727">
        <v>16.40098642468935</v>
      </c>
      <c r="BI202" s="137">
        <f t="shared" si="107"/>
        <v>219.98459218360654</v>
      </c>
      <c r="BJ202" s="126">
        <v>778.4</v>
      </c>
      <c r="BK202" s="807"/>
      <c r="BL202" s="107"/>
      <c r="BM202" s="687"/>
      <c r="BO202" s="577"/>
      <c r="BS202" s="904"/>
      <c r="BT202" s="789"/>
      <c r="BU202" s="789">
        <v>1099.9418101600054</v>
      </c>
      <c r="BV202" s="789">
        <v>0</v>
      </c>
      <c r="BW202" s="789">
        <f t="shared" ref="BW202:BW265" si="140">BU202+BV202</f>
        <v>1099.9418101600054</v>
      </c>
    </row>
    <row r="203" spans="1:75" ht="15" thickBot="1" x14ac:dyDescent="0.35">
      <c r="A203" s="219" t="s">
        <v>337</v>
      </c>
      <c r="B203" s="237">
        <v>8</v>
      </c>
      <c r="C203" s="40">
        <f>'[7]побудинковий звіт'!E203</f>
        <v>6120.05</v>
      </c>
      <c r="D203" s="215">
        <f t="shared" si="115"/>
        <v>3620.884315228071</v>
      </c>
      <c r="E203" s="107">
        <f t="shared" si="116"/>
        <v>796.5952145931625</v>
      </c>
      <c r="F203" s="107">
        <f t="shared" si="117"/>
        <v>173.71087972398738</v>
      </c>
      <c r="G203" s="107">
        <f t="shared" si="118"/>
        <v>0</v>
      </c>
      <c r="H203" s="107">
        <f t="shared" si="119"/>
        <v>3025.1572122960206</v>
      </c>
      <c r="I203" s="107">
        <f t="shared" si="120"/>
        <v>980.32169215861165</v>
      </c>
      <c r="J203" s="687">
        <f t="shared" si="108"/>
        <v>0</v>
      </c>
      <c r="K203" s="142">
        <f t="shared" si="121"/>
        <v>8596.6693139998533</v>
      </c>
      <c r="L203" s="141">
        <f t="shared" si="109"/>
        <v>2546.0537036741421</v>
      </c>
      <c r="M203" s="107">
        <f t="shared" si="110"/>
        <v>560.12917839543331</v>
      </c>
      <c r="N203" s="30">
        <f t="shared" si="122"/>
        <v>100.63606693359702</v>
      </c>
      <c r="O203" s="107">
        <f t="shared" si="111"/>
        <v>11.017983675815564</v>
      </c>
      <c r="P203" s="107">
        <f t="shared" si="123"/>
        <v>2127.1634368903283</v>
      </c>
      <c r="Q203" s="107">
        <f t="shared" si="124"/>
        <v>687.97014882283929</v>
      </c>
      <c r="R203" s="143">
        <f t="shared" si="125"/>
        <v>6032.970518392156</v>
      </c>
      <c r="S203" s="141">
        <f t="shared" si="126"/>
        <v>136.22400000000002</v>
      </c>
      <c r="T203" s="107">
        <f t="shared" si="112"/>
        <v>17.533777188642922</v>
      </c>
      <c r="U203" s="142">
        <f t="shared" si="127"/>
        <v>153.75777718864293</v>
      </c>
      <c r="V203" s="107"/>
      <c r="W203" s="107">
        <f t="shared" si="128"/>
        <v>0</v>
      </c>
      <c r="X203" s="142">
        <f t="shared" si="129"/>
        <v>0</v>
      </c>
      <c r="Y203" s="141">
        <v>4015.82</v>
      </c>
      <c r="Z203" s="144">
        <v>0</v>
      </c>
      <c r="AA203" s="107">
        <f t="shared" si="113"/>
        <v>516.88757568193569</v>
      </c>
      <c r="AB203" s="142">
        <f t="shared" si="114"/>
        <v>4532.7075756819359</v>
      </c>
      <c r="AC203" s="141">
        <v>0</v>
      </c>
      <c r="AD203" s="107">
        <f t="shared" si="130"/>
        <v>0</v>
      </c>
      <c r="AE203" s="142">
        <f t="shared" si="131"/>
        <v>0</v>
      </c>
      <c r="AF203" s="145">
        <v>1775.4</v>
      </c>
      <c r="AG203" s="107">
        <f t="shared" si="132"/>
        <v>228.51676665430938</v>
      </c>
      <c r="AH203" s="142">
        <f t="shared" si="133"/>
        <v>2003.9167666543094</v>
      </c>
      <c r="AI203" s="145">
        <v>882.2</v>
      </c>
      <c r="AJ203" s="107">
        <f t="shared" si="134"/>
        <v>113.55046273652796</v>
      </c>
      <c r="AK203" s="142">
        <f t="shared" si="135"/>
        <v>995.75046273652799</v>
      </c>
      <c r="AL203" s="146"/>
      <c r="AM203" s="146"/>
      <c r="AN203" s="107">
        <f t="shared" si="136"/>
        <v>0</v>
      </c>
      <c r="AO203" s="151">
        <f t="shared" si="137"/>
        <v>0</v>
      </c>
      <c r="AP203" s="282">
        <f t="shared" si="138"/>
        <v>5693.2306412657899</v>
      </c>
      <c r="AQ203" s="684">
        <v>0</v>
      </c>
      <c r="AR203" s="741">
        <v>3341.7279245990749</v>
      </c>
      <c r="AS203" s="741">
        <v>2292.9990647724489</v>
      </c>
      <c r="AT203" s="741">
        <v>58.503651894266326</v>
      </c>
      <c r="AU203" s="411">
        <v>0</v>
      </c>
      <c r="AV203" s="801"/>
      <c r="AW203" s="256"/>
      <c r="AX203" s="728">
        <f t="shared" si="139"/>
        <v>173.71087972398738</v>
      </c>
      <c r="AY203" s="729">
        <v>100.63606693359702</v>
      </c>
      <c r="AZ203" s="730"/>
      <c r="BA203" s="731">
        <v>0</v>
      </c>
      <c r="BC203" s="727">
        <v>0</v>
      </c>
      <c r="BD203" s="727">
        <v>173.71087972398738</v>
      </c>
      <c r="BE203" s="727"/>
      <c r="BF203" s="727"/>
      <c r="BG203" s="727">
        <v>0</v>
      </c>
      <c r="BH203" s="727">
        <v>6.536260684272273</v>
      </c>
      <c r="BI203" s="137">
        <f t="shared" si="107"/>
        <v>173.71087972398738</v>
      </c>
      <c r="BJ203" s="126">
        <v>619.20000000000005</v>
      </c>
      <c r="BK203" s="807"/>
      <c r="BL203" s="107"/>
      <c r="BM203" s="687"/>
      <c r="BO203" s="577"/>
      <c r="BS203" s="904"/>
      <c r="BT203" s="789"/>
      <c r="BU203" s="789">
        <v>3235.8750466962538</v>
      </c>
      <c r="BV203" s="789">
        <v>0</v>
      </c>
      <c r="BW203" s="789">
        <f t="shared" si="140"/>
        <v>3235.8750466962538</v>
      </c>
    </row>
    <row r="204" spans="1:75" ht="15" thickBot="1" x14ac:dyDescent="0.35">
      <c r="A204" s="219" t="s">
        <v>377</v>
      </c>
      <c r="B204" s="237">
        <v>9</v>
      </c>
      <c r="C204" s="40">
        <f>'[7]побудинковий звіт'!E204</f>
        <v>2163.8200000000002</v>
      </c>
      <c r="D204" s="215">
        <f t="shared" si="115"/>
        <v>400.33749258012745</v>
      </c>
      <c r="E204" s="107">
        <f t="shared" si="116"/>
        <v>88.07432191919338</v>
      </c>
      <c r="F204" s="107">
        <f t="shared" si="117"/>
        <v>153.65194466648632</v>
      </c>
      <c r="G204" s="107">
        <f t="shared" si="118"/>
        <v>0</v>
      </c>
      <c r="H204" s="107">
        <f t="shared" si="119"/>
        <v>334.47184378079027</v>
      </c>
      <c r="I204" s="107">
        <f t="shared" si="120"/>
        <v>125.69266560108872</v>
      </c>
      <c r="J204" s="687">
        <f t="shared" si="108"/>
        <v>0</v>
      </c>
      <c r="K204" s="142">
        <f t="shared" si="121"/>
        <v>1102.2282685476862</v>
      </c>
      <c r="L204" s="141">
        <f t="shared" si="109"/>
        <v>202.19277144162891</v>
      </c>
      <c r="M204" s="107">
        <f t="shared" si="110"/>
        <v>44.482200348587035</v>
      </c>
      <c r="N204" s="30">
        <f t="shared" si="122"/>
        <v>412.40538509814411</v>
      </c>
      <c r="O204" s="107">
        <f t="shared" si="111"/>
        <v>3.8955455327004249</v>
      </c>
      <c r="P204" s="107">
        <f t="shared" si="123"/>
        <v>168.92694368288241</v>
      </c>
      <c r="Q204" s="107">
        <f t="shared" si="124"/>
        <v>107.07657348326606</v>
      </c>
      <c r="R204" s="143">
        <f t="shared" si="125"/>
        <v>938.97941958720901</v>
      </c>
      <c r="S204" s="141">
        <f t="shared" si="126"/>
        <v>58.410000000000004</v>
      </c>
      <c r="T204" s="107">
        <f t="shared" si="112"/>
        <v>7.5181166724559034</v>
      </c>
      <c r="U204" s="142">
        <f t="shared" si="127"/>
        <v>65.9281166724559</v>
      </c>
      <c r="V204" s="107"/>
      <c r="W204" s="107">
        <f t="shared" si="128"/>
        <v>0</v>
      </c>
      <c r="X204" s="142">
        <f t="shared" si="129"/>
        <v>0</v>
      </c>
      <c r="Y204" s="141">
        <v>1289.75</v>
      </c>
      <c r="Z204" s="144">
        <v>0</v>
      </c>
      <c r="AA204" s="107">
        <f t="shared" si="113"/>
        <v>166.00737850196884</v>
      </c>
      <c r="AB204" s="142">
        <f t="shared" si="114"/>
        <v>1455.7573785019688</v>
      </c>
      <c r="AC204" s="141">
        <v>118.075</v>
      </c>
      <c r="AD204" s="107">
        <f t="shared" si="130"/>
        <v>15.197767952409361</v>
      </c>
      <c r="AE204" s="142">
        <f t="shared" si="131"/>
        <v>133.27276795240937</v>
      </c>
      <c r="AF204" s="145">
        <v>748</v>
      </c>
      <c r="AG204" s="107">
        <f t="shared" si="132"/>
        <v>96.277200325235668</v>
      </c>
      <c r="AH204" s="142">
        <f t="shared" si="133"/>
        <v>844.27720032523564</v>
      </c>
      <c r="AI204" s="145">
        <v>391.6</v>
      </c>
      <c r="AJ204" s="107">
        <f t="shared" si="134"/>
        <v>50.403946052623382</v>
      </c>
      <c r="AK204" s="142">
        <f t="shared" si="135"/>
        <v>442.00394605262341</v>
      </c>
      <c r="AL204" s="146"/>
      <c r="AM204" s="146"/>
      <c r="AN204" s="107">
        <f t="shared" si="136"/>
        <v>0</v>
      </c>
      <c r="AO204" s="151">
        <f t="shared" si="137"/>
        <v>0</v>
      </c>
      <c r="AP204" s="282">
        <f t="shared" si="138"/>
        <v>556.21566059009342</v>
      </c>
      <c r="AQ204" s="684">
        <v>0</v>
      </c>
      <c r="AR204" s="741">
        <v>369.47299658059381</v>
      </c>
      <c r="AS204" s="741">
        <v>180.97117817304249</v>
      </c>
      <c r="AT204" s="741">
        <v>5.7714858364571944</v>
      </c>
      <c r="AU204" s="411">
        <v>0</v>
      </c>
      <c r="AV204" s="801"/>
      <c r="AW204" s="256"/>
      <c r="AX204" s="728">
        <f t="shared" si="139"/>
        <v>153.65194466648632</v>
      </c>
      <c r="AY204" s="729">
        <v>185.6053850981441</v>
      </c>
      <c r="AZ204" s="730"/>
      <c r="BA204" s="731">
        <v>226.8</v>
      </c>
      <c r="BC204" s="727">
        <v>90</v>
      </c>
      <c r="BD204" s="727">
        <v>63.651944666486308</v>
      </c>
      <c r="BE204" s="727"/>
      <c r="BF204" s="727"/>
      <c r="BG204" s="727">
        <v>0</v>
      </c>
      <c r="BH204" s="727">
        <v>4.5049919793138127</v>
      </c>
      <c r="BI204" s="137">
        <f t="shared" si="107"/>
        <v>153.65194466648632</v>
      </c>
      <c r="BJ204" s="126">
        <v>265.5</v>
      </c>
      <c r="BK204" s="807"/>
      <c r="BL204" s="107"/>
      <c r="BM204" s="687"/>
      <c r="BO204" s="577"/>
      <c r="BS204" s="904"/>
      <c r="BT204" s="789"/>
      <c r="BU204" s="789">
        <v>344.37406197725272</v>
      </c>
      <c r="BV204" s="789">
        <v>0</v>
      </c>
      <c r="BW204" s="789">
        <f t="shared" si="140"/>
        <v>344.37406197725272</v>
      </c>
    </row>
    <row r="205" spans="1:75" ht="15" thickBot="1" x14ac:dyDescent="0.35">
      <c r="A205" s="219" t="s">
        <v>378</v>
      </c>
      <c r="B205" s="237">
        <v>9</v>
      </c>
      <c r="C205" s="40">
        <f>'[7]побудинковий звіт'!E205</f>
        <v>4314</v>
      </c>
      <c r="D205" s="215">
        <f t="shared" si="115"/>
        <v>3213.2227134915352</v>
      </c>
      <c r="E205" s="107">
        <f t="shared" si="116"/>
        <v>706.90958731394539</v>
      </c>
      <c r="F205" s="107">
        <f t="shared" si="117"/>
        <v>124.07018800100917</v>
      </c>
      <c r="G205" s="107">
        <f t="shared" si="118"/>
        <v>0</v>
      </c>
      <c r="H205" s="107">
        <f t="shared" si="119"/>
        <v>2684.5662606649821</v>
      </c>
      <c r="I205" s="107">
        <f t="shared" si="120"/>
        <v>866.0788995120995</v>
      </c>
      <c r="J205" s="687">
        <f t="shared" si="108"/>
        <v>0</v>
      </c>
      <c r="K205" s="142">
        <f t="shared" si="121"/>
        <v>7594.8476489835712</v>
      </c>
      <c r="L205" s="141">
        <f t="shared" si="109"/>
        <v>1676.7873483496842</v>
      </c>
      <c r="M205" s="107">
        <f t="shared" si="110"/>
        <v>368.89148034057808</v>
      </c>
      <c r="N205" s="30">
        <f t="shared" si="122"/>
        <v>70.934879266483961</v>
      </c>
      <c r="O205" s="107">
        <f t="shared" si="111"/>
        <v>7.7665348448898852</v>
      </c>
      <c r="P205" s="107">
        <f t="shared" si="123"/>
        <v>1400.9133953861929</v>
      </c>
      <c r="Q205" s="107">
        <f t="shared" si="124"/>
        <v>453.75053717792576</v>
      </c>
      <c r="R205" s="143">
        <f t="shared" si="125"/>
        <v>3979.0441753657547</v>
      </c>
      <c r="S205" s="141">
        <f t="shared" si="126"/>
        <v>108.89999999999999</v>
      </c>
      <c r="T205" s="107">
        <f t="shared" si="112"/>
        <v>14.01682769440931</v>
      </c>
      <c r="U205" s="142">
        <f t="shared" si="127"/>
        <v>122.91682769440931</v>
      </c>
      <c r="V205" s="107"/>
      <c r="W205" s="107">
        <f t="shared" si="128"/>
        <v>0</v>
      </c>
      <c r="X205" s="142">
        <f t="shared" si="129"/>
        <v>0</v>
      </c>
      <c r="Y205" s="141">
        <v>2755.38</v>
      </c>
      <c r="Z205" s="144">
        <v>0</v>
      </c>
      <c r="AA205" s="107">
        <f t="shared" si="113"/>
        <v>354.65277036383407</v>
      </c>
      <c r="AB205" s="142">
        <f t="shared" si="114"/>
        <v>3110.0327703638341</v>
      </c>
      <c r="AC205" s="141">
        <v>236.15</v>
      </c>
      <c r="AD205" s="107">
        <f t="shared" si="130"/>
        <v>30.395535904818722</v>
      </c>
      <c r="AE205" s="142">
        <f t="shared" si="131"/>
        <v>266.54553590481873</v>
      </c>
      <c r="AF205" s="145">
        <v>1491.6</v>
      </c>
      <c r="AG205" s="107">
        <f t="shared" si="132"/>
        <v>191.98806417796993</v>
      </c>
      <c r="AH205" s="142">
        <f t="shared" si="133"/>
        <v>1683.58806417797</v>
      </c>
      <c r="AI205" s="145">
        <v>781</v>
      </c>
      <c r="AJ205" s="107">
        <f t="shared" si="134"/>
        <v>100.52472386899606</v>
      </c>
      <c r="AK205" s="142">
        <f t="shared" si="135"/>
        <v>881.52472386899603</v>
      </c>
      <c r="AL205" s="146"/>
      <c r="AM205" s="146"/>
      <c r="AN205" s="107">
        <f t="shared" si="136"/>
        <v>0</v>
      </c>
      <c r="AO205" s="151">
        <f t="shared" si="137"/>
        <v>0</v>
      </c>
      <c r="AP205" s="282">
        <f t="shared" si="138"/>
        <v>4514.1548812834271</v>
      </c>
      <c r="AQ205" s="684">
        <v>0</v>
      </c>
      <c r="AR205" s="741">
        <v>2965.4954797842893</v>
      </c>
      <c r="AS205" s="741">
        <v>1502.5558225634541</v>
      </c>
      <c r="AT205" s="741">
        <v>46.103578935683913</v>
      </c>
      <c r="AU205" s="411">
        <v>0</v>
      </c>
      <c r="AV205" s="801"/>
      <c r="AW205" s="256"/>
      <c r="AX205" s="728">
        <f t="shared" si="139"/>
        <v>124.07018800100917</v>
      </c>
      <c r="AY205" s="729">
        <v>70.934879266483961</v>
      </c>
      <c r="AZ205" s="730"/>
      <c r="BA205" s="731">
        <v>0</v>
      </c>
      <c r="BC205" s="727">
        <v>0</v>
      </c>
      <c r="BD205" s="727">
        <v>124.07018800100917</v>
      </c>
      <c r="BE205" s="727"/>
      <c r="BF205" s="727"/>
      <c r="BG205" s="727">
        <v>0</v>
      </c>
      <c r="BH205" s="727">
        <v>6.2345871142289369</v>
      </c>
      <c r="BI205" s="137">
        <f t="shared" si="107"/>
        <v>124.07018800100917</v>
      </c>
      <c r="BJ205" s="126">
        <v>495</v>
      </c>
      <c r="BK205" s="807"/>
      <c r="BL205" s="107"/>
      <c r="BM205" s="687"/>
      <c r="BO205" s="577"/>
      <c r="BS205" s="904"/>
      <c r="BT205" s="789"/>
      <c r="BU205" s="789">
        <v>2484.8376106768178</v>
      </c>
      <c r="BV205" s="789">
        <v>0</v>
      </c>
      <c r="BW205" s="789">
        <f t="shared" si="140"/>
        <v>2484.8376106768178</v>
      </c>
    </row>
    <row r="206" spans="1:75" ht="15" thickBot="1" x14ac:dyDescent="0.35">
      <c r="A206" s="219" t="s">
        <v>379</v>
      </c>
      <c r="B206" s="237">
        <v>9</v>
      </c>
      <c r="C206" s="40">
        <f>'[7]побудинковий звіт'!E206</f>
        <v>2140.7399999999998</v>
      </c>
      <c r="D206" s="215">
        <f t="shared" si="115"/>
        <v>1780.9039766487469</v>
      </c>
      <c r="E206" s="107">
        <f t="shared" si="116"/>
        <v>391.799202057348</v>
      </c>
      <c r="F206" s="107">
        <f t="shared" si="117"/>
        <v>66.070782771613025</v>
      </c>
      <c r="G206" s="107">
        <f t="shared" si="118"/>
        <v>0</v>
      </c>
      <c r="H206" s="107">
        <f t="shared" si="119"/>
        <v>1487.9002034690175</v>
      </c>
      <c r="I206" s="107">
        <f t="shared" si="120"/>
        <v>479.67079562226769</v>
      </c>
      <c r="J206" s="687">
        <f t="shared" si="108"/>
        <v>0</v>
      </c>
      <c r="K206" s="142">
        <f t="shared" si="121"/>
        <v>4206.344960568993</v>
      </c>
      <c r="L206" s="141">
        <f t="shared" si="109"/>
        <v>1169.413395380257</v>
      </c>
      <c r="M206" s="107">
        <f t="shared" si="110"/>
        <v>257.26973606790455</v>
      </c>
      <c r="N206" s="30">
        <f t="shared" si="122"/>
        <v>35.209141271667214</v>
      </c>
      <c r="O206" s="107">
        <f t="shared" si="111"/>
        <v>3.8539943912493211</v>
      </c>
      <c r="P206" s="107">
        <f t="shared" si="123"/>
        <v>977.01529770285788</v>
      </c>
      <c r="Q206" s="107">
        <f t="shared" si="124"/>
        <v>314.41476540424793</v>
      </c>
      <c r="R206" s="143">
        <f t="shared" si="125"/>
        <v>2757.1763302181839</v>
      </c>
      <c r="S206" s="141">
        <f t="shared" si="126"/>
        <v>53.548000000000002</v>
      </c>
      <c r="T206" s="107">
        <f t="shared" si="112"/>
        <v>6.8923148703418713</v>
      </c>
      <c r="U206" s="142">
        <f t="shared" si="127"/>
        <v>60.440314870341872</v>
      </c>
      <c r="V206" s="107"/>
      <c r="W206" s="107">
        <f t="shared" si="128"/>
        <v>0</v>
      </c>
      <c r="X206" s="142">
        <f t="shared" si="129"/>
        <v>0</v>
      </c>
      <c r="Y206" s="141">
        <v>1465.63</v>
      </c>
      <c r="Z206" s="144">
        <v>0</v>
      </c>
      <c r="AA206" s="107">
        <f t="shared" si="113"/>
        <v>188.64539186186519</v>
      </c>
      <c r="AB206" s="142">
        <f t="shared" si="114"/>
        <v>1654.2753918618653</v>
      </c>
      <c r="AC206" s="141">
        <v>118.075</v>
      </c>
      <c r="AD206" s="107">
        <f t="shared" si="130"/>
        <v>15.197767952409361</v>
      </c>
      <c r="AE206" s="142">
        <f t="shared" si="131"/>
        <v>133.27276795240937</v>
      </c>
      <c r="AF206" s="145">
        <v>741.4</v>
      </c>
      <c r="AG206" s="107">
        <f t="shared" si="132"/>
        <v>95.427695616483589</v>
      </c>
      <c r="AH206" s="142">
        <f t="shared" si="133"/>
        <v>836.82769561648354</v>
      </c>
      <c r="AI206" s="145">
        <v>389.4</v>
      </c>
      <c r="AJ206" s="107">
        <f t="shared" si="134"/>
        <v>50.12077781637268</v>
      </c>
      <c r="AK206" s="142">
        <f t="shared" si="135"/>
        <v>439.52077781637263</v>
      </c>
      <c r="AL206" s="146"/>
      <c r="AM206" s="146"/>
      <c r="AN206" s="107">
        <f t="shared" si="136"/>
        <v>0</v>
      </c>
      <c r="AO206" s="151">
        <f t="shared" si="137"/>
        <v>0</v>
      </c>
      <c r="AP206" s="282">
        <f t="shared" si="138"/>
        <v>2418.1427488033701</v>
      </c>
      <c r="AQ206" s="684">
        <v>0</v>
      </c>
      <c r="AR206" s="741">
        <v>1643.603062591023</v>
      </c>
      <c r="AS206" s="741">
        <v>751.69512108798153</v>
      </c>
      <c r="AT206" s="741">
        <v>22.844565124365428</v>
      </c>
      <c r="AU206" s="411">
        <v>305.51560569875647</v>
      </c>
      <c r="AV206" s="801"/>
      <c r="AW206" s="256"/>
      <c r="AX206" s="728">
        <f t="shared" si="139"/>
        <v>66.070782771613025</v>
      </c>
      <c r="AY206" s="729">
        <v>35.209141271667214</v>
      </c>
      <c r="AZ206" s="730"/>
      <c r="BA206" s="731">
        <v>0</v>
      </c>
      <c r="BC206" s="727">
        <v>0</v>
      </c>
      <c r="BD206" s="727">
        <v>66.070782771613025</v>
      </c>
      <c r="BE206" s="727"/>
      <c r="BF206" s="727"/>
      <c r="BG206" s="727">
        <v>0</v>
      </c>
      <c r="BH206" s="727">
        <v>7.5820623937558365</v>
      </c>
      <c r="BI206" s="137">
        <f t="shared" si="107"/>
        <v>66.070782771613025</v>
      </c>
      <c r="BJ206" s="126">
        <v>243.4</v>
      </c>
      <c r="BK206" s="807"/>
      <c r="BL206" s="107"/>
      <c r="BM206" s="687"/>
      <c r="BO206" s="577"/>
      <c r="BS206" s="904"/>
      <c r="BT206" s="789"/>
      <c r="BU206" s="789">
        <v>1377.2079107945228</v>
      </c>
      <c r="BV206" s="789">
        <v>0</v>
      </c>
      <c r="BW206" s="789">
        <f t="shared" si="140"/>
        <v>1377.2079107945228</v>
      </c>
    </row>
    <row r="207" spans="1:75" ht="15" thickBot="1" x14ac:dyDescent="0.35">
      <c r="A207" s="219" t="s">
        <v>178</v>
      </c>
      <c r="B207" s="237">
        <v>2</v>
      </c>
      <c r="C207" s="40">
        <f>'[7]побудинковий звіт'!E207</f>
        <v>657.8</v>
      </c>
      <c r="D207" s="215">
        <f t="shared" si="115"/>
        <v>122.29755436772574</v>
      </c>
      <c r="E207" s="107">
        <f t="shared" si="116"/>
        <v>26.905484429883277</v>
      </c>
      <c r="F207" s="107">
        <f t="shared" si="117"/>
        <v>21.692838362876874</v>
      </c>
      <c r="G207" s="107">
        <f t="shared" si="118"/>
        <v>0</v>
      </c>
      <c r="H207" s="107">
        <f t="shared" si="119"/>
        <v>102.17651171172164</v>
      </c>
      <c r="I207" s="107">
        <f t="shared" si="120"/>
        <v>35.147921238957458</v>
      </c>
      <c r="J207" s="687">
        <f t="shared" si="108"/>
        <v>0</v>
      </c>
      <c r="K207" s="142">
        <f t="shared" si="121"/>
        <v>308.22031011116496</v>
      </c>
      <c r="L207" s="141">
        <f t="shared" si="109"/>
        <v>62.861168290533755</v>
      </c>
      <c r="M207" s="107">
        <f t="shared" si="110"/>
        <v>13.82939193181298</v>
      </c>
      <c r="N207" s="30">
        <f t="shared" si="122"/>
        <v>14.575234912747669</v>
      </c>
      <c r="O207" s="107">
        <f t="shared" si="111"/>
        <v>1.1842435375448692</v>
      </c>
      <c r="P207" s="107">
        <f t="shared" si="123"/>
        <v>52.518915290306381</v>
      </c>
      <c r="Q207" s="107">
        <f t="shared" si="124"/>
        <v>18.659365002179658</v>
      </c>
      <c r="R207" s="143">
        <f t="shared" si="125"/>
        <v>163.62831896512532</v>
      </c>
      <c r="S207" s="141">
        <f t="shared" si="126"/>
        <v>44.88</v>
      </c>
      <c r="T207" s="107">
        <f t="shared" si="112"/>
        <v>5.7766320195141407</v>
      </c>
      <c r="U207" s="142">
        <f t="shared" si="127"/>
        <v>50.656632019514142</v>
      </c>
      <c r="V207" s="107"/>
      <c r="W207" s="107">
        <f t="shared" si="128"/>
        <v>0</v>
      </c>
      <c r="X207" s="142">
        <f t="shared" si="129"/>
        <v>0</v>
      </c>
      <c r="Y207" s="141">
        <v>0</v>
      </c>
      <c r="Z207" s="144">
        <v>0</v>
      </c>
      <c r="AA207" s="107">
        <f t="shared" si="113"/>
        <v>0</v>
      </c>
      <c r="AB207" s="142">
        <f t="shared" si="114"/>
        <v>0</v>
      </c>
      <c r="AC207" s="141">
        <v>0</v>
      </c>
      <c r="AD207" s="107">
        <f t="shared" si="130"/>
        <v>0</v>
      </c>
      <c r="AE207" s="142">
        <f t="shared" si="131"/>
        <v>0</v>
      </c>
      <c r="AF207" s="145">
        <v>275</v>
      </c>
      <c r="AG207" s="107">
        <f t="shared" si="132"/>
        <v>35.396029531336644</v>
      </c>
      <c r="AH207" s="142">
        <f t="shared" si="133"/>
        <v>310.39602953133664</v>
      </c>
      <c r="AI207" s="145">
        <v>0</v>
      </c>
      <c r="AJ207" s="107">
        <f t="shared" si="134"/>
        <v>0</v>
      </c>
      <c r="AK207" s="142">
        <f t="shared" si="135"/>
        <v>0</v>
      </c>
      <c r="AL207" s="146"/>
      <c r="AM207" s="146"/>
      <c r="AN207" s="107">
        <f t="shared" si="136"/>
        <v>0</v>
      </c>
      <c r="AO207" s="151">
        <f t="shared" si="137"/>
        <v>0</v>
      </c>
      <c r="AP207" s="282">
        <f t="shared" si="138"/>
        <v>144.44665170756409</v>
      </c>
      <c r="AQ207" s="684">
        <v>26.48</v>
      </c>
      <c r="AR207" s="740">
        <v>86.388878694087893</v>
      </c>
      <c r="AS207" s="740">
        <v>56.300093900517936</v>
      </c>
      <c r="AT207" s="740">
        <v>1.7576791129582483</v>
      </c>
      <c r="AU207" s="411">
        <v>0</v>
      </c>
      <c r="AV207" s="801"/>
      <c r="AW207" s="256"/>
      <c r="AX207" s="728">
        <f t="shared" si="139"/>
        <v>21.692838362876874</v>
      </c>
      <c r="AY207" s="729">
        <v>14.575234912747669</v>
      </c>
      <c r="AZ207" s="730"/>
      <c r="BA207" s="731">
        <v>0</v>
      </c>
      <c r="BC207" s="727">
        <v>0</v>
      </c>
      <c r="BD207" s="727">
        <v>21.692838362876874</v>
      </c>
      <c r="BE207" s="727"/>
      <c r="BF207" s="727"/>
      <c r="BG207" s="727">
        <v>0</v>
      </c>
      <c r="BH207" s="727">
        <v>0</v>
      </c>
      <c r="BI207" s="137">
        <f t="shared" si="107"/>
        <v>21.692838362876874</v>
      </c>
      <c r="BJ207" s="126">
        <v>204</v>
      </c>
      <c r="BK207" s="807"/>
      <c r="BL207" s="107"/>
      <c r="BM207" s="687"/>
      <c r="BO207" s="577"/>
      <c r="BS207" s="904"/>
      <c r="BT207" s="789"/>
      <c r="BU207" s="789">
        <v>347.69313397605038</v>
      </c>
      <c r="BV207" s="789">
        <v>0</v>
      </c>
      <c r="BW207" s="789">
        <f t="shared" si="140"/>
        <v>347.69313397605038</v>
      </c>
    </row>
    <row r="208" spans="1:75" ht="15" thickBot="1" x14ac:dyDescent="0.35">
      <c r="A208" s="219" t="s">
        <v>380</v>
      </c>
      <c r="B208" s="237">
        <v>9</v>
      </c>
      <c r="C208" s="40">
        <f>'[7]побудинковий звіт'!E208</f>
        <v>2135.1</v>
      </c>
      <c r="D208" s="215">
        <f t="shared" si="115"/>
        <v>1812.5469085228629</v>
      </c>
      <c r="E208" s="107">
        <f t="shared" si="116"/>
        <v>398.76065288321632</v>
      </c>
      <c r="F208" s="107">
        <f t="shared" si="117"/>
        <v>62.663581725150742</v>
      </c>
      <c r="G208" s="107">
        <f t="shared" si="118"/>
        <v>0</v>
      </c>
      <c r="H208" s="107">
        <f t="shared" si="119"/>
        <v>1514.3370722677776</v>
      </c>
      <c r="I208" s="107">
        <f t="shared" si="120"/>
        <v>487.6038889675217</v>
      </c>
      <c r="J208" s="687">
        <f t="shared" si="108"/>
        <v>0</v>
      </c>
      <c r="K208" s="142">
        <f t="shared" si="121"/>
        <v>4275.9121043665291</v>
      </c>
      <c r="L208" s="141">
        <f t="shared" si="109"/>
        <v>1149.4765270214514</v>
      </c>
      <c r="M208" s="107">
        <f t="shared" si="110"/>
        <v>252.88364567339298</v>
      </c>
      <c r="N208" s="30">
        <f t="shared" si="122"/>
        <v>35.119369848739254</v>
      </c>
      <c r="O208" s="107">
        <f t="shared" si="111"/>
        <v>3.843840646111357</v>
      </c>
      <c r="P208" s="107">
        <f t="shared" si="123"/>
        <v>960.35854872786661</v>
      </c>
      <c r="Q208" s="107">
        <f t="shared" si="124"/>
        <v>309.12728940738782</v>
      </c>
      <c r="R208" s="143">
        <f t="shared" si="125"/>
        <v>2710.8092213249492</v>
      </c>
      <c r="S208" s="141">
        <f t="shared" si="126"/>
        <v>53.042000000000002</v>
      </c>
      <c r="T208" s="107">
        <f t="shared" si="112"/>
        <v>6.8271861760042114</v>
      </c>
      <c r="U208" s="142">
        <f t="shared" si="127"/>
        <v>59.869186176004213</v>
      </c>
      <c r="V208" s="107"/>
      <c r="W208" s="107">
        <f t="shared" si="128"/>
        <v>0</v>
      </c>
      <c r="X208" s="142">
        <f t="shared" si="129"/>
        <v>0</v>
      </c>
      <c r="Y208" s="141">
        <v>1289.75</v>
      </c>
      <c r="Z208" s="144">
        <v>0</v>
      </c>
      <c r="AA208" s="107">
        <f t="shared" si="113"/>
        <v>166.00737850196884</v>
      </c>
      <c r="AB208" s="142">
        <f t="shared" si="114"/>
        <v>1455.7573785019688</v>
      </c>
      <c r="AC208" s="141">
        <v>118.075</v>
      </c>
      <c r="AD208" s="107">
        <f t="shared" si="130"/>
        <v>15.197767952409361</v>
      </c>
      <c r="AE208" s="142">
        <f t="shared" si="131"/>
        <v>133.27276795240937</v>
      </c>
      <c r="AF208" s="145">
        <v>374</v>
      </c>
      <c r="AG208" s="107">
        <f t="shared" si="132"/>
        <v>48.138600162617834</v>
      </c>
      <c r="AH208" s="142">
        <f t="shared" si="133"/>
        <v>422.13860016261782</v>
      </c>
      <c r="AI208" s="145">
        <v>354.2</v>
      </c>
      <c r="AJ208" s="107">
        <f t="shared" si="134"/>
        <v>45.590086036361591</v>
      </c>
      <c r="AK208" s="142">
        <f t="shared" si="135"/>
        <v>399.79008603636157</v>
      </c>
      <c r="AL208" s="146"/>
      <c r="AM208" s="146"/>
      <c r="AN208" s="107">
        <f t="shared" si="136"/>
        <v>0</v>
      </c>
      <c r="AO208" s="151">
        <f t="shared" si="137"/>
        <v>0</v>
      </c>
      <c r="AP208" s="282">
        <f t="shared" si="138"/>
        <v>2425.8775378346299</v>
      </c>
      <c r="AQ208" s="684">
        <v>0</v>
      </c>
      <c r="AR208" s="741">
        <v>1672.8064449292015</v>
      </c>
      <c r="AS208" s="741">
        <v>730.89383753028244</v>
      </c>
      <c r="AT208" s="741">
        <v>22.177255375146224</v>
      </c>
      <c r="AU208" s="411">
        <v>308.570761755744</v>
      </c>
      <c r="AV208" s="801"/>
      <c r="AW208" s="256"/>
      <c r="AX208" s="728">
        <f t="shared" si="139"/>
        <v>62.663581725150742</v>
      </c>
      <c r="AY208" s="729">
        <v>35.119369848739254</v>
      </c>
      <c r="AZ208" s="730"/>
      <c r="BA208" s="731">
        <v>0</v>
      </c>
      <c r="BC208" s="727">
        <v>0</v>
      </c>
      <c r="BD208" s="727">
        <v>62.663581725150742</v>
      </c>
      <c r="BE208" s="727"/>
      <c r="BF208" s="727"/>
      <c r="BG208" s="727">
        <v>0</v>
      </c>
      <c r="BH208" s="727">
        <v>4.3239878372878113</v>
      </c>
      <c r="BI208" s="137">
        <f t="shared" si="107"/>
        <v>62.663581725150742</v>
      </c>
      <c r="BJ208" s="126">
        <v>241.1</v>
      </c>
      <c r="BK208" s="807"/>
      <c r="BL208" s="107"/>
      <c r="BM208" s="687"/>
      <c r="BO208" s="577"/>
      <c r="BS208" s="904"/>
      <c r="BT208" s="789"/>
      <c r="BU208" s="789">
        <v>1623.9552275154795</v>
      </c>
      <c r="BV208" s="789">
        <v>0</v>
      </c>
      <c r="BW208" s="789">
        <f t="shared" si="140"/>
        <v>1623.9552275154795</v>
      </c>
    </row>
    <row r="209" spans="1:75" ht="15" thickBot="1" x14ac:dyDescent="0.35">
      <c r="A209" s="219" t="s">
        <v>381</v>
      </c>
      <c r="B209" s="237">
        <v>9</v>
      </c>
      <c r="C209" s="40">
        <f>'[7]побудинковий звіт'!E209</f>
        <v>4349.8999999999996</v>
      </c>
      <c r="D209" s="215">
        <f t="shared" si="115"/>
        <v>3012.3000496588138</v>
      </c>
      <c r="E209" s="107">
        <f t="shared" si="116"/>
        <v>662.70656435645128</v>
      </c>
      <c r="F209" s="107">
        <f t="shared" si="117"/>
        <v>126.64029198527835</v>
      </c>
      <c r="G209" s="107">
        <f t="shared" si="118"/>
        <v>0</v>
      </c>
      <c r="H209" s="107">
        <f t="shared" si="119"/>
        <v>2516.700459746954</v>
      </c>
      <c r="I209" s="107">
        <f t="shared" si="120"/>
        <v>813.25239980815081</v>
      </c>
      <c r="J209" s="687">
        <f t="shared" si="108"/>
        <v>0</v>
      </c>
      <c r="K209" s="142">
        <f t="shared" si="121"/>
        <v>7131.5997655556475</v>
      </c>
      <c r="L209" s="141">
        <f t="shared" si="109"/>
        <v>1630.9477686681973</v>
      </c>
      <c r="M209" s="107">
        <f t="shared" si="110"/>
        <v>358.80682027707246</v>
      </c>
      <c r="N209" s="30">
        <f t="shared" si="122"/>
        <v>71.519544431194234</v>
      </c>
      <c r="O209" s="107">
        <f t="shared" si="111"/>
        <v>7.8311659531262192</v>
      </c>
      <c r="P209" s="107">
        <f t="shared" si="123"/>
        <v>1362.6155866164218</v>
      </c>
      <c r="Q209" s="107">
        <f t="shared" si="124"/>
        <v>441.70652298999926</v>
      </c>
      <c r="R209" s="143">
        <f t="shared" si="125"/>
        <v>3873.4274089360115</v>
      </c>
      <c r="S209" s="141">
        <f t="shared" si="126"/>
        <v>105.27</v>
      </c>
      <c r="T209" s="107">
        <f t="shared" si="112"/>
        <v>13.549600104595665</v>
      </c>
      <c r="U209" s="142">
        <f t="shared" si="127"/>
        <v>118.81960010459566</v>
      </c>
      <c r="V209" s="107"/>
      <c r="W209" s="107">
        <f t="shared" si="128"/>
        <v>0</v>
      </c>
      <c r="X209" s="142">
        <f t="shared" si="129"/>
        <v>0</v>
      </c>
      <c r="Y209" s="141">
        <v>2579.5</v>
      </c>
      <c r="Z209" s="144">
        <v>0</v>
      </c>
      <c r="AA209" s="107">
        <f t="shared" si="113"/>
        <v>332.01475700393769</v>
      </c>
      <c r="AB209" s="142">
        <f t="shared" si="114"/>
        <v>2911.5147570039376</v>
      </c>
      <c r="AC209" s="141">
        <v>236.15</v>
      </c>
      <c r="AD209" s="107">
        <f t="shared" si="130"/>
        <v>30.395535904818722</v>
      </c>
      <c r="AE209" s="142">
        <f t="shared" si="131"/>
        <v>266.54553590481873</v>
      </c>
      <c r="AF209" s="145">
        <v>734.8</v>
      </c>
      <c r="AG209" s="107">
        <f t="shared" si="132"/>
        <v>94.578190907731496</v>
      </c>
      <c r="AH209" s="142">
        <f t="shared" si="133"/>
        <v>829.37819090773144</v>
      </c>
      <c r="AI209" s="145">
        <v>697.4</v>
      </c>
      <c r="AJ209" s="107">
        <f t="shared" si="134"/>
        <v>89.764330891469726</v>
      </c>
      <c r="AK209" s="142">
        <f t="shared" si="135"/>
        <v>787.16433089146972</v>
      </c>
      <c r="AL209" s="146"/>
      <c r="AM209" s="146"/>
      <c r="AN209" s="107">
        <f t="shared" si="136"/>
        <v>0</v>
      </c>
      <c r="AO209" s="151">
        <f t="shared" si="137"/>
        <v>0</v>
      </c>
      <c r="AP209" s="282">
        <f t="shared" si="138"/>
        <v>4286.3857386761565</v>
      </c>
      <c r="AQ209" s="684">
        <v>0</v>
      </c>
      <c r="AR209" s="741">
        <v>2780.0631881225918</v>
      </c>
      <c r="AS209" s="741">
        <v>1462.116395370962</v>
      </c>
      <c r="AT209" s="741">
        <v>44.206155182602785</v>
      </c>
      <c r="AU209" s="411">
        <v>0</v>
      </c>
      <c r="AV209" s="801"/>
      <c r="AW209" s="256"/>
      <c r="AX209" s="728">
        <f t="shared" si="139"/>
        <v>126.64029198527835</v>
      </c>
      <c r="AY209" s="729">
        <v>71.519544431194234</v>
      </c>
      <c r="AZ209" s="730"/>
      <c r="BA209" s="731">
        <v>0</v>
      </c>
      <c r="BC209" s="727">
        <v>0</v>
      </c>
      <c r="BD209" s="727">
        <v>126.64029198527835</v>
      </c>
      <c r="BE209" s="727"/>
      <c r="BF209" s="727"/>
      <c r="BG209" s="727">
        <v>0</v>
      </c>
      <c r="BH209" s="727">
        <v>7.8334570354586166</v>
      </c>
      <c r="BI209" s="137">
        <f t="shared" si="107"/>
        <v>126.64029198527835</v>
      </c>
      <c r="BJ209" s="126">
        <v>478.5</v>
      </c>
      <c r="BK209" s="807"/>
      <c r="BL209" s="107"/>
      <c r="BM209" s="687"/>
      <c r="BO209" s="577"/>
      <c r="BS209" s="904"/>
      <c r="BT209" s="789"/>
      <c r="BU209" s="789">
        <v>2698.8783596372855</v>
      </c>
      <c r="BV209" s="789">
        <v>0</v>
      </c>
      <c r="BW209" s="789">
        <f t="shared" si="140"/>
        <v>2698.8783596372855</v>
      </c>
    </row>
    <row r="210" spans="1:75" ht="15" thickBot="1" x14ac:dyDescent="0.35">
      <c r="A210" s="219" t="s">
        <v>382</v>
      </c>
      <c r="B210" s="237">
        <v>9</v>
      </c>
      <c r="C210" s="40">
        <f>'[7]побудинковий звіт'!E210</f>
        <v>2131.85</v>
      </c>
      <c r="D210" s="215">
        <f t="shared" si="115"/>
        <v>1808.857429783234</v>
      </c>
      <c r="E210" s="107">
        <f t="shared" si="116"/>
        <v>397.94896688265254</v>
      </c>
      <c r="F210" s="107">
        <f t="shared" si="117"/>
        <v>62.006725846375652</v>
      </c>
      <c r="G210" s="107">
        <f t="shared" si="118"/>
        <v>0</v>
      </c>
      <c r="H210" s="107">
        <f t="shared" si="119"/>
        <v>1511.2546061498017</v>
      </c>
      <c r="I210" s="107">
        <f t="shared" si="120"/>
        <v>486.54323256063651</v>
      </c>
      <c r="J210" s="687">
        <f t="shared" si="108"/>
        <v>0</v>
      </c>
      <c r="K210" s="142">
        <f t="shared" si="121"/>
        <v>4266.6109612227001</v>
      </c>
      <c r="L210" s="141">
        <f t="shared" si="109"/>
        <v>815.98580997239628</v>
      </c>
      <c r="M210" s="107">
        <f t="shared" si="110"/>
        <v>179.51603324886787</v>
      </c>
      <c r="N210" s="30">
        <f t="shared" si="122"/>
        <v>35.056891569045803</v>
      </c>
      <c r="O210" s="107">
        <f t="shared" si="111"/>
        <v>3.837989640491076</v>
      </c>
      <c r="P210" s="107">
        <f t="shared" si="123"/>
        <v>681.73549422379722</v>
      </c>
      <c r="Q210" s="107">
        <f t="shared" si="124"/>
        <v>220.88824251336882</v>
      </c>
      <c r="R210" s="143">
        <f t="shared" si="125"/>
        <v>1937.0204611679669</v>
      </c>
      <c r="S210" s="141">
        <f t="shared" si="126"/>
        <v>55.440000000000005</v>
      </c>
      <c r="T210" s="107">
        <f t="shared" si="112"/>
        <v>7.1358395535174681</v>
      </c>
      <c r="U210" s="142">
        <f t="shared" si="127"/>
        <v>62.575839553517476</v>
      </c>
      <c r="V210" s="107"/>
      <c r="W210" s="107">
        <f t="shared" si="128"/>
        <v>0</v>
      </c>
      <c r="X210" s="142">
        <f t="shared" si="129"/>
        <v>0</v>
      </c>
      <c r="Y210" s="141">
        <v>1289.75</v>
      </c>
      <c r="Z210" s="144">
        <v>0</v>
      </c>
      <c r="AA210" s="107">
        <f t="shared" si="113"/>
        <v>166.00737850196884</v>
      </c>
      <c r="AB210" s="142">
        <f t="shared" si="114"/>
        <v>1455.7573785019688</v>
      </c>
      <c r="AC210" s="141">
        <v>0</v>
      </c>
      <c r="AD210" s="107">
        <f t="shared" si="130"/>
        <v>0</v>
      </c>
      <c r="AE210" s="142">
        <f t="shared" si="131"/>
        <v>0</v>
      </c>
      <c r="AF210" s="145">
        <v>358.6</v>
      </c>
      <c r="AG210" s="107">
        <f t="shared" si="132"/>
        <v>46.156422508862981</v>
      </c>
      <c r="AH210" s="142">
        <f t="shared" si="133"/>
        <v>404.75642250886301</v>
      </c>
      <c r="AI210" s="145">
        <v>341</v>
      </c>
      <c r="AJ210" s="107">
        <f t="shared" si="134"/>
        <v>43.89107661885744</v>
      </c>
      <c r="AK210" s="142">
        <f t="shared" si="135"/>
        <v>384.89107661885743</v>
      </c>
      <c r="AL210" s="146"/>
      <c r="AM210" s="146"/>
      <c r="AN210" s="107">
        <f t="shared" si="136"/>
        <v>0</v>
      </c>
      <c r="AO210" s="151">
        <f t="shared" si="137"/>
        <v>0</v>
      </c>
      <c r="AP210" s="282">
        <f t="shared" si="138"/>
        <v>2423.0354942139484</v>
      </c>
      <c r="AQ210" s="684">
        <v>0</v>
      </c>
      <c r="AR210" s="741">
        <v>1669.4014109490822</v>
      </c>
      <c r="AS210" s="741">
        <v>730.89383753028244</v>
      </c>
      <c r="AT210" s="741">
        <v>22.740245734583898</v>
      </c>
      <c r="AU210" s="411">
        <v>0</v>
      </c>
      <c r="AV210" s="801"/>
      <c r="AW210" s="256"/>
      <c r="AX210" s="728">
        <f t="shared" si="139"/>
        <v>62.006725846375652</v>
      </c>
      <c r="AY210" s="729">
        <v>35.056891569045803</v>
      </c>
      <c r="AZ210" s="730"/>
      <c r="BA210" s="731">
        <v>0</v>
      </c>
      <c r="BC210" s="727">
        <v>0</v>
      </c>
      <c r="BD210" s="727">
        <v>62.006725846375652</v>
      </c>
      <c r="BE210" s="727"/>
      <c r="BF210" s="727"/>
      <c r="BG210" s="727">
        <v>0</v>
      </c>
      <c r="BH210" s="727">
        <v>3.7709196255416959</v>
      </c>
      <c r="BI210" s="137">
        <f t="shared" si="107"/>
        <v>62.006725846375652</v>
      </c>
      <c r="BJ210" s="126">
        <v>252</v>
      </c>
      <c r="BK210" s="807"/>
      <c r="BL210" s="107"/>
      <c r="BM210" s="687"/>
      <c r="BO210" s="577"/>
      <c r="BS210" s="904"/>
      <c r="BT210" s="789"/>
      <c r="BU210" s="789">
        <v>1620.6462105470989</v>
      </c>
      <c r="BV210" s="789">
        <v>0</v>
      </c>
      <c r="BW210" s="789">
        <f t="shared" si="140"/>
        <v>1620.6462105470989</v>
      </c>
    </row>
    <row r="211" spans="1:75" ht="15" thickBot="1" x14ac:dyDescent="0.35">
      <c r="A211" s="220" t="s">
        <v>122</v>
      </c>
      <c r="B211" s="238">
        <v>1</v>
      </c>
      <c r="C211" s="40">
        <f>'[7]побудинковий звіт'!E211</f>
        <v>105</v>
      </c>
      <c r="D211" s="215">
        <f t="shared" si="115"/>
        <v>44.240796954916483</v>
      </c>
      <c r="E211" s="107">
        <f t="shared" si="116"/>
        <v>9.7329834581733703</v>
      </c>
      <c r="F211" s="107">
        <f t="shared" si="117"/>
        <v>0</v>
      </c>
      <c r="G211" s="107">
        <f t="shared" si="118"/>
        <v>0</v>
      </c>
      <c r="H211" s="107">
        <f t="shared" si="119"/>
        <v>36.962066261832355</v>
      </c>
      <c r="I211" s="107">
        <f t="shared" si="120"/>
        <v>11.704610597682354</v>
      </c>
      <c r="J211" s="687">
        <f t="shared" si="108"/>
        <v>0</v>
      </c>
      <c r="K211" s="142">
        <f t="shared" si="121"/>
        <v>102.64045727260455</v>
      </c>
      <c r="L211" s="141">
        <f t="shared" si="109"/>
        <v>0</v>
      </c>
      <c r="M211" s="107">
        <f t="shared" si="110"/>
        <v>0</v>
      </c>
      <c r="N211" s="30">
        <f t="shared" si="122"/>
        <v>0</v>
      </c>
      <c r="O211" s="107">
        <f t="shared" si="111"/>
        <v>0.18903248927061611</v>
      </c>
      <c r="P211" s="107">
        <f t="shared" si="123"/>
        <v>0</v>
      </c>
      <c r="Q211" s="107">
        <f t="shared" si="124"/>
        <v>2.4330907536744745E-2</v>
      </c>
      <c r="R211" s="143">
        <f t="shared" si="125"/>
        <v>0.21336339680736086</v>
      </c>
      <c r="S211" s="141">
        <f t="shared" si="126"/>
        <v>0</v>
      </c>
      <c r="T211" s="107">
        <f t="shared" si="112"/>
        <v>0</v>
      </c>
      <c r="U211" s="142">
        <f t="shared" si="127"/>
        <v>0</v>
      </c>
      <c r="V211" s="107"/>
      <c r="W211" s="107">
        <f t="shared" si="128"/>
        <v>0</v>
      </c>
      <c r="X211" s="142">
        <f t="shared" si="129"/>
        <v>0</v>
      </c>
      <c r="Y211" s="141">
        <v>0</v>
      </c>
      <c r="Z211" s="144">
        <v>0</v>
      </c>
      <c r="AA211" s="107">
        <f t="shared" si="113"/>
        <v>0</v>
      </c>
      <c r="AB211" s="142">
        <f t="shared" si="114"/>
        <v>0</v>
      </c>
      <c r="AC211" s="141">
        <v>0</v>
      </c>
      <c r="AD211" s="107">
        <f t="shared" si="130"/>
        <v>0</v>
      </c>
      <c r="AE211" s="142">
        <f t="shared" si="131"/>
        <v>0</v>
      </c>
      <c r="AF211" s="145">
        <v>0</v>
      </c>
      <c r="AG211" s="107">
        <f t="shared" si="132"/>
        <v>0</v>
      </c>
      <c r="AH211" s="142">
        <f t="shared" si="133"/>
        <v>0</v>
      </c>
      <c r="AI211" s="145">
        <v>0</v>
      </c>
      <c r="AJ211" s="107">
        <f t="shared" si="134"/>
        <v>0</v>
      </c>
      <c r="AK211" s="142">
        <f t="shared" si="135"/>
        <v>0</v>
      </c>
      <c r="AL211" s="146"/>
      <c r="AM211" s="146"/>
      <c r="AN211" s="107">
        <f t="shared" si="136"/>
        <v>0</v>
      </c>
      <c r="AO211" s="151">
        <f t="shared" si="137"/>
        <v>0</v>
      </c>
      <c r="AP211" s="282">
        <f t="shared" si="138"/>
        <v>0</v>
      </c>
      <c r="AQ211" s="684">
        <v>40.83</v>
      </c>
      <c r="AR211" s="741">
        <v>0</v>
      </c>
      <c r="AS211" s="741">
        <v>0</v>
      </c>
      <c r="AT211" s="741">
        <v>0</v>
      </c>
      <c r="AU211" s="411">
        <v>0</v>
      </c>
      <c r="AV211" s="801"/>
      <c r="AW211" s="256"/>
      <c r="AX211" s="728">
        <f t="shared" si="139"/>
        <v>0</v>
      </c>
      <c r="AY211" s="729">
        <v>0</v>
      </c>
      <c r="AZ211" s="730"/>
      <c r="BA211" s="731">
        <v>0</v>
      </c>
      <c r="BC211" s="727">
        <v>0</v>
      </c>
      <c r="BD211" s="727">
        <v>0</v>
      </c>
      <c r="BE211" s="727"/>
      <c r="BF211" s="727"/>
      <c r="BG211" s="727">
        <v>0</v>
      </c>
      <c r="BH211" s="727">
        <v>0</v>
      </c>
      <c r="BI211" s="137">
        <f>BC211+BD211+BE211+BG211+BH211</f>
        <v>0</v>
      </c>
      <c r="BJ211" s="126"/>
      <c r="BK211" s="807"/>
      <c r="BL211" s="107"/>
      <c r="BM211" s="687"/>
      <c r="BO211" s="577"/>
      <c r="BS211" s="904"/>
      <c r="BT211" s="789"/>
      <c r="BU211" s="789">
        <v>0</v>
      </c>
      <c r="BV211" s="789">
        <v>0</v>
      </c>
      <c r="BW211" s="789">
        <f t="shared" si="140"/>
        <v>0</v>
      </c>
    </row>
    <row r="212" spans="1:75" ht="15" thickBot="1" x14ac:dyDescent="0.35">
      <c r="A212" s="220" t="s">
        <v>123</v>
      </c>
      <c r="B212" s="238">
        <v>1</v>
      </c>
      <c r="C212" s="40">
        <f>'[7]побудинковий звіт'!E212</f>
        <v>140.69999999999999</v>
      </c>
      <c r="D212" s="215">
        <f t="shared" si="115"/>
        <v>88.492429275239516</v>
      </c>
      <c r="E212" s="107">
        <f t="shared" si="116"/>
        <v>19.468350698726898</v>
      </c>
      <c r="F212" s="107">
        <f t="shared" si="117"/>
        <v>0</v>
      </c>
      <c r="G212" s="107">
        <f t="shared" si="118"/>
        <v>0</v>
      </c>
      <c r="H212" s="107">
        <f t="shared" si="119"/>
        <v>73.933185197253209</v>
      </c>
      <c r="I212" s="107">
        <f t="shared" si="120"/>
        <v>23.41208786462694</v>
      </c>
      <c r="J212" s="687">
        <f t="shared" si="108"/>
        <v>0</v>
      </c>
      <c r="K212" s="142">
        <f t="shared" si="121"/>
        <v>205.30605303584656</v>
      </c>
      <c r="L212" s="141">
        <f t="shared" si="109"/>
        <v>0</v>
      </c>
      <c r="M212" s="107">
        <f t="shared" si="110"/>
        <v>0</v>
      </c>
      <c r="N212" s="30">
        <f t="shared" si="122"/>
        <v>0</v>
      </c>
      <c r="O212" s="107">
        <f t="shared" si="111"/>
        <v>0.25330353562262559</v>
      </c>
      <c r="P212" s="107">
        <f t="shared" si="123"/>
        <v>0</v>
      </c>
      <c r="Q212" s="107">
        <f t="shared" si="124"/>
        <v>3.2603416099237961E-2</v>
      </c>
      <c r="R212" s="143">
        <f t="shared" si="125"/>
        <v>0.28590695172186353</v>
      </c>
      <c r="S212" s="141">
        <f t="shared" si="126"/>
        <v>0</v>
      </c>
      <c r="T212" s="107">
        <f t="shared" si="112"/>
        <v>0</v>
      </c>
      <c r="U212" s="142">
        <f t="shared" si="127"/>
        <v>0</v>
      </c>
      <c r="V212" s="107"/>
      <c r="W212" s="107">
        <f t="shared" si="128"/>
        <v>0</v>
      </c>
      <c r="X212" s="142">
        <f t="shared" si="129"/>
        <v>0</v>
      </c>
      <c r="Y212" s="141">
        <v>0</v>
      </c>
      <c r="Z212" s="144">
        <v>0</v>
      </c>
      <c r="AA212" s="107">
        <f t="shared" si="113"/>
        <v>0</v>
      </c>
      <c r="AB212" s="142">
        <f t="shared" si="114"/>
        <v>0</v>
      </c>
      <c r="AC212" s="141">
        <v>0</v>
      </c>
      <c r="AD212" s="107">
        <f t="shared" si="130"/>
        <v>0</v>
      </c>
      <c r="AE212" s="142">
        <f t="shared" si="131"/>
        <v>0</v>
      </c>
      <c r="AF212" s="145">
        <v>0</v>
      </c>
      <c r="AG212" s="107">
        <f t="shared" si="132"/>
        <v>0</v>
      </c>
      <c r="AH212" s="142">
        <f t="shared" si="133"/>
        <v>0</v>
      </c>
      <c r="AI212" s="145">
        <v>0</v>
      </c>
      <c r="AJ212" s="107">
        <f t="shared" si="134"/>
        <v>0</v>
      </c>
      <c r="AK212" s="142">
        <f t="shared" si="135"/>
        <v>0</v>
      </c>
      <c r="AL212" s="146"/>
      <c r="AM212" s="146"/>
      <c r="AN212" s="107">
        <f t="shared" si="136"/>
        <v>0</v>
      </c>
      <c r="AO212" s="151">
        <f t="shared" si="137"/>
        <v>0</v>
      </c>
      <c r="AP212" s="282">
        <f t="shared" si="138"/>
        <v>0</v>
      </c>
      <c r="AQ212" s="684">
        <v>81.67</v>
      </c>
      <c r="AR212" s="741">
        <v>0</v>
      </c>
      <c r="AS212" s="741">
        <v>0</v>
      </c>
      <c r="AT212" s="741">
        <v>0</v>
      </c>
      <c r="AU212" s="411">
        <v>0</v>
      </c>
      <c r="AV212" s="801"/>
      <c r="AW212" s="256"/>
      <c r="AX212" s="728">
        <f t="shared" si="139"/>
        <v>0</v>
      </c>
      <c r="AY212" s="729">
        <v>0</v>
      </c>
      <c r="AZ212" s="730"/>
      <c r="BA212" s="731">
        <v>0</v>
      </c>
      <c r="BC212" s="727">
        <v>0</v>
      </c>
      <c r="BD212" s="727">
        <v>0</v>
      </c>
      <c r="BE212" s="727"/>
      <c r="BF212" s="727"/>
      <c r="BG212" s="727">
        <v>0</v>
      </c>
      <c r="BH212" s="727">
        <v>0</v>
      </c>
      <c r="BI212" s="137">
        <f>BC212+BD212+BE212+BG212+BH212</f>
        <v>0</v>
      </c>
      <c r="BJ212" s="126"/>
      <c r="BK212" s="807"/>
      <c r="BL212" s="107"/>
      <c r="BM212" s="687"/>
      <c r="BO212" s="577"/>
      <c r="BS212" s="904"/>
      <c r="BT212" s="789"/>
      <c r="BU212" s="789">
        <v>0</v>
      </c>
      <c r="BV212" s="789">
        <v>0</v>
      </c>
      <c r="BW212" s="789">
        <f t="shared" si="140"/>
        <v>0</v>
      </c>
    </row>
    <row r="213" spans="1:75" ht="15" thickBot="1" x14ac:dyDescent="0.35">
      <c r="A213" s="219" t="s">
        <v>421</v>
      </c>
      <c r="B213" s="237">
        <v>10</v>
      </c>
      <c r="C213" s="40">
        <f>'[7]побудинковий звіт'!E213</f>
        <v>6742.76</v>
      </c>
      <c r="D213" s="215">
        <f t="shared" si="115"/>
        <v>4498.707855369692</v>
      </c>
      <c r="E213" s="107">
        <f t="shared" si="116"/>
        <v>989.71655470148323</v>
      </c>
      <c r="F213" s="107">
        <f t="shared" si="117"/>
        <v>284.26051322128387</v>
      </c>
      <c r="G213" s="107">
        <f t="shared" si="118"/>
        <v>0</v>
      </c>
      <c r="H213" s="107">
        <f t="shared" si="119"/>
        <v>3758.5565651597376</v>
      </c>
      <c r="I213" s="107">
        <f t="shared" si="120"/>
        <v>1226.7931098020181</v>
      </c>
      <c r="J213" s="687">
        <f t="shared" si="108"/>
        <v>0</v>
      </c>
      <c r="K213" s="142">
        <f t="shared" si="121"/>
        <v>10758.034598254215</v>
      </c>
      <c r="L213" s="141">
        <f t="shared" si="109"/>
        <v>3350.9381174741502</v>
      </c>
      <c r="M213" s="107">
        <f t="shared" si="110"/>
        <v>737.20291598175936</v>
      </c>
      <c r="N213" s="30">
        <f t="shared" si="122"/>
        <v>110.87444839357288</v>
      </c>
      <c r="O213" s="107">
        <f t="shared" si="111"/>
        <v>12.139054355755615</v>
      </c>
      <c r="P213" s="107">
        <f t="shared" si="123"/>
        <v>2799.6239955531587</v>
      </c>
      <c r="Q213" s="107">
        <f t="shared" si="124"/>
        <v>902.37717799193149</v>
      </c>
      <c r="R213" s="143">
        <f t="shared" si="125"/>
        <v>7913.1557097503282</v>
      </c>
      <c r="S213" s="141">
        <f t="shared" si="126"/>
        <v>163.636</v>
      </c>
      <c r="T213" s="107">
        <f t="shared" si="112"/>
        <v>21.062053412326556</v>
      </c>
      <c r="U213" s="142">
        <f t="shared" si="127"/>
        <v>184.69805341232654</v>
      </c>
      <c r="V213" s="107"/>
      <c r="W213" s="107">
        <f t="shared" si="128"/>
        <v>0</v>
      </c>
      <c r="X213" s="142">
        <f t="shared" si="129"/>
        <v>0</v>
      </c>
      <c r="Y213" s="141">
        <v>2849.18</v>
      </c>
      <c r="Z213" s="144">
        <v>0</v>
      </c>
      <c r="AA213" s="107">
        <f t="shared" si="113"/>
        <v>366.72603425488632</v>
      </c>
      <c r="AB213" s="142">
        <f t="shared" si="114"/>
        <v>3215.906034254886</v>
      </c>
      <c r="AC213" s="141">
        <v>354.22500000000002</v>
      </c>
      <c r="AD213" s="107">
        <f t="shared" si="130"/>
        <v>45.593303857228086</v>
      </c>
      <c r="AE213" s="142">
        <f t="shared" si="131"/>
        <v>399.8183038572281</v>
      </c>
      <c r="AF213" s="145">
        <v>1056</v>
      </c>
      <c r="AG213" s="107">
        <f t="shared" si="132"/>
        <v>135.9207534003327</v>
      </c>
      <c r="AH213" s="142">
        <f t="shared" si="133"/>
        <v>1191.9207534003326</v>
      </c>
      <c r="AI213" s="145">
        <v>1392.6</v>
      </c>
      <c r="AJ213" s="107">
        <f t="shared" si="134"/>
        <v>179.24549354668875</v>
      </c>
      <c r="AK213" s="142">
        <f t="shared" si="135"/>
        <v>1571.8454935466887</v>
      </c>
      <c r="AL213" s="146"/>
      <c r="AM213" s="146"/>
      <c r="AN213" s="107">
        <f t="shared" si="136"/>
        <v>0</v>
      </c>
      <c r="AO213" s="151">
        <f t="shared" si="137"/>
        <v>0</v>
      </c>
      <c r="AP213" s="282">
        <f t="shared" si="138"/>
        <v>7246.7583050363874</v>
      </c>
      <c r="AQ213" s="684">
        <v>0</v>
      </c>
      <c r="AR213" s="741">
        <v>4151.8746129714982</v>
      </c>
      <c r="AS213" s="741">
        <v>3027.6120487615426</v>
      </c>
      <c r="AT213" s="741">
        <v>67.271643303346139</v>
      </c>
      <c r="AU213" s="411">
        <v>0</v>
      </c>
      <c r="AV213" s="801"/>
      <c r="AW213" s="256"/>
      <c r="AX213" s="728">
        <f t="shared" si="139"/>
        <v>284.26051322128387</v>
      </c>
      <c r="AY213" s="729">
        <v>110.87444839357288</v>
      </c>
      <c r="AZ213" s="730"/>
      <c r="BA213" s="731">
        <v>0</v>
      </c>
      <c r="BC213" s="727">
        <v>86</v>
      </c>
      <c r="BD213" s="727">
        <v>198.26051322128384</v>
      </c>
      <c r="BE213" s="727"/>
      <c r="BF213" s="727"/>
      <c r="BG213" s="727">
        <v>0</v>
      </c>
      <c r="BH213" s="727">
        <v>14.078099935355665</v>
      </c>
      <c r="BI213" s="137">
        <f>BC213+BD213+BE213+BG213</f>
        <v>284.26051322128387</v>
      </c>
      <c r="BJ213" s="126">
        <v>743.8</v>
      </c>
      <c r="BK213" s="807"/>
      <c r="BL213" s="107"/>
      <c r="BM213" s="687"/>
      <c r="BO213" s="577"/>
      <c r="BS213" s="904"/>
      <c r="BT213" s="789"/>
      <c r="BU213" s="789">
        <v>3948.565395205871</v>
      </c>
      <c r="BV213" s="789">
        <v>0</v>
      </c>
      <c r="BW213" s="789">
        <f t="shared" si="140"/>
        <v>3948.565395205871</v>
      </c>
    </row>
    <row r="214" spans="1:75" ht="15" thickBot="1" x14ac:dyDescent="0.35">
      <c r="A214" s="219" t="s">
        <v>268</v>
      </c>
      <c r="B214" s="237">
        <v>5</v>
      </c>
      <c r="C214" s="40">
        <f>'[7]побудинковий звіт'!E214</f>
        <v>3267.3</v>
      </c>
      <c r="D214" s="215">
        <f t="shared" si="115"/>
        <v>1247.0476348915561</v>
      </c>
      <c r="E214" s="107">
        <f t="shared" si="116"/>
        <v>274.35070878859699</v>
      </c>
      <c r="F214" s="107">
        <f t="shared" si="117"/>
        <v>102.68788819524411</v>
      </c>
      <c r="G214" s="107">
        <f t="shared" si="118"/>
        <v>0</v>
      </c>
      <c r="H214" s="107">
        <f t="shared" si="119"/>
        <v>1041.876740138621</v>
      </c>
      <c r="I214" s="107">
        <f t="shared" si="120"/>
        <v>343.14365122493888</v>
      </c>
      <c r="J214" s="687">
        <f t="shared" si="108"/>
        <v>0</v>
      </c>
      <c r="K214" s="142">
        <f t="shared" si="121"/>
        <v>3009.1066232389571</v>
      </c>
      <c r="L214" s="141">
        <f t="shared" si="109"/>
        <v>481.49893142901078</v>
      </c>
      <c r="M214" s="107">
        <f t="shared" si="110"/>
        <v>105.92926632710524</v>
      </c>
      <c r="N214" s="30">
        <f t="shared" si="122"/>
        <v>53.719811379581358</v>
      </c>
      <c r="O214" s="107">
        <f t="shared" si="111"/>
        <v>5.8821509732750865</v>
      </c>
      <c r="P214" s="107">
        <f t="shared" si="123"/>
        <v>402.28017200089715</v>
      </c>
      <c r="Q214" s="107">
        <f t="shared" si="124"/>
        <v>135.059707283264</v>
      </c>
      <c r="R214" s="143">
        <f t="shared" si="125"/>
        <v>1184.3700393931335</v>
      </c>
      <c r="S214" s="141">
        <f t="shared" si="126"/>
        <v>84.106000000000009</v>
      </c>
      <c r="T214" s="107">
        <f t="shared" si="112"/>
        <v>10.825521671863999</v>
      </c>
      <c r="U214" s="142">
        <f t="shared" si="127"/>
        <v>94.931521671864004</v>
      </c>
      <c r="V214" s="107"/>
      <c r="W214" s="107">
        <f t="shared" si="128"/>
        <v>0</v>
      </c>
      <c r="X214" s="142">
        <f t="shared" si="129"/>
        <v>0</v>
      </c>
      <c r="Y214" s="141">
        <v>0</v>
      </c>
      <c r="Z214" s="144">
        <v>0</v>
      </c>
      <c r="AA214" s="107">
        <f t="shared" si="113"/>
        <v>0</v>
      </c>
      <c r="AB214" s="142">
        <f t="shared" si="114"/>
        <v>0</v>
      </c>
      <c r="AC214" s="141">
        <v>0</v>
      </c>
      <c r="AD214" s="107">
        <f t="shared" si="130"/>
        <v>0</v>
      </c>
      <c r="AE214" s="142">
        <f t="shared" si="131"/>
        <v>0</v>
      </c>
      <c r="AF214" s="145">
        <v>1056</v>
      </c>
      <c r="AG214" s="107">
        <f t="shared" si="132"/>
        <v>135.9207534003327</v>
      </c>
      <c r="AH214" s="142">
        <f t="shared" si="133"/>
        <v>1191.9207534003326</v>
      </c>
      <c r="AI214" s="145">
        <v>0</v>
      </c>
      <c r="AJ214" s="107">
        <f t="shared" si="134"/>
        <v>0</v>
      </c>
      <c r="AK214" s="142">
        <f t="shared" si="135"/>
        <v>0</v>
      </c>
      <c r="AL214" s="146"/>
      <c r="AM214" s="401"/>
      <c r="AN214" s="107">
        <f t="shared" si="136"/>
        <v>0</v>
      </c>
      <c r="AO214" s="151">
        <f t="shared" si="137"/>
        <v>0</v>
      </c>
      <c r="AP214" s="282">
        <f t="shared" si="138"/>
        <v>1595.6112814227063</v>
      </c>
      <c r="AQ214" s="684">
        <v>0</v>
      </c>
      <c r="AR214" s="741">
        <v>1150.905011600697</v>
      </c>
      <c r="AS214" s="741">
        <v>433.33898613790893</v>
      </c>
      <c r="AT214" s="741">
        <v>11.367283684100432</v>
      </c>
      <c r="AU214" s="411">
        <v>0</v>
      </c>
      <c r="AV214" s="801"/>
      <c r="AW214" s="256"/>
      <c r="AX214" s="728">
        <f t="shared" si="139"/>
        <v>102.68788819524411</v>
      </c>
      <c r="AY214" s="729">
        <v>53.719811379581358</v>
      </c>
      <c r="AZ214" s="730"/>
      <c r="BA214" s="731">
        <v>0</v>
      </c>
      <c r="BC214" s="727">
        <v>0</v>
      </c>
      <c r="BD214" s="727">
        <v>102.68788819524411</v>
      </c>
      <c r="BE214" s="727"/>
      <c r="BF214" s="727"/>
      <c r="BG214" s="727">
        <v>0</v>
      </c>
      <c r="BH214" s="727">
        <v>13.449613331098716</v>
      </c>
      <c r="BI214" s="137">
        <f t="shared" ref="BI214:BI222" si="141">BC214+BD214+BE214+BG214</f>
        <v>102.68788819524411</v>
      </c>
      <c r="BJ214" s="126">
        <v>382.3</v>
      </c>
      <c r="BK214" s="807"/>
      <c r="BL214" s="107"/>
      <c r="BM214" s="687"/>
      <c r="BO214" s="577"/>
      <c r="BS214" s="904"/>
      <c r="BT214" s="789"/>
      <c r="BU214" s="789">
        <v>1097.6153993951709</v>
      </c>
      <c r="BV214" s="789">
        <v>0</v>
      </c>
      <c r="BW214" s="789">
        <f t="shared" si="140"/>
        <v>1097.6153993951709</v>
      </c>
    </row>
    <row r="215" spans="1:75" ht="15" thickBot="1" x14ac:dyDescent="0.35">
      <c r="A215" s="219" t="s">
        <v>383</v>
      </c>
      <c r="B215" s="237">
        <v>9</v>
      </c>
      <c r="C215" s="40">
        <f>'[7]побудинковий звіт'!E215</f>
        <v>6615</v>
      </c>
      <c r="D215" s="215">
        <f t="shared" si="115"/>
        <v>3269.3872449278601</v>
      </c>
      <c r="E215" s="107">
        <f t="shared" si="116"/>
        <v>719.26579454870364</v>
      </c>
      <c r="F215" s="107">
        <f t="shared" si="117"/>
        <v>197.85520395199552</v>
      </c>
      <c r="G215" s="107">
        <f t="shared" si="118"/>
        <v>0</v>
      </c>
      <c r="H215" s="107">
        <f t="shared" si="119"/>
        <v>2731.4903053341982</v>
      </c>
      <c r="I215" s="107">
        <f t="shared" si="120"/>
        <v>890.43520338091139</v>
      </c>
      <c r="J215" s="687">
        <f t="shared" si="108"/>
        <v>0</v>
      </c>
      <c r="K215" s="142">
        <f t="shared" si="121"/>
        <v>7808.4337521436701</v>
      </c>
      <c r="L215" s="141">
        <f t="shared" si="109"/>
        <v>2328.0614835170654</v>
      </c>
      <c r="M215" s="107">
        <f t="shared" si="110"/>
        <v>512.17111568961718</v>
      </c>
      <c r="N215" s="30">
        <f t="shared" si="122"/>
        <v>228.60862425553225</v>
      </c>
      <c r="O215" s="107">
        <f t="shared" si="111"/>
        <v>11.909046824048815</v>
      </c>
      <c r="P215" s="107">
        <f t="shared" si="123"/>
        <v>1945.036453639535</v>
      </c>
      <c r="Q215" s="107">
        <f t="shared" si="124"/>
        <v>646.88325563009892</v>
      </c>
      <c r="R215" s="143">
        <f t="shared" si="125"/>
        <v>5672.669979555897</v>
      </c>
      <c r="S215" s="141">
        <f t="shared" si="126"/>
        <v>139.47999999999999</v>
      </c>
      <c r="T215" s="107">
        <f t="shared" si="112"/>
        <v>17.952866178293945</v>
      </c>
      <c r="U215" s="142">
        <f t="shared" si="127"/>
        <v>157.43286617829392</v>
      </c>
      <c r="V215" s="107"/>
      <c r="W215" s="107">
        <f t="shared" si="128"/>
        <v>0</v>
      </c>
      <c r="X215" s="142">
        <f t="shared" si="129"/>
        <v>0</v>
      </c>
      <c r="Y215" s="141">
        <v>5774.56</v>
      </c>
      <c r="Z215" s="144">
        <v>0</v>
      </c>
      <c r="AA215" s="107">
        <f t="shared" si="113"/>
        <v>743.25998651081943</v>
      </c>
      <c r="AB215" s="142">
        <f t="shared" si="114"/>
        <v>6517.8199865108199</v>
      </c>
      <c r="AC215" s="141">
        <v>118.075</v>
      </c>
      <c r="AD215" s="107">
        <f t="shared" si="130"/>
        <v>15.197767952409361</v>
      </c>
      <c r="AE215" s="142">
        <f t="shared" si="131"/>
        <v>133.27276795240937</v>
      </c>
      <c r="AF215" s="145">
        <v>1326.6</v>
      </c>
      <c r="AG215" s="107">
        <f t="shared" si="132"/>
        <v>170.75044645916796</v>
      </c>
      <c r="AH215" s="142">
        <f t="shared" si="133"/>
        <v>1497.3504464591679</v>
      </c>
      <c r="AI215" s="145">
        <v>1100</v>
      </c>
      <c r="AJ215" s="107">
        <f t="shared" si="134"/>
        <v>141.58411812534658</v>
      </c>
      <c r="AK215" s="142">
        <f t="shared" si="135"/>
        <v>1241.5841181253465</v>
      </c>
      <c r="AL215" s="146"/>
      <c r="AM215" s="146"/>
      <c r="AN215" s="107">
        <f t="shared" si="136"/>
        <v>0</v>
      </c>
      <c r="AO215" s="151">
        <f t="shared" si="137"/>
        <v>0</v>
      </c>
      <c r="AP215" s="282">
        <f t="shared" si="138"/>
        <v>5167.4978231507803</v>
      </c>
      <c r="AQ215" s="684">
        <v>0</v>
      </c>
      <c r="AR215" s="741">
        <v>3017.3299397485171</v>
      </c>
      <c r="AS215" s="741">
        <v>2107.9032760373866</v>
      </c>
      <c r="AT215" s="741">
        <v>42.264607364876206</v>
      </c>
      <c r="AU215" s="411">
        <v>0</v>
      </c>
      <c r="AV215" s="801"/>
      <c r="AW215" s="256"/>
      <c r="AX215" s="728">
        <f t="shared" si="139"/>
        <v>197.85520395199552</v>
      </c>
      <c r="AY215" s="729">
        <v>228.60862425553225</v>
      </c>
      <c r="AZ215" s="730"/>
      <c r="BA215" s="731">
        <v>0</v>
      </c>
      <c r="BC215" s="727">
        <v>0</v>
      </c>
      <c r="BD215" s="727">
        <v>197.85520395199552</v>
      </c>
      <c r="BE215" s="727"/>
      <c r="BF215" s="727"/>
      <c r="BG215" s="727">
        <v>0</v>
      </c>
      <c r="BH215" s="727">
        <v>17.436732348504801</v>
      </c>
      <c r="BI215" s="137">
        <f t="shared" si="141"/>
        <v>197.85520395199552</v>
      </c>
      <c r="BJ215" s="126">
        <v>634</v>
      </c>
      <c r="BK215" s="807"/>
      <c r="BL215" s="107"/>
      <c r="BM215" s="687"/>
      <c r="BO215" s="577"/>
      <c r="BS215" s="904"/>
      <c r="BT215" s="789"/>
      <c r="BU215" s="789">
        <v>2823.8561606917042</v>
      </c>
      <c r="BV215" s="789">
        <v>0</v>
      </c>
      <c r="BW215" s="789">
        <f t="shared" si="140"/>
        <v>2823.8561606917042</v>
      </c>
    </row>
    <row r="216" spans="1:75" ht="15" thickBot="1" x14ac:dyDescent="0.35">
      <c r="A216" s="219" t="s">
        <v>384</v>
      </c>
      <c r="B216" s="237">
        <v>9</v>
      </c>
      <c r="C216" s="40">
        <f>'[7]побудинковий звіт'!E216</f>
        <v>9392.7999999999993</v>
      </c>
      <c r="D216" s="215">
        <f t="shared" si="115"/>
        <v>5792.9432984869645</v>
      </c>
      <c r="E216" s="107">
        <f t="shared" si="116"/>
        <v>1274.4485899692659</v>
      </c>
      <c r="F216" s="107">
        <f t="shared" si="117"/>
        <v>446.48332824810558</v>
      </c>
      <c r="G216" s="107">
        <f t="shared" si="118"/>
        <v>0</v>
      </c>
      <c r="H216" s="107">
        <f t="shared" si="119"/>
        <v>4839.857524897453</v>
      </c>
      <c r="I216" s="107">
        <f t="shared" si="120"/>
        <v>1590.0839597962811</v>
      </c>
      <c r="J216" s="687">
        <f t="shared" si="108"/>
        <v>0</v>
      </c>
      <c r="K216" s="142">
        <f t="shared" si="121"/>
        <v>13943.816701398069</v>
      </c>
      <c r="L216" s="141">
        <f t="shared" si="109"/>
        <v>4110.9051848196323</v>
      </c>
      <c r="M216" s="107">
        <f t="shared" si="110"/>
        <v>904.39488385954792</v>
      </c>
      <c r="N216" s="30">
        <f t="shared" si="122"/>
        <v>304.39533827930052</v>
      </c>
      <c r="O216" s="107">
        <f t="shared" si="111"/>
        <v>16.909946335438505</v>
      </c>
      <c r="P216" s="107">
        <f t="shared" si="123"/>
        <v>3434.5572479685511</v>
      </c>
      <c r="Q216" s="107">
        <f t="shared" si="124"/>
        <v>1128.9612016670617</v>
      </c>
      <c r="R216" s="143">
        <f t="shared" si="125"/>
        <v>9900.1238029295328</v>
      </c>
      <c r="S216" s="141">
        <f t="shared" si="126"/>
        <v>194.59</v>
      </c>
      <c r="T216" s="107">
        <f t="shared" si="112"/>
        <v>25.046230496373809</v>
      </c>
      <c r="U216" s="142">
        <f t="shared" si="127"/>
        <v>219.6362304963738</v>
      </c>
      <c r="V216" s="107"/>
      <c r="W216" s="107">
        <f t="shared" si="128"/>
        <v>0</v>
      </c>
      <c r="X216" s="142">
        <f t="shared" si="129"/>
        <v>0</v>
      </c>
      <c r="Y216" s="141">
        <v>10083.49</v>
      </c>
      <c r="Z216" s="144">
        <v>0</v>
      </c>
      <c r="AA216" s="107">
        <f t="shared" si="113"/>
        <v>1297.8745811597735</v>
      </c>
      <c r="AB216" s="142">
        <f t="shared" si="114"/>
        <v>11381.364581159773</v>
      </c>
      <c r="AC216" s="141">
        <v>354.22500000000002</v>
      </c>
      <c r="AD216" s="107">
        <f t="shared" si="130"/>
        <v>45.593303857228086</v>
      </c>
      <c r="AE216" s="142">
        <f t="shared" si="131"/>
        <v>399.8183038572281</v>
      </c>
      <c r="AF216" s="145">
        <v>479.6</v>
      </c>
      <c r="AG216" s="107">
        <f t="shared" si="132"/>
        <v>61.73067550265111</v>
      </c>
      <c r="AH216" s="142">
        <f t="shared" si="133"/>
        <v>541.33067550265116</v>
      </c>
      <c r="AI216" s="145">
        <v>1944.8</v>
      </c>
      <c r="AJ216" s="107">
        <f t="shared" si="134"/>
        <v>250.32072084561273</v>
      </c>
      <c r="AK216" s="142">
        <f t="shared" si="135"/>
        <v>2195.1207208456126</v>
      </c>
      <c r="AL216" s="146"/>
      <c r="AM216" s="146"/>
      <c r="AN216" s="107">
        <f t="shared" si="136"/>
        <v>0</v>
      </c>
      <c r="AO216" s="151">
        <f t="shared" si="137"/>
        <v>0</v>
      </c>
      <c r="AP216" s="282">
        <f t="shared" si="138"/>
        <v>9143.1090118571756</v>
      </c>
      <c r="AQ216" s="684">
        <v>0</v>
      </c>
      <c r="AR216" s="741">
        <v>5346.3294324976578</v>
      </c>
      <c r="AS216" s="741">
        <v>3716.7778026922915</v>
      </c>
      <c r="AT216" s="741">
        <v>80.001776667225442</v>
      </c>
      <c r="AU216" s="411">
        <v>0</v>
      </c>
      <c r="AV216" s="801"/>
      <c r="AW216" s="256"/>
      <c r="AX216" s="728">
        <f t="shared" si="139"/>
        <v>446.48332824810558</v>
      </c>
      <c r="AY216" s="729">
        <v>304.39533827930052</v>
      </c>
      <c r="AZ216" s="730"/>
      <c r="BA216" s="731">
        <v>0</v>
      </c>
      <c r="BC216" s="727">
        <v>172</v>
      </c>
      <c r="BD216" s="727">
        <v>274.48332824810558</v>
      </c>
      <c r="BE216" s="727"/>
      <c r="BF216" s="727"/>
      <c r="BG216" s="727">
        <v>0</v>
      </c>
      <c r="BH216" s="727">
        <v>18.004884238753085</v>
      </c>
      <c r="BI216" s="137">
        <f t="shared" si="141"/>
        <v>446.48332824810558</v>
      </c>
      <c r="BJ216" s="126">
        <v>884.5</v>
      </c>
      <c r="BK216" s="807"/>
      <c r="BL216" s="107"/>
      <c r="BM216" s="687"/>
      <c r="BO216" s="577"/>
      <c r="BS216" s="904"/>
      <c r="BT216" s="789"/>
      <c r="BU216" s="789">
        <v>5192.4023436854804</v>
      </c>
      <c r="BV216" s="789">
        <v>0</v>
      </c>
      <c r="BW216" s="789">
        <f t="shared" si="140"/>
        <v>5192.4023436854804</v>
      </c>
    </row>
    <row r="217" spans="1:75" ht="15" thickBot="1" x14ac:dyDescent="0.35">
      <c r="A217" s="219" t="s">
        <v>269</v>
      </c>
      <c r="B217" s="237">
        <v>5</v>
      </c>
      <c r="C217" s="40">
        <f>'[7]побудинковий звіт'!E217</f>
        <v>3505.5</v>
      </c>
      <c r="D217" s="215">
        <f t="shared" si="115"/>
        <v>1370.3619646883913</v>
      </c>
      <c r="E217" s="107">
        <f t="shared" si="116"/>
        <v>301.47988399969029</v>
      </c>
      <c r="F217" s="107">
        <f t="shared" si="117"/>
        <v>224.21450902291076</v>
      </c>
      <c r="G217" s="107">
        <f t="shared" si="118"/>
        <v>0</v>
      </c>
      <c r="H217" s="107">
        <f t="shared" si="119"/>
        <v>1144.9027419900081</v>
      </c>
      <c r="I217" s="107">
        <f t="shared" si="120"/>
        <v>391.41046580583088</v>
      </c>
      <c r="J217" s="687">
        <f t="shared" si="108"/>
        <v>0</v>
      </c>
      <c r="K217" s="142">
        <f t="shared" si="121"/>
        <v>3432.3695655068309</v>
      </c>
      <c r="L217" s="141">
        <f t="shared" si="109"/>
        <v>586.00545573858494</v>
      </c>
      <c r="M217" s="107">
        <f t="shared" si="110"/>
        <v>128.92059345976185</v>
      </c>
      <c r="N217" s="30">
        <f t="shared" si="122"/>
        <v>156.02980433342799</v>
      </c>
      <c r="O217" s="107">
        <f t="shared" si="111"/>
        <v>6.3109846775061413</v>
      </c>
      <c r="P217" s="107">
        <f t="shared" si="123"/>
        <v>489.59272833347472</v>
      </c>
      <c r="Q217" s="107">
        <f t="shared" si="124"/>
        <v>175.93236939104503</v>
      </c>
      <c r="R217" s="143">
        <f t="shared" si="125"/>
        <v>1542.7919359338007</v>
      </c>
      <c r="S217" s="141">
        <f t="shared" si="126"/>
        <v>96.975999999999999</v>
      </c>
      <c r="T217" s="107">
        <f t="shared" si="112"/>
        <v>12.482055853930554</v>
      </c>
      <c r="U217" s="142">
        <f t="shared" si="127"/>
        <v>109.45805585393055</v>
      </c>
      <c r="V217" s="107"/>
      <c r="W217" s="107">
        <f t="shared" si="128"/>
        <v>0</v>
      </c>
      <c r="X217" s="142">
        <f t="shared" si="129"/>
        <v>0</v>
      </c>
      <c r="Y217" s="141">
        <v>0</v>
      </c>
      <c r="Z217" s="144">
        <v>0</v>
      </c>
      <c r="AA217" s="107">
        <f t="shared" si="113"/>
        <v>0</v>
      </c>
      <c r="AB217" s="142">
        <f t="shared" si="114"/>
        <v>0</v>
      </c>
      <c r="AC217" s="141">
        <v>0</v>
      </c>
      <c r="AD217" s="107">
        <f t="shared" si="130"/>
        <v>0</v>
      </c>
      <c r="AE217" s="142">
        <f t="shared" si="131"/>
        <v>0</v>
      </c>
      <c r="AF217" s="145">
        <v>147.4</v>
      </c>
      <c r="AG217" s="107">
        <f t="shared" si="132"/>
        <v>18.97227182879644</v>
      </c>
      <c r="AH217" s="142">
        <f t="shared" si="133"/>
        <v>166.37227182879644</v>
      </c>
      <c r="AI217" s="145">
        <v>0</v>
      </c>
      <c r="AJ217" s="107">
        <f t="shared" si="134"/>
        <v>0</v>
      </c>
      <c r="AK217" s="142">
        <f t="shared" si="135"/>
        <v>0</v>
      </c>
      <c r="AL217" s="146"/>
      <c r="AM217" s="146"/>
      <c r="AN217" s="107">
        <f t="shared" si="136"/>
        <v>0</v>
      </c>
      <c r="AO217" s="151">
        <f t="shared" si="137"/>
        <v>0</v>
      </c>
      <c r="AP217" s="282">
        <f t="shared" si="138"/>
        <v>1692.0594385294705</v>
      </c>
      <c r="AQ217" s="684">
        <v>113.88</v>
      </c>
      <c r="AR217" s="740">
        <v>1150.8322762106816</v>
      </c>
      <c r="AS217" s="740">
        <v>525.68259482273641</v>
      </c>
      <c r="AT217" s="740">
        <v>15.544567496052688</v>
      </c>
      <c r="AU217" s="411">
        <v>0</v>
      </c>
      <c r="AV217" s="801"/>
      <c r="AW217" s="256"/>
      <c r="AX217" s="728">
        <f t="shared" si="139"/>
        <v>107.20450902291076</v>
      </c>
      <c r="AY217" s="729">
        <v>72.029804333427975</v>
      </c>
      <c r="AZ217" s="730"/>
      <c r="BA217" s="731">
        <v>84</v>
      </c>
      <c r="BC217" s="727">
        <v>0</v>
      </c>
      <c r="BD217" s="727">
        <v>107.20450902291076</v>
      </c>
      <c r="BE217" s="727"/>
      <c r="BF217" s="727"/>
      <c r="BG217" s="727">
        <v>0</v>
      </c>
      <c r="BH217" s="727">
        <v>0</v>
      </c>
      <c r="BI217" s="137">
        <f t="shared" si="141"/>
        <v>107.20450902291076</v>
      </c>
      <c r="BJ217" s="126">
        <v>440.8</v>
      </c>
      <c r="BK217" s="807"/>
      <c r="BL217" s="107"/>
      <c r="BM217" s="687">
        <v>117.01</v>
      </c>
      <c r="BO217" s="577"/>
      <c r="BS217" s="904"/>
      <c r="BT217" s="789"/>
      <c r="BU217" s="789">
        <v>1129.4903066803954</v>
      </c>
      <c r="BV217" s="789">
        <v>0</v>
      </c>
      <c r="BW217" s="789">
        <f t="shared" si="140"/>
        <v>1129.4903066803954</v>
      </c>
    </row>
    <row r="218" spans="1:75" ht="15" thickBot="1" x14ac:dyDescent="0.35">
      <c r="A218" s="219" t="s">
        <v>270</v>
      </c>
      <c r="B218" s="237">
        <v>5</v>
      </c>
      <c r="C218" s="40">
        <f>'[7]побудинковий звіт'!E218</f>
        <v>3564.3</v>
      </c>
      <c r="D218" s="215">
        <f t="shared" si="115"/>
        <v>1144.7418566859751</v>
      </c>
      <c r="E218" s="107">
        <f t="shared" si="116"/>
        <v>251.84341878735262</v>
      </c>
      <c r="F218" s="107">
        <f t="shared" si="117"/>
        <v>108.95338901495664</v>
      </c>
      <c r="G218" s="107">
        <f t="shared" si="118"/>
        <v>0</v>
      </c>
      <c r="H218" s="107">
        <f t="shared" si="119"/>
        <v>956.40285148203839</v>
      </c>
      <c r="I218" s="107">
        <f t="shared" si="120"/>
        <v>316.88347128621547</v>
      </c>
      <c r="J218" s="687">
        <f t="shared" si="108"/>
        <v>0</v>
      </c>
      <c r="K218" s="142">
        <f t="shared" si="121"/>
        <v>2778.8249872565384</v>
      </c>
      <c r="L218" s="141">
        <f t="shared" si="109"/>
        <v>608.62523846557735</v>
      </c>
      <c r="M218" s="107">
        <f t="shared" si="110"/>
        <v>133.89692223714377</v>
      </c>
      <c r="N218" s="30">
        <f t="shared" si="122"/>
        <v>73.204862031820042</v>
      </c>
      <c r="O218" s="107">
        <f t="shared" si="111"/>
        <v>6.4168428714976864</v>
      </c>
      <c r="P218" s="107">
        <f t="shared" si="123"/>
        <v>508.4909843670481</v>
      </c>
      <c r="Q218" s="107">
        <f t="shared" si="124"/>
        <v>171.26978343662944</v>
      </c>
      <c r="R218" s="143">
        <f t="shared" si="125"/>
        <v>1501.9046334097166</v>
      </c>
      <c r="S218" s="141">
        <f t="shared" si="126"/>
        <v>156.97</v>
      </c>
      <c r="T218" s="107">
        <f t="shared" si="112"/>
        <v>20.204053656486956</v>
      </c>
      <c r="U218" s="142">
        <f t="shared" si="127"/>
        <v>177.17405365648696</v>
      </c>
      <c r="V218" s="107"/>
      <c r="W218" s="107">
        <f t="shared" si="128"/>
        <v>0</v>
      </c>
      <c r="X218" s="142">
        <f t="shared" si="129"/>
        <v>0</v>
      </c>
      <c r="Y218" s="141">
        <v>0</v>
      </c>
      <c r="Z218" s="144">
        <v>0</v>
      </c>
      <c r="AA218" s="107">
        <f t="shared" si="113"/>
        <v>0</v>
      </c>
      <c r="AB218" s="142">
        <f t="shared" si="114"/>
        <v>0</v>
      </c>
      <c r="AC218" s="141">
        <v>0</v>
      </c>
      <c r="AD218" s="107">
        <f t="shared" si="130"/>
        <v>0</v>
      </c>
      <c r="AE218" s="142">
        <f t="shared" si="131"/>
        <v>0</v>
      </c>
      <c r="AF218" s="145">
        <v>481.8</v>
      </c>
      <c r="AG218" s="107">
        <f t="shared" si="132"/>
        <v>62.013843738901798</v>
      </c>
      <c r="AH218" s="142">
        <f t="shared" si="133"/>
        <v>543.81384373890182</v>
      </c>
      <c r="AI218" s="145">
        <v>0</v>
      </c>
      <c r="AJ218" s="107">
        <f t="shared" si="134"/>
        <v>0</v>
      </c>
      <c r="AK218" s="142">
        <f t="shared" si="135"/>
        <v>0</v>
      </c>
      <c r="AL218" s="146"/>
      <c r="AM218" s="146"/>
      <c r="AN218" s="107">
        <f t="shared" si="136"/>
        <v>0</v>
      </c>
      <c r="AO218" s="151">
        <f t="shared" si="137"/>
        <v>0</v>
      </c>
      <c r="AP218" s="282">
        <f t="shared" si="138"/>
        <v>1478.6951243139672</v>
      </c>
      <c r="AQ218" s="684">
        <v>139.91</v>
      </c>
      <c r="AR218" s="740">
        <v>916.5766192649852</v>
      </c>
      <c r="AS218" s="740">
        <v>536.90469294025434</v>
      </c>
      <c r="AT218" s="740">
        <v>25.213812108727648</v>
      </c>
      <c r="AU218" s="411">
        <v>0</v>
      </c>
      <c r="AV218" s="801"/>
      <c r="AW218" s="256"/>
      <c r="AX218" s="728">
        <f t="shared" si="139"/>
        <v>108.95338901495664</v>
      </c>
      <c r="AY218" s="729">
        <v>73.204862031820042</v>
      </c>
      <c r="AZ218" s="730"/>
      <c r="BA218" s="731">
        <v>0</v>
      </c>
      <c r="BC218" s="727">
        <v>0</v>
      </c>
      <c r="BD218" s="727">
        <v>108.95338901495664</v>
      </c>
      <c r="BE218" s="727"/>
      <c r="BF218" s="727"/>
      <c r="BG218" s="727">
        <v>0</v>
      </c>
      <c r="BH218" s="727">
        <v>0</v>
      </c>
      <c r="BI218" s="137">
        <f t="shared" si="141"/>
        <v>108.95338901495664</v>
      </c>
      <c r="BJ218" s="126">
        <v>713.5</v>
      </c>
      <c r="BK218" s="807"/>
      <c r="BL218" s="107"/>
      <c r="BM218" s="687"/>
      <c r="BO218" s="577"/>
      <c r="BS218" s="904"/>
      <c r="BT218" s="789"/>
      <c r="BU218" s="789">
        <v>897.7214845087409</v>
      </c>
      <c r="BV218" s="789">
        <v>0</v>
      </c>
      <c r="BW218" s="789">
        <f t="shared" si="140"/>
        <v>897.7214845087409</v>
      </c>
    </row>
    <row r="219" spans="1:75" ht="15" thickBot="1" x14ac:dyDescent="0.35">
      <c r="A219" s="219" t="s">
        <v>271</v>
      </c>
      <c r="B219" s="237">
        <v>5</v>
      </c>
      <c r="C219" s="40">
        <f>'[7]побудинковий звіт'!E219</f>
        <v>3571.4</v>
      </c>
      <c r="D219" s="215">
        <f t="shared" si="115"/>
        <v>989.79551879568044</v>
      </c>
      <c r="E219" s="107">
        <f t="shared" si="116"/>
        <v>217.75519598414235</v>
      </c>
      <c r="F219" s="107">
        <f t="shared" si="117"/>
        <v>284.70798761524276</v>
      </c>
      <c r="G219" s="107">
        <f t="shared" si="118"/>
        <v>0</v>
      </c>
      <c r="H219" s="107">
        <f t="shared" si="119"/>
        <v>826.9491073741832</v>
      </c>
      <c r="I219" s="107">
        <f t="shared" si="120"/>
        <v>298.51181135963236</v>
      </c>
      <c r="J219" s="687">
        <f t="shared" si="108"/>
        <v>0</v>
      </c>
      <c r="K219" s="142">
        <f t="shared" si="121"/>
        <v>2617.719621128881</v>
      </c>
      <c r="L219" s="141">
        <f t="shared" si="109"/>
        <v>721.26183241746776</v>
      </c>
      <c r="M219" s="107">
        <f t="shared" si="110"/>
        <v>158.67685627250501</v>
      </c>
      <c r="N219" s="30">
        <f t="shared" si="122"/>
        <v>157.3692057658609</v>
      </c>
      <c r="O219" s="107">
        <f t="shared" si="111"/>
        <v>6.4296250683912231</v>
      </c>
      <c r="P219" s="107">
        <f t="shared" si="123"/>
        <v>602.5960081395508</v>
      </c>
      <c r="Q219" s="107">
        <f t="shared" si="124"/>
        <v>211.90425514042414</v>
      </c>
      <c r="R219" s="143">
        <f t="shared" si="125"/>
        <v>1858.2377828041999</v>
      </c>
      <c r="S219" s="141">
        <f t="shared" si="126"/>
        <v>159.87400000000002</v>
      </c>
      <c r="T219" s="107">
        <f t="shared" si="112"/>
        <v>20.577835728337874</v>
      </c>
      <c r="U219" s="142">
        <f t="shared" si="127"/>
        <v>180.4518357283379</v>
      </c>
      <c r="V219" s="107"/>
      <c r="W219" s="107">
        <f t="shared" si="128"/>
        <v>0</v>
      </c>
      <c r="X219" s="142">
        <f t="shared" si="129"/>
        <v>0</v>
      </c>
      <c r="Y219" s="141">
        <v>0</v>
      </c>
      <c r="Z219" s="144">
        <v>0</v>
      </c>
      <c r="AA219" s="107">
        <f t="shared" si="113"/>
        <v>0</v>
      </c>
      <c r="AB219" s="142">
        <f t="shared" si="114"/>
        <v>0</v>
      </c>
      <c r="AC219" s="141">
        <v>0</v>
      </c>
      <c r="AD219" s="107">
        <f t="shared" si="130"/>
        <v>0</v>
      </c>
      <c r="AE219" s="142">
        <f t="shared" si="131"/>
        <v>0</v>
      </c>
      <c r="AF219" s="145">
        <v>1214.4000000000001</v>
      </c>
      <c r="AG219" s="107">
        <f t="shared" si="132"/>
        <v>156.30886641038262</v>
      </c>
      <c r="AH219" s="142">
        <f t="shared" si="133"/>
        <v>1370.7088664103826</v>
      </c>
      <c r="AI219" s="145">
        <v>0</v>
      </c>
      <c r="AJ219" s="107">
        <f t="shared" si="134"/>
        <v>0</v>
      </c>
      <c r="AK219" s="142">
        <f t="shared" si="135"/>
        <v>0</v>
      </c>
      <c r="AL219" s="146"/>
      <c r="AM219" s="401"/>
      <c r="AN219" s="107">
        <f t="shared" si="136"/>
        <v>0</v>
      </c>
      <c r="AO219" s="151">
        <f t="shared" si="137"/>
        <v>0</v>
      </c>
      <c r="AP219" s="282">
        <f t="shared" si="138"/>
        <v>1450.5742800547998</v>
      </c>
      <c r="AQ219" s="684">
        <v>129.06</v>
      </c>
      <c r="AR219" s="740">
        <v>784.42605391559266</v>
      </c>
      <c r="AS219" s="740">
        <v>640.52287557178443</v>
      </c>
      <c r="AT219" s="740">
        <v>25.625350567422789</v>
      </c>
      <c r="AU219" s="411">
        <v>0</v>
      </c>
      <c r="AV219" s="801"/>
      <c r="AW219" s="256"/>
      <c r="AX219" s="728">
        <f t="shared" si="139"/>
        <v>109.19798761524278</v>
      </c>
      <c r="AY219" s="729">
        <v>73.369205765860897</v>
      </c>
      <c r="AZ219" s="730"/>
      <c r="BA219" s="731">
        <v>84</v>
      </c>
      <c r="BC219" s="727">
        <v>0</v>
      </c>
      <c r="BD219" s="727">
        <v>109.19798761524278</v>
      </c>
      <c r="BE219" s="727"/>
      <c r="BF219" s="727"/>
      <c r="BG219" s="727">
        <v>0</v>
      </c>
      <c r="BH219" s="727">
        <v>0</v>
      </c>
      <c r="BI219" s="137">
        <f t="shared" si="141"/>
        <v>109.19798761524278</v>
      </c>
      <c r="BJ219" s="126">
        <v>726.7</v>
      </c>
      <c r="BK219" s="807"/>
      <c r="BL219" s="107"/>
      <c r="BM219" s="687">
        <v>175.51</v>
      </c>
      <c r="BO219" s="577"/>
      <c r="BS219" s="904"/>
      <c r="BT219" s="789"/>
      <c r="BU219" s="789">
        <v>769.88631172354474</v>
      </c>
      <c r="BV219" s="789">
        <v>0</v>
      </c>
      <c r="BW219" s="789">
        <f t="shared" si="140"/>
        <v>769.88631172354474</v>
      </c>
    </row>
    <row r="220" spans="1:75" ht="15" thickBot="1" x14ac:dyDescent="0.35">
      <c r="A220" s="219" t="s">
        <v>272</v>
      </c>
      <c r="B220" s="237">
        <v>5</v>
      </c>
      <c r="C220" s="40">
        <f>'[7]побудинковий звіт'!E220</f>
        <v>2747.6</v>
      </c>
      <c r="D220" s="215">
        <f t="shared" si="115"/>
        <v>1285.7968975370682</v>
      </c>
      <c r="E220" s="107">
        <f t="shared" si="116"/>
        <v>282.8755536897753</v>
      </c>
      <c r="F220" s="107">
        <f t="shared" si="117"/>
        <v>431.81174522700064</v>
      </c>
      <c r="G220" s="107">
        <f t="shared" si="118"/>
        <v>0</v>
      </c>
      <c r="H220" s="107">
        <f t="shared" si="119"/>
        <v>1074.2507684582306</v>
      </c>
      <c r="I220" s="107">
        <f t="shared" si="120"/>
        <v>395.75785316022228</v>
      </c>
      <c r="J220" s="687">
        <f t="shared" si="108"/>
        <v>0</v>
      </c>
      <c r="K220" s="142">
        <f t="shared" si="121"/>
        <v>3470.4928180722968</v>
      </c>
      <c r="L220" s="141">
        <f t="shared" si="109"/>
        <v>442.25735366782254</v>
      </c>
      <c r="M220" s="107">
        <f t="shared" si="110"/>
        <v>97.296159853901003</v>
      </c>
      <c r="N220" s="30">
        <f t="shared" si="122"/>
        <v>54.276572463665424</v>
      </c>
      <c r="O220" s="107">
        <f t="shared" si="111"/>
        <v>4.9465301668566175</v>
      </c>
      <c r="P220" s="107">
        <f t="shared" si="123"/>
        <v>369.49482686107143</v>
      </c>
      <c r="Q220" s="107">
        <f t="shared" si="124"/>
        <v>124.62896214999749</v>
      </c>
      <c r="R220" s="143">
        <f t="shared" si="125"/>
        <v>1092.9004051633144</v>
      </c>
      <c r="S220" s="141">
        <f t="shared" si="126"/>
        <v>51.898000000000003</v>
      </c>
      <c r="T220" s="107">
        <f t="shared" si="112"/>
        <v>6.6799386931538516</v>
      </c>
      <c r="U220" s="142">
        <f t="shared" si="127"/>
        <v>58.577938693153854</v>
      </c>
      <c r="V220" s="107"/>
      <c r="W220" s="107">
        <f t="shared" si="128"/>
        <v>0</v>
      </c>
      <c r="X220" s="142">
        <f t="shared" si="129"/>
        <v>0</v>
      </c>
      <c r="Y220" s="141">
        <v>0</v>
      </c>
      <c r="Z220" s="144">
        <v>0</v>
      </c>
      <c r="AA220" s="107">
        <f t="shared" si="113"/>
        <v>0</v>
      </c>
      <c r="AB220" s="142">
        <f t="shared" si="114"/>
        <v>0</v>
      </c>
      <c r="AC220" s="141">
        <v>0</v>
      </c>
      <c r="AD220" s="107">
        <f t="shared" si="130"/>
        <v>0</v>
      </c>
      <c r="AE220" s="142">
        <f t="shared" si="131"/>
        <v>0</v>
      </c>
      <c r="AF220" s="145">
        <v>220</v>
      </c>
      <c r="AG220" s="107">
        <f t="shared" si="132"/>
        <v>28.316823625069315</v>
      </c>
      <c r="AH220" s="142">
        <f t="shared" si="133"/>
        <v>248.3168236250693</v>
      </c>
      <c r="AI220" s="145">
        <v>0</v>
      </c>
      <c r="AJ220" s="107">
        <f t="shared" si="134"/>
        <v>0</v>
      </c>
      <c r="AK220" s="142">
        <f t="shared" si="135"/>
        <v>0</v>
      </c>
      <c r="AL220" s="146">
        <v>765</v>
      </c>
      <c r="AM220" s="146"/>
      <c r="AN220" s="107">
        <f t="shared" si="136"/>
        <v>98.46531851444557</v>
      </c>
      <c r="AO220" s="151">
        <f t="shared" si="137"/>
        <v>863.46531851444558</v>
      </c>
      <c r="AP220" s="282">
        <f t="shared" si="138"/>
        <v>1481.2501029409793</v>
      </c>
      <c r="AQ220" s="684">
        <v>113.88</v>
      </c>
      <c r="AR220" s="740">
        <v>1072.7868536721344</v>
      </c>
      <c r="AS220" s="740">
        <v>400.14660323496463</v>
      </c>
      <c r="AT220" s="740">
        <v>8.3166460338803301</v>
      </c>
      <c r="AU220" s="411">
        <v>0</v>
      </c>
      <c r="AV220" s="801"/>
      <c r="AW220" s="256"/>
      <c r="AX220" s="728">
        <f t="shared" si="139"/>
        <v>80.781745227000684</v>
      </c>
      <c r="AY220" s="729">
        <v>54.276572463665424</v>
      </c>
      <c r="AZ220" s="730"/>
      <c r="BA220" s="731">
        <v>0</v>
      </c>
      <c r="BC220" s="727">
        <v>0</v>
      </c>
      <c r="BD220" s="727">
        <v>80.781745227000684</v>
      </c>
      <c r="BE220" s="727"/>
      <c r="BF220" s="727"/>
      <c r="BG220" s="727">
        <v>0</v>
      </c>
      <c r="BH220" s="727">
        <v>0</v>
      </c>
      <c r="BI220" s="137">
        <f t="shared" si="141"/>
        <v>80.781745227000684</v>
      </c>
      <c r="BJ220" s="126">
        <v>235.9</v>
      </c>
      <c r="BK220" s="807"/>
      <c r="BL220" s="107"/>
      <c r="BM220" s="687">
        <v>351.03</v>
      </c>
      <c r="BO220" s="577"/>
      <c r="BS220" s="904"/>
      <c r="BT220" s="789"/>
      <c r="BU220" s="789">
        <v>1052.8923674162666</v>
      </c>
      <c r="BV220" s="789">
        <v>0</v>
      </c>
      <c r="BW220" s="789">
        <f t="shared" si="140"/>
        <v>1052.8923674162666</v>
      </c>
    </row>
    <row r="221" spans="1:75" ht="15" thickBot="1" x14ac:dyDescent="0.35">
      <c r="A221" s="219" t="s">
        <v>216</v>
      </c>
      <c r="B221" s="237">
        <v>4</v>
      </c>
      <c r="C221" s="40">
        <f>'[7]побудинковий звіт'!E221</f>
        <v>2524.1999999999998</v>
      </c>
      <c r="D221" s="215">
        <f t="shared" si="115"/>
        <v>880.53960721043518</v>
      </c>
      <c r="E221" s="107">
        <f t="shared" si="116"/>
        <v>193.71887536246624</v>
      </c>
      <c r="F221" s="107">
        <f t="shared" si="117"/>
        <v>73.575870462571061</v>
      </c>
      <c r="G221" s="107">
        <f t="shared" si="118"/>
        <v>0</v>
      </c>
      <c r="H221" s="107">
        <f t="shared" si="119"/>
        <v>735.66855816468365</v>
      </c>
      <c r="I221" s="107">
        <f t="shared" si="120"/>
        <v>242.43099878981548</v>
      </c>
      <c r="J221" s="687">
        <f t="shared" si="108"/>
        <v>0</v>
      </c>
      <c r="K221" s="142">
        <f t="shared" si="121"/>
        <v>2125.9339099899717</v>
      </c>
      <c r="L221" s="141">
        <f t="shared" si="109"/>
        <v>674.72944500857909</v>
      </c>
      <c r="M221" s="107">
        <f t="shared" si="110"/>
        <v>148.43977922636637</v>
      </c>
      <c r="N221" s="30">
        <f t="shared" si="122"/>
        <v>49.435006058822054</v>
      </c>
      <c r="O221" s="107">
        <f t="shared" si="111"/>
        <v>4.5443410420656116</v>
      </c>
      <c r="P221" s="107">
        <f t="shared" si="123"/>
        <v>563.71937604629773</v>
      </c>
      <c r="Q221" s="107">
        <f t="shared" si="124"/>
        <v>185.45819787743386</v>
      </c>
      <c r="R221" s="143">
        <f t="shared" si="125"/>
        <v>1626.3261452595646</v>
      </c>
      <c r="S221" s="141">
        <f t="shared" si="126"/>
        <v>64.728400000000008</v>
      </c>
      <c r="T221" s="107">
        <f t="shared" si="112"/>
        <v>8.3313758469678945</v>
      </c>
      <c r="U221" s="142">
        <f t="shared" si="127"/>
        <v>73.059775846967909</v>
      </c>
      <c r="V221" s="107"/>
      <c r="W221" s="107">
        <f t="shared" si="128"/>
        <v>0</v>
      </c>
      <c r="X221" s="142">
        <f t="shared" si="129"/>
        <v>0</v>
      </c>
      <c r="Y221" s="141">
        <v>0</v>
      </c>
      <c r="Z221" s="144">
        <v>0</v>
      </c>
      <c r="AA221" s="107">
        <f t="shared" si="113"/>
        <v>0</v>
      </c>
      <c r="AB221" s="142">
        <f t="shared" si="114"/>
        <v>0</v>
      </c>
      <c r="AC221" s="141">
        <v>0</v>
      </c>
      <c r="AD221" s="107">
        <f t="shared" si="130"/>
        <v>0</v>
      </c>
      <c r="AE221" s="142">
        <f t="shared" si="131"/>
        <v>0</v>
      </c>
      <c r="AF221" s="145">
        <v>231</v>
      </c>
      <c r="AG221" s="107">
        <f t="shared" si="132"/>
        <v>29.732664806322781</v>
      </c>
      <c r="AH221" s="142">
        <f t="shared" si="133"/>
        <v>260.73266480632276</v>
      </c>
      <c r="AI221" s="145">
        <v>0</v>
      </c>
      <c r="AJ221" s="107">
        <f t="shared" si="134"/>
        <v>0</v>
      </c>
      <c r="AK221" s="142">
        <f t="shared" si="135"/>
        <v>0</v>
      </c>
      <c r="AL221" s="146"/>
      <c r="AM221" s="146"/>
      <c r="AN221" s="107">
        <f t="shared" si="136"/>
        <v>0</v>
      </c>
      <c r="AO221" s="151">
        <f t="shared" si="137"/>
        <v>0</v>
      </c>
      <c r="AP221" s="282">
        <f t="shared" si="138"/>
        <v>1410.4948638301796</v>
      </c>
      <c r="AQ221" s="684">
        <v>25.33</v>
      </c>
      <c r="AR221" s="740">
        <v>787.32335701432635</v>
      </c>
      <c r="AS221" s="740">
        <v>612.71707506155292</v>
      </c>
      <c r="AT221" s="740">
        <v>10.454431754300224</v>
      </c>
      <c r="AU221" s="411">
        <v>0</v>
      </c>
      <c r="AV221" s="801"/>
      <c r="AW221" s="256"/>
      <c r="AX221" s="728">
        <f t="shared" si="139"/>
        <v>73.575870462571061</v>
      </c>
      <c r="AY221" s="729">
        <v>49.435006058822054</v>
      </c>
      <c r="AZ221" s="730"/>
      <c r="BA221" s="731">
        <v>0</v>
      </c>
      <c r="BC221" s="727">
        <v>0</v>
      </c>
      <c r="BD221" s="727">
        <v>73.575870462571061</v>
      </c>
      <c r="BE221" s="727"/>
      <c r="BF221" s="727"/>
      <c r="BG221" s="727">
        <v>0</v>
      </c>
      <c r="BH221" s="727">
        <v>0</v>
      </c>
      <c r="BI221" s="137">
        <f t="shared" si="141"/>
        <v>73.575870462571061</v>
      </c>
      <c r="BJ221" s="126">
        <v>294.22000000000003</v>
      </c>
      <c r="BK221" s="807"/>
      <c r="BL221" s="107"/>
      <c r="BM221" s="687"/>
      <c r="BO221" s="577"/>
      <c r="BS221" s="904"/>
      <c r="BT221" s="789"/>
      <c r="BU221" s="789">
        <v>766.71646893617719</v>
      </c>
      <c r="BV221" s="789">
        <v>0</v>
      </c>
      <c r="BW221" s="789">
        <f t="shared" si="140"/>
        <v>766.71646893617719</v>
      </c>
    </row>
    <row r="222" spans="1:75" ht="15" thickBot="1" x14ac:dyDescent="0.35">
      <c r="A222" s="219" t="s">
        <v>179</v>
      </c>
      <c r="B222" s="237">
        <v>2</v>
      </c>
      <c r="C222" s="40">
        <f>'[7]побудинковий звіт'!E222</f>
        <v>911.81</v>
      </c>
      <c r="D222" s="215">
        <f t="shared" si="115"/>
        <v>286.48247378298356</v>
      </c>
      <c r="E222" s="107">
        <f t="shared" si="116"/>
        <v>63.02619686593367</v>
      </c>
      <c r="F222" s="107">
        <f t="shared" si="117"/>
        <v>23.322782285533627</v>
      </c>
      <c r="G222" s="107">
        <f t="shared" si="118"/>
        <v>0</v>
      </c>
      <c r="H222" s="107">
        <f t="shared" si="119"/>
        <v>239.34885688453977</v>
      </c>
      <c r="I222" s="107">
        <f t="shared" si="120"/>
        <v>78.79546299947566</v>
      </c>
      <c r="J222" s="687">
        <f t="shared" si="108"/>
        <v>0</v>
      </c>
      <c r="K222" s="142">
        <f t="shared" si="121"/>
        <v>690.97577281846634</v>
      </c>
      <c r="L222" s="141">
        <f t="shared" si="109"/>
        <v>0</v>
      </c>
      <c r="M222" s="107">
        <f t="shared" si="110"/>
        <v>0</v>
      </c>
      <c r="N222" s="30">
        <f t="shared" si="122"/>
        <v>0</v>
      </c>
      <c r="O222" s="107">
        <f t="shared" si="111"/>
        <v>1.6415401337318141</v>
      </c>
      <c r="P222" s="107">
        <f t="shared" si="123"/>
        <v>0</v>
      </c>
      <c r="Q222" s="107">
        <f t="shared" si="124"/>
        <v>0.21128728381980216</v>
      </c>
      <c r="R222" s="143">
        <f t="shared" si="125"/>
        <v>1.8528274175516162</v>
      </c>
      <c r="S222" s="141">
        <f t="shared" si="126"/>
        <v>0</v>
      </c>
      <c r="T222" s="107">
        <f t="shared" si="112"/>
        <v>0</v>
      </c>
      <c r="U222" s="142">
        <f t="shared" si="127"/>
        <v>0</v>
      </c>
      <c r="V222" s="107"/>
      <c r="W222" s="107">
        <f t="shared" si="128"/>
        <v>0</v>
      </c>
      <c r="X222" s="142">
        <f t="shared" si="129"/>
        <v>0</v>
      </c>
      <c r="Y222" s="141">
        <v>0</v>
      </c>
      <c r="Z222" s="144">
        <v>0</v>
      </c>
      <c r="AA222" s="107">
        <f t="shared" si="113"/>
        <v>0</v>
      </c>
      <c r="AB222" s="142">
        <f t="shared" si="114"/>
        <v>0</v>
      </c>
      <c r="AC222" s="141">
        <v>0</v>
      </c>
      <c r="AD222" s="107">
        <f t="shared" si="130"/>
        <v>0</v>
      </c>
      <c r="AE222" s="142">
        <f t="shared" si="131"/>
        <v>0</v>
      </c>
      <c r="AF222" s="145">
        <v>264</v>
      </c>
      <c r="AG222" s="107">
        <f t="shared" si="132"/>
        <v>33.980188350083175</v>
      </c>
      <c r="AH222" s="680">
        <f>AF222+AG222</f>
        <v>297.98018835008315</v>
      </c>
      <c r="AI222" s="145">
        <v>0</v>
      </c>
      <c r="AJ222" s="107">
        <f t="shared" si="134"/>
        <v>0</v>
      </c>
      <c r="AK222" s="142">
        <f t="shared" si="135"/>
        <v>0</v>
      </c>
      <c r="AL222" s="146"/>
      <c r="AM222" s="146"/>
      <c r="AN222" s="107">
        <f t="shared" si="136"/>
        <v>0</v>
      </c>
      <c r="AO222" s="151">
        <f t="shared" si="137"/>
        <v>0</v>
      </c>
      <c r="AP222" s="282">
        <f t="shared" si="138"/>
        <v>228.61576611784616</v>
      </c>
      <c r="AQ222" s="684">
        <v>35.78</v>
      </c>
      <c r="AR222" s="740">
        <v>228.61576611784616</v>
      </c>
      <c r="AS222" s="740">
        <v>0</v>
      </c>
      <c r="AT222" s="740">
        <v>0</v>
      </c>
      <c r="AU222" s="411">
        <v>0</v>
      </c>
      <c r="AV222" s="801"/>
      <c r="AW222" s="256"/>
      <c r="AX222" s="728">
        <f t="shared" si="139"/>
        <v>23.322782285533627</v>
      </c>
      <c r="AY222" s="729">
        <v>0</v>
      </c>
      <c r="AZ222" s="730"/>
      <c r="BA222" s="731">
        <v>0</v>
      </c>
      <c r="BC222" s="727">
        <v>0</v>
      </c>
      <c r="BD222" s="727">
        <v>23.322782285533627</v>
      </c>
      <c r="BE222" s="727"/>
      <c r="BF222" s="727"/>
      <c r="BG222" s="727">
        <v>0</v>
      </c>
      <c r="BH222" s="727">
        <v>0</v>
      </c>
      <c r="BI222" s="137">
        <f t="shared" si="141"/>
        <v>23.322782285533627</v>
      </c>
      <c r="BJ222" s="126"/>
      <c r="BK222" s="807"/>
      <c r="BL222" s="107"/>
      <c r="BM222" s="687"/>
      <c r="BO222" s="577"/>
      <c r="BS222" s="904"/>
      <c r="BT222" s="789"/>
      <c r="BU222" s="789">
        <v>222.62751152291759</v>
      </c>
      <c r="BV222" s="789">
        <v>0</v>
      </c>
      <c r="BW222" s="789">
        <f t="shared" si="140"/>
        <v>222.62751152291759</v>
      </c>
    </row>
    <row r="223" spans="1:75" ht="15" thickBot="1" x14ac:dyDescent="0.35">
      <c r="A223" s="220" t="s">
        <v>125</v>
      </c>
      <c r="B223" s="238">
        <v>1</v>
      </c>
      <c r="C223" s="40">
        <f>'[7]побудинковий звіт'!E223</f>
        <v>63</v>
      </c>
      <c r="D223" s="215">
        <f t="shared" si="115"/>
        <v>0</v>
      </c>
      <c r="E223" s="107">
        <f t="shared" si="116"/>
        <v>0</v>
      </c>
      <c r="F223" s="107">
        <f t="shared" si="117"/>
        <v>0</v>
      </c>
      <c r="G223" s="107">
        <f t="shared" si="118"/>
        <v>0</v>
      </c>
      <c r="H223" s="107">
        <f t="shared" si="119"/>
        <v>0</v>
      </c>
      <c r="I223" s="107">
        <f t="shared" si="120"/>
        <v>0</v>
      </c>
      <c r="J223" s="687">
        <f t="shared" si="108"/>
        <v>0</v>
      </c>
      <c r="K223" s="142">
        <f t="shared" si="121"/>
        <v>0</v>
      </c>
      <c r="L223" s="141">
        <f t="shared" si="109"/>
        <v>0</v>
      </c>
      <c r="M223" s="107">
        <f t="shared" si="110"/>
        <v>0</v>
      </c>
      <c r="N223" s="30">
        <f t="shared" si="122"/>
        <v>0</v>
      </c>
      <c r="O223" s="107">
        <f t="shared" si="111"/>
        <v>0.11341949356236967</v>
      </c>
      <c r="P223" s="107">
        <f t="shared" si="123"/>
        <v>0</v>
      </c>
      <c r="Q223" s="107">
        <f t="shared" si="124"/>
        <v>1.4598544522046848E-2</v>
      </c>
      <c r="R223" s="143">
        <f t="shared" si="125"/>
        <v>0.12801803808441653</v>
      </c>
      <c r="S223" s="141">
        <f t="shared" si="126"/>
        <v>0</v>
      </c>
      <c r="T223" s="107">
        <f t="shared" si="112"/>
        <v>0</v>
      </c>
      <c r="U223" s="142">
        <f t="shared" si="127"/>
        <v>0</v>
      </c>
      <c r="V223" s="107"/>
      <c r="W223" s="107">
        <f t="shared" si="128"/>
        <v>0</v>
      </c>
      <c r="X223" s="142">
        <f t="shared" si="129"/>
        <v>0</v>
      </c>
      <c r="Y223" s="141">
        <v>0</v>
      </c>
      <c r="Z223" s="144">
        <v>0</v>
      </c>
      <c r="AA223" s="107">
        <f t="shared" si="113"/>
        <v>0</v>
      </c>
      <c r="AB223" s="142">
        <f t="shared" si="114"/>
        <v>0</v>
      </c>
      <c r="AC223" s="141">
        <v>0</v>
      </c>
      <c r="AD223" s="107">
        <f t="shared" si="130"/>
        <v>0</v>
      </c>
      <c r="AE223" s="142">
        <f t="shared" si="131"/>
        <v>0</v>
      </c>
      <c r="AF223" s="145">
        <v>0</v>
      </c>
      <c r="AG223" s="107">
        <f t="shared" si="132"/>
        <v>0</v>
      </c>
      <c r="AH223" s="142">
        <f t="shared" si="133"/>
        <v>0</v>
      </c>
      <c r="AI223" s="145">
        <v>0</v>
      </c>
      <c r="AJ223" s="107">
        <f t="shared" si="134"/>
        <v>0</v>
      </c>
      <c r="AK223" s="142">
        <f t="shared" si="135"/>
        <v>0</v>
      </c>
      <c r="AL223" s="146"/>
      <c r="AM223" s="215"/>
      <c r="AN223" s="107">
        <f t="shared" si="136"/>
        <v>0</v>
      </c>
      <c r="AO223" s="151">
        <f t="shared" si="137"/>
        <v>0</v>
      </c>
      <c r="AP223" s="282">
        <f t="shared" si="138"/>
        <v>0</v>
      </c>
      <c r="AQ223" s="684">
        <v>0</v>
      </c>
      <c r="AR223" s="740">
        <v>0</v>
      </c>
      <c r="AS223" s="740">
        <v>0</v>
      </c>
      <c r="AT223" s="740">
        <v>0</v>
      </c>
      <c r="AU223" s="411">
        <v>0</v>
      </c>
      <c r="AV223" s="801"/>
      <c r="AW223" s="256"/>
      <c r="AX223" s="728">
        <f t="shared" si="139"/>
        <v>0</v>
      </c>
      <c r="AY223" s="729">
        <v>0</v>
      </c>
      <c r="AZ223" s="730"/>
      <c r="BA223" s="731">
        <v>0</v>
      </c>
      <c r="BC223" s="727">
        <v>0</v>
      </c>
      <c r="BD223" s="727">
        <v>0</v>
      </c>
      <c r="BE223" s="727"/>
      <c r="BF223" s="727"/>
      <c r="BG223" s="727">
        <v>0</v>
      </c>
      <c r="BH223" s="727">
        <v>0</v>
      </c>
      <c r="BI223" s="137">
        <f>BC223+BD223+BE223+BG223+BH223</f>
        <v>0</v>
      </c>
      <c r="BJ223" s="126"/>
      <c r="BK223" s="807"/>
      <c r="BL223" s="107"/>
      <c r="BM223" s="687"/>
      <c r="BO223" s="577"/>
      <c r="BS223" s="904"/>
      <c r="BT223" s="789"/>
      <c r="BU223" s="789">
        <v>0</v>
      </c>
      <c r="BV223" s="789">
        <v>0</v>
      </c>
      <c r="BW223" s="789">
        <f t="shared" si="140"/>
        <v>0</v>
      </c>
    </row>
    <row r="224" spans="1:75" ht="15" thickBot="1" x14ac:dyDescent="0.35">
      <c r="A224" s="219" t="s">
        <v>180</v>
      </c>
      <c r="B224" s="237">
        <v>2</v>
      </c>
      <c r="C224" s="40">
        <f>'[7]побудинковий звіт'!E224</f>
        <v>253.7</v>
      </c>
      <c r="D224" s="215">
        <f t="shared" si="115"/>
        <v>194.05689145395962</v>
      </c>
      <c r="E224" s="107">
        <f t="shared" si="116"/>
        <v>42.692551772759984</v>
      </c>
      <c r="F224" s="107">
        <f t="shared" si="117"/>
        <v>7.7568331115741547</v>
      </c>
      <c r="G224" s="107">
        <f t="shared" si="118"/>
        <v>0</v>
      </c>
      <c r="H224" s="107">
        <f t="shared" si="119"/>
        <v>162.12962184645627</v>
      </c>
      <c r="I224" s="107">
        <f t="shared" si="120"/>
        <v>52.339259129632779</v>
      </c>
      <c r="J224" s="687">
        <f t="shared" si="108"/>
        <v>0</v>
      </c>
      <c r="K224" s="142">
        <f t="shared" si="121"/>
        <v>458.97515731438284</v>
      </c>
      <c r="L224" s="141">
        <f t="shared" si="109"/>
        <v>83.760283621186829</v>
      </c>
      <c r="M224" s="107">
        <f t="shared" si="110"/>
        <v>18.427175663733951</v>
      </c>
      <c r="N224" s="30">
        <f t="shared" si="122"/>
        <v>5.2117506657703787</v>
      </c>
      <c r="O224" s="107">
        <f t="shared" si="111"/>
        <v>0.45673850026624102</v>
      </c>
      <c r="P224" s="107">
        <f t="shared" si="123"/>
        <v>69.979597258862782</v>
      </c>
      <c r="Q224" s="107">
        <f t="shared" si="124"/>
        <v>22.889717191513316</v>
      </c>
      <c r="R224" s="143">
        <f t="shared" si="125"/>
        <v>200.72526290133348</v>
      </c>
      <c r="S224" s="141">
        <f t="shared" si="126"/>
        <v>0</v>
      </c>
      <c r="T224" s="107">
        <f t="shared" si="112"/>
        <v>0</v>
      </c>
      <c r="U224" s="142">
        <f t="shared" si="127"/>
        <v>0</v>
      </c>
      <c r="V224" s="107"/>
      <c r="W224" s="107">
        <f t="shared" si="128"/>
        <v>0</v>
      </c>
      <c r="X224" s="142">
        <f t="shared" si="129"/>
        <v>0</v>
      </c>
      <c r="Y224" s="141">
        <v>0</v>
      </c>
      <c r="Z224" s="144">
        <v>0</v>
      </c>
      <c r="AA224" s="107">
        <f t="shared" si="113"/>
        <v>0</v>
      </c>
      <c r="AB224" s="142">
        <f t="shared" si="114"/>
        <v>0</v>
      </c>
      <c r="AC224" s="141">
        <v>0</v>
      </c>
      <c r="AD224" s="107">
        <f t="shared" si="130"/>
        <v>0</v>
      </c>
      <c r="AE224" s="142">
        <f t="shared" si="131"/>
        <v>0</v>
      </c>
      <c r="AF224" s="145">
        <v>33</v>
      </c>
      <c r="AG224" s="107">
        <f t="shared" si="132"/>
        <v>4.2475235437603969</v>
      </c>
      <c r="AH224" s="142">
        <f t="shared" si="133"/>
        <v>37.247523543760394</v>
      </c>
      <c r="AI224" s="145">
        <v>0</v>
      </c>
      <c r="AJ224" s="107">
        <f t="shared" si="134"/>
        <v>0</v>
      </c>
      <c r="AK224" s="142">
        <f t="shared" si="135"/>
        <v>0</v>
      </c>
      <c r="AL224" s="146"/>
      <c r="AM224" s="215"/>
      <c r="AN224" s="107">
        <f t="shared" si="136"/>
        <v>0</v>
      </c>
      <c r="AO224" s="151">
        <f t="shared" si="137"/>
        <v>0</v>
      </c>
      <c r="AP224" s="282">
        <f t="shared" si="138"/>
        <v>221.59577347485742</v>
      </c>
      <c r="AQ224" s="684">
        <v>34.86</v>
      </c>
      <c r="AR224" s="740">
        <v>144.23584418516333</v>
      </c>
      <c r="AS224" s="740">
        <v>77.359929289694094</v>
      </c>
      <c r="AT224" s="740">
        <v>0</v>
      </c>
      <c r="AU224" s="411">
        <v>0</v>
      </c>
      <c r="AV224" s="801"/>
      <c r="AW224" s="256"/>
      <c r="AX224" s="728">
        <f t="shared" si="139"/>
        <v>7.7568331115741547</v>
      </c>
      <c r="AY224" s="729">
        <v>5.2117506657703787</v>
      </c>
      <c r="AZ224" s="730"/>
      <c r="BA224" s="731">
        <v>0</v>
      </c>
      <c r="BC224" s="727">
        <v>0</v>
      </c>
      <c r="BD224" s="727">
        <v>7.7568331115741547</v>
      </c>
      <c r="BE224" s="727"/>
      <c r="BF224" s="727"/>
      <c r="BG224" s="727">
        <v>0</v>
      </c>
      <c r="BH224" s="727">
        <v>0</v>
      </c>
      <c r="BI224" s="137">
        <f t="shared" ref="BI224:BI229" si="142">BC224+BD224+BE224+BG224</f>
        <v>7.7568331115741547</v>
      </c>
      <c r="BJ224" s="126"/>
      <c r="BK224" s="807"/>
      <c r="BL224" s="107"/>
      <c r="BM224" s="687"/>
      <c r="BO224" s="577"/>
      <c r="BS224" s="904"/>
      <c r="BT224" s="789"/>
      <c r="BU224" s="789">
        <v>141.56417362847219</v>
      </c>
      <c r="BV224" s="789">
        <v>0</v>
      </c>
      <c r="BW224" s="789">
        <f t="shared" si="140"/>
        <v>141.56417362847219</v>
      </c>
    </row>
    <row r="225" spans="1:75" ht="15" thickBot="1" x14ac:dyDescent="0.35">
      <c r="A225" s="219" t="s">
        <v>196</v>
      </c>
      <c r="B225" s="237">
        <v>3</v>
      </c>
      <c r="C225" s="40">
        <f>'[7]побудинковий звіт'!E225</f>
        <v>601.4</v>
      </c>
      <c r="D225" s="215">
        <f t="shared" si="115"/>
        <v>359.93494582869846</v>
      </c>
      <c r="E225" s="107">
        <f t="shared" si="116"/>
        <v>79.185754210965555</v>
      </c>
      <c r="F225" s="107">
        <f t="shared" si="117"/>
        <v>18.387699776510431</v>
      </c>
      <c r="G225" s="107">
        <f t="shared" si="118"/>
        <v>0</v>
      </c>
      <c r="H225" s="107">
        <f t="shared" si="119"/>
        <v>300.71653843005475</v>
      </c>
      <c r="I225" s="107">
        <f t="shared" si="120"/>
        <v>97.593281111125194</v>
      </c>
      <c r="J225" s="687">
        <f t="shared" si="108"/>
        <v>0</v>
      </c>
      <c r="K225" s="142">
        <f t="shared" si="121"/>
        <v>855.81821935735434</v>
      </c>
      <c r="L225" s="141">
        <f t="shared" si="109"/>
        <v>203.49576932705716</v>
      </c>
      <c r="M225" s="107">
        <f t="shared" si="110"/>
        <v>44.768858534140108</v>
      </c>
      <c r="N225" s="30">
        <f t="shared" si="122"/>
        <v>12.354540206520717</v>
      </c>
      <c r="O225" s="107">
        <f t="shared" si="111"/>
        <v>1.0827060861652242</v>
      </c>
      <c r="P225" s="107">
        <f t="shared" si="123"/>
        <v>170.01556544142136</v>
      </c>
      <c r="Q225" s="107">
        <f t="shared" si="124"/>
        <v>55.567575422212521</v>
      </c>
      <c r="R225" s="143">
        <f t="shared" si="125"/>
        <v>487.28501501751708</v>
      </c>
      <c r="S225" s="141">
        <f t="shared" si="126"/>
        <v>0</v>
      </c>
      <c r="T225" s="107">
        <f t="shared" si="112"/>
        <v>0</v>
      </c>
      <c r="U225" s="142">
        <f t="shared" si="127"/>
        <v>0</v>
      </c>
      <c r="V225" s="107"/>
      <c r="W225" s="107">
        <f t="shared" si="128"/>
        <v>0</v>
      </c>
      <c r="X225" s="142">
        <f t="shared" si="129"/>
        <v>0</v>
      </c>
      <c r="Y225" s="141">
        <v>0</v>
      </c>
      <c r="Z225" s="144">
        <v>0</v>
      </c>
      <c r="AA225" s="107">
        <f t="shared" si="113"/>
        <v>0</v>
      </c>
      <c r="AB225" s="142">
        <f t="shared" si="114"/>
        <v>0</v>
      </c>
      <c r="AC225" s="141">
        <v>0</v>
      </c>
      <c r="AD225" s="107">
        <f t="shared" si="130"/>
        <v>0</v>
      </c>
      <c r="AE225" s="142">
        <f t="shared" si="131"/>
        <v>0</v>
      </c>
      <c r="AF225" s="145">
        <v>2.2000000000000002</v>
      </c>
      <c r="AG225" s="107">
        <f t="shared" si="132"/>
        <v>0.28316823625069315</v>
      </c>
      <c r="AH225" s="142">
        <f t="shared" si="133"/>
        <v>2.4831682362506933</v>
      </c>
      <c r="AI225" s="145">
        <v>0</v>
      </c>
      <c r="AJ225" s="107">
        <f t="shared" si="134"/>
        <v>0</v>
      </c>
      <c r="AK225" s="142">
        <f t="shared" si="135"/>
        <v>0</v>
      </c>
      <c r="AL225" s="146"/>
      <c r="AM225" s="146"/>
      <c r="AN225" s="107">
        <f t="shared" si="136"/>
        <v>0</v>
      </c>
      <c r="AO225" s="151">
        <f t="shared" si="137"/>
        <v>0</v>
      </c>
      <c r="AP225" s="282">
        <f t="shared" si="138"/>
        <v>510.63142854337161</v>
      </c>
      <c r="AQ225" s="684">
        <v>9.5</v>
      </c>
      <c r="AR225" s="740">
        <v>322.68533231130175</v>
      </c>
      <c r="AS225" s="740">
        <v>187.94609623206983</v>
      </c>
      <c r="AT225" s="740">
        <v>0</v>
      </c>
      <c r="AU225" s="411">
        <v>0</v>
      </c>
      <c r="AV225" s="801"/>
      <c r="AW225" s="256"/>
      <c r="AX225" s="728">
        <f t="shared" si="139"/>
        <v>18.387699776510431</v>
      </c>
      <c r="AY225" s="729">
        <v>12.354540206520717</v>
      </c>
      <c r="AZ225" s="730"/>
      <c r="BA225" s="731">
        <v>0</v>
      </c>
      <c r="BC225" s="727">
        <v>0</v>
      </c>
      <c r="BD225" s="727">
        <v>18.387699776510431</v>
      </c>
      <c r="BE225" s="727"/>
      <c r="BF225" s="727"/>
      <c r="BG225" s="727">
        <v>0</v>
      </c>
      <c r="BH225" s="727">
        <v>0</v>
      </c>
      <c r="BI225" s="137">
        <f t="shared" si="142"/>
        <v>18.387699776510431</v>
      </c>
      <c r="BJ225" s="126"/>
      <c r="BK225" s="807"/>
      <c r="BL225" s="107"/>
      <c r="BM225" s="687"/>
      <c r="BO225" s="577"/>
      <c r="BS225" s="904"/>
      <c r="BT225" s="789"/>
      <c r="BU225" s="789">
        <v>314.23922367035965</v>
      </c>
      <c r="BV225" s="789">
        <v>0</v>
      </c>
      <c r="BW225" s="789">
        <f t="shared" si="140"/>
        <v>314.23922367035965</v>
      </c>
    </row>
    <row r="226" spans="1:75" ht="15" thickBot="1" x14ac:dyDescent="0.35">
      <c r="A226" s="219" t="s">
        <v>181</v>
      </c>
      <c r="B226" s="237">
        <v>2</v>
      </c>
      <c r="C226" s="40">
        <f>'[7]побудинковий звіт'!E226</f>
        <v>427.1</v>
      </c>
      <c r="D226" s="215">
        <f t="shared" si="115"/>
        <v>345.07837767536682</v>
      </c>
      <c r="E226" s="107">
        <f t="shared" si="116"/>
        <v>75.917306487725966</v>
      </c>
      <c r="F226" s="107">
        <f t="shared" si="117"/>
        <v>13.058507772776199</v>
      </c>
      <c r="G226" s="107">
        <f t="shared" si="118"/>
        <v>0</v>
      </c>
      <c r="H226" s="107">
        <f t="shared" si="119"/>
        <v>288.30425171048091</v>
      </c>
      <c r="I226" s="107">
        <f t="shared" si="120"/>
        <v>92.976802921878459</v>
      </c>
      <c r="J226" s="687">
        <f t="shared" si="108"/>
        <v>0</v>
      </c>
      <c r="K226" s="142">
        <f t="shared" si="121"/>
        <v>815.33524656822829</v>
      </c>
      <c r="L226" s="141">
        <f t="shared" si="109"/>
        <v>183.7941139475902</v>
      </c>
      <c r="M226" s="107">
        <f t="shared" si="110"/>
        <v>40.434514751522407</v>
      </c>
      <c r="N226" s="30">
        <f t="shared" si="122"/>
        <v>8.7739011011057499</v>
      </c>
      <c r="O226" s="107">
        <f t="shared" si="111"/>
        <v>0.76891215397600143</v>
      </c>
      <c r="P226" s="107">
        <f t="shared" si="123"/>
        <v>153.55533095817441</v>
      </c>
      <c r="Q226" s="107">
        <f t="shared" si="124"/>
        <v>49.853926881031015</v>
      </c>
      <c r="R226" s="143">
        <f t="shared" si="125"/>
        <v>437.18069979339987</v>
      </c>
      <c r="S226" s="141">
        <f t="shared" si="126"/>
        <v>0</v>
      </c>
      <c r="T226" s="107">
        <f t="shared" si="112"/>
        <v>0</v>
      </c>
      <c r="U226" s="142">
        <f t="shared" si="127"/>
        <v>0</v>
      </c>
      <c r="V226" s="107"/>
      <c r="W226" s="107">
        <f t="shared" si="128"/>
        <v>0</v>
      </c>
      <c r="X226" s="142">
        <f t="shared" si="129"/>
        <v>0</v>
      </c>
      <c r="Y226" s="141">
        <v>0</v>
      </c>
      <c r="Z226" s="144">
        <v>0</v>
      </c>
      <c r="AA226" s="107">
        <f t="shared" si="113"/>
        <v>0</v>
      </c>
      <c r="AB226" s="142">
        <f t="shared" si="114"/>
        <v>0</v>
      </c>
      <c r="AC226" s="141">
        <v>0</v>
      </c>
      <c r="AD226" s="107">
        <f t="shared" si="130"/>
        <v>0</v>
      </c>
      <c r="AE226" s="142">
        <f t="shared" si="131"/>
        <v>0</v>
      </c>
      <c r="AF226" s="145">
        <v>19.8</v>
      </c>
      <c r="AG226" s="107">
        <f t="shared" si="132"/>
        <v>2.5485141262562383</v>
      </c>
      <c r="AH226" s="142">
        <f t="shared" si="133"/>
        <v>22.348514126256241</v>
      </c>
      <c r="AI226" s="145">
        <v>0</v>
      </c>
      <c r="AJ226" s="107">
        <f t="shared" si="134"/>
        <v>0</v>
      </c>
      <c r="AK226" s="142">
        <f t="shared" si="135"/>
        <v>0</v>
      </c>
      <c r="AL226" s="146"/>
      <c r="AM226" s="146"/>
      <c r="AN226" s="107">
        <f t="shared" si="136"/>
        <v>0</v>
      </c>
      <c r="AO226" s="151">
        <f t="shared" si="137"/>
        <v>0</v>
      </c>
      <c r="AP226" s="282">
        <f t="shared" si="138"/>
        <v>443.40404767048085</v>
      </c>
      <c r="AQ226" s="684">
        <v>44.82</v>
      </c>
      <c r="AR226" s="740">
        <v>273.65414898160992</v>
      </c>
      <c r="AS226" s="740">
        <v>169.7498986888709</v>
      </c>
      <c r="AT226" s="740">
        <v>0</v>
      </c>
      <c r="AU226" s="411">
        <v>0</v>
      </c>
      <c r="AV226" s="801"/>
      <c r="AW226" s="256"/>
      <c r="AX226" s="728">
        <f t="shared" si="139"/>
        <v>13.058507772776199</v>
      </c>
      <c r="AY226" s="729">
        <v>8.7739011011057499</v>
      </c>
      <c r="AZ226" s="730"/>
      <c r="BA226" s="731">
        <v>0</v>
      </c>
      <c r="BC226" s="727">
        <v>0</v>
      </c>
      <c r="BD226" s="727">
        <v>13.058507772776199</v>
      </c>
      <c r="BE226" s="727"/>
      <c r="BF226" s="727"/>
      <c r="BG226" s="727">
        <v>0</v>
      </c>
      <c r="BH226" s="727">
        <v>0</v>
      </c>
      <c r="BI226" s="137">
        <f t="shared" si="142"/>
        <v>13.058507772776199</v>
      </c>
      <c r="BJ226" s="126"/>
      <c r="BK226" s="807"/>
      <c r="BL226" s="107"/>
      <c r="BM226" s="687"/>
      <c r="BO226" s="577"/>
      <c r="BS226" s="904"/>
      <c r="BT226" s="789"/>
      <c r="BU226" s="789">
        <v>266.4854884971225</v>
      </c>
      <c r="BV226" s="789">
        <v>0</v>
      </c>
      <c r="BW226" s="789">
        <f t="shared" si="140"/>
        <v>266.4854884971225</v>
      </c>
    </row>
    <row r="227" spans="1:75" ht="15" thickBot="1" x14ac:dyDescent="0.35">
      <c r="A227" s="219" t="s">
        <v>217</v>
      </c>
      <c r="B227" s="237">
        <v>4</v>
      </c>
      <c r="C227" s="40">
        <f>'[7]побудинковий звіт'!E227</f>
        <v>1282.0999999999999</v>
      </c>
      <c r="D227" s="215">
        <f t="shared" si="115"/>
        <v>1248.2568871005565</v>
      </c>
      <c r="E227" s="107">
        <f t="shared" si="116"/>
        <v>274.61674449674558</v>
      </c>
      <c r="F227" s="107">
        <f t="shared" si="117"/>
        <v>39.199983178357208</v>
      </c>
      <c r="G227" s="107">
        <f t="shared" si="118"/>
        <v>0</v>
      </c>
      <c r="H227" s="107">
        <f t="shared" si="119"/>
        <v>1042.8870397569096</v>
      </c>
      <c r="I227" s="107">
        <f t="shared" si="120"/>
        <v>335.29187002110848</v>
      </c>
      <c r="J227" s="687">
        <f t="shared" si="108"/>
        <v>0</v>
      </c>
      <c r="K227" s="142">
        <f t="shared" si="121"/>
        <v>2940.2525245536772</v>
      </c>
      <c r="L227" s="141">
        <f t="shared" si="109"/>
        <v>295.55783178979254</v>
      </c>
      <c r="M227" s="107">
        <f t="shared" si="110"/>
        <v>65.022416946606654</v>
      </c>
      <c r="N227" s="30">
        <f t="shared" si="122"/>
        <v>26.338137676721335</v>
      </c>
      <c r="O227" s="107">
        <f t="shared" si="111"/>
        <v>2.3081767094653038</v>
      </c>
      <c r="P227" s="107">
        <f t="shared" si="123"/>
        <v>246.93108883075354</v>
      </c>
      <c r="Q227" s="107">
        <f t="shared" si="124"/>
        <v>81.881654673186105</v>
      </c>
      <c r="R227" s="143">
        <f t="shared" si="125"/>
        <v>718.03930662652544</v>
      </c>
      <c r="S227" s="141">
        <f t="shared" si="126"/>
        <v>66.989999999999995</v>
      </c>
      <c r="T227" s="107">
        <f t="shared" si="112"/>
        <v>8.6224727938336052</v>
      </c>
      <c r="U227" s="142">
        <f t="shared" si="127"/>
        <v>75.612472793833604</v>
      </c>
      <c r="V227" s="107"/>
      <c r="W227" s="107">
        <f t="shared" si="128"/>
        <v>0</v>
      </c>
      <c r="X227" s="142">
        <f t="shared" si="129"/>
        <v>0</v>
      </c>
      <c r="Y227" s="141">
        <v>0</v>
      </c>
      <c r="Z227" s="144">
        <v>0</v>
      </c>
      <c r="AA227" s="107">
        <f t="shared" si="113"/>
        <v>0</v>
      </c>
      <c r="AB227" s="142">
        <f t="shared" si="114"/>
        <v>0</v>
      </c>
      <c r="AC227" s="141">
        <v>0</v>
      </c>
      <c r="AD227" s="107">
        <f t="shared" si="130"/>
        <v>0</v>
      </c>
      <c r="AE227" s="142">
        <f t="shared" si="131"/>
        <v>0</v>
      </c>
      <c r="AF227" s="145">
        <v>180.4</v>
      </c>
      <c r="AG227" s="107">
        <f t="shared" si="132"/>
        <v>23.219795372556838</v>
      </c>
      <c r="AH227" s="142">
        <f t="shared" si="133"/>
        <v>203.61979537255684</v>
      </c>
      <c r="AI227" s="145">
        <v>0</v>
      </c>
      <c r="AJ227" s="107">
        <f t="shared" si="134"/>
        <v>0</v>
      </c>
      <c r="AK227" s="142">
        <f t="shared" si="135"/>
        <v>0</v>
      </c>
      <c r="AL227" s="146"/>
      <c r="AM227" s="146"/>
      <c r="AN227" s="107">
        <f t="shared" si="136"/>
        <v>0</v>
      </c>
      <c r="AO227" s="151">
        <f t="shared" si="137"/>
        <v>0</v>
      </c>
      <c r="AP227" s="282">
        <f t="shared" si="138"/>
        <v>1397.7544776106531</v>
      </c>
      <c r="AQ227" s="684">
        <v>27.24</v>
      </c>
      <c r="AR227" s="740">
        <v>1124.7810350697994</v>
      </c>
      <c r="AS227" s="740">
        <v>262.1532580721173</v>
      </c>
      <c r="AT227" s="740">
        <v>10.820184468736386</v>
      </c>
      <c r="AU227" s="411">
        <v>0</v>
      </c>
      <c r="AV227" s="801"/>
      <c r="AW227" s="256"/>
      <c r="AX227" s="728">
        <f t="shared" si="139"/>
        <v>39.199983178357208</v>
      </c>
      <c r="AY227" s="729">
        <v>26.338137676721335</v>
      </c>
      <c r="AZ227" s="730"/>
      <c r="BA227" s="731">
        <v>0</v>
      </c>
      <c r="BC227" s="727">
        <v>0</v>
      </c>
      <c r="BD227" s="727">
        <v>39.199983178357208</v>
      </c>
      <c r="BE227" s="727"/>
      <c r="BF227" s="727"/>
      <c r="BG227" s="727">
        <v>0</v>
      </c>
      <c r="BH227" s="727">
        <v>0</v>
      </c>
      <c r="BI227" s="137">
        <f t="shared" si="142"/>
        <v>39.199983178357208</v>
      </c>
      <c r="BJ227" s="126">
        <v>304.5</v>
      </c>
      <c r="BK227" s="807"/>
      <c r="BL227" s="107"/>
      <c r="BM227" s="687"/>
      <c r="BO227" s="577"/>
      <c r="BS227" s="904"/>
      <c r="BT227" s="789"/>
      <c r="BU227" s="789">
        <v>1095.3443238917876</v>
      </c>
      <c r="BV227" s="789">
        <v>0</v>
      </c>
      <c r="BW227" s="789">
        <f t="shared" si="140"/>
        <v>1095.3443238917876</v>
      </c>
    </row>
    <row r="228" spans="1:75" ht="15" thickBot="1" x14ac:dyDescent="0.35">
      <c r="A228" s="221" t="s">
        <v>428</v>
      </c>
      <c r="B228" s="239">
        <v>5</v>
      </c>
      <c r="C228" s="40">
        <f>'[7]побудинковий звіт'!E228</f>
        <v>3174.5</v>
      </c>
      <c r="D228" s="215">
        <f t="shared" si="115"/>
        <v>1308.44311707263</v>
      </c>
      <c r="E228" s="107">
        <f t="shared" si="116"/>
        <v>287.85772614825066</v>
      </c>
      <c r="F228" s="107">
        <f t="shared" si="117"/>
        <v>215.28360262996316</v>
      </c>
      <c r="G228" s="107">
        <f t="shared" si="118"/>
        <v>0</v>
      </c>
      <c r="H228" s="107">
        <f t="shared" si="119"/>
        <v>1093.1711117763321</v>
      </c>
      <c r="I228" s="107">
        <f t="shared" si="120"/>
        <v>373.87932181485729</v>
      </c>
      <c r="J228" s="687">
        <f t="shared" si="108"/>
        <v>0</v>
      </c>
      <c r="K228" s="142">
        <f t="shared" si="121"/>
        <v>3278.6348794420333</v>
      </c>
      <c r="L228" s="141">
        <f t="shared" si="109"/>
        <v>539.9529616421753</v>
      </c>
      <c r="M228" s="107">
        <f t="shared" si="110"/>
        <v>118.78909244544393</v>
      </c>
      <c r="N228" s="30">
        <f t="shared" si="122"/>
        <v>66.029203744261537</v>
      </c>
      <c r="O228" s="107">
        <f t="shared" si="111"/>
        <v>5.7150822589482946</v>
      </c>
      <c r="P228" s="107">
        <f t="shared" si="123"/>
        <v>451.11703495822303</v>
      </c>
      <c r="Q228" s="107">
        <f t="shared" si="124"/>
        <v>152.08751984568468</v>
      </c>
      <c r="R228" s="143">
        <f t="shared" si="125"/>
        <v>1333.6908948947366</v>
      </c>
      <c r="S228" s="141">
        <f t="shared" si="126"/>
        <v>78.540000000000006</v>
      </c>
      <c r="T228" s="107">
        <f t="shared" si="112"/>
        <v>10.109106034149747</v>
      </c>
      <c r="U228" s="142">
        <f t="shared" si="127"/>
        <v>88.649106034149753</v>
      </c>
      <c r="V228" s="107"/>
      <c r="W228" s="107">
        <f t="shared" si="128"/>
        <v>0</v>
      </c>
      <c r="X228" s="142">
        <f t="shared" si="129"/>
        <v>0</v>
      </c>
      <c r="Y228" s="141">
        <v>0</v>
      </c>
      <c r="Z228" s="144">
        <v>0</v>
      </c>
      <c r="AA228" s="107">
        <f t="shared" si="113"/>
        <v>0</v>
      </c>
      <c r="AB228" s="142">
        <f t="shared" si="114"/>
        <v>0</v>
      </c>
      <c r="AC228" s="141">
        <v>0</v>
      </c>
      <c r="AD228" s="107">
        <f t="shared" si="130"/>
        <v>0</v>
      </c>
      <c r="AE228" s="142">
        <f t="shared" si="131"/>
        <v>0</v>
      </c>
      <c r="AF228" s="145">
        <v>638</v>
      </c>
      <c r="AG228" s="107">
        <f t="shared" si="132"/>
        <v>82.118788512701016</v>
      </c>
      <c r="AH228" s="142">
        <f t="shared" si="133"/>
        <v>720.11878851270103</v>
      </c>
      <c r="AI228" s="145">
        <v>0</v>
      </c>
      <c r="AJ228" s="107">
        <f t="shared" si="134"/>
        <v>0</v>
      </c>
      <c r="AK228" s="142">
        <f t="shared" si="135"/>
        <v>0</v>
      </c>
      <c r="AL228" s="146"/>
      <c r="AM228" s="146"/>
      <c r="AN228" s="107">
        <f t="shared" si="136"/>
        <v>0</v>
      </c>
      <c r="AO228" s="151">
        <f t="shared" si="137"/>
        <v>0</v>
      </c>
      <c r="AP228" s="282">
        <f t="shared" si="138"/>
        <v>1397.5208022653189</v>
      </c>
      <c r="AQ228" s="684">
        <v>308.74</v>
      </c>
      <c r="AR228" s="740">
        <v>898.82713592923881</v>
      </c>
      <c r="AS228" s="740">
        <v>489.56000827279945</v>
      </c>
      <c r="AT228" s="740">
        <v>9.1336580632807607</v>
      </c>
      <c r="AU228" s="411">
        <v>0</v>
      </c>
      <c r="AV228" s="801"/>
      <c r="AW228" s="256"/>
      <c r="AX228" s="728">
        <f t="shared" si="139"/>
        <v>98.27360262996315</v>
      </c>
      <c r="AY228" s="729">
        <v>66.029203744261537</v>
      </c>
      <c r="AZ228" s="730"/>
      <c r="BA228" s="731">
        <v>0</v>
      </c>
      <c r="BC228" s="727">
        <v>0</v>
      </c>
      <c r="BD228" s="727">
        <v>98.27360262996315</v>
      </c>
      <c r="BE228" s="727"/>
      <c r="BF228" s="727"/>
      <c r="BG228" s="727">
        <v>0</v>
      </c>
      <c r="BH228" s="727">
        <v>0</v>
      </c>
      <c r="BI228" s="137">
        <f t="shared" si="142"/>
        <v>98.27360262996315</v>
      </c>
      <c r="BJ228" s="126">
        <v>357</v>
      </c>
      <c r="BK228" s="807"/>
      <c r="BL228" s="107"/>
      <c r="BM228" s="687">
        <v>117.01</v>
      </c>
      <c r="BO228" s="577"/>
      <c r="BS228" s="904"/>
      <c r="BT228" s="789"/>
      <c r="BU228" s="789">
        <v>875.2953801166534</v>
      </c>
      <c r="BV228" s="789">
        <v>0</v>
      </c>
      <c r="BW228" s="789">
        <f t="shared" si="140"/>
        <v>875.2953801166534</v>
      </c>
    </row>
    <row r="229" spans="1:75" ht="15" thickBot="1" x14ac:dyDescent="0.35">
      <c r="A229" s="219" t="s">
        <v>182</v>
      </c>
      <c r="B229" s="237">
        <v>2</v>
      </c>
      <c r="C229" s="40">
        <f>'[7]побудинковий звіт'!E229</f>
        <v>603.29999999999995</v>
      </c>
      <c r="D229" s="215">
        <f t="shared" si="115"/>
        <v>480.65054385128178</v>
      </c>
      <c r="E229" s="107">
        <f t="shared" si="116"/>
        <v>105.74320795427431</v>
      </c>
      <c r="F229" s="107">
        <f t="shared" si="117"/>
        <v>18.44579194407839</v>
      </c>
      <c r="G229" s="107">
        <f t="shared" si="118"/>
        <v>0</v>
      </c>
      <c r="H229" s="107">
        <f t="shared" si="119"/>
        <v>401.57136564969846</v>
      </c>
      <c r="I229" s="107">
        <f t="shared" si="120"/>
        <v>129.53800098093873</v>
      </c>
      <c r="J229" s="687">
        <f t="shared" si="108"/>
        <v>0</v>
      </c>
      <c r="K229" s="142">
        <f t="shared" si="121"/>
        <v>1135.9489103802716</v>
      </c>
      <c r="L229" s="141">
        <f t="shared" si="109"/>
        <v>187.36942386072323</v>
      </c>
      <c r="M229" s="107">
        <f t="shared" si="110"/>
        <v>41.221079230214386</v>
      </c>
      <c r="N229" s="30">
        <f t="shared" si="122"/>
        <v>12.393571843355417</v>
      </c>
      <c r="O229" s="107">
        <f t="shared" si="111"/>
        <v>1.0861266740663114</v>
      </c>
      <c r="P229" s="107">
        <f t="shared" si="123"/>
        <v>156.54241191086334</v>
      </c>
      <c r="Q229" s="107">
        <f t="shared" si="124"/>
        <v>51.306559417053407</v>
      </c>
      <c r="R229" s="143">
        <f t="shared" si="125"/>
        <v>449.91917293627608</v>
      </c>
      <c r="S229" s="141">
        <f t="shared" si="126"/>
        <v>0</v>
      </c>
      <c r="T229" s="107">
        <f t="shared" si="112"/>
        <v>0</v>
      </c>
      <c r="U229" s="142">
        <f t="shared" si="127"/>
        <v>0</v>
      </c>
      <c r="V229" s="107"/>
      <c r="W229" s="107">
        <f t="shared" si="128"/>
        <v>0</v>
      </c>
      <c r="X229" s="142">
        <f t="shared" si="129"/>
        <v>0</v>
      </c>
      <c r="Y229" s="141">
        <v>0</v>
      </c>
      <c r="Z229" s="144">
        <v>0</v>
      </c>
      <c r="AA229" s="107">
        <f t="shared" si="113"/>
        <v>0</v>
      </c>
      <c r="AB229" s="142">
        <f t="shared" si="114"/>
        <v>0</v>
      </c>
      <c r="AC229" s="141">
        <v>0</v>
      </c>
      <c r="AD229" s="107">
        <f t="shared" si="130"/>
        <v>0</v>
      </c>
      <c r="AE229" s="142">
        <f t="shared" si="131"/>
        <v>0</v>
      </c>
      <c r="AF229" s="145">
        <v>15.4</v>
      </c>
      <c r="AG229" s="107">
        <f t="shared" si="132"/>
        <v>1.9821776537548521</v>
      </c>
      <c r="AH229" s="142">
        <f t="shared" si="133"/>
        <v>17.382177653754852</v>
      </c>
      <c r="AI229" s="145">
        <v>0</v>
      </c>
      <c r="AJ229" s="107">
        <f t="shared" si="134"/>
        <v>0</v>
      </c>
      <c r="AK229" s="142">
        <f t="shared" si="135"/>
        <v>0</v>
      </c>
      <c r="AL229" s="146"/>
      <c r="AM229" s="146"/>
      <c r="AN229" s="107">
        <f t="shared" si="136"/>
        <v>0</v>
      </c>
      <c r="AO229" s="151">
        <f t="shared" si="137"/>
        <v>0</v>
      </c>
      <c r="AP229" s="282">
        <f t="shared" si="138"/>
        <v>571.82622677834377</v>
      </c>
      <c r="AQ229" s="684">
        <v>44.82</v>
      </c>
      <c r="AR229" s="740">
        <v>398.77421746960442</v>
      </c>
      <c r="AS229" s="740">
        <v>166.27377696701006</v>
      </c>
      <c r="AT229" s="740">
        <v>6.7782323417292671</v>
      </c>
      <c r="AU229" s="411">
        <v>0</v>
      </c>
      <c r="AV229" s="801"/>
      <c r="AW229" s="256"/>
      <c r="AX229" s="728">
        <f t="shared" si="139"/>
        <v>18.44579194407839</v>
      </c>
      <c r="AY229" s="729">
        <v>12.393571843355417</v>
      </c>
      <c r="AZ229" s="730"/>
      <c r="BA229" s="731">
        <v>0</v>
      </c>
      <c r="BC229" s="727">
        <v>0</v>
      </c>
      <c r="BD229" s="727">
        <v>18.44579194407839</v>
      </c>
      <c r="BE229" s="727"/>
      <c r="BF229" s="727"/>
      <c r="BG229" s="727">
        <v>0</v>
      </c>
      <c r="BH229" s="727">
        <v>0</v>
      </c>
      <c r="BI229" s="137">
        <f t="shared" si="142"/>
        <v>18.44579194407839</v>
      </c>
      <c r="BJ229" s="126"/>
      <c r="BK229" s="807"/>
      <c r="BL229" s="107"/>
      <c r="BM229" s="687"/>
      <c r="BO229" s="577"/>
      <c r="BS229" s="904"/>
      <c r="BT229" s="789"/>
      <c r="BU229" s="789">
        <v>390.56945887289965</v>
      </c>
      <c r="BV229" s="789">
        <v>0</v>
      </c>
      <c r="BW229" s="789">
        <f t="shared" si="140"/>
        <v>390.56945887289965</v>
      </c>
    </row>
    <row r="230" spans="1:75" ht="15" thickBot="1" x14ac:dyDescent="0.35">
      <c r="A230" s="219" t="s">
        <v>385</v>
      </c>
      <c r="B230" s="237">
        <v>9</v>
      </c>
      <c r="C230" s="40">
        <f>'[7]побудинковий звіт'!E230</f>
        <v>4198.2</v>
      </c>
      <c r="D230" s="215">
        <f t="shared" si="115"/>
        <v>3155.4608150888757</v>
      </c>
      <c r="E230" s="107">
        <f t="shared" si="116"/>
        <v>694.20195905311903</v>
      </c>
      <c r="F230" s="107">
        <f t="shared" si="117"/>
        <v>128.36228794766171</v>
      </c>
      <c r="G230" s="107">
        <f t="shared" si="118"/>
        <v>0</v>
      </c>
      <c r="H230" s="107">
        <f t="shared" si="119"/>
        <v>2636.3076563196764</v>
      </c>
      <c r="I230" s="107">
        <f t="shared" si="120"/>
        <v>851.34951356691965</v>
      </c>
      <c r="J230" s="687">
        <f t="shared" si="108"/>
        <v>0</v>
      </c>
      <c r="K230" s="142">
        <f t="shared" si="121"/>
        <v>7465.6822319762523</v>
      </c>
      <c r="L230" s="141">
        <f t="shared" si="109"/>
        <v>1619.1697849999853</v>
      </c>
      <c r="M230" s="107">
        <f t="shared" si="110"/>
        <v>356.21567606604884</v>
      </c>
      <c r="N230" s="30">
        <f t="shared" si="122"/>
        <v>86.245537327961301</v>
      </c>
      <c r="O230" s="107">
        <f t="shared" si="111"/>
        <v>7.5580590138657202</v>
      </c>
      <c r="P230" s="107">
        <f t="shared" si="123"/>
        <v>1352.775379324974</v>
      </c>
      <c r="Q230" s="107">
        <f t="shared" si="124"/>
        <v>440.45074275556067</v>
      </c>
      <c r="R230" s="143">
        <f t="shared" si="125"/>
        <v>3862.4151794883956</v>
      </c>
      <c r="S230" s="141">
        <f t="shared" si="126"/>
        <v>39.6</v>
      </c>
      <c r="T230" s="107">
        <f t="shared" si="112"/>
        <v>5.0970282525124766</v>
      </c>
      <c r="U230" s="142">
        <f t="shared" si="127"/>
        <v>44.697028252512482</v>
      </c>
      <c r="V230" s="107"/>
      <c r="W230" s="107">
        <f t="shared" si="128"/>
        <v>0</v>
      </c>
      <c r="X230" s="142">
        <f t="shared" si="129"/>
        <v>0</v>
      </c>
      <c r="Y230" s="141">
        <v>2755.38</v>
      </c>
      <c r="Z230" s="144">
        <v>0</v>
      </c>
      <c r="AA230" s="107">
        <f t="shared" si="113"/>
        <v>354.65277036383407</v>
      </c>
      <c r="AB230" s="142">
        <f t="shared" si="114"/>
        <v>3110.0327703638341</v>
      </c>
      <c r="AC230" s="141">
        <v>236.15</v>
      </c>
      <c r="AD230" s="107">
        <f t="shared" si="130"/>
        <v>30.395535904818722</v>
      </c>
      <c r="AE230" s="142">
        <f t="shared" si="131"/>
        <v>266.54553590481873</v>
      </c>
      <c r="AF230" s="145">
        <v>2041.6</v>
      </c>
      <c r="AG230" s="107">
        <f t="shared" si="132"/>
        <v>262.78012324064321</v>
      </c>
      <c r="AH230" s="142">
        <f t="shared" si="133"/>
        <v>2304.3801232406431</v>
      </c>
      <c r="AI230" s="145">
        <v>3062.4</v>
      </c>
      <c r="AJ230" s="107">
        <f t="shared" si="134"/>
        <v>394.17018486096487</v>
      </c>
      <c r="AK230" s="142">
        <f t="shared" si="135"/>
        <v>3456.5701848609651</v>
      </c>
      <c r="AL230" s="146"/>
      <c r="AM230" s="215"/>
      <c r="AN230" s="107">
        <f t="shared" si="136"/>
        <v>0</v>
      </c>
      <c r="AO230" s="151">
        <f t="shared" si="137"/>
        <v>0</v>
      </c>
      <c r="AP230" s="282">
        <f t="shared" si="138"/>
        <v>4407.6313588713156</v>
      </c>
      <c r="AQ230" s="684">
        <v>0</v>
      </c>
      <c r="AR230" s="740">
        <v>2912.1868037632871</v>
      </c>
      <c r="AS230" s="740">
        <v>1468.4280971653268</v>
      </c>
      <c r="AT230" s="740">
        <v>27.016457942702157</v>
      </c>
      <c r="AU230" s="411">
        <v>0</v>
      </c>
      <c r="AV230" s="801"/>
      <c r="AW230" s="256"/>
      <c r="AX230" s="728">
        <f t="shared" si="139"/>
        <v>128.36228794766171</v>
      </c>
      <c r="AY230" s="729">
        <v>86.245537327961301</v>
      </c>
      <c r="AZ230" s="730"/>
      <c r="BA230" s="731">
        <v>0</v>
      </c>
      <c r="BC230" s="727">
        <v>0</v>
      </c>
      <c r="BD230" s="727">
        <v>128.36228794766171</v>
      </c>
      <c r="BE230" s="727"/>
      <c r="BF230" s="727"/>
      <c r="BG230" s="727">
        <v>0</v>
      </c>
      <c r="BH230" s="727">
        <v>0</v>
      </c>
      <c r="BI230" s="137">
        <f>BC230+BD230+BE230+BG230</f>
        <v>128.36228794766171</v>
      </c>
      <c r="BJ230" s="126">
        <v>180</v>
      </c>
      <c r="BK230" s="807"/>
      <c r="BL230" s="107"/>
      <c r="BM230" s="687"/>
      <c r="BO230" s="577"/>
      <c r="BS230" s="904"/>
      <c r="BT230" s="789"/>
      <c r="BU230" s="789">
        <v>2860.3200816167205</v>
      </c>
      <c r="BV230" s="789">
        <v>0</v>
      </c>
      <c r="BW230" s="789">
        <f t="shared" si="140"/>
        <v>2860.3200816167205</v>
      </c>
    </row>
    <row r="231" spans="1:75" ht="15" thickBot="1" x14ac:dyDescent="0.35">
      <c r="A231" s="220" t="s">
        <v>127</v>
      </c>
      <c r="B231" s="238">
        <v>1</v>
      </c>
      <c r="C231" s="40">
        <f>'[7]побудинковий звіт'!E231</f>
        <v>229.7</v>
      </c>
      <c r="D231" s="215">
        <f t="shared" si="115"/>
        <v>48.564107752127278</v>
      </c>
      <c r="E231" s="107">
        <f t="shared" si="116"/>
        <v>10.684112627855264</v>
      </c>
      <c r="F231" s="107">
        <f t="shared" si="117"/>
        <v>0</v>
      </c>
      <c r="G231" s="107">
        <f t="shared" si="118"/>
        <v>0</v>
      </c>
      <c r="H231" s="107">
        <f t="shared" si="119"/>
        <v>40.574083023642565</v>
      </c>
      <c r="I231" s="107">
        <f t="shared" si="120"/>
        <v>12.848411633311857</v>
      </c>
      <c r="J231" s="687">
        <f t="shared" si="108"/>
        <v>0</v>
      </c>
      <c r="K231" s="142">
        <f t="shared" si="121"/>
        <v>112.67071503693697</v>
      </c>
      <c r="L231" s="141">
        <f t="shared" si="109"/>
        <v>0</v>
      </c>
      <c r="M231" s="107">
        <f t="shared" si="110"/>
        <v>0</v>
      </c>
      <c r="N231" s="30">
        <f t="shared" si="122"/>
        <v>0</v>
      </c>
      <c r="O231" s="107">
        <f t="shared" si="111"/>
        <v>0.41353107414724305</v>
      </c>
      <c r="P231" s="107">
        <f t="shared" si="123"/>
        <v>0</v>
      </c>
      <c r="Q231" s="107">
        <f t="shared" si="124"/>
        <v>5.3226756773240645E-2</v>
      </c>
      <c r="R231" s="143">
        <f t="shared" si="125"/>
        <v>0.46675783092048367</v>
      </c>
      <c r="S231" s="141">
        <f t="shared" si="126"/>
        <v>0</v>
      </c>
      <c r="T231" s="107">
        <f t="shared" si="112"/>
        <v>0</v>
      </c>
      <c r="U231" s="142">
        <f t="shared" si="127"/>
        <v>0</v>
      </c>
      <c r="V231" s="107"/>
      <c r="W231" s="107">
        <f t="shared" si="128"/>
        <v>0</v>
      </c>
      <c r="X231" s="142">
        <f t="shared" si="129"/>
        <v>0</v>
      </c>
      <c r="Y231" s="141">
        <v>0</v>
      </c>
      <c r="Z231" s="144">
        <v>0</v>
      </c>
      <c r="AA231" s="107">
        <f t="shared" si="113"/>
        <v>0</v>
      </c>
      <c r="AB231" s="142">
        <f t="shared" si="114"/>
        <v>0</v>
      </c>
      <c r="AC231" s="141">
        <v>0</v>
      </c>
      <c r="AD231" s="107">
        <f t="shared" si="130"/>
        <v>0</v>
      </c>
      <c r="AE231" s="142">
        <f t="shared" si="131"/>
        <v>0</v>
      </c>
      <c r="AF231" s="145">
        <v>0</v>
      </c>
      <c r="AG231" s="107">
        <f t="shared" si="132"/>
        <v>0</v>
      </c>
      <c r="AH231" s="142">
        <f t="shared" si="133"/>
        <v>0</v>
      </c>
      <c r="AI231" s="145">
        <v>0</v>
      </c>
      <c r="AJ231" s="107">
        <f t="shared" si="134"/>
        <v>0</v>
      </c>
      <c r="AK231" s="142">
        <f t="shared" si="135"/>
        <v>0</v>
      </c>
      <c r="AL231" s="146"/>
      <c r="AM231" s="215"/>
      <c r="AN231" s="107">
        <f t="shared" si="136"/>
        <v>0</v>
      </c>
      <c r="AO231" s="151">
        <f t="shared" si="137"/>
        <v>0</v>
      </c>
      <c r="AP231" s="282">
        <f t="shared" si="138"/>
        <v>0</v>
      </c>
      <c r="AQ231" s="684">
        <v>44.82</v>
      </c>
      <c r="AR231" s="740">
        <v>0</v>
      </c>
      <c r="AS231" s="740">
        <v>0</v>
      </c>
      <c r="AT231" s="740">
        <v>0</v>
      </c>
      <c r="AU231" s="411">
        <v>0</v>
      </c>
      <c r="AV231" s="801"/>
      <c r="AW231" s="256"/>
      <c r="AX231" s="728">
        <f t="shared" si="139"/>
        <v>0</v>
      </c>
      <c r="AY231" s="729">
        <v>0</v>
      </c>
      <c r="AZ231" s="730"/>
      <c r="BA231" s="731">
        <v>0</v>
      </c>
      <c r="BC231" s="727">
        <v>0</v>
      </c>
      <c r="BD231" s="727">
        <v>0</v>
      </c>
      <c r="BE231" s="727"/>
      <c r="BF231" s="727"/>
      <c r="BG231" s="727">
        <v>0</v>
      </c>
      <c r="BH231" s="727">
        <v>0</v>
      </c>
      <c r="BI231" s="137">
        <f>BC231+BD231+BE231+BG231+BH231</f>
        <v>0</v>
      </c>
      <c r="BJ231" s="126"/>
      <c r="BK231" s="807"/>
      <c r="BL231" s="107"/>
      <c r="BM231" s="687"/>
      <c r="BO231" s="577"/>
      <c r="BS231" s="904"/>
      <c r="BT231" s="789"/>
      <c r="BU231" s="789">
        <v>0</v>
      </c>
      <c r="BV231" s="789">
        <v>0</v>
      </c>
      <c r="BW231" s="789">
        <f t="shared" si="140"/>
        <v>0</v>
      </c>
    </row>
    <row r="232" spans="1:75" ht="15" thickBot="1" x14ac:dyDescent="0.35">
      <c r="A232" s="219" t="s">
        <v>183</v>
      </c>
      <c r="B232" s="237">
        <v>2</v>
      </c>
      <c r="C232" s="40">
        <f>'[7]побудинковий звіт'!E232</f>
        <v>409.7</v>
      </c>
      <c r="D232" s="215">
        <f t="shared" si="115"/>
        <v>332.0024077093347</v>
      </c>
      <c r="E232" s="107">
        <f t="shared" si="116"/>
        <v>73.040590692830705</v>
      </c>
      <c r="F232" s="107">
        <f t="shared" si="117"/>
        <v>12.49593099211808</v>
      </c>
      <c r="G232" s="107">
        <f t="shared" si="118"/>
        <v>0</v>
      </c>
      <c r="H232" s="107">
        <f t="shared" si="119"/>
        <v>277.37960971511336</v>
      </c>
      <c r="I232" s="107">
        <f t="shared" si="120"/>
        <v>89.444935026143725</v>
      </c>
      <c r="J232" s="687">
        <f t="shared" si="108"/>
        <v>0</v>
      </c>
      <c r="K232" s="142">
        <f t="shared" si="121"/>
        <v>784.36347413554051</v>
      </c>
      <c r="L232" s="141">
        <f t="shared" si="109"/>
        <v>135.11448409521392</v>
      </c>
      <c r="M232" s="107">
        <f t="shared" si="110"/>
        <v>29.725046591264345</v>
      </c>
      <c r="N232" s="30">
        <f t="shared" si="122"/>
        <v>8.3959105128118008</v>
      </c>
      <c r="O232" s="107">
        <f t="shared" si="111"/>
        <v>0.73758677003972783</v>
      </c>
      <c r="P232" s="107">
        <f t="shared" si="123"/>
        <v>112.88473214327109</v>
      </c>
      <c r="Q232" s="107">
        <f t="shared" si="124"/>
        <v>36.922275448140738</v>
      </c>
      <c r="R232" s="143">
        <f t="shared" si="125"/>
        <v>323.78003556074162</v>
      </c>
      <c r="S232" s="141">
        <f t="shared" si="126"/>
        <v>0</v>
      </c>
      <c r="T232" s="107">
        <f t="shared" si="112"/>
        <v>0</v>
      </c>
      <c r="U232" s="142">
        <f t="shared" si="127"/>
        <v>0</v>
      </c>
      <c r="V232" s="107"/>
      <c r="W232" s="107">
        <f t="shared" si="128"/>
        <v>0</v>
      </c>
      <c r="X232" s="142">
        <f t="shared" si="129"/>
        <v>0</v>
      </c>
      <c r="Y232" s="141">
        <v>0</v>
      </c>
      <c r="Z232" s="144">
        <v>0</v>
      </c>
      <c r="AA232" s="107">
        <f t="shared" si="113"/>
        <v>0</v>
      </c>
      <c r="AB232" s="142">
        <f t="shared" si="114"/>
        <v>0</v>
      </c>
      <c r="AC232" s="141">
        <v>0</v>
      </c>
      <c r="AD232" s="107">
        <f t="shared" si="130"/>
        <v>0</v>
      </c>
      <c r="AE232" s="142">
        <f t="shared" si="131"/>
        <v>0</v>
      </c>
      <c r="AF232" s="145">
        <v>125.4</v>
      </c>
      <c r="AG232" s="107">
        <f t="shared" si="132"/>
        <v>16.140589466289509</v>
      </c>
      <c r="AH232" s="142">
        <f t="shared" si="133"/>
        <v>141.5405894662895</v>
      </c>
      <c r="AI232" s="145">
        <v>0</v>
      </c>
      <c r="AJ232" s="107">
        <f t="shared" si="134"/>
        <v>0</v>
      </c>
      <c r="AK232" s="142">
        <f t="shared" si="135"/>
        <v>0</v>
      </c>
      <c r="AL232" s="146"/>
      <c r="AM232" s="146"/>
      <c r="AN232" s="107">
        <f t="shared" si="136"/>
        <v>0</v>
      </c>
      <c r="AO232" s="151">
        <f t="shared" si="137"/>
        <v>0</v>
      </c>
      <c r="AP232" s="282">
        <f t="shared" si="138"/>
        <v>383.88630014084453</v>
      </c>
      <c r="AQ232" s="684">
        <v>47.31</v>
      </c>
      <c r="AR232" s="740">
        <v>259.09628650035415</v>
      </c>
      <c r="AS232" s="740">
        <v>124.79001364049037</v>
      </c>
      <c r="AT232" s="740">
        <v>0</v>
      </c>
      <c r="AU232" s="411">
        <v>0</v>
      </c>
      <c r="AV232" s="801"/>
      <c r="AW232" s="256"/>
      <c r="AX232" s="728">
        <f t="shared" si="139"/>
        <v>12.49593099211808</v>
      </c>
      <c r="AY232" s="729">
        <v>8.3959105128118008</v>
      </c>
      <c r="AZ232" s="730"/>
      <c r="BA232" s="731">
        <v>0</v>
      </c>
      <c r="BC232" s="727">
        <v>0</v>
      </c>
      <c r="BD232" s="727">
        <v>12.49593099211808</v>
      </c>
      <c r="BE232" s="727"/>
      <c r="BF232" s="727"/>
      <c r="BG232" s="727">
        <v>0</v>
      </c>
      <c r="BH232" s="727">
        <v>0</v>
      </c>
      <c r="BI232" s="137">
        <f>BC232+BD232+BE232+BG232</f>
        <v>12.49593099211808</v>
      </c>
      <c r="BJ232" s="126"/>
      <c r="BK232" s="807"/>
      <c r="BL232" s="107"/>
      <c r="BM232" s="687"/>
      <c r="BO232" s="577"/>
      <c r="BS232" s="904"/>
      <c r="BT232" s="789"/>
      <c r="BU232" s="789">
        <v>254.2953350757156</v>
      </c>
      <c r="BV232" s="789">
        <v>0</v>
      </c>
      <c r="BW232" s="789">
        <f t="shared" si="140"/>
        <v>254.2953350757156</v>
      </c>
    </row>
    <row r="233" spans="1:75" ht="15" thickBot="1" x14ac:dyDescent="0.35">
      <c r="A233" s="219" t="s">
        <v>184</v>
      </c>
      <c r="B233" s="237">
        <v>2</v>
      </c>
      <c r="C233" s="40">
        <f>'[7]побудинковий звіт'!E233</f>
        <v>450.6</v>
      </c>
      <c r="D233" s="215">
        <f t="shared" si="115"/>
        <v>290.74617218083546</v>
      </c>
      <c r="E233" s="107">
        <f t="shared" si="116"/>
        <v>63.964211296804386</v>
      </c>
      <c r="F233" s="107">
        <f t="shared" si="117"/>
        <v>13.77701616111673</v>
      </c>
      <c r="G233" s="107">
        <f t="shared" si="118"/>
        <v>0</v>
      </c>
      <c r="H233" s="107">
        <f t="shared" si="119"/>
        <v>242.91106899528603</v>
      </c>
      <c r="I233" s="107">
        <f t="shared" si="120"/>
        <v>78.694830004307519</v>
      </c>
      <c r="J233" s="687">
        <f t="shared" si="108"/>
        <v>0</v>
      </c>
      <c r="K233" s="142">
        <f t="shared" si="121"/>
        <v>690.09329863835001</v>
      </c>
      <c r="L233" s="141">
        <f t="shared" si="109"/>
        <v>189.60123622408608</v>
      </c>
      <c r="M233" s="107">
        <f t="shared" si="110"/>
        <v>41.712075639135072</v>
      </c>
      <c r="N233" s="30">
        <f t="shared" si="122"/>
        <v>9.2566608198507403</v>
      </c>
      <c r="O233" s="107">
        <f t="shared" si="111"/>
        <v>0.8112194253841869</v>
      </c>
      <c r="P233" s="107">
        <f t="shared" si="123"/>
        <v>158.40703466037343</v>
      </c>
      <c r="Q233" s="107">
        <f t="shared" si="124"/>
        <v>51.457875930873456</v>
      </c>
      <c r="R233" s="143">
        <f t="shared" si="125"/>
        <v>451.24610269970299</v>
      </c>
      <c r="S233" s="141">
        <f t="shared" si="126"/>
        <v>0</v>
      </c>
      <c r="T233" s="107">
        <f t="shared" si="112"/>
        <v>0</v>
      </c>
      <c r="U233" s="142">
        <f t="shared" si="127"/>
        <v>0</v>
      </c>
      <c r="V233" s="107"/>
      <c r="W233" s="107">
        <f t="shared" si="128"/>
        <v>0</v>
      </c>
      <c r="X233" s="142">
        <f t="shared" si="129"/>
        <v>0</v>
      </c>
      <c r="Y233" s="141">
        <v>0</v>
      </c>
      <c r="Z233" s="144">
        <v>0</v>
      </c>
      <c r="AA233" s="107">
        <f t="shared" si="113"/>
        <v>0</v>
      </c>
      <c r="AB233" s="142">
        <f t="shared" si="114"/>
        <v>0</v>
      </c>
      <c r="AC233" s="141">
        <v>0</v>
      </c>
      <c r="AD233" s="107">
        <f t="shared" si="130"/>
        <v>0</v>
      </c>
      <c r="AE233" s="142">
        <f t="shared" si="131"/>
        <v>0</v>
      </c>
      <c r="AF233" s="145">
        <v>17.600000000000001</v>
      </c>
      <c r="AG233" s="107">
        <f t="shared" si="132"/>
        <v>2.2653458900055452</v>
      </c>
      <c r="AH233" s="142">
        <f t="shared" si="133"/>
        <v>19.865345890005546</v>
      </c>
      <c r="AI233" s="145">
        <v>0</v>
      </c>
      <c r="AJ233" s="107">
        <f t="shared" si="134"/>
        <v>0</v>
      </c>
      <c r="AK233" s="142">
        <f t="shared" si="135"/>
        <v>0</v>
      </c>
      <c r="AL233" s="146"/>
      <c r="AM233" s="146"/>
      <c r="AN233" s="107">
        <f t="shared" si="136"/>
        <v>0</v>
      </c>
      <c r="AO233" s="151">
        <f t="shared" si="137"/>
        <v>0</v>
      </c>
      <c r="AP233" s="282">
        <f t="shared" si="138"/>
        <v>418.54403234021493</v>
      </c>
      <c r="AQ233" s="684">
        <v>24.9</v>
      </c>
      <c r="AR233" s="740">
        <v>243.43074960744502</v>
      </c>
      <c r="AS233" s="740">
        <v>175.1132827327699</v>
      </c>
      <c r="AT233" s="740">
        <v>0</v>
      </c>
      <c r="AU233" s="411">
        <v>0</v>
      </c>
      <c r="AV233" s="801"/>
      <c r="AW233" s="256"/>
      <c r="AX233" s="728">
        <f t="shared" si="139"/>
        <v>13.77701616111673</v>
      </c>
      <c r="AY233" s="729">
        <v>9.2566608198507403</v>
      </c>
      <c r="AZ233" s="730"/>
      <c r="BA233" s="731">
        <v>0</v>
      </c>
      <c r="BC233" s="727">
        <v>0</v>
      </c>
      <c r="BD233" s="727">
        <v>13.77701616111673</v>
      </c>
      <c r="BE233" s="727"/>
      <c r="BF233" s="727"/>
      <c r="BG233" s="727">
        <v>0</v>
      </c>
      <c r="BH233" s="727">
        <v>0</v>
      </c>
      <c r="BI233" s="137">
        <f t="shared" ref="BI233:BI250" si="143">BC233+BD233+BE233+BG233</f>
        <v>13.77701616111673</v>
      </c>
      <c r="BJ233" s="126"/>
      <c r="BK233" s="807"/>
      <c r="BL233" s="107"/>
      <c r="BM233" s="687"/>
      <c r="BO233" s="577"/>
      <c r="BS233" s="904"/>
      <c r="BT233" s="789"/>
      <c r="BU233" s="789">
        <v>238.92442614286537</v>
      </c>
      <c r="BV233" s="789">
        <v>0</v>
      </c>
      <c r="BW233" s="789">
        <f t="shared" si="140"/>
        <v>238.92442614286537</v>
      </c>
    </row>
    <row r="234" spans="1:75" ht="15" thickBot="1" x14ac:dyDescent="0.35">
      <c r="A234" s="219" t="s">
        <v>273</v>
      </c>
      <c r="B234" s="237">
        <v>5</v>
      </c>
      <c r="C234" s="40">
        <f>'[7]побудинковий звіт'!E234</f>
        <v>2102.6</v>
      </c>
      <c r="D234" s="215">
        <f t="shared" si="115"/>
        <v>850.6679522391911</v>
      </c>
      <c r="E234" s="107">
        <f t="shared" si="116"/>
        <v>187.14710578065561</v>
      </c>
      <c r="F234" s="107">
        <f t="shared" si="117"/>
        <v>64.381409077815121</v>
      </c>
      <c r="G234" s="107">
        <f t="shared" si="118"/>
        <v>0</v>
      </c>
      <c r="H234" s="107">
        <f t="shared" si="119"/>
        <v>710.7115463928825</v>
      </c>
      <c r="I234" s="107">
        <f t="shared" si="120"/>
        <v>233.34452939312058</v>
      </c>
      <c r="J234" s="687">
        <f t="shared" si="108"/>
        <v>0</v>
      </c>
      <c r="K234" s="142">
        <f t="shared" si="121"/>
        <v>2046.252542883665</v>
      </c>
      <c r="L234" s="141">
        <f t="shared" si="109"/>
        <v>463.12647828128462</v>
      </c>
      <c r="M234" s="107">
        <f t="shared" si="110"/>
        <v>101.88734565909503</v>
      </c>
      <c r="N234" s="30">
        <f t="shared" si="122"/>
        <v>43.257325096226587</v>
      </c>
      <c r="O234" s="107">
        <f t="shared" si="111"/>
        <v>3.785330589908547</v>
      </c>
      <c r="P234" s="107">
        <f t="shared" si="123"/>
        <v>386.93045234438449</v>
      </c>
      <c r="Q234" s="107">
        <f t="shared" si="124"/>
        <v>128.58243980167762</v>
      </c>
      <c r="R234" s="143">
        <f t="shared" si="125"/>
        <v>1127.5693717725769</v>
      </c>
      <c r="S234" s="141">
        <f t="shared" si="126"/>
        <v>83.160000000000011</v>
      </c>
      <c r="T234" s="107">
        <f t="shared" si="112"/>
        <v>10.703759330276203</v>
      </c>
      <c r="U234" s="142">
        <f t="shared" si="127"/>
        <v>93.86375933027621</v>
      </c>
      <c r="V234" s="107"/>
      <c r="W234" s="107">
        <f t="shared" si="128"/>
        <v>0</v>
      </c>
      <c r="X234" s="142">
        <f t="shared" si="129"/>
        <v>0</v>
      </c>
      <c r="Y234" s="141">
        <v>0</v>
      </c>
      <c r="Z234" s="144">
        <v>0</v>
      </c>
      <c r="AA234" s="107">
        <f t="shared" si="113"/>
        <v>0</v>
      </c>
      <c r="AB234" s="142">
        <f t="shared" si="114"/>
        <v>0</v>
      </c>
      <c r="AC234" s="141">
        <v>0</v>
      </c>
      <c r="AD234" s="107">
        <f t="shared" si="130"/>
        <v>0</v>
      </c>
      <c r="AE234" s="142">
        <f t="shared" si="131"/>
        <v>0</v>
      </c>
      <c r="AF234" s="145">
        <v>220</v>
      </c>
      <c r="AG234" s="107">
        <f t="shared" si="132"/>
        <v>28.316823625069315</v>
      </c>
      <c r="AH234" s="142">
        <f t="shared" si="133"/>
        <v>248.3168236250693</v>
      </c>
      <c r="AI234" s="145">
        <v>0</v>
      </c>
      <c r="AJ234" s="107">
        <f t="shared" si="134"/>
        <v>0</v>
      </c>
      <c r="AK234" s="142">
        <f t="shared" si="135"/>
        <v>0</v>
      </c>
      <c r="AL234" s="146"/>
      <c r="AM234" s="146"/>
      <c r="AN234" s="107">
        <f t="shared" si="136"/>
        <v>0</v>
      </c>
      <c r="AO234" s="151">
        <f t="shared" si="137"/>
        <v>0</v>
      </c>
      <c r="AP234" s="282">
        <f t="shared" si="138"/>
        <v>1036.04239937699</v>
      </c>
      <c r="AQ234" s="684">
        <v>176.78</v>
      </c>
      <c r="AR234" s="740">
        <v>608.30469287568553</v>
      </c>
      <c r="AS234" s="740">
        <v>412.43507779896458</v>
      </c>
      <c r="AT234" s="740">
        <v>15.302628702339803</v>
      </c>
      <c r="AU234" s="411">
        <v>0</v>
      </c>
      <c r="AV234" s="801"/>
      <c r="AW234" s="256"/>
      <c r="AX234" s="728">
        <f t="shared" si="139"/>
        <v>64.381409077815121</v>
      </c>
      <c r="AY234" s="729">
        <v>43.257325096226587</v>
      </c>
      <c r="AZ234" s="730"/>
      <c r="BA234" s="731">
        <v>0</v>
      </c>
      <c r="BC234" s="727">
        <v>0</v>
      </c>
      <c r="BD234" s="727">
        <v>64.381409077815121</v>
      </c>
      <c r="BE234" s="727"/>
      <c r="BF234" s="727"/>
      <c r="BG234" s="727">
        <v>0</v>
      </c>
      <c r="BH234" s="727">
        <v>0</v>
      </c>
      <c r="BI234" s="137">
        <f t="shared" si="143"/>
        <v>64.381409077815121</v>
      </c>
      <c r="BJ234" s="126">
        <v>378</v>
      </c>
      <c r="BK234" s="807"/>
      <c r="BL234" s="107"/>
      <c r="BM234" s="687"/>
      <c r="BO234" s="577"/>
      <c r="BS234" s="904"/>
      <c r="BT234" s="789"/>
      <c r="BU234" s="789">
        <v>597.03200019861504</v>
      </c>
      <c r="BV234" s="789">
        <v>0</v>
      </c>
      <c r="BW234" s="789">
        <f t="shared" si="140"/>
        <v>597.03200019861504</v>
      </c>
    </row>
    <row r="235" spans="1:75" ht="15" thickBot="1" x14ac:dyDescent="0.35">
      <c r="A235" s="219" t="s">
        <v>218</v>
      </c>
      <c r="B235" s="237">
        <v>4</v>
      </c>
      <c r="C235" s="40">
        <f>'[7]побудинковий звіт'!E235</f>
        <v>2790</v>
      </c>
      <c r="D235" s="215">
        <f t="shared" si="115"/>
        <v>2075.0192298359425</v>
      </c>
      <c r="E235" s="107">
        <f t="shared" si="116"/>
        <v>456.50461179453225</v>
      </c>
      <c r="F235" s="107">
        <f t="shared" si="117"/>
        <v>85.288474437272782</v>
      </c>
      <c r="G235" s="107">
        <f t="shared" si="118"/>
        <v>0</v>
      </c>
      <c r="H235" s="107">
        <f t="shared" si="119"/>
        <v>1733.6260543843819</v>
      </c>
      <c r="I235" s="107">
        <f t="shared" si="120"/>
        <v>559.95725467194052</v>
      </c>
      <c r="J235" s="687">
        <f t="shared" si="108"/>
        <v>0</v>
      </c>
      <c r="K235" s="142">
        <f t="shared" si="121"/>
        <v>4910.3956251240706</v>
      </c>
      <c r="L235" s="141">
        <f t="shared" si="109"/>
        <v>706.96383457390505</v>
      </c>
      <c r="M235" s="107">
        <f t="shared" si="110"/>
        <v>155.53131155235349</v>
      </c>
      <c r="N235" s="30">
        <f t="shared" si="122"/>
        <v>57.304605763368045</v>
      </c>
      <c r="O235" s="107">
        <f t="shared" si="111"/>
        <v>5.0228632863335143</v>
      </c>
      <c r="P235" s="107">
        <f t="shared" si="123"/>
        <v>590.65039277814913</v>
      </c>
      <c r="Q235" s="107">
        <f t="shared" si="124"/>
        <v>195.06082670358987</v>
      </c>
      <c r="R235" s="143">
        <f t="shared" si="125"/>
        <v>1710.5338346576989</v>
      </c>
      <c r="S235" s="141">
        <f t="shared" si="126"/>
        <v>0</v>
      </c>
      <c r="T235" s="107">
        <f t="shared" si="112"/>
        <v>0</v>
      </c>
      <c r="U235" s="142">
        <f t="shared" si="127"/>
        <v>0</v>
      </c>
      <c r="V235" s="107"/>
      <c r="W235" s="107">
        <f t="shared" si="128"/>
        <v>0</v>
      </c>
      <c r="X235" s="142">
        <f t="shared" si="129"/>
        <v>0</v>
      </c>
      <c r="Y235" s="141">
        <v>0</v>
      </c>
      <c r="Z235" s="144">
        <v>0</v>
      </c>
      <c r="AA235" s="107">
        <f t="shared" si="113"/>
        <v>0</v>
      </c>
      <c r="AB235" s="142">
        <f t="shared" si="114"/>
        <v>0</v>
      </c>
      <c r="AC235" s="141">
        <v>0</v>
      </c>
      <c r="AD235" s="107">
        <f t="shared" si="130"/>
        <v>0</v>
      </c>
      <c r="AE235" s="142">
        <f t="shared" si="131"/>
        <v>0</v>
      </c>
      <c r="AF235" s="145">
        <v>129.80000000000001</v>
      </c>
      <c r="AG235" s="107">
        <f t="shared" si="132"/>
        <v>16.706925938790896</v>
      </c>
      <c r="AH235" s="142">
        <f t="shared" si="133"/>
        <v>146.50692593879091</v>
      </c>
      <c r="AI235" s="145">
        <v>0</v>
      </c>
      <c r="AJ235" s="107">
        <f t="shared" si="134"/>
        <v>0</v>
      </c>
      <c r="AK235" s="142">
        <f t="shared" si="135"/>
        <v>0</v>
      </c>
      <c r="AL235" s="146"/>
      <c r="AM235" s="146"/>
      <c r="AN235" s="107">
        <f t="shared" si="136"/>
        <v>0</v>
      </c>
      <c r="AO235" s="151">
        <f t="shared" si="137"/>
        <v>0</v>
      </c>
      <c r="AP235" s="282">
        <f t="shared" si="138"/>
        <v>2468.2059276434611</v>
      </c>
      <c r="AQ235" s="684">
        <v>99.78</v>
      </c>
      <c r="AR235" s="740">
        <v>1815.2631498903245</v>
      </c>
      <c r="AS235" s="740">
        <v>652.94277775313674</v>
      </c>
      <c r="AT235" s="740">
        <v>0</v>
      </c>
      <c r="AU235" s="411">
        <v>0</v>
      </c>
      <c r="AV235" s="801"/>
      <c r="AW235" s="256"/>
      <c r="AX235" s="728">
        <f t="shared" si="139"/>
        <v>85.288474437272782</v>
      </c>
      <c r="AY235" s="729">
        <v>57.304605763368045</v>
      </c>
      <c r="AZ235" s="730"/>
      <c r="BA235" s="731">
        <v>0</v>
      </c>
      <c r="BC235" s="727">
        <v>0</v>
      </c>
      <c r="BD235" s="727">
        <v>85.288474437272782</v>
      </c>
      <c r="BE235" s="727"/>
      <c r="BF235" s="727"/>
      <c r="BG235" s="727">
        <v>0</v>
      </c>
      <c r="BH235" s="727">
        <v>0</v>
      </c>
      <c r="BI235" s="137">
        <f t="shared" si="143"/>
        <v>85.288474437272782</v>
      </c>
      <c r="BJ235" s="126"/>
      <c r="BK235" s="807"/>
      <c r="BL235" s="107"/>
      <c r="BM235" s="687"/>
      <c r="BO235" s="577"/>
      <c r="BS235" s="904"/>
      <c r="BT235" s="789"/>
      <c r="BU235" s="789">
        <v>1777.9176310418195</v>
      </c>
      <c r="BV235" s="789">
        <v>0</v>
      </c>
      <c r="BW235" s="789">
        <f t="shared" si="140"/>
        <v>1777.9176310418195</v>
      </c>
    </row>
    <row r="236" spans="1:75" ht="15" thickBot="1" x14ac:dyDescent="0.35">
      <c r="A236" s="219" t="s">
        <v>274</v>
      </c>
      <c r="B236" s="237">
        <v>5</v>
      </c>
      <c r="C236" s="40">
        <f>'[7]побудинковий звіт'!E236</f>
        <v>3559.5</v>
      </c>
      <c r="D236" s="215">
        <f t="shared" si="115"/>
        <v>1570.0101801974004</v>
      </c>
      <c r="E236" s="107">
        <f t="shared" si="116"/>
        <v>345.40252809182101</v>
      </c>
      <c r="F236" s="107">
        <f t="shared" si="117"/>
        <v>108.83108971481357</v>
      </c>
      <c r="G236" s="107">
        <f t="shared" si="118"/>
        <v>0</v>
      </c>
      <c r="H236" s="107">
        <f t="shared" si="119"/>
        <v>1311.7037735858123</v>
      </c>
      <c r="I236" s="107">
        <f t="shared" si="120"/>
        <v>429.37926821449082</v>
      </c>
      <c r="J236" s="687">
        <f t="shared" si="108"/>
        <v>0</v>
      </c>
      <c r="K236" s="142">
        <f t="shared" si="121"/>
        <v>3765.3268398043379</v>
      </c>
      <c r="L236" s="141">
        <f t="shared" si="109"/>
        <v>711.72162450907615</v>
      </c>
      <c r="M236" s="107">
        <f t="shared" si="110"/>
        <v>156.57802041144774</v>
      </c>
      <c r="N236" s="30">
        <f t="shared" si="122"/>
        <v>73.122690164799621</v>
      </c>
      <c r="O236" s="107">
        <f t="shared" si="111"/>
        <v>6.4082013862738867</v>
      </c>
      <c r="P236" s="107">
        <f t="shared" si="123"/>
        <v>594.62540586443868</v>
      </c>
      <c r="Q236" s="107">
        <f t="shared" si="124"/>
        <v>198.53387667531644</v>
      </c>
      <c r="R236" s="143">
        <f t="shared" si="125"/>
        <v>1740.9898190113524</v>
      </c>
      <c r="S236" s="141">
        <f t="shared" si="126"/>
        <v>137.23599999999999</v>
      </c>
      <c r="T236" s="107">
        <f t="shared" si="112"/>
        <v>17.664034577318237</v>
      </c>
      <c r="U236" s="142">
        <f t="shared" si="127"/>
        <v>154.90003457731822</v>
      </c>
      <c r="V236" s="107"/>
      <c r="W236" s="107">
        <f t="shared" si="128"/>
        <v>0</v>
      </c>
      <c r="X236" s="142">
        <f t="shared" si="129"/>
        <v>0</v>
      </c>
      <c r="Y236" s="141">
        <v>0</v>
      </c>
      <c r="Z236" s="144">
        <v>0</v>
      </c>
      <c r="AA236" s="107">
        <f t="shared" si="113"/>
        <v>0</v>
      </c>
      <c r="AB236" s="142">
        <f t="shared" si="114"/>
        <v>0</v>
      </c>
      <c r="AC236" s="141">
        <v>0</v>
      </c>
      <c r="AD236" s="107">
        <f t="shared" si="130"/>
        <v>0</v>
      </c>
      <c r="AE236" s="142">
        <f t="shared" si="131"/>
        <v>0</v>
      </c>
      <c r="AF236" s="145">
        <v>233.2</v>
      </c>
      <c r="AG236" s="107">
        <f t="shared" si="132"/>
        <v>30.015833042573473</v>
      </c>
      <c r="AH236" s="142">
        <f t="shared" si="133"/>
        <v>263.21583304257348</v>
      </c>
      <c r="AI236" s="145">
        <v>0</v>
      </c>
      <c r="AJ236" s="107">
        <f t="shared" si="134"/>
        <v>0</v>
      </c>
      <c r="AK236" s="142">
        <f t="shared" si="135"/>
        <v>0</v>
      </c>
      <c r="AL236" s="146"/>
      <c r="AM236" s="401"/>
      <c r="AN236" s="107">
        <f t="shared" si="136"/>
        <v>0</v>
      </c>
      <c r="AO236" s="151">
        <f t="shared" si="137"/>
        <v>0</v>
      </c>
      <c r="AP236" s="282">
        <f t="shared" si="138"/>
        <v>1955.5553864952963</v>
      </c>
      <c r="AQ236" s="684">
        <v>150.75</v>
      </c>
      <c r="AR236" s="740">
        <v>1298.2183746607107</v>
      </c>
      <c r="AS236" s="740">
        <v>635.29512961453611</v>
      </c>
      <c r="AT236" s="740">
        <v>22.041882220049569</v>
      </c>
      <c r="AU236" s="411">
        <v>0</v>
      </c>
      <c r="AV236" s="801"/>
      <c r="AW236" s="256"/>
      <c r="AX236" s="728">
        <f t="shared" si="139"/>
        <v>108.83108971481357</v>
      </c>
      <c r="AY236" s="729">
        <v>73.122690164799621</v>
      </c>
      <c r="AZ236" s="730"/>
      <c r="BA236" s="731">
        <v>0</v>
      </c>
      <c r="BC236" s="727">
        <v>0</v>
      </c>
      <c r="BD236" s="727">
        <v>108.83108971481357</v>
      </c>
      <c r="BE236" s="727"/>
      <c r="BF236" s="727"/>
      <c r="BG236" s="727">
        <v>0</v>
      </c>
      <c r="BH236" s="727">
        <v>0</v>
      </c>
      <c r="BI236" s="137">
        <f t="shared" si="143"/>
        <v>108.83108971481357</v>
      </c>
      <c r="BJ236" s="126">
        <v>623.79999999999995</v>
      </c>
      <c r="BK236" s="807"/>
      <c r="BL236" s="107"/>
      <c r="BM236" s="687"/>
      <c r="BO236" s="577"/>
      <c r="BS236" s="904"/>
      <c r="BT236" s="789"/>
      <c r="BU236" s="789">
        <v>1271.5135019947484</v>
      </c>
      <c r="BV236" s="789">
        <v>0</v>
      </c>
      <c r="BW236" s="789">
        <f t="shared" si="140"/>
        <v>1271.5135019947484</v>
      </c>
    </row>
    <row r="237" spans="1:75" ht="15" thickBot="1" x14ac:dyDescent="0.35">
      <c r="A237" s="219" t="s">
        <v>275</v>
      </c>
      <c r="B237" s="237">
        <v>5</v>
      </c>
      <c r="C237" s="40">
        <f>'[7]побудинковий звіт'!E237</f>
        <v>3575.2</v>
      </c>
      <c r="D237" s="215">
        <f t="shared" si="115"/>
        <v>1865.6657699686173</v>
      </c>
      <c r="E237" s="107">
        <f t="shared" si="116"/>
        <v>410.44681216048667</v>
      </c>
      <c r="F237" s="107">
        <f t="shared" si="117"/>
        <v>109.31722943288229</v>
      </c>
      <c r="G237" s="107">
        <f t="shared" si="118"/>
        <v>0</v>
      </c>
      <c r="H237" s="107">
        <f t="shared" si="119"/>
        <v>1558.7165367361019</v>
      </c>
      <c r="I237" s="107">
        <f t="shared" si="120"/>
        <v>507.66225680099166</v>
      </c>
      <c r="J237" s="687">
        <f t="shared" si="108"/>
        <v>0</v>
      </c>
      <c r="K237" s="142">
        <f t="shared" si="121"/>
        <v>4451.8086050990796</v>
      </c>
      <c r="L237" s="141">
        <f t="shared" si="109"/>
        <v>771.17759252652343</v>
      </c>
      <c r="M237" s="107">
        <f t="shared" si="110"/>
        <v>169.65827180923216</v>
      </c>
      <c r="N237" s="30">
        <f t="shared" si="122"/>
        <v>73.449323336205808</v>
      </c>
      <c r="O237" s="107">
        <f t="shared" si="111"/>
        <v>6.4364662441933973</v>
      </c>
      <c r="P237" s="107">
        <f t="shared" si="123"/>
        <v>644.29936250138053</v>
      </c>
      <c r="Q237" s="107">
        <f t="shared" si="124"/>
        <v>214.30957479058631</v>
      </c>
      <c r="R237" s="143">
        <f t="shared" si="125"/>
        <v>1879.3305912081216</v>
      </c>
      <c r="S237" s="141">
        <f t="shared" si="126"/>
        <v>189.46400000000003</v>
      </c>
      <c r="T237" s="107">
        <f t="shared" si="112"/>
        <v>24.386448505909698</v>
      </c>
      <c r="U237" s="142">
        <f t="shared" si="127"/>
        <v>213.85044850590972</v>
      </c>
      <c r="V237" s="107"/>
      <c r="W237" s="107">
        <f t="shared" si="128"/>
        <v>0</v>
      </c>
      <c r="X237" s="142">
        <f t="shared" si="129"/>
        <v>0</v>
      </c>
      <c r="Y237" s="141">
        <v>0</v>
      </c>
      <c r="Z237" s="144">
        <v>0</v>
      </c>
      <c r="AA237" s="107">
        <f t="shared" si="113"/>
        <v>0</v>
      </c>
      <c r="AB237" s="142">
        <f t="shared" si="114"/>
        <v>0</v>
      </c>
      <c r="AC237" s="141">
        <v>0</v>
      </c>
      <c r="AD237" s="107">
        <f t="shared" si="130"/>
        <v>0</v>
      </c>
      <c r="AE237" s="142">
        <f t="shared" si="131"/>
        <v>0</v>
      </c>
      <c r="AF237" s="145">
        <v>330</v>
      </c>
      <c r="AG237" s="107">
        <f t="shared" si="132"/>
        <v>42.47523543760397</v>
      </c>
      <c r="AH237" s="142">
        <f t="shared" si="133"/>
        <v>372.47523543760394</v>
      </c>
      <c r="AI237" s="145">
        <v>0</v>
      </c>
      <c r="AJ237" s="107">
        <f t="shared" si="134"/>
        <v>0</v>
      </c>
      <c r="AK237" s="142">
        <f t="shared" si="135"/>
        <v>0</v>
      </c>
      <c r="AL237" s="146"/>
      <c r="AM237" s="146"/>
      <c r="AN237" s="107">
        <f t="shared" si="136"/>
        <v>0</v>
      </c>
      <c r="AO237" s="151">
        <f t="shared" si="137"/>
        <v>0</v>
      </c>
      <c r="AP237" s="282">
        <f t="shared" si="138"/>
        <v>2137.7898297811325</v>
      </c>
      <c r="AQ237" s="684">
        <v>296.29000000000002</v>
      </c>
      <c r="AR237" s="740">
        <v>1425.5400444597506</v>
      </c>
      <c r="AS237" s="740">
        <v>681.82350244017687</v>
      </c>
      <c r="AT237" s="740">
        <v>30.426282881205001</v>
      </c>
      <c r="AU237" s="411">
        <v>0</v>
      </c>
      <c r="AV237" s="801"/>
      <c r="AW237" s="256"/>
      <c r="AX237" s="728">
        <f t="shared" si="139"/>
        <v>109.31722943288229</v>
      </c>
      <c r="AY237" s="729">
        <v>73.449323336205808</v>
      </c>
      <c r="AZ237" s="730"/>
      <c r="BA237" s="731">
        <v>0</v>
      </c>
      <c r="BC237" s="727">
        <v>0</v>
      </c>
      <c r="BD237" s="727">
        <v>109.31722943288229</v>
      </c>
      <c r="BE237" s="727"/>
      <c r="BF237" s="727"/>
      <c r="BG237" s="727">
        <v>0</v>
      </c>
      <c r="BH237" s="727">
        <v>0</v>
      </c>
      <c r="BI237" s="137">
        <f t="shared" si="143"/>
        <v>109.31722943288229</v>
      </c>
      <c r="BJ237" s="126">
        <v>861.2</v>
      </c>
      <c r="BK237" s="807"/>
      <c r="BL237" s="107"/>
      <c r="BM237" s="687"/>
      <c r="BO237" s="577"/>
      <c r="BS237" s="904"/>
      <c r="BT237" s="789"/>
      <c r="BU237" s="789">
        <v>1396.2113048776307</v>
      </c>
      <c r="BV237" s="789">
        <v>0</v>
      </c>
      <c r="BW237" s="789">
        <f t="shared" si="140"/>
        <v>1396.2113048776307</v>
      </c>
    </row>
    <row r="238" spans="1:75" ht="15" thickBot="1" x14ac:dyDescent="0.35">
      <c r="A238" s="219" t="s">
        <v>276</v>
      </c>
      <c r="B238" s="237">
        <v>5</v>
      </c>
      <c r="C238" s="40">
        <f>'[7]побудинковий звіт'!E238</f>
        <v>3564.2</v>
      </c>
      <c r="D238" s="215">
        <f t="shared" si="115"/>
        <v>1695.4693989161017</v>
      </c>
      <c r="E238" s="107">
        <f t="shared" si="116"/>
        <v>373.00357925979222</v>
      </c>
      <c r="F238" s="107">
        <f t="shared" si="117"/>
        <v>284.5092512525103</v>
      </c>
      <c r="G238" s="107">
        <f t="shared" si="118"/>
        <v>0</v>
      </c>
      <c r="H238" s="107">
        <f t="shared" si="119"/>
        <v>1416.5217758510951</v>
      </c>
      <c r="I238" s="107">
        <f t="shared" si="120"/>
        <v>485.18354577950879</v>
      </c>
      <c r="J238" s="687">
        <f t="shared" si="108"/>
        <v>0</v>
      </c>
      <c r="K238" s="142">
        <f t="shared" si="121"/>
        <v>4254.687551059008</v>
      </c>
      <c r="L238" s="141">
        <f t="shared" si="109"/>
        <v>745.88710767764371</v>
      </c>
      <c r="M238" s="107">
        <f t="shared" si="110"/>
        <v>164.09439133052007</v>
      </c>
      <c r="N238" s="30">
        <f t="shared" si="122"/>
        <v>73.235676481952709</v>
      </c>
      <c r="O238" s="107">
        <f t="shared" si="111"/>
        <v>6.4166628405555235</v>
      </c>
      <c r="P238" s="107">
        <f t="shared" si="123"/>
        <v>623.16980243195519</v>
      </c>
      <c r="Q238" s="107">
        <f t="shared" si="124"/>
        <v>207.58852835156804</v>
      </c>
      <c r="R238" s="143">
        <f t="shared" si="125"/>
        <v>1820.3921691141954</v>
      </c>
      <c r="S238" s="141">
        <f t="shared" si="126"/>
        <v>157.43200000000002</v>
      </c>
      <c r="T238" s="107">
        <f t="shared" si="112"/>
        <v>20.263518986099601</v>
      </c>
      <c r="U238" s="142">
        <f t="shared" si="127"/>
        <v>177.69551898609961</v>
      </c>
      <c r="V238" s="107"/>
      <c r="W238" s="107">
        <f t="shared" si="128"/>
        <v>0</v>
      </c>
      <c r="X238" s="142">
        <f t="shared" si="129"/>
        <v>0</v>
      </c>
      <c r="Y238" s="141">
        <v>0</v>
      </c>
      <c r="Z238" s="144">
        <v>0</v>
      </c>
      <c r="AA238" s="107">
        <f t="shared" si="113"/>
        <v>0</v>
      </c>
      <c r="AB238" s="142">
        <f t="shared" si="114"/>
        <v>0</v>
      </c>
      <c r="AC238" s="141">
        <v>0</v>
      </c>
      <c r="AD238" s="107">
        <f t="shared" si="130"/>
        <v>0</v>
      </c>
      <c r="AE238" s="142">
        <f t="shared" si="131"/>
        <v>0</v>
      </c>
      <c r="AF238" s="145">
        <v>915.2</v>
      </c>
      <c r="AG238" s="107">
        <f t="shared" si="132"/>
        <v>117.79798628028836</v>
      </c>
      <c r="AH238" s="142">
        <f t="shared" si="133"/>
        <v>1032.9979862802884</v>
      </c>
      <c r="AI238" s="145">
        <v>0</v>
      </c>
      <c r="AJ238" s="107">
        <f t="shared" si="134"/>
        <v>0</v>
      </c>
      <c r="AK238" s="142">
        <f t="shared" si="135"/>
        <v>0</v>
      </c>
      <c r="AL238" s="146"/>
      <c r="AM238" s="401"/>
      <c r="AN238" s="107">
        <f t="shared" si="136"/>
        <v>0</v>
      </c>
      <c r="AO238" s="151">
        <f t="shared" si="137"/>
        <v>0</v>
      </c>
      <c r="AP238" s="282">
        <f t="shared" si="138"/>
        <v>2100.7269816112562</v>
      </c>
      <c r="AQ238" s="684">
        <v>152.91999999999999</v>
      </c>
      <c r="AR238" s="740">
        <v>1411.8351654254577</v>
      </c>
      <c r="AS238" s="740">
        <v>663.60072205113522</v>
      </c>
      <c r="AT238" s="740">
        <v>25.291094134662988</v>
      </c>
      <c r="AU238" s="411">
        <v>0</v>
      </c>
      <c r="AV238" s="801"/>
      <c r="AW238" s="256"/>
      <c r="AX238" s="728">
        <f t="shared" si="139"/>
        <v>108.99925125251029</v>
      </c>
      <c r="AY238" s="729">
        <v>73.235676481952709</v>
      </c>
      <c r="AZ238" s="730"/>
      <c r="BA238" s="731">
        <v>0</v>
      </c>
      <c r="BC238" s="727">
        <v>0</v>
      </c>
      <c r="BD238" s="727">
        <v>108.99925125251029</v>
      </c>
      <c r="BE238" s="727"/>
      <c r="BF238" s="727"/>
      <c r="BG238" s="727">
        <v>0</v>
      </c>
      <c r="BH238" s="727">
        <v>0</v>
      </c>
      <c r="BI238" s="137">
        <f t="shared" si="143"/>
        <v>108.99925125251029</v>
      </c>
      <c r="BJ238" s="126">
        <v>715.6</v>
      </c>
      <c r="BK238" s="807"/>
      <c r="BL238" s="107"/>
      <c r="BM238" s="687">
        <v>175.51</v>
      </c>
      <c r="BO238" s="577"/>
      <c r="BS238" s="904"/>
      <c r="BT238" s="789"/>
      <c r="BU238" s="789">
        <v>1382.4341919963913</v>
      </c>
      <c r="BV238" s="789">
        <v>0</v>
      </c>
      <c r="BW238" s="789">
        <f t="shared" si="140"/>
        <v>1382.4341919963913</v>
      </c>
    </row>
    <row r="239" spans="1:75" ht="15" thickBot="1" x14ac:dyDescent="0.35">
      <c r="A239" s="219" t="s">
        <v>277</v>
      </c>
      <c r="B239" s="237">
        <v>5</v>
      </c>
      <c r="C239" s="40">
        <f>'[7]побудинковий звіт'!E239</f>
        <v>3571.96</v>
      </c>
      <c r="D239" s="215">
        <f t="shared" si="115"/>
        <v>2108.2448363160702</v>
      </c>
      <c r="E239" s="107">
        <f t="shared" si="116"/>
        <v>463.81425132449834</v>
      </c>
      <c r="F239" s="107">
        <f t="shared" si="117"/>
        <v>109.21816699976638</v>
      </c>
      <c r="G239" s="107">
        <f t="shared" si="118"/>
        <v>0</v>
      </c>
      <c r="H239" s="107">
        <f t="shared" si="119"/>
        <v>1761.3852077639995</v>
      </c>
      <c r="I239" s="107">
        <f t="shared" si="120"/>
        <v>571.82767897099848</v>
      </c>
      <c r="J239" s="687">
        <f t="shared" si="108"/>
        <v>0</v>
      </c>
      <c r="K239" s="142">
        <f t="shared" si="121"/>
        <v>5014.4901413753323</v>
      </c>
      <c r="L239" s="141">
        <f t="shared" si="109"/>
        <v>761.93651345315948</v>
      </c>
      <c r="M239" s="107">
        <f t="shared" si="110"/>
        <v>167.62524398213606</v>
      </c>
      <c r="N239" s="30">
        <f t="shared" si="122"/>
        <v>73.382764123919259</v>
      </c>
      <c r="O239" s="107">
        <f t="shared" si="111"/>
        <v>6.4306332416673335</v>
      </c>
      <c r="P239" s="107">
        <f t="shared" si="123"/>
        <v>636.57867479793379</v>
      </c>
      <c r="Q239" s="107">
        <f t="shared" si="124"/>
        <v>211.85538312616848</v>
      </c>
      <c r="R239" s="143">
        <f t="shared" si="125"/>
        <v>1857.8092127249843</v>
      </c>
      <c r="S239" s="141">
        <f t="shared" si="126"/>
        <v>156.94800000000001</v>
      </c>
      <c r="T239" s="107">
        <f t="shared" si="112"/>
        <v>20.201221974124451</v>
      </c>
      <c r="U239" s="142">
        <f t="shared" si="127"/>
        <v>177.14922197412446</v>
      </c>
      <c r="V239" s="107"/>
      <c r="W239" s="107">
        <f t="shared" si="128"/>
        <v>0</v>
      </c>
      <c r="X239" s="142">
        <f t="shared" si="129"/>
        <v>0</v>
      </c>
      <c r="Y239" s="141">
        <v>0</v>
      </c>
      <c r="Z239" s="144">
        <v>0</v>
      </c>
      <c r="AA239" s="107">
        <f t="shared" si="113"/>
        <v>0</v>
      </c>
      <c r="AB239" s="142">
        <f t="shared" si="114"/>
        <v>0</v>
      </c>
      <c r="AC239" s="141">
        <v>0</v>
      </c>
      <c r="AD239" s="107">
        <f t="shared" si="130"/>
        <v>0</v>
      </c>
      <c r="AE239" s="142">
        <f t="shared" si="131"/>
        <v>0</v>
      </c>
      <c r="AF239" s="145">
        <v>426.8</v>
      </c>
      <c r="AG239" s="107">
        <f t="shared" si="132"/>
        <v>54.934637832634472</v>
      </c>
      <c r="AH239" s="142">
        <f t="shared" si="133"/>
        <v>481.73463783263446</v>
      </c>
      <c r="AI239" s="145">
        <v>0</v>
      </c>
      <c r="AJ239" s="107">
        <f t="shared" si="134"/>
        <v>0</v>
      </c>
      <c r="AK239" s="142">
        <f t="shared" si="135"/>
        <v>0</v>
      </c>
      <c r="AL239" s="146"/>
      <c r="AM239" s="146"/>
      <c r="AN239" s="107">
        <f t="shared" si="136"/>
        <v>0</v>
      </c>
      <c r="AO239" s="151">
        <f t="shared" si="137"/>
        <v>0</v>
      </c>
      <c r="AP239" s="282">
        <f t="shared" si="138"/>
        <v>2486.7420312423105</v>
      </c>
      <c r="AQ239" s="684">
        <v>162.68</v>
      </c>
      <c r="AR239" s="740">
        <v>1783.0271886499797</v>
      </c>
      <c r="AS239" s="740">
        <v>678.50458295749888</v>
      </c>
      <c r="AT239" s="740">
        <v>25.210259634831861</v>
      </c>
      <c r="AU239" s="411">
        <v>0</v>
      </c>
      <c r="AV239" s="801"/>
      <c r="AW239" s="256"/>
      <c r="AX239" s="728">
        <f t="shared" si="139"/>
        <v>109.21816699976638</v>
      </c>
      <c r="AY239" s="729">
        <v>73.382764123919259</v>
      </c>
      <c r="AZ239" s="730"/>
      <c r="BA239" s="731">
        <v>0</v>
      </c>
      <c r="BC239" s="727">
        <v>0</v>
      </c>
      <c r="BD239" s="727">
        <v>109.21816699976638</v>
      </c>
      <c r="BE239" s="727"/>
      <c r="BF239" s="727"/>
      <c r="BG239" s="727">
        <v>0</v>
      </c>
      <c r="BH239" s="727">
        <v>0</v>
      </c>
      <c r="BI239" s="137">
        <f t="shared" si="143"/>
        <v>109.21816699976638</v>
      </c>
      <c r="BJ239" s="126">
        <v>713.4</v>
      </c>
      <c r="BK239" s="807"/>
      <c r="BL239" s="107"/>
      <c r="BM239" s="687"/>
      <c r="BO239" s="577"/>
      <c r="BS239" s="904"/>
      <c r="BT239" s="789"/>
      <c r="BU239" s="789">
        <v>1745.8778098833509</v>
      </c>
      <c r="BV239" s="789">
        <v>0</v>
      </c>
      <c r="BW239" s="789">
        <f t="shared" si="140"/>
        <v>1745.8778098833509</v>
      </c>
    </row>
    <row r="240" spans="1:75" ht="15" thickBot="1" x14ac:dyDescent="0.35">
      <c r="A240" s="260" t="s">
        <v>278</v>
      </c>
      <c r="B240" s="237">
        <v>5</v>
      </c>
      <c r="C240" s="40">
        <f>'[7]побудинковий звіт'!E240</f>
        <v>4572.3</v>
      </c>
      <c r="D240" s="215">
        <f t="shared" si="115"/>
        <v>3026.0135528313313</v>
      </c>
      <c r="E240" s="107">
        <f t="shared" si="116"/>
        <v>665.7235375739034</v>
      </c>
      <c r="F240" s="107">
        <f t="shared" si="117"/>
        <v>145.34795074310938</v>
      </c>
      <c r="G240" s="107">
        <f t="shared" si="118"/>
        <v>0</v>
      </c>
      <c r="H240" s="107">
        <f t="shared" si="119"/>
        <v>2528.1577446024003</v>
      </c>
      <c r="I240" s="107">
        <f t="shared" si="120"/>
        <v>819.28844224931231</v>
      </c>
      <c r="J240" s="687">
        <f t="shared" si="108"/>
        <v>0</v>
      </c>
      <c r="K240" s="142">
        <f t="shared" si="121"/>
        <v>7184.5312280000571</v>
      </c>
      <c r="L240" s="141">
        <f t="shared" si="109"/>
        <v>1029.1207838733035</v>
      </c>
      <c r="M240" s="107">
        <f t="shared" si="110"/>
        <v>226.40550680795607</v>
      </c>
      <c r="N240" s="30">
        <f t="shared" si="122"/>
        <v>88.718994253956055</v>
      </c>
      <c r="O240" s="107">
        <f t="shared" si="111"/>
        <v>8.2315547684956005</v>
      </c>
      <c r="P240" s="107">
        <f t="shared" si="123"/>
        <v>859.8043711490302</v>
      </c>
      <c r="Q240" s="107">
        <f t="shared" si="124"/>
        <v>284.74898571259934</v>
      </c>
      <c r="R240" s="143">
        <f t="shared" si="125"/>
        <v>2497.0301965653407</v>
      </c>
      <c r="S240" s="141">
        <f t="shared" si="126"/>
        <v>44</v>
      </c>
      <c r="T240" s="107">
        <f t="shared" si="112"/>
        <v>5.6633647250138628</v>
      </c>
      <c r="U240" s="142">
        <f t="shared" si="127"/>
        <v>49.663364725013864</v>
      </c>
      <c r="V240" s="107"/>
      <c r="W240" s="107">
        <f t="shared" si="128"/>
        <v>0</v>
      </c>
      <c r="X240" s="142">
        <f t="shared" si="129"/>
        <v>0</v>
      </c>
      <c r="Y240" s="141">
        <v>0</v>
      </c>
      <c r="Z240" s="144">
        <v>0</v>
      </c>
      <c r="AA240" s="107">
        <f t="shared" si="113"/>
        <v>0</v>
      </c>
      <c r="AB240" s="142">
        <f t="shared" si="114"/>
        <v>0</v>
      </c>
      <c r="AC240" s="141">
        <v>0</v>
      </c>
      <c r="AD240" s="107">
        <f t="shared" si="130"/>
        <v>0</v>
      </c>
      <c r="AE240" s="142">
        <f t="shared" si="131"/>
        <v>0</v>
      </c>
      <c r="AF240" s="145">
        <v>332.2</v>
      </c>
      <c r="AG240" s="107">
        <f t="shared" si="132"/>
        <v>42.758403673854666</v>
      </c>
      <c r="AH240" s="142">
        <f t="shared" si="133"/>
        <v>374.95840367385466</v>
      </c>
      <c r="AI240" s="145">
        <v>0</v>
      </c>
      <c r="AJ240" s="107">
        <f t="shared" si="134"/>
        <v>0</v>
      </c>
      <c r="AK240" s="142">
        <f t="shared" si="135"/>
        <v>0</v>
      </c>
      <c r="AL240" s="146"/>
      <c r="AM240" s="215"/>
      <c r="AN240" s="107">
        <f t="shared" si="136"/>
        <v>0</v>
      </c>
      <c r="AO240" s="151">
        <f t="shared" si="137"/>
        <v>0</v>
      </c>
      <c r="AP240" s="282">
        <f t="shared" si="138"/>
        <v>3419.3434142153951</v>
      </c>
      <c r="AQ240" s="684">
        <v>195.31</v>
      </c>
      <c r="AR240" s="411">
        <v>2468.8605883566775</v>
      </c>
      <c r="AS240" s="411">
        <v>943.40456230187021</v>
      </c>
      <c r="AT240" s="411">
        <v>7.0782635568474168</v>
      </c>
      <c r="AU240" s="411">
        <v>0</v>
      </c>
      <c r="AV240" s="742">
        <v>128.54884407146935</v>
      </c>
      <c r="AW240" s="256"/>
      <c r="AX240" s="728">
        <f t="shared" si="139"/>
        <v>145.34795074310938</v>
      </c>
      <c r="AY240" s="729">
        <v>88.718994253956055</v>
      </c>
      <c r="AZ240" s="730"/>
      <c r="BA240" s="731">
        <v>0</v>
      </c>
      <c r="BB240" s="742"/>
      <c r="BC240" s="727">
        <v>26.362500000000001</v>
      </c>
      <c r="BD240" s="727">
        <v>118.98545074310937</v>
      </c>
      <c r="BE240" s="727"/>
      <c r="BF240" s="727"/>
      <c r="BG240" s="727">
        <v>0</v>
      </c>
      <c r="BH240" s="727">
        <v>38.04296875</v>
      </c>
      <c r="BI240" s="137">
        <f t="shared" si="143"/>
        <v>145.34795074310938</v>
      </c>
      <c r="BJ240" s="126">
        <v>200</v>
      </c>
      <c r="BK240" s="807"/>
      <c r="BL240" s="107"/>
      <c r="BM240" s="687"/>
      <c r="BO240" s="577"/>
      <c r="BS240" s="904"/>
      <c r="BT240" s="789"/>
      <c r="BU240" s="789">
        <v>1046.4579107063653</v>
      </c>
      <c r="BV240" s="789">
        <v>0</v>
      </c>
      <c r="BW240" s="789">
        <f t="shared" si="140"/>
        <v>1046.4579107063653</v>
      </c>
    </row>
    <row r="241" spans="1:75" ht="15" thickBot="1" x14ac:dyDescent="0.35">
      <c r="A241" s="260" t="s">
        <v>279</v>
      </c>
      <c r="B241" s="237">
        <v>5</v>
      </c>
      <c r="C241" s="40">
        <f>'[7]побудинковий звіт'!E241</f>
        <v>4577.8</v>
      </c>
      <c r="D241" s="215">
        <f t="shared" si="115"/>
        <v>2904.8196220490622</v>
      </c>
      <c r="E241" s="107">
        <f t="shared" si="116"/>
        <v>639.06085053558263</v>
      </c>
      <c r="F241" s="107">
        <f t="shared" si="117"/>
        <v>145.86382875457932</v>
      </c>
      <c r="G241" s="107">
        <f t="shared" si="118"/>
        <v>0</v>
      </c>
      <c r="H241" s="107">
        <f t="shared" si="119"/>
        <v>2426.9032824671217</v>
      </c>
      <c r="I241" s="107">
        <f t="shared" si="120"/>
        <v>787.29104912432115</v>
      </c>
      <c r="J241" s="687">
        <f t="shared" si="108"/>
        <v>0</v>
      </c>
      <c r="K241" s="142">
        <f t="shared" si="121"/>
        <v>6903.9386329306662</v>
      </c>
      <c r="L241" s="141">
        <f t="shared" si="109"/>
        <v>1027.9304988960505</v>
      </c>
      <c r="M241" s="107">
        <f t="shared" si="110"/>
        <v>226.14364534548849</v>
      </c>
      <c r="N241" s="30">
        <f t="shared" si="122"/>
        <v>89.145518516718454</v>
      </c>
      <c r="O241" s="107">
        <f t="shared" si="111"/>
        <v>8.2414564703145388</v>
      </c>
      <c r="P241" s="107">
        <f t="shared" si="123"/>
        <v>858.80991817286599</v>
      </c>
      <c r="Q241" s="107">
        <f t="shared" si="124"/>
        <v>284.49025058952498</v>
      </c>
      <c r="R241" s="143">
        <f t="shared" si="125"/>
        <v>2494.761287990963</v>
      </c>
      <c r="S241" s="141">
        <f t="shared" si="126"/>
        <v>44</v>
      </c>
      <c r="T241" s="107">
        <f t="shared" si="112"/>
        <v>5.6633647250138628</v>
      </c>
      <c r="U241" s="142">
        <f t="shared" si="127"/>
        <v>49.663364725013864</v>
      </c>
      <c r="V241" s="107"/>
      <c r="W241" s="107">
        <f t="shared" si="128"/>
        <v>0</v>
      </c>
      <c r="X241" s="142">
        <f t="shared" si="129"/>
        <v>0</v>
      </c>
      <c r="Y241" s="141">
        <v>0</v>
      </c>
      <c r="Z241" s="144">
        <v>0</v>
      </c>
      <c r="AA241" s="107">
        <f t="shared" si="113"/>
        <v>0</v>
      </c>
      <c r="AB241" s="142">
        <f t="shared" si="114"/>
        <v>0</v>
      </c>
      <c r="AC241" s="141">
        <v>0</v>
      </c>
      <c r="AD241" s="107">
        <f t="shared" si="130"/>
        <v>0</v>
      </c>
      <c r="AE241" s="142">
        <f t="shared" si="131"/>
        <v>0</v>
      </c>
      <c r="AF241" s="145">
        <v>294.8</v>
      </c>
      <c r="AG241" s="107">
        <f t="shared" si="132"/>
        <v>37.944543657592881</v>
      </c>
      <c r="AH241" s="142">
        <f t="shared" si="133"/>
        <v>332.74454365759289</v>
      </c>
      <c r="AI241" s="145">
        <v>0</v>
      </c>
      <c r="AJ241" s="107">
        <f t="shared" si="134"/>
        <v>0</v>
      </c>
      <c r="AK241" s="142">
        <f t="shared" si="135"/>
        <v>0</v>
      </c>
      <c r="AL241" s="146"/>
      <c r="AM241" s="215"/>
      <c r="AN241" s="107">
        <f t="shared" si="136"/>
        <v>0</v>
      </c>
      <c r="AO241" s="151">
        <f t="shared" si="137"/>
        <v>0</v>
      </c>
      <c r="AP241" s="282">
        <f t="shared" si="138"/>
        <v>3272.2931286340067</v>
      </c>
      <c r="AQ241" s="684">
        <v>237.01</v>
      </c>
      <c r="AR241" s="411">
        <v>2322.9096347939258</v>
      </c>
      <c r="AS241" s="411">
        <v>942.3052302832333</v>
      </c>
      <c r="AT241" s="411">
        <v>7.0782635568474168</v>
      </c>
      <c r="AU241" s="411">
        <v>0</v>
      </c>
      <c r="AV241" s="742">
        <v>120.94945735028203</v>
      </c>
      <c r="AW241" s="256"/>
      <c r="AX241" s="728">
        <f t="shared" si="139"/>
        <v>145.86382875457932</v>
      </c>
      <c r="AY241" s="729">
        <v>89.145518516718454</v>
      </c>
      <c r="AZ241" s="730"/>
      <c r="BA241" s="731">
        <v>0</v>
      </c>
      <c r="BB241" s="742"/>
      <c r="BC241" s="727">
        <v>26.362500000000001</v>
      </c>
      <c r="BD241" s="727">
        <v>119.50132875457932</v>
      </c>
      <c r="BE241" s="727"/>
      <c r="BF241" s="727"/>
      <c r="BG241" s="727">
        <v>0</v>
      </c>
      <c r="BH241" s="727">
        <v>38.04296875</v>
      </c>
      <c r="BI241" s="137">
        <f t="shared" si="143"/>
        <v>145.86382875457932</v>
      </c>
      <c r="BJ241" s="126">
        <v>200</v>
      </c>
      <c r="BK241" s="807"/>
      <c r="BL241" s="107"/>
      <c r="BM241" s="687"/>
      <c r="BO241" s="577"/>
      <c r="BS241" s="904"/>
      <c r="BT241" s="789"/>
      <c r="BU241" s="789">
        <v>984.58697648918701</v>
      </c>
      <c r="BV241" s="789">
        <v>0</v>
      </c>
      <c r="BW241" s="789">
        <f t="shared" si="140"/>
        <v>984.58697648918701</v>
      </c>
    </row>
    <row r="242" spans="1:75" ht="15" thickBot="1" x14ac:dyDescent="0.35">
      <c r="A242" s="260" t="s">
        <v>280</v>
      </c>
      <c r="B242" s="237">
        <v>5</v>
      </c>
      <c r="C242" s="40">
        <f>'[7]побудинковий звіт'!E242</f>
        <v>3208.93</v>
      </c>
      <c r="D242" s="215">
        <f t="shared" si="115"/>
        <v>2836.1194007060844</v>
      </c>
      <c r="E242" s="107">
        <f t="shared" si="116"/>
        <v>623.94678921825493</v>
      </c>
      <c r="F242" s="107">
        <f t="shared" si="117"/>
        <v>98.415572453026883</v>
      </c>
      <c r="G242" s="107">
        <f t="shared" si="118"/>
        <v>0</v>
      </c>
      <c r="H242" s="107">
        <f t="shared" si="119"/>
        <v>2369.5059861193781</v>
      </c>
      <c r="I242" s="107">
        <f t="shared" si="120"/>
        <v>763.00810693524579</v>
      </c>
      <c r="J242" s="687">
        <f t="shared" si="108"/>
        <v>0</v>
      </c>
      <c r="K242" s="142">
        <f t="shared" si="121"/>
        <v>6690.9958554319901</v>
      </c>
      <c r="L242" s="141">
        <f t="shared" si="109"/>
        <v>753.51324377910203</v>
      </c>
      <c r="M242" s="107">
        <f t="shared" si="110"/>
        <v>165.77213337605406</v>
      </c>
      <c r="N242" s="30">
        <f t="shared" si="122"/>
        <v>62.497100571059462</v>
      </c>
      <c r="O242" s="107">
        <f t="shared" si="111"/>
        <v>5.7770669123348402</v>
      </c>
      <c r="P242" s="107">
        <f t="shared" si="123"/>
        <v>629.5412461514502</v>
      </c>
      <c r="Q242" s="107">
        <f t="shared" si="124"/>
        <v>208.141626712548</v>
      </c>
      <c r="R242" s="143">
        <f t="shared" si="125"/>
        <v>1825.2424175025487</v>
      </c>
      <c r="S242" s="141">
        <f t="shared" si="126"/>
        <v>22</v>
      </c>
      <c r="T242" s="107">
        <f t="shared" si="112"/>
        <v>2.8316823625069314</v>
      </c>
      <c r="U242" s="142">
        <f t="shared" si="127"/>
        <v>24.831682362506932</v>
      </c>
      <c r="V242" s="735"/>
      <c r="W242" s="107">
        <f t="shared" si="128"/>
        <v>0</v>
      </c>
      <c r="X242" s="142">
        <f t="shared" si="129"/>
        <v>0</v>
      </c>
      <c r="Y242" s="141">
        <v>0</v>
      </c>
      <c r="Z242" s="144">
        <v>0</v>
      </c>
      <c r="AA242" s="107">
        <f t="shared" si="113"/>
        <v>0</v>
      </c>
      <c r="AB242" s="142">
        <f t="shared" si="114"/>
        <v>0</v>
      </c>
      <c r="AC242" s="141">
        <v>0</v>
      </c>
      <c r="AD242" s="107">
        <f t="shared" si="130"/>
        <v>0</v>
      </c>
      <c r="AE242" s="142">
        <f t="shared" si="131"/>
        <v>0</v>
      </c>
      <c r="AF242" s="145">
        <v>220</v>
      </c>
      <c r="AG242" s="107">
        <f t="shared" si="132"/>
        <v>28.316823625069315</v>
      </c>
      <c r="AH242" s="142">
        <f t="shared" si="133"/>
        <v>248.3168236250693</v>
      </c>
      <c r="AI242" s="145">
        <v>0</v>
      </c>
      <c r="AJ242" s="107">
        <f t="shared" si="134"/>
        <v>0</v>
      </c>
      <c r="AK242" s="142">
        <f t="shared" si="135"/>
        <v>0</v>
      </c>
      <c r="AL242" s="146"/>
      <c r="AM242" s="215"/>
      <c r="AN242" s="107">
        <f t="shared" si="136"/>
        <v>0</v>
      </c>
      <c r="AO242" s="151">
        <f t="shared" si="137"/>
        <v>0</v>
      </c>
      <c r="AP242" s="282">
        <f t="shared" si="138"/>
        <v>2898.7540549944238</v>
      </c>
      <c r="AQ242" s="684">
        <v>299.95</v>
      </c>
      <c r="AR242" s="411">
        <v>2202.8188368040364</v>
      </c>
      <c r="AS242" s="411">
        <v>672.29381791051674</v>
      </c>
      <c r="AT242" s="411">
        <v>23.641400279870371</v>
      </c>
      <c r="AU242" s="411">
        <v>0</v>
      </c>
      <c r="AV242" s="742">
        <v>114.69655941913716</v>
      </c>
      <c r="AW242" s="256"/>
      <c r="AX242" s="728">
        <f t="shared" si="139"/>
        <v>98.415572453026883</v>
      </c>
      <c r="AY242" s="729">
        <v>62.497100571059462</v>
      </c>
      <c r="AZ242" s="730"/>
      <c r="BA242" s="731">
        <v>0</v>
      </c>
      <c r="BB242" s="742"/>
      <c r="BC242" s="727">
        <v>15.817499999999999</v>
      </c>
      <c r="BD242" s="727">
        <v>82.598072453026887</v>
      </c>
      <c r="BE242" s="727"/>
      <c r="BF242" s="727"/>
      <c r="BG242" s="727">
        <v>0</v>
      </c>
      <c r="BH242" s="727">
        <v>22.825781249999999</v>
      </c>
      <c r="BI242" s="137">
        <f t="shared" si="143"/>
        <v>98.415572453026883</v>
      </c>
      <c r="BJ242" s="126">
        <v>100</v>
      </c>
      <c r="BK242" s="807"/>
      <c r="BL242" s="107"/>
      <c r="BM242" s="687"/>
      <c r="BO242" s="577"/>
      <c r="BS242" s="904"/>
      <c r="BT242" s="789"/>
      <c r="BU242" s="789">
        <v>933.68771705528297</v>
      </c>
      <c r="BV242" s="789">
        <v>0</v>
      </c>
      <c r="BW242" s="789">
        <f t="shared" si="140"/>
        <v>933.68771705528297</v>
      </c>
    </row>
    <row r="243" spans="1:75" ht="15" thickBot="1" x14ac:dyDescent="0.35">
      <c r="A243" s="260" t="s">
        <v>281</v>
      </c>
      <c r="B243" s="237">
        <v>5</v>
      </c>
      <c r="C243" s="40">
        <f>'[7]побудинковий звіт'!E243</f>
        <v>6253.7</v>
      </c>
      <c r="D243" s="215">
        <f t="shared" si="115"/>
        <v>3761.2152824464251</v>
      </c>
      <c r="E243" s="107">
        <f t="shared" si="116"/>
        <v>827.46805316335292</v>
      </c>
      <c r="F243" s="107">
        <f t="shared" si="117"/>
        <v>476.70484925957135</v>
      </c>
      <c r="G243" s="107">
        <f t="shared" si="118"/>
        <v>0</v>
      </c>
      <c r="H243" s="107">
        <f t="shared" si="119"/>
        <v>3142.4001840760625</v>
      </c>
      <c r="I243" s="107">
        <f t="shared" si="120"/>
        <v>1056.4477072514662</v>
      </c>
      <c r="J243" s="687">
        <f t="shared" si="108"/>
        <v>0</v>
      </c>
      <c r="K243" s="142">
        <f t="shared" si="121"/>
        <v>9264.2360761968775</v>
      </c>
      <c r="L243" s="141">
        <f t="shared" si="109"/>
        <v>1320.7597724821101</v>
      </c>
      <c r="M243" s="107">
        <f t="shared" si="110"/>
        <v>290.56578231266832</v>
      </c>
      <c r="N243" s="30">
        <f t="shared" si="122"/>
        <v>120.82906512228465</v>
      </c>
      <c r="O243" s="107">
        <f t="shared" si="111"/>
        <v>11.258595030015734</v>
      </c>
      <c r="P243" s="107">
        <f t="shared" si="123"/>
        <v>1103.4613656755391</v>
      </c>
      <c r="Q243" s="107">
        <f t="shared" si="124"/>
        <v>366.42929719174475</v>
      </c>
      <c r="R243" s="143">
        <f t="shared" si="125"/>
        <v>3213.3038778143627</v>
      </c>
      <c r="S243" s="141">
        <f t="shared" si="126"/>
        <v>66</v>
      </c>
      <c r="T243" s="107">
        <f t="shared" si="112"/>
        <v>8.4950470875207937</v>
      </c>
      <c r="U243" s="142">
        <f t="shared" si="127"/>
        <v>74.495047087520788</v>
      </c>
      <c r="V243" s="107"/>
      <c r="W243" s="107">
        <f t="shared" si="128"/>
        <v>0</v>
      </c>
      <c r="X243" s="142">
        <f t="shared" si="129"/>
        <v>0</v>
      </c>
      <c r="Y243" s="141">
        <v>0</v>
      </c>
      <c r="Z243" s="144">
        <v>0</v>
      </c>
      <c r="AA243" s="107">
        <f t="shared" si="113"/>
        <v>0</v>
      </c>
      <c r="AB243" s="142">
        <f t="shared" si="114"/>
        <v>0</v>
      </c>
      <c r="AC243" s="141">
        <v>0</v>
      </c>
      <c r="AD243" s="107">
        <f t="shared" si="130"/>
        <v>0</v>
      </c>
      <c r="AE243" s="142">
        <f t="shared" si="131"/>
        <v>0</v>
      </c>
      <c r="AF243" s="145">
        <v>160.6</v>
      </c>
      <c r="AG243" s="107">
        <f t="shared" si="132"/>
        <v>20.671281246300598</v>
      </c>
      <c r="AH243" s="142">
        <f t="shared" si="133"/>
        <v>181.27128124630059</v>
      </c>
      <c r="AI243" s="145">
        <v>0</v>
      </c>
      <c r="AJ243" s="107">
        <f t="shared" si="134"/>
        <v>0</v>
      </c>
      <c r="AK243" s="142">
        <f t="shared" si="135"/>
        <v>0</v>
      </c>
      <c r="AL243" s="146"/>
      <c r="AM243" s="215"/>
      <c r="AN243" s="107">
        <f t="shared" si="136"/>
        <v>0</v>
      </c>
      <c r="AO243" s="151">
        <f t="shared" si="137"/>
        <v>0</v>
      </c>
      <c r="AP243" s="282">
        <f t="shared" si="138"/>
        <v>4137.8513561791142</v>
      </c>
      <c r="AQ243" s="684">
        <v>401.29</v>
      </c>
      <c r="AR243" s="411">
        <v>2918.0144813426014</v>
      </c>
      <c r="AS243" s="411">
        <v>1209.2262016484924</v>
      </c>
      <c r="AT243" s="411">
        <v>10.610673188020352</v>
      </c>
      <c r="AU243" s="411">
        <v>0</v>
      </c>
      <c r="AV243" s="742">
        <v>151.93542735034646</v>
      </c>
      <c r="AW243" s="256"/>
      <c r="AX243" s="728">
        <f t="shared" si="139"/>
        <v>184.18484925957137</v>
      </c>
      <c r="AY243" s="729">
        <v>120.82906512228465</v>
      </c>
      <c r="AZ243" s="730"/>
      <c r="BA243" s="731">
        <v>0</v>
      </c>
      <c r="BB243" s="742"/>
      <c r="BC243" s="727">
        <v>26.362500000000001</v>
      </c>
      <c r="BD243" s="727">
        <v>157.82234925957135</v>
      </c>
      <c r="BE243" s="727"/>
      <c r="BF243" s="727"/>
      <c r="BG243" s="727">
        <v>0</v>
      </c>
      <c r="BH243" s="727">
        <v>38.04296875</v>
      </c>
      <c r="BI243" s="137">
        <f t="shared" si="143"/>
        <v>184.18484925957137</v>
      </c>
      <c r="BJ243" s="126">
        <v>300</v>
      </c>
      <c r="BK243" s="807"/>
      <c r="BL243" s="107"/>
      <c r="BM243" s="687">
        <v>292.52</v>
      </c>
      <c r="BO243" s="577"/>
      <c r="BS243" s="904"/>
      <c r="BT243" s="789"/>
      <c r="BU243" s="789">
        <v>2309.1998701720931</v>
      </c>
      <c r="BV243" s="789">
        <v>0</v>
      </c>
      <c r="BW243" s="789">
        <f t="shared" si="140"/>
        <v>2309.1998701720931</v>
      </c>
    </row>
    <row r="244" spans="1:75" ht="15" thickBot="1" x14ac:dyDescent="0.35">
      <c r="A244" s="260" t="s">
        <v>282</v>
      </c>
      <c r="B244" s="237">
        <v>5</v>
      </c>
      <c r="C244" s="40">
        <f>'[7]побудинковий звіт'!E244</f>
        <v>2767.8</v>
      </c>
      <c r="D244" s="215">
        <f t="shared" si="115"/>
        <v>2269.4436308482277</v>
      </c>
      <c r="E244" s="107">
        <f t="shared" si="116"/>
        <v>499.27801573764418</v>
      </c>
      <c r="F244" s="107">
        <f t="shared" si="117"/>
        <v>87.986591995579673</v>
      </c>
      <c r="G244" s="107">
        <f t="shared" si="118"/>
        <v>0</v>
      </c>
      <c r="H244" s="107">
        <f t="shared" si="119"/>
        <v>1896.06272116632</v>
      </c>
      <c r="I244" s="107">
        <f t="shared" si="120"/>
        <v>611.74262271604118</v>
      </c>
      <c r="J244" s="687">
        <f t="shared" si="108"/>
        <v>0</v>
      </c>
      <c r="K244" s="142">
        <f t="shared" si="121"/>
        <v>5364.5135824638128</v>
      </c>
      <c r="L244" s="141">
        <f t="shared" si="109"/>
        <v>752.53021210491056</v>
      </c>
      <c r="M244" s="107">
        <f t="shared" si="110"/>
        <v>165.55586742565129</v>
      </c>
      <c r="N244" s="30">
        <f t="shared" si="122"/>
        <v>53.874493865451932</v>
      </c>
      <c r="O244" s="107">
        <f t="shared" si="111"/>
        <v>4.9828964171734418</v>
      </c>
      <c r="P244" s="107">
        <f t="shared" si="123"/>
        <v>628.71994806507132</v>
      </c>
      <c r="Q244" s="107">
        <f t="shared" si="124"/>
        <v>206.66949002402097</v>
      </c>
      <c r="R244" s="143">
        <f t="shared" si="125"/>
        <v>1812.3329079022794</v>
      </c>
      <c r="S244" s="141">
        <f t="shared" si="126"/>
        <v>44</v>
      </c>
      <c r="T244" s="107">
        <f t="shared" si="112"/>
        <v>5.6633647250138628</v>
      </c>
      <c r="U244" s="142">
        <f t="shared" si="127"/>
        <v>49.663364725013864</v>
      </c>
      <c r="V244" s="107"/>
      <c r="W244" s="107">
        <f t="shared" si="128"/>
        <v>0</v>
      </c>
      <c r="X244" s="142">
        <f t="shared" si="129"/>
        <v>0</v>
      </c>
      <c r="Y244" s="141">
        <v>0</v>
      </c>
      <c r="Z244" s="144">
        <v>0</v>
      </c>
      <c r="AA244" s="107">
        <f t="shared" si="113"/>
        <v>0</v>
      </c>
      <c r="AB244" s="142">
        <f t="shared" si="114"/>
        <v>0</v>
      </c>
      <c r="AC244" s="141">
        <v>0</v>
      </c>
      <c r="AD244" s="107">
        <f t="shared" si="130"/>
        <v>0</v>
      </c>
      <c r="AE244" s="142">
        <f t="shared" si="131"/>
        <v>0</v>
      </c>
      <c r="AF244" s="145">
        <v>1082.4000000000001</v>
      </c>
      <c r="AG244" s="107">
        <f t="shared" si="132"/>
        <v>139.31877223534104</v>
      </c>
      <c r="AH244" s="142">
        <f t="shared" si="133"/>
        <v>1221.718772235341</v>
      </c>
      <c r="AI244" s="145">
        <v>0</v>
      </c>
      <c r="AJ244" s="107">
        <f t="shared" si="134"/>
        <v>0</v>
      </c>
      <c r="AK244" s="142">
        <f t="shared" si="135"/>
        <v>0</v>
      </c>
      <c r="AL244" s="215"/>
      <c r="AM244" s="215"/>
      <c r="AN244" s="107">
        <f t="shared" si="136"/>
        <v>0</v>
      </c>
      <c r="AO244" s="151">
        <f t="shared" si="137"/>
        <v>0</v>
      </c>
      <c r="AP244" s="282">
        <f t="shared" si="138"/>
        <v>2475.8703830481836</v>
      </c>
      <c r="AQ244" s="684">
        <v>220.91</v>
      </c>
      <c r="AR244" s="411">
        <v>1780.8430803699848</v>
      </c>
      <c r="AS244" s="411">
        <v>674.41783845600037</v>
      </c>
      <c r="AT244" s="411">
        <v>20.609464222198199</v>
      </c>
      <c r="AU244" s="411">
        <v>0</v>
      </c>
      <c r="AV244" s="742">
        <v>92.725089676535191</v>
      </c>
      <c r="AW244" s="256"/>
      <c r="AX244" s="728">
        <f t="shared" si="139"/>
        <v>87.986591995579673</v>
      </c>
      <c r="AY244" s="729">
        <v>53.874493865451932</v>
      </c>
      <c r="AZ244" s="730"/>
      <c r="BA244" s="731">
        <v>0</v>
      </c>
      <c r="BB244" s="742"/>
      <c r="BC244" s="727">
        <v>15.817499999999999</v>
      </c>
      <c r="BD244" s="727">
        <v>72.169091995579677</v>
      </c>
      <c r="BE244" s="727"/>
      <c r="BF244" s="727"/>
      <c r="BG244" s="727">
        <v>0</v>
      </c>
      <c r="BH244" s="727">
        <v>22.825781249999999</v>
      </c>
      <c r="BI244" s="137">
        <f t="shared" si="143"/>
        <v>87.986591995579673</v>
      </c>
      <c r="BJ244" s="126">
        <v>200</v>
      </c>
      <c r="BK244" s="807"/>
      <c r="BL244" s="107"/>
      <c r="BM244" s="687"/>
      <c r="BO244" s="577"/>
      <c r="BS244" s="904"/>
      <c r="BT244" s="789"/>
      <c r="BU244" s="789">
        <v>1409.2838061339494</v>
      </c>
      <c r="BV244" s="789">
        <v>0</v>
      </c>
      <c r="BW244" s="789">
        <f t="shared" si="140"/>
        <v>1409.2838061339494</v>
      </c>
    </row>
    <row r="245" spans="1:75" ht="15" thickBot="1" x14ac:dyDescent="0.35">
      <c r="A245" s="260" t="s">
        <v>283</v>
      </c>
      <c r="B245" s="237">
        <v>5</v>
      </c>
      <c r="C245" s="40">
        <f>'[7]побудинковий звіт'!E245</f>
        <v>4580.3</v>
      </c>
      <c r="D245" s="215">
        <f t="shared" si="115"/>
        <v>3265.955870833272</v>
      </c>
      <c r="E245" s="107">
        <f t="shared" si="116"/>
        <v>718.51089161746881</v>
      </c>
      <c r="F245" s="107">
        <f t="shared" si="117"/>
        <v>145.93685258268695</v>
      </c>
      <c r="G245" s="107">
        <f t="shared" si="118"/>
        <v>0</v>
      </c>
      <c r="H245" s="107">
        <f t="shared" si="119"/>
        <v>2728.6234791153452</v>
      </c>
      <c r="I245" s="107">
        <f t="shared" si="120"/>
        <v>882.84482029355672</v>
      </c>
      <c r="J245" s="687">
        <f t="shared" si="108"/>
        <v>0</v>
      </c>
      <c r="K245" s="142">
        <f t="shared" si="121"/>
        <v>7741.8719144423294</v>
      </c>
      <c r="L245" s="141">
        <f t="shared" si="109"/>
        <v>952.92694991539383</v>
      </c>
      <c r="M245" s="107">
        <f t="shared" si="110"/>
        <v>209.64294223516094</v>
      </c>
      <c r="N245" s="30">
        <f t="shared" si="122"/>
        <v>89.205894097292145</v>
      </c>
      <c r="O245" s="107">
        <f t="shared" si="111"/>
        <v>8.2459572438686006</v>
      </c>
      <c r="P245" s="107">
        <f t="shared" si="123"/>
        <v>796.14635110103609</v>
      </c>
      <c r="Q245" s="107">
        <f t="shared" si="124"/>
        <v>264.65522399126269</v>
      </c>
      <c r="R245" s="143">
        <f t="shared" si="125"/>
        <v>2320.8233185840145</v>
      </c>
      <c r="S245" s="141">
        <f t="shared" si="126"/>
        <v>44</v>
      </c>
      <c r="T245" s="107">
        <f t="shared" si="112"/>
        <v>5.6633647250138628</v>
      </c>
      <c r="U245" s="142">
        <f t="shared" si="127"/>
        <v>49.663364725013864</v>
      </c>
      <c r="V245" s="107"/>
      <c r="W245" s="107">
        <f t="shared" si="128"/>
        <v>0</v>
      </c>
      <c r="X245" s="142">
        <f t="shared" si="129"/>
        <v>0</v>
      </c>
      <c r="Y245" s="141">
        <v>0</v>
      </c>
      <c r="Z245" s="144">
        <v>0</v>
      </c>
      <c r="AA245" s="107">
        <f t="shared" si="113"/>
        <v>0</v>
      </c>
      <c r="AB245" s="142">
        <f t="shared" si="114"/>
        <v>0</v>
      </c>
      <c r="AC245" s="141">
        <v>0</v>
      </c>
      <c r="AD245" s="107">
        <f t="shared" si="130"/>
        <v>0</v>
      </c>
      <c r="AE245" s="142">
        <f t="shared" si="131"/>
        <v>0</v>
      </c>
      <c r="AF245" s="145">
        <v>235.4</v>
      </c>
      <c r="AG245" s="107">
        <f t="shared" si="132"/>
        <v>30.299001278824168</v>
      </c>
      <c r="AH245" s="142">
        <f t="shared" si="133"/>
        <v>265.6990012788242</v>
      </c>
      <c r="AI245" s="145">
        <v>0</v>
      </c>
      <c r="AJ245" s="107">
        <f t="shared" si="134"/>
        <v>0</v>
      </c>
      <c r="AK245" s="142">
        <f t="shared" si="135"/>
        <v>0</v>
      </c>
      <c r="AL245" s="146">
        <v>5865</v>
      </c>
      <c r="AM245" s="146"/>
      <c r="AN245" s="107">
        <f t="shared" si="136"/>
        <v>754.90077527741607</v>
      </c>
      <c r="AO245" s="151">
        <f t="shared" si="137"/>
        <v>6619.900775277416</v>
      </c>
      <c r="AP245" s="282">
        <f t="shared" si="138"/>
        <v>3384.8664715567693</v>
      </c>
      <c r="AQ245" s="684">
        <v>378.99</v>
      </c>
      <c r="AR245" s="411">
        <v>2504.7552986159462</v>
      </c>
      <c r="AS245" s="411">
        <v>873.03739081547587</v>
      </c>
      <c r="AT245" s="411">
        <v>7.0737821253469013</v>
      </c>
      <c r="AU245" s="411">
        <v>0</v>
      </c>
      <c r="AV245" s="742">
        <v>130.41781291234693</v>
      </c>
      <c r="AW245" s="256"/>
      <c r="AX245" s="728">
        <f t="shared" si="139"/>
        <v>145.93685258268695</v>
      </c>
      <c r="AY245" s="729">
        <v>89.205894097292145</v>
      </c>
      <c r="AZ245" s="730"/>
      <c r="BA245" s="731">
        <v>0</v>
      </c>
      <c r="BB245" s="742"/>
      <c r="BC245" s="727">
        <v>26.362500000000001</v>
      </c>
      <c r="BD245" s="727">
        <v>119.57435258268696</v>
      </c>
      <c r="BE245" s="727"/>
      <c r="BF245" s="727"/>
      <c r="BG245" s="727">
        <v>0</v>
      </c>
      <c r="BH245" s="727">
        <v>38.04296875</v>
      </c>
      <c r="BI245" s="137">
        <f t="shared" si="143"/>
        <v>145.93685258268695</v>
      </c>
      <c r="BJ245" s="126">
        <v>200</v>
      </c>
      <c r="BK245" s="807"/>
      <c r="BL245" s="107"/>
      <c r="BM245" s="687"/>
      <c r="BO245" s="577"/>
      <c r="BS245" s="904"/>
      <c r="BT245" s="789"/>
      <c r="BU245" s="789">
        <v>1982.150465684321</v>
      </c>
      <c r="BV245" s="789">
        <v>0</v>
      </c>
      <c r="BW245" s="789">
        <f t="shared" si="140"/>
        <v>1982.150465684321</v>
      </c>
    </row>
    <row r="246" spans="1:75" ht="15" thickBot="1" x14ac:dyDescent="0.35">
      <c r="A246" s="260" t="s">
        <v>284</v>
      </c>
      <c r="B246" s="237">
        <v>5</v>
      </c>
      <c r="C246" s="40">
        <f>'[7]побудинковий звіт'!E246</f>
        <v>6211.0999999999995</v>
      </c>
      <c r="D246" s="215">
        <f t="shared" si="115"/>
        <v>3839.4784420041688</v>
      </c>
      <c r="E246" s="107">
        <f t="shared" si="116"/>
        <v>844.68596264486939</v>
      </c>
      <c r="F246" s="107">
        <f t="shared" si="117"/>
        <v>418.36974177465311</v>
      </c>
      <c r="G246" s="107">
        <f t="shared" si="118"/>
        <v>0</v>
      </c>
      <c r="H246" s="107">
        <f t="shared" si="119"/>
        <v>3207.7870732946617</v>
      </c>
      <c r="I246" s="107">
        <f t="shared" si="120"/>
        <v>1069.6450011201614</v>
      </c>
      <c r="J246" s="687">
        <f t="shared" si="108"/>
        <v>0</v>
      </c>
      <c r="K246" s="142">
        <f t="shared" si="121"/>
        <v>9379.9662208385143</v>
      </c>
      <c r="L246" s="141">
        <f t="shared" si="109"/>
        <v>1280.1504118833279</v>
      </c>
      <c r="M246" s="107">
        <f t="shared" si="110"/>
        <v>281.63176503151874</v>
      </c>
      <c r="N246" s="30">
        <f t="shared" si="122"/>
        <v>120.96539707841876</v>
      </c>
      <c r="O246" s="107">
        <f t="shared" si="111"/>
        <v>11.181901848654512</v>
      </c>
      <c r="P246" s="107">
        <f t="shared" si="123"/>
        <v>1069.5332725891412</v>
      </c>
      <c r="Q246" s="107">
        <f t="shared" si="124"/>
        <v>355.6931238262348</v>
      </c>
      <c r="R246" s="143">
        <f t="shared" si="125"/>
        <v>3119.1558722572963</v>
      </c>
      <c r="S246" s="141">
        <f t="shared" si="126"/>
        <v>265.80400000000003</v>
      </c>
      <c r="T246" s="107">
        <f t="shared" si="112"/>
        <v>34.212386303808749</v>
      </c>
      <c r="U246" s="142">
        <f t="shared" si="127"/>
        <v>300.01638630380876</v>
      </c>
      <c r="V246" s="107"/>
      <c r="W246" s="107">
        <f t="shared" si="128"/>
        <v>0</v>
      </c>
      <c r="X246" s="142">
        <f t="shared" si="129"/>
        <v>0</v>
      </c>
      <c r="Y246" s="141">
        <v>0</v>
      </c>
      <c r="Z246" s="144">
        <v>0</v>
      </c>
      <c r="AA246" s="107">
        <f t="shared" si="113"/>
        <v>0</v>
      </c>
      <c r="AB246" s="142">
        <f t="shared" si="114"/>
        <v>0</v>
      </c>
      <c r="AC246" s="141">
        <v>0</v>
      </c>
      <c r="AD246" s="107">
        <f t="shared" si="130"/>
        <v>0</v>
      </c>
      <c r="AE246" s="142">
        <f t="shared" si="131"/>
        <v>0</v>
      </c>
      <c r="AF246" s="145">
        <v>2098.8000000000002</v>
      </c>
      <c r="AG246" s="107">
        <f t="shared" si="132"/>
        <v>270.1424973831613</v>
      </c>
      <c r="AH246" s="142">
        <f t="shared" si="133"/>
        <v>2368.9424973831615</v>
      </c>
      <c r="AI246" s="145">
        <v>0</v>
      </c>
      <c r="AJ246" s="107">
        <f t="shared" si="134"/>
        <v>0</v>
      </c>
      <c r="AK246" s="142">
        <f t="shared" si="135"/>
        <v>0</v>
      </c>
      <c r="AL246" s="146"/>
      <c r="AM246" s="146"/>
      <c r="AN246" s="107">
        <f t="shared" si="136"/>
        <v>0</v>
      </c>
      <c r="AO246" s="151">
        <f t="shared" si="137"/>
        <v>0</v>
      </c>
      <c r="AP246" s="282">
        <f t="shared" si="138"/>
        <v>4018.5531837310059</v>
      </c>
      <c r="AQ246" s="684">
        <v>559.57000000000005</v>
      </c>
      <c r="AR246" s="411">
        <v>2836.2225962254834</v>
      </c>
      <c r="AS246" s="411">
        <v>1126.9970335559051</v>
      </c>
      <c r="AT246" s="411">
        <v>55.333553949617446</v>
      </c>
      <c r="AU246" s="411">
        <v>0</v>
      </c>
      <c r="AV246" s="742">
        <v>147.67668048719108</v>
      </c>
      <c r="AW246" s="256"/>
      <c r="AX246" s="728">
        <f t="shared" si="139"/>
        <v>184.3497417746531</v>
      </c>
      <c r="AY246" s="729">
        <v>120.96539707841876</v>
      </c>
      <c r="AZ246" s="730"/>
      <c r="BA246" s="731">
        <v>0</v>
      </c>
      <c r="BB246" s="742"/>
      <c r="BC246" s="727">
        <v>26.362500000000001</v>
      </c>
      <c r="BD246" s="727">
        <v>157.98724177465309</v>
      </c>
      <c r="BE246" s="727"/>
      <c r="BF246" s="727"/>
      <c r="BG246" s="727">
        <v>0</v>
      </c>
      <c r="BH246" s="727">
        <v>38.04296875</v>
      </c>
      <c r="BI246" s="137">
        <f t="shared" si="143"/>
        <v>184.3497417746531</v>
      </c>
      <c r="BJ246" s="126">
        <v>1208.2</v>
      </c>
      <c r="BK246" s="807"/>
      <c r="BL246" s="107"/>
      <c r="BM246" s="687">
        <v>234.02</v>
      </c>
      <c r="BO246" s="577"/>
      <c r="BS246" s="904"/>
      <c r="BT246" s="789"/>
      <c r="BU246" s="789">
        <v>2970.649370848465</v>
      </c>
      <c r="BV246" s="789">
        <v>0</v>
      </c>
      <c r="BW246" s="789">
        <f t="shared" si="140"/>
        <v>2970.649370848465</v>
      </c>
    </row>
    <row r="247" spans="1:75" ht="15" thickBot="1" x14ac:dyDescent="0.35">
      <c r="A247" s="260" t="s">
        <v>285</v>
      </c>
      <c r="B247" s="237">
        <v>5</v>
      </c>
      <c r="C247" s="40">
        <f>'[7]побудинковий звіт'!E247</f>
        <v>3177.82</v>
      </c>
      <c r="D247" s="215">
        <f t="shared" si="115"/>
        <v>1093.1775043165412</v>
      </c>
      <c r="E247" s="107">
        <f t="shared" si="116"/>
        <v>240.49925179247327</v>
      </c>
      <c r="F247" s="107">
        <f t="shared" si="117"/>
        <v>113.45349823305949</v>
      </c>
      <c r="G247" s="107">
        <f t="shared" si="118"/>
        <v>0</v>
      </c>
      <c r="H247" s="107">
        <f t="shared" si="119"/>
        <v>913.32214000729448</v>
      </c>
      <c r="I247" s="107">
        <f t="shared" si="120"/>
        <v>303.82051875528924</v>
      </c>
      <c r="J247" s="687">
        <f t="shared" si="108"/>
        <v>0</v>
      </c>
      <c r="K247" s="142">
        <f t="shared" si="121"/>
        <v>2664.2729131046581</v>
      </c>
      <c r="L247" s="141">
        <f t="shared" si="109"/>
        <v>778.65500132909915</v>
      </c>
      <c r="M247" s="107">
        <f t="shared" si="110"/>
        <v>171.30329400301756</v>
      </c>
      <c r="N247" s="30">
        <f t="shared" si="122"/>
        <v>62.348888258747955</v>
      </c>
      <c r="O247" s="107">
        <f t="shared" si="111"/>
        <v>5.7210592862280896</v>
      </c>
      <c r="P247" s="107">
        <f t="shared" si="123"/>
        <v>650.54654832647452</v>
      </c>
      <c r="Q247" s="107">
        <f t="shared" si="124"/>
        <v>214.7669912170376</v>
      </c>
      <c r="R247" s="143">
        <f t="shared" si="125"/>
        <v>1883.3417824206049</v>
      </c>
      <c r="S247" s="141">
        <f t="shared" si="126"/>
        <v>145.04599999999999</v>
      </c>
      <c r="T247" s="107">
        <f t="shared" si="112"/>
        <v>18.669281816008198</v>
      </c>
      <c r="U247" s="142">
        <f t="shared" si="127"/>
        <v>163.7152818160082</v>
      </c>
      <c r="V247" s="107"/>
      <c r="W247" s="107">
        <f t="shared" si="128"/>
        <v>0</v>
      </c>
      <c r="X247" s="142">
        <f t="shared" si="129"/>
        <v>0</v>
      </c>
      <c r="Y247" s="141">
        <v>0</v>
      </c>
      <c r="Z247" s="144">
        <v>0</v>
      </c>
      <c r="AA247" s="107">
        <f t="shared" si="113"/>
        <v>0</v>
      </c>
      <c r="AB247" s="142">
        <f t="shared" si="114"/>
        <v>0</v>
      </c>
      <c r="AC247" s="141">
        <v>0</v>
      </c>
      <c r="AD247" s="107">
        <f t="shared" si="130"/>
        <v>0</v>
      </c>
      <c r="AE247" s="142">
        <f t="shared" si="131"/>
        <v>0</v>
      </c>
      <c r="AF247" s="145">
        <v>422.4</v>
      </c>
      <c r="AG247" s="107">
        <f t="shared" si="132"/>
        <v>54.368301360133081</v>
      </c>
      <c r="AH247" s="142">
        <f t="shared" si="133"/>
        <v>476.76830136013308</v>
      </c>
      <c r="AI247" s="145">
        <v>0</v>
      </c>
      <c r="AJ247" s="107">
        <f t="shared" si="134"/>
        <v>0</v>
      </c>
      <c r="AK247" s="142">
        <f t="shared" si="135"/>
        <v>0</v>
      </c>
      <c r="AL247" s="146">
        <v>3506.25</v>
      </c>
      <c r="AM247" s="146"/>
      <c r="AN247" s="107">
        <f t="shared" si="136"/>
        <v>451.2993765245422</v>
      </c>
      <c r="AO247" s="151">
        <f t="shared" si="137"/>
        <v>3957.5493765245424</v>
      </c>
      <c r="AP247" s="282">
        <f t="shared" si="138"/>
        <v>1445.2948385513912</v>
      </c>
      <c r="AQ247" s="684">
        <v>244.95</v>
      </c>
      <c r="AR247" s="411">
        <v>726.13901386111831</v>
      </c>
      <c r="AS247" s="411">
        <v>690.39036079740345</v>
      </c>
      <c r="AT247" s="411">
        <v>28.765463892869452</v>
      </c>
      <c r="AU247" s="411">
        <v>0</v>
      </c>
      <c r="AV247" s="742">
        <v>37.808668220174901</v>
      </c>
      <c r="AW247" s="256"/>
      <c r="AX247" s="728">
        <f t="shared" si="139"/>
        <v>113.45349823305949</v>
      </c>
      <c r="AY247" s="729">
        <v>62.348888258747955</v>
      </c>
      <c r="AZ247" s="730"/>
      <c r="BA247" s="731">
        <v>0</v>
      </c>
      <c r="BB247" s="742"/>
      <c r="BC247" s="727">
        <v>26.362500000000001</v>
      </c>
      <c r="BD247" s="727">
        <v>87.090998233059494</v>
      </c>
      <c r="BE247" s="727"/>
      <c r="BF247" s="727"/>
      <c r="BG247" s="727">
        <v>0</v>
      </c>
      <c r="BH247" s="727">
        <v>38.04296875</v>
      </c>
      <c r="BI247" s="137">
        <f t="shared" si="143"/>
        <v>113.45349823305949</v>
      </c>
      <c r="BJ247" s="126">
        <v>659.3</v>
      </c>
      <c r="BK247" s="807"/>
      <c r="BL247" s="107"/>
      <c r="BM247" s="687"/>
      <c r="BO247" s="577"/>
      <c r="BS247" s="904"/>
      <c r="BT247" s="789"/>
      <c r="BU247" s="789">
        <v>760.552535389235</v>
      </c>
      <c r="BV247" s="789">
        <v>0</v>
      </c>
      <c r="BW247" s="789">
        <f t="shared" si="140"/>
        <v>760.552535389235</v>
      </c>
    </row>
    <row r="248" spans="1:75" ht="15" thickBot="1" x14ac:dyDescent="0.35">
      <c r="A248" s="260" t="s">
        <v>286</v>
      </c>
      <c r="B248" s="237">
        <v>5</v>
      </c>
      <c r="C248" s="40">
        <f>'[7]побудинковий звіт'!E248</f>
        <v>3167.6</v>
      </c>
      <c r="D248" s="215">
        <f t="shared" si="115"/>
        <v>1559.5789249450443</v>
      </c>
      <c r="E248" s="107">
        <f t="shared" si="116"/>
        <v>343.10765001983179</v>
      </c>
      <c r="F248" s="107">
        <f t="shared" si="117"/>
        <v>112.60571514480361</v>
      </c>
      <c r="G248" s="107">
        <f t="shared" si="118"/>
        <v>0</v>
      </c>
      <c r="H248" s="107">
        <f t="shared" si="119"/>
        <v>1302.988723804395</v>
      </c>
      <c r="I248" s="107">
        <f t="shared" si="120"/>
        <v>427.10535549736829</v>
      </c>
      <c r="J248" s="687">
        <f t="shared" si="108"/>
        <v>0</v>
      </c>
      <c r="K248" s="142">
        <f t="shared" si="121"/>
        <v>3745.386369411443</v>
      </c>
      <c r="L248" s="141">
        <f t="shared" si="109"/>
        <v>768.83854732368593</v>
      </c>
      <c r="M248" s="107">
        <f t="shared" si="110"/>
        <v>169.14368428666558</v>
      </c>
      <c r="N248" s="30">
        <f t="shared" si="122"/>
        <v>61.647947244281312</v>
      </c>
      <c r="O248" s="107">
        <f t="shared" si="111"/>
        <v>5.7026601239390819</v>
      </c>
      <c r="P248" s="107">
        <f t="shared" si="123"/>
        <v>642.34514942821181</v>
      </c>
      <c r="Q248" s="107">
        <f t="shared" si="124"/>
        <v>212.07730449374498</v>
      </c>
      <c r="R248" s="143">
        <f t="shared" si="125"/>
        <v>1859.7552929005287</v>
      </c>
      <c r="S248" s="141">
        <f t="shared" si="126"/>
        <v>140.80000000000001</v>
      </c>
      <c r="T248" s="107">
        <f t="shared" si="112"/>
        <v>18.122767120044362</v>
      </c>
      <c r="U248" s="142">
        <f t="shared" si="127"/>
        <v>158.92276712004437</v>
      </c>
      <c r="V248" s="107"/>
      <c r="W248" s="107">
        <f t="shared" si="128"/>
        <v>0</v>
      </c>
      <c r="X248" s="142">
        <f t="shared" si="129"/>
        <v>0</v>
      </c>
      <c r="Y248" s="141">
        <v>0</v>
      </c>
      <c r="Z248" s="144">
        <v>0</v>
      </c>
      <c r="AA248" s="107">
        <f t="shared" si="113"/>
        <v>0</v>
      </c>
      <c r="AB248" s="142">
        <f t="shared" si="114"/>
        <v>0</v>
      </c>
      <c r="AC248" s="141">
        <v>0</v>
      </c>
      <c r="AD248" s="107">
        <f t="shared" si="130"/>
        <v>0</v>
      </c>
      <c r="AE248" s="142">
        <f t="shared" si="131"/>
        <v>0</v>
      </c>
      <c r="AF248" s="145">
        <v>499.4</v>
      </c>
      <c r="AG248" s="107">
        <f t="shared" si="132"/>
        <v>64.279189628907346</v>
      </c>
      <c r="AH248" s="142">
        <f t="shared" si="133"/>
        <v>563.67918962890735</v>
      </c>
      <c r="AI248" s="145">
        <v>0</v>
      </c>
      <c r="AJ248" s="107">
        <f t="shared" si="134"/>
        <v>0</v>
      </c>
      <c r="AK248" s="142">
        <f t="shared" si="135"/>
        <v>0</v>
      </c>
      <c r="AL248" s="146">
        <v>3251.25</v>
      </c>
      <c r="AM248" s="146"/>
      <c r="AN248" s="107">
        <f t="shared" si="136"/>
        <v>418.47760368639365</v>
      </c>
      <c r="AO248" s="151">
        <f t="shared" si="137"/>
        <v>3669.7276036863936</v>
      </c>
      <c r="AP248" s="282">
        <f t="shared" si="138"/>
        <v>1843.2303276341268</v>
      </c>
      <c r="AQ248" s="684">
        <v>247.2</v>
      </c>
      <c r="AR248" s="411">
        <v>1133.1408546191747</v>
      </c>
      <c r="AS248" s="411">
        <v>681.45617572127799</v>
      </c>
      <c r="AT248" s="411">
        <v>28.633297293674005</v>
      </c>
      <c r="AU248" s="411">
        <v>0</v>
      </c>
      <c r="AV248" s="742">
        <v>59.000474841881861</v>
      </c>
      <c r="AW248" s="256"/>
      <c r="AX248" s="728">
        <f t="shared" si="139"/>
        <v>112.60571514480361</v>
      </c>
      <c r="AY248" s="729">
        <v>61.647947244281312</v>
      </c>
      <c r="AZ248" s="730"/>
      <c r="BA248" s="731">
        <v>0</v>
      </c>
      <c r="BB248" s="742"/>
      <c r="BC248" s="727">
        <v>26.362500000000001</v>
      </c>
      <c r="BD248" s="727">
        <v>86.243215144803614</v>
      </c>
      <c r="BE248" s="727"/>
      <c r="BF248" s="727"/>
      <c r="BG248" s="727">
        <v>0</v>
      </c>
      <c r="BH248" s="727">
        <v>38.04296875</v>
      </c>
      <c r="BI248" s="137">
        <f t="shared" si="143"/>
        <v>112.60571514480361</v>
      </c>
      <c r="BJ248" s="126">
        <v>640</v>
      </c>
      <c r="BK248" s="807"/>
      <c r="BL248" s="107"/>
      <c r="BM248" s="687"/>
      <c r="BO248" s="577"/>
      <c r="BS248" s="904"/>
      <c r="BT248" s="789"/>
      <c r="BU248" s="789">
        <v>1186.8491373553206</v>
      </c>
      <c r="BV248" s="789">
        <v>0</v>
      </c>
      <c r="BW248" s="789">
        <f t="shared" si="140"/>
        <v>1186.8491373553206</v>
      </c>
    </row>
    <row r="249" spans="1:75" ht="15" thickBot="1" x14ac:dyDescent="0.35">
      <c r="A249" s="260" t="s">
        <v>287</v>
      </c>
      <c r="B249" s="237">
        <v>5</v>
      </c>
      <c r="C249" s="40">
        <f>'[7]побудинковий звіт'!E249</f>
        <v>4456.6000000000004</v>
      </c>
      <c r="D249" s="215">
        <f t="shared" si="115"/>
        <v>2728.6596074243307</v>
      </c>
      <c r="E249" s="107">
        <f t="shared" si="116"/>
        <v>600.30561495333689</v>
      </c>
      <c r="F249" s="107">
        <f t="shared" si="117"/>
        <v>143.02532188781541</v>
      </c>
      <c r="G249" s="107">
        <f t="shared" si="118"/>
        <v>0</v>
      </c>
      <c r="H249" s="107">
        <f t="shared" si="119"/>
        <v>2279.7260482983984</v>
      </c>
      <c r="I249" s="107">
        <f t="shared" si="120"/>
        <v>740.31974678643689</v>
      </c>
      <c r="J249" s="687">
        <f t="shared" si="108"/>
        <v>0</v>
      </c>
      <c r="K249" s="142">
        <f t="shared" si="121"/>
        <v>6492.0363393503185</v>
      </c>
      <c r="L249" s="141">
        <f t="shared" si="109"/>
        <v>1063.0361050479369</v>
      </c>
      <c r="M249" s="107">
        <f t="shared" si="110"/>
        <v>233.86684234740312</v>
      </c>
      <c r="N249" s="30">
        <f t="shared" si="122"/>
        <v>86.798661271838483</v>
      </c>
      <c r="O249" s="107">
        <f t="shared" si="111"/>
        <v>8.0232589684135984</v>
      </c>
      <c r="P249" s="107">
        <f t="shared" si="123"/>
        <v>888.13976370141984</v>
      </c>
      <c r="Q249" s="107">
        <f t="shared" si="124"/>
        <v>293.44783933910833</v>
      </c>
      <c r="R249" s="143">
        <f t="shared" si="125"/>
        <v>2573.31247067612</v>
      </c>
      <c r="S249" s="141">
        <f t="shared" si="126"/>
        <v>185.24</v>
      </c>
      <c r="T249" s="107">
        <f t="shared" si="112"/>
        <v>23.842765492308363</v>
      </c>
      <c r="U249" s="142">
        <f t="shared" si="127"/>
        <v>209.08276549230837</v>
      </c>
      <c r="V249" s="107"/>
      <c r="W249" s="107">
        <f t="shared" si="128"/>
        <v>0</v>
      </c>
      <c r="X249" s="142">
        <f t="shared" si="129"/>
        <v>0</v>
      </c>
      <c r="Y249" s="141">
        <v>0</v>
      </c>
      <c r="Z249" s="144">
        <v>0</v>
      </c>
      <c r="AA249" s="107">
        <f t="shared" si="113"/>
        <v>0</v>
      </c>
      <c r="AB249" s="142">
        <f t="shared" si="114"/>
        <v>0</v>
      </c>
      <c r="AC249" s="141">
        <v>0</v>
      </c>
      <c r="AD249" s="107">
        <f t="shared" si="130"/>
        <v>0</v>
      </c>
      <c r="AE249" s="142">
        <f t="shared" si="131"/>
        <v>0</v>
      </c>
      <c r="AF249" s="145">
        <v>728.2</v>
      </c>
      <c r="AG249" s="107">
        <f t="shared" si="132"/>
        <v>93.728686198979432</v>
      </c>
      <c r="AH249" s="142">
        <f t="shared" si="133"/>
        <v>821.92868619897945</v>
      </c>
      <c r="AI249" s="145">
        <v>0</v>
      </c>
      <c r="AJ249" s="107">
        <f t="shared" si="134"/>
        <v>0</v>
      </c>
      <c r="AK249" s="142">
        <f t="shared" si="135"/>
        <v>0</v>
      </c>
      <c r="AL249" s="146">
        <v>701.25</v>
      </c>
      <c r="AM249" s="146"/>
      <c r="AN249" s="107">
        <f t="shared" si="136"/>
        <v>90.259875304908434</v>
      </c>
      <c r="AO249" s="151">
        <f t="shared" si="137"/>
        <v>791.50987530490841</v>
      </c>
      <c r="AP249" s="282">
        <f t="shared" si="138"/>
        <v>3079.0095825871886</v>
      </c>
      <c r="AQ249" s="684">
        <v>311.89</v>
      </c>
      <c r="AR249" s="411">
        <v>2097.2029988031422</v>
      </c>
      <c r="AS249" s="411">
        <v>941.40102945022613</v>
      </c>
      <c r="AT249" s="411">
        <v>40.405554333819843</v>
      </c>
      <c r="AU249" s="411">
        <v>0</v>
      </c>
      <c r="AV249" s="742">
        <v>109.19734494154226</v>
      </c>
      <c r="AW249" s="256"/>
      <c r="AX249" s="728">
        <f t="shared" si="139"/>
        <v>143.02532188781541</v>
      </c>
      <c r="AY249" s="729">
        <v>86.798661271838483</v>
      </c>
      <c r="AZ249" s="730"/>
      <c r="BA249" s="731">
        <v>0</v>
      </c>
      <c r="BB249" s="742"/>
      <c r="BC249" s="727">
        <v>26.362500000000001</v>
      </c>
      <c r="BD249" s="727">
        <v>116.6628218878154</v>
      </c>
      <c r="BE249" s="727"/>
      <c r="BF249" s="727"/>
      <c r="BG249" s="727">
        <v>0</v>
      </c>
      <c r="BH249" s="727">
        <v>38.04296875</v>
      </c>
      <c r="BI249" s="137">
        <f t="shared" si="143"/>
        <v>143.02532188781541</v>
      </c>
      <c r="BJ249" s="126">
        <v>842</v>
      </c>
      <c r="BK249" s="807"/>
      <c r="BL249" s="107"/>
      <c r="BM249" s="687"/>
      <c r="BO249" s="577"/>
      <c r="BS249" s="904"/>
      <c r="BT249" s="789"/>
      <c r="BU249" s="789">
        <v>1972.6425564260792</v>
      </c>
      <c r="BV249" s="789">
        <v>0</v>
      </c>
      <c r="BW249" s="789">
        <f t="shared" si="140"/>
        <v>1972.6425564260792</v>
      </c>
    </row>
    <row r="250" spans="1:75" ht="15" thickBot="1" x14ac:dyDescent="0.35">
      <c r="A250" s="260" t="s">
        <v>288</v>
      </c>
      <c r="B250" s="237">
        <v>5</v>
      </c>
      <c r="C250" s="40">
        <f>'[7]побудинковий звіт'!E250</f>
        <v>3670.1</v>
      </c>
      <c r="D250" s="215">
        <f t="shared" si="115"/>
        <v>2093.1611163990092</v>
      </c>
      <c r="E250" s="107">
        <f t="shared" si="116"/>
        <v>460.49583017150508</v>
      </c>
      <c r="F250" s="107">
        <f t="shared" si="117"/>
        <v>226.28892690734654</v>
      </c>
      <c r="G250" s="107">
        <f t="shared" si="118"/>
        <v>0</v>
      </c>
      <c r="H250" s="107">
        <f t="shared" si="119"/>
        <v>1748.7831414943191</v>
      </c>
      <c r="I250" s="107">
        <f t="shared" si="120"/>
        <v>582.90554892136868</v>
      </c>
      <c r="J250" s="687">
        <f t="shared" si="108"/>
        <v>0</v>
      </c>
      <c r="K250" s="142">
        <f t="shared" si="121"/>
        <v>5111.6345638935491</v>
      </c>
      <c r="L250" s="141">
        <f t="shared" si="109"/>
        <v>735.05770808416787</v>
      </c>
      <c r="M250" s="107">
        <f t="shared" si="110"/>
        <v>161.71193463368922</v>
      </c>
      <c r="N250" s="30">
        <f t="shared" si="122"/>
        <v>71.478844601111689</v>
      </c>
      <c r="O250" s="107">
        <f t="shared" si="111"/>
        <v>6.6073156083056022</v>
      </c>
      <c r="P250" s="107">
        <f t="shared" si="123"/>
        <v>614.12211312930049</v>
      </c>
      <c r="Q250" s="107">
        <f t="shared" si="124"/>
        <v>204.5218517868374</v>
      </c>
      <c r="R250" s="143">
        <f t="shared" si="125"/>
        <v>1793.4997678434124</v>
      </c>
      <c r="S250" s="141">
        <f t="shared" si="126"/>
        <v>183.39200000000002</v>
      </c>
      <c r="T250" s="107">
        <f t="shared" si="112"/>
        <v>23.604904173857783</v>
      </c>
      <c r="U250" s="142">
        <f t="shared" si="127"/>
        <v>206.99690417385781</v>
      </c>
      <c r="V250" s="107"/>
      <c r="W250" s="107">
        <f t="shared" si="128"/>
        <v>0</v>
      </c>
      <c r="X250" s="142">
        <f t="shared" si="129"/>
        <v>0</v>
      </c>
      <c r="Y250" s="141">
        <v>0</v>
      </c>
      <c r="Z250" s="144">
        <v>0</v>
      </c>
      <c r="AA250" s="107">
        <f t="shared" si="113"/>
        <v>0</v>
      </c>
      <c r="AB250" s="142">
        <f t="shared" si="114"/>
        <v>0</v>
      </c>
      <c r="AC250" s="141">
        <v>0</v>
      </c>
      <c r="AD250" s="107">
        <f t="shared" si="130"/>
        <v>0</v>
      </c>
      <c r="AE250" s="142">
        <f t="shared" si="131"/>
        <v>0</v>
      </c>
      <c r="AF250" s="145">
        <v>1502.6</v>
      </c>
      <c r="AG250" s="107">
        <f t="shared" si="132"/>
        <v>193.40390535922342</v>
      </c>
      <c r="AH250" s="142">
        <f t="shared" si="133"/>
        <v>1696.0039053592234</v>
      </c>
      <c r="AI250" s="145">
        <v>0</v>
      </c>
      <c r="AJ250" s="107">
        <f t="shared" si="134"/>
        <v>0</v>
      </c>
      <c r="AK250" s="142">
        <f t="shared" si="135"/>
        <v>0</v>
      </c>
      <c r="AL250" s="146"/>
      <c r="AM250" s="146"/>
      <c r="AN250" s="107">
        <f t="shared" si="136"/>
        <v>0</v>
      </c>
      <c r="AO250" s="151">
        <f t="shared" si="137"/>
        <v>0</v>
      </c>
      <c r="AP250" s="282">
        <f t="shared" si="138"/>
        <v>2304.2945783887703</v>
      </c>
      <c r="AQ250" s="684">
        <v>221.75</v>
      </c>
      <c r="AR250" s="411">
        <v>1625.4046574996735</v>
      </c>
      <c r="AS250" s="411">
        <v>646.2742556657397</v>
      </c>
      <c r="AT250" s="411">
        <v>32.615665223357077</v>
      </c>
      <c r="AU250" s="411">
        <v>0</v>
      </c>
      <c r="AV250" s="742">
        <v>84.631708592765364</v>
      </c>
      <c r="AW250" s="256"/>
      <c r="AX250" s="728">
        <f t="shared" si="139"/>
        <v>109.27892690734653</v>
      </c>
      <c r="AY250" s="729">
        <v>71.478844601111689</v>
      </c>
      <c r="AZ250" s="730"/>
      <c r="BA250" s="731">
        <v>0</v>
      </c>
      <c r="BB250" s="742"/>
      <c r="BC250" s="727">
        <v>15.817499999999999</v>
      </c>
      <c r="BD250" s="727">
        <v>93.461426907346535</v>
      </c>
      <c r="BE250" s="727"/>
      <c r="BF250" s="727"/>
      <c r="BG250" s="727">
        <v>0</v>
      </c>
      <c r="BH250" s="727">
        <v>22.825781249999999</v>
      </c>
      <c r="BI250" s="137">
        <f t="shared" si="143"/>
        <v>109.27892690734653</v>
      </c>
      <c r="BJ250" s="126">
        <v>833.6</v>
      </c>
      <c r="BK250" s="807"/>
      <c r="BL250" s="107"/>
      <c r="BM250" s="687">
        <v>117.01</v>
      </c>
      <c r="BO250" s="577"/>
      <c r="BS250" s="904"/>
      <c r="BT250" s="789"/>
      <c r="BU250" s="789">
        <v>1705.5414658977004</v>
      </c>
      <c r="BV250" s="789">
        <v>111.4624</v>
      </c>
      <c r="BW250" s="789">
        <f t="shared" si="140"/>
        <v>1817.0038658977005</v>
      </c>
    </row>
    <row r="251" spans="1:75" ht="15" thickBot="1" x14ac:dyDescent="0.35">
      <c r="A251" s="220" t="s">
        <v>129</v>
      </c>
      <c r="B251" s="238">
        <v>1</v>
      </c>
      <c r="C251" s="40">
        <f>'[7]побудинковий звіт'!E251</f>
        <v>275.8</v>
      </c>
      <c r="D251" s="215">
        <f t="shared" si="115"/>
        <v>83.573173380668834</v>
      </c>
      <c r="E251" s="107">
        <f t="shared" si="116"/>
        <v>18.386113498136471</v>
      </c>
      <c r="F251" s="107">
        <f t="shared" si="117"/>
        <v>0</v>
      </c>
      <c r="G251" s="107">
        <f t="shared" si="118"/>
        <v>0</v>
      </c>
      <c r="H251" s="107">
        <f t="shared" si="119"/>
        <v>69.823271388075668</v>
      </c>
      <c r="I251" s="107">
        <f t="shared" si="120"/>
        <v>22.110620019574824</v>
      </c>
      <c r="J251" s="687">
        <f t="shared" si="108"/>
        <v>0</v>
      </c>
      <c r="K251" s="142">
        <f t="shared" si="121"/>
        <v>193.89317828645579</v>
      </c>
      <c r="L251" s="141">
        <f t="shared" si="109"/>
        <v>0</v>
      </c>
      <c r="M251" s="107">
        <f t="shared" si="110"/>
        <v>0</v>
      </c>
      <c r="N251" s="30">
        <f t="shared" si="122"/>
        <v>0</v>
      </c>
      <c r="O251" s="107">
        <f t="shared" si="111"/>
        <v>0.4965253384841517</v>
      </c>
      <c r="P251" s="107">
        <f t="shared" si="123"/>
        <v>0</v>
      </c>
      <c r="Q251" s="107">
        <f t="shared" si="124"/>
        <v>6.3909183796516209E-2</v>
      </c>
      <c r="R251" s="143">
        <f t="shared" si="125"/>
        <v>0.56043452228066792</v>
      </c>
      <c r="S251" s="141">
        <f t="shared" si="126"/>
        <v>0</v>
      </c>
      <c r="T251" s="107">
        <f t="shared" si="112"/>
        <v>0</v>
      </c>
      <c r="U251" s="142">
        <f t="shared" si="127"/>
        <v>0</v>
      </c>
      <c r="V251" s="107"/>
      <c r="W251" s="107">
        <f t="shared" si="128"/>
        <v>0</v>
      </c>
      <c r="X251" s="142">
        <f t="shared" si="129"/>
        <v>0</v>
      </c>
      <c r="Y251" s="141">
        <v>0</v>
      </c>
      <c r="Z251" s="144">
        <v>0</v>
      </c>
      <c r="AA251" s="107">
        <f t="shared" si="113"/>
        <v>0</v>
      </c>
      <c r="AB251" s="142">
        <f t="shared" si="114"/>
        <v>0</v>
      </c>
      <c r="AC251" s="141">
        <v>0</v>
      </c>
      <c r="AD251" s="107">
        <f t="shared" si="130"/>
        <v>0</v>
      </c>
      <c r="AE251" s="142">
        <f t="shared" si="131"/>
        <v>0</v>
      </c>
      <c r="AF251" s="145">
        <v>0</v>
      </c>
      <c r="AG251" s="107">
        <f t="shared" si="132"/>
        <v>0</v>
      </c>
      <c r="AH251" s="142">
        <f t="shared" si="133"/>
        <v>0</v>
      </c>
      <c r="AI251" s="145">
        <v>0</v>
      </c>
      <c r="AJ251" s="107">
        <f t="shared" si="134"/>
        <v>0</v>
      </c>
      <c r="AK251" s="142">
        <f t="shared" si="135"/>
        <v>0</v>
      </c>
      <c r="AL251" s="215"/>
      <c r="AM251" s="215"/>
      <c r="AN251" s="107">
        <f t="shared" si="136"/>
        <v>0</v>
      </c>
      <c r="AO251" s="151">
        <f t="shared" si="137"/>
        <v>0</v>
      </c>
      <c r="AP251" s="282">
        <f t="shared" si="138"/>
        <v>0</v>
      </c>
      <c r="AQ251" s="684">
        <v>77.13</v>
      </c>
      <c r="AR251" s="741">
        <v>0</v>
      </c>
      <c r="AS251" s="741">
        <v>0</v>
      </c>
      <c r="AT251" s="741">
        <v>0</v>
      </c>
      <c r="AU251" s="411">
        <v>0</v>
      </c>
      <c r="AV251" s="801"/>
      <c r="AW251" s="256"/>
      <c r="AX251" s="728">
        <f t="shared" si="139"/>
        <v>0</v>
      </c>
      <c r="AY251" s="729">
        <v>0</v>
      </c>
      <c r="AZ251" s="730"/>
      <c r="BA251" s="731">
        <v>0</v>
      </c>
      <c r="BC251" s="727">
        <v>0</v>
      </c>
      <c r="BD251" s="727">
        <v>0</v>
      </c>
      <c r="BE251" s="727"/>
      <c r="BF251" s="727"/>
      <c r="BG251" s="727">
        <v>0</v>
      </c>
      <c r="BH251" s="727">
        <v>0</v>
      </c>
      <c r="BI251" s="137">
        <f>BC251+BD251+BE251+BG251+BH251</f>
        <v>0</v>
      </c>
      <c r="BJ251" s="126"/>
      <c r="BK251" s="807"/>
      <c r="BL251" s="107"/>
      <c r="BM251" s="687"/>
      <c r="BO251" s="577"/>
      <c r="BS251" s="904"/>
      <c r="BT251" s="789"/>
      <c r="BU251" s="789">
        <v>0</v>
      </c>
      <c r="BV251" s="789">
        <v>0</v>
      </c>
      <c r="BW251" s="789">
        <f t="shared" si="140"/>
        <v>0</v>
      </c>
    </row>
    <row r="252" spans="1:75" ht="15" thickBot="1" x14ac:dyDescent="0.35">
      <c r="A252" s="220" t="s">
        <v>130</v>
      </c>
      <c r="B252" s="238">
        <v>1</v>
      </c>
      <c r="C252" s="40">
        <f>'[7]побудинковий звіт'!E252</f>
        <v>146.1</v>
      </c>
      <c r="D252" s="215">
        <f t="shared" si="115"/>
        <v>54.07930874405784</v>
      </c>
      <c r="E252" s="107">
        <f t="shared" si="116"/>
        <v>11.897457859354223</v>
      </c>
      <c r="F252" s="107">
        <f t="shared" si="117"/>
        <v>0</v>
      </c>
      <c r="G252" s="107">
        <f t="shared" si="118"/>
        <v>0</v>
      </c>
      <c r="H252" s="107">
        <f t="shared" si="119"/>
        <v>45.181893880187431</v>
      </c>
      <c r="I252" s="107">
        <f t="shared" si="120"/>
        <v>14.307546287786586</v>
      </c>
      <c r="J252" s="687">
        <f t="shared" si="108"/>
        <v>0</v>
      </c>
      <c r="K252" s="142">
        <f t="shared" si="121"/>
        <v>125.46620677138608</v>
      </c>
      <c r="L252" s="141">
        <f t="shared" si="109"/>
        <v>0</v>
      </c>
      <c r="M252" s="107">
        <f t="shared" si="110"/>
        <v>0</v>
      </c>
      <c r="N252" s="30">
        <f t="shared" si="122"/>
        <v>0</v>
      </c>
      <c r="O252" s="107">
        <f t="shared" si="111"/>
        <v>0.26302520649940014</v>
      </c>
      <c r="P252" s="107">
        <f t="shared" si="123"/>
        <v>0</v>
      </c>
      <c r="Q252" s="107">
        <f t="shared" si="124"/>
        <v>3.3854719915413403E-2</v>
      </c>
      <c r="R252" s="143">
        <f t="shared" si="125"/>
        <v>0.29687992641481353</v>
      </c>
      <c r="S252" s="141">
        <f t="shared" si="126"/>
        <v>0</v>
      </c>
      <c r="T252" s="107">
        <f t="shared" si="112"/>
        <v>0</v>
      </c>
      <c r="U252" s="142">
        <f t="shared" si="127"/>
        <v>0</v>
      </c>
      <c r="V252" s="107"/>
      <c r="W252" s="107">
        <f t="shared" si="128"/>
        <v>0</v>
      </c>
      <c r="X252" s="142">
        <f t="shared" si="129"/>
        <v>0</v>
      </c>
      <c r="Y252" s="141">
        <v>0</v>
      </c>
      <c r="Z252" s="144">
        <v>0</v>
      </c>
      <c r="AA252" s="107">
        <f t="shared" si="113"/>
        <v>0</v>
      </c>
      <c r="AB252" s="142">
        <f t="shared" si="114"/>
        <v>0</v>
      </c>
      <c r="AC252" s="141">
        <v>0</v>
      </c>
      <c r="AD252" s="107">
        <f t="shared" si="130"/>
        <v>0</v>
      </c>
      <c r="AE252" s="142">
        <f t="shared" si="131"/>
        <v>0</v>
      </c>
      <c r="AF252" s="145">
        <v>0</v>
      </c>
      <c r="AG252" s="107">
        <f t="shared" si="132"/>
        <v>0</v>
      </c>
      <c r="AH252" s="142">
        <f t="shared" si="133"/>
        <v>0</v>
      </c>
      <c r="AI252" s="145">
        <v>0</v>
      </c>
      <c r="AJ252" s="107">
        <f t="shared" si="134"/>
        <v>0</v>
      </c>
      <c r="AK252" s="142">
        <f t="shared" si="135"/>
        <v>0</v>
      </c>
      <c r="AL252" s="146"/>
      <c r="AM252" s="215"/>
      <c r="AN252" s="107">
        <f t="shared" si="136"/>
        <v>0</v>
      </c>
      <c r="AO252" s="151">
        <f t="shared" si="137"/>
        <v>0</v>
      </c>
      <c r="AP252" s="282">
        <f t="shared" si="138"/>
        <v>0</v>
      </c>
      <c r="AQ252" s="684">
        <v>49.91</v>
      </c>
      <c r="AR252" s="741">
        <v>0</v>
      </c>
      <c r="AS252" s="741">
        <v>0</v>
      </c>
      <c r="AT252" s="741">
        <v>0</v>
      </c>
      <c r="AU252" s="411">
        <v>0</v>
      </c>
      <c r="AV252" s="801"/>
      <c r="AW252" s="256"/>
      <c r="AX252" s="728">
        <f t="shared" si="139"/>
        <v>0</v>
      </c>
      <c r="AY252" s="729">
        <v>0</v>
      </c>
      <c r="AZ252" s="730"/>
      <c r="BA252" s="731">
        <v>0</v>
      </c>
      <c r="BC252" s="727">
        <v>0</v>
      </c>
      <c r="BD252" s="727">
        <v>0</v>
      </c>
      <c r="BE252" s="727"/>
      <c r="BF252" s="727"/>
      <c r="BG252" s="727">
        <v>0</v>
      </c>
      <c r="BH252" s="727">
        <v>0</v>
      </c>
      <c r="BI252" s="137">
        <f>BC252+BD252+BE252+BG252+BH252</f>
        <v>0</v>
      </c>
      <c r="BJ252" s="126"/>
      <c r="BK252" s="807"/>
      <c r="BL252" s="107"/>
      <c r="BM252" s="687"/>
      <c r="BO252" s="577"/>
      <c r="BS252" s="904"/>
      <c r="BT252" s="789"/>
      <c r="BU252" s="789">
        <v>0</v>
      </c>
      <c r="BV252" s="789">
        <v>0</v>
      </c>
      <c r="BW252" s="789">
        <f t="shared" si="140"/>
        <v>0</v>
      </c>
    </row>
    <row r="253" spans="1:75" ht="15" thickBot="1" x14ac:dyDescent="0.35">
      <c r="A253" s="219" t="s">
        <v>386</v>
      </c>
      <c r="B253" s="237">
        <v>9</v>
      </c>
      <c r="C253" s="40">
        <f>'[7]побудинковий звіт'!E253</f>
        <v>3990.71</v>
      </c>
      <c r="D253" s="215">
        <f t="shared" si="115"/>
        <v>579.12597230131882</v>
      </c>
      <c r="E253" s="107">
        <f t="shared" si="116"/>
        <v>127.40782030557222</v>
      </c>
      <c r="F253" s="107">
        <f t="shared" si="117"/>
        <v>118.65977918824149</v>
      </c>
      <c r="G253" s="107">
        <f t="shared" si="118"/>
        <v>0</v>
      </c>
      <c r="H253" s="107">
        <f t="shared" si="119"/>
        <v>483.84509401950584</v>
      </c>
      <c r="I253" s="107">
        <f t="shared" si="120"/>
        <v>168.49007735576893</v>
      </c>
      <c r="J253" s="687">
        <f t="shared" si="108"/>
        <v>0</v>
      </c>
      <c r="K253" s="142">
        <f t="shared" si="121"/>
        <v>1477.5287431704073</v>
      </c>
      <c r="L253" s="141">
        <f t="shared" si="109"/>
        <v>534.18625688264922</v>
      </c>
      <c r="M253" s="107">
        <f t="shared" si="110"/>
        <v>117.52042336971269</v>
      </c>
      <c r="N253" s="30">
        <f t="shared" si="122"/>
        <v>115.61370283490814</v>
      </c>
      <c r="O253" s="107">
        <f t="shared" si="111"/>
        <v>7.1845128119727661</v>
      </c>
      <c r="P253" s="107">
        <f t="shared" si="123"/>
        <v>446.29909906861332</v>
      </c>
      <c r="Q253" s="107">
        <f t="shared" si="124"/>
        <v>157.13314275583994</v>
      </c>
      <c r="R253" s="143">
        <f t="shared" si="125"/>
        <v>1377.9371377236962</v>
      </c>
      <c r="S253" s="141">
        <f t="shared" si="126"/>
        <v>110.26400000000001</v>
      </c>
      <c r="T253" s="107">
        <f t="shared" si="112"/>
        <v>14.192392000884741</v>
      </c>
      <c r="U253" s="142">
        <f t="shared" si="127"/>
        <v>124.45639200088475</v>
      </c>
      <c r="V253" s="107"/>
      <c r="W253" s="107">
        <f t="shared" si="128"/>
        <v>0</v>
      </c>
      <c r="X253" s="142">
        <f t="shared" si="129"/>
        <v>0</v>
      </c>
      <c r="Y253" s="141">
        <v>3102.43</v>
      </c>
      <c r="Z253" s="144">
        <v>0</v>
      </c>
      <c r="AA253" s="107">
        <f t="shared" si="113"/>
        <v>399.32255963238083</v>
      </c>
      <c r="AB253" s="142">
        <f t="shared" si="114"/>
        <v>3501.7525596323808</v>
      </c>
      <c r="AC253" s="141">
        <v>0</v>
      </c>
      <c r="AD253" s="107">
        <f t="shared" si="130"/>
        <v>0</v>
      </c>
      <c r="AE253" s="142">
        <f t="shared" si="131"/>
        <v>0</v>
      </c>
      <c r="AF253" s="145">
        <v>605</v>
      </c>
      <c r="AG253" s="107">
        <f t="shared" si="132"/>
        <v>77.871264968940608</v>
      </c>
      <c r="AH253" s="142">
        <f t="shared" si="133"/>
        <v>682.87126496894064</v>
      </c>
      <c r="AI253" s="145">
        <v>596.20000000000005</v>
      </c>
      <c r="AJ253" s="107">
        <f t="shared" si="134"/>
        <v>76.738592023937841</v>
      </c>
      <c r="AK253" s="142">
        <f t="shared" si="135"/>
        <v>672.93859202393787</v>
      </c>
      <c r="AL253" s="146"/>
      <c r="AM253" s="146"/>
      <c r="AN253" s="107">
        <f t="shared" si="136"/>
        <v>0</v>
      </c>
      <c r="AO253" s="151">
        <f t="shared" si="137"/>
        <v>0</v>
      </c>
      <c r="AP253" s="282">
        <f t="shared" si="138"/>
        <v>1027.8451768232883</v>
      </c>
      <c r="AQ253" s="684">
        <v>0</v>
      </c>
      <c r="AR253" s="741">
        <v>534.47756542810419</v>
      </c>
      <c r="AS253" s="741">
        <v>481.72205594888646</v>
      </c>
      <c r="AT253" s="741">
        <v>11.645555446297703</v>
      </c>
      <c r="AU253" s="411">
        <v>0</v>
      </c>
      <c r="AV253" s="801"/>
      <c r="AW253" s="256"/>
      <c r="AX253" s="728">
        <f t="shared" si="139"/>
        <v>118.65977918824149</v>
      </c>
      <c r="AY253" s="729">
        <v>115.61370283490814</v>
      </c>
      <c r="AZ253" s="730"/>
      <c r="BA253" s="731">
        <v>0</v>
      </c>
      <c r="BC253" s="727">
        <v>0</v>
      </c>
      <c r="BD253" s="727">
        <v>118.65977918824149</v>
      </c>
      <c r="BE253" s="727"/>
      <c r="BF253" s="727"/>
      <c r="BG253" s="727">
        <v>0</v>
      </c>
      <c r="BH253" s="727">
        <v>9.6636100270548528</v>
      </c>
      <c r="BI253" s="137">
        <f t="shared" ref="BI253:BI267" si="144">BC253+BD253+BE253+BG253</f>
        <v>118.65977918824149</v>
      </c>
      <c r="BJ253" s="126">
        <v>501.2</v>
      </c>
      <c r="BK253" s="807"/>
      <c r="BL253" s="107"/>
      <c r="BM253" s="687"/>
      <c r="BO253" s="577"/>
      <c r="BS253" s="904"/>
      <c r="BT253" s="789"/>
      <c r="BU253" s="789">
        <v>515.56166609043009</v>
      </c>
      <c r="BV253" s="789">
        <v>0</v>
      </c>
      <c r="BW253" s="789">
        <f t="shared" si="140"/>
        <v>515.56166609043009</v>
      </c>
    </row>
    <row r="254" spans="1:75" ht="15" thickBot="1" x14ac:dyDescent="0.35">
      <c r="A254" s="219" t="s">
        <v>387</v>
      </c>
      <c r="B254" s="237">
        <v>9</v>
      </c>
      <c r="C254" s="40">
        <f>'[7]побудинковий звіт'!E254</f>
        <v>11337.62</v>
      </c>
      <c r="D254" s="215">
        <f t="shared" si="115"/>
        <v>5924.8310985029939</v>
      </c>
      <c r="E254" s="107">
        <f t="shared" si="116"/>
        <v>1303.4639302037333</v>
      </c>
      <c r="F254" s="107">
        <f t="shared" si="117"/>
        <v>346.64880530451921</v>
      </c>
      <c r="G254" s="107">
        <f t="shared" si="118"/>
        <v>0</v>
      </c>
      <c r="H254" s="107">
        <f t="shared" si="119"/>
        <v>4950.046444149687</v>
      </c>
      <c r="I254" s="107">
        <f t="shared" si="120"/>
        <v>1612.1270027835956</v>
      </c>
      <c r="J254" s="687">
        <f t="shared" si="108"/>
        <v>0</v>
      </c>
      <c r="K254" s="142">
        <f t="shared" si="121"/>
        <v>14137.117280944531</v>
      </c>
      <c r="L254" s="141">
        <f t="shared" si="109"/>
        <v>5794.2054837493333</v>
      </c>
      <c r="M254" s="107">
        <f t="shared" si="110"/>
        <v>1274.7192065836352</v>
      </c>
      <c r="N254" s="30">
        <f t="shared" si="122"/>
        <v>232.91040503869976</v>
      </c>
      <c r="O254" s="107">
        <f t="shared" si="111"/>
        <v>20.411224104803075</v>
      </c>
      <c r="P254" s="107">
        <f t="shared" si="123"/>
        <v>4840.9120487422633</v>
      </c>
      <c r="Q254" s="107">
        <f t="shared" si="124"/>
        <v>1565.5545919847079</v>
      </c>
      <c r="R254" s="143">
        <f t="shared" si="125"/>
        <v>13728.712960203442</v>
      </c>
      <c r="S254" s="141">
        <f t="shared" si="126"/>
        <v>291.50880000000001</v>
      </c>
      <c r="T254" s="107">
        <f t="shared" si="112"/>
        <v>37.520923976161846</v>
      </c>
      <c r="U254" s="142">
        <f t="shared" si="127"/>
        <v>329.02972397616185</v>
      </c>
      <c r="V254" s="418"/>
      <c r="W254" s="107">
        <f t="shared" si="128"/>
        <v>0</v>
      </c>
      <c r="X254" s="142">
        <f t="shared" si="129"/>
        <v>0</v>
      </c>
      <c r="Y254" s="141">
        <v>6683.25</v>
      </c>
      <c r="Z254" s="144">
        <v>0</v>
      </c>
      <c r="AA254" s="107">
        <f t="shared" si="113"/>
        <v>860.22005223747499</v>
      </c>
      <c r="AB254" s="142">
        <f t="shared" si="114"/>
        <v>7543.4700522374751</v>
      </c>
      <c r="AC254" s="141">
        <v>590.37</v>
      </c>
      <c r="AD254" s="107">
        <f t="shared" si="130"/>
        <v>75.988196197873506</v>
      </c>
      <c r="AE254" s="142">
        <f t="shared" si="131"/>
        <v>666.35819619787355</v>
      </c>
      <c r="AF254" s="145">
        <v>1903</v>
      </c>
      <c r="AG254" s="107">
        <f t="shared" si="132"/>
        <v>244.94052435684958</v>
      </c>
      <c r="AH254" s="142">
        <f t="shared" si="133"/>
        <v>2147.9405243568494</v>
      </c>
      <c r="AI254" s="145">
        <v>1903</v>
      </c>
      <c r="AJ254" s="107">
        <f t="shared" si="134"/>
        <v>244.94052435684958</v>
      </c>
      <c r="AK254" s="142">
        <f t="shared" si="135"/>
        <v>2147.9405243568494</v>
      </c>
      <c r="AL254" s="146">
        <v>7990</v>
      </c>
      <c r="AM254" s="146"/>
      <c r="AN254" s="107">
        <f t="shared" si="136"/>
        <v>1028.4155489286536</v>
      </c>
      <c r="AO254" s="151">
        <f t="shared" si="137"/>
        <v>9018.4155489286532</v>
      </c>
      <c r="AP254" s="282">
        <f t="shared" si="138"/>
        <v>10573.743444343163</v>
      </c>
      <c r="AQ254" s="684">
        <v>245.76</v>
      </c>
      <c r="AR254" s="740">
        <v>5222.2891854248492</v>
      </c>
      <c r="AS254" s="740">
        <v>5238.6603771327545</v>
      </c>
      <c r="AT254" s="740">
        <v>112.79388178555999</v>
      </c>
      <c r="AU254" s="411">
        <v>0</v>
      </c>
      <c r="AV254" s="801"/>
      <c r="AW254" s="256"/>
      <c r="AX254" s="728">
        <f t="shared" si="139"/>
        <v>346.64880530451921</v>
      </c>
      <c r="AY254" s="729">
        <v>232.91040503869976</v>
      </c>
      <c r="AZ254" s="730"/>
      <c r="BA254" s="731">
        <v>0</v>
      </c>
      <c r="BC254" s="727">
        <v>0</v>
      </c>
      <c r="BD254" s="727">
        <v>346.64880530451921</v>
      </c>
      <c r="BE254" s="727"/>
      <c r="BF254" s="727"/>
      <c r="BG254" s="727">
        <v>0</v>
      </c>
      <c r="BH254" s="727">
        <v>0</v>
      </c>
      <c r="BI254" s="137">
        <f t="shared" si="144"/>
        <v>346.64880530451921</v>
      </c>
      <c r="BJ254" s="126">
        <v>1325.04</v>
      </c>
      <c r="BK254" s="807"/>
      <c r="BL254" s="107"/>
      <c r="BM254" s="687"/>
      <c r="BO254" s="577"/>
      <c r="BS254" s="904"/>
      <c r="BT254" s="789"/>
      <c r="BU254" s="789">
        <v>5125.4459590244551</v>
      </c>
      <c r="BV254" s="789">
        <v>0</v>
      </c>
      <c r="BW254" s="789">
        <f t="shared" si="140"/>
        <v>5125.4459590244551</v>
      </c>
    </row>
    <row r="255" spans="1:75" ht="15" thickBot="1" x14ac:dyDescent="0.35">
      <c r="A255" s="219" t="s">
        <v>388</v>
      </c>
      <c r="B255" s="237">
        <v>9</v>
      </c>
      <c r="C255" s="40">
        <f>'[7]побудинковий звіт'!E255</f>
        <v>13218.32</v>
      </c>
      <c r="D255" s="215">
        <f t="shared" si="115"/>
        <v>7924.9439415700599</v>
      </c>
      <c r="E255" s="107">
        <f t="shared" si="116"/>
        <v>1743.4891231470192</v>
      </c>
      <c r="F255" s="107">
        <f t="shared" si="117"/>
        <v>403.87203634496052</v>
      </c>
      <c r="G255" s="107">
        <f t="shared" si="118"/>
        <v>0</v>
      </c>
      <c r="H255" s="107">
        <f t="shared" si="119"/>
        <v>6621.0901080313142</v>
      </c>
      <c r="I255" s="107">
        <f t="shared" si="120"/>
        <v>2148.6542174521524</v>
      </c>
      <c r="J255" s="687">
        <f t="shared" si="108"/>
        <v>0</v>
      </c>
      <c r="K255" s="142">
        <f t="shared" si="121"/>
        <v>18842.049426545505</v>
      </c>
      <c r="L255" s="141">
        <f t="shared" si="109"/>
        <v>5242.2215036489097</v>
      </c>
      <c r="M255" s="107">
        <f t="shared" si="110"/>
        <v>1153.2833025353746</v>
      </c>
      <c r="N255" s="30">
        <f t="shared" si="122"/>
        <v>355.35821075822099</v>
      </c>
      <c r="O255" s="107">
        <f t="shared" si="111"/>
        <v>23.797066034053053</v>
      </c>
      <c r="P255" s="107">
        <f t="shared" si="123"/>
        <v>4379.7434023290234</v>
      </c>
      <c r="Q255" s="107">
        <f t="shared" si="124"/>
        <v>1435.714891528439</v>
      </c>
      <c r="R255" s="143">
        <f t="shared" si="125"/>
        <v>12590.118376834022</v>
      </c>
      <c r="S255" s="141">
        <f t="shared" si="126"/>
        <v>336.64400000000006</v>
      </c>
      <c r="T255" s="107">
        <f t="shared" si="112"/>
        <v>43.330403511081073</v>
      </c>
      <c r="U255" s="142">
        <f t="shared" si="127"/>
        <v>379.97440351108116</v>
      </c>
      <c r="V255" s="107"/>
      <c r="W255" s="107">
        <f t="shared" si="128"/>
        <v>0</v>
      </c>
      <c r="X255" s="142">
        <f t="shared" si="129"/>
        <v>0</v>
      </c>
      <c r="Y255" s="141">
        <v>12662.99</v>
      </c>
      <c r="Z255" s="144">
        <v>0</v>
      </c>
      <c r="AA255" s="107">
        <f t="shared" si="113"/>
        <v>1629.8893381637113</v>
      </c>
      <c r="AB255" s="142">
        <f t="shared" si="114"/>
        <v>14292.879338163712</v>
      </c>
      <c r="AC255" s="141">
        <v>236.15</v>
      </c>
      <c r="AD255" s="107">
        <f t="shared" si="130"/>
        <v>30.395535904818722</v>
      </c>
      <c r="AE255" s="142">
        <f t="shared" si="131"/>
        <v>266.54553590481873</v>
      </c>
      <c r="AF255" s="145">
        <v>2182.4</v>
      </c>
      <c r="AG255" s="107">
        <f t="shared" si="132"/>
        <v>280.90289036068759</v>
      </c>
      <c r="AH255" s="142">
        <f t="shared" si="133"/>
        <v>2463.3028903606878</v>
      </c>
      <c r="AI255" s="145">
        <v>3278</v>
      </c>
      <c r="AJ255" s="107">
        <f t="shared" si="134"/>
        <v>421.92067201353279</v>
      </c>
      <c r="AK255" s="142">
        <f t="shared" si="135"/>
        <v>3699.9206720135326</v>
      </c>
      <c r="AL255" s="146"/>
      <c r="AM255" s="146"/>
      <c r="AN255" s="107">
        <f t="shared" si="136"/>
        <v>0</v>
      </c>
      <c r="AO255" s="151">
        <f t="shared" si="137"/>
        <v>0</v>
      </c>
      <c r="AP255" s="282">
        <f t="shared" si="138"/>
        <v>12155.60984311949</v>
      </c>
      <c r="AQ255" s="684">
        <v>0</v>
      </c>
      <c r="AR255" s="740">
        <v>7313.9609456865028</v>
      </c>
      <c r="AS255" s="740">
        <v>4711.0321911772444</v>
      </c>
      <c r="AT255" s="740">
        <v>130.61670625574234</v>
      </c>
      <c r="AU255" s="411">
        <v>0</v>
      </c>
      <c r="AV255" s="801"/>
      <c r="AW255" s="256"/>
      <c r="AX255" s="728">
        <f t="shared" si="139"/>
        <v>403.87203634496052</v>
      </c>
      <c r="AY255" s="729">
        <v>271.35821075822099</v>
      </c>
      <c r="AZ255" s="730"/>
      <c r="BA255" s="731">
        <v>84</v>
      </c>
      <c r="BC255" s="727">
        <v>0</v>
      </c>
      <c r="BD255" s="727">
        <v>403.87203634496052</v>
      </c>
      <c r="BE255" s="727"/>
      <c r="BF255" s="727"/>
      <c r="BG255" s="727">
        <v>0</v>
      </c>
      <c r="BH255" s="727">
        <v>0</v>
      </c>
      <c r="BI255" s="137">
        <f t="shared" si="144"/>
        <v>403.87203634496052</v>
      </c>
      <c r="BJ255" s="126">
        <v>1530.2</v>
      </c>
      <c r="BK255" s="807"/>
      <c r="BL255" s="107"/>
      <c r="BM255" s="687"/>
      <c r="BO255" s="577"/>
      <c r="BS255" s="904"/>
      <c r="BT255" s="789"/>
      <c r="BU255" s="789">
        <v>7169.0293874599411</v>
      </c>
      <c r="BV255" s="789">
        <v>0</v>
      </c>
      <c r="BW255" s="789">
        <f t="shared" si="140"/>
        <v>7169.0293874599411</v>
      </c>
    </row>
    <row r="256" spans="1:75" ht="15" thickBot="1" x14ac:dyDescent="0.35">
      <c r="A256" s="219" t="s">
        <v>389</v>
      </c>
      <c r="B256" s="237">
        <v>9</v>
      </c>
      <c r="C256" s="40">
        <f>'[7]побудинковий звіт'!E256</f>
        <v>5689.68</v>
      </c>
      <c r="D256" s="215">
        <f t="shared" si="115"/>
        <v>3794.8328118977997</v>
      </c>
      <c r="E256" s="107">
        <f t="shared" si="116"/>
        <v>834.86391581899898</v>
      </c>
      <c r="F256" s="107">
        <f t="shared" si="117"/>
        <v>173.89676337692919</v>
      </c>
      <c r="G256" s="107">
        <f t="shared" si="118"/>
        <v>0</v>
      </c>
      <c r="H256" s="107">
        <f t="shared" si="119"/>
        <v>3170.4867791798315</v>
      </c>
      <c r="I256" s="107">
        <f t="shared" si="120"/>
        <v>1026.3664753885519</v>
      </c>
      <c r="J256" s="687">
        <f t="shared" si="108"/>
        <v>0</v>
      </c>
      <c r="K256" s="142">
        <f t="shared" si="121"/>
        <v>9000.4467456621114</v>
      </c>
      <c r="L256" s="141">
        <f t="shared" si="109"/>
        <v>1477.9858959380419</v>
      </c>
      <c r="M256" s="107">
        <f t="shared" si="110"/>
        <v>325.15536666691156</v>
      </c>
      <c r="N256" s="30">
        <f t="shared" si="122"/>
        <v>116.83976685700549</v>
      </c>
      <c r="O256" s="107">
        <f t="shared" si="111"/>
        <v>10.243184510030849</v>
      </c>
      <c r="P256" s="107">
        <f t="shared" si="123"/>
        <v>1234.8198129293553</v>
      </c>
      <c r="Q256" s="107">
        <f t="shared" si="124"/>
        <v>407.38178852429331</v>
      </c>
      <c r="R256" s="143">
        <f t="shared" si="125"/>
        <v>3572.4258154256386</v>
      </c>
      <c r="S256" s="141">
        <f t="shared" si="126"/>
        <v>202.75200000000004</v>
      </c>
      <c r="T256" s="107">
        <f t="shared" si="112"/>
        <v>26.096784652863885</v>
      </c>
      <c r="U256" s="142">
        <f t="shared" si="127"/>
        <v>228.84878465286391</v>
      </c>
      <c r="V256" s="107"/>
      <c r="W256" s="107">
        <f t="shared" si="128"/>
        <v>0</v>
      </c>
      <c r="X256" s="142">
        <f t="shared" si="129"/>
        <v>0</v>
      </c>
      <c r="Y256" s="141">
        <v>6463.3950000000004</v>
      </c>
      <c r="Z256" s="144">
        <v>0</v>
      </c>
      <c r="AA256" s="107">
        <f t="shared" si="113"/>
        <v>831.92189197343134</v>
      </c>
      <c r="AB256" s="142">
        <f t="shared" si="114"/>
        <v>7295.3168919734317</v>
      </c>
      <c r="AC256" s="141">
        <v>0</v>
      </c>
      <c r="AD256" s="107">
        <f t="shared" si="130"/>
        <v>0</v>
      </c>
      <c r="AE256" s="142">
        <f t="shared" si="131"/>
        <v>0</v>
      </c>
      <c r="AF256" s="145">
        <v>1507</v>
      </c>
      <c r="AG256" s="107">
        <f t="shared" si="132"/>
        <v>193.97024183172479</v>
      </c>
      <c r="AH256" s="142">
        <f t="shared" si="133"/>
        <v>1700.9702418317247</v>
      </c>
      <c r="AI256" s="145">
        <v>1045</v>
      </c>
      <c r="AJ256" s="107">
        <f t="shared" si="134"/>
        <v>134.50491221907924</v>
      </c>
      <c r="AK256" s="142">
        <f t="shared" si="135"/>
        <v>1179.5049122190792</v>
      </c>
      <c r="AL256" s="146"/>
      <c r="AM256" s="146"/>
      <c r="AN256" s="107">
        <f t="shared" si="136"/>
        <v>0</v>
      </c>
      <c r="AO256" s="151">
        <f t="shared" si="137"/>
        <v>0</v>
      </c>
      <c r="AP256" s="282">
        <f t="shared" si="138"/>
        <v>4867.3145711326952</v>
      </c>
      <c r="AQ256" s="684">
        <v>0</v>
      </c>
      <c r="AR256" s="740">
        <v>3502.265654655399</v>
      </c>
      <c r="AS256" s="740">
        <v>1298.8080909153232</v>
      </c>
      <c r="AT256" s="740">
        <v>66.240825561972912</v>
      </c>
      <c r="AU256" s="411">
        <v>0</v>
      </c>
      <c r="AV256" s="801"/>
      <c r="AW256" s="256"/>
      <c r="AX256" s="728">
        <f t="shared" si="139"/>
        <v>173.89676337692919</v>
      </c>
      <c r="AY256" s="729">
        <v>116.83976685700549</v>
      </c>
      <c r="AZ256" s="730"/>
      <c r="BA256" s="731">
        <v>0</v>
      </c>
      <c r="BC256" s="727">
        <v>0</v>
      </c>
      <c r="BD256" s="727">
        <v>173.89676337692919</v>
      </c>
      <c r="BE256" s="727"/>
      <c r="BF256" s="727"/>
      <c r="BG256" s="727">
        <v>0</v>
      </c>
      <c r="BH256" s="727">
        <v>0</v>
      </c>
      <c r="BI256" s="137">
        <f t="shared" si="144"/>
        <v>173.89676337692919</v>
      </c>
      <c r="BJ256" s="126">
        <v>921.6</v>
      </c>
      <c r="BK256" s="807"/>
      <c r="BL256" s="107"/>
      <c r="BM256" s="687"/>
      <c r="BO256" s="577"/>
      <c r="BS256" s="904"/>
      <c r="BT256" s="789"/>
      <c r="BU256" s="789">
        <v>3474.1970198042081</v>
      </c>
      <c r="BV256" s="789">
        <v>0</v>
      </c>
      <c r="BW256" s="789">
        <f t="shared" si="140"/>
        <v>3474.1970198042081</v>
      </c>
    </row>
    <row r="257" spans="1:75" ht="15" thickBot="1" x14ac:dyDescent="0.35">
      <c r="A257" s="219" t="s">
        <v>390</v>
      </c>
      <c r="B257" s="237">
        <v>9</v>
      </c>
      <c r="C257" s="40">
        <f>'[7]побудинковий звіт'!E257</f>
        <v>6815.39</v>
      </c>
      <c r="D257" s="215">
        <f t="shared" si="115"/>
        <v>4457.1098916600104</v>
      </c>
      <c r="E257" s="107">
        <f t="shared" si="116"/>
        <v>980.56499504281317</v>
      </c>
      <c r="F257" s="107">
        <f t="shared" si="117"/>
        <v>205.48697835213426</v>
      </c>
      <c r="G257" s="107">
        <f t="shared" si="118"/>
        <v>0</v>
      </c>
      <c r="H257" s="107">
        <f t="shared" si="119"/>
        <v>3723.8025191925867</v>
      </c>
      <c r="I257" s="107">
        <f t="shared" si="120"/>
        <v>1205.6485380501988</v>
      </c>
      <c r="J257" s="687">
        <f t="shared" si="108"/>
        <v>0</v>
      </c>
      <c r="K257" s="142">
        <f t="shared" si="121"/>
        <v>10572.612922297743</v>
      </c>
      <c r="L257" s="141">
        <f t="shared" si="109"/>
        <v>2242.5467960027927</v>
      </c>
      <c r="M257" s="107">
        <f t="shared" si="110"/>
        <v>493.3579729860719</v>
      </c>
      <c r="N257" s="30">
        <f t="shared" si="122"/>
        <v>138.06496553804851</v>
      </c>
      <c r="O257" s="107">
        <f t="shared" si="111"/>
        <v>12.269810829048232</v>
      </c>
      <c r="P257" s="107">
        <f t="shared" si="123"/>
        <v>1873.5910963263871</v>
      </c>
      <c r="Q257" s="107">
        <f t="shared" si="124"/>
        <v>612.65129438963436</v>
      </c>
      <c r="R257" s="143">
        <f t="shared" si="125"/>
        <v>5372.481936071983</v>
      </c>
      <c r="S257" s="141">
        <f t="shared" si="126"/>
        <v>177.04499999999999</v>
      </c>
      <c r="T257" s="107">
        <f t="shared" si="112"/>
        <v>22.78796381227453</v>
      </c>
      <c r="U257" s="142">
        <f t="shared" si="127"/>
        <v>199.83296381227453</v>
      </c>
      <c r="V257" s="107"/>
      <c r="W257" s="107">
        <f t="shared" si="128"/>
        <v>0</v>
      </c>
      <c r="X257" s="142">
        <f t="shared" si="129"/>
        <v>0</v>
      </c>
      <c r="Y257" s="141">
        <v>4308.93</v>
      </c>
      <c r="Z257" s="144">
        <v>0</v>
      </c>
      <c r="AA257" s="107">
        <f t="shared" si="113"/>
        <v>554.61459464895427</v>
      </c>
      <c r="AB257" s="142">
        <f t="shared" si="114"/>
        <v>4863.5445946489544</v>
      </c>
      <c r="AC257" s="141">
        <v>0</v>
      </c>
      <c r="AD257" s="107">
        <f t="shared" si="130"/>
        <v>0</v>
      </c>
      <c r="AE257" s="142">
        <f t="shared" si="131"/>
        <v>0</v>
      </c>
      <c r="AF257" s="145">
        <v>1654.4</v>
      </c>
      <c r="AG257" s="107">
        <f t="shared" si="132"/>
        <v>212.94251366052126</v>
      </c>
      <c r="AH257" s="142">
        <f t="shared" si="133"/>
        <v>1867.3425136605213</v>
      </c>
      <c r="AI257" s="145">
        <v>1364</v>
      </c>
      <c r="AJ257" s="107">
        <f t="shared" si="134"/>
        <v>175.56430647542976</v>
      </c>
      <c r="AK257" s="142">
        <f t="shared" si="135"/>
        <v>1539.5643064754297</v>
      </c>
      <c r="AL257" s="146">
        <v>3017.5</v>
      </c>
      <c r="AM257" s="146"/>
      <c r="AN257" s="107">
        <f t="shared" si="136"/>
        <v>388.39097858475753</v>
      </c>
      <c r="AO257" s="151">
        <f t="shared" si="137"/>
        <v>3405.8909785847577</v>
      </c>
      <c r="AP257" s="282">
        <f t="shared" si="138"/>
        <v>6184.671302899339</v>
      </c>
      <c r="AQ257" s="684">
        <v>0</v>
      </c>
      <c r="AR257" s="740">
        <v>4113.4836938387098</v>
      </c>
      <c r="AS257" s="740">
        <v>1999.341868110974</v>
      </c>
      <c r="AT257" s="740">
        <v>71.845740949654669</v>
      </c>
      <c r="AU257" s="411">
        <v>0</v>
      </c>
      <c r="AV257" s="801"/>
      <c r="AW257" s="256"/>
      <c r="AX257" s="728">
        <f t="shared" si="139"/>
        <v>205.48697835213426</v>
      </c>
      <c r="AY257" s="729">
        <v>138.06496553804851</v>
      </c>
      <c r="AZ257" s="730"/>
      <c r="BA257" s="731">
        <v>0</v>
      </c>
      <c r="BC257" s="727">
        <v>0</v>
      </c>
      <c r="BD257" s="727">
        <v>205.48697835213426</v>
      </c>
      <c r="BE257" s="727"/>
      <c r="BF257" s="727"/>
      <c r="BG257" s="727">
        <v>0</v>
      </c>
      <c r="BH257" s="727">
        <v>0</v>
      </c>
      <c r="BI257" s="137">
        <f t="shared" si="144"/>
        <v>205.48697835213426</v>
      </c>
      <c r="BJ257" s="126">
        <v>804.75</v>
      </c>
      <c r="BK257" s="807"/>
      <c r="BL257" s="107"/>
      <c r="BM257" s="687"/>
      <c r="BO257" s="577"/>
      <c r="BS257" s="904"/>
      <c r="BT257" s="789"/>
      <c r="BU257" s="789">
        <v>3523.148680803291</v>
      </c>
      <c r="BV257" s="789">
        <v>0</v>
      </c>
      <c r="BW257" s="789">
        <f t="shared" si="140"/>
        <v>3523.148680803291</v>
      </c>
    </row>
    <row r="258" spans="1:75" ht="15" thickBot="1" x14ac:dyDescent="0.35">
      <c r="A258" s="219" t="s">
        <v>391</v>
      </c>
      <c r="B258" s="237">
        <v>9</v>
      </c>
      <c r="C258" s="40">
        <f>'[7]побудинковий звіт'!E258</f>
        <v>2823.8</v>
      </c>
      <c r="D258" s="215">
        <f t="shared" si="115"/>
        <v>2303.5078637830388</v>
      </c>
      <c r="E258" s="107">
        <f t="shared" si="116"/>
        <v>506.77215324171635</v>
      </c>
      <c r="F258" s="107">
        <f t="shared" si="117"/>
        <v>86.337190935999601</v>
      </c>
      <c r="G258" s="107">
        <f t="shared" si="118"/>
        <v>0</v>
      </c>
      <c r="H258" s="107">
        <f t="shared" si="119"/>
        <v>1924.5225257258548</v>
      </c>
      <c r="I258" s="107">
        <f t="shared" si="120"/>
        <v>620.54256141189705</v>
      </c>
      <c r="J258" s="687">
        <f t="shared" si="108"/>
        <v>0</v>
      </c>
      <c r="K258" s="142">
        <f t="shared" si="121"/>
        <v>5441.6822950985061</v>
      </c>
      <c r="L258" s="141">
        <f t="shared" si="109"/>
        <v>1044.7769231826464</v>
      </c>
      <c r="M258" s="107">
        <f t="shared" si="110"/>
        <v>229.8498412442375</v>
      </c>
      <c r="N258" s="30">
        <f t="shared" si="122"/>
        <v>58.009229523068178</v>
      </c>
      <c r="O258" s="107">
        <f t="shared" si="111"/>
        <v>5.0837137447844363</v>
      </c>
      <c r="P258" s="107">
        <f t="shared" si="123"/>
        <v>872.88467933484606</v>
      </c>
      <c r="Q258" s="107">
        <f t="shared" si="124"/>
        <v>284.53315696509617</v>
      </c>
      <c r="R258" s="143">
        <f t="shared" si="125"/>
        <v>2495.1375439946787</v>
      </c>
      <c r="S258" s="141">
        <f t="shared" si="126"/>
        <v>78.198999999999998</v>
      </c>
      <c r="T258" s="107">
        <f t="shared" si="112"/>
        <v>10.065214957530888</v>
      </c>
      <c r="U258" s="142">
        <f t="shared" si="127"/>
        <v>88.264214957530882</v>
      </c>
      <c r="V258" s="107"/>
      <c r="W258" s="107">
        <f t="shared" si="128"/>
        <v>0</v>
      </c>
      <c r="X258" s="142">
        <f t="shared" si="129"/>
        <v>0</v>
      </c>
      <c r="Y258" s="141">
        <v>1120.33</v>
      </c>
      <c r="Z258" s="144">
        <v>0</v>
      </c>
      <c r="AA258" s="107">
        <f t="shared" si="113"/>
        <v>144.20085005397229</v>
      </c>
      <c r="AB258" s="142">
        <f t="shared" si="114"/>
        <v>1264.5308500539722</v>
      </c>
      <c r="AC258" s="141">
        <v>0</v>
      </c>
      <c r="AD258" s="107">
        <f t="shared" si="130"/>
        <v>0</v>
      </c>
      <c r="AE258" s="142">
        <f t="shared" si="131"/>
        <v>0</v>
      </c>
      <c r="AF258" s="145">
        <v>528</v>
      </c>
      <c r="AG258" s="107">
        <f t="shared" si="132"/>
        <v>67.96037670016635</v>
      </c>
      <c r="AH258" s="142">
        <f t="shared" si="133"/>
        <v>595.96037670016631</v>
      </c>
      <c r="AI258" s="145">
        <v>600.6</v>
      </c>
      <c r="AJ258" s="107">
        <f t="shared" si="134"/>
        <v>77.304928496439231</v>
      </c>
      <c r="AK258" s="142">
        <f t="shared" si="135"/>
        <v>677.9049284964392</v>
      </c>
      <c r="AL258" s="146"/>
      <c r="AM258" s="401"/>
      <c r="AN258" s="107">
        <f t="shared" si="136"/>
        <v>0</v>
      </c>
      <c r="AO258" s="151">
        <f t="shared" si="137"/>
        <v>0</v>
      </c>
      <c r="AP258" s="282">
        <f t="shared" si="138"/>
        <v>3090.8588167297148</v>
      </c>
      <c r="AQ258" s="684">
        <v>0</v>
      </c>
      <c r="AR258" s="740">
        <v>2125.9161803550974</v>
      </c>
      <c r="AS258" s="740">
        <v>937.49266407127641</v>
      </c>
      <c r="AT258" s="740">
        <v>27.449972303340775</v>
      </c>
      <c r="AU258" s="411">
        <v>0</v>
      </c>
      <c r="AV258" s="801"/>
      <c r="AW258" s="256"/>
      <c r="AX258" s="728">
        <f t="shared" si="139"/>
        <v>86.337190935999601</v>
      </c>
      <c r="AY258" s="729">
        <v>58.009229523068178</v>
      </c>
      <c r="AZ258" s="730"/>
      <c r="BA258" s="731">
        <v>0</v>
      </c>
      <c r="BC258" s="727">
        <v>0</v>
      </c>
      <c r="BD258" s="727">
        <v>86.337190935999601</v>
      </c>
      <c r="BE258" s="727"/>
      <c r="BF258" s="727"/>
      <c r="BG258" s="727">
        <v>0</v>
      </c>
      <c r="BH258" s="727">
        <v>0</v>
      </c>
      <c r="BI258" s="137">
        <f t="shared" si="144"/>
        <v>86.337190935999601</v>
      </c>
      <c r="BJ258" s="126">
        <v>355.45</v>
      </c>
      <c r="BK258" s="807"/>
      <c r="BL258" s="107"/>
      <c r="BM258" s="687"/>
      <c r="BO258" s="577"/>
      <c r="BS258" s="904"/>
      <c r="BT258" s="789"/>
      <c r="BU258" s="789">
        <v>2108.8814005337654</v>
      </c>
      <c r="BV258" s="789">
        <v>0</v>
      </c>
      <c r="BW258" s="789">
        <f t="shared" si="140"/>
        <v>2108.8814005337654</v>
      </c>
    </row>
    <row r="259" spans="1:75" ht="15" thickBot="1" x14ac:dyDescent="0.35">
      <c r="A259" s="219" t="s">
        <v>219</v>
      </c>
      <c r="B259" s="237">
        <v>4</v>
      </c>
      <c r="C259" s="40">
        <f>'[7]побудинковий звіт'!E259</f>
        <v>2844.3999999999996</v>
      </c>
      <c r="D259" s="215">
        <f t="shared" si="115"/>
        <v>1106.0399181080491</v>
      </c>
      <c r="E259" s="107">
        <f t="shared" si="116"/>
        <v>243.32898518973781</v>
      </c>
      <c r="F259" s="107">
        <f t="shared" si="117"/>
        <v>672.08346939432579</v>
      </c>
      <c r="G259" s="107">
        <f t="shared" si="118"/>
        <v>0</v>
      </c>
      <c r="H259" s="107">
        <f t="shared" si="119"/>
        <v>924.06836122327525</v>
      </c>
      <c r="I259" s="107">
        <f t="shared" si="120"/>
        <v>379.12632321030344</v>
      </c>
      <c r="J259" s="687">
        <f t="shared" si="108"/>
        <v>0</v>
      </c>
      <c r="K259" s="142">
        <f t="shared" si="121"/>
        <v>3324.6470571256909</v>
      </c>
      <c r="L259" s="141">
        <f t="shared" si="109"/>
        <v>765.4122555667642</v>
      </c>
      <c r="M259" s="107">
        <f t="shared" si="110"/>
        <v>168.38990364803328</v>
      </c>
      <c r="N259" s="30">
        <f t="shared" si="122"/>
        <v>58.483772055111118</v>
      </c>
      <c r="O259" s="107">
        <f t="shared" si="111"/>
        <v>5.1208001188699086</v>
      </c>
      <c r="P259" s="107">
        <f t="shared" si="123"/>
        <v>639.48256937386145</v>
      </c>
      <c r="Q259" s="107">
        <f t="shared" si="124"/>
        <v>210.68866192481235</v>
      </c>
      <c r="R259" s="143">
        <f t="shared" si="125"/>
        <v>1847.5779626874523</v>
      </c>
      <c r="S259" s="141">
        <f t="shared" si="126"/>
        <v>44.77</v>
      </c>
      <c r="T259" s="107">
        <f t="shared" si="112"/>
        <v>5.7624736077016054</v>
      </c>
      <c r="U259" s="142">
        <f t="shared" si="127"/>
        <v>50.532473607701611</v>
      </c>
      <c r="V259" s="107"/>
      <c r="W259" s="107">
        <f t="shared" si="128"/>
        <v>0</v>
      </c>
      <c r="X259" s="142">
        <f t="shared" si="129"/>
        <v>0</v>
      </c>
      <c r="Y259" s="141">
        <v>0</v>
      </c>
      <c r="Z259" s="144">
        <v>0</v>
      </c>
      <c r="AA259" s="107">
        <f t="shared" si="113"/>
        <v>0</v>
      </c>
      <c r="AB259" s="142">
        <f t="shared" si="114"/>
        <v>0</v>
      </c>
      <c r="AC259" s="141">
        <v>0</v>
      </c>
      <c r="AD259" s="107">
        <f t="shared" si="130"/>
        <v>0</v>
      </c>
      <c r="AE259" s="142">
        <f t="shared" si="131"/>
        <v>0</v>
      </c>
      <c r="AF259" s="145">
        <v>294.8</v>
      </c>
      <c r="AG259" s="107">
        <f t="shared" si="132"/>
        <v>37.944543657592881</v>
      </c>
      <c r="AH259" s="142">
        <f t="shared" si="133"/>
        <v>332.74454365759289</v>
      </c>
      <c r="AI259" s="145">
        <v>0</v>
      </c>
      <c r="AJ259" s="107">
        <f t="shared" si="134"/>
        <v>0</v>
      </c>
      <c r="AK259" s="142">
        <f t="shared" si="135"/>
        <v>0</v>
      </c>
      <c r="AL259" s="146">
        <v>3506.25</v>
      </c>
      <c r="AM259" s="146"/>
      <c r="AN259" s="107">
        <f t="shared" si="136"/>
        <v>451.2993765245422</v>
      </c>
      <c r="AO259" s="151">
        <f t="shared" si="137"/>
        <v>3957.5493765245424</v>
      </c>
      <c r="AP259" s="282">
        <f t="shared" si="138"/>
        <v>1672.5934464186548</v>
      </c>
      <c r="AQ259" s="684">
        <v>55.1</v>
      </c>
      <c r="AR259" s="740">
        <v>965.66845275575554</v>
      </c>
      <c r="AS259" s="740">
        <v>699.74747611608382</v>
      </c>
      <c r="AT259" s="740">
        <v>7.1775175468155084</v>
      </c>
      <c r="AU259" s="411">
        <v>0</v>
      </c>
      <c r="AV259" s="801"/>
      <c r="AW259" s="256"/>
      <c r="AX259" s="728">
        <f t="shared" si="139"/>
        <v>87.043469394325811</v>
      </c>
      <c r="AY259" s="729">
        <v>58.483772055111118</v>
      </c>
      <c r="AZ259" s="730"/>
      <c r="BA259" s="731">
        <v>0</v>
      </c>
      <c r="BC259" s="727">
        <v>0</v>
      </c>
      <c r="BD259" s="727">
        <v>87.043469394325811</v>
      </c>
      <c r="BE259" s="727"/>
      <c r="BF259" s="727"/>
      <c r="BG259" s="727">
        <v>0</v>
      </c>
      <c r="BH259" s="727">
        <v>0</v>
      </c>
      <c r="BI259" s="137">
        <f t="shared" si="144"/>
        <v>87.043469394325811</v>
      </c>
      <c r="BJ259" s="126">
        <v>203.5</v>
      </c>
      <c r="BK259" s="807"/>
      <c r="BL259" s="107"/>
      <c r="BM259" s="687">
        <v>585.04</v>
      </c>
      <c r="BO259" s="577"/>
      <c r="BS259" s="904"/>
      <c r="BT259" s="789"/>
      <c r="BU259" s="789">
        <v>947.76275622571484</v>
      </c>
      <c r="BV259" s="789">
        <v>0</v>
      </c>
      <c r="BW259" s="789">
        <f t="shared" si="140"/>
        <v>947.76275622571484</v>
      </c>
    </row>
    <row r="260" spans="1:75" ht="15" thickBot="1" x14ac:dyDescent="0.35">
      <c r="A260" s="219" t="s">
        <v>220</v>
      </c>
      <c r="B260" s="237">
        <v>4</v>
      </c>
      <c r="C260" s="40">
        <f>'[7]побудинковий звіт'!E260</f>
        <v>2296.6999999999998</v>
      </c>
      <c r="D260" s="215">
        <f t="shared" si="115"/>
        <v>905.66982816763664</v>
      </c>
      <c r="E260" s="107">
        <f t="shared" si="116"/>
        <v>199.24752859007276</v>
      </c>
      <c r="F260" s="107">
        <f t="shared" si="117"/>
        <v>70.221200659646684</v>
      </c>
      <c r="G260" s="107">
        <f t="shared" si="118"/>
        <v>0</v>
      </c>
      <c r="H260" s="107">
        <f t="shared" si="119"/>
        <v>756.66422180838174</v>
      </c>
      <c r="I260" s="107">
        <f t="shared" si="120"/>
        <v>248.64781171706335</v>
      </c>
      <c r="J260" s="687">
        <f t="shared" si="108"/>
        <v>0</v>
      </c>
      <c r="K260" s="142">
        <f t="shared" si="121"/>
        <v>2180.4505909428012</v>
      </c>
      <c r="L260" s="141">
        <f t="shared" si="109"/>
        <v>463.41118414641312</v>
      </c>
      <c r="M260" s="107">
        <f t="shared" si="110"/>
        <v>101.94998065461326</v>
      </c>
      <c r="N260" s="30">
        <f t="shared" si="122"/>
        <v>47.181031746451836</v>
      </c>
      <c r="O260" s="107">
        <f t="shared" si="111"/>
        <v>4.1347706486459428</v>
      </c>
      <c r="P260" s="107">
        <f t="shared" si="123"/>
        <v>387.16831688969853</v>
      </c>
      <c r="Q260" s="107">
        <f t="shared" si="124"/>
        <v>129.2077720741629</v>
      </c>
      <c r="R260" s="143">
        <f t="shared" si="125"/>
        <v>1133.0530561599855</v>
      </c>
      <c r="S260" s="141">
        <f t="shared" si="126"/>
        <v>123.33200000000001</v>
      </c>
      <c r="T260" s="107">
        <f t="shared" si="112"/>
        <v>15.874411324213858</v>
      </c>
      <c r="U260" s="142">
        <f t="shared" si="127"/>
        <v>139.20641132421386</v>
      </c>
      <c r="V260" s="107"/>
      <c r="W260" s="107">
        <f t="shared" si="128"/>
        <v>0</v>
      </c>
      <c r="X260" s="142">
        <f t="shared" si="129"/>
        <v>0</v>
      </c>
      <c r="Y260" s="141">
        <v>0</v>
      </c>
      <c r="Z260" s="144">
        <v>0</v>
      </c>
      <c r="AA260" s="107">
        <f t="shared" si="113"/>
        <v>0</v>
      </c>
      <c r="AB260" s="142">
        <f t="shared" si="114"/>
        <v>0</v>
      </c>
      <c r="AC260" s="141">
        <v>0</v>
      </c>
      <c r="AD260" s="107">
        <f t="shared" si="130"/>
        <v>0</v>
      </c>
      <c r="AE260" s="142">
        <f t="shared" si="131"/>
        <v>0</v>
      </c>
      <c r="AF260" s="145">
        <v>28.6</v>
      </c>
      <c r="AG260" s="107">
        <f t="shared" si="132"/>
        <v>3.6811870712590111</v>
      </c>
      <c r="AH260" s="142">
        <f t="shared" si="133"/>
        <v>32.281187071259012</v>
      </c>
      <c r="AI260" s="145">
        <v>0</v>
      </c>
      <c r="AJ260" s="107">
        <f t="shared" si="134"/>
        <v>0</v>
      </c>
      <c r="AK260" s="142">
        <f t="shared" si="135"/>
        <v>0</v>
      </c>
      <c r="AL260" s="146">
        <v>2422.5</v>
      </c>
      <c r="AM260" s="146"/>
      <c r="AN260" s="107">
        <f t="shared" si="136"/>
        <v>311.80684196241094</v>
      </c>
      <c r="AO260" s="151">
        <f t="shared" si="137"/>
        <v>2734.306841962411</v>
      </c>
      <c r="AP260" s="282">
        <f t="shared" si="138"/>
        <v>1064.4367908496306</v>
      </c>
      <c r="AQ260" s="684">
        <v>199.41</v>
      </c>
      <c r="AR260" s="740">
        <v>636.43613364373812</v>
      </c>
      <c r="AS260" s="740">
        <v>408.06883054696567</v>
      </c>
      <c r="AT260" s="740">
        <v>19.931826658926962</v>
      </c>
      <c r="AU260" s="411">
        <v>0</v>
      </c>
      <c r="AV260" s="801"/>
      <c r="AW260" s="256"/>
      <c r="AX260" s="728">
        <f t="shared" si="139"/>
        <v>70.221200659646684</v>
      </c>
      <c r="AY260" s="729">
        <v>47.181031746451836</v>
      </c>
      <c r="AZ260" s="730"/>
      <c r="BA260" s="731">
        <v>0</v>
      </c>
      <c r="BC260" s="727">
        <v>0</v>
      </c>
      <c r="BD260" s="727">
        <v>70.221200659646684</v>
      </c>
      <c r="BE260" s="727"/>
      <c r="BF260" s="727"/>
      <c r="BG260" s="727">
        <v>0</v>
      </c>
      <c r="BH260" s="727">
        <v>0</v>
      </c>
      <c r="BI260" s="137">
        <f t="shared" si="144"/>
        <v>70.221200659646684</v>
      </c>
      <c r="BJ260" s="126">
        <v>560.6</v>
      </c>
      <c r="BK260" s="807"/>
      <c r="BL260" s="107"/>
      <c r="BM260" s="687"/>
      <c r="BO260" s="577"/>
      <c r="BS260" s="904"/>
      <c r="BT260" s="789"/>
      <c r="BU260" s="789">
        <v>652.74710169586581</v>
      </c>
      <c r="BV260" s="789">
        <v>0</v>
      </c>
      <c r="BW260" s="789">
        <f t="shared" si="140"/>
        <v>652.74710169586581</v>
      </c>
    </row>
    <row r="261" spans="1:75" ht="15" thickBot="1" x14ac:dyDescent="0.35">
      <c r="A261" s="219" t="s">
        <v>221</v>
      </c>
      <c r="B261" s="237">
        <v>4</v>
      </c>
      <c r="C261" s="40">
        <f>'[7]побудинковий звіт'!E261</f>
        <v>2613.6000000000004</v>
      </c>
      <c r="D261" s="215">
        <f t="shared" si="115"/>
        <v>930.43182536698748</v>
      </c>
      <c r="E261" s="107">
        <f t="shared" si="116"/>
        <v>204.69517252330064</v>
      </c>
      <c r="F261" s="107">
        <f t="shared" si="117"/>
        <v>78.702657124568518</v>
      </c>
      <c r="G261" s="107">
        <f t="shared" si="118"/>
        <v>0</v>
      </c>
      <c r="H261" s="107">
        <f t="shared" si="119"/>
        <v>777.35224382096897</v>
      </c>
      <c r="I261" s="107">
        <f t="shared" si="120"/>
        <v>256.29066652165761</v>
      </c>
      <c r="J261" s="687">
        <f t="shared" si="108"/>
        <v>0</v>
      </c>
      <c r="K261" s="142">
        <f t="shared" si="121"/>
        <v>2247.4725653574833</v>
      </c>
      <c r="L261" s="141">
        <f t="shared" si="109"/>
        <v>584.35043853303432</v>
      </c>
      <c r="M261" s="107">
        <f t="shared" si="110"/>
        <v>128.55649138829429</v>
      </c>
      <c r="N261" s="30">
        <f t="shared" si="122"/>
        <v>52.879650724318218</v>
      </c>
      <c r="O261" s="107">
        <f t="shared" si="111"/>
        <v>4.70528870435888</v>
      </c>
      <c r="P261" s="107">
        <f t="shared" si="123"/>
        <v>488.21000334146402</v>
      </c>
      <c r="Q261" s="107">
        <f t="shared" si="124"/>
        <v>162.01108602522183</v>
      </c>
      <c r="R261" s="143">
        <f t="shared" si="125"/>
        <v>1420.7129587166917</v>
      </c>
      <c r="S261" s="141">
        <f t="shared" si="126"/>
        <v>73.282000000000011</v>
      </c>
      <c r="T261" s="107">
        <f t="shared" si="112"/>
        <v>9.4323339495105891</v>
      </c>
      <c r="U261" s="142">
        <f t="shared" si="127"/>
        <v>82.714333949510603</v>
      </c>
      <c r="V261" s="107"/>
      <c r="W261" s="107">
        <f t="shared" si="128"/>
        <v>0</v>
      </c>
      <c r="X261" s="142">
        <f t="shared" si="129"/>
        <v>0</v>
      </c>
      <c r="Y261" s="141">
        <v>0</v>
      </c>
      <c r="Z261" s="144">
        <v>0</v>
      </c>
      <c r="AA261" s="107">
        <f t="shared" si="113"/>
        <v>0</v>
      </c>
      <c r="AB261" s="142">
        <f t="shared" si="114"/>
        <v>0</v>
      </c>
      <c r="AC261" s="141">
        <v>0</v>
      </c>
      <c r="AD261" s="107">
        <f t="shared" si="130"/>
        <v>0</v>
      </c>
      <c r="AE261" s="142">
        <f t="shared" si="131"/>
        <v>0</v>
      </c>
      <c r="AF261" s="145">
        <v>264</v>
      </c>
      <c r="AG261" s="107">
        <f t="shared" si="132"/>
        <v>33.980188350083175</v>
      </c>
      <c r="AH261" s="142">
        <f t="shared" si="133"/>
        <v>297.98018835008315</v>
      </c>
      <c r="AI261" s="145">
        <v>0</v>
      </c>
      <c r="AJ261" s="107">
        <f t="shared" si="134"/>
        <v>0</v>
      </c>
      <c r="AK261" s="142">
        <f t="shared" si="135"/>
        <v>0</v>
      </c>
      <c r="AL261" s="146"/>
      <c r="AM261" s="146"/>
      <c r="AN261" s="107">
        <f t="shared" si="136"/>
        <v>0</v>
      </c>
      <c r="AO261" s="151">
        <f t="shared" si="137"/>
        <v>0</v>
      </c>
      <c r="AP261" s="282">
        <f t="shared" si="138"/>
        <v>1345.1876847080785</v>
      </c>
      <c r="AQ261" s="684">
        <v>53.21</v>
      </c>
      <c r="AR261" s="740">
        <v>805.48907516465556</v>
      </c>
      <c r="AS261" s="740">
        <v>527.86244531236389</v>
      </c>
      <c r="AT261" s="740">
        <v>11.836164231059049</v>
      </c>
      <c r="AU261" s="411">
        <v>0</v>
      </c>
      <c r="AV261" s="801"/>
      <c r="AW261" s="256"/>
      <c r="AX261" s="728">
        <f t="shared" si="139"/>
        <v>78.702657124568518</v>
      </c>
      <c r="AY261" s="729">
        <v>52.879650724318218</v>
      </c>
      <c r="AZ261" s="730"/>
      <c r="BA261" s="731">
        <v>0</v>
      </c>
      <c r="BC261" s="727">
        <v>0</v>
      </c>
      <c r="BD261" s="727">
        <v>78.702657124568518</v>
      </c>
      <c r="BE261" s="727"/>
      <c r="BF261" s="727"/>
      <c r="BG261" s="727">
        <v>0</v>
      </c>
      <c r="BH261" s="727">
        <v>0</v>
      </c>
      <c r="BI261" s="137">
        <f t="shared" si="144"/>
        <v>78.702657124568518</v>
      </c>
      <c r="BJ261" s="126">
        <v>333.1</v>
      </c>
      <c r="BK261" s="807"/>
      <c r="BL261" s="107"/>
      <c r="BM261" s="687"/>
      <c r="BO261" s="577"/>
      <c r="BS261" s="904"/>
      <c r="BT261" s="789"/>
      <c r="BU261" s="789">
        <v>784.3980763495498</v>
      </c>
      <c r="BV261" s="789">
        <v>0</v>
      </c>
      <c r="BW261" s="789">
        <f t="shared" si="140"/>
        <v>784.3980763495498</v>
      </c>
    </row>
    <row r="262" spans="1:75" ht="15" thickBot="1" x14ac:dyDescent="0.35">
      <c r="A262" s="219" t="s">
        <v>289</v>
      </c>
      <c r="B262" s="237">
        <v>5</v>
      </c>
      <c r="C262" s="40">
        <f>'[7]побудинковий звіт'!E262</f>
        <v>3567.9</v>
      </c>
      <c r="D262" s="215">
        <f t="shared" si="115"/>
        <v>1683.553042207626</v>
      </c>
      <c r="E262" s="107">
        <f t="shared" si="116"/>
        <v>370.38197859460803</v>
      </c>
      <c r="F262" s="107">
        <f t="shared" si="117"/>
        <v>284.60403321012114</v>
      </c>
      <c r="G262" s="107">
        <f t="shared" si="118"/>
        <v>0</v>
      </c>
      <c r="H262" s="107">
        <f t="shared" si="119"/>
        <v>1406.565961386289</v>
      </c>
      <c r="I262" s="107">
        <f t="shared" si="120"/>
        <v>482.04308262911775</v>
      </c>
      <c r="J262" s="687">
        <f t="shared" si="108"/>
        <v>0</v>
      </c>
      <c r="K262" s="142">
        <f t="shared" si="121"/>
        <v>4227.148098027762</v>
      </c>
      <c r="L262" s="141">
        <f t="shared" si="109"/>
        <v>731.65400400923886</v>
      </c>
      <c r="M262" s="107">
        <f t="shared" si="110"/>
        <v>160.96312326170602</v>
      </c>
      <c r="N262" s="30">
        <f t="shared" si="122"/>
        <v>73.299359678893524</v>
      </c>
      <c r="O262" s="107">
        <f t="shared" si="111"/>
        <v>6.4233239854155357</v>
      </c>
      <c r="P262" s="107">
        <f t="shared" si="123"/>
        <v>611.27840451163252</v>
      </c>
      <c r="Q262" s="107">
        <f t="shared" si="124"/>
        <v>203.83198952843864</v>
      </c>
      <c r="R262" s="143">
        <f t="shared" si="125"/>
        <v>1787.4502049753253</v>
      </c>
      <c r="S262" s="141">
        <f t="shared" si="126"/>
        <v>155.40799999999999</v>
      </c>
      <c r="T262" s="107">
        <f t="shared" si="112"/>
        <v>20.003004208748962</v>
      </c>
      <c r="U262" s="142">
        <f t="shared" si="127"/>
        <v>175.41100420874895</v>
      </c>
      <c r="V262" s="107"/>
      <c r="W262" s="107">
        <f t="shared" si="128"/>
        <v>0</v>
      </c>
      <c r="X262" s="142">
        <f t="shared" si="129"/>
        <v>0</v>
      </c>
      <c r="Y262" s="141">
        <v>0</v>
      </c>
      <c r="Z262" s="144">
        <v>0</v>
      </c>
      <c r="AA262" s="107">
        <f t="shared" si="113"/>
        <v>0</v>
      </c>
      <c r="AB262" s="142">
        <f t="shared" si="114"/>
        <v>0</v>
      </c>
      <c r="AC262" s="141">
        <v>0</v>
      </c>
      <c r="AD262" s="107">
        <f t="shared" si="130"/>
        <v>0</v>
      </c>
      <c r="AE262" s="142">
        <f t="shared" si="131"/>
        <v>0</v>
      </c>
      <c r="AF262" s="145">
        <v>246.4</v>
      </c>
      <c r="AG262" s="107">
        <f t="shared" si="132"/>
        <v>31.714842460077634</v>
      </c>
      <c r="AH262" s="142">
        <f t="shared" si="133"/>
        <v>278.11484246007763</v>
      </c>
      <c r="AI262" s="145">
        <v>0</v>
      </c>
      <c r="AJ262" s="107">
        <f t="shared" si="134"/>
        <v>0</v>
      </c>
      <c r="AK262" s="142">
        <f t="shared" si="135"/>
        <v>0</v>
      </c>
      <c r="AL262" s="146">
        <v>4335</v>
      </c>
      <c r="AM262" s="146"/>
      <c r="AN262" s="107">
        <f t="shared" si="136"/>
        <v>557.9701382485249</v>
      </c>
      <c r="AO262" s="151">
        <f t="shared" si="137"/>
        <v>4892.9701382485246</v>
      </c>
      <c r="AP262" s="282">
        <f t="shared" si="138"/>
        <v>2143.3638176679137</v>
      </c>
      <c r="AQ262" s="684">
        <v>86.14</v>
      </c>
      <c r="AR262" s="740">
        <v>1467.6175144359677</v>
      </c>
      <c r="AS262" s="740">
        <v>650.72278813654134</v>
      </c>
      <c r="AT262" s="740">
        <v>25.023515095404289</v>
      </c>
      <c r="AU262" s="411">
        <v>0</v>
      </c>
      <c r="AV262" s="801"/>
      <c r="AW262" s="256"/>
      <c r="AX262" s="728">
        <f t="shared" si="139"/>
        <v>109.09403321012117</v>
      </c>
      <c r="AY262" s="729">
        <v>73.299359678893524</v>
      </c>
      <c r="AZ262" s="730"/>
      <c r="BA262" s="731">
        <v>0</v>
      </c>
      <c r="BC262" s="727">
        <v>0</v>
      </c>
      <c r="BD262" s="727">
        <v>109.09403321012117</v>
      </c>
      <c r="BE262" s="727"/>
      <c r="BF262" s="727"/>
      <c r="BG262" s="727">
        <v>0</v>
      </c>
      <c r="BH262" s="727">
        <v>0</v>
      </c>
      <c r="BI262" s="137">
        <f t="shared" si="144"/>
        <v>109.09403321012117</v>
      </c>
      <c r="BJ262" s="126">
        <v>706.4</v>
      </c>
      <c r="BK262" s="807"/>
      <c r="BL262" s="107"/>
      <c r="BM262" s="687">
        <v>175.51</v>
      </c>
      <c r="BO262" s="577"/>
      <c r="BS262" s="904"/>
      <c r="BT262" s="789"/>
      <c r="BU262" s="789">
        <v>1433.8390280004605</v>
      </c>
      <c r="BV262" s="789">
        <v>0</v>
      </c>
      <c r="BW262" s="789">
        <f t="shared" si="140"/>
        <v>1433.8390280004605</v>
      </c>
    </row>
    <row r="263" spans="1:75" ht="15" thickBot="1" x14ac:dyDescent="0.35">
      <c r="A263" s="219" t="s">
        <v>222</v>
      </c>
      <c r="B263" s="237">
        <v>4</v>
      </c>
      <c r="C263" s="40">
        <f>'[7]побудинковий звіт'!E263</f>
        <v>3672.7</v>
      </c>
      <c r="D263" s="215">
        <f t="shared" si="115"/>
        <v>1632.424805453308</v>
      </c>
      <c r="E263" s="107">
        <f t="shared" si="116"/>
        <v>359.13375711517904</v>
      </c>
      <c r="F263" s="107">
        <f t="shared" si="117"/>
        <v>110.53410746930582</v>
      </c>
      <c r="G263" s="107">
        <f t="shared" si="118"/>
        <v>0</v>
      </c>
      <c r="H263" s="107">
        <f t="shared" si="119"/>
        <v>1363.8496134712739</v>
      </c>
      <c r="I263" s="107">
        <f t="shared" si="120"/>
        <v>446.11125607634654</v>
      </c>
      <c r="J263" s="687">
        <f t="shared" si="108"/>
        <v>0</v>
      </c>
      <c r="K263" s="142">
        <f t="shared" si="121"/>
        <v>3912.053539585414</v>
      </c>
      <c r="L263" s="141">
        <f t="shared" si="109"/>
        <v>847.6661977839002</v>
      </c>
      <c r="M263" s="107">
        <f t="shared" si="110"/>
        <v>186.48568576267735</v>
      </c>
      <c r="N263" s="30">
        <f t="shared" si="122"/>
        <v>74.266933413059036</v>
      </c>
      <c r="O263" s="107">
        <f t="shared" si="111"/>
        <v>6.6119964128018269</v>
      </c>
      <c r="P263" s="107">
        <f t="shared" si="123"/>
        <v>708.20365651035445</v>
      </c>
      <c r="Q263" s="107">
        <f t="shared" si="124"/>
        <v>234.67367686735361</v>
      </c>
      <c r="R263" s="143">
        <f t="shared" si="125"/>
        <v>2057.9081467501464</v>
      </c>
      <c r="S263" s="141">
        <f t="shared" si="126"/>
        <v>204.072</v>
      </c>
      <c r="T263" s="107">
        <f t="shared" si="112"/>
        <v>26.266685594614295</v>
      </c>
      <c r="U263" s="142">
        <f t="shared" si="127"/>
        <v>230.3386855946143</v>
      </c>
      <c r="V263" s="107"/>
      <c r="W263" s="107">
        <f t="shared" si="128"/>
        <v>0</v>
      </c>
      <c r="X263" s="142">
        <f t="shared" si="129"/>
        <v>0</v>
      </c>
      <c r="Y263" s="141">
        <v>0</v>
      </c>
      <c r="Z263" s="144">
        <v>0</v>
      </c>
      <c r="AA263" s="107">
        <f t="shared" si="113"/>
        <v>0</v>
      </c>
      <c r="AB263" s="142">
        <f t="shared" si="114"/>
        <v>0</v>
      </c>
      <c r="AC263" s="141">
        <v>0</v>
      </c>
      <c r="AD263" s="107">
        <f t="shared" si="130"/>
        <v>0</v>
      </c>
      <c r="AE263" s="142">
        <f t="shared" si="131"/>
        <v>0</v>
      </c>
      <c r="AF263" s="145">
        <v>992.2</v>
      </c>
      <c r="AG263" s="107">
        <f t="shared" si="132"/>
        <v>127.70887454906261</v>
      </c>
      <c r="AH263" s="142">
        <f t="shared" si="133"/>
        <v>1119.9088745490626</v>
      </c>
      <c r="AI263" s="145">
        <v>0</v>
      </c>
      <c r="AJ263" s="107">
        <f t="shared" si="134"/>
        <v>0</v>
      </c>
      <c r="AK263" s="142">
        <f t="shared" si="135"/>
        <v>0</v>
      </c>
      <c r="AL263" s="146">
        <v>3825</v>
      </c>
      <c r="AM263" s="146"/>
      <c r="AN263" s="107">
        <f t="shared" si="136"/>
        <v>492.32659257222787</v>
      </c>
      <c r="AO263" s="151">
        <f t="shared" si="137"/>
        <v>4317.326592572228</v>
      </c>
      <c r="AP263" s="282">
        <f t="shared" si="138"/>
        <v>2207.1347552650045</v>
      </c>
      <c r="AQ263" s="684">
        <v>82.33</v>
      </c>
      <c r="AR263" s="740">
        <v>1424.2410700144051</v>
      </c>
      <c r="AS263" s="740">
        <v>749.9353017608521</v>
      </c>
      <c r="AT263" s="740">
        <v>32.958383489747256</v>
      </c>
      <c r="AU263" s="411">
        <v>0</v>
      </c>
      <c r="AV263" s="801"/>
      <c r="AW263" s="256"/>
      <c r="AX263" s="728">
        <f t="shared" si="139"/>
        <v>110.53410746930582</v>
      </c>
      <c r="AY263" s="729">
        <v>74.266933413059036</v>
      </c>
      <c r="AZ263" s="730"/>
      <c r="BA263" s="731">
        <v>0</v>
      </c>
      <c r="BC263" s="727">
        <v>0</v>
      </c>
      <c r="BD263" s="727">
        <v>110.53410746930582</v>
      </c>
      <c r="BE263" s="727"/>
      <c r="BF263" s="727"/>
      <c r="BG263" s="727">
        <v>0</v>
      </c>
      <c r="BH263" s="727">
        <v>0</v>
      </c>
      <c r="BI263" s="137">
        <f t="shared" si="144"/>
        <v>110.53410746930582</v>
      </c>
      <c r="BJ263" s="126">
        <v>927.6</v>
      </c>
      <c r="BK263" s="807"/>
      <c r="BL263" s="107"/>
      <c r="BM263" s="687"/>
      <c r="BO263" s="577"/>
      <c r="BS263" s="904"/>
      <c r="BT263" s="789"/>
      <c r="BU263" s="789">
        <v>1386.9680572720633</v>
      </c>
      <c r="BV263" s="789">
        <v>0</v>
      </c>
      <c r="BW263" s="789">
        <f t="shared" si="140"/>
        <v>1386.9680572720633</v>
      </c>
    </row>
    <row r="264" spans="1:75" ht="15" thickBot="1" x14ac:dyDescent="0.35">
      <c r="A264" s="219" t="s">
        <v>197</v>
      </c>
      <c r="B264" s="237">
        <v>3</v>
      </c>
      <c r="C264" s="40">
        <f>'[7]побудинковий звіт'!E264</f>
        <v>1366.1</v>
      </c>
      <c r="D264" s="215">
        <f t="shared" si="115"/>
        <v>890.0577230051498</v>
      </c>
      <c r="E264" s="107">
        <f t="shared" si="116"/>
        <v>195.81286258600881</v>
      </c>
      <c r="F264" s="107">
        <f t="shared" si="117"/>
        <v>41.768268481361659</v>
      </c>
      <c r="G264" s="107">
        <f t="shared" si="118"/>
        <v>0</v>
      </c>
      <c r="H264" s="107">
        <f t="shared" si="119"/>
        <v>743.62070303789983</v>
      </c>
      <c r="I264" s="107">
        <f t="shared" si="120"/>
        <v>240.85512197918675</v>
      </c>
      <c r="J264" s="687">
        <f t="shared" si="108"/>
        <v>0</v>
      </c>
      <c r="K264" s="142">
        <f t="shared" si="121"/>
        <v>2112.1146790896069</v>
      </c>
      <c r="L264" s="141">
        <f t="shared" si="109"/>
        <v>489.03758891044328</v>
      </c>
      <c r="M264" s="107">
        <f t="shared" si="110"/>
        <v>107.58776316681676</v>
      </c>
      <c r="N264" s="30">
        <f t="shared" si="122"/>
        <v>28.063746884150234</v>
      </c>
      <c r="O264" s="107">
        <f t="shared" si="111"/>
        <v>2.4594027008817969</v>
      </c>
      <c r="P264" s="107">
        <f t="shared" si="123"/>
        <v>408.57852954716645</v>
      </c>
      <c r="Q264" s="107">
        <f t="shared" si="124"/>
        <v>133.31136212034042</v>
      </c>
      <c r="R264" s="143">
        <f t="shared" si="125"/>
        <v>1169.0383933297987</v>
      </c>
      <c r="S264" s="141">
        <f t="shared" si="126"/>
        <v>75.900000000000006</v>
      </c>
      <c r="T264" s="107">
        <f t="shared" si="112"/>
        <v>9.7693041506489138</v>
      </c>
      <c r="U264" s="142">
        <f t="shared" si="127"/>
        <v>85.669304150648912</v>
      </c>
      <c r="V264" s="107"/>
      <c r="W264" s="107">
        <f t="shared" si="128"/>
        <v>0</v>
      </c>
      <c r="X264" s="142">
        <f t="shared" si="129"/>
        <v>0</v>
      </c>
      <c r="Y264" s="141">
        <v>0</v>
      </c>
      <c r="Z264" s="144">
        <v>0</v>
      </c>
      <c r="AA264" s="107">
        <f t="shared" si="113"/>
        <v>0</v>
      </c>
      <c r="AB264" s="142">
        <f t="shared" si="114"/>
        <v>0</v>
      </c>
      <c r="AC264" s="141">
        <v>0</v>
      </c>
      <c r="AD264" s="107">
        <f t="shared" si="130"/>
        <v>0</v>
      </c>
      <c r="AE264" s="142">
        <f t="shared" si="131"/>
        <v>0</v>
      </c>
      <c r="AF264" s="145">
        <v>83.6</v>
      </c>
      <c r="AG264" s="107">
        <f t="shared" si="132"/>
        <v>10.760392977526338</v>
      </c>
      <c r="AH264" s="142">
        <f t="shared" si="133"/>
        <v>94.360392977526331</v>
      </c>
      <c r="AI264" s="145">
        <v>0</v>
      </c>
      <c r="AJ264" s="107">
        <f t="shared" si="134"/>
        <v>0</v>
      </c>
      <c r="AK264" s="142">
        <f t="shared" si="135"/>
        <v>0</v>
      </c>
      <c r="AL264" s="146"/>
      <c r="AM264" s="146"/>
      <c r="AN264" s="107">
        <f t="shared" si="136"/>
        <v>0</v>
      </c>
      <c r="AO264" s="151">
        <f t="shared" si="137"/>
        <v>0</v>
      </c>
      <c r="AP264" s="282">
        <f t="shared" si="138"/>
        <v>1121.9365400200932</v>
      </c>
      <c r="AQ264" s="684">
        <v>151.16999999999999</v>
      </c>
      <c r="AR264" s="740">
        <v>670.26766233084732</v>
      </c>
      <c r="AS264" s="740">
        <v>439.44573615943898</v>
      </c>
      <c r="AT264" s="740">
        <v>12.22314152980695</v>
      </c>
      <c r="AU264" s="411">
        <v>0</v>
      </c>
      <c r="AV264" s="801"/>
      <c r="AW264" s="256"/>
      <c r="AX264" s="728">
        <f t="shared" si="139"/>
        <v>41.768268481361659</v>
      </c>
      <c r="AY264" s="729">
        <v>28.063746884150234</v>
      </c>
      <c r="AZ264" s="730"/>
      <c r="BA264" s="731">
        <v>0</v>
      </c>
      <c r="BC264" s="727">
        <v>0</v>
      </c>
      <c r="BD264" s="727">
        <v>41.768268481361659</v>
      </c>
      <c r="BE264" s="727"/>
      <c r="BF264" s="727"/>
      <c r="BG264" s="727">
        <v>0</v>
      </c>
      <c r="BH264" s="727">
        <v>0</v>
      </c>
      <c r="BI264" s="137">
        <f t="shared" si="144"/>
        <v>41.768268481361659</v>
      </c>
      <c r="BJ264" s="126">
        <v>345</v>
      </c>
      <c r="BK264" s="807"/>
      <c r="BL264" s="107"/>
      <c r="BM264" s="687"/>
      <c r="BO264" s="577" t="s">
        <v>1796</v>
      </c>
      <c r="BS264" s="904"/>
      <c r="BT264" s="789"/>
      <c r="BU264" s="789">
        <v>654.84416300987948</v>
      </c>
      <c r="BV264" s="789">
        <v>0</v>
      </c>
      <c r="BW264" s="789">
        <f t="shared" si="140"/>
        <v>654.84416300987948</v>
      </c>
    </row>
    <row r="265" spans="1:75" ht="15" thickBot="1" x14ac:dyDescent="0.35">
      <c r="A265" s="219" t="s">
        <v>223</v>
      </c>
      <c r="B265" s="237">
        <v>4</v>
      </c>
      <c r="C265" s="40">
        <f>'[7]побудинковий звіт'!E265</f>
        <v>1504.4</v>
      </c>
      <c r="D265" s="215">
        <f t="shared" si="115"/>
        <v>1272.2551893080686</v>
      </c>
      <c r="E265" s="107">
        <f t="shared" si="116"/>
        <v>279.89637539145991</v>
      </c>
      <c r="F265" s="107">
        <f t="shared" si="117"/>
        <v>46.002881748815426</v>
      </c>
      <c r="G265" s="107">
        <f t="shared" si="118"/>
        <v>0</v>
      </c>
      <c r="H265" s="107">
        <f t="shared" si="119"/>
        <v>1062.9370139305092</v>
      </c>
      <c r="I265" s="107">
        <f t="shared" si="120"/>
        <v>342.51662515330054</v>
      </c>
      <c r="J265" s="687">
        <f t="shared" ref="J265:J328" si="145">F265*$J$376*-1</f>
        <v>0</v>
      </c>
      <c r="K265" s="142">
        <f t="shared" si="121"/>
        <v>3003.6080855321538</v>
      </c>
      <c r="L265" s="141">
        <f t="shared" ref="L265:L328" si="146">(AS265+AT265+AU265)*$AS$376</f>
        <v>286.8675427056055</v>
      </c>
      <c r="M265" s="107">
        <f t="shared" ref="M265:M328" si="147">L265*$AS$379</f>
        <v>63.110562346792022</v>
      </c>
      <c r="N265" s="30">
        <f t="shared" si="122"/>
        <v>30.908947779732408</v>
      </c>
      <c r="O265" s="107">
        <f t="shared" ref="O265:O328" si="148">$O$369/$C$368*C265</f>
        <v>2.7083854938925231</v>
      </c>
      <c r="P265" s="107">
        <f t="shared" si="123"/>
        <v>239.67057222451947</v>
      </c>
      <c r="Q265" s="107">
        <f t="shared" si="124"/>
        <v>80.222334964819467</v>
      </c>
      <c r="R265" s="143">
        <f t="shared" si="125"/>
        <v>703.48834551536129</v>
      </c>
      <c r="S265" s="141">
        <f t="shared" si="126"/>
        <v>65.34</v>
      </c>
      <c r="T265" s="107">
        <f t="shared" ref="T265:T328" si="149">S265*$B$5</f>
        <v>8.4100966166455873</v>
      </c>
      <c r="U265" s="142">
        <f t="shared" si="127"/>
        <v>73.750096616645592</v>
      </c>
      <c r="V265" s="107"/>
      <c r="W265" s="107">
        <f t="shared" si="128"/>
        <v>0</v>
      </c>
      <c r="X265" s="142">
        <f t="shared" si="129"/>
        <v>0</v>
      </c>
      <c r="Y265" s="141">
        <v>0</v>
      </c>
      <c r="Z265" s="144">
        <v>0</v>
      </c>
      <c r="AA265" s="107">
        <f t="shared" ref="AA265:AA328" si="150">(Y265+Z265)*$B$5</f>
        <v>0</v>
      </c>
      <c r="AB265" s="142">
        <f t="shared" ref="AB265:AB328" si="151">Y265+Z265+AA265</f>
        <v>0</v>
      </c>
      <c r="AC265" s="141">
        <v>0</v>
      </c>
      <c r="AD265" s="107">
        <f t="shared" si="130"/>
        <v>0</v>
      </c>
      <c r="AE265" s="142">
        <f t="shared" si="131"/>
        <v>0</v>
      </c>
      <c r="AF265" s="145">
        <v>237.6</v>
      </c>
      <c r="AG265" s="107">
        <f t="shared" si="132"/>
        <v>30.58216951507486</v>
      </c>
      <c r="AH265" s="142">
        <f t="shared" si="133"/>
        <v>268.18216951507486</v>
      </c>
      <c r="AI265" s="145">
        <v>0</v>
      </c>
      <c r="AJ265" s="107">
        <f t="shared" si="134"/>
        <v>0</v>
      </c>
      <c r="AK265" s="142">
        <f t="shared" si="135"/>
        <v>0</v>
      </c>
      <c r="AL265" s="146"/>
      <c r="AM265" s="146"/>
      <c r="AN265" s="107">
        <f t="shared" si="136"/>
        <v>0</v>
      </c>
      <c r="AO265" s="151">
        <f t="shared" si="137"/>
        <v>0</v>
      </c>
      <c r="AP265" s="282">
        <f t="shared" si="138"/>
        <v>1226.8463619927345</v>
      </c>
      <c r="AQ265" s="684">
        <v>212.27</v>
      </c>
      <c r="AR265" s="740">
        <v>961.89915957422988</v>
      </c>
      <c r="AS265" s="740">
        <v>254.39117268797213</v>
      </c>
      <c r="AT265" s="740">
        <v>10.556029730532492</v>
      </c>
      <c r="AU265" s="411">
        <v>0</v>
      </c>
      <c r="AV265" s="801"/>
      <c r="AW265" s="256"/>
      <c r="AX265" s="728">
        <f t="shared" si="139"/>
        <v>46.002881748815426</v>
      </c>
      <c r="AY265" s="729">
        <v>30.908947779732408</v>
      </c>
      <c r="AZ265" s="730"/>
      <c r="BA265" s="731">
        <v>0</v>
      </c>
      <c r="BC265" s="727">
        <v>0</v>
      </c>
      <c r="BD265" s="727">
        <v>46.002881748815426</v>
      </c>
      <c r="BE265" s="727"/>
      <c r="BF265" s="727"/>
      <c r="BG265" s="727">
        <v>0</v>
      </c>
      <c r="BH265" s="727">
        <v>0</v>
      </c>
      <c r="BI265" s="137">
        <f t="shared" si="144"/>
        <v>46.002881748815426</v>
      </c>
      <c r="BJ265" s="126">
        <v>297</v>
      </c>
      <c r="BK265" s="807"/>
      <c r="BL265" s="107"/>
      <c r="BM265" s="687"/>
      <c r="BO265" s="577" t="s">
        <v>1796</v>
      </c>
      <c r="BS265" s="904"/>
      <c r="BT265" s="789"/>
      <c r="BU265" s="789">
        <v>936.72333819480298</v>
      </c>
      <c r="BV265" s="789">
        <v>0</v>
      </c>
      <c r="BW265" s="789">
        <f t="shared" si="140"/>
        <v>936.72333819480298</v>
      </c>
    </row>
    <row r="266" spans="1:75" ht="15" thickBot="1" x14ac:dyDescent="0.35">
      <c r="A266" s="219" t="s">
        <v>224</v>
      </c>
      <c r="B266" s="237">
        <v>4</v>
      </c>
      <c r="C266" s="40">
        <f>'[7]побудинковий звіт'!E266</f>
        <v>2594.3000000000002</v>
      </c>
      <c r="D266" s="215">
        <f t="shared" ref="D266:D329" si="152">(AQ266+AR266+AV266)*$AR$376</f>
        <v>1601.5468448866261</v>
      </c>
      <c r="E266" s="107">
        <f t="shared" ref="E266:E329" si="153">D266*$AR$379</f>
        <v>352.34060011748971</v>
      </c>
      <c r="F266" s="107">
        <f t="shared" ref="F266:F329" si="154">AX266*$F$375+BM266+BK266</f>
        <v>84.802334719204083</v>
      </c>
      <c r="G266" s="107">
        <f t="shared" ref="G266:G329" si="155">BL266</f>
        <v>0</v>
      </c>
      <c r="H266" s="107">
        <f t="shared" ref="H266:H329" si="156">D266*$B$4</f>
        <v>1338.0518588408816</v>
      </c>
      <c r="I266" s="107">
        <f t="shared" ref="I266:I329" si="157">(D266+E266+F266+G266+H266)*$B$5</f>
        <v>434.62998821204565</v>
      </c>
      <c r="J266" s="687">
        <f t="shared" si="145"/>
        <v>0</v>
      </c>
      <c r="K266" s="142">
        <f t="shared" ref="K266:K329" si="158">D266+E266+F266+G266+H266+I266-J266</f>
        <v>3811.371626776247</v>
      </c>
      <c r="L266" s="141">
        <f t="shared" si="146"/>
        <v>711.11707873784906</v>
      </c>
      <c r="M266" s="107">
        <f t="shared" si="147"/>
        <v>156.44502096777882</v>
      </c>
      <c r="N266" s="30">
        <f t="shared" ref="N266:N329" si="159">AY266+BA266</f>
        <v>56.977972591961858</v>
      </c>
      <c r="O266" s="107">
        <f t="shared" si="148"/>
        <v>4.6705427325215183</v>
      </c>
      <c r="P266" s="107">
        <f t="shared" ref="P266:P329" si="160">L266*$B$4</f>
        <v>594.12032317171111</v>
      </c>
      <c r="Q266" s="107">
        <f t="shared" ref="Q266:Q329" si="161">(L266+M266+N266+O266+P266)*$B$5</f>
        <v>196.07224318032894</v>
      </c>
      <c r="R266" s="143">
        <f t="shared" ref="R266:R329" si="162">SUM(L266:Q266)</f>
        <v>1719.4031813821514</v>
      </c>
      <c r="S266" s="141">
        <f t="shared" ref="S266:S329" si="163">BJ266*2.64/12</f>
        <v>0</v>
      </c>
      <c r="T266" s="107">
        <f t="shared" si="149"/>
        <v>0</v>
      </c>
      <c r="U266" s="142">
        <f t="shared" ref="U266:U329" si="164">S266+T266</f>
        <v>0</v>
      </c>
      <c r="V266" s="107"/>
      <c r="W266" s="107">
        <f t="shared" ref="W266:W329" si="165">V266*$B$5</f>
        <v>0</v>
      </c>
      <c r="X266" s="142">
        <f t="shared" ref="X266:X329" si="166">V266+W266</f>
        <v>0</v>
      </c>
      <c r="Y266" s="141">
        <v>0</v>
      </c>
      <c r="Z266" s="144">
        <v>0</v>
      </c>
      <c r="AA266" s="107">
        <f t="shared" si="150"/>
        <v>0</v>
      </c>
      <c r="AB266" s="142">
        <f t="shared" si="151"/>
        <v>0</v>
      </c>
      <c r="AC266" s="141">
        <v>0</v>
      </c>
      <c r="AD266" s="107">
        <f t="shared" ref="AD266:AD329" si="167">AC266*$B$5</f>
        <v>0</v>
      </c>
      <c r="AE266" s="142">
        <f t="shared" ref="AE266:AE329" si="168">AC266+AD266</f>
        <v>0</v>
      </c>
      <c r="AF266" s="145">
        <v>39.6</v>
      </c>
      <c r="AG266" s="107">
        <f t="shared" ref="AG266:AG329" si="169">AF266*$B$5</f>
        <v>5.0970282525124766</v>
      </c>
      <c r="AH266" s="142">
        <f t="shared" ref="AH266:AH329" si="170">AF266+AG266</f>
        <v>44.697028252512482</v>
      </c>
      <c r="AI266" s="145">
        <v>0</v>
      </c>
      <c r="AJ266" s="107">
        <f t="shared" ref="AJ266:AJ329" si="171">AI266*$B$5</f>
        <v>0</v>
      </c>
      <c r="AK266" s="142">
        <f t="shared" ref="AK266:AK329" si="172">AI266+AJ266</f>
        <v>0</v>
      </c>
      <c r="AL266" s="146"/>
      <c r="AM266" s="146"/>
      <c r="AN266" s="107">
        <f t="shared" ref="AN266:AN329" si="173">AL266*$C$5</f>
        <v>0</v>
      </c>
      <c r="AO266" s="151">
        <f t="shared" ref="AO266:AO329" si="174">AL266+AM266+AN266</f>
        <v>0</v>
      </c>
      <c r="AP266" s="282">
        <f t="shared" ref="AP266:AP329" si="175">AR266+AS266+AT266</f>
        <v>2084.1823436826671</v>
      </c>
      <c r="AQ266" s="684">
        <v>50.67</v>
      </c>
      <c r="AR266" s="740">
        <v>1427.4036826092372</v>
      </c>
      <c r="AS266" s="740">
        <v>645.5884610813531</v>
      </c>
      <c r="AT266" s="740">
        <v>11.190199992076785</v>
      </c>
      <c r="AU266" s="411">
        <v>0</v>
      </c>
      <c r="AV266" s="801"/>
      <c r="AW266" s="256"/>
      <c r="AX266" s="728">
        <f t="shared" ref="AX266:AX329" si="176">BC266+BD266+BE266+BF266+BG266</f>
        <v>84.802334719204083</v>
      </c>
      <c r="AY266" s="729">
        <v>56.977972591961858</v>
      </c>
      <c r="AZ266" s="730"/>
      <c r="BA266" s="731">
        <v>0</v>
      </c>
      <c r="BC266" s="727">
        <v>0</v>
      </c>
      <c r="BD266" s="727">
        <v>84.802334719204083</v>
      </c>
      <c r="BE266" s="727"/>
      <c r="BF266" s="727"/>
      <c r="BG266" s="727">
        <v>0</v>
      </c>
      <c r="BH266" s="727">
        <v>0</v>
      </c>
      <c r="BI266" s="137">
        <f t="shared" si="144"/>
        <v>84.802334719204083</v>
      </c>
      <c r="BJ266" s="126"/>
      <c r="BK266" s="807"/>
      <c r="BL266" s="107"/>
      <c r="BM266" s="687"/>
      <c r="BO266" s="577" t="s">
        <v>1796</v>
      </c>
      <c r="BS266" s="904"/>
      <c r="BT266" s="789"/>
      <c r="BU266" s="789">
        <v>1394.5577548238655</v>
      </c>
      <c r="BV266" s="789">
        <v>0</v>
      </c>
      <c r="BW266" s="789">
        <f t="shared" ref="BW266:BW329" si="177">BU266+BV266</f>
        <v>1394.5577548238655</v>
      </c>
    </row>
    <row r="267" spans="1:75" ht="15" thickBot="1" x14ac:dyDescent="0.35">
      <c r="A267" s="219" t="s">
        <v>290</v>
      </c>
      <c r="B267" s="237">
        <v>5</v>
      </c>
      <c r="C267" s="40">
        <f>'[7]побудинковий звіт'!E267</f>
        <v>1869.5</v>
      </c>
      <c r="D267" s="215">
        <f t="shared" si="152"/>
        <v>1101.6439218132641</v>
      </c>
      <c r="E267" s="107">
        <f t="shared" si="153"/>
        <v>242.36186519723555</v>
      </c>
      <c r="F267" s="107">
        <f t="shared" si="154"/>
        <v>230.20224702398048</v>
      </c>
      <c r="G267" s="107">
        <f t="shared" si="155"/>
        <v>0</v>
      </c>
      <c r="H267" s="107">
        <f t="shared" si="156"/>
        <v>920.3956175676808</v>
      </c>
      <c r="I267" s="107">
        <f t="shared" si="157"/>
        <v>321.0875073494193</v>
      </c>
      <c r="J267" s="687">
        <f t="shared" si="145"/>
        <v>0</v>
      </c>
      <c r="K267" s="142">
        <f t="shared" si="158"/>
        <v>2815.6911589515803</v>
      </c>
      <c r="L267" s="141">
        <f t="shared" si="146"/>
        <v>362.17583106363134</v>
      </c>
      <c r="M267" s="107">
        <f t="shared" si="147"/>
        <v>79.678307804586225</v>
      </c>
      <c r="N267" s="30">
        <f t="shared" si="159"/>
        <v>36.747258931533516</v>
      </c>
      <c r="O267" s="107">
        <f t="shared" si="148"/>
        <v>3.3656784637277797</v>
      </c>
      <c r="P267" s="107">
        <f t="shared" si="160"/>
        <v>302.58874133415605</v>
      </c>
      <c r="Q267" s="107">
        <f t="shared" si="161"/>
        <v>100.98240323151944</v>
      </c>
      <c r="R267" s="143">
        <f t="shared" si="162"/>
        <v>885.53822082915428</v>
      </c>
      <c r="S267" s="141">
        <f t="shared" si="163"/>
        <v>111.76</v>
      </c>
      <c r="T267" s="107">
        <f t="shared" si="149"/>
        <v>14.384946401535212</v>
      </c>
      <c r="U267" s="142">
        <f t="shared" si="164"/>
        <v>126.14494640153522</v>
      </c>
      <c r="V267" s="107"/>
      <c r="W267" s="107">
        <f t="shared" si="165"/>
        <v>0</v>
      </c>
      <c r="X267" s="142">
        <f t="shared" si="166"/>
        <v>0</v>
      </c>
      <c r="Y267" s="141">
        <v>0</v>
      </c>
      <c r="Z267" s="144">
        <v>0</v>
      </c>
      <c r="AA267" s="107">
        <f t="shared" si="150"/>
        <v>0</v>
      </c>
      <c r="AB267" s="142">
        <f t="shared" si="151"/>
        <v>0</v>
      </c>
      <c r="AC267" s="141">
        <v>0</v>
      </c>
      <c r="AD267" s="107">
        <f t="shared" si="167"/>
        <v>0</v>
      </c>
      <c r="AE267" s="142">
        <f t="shared" si="168"/>
        <v>0</v>
      </c>
      <c r="AF267" s="145">
        <v>169.4</v>
      </c>
      <c r="AG267" s="107">
        <f t="shared" si="169"/>
        <v>21.803954191303372</v>
      </c>
      <c r="AH267" s="142">
        <f t="shared" si="170"/>
        <v>191.20395419130338</v>
      </c>
      <c r="AI267" s="145">
        <v>0</v>
      </c>
      <c r="AJ267" s="107">
        <f t="shared" si="171"/>
        <v>0</v>
      </c>
      <c r="AK267" s="142">
        <f t="shared" si="172"/>
        <v>0</v>
      </c>
      <c r="AL267" s="146">
        <v>1593.75</v>
      </c>
      <c r="AM267" s="146"/>
      <c r="AN267" s="107">
        <f t="shared" si="173"/>
        <v>205.13608023842826</v>
      </c>
      <c r="AO267" s="151">
        <f t="shared" si="174"/>
        <v>1798.8860802384283</v>
      </c>
      <c r="AP267" s="282">
        <f t="shared" si="175"/>
        <v>1109.9923477518798</v>
      </c>
      <c r="AQ267" s="684">
        <v>241.22</v>
      </c>
      <c r="AR267" s="740">
        <v>775.491371033223</v>
      </c>
      <c r="AS267" s="740">
        <v>316.43934695174551</v>
      </c>
      <c r="AT267" s="740">
        <v>18.061629766911377</v>
      </c>
      <c r="AU267" s="411">
        <v>0</v>
      </c>
      <c r="AV267" s="801"/>
      <c r="AW267" s="256"/>
      <c r="AX267" s="728">
        <f t="shared" si="176"/>
        <v>54.692247023980478</v>
      </c>
      <c r="AY267" s="729">
        <v>36.747258931533516</v>
      </c>
      <c r="AZ267" s="730"/>
      <c r="BA267" s="731">
        <v>0</v>
      </c>
      <c r="BC267" s="727">
        <v>0</v>
      </c>
      <c r="BD267" s="727">
        <v>54.692247023980478</v>
      </c>
      <c r="BE267" s="727"/>
      <c r="BF267" s="727"/>
      <c r="BG267" s="727">
        <v>0</v>
      </c>
      <c r="BH267" s="727">
        <v>0</v>
      </c>
      <c r="BI267" s="137">
        <f t="shared" si="144"/>
        <v>54.692247023980478</v>
      </c>
      <c r="BJ267" s="126">
        <v>508</v>
      </c>
      <c r="BK267" s="807"/>
      <c r="BL267" s="107"/>
      <c r="BM267" s="687">
        <v>175.51</v>
      </c>
      <c r="BO267" s="577" t="s">
        <v>1796</v>
      </c>
      <c r="BS267" s="904"/>
      <c r="BT267" s="789"/>
      <c r="BU267" s="789">
        <v>795.36609222117386</v>
      </c>
      <c r="BV267" s="789">
        <v>0</v>
      </c>
      <c r="BW267" s="789">
        <f t="shared" si="177"/>
        <v>795.36609222117386</v>
      </c>
    </row>
    <row r="268" spans="1:75" ht="15" thickBot="1" x14ac:dyDescent="0.35">
      <c r="A268" s="220" t="s">
        <v>133</v>
      </c>
      <c r="B268" s="238">
        <v>1</v>
      </c>
      <c r="C268" s="40">
        <f>'[7]побудинковий звіт'!E268</f>
        <v>275.3</v>
      </c>
      <c r="D268" s="215">
        <f t="shared" si="152"/>
        <v>89.771002393211617</v>
      </c>
      <c r="E268" s="107">
        <f t="shared" si="153"/>
        <v>19.749637019585197</v>
      </c>
      <c r="F268" s="107">
        <f t="shared" si="154"/>
        <v>0</v>
      </c>
      <c r="G268" s="107">
        <f t="shared" si="155"/>
        <v>0</v>
      </c>
      <c r="H268" s="107">
        <f t="shared" si="156"/>
        <v>75.001400680695809</v>
      </c>
      <c r="I268" s="107">
        <f t="shared" si="157"/>
        <v>23.750354837569997</v>
      </c>
      <c r="J268" s="687">
        <f t="shared" si="145"/>
        <v>0</v>
      </c>
      <c r="K268" s="142">
        <f t="shared" si="158"/>
        <v>208.27239493106262</v>
      </c>
      <c r="L268" s="141">
        <f t="shared" si="146"/>
        <v>0</v>
      </c>
      <c r="M268" s="107">
        <f t="shared" si="147"/>
        <v>0</v>
      </c>
      <c r="N268" s="30">
        <f t="shared" si="159"/>
        <v>0</v>
      </c>
      <c r="O268" s="107">
        <f t="shared" si="148"/>
        <v>0.49562518377333925</v>
      </c>
      <c r="P268" s="107">
        <f t="shared" si="160"/>
        <v>0</v>
      </c>
      <c r="Q268" s="107">
        <f t="shared" si="161"/>
        <v>6.3793322332055521E-2</v>
      </c>
      <c r="R268" s="143">
        <f t="shared" si="162"/>
        <v>0.55941850610539479</v>
      </c>
      <c r="S268" s="141">
        <f t="shared" si="163"/>
        <v>0</v>
      </c>
      <c r="T268" s="107">
        <f t="shared" si="149"/>
        <v>0</v>
      </c>
      <c r="U268" s="142">
        <f t="shared" si="164"/>
        <v>0</v>
      </c>
      <c r="V268" s="107"/>
      <c r="W268" s="107">
        <f t="shared" si="165"/>
        <v>0</v>
      </c>
      <c r="X268" s="142">
        <f t="shared" si="166"/>
        <v>0</v>
      </c>
      <c r="Y268" s="141">
        <v>0</v>
      </c>
      <c r="Z268" s="144">
        <v>0</v>
      </c>
      <c r="AA268" s="107">
        <f t="shared" si="150"/>
        <v>0</v>
      </c>
      <c r="AB268" s="142">
        <f t="shared" si="151"/>
        <v>0</v>
      </c>
      <c r="AC268" s="141">
        <v>0</v>
      </c>
      <c r="AD268" s="107">
        <f t="shared" si="167"/>
        <v>0</v>
      </c>
      <c r="AE268" s="142">
        <f t="shared" si="168"/>
        <v>0</v>
      </c>
      <c r="AF268" s="145">
        <v>0</v>
      </c>
      <c r="AG268" s="107">
        <f t="shared" si="169"/>
        <v>0</v>
      </c>
      <c r="AH268" s="142">
        <f t="shared" si="170"/>
        <v>0</v>
      </c>
      <c r="AI268" s="145">
        <v>0</v>
      </c>
      <c r="AJ268" s="107">
        <f t="shared" si="171"/>
        <v>0</v>
      </c>
      <c r="AK268" s="142">
        <f t="shared" si="172"/>
        <v>0</v>
      </c>
      <c r="AL268" s="146"/>
      <c r="AM268" s="215"/>
      <c r="AN268" s="107">
        <f t="shared" si="173"/>
        <v>0</v>
      </c>
      <c r="AO268" s="151">
        <f t="shared" si="174"/>
        <v>0</v>
      </c>
      <c r="AP268" s="282">
        <f t="shared" si="175"/>
        <v>0</v>
      </c>
      <c r="AQ268" s="684">
        <v>82.85</v>
      </c>
      <c r="AR268" s="740">
        <v>0</v>
      </c>
      <c r="AS268" s="740">
        <v>0</v>
      </c>
      <c r="AT268" s="740">
        <v>0</v>
      </c>
      <c r="AU268" s="411">
        <v>0</v>
      </c>
      <c r="AV268" s="801"/>
      <c r="AW268" s="256"/>
      <c r="AX268" s="728">
        <f t="shared" si="176"/>
        <v>0</v>
      </c>
      <c r="AY268" s="729">
        <v>0</v>
      </c>
      <c r="AZ268" s="730"/>
      <c r="BA268" s="731">
        <v>0</v>
      </c>
      <c r="BC268" s="727">
        <v>0</v>
      </c>
      <c r="BD268" s="727">
        <v>0</v>
      </c>
      <c r="BE268" s="727"/>
      <c r="BF268" s="727"/>
      <c r="BG268" s="727">
        <v>0</v>
      </c>
      <c r="BH268" s="727">
        <v>0</v>
      </c>
      <c r="BI268" s="137">
        <f>BC268+BD268+BE268+BG268+BH268</f>
        <v>0</v>
      </c>
      <c r="BJ268" s="126"/>
      <c r="BK268" s="807"/>
      <c r="BL268" s="107"/>
      <c r="BM268" s="687"/>
      <c r="BO268" s="577" t="s">
        <v>1796</v>
      </c>
      <c r="BS268" s="904"/>
      <c r="BT268" s="789"/>
      <c r="BU268" s="789">
        <v>0</v>
      </c>
      <c r="BV268" s="789">
        <v>0</v>
      </c>
      <c r="BW268" s="789">
        <f t="shared" si="177"/>
        <v>0</v>
      </c>
    </row>
    <row r="269" spans="1:75" ht="15" customHeight="1" thickBot="1" x14ac:dyDescent="0.35">
      <c r="A269" s="219" t="s">
        <v>185</v>
      </c>
      <c r="B269" s="237">
        <v>2</v>
      </c>
      <c r="C269" s="40">
        <f>'[7]побудинковий звіт'!E269</f>
        <v>304.89999999999998</v>
      </c>
      <c r="D269" s="215">
        <f t="shared" si="152"/>
        <v>0</v>
      </c>
      <c r="E269" s="107">
        <f t="shared" si="153"/>
        <v>0</v>
      </c>
      <c r="F269" s="107">
        <f t="shared" si="154"/>
        <v>0</v>
      </c>
      <c r="G269" s="107">
        <f t="shared" si="155"/>
        <v>0</v>
      </c>
      <c r="H269" s="107">
        <f t="shared" si="156"/>
        <v>0</v>
      </c>
      <c r="I269" s="107">
        <f t="shared" si="157"/>
        <v>0</v>
      </c>
      <c r="J269" s="687">
        <f t="shared" si="145"/>
        <v>0</v>
      </c>
      <c r="K269" s="142">
        <f t="shared" si="158"/>
        <v>0</v>
      </c>
      <c r="L269" s="141">
        <f t="shared" si="146"/>
        <v>0</v>
      </c>
      <c r="M269" s="107">
        <f t="shared" si="147"/>
        <v>0</v>
      </c>
      <c r="N269" s="30">
        <f t="shared" si="159"/>
        <v>0</v>
      </c>
      <c r="O269" s="107">
        <f t="shared" si="148"/>
        <v>0.54891434265343664</v>
      </c>
      <c r="P269" s="107">
        <f t="shared" si="160"/>
        <v>0</v>
      </c>
      <c r="Q269" s="107">
        <f t="shared" si="161"/>
        <v>7.0652321028128309E-2</v>
      </c>
      <c r="R269" s="143">
        <f t="shared" si="162"/>
        <v>0.61956666368156499</v>
      </c>
      <c r="S269" s="141">
        <f t="shared" si="163"/>
        <v>0</v>
      </c>
      <c r="T269" s="107">
        <f t="shared" si="149"/>
        <v>0</v>
      </c>
      <c r="U269" s="142">
        <f t="shared" si="164"/>
        <v>0</v>
      </c>
      <c r="V269" s="107"/>
      <c r="W269" s="107">
        <f t="shared" si="165"/>
        <v>0</v>
      </c>
      <c r="X269" s="142">
        <f t="shared" si="166"/>
        <v>0</v>
      </c>
      <c r="Y269" s="141">
        <v>0</v>
      </c>
      <c r="Z269" s="144">
        <v>0</v>
      </c>
      <c r="AA269" s="107">
        <f t="shared" si="150"/>
        <v>0</v>
      </c>
      <c r="AB269" s="142">
        <f t="shared" si="151"/>
        <v>0</v>
      </c>
      <c r="AC269" s="141">
        <v>0</v>
      </c>
      <c r="AD269" s="107">
        <f t="shared" si="167"/>
        <v>0</v>
      </c>
      <c r="AE269" s="142">
        <f t="shared" si="168"/>
        <v>0</v>
      </c>
      <c r="AF269" s="145">
        <v>22</v>
      </c>
      <c r="AG269" s="107">
        <f t="shared" si="169"/>
        <v>2.8316823625069314</v>
      </c>
      <c r="AH269" s="142">
        <f t="shared" si="170"/>
        <v>24.831682362506932</v>
      </c>
      <c r="AI269" s="145">
        <v>0</v>
      </c>
      <c r="AJ269" s="107">
        <f t="shared" si="171"/>
        <v>0</v>
      </c>
      <c r="AK269" s="142">
        <f t="shared" si="172"/>
        <v>0</v>
      </c>
      <c r="AL269" s="215"/>
      <c r="AM269" s="146"/>
      <c r="AN269" s="107">
        <f t="shared" si="173"/>
        <v>0</v>
      </c>
      <c r="AO269" s="151">
        <f t="shared" si="174"/>
        <v>0</v>
      </c>
      <c r="AP269" s="282">
        <f t="shared" si="175"/>
        <v>0</v>
      </c>
      <c r="AQ269" s="684">
        <v>0</v>
      </c>
      <c r="AR269" s="741">
        <v>0</v>
      </c>
      <c r="AS269" s="741">
        <v>0</v>
      </c>
      <c r="AT269" s="741">
        <v>0</v>
      </c>
      <c r="AU269" s="411">
        <v>0</v>
      </c>
      <c r="AV269" s="801"/>
      <c r="AW269" s="256"/>
      <c r="AX269" s="728">
        <f t="shared" si="176"/>
        <v>0</v>
      </c>
      <c r="AY269" s="729">
        <v>0</v>
      </c>
      <c r="AZ269" s="730"/>
      <c r="BA269" s="731">
        <v>0</v>
      </c>
      <c r="BC269" s="727">
        <v>0</v>
      </c>
      <c r="BD269" s="727">
        <v>0</v>
      </c>
      <c r="BE269" s="727"/>
      <c r="BF269" s="727"/>
      <c r="BG269" s="727">
        <v>0</v>
      </c>
      <c r="BH269" s="727">
        <v>0</v>
      </c>
      <c r="BI269" s="137">
        <f t="shared" ref="BI269:BI274" si="178">BC269+BD269+BE269+BG269</f>
        <v>0</v>
      </c>
      <c r="BJ269" s="126"/>
      <c r="BK269" s="807"/>
      <c r="BL269" s="107"/>
      <c r="BM269" s="687"/>
      <c r="BO269" s="577" t="s">
        <v>1796</v>
      </c>
      <c r="BS269" s="904"/>
      <c r="BT269" s="789"/>
      <c r="BU269" s="789">
        <v>0</v>
      </c>
      <c r="BV269" s="789">
        <v>0</v>
      </c>
      <c r="BW269" s="789">
        <f t="shared" si="177"/>
        <v>0</v>
      </c>
    </row>
    <row r="270" spans="1:75" ht="15" thickBot="1" x14ac:dyDescent="0.35">
      <c r="A270" s="260" t="s">
        <v>291</v>
      </c>
      <c r="B270" s="237">
        <v>5</v>
      </c>
      <c r="C270" s="40">
        <f>'[7]побудинковий звіт'!E270</f>
        <v>2762.24</v>
      </c>
      <c r="D270" s="215">
        <f t="shared" si="152"/>
        <v>2342.4242297999663</v>
      </c>
      <c r="E270" s="107">
        <f t="shared" si="153"/>
        <v>515.33376091530693</v>
      </c>
      <c r="F270" s="107">
        <f t="shared" si="154"/>
        <v>204.9033099441906</v>
      </c>
      <c r="G270" s="107">
        <f t="shared" si="155"/>
        <v>0</v>
      </c>
      <c r="H270" s="107">
        <f t="shared" si="156"/>
        <v>1957.0361646834265</v>
      </c>
      <c r="I270" s="107">
        <f t="shared" si="157"/>
        <v>646.09948989691861</v>
      </c>
      <c r="J270" s="687">
        <f t="shared" si="145"/>
        <v>0</v>
      </c>
      <c r="K270" s="142">
        <f t="shared" si="158"/>
        <v>5665.7969552398081</v>
      </c>
      <c r="L270" s="141">
        <f t="shared" si="146"/>
        <v>732.27313163334964</v>
      </c>
      <c r="M270" s="107">
        <f t="shared" si="147"/>
        <v>161.09933069790998</v>
      </c>
      <c r="N270" s="30">
        <f t="shared" si="159"/>
        <v>53.797368930267496</v>
      </c>
      <c r="O270" s="107">
        <f t="shared" si="148"/>
        <v>4.9728866967892058</v>
      </c>
      <c r="P270" s="107">
        <f t="shared" si="160"/>
        <v>611.7956699734242</v>
      </c>
      <c r="Q270" s="107">
        <f t="shared" si="161"/>
        <v>201.29894314335604</v>
      </c>
      <c r="R270" s="143">
        <f t="shared" si="162"/>
        <v>1765.2373310750968</v>
      </c>
      <c r="S270" s="141">
        <f t="shared" si="163"/>
        <v>128.91999999999999</v>
      </c>
      <c r="T270" s="107">
        <f t="shared" si="149"/>
        <v>16.593658644290617</v>
      </c>
      <c r="U270" s="142">
        <f t="shared" si="164"/>
        <v>145.51365864429062</v>
      </c>
      <c r="V270" s="107"/>
      <c r="W270" s="107">
        <f t="shared" si="165"/>
        <v>0</v>
      </c>
      <c r="X270" s="142">
        <f t="shared" si="166"/>
        <v>0</v>
      </c>
      <c r="Y270" s="141">
        <v>0</v>
      </c>
      <c r="Z270" s="144">
        <v>0</v>
      </c>
      <c r="AA270" s="107">
        <f t="shared" si="150"/>
        <v>0</v>
      </c>
      <c r="AB270" s="142">
        <f t="shared" si="151"/>
        <v>0</v>
      </c>
      <c r="AC270" s="141">
        <v>0</v>
      </c>
      <c r="AD270" s="107">
        <f t="shared" si="167"/>
        <v>0</v>
      </c>
      <c r="AE270" s="142">
        <f t="shared" si="168"/>
        <v>0</v>
      </c>
      <c r="AF270" s="145">
        <v>191.4</v>
      </c>
      <c r="AG270" s="107">
        <f t="shared" si="169"/>
        <v>24.635636553810304</v>
      </c>
      <c r="AH270" s="142">
        <f t="shared" si="170"/>
        <v>216.03563655381032</v>
      </c>
      <c r="AI270" s="145">
        <v>0</v>
      </c>
      <c r="AJ270" s="107">
        <f t="shared" si="171"/>
        <v>0</v>
      </c>
      <c r="AK270" s="142">
        <f t="shared" si="172"/>
        <v>0</v>
      </c>
      <c r="AL270" s="146"/>
      <c r="AM270" s="146"/>
      <c r="AN270" s="107">
        <f t="shared" si="173"/>
        <v>0</v>
      </c>
      <c r="AO270" s="151">
        <f t="shared" si="174"/>
        <v>0</v>
      </c>
      <c r="AP270" s="282">
        <f t="shared" si="175"/>
        <v>2341.8208271844342</v>
      </c>
      <c r="AQ270" s="684">
        <v>409.61</v>
      </c>
      <c r="AR270" s="411">
        <v>1665.5027055780531</v>
      </c>
      <c r="AS270" s="411">
        <v>655.59192338997195</v>
      </c>
      <c r="AT270" s="411">
        <v>20.726198216408878</v>
      </c>
      <c r="AU270" s="411">
        <v>0</v>
      </c>
      <c r="AV270" s="742">
        <v>86.719537186371326</v>
      </c>
      <c r="AW270" s="256"/>
      <c r="AX270" s="728">
        <f t="shared" si="176"/>
        <v>87.893309944190577</v>
      </c>
      <c r="AY270" s="729">
        <v>53.797368930267496</v>
      </c>
      <c r="AZ270" s="730"/>
      <c r="BA270" s="731">
        <v>0</v>
      </c>
      <c r="BB270" s="742"/>
      <c r="BC270" s="727">
        <v>15.817499999999999</v>
      </c>
      <c r="BD270" s="727">
        <v>72.075809944190581</v>
      </c>
      <c r="BE270" s="727"/>
      <c r="BF270" s="727"/>
      <c r="BG270" s="727">
        <v>0</v>
      </c>
      <c r="BH270" s="727">
        <v>22.825781249999999</v>
      </c>
      <c r="BI270" s="137">
        <f t="shared" si="178"/>
        <v>87.893309944190577</v>
      </c>
      <c r="BJ270" s="126">
        <v>586</v>
      </c>
      <c r="BK270" s="807"/>
      <c r="BL270" s="107"/>
      <c r="BM270" s="687">
        <v>117.01</v>
      </c>
      <c r="BO270" s="577" t="s">
        <v>1796</v>
      </c>
      <c r="BS270" s="904"/>
      <c r="BT270" s="789"/>
      <c r="BU270" s="789">
        <v>1533.4440012351381</v>
      </c>
      <c r="BV270" s="789">
        <v>0</v>
      </c>
      <c r="BW270" s="789">
        <f t="shared" si="177"/>
        <v>1533.4440012351381</v>
      </c>
    </row>
    <row r="271" spans="1:75" ht="15" thickBot="1" x14ac:dyDescent="0.35">
      <c r="A271" s="219" t="s">
        <v>422</v>
      </c>
      <c r="B271" s="237">
        <v>10</v>
      </c>
      <c r="C271" s="40">
        <f>'[7]побудинковий звіт'!E271</f>
        <v>4396.8</v>
      </c>
      <c r="D271" s="215">
        <f t="shared" si="152"/>
        <v>3379.810947524963</v>
      </c>
      <c r="E271" s="107">
        <f t="shared" si="153"/>
        <v>743.55902940753947</v>
      </c>
      <c r="F271" s="107">
        <f t="shared" si="154"/>
        <v>130.48758566198455</v>
      </c>
      <c r="G271" s="107">
        <f t="shared" si="155"/>
        <v>0</v>
      </c>
      <c r="H271" s="107">
        <f t="shared" si="156"/>
        <v>2823.7465143810246</v>
      </c>
      <c r="I271" s="107">
        <f t="shared" si="157"/>
        <v>910.97848334448656</v>
      </c>
      <c r="J271" s="687">
        <f t="shared" si="145"/>
        <v>0</v>
      </c>
      <c r="K271" s="142">
        <f t="shared" si="158"/>
        <v>7988.5825603199974</v>
      </c>
      <c r="L271" s="141">
        <f t="shared" si="146"/>
        <v>2810.6793300717291</v>
      </c>
      <c r="M271" s="107">
        <f t="shared" si="147"/>
        <v>618.34654218574076</v>
      </c>
      <c r="N271" s="30">
        <f t="shared" si="159"/>
        <v>124.18966880546168</v>
      </c>
      <c r="O271" s="107">
        <f t="shared" si="148"/>
        <v>7.9156004650004288</v>
      </c>
      <c r="P271" s="107">
        <f t="shared" si="160"/>
        <v>2348.2514509117286</v>
      </c>
      <c r="Q271" s="107">
        <f t="shared" si="161"/>
        <v>760.61338455985788</v>
      </c>
      <c r="R271" s="143">
        <f t="shared" si="162"/>
        <v>6669.9959769995185</v>
      </c>
      <c r="S271" s="141">
        <f t="shared" si="163"/>
        <v>105.16000000000001</v>
      </c>
      <c r="T271" s="107">
        <f t="shared" si="149"/>
        <v>13.535441692783133</v>
      </c>
      <c r="U271" s="142">
        <f t="shared" si="164"/>
        <v>118.69544169278315</v>
      </c>
      <c r="V271" s="107"/>
      <c r="W271" s="107">
        <f t="shared" si="165"/>
        <v>0</v>
      </c>
      <c r="X271" s="142">
        <f t="shared" si="166"/>
        <v>0</v>
      </c>
      <c r="Y271" s="141">
        <v>3189.2</v>
      </c>
      <c r="Z271" s="144">
        <v>0</v>
      </c>
      <c r="AA271" s="107">
        <f t="shared" si="150"/>
        <v>410.49097229577751</v>
      </c>
      <c r="AB271" s="142">
        <f t="shared" si="151"/>
        <v>3599.6909722957771</v>
      </c>
      <c r="AC271" s="141">
        <v>0</v>
      </c>
      <c r="AD271" s="107">
        <f t="shared" si="167"/>
        <v>0</v>
      </c>
      <c r="AE271" s="142">
        <f t="shared" si="168"/>
        <v>0</v>
      </c>
      <c r="AF271" s="145">
        <v>3135</v>
      </c>
      <c r="AG271" s="107">
        <f t="shared" si="169"/>
        <v>403.51473665723773</v>
      </c>
      <c r="AH271" s="142">
        <f t="shared" si="170"/>
        <v>3538.5147366572378</v>
      </c>
      <c r="AI271" s="145">
        <v>517</v>
      </c>
      <c r="AJ271" s="107">
        <f t="shared" si="171"/>
        <v>66.544535518912895</v>
      </c>
      <c r="AK271" s="142">
        <f t="shared" si="172"/>
        <v>583.54453551891288</v>
      </c>
      <c r="AL271" s="146"/>
      <c r="AM271" s="401"/>
      <c r="AN271" s="107">
        <f t="shared" si="173"/>
        <v>0</v>
      </c>
      <c r="AO271" s="151">
        <f t="shared" si="174"/>
        <v>0</v>
      </c>
      <c r="AP271" s="282">
        <f t="shared" si="175"/>
        <v>5117.5953826463556</v>
      </c>
      <c r="AQ271" s="684">
        <v>0</v>
      </c>
      <c r="AR271" s="741">
        <v>3119.2403954221386</v>
      </c>
      <c r="AS271" s="741">
        <v>1954.101095559269</v>
      </c>
      <c r="AT271" s="741">
        <v>44.253891664948121</v>
      </c>
      <c r="AU271" s="411">
        <v>597.55258173433253</v>
      </c>
      <c r="AV271" s="801"/>
      <c r="AW271" s="256"/>
      <c r="AX271" s="728">
        <f t="shared" si="176"/>
        <v>130.48758566198455</v>
      </c>
      <c r="AY271" s="729">
        <v>124.18966880546168</v>
      </c>
      <c r="AZ271" s="730"/>
      <c r="BA271" s="731">
        <v>0</v>
      </c>
      <c r="BC271" s="727">
        <v>0</v>
      </c>
      <c r="BD271" s="727">
        <v>130.48758566198455</v>
      </c>
      <c r="BE271" s="727"/>
      <c r="BF271" s="727"/>
      <c r="BG271" s="727">
        <v>0</v>
      </c>
      <c r="BH271" s="727">
        <v>7.2451935738741113</v>
      </c>
      <c r="BI271" s="137">
        <f t="shared" si="178"/>
        <v>130.48758566198455</v>
      </c>
      <c r="BJ271" s="126">
        <v>478</v>
      </c>
      <c r="BK271" s="807"/>
      <c r="BL271" s="107"/>
      <c r="BM271" s="687"/>
      <c r="BO271" s="577" t="s">
        <v>1796</v>
      </c>
      <c r="BS271" s="904"/>
      <c r="BT271" s="789"/>
      <c r="BU271" s="789">
        <v>3030.0877725547293</v>
      </c>
      <c r="BV271" s="789">
        <v>0</v>
      </c>
      <c r="BW271" s="789">
        <f t="shared" si="177"/>
        <v>3030.0877725547293</v>
      </c>
    </row>
    <row r="272" spans="1:75" ht="15" thickBot="1" x14ac:dyDescent="0.35">
      <c r="A272" s="219" t="s">
        <v>392</v>
      </c>
      <c r="B272" s="237">
        <v>9</v>
      </c>
      <c r="C272" s="40">
        <f>'[7]побудинковий звіт'!E272</f>
        <v>4752.1000000000004</v>
      </c>
      <c r="D272" s="215">
        <f t="shared" si="152"/>
        <v>3079.4662628597966</v>
      </c>
      <c r="E272" s="107">
        <f t="shared" si="153"/>
        <v>677.48314360070617</v>
      </c>
      <c r="F272" s="107">
        <f t="shared" si="154"/>
        <v>230.82533970234377</v>
      </c>
      <c r="G272" s="107">
        <f t="shared" si="155"/>
        <v>0</v>
      </c>
      <c r="H272" s="107">
        <f t="shared" si="156"/>
        <v>2572.8161311129329</v>
      </c>
      <c r="I272" s="107">
        <f t="shared" si="157"/>
        <v>844.43224885480458</v>
      </c>
      <c r="J272" s="687">
        <f t="shared" si="145"/>
        <v>0</v>
      </c>
      <c r="K272" s="142">
        <f t="shared" si="158"/>
        <v>7405.0231261305835</v>
      </c>
      <c r="L272" s="141">
        <f t="shared" si="146"/>
        <v>2584.3970064160053</v>
      </c>
      <c r="M272" s="107">
        <f t="shared" si="147"/>
        <v>568.56466529454076</v>
      </c>
      <c r="N272" s="30">
        <f t="shared" si="159"/>
        <v>78.132377087169402</v>
      </c>
      <c r="O272" s="107">
        <f t="shared" si="148"/>
        <v>8.555250402503761</v>
      </c>
      <c r="P272" s="107">
        <f t="shared" si="160"/>
        <v>2159.1982959839943</v>
      </c>
      <c r="Q272" s="107">
        <f t="shared" si="161"/>
        <v>694.9009778702773</v>
      </c>
      <c r="R272" s="143">
        <f t="shared" si="162"/>
        <v>6093.7485730544913</v>
      </c>
      <c r="S272" s="141">
        <f t="shared" si="163"/>
        <v>117.568</v>
      </c>
      <c r="T272" s="107">
        <f t="shared" si="149"/>
        <v>15.132510545237041</v>
      </c>
      <c r="U272" s="142">
        <f t="shared" si="164"/>
        <v>132.70051054523705</v>
      </c>
      <c r="V272" s="107"/>
      <c r="W272" s="107">
        <f t="shared" si="165"/>
        <v>0</v>
      </c>
      <c r="X272" s="142">
        <f t="shared" si="166"/>
        <v>0</v>
      </c>
      <c r="Y272" s="141">
        <v>2200</v>
      </c>
      <c r="Z272" s="144">
        <v>0</v>
      </c>
      <c r="AA272" s="107">
        <f t="shared" si="150"/>
        <v>283.16823625069316</v>
      </c>
      <c r="AB272" s="142">
        <f t="shared" si="151"/>
        <v>2483.1682362506931</v>
      </c>
      <c r="AC272" s="141">
        <v>291.67500000000001</v>
      </c>
      <c r="AD272" s="107">
        <f t="shared" si="167"/>
        <v>37.542316049282242</v>
      </c>
      <c r="AE272" s="142">
        <f t="shared" si="168"/>
        <v>329.21731604928226</v>
      </c>
      <c r="AF272" s="145">
        <v>272.8</v>
      </c>
      <c r="AG272" s="107">
        <f t="shared" si="169"/>
        <v>35.112861295085949</v>
      </c>
      <c r="AH272" s="142">
        <f t="shared" si="170"/>
        <v>307.91286129508597</v>
      </c>
      <c r="AI272" s="145">
        <v>1438.8</v>
      </c>
      <c r="AJ272" s="107">
        <f t="shared" si="171"/>
        <v>185.1920265079533</v>
      </c>
      <c r="AK272" s="142">
        <f t="shared" si="172"/>
        <v>1623.9920265079531</v>
      </c>
      <c r="AL272" s="146"/>
      <c r="AM272" s="401"/>
      <c r="AN272" s="107">
        <f t="shared" si="173"/>
        <v>0</v>
      </c>
      <c r="AO272" s="151">
        <f t="shared" si="174"/>
        <v>0</v>
      </c>
      <c r="AP272" s="282">
        <f t="shared" si="175"/>
        <v>4565.0998042827059</v>
      </c>
      <c r="AQ272" s="684">
        <v>0</v>
      </c>
      <c r="AR272" s="741">
        <v>2842.0511420871362</v>
      </c>
      <c r="AS272" s="741">
        <v>1675.9245971600324</v>
      </c>
      <c r="AT272" s="741">
        <v>47.124065035537924</v>
      </c>
      <c r="AU272" s="411">
        <v>663.86743967718019</v>
      </c>
      <c r="AV272" s="801"/>
      <c r="AW272" s="256"/>
      <c r="AX272" s="728">
        <f t="shared" si="176"/>
        <v>230.82533970234377</v>
      </c>
      <c r="AY272" s="729">
        <v>78.132377087169402</v>
      </c>
      <c r="AZ272" s="730"/>
      <c r="BA272" s="731">
        <v>0</v>
      </c>
      <c r="BC272" s="727">
        <v>86</v>
      </c>
      <c r="BD272" s="727">
        <v>144.82533970234377</v>
      </c>
      <c r="BE272" s="727"/>
      <c r="BF272" s="727"/>
      <c r="BG272" s="727">
        <v>0</v>
      </c>
      <c r="BH272" s="727">
        <v>15.033399573826227</v>
      </c>
      <c r="BI272" s="137">
        <f t="shared" si="178"/>
        <v>230.82533970234377</v>
      </c>
      <c r="BJ272" s="126">
        <v>534.4</v>
      </c>
      <c r="BK272" s="807"/>
      <c r="BL272" s="107"/>
      <c r="BM272" s="687"/>
      <c r="BO272" s="577" t="s">
        <v>1796</v>
      </c>
      <c r="BS272" s="904"/>
      <c r="BT272" s="789"/>
      <c r="BU272" s="789">
        <v>2760.8221317978423</v>
      </c>
      <c r="BV272" s="789">
        <v>0</v>
      </c>
      <c r="BW272" s="789">
        <f t="shared" si="177"/>
        <v>2760.8221317978423</v>
      </c>
    </row>
    <row r="273" spans="1:75" ht="15" thickBot="1" x14ac:dyDescent="0.35">
      <c r="A273" s="219" t="s">
        <v>198</v>
      </c>
      <c r="B273" s="237">
        <v>3</v>
      </c>
      <c r="C273" s="40">
        <f>'[7]побудинковий звіт'!E273</f>
        <v>1578.7</v>
      </c>
      <c r="D273" s="215">
        <f t="shared" si="152"/>
        <v>1752.2152441929695</v>
      </c>
      <c r="E273" s="107">
        <f t="shared" si="153"/>
        <v>385.48767564627116</v>
      </c>
      <c r="F273" s="107">
        <f t="shared" si="154"/>
        <v>48.809887829896823</v>
      </c>
      <c r="G273" s="107">
        <f t="shared" si="155"/>
        <v>0</v>
      </c>
      <c r="H273" s="107">
        <f t="shared" si="156"/>
        <v>1463.9314935228783</v>
      </c>
      <c r="I273" s="107">
        <f t="shared" si="157"/>
        <v>469.85903377269869</v>
      </c>
      <c r="J273" s="687">
        <f t="shared" si="145"/>
        <v>0</v>
      </c>
      <c r="K273" s="142">
        <f t="shared" si="158"/>
        <v>4120.3033349647139</v>
      </c>
      <c r="L273" s="141">
        <f t="shared" si="146"/>
        <v>485.10708242607734</v>
      </c>
      <c r="M273" s="107">
        <f t="shared" si="147"/>
        <v>106.723055810256</v>
      </c>
      <c r="N273" s="30">
        <f t="shared" si="159"/>
        <v>25.95643688211829</v>
      </c>
      <c r="O273" s="107">
        <f t="shared" si="148"/>
        <v>2.8421484839192543</v>
      </c>
      <c r="P273" s="107">
        <f t="shared" si="160"/>
        <v>405.29469084810904</v>
      </c>
      <c r="Q273" s="107">
        <f t="shared" si="161"/>
        <v>132.04951081737784</v>
      </c>
      <c r="R273" s="143">
        <f t="shared" si="162"/>
        <v>1157.9729252678576</v>
      </c>
      <c r="S273" s="141">
        <f t="shared" si="163"/>
        <v>70.400000000000006</v>
      </c>
      <c r="T273" s="107">
        <f t="shared" si="149"/>
        <v>9.0613835600221808</v>
      </c>
      <c r="U273" s="142">
        <f t="shared" si="164"/>
        <v>79.461383560022185</v>
      </c>
      <c r="V273" s="107"/>
      <c r="W273" s="107">
        <f t="shared" si="165"/>
        <v>0</v>
      </c>
      <c r="X273" s="142">
        <f t="shared" si="166"/>
        <v>0</v>
      </c>
      <c r="Y273" s="141">
        <v>0</v>
      </c>
      <c r="Z273" s="144">
        <v>0</v>
      </c>
      <c r="AA273" s="107">
        <f t="shared" si="150"/>
        <v>0</v>
      </c>
      <c r="AB273" s="142">
        <f t="shared" si="151"/>
        <v>0</v>
      </c>
      <c r="AC273" s="141">
        <v>0</v>
      </c>
      <c r="AD273" s="107">
        <f t="shared" si="167"/>
        <v>0</v>
      </c>
      <c r="AE273" s="142">
        <f t="shared" si="168"/>
        <v>0</v>
      </c>
      <c r="AF273" s="145">
        <v>94.6</v>
      </c>
      <c r="AG273" s="107">
        <f t="shared" si="169"/>
        <v>12.176234158779804</v>
      </c>
      <c r="AH273" s="142">
        <f t="shared" si="170"/>
        <v>106.7762341587798</v>
      </c>
      <c r="AI273" s="145">
        <v>0</v>
      </c>
      <c r="AJ273" s="107">
        <f t="shared" si="171"/>
        <v>0</v>
      </c>
      <c r="AK273" s="142">
        <f t="shared" si="172"/>
        <v>0</v>
      </c>
      <c r="AL273" s="146"/>
      <c r="AM273" s="403"/>
      <c r="AN273" s="107">
        <f t="shared" si="173"/>
        <v>0</v>
      </c>
      <c r="AO273" s="151">
        <f t="shared" si="174"/>
        <v>0</v>
      </c>
      <c r="AP273" s="282">
        <f t="shared" si="175"/>
        <v>2065.164834195039</v>
      </c>
      <c r="AQ273" s="684">
        <v>0</v>
      </c>
      <c r="AR273" s="741">
        <v>1617.1261221470461</v>
      </c>
      <c r="AS273" s="741">
        <v>436.76217338843634</v>
      </c>
      <c r="AT273" s="741">
        <v>11.276538659556651</v>
      </c>
      <c r="AU273" s="411">
        <v>0</v>
      </c>
      <c r="AV273" s="801"/>
      <c r="AW273" s="256"/>
      <c r="AX273" s="728">
        <f t="shared" si="176"/>
        <v>48.809887829896823</v>
      </c>
      <c r="AY273" s="729">
        <v>25.95643688211829</v>
      </c>
      <c r="AZ273" s="730"/>
      <c r="BA273" s="731">
        <v>0</v>
      </c>
      <c r="BC273" s="727">
        <v>0</v>
      </c>
      <c r="BD273" s="727">
        <v>48.809887829896823</v>
      </c>
      <c r="BE273" s="727"/>
      <c r="BF273" s="727"/>
      <c r="BG273" s="727">
        <v>0</v>
      </c>
      <c r="BH273" s="727">
        <v>5.6915746881509328</v>
      </c>
      <c r="BI273" s="137">
        <f t="shared" si="178"/>
        <v>48.809887829896823</v>
      </c>
      <c r="BJ273" s="126">
        <v>320</v>
      </c>
      <c r="BK273" s="807"/>
      <c r="BL273" s="107"/>
      <c r="BM273" s="687"/>
      <c r="BO273" s="577"/>
      <c r="BS273" s="904"/>
      <c r="BT273" s="789"/>
      <c r="BU273" s="789">
        <v>1603.2092151500183</v>
      </c>
      <c r="BV273" s="789">
        <v>0</v>
      </c>
      <c r="BW273" s="789">
        <f t="shared" si="177"/>
        <v>1603.2092151500183</v>
      </c>
    </row>
    <row r="274" spans="1:75" ht="15" thickBot="1" x14ac:dyDescent="0.35">
      <c r="A274" s="219" t="s">
        <v>199</v>
      </c>
      <c r="B274" s="237">
        <v>3</v>
      </c>
      <c r="C274" s="40">
        <f>'[7]побудинковий звіт'!E274</f>
        <v>631.1</v>
      </c>
      <c r="D274" s="215">
        <f t="shared" si="152"/>
        <v>540.37282249691077</v>
      </c>
      <c r="E274" s="107">
        <f t="shared" si="153"/>
        <v>118.88212022872263</v>
      </c>
      <c r="F274" s="107">
        <f t="shared" si="154"/>
        <v>24.214319883820316</v>
      </c>
      <c r="G274" s="107">
        <f t="shared" si="155"/>
        <v>0</v>
      </c>
      <c r="H274" s="107">
        <f t="shared" si="156"/>
        <v>451.46781807701035</v>
      </c>
      <c r="I274" s="107">
        <f t="shared" si="157"/>
        <v>146.08096881522573</v>
      </c>
      <c r="J274" s="687">
        <f t="shared" si="145"/>
        <v>0</v>
      </c>
      <c r="K274" s="142">
        <f t="shared" si="158"/>
        <v>1281.0180495016898</v>
      </c>
      <c r="L274" s="141">
        <f t="shared" si="146"/>
        <v>170.76438451545621</v>
      </c>
      <c r="M274" s="107">
        <f t="shared" si="147"/>
        <v>37.567987768606066</v>
      </c>
      <c r="N274" s="30">
        <f t="shared" si="159"/>
        <v>11.107980463393371</v>
      </c>
      <c r="O274" s="107">
        <f t="shared" si="148"/>
        <v>1.1361752759874841</v>
      </c>
      <c r="P274" s="107">
        <f t="shared" si="160"/>
        <v>142.66932175867777</v>
      </c>
      <c r="Q274" s="107">
        <f t="shared" si="161"/>
        <v>46.754403003721549</v>
      </c>
      <c r="R274" s="143">
        <f t="shared" si="162"/>
        <v>410.00025278584246</v>
      </c>
      <c r="S274" s="141">
        <f t="shared" si="163"/>
        <v>0</v>
      </c>
      <c r="T274" s="107">
        <f t="shared" si="149"/>
        <v>0</v>
      </c>
      <c r="U274" s="142">
        <f t="shared" si="164"/>
        <v>0</v>
      </c>
      <c r="V274" s="107"/>
      <c r="W274" s="107">
        <f t="shared" si="165"/>
        <v>0</v>
      </c>
      <c r="X274" s="142">
        <f t="shared" si="166"/>
        <v>0</v>
      </c>
      <c r="Y274" s="141">
        <v>0</v>
      </c>
      <c r="Z274" s="144">
        <v>0</v>
      </c>
      <c r="AA274" s="107">
        <f t="shared" si="150"/>
        <v>0</v>
      </c>
      <c r="AB274" s="142">
        <f t="shared" si="151"/>
        <v>0</v>
      </c>
      <c r="AC274" s="141">
        <v>0</v>
      </c>
      <c r="AD274" s="107">
        <f t="shared" si="167"/>
        <v>0</v>
      </c>
      <c r="AE274" s="142">
        <f t="shared" si="168"/>
        <v>0</v>
      </c>
      <c r="AF274" s="145">
        <v>48.4</v>
      </c>
      <c r="AG274" s="107">
        <f t="shared" si="169"/>
        <v>6.229701197515249</v>
      </c>
      <c r="AH274" s="142">
        <f t="shared" si="170"/>
        <v>54.629701197515246</v>
      </c>
      <c r="AI274" s="145">
        <v>0</v>
      </c>
      <c r="AJ274" s="107">
        <f t="shared" si="171"/>
        <v>0</v>
      </c>
      <c r="AK274" s="142">
        <f t="shared" si="172"/>
        <v>0</v>
      </c>
      <c r="AL274" s="146"/>
      <c r="AM274" s="401"/>
      <c r="AN274" s="107">
        <f t="shared" si="173"/>
        <v>0</v>
      </c>
      <c r="AO274" s="151">
        <f t="shared" si="174"/>
        <v>0</v>
      </c>
      <c r="AP274" s="282">
        <f t="shared" si="175"/>
        <v>656.42794270920092</v>
      </c>
      <c r="AQ274" s="684">
        <v>0</v>
      </c>
      <c r="AR274" s="741">
        <v>498.71213588291738</v>
      </c>
      <c r="AS274" s="741">
        <v>155.26054017937156</v>
      </c>
      <c r="AT274" s="741">
        <v>2.4552666469120088</v>
      </c>
      <c r="AU274" s="411">
        <v>0</v>
      </c>
      <c r="AV274" s="801"/>
      <c r="AW274" s="256"/>
      <c r="AX274" s="728">
        <f t="shared" si="176"/>
        <v>24.214319883820316</v>
      </c>
      <c r="AY274" s="729">
        <v>11.107980463393371</v>
      </c>
      <c r="AZ274" s="730"/>
      <c r="BA274" s="731">
        <v>0</v>
      </c>
      <c r="BC274" s="727">
        <v>0</v>
      </c>
      <c r="BD274" s="727">
        <v>24.214319883820316</v>
      </c>
      <c r="BE274" s="727"/>
      <c r="BF274" s="727"/>
      <c r="BG274" s="727">
        <v>0</v>
      </c>
      <c r="BH274" s="727">
        <v>5.7619651878277116</v>
      </c>
      <c r="BI274" s="137">
        <f t="shared" si="178"/>
        <v>24.214319883820316</v>
      </c>
      <c r="BJ274" s="126">
        <v>0</v>
      </c>
      <c r="BK274" s="807"/>
      <c r="BL274" s="107"/>
      <c r="BM274" s="687"/>
      <c r="BO274" s="577"/>
      <c r="BS274" s="904"/>
      <c r="BT274" s="789"/>
      <c r="BU274" s="789">
        <v>486.17024427747339</v>
      </c>
      <c r="BV274" s="789">
        <v>0</v>
      </c>
      <c r="BW274" s="789">
        <f t="shared" si="177"/>
        <v>486.17024427747339</v>
      </c>
    </row>
    <row r="275" spans="1:75" ht="15" thickBot="1" x14ac:dyDescent="0.35">
      <c r="A275" s="220" t="s">
        <v>135</v>
      </c>
      <c r="B275" s="238">
        <v>1</v>
      </c>
      <c r="C275" s="40">
        <f>'[7]побудинковий звіт'!E275</f>
        <v>128.19999999999999</v>
      </c>
      <c r="D275" s="215">
        <f t="shared" si="152"/>
        <v>45.996126150776512</v>
      </c>
      <c r="E275" s="107">
        <f t="shared" si="153"/>
        <v>10.119156203758502</v>
      </c>
      <c r="F275" s="107">
        <f t="shared" si="154"/>
        <v>0</v>
      </c>
      <c r="G275" s="107">
        <f t="shared" si="155"/>
        <v>0</v>
      </c>
      <c r="H275" s="107">
        <f t="shared" si="156"/>
        <v>38.428599383168837</v>
      </c>
      <c r="I275" s="107">
        <f t="shared" si="157"/>
        <v>12.169011018163507</v>
      </c>
      <c r="J275" s="687">
        <f t="shared" si="145"/>
        <v>0</v>
      </c>
      <c r="K275" s="142">
        <f t="shared" si="158"/>
        <v>106.71289275586736</v>
      </c>
      <c r="L275" s="141">
        <f t="shared" si="146"/>
        <v>0</v>
      </c>
      <c r="M275" s="107">
        <f t="shared" si="147"/>
        <v>0</v>
      </c>
      <c r="N275" s="30">
        <f t="shared" si="159"/>
        <v>0</v>
      </c>
      <c r="O275" s="107">
        <f t="shared" si="148"/>
        <v>0.23079966785231415</v>
      </c>
      <c r="P275" s="107">
        <f t="shared" si="160"/>
        <v>0</v>
      </c>
      <c r="Q275" s="107">
        <f t="shared" si="161"/>
        <v>2.9706879487720727E-2</v>
      </c>
      <c r="R275" s="143">
        <f t="shared" si="162"/>
        <v>0.26050654734003487</v>
      </c>
      <c r="S275" s="141">
        <f t="shared" si="163"/>
        <v>0</v>
      </c>
      <c r="T275" s="107">
        <f t="shared" si="149"/>
        <v>0</v>
      </c>
      <c r="U275" s="142">
        <f t="shared" si="164"/>
        <v>0</v>
      </c>
      <c r="V275" s="107"/>
      <c r="W275" s="107">
        <f t="shared" si="165"/>
        <v>0</v>
      </c>
      <c r="X275" s="142">
        <f t="shared" si="166"/>
        <v>0</v>
      </c>
      <c r="Y275" s="141">
        <v>0</v>
      </c>
      <c r="Z275" s="144">
        <v>0</v>
      </c>
      <c r="AA275" s="107">
        <f t="shared" si="150"/>
        <v>0</v>
      </c>
      <c r="AB275" s="142">
        <f t="shared" si="151"/>
        <v>0</v>
      </c>
      <c r="AC275" s="141">
        <v>0</v>
      </c>
      <c r="AD275" s="107">
        <f t="shared" si="167"/>
        <v>0</v>
      </c>
      <c r="AE275" s="142">
        <f t="shared" si="168"/>
        <v>0</v>
      </c>
      <c r="AF275" s="145">
        <v>0</v>
      </c>
      <c r="AG275" s="107">
        <f t="shared" si="169"/>
        <v>0</v>
      </c>
      <c r="AH275" s="142">
        <f t="shared" si="170"/>
        <v>0</v>
      </c>
      <c r="AI275" s="145">
        <v>0</v>
      </c>
      <c r="AJ275" s="107">
        <f t="shared" si="171"/>
        <v>0</v>
      </c>
      <c r="AK275" s="142">
        <f t="shared" si="172"/>
        <v>0</v>
      </c>
      <c r="AL275" s="146"/>
      <c r="AM275" s="215"/>
      <c r="AN275" s="107">
        <f t="shared" si="173"/>
        <v>0</v>
      </c>
      <c r="AO275" s="151">
        <f t="shared" si="174"/>
        <v>0</v>
      </c>
      <c r="AP275" s="282">
        <f t="shared" si="175"/>
        <v>0</v>
      </c>
      <c r="AQ275" s="684">
        <v>42.45</v>
      </c>
      <c r="AR275" s="741">
        <v>0</v>
      </c>
      <c r="AS275" s="741">
        <v>0</v>
      </c>
      <c r="AT275" s="741">
        <v>0</v>
      </c>
      <c r="AU275" s="411">
        <v>0</v>
      </c>
      <c r="AV275" s="801"/>
      <c r="AW275" s="256"/>
      <c r="AX275" s="728">
        <f t="shared" si="176"/>
        <v>0</v>
      </c>
      <c r="AY275" s="729">
        <v>0</v>
      </c>
      <c r="AZ275" s="730"/>
      <c r="BA275" s="731">
        <v>0</v>
      </c>
      <c r="BC275" s="727">
        <v>0</v>
      </c>
      <c r="BD275" s="727">
        <v>0</v>
      </c>
      <c r="BE275" s="727"/>
      <c r="BF275" s="727"/>
      <c r="BG275" s="727">
        <v>0</v>
      </c>
      <c r="BH275" s="727">
        <v>0</v>
      </c>
      <c r="BI275" s="137">
        <f>BC275+BD275+BE275+BG275+BH275</f>
        <v>0</v>
      </c>
      <c r="BJ275" s="126"/>
      <c r="BK275" s="807"/>
      <c r="BL275" s="107"/>
      <c r="BM275" s="687"/>
      <c r="BO275" s="577"/>
      <c r="BS275" s="904"/>
      <c r="BT275" s="789"/>
      <c r="BU275" s="789">
        <v>0</v>
      </c>
      <c r="BV275" s="789">
        <v>0</v>
      </c>
      <c r="BW275" s="789">
        <f t="shared" si="177"/>
        <v>0</v>
      </c>
    </row>
    <row r="276" spans="1:75" ht="15" thickBot="1" x14ac:dyDescent="0.35">
      <c r="A276" s="219" t="s">
        <v>393</v>
      </c>
      <c r="B276" s="237">
        <v>9</v>
      </c>
      <c r="C276" s="40">
        <f>'[7]побудинковий звіт'!E276</f>
        <v>4216.5600000000004</v>
      </c>
      <c r="D276" s="215">
        <f t="shared" si="152"/>
        <v>3277.4321654295404</v>
      </c>
      <c r="E276" s="107">
        <f t="shared" si="153"/>
        <v>721.03567853711741</v>
      </c>
      <c r="F276" s="107">
        <f t="shared" si="154"/>
        <v>129.32670435364579</v>
      </c>
      <c r="G276" s="107">
        <f t="shared" si="155"/>
        <v>0</v>
      </c>
      <c r="H276" s="107">
        <f t="shared" si="156"/>
        <v>2738.2116328219759</v>
      </c>
      <c r="I276" s="107">
        <f t="shared" si="157"/>
        <v>883.74311836382572</v>
      </c>
      <c r="J276" s="687">
        <f t="shared" si="145"/>
        <v>0</v>
      </c>
      <c r="K276" s="142">
        <f t="shared" si="158"/>
        <v>7749.7492995061057</v>
      </c>
      <c r="L276" s="141">
        <f t="shared" si="146"/>
        <v>1647.5132270137674</v>
      </c>
      <c r="M276" s="107">
        <f t="shared" si="147"/>
        <v>362.45120395973316</v>
      </c>
      <c r="N276" s="30">
        <f t="shared" si="159"/>
        <v>69.317020655474607</v>
      </c>
      <c r="O276" s="107">
        <f t="shared" si="148"/>
        <v>7.5911126948467542</v>
      </c>
      <c r="P276" s="107">
        <f t="shared" si="160"/>
        <v>1376.45560784503</v>
      </c>
      <c r="Q276" s="107">
        <f t="shared" si="161"/>
        <v>445.77478639563219</v>
      </c>
      <c r="R276" s="143">
        <f t="shared" si="162"/>
        <v>3909.1029585644847</v>
      </c>
      <c r="S276" s="141">
        <f t="shared" si="163"/>
        <v>146.96</v>
      </c>
      <c r="T276" s="107">
        <f t="shared" si="149"/>
        <v>18.915638181546303</v>
      </c>
      <c r="U276" s="142">
        <f t="shared" si="164"/>
        <v>165.87563818154632</v>
      </c>
      <c r="V276" s="107"/>
      <c r="W276" s="107">
        <f t="shared" si="165"/>
        <v>0</v>
      </c>
      <c r="X276" s="142">
        <f t="shared" si="166"/>
        <v>0</v>
      </c>
      <c r="Y276" s="141">
        <v>2579.5</v>
      </c>
      <c r="Z276" s="144">
        <v>0</v>
      </c>
      <c r="AA276" s="107">
        <f t="shared" si="150"/>
        <v>332.01475700393769</v>
      </c>
      <c r="AB276" s="142">
        <f t="shared" si="151"/>
        <v>2911.5147570039376</v>
      </c>
      <c r="AC276" s="141">
        <v>118.075</v>
      </c>
      <c r="AD276" s="107">
        <f t="shared" si="167"/>
        <v>15.197767952409361</v>
      </c>
      <c r="AE276" s="142">
        <f t="shared" si="168"/>
        <v>133.27276795240937</v>
      </c>
      <c r="AF276" s="145">
        <v>303.60000000000002</v>
      </c>
      <c r="AG276" s="107">
        <f t="shared" si="169"/>
        <v>39.077216602595655</v>
      </c>
      <c r="AH276" s="142">
        <f t="shared" si="170"/>
        <v>342.67721660259565</v>
      </c>
      <c r="AI276" s="145">
        <v>616</v>
      </c>
      <c r="AJ276" s="107">
        <f t="shared" si="171"/>
        <v>79.287106150194077</v>
      </c>
      <c r="AK276" s="142">
        <f t="shared" si="172"/>
        <v>695.28710615019406</v>
      </c>
      <c r="AL276" s="146"/>
      <c r="AM276" s="146"/>
      <c r="AN276" s="107">
        <f t="shared" si="173"/>
        <v>0</v>
      </c>
      <c r="AO276" s="151">
        <f t="shared" si="174"/>
        <v>0</v>
      </c>
      <c r="AP276" s="282">
        <f t="shared" si="175"/>
        <v>4546.3768240481559</v>
      </c>
      <c r="AQ276" s="684">
        <v>0</v>
      </c>
      <c r="AR276" s="741">
        <v>3024.7546275184577</v>
      </c>
      <c r="AS276" s="741">
        <v>1469.5257056375347</v>
      </c>
      <c r="AT276" s="741">
        <v>52.096490892163246</v>
      </c>
      <c r="AU276" s="411">
        <v>0</v>
      </c>
      <c r="AV276" s="801"/>
      <c r="AW276" s="256"/>
      <c r="AX276" s="728">
        <f t="shared" si="176"/>
        <v>129.32670435364579</v>
      </c>
      <c r="AY276" s="729">
        <v>69.317020655474607</v>
      </c>
      <c r="AZ276" s="730"/>
      <c r="BA276" s="731">
        <v>0</v>
      </c>
      <c r="BC276" s="727">
        <v>0</v>
      </c>
      <c r="BD276" s="727">
        <v>129.32670435364579</v>
      </c>
      <c r="BE276" s="727"/>
      <c r="BF276" s="727"/>
      <c r="BG276" s="727">
        <v>0</v>
      </c>
      <c r="BH276" s="727">
        <v>14.178657792036777</v>
      </c>
      <c r="BI276" s="137">
        <f>BC276+BD276+BE276+BG276</f>
        <v>129.32670435364579</v>
      </c>
      <c r="BJ276" s="126">
        <v>668</v>
      </c>
      <c r="BK276" s="807"/>
      <c r="BL276" s="107"/>
      <c r="BM276" s="687"/>
      <c r="BO276" s="577"/>
      <c r="BS276" s="904"/>
      <c r="BT276" s="789"/>
      <c r="BU276" s="789">
        <v>3000.7906657581907</v>
      </c>
      <c r="BV276" s="789">
        <v>0</v>
      </c>
      <c r="BW276" s="789">
        <f t="shared" si="177"/>
        <v>3000.7906657581907</v>
      </c>
    </row>
    <row r="277" spans="1:75" ht="15" thickBot="1" x14ac:dyDescent="0.35">
      <c r="A277" s="220" t="s">
        <v>136</v>
      </c>
      <c r="B277" s="238">
        <v>1</v>
      </c>
      <c r="C277" s="40">
        <f>'[7]побудинковий звіт'!E277</f>
        <v>172.4</v>
      </c>
      <c r="D277" s="215">
        <f t="shared" si="152"/>
        <v>76.660210251294174</v>
      </c>
      <c r="E277" s="107">
        <f t="shared" si="153"/>
        <v>16.865260339597501</v>
      </c>
      <c r="F277" s="107">
        <f t="shared" si="154"/>
        <v>0</v>
      </c>
      <c r="G277" s="107">
        <f t="shared" si="155"/>
        <v>0</v>
      </c>
      <c r="H277" s="107">
        <f t="shared" si="156"/>
        <v>64.047665638614717</v>
      </c>
      <c r="I277" s="107">
        <f t="shared" si="157"/>
        <v>20.281685030272509</v>
      </c>
      <c r="J277" s="687">
        <f t="shared" si="145"/>
        <v>0</v>
      </c>
      <c r="K277" s="142">
        <f t="shared" si="158"/>
        <v>177.8548212597789</v>
      </c>
      <c r="L277" s="141">
        <f t="shared" si="146"/>
        <v>0</v>
      </c>
      <c r="M277" s="107">
        <f t="shared" si="147"/>
        <v>0</v>
      </c>
      <c r="N277" s="30">
        <f t="shared" si="159"/>
        <v>0</v>
      </c>
      <c r="O277" s="107">
        <f t="shared" si="148"/>
        <v>0.31037334428813546</v>
      </c>
      <c r="P277" s="107">
        <f t="shared" si="160"/>
        <v>0</v>
      </c>
      <c r="Q277" s="107">
        <f t="shared" si="161"/>
        <v>3.9949032946045661E-2</v>
      </c>
      <c r="R277" s="143">
        <f t="shared" si="162"/>
        <v>0.35032237723418114</v>
      </c>
      <c r="S277" s="141">
        <f t="shared" si="163"/>
        <v>0</v>
      </c>
      <c r="T277" s="107">
        <f t="shared" si="149"/>
        <v>0</v>
      </c>
      <c r="U277" s="142">
        <f t="shared" si="164"/>
        <v>0</v>
      </c>
      <c r="V277" s="107"/>
      <c r="W277" s="107">
        <f t="shared" si="165"/>
        <v>0</v>
      </c>
      <c r="X277" s="142">
        <f t="shared" si="166"/>
        <v>0</v>
      </c>
      <c r="Y277" s="141">
        <v>0</v>
      </c>
      <c r="Z277" s="144">
        <v>0</v>
      </c>
      <c r="AA277" s="107">
        <f t="shared" si="150"/>
        <v>0</v>
      </c>
      <c r="AB277" s="142">
        <f t="shared" si="151"/>
        <v>0</v>
      </c>
      <c r="AC277" s="141">
        <v>0</v>
      </c>
      <c r="AD277" s="107">
        <f t="shared" si="167"/>
        <v>0</v>
      </c>
      <c r="AE277" s="142">
        <f t="shared" si="168"/>
        <v>0</v>
      </c>
      <c r="AF277" s="145">
        <v>0</v>
      </c>
      <c r="AG277" s="107">
        <f t="shared" si="169"/>
        <v>0</v>
      </c>
      <c r="AH277" s="142">
        <f t="shared" si="170"/>
        <v>0</v>
      </c>
      <c r="AI277" s="145">
        <v>0</v>
      </c>
      <c r="AJ277" s="107">
        <f t="shared" si="171"/>
        <v>0</v>
      </c>
      <c r="AK277" s="142">
        <f t="shared" si="172"/>
        <v>0</v>
      </c>
      <c r="AL277" s="146"/>
      <c r="AM277" s="215"/>
      <c r="AN277" s="107">
        <f t="shared" si="173"/>
        <v>0</v>
      </c>
      <c r="AO277" s="151">
        <f t="shared" si="174"/>
        <v>0</v>
      </c>
      <c r="AP277" s="282">
        <f t="shared" si="175"/>
        <v>0</v>
      </c>
      <c r="AQ277" s="684">
        <v>70.75</v>
      </c>
      <c r="AR277" s="741">
        <v>0</v>
      </c>
      <c r="AS277" s="741">
        <v>0</v>
      </c>
      <c r="AT277" s="741">
        <v>0</v>
      </c>
      <c r="AU277" s="411">
        <v>0</v>
      </c>
      <c r="AV277" s="801"/>
      <c r="AW277" s="256"/>
      <c r="AX277" s="728">
        <f t="shared" si="176"/>
        <v>0</v>
      </c>
      <c r="AY277" s="729">
        <v>0</v>
      </c>
      <c r="AZ277" s="730"/>
      <c r="BA277" s="731">
        <v>0</v>
      </c>
      <c r="BC277" s="727">
        <v>0</v>
      </c>
      <c r="BD277" s="727">
        <v>0</v>
      </c>
      <c r="BE277" s="727"/>
      <c r="BF277" s="727"/>
      <c r="BG277" s="727">
        <v>0</v>
      </c>
      <c r="BH277" s="727">
        <v>0</v>
      </c>
      <c r="BI277" s="137">
        <f>BC277+BD277+BE277+BG277+BH277</f>
        <v>0</v>
      </c>
      <c r="BJ277" s="126"/>
      <c r="BK277" s="807"/>
      <c r="BL277" s="107"/>
      <c r="BM277" s="687"/>
      <c r="BO277" s="577"/>
      <c r="BS277" s="904"/>
      <c r="BT277" s="789"/>
      <c r="BU277" s="789">
        <v>0</v>
      </c>
      <c r="BV277" s="789">
        <v>0</v>
      </c>
      <c r="BW277" s="789">
        <f t="shared" si="177"/>
        <v>0</v>
      </c>
    </row>
    <row r="278" spans="1:75" ht="15" thickBot="1" x14ac:dyDescent="0.35">
      <c r="A278" s="219" t="s">
        <v>186</v>
      </c>
      <c r="B278" s="237">
        <v>2</v>
      </c>
      <c r="C278" s="40">
        <f>'[7]побудинковий звіт'!E278</f>
        <v>261.2</v>
      </c>
      <c r="D278" s="215">
        <f t="shared" si="152"/>
        <v>261.91278517988758</v>
      </c>
      <c r="E278" s="107">
        <f t="shared" si="153"/>
        <v>57.62086085921355</v>
      </c>
      <c r="F278" s="107">
        <f t="shared" si="154"/>
        <v>7.986144299342409</v>
      </c>
      <c r="G278" s="107">
        <f t="shared" si="155"/>
        <v>0</v>
      </c>
      <c r="H278" s="107">
        <f t="shared" si="156"/>
        <v>218.82150383740398</v>
      </c>
      <c r="I278" s="107">
        <f t="shared" si="157"/>
        <v>70.32113666486174</v>
      </c>
      <c r="J278" s="687">
        <f t="shared" si="145"/>
        <v>0</v>
      </c>
      <c r="K278" s="142">
        <f t="shared" si="158"/>
        <v>616.66243084070925</v>
      </c>
      <c r="L278" s="141">
        <f t="shared" si="146"/>
        <v>86.539885449187167</v>
      </c>
      <c r="M278" s="107">
        <f t="shared" si="147"/>
        <v>19.038685187644425</v>
      </c>
      <c r="N278" s="30">
        <f t="shared" si="159"/>
        <v>5.3658229164336735</v>
      </c>
      <c r="O278" s="107">
        <f t="shared" si="148"/>
        <v>0.47024082092842789</v>
      </c>
      <c r="P278" s="107">
        <f t="shared" si="160"/>
        <v>72.301884243266699</v>
      </c>
      <c r="Q278" s="107">
        <f t="shared" si="161"/>
        <v>23.646673885010859</v>
      </c>
      <c r="R278" s="143">
        <f t="shared" si="162"/>
        <v>207.36319250247126</v>
      </c>
      <c r="S278" s="141">
        <f t="shared" si="163"/>
        <v>0</v>
      </c>
      <c r="T278" s="107">
        <f t="shared" si="149"/>
        <v>0</v>
      </c>
      <c r="U278" s="142">
        <f t="shared" si="164"/>
        <v>0</v>
      </c>
      <c r="V278" s="107"/>
      <c r="W278" s="107">
        <f t="shared" si="165"/>
        <v>0</v>
      </c>
      <c r="X278" s="142">
        <f t="shared" si="166"/>
        <v>0</v>
      </c>
      <c r="Y278" s="141">
        <v>0</v>
      </c>
      <c r="Z278" s="144">
        <v>0</v>
      </c>
      <c r="AA278" s="107">
        <f t="shared" si="150"/>
        <v>0</v>
      </c>
      <c r="AB278" s="142">
        <f t="shared" si="151"/>
        <v>0</v>
      </c>
      <c r="AC278" s="141">
        <v>0</v>
      </c>
      <c r="AD278" s="107">
        <f t="shared" si="167"/>
        <v>0</v>
      </c>
      <c r="AE278" s="142">
        <f t="shared" si="168"/>
        <v>0</v>
      </c>
      <c r="AF278" s="145">
        <v>112.2</v>
      </c>
      <c r="AG278" s="107">
        <f t="shared" si="169"/>
        <v>14.441580048785351</v>
      </c>
      <c r="AH278" s="142">
        <f t="shared" si="170"/>
        <v>126.64158004878536</v>
      </c>
      <c r="AI278" s="145">
        <v>0</v>
      </c>
      <c r="AJ278" s="107">
        <f t="shared" si="171"/>
        <v>0</v>
      </c>
      <c r="AK278" s="142">
        <f t="shared" si="172"/>
        <v>0</v>
      </c>
      <c r="AL278" s="146"/>
      <c r="AM278" s="215"/>
      <c r="AN278" s="107">
        <f t="shared" si="173"/>
        <v>0</v>
      </c>
      <c r="AO278" s="151">
        <f t="shared" si="174"/>
        <v>0</v>
      </c>
      <c r="AP278" s="282">
        <f t="shared" si="175"/>
        <v>274.56744100706067</v>
      </c>
      <c r="AQ278" s="684">
        <v>47.08</v>
      </c>
      <c r="AR278" s="740">
        <v>194.64030693281615</v>
      </c>
      <c r="AS278" s="740">
        <v>78.322253648402793</v>
      </c>
      <c r="AT278" s="740">
        <v>1.6048804258417175</v>
      </c>
      <c r="AU278" s="411">
        <v>0</v>
      </c>
      <c r="AV278" s="801"/>
      <c r="AW278" s="256"/>
      <c r="AX278" s="728">
        <f t="shared" si="176"/>
        <v>7.986144299342409</v>
      </c>
      <c r="AY278" s="729">
        <v>5.3658229164336735</v>
      </c>
      <c r="AZ278" s="730"/>
      <c r="BA278" s="731">
        <v>0</v>
      </c>
      <c r="BC278" s="727">
        <v>0</v>
      </c>
      <c r="BD278" s="727">
        <v>7.986144299342409</v>
      </c>
      <c r="BE278" s="727"/>
      <c r="BF278" s="727"/>
      <c r="BG278" s="727">
        <v>0</v>
      </c>
      <c r="BH278" s="727">
        <v>0</v>
      </c>
      <c r="BI278" s="137">
        <f>BC278+BD278+BE278+BG278</f>
        <v>7.986144299342409</v>
      </c>
      <c r="BJ278" s="126"/>
      <c r="BK278" s="807"/>
      <c r="BL278" s="107"/>
      <c r="BM278" s="687"/>
      <c r="BO278" s="577"/>
      <c r="BS278" s="904"/>
      <c r="BT278" s="789"/>
      <c r="BU278" s="789">
        <v>190.4127548856863</v>
      </c>
      <c r="BV278" s="789">
        <v>0</v>
      </c>
      <c r="BW278" s="789">
        <f t="shared" si="177"/>
        <v>190.4127548856863</v>
      </c>
    </row>
    <row r="279" spans="1:75" ht="15" thickBot="1" x14ac:dyDescent="0.35">
      <c r="A279" s="220" t="s">
        <v>138</v>
      </c>
      <c r="B279" s="238">
        <v>1</v>
      </c>
      <c r="C279" s="40">
        <f>'[7]побудинковий звіт'!E279</f>
        <v>252.8</v>
      </c>
      <c r="D279" s="215">
        <f t="shared" si="152"/>
        <v>0</v>
      </c>
      <c r="E279" s="107">
        <f t="shared" si="153"/>
        <v>0</v>
      </c>
      <c r="F279" s="107">
        <f t="shared" si="154"/>
        <v>0</v>
      </c>
      <c r="G279" s="107">
        <f t="shared" si="155"/>
        <v>0</v>
      </c>
      <c r="H279" s="107">
        <f t="shared" si="156"/>
        <v>0</v>
      </c>
      <c r="I279" s="107">
        <f t="shared" si="157"/>
        <v>0</v>
      </c>
      <c r="J279" s="687">
        <f t="shared" si="145"/>
        <v>0</v>
      </c>
      <c r="K279" s="142">
        <f t="shared" si="158"/>
        <v>0</v>
      </c>
      <c r="L279" s="141">
        <f t="shared" si="146"/>
        <v>0</v>
      </c>
      <c r="M279" s="107">
        <f t="shared" si="147"/>
        <v>0</v>
      </c>
      <c r="N279" s="30">
        <f t="shared" si="159"/>
        <v>0</v>
      </c>
      <c r="O279" s="107">
        <f t="shared" si="148"/>
        <v>0.45511822178677863</v>
      </c>
      <c r="P279" s="107">
        <f t="shared" si="160"/>
        <v>0</v>
      </c>
      <c r="Q279" s="107">
        <f t="shared" si="161"/>
        <v>5.8579556431324495E-2</v>
      </c>
      <c r="R279" s="143">
        <f t="shared" si="162"/>
        <v>0.51369777821810314</v>
      </c>
      <c r="S279" s="141">
        <f t="shared" si="163"/>
        <v>0</v>
      </c>
      <c r="T279" s="107">
        <f t="shared" si="149"/>
        <v>0</v>
      </c>
      <c r="U279" s="142">
        <f t="shared" si="164"/>
        <v>0</v>
      </c>
      <c r="V279" s="107"/>
      <c r="W279" s="107">
        <f t="shared" si="165"/>
        <v>0</v>
      </c>
      <c r="X279" s="142">
        <f t="shared" si="166"/>
        <v>0</v>
      </c>
      <c r="Y279" s="141">
        <v>0</v>
      </c>
      <c r="Z279" s="144">
        <v>0</v>
      </c>
      <c r="AA279" s="107">
        <f t="shared" si="150"/>
        <v>0</v>
      </c>
      <c r="AB279" s="142">
        <f t="shared" si="151"/>
        <v>0</v>
      </c>
      <c r="AC279" s="141">
        <v>0</v>
      </c>
      <c r="AD279" s="107">
        <f t="shared" si="167"/>
        <v>0</v>
      </c>
      <c r="AE279" s="142">
        <f t="shared" si="168"/>
        <v>0</v>
      </c>
      <c r="AF279" s="145">
        <v>0</v>
      </c>
      <c r="AG279" s="107">
        <f t="shared" si="169"/>
        <v>0</v>
      </c>
      <c r="AH279" s="142">
        <f t="shared" si="170"/>
        <v>0</v>
      </c>
      <c r="AI279" s="145">
        <v>0</v>
      </c>
      <c r="AJ279" s="107">
        <f t="shared" si="171"/>
        <v>0</v>
      </c>
      <c r="AK279" s="142">
        <f t="shared" si="172"/>
        <v>0</v>
      </c>
      <c r="AL279" s="146"/>
      <c r="AM279" s="215"/>
      <c r="AN279" s="107">
        <f t="shared" si="173"/>
        <v>0</v>
      </c>
      <c r="AO279" s="151">
        <f t="shared" si="174"/>
        <v>0</v>
      </c>
      <c r="AP279" s="282">
        <f t="shared" si="175"/>
        <v>0</v>
      </c>
      <c r="AQ279" s="684">
        <v>0</v>
      </c>
      <c r="AR279" s="741">
        <v>0</v>
      </c>
      <c r="AS279" s="741">
        <v>0</v>
      </c>
      <c r="AT279" s="741">
        <v>0</v>
      </c>
      <c r="AU279" s="411">
        <v>0</v>
      </c>
      <c r="AV279" s="801"/>
      <c r="AW279" s="256"/>
      <c r="AX279" s="728">
        <f t="shared" si="176"/>
        <v>0</v>
      </c>
      <c r="AY279" s="729">
        <v>0</v>
      </c>
      <c r="AZ279" s="730"/>
      <c r="BA279" s="731">
        <v>0</v>
      </c>
      <c r="BC279" s="727">
        <v>0</v>
      </c>
      <c r="BD279" s="727">
        <v>0</v>
      </c>
      <c r="BE279" s="727"/>
      <c r="BF279" s="727"/>
      <c r="BG279" s="727">
        <v>0</v>
      </c>
      <c r="BH279" s="727">
        <v>0</v>
      </c>
      <c r="BI279" s="137">
        <f>BC279+BD279+BE279+BG279+BH279</f>
        <v>0</v>
      </c>
      <c r="BJ279" s="126"/>
      <c r="BK279" s="807"/>
      <c r="BL279" s="107"/>
      <c r="BM279" s="687"/>
      <c r="BO279" s="577"/>
      <c r="BS279" s="904"/>
      <c r="BT279" s="789"/>
      <c r="BU279" s="789">
        <v>0</v>
      </c>
      <c r="BV279" s="789">
        <v>0</v>
      </c>
      <c r="BW279" s="789">
        <f t="shared" si="177"/>
        <v>0</v>
      </c>
    </row>
    <row r="280" spans="1:75" ht="15" thickBot="1" x14ac:dyDescent="0.35">
      <c r="A280" s="219" t="s">
        <v>225</v>
      </c>
      <c r="B280" s="237">
        <v>4</v>
      </c>
      <c r="C280" s="40">
        <f>'[7]побудинковий звіт'!E280</f>
        <v>1317.9</v>
      </c>
      <c r="D280" s="215">
        <f t="shared" si="152"/>
        <v>665.19959801566949</v>
      </c>
      <c r="E280" s="107">
        <f t="shared" si="153"/>
        <v>146.34403377651154</v>
      </c>
      <c r="F280" s="107">
        <f t="shared" si="154"/>
        <v>40.462723452334401</v>
      </c>
      <c r="G280" s="107">
        <f t="shared" si="155"/>
        <v>0</v>
      </c>
      <c r="H280" s="107">
        <f t="shared" si="156"/>
        <v>555.75743005386903</v>
      </c>
      <c r="I280" s="107">
        <f t="shared" si="157"/>
        <v>181.19726733661045</v>
      </c>
      <c r="J280" s="687">
        <f t="shared" si="145"/>
        <v>0</v>
      </c>
      <c r="K280" s="142">
        <f t="shared" si="158"/>
        <v>1588.9610526349948</v>
      </c>
      <c r="L280" s="141">
        <f t="shared" si="146"/>
        <v>357.11088865233143</v>
      </c>
      <c r="M280" s="107">
        <f t="shared" si="147"/>
        <v>78.564025718796927</v>
      </c>
      <c r="N280" s="30">
        <f t="shared" si="159"/>
        <v>27.186562203707211</v>
      </c>
      <c r="O280" s="107">
        <f t="shared" si="148"/>
        <v>2.3726277867594763</v>
      </c>
      <c r="P280" s="107">
        <f t="shared" si="160"/>
        <v>298.35711012711403</v>
      </c>
      <c r="Q280" s="107">
        <f t="shared" si="161"/>
        <v>98.28398973786021</v>
      </c>
      <c r="R280" s="143">
        <f t="shared" si="162"/>
        <v>861.87520422656928</v>
      </c>
      <c r="S280" s="141">
        <f t="shared" si="163"/>
        <v>105.116</v>
      </c>
      <c r="T280" s="107">
        <f t="shared" si="149"/>
        <v>13.529778328058118</v>
      </c>
      <c r="U280" s="142">
        <f t="shared" si="164"/>
        <v>118.64577832805811</v>
      </c>
      <c r="V280" s="107"/>
      <c r="W280" s="107">
        <f t="shared" si="165"/>
        <v>0</v>
      </c>
      <c r="X280" s="142">
        <f t="shared" si="166"/>
        <v>0</v>
      </c>
      <c r="Y280" s="141">
        <v>0</v>
      </c>
      <c r="Z280" s="144">
        <v>0</v>
      </c>
      <c r="AA280" s="107">
        <f t="shared" si="150"/>
        <v>0</v>
      </c>
      <c r="AB280" s="142">
        <f t="shared" si="151"/>
        <v>0</v>
      </c>
      <c r="AC280" s="141">
        <v>0</v>
      </c>
      <c r="AD280" s="107">
        <f t="shared" si="167"/>
        <v>0</v>
      </c>
      <c r="AE280" s="142">
        <f t="shared" si="168"/>
        <v>0</v>
      </c>
      <c r="AF280" s="145">
        <v>140.80000000000001</v>
      </c>
      <c r="AG280" s="107">
        <f t="shared" si="169"/>
        <v>18.122767120044362</v>
      </c>
      <c r="AH280" s="142">
        <f t="shared" si="170"/>
        <v>158.92276712004437</v>
      </c>
      <c r="AI280" s="145">
        <v>0</v>
      </c>
      <c r="AJ280" s="107">
        <f t="shared" si="171"/>
        <v>0</v>
      </c>
      <c r="AK280" s="142">
        <f t="shared" si="172"/>
        <v>0</v>
      </c>
      <c r="AL280" s="146"/>
      <c r="AM280" s="215"/>
      <c r="AN280" s="107">
        <f t="shared" si="173"/>
        <v>0</v>
      </c>
      <c r="AO280" s="151">
        <f t="shared" si="174"/>
        <v>0</v>
      </c>
      <c r="AP280" s="282">
        <f t="shared" si="175"/>
        <v>895.76830293887519</v>
      </c>
      <c r="AQ280" s="684">
        <v>47.97</v>
      </c>
      <c r="AR280" s="740">
        <v>565.94524240978842</v>
      </c>
      <c r="AS280" s="740">
        <v>312.97807201682735</v>
      </c>
      <c r="AT280" s="740">
        <v>16.844988512259427</v>
      </c>
      <c r="AU280" s="411">
        <v>0</v>
      </c>
      <c r="AV280" s="801"/>
      <c r="AW280" s="256"/>
      <c r="AX280" s="728">
        <f t="shared" si="176"/>
        <v>40.462723452334401</v>
      </c>
      <c r="AY280" s="729">
        <v>27.186562203707211</v>
      </c>
      <c r="AZ280" s="730"/>
      <c r="BA280" s="731">
        <v>0</v>
      </c>
      <c r="BC280" s="727">
        <v>0</v>
      </c>
      <c r="BD280" s="727">
        <v>40.462723452334401</v>
      </c>
      <c r="BE280" s="727"/>
      <c r="BF280" s="727"/>
      <c r="BG280" s="727">
        <v>0</v>
      </c>
      <c r="BH280" s="727">
        <v>0</v>
      </c>
      <c r="BI280" s="137">
        <f t="shared" ref="BI280:BI303" si="179">BC280+BD280+BE280+BG280</f>
        <v>40.462723452334401</v>
      </c>
      <c r="BJ280" s="126">
        <v>477.8</v>
      </c>
      <c r="BK280" s="807"/>
      <c r="BL280" s="107"/>
      <c r="BM280" s="687"/>
      <c r="BO280" s="577"/>
      <c r="BS280" s="904"/>
      <c r="BT280" s="789"/>
      <c r="BU280" s="789">
        <v>555.4512915748918</v>
      </c>
      <c r="BV280" s="789">
        <v>0</v>
      </c>
      <c r="BW280" s="789">
        <f t="shared" si="177"/>
        <v>555.4512915748918</v>
      </c>
    </row>
    <row r="281" spans="1:75" ht="15" thickBot="1" x14ac:dyDescent="0.35">
      <c r="A281" s="260" t="s">
        <v>423</v>
      </c>
      <c r="B281" s="237">
        <v>10</v>
      </c>
      <c r="C281" s="40">
        <f>'[7]побудинковий звіт'!E281</f>
        <v>6739.25</v>
      </c>
      <c r="D281" s="215">
        <f t="shared" si="152"/>
        <v>2429.937716849251</v>
      </c>
      <c r="E281" s="107">
        <f t="shared" si="153"/>
        <v>534.58674414446864</v>
      </c>
      <c r="F281" s="107">
        <f t="shared" si="154"/>
        <v>314.58058807316968</v>
      </c>
      <c r="G281" s="107">
        <f t="shared" si="155"/>
        <v>0</v>
      </c>
      <c r="H281" s="107">
        <f t="shared" si="156"/>
        <v>2030.1514684248118</v>
      </c>
      <c r="I281" s="107">
        <f t="shared" si="157"/>
        <v>683.36945630028299</v>
      </c>
      <c r="J281" s="687">
        <f t="shared" si="145"/>
        <v>0</v>
      </c>
      <c r="K281" s="142">
        <f t="shared" si="158"/>
        <v>5992.6259737919845</v>
      </c>
      <c r="L281" s="141">
        <f t="shared" si="146"/>
        <v>2278.4385517629185</v>
      </c>
      <c r="M281" s="107">
        <f t="shared" si="147"/>
        <v>501.25412208774918</v>
      </c>
      <c r="N281" s="30">
        <f t="shared" si="159"/>
        <v>131.89629856131404</v>
      </c>
      <c r="O281" s="107">
        <f t="shared" si="148"/>
        <v>12.132735269685712</v>
      </c>
      <c r="P281" s="107">
        <f t="shared" si="160"/>
        <v>1903.5777499576764</v>
      </c>
      <c r="Q281" s="107">
        <f t="shared" si="161"/>
        <v>621.33539694257297</v>
      </c>
      <c r="R281" s="143">
        <f t="shared" si="162"/>
        <v>5448.6348545819164</v>
      </c>
      <c r="S281" s="141">
        <f t="shared" si="163"/>
        <v>48.400000000000006</v>
      </c>
      <c r="T281" s="107">
        <f t="shared" si="149"/>
        <v>6.2297011975152499</v>
      </c>
      <c r="U281" s="142">
        <f t="shared" si="164"/>
        <v>54.629701197515253</v>
      </c>
      <c r="V281" s="107"/>
      <c r="W281" s="107">
        <f t="shared" si="165"/>
        <v>0</v>
      </c>
      <c r="X281" s="142">
        <f t="shared" si="166"/>
        <v>0</v>
      </c>
      <c r="Y281" s="141">
        <v>3897.98</v>
      </c>
      <c r="Z281" s="144">
        <v>0</v>
      </c>
      <c r="AA281" s="107">
        <f t="shared" si="150"/>
        <v>501.72005524567129</v>
      </c>
      <c r="AB281" s="142">
        <f t="shared" si="151"/>
        <v>4399.7000552456711</v>
      </c>
      <c r="AC281" s="141">
        <v>0</v>
      </c>
      <c r="AD281" s="107">
        <f t="shared" si="167"/>
        <v>0</v>
      </c>
      <c r="AE281" s="142">
        <f t="shared" si="168"/>
        <v>0</v>
      </c>
      <c r="AF281" s="145">
        <v>932.8</v>
      </c>
      <c r="AG281" s="107">
        <f t="shared" si="169"/>
        <v>120.06333217029389</v>
      </c>
      <c r="AH281" s="142">
        <f t="shared" si="170"/>
        <v>1052.8633321702939</v>
      </c>
      <c r="AI281" s="145">
        <v>1399.2</v>
      </c>
      <c r="AJ281" s="107">
        <f t="shared" si="171"/>
        <v>180.09499825544086</v>
      </c>
      <c r="AK281" s="142">
        <f t="shared" si="172"/>
        <v>1579.294998255441</v>
      </c>
      <c r="AL281" s="146"/>
      <c r="AM281" s="146"/>
      <c r="AN281" s="107">
        <f t="shared" si="173"/>
        <v>0</v>
      </c>
      <c r="AO281" s="151">
        <f t="shared" si="174"/>
        <v>0</v>
      </c>
      <c r="AP281" s="282">
        <f t="shared" si="175"/>
        <v>3454.9136005443843</v>
      </c>
      <c r="AQ281" s="684">
        <v>821.7</v>
      </c>
      <c r="AR281" s="411">
        <v>1350.576823791778</v>
      </c>
      <c r="AS281" s="411">
        <v>2050.3178057387395</v>
      </c>
      <c r="AT281" s="411">
        <v>54.01897101386669</v>
      </c>
      <c r="AU281" s="411">
        <v>0</v>
      </c>
      <c r="AV281" s="742">
        <v>70.321949464028364</v>
      </c>
      <c r="AW281" s="256"/>
      <c r="AX281" s="728">
        <f t="shared" si="176"/>
        <v>197.57058807316969</v>
      </c>
      <c r="AY281" s="729">
        <v>131.89629856131404</v>
      </c>
      <c r="AZ281" s="730"/>
      <c r="BA281" s="731">
        <v>0</v>
      </c>
      <c r="BB281" s="742"/>
      <c r="BC281" s="727">
        <v>26.362500000000001</v>
      </c>
      <c r="BD281" s="727">
        <v>171.20808807316968</v>
      </c>
      <c r="BE281" s="727"/>
      <c r="BF281" s="727"/>
      <c r="BG281" s="727">
        <v>0</v>
      </c>
      <c r="BH281" s="727">
        <v>38.04296875</v>
      </c>
      <c r="BI281" s="137">
        <f t="shared" si="179"/>
        <v>197.57058807316969</v>
      </c>
      <c r="BJ281" s="126">
        <v>220</v>
      </c>
      <c r="BK281" s="807"/>
      <c r="BL281" s="107"/>
      <c r="BM281" s="687">
        <v>117.01</v>
      </c>
      <c r="BO281" s="577"/>
      <c r="BS281" s="904"/>
      <c r="BT281" s="789"/>
      <c r="BU281" s="789">
        <v>1234.8159629738655</v>
      </c>
      <c r="BV281" s="789">
        <v>0</v>
      </c>
      <c r="BW281" s="789">
        <f t="shared" si="177"/>
        <v>1234.8159629738655</v>
      </c>
    </row>
    <row r="282" spans="1:75" ht="15" thickBot="1" x14ac:dyDescent="0.35">
      <c r="A282" s="260" t="s">
        <v>394</v>
      </c>
      <c r="B282" s="237">
        <v>9</v>
      </c>
      <c r="C282" s="40">
        <f>'[7]побудинковий звіт'!E282</f>
        <v>4188.63</v>
      </c>
      <c r="D282" s="215">
        <f t="shared" si="152"/>
        <v>2488.8998645533525</v>
      </c>
      <c r="E282" s="107">
        <f t="shared" si="153"/>
        <v>547.55842747212671</v>
      </c>
      <c r="F282" s="107">
        <f t="shared" si="154"/>
        <v>136.75822851103084</v>
      </c>
      <c r="G282" s="107">
        <f t="shared" si="155"/>
        <v>0</v>
      </c>
      <c r="H282" s="107">
        <f t="shared" si="156"/>
        <v>2079.4128506869761</v>
      </c>
      <c r="I282" s="107">
        <f t="shared" si="157"/>
        <v>676.08081578542806</v>
      </c>
      <c r="J282" s="687">
        <f t="shared" si="145"/>
        <v>0</v>
      </c>
      <c r="K282" s="142">
        <f t="shared" si="158"/>
        <v>5928.7101870089136</v>
      </c>
      <c r="L282" s="141">
        <f t="shared" si="146"/>
        <v>1488.4462849130825</v>
      </c>
      <c r="M282" s="107">
        <f t="shared" si="147"/>
        <v>327.45664140979341</v>
      </c>
      <c r="N282" s="30">
        <f t="shared" si="159"/>
        <v>81.617073139055805</v>
      </c>
      <c r="O282" s="107">
        <f t="shared" si="148"/>
        <v>7.5408300527007697</v>
      </c>
      <c r="P282" s="107">
        <f t="shared" si="160"/>
        <v>1243.5592031987935</v>
      </c>
      <c r="Q282" s="107">
        <f t="shared" si="161"/>
        <v>405.26780967593658</v>
      </c>
      <c r="R282" s="143">
        <f t="shared" si="162"/>
        <v>3553.887842389362</v>
      </c>
      <c r="S282" s="141">
        <f t="shared" si="163"/>
        <v>99</v>
      </c>
      <c r="T282" s="107">
        <f t="shared" si="149"/>
        <v>12.742570631281191</v>
      </c>
      <c r="U282" s="142">
        <f t="shared" si="164"/>
        <v>111.7425706312812</v>
      </c>
      <c r="V282" s="107"/>
      <c r="W282" s="107">
        <f t="shared" si="165"/>
        <v>0</v>
      </c>
      <c r="X282" s="142">
        <f t="shared" si="166"/>
        <v>0</v>
      </c>
      <c r="Y282" s="141">
        <v>3102.43</v>
      </c>
      <c r="Z282" s="144">
        <v>0</v>
      </c>
      <c r="AA282" s="107">
        <f t="shared" si="150"/>
        <v>399.32255963238083</v>
      </c>
      <c r="AB282" s="142">
        <f t="shared" si="151"/>
        <v>3501.7525596323808</v>
      </c>
      <c r="AC282" s="141">
        <v>0</v>
      </c>
      <c r="AD282" s="107">
        <f t="shared" si="167"/>
        <v>0</v>
      </c>
      <c r="AE282" s="142">
        <f t="shared" si="168"/>
        <v>0</v>
      </c>
      <c r="AF282" s="145">
        <v>1603.8</v>
      </c>
      <c r="AG282" s="107">
        <f t="shared" si="169"/>
        <v>206.4296442267553</v>
      </c>
      <c r="AH282" s="142">
        <f t="shared" si="170"/>
        <v>1810.2296442267552</v>
      </c>
      <c r="AI282" s="145">
        <v>866.8</v>
      </c>
      <c r="AJ282" s="107">
        <f t="shared" si="171"/>
        <v>111.56828508277309</v>
      </c>
      <c r="AK282" s="142">
        <f t="shared" si="172"/>
        <v>978.36828508277301</v>
      </c>
      <c r="AL282" s="146"/>
      <c r="AM282" s="146"/>
      <c r="AN282" s="107">
        <f t="shared" si="173"/>
        <v>0</v>
      </c>
      <c r="AO282" s="151">
        <f t="shared" si="174"/>
        <v>0</v>
      </c>
      <c r="AP282" s="282">
        <f t="shared" si="175"/>
        <v>3070.6792882947343</v>
      </c>
      <c r="AQ282" s="684">
        <v>512.74</v>
      </c>
      <c r="AR282" s="411">
        <v>1695.9692900198695</v>
      </c>
      <c r="AS282" s="411">
        <v>1341.0015141194483</v>
      </c>
      <c r="AT282" s="411">
        <v>33.7084841554165</v>
      </c>
      <c r="AU282" s="411">
        <v>0</v>
      </c>
      <c r="AV282" s="742">
        <v>88.305873908368326</v>
      </c>
      <c r="AW282" s="256"/>
      <c r="AX282" s="728">
        <f t="shared" si="176"/>
        <v>136.75822851103084</v>
      </c>
      <c r="AY282" s="729">
        <v>81.617073139055805</v>
      </c>
      <c r="AZ282" s="730"/>
      <c r="BA282" s="731">
        <v>0</v>
      </c>
      <c r="BB282" s="742"/>
      <c r="BC282" s="727">
        <v>26.362500000000001</v>
      </c>
      <c r="BD282" s="727">
        <v>110.39572851103082</v>
      </c>
      <c r="BE282" s="727"/>
      <c r="BF282" s="727"/>
      <c r="BG282" s="727">
        <v>0</v>
      </c>
      <c r="BH282" s="727">
        <v>38.04296875</v>
      </c>
      <c r="BI282" s="137">
        <f t="shared" si="179"/>
        <v>136.75822851103084</v>
      </c>
      <c r="BJ282" s="126">
        <v>450</v>
      </c>
      <c r="BK282" s="807"/>
      <c r="BL282" s="107"/>
      <c r="BM282" s="687"/>
      <c r="BO282" s="577"/>
      <c r="BS282" s="904"/>
      <c r="BT282" s="789"/>
      <c r="BU282" s="789">
        <v>1550.5955167825639</v>
      </c>
      <c r="BV282" s="789">
        <v>0</v>
      </c>
      <c r="BW282" s="789">
        <f t="shared" si="177"/>
        <v>1550.5955167825639</v>
      </c>
    </row>
    <row r="283" spans="1:75" ht="15" thickBot="1" x14ac:dyDescent="0.35">
      <c r="A283" s="219" t="s">
        <v>292</v>
      </c>
      <c r="B283" s="237">
        <v>5</v>
      </c>
      <c r="C283" s="40">
        <f>'[7]побудинковий звіт'!E283</f>
        <v>2066.5</v>
      </c>
      <c r="D283" s="215">
        <f t="shared" si="152"/>
        <v>496.15054780874357</v>
      </c>
      <c r="E283" s="107">
        <f t="shared" si="153"/>
        <v>109.15321167263708</v>
      </c>
      <c r="F283" s="107">
        <f t="shared" si="154"/>
        <v>63.760740129589053</v>
      </c>
      <c r="G283" s="107">
        <f t="shared" si="155"/>
        <v>0</v>
      </c>
      <c r="H283" s="107">
        <f t="shared" si="156"/>
        <v>414.5212267003073</v>
      </c>
      <c r="I283" s="107">
        <f t="shared" si="157"/>
        <v>139.47139042999575</v>
      </c>
      <c r="J283" s="687">
        <f t="shared" si="145"/>
        <v>0</v>
      </c>
      <c r="K283" s="142">
        <f t="shared" si="158"/>
        <v>1223.0571167412729</v>
      </c>
      <c r="L283" s="141">
        <f t="shared" si="146"/>
        <v>410.68079639441964</v>
      </c>
      <c r="M283" s="107">
        <f t="shared" si="147"/>
        <v>90.349349950958285</v>
      </c>
      <c r="N283" s="30">
        <f t="shared" si="159"/>
        <v>42.840302871097947</v>
      </c>
      <c r="O283" s="107">
        <f t="shared" si="148"/>
        <v>3.7203394197878876</v>
      </c>
      <c r="P283" s="107">
        <f t="shared" si="160"/>
        <v>343.11341236147666</v>
      </c>
      <c r="Q283" s="107">
        <f t="shared" si="161"/>
        <v>114.64506255346048</v>
      </c>
      <c r="R283" s="143">
        <f t="shared" si="162"/>
        <v>1005.3492635512009</v>
      </c>
      <c r="S283" s="141">
        <f t="shared" si="163"/>
        <v>55.176000000000009</v>
      </c>
      <c r="T283" s="107">
        <f t="shared" si="149"/>
        <v>7.1018593651673854</v>
      </c>
      <c r="U283" s="142">
        <f t="shared" si="164"/>
        <v>62.277859365167394</v>
      </c>
      <c r="V283" s="107"/>
      <c r="W283" s="107">
        <f t="shared" si="165"/>
        <v>0</v>
      </c>
      <c r="X283" s="142">
        <f t="shared" si="166"/>
        <v>0</v>
      </c>
      <c r="Y283" s="141">
        <v>0</v>
      </c>
      <c r="Z283" s="144">
        <v>0</v>
      </c>
      <c r="AA283" s="107">
        <f t="shared" si="150"/>
        <v>0</v>
      </c>
      <c r="AB283" s="142">
        <f t="shared" si="151"/>
        <v>0</v>
      </c>
      <c r="AC283" s="141">
        <v>0</v>
      </c>
      <c r="AD283" s="107">
        <f t="shared" si="167"/>
        <v>0</v>
      </c>
      <c r="AE283" s="142">
        <f t="shared" si="168"/>
        <v>0</v>
      </c>
      <c r="AF283" s="145">
        <v>237.6</v>
      </c>
      <c r="AG283" s="107">
        <f t="shared" si="169"/>
        <v>30.58216951507486</v>
      </c>
      <c r="AH283" s="142">
        <f t="shared" si="170"/>
        <v>268.18216951507486</v>
      </c>
      <c r="AI283" s="145">
        <v>0</v>
      </c>
      <c r="AJ283" s="107">
        <f t="shared" si="171"/>
        <v>0</v>
      </c>
      <c r="AK283" s="142">
        <f t="shared" si="172"/>
        <v>0</v>
      </c>
      <c r="AL283" s="146">
        <v>2040</v>
      </c>
      <c r="AM283" s="146"/>
      <c r="AN283" s="107">
        <f t="shared" si="173"/>
        <v>262.57418270518821</v>
      </c>
      <c r="AO283" s="151">
        <f t="shared" si="174"/>
        <v>2302.5741827051884</v>
      </c>
      <c r="AP283" s="282">
        <f t="shared" si="175"/>
        <v>771.03877399681312</v>
      </c>
      <c r="AQ283" s="684">
        <v>66.16</v>
      </c>
      <c r="AR283" s="740">
        <v>391.73923015344195</v>
      </c>
      <c r="AS283" s="740">
        <v>370.45869708977966</v>
      </c>
      <c r="AT283" s="740">
        <v>8.840846753591574</v>
      </c>
      <c r="AU283" s="411">
        <v>0</v>
      </c>
      <c r="AV283" s="801"/>
      <c r="AW283" s="256"/>
      <c r="AX283" s="728">
        <f t="shared" si="176"/>
        <v>63.760740129589053</v>
      </c>
      <c r="AY283" s="729">
        <v>42.840302871097947</v>
      </c>
      <c r="AZ283" s="730"/>
      <c r="BA283" s="731">
        <v>0</v>
      </c>
      <c r="BC283" s="727">
        <v>0</v>
      </c>
      <c r="BD283" s="727">
        <v>63.760740129589053</v>
      </c>
      <c r="BE283" s="727"/>
      <c r="BF283" s="727"/>
      <c r="BG283" s="727">
        <v>0</v>
      </c>
      <c r="BH283" s="727">
        <v>0</v>
      </c>
      <c r="BI283" s="137">
        <f t="shared" si="179"/>
        <v>63.760740129589053</v>
      </c>
      <c r="BJ283" s="126">
        <v>250.8</v>
      </c>
      <c r="BK283" s="807"/>
      <c r="BL283" s="107"/>
      <c r="BM283" s="687"/>
      <c r="BO283" s="577"/>
      <c r="BS283" s="904"/>
      <c r="BT283" s="789"/>
      <c r="BU283" s="789">
        <v>384.47432557190149</v>
      </c>
      <c r="BV283" s="789">
        <v>0</v>
      </c>
      <c r="BW283" s="789">
        <f t="shared" si="177"/>
        <v>384.47432557190149</v>
      </c>
    </row>
    <row r="284" spans="1:75" ht="15" thickBot="1" x14ac:dyDescent="0.35">
      <c r="A284" s="260" t="s">
        <v>293</v>
      </c>
      <c r="B284" s="237">
        <v>5</v>
      </c>
      <c r="C284" s="40">
        <f>'[7]побудинковий звіт'!E284</f>
        <v>6127.1</v>
      </c>
      <c r="D284" s="215">
        <f t="shared" si="152"/>
        <v>2578.1792255967957</v>
      </c>
      <c r="E284" s="107">
        <f t="shared" si="153"/>
        <v>567.19990330443659</v>
      </c>
      <c r="F284" s="107">
        <f t="shared" si="154"/>
        <v>178.46779020095227</v>
      </c>
      <c r="G284" s="107">
        <f t="shared" si="155"/>
        <v>0</v>
      </c>
      <c r="H284" s="107">
        <f t="shared" si="156"/>
        <v>2154.0034974618211</v>
      </c>
      <c r="I284" s="107">
        <f t="shared" si="157"/>
        <v>705.069654956161</v>
      </c>
      <c r="J284" s="687">
        <f t="shared" si="145"/>
        <v>0</v>
      </c>
      <c r="K284" s="142">
        <f t="shared" si="158"/>
        <v>6182.9200715201669</v>
      </c>
      <c r="L284" s="141">
        <f t="shared" si="146"/>
        <v>1072.1473672691163</v>
      </c>
      <c r="M284" s="107">
        <f t="shared" si="147"/>
        <v>235.87131060144264</v>
      </c>
      <c r="N284" s="30">
        <f t="shared" si="159"/>
        <v>116.10224144317787</v>
      </c>
      <c r="O284" s="107">
        <f t="shared" si="148"/>
        <v>11.03067585723802</v>
      </c>
      <c r="P284" s="107">
        <f t="shared" si="160"/>
        <v>895.75199271011854</v>
      </c>
      <c r="Q284" s="107">
        <f t="shared" si="161"/>
        <v>300.01720811395535</v>
      </c>
      <c r="R284" s="143">
        <f t="shared" si="162"/>
        <v>2630.920795995049</v>
      </c>
      <c r="S284" s="141">
        <f t="shared" si="163"/>
        <v>80.3</v>
      </c>
      <c r="T284" s="107">
        <f t="shared" si="149"/>
        <v>10.335640623150299</v>
      </c>
      <c r="U284" s="142">
        <f t="shared" si="164"/>
        <v>90.635640623150294</v>
      </c>
      <c r="V284" s="107"/>
      <c r="W284" s="107">
        <f t="shared" si="165"/>
        <v>0</v>
      </c>
      <c r="X284" s="142">
        <f t="shared" si="166"/>
        <v>0</v>
      </c>
      <c r="Y284" s="141">
        <v>0</v>
      </c>
      <c r="Z284" s="144">
        <v>0</v>
      </c>
      <c r="AA284" s="107">
        <f t="shared" si="150"/>
        <v>0</v>
      </c>
      <c r="AB284" s="142">
        <f t="shared" si="151"/>
        <v>0</v>
      </c>
      <c r="AC284" s="141">
        <v>0</v>
      </c>
      <c r="AD284" s="107">
        <f t="shared" si="167"/>
        <v>0</v>
      </c>
      <c r="AE284" s="142">
        <f t="shared" si="168"/>
        <v>0</v>
      </c>
      <c r="AF284" s="145">
        <v>253</v>
      </c>
      <c r="AG284" s="107">
        <f t="shared" si="169"/>
        <v>32.564347168829713</v>
      </c>
      <c r="AH284" s="142">
        <f t="shared" si="170"/>
        <v>285.56434716882973</v>
      </c>
      <c r="AI284" s="145">
        <v>0</v>
      </c>
      <c r="AJ284" s="107">
        <f t="shared" si="171"/>
        <v>0</v>
      </c>
      <c r="AK284" s="142">
        <f t="shared" si="172"/>
        <v>0</v>
      </c>
      <c r="AL284" s="146"/>
      <c r="AM284" s="215"/>
      <c r="AN284" s="107">
        <f t="shared" si="173"/>
        <v>0</v>
      </c>
      <c r="AO284" s="151">
        <f t="shared" si="174"/>
        <v>0</v>
      </c>
      <c r="AP284" s="282">
        <f t="shared" si="175"/>
        <v>2780.126153853555</v>
      </c>
      <c r="AQ284" s="684">
        <v>496.31</v>
      </c>
      <c r="AR284" s="411">
        <v>1789.9045245288562</v>
      </c>
      <c r="AS284" s="411">
        <v>968.85116756286175</v>
      </c>
      <c r="AT284" s="411">
        <v>21.370461761837333</v>
      </c>
      <c r="AU284" s="411">
        <v>0</v>
      </c>
      <c r="AV284" s="742">
        <v>93.196901725273193</v>
      </c>
      <c r="AW284" s="256"/>
      <c r="AX284" s="728">
        <f t="shared" si="176"/>
        <v>178.46779020095227</v>
      </c>
      <c r="AY284" s="729">
        <v>116.10224144317787</v>
      </c>
      <c r="AZ284" s="730"/>
      <c r="BA284" s="731">
        <v>0</v>
      </c>
      <c r="BB284" s="742"/>
      <c r="BC284" s="727">
        <v>26.362500000000001</v>
      </c>
      <c r="BD284" s="727">
        <v>152.10529020095225</v>
      </c>
      <c r="BE284" s="727"/>
      <c r="BF284" s="727"/>
      <c r="BG284" s="727">
        <v>0</v>
      </c>
      <c r="BH284" s="727">
        <v>38.04296875</v>
      </c>
      <c r="BI284" s="137">
        <f t="shared" si="179"/>
        <v>178.46779020095227</v>
      </c>
      <c r="BJ284" s="126">
        <v>365</v>
      </c>
      <c r="BK284" s="807"/>
      <c r="BL284" s="107"/>
      <c r="BM284" s="687"/>
      <c r="BO284" s="577"/>
      <c r="BS284" s="904"/>
      <c r="BT284" s="789"/>
      <c r="BU284" s="789">
        <v>1636.4774490543712</v>
      </c>
      <c r="BV284" s="789">
        <v>0</v>
      </c>
      <c r="BW284" s="789">
        <f t="shared" si="177"/>
        <v>1636.4774490543712</v>
      </c>
    </row>
    <row r="285" spans="1:75" ht="15" thickBot="1" x14ac:dyDescent="0.35">
      <c r="A285" s="219" t="s">
        <v>226</v>
      </c>
      <c r="B285" s="237">
        <v>4</v>
      </c>
      <c r="C285" s="40">
        <f>'[7]побудинковий звіт'!E285</f>
        <v>1452.8</v>
      </c>
      <c r="D285" s="215">
        <f t="shared" si="152"/>
        <v>632.504571272053</v>
      </c>
      <c r="E285" s="107">
        <f t="shared" si="153"/>
        <v>139.15112188605809</v>
      </c>
      <c r="F285" s="107">
        <f t="shared" si="154"/>
        <v>44.41910581196268</v>
      </c>
      <c r="G285" s="107">
        <f t="shared" si="155"/>
        <v>0</v>
      </c>
      <c r="H285" s="107">
        <f t="shared" si="156"/>
        <v>528.44156261681928</v>
      </c>
      <c r="I285" s="107">
        <f t="shared" si="157"/>
        <v>173.05651214579987</v>
      </c>
      <c r="J285" s="687">
        <f t="shared" si="145"/>
        <v>0</v>
      </c>
      <c r="K285" s="142">
        <f t="shared" si="158"/>
        <v>1517.5728737326929</v>
      </c>
      <c r="L285" s="141">
        <f t="shared" si="146"/>
        <v>382.37868335953073</v>
      </c>
      <c r="M285" s="107">
        <f t="shared" si="147"/>
        <v>84.122914389834733</v>
      </c>
      <c r="N285" s="30">
        <f t="shared" si="159"/>
        <v>29.844822101817922</v>
      </c>
      <c r="O285" s="107">
        <f t="shared" si="148"/>
        <v>2.6154895277366772</v>
      </c>
      <c r="P285" s="107">
        <f t="shared" si="160"/>
        <v>319.46771315738084</v>
      </c>
      <c r="Q285" s="107">
        <f t="shared" si="161"/>
        <v>105.34239668587495</v>
      </c>
      <c r="R285" s="143">
        <f t="shared" si="162"/>
        <v>923.77201922217591</v>
      </c>
      <c r="S285" s="141">
        <f t="shared" si="163"/>
        <v>108.35000000000001</v>
      </c>
      <c r="T285" s="107">
        <f t="shared" si="149"/>
        <v>13.946035635346638</v>
      </c>
      <c r="U285" s="142">
        <f t="shared" si="164"/>
        <v>122.29603563534664</v>
      </c>
      <c r="V285" s="107"/>
      <c r="W285" s="107">
        <f t="shared" si="165"/>
        <v>0</v>
      </c>
      <c r="X285" s="142">
        <f t="shared" si="166"/>
        <v>0</v>
      </c>
      <c r="Y285" s="141">
        <v>0</v>
      </c>
      <c r="Z285" s="144">
        <v>0</v>
      </c>
      <c r="AA285" s="107">
        <f t="shared" si="150"/>
        <v>0</v>
      </c>
      <c r="AB285" s="142">
        <f t="shared" si="151"/>
        <v>0</v>
      </c>
      <c r="AC285" s="141">
        <v>0</v>
      </c>
      <c r="AD285" s="107">
        <f t="shared" si="167"/>
        <v>0</v>
      </c>
      <c r="AE285" s="142">
        <f t="shared" si="168"/>
        <v>0</v>
      </c>
      <c r="AF285" s="145">
        <v>259.60000000000002</v>
      </c>
      <c r="AG285" s="107">
        <f t="shared" si="169"/>
        <v>33.413851877581791</v>
      </c>
      <c r="AH285" s="142">
        <f t="shared" si="170"/>
        <v>293.01385187758183</v>
      </c>
      <c r="AI285" s="145">
        <v>0</v>
      </c>
      <c r="AJ285" s="107">
        <f t="shared" si="171"/>
        <v>0</v>
      </c>
      <c r="AK285" s="142">
        <f t="shared" si="172"/>
        <v>0</v>
      </c>
      <c r="AL285" s="146"/>
      <c r="AM285" s="215"/>
      <c r="AN285" s="107">
        <f t="shared" si="173"/>
        <v>0</v>
      </c>
      <c r="AO285" s="151">
        <f t="shared" si="174"/>
        <v>0</v>
      </c>
      <c r="AP285" s="282">
        <f t="shared" si="175"/>
        <v>829.96095104897131</v>
      </c>
      <c r="AQ285" s="684">
        <v>106.94</v>
      </c>
      <c r="AR285" s="740">
        <v>476.80087770966276</v>
      </c>
      <c r="AS285" s="740">
        <v>335.79088410733789</v>
      </c>
      <c r="AT285" s="740">
        <v>17.369189231970672</v>
      </c>
      <c r="AU285" s="411">
        <v>0</v>
      </c>
      <c r="AV285" s="801"/>
      <c r="AW285" s="256"/>
      <c r="AX285" s="728">
        <f t="shared" si="176"/>
        <v>44.41910581196268</v>
      </c>
      <c r="AY285" s="729">
        <v>29.844822101817922</v>
      </c>
      <c r="AZ285" s="730"/>
      <c r="BA285" s="731">
        <v>0</v>
      </c>
      <c r="BC285" s="727">
        <v>0</v>
      </c>
      <c r="BD285" s="727">
        <v>44.41910581196268</v>
      </c>
      <c r="BE285" s="727"/>
      <c r="BF285" s="727"/>
      <c r="BG285" s="727">
        <v>0</v>
      </c>
      <c r="BH285" s="727">
        <v>0</v>
      </c>
      <c r="BI285" s="137">
        <f t="shared" si="179"/>
        <v>44.41910581196268</v>
      </c>
      <c r="BJ285" s="126">
        <v>492.5</v>
      </c>
      <c r="BK285" s="807"/>
      <c r="BL285" s="107"/>
      <c r="BM285" s="687"/>
      <c r="BO285" s="577"/>
      <c r="BS285" s="904"/>
      <c r="BT285" s="789"/>
      <c r="BU285" s="789">
        <v>467.95878306677275</v>
      </c>
      <c r="BV285" s="789">
        <v>0</v>
      </c>
      <c r="BW285" s="789">
        <f t="shared" si="177"/>
        <v>467.95878306677275</v>
      </c>
    </row>
    <row r="286" spans="1:75" ht="15" thickBot="1" x14ac:dyDescent="0.35">
      <c r="A286" s="219" t="s">
        <v>294</v>
      </c>
      <c r="B286" s="237">
        <v>5</v>
      </c>
      <c r="C286" s="40">
        <f>'[7]побудинковий звіт'!E286</f>
        <v>4211.8</v>
      </c>
      <c r="D286" s="215">
        <f t="shared" si="152"/>
        <v>2091.2210081188168</v>
      </c>
      <c r="E286" s="107">
        <f t="shared" si="153"/>
        <v>460.0690059934185</v>
      </c>
      <c r="F286" s="107">
        <f t="shared" si="154"/>
        <v>129.09944697927406</v>
      </c>
      <c r="G286" s="107">
        <f t="shared" si="155"/>
        <v>0</v>
      </c>
      <c r="H286" s="107">
        <f t="shared" si="156"/>
        <v>1747.1622301241946</v>
      </c>
      <c r="I286" s="107">
        <f t="shared" si="157"/>
        <v>569.8827287774202</v>
      </c>
      <c r="J286" s="687">
        <f t="shared" si="145"/>
        <v>0</v>
      </c>
      <c r="K286" s="142">
        <f t="shared" si="158"/>
        <v>4997.4344199931238</v>
      </c>
      <c r="L286" s="141">
        <f t="shared" si="146"/>
        <v>851.98856123307314</v>
      </c>
      <c r="M286" s="107">
        <f t="shared" si="147"/>
        <v>187.43660124573174</v>
      </c>
      <c r="N286" s="30">
        <f t="shared" si="159"/>
        <v>86.740828256426909</v>
      </c>
      <c r="O286" s="107">
        <f t="shared" si="148"/>
        <v>7.5825432219998197</v>
      </c>
      <c r="P286" s="107">
        <f t="shared" si="160"/>
        <v>711.81488178685345</v>
      </c>
      <c r="Q286" s="107">
        <f t="shared" si="161"/>
        <v>237.54769878411696</v>
      </c>
      <c r="R286" s="143">
        <f t="shared" si="162"/>
        <v>2083.1111145282021</v>
      </c>
      <c r="S286" s="141">
        <f t="shared" si="163"/>
        <v>57.794000000000004</v>
      </c>
      <c r="T286" s="107">
        <f t="shared" si="149"/>
        <v>7.4388295663057091</v>
      </c>
      <c r="U286" s="142">
        <f t="shared" si="164"/>
        <v>65.232829566305711</v>
      </c>
      <c r="V286" s="107"/>
      <c r="W286" s="107">
        <f t="shared" si="165"/>
        <v>0</v>
      </c>
      <c r="X286" s="142">
        <f t="shared" si="166"/>
        <v>0</v>
      </c>
      <c r="Y286" s="141">
        <v>0</v>
      </c>
      <c r="Z286" s="144">
        <v>0</v>
      </c>
      <c r="AA286" s="107">
        <f t="shared" si="150"/>
        <v>0</v>
      </c>
      <c r="AB286" s="142">
        <f t="shared" si="151"/>
        <v>0</v>
      </c>
      <c r="AC286" s="141">
        <v>0</v>
      </c>
      <c r="AD286" s="107">
        <f t="shared" si="167"/>
        <v>0</v>
      </c>
      <c r="AE286" s="142">
        <f t="shared" si="168"/>
        <v>0</v>
      </c>
      <c r="AF286" s="145">
        <v>248.6</v>
      </c>
      <c r="AG286" s="107">
        <f t="shared" si="169"/>
        <v>31.998010696328326</v>
      </c>
      <c r="AH286" s="142">
        <f t="shared" si="170"/>
        <v>280.59801069632834</v>
      </c>
      <c r="AI286" s="145">
        <v>0</v>
      </c>
      <c r="AJ286" s="107">
        <f t="shared" si="171"/>
        <v>0</v>
      </c>
      <c r="AK286" s="142">
        <f t="shared" si="172"/>
        <v>0</v>
      </c>
      <c r="AL286" s="146"/>
      <c r="AM286" s="215"/>
      <c r="AN286" s="107">
        <f t="shared" si="173"/>
        <v>0</v>
      </c>
      <c r="AO286" s="151">
        <f t="shared" si="174"/>
        <v>0</v>
      </c>
      <c r="AP286" s="282">
        <f t="shared" si="175"/>
        <v>2474.7515977567878</v>
      </c>
      <c r="AQ286" s="684">
        <v>242.13</v>
      </c>
      <c r="AR286" s="740">
        <v>1687.8658327717806</v>
      </c>
      <c r="AS286" s="740">
        <v>762.59107778300506</v>
      </c>
      <c r="AT286" s="740">
        <v>24.294687202001931</v>
      </c>
      <c r="AU286" s="411">
        <v>0</v>
      </c>
      <c r="AV286" s="801"/>
      <c r="AW286" s="256"/>
      <c r="AX286" s="728">
        <f t="shared" si="176"/>
        <v>129.09944697927406</v>
      </c>
      <c r="AY286" s="729">
        <v>86.740828256426909</v>
      </c>
      <c r="AZ286" s="730"/>
      <c r="BA286" s="731">
        <v>0</v>
      </c>
      <c r="BC286" s="727">
        <v>0</v>
      </c>
      <c r="BD286" s="727">
        <v>129.09944697927406</v>
      </c>
      <c r="BE286" s="727"/>
      <c r="BF286" s="727"/>
      <c r="BG286" s="727">
        <v>0</v>
      </c>
      <c r="BH286" s="727">
        <v>0</v>
      </c>
      <c r="BI286" s="137">
        <f t="shared" si="179"/>
        <v>129.09944697927406</v>
      </c>
      <c r="BJ286" s="126">
        <v>262.7</v>
      </c>
      <c r="BK286" s="807"/>
      <c r="BL286" s="107"/>
      <c r="BM286" s="687"/>
      <c r="BO286" s="577"/>
      <c r="BS286" s="904"/>
      <c r="BT286" s="789"/>
      <c r="BU286" s="789">
        <v>1656.5671787546642</v>
      </c>
      <c r="BV286" s="789">
        <v>0</v>
      </c>
      <c r="BW286" s="789">
        <f t="shared" si="177"/>
        <v>1656.5671787546642</v>
      </c>
    </row>
    <row r="287" spans="1:75" ht="15" thickBot="1" x14ac:dyDescent="0.35">
      <c r="A287" s="219" t="s">
        <v>295</v>
      </c>
      <c r="B287" s="237">
        <v>5</v>
      </c>
      <c r="C287" s="40">
        <f>'[7]побудинковий звіт'!E287</f>
        <v>3203.6</v>
      </c>
      <c r="D287" s="215">
        <f t="shared" si="152"/>
        <v>1950.7715928020546</v>
      </c>
      <c r="E287" s="107">
        <f t="shared" si="153"/>
        <v>429.17010881981651</v>
      </c>
      <c r="F287" s="107">
        <f t="shared" si="154"/>
        <v>97.989256757130505</v>
      </c>
      <c r="G287" s="107">
        <f t="shared" si="155"/>
        <v>0</v>
      </c>
      <c r="H287" s="107">
        <f t="shared" si="156"/>
        <v>1629.8202979554778</v>
      </c>
      <c r="I287" s="107">
        <f t="shared" si="157"/>
        <v>528.72030827854712</v>
      </c>
      <c r="J287" s="687">
        <f t="shared" si="145"/>
        <v>0</v>
      </c>
      <c r="K287" s="142">
        <f t="shared" si="158"/>
        <v>4636.4715646130271</v>
      </c>
      <c r="L287" s="141">
        <f t="shared" si="146"/>
        <v>703.17598540674237</v>
      </c>
      <c r="M287" s="107">
        <f t="shared" si="147"/>
        <v>154.69798865785722</v>
      </c>
      <c r="N287" s="30">
        <f t="shared" si="159"/>
        <v>149.83815415343906</v>
      </c>
      <c r="O287" s="107">
        <f t="shared" si="148"/>
        <v>5.7674712631175789</v>
      </c>
      <c r="P287" s="107">
        <f t="shared" si="160"/>
        <v>587.48574065741161</v>
      </c>
      <c r="Q287" s="107">
        <f t="shared" si="161"/>
        <v>206.06478712069512</v>
      </c>
      <c r="R287" s="143">
        <f t="shared" si="162"/>
        <v>1807.0301272592631</v>
      </c>
      <c r="S287" s="141">
        <f t="shared" si="163"/>
        <v>155.54</v>
      </c>
      <c r="T287" s="107">
        <f t="shared" si="149"/>
        <v>20.019994302924005</v>
      </c>
      <c r="U287" s="142">
        <f t="shared" si="164"/>
        <v>175.559994302924</v>
      </c>
      <c r="V287" s="107"/>
      <c r="W287" s="107">
        <f t="shared" si="165"/>
        <v>0</v>
      </c>
      <c r="X287" s="142">
        <f t="shared" si="166"/>
        <v>0</v>
      </c>
      <c r="Y287" s="141">
        <v>0</v>
      </c>
      <c r="Z287" s="144">
        <v>0</v>
      </c>
      <c r="AA287" s="107">
        <f t="shared" si="150"/>
        <v>0</v>
      </c>
      <c r="AB287" s="142">
        <f t="shared" si="151"/>
        <v>0</v>
      </c>
      <c r="AC287" s="141">
        <v>0</v>
      </c>
      <c r="AD287" s="107">
        <f t="shared" si="167"/>
        <v>0</v>
      </c>
      <c r="AE287" s="142">
        <f t="shared" si="168"/>
        <v>0</v>
      </c>
      <c r="AF287" s="145">
        <v>202.4</v>
      </c>
      <c r="AG287" s="107">
        <f t="shared" si="169"/>
        <v>26.05147773506377</v>
      </c>
      <c r="AH287" s="142">
        <f t="shared" si="170"/>
        <v>228.45147773506378</v>
      </c>
      <c r="AI287" s="145">
        <v>0</v>
      </c>
      <c r="AJ287" s="107">
        <f t="shared" si="171"/>
        <v>0</v>
      </c>
      <c r="AK287" s="142">
        <f t="shared" si="172"/>
        <v>0</v>
      </c>
      <c r="AL287" s="146"/>
      <c r="AM287" s="146"/>
      <c r="AN287" s="107">
        <f t="shared" si="173"/>
        <v>0</v>
      </c>
      <c r="AO287" s="151">
        <f t="shared" si="174"/>
        <v>0</v>
      </c>
      <c r="AP287" s="282">
        <f t="shared" si="175"/>
        <v>2177.4189010667264</v>
      </c>
      <c r="AQ287" s="684">
        <v>272.39999999999998</v>
      </c>
      <c r="AR287" s="740">
        <v>1527.9745324767794</v>
      </c>
      <c r="AS287" s="740">
        <v>624.51459205444871</v>
      </c>
      <c r="AT287" s="740">
        <v>24.929776535498245</v>
      </c>
      <c r="AU287" s="411">
        <v>0</v>
      </c>
      <c r="AV287" s="801"/>
      <c r="AW287" s="256"/>
      <c r="AX287" s="728">
        <f t="shared" si="176"/>
        <v>97.989256757130505</v>
      </c>
      <c r="AY287" s="729">
        <v>65.838154153439049</v>
      </c>
      <c r="AZ287" s="730"/>
      <c r="BA287" s="731">
        <v>84</v>
      </c>
      <c r="BC287" s="727">
        <v>0</v>
      </c>
      <c r="BD287" s="727">
        <v>97.989256757130505</v>
      </c>
      <c r="BE287" s="727"/>
      <c r="BF287" s="727"/>
      <c r="BG287" s="727">
        <v>0</v>
      </c>
      <c r="BH287" s="727">
        <v>0</v>
      </c>
      <c r="BI287" s="137">
        <f t="shared" si="179"/>
        <v>97.989256757130505</v>
      </c>
      <c r="BJ287" s="126">
        <v>707</v>
      </c>
      <c r="BK287" s="807"/>
      <c r="BL287" s="107"/>
      <c r="BM287" s="687"/>
      <c r="BO287" s="577"/>
      <c r="BS287" s="904"/>
      <c r="BT287" s="789"/>
      <c r="BU287" s="789">
        <v>1499.641867667257</v>
      </c>
      <c r="BV287" s="789">
        <v>0</v>
      </c>
      <c r="BW287" s="789">
        <f t="shared" si="177"/>
        <v>1499.641867667257</v>
      </c>
    </row>
    <row r="288" spans="1:75" ht="15" thickBot="1" x14ac:dyDescent="0.35">
      <c r="A288" s="219" t="s">
        <v>227</v>
      </c>
      <c r="B288" s="237">
        <v>4</v>
      </c>
      <c r="C288" s="40">
        <f>'[7]побудинковий звіт'!E288</f>
        <v>1563</v>
      </c>
      <c r="D288" s="215">
        <f t="shared" si="152"/>
        <v>407.76171286515182</v>
      </c>
      <c r="E288" s="107">
        <f t="shared" si="153"/>
        <v>89.707651745905451</v>
      </c>
      <c r="F288" s="107">
        <f t="shared" si="154"/>
        <v>49.92563180090437</v>
      </c>
      <c r="G288" s="107">
        <f t="shared" si="155"/>
        <v>0</v>
      </c>
      <c r="H288" s="107">
        <f t="shared" si="156"/>
        <v>340.67459194550241</v>
      </c>
      <c r="I288" s="107">
        <f t="shared" si="157"/>
        <v>114.30595409230099</v>
      </c>
      <c r="J288" s="687">
        <f t="shared" si="145"/>
        <v>0</v>
      </c>
      <c r="K288" s="142">
        <f t="shared" si="158"/>
        <v>1002.375542449765</v>
      </c>
      <c r="L288" s="141">
        <f t="shared" si="146"/>
        <v>450.20333835328302</v>
      </c>
      <c r="M288" s="107">
        <f t="shared" si="147"/>
        <v>99.044268256715469</v>
      </c>
      <c r="N288" s="30">
        <f t="shared" si="159"/>
        <v>33.544610414412503</v>
      </c>
      <c r="O288" s="107">
        <f t="shared" si="148"/>
        <v>2.8138836259997428</v>
      </c>
      <c r="P288" s="107">
        <f t="shared" si="160"/>
        <v>376.1334959781488</v>
      </c>
      <c r="Q288" s="107">
        <f t="shared" si="161"/>
        <v>123.78822968625559</v>
      </c>
      <c r="R288" s="143">
        <f t="shared" si="162"/>
        <v>1085.5278263148152</v>
      </c>
      <c r="S288" s="141">
        <f t="shared" si="163"/>
        <v>109.93400000000001</v>
      </c>
      <c r="T288" s="107">
        <f t="shared" si="149"/>
        <v>14.149916765447138</v>
      </c>
      <c r="U288" s="142">
        <f t="shared" si="164"/>
        <v>124.08391676544716</v>
      </c>
      <c r="V288" s="107"/>
      <c r="W288" s="107">
        <f t="shared" si="165"/>
        <v>0</v>
      </c>
      <c r="X288" s="142">
        <f t="shared" si="166"/>
        <v>0</v>
      </c>
      <c r="Y288" s="141">
        <v>0</v>
      </c>
      <c r="Z288" s="144">
        <v>0</v>
      </c>
      <c r="AA288" s="107">
        <f t="shared" si="150"/>
        <v>0</v>
      </c>
      <c r="AB288" s="142">
        <f t="shared" si="151"/>
        <v>0</v>
      </c>
      <c r="AC288" s="141">
        <v>0</v>
      </c>
      <c r="AD288" s="107">
        <f t="shared" si="167"/>
        <v>0</v>
      </c>
      <c r="AE288" s="142">
        <f t="shared" si="168"/>
        <v>0</v>
      </c>
      <c r="AF288" s="145">
        <v>90.2</v>
      </c>
      <c r="AG288" s="107">
        <f t="shared" si="169"/>
        <v>11.609897686278419</v>
      </c>
      <c r="AH288" s="142">
        <f t="shared" si="170"/>
        <v>101.80989768627842</v>
      </c>
      <c r="AI288" s="145">
        <v>0</v>
      </c>
      <c r="AJ288" s="107">
        <f t="shared" si="171"/>
        <v>0</v>
      </c>
      <c r="AK288" s="142">
        <f t="shared" si="172"/>
        <v>0</v>
      </c>
      <c r="AL288" s="146"/>
      <c r="AM288" s="401"/>
      <c r="AN288" s="107">
        <f t="shared" si="173"/>
        <v>0</v>
      </c>
      <c r="AO288" s="151">
        <f t="shared" si="174"/>
        <v>0</v>
      </c>
      <c r="AP288" s="282">
        <f t="shared" si="175"/>
        <v>745.84689710145915</v>
      </c>
      <c r="AQ288" s="684">
        <v>46.28</v>
      </c>
      <c r="AR288" s="740">
        <v>330.04483775665693</v>
      </c>
      <c r="AS288" s="740">
        <v>398.18085053604739</v>
      </c>
      <c r="AT288" s="740">
        <v>17.621208808754929</v>
      </c>
      <c r="AU288" s="411">
        <v>0</v>
      </c>
      <c r="AV288" s="801"/>
      <c r="AW288" s="256"/>
      <c r="AX288" s="728">
        <f t="shared" si="176"/>
        <v>49.92563180090437</v>
      </c>
      <c r="AY288" s="729">
        <v>33.544610414412503</v>
      </c>
      <c r="AZ288" s="730"/>
      <c r="BA288" s="731">
        <v>0</v>
      </c>
      <c r="BC288" s="727">
        <v>0</v>
      </c>
      <c r="BD288" s="727">
        <v>49.92563180090437</v>
      </c>
      <c r="BE288" s="727"/>
      <c r="BF288" s="727"/>
      <c r="BG288" s="727">
        <v>0</v>
      </c>
      <c r="BH288" s="727">
        <v>0</v>
      </c>
      <c r="BI288" s="137">
        <f t="shared" si="179"/>
        <v>49.92563180090437</v>
      </c>
      <c r="BJ288" s="126">
        <v>499.7</v>
      </c>
      <c r="BK288" s="807"/>
      <c r="BL288" s="107"/>
      <c r="BM288" s="687"/>
      <c r="BO288" s="577"/>
      <c r="BS288" s="904"/>
      <c r="BT288" s="789"/>
      <c r="BU288" s="789">
        <v>323.91707979692359</v>
      </c>
      <c r="BV288" s="789">
        <v>0</v>
      </c>
      <c r="BW288" s="789">
        <f t="shared" si="177"/>
        <v>323.91707979692359</v>
      </c>
    </row>
    <row r="289" spans="1:75" ht="15" thickBot="1" x14ac:dyDescent="0.35">
      <c r="A289" s="260" t="s">
        <v>296</v>
      </c>
      <c r="B289" s="237">
        <v>5</v>
      </c>
      <c r="C289" s="40">
        <f>'[7]побудинковий звіт'!E289</f>
        <v>3710.4399999999996</v>
      </c>
      <c r="D289" s="215">
        <f t="shared" si="152"/>
        <v>1119.1272509664079</v>
      </c>
      <c r="E289" s="107">
        <f t="shared" si="153"/>
        <v>246.2082008230326</v>
      </c>
      <c r="F289" s="107">
        <f t="shared" si="154"/>
        <v>107.79348090719606</v>
      </c>
      <c r="G289" s="107">
        <f t="shared" si="155"/>
        <v>0</v>
      </c>
      <c r="H289" s="107">
        <f t="shared" si="156"/>
        <v>935.00249662762303</v>
      </c>
      <c r="I289" s="107">
        <f t="shared" si="157"/>
        <v>309.95742250073238</v>
      </c>
      <c r="J289" s="687">
        <f t="shared" si="145"/>
        <v>0</v>
      </c>
      <c r="K289" s="142">
        <f t="shared" si="158"/>
        <v>2718.0888518249917</v>
      </c>
      <c r="L289" s="141">
        <f t="shared" si="146"/>
        <v>403.13748671346735</v>
      </c>
      <c r="M289" s="107">
        <f t="shared" si="147"/>
        <v>88.689829632169719</v>
      </c>
      <c r="N289" s="30">
        <f t="shared" si="159"/>
        <v>70.250688436280726</v>
      </c>
      <c r="O289" s="107">
        <f t="shared" si="148"/>
        <v>6.6799400903739503</v>
      </c>
      <c r="P289" s="107">
        <f t="shared" si="160"/>
        <v>336.81116802024093</v>
      </c>
      <c r="Q289" s="107">
        <f t="shared" si="161"/>
        <v>116.55836750040152</v>
      </c>
      <c r="R289" s="143">
        <f t="shared" si="162"/>
        <v>1022.1274803929343</v>
      </c>
      <c r="S289" s="141">
        <f t="shared" si="163"/>
        <v>93.357000000000014</v>
      </c>
      <c r="T289" s="107">
        <f t="shared" si="149"/>
        <v>12.016244105298165</v>
      </c>
      <c r="U289" s="142">
        <f t="shared" si="164"/>
        <v>105.37324410529818</v>
      </c>
      <c r="V289" s="107"/>
      <c r="W289" s="107">
        <f t="shared" si="165"/>
        <v>0</v>
      </c>
      <c r="X289" s="142">
        <f t="shared" si="166"/>
        <v>0</v>
      </c>
      <c r="Y289" s="141">
        <v>0</v>
      </c>
      <c r="Z289" s="144">
        <v>0</v>
      </c>
      <c r="AA289" s="107">
        <f t="shared" si="150"/>
        <v>0</v>
      </c>
      <c r="AB289" s="142">
        <f t="shared" si="151"/>
        <v>0</v>
      </c>
      <c r="AC289" s="141">
        <v>0</v>
      </c>
      <c r="AD289" s="107">
        <f t="shared" si="167"/>
        <v>0</v>
      </c>
      <c r="AE289" s="142">
        <f t="shared" si="168"/>
        <v>0</v>
      </c>
      <c r="AF289" s="145">
        <v>580.79999999999995</v>
      </c>
      <c r="AG289" s="107">
        <f t="shared" si="169"/>
        <v>74.756414370182981</v>
      </c>
      <c r="AH289" s="142">
        <f t="shared" si="170"/>
        <v>655.55641437018289</v>
      </c>
      <c r="AI289" s="145">
        <v>0</v>
      </c>
      <c r="AJ289" s="107">
        <f t="shared" si="171"/>
        <v>0</v>
      </c>
      <c r="AK289" s="142">
        <f t="shared" si="172"/>
        <v>0</v>
      </c>
      <c r="AL289" s="146">
        <v>3697.5</v>
      </c>
      <c r="AM289" s="146"/>
      <c r="AN289" s="107">
        <f t="shared" si="173"/>
        <v>475.91570615315356</v>
      </c>
      <c r="AO289" s="151">
        <f t="shared" si="174"/>
        <v>4173.4157061531532</v>
      </c>
      <c r="AP289" s="282">
        <f t="shared" si="175"/>
        <v>1164.8923733987888</v>
      </c>
      <c r="AQ289" s="684">
        <v>199.02</v>
      </c>
      <c r="AR289" s="411">
        <v>792.55973413477511</v>
      </c>
      <c r="AS289" s="411">
        <v>363.53824833468872</v>
      </c>
      <c r="AT289" s="411">
        <v>8.7943909293249369</v>
      </c>
      <c r="AU289" s="411">
        <v>0</v>
      </c>
      <c r="AV289" s="742">
        <v>41.267067958839874</v>
      </c>
      <c r="AW289" s="256"/>
      <c r="AX289" s="728">
        <f t="shared" si="176"/>
        <v>107.79348090719606</v>
      </c>
      <c r="AY289" s="729">
        <v>70.250688436280726</v>
      </c>
      <c r="AZ289" s="730"/>
      <c r="BA289" s="731">
        <v>0</v>
      </c>
      <c r="BB289" s="742"/>
      <c r="BC289" s="727">
        <v>15.817499999999999</v>
      </c>
      <c r="BD289" s="727">
        <v>91.97598090719606</v>
      </c>
      <c r="BE289" s="727"/>
      <c r="BF289" s="727"/>
      <c r="BG289" s="727">
        <v>0</v>
      </c>
      <c r="BH289" s="727">
        <v>22.825781249999999</v>
      </c>
      <c r="BI289" s="137">
        <f t="shared" si="179"/>
        <v>107.79348090719606</v>
      </c>
      <c r="BJ289" s="126">
        <v>424.35</v>
      </c>
      <c r="BK289" s="807"/>
      <c r="BL289" s="107"/>
      <c r="BM289" s="687"/>
      <c r="BO289" s="577"/>
      <c r="BS289" s="904"/>
      <c r="BT289" s="789"/>
      <c r="BU289" s="789">
        <v>1070.3184778034058</v>
      </c>
      <c r="BV289" s="789">
        <v>0</v>
      </c>
      <c r="BW289" s="789">
        <f t="shared" si="177"/>
        <v>1070.3184778034058</v>
      </c>
    </row>
    <row r="290" spans="1:75" ht="15" thickBot="1" x14ac:dyDescent="0.35">
      <c r="A290" s="219" t="s">
        <v>228</v>
      </c>
      <c r="B290" s="237">
        <v>4</v>
      </c>
      <c r="C290" s="40">
        <f>'[7]побудинковий звіт'!E290</f>
        <v>2751.2</v>
      </c>
      <c r="D290" s="215">
        <f t="shared" si="152"/>
        <v>1386.8327641178757</v>
      </c>
      <c r="E290" s="107">
        <f t="shared" si="153"/>
        <v>305.10346290025637</v>
      </c>
      <c r="F290" s="107">
        <f t="shared" si="154"/>
        <v>74.905263855126222</v>
      </c>
      <c r="G290" s="107">
        <f t="shared" si="155"/>
        <v>0</v>
      </c>
      <c r="H290" s="107">
        <f t="shared" si="156"/>
        <v>1158.6636780897431</v>
      </c>
      <c r="I290" s="107">
        <f t="shared" si="157"/>
        <v>376.55006310797233</v>
      </c>
      <c r="J290" s="687">
        <f t="shared" si="145"/>
        <v>0</v>
      </c>
      <c r="K290" s="142">
        <f t="shared" si="158"/>
        <v>3302.0552320709735</v>
      </c>
      <c r="L290" s="141">
        <f t="shared" si="146"/>
        <v>587.87188895453778</v>
      </c>
      <c r="M290" s="107">
        <f t="shared" si="147"/>
        <v>129.33120683459873</v>
      </c>
      <c r="N290" s="30">
        <f t="shared" si="159"/>
        <v>50.328214253334068</v>
      </c>
      <c r="O290" s="107">
        <f t="shared" si="148"/>
        <v>4.9530112807744668</v>
      </c>
      <c r="P290" s="107">
        <f t="shared" si="160"/>
        <v>491.15208605190907</v>
      </c>
      <c r="Q290" s="107">
        <f t="shared" si="161"/>
        <v>162.64622397208399</v>
      </c>
      <c r="R290" s="143">
        <f t="shared" si="162"/>
        <v>1426.2826313472383</v>
      </c>
      <c r="S290" s="141">
        <f t="shared" si="163"/>
        <v>131.934</v>
      </c>
      <c r="T290" s="107">
        <f t="shared" si="149"/>
        <v>16.981599127954066</v>
      </c>
      <c r="U290" s="142">
        <f t="shared" si="164"/>
        <v>148.91559912795407</v>
      </c>
      <c r="V290" s="107"/>
      <c r="W290" s="107">
        <f t="shared" si="165"/>
        <v>0</v>
      </c>
      <c r="X290" s="142">
        <f t="shared" si="166"/>
        <v>0</v>
      </c>
      <c r="Y290" s="141">
        <v>0</v>
      </c>
      <c r="Z290" s="144">
        <v>0</v>
      </c>
      <c r="AA290" s="107">
        <f t="shared" si="150"/>
        <v>0</v>
      </c>
      <c r="AB290" s="142">
        <f t="shared" si="151"/>
        <v>0</v>
      </c>
      <c r="AC290" s="141">
        <v>0</v>
      </c>
      <c r="AD290" s="107">
        <f t="shared" si="167"/>
        <v>0</v>
      </c>
      <c r="AE290" s="142">
        <f t="shared" si="168"/>
        <v>0</v>
      </c>
      <c r="AF290" s="145">
        <v>149.6</v>
      </c>
      <c r="AG290" s="107">
        <f t="shared" si="169"/>
        <v>19.255440065047132</v>
      </c>
      <c r="AH290" s="142">
        <f t="shared" si="170"/>
        <v>168.85544006504713</v>
      </c>
      <c r="AI290" s="145">
        <v>0</v>
      </c>
      <c r="AJ290" s="107">
        <f t="shared" si="171"/>
        <v>0</v>
      </c>
      <c r="AK290" s="142">
        <f t="shared" si="172"/>
        <v>0</v>
      </c>
      <c r="AL290" s="146"/>
      <c r="AM290" s="401"/>
      <c r="AN290" s="107">
        <f t="shared" si="173"/>
        <v>0</v>
      </c>
      <c r="AO290" s="151">
        <f t="shared" si="174"/>
        <v>0</v>
      </c>
      <c r="AP290" s="282">
        <f t="shared" si="175"/>
        <v>1728.8442159568999</v>
      </c>
      <c r="AQ290" s="684">
        <v>94.02</v>
      </c>
      <c r="AR290" s="740">
        <v>1185.8932397329065</v>
      </c>
      <c r="AS290" s="740">
        <v>521.81157412333016</v>
      </c>
      <c r="AT290" s="740">
        <v>21.139402100663087</v>
      </c>
      <c r="AU290" s="411">
        <v>0</v>
      </c>
      <c r="AV290" s="801"/>
      <c r="AW290" s="256"/>
      <c r="AX290" s="728">
        <f t="shared" si="176"/>
        <v>74.905263855126222</v>
      </c>
      <c r="AY290" s="729">
        <v>50.328214253334068</v>
      </c>
      <c r="AZ290" s="730"/>
      <c r="BA290" s="731">
        <v>0</v>
      </c>
      <c r="BC290" s="727">
        <v>0</v>
      </c>
      <c r="BD290" s="727">
        <v>74.905263855126222</v>
      </c>
      <c r="BE290" s="727"/>
      <c r="BF290" s="727"/>
      <c r="BG290" s="727">
        <v>0</v>
      </c>
      <c r="BH290" s="727">
        <v>0</v>
      </c>
      <c r="BI290" s="137">
        <f t="shared" si="179"/>
        <v>74.905263855126222</v>
      </c>
      <c r="BJ290" s="126">
        <v>599.70000000000005</v>
      </c>
      <c r="BK290" s="807"/>
      <c r="BL290" s="107"/>
      <c r="BM290" s="687"/>
      <c r="BO290" s="577"/>
      <c r="BS290" s="904"/>
      <c r="BT290" s="789"/>
      <c r="BU290" s="789">
        <v>1163.9026380613107</v>
      </c>
      <c r="BV290" s="789">
        <v>0</v>
      </c>
      <c r="BW290" s="789">
        <f t="shared" si="177"/>
        <v>1163.9026380613107</v>
      </c>
    </row>
    <row r="291" spans="1:75" ht="15" thickBot="1" x14ac:dyDescent="0.35">
      <c r="A291" s="260" t="s">
        <v>187</v>
      </c>
      <c r="B291" s="237">
        <v>2</v>
      </c>
      <c r="C291" s="40">
        <f>'[7]побудинковий звіт'!E291</f>
        <v>299.89999999999998</v>
      </c>
      <c r="D291" s="215">
        <f t="shared" si="152"/>
        <v>133.13807548000773</v>
      </c>
      <c r="E291" s="107">
        <f t="shared" si="153"/>
        <v>29.29040106624813</v>
      </c>
      <c r="F291" s="107">
        <f t="shared" si="154"/>
        <v>45.126280076439087</v>
      </c>
      <c r="G291" s="107">
        <f t="shared" si="155"/>
        <v>0</v>
      </c>
      <c r="H291" s="107">
        <f t="shared" si="156"/>
        <v>111.23349276188853</v>
      </c>
      <c r="I291" s="107">
        <f t="shared" si="157"/>
        <v>41.032139234399374</v>
      </c>
      <c r="J291" s="687">
        <f t="shared" si="145"/>
        <v>0</v>
      </c>
      <c r="K291" s="142">
        <f t="shared" si="158"/>
        <v>359.82038861898286</v>
      </c>
      <c r="L291" s="141">
        <f t="shared" si="146"/>
        <v>50.217763295967067</v>
      </c>
      <c r="M291" s="107">
        <f t="shared" si="147"/>
        <v>11.047855925126397</v>
      </c>
      <c r="N291" s="30">
        <f t="shared" si="159"/>
        <v>5.8564313156465175</v>
      </c>
      <c r="O291" s="107">
        <f t="shared" si="148"/>
        <v>0.53991279554531213</v>
      </c>
      <c r="P291" s="107">
        <f t="shared" si="160"/>
        <v>41.955670381753215</v>
      </c>
      <c r="Q291" s="107">
        <f t="shared" si="161"/>
        <v>14.109196363990364</v>
      </c>
      <c r="R291" s="143">
        <f t="shared" si="162"/>
        <v>123.72683007802887</v>
      </c>
      <c r="S291" s="141">
        <f t="shared" si="163"/>
        <v>0</v>
      </c>
      <c r="T291" s="107">
        <f t="shared" si="149"/>
        <v>0</v>
      </c>
      <c r="U291" s="142">
        <f t="shared" si="164"/>
        <v>0</v>
      </c>
      <c r="V291" s="107"/>
      <c r="W291" s="107">
        <f t="shared" si="165"/>
        <v>0</v>
      </c>
      <c r="X291" s="142">
        <f t="shared" si="166"/>
        <v>0</v>
      </c>
      <c r="Y291" s="141">
        <v>0</v>
      </c>
      <c r="Z291" s="144">
        <v>0</v>
      </c>
      <c r="AA291" s="107">
        <f t="shared" si="150"/>
        <v>0</v>
      </c>
      <c r="AB291" s="142">
        <f t="shared" si="151"/>
        <v>0</v>
      </c>
      <c r="AC291" s="141">
        <v>0</v>
      </c>
      <c r="AD291" s="107">
        <f t="shared" si="167"/>
        <v>0</v>
      </c>
      <c r="AE291" s="142">
        <f t="shared" si="168"/>
        <v>0</v>
      </c>
      <c r="AF291" s="145">
        <v>0</v>
      </c>
      <c r="AG291" s="107">
        <f t="shared" si="169"/>
        <v>0</v>
      </c>
      <c r="AH291" s="142">
        <f t="shared" si="170"/>
        <v>0</v>
      </c>
      <c r="AI291" s="145">
        <v>0</v>
      </c>
      <c r="AJ291" s="107">
        <f t="shared" si="171"/>
        <v>0</v>
      </c>
      <c r="AK291" s="142">
        <f t="shared" si="172"/>
        <v>0</v>
      </c>
      <c r="AL291" s="146"/>
      <c r="AM291" s="215"/>
      <c r="AN291" s="107">
        <f t="shared" si="173"/>
        <v>0</v>
      </c>
      <c r="AO291" s="151">
        <f t="shared" si="174"/>
        <v>0</v>
      </c>
      <c r="AP291" s="282">
        <f t="shared" si="175"/>
        <v>152.75538502756328</v>
      </c>
      <c r="AQ291" s="684">
        <v>10.96</v>
      </c>
      <c r="AR291" s="411">
        <v>106.37489955509108</v>
      </c>
      <c r="AS291" s="411">
        <v>46.380485472472209</v>
      </c>
      <c r="AT291" s="411">
        <v>0</v>
      </c>
      <c r="AU291" s="411">
        <v>0</v>
      </c>
      <c r="AV291" s="742">
        <v>5.5387373594584162</v>
      </c>
      <c r="AW291" s="256"/>
      <c r="AX291" s="728">
        <f t="shared" si="176"/>
        <v>45.126280076439087</v>
      </c>
      <c r="AY291" s="729">
        <v>5.8564313156465175</v>
      </c>
      <c r="AZ291" s="730"/>
      <c r="BA291" s="731">
        <v>0</v>
      </c>
      <c r="BB291" s="742"/>
      <c r="BC291" s="727">
        <v>26.362500000000001</v>
      </c>
      <c r="BD291" s="727">
        <v>18.76378007643909</v>
      </c>
      <c r="BE291" s="727"/>
      <c r="BF291" s="727"/>
      <c r="BG291" s="727">
        <v>0</v>
      </c>
      <c r="BH291" s="727">
        <v>38.04296875</v>
      </c>
      <c r="BI291" s="137">
        <f t="shared" si="179"/>
        <v>45.126280076439087</v>
      </c>
      <c r="BJ291" s="126"/>
      <c r="BK291" s="807"/>
      <c r="BL291" s="107"/>
      <c r="BM291" s="687"/>
      <c r="BO291" s="577"/>
      <c r="BS291" s="904"/>
      <c r="BT291" s="789"/>
      <c r="BU291" s="789">
        <v>143.65912381718715</v>
      </c>
      <c r="BV291" s="789">
        <v>0</v>
      </c>
      <c r="BW291" s="789">
        <f t="shared" si="177"/>
        <v>143.65912381718715</v>
      </c>
    </row>
    <row r="292" spans="1:75" ht="15" thickBot="1" x14ac:dyDescent="0.35">
      <c r="A292" s="219" t="s">
        <v>297</v>
      </c>
      <c r="B292" s="237">
        <v>5</v>
      </c>
      <c r="C292" s="40">
        <f>'[7]побудинковий звіт'!E292</f>
        <v>1950.8</v>
      </c>
      <c r="D292" s="215">
        <f t="shared" si="152"/>
        <v>1249.708438007937</v>
      </c>
      <c r="E292" s="107">
        <f t="shared" si="153"/>
        <v>274.93608596305393</v>
      </c>
      <c r="F292" s="107">
        <f t="shared" si="154"/>
        <v>59.688173434824854</v>
      </c>
      <c r="G292" s="107">
        <f t="shared" si="155"/>
        <v>0</v>
      </c>
      <c r="H292" s="107">
        <f t="shared" si="156"/>
        <v>1044.0997738058848</v>
      </c>
      <c r="I292" s="107">
        <f t="shared" si="157"/>
        <v>338.31299408048545</v>
      </c>
      <c r="J292" s="687">
        <f t="shared" si="145"/>
        <v>0</v>
      </c>
      <c r="K292" s="142">
        <f t="shared" si="158"/>
        <v>2966.7454652921861</v>
      </c>
      <c r="L292" s="141">
        <f t="shared" si="146"/>
        <v>363.43669249625691</v>
      </c>
      <c r="M292" s="107">
        <f t="shared" si="147"/>
        <v>79.955696014154583</v>
      </c>
      <c r="N292" s="30">
        <f t="shared" si="159"/>
        <v>40.103979699317833</v>
      </c>
      <c r="O292" s="107">
        <f t="shared" si="148"/>
        <v>3.5120436197058851</v>
      </c>
      <c r="P292" s="107">
        <f t="shared" si="160"/>
        <v>303.64215915271808</v>
      </c>
      <c r="Q292" s="107">
        <f t="shared" si="161"/>
        <v>101.76687621619082</v>
      </c>
      <c r="R292" s="143">
        <f t="shared" si="162"/>
        <v>892.41744719834412</v>
      </c>
      <c r="S292" s="141">
        <f t="shared" si="163"/>
        <v>62.26</v>
      </c>
      <c r="T292" s="107">
        <f t="shared" si="149"/>
        <v>8.0136610858946149</v>
      </c>
      <c r="U292" s="142">
        <f t="shared" si="164"/>
        <v>70.273661085894616</v>
      </c>
      <c r="V292" s="107"/>
      <c r="W292" s="107">
        <f t="shared" si="165"/>
        <v>0</v>
      </c>
      <c r="X292" s="142">
        <f t="shared" si="166"/>
        <v>0</v>
      </c>
      <c r="Y292" s="141">
        <v>0</v>
      </c>
      <c r="Z292" s="144">
        <v>0</v>
      </c>
      <c r="AA292" s="107">
        <f t="shared" si="150"/>
        <v>0</v>
      </c>
      <c r="AB292" s="142">
        <f t="shared" si="151"/>
        <v>0</v>
      </c>
      <c r="AC292" s="141">
        <v>0</v>
      </c>
      <c r="AD292" s="107">
        <f t="shared" si="167"/>
        <v>0</v>
      </c>
      <c r="AE292" s="142">
        <f t="shared" si="168"/>
        <v>0</v>
      </c>
      <c r="AF292" s="145">
        <v>202.4</v>
      </c>
      <c r="AG292" s="107">
        <f t="shared" si="169"/>
        <v>26.05147773506377</v>
      </c>
      <c r="AH292" s="142">
        <f t="shared" si="170"/>
        <v>228.45147773506378</v>
      </c>
      <c r="AI292" s="145">
        <v>0</v>
      </c>
      <c r="AJ292" s="107">
        <f t="shared" si="171"/>
        <v>0</v>
      </c>
      <c r="AK292" s="142">
        <f t="shared" si="172"/>
        <v>0</v>
      </c>
      <c r="AL292" s="146"/>
      <c r="AM292" s="215"/>
      <c r="AN292" s="107">
        <f t="shared" si="173"/>
        <v>0</v>
      </c>
      <c r="AO292" s="151">
        <f t="shared" si="174"/>
        <v>0</v>
      </c>
      <c r="AP292" s="282">
        <f t="shared" si="175"/>
        <v>1347.7861691814476</v>
      </c>
      <c r="AQ292" s="684">
        <v>141.24</v>
      </c>
      <c r="AR292" s="740">
        <v>1012.1206769304275</v>
      </c>
      <c r="AS292" s="740">
        <v>325.63988320834494</v>
      </c>
      <c r="AT292" s="740">
        <v>10.025609042675129</v>
      </c>
      <c r="AU292" s="411">
        <v>0</v>
      </c>
      <c r="AV292" s="801"/>
      <c r="AW292" s="256"/>
      <c r="AX292" s="728">
        <f t="shared" si="176"/>
        <v>59.688173434824854</v>
      </c>
      <c r="AY292" s="729">
        <v>40.103979699317833</v>
      </c>
      <c r="AZ292" s="730"/>
      <c r="BA292" s="731">
        <v>0</v>
      </c>
      <c r="BC292" s="727">
        <v>0</v>
      </c>
      <c r="BD292" s="727">
        <v>59.688173434824854</v>
      </c>
      <c r="BE292" s="727"/>
      <c r="BF292" s="727"/>
      <c r="BG292" s="727">
        <v>0</v>
      </c>
      <c r="BH292" s="727">
        <v>0</v>
      </c>
      <c r="BI292" s="137">
        <f t="shared" si="179"/>
        <v>59.688173434824854</v>
      </c>
      <c r="BJ292" s="126">
        <v>283</v>
      </c>
      <c r="BK292" s="807"/>
      <c r="BL292" s="107"/>
      <c r="BM292" s="687"/>
      <c r="BO292" s="577"/>
      <c r="BS292" s="904"/>
      <c r="BT292" s="789"/>
      <c r="BU292" s="789">
        <v>988.82986731329549</v>
      </c>
      <c r="BV292" s="789">
        <v>0</v>
      </c>
      <c r="BW292" s="789">
        <f t="shared" si="177"/>
        <v>988.82986731329549</v>
      </c>
    </row>
    <row r="293" spans="1:75" ht="15" thickBot="1" x14ac:dyDescent="0.35">
      <c r="A293" s="219" t="s">
        <v>298</v>
      </c>
      <c r="B293" s="237">
        <v>5</v>
      </c>
      <c r="C293" s="40">
        <f>'[7]побудинковий звіт'!E293</f>
        <v>4553.8999999999996</v>
      </c>
      <c r="D293" s="215">
        <f t="shared" si="152"/>
        <v>1918.8808985475102</v>
      </c>
      <c r="E293" s="107">
        <f t="shared" si="153"/>
        <v>422.15415022473405</v>
      </c>
      <c r="F293" s="107">
        <f t="shared" si="154"/>
        <v>134.66375938753336</v>
      </c>
      <c r="G293" s="107">
        <f t="shared" si="155"/>
        <v>0</v>
      </c>
      <c r="H293" s="107">
        <f t="shared" si="156"/>
        <v>1603.1764299579484</v>
      </c>
      <c r="I293" s="107">
        <f t="shared" si="157"/>
        <v>525.00359412019213</v>
      </c>
      <c r="J293" s="687">
        <f t="shared" si="145"/>
        <v>0</v>
      </c>
      <c r="K293" s="142">
        <f t="shared" si="158"/>
        <v>4603.8788322379187</v>
      </c>
      <c r="L293" s="141">
        <f t="shared" si="146"/>
        <v>860.09826813045925</v>
      </c>
      <c r="M293" s="107">
        <f t="shared" si="147"/>
        <v>189.22072836563714</v>
      </c>
      <c r="N293" s="30">
        <f t="shared" si="159"/>
        <v>90.479442776188648</v>
      </c>
      <c r="O293" s="107">
        <f t="shared" si="148"/>
        <v>8.1984290751377014</v>
      </c>
      <c r="P293" s="107">
        <f t="shared" si="160"/>
        <v>718.59033666870562</v>
      </c>
      <c r="Q293" s="107">
        <f t="shared" si="161"/>
        <v>240.25373029660363</v>
      </c>
      <c r="R293" s="143">
        <f t="shared" si="162"/>
        <v>2106.8409353127317</v>
      </c>
      <c r="S293" s="141">
        <f t="shared" si="163"/>
        <v>151.64599999999999</v>
      </c>
      <c r="T293" s="107">
        <f t="shared" si="149"/>
        <v>19.518786524760277</v>
      </c>
      <c r="U293" s="142">
        <f t="shared" si="164"/>
        <v>171.16478652476027</v>
      </c>
      <c r="V293" s="107"/>
      <c r="W293" s="107">
        <f t="shared" si="165"/>
        <v>0</v>
      </c>
      <c r="X293" s="142">
        <f t="shared" si="166"/>
        <v>0</v>
      </c>
      <c r="Y293" s="141">
        <v>0</v>
      </c>
      <c r="Z293" s="144">
        <v>0</v>
      </c>
      <c r="AA293" s="107">
        <f t="shared" si="150"/>
        <v>0</v>
      </c>
      <c r="AB293" s="142">
        <f t="shared" si="151"/>
        <v>0</v>
      </c>
      <c r="AC293" s="141">
        <v>0</v>
      </c>
      <c r="AD293" s="107">
        <f t="shared" si="167"/>
        <v>0</v>
      </c>
      <c r="AE293" s="142">
        <f t="shared" si="168"/>
        <v>0</v>
      </c>
      <c r="AF293" s="145">
        <v>334.4</v>
      </c>
      <c r="AG293" s="107">
        <f t="shared" si="169"/>
        <v>43.041571910105354</v>
      </c>
      <c r="AH293" s="142">
        <f t="shared" si="170"/>
        <v>377.44157191010532</v>
      </c>
      <c r="AI293" s="145">
        <v>0</v>
      </c>
      <c r="AJ293" s="107">
        <f t="shared" si="171"/>
        <v>0</v>
      </c>
      <c r="AK293" s="142">
        <f t="shared" si="172"/>
        <v>0</v>
      </c>
      <c r="AL293" s="146"/>
      <c r="AM293" s="146"/>
      <c r="AN293" s="107">
        <f t="shared" si="173"/>
        <v>0</v>
      </c>
      <c r="AO293" s="151">
        <f t="shared" si="174"/>
        <v>0</v>
      </c>
      <c r="AP293" s="282">
        <f t="shared" si="175"/>
        <v>2290.8982761011393</v>
      </c>
      <c r="AQ293" s="684">
        <v>274.42</v>
      </c>
      <c r="AR293" s="740">
        <v>1496.5224892941046</v>
      </c>
      <c r="AS293" s="740">
        <v>770.0710188219615</v>
      </c>
      <c r="AT293" s="740">
        <v>24.304767985073294</v>
      </c>
      <c r="AU293" s="411">
        <v>0</v>
      </c>
      <c r="AV293" s="801"/>
      <c r="AW293" s="256"/>
      <c r="AX293" s="728">
        <f t="shared" si="176"/>
        <v>134.66375938753336</v>
      </c>
      <c r="AY293" s="729">
        <v>90.479442776188648</v>
      </c>
      <c r="AZ293" s="730"/>
      <c r="BA293" s="731">
        <v>0</v>
      </c>
      <c r="BC293" s="727">
        <v>0</v>
      </c>
      <c r="BD293" s="727">
        <v>134.66375938753336</v>
      </c>
      <c r="BE293" s="727"/>
      <c r="BF293" s="727"/>
      <c r="BG293" s="727">
        <v>0</v>
      </c>
      <c r="BH293" s="727">
        <v>0</v>
      </c>
      <c r="BI293" s="137">
        <f t="shared" si="179"/>
        <v>134.66375938753336</v>
      </c>
      <c r="BJ293" s="126">
        <v>689.3</v>
      </c>
      <c r="BK293" s="807"/>
      <c r="BL293" s="107"/>
      <c r="BM293" s="687"/>
      <c r="BO293" s="577"/>
      <c r="BS293" s="904"/>
      <c r="BT293" s="789"/>
      <c r="BU293" s="789">
        <v>1468.7757424723522</v>
      </c>
      <c r="BV293" s="789">
        <v>0</v>
      </c>
      <c r="BW293" s="789">
        <f t="shared" si="177"/>
        <v>1468.7757424723522</v>
      </c>
    </row>
    <row r="294" spans="1:75" ht="15" thickBot="1" x14ac:dyDescent="0.35">
      <c r="A294" s="219" t="s">
        <v>299</v>
      </c>
      <c r="B294" s="237">
        <v>5</v>
      </c>
      <c r="C294" s="40">
        <f>'[7]побудинковий звіт'!E294</f>
        <v>2543.14</v>
      </c>
      <c r="D294" s="215">
        <f t="shared" si="152"/>
        <v>1339.960883531111</v>
      </c>
      <c r="E294" s="107">
        <f t="shared" si="153"/>
        <v>294.79164055968346</v>
      </c>
      <c r="F294" s="107">
        <f t="shared" si="154"/>
        <v>78.124792931392506</v>
      </c>
      <c r="G294" s="107">
        <f t="shared" si="155"/>
        <v>0</v>
      </c>
      <c r="H294" s="107">
        <f t="shared" si="156"/>
        <v>1119.5034080378682</v>
      </c>
      <c r="I294" s="107">
        <f t="shared" si="157"/>
        <v>364.56375195714327</v>
      </c>
      <c r="J294" s="687">
        <f t="shared" si="145"/>
        <v>0</v>
      </c>
      <c r="K294" s="142">
        <f t="shared" si="158"/>
        <v>3196.9444770171981</v>
      </c>
      <c r="L294" s="141">
        <f t="shared" si="146"/>
        <v>378.6066081333887</v>
      </c>
      <c r="M294" s="107">
        <f t="shared" si="147"/>
        <v>83.293061746029252</v>
      </c>
      <c r="N294" s="30">
        <f t="shared" si="159"/>
        <v>136.49138865264672</v>
      </c>
      <c r="O294" s="107">
        <f t="shared" si="148"/>
        <v>4.5784389025111869</v>
      </c>
      <c r="P294" s="107">
        <f t="shared" si="160"/>
        <v>316.31623976517778</v>
      </c>
      <c r="Q294" s="107">
        <f t="shared" si="161"/>
        <v>118.32387309694202</v>
      </c>
      <c r="R294" s="143">
        <f t="shared" si="162"/>
        <v>1037.6096102966956</v>
      </c>
      <c r="S294" s="141">
        <f t="shared" si="163"/>
        <v>0</v>
      </c>
      <c r="T294" s="107">
        <f t="shared" si="149"/>
        <v>0</v>
      </c>
      <c r="U294" s="142">
        <f t="shared" si="164"/>
        <v>0</v>
      </c>
      <c r="V294" s="107"/>
      <c r="W294" s="107">
        <f t="shared" si="165"/>
        <v>0</v>
      </c>
      <c r="X294" s="142">
        <f t="shared" si="166"/>
        <v>0</v>
      </c>
      <c r="Y294" s="141">
        <v>0</v>
      </c>
      <c r="Z294" s="144">
        <v>0</v>
      </c>
      <c r="AA294" s="107">
        <f t="shared" si="150"/>
        <v>0</v>
      </c>
      <c r="AB294" s="142">
        <f t="shared" si="151"/>
        <v>0</v>
      </c>
      <c r="AC294" s="141">
        <v>0</v>
      </c>
      <c r="AD294" s="107">
        <f t="shared" si="167"/>
        <v>0</v>
      </c>
      <c r="AE294" s="142">
        <f t="shared" si="168"/>
        <v>0</v>
      </c>
      <c r="AF294" s="145">
        <v>341</v>
      </c>
      <c r="AG294" s="107">
        <f t="shared" si="169"/>
        <v>43.89107661885744</v>
      </c>
      <c r="AH294" s="142">
        <f t="shared" si="170"/>
        <v>384.89107661885743</v>
      </c>
      <c r="AI294" s="145">
        <v>0</v>
      </c>
      <c r="AJ294" s="107">
        <f t="shared" si="171"/>
        <v>0</v>
      </c>
      <c r="AK294" s="142">
        <f t="shared" si="172"/>
        <v>0</v>
      </c>
      <c r="AL294" s="146">
        <v>765</v>
      </c>
      <c r="AM294" s="146"/>
      <c r="AN294" s="107">
        <f t="shared" si="173"/>
        <v>98.46531851444557</v>
      </c>
      <c r="AO294" s="151">
        <f t="shared" si="174"/>
        <v>863.46531851444558</v>
      </c>
      <c r="AP294" s="282">
        <f t="shared" si="175"/>
        <v>1535.1212354154297</v>
      </c>
      <c r="AQ294" s="684">
        <v>51.21</v>
      </c>
      <c r="AR294" s="740">
        <v>1185.4450026286374</v>
      </c>
      <c r="AS294" s="740">
        <v>349.6762327867923</v>
      </c>
      <c r="AT294" s="740">
        <v>0</v>
      </c>
      <c r="AU294" s="411">
        <v>0</v>
      </c>
      <c r="AV294" s="801"/>
      <c r="AW294" s="256"/>
      <c r="AX294" s="728">
        <f t="shared" si="176"/>
        <v>78.124792931392506</v>
      </c>
      <c r="AY294" s="729">
        <v>52.491388652646712</v>
      </c>
      <c r="AZ294" s="730"/>
      <c r="BA294" s="731">
        <v>84</v>
      </c>
      <c r="BC294" s="727">
        <v>0</v>
      </c>
      <c r="BD294" s="727">
        <v>78.124792931392506</v>
      </c>
      <c r="BE294" s="727"/>
      <c r="BF294" s="727"/>
      <c r="BG294" s="727">
        <v>0</v>
      </c>
      <c r="BH294" s="727">
        <v>0</v>
      </c>
      <c r="BI294" s="137">
        <f t="shared" si="179"/>
        <v>78.124792931392506</v>
      </c>
      <c r="BJ294" s="126"/>
      <c r="BK294" s="807"/>
      <c r="BL294" s="107"/>
      <c r="BM294" s="687"/>
      <c r="BO294" s="577"/>
      <c r="BS294" s="904"/>
      <c r="BT294" s="789"/>
      <c r="BU294" s="789">
        <v>1152.8314972049736</v>
      </c>
      <c r="BV294" s="789">
        <v>0</v>
      </c>
      <c r="BW294" s="789">
        <f t="shared" si="177"/>
        <v>1152.8314972049736</v>
      </c>
    </row>
    <row r="295" spans="1:75" ht="15" thickBot="1" x14ac:dyDescent="0.35">
      <c r="A295" s="219" t="s">
        <v>300</v>
      </c>
      <c r="B295" s="237">
        <v>5</v>
      </c>
      <c r="C295" s="40">
        <f>'[7]побудинковий звіт'!E295</f>
        <v>3000.6600000000003</v>
      </c>
      <c r="D295" s="215">
        <f t="shared" si="152"/>
        <v>1427.2671516129246</v>
      </c>
      <c r="E295" s="107">
        <f t="shared" si="153"/>
        <v>313.9990355779305</v>
      </c>
      <c r="F295" s="107">
        <f t="shared" si="154"/>
        <v>91.698486506021396</v>
      </c>
      <c r="G295" s="107">
        <f t="shared" si="155"/>
        <v>0</v>
      </c>
      <c r="H295" s="107">
        <f t="shared" si="156"/>
        <v>1192.445585575985</v>
      </c>
      <c r="I295" s="107">
        <f t="shared" si="157"/>
        <v>389.40913047865837</v>
      </c>
      <c r="J295" s="687">
        <f t="shared" si="145"/>
        <v>0</v>
      </c>
      <c r="K295" s="142">
        <f t="shared" si="158"/>
        <v>3414.8193897515198</v>
      </c>
      <c r="L295" s="141">
        <f t="shared" si="146"/>
        <v>499.9921824360631</v>
      </c>
      <c r="M295" s="107">
        <f t="shared" si="147"/>
        <v>109.99776239908223</v>
      </c>
      <c r="N295" s="30">
        <f t="shared" si="159"/>
        <v>61.611438743576002</v>
      </c>
      <c r="O295" s="107">
        <f t="shared" si="148"/>
        <v>5.402116469093019</v>
      </c>
      <c r="P295" s="107">
        <f t="shared" si="160"/>
        <v>417.73081521186674</v>
      </c>
      <c r="Q295" s="107">
        <f t="shared" si="161"/>
        <v>140.90635691599735</v>
      </c>
      <c r="R295" s="143">
        <f t="shared" si="162"/>
        <v>1235.6406721756784</v>
      </c>
      <c r="S295" s="141">
        <f t="shared" si="163"/>
        <v>0</v>
      </c>
      <c r="T295" s="107">
        <f t="shared" si="149"/>
        <v>0</v>
      </c>
      <c r="U295" s="142">
        <f t="shared" si="164"/>
        <v>0</v>
      </c>
      <c r="V295" s="107"/>
      <c r="W295" s="107">
        <f t="shared" si="165"/>
        <v>0</v>
      </c>
      <c r="X295" s="142">
        <f t="shared" si="166"/>
        <v>0</v>
      </c>
      <c r="Y295" s="141">
        <v>0</v>
      </c>
      <c r="Z295" s="144">
        <v>0</v>
      </c>
      <c r="AA295" s="107">
        <f t="shared" si="150"/>
        <v>0</v>
      </c>
      <c r="AB295" s="142">
        <f t="shared" si="151"/>
        <v>0</v>
      </c>
      <c r="AC295" s="141">
        <v>0</v>
      </c>
      <c r="AD295" s="107">
        <f t="shared" si="167"/>
        <v>0</v>
      </c>
      <c r="AE295" s="142">
        <f t="shared" si="168"/>
        <v>0</v>
      </c>
      <c r="AF295" s="145">
        <v>418</v>
      </c>
      <c r="AG295" s="107">
        <f t="shared" si="169"/>
        <v>53.801964887631698</v>
      </c>
      <c r="AH295" s="142">
        <f t="shared" si="170"/>
        <v>471.8019648876317</v>
      </c>
      <c r="AI295" s="145">
        <v>0</v>
      </c>
      <c r="AJ295" s="107">
        <f t="shared" si="171"/>
        <v>0</v>
      </c>
      <c r="AK295" s="142">
        <f t="shared" si="172"/>
        <v>0</v>
      </c>
      <c r="AL295" s="146"/>
      <c r="AM295" s="146"/>
      <c r="AN295" s="107">
        <f t="shared" si="173"/>
        <v>0</v>
      </c>
      <c r="AO295" s="151">
        <f t="shared" si="174"/>
        <v>0</v>
      </c>
      <c r="AP295" s="282">
        <f t="shared" si="175"/>
        <v>1708.7666904501284</v>
      </c>
      <c r="AQ295" s="684">
        <v>70.25</v>
      </c>
      <c r="AR295" s="740">
        <v>1246.9802899457504</v>
      </c>
      <c r="AS295" s="740">
        <v>461.78640050437798</v>
      </c>
      <c r="AT295" s="740">
        <v>0</v>
      </c>
      <c r="AU295" s="411">
        <v>0</v>
      </c>
      <c r="AV295" s="801"/>
      <c r="AW295" s="256"/>
      <c r="AX295" s="728">
        <f t="shared" si="176"/>
        <v>91.698486506021396</v>
      </c>
      <c r="AY295" s="729">
        <v>61.611438743576002</v>
      </c>
      <c r="AZ295" s="730"/>
      <c r="BA295" s="731">
        <v>0</v>
      </c>
      <c r="BC295" s="727">
        <v>0</v>
      </c>
      <c r="BD295" s="727">
        <v>91.698486506021396</v>
      </c>
      <c r="BE295" s="727"/>
      <c r="BF295" s="727"/>
      <c r="BG295" s="727">
        <v>0</v>
      </c>
      <c r="BH295" s="727">
        <v>0</v>
      </c>
      <c r="BI295" s="137">
        <f t="shared" si="179"/>
        <v>91.698486506021396</v>
      </c>
      <c r="BJ295" s="126"/>
      <c r="BK295" s="807"/>
      <c r="BL295" s="107"/>
      <c r="BM295" s="687"/>
      <c r="BO295" s="577"/>
      <c r="BS295" s="904"/>
      <c r="BT295" s="789"/>
      <c r="BU295" s="789">
        <v>1212.6617689764644</v>
      </c>
      <c r="BV295" s="789">
        <v>0</v>
      </c>
      <c r="BW295" s="789">
        <f t="shared" si="177"/>
        <v>1212.6617689764644</v>
      </c>
    </row>
    <row r="296" spans="1:75" ht="15" thickBot="1" x14ac:dyDescent="0.35">
      <c r="A296" s="219" t="s">
        <v>301</v>
      </c>
      <c r="B296" s="237">
        <v>5</v>
      </c>
      <c r="C296" s="40">
        <f>'[7]побудинковий звіт'!E296</f>
        <v>2616.1999999999998</v>
      </c>
      <c r="D296" s="215">
        <f t="shared" si="152"/>
        <v>2019.7358841636731</v>
      </c>
      <c r="E296" s="107">
        <f t="shared" si="153"/>
        <v>444.34226558976115</v>
      </c>
      <c r="F296" s="107">
        <f t="shared" si="154"/>
        <v>79.488430127987741</v>
      </c>
      <c r="G296" s="107">
        <f t="shared" si="155"/>
        <v>0</v>
      </c>
      <c r="H296" s="107">
        <f t="shared" si="156"/>
        <v>1687.4382181210226</v>
      </c>
      <c r="I296" s="107">
        <f t="shared" si="157"/>
        <v>544.58462100844201</v>
      </c>
      <c r="J296" s="687">
        <f t="shared" si="145"/>
        <v>0</v>
      </c>
      <c r="K296" s="142">
        <f t="shared" si="158"/>
        <v>4775.5894190108866</v>
      </c>
      <c r="L296" s="141">
        <f t="shared" si="146"/>
        <v>563.13142451431929</v>
      </c>
      <c r="M296" s="107">
        <f t="shared" si="147"/>
        <v>123.88833027625157</v>
      </c>
      <c r="N296" s="30">
        <f t="shared" si="159"/>
        <v>53.407604969924449</v>
      </c>
      <c r="O296" s="107">
        <f t="shared" si="148"/>
        <v>4.7099695088551039</v>
      </c>
      <c r="P296" s="107">
        <f t="shared" si="160"/>
        <v>470.48205411465119</v>
      </c>
      <c r="Q296" s="107">
        <f t="shared" si="161"/>
        <v>156.46581670227403</v>
      </c>
      <c r="R296" s="143">
        <f t="shared" si="162"/>
        <v>1372.0852000862756</v>
      </c>
      <c r="S296" s="141">
        <f t="shared" si="163"/>
        <v>102.01400000000001</v>
      </c>
      <c r="T296" s="107">
        <f t="shared" si="149"/>
        <v>13.130511114944643</v>
      </c>
      <c r="U296" s="142">
        <f t="shared" si="164"/>
        <v>115.14451111494465</v>
      </c>
      <c r="V296" s="107"/>
      <c r="W296" s="107">
        <f t="shared" si="165"/>
        <v>0</v>
      </c>
      <c r="X296" s="142">
        <f t="shared" si="166"/>
        <v>0</v>
      </c>
      <c r="Y296" s="141">
        <v>0</v>
      </c>
      <c r="Z296" s="144">
        <v>0</v>
      </c>
      <c r="AA296" s="107">
        <f t="shared" si="150"/>
        <v>0</v>
      </c>
      <c r="AB296" s="142">
        <f t="shared" si="151"/>
        <v>0</v>
      </c>
      <c r="AC296" s="141">
        <v>0</v>
      </c>
      <c r="AD296" s="107">
        <f t="shared" si="167"/>
        <v>0</v>
      </c>
      <c r="AE296" s="142">
        <f t="shared" si="168"/>
        <v>0</v>
      </c>
      <c r="AF296" s="145">
        <v>110</v>
      </c>
      <c r="AG296" s="107">
        <f t="shared" si="169"/>
        <v>14.158411812534657</v>
      </c>
      <c r="AH296" s="142">
        <f t="shared" si="170"/>
        <v>124.15841181253465</v>
      </c>
      <c r="AI296" s="145">
        <v>0</v>
      </c>
      <c r="AJ296" s="107">
        <f t="shared" si="171"/>
        <v>0</v>
      </c>
      <c r="AK296" s="142">
        <f t="shared" si="172"/>
        <v>0</v>
      </c>
      <c r="AL296" s="146"/>
      <c r="AM296" s="401"/>
      <c r="AN296" s="107">
        <f t="shared" si="173"/>
        <v>0</v>
      </c>
      <c r="AO296" s="151">
        <f t="shared" si="174"/>
        <v>0</v>
      </c>
      <c r="AP296" s="282">
        <f t="shared" si="175"/>
        <v>1993.0629385440902</v>
      </c>
      <c r="AQ296" s="684">
        <v>391.06</v>
      </c>
      <c r="AR296" s="740">
        <v>1472.961939623724</v>
      </c>
      <c r="AS296" s="740">
        <v>503.77613205279062</v>
      </c>
      <c r="AT296" s="740">
        <v>16.32486686757554</v>
      </c>
      <c r="AU296" s="411">
        <v>0</v>
      </c>
      <c r="AV296" s="801"/>
      <c r="AW296" s="256"/>
      <c r="AX296" s="728">
        <f t="shared" si="176"/>
        <v>79.488430127987741</v>
      </c>
      <c r="AY296" s="729">
        <v>53.407604969924449</v>
      </c>
      <c r="AZ296" s="730"/>
      <c r="BA296" s="731">
        <v>0</v>
      </c>
      <c r="BC296" s="727">
        <v>0</v>
      </c>
      <c r="BD296" s="727">
        <v>79.488430127987741</v>
      </c>
      <c r="BE296" s="727"/>
      <c r="BF296" s="727"/>
      <c r="BG296" s="727">
        <v>0</v>
      </c>
      <c r="BH296" s="727">
        <v>0</v>
      </c>
      <c r="BI296" s="137">
        <f t="shared" si="179"/>
        <v>79.488430127987741</v>
      </c>
      <c r="BJ296" s="126">
        <v>463.7</v>
      </c>
      <c r="BK296" s="807"/>
      <c r="BL296" s="107"/>
      <c r="BM296" s="687"/>
      <c r="BO296" s="577"/>
      <c r="BS296" s="904"/>
      <c r="BT296" s="789"/>
      <c r="BU296" s="789">
        <v>1432.436975472627</v>
      </c>
      <c r="BV296" s="789">
        <v>0</v>
      </c>
      <c r="BW296" s="789">
        <f t="shared" si="177"/>
        <v>1432.436975472627</v>
      </c>
    </row>
    <row r="297" spans="1:75" ht="15" thickBot="1" x14ac:dyDescent="0.35">
      <c r="A297" s="219" t="s">
        <v>302</v>
      </c>
      <c r="B297" s="237">
        <v>5</v>
      </c>
      <c r="C297" s="40">
        <f>'[7]побудинковий звіт'!E297</f>
        <v>2951.8</v>
      </c>
      <c r="D297" s="215">
        <f t="shared" si="152"/>
        <v>2277.3507044278804</v>
      </c>
      <c r="E297" s="107">
        <f t="shared" si="153"/>
        <v>501.01757337788615</v>
      </c>
      <c r="F297" s="107">
        <f t="shared" si="154"/>
        <v>93.439722791808336</v>
      </c>
      <c r="G297" s="107">
        <f t="shared" si="155"/>
        <v>0</v>
      </c>
      <c r="H297" s="107">
        <f t="shared" si="156"/>
        <v>1902.6688810392116</v>
      </c>
      <c r="I297" s="107">
        <f t="shared" si="157"/>
        <v>614.536453451272</v>
      </c>
      <c r="J297" s="687">
        <f t="shared" si="145"/>
        <v>0</v>
      </c>
      <c r="K297" s="142">
        <f t="shared" si="158"/>
        <v>5389.0133350880587</v>
      </c>
      <c r="L297" s="141">
        <f t="shared" si="146"/>
        <v>480.25708278060546</v>
      </c>
      <c r="M297" s="107">
        <f t="shared" si="147"/>
        <v>105.65606091037779</v>
      </c>
      <c r="N297" s="30">
        <f t="shared" si="159"/>
        <v>62.781360700279279</v>
      </c>
      <c r="O297" s="107">
        <f t="shared" si="148"/>
        <v>5.3141533507524255</v>
      </c>
      <c r="P297" s="107">
        <f t="shared" si="160"/>
        <v>401.2426388823979</v>
      </c>
      <c r="Q297" s="107">
        <f t="shared" si="161"/>
        <v>135.82438566654181</v>
      </c>
      <c r="R297" s="143">
        <f t="shared" si="162"/>
        <v>1191.0756822909545</v>
      </c>
      <c r="S297" s="141">
        <f t="shared" si="163"/>
        <v>0</v>
      </c>
      <c r="T297" s="107">
        <f t="shared" si="149"/>
        <v>0</v>
      </c>
      <c r="U297" s="142">
        <f t="shared" si="164"/>
        <v>0</v>
      </c>
      <c r="V297" s="107"/>
      <c r="W297" s="107">
        <f t="shared" si="165"/>
        <v>0</v>
      </c>
      <c r="X297" s="142">
        <f t="shared" si="166"/>
        <v>0</v>
      </c>
      <c r="Y297" s="141">
        <v>0</v>
      </c>
      <c r="Z297" s="144">
        <v>0</v>
      </c>
      <c r="AA297" s="107">
        <f t="shared" si="150"/>
        <v>0</v>
      </c>
      <c r="AB297" s="142">
        <f t="shared" si="151"/>
        <v>0</v>
      </c>
      <c r="AC297" s="141">
        <v>0</v>
      </c>
      <c r="AD297" s="107">
        <f t="shared" si="167"/>
        <v>0</v>
      </c>
      <c r="AE297" s="142">
        <f t="shared" si="168"/>
        <v>0</v>
      </c>
      <c r="AF297" s="145">
        <v>451</v>
      </c>
      <c r="AG297" s="107">
        <f t="shared" si="169"/>
        <v>58.049488431392092</v>
      </c>
      <c r="AH297" s="142">
        <f t="shared" si="170"/>
        <v>509.04948843139209</v>
      </c>
      <c r="AI297" s="145">
        <v>0</v>
      </c>
      <c r="AJ297" s="107">
        <f t="shared" si="171"/>
        <v>0</v>
      </c>
      <c r="AK297" s="142">
        <f t="shared" si="172"/>
        <v>0</v>
      </c>
      <c r="AL297" s="146"/>
      <c r="AM297" s="146"/>
      <c r="AN297" s="107">
        <f t="shared" si="173"/>
        <v>0</v>
      </c>
      <c r="AO297" s="151">
        <f t="shared" si="174"/>
        <v>0</v>
      </c>
      <c r="AP297" s="282">
        <f t="shared" si="175"/>
        <v>1951.34495262171</v>
      </c>
      <c r="AQ297" s="684">
        <v>593.99</v>
      </c>
      <c r="AR297" s="740">
        <v>1507.7856383671342</v>
      </c>
      <c r="AS297" s="740">
        <v>443.55931425457572</v>
      </c>
      <c r="AT297" s="740">
        <v>0</v>
      </c>
      <c r="AU297" s="411">
        <v>0</v>
      </c>
      <c r="AV297" s="801"/>
      <c r="AW297" s="256"/>
      <c r="AX297" s="728">
        <f t="shared" si="176"/>
        <v>93.439722791808336</v>
      </c>
      <c r="AY297" s="729">
        <v>62.781360700279279</v>
      </c>
      <c r="AZ297" s="730"/>
      <c r="BA297" s="731">
        <v>0</v>
      </c>
      <c r="BC297" s="727">
        <v>0</v>
      </c>
      <c r="BD297" s="727">
        <v>93.439722791808336</v>
      </c>
      <c r="BE297" s="727"/>
      <c r="BF297" s="727"/>
      <c r="BG297" s="727">
        <v>0</v>
      </c>
      <c r="BH297" s="727">
        <v>0</v>
      </c>
      <c r="BI297" s="137">
        <f t="shared" si="179"/>
        <v>93.439722791808336</v>
      </c>
      <c r="BJ297" s="126"/>
      <c r="BK297" s="807"/>
      <c r="BL297" s="107"/>
      <c r="BM297" s="687"/>
      <c r="BO297" s="577"/>
      <c r="BS297" s="904"/>
      <c r="BT297" s="789"/>
      <c r="BU297" s="789">
        <v>1466.305458957891</v>
      </c>
      <c r="BV297" s="789">
        <v>0</v>
      </c>
      <c r="BW297" s="789">
        <f t="shared" si="177"/>
        <v>1466.305458957891</v>
      </c>
    </row>
    <row r="298" spans="1:75" ht="15" thickBot="1" x14ac:dyDescent="0.35">
      <c r="A298" s="219" t="s">
        <v>303</v>
      </c>
      <c r="B298" s="237">
        <v>5</v>
      </c>
      <c r="C298" s="40">
        <f>'[7]побудинковий звіт'!E298</f>
        <v>2595.52</v>
      </c>
      <c r="D298" s="215">
        <f t="shared" si="152"/>
        <v>1663.7959487377823</v>
      </c>
      <c r="E298" s="107">
        <f t="shared" si="153"/>
        <v>366.03541440139219</v>
      </c>
      <c r="F298" s="107">
        <f t="shared" si="154"/>
        <v>79.357569876834646</v>
      </c>
      <c r="G298" s="107">
        <f t="shared" si="155"/>
        <v>0</v>
      </c>
      <c r="H298" s="107">
        <f t="shared" si="156"/>
        <v>1390.0594097814942</v>
      </c>
      <c r="I298" s="107">
        <f t="shared" si="157"/>
        <v>450.39817337869539</v>
      </c>
      <c r="J298" s="687">
        <f t="shared" si="145"/>
        <v>0</v>
      </c>
      <c r="K298" s="142">
        <f t="shared" si="158"/>
        <v>3949.6465161761989</v>
      </c>
      <c r="L298" s="141">
        <f t="shared" si="146"/>
        <v>575.10155642433358</v>
      </c>
      <c r="M298" s="107">
        <f t="shared" si="147"/>
        <v>126.52174690150409</v>
      </c>
      <c r="N298" s="30">
        <f t="shared" si="159"/>
        <v>53.319681072212589</v>
      </c>
      <c r="O298" s="107">
        <f t="shared" si="148"/>
        <v>4.6727391100159004</v>
      </c>
      <c r="P298" s="107">
        <f t="shared" si="160"/>
        <v>480.48279639946338</v>
      </c>
      <c r="Q298" s="107">
        <f t="shared" si="161"/>
        <v>159.61659575423189</v>
      </c>
      <c r="R298" s="143">
        <f t="shared" si="162"/>
        <v>1399.7151156617613</v>
      </c>
      <c r="S298" s="141">
        <f t="shared" si="163"/>
        <v>123.17360000000001</v>
      </c>
      <c r="T298" s="107">
        <f t="shared" si="149"/>
        <v>15.854023211203808</v>
      </c>
      <c r="U298" s="142">
        <f t="shared" si="164"/>
        <v>139.0276232112038</v>
      </c>
      <c r="V298" s="107"/>
      <c r="W298" s="107">
        <f t="shared" si="165"/>
        <v>0</v>
      </c>
      <c r="X298" s="142">
        <f t="shared" si="166"/>
        <v>0</v>
      </c>
      <c r="Y298" s="141">
        <v>0</v>
      </c>
      <c r="Z298" s="144">
        <v>0</v>
      </c>
      <c r="AA298" s="107">
        <f t="shared" si="150"/>
        <v>0</v>
      </c>
      <c r="AB298" s="142">
        <f t="shared" si="151"/>
        <v>0</v>
      </c>
      <c r="AC298" s="141">
        <v>0</v>
      </c>
      <c r="AD298" s="107">
        <f t="shared" si="167"/>
        <v>0</v>
      </c>
      <c r="AE298" s="142">
        <f t="shared" si="168"/>
        <v>0</v>
      </c>
      <c r="AF298" s="145">
        <v>231</v>
      </c>
      <c r="AG298" s="107">
        <f t="shared" si="169"/>
        <v>29.732664806322781</v>
      </c>
      <c r="AH298" s="142">
        <f t="shared" si="170"/>
        <v>260.73266480632276</v>
      </c>
      <c r="AI298" s="145">
        <v>0</v>
      </c>
      <c r="AJ298" s="107">
        <f t="shared" si="171"/>
        <v>0</v>
      </c>
      <c r="AK298" s="142">
        <f t="shared" si="172"/>
        <v>0</v>
      </c>
      <c r="AL298" s="146"/>
      <c r="AM298" s="401"/>
      <c r="AN298" s="107">
        <f t="shared" si="173"/>
        <v>0</v>
      </c>
      <c r="AO298" s="151">
        <f t="shared" si="174"/>
        <v>0</v>
      </c>
      <c r="AP298" s="282">
        <f t="shared" si="175"/>
        <v>1597.3000776585918</v>
      </c>
      <c r="AQ298" s="684">
        <v>469.38</v>
      </c>
      <c r="AR298" s="740">
        <v>1066.1436176281015</v>
      </c>
      <c r="AS298" s="740">
        <v>511.40820599367635</v>
      </c>
      <c r="AT298" s="740">
        <v>19.748254036814021</v>
      </c>
      <c r="AU298" s="411">
        <v>0</v>
      </c>
      <c r="AV298" s="801"/>
      <c r="AW298" s="256"/>
      <c r="AX298" s="728">
        <f t="shared" si="176"/>
        <v>79.357569876834646</v>
      </c>
      <c r="AY298" s="729">
        <v>53.319681072212589</v>
      </c>
      <c r="AZ298" s="730"/>
      <c r="BA298" s="731">
        <v>0</v>
      </c>
      <c r="BC298" s="727">
        <v>0</v>
      </c>
      <c r="BD298" s="727">
        <v>79.357569876834646</v>
      </c>
      <c r="BE298" s="727"/>
      <c r="BF298" s="727"/>
      <c r="BG298" s="727">
        <v>0</v>
      </c>
      <c r="BH298" s="727">
        <v>0</v>
      </c>
      <c r="BI298" s="137">
        <f t="shared" si="179"/>
        <v>79.357569876834646</v>
      </c>
      <c r="BJ298" s="126">
        <v>559.88</v>
      </c>
      <c r="BK298" s="807"/>
      <c r="BL298" s="107"/>
      <c r="BM298" s="687"/>
      <c r="BO298" s="577"/>
      <c r="BS298" s="904"/>
      <c r="BT298" s="789"/>
      <c r="BU298" s="789">
        <v>1057.5997689074065</v>
      </c>
      <c r="BV298" s="789">
        <v>0</v>
      </c>
      <c r="BW298" s="789">
        <f t="shared" si="177"/>
        <v>1057.5997689074065</v>
      </c>
    </row>
    <row r="299" spans="1:75" ht="15" thickBot="1" x14ac:dyDescent="0.35">
      <c r="A299" s="260" t="s">
        <v>188</v>
      </c>
      <c r="B299" s="237">
        <v>2</v>
      </c>
      <c r="C299" s="40">
        <f>'[7]побудинковий звіт'!E299</f>
        <v>373.3</v>
      </c>
      <c r="D299" s="215">
        <f t="shared" si="152"/>
        <v>136.98224110337995</v>
      </c>
      <c r="E299" s="107">
        <f t="shared" si="153"/>
        <v>30.13611820965512</v>
      </c>
      <c r="F299" s="107">
        <f t="shared" si="154"/>
        <v>242.81348226857239</v>
      </c>
      <c r="G299" s="107">
        <f t="shared" si="155"/>
        <v>0</v>
      </c>
      <c r="H299" s="107">
        <f t="shared" si="156"/>
        <v>114.44519585659853</v>
      </c>
      <c r="I299" s="107">
        <f t="shared" si="157"/>
        <v>67.49405491897295</v>
      </c>
      <c r="J299" s="687">
        <f t="shared" si="145"/>
        <v>0</v>
      </c>
      <c r="K299" s="142">
        <f t="shared" si="158"/>
        <v>591.8710923571789</v>
      </c>
      <c r="L299" s="141">
        <f t="shared" si="146"/>
        <v>56.725888391542398</v>
      </c>
      <c r="M299" s="107">
        <f t="shared" si="147"/>
        <v>12.47963670705521</v>
      </c>
      <c r="N299" s="30">
        <f t="shared" si="159"/>
        <v>7.2703884606945302</v>
      </c>
      <c r="O299" s="107">
        <f t="shared" si="148"/>
        <v>0.67205550709258099</v>
      </c>
      <c r="P299" s="107">
        <f t="shared" si="160"/>
        <v>47.393044199139133</v>
      </c>
      <c r="Q299" s="107">
        <f t="shared" si="161"/>
        <v>16.030026848760258</v>
      </c>
      <c r="R299" s="143">
        <f t="shared" si="162"/>
        <v>140.5710401142841</v>
      </c>
      <c r="S299" s="141">
        <f t="shared" si="163"/>
        <v>0</v>
      </c>
      <c r="T299" s="107">
        <f t="shared" si="149"/>
        <v>0</v>
      </c>
      <c r="U299" s="142">
        <f t="shared" si="164"/>
        <v>0</v>
      </c>
      <c r="V299" s="107"/>
      <c r="W299" s="107">
        <f t="shared" si="165"/>
        <v>0</v>
      </c>
      <c r="X299" s="142">
        <f t="shared" si="166"/>
        <v>0</v>
      </c>
      <c r="Y299" s="141">
        <v>0</v>
      </c>
      <c r="Z299" s="144">
        <v>0</v>
      </c>
      <c r="AA299" s="107">
        <f t="shared" si="150"/>
        <v>0</v>
      </c>
      <c r="AB299" s="142">
        <f t="shared" si="151"/>
        <v>0</v>
      </c>
      <c r="AC299" s="141">
        <v>0</v>
      </c>
      <c r="AD299" s="107">
        <f t="shared" si="167"/>
        <v>0</v>
      </c>
      <c r="AE299" s="142">
        <f t="shared" si="168"/>
        <v>0</v>
      </c>
      <c r="AF299" s="145">
        <v>48.4</v>
      </c>
      <c r="AG299" s="107">
        <f t="shared" si="169"/>
        <v>6.229701197515249</v>
      </c>
      <c r="AH299" s="142">
        <f t="shared" si="170"/>
        <v>54.629701197515246</v>
      </c>
      <c r="AI299" s="145">
        <v>0</v>
      </c>
      <c r="AJ299" s="107">
        <f t="shared" si="171"/>
        <v>0</v>
      </c>
      <c r="AK299" s="142">
        <f t="shared" si="172"/>
        <v>0</v>
      </c>
      <c r="AL299" s="146"/>
      <c r="AM299" s="215"/>
      <c r="AN299" s="107">
        <f t="shared" si="173"/>
        <v>0</v>
      </c>
      <c r="AO299" s="151">
        <f t="shared" si="174"/>
        <v>0</v>
      </c>
      <c r="AP299" s="282">
        <f t="shared" si="175"/>
        <v>126.27571890133098</v>
      </c>
      <c r="AQ299" s="684">
        <v>48.69</v>
      </c>
      <c r="AR299" s="411">
        <v>73.884412125063164</v>
      </c>
      <c r="AS299" s="411">
        <v>52.391306776267811</v>
      </c>
      <c r="AT299" s="411">
        <v>0</v>
      </c>
      <c r="AU299" s="411">
        <v>0</v>
      </c>
      <c r="AV299" s="742">
        <v>3.8470198837346334</v>
      </c>
      <c r="AW299" s="256"/>
      <c r="AX299" s="728">
        <f t="shared" si="176"/>
        <v>8.7934822685723724</v>
      </c>
      <c r="AY299" s="729">
        <v>7.2703884606945302</v>
      </c>
      <c r="AZ299" s="730"/>
      <c r="BA299" s="731">
        <v>0</v>
      </c>
      <c r="BB299" s="742"/>
      <c r="BC299" s="727">
        <v>0</v>
      </c>
      <c r="BD299" s="727">
        <v>8.7934822685723724</v>
      </c>
      <c r="BE299" s="727"/>
      <c r="BF299" s="727"/>
      <c r="BG299" s="727">
        <v>0</v>
      </c>
      <c r="BH299" s="727">
        <v>0</v>
      </c>
      <c r="BI299" s="137">
        <f t="shared" si="179"/>
        <v>8.7934822685723724</v>
      </c>
      <c r="BJ299" s="126"/>
      <c r="BK299" s="807"/>
      <c r="BL299" s="107"/>
      <c r="BM299" s="687">
        <v>234.02</v>
      </c>
      <c r="BO299" s="577"/>
      <c r="BS299" s="904"/>
      <c r="BT299" s="789"/>
      <c r="BU299" s="789">
        <v>99.76864562653553</v>
      </c>
      <c r="BV299" s="789">
        <v>0</v>
      </c>
      <c r="BW299" s="789">
        <f t="shared" si="177"/>
        <v>99.76864562653553</v>
      </c>
    </row>
    <row r="300" spans="1:75" ht="15" thickBot="1" x14ac:dyDescent="0.35">
      <c r="A300" s="219" t="s">
        <v>304</v>
      </c>
      <c r="B300" s="237">
        <v>5</v>
      </c>
      <c r="C300" s="40">
        <f>'[7]побудинковий звіт'!E300</f>
        <v>3609.1000000000004</v>
      </c>
      <c r="D300" s="215">
        <f t="shared" si="152"/>
        <v>2231.8379349087722</v>
      </c>
      <c r="E300" s="107">
        <f t="shared" si="153"/>
        <v>491.00475572189885</v>
      </c>
      <c r="F300" s="107">
        <f t="shared" si="154"/>
        <v>98.830064445614099</v>
      </c>
      <c r="G300" s="107">
        <f t="shared" si="155"/>
        <v>0</v>
      </c>
      <c r="H300" s="107">
        <f t="shared" si="156"/>
        <v>1864.6441138895809</v>
      </c>
      <c r="I300" s="107">
        <f t="shared" si="157"/>
        <v>603.18912831678858</v>
      </c>
      <c r="J300" s="687">
        <f t="shared" si="145"/>
        <v>0</v>
      </c>
      <c r="K300" s="142">
        <f t="shared" si="158"/>
        <v>5289.5059972826548</v>
      </c>
      <c r="L300" s="141">
        <f t="shared" si="146"/>
        <v>518.68288219473811</v>
      </c>
      <c r="M300" s="107">
        <f t="shared" si="147"/>
        <v>114.10969699196005</v>
      </c>
      <c r="N300" s="30">
        <f t="shared" si="159"/>
        <v>66.403085739204457</v>
      </c>
      <c r="O300" s="107">
        <f t="shared" si="148"/>
        <v>6.4974967335864831</v>
      </c>
      <c r="P300" s="107">
        <f t="shared" si="160"/>
        <v>433.34642185801658</v>
      </c>
      <c r="Q300" s="107">
        <f t="shared" si="161"/>
        <v>146.60901358380735</v>
      </c>
      <c r="R300" s="143">
        <f t="shared" si="162"/>
        <v>1285.648597101313</v>
      </c>
      <c r="S300" s="141">
        <f t="shared" si="163"/>
        <v>2.75</v>
      </c>
      <c r="T300" s="107">
        <f t="shared" si="149"/>
        <v>0.35396029531336642</v>
      </c>
      <c r="U300" s="142">
        <f t="shared" si="164"/>
        <v>3.1039602953133665</v>
      </c>
      <c r="V300" s="107"/>
      <c r="W300" s="107">
        <f t="shared" si="165"/>
        <v>0</v>
      </c>
      <c r="X300" s="142">
        <f t="shared" si="166"/>
        <v>0</v>
      </c>
      <c r="Y300" s="141">
        <v>0</v>
      </c>
      <c r="Z300" s="144">
        <v>0</v>
      </c>
      <c r="AA300" s="107">
        <f t="shared" si="150"/>
        <v>0</v>
      </c>
      <c r="AB300" s="142">
        <f t="shared" si="151"/>
        <v>0</v>
      </c>
      <c r="AC300" s="141">
        <v>0</v>
      </c>
      <c r="AD300" s="107">
        <f t="shared" si="167"/>
        <v>0</v>
      </c>
      <c r="AE300" s="142">
        <f t="shared" si="168"/>
        <v>0</v>
      </c>
      <c r="AF300" s="145">
        <v>506</v>
      </c>
      <c r="AG300" s="107">
        <f t="shared" si="169"/>
        <v>65.128694337659425</v>
      </c>
      <c r="AH300" s="142">
        <f t="shared" si="170"/>
        <v>571.12869433765945</v>
      </c>
      <c r="AI300" s="145">
        <v>0</v>
      </c>
      <c r="AJ300" s="107">
        <f t="shared" si="171"/>
        <v>0</v>
      </c>
      <c r="AK300" s="142">
        <f t="shared" si="172"/>
        <v>0</v>
      </c>
      <c r="AL300" s="146"/>
      <c r="AM300" s="401"/>
      <c r="AN300" s="107">
        <f t="shared" si="173"/>
        <v>0</v>
      </c>
      <c r="AO300" s="151">
        <f t="shared" si="174"/>
        <v>0</v>
      </c>
      <c r="AP300" s="282">
        <f t="shared" si="175"/>
        <v>2338.6106223779343</v>
      </c>
      <c r="AQ300" s="684">
        <v>200.21</v>
      </c>
      <c r="AR300" s="740">
        <v>1859.5617300433562</v>
      </c>
      <c r="AS300" s="740">
        <v>478.60533787943803</v>
      </c>
      <c r="AT300" s="740">
        <v>0.44355445514028424</v>
      </c>
      <c r="AU300" s="411">
        <v>0</v>
      </c>
      <c r="AV300" s="801"/>
      <c r="AW300" s="256"/>
      <c r="AX300" s="728">
        <f t="shared" si="176"/>
        <v>98.830064445614099</v>
      </c>
      <c r="AY300" s="729">
        <v>66.403085739204457</v>
      </c>
      <c r="AZ300" s="730"/>
      <c r="BA300" s="731">
        <v>0</v>
      </c>
      <c r="BC300" s="727">
        <v>0</v>
      </c>
      <c r="BD300" s="727">
        <v>98.830064445614099</v>
      </c>
      <c r="BE300" s="727"/>
      <c r="BF300" s="727"/>
      <c r="BG300" s="727">
        <v>0</v>
      </c>
      <c r="BH300" s="727">
        <v>0</v>
      </c>
      <c r="BI300" s="137">
        <f t="shared" si="179"/>
        <v>98.830064445614099</v>
      </c>
      <c r="BJ300" s="126">
        <v>12.5</v>
      </c>
      <c r="BK300" s="807"/>
      <c r="BL300" s="107"/>
      <c r="BM300" s="687"/>
      <c r="BO300" s="577"/>
      <c r="BS300" s="904"/>
      <c r="BT300" s="789"/>
      <c r="BU300" s="789">
        <v>1825.0754081803682</v>
      </c>
      <c r="BV300" s="789">
        <v>0</v>
      </c>
      <c r="BW300" s="789">
        <f t="shared" si="177"/>
        <v>1825.0754081803682</v>
      </c>
    </row>
    <row r="301" spans="1:75" ht="15" thickBot="1" x14ac:dyDescent="0.35">
      <c r="A301" s="219" t="s">
        <v>229</v>
      </c>
      <c r="B301" s="237">
        <v>4</v>
      </c>
      <c r="C301" s="40">
        <f>'[7]побудинковий звіт'!E301</f>
        <v>2695.6400000000003</v>
      </c>
      <c r="D301" s="215">
        <f t="shared" si="152"/>
        <v>2196.6518795200172</v>
      </c>
      <c r="E301" s="107">
        <f t="shared" si="153"/>
        <v>483.26381707185345</v>
      </c>
      <c r="F301" s="107">
        <f t="shared" si="154"/>
        <v>74.824546317031803</v>
      </c>
      <c r="G301" s="107">
        <f t="shared" si="155"/>
        <v>0</v>
      </c>
      <c r="H301" s="107">
        <f t="shared" si="156"/>
        <v>1835.2470550595381</v>
      </c>
      <c r="I301" s="107">
        <f t="shared" si="157"/>
        <v>590.79027617218549</v>
      </c>
      <c r="J301" s="687">
        <f t="shared" si="145"/>
        <v>0</v>
      </c>
      <c r="K301" s="142">
        <f t="shared" si="158"/>
        <v>5180.7775741406258</v>
      </c>
      <c r="L301" s="141">
        <f t="shared" si="146"/>
        <v>564.12125341118337</v>
      </c>
      <c r="M301" s="107">
        <f t="shared" si="147"/>
        <v>124.10609160860383</v>
      </c>
      <c r="N301" s="30">
        <f t="shared" si="159"/>
        <v>50.273980821100587</v>
      </c>
      <c r="O301" s="107">
        <f t="shared" si="148"/>
        <v>4.8529860893089873</v>
      </c>
      <c r="P301" s="107">
        <f t="shared" si="160"/>
        <v>471.30903110855684</v>
      </c>
      <c r="Q301" s="107">
        <f t="shared" si="161"/>
        <v>156.34276203938842</v>
      </c>
      <c r="R301" s="143">
        <f t="shared" si="162"/>
        <v>1371.0061050781421</v>
      </c>
      <c r="S301" s="141">
        <f t="shared" si="163"/>
        <v>0</v>
      </c>
      <c r="T301" s="107">
        <f t="shared" si="149"/>
        <v>0</v>
      </c>
      <c r="U301" s="142">
        <f t="shared" si="164"/>
        <v>0</v>
      </c>
      <c r="V301" s="107"/>
      <c r="W301" s="107">
        <f t="shared" si="165"/>
        <v>0</v>
      </c>
      <c r="X301" s="142">
        <f t="shared" si="166"/>
        <v>0</v>
      </c>
      <c r="Y301" s="141">
        <v>0</v>
      </c>
      <c r="Z301" s="144">
        <v>0</v>
      </c>
      <c r="AA301" s="107">
        <f t="shared" si="150"/>
        <v>0</v>
      </c>
      <c r="AB301" s="142">
        <f t="shared" si="151"/>
        <v>0</v>
      </c>
      <c r="AC301" s="141">
        <v>0</v>
      </c>
      <c r="AD301" s="107">
        <f t="shared" si="167"/>
        <v>0</v>
      </c>
      <c r="AE301" s="142">
        <f t="shared" si="168"/>
        <v>0</v>
      </c>
      <c r="AF301" s="145">
        <v>248.6</v>
      </c>
      <c r="AG301" s="107">
        <f t="shared" si="169"/>
        <v>31.998010696328326</v>
      </c>
      <c r="AH301" s="142">
        <f t="shared" si="170"/>
        <v>280.59801069632834</v>
      </c>
      <c r="AI301" s="145">
        <v>0</v>
      </c>
      <c r="AJ301" s="107">
        <f t="shared" si="171"/>
        <v>0</v>
      </c>
      <c r="AK301" s="142">
        <f t="shared" si="172"/>
        <v>0</v>
      </c>
      <c r="AL301" s="146"/>
      <c r="AM301" s="401"/>
      <c r="AN301" s="107">
        <f t="shared" si="173"/>
        <v>0</v>
      </c>
      <c r="AO301" s="151">
        <f t="shared" si="174"/>
        <v>0</v>
      </c>
      <c r="AP301" s="282">
        <f t="shared" si="175"/>
        <v>2401.3735777802844</v>
      </c>
      <c r="AQ301" s="684">
        <v>146.94</v>
      </c>
      <c r="AR301" s="740">
        <v>1880.3583855195925</v>
      </c>
      <c r="AS301" s="740">
        <v>497.21446342918722</v>
      </c>
      <c r="AT301" s="740">
        <v>23.800728831504795</v>
      </c>
      <c r="AU301" s="411">
        <v>0</v>
      </c>
      <c r="AV301" s="801"/>
      <c r="AW301" s="256"/>
      <c r="AX301" s="728">
        <f t="shared" si="176"/>
        <v>74.824546317031803</v>
      </c>
      <c r="AY301" s="729">
        <v>50.273980821100587</v>
      </c>
      <c r="AZ301" s="730"/>
      <c r="BA301" s="731">
        <v>0</v>
      </c>
      <c r="BC301" s="727">
        <v>0</v>
      </c>
      <c r="BD301" s="727">
        <v>74.824546317031803</v>
      </c>
      <c r="BE301" s="727"/>
      <c r="BF301" s="727"/>
      <c r="BG301" s="727">
        <v>0</v>
      </c>
      <c r="BH301" s="727">
        <v>0</v>
      </c>
      <c r="BI301" s="137">
        <f t="shared" si="179"/>
        <v>74.824546317031803</v>
      </c>
      <c r="BJ301" s="126"/>
      <c r="BK301" s="807"/>
      <c r="BL301" s="107"/>
      <c r="BM301" s="687"/>
      <c r="BO301" s="577"/>
      <c r="BS301" s="904"/>
      <c r="BT301" s="789"/>
      <c r="BU301" s="789">
        <v>1610.4981209802406</v>
      </c>
      <c r="BV301" s="789">
        <v>0</v>
      </c>
      <c r="BW301" s="789">
        <f t="shared" si="177"/>
        <v>1610.4981209802406</v>
      </c>
    </row>
    <row r="302" spans="1:75" ht="15" thickBot="1" x14ac:dyDescent="0.35">
      <c r="A302" s="219" t="s">
        <v>230</v>
      </c>
      <c r="B302" s="237">
        <v>4</v>
      </c>
      <c r="C302" s="40">
        <f>'[7]побудинковий звіт'!E302</f>
        <v>2581.1999999999998</v>
      </c>
      <c r="D302" s="215">
        <f t="shared" si="152"/>
        <v>1938.5969522695225</v>
      </c>
      <c r="E302" s="107">
        <f t="shared" si="153"/>
        <v>426.49168566588702</v>
      </c>
      <c r="F302" s="107">
        <f t="shared" si="154"/>
        <v>78.956428172365392</v>
      </c>
      <c r="G302" s="107">
        <f t="shared" si="155"/>
        <v>0</v>
      </c>
      <c r="H302" s="107">
        <f t="shared" si="156"/>
        <v>1619.6486938920154</v>
      </c>
      <c r="I302" s="107">
        <f t="shared" si="157"/>
        <v>523.0495430373129</v>
      </c>
      <c r="J302" s="687">
        <f t="shared" si="145"/>
        <v>0</v>
      </c>
      <c r="K302" s="142">
        <f t="shared" si="158"/>
        <v>4586.7433030371039</v>
      </c>
      <c r="L302" s="141">
        <f t="shared" si="146"/>
        <v>544.36543983881586</v>
      </c>
      <c r="M302" s="107">
        <f t="shared" si="147"/>
        <v>119.75983307962828</v>
      </c>
      <c r="N302" s="30">
        <f t="shared" si="159"/>
        <v>53.050157348385596</v>
      </c>
      <c r="O302" s="107">
        <f t="shared" si="148"/>
        <v>4.6469586790982316</v>
      </c>
      <c r="P302" s="107">
        <f t="shared" si="160"/>
        <v>454.80354882571328</v>
      </c>
      <c r="Q302" s="107">
        <f t="shared" si="161"/>
        <v>151.44685978436976</v>
      </c>
      <c r="R302" s="143">
        <f t="shared" si="162"/>
        <v>1328.072797556011</v>
      </c>
      <c r="S302" s="141">
        <f t="shared" si="163"/>
        <v>0</v>
      </c>
      <c r="T302" s="107">
        <f t="shared" si="149"/>
        <v>0</v>
      </c>
      <c r="U302" s="142">
        <f t="shared" si="164"/>
        <v>0</v>
      </c>
      <c r="V302" s="107"/>
      <c r="W302" s="107">
        <f t="shared" si="165"/>
        <v>0</v>
      </c>
      <c r="X302" s="142">
        <f t="shared" si="166"/>
        <v>0</v>
      </c>
      <c r="Y302" s="141">
        <v>0</v>
      </c>
      <c r="Z302" s="144">
        <v>0</v>
      </c>
      <c r="AA302" s="107">
        <f t="shared" si="150"/>
        <v>0</v>
      </c>
      <c r="AB302" s="142">
        <f t="shared" si="151"/>
        <v>0</v>
      </c>
      <c r="AC302" s="141">
        <v>0</v>
      </c>
      <c r="AD302" s="107">
        <f t="shared" si="167"/>
        <v>0</v>
      </c>
      <c r="AE302" s="142">
        <f t="shared" si="168"/>
        <v>0</v>
      </c>
      <c r="AF302" s="145">
        <v>352</v>
      </c>
      <c r="AG302" s="107">
        <f t="shared" si="169"/>
        <v>45.306917800110902</v>
      </c>
      <c r="AH302" s="142">
        <f t="shared" si="170"/>
        <v>397.30691780011091</v>
      </c>
      <c r="AI302" s="145">
        <v>0</v>
      </c>
      <c r="AJ302" s="107">
        <f t="shared" si="171"/>
        <v>0</v>
      </c>
      <c r="AK302" s="142">
        <f t="shared" si="172"/>
        <v>0</v>
      </c>
      <c r="AL302" s="146"/>
      <c r="AM302" s="401"/>
      <c r="AN302" s="107">
        <f t="shared" si="173"/>
        <v>0</v>
      </c>
      <c r="AO302" s="151">
        <f t="shared" si="174"/>
        <v>0</v>
      </c>
      <c r="AP302" s="282">
        <f t="shared" si="175"/>
        <v>2121.0874852639104</v>
      </c>
      <c r="AQ302" s="684">
        <v>170.82</v>
      </c>
      <c r="AR302" s="740">
        <v>1618.3185103623982</v>
      </c>
      <c r="AS302" s="740">
        <v>502.76897490151214</v>
      </c>
      <c r="AT302" s="740">
        <v>0</v>
      </c>
      <c r="AU302" s="411">
        <v>0</v>
      </c>
      <c r="AV302" s="801"/>
      <c r="AW302" s="256"/>
      <c r="AX302" s="728">
        <f t="shared" si="176"/>
        <v>78.956428172365392</v>
      </c>
      <c r="AY302" s="729">
        <v>53.050157348385596</v>
      </c>
      <c r="AZ302" s="730"/>
      <c r="BA302" s="731">
        <v>0</v>
      </c>
      <c r="BC302" s="727">
        <v>0</v>
      </c>
      <c r="BD302" s="727">
        <v>78.956428172365392</v>
      </c>
      <c r="BE302" s="727"/>
      <c r="BF302" s="727"/>
      <c r="BG302" s="727">
        <v>0</v>
      </c>
      <c r="BH302" s="727">
        <v>0</v>
      </c>
      <c r="BI302" s="137">
        <f t="shared" si="179"/>
        <v>78.956428172365392</v>
      </c>
      <c r="BJ302" s="126"/>
      <c r="BK302" s="807"/>
      <c r="BL302" s="107"/>
      <c r="BM302" s="687"/>
      <c r="BO302" s="577"/>
      <c r="BS302" s="904"/>
      <c r="BT302" s="789"/>
      <c r="BU302" s="789">
        <v>1588.3053087735598</v>
      </c>
      <c r="BV302" s="789">
        <v>0</v>
      </c>
      <c r="BW302" s="789">
        <f t="shared" si="177"/>
        <v>1588.3053087735598</v>
      </c>
    </row>
    <row r="303" spans="1:75" ht="15" thickBot="1" x14ac:dyDescent="0.35">
      <c r="A303" s="219" t="s">
        <v>231</v>
      </c>
      <c r="B303" s="237">
        <v>4</v>
      </c>
      <c r="C303" s="40">
        <f>'[7]побудинковий звіт'!E303</f>
        <v>5596.9</v>
      </c>
      <c r="D303" s="215">
        <f t="shared" si="152"/>
        <v>1676.1040538390444</v>
      </c>
      <c r="E303" s="107">
        <f t="shared" si="153"/>
        <v>368.74319978496288</v>
      </c>
      <c r="F303" s="107">
        <f t="shared" si="154"/>
        <v>314.43894748002288</v>
      </c>
      <c r="G303" s="107">
        <f t="shared" si="155"/>
        <v>0</v>
      </c>
      <c r="H303" s="107">
        <f t="shared" si="156"/>
        <v>1400.3425201145662</v>
      </c>
      <c r="I303" s="107">
        <f t="shared" si="157"/>
        <v>483.91246997496307</v>
      </c>
      <c r="J303" s="687">
        <f t="shared" si="145"/>
        <v>0</v>
      </c>
      <c r="K303" s="142">
        <f t="shared" si="158"/>
        <v>4243.5411911935589</v>
      </c>
      <c r="L303" s="141">
        <f t="shared" si="146"/>
        <v>1911.2891304814682</v>
      </c>
      <c r="M303" s="107">
        <f t="shared" si="147"/>
        <v>420.48162958534522</v>
      </c>
      <c r="N303" s="30">
        <f t="shared" si="159"/>
        <v>93.345186638525917</v>
      </c>
      <c r="O303" s="107">
        <f t="shared" si="148"/>
        <v>10.07615180189249</v>
      </c>
      <c r="P303" s="107">
        <f t="shared" si="160"/>
        <v>1596.8336998622979</v>
      </c>
      <c r="Q303" s="107">
        <f t="shared" si="161"/>
        <v>518.97346992799669</v>
      </c>
      <c r="R303" s="143">
        <f t="shared" si="162"/>
        <v>4550.9992682975271</v>
      </c>
      <c r="S303" s="141">
        <f t="shared" si="163"/>
        <v>61.6</v>
      </c>
      <c r="T303" s="107">
        <f t="shared" si="149"/>
        <v>7.9287106150194084</v>
      </c>
      <c r="U303" s="142">
        <f t="shared" si="164"/>
        <v>69.528710615019406</v>
      </c>
      <c r="V303" s="107"/>
      <c r="W303" s="107">
        <f t="shared" si="165"/>
        <v>0</v>
      </c>
      <c r="X303" s="142">
        <f t="shared" si="166"/>
        <v>0</v>
      </c>
      <c r="Y303" s="141">
        <v>0</v>
      </c>
      <c r="Z303" s="144">
        <v>0</v>
      </c>
      <c r="AA303" s="107">
        <f t="shared" si="150"/>
        <v>0</v>
      </c>
      <c r="AB303" s="142">
        <f t="shared" si="151"/>
        <v>0</v>
      </c>
      <c r="AC303" s="141">
        <v>0</v>
      </c>
      <c r="AD303" s="107">
        <f t="shared" si="167"/>
        <v>0</v>
      </c>
      <c r="AE303" s="142">
        <f t="shared" si="168"/>
        <v>0</v>
      </c>
      <c r="AF303" s="145">
        <v>635.79999999999995</v>
      </c>
      <c r="AG303" s="107">
        <f t="shared" si="169"/>
        <v>81.835620276450314</v>
      </c>
      <c r="AH303" s="142">
        <f t="shared" si="170"/>
        <v>717.63562027645025</v>
      </c>
      <c r="AI303" s="145">
        <v>0</v>
      </c>
      <c r="AJ303" s="107">
        <f t="shared" si="171"/>
        <v>0</v>
      </c>
      <c r="AK303" s="142">
        <f t="shared" si="172"/>
        <v>0</v>
      </c>
      <c r="AL303" s="146">
        <v>3952.5</v>
      </c>
      <c r="AM303" s="146"/>
      <c r="AN303" s="107">
        <f t="shared" si="173"/>
        <v>508.73747899130211</v>
      </c>
      <c r="AO303" s="151">
        <f t="shared" si="174"/>
        <v>4461.2374789913019</v>
      </c>
      <c r="AP303" s="282">
        <f t="shared" si="175"/>
        <v>3022.6650702660136</v>
      </c>
      <c r="AQ303" s="684">
        <v>289.45999999999998</v>
      </c>
      <c r="AR303" s="740">
        <v>1257.4228147012607</v>
      </c>
      <c r="AS303" s="740">
        <v>1755.2915884056049</v>
      </c>
      <c r="AT303" s="740">
        <v>9.9506671591481357</v>
      </c>
      <c r="AU303" s="411">
        <v>0</v>
      </c>
      <c r="AV303" s="801"/>
      <c r="AW303" s="256"/>
      <c r="AX303" s="728">
        <f t="shared" si="176"/>
        <v>138.92894748002286</v>
      </c>
      <c r="AY303" s="729">
        <v>93.345186638525917</v>
      </c>
      <c r="AZ303" s="730"/>
      <c r="BA303" s="731">
        <v>0</v>
      </c>
      <c r="BC303" s="727">
        <v>0</v>
      </c>
      <c r="BD303" s="727">
        <v>138.92894748002286</v>
      </c>
      <c r="BE303" s="727"/>
      <c r="BF303" s="727"/>
      <c r="BG303" s="727">
        <v>0</v>
      </c>
      <c r="BH303" s="727">
        <v>0</v>
      </c>
      <c r="BI303" s="137">
        <f t="shared" si="179"/>
        <v>138.92894748002286</v>
      </c>
      <c r="BJ303" s="126">
        <v>280</v>
      </c>
      <c r="BK303" s="807"/>
      <c r="BL303" s="107"/>
      <c r="BM303" s="687">
        <v>175.51</v>
      </c>
      <c r="BO303" s="577"/>
      <c r="BS303" s="904"/>
      <c r="BT303" s="789"/>
      <c r="BU303" s="789">
        <v>1289.651569362572</v>
      </c>
      <c r="BV303" s="789">
        <v>0</v>
      </c>
      <c r="BW303" s="789">
        <f t="shared" si="177"/>
        <v>1289.651569362572</v>
      </c>
    </row>
    <row r="304" spans="1:75" ht="15" thickBot="1" x14ac:dyDescent="0.35">
      <c r="A304" s="220" t="s">
        <v>142</v>
      </c>
      <c r="B304" s="238">
        <v>1</v>
      </c>
      <c r="C304" s="40">
        <f>'[7]побудинковий звіт'!E304</f>
        <v>201.1</v>
      </c>
      <c r="D304" s="215">
        <f t="shared" si="152"/>
        <v>14.757767683712038</v>
      </c>
      <c r="E304" s="107">
        <f t="shared" si="153"/>
        <v>3.2467116017712785</v>
      </c>
      <c r="F304" s="107">
        <f t="shared" si="154"/>
        <v>0</v>
      </c>
      <c r="G304" s="107">
        <f t="shared" si="155"/>
        <v>0</v>
      </c>
      <c r="H304" s="107">
        <f t="shared" si="156"/>
        <v>12.329741427532614</v>
      </c>
      <c r="I304" s="107">
        <f t="shared" si="157"/>
        <v>3.9044035351563475</v>
      </c>
      <c r="J304" s="687">
        <f t="shared" si="145"/>
        <v>0</v>
      </c>
      <c r="K304" s="142">
        <f t="shared" si="158"/>
        <v>34.238624248172279</v>
      </c>
      <c r="L304" s="141">
        <f t="shared" si="146"/>
        <v>0</v>
      </c>
      <c r="M304" s="107">
        <f t="shared" si="147"/>
        <v>0</v>
      </c>
      <c r="N304" s="30">
        <f t="shared" si="159"/>
        <v>0</v>
      </c>
      <c r="O304" s="107">
        <f t="shared" si="148"/>
        <v>0.36204222468877051</v>
      </c>
      <c r="P304" s="107">
        <f t="shared" si="160"/>
        <v>0</v>
      </c>
      <c r="Q304" s="107">
        <f t="shared" si="161"/>
        <v>4.6599481006089224E-2</v>
      </c>
      <c r="R304" s="143">
        <f t="shared" si="162"/>
        <v>0.40864170569485975</v>
      </c>
      <c r="S304" s="141">
        <f t="shared" si="163"/>
        <v>0</v>
      </c>
      <c r="T304" s="107">
        <f t="shared" si="149"/>
        <v>0</v>
      </c>
      <c r="U304" s="142">
        <f t="shared" si="164"/>
        <v>0</v>
      </c>
      <c r="V304" s="107"/>
      <c r="W304" s="107">
        <f t="shared" si="165"/>
        <v>0</v>
      </c>
      <c r="X304" s="142">
        <f t="shared" si="166"/>
        <v>0</v>
      </c>
      <c r="Y304" s="141">
        <v>0</v>
      </c>
      <c r="Z304" s="144">
        <v>0</v>
      </c>
      <c r="AA304" s="107">
        <f t="shared" si="150"/>
        <v>0</v>
      </c>
      <c r="AB304" s="142">
        <f t="shared" si="151"/>
        <v>0</v>
      </c>
      <c r="AC304" s="141">
        <v>0</v>
      </c>
      <c r="AD304" s="107">
        <f t="shared" si="167"/>
        <v>0</v>
      </c>
      <c r="AE304" s="142">
        <f t="shared" si="168"/>
        <v>0</v>
      </c>
      <c r="AF304" s="145">
        <v>0</v>
      </c>
      <c r="AG304" s="107">
        <f t="shared" si="169"/>
        <v>0</v>
      </c>
      <c r="AH304" s="142">
        <f t="shared" si="170"/>
        <v>0</v>
      </c>
      <c r="AI304" s="145">
        <v>0</v>
      </c>
      <c r="AJ304" s="107">
        <f t="shared" si="171"/>
        <v>0</v>
      </c>
      <c r="AK304" s="142">
        <f t="shared" si="172"/>
        <v>0</v>
      </c>
      <c r="AL304" s="146"/>
      <c r="AM304" s="215"/>
      <c r="AN304" s="107">
        <f t="shared" si="173"/>
        <v>0</v>
      </c>
      <c r="AO304" s="151">
        <f t="shared" si="174"/>
        <v>0</v>
      </c>
      <c r="AP304" s="282">
        <f t="shared" si="175"/>
        <v>0</v>
      </c>
      <c r="AQ304" s="684">
        <v>13.62</v>
      </c>
      <c r="AR304" s="411">
        <v>0</v>
      </c>
      <c r="AS304" s="411">
        <v>0</v>
      </c>
      <c r="AT304" s="411">
        <v>0</v>
      </c>
      <c r="AU304" s="411">
        <v>0</v>
      </c>
      <c r="AV304" s="742">
        <v>0</v>
      </c>
      <c r="AW304" s="256"/>
      <c r="AX304" s="728">
        <f t="shared" si="176"/>
        <v>0</v>
      </c>
      <c r="AY304" s="729">
        <v>0</v>
      </c>
      <c r="AZ304" s="730"/>
      <c r="BA304" s="731">
        <v>0</v>
      </c>
      <c r="BB304" s="742"/>
      <c r="BC304" s="727">
        <v>0</v>
      </c>
      <c r="BD304" s="727">
        <v>0</v>
      </c>
      <c r="BE304" s="727"/>
      <c r="BF304" s="727"/>
      <c r="BG304" s="727">
        <v>0</v>
      </c>
      <c r="BH304" s="727">
        <v>0</v>
      </c>
      <c r="BI304" s="137">
        <f>BC304+BD304+BE304+BG304+BH304</f>
        <v>0</v>
      </c>
      <c r="BJ304" s="126"/>
      <c r="BK304" s="807"/>
      <c r="BL304" s="107"/>
      <c r="BM304" s="687"/>
      <c r="BO304" s="577"/>
      <c r="BS304" s="904"/>
      <c r="BT304" s="789"/>
      <c r="BU304" s="789">
        <v>0</v>
      </c>
      <c r="BV304" s="789">
        <v>0</v>
      </c>
      <c r="BW304" s="789">
        <f t="shared" si="177"/>
        <v>0</v>
      </c>
    </row>
    <row r="305" spans="1:75" ht="15" thickBot="1" x14ac:dyDescent="0.35">
      <c r="A305" s="220" t="s">
        <v>143</v>
      </c>
      <c r="B305" s="238">
        <v>1</v>
      </c>
      <c r="C305" s="40">
        <f>'[7]побудинковий звіт'!E305</f>
        <v>243.32</v>
      </c>
      <c r="D305" s="215">
        <f t="shared" si="152"/>
        <v>16.231377379001934</v>
      </c>
      <c r="E305" s="107">
        <f t="shared" si="153"/>
        <v>3.5709060054723758</v>
      </c>
      <c r="F305" s="107">
        <f t="shared" si="154"/>
        <v>0</v>
      </c>
      <c r="G305" s="107">
        <f t="shared" si="155"/>
        <v>0</v>
      </c>
      <c r="H305" s="107">
        <f t="shared" si="156"/>
        <v>13.560905035568178</v>
      </c>
      <c r="I305" s="107">
        <f t="shared" si="157"/>
        <v>4.294270554819537</v>
      </c>
      <c r="J305" s="687">
        <f t="shared" si="145"/>
        <v>0</v>
      </c>
      <c r="K305" s="142">
        <f t="shared" si="158"/>
        <v>37.657458974862024</v>
      </c>
      <c r="L305" s="141">
        <f t="shared" si="146"/>
        <v>0</v>
      </c>
      <c r="M305" s="107">
        <f t="shared" si="147"/>
        <v>0</v>
      </c>
      <c r="N305" s="30">
        <f t="shared" si="159"/>
        <v>0</v>
      </c>
      <c r="O305" s="107">
        <f t="shared" si="148"/>
        <v>0.43805128846977442</v>
      </c>
      <c r="P305" s="107">
        <f t="shared" si="160"/>
        <v>0</v>
      </c>
      <c r="Q305" s="107">
        <f t="shared" si="161"/>
        <v>5.6382823065149829E-2</v>
      </c>
      <c r="R305" s="143">
        <f t="shared" si="162"/>
        <v>0.49443411153492423</v>
      </c>
      <c r="S305" s="141">
        <f t="shared" si="163"/>
        <v>0</v>
      </c>
      <c r="T305" s="107">
        <f t="shared" si="149"/>
        <v>0</v>
      </c>
      <c r="U305" s="142">
        <f t="shared" si="164"/>
        <v>0</v>
      </c>
      <c r="V305" s="107"/>
      <c r="W305" s="107">
        <f t="shared" si="165"/>
        <v>0</v>
      </c>
      <c r="X305" s="142">
        <f t="shared" si="166"/>
        <v>0</v>
      </c>
      <c r="Y305" s="141">
        <v>0</v>
      </c>
      <c r="Z305" s="144">
        <v>0</v>
      </c>
      <c r="AA305" s="107">
        <f t="shared" si="150"/>
        <v>0</v>
      </c>
      <c r="AB305" s="142">
        <f t="shared" si="151"/>
        <v>0</v>
      </c>
      <c r="AC305" s="141">
        <v>0</v>
      </c>
      <c r="AD305" s="107">
        <f t="shared" si="167"/>
        <v>0</v>
      </c>
      <c r="AE305" s="142">
        <f t="shared" si="168"/>
        <v>0</v>
      </c>
      <c r="AF305" s="145">
        <v>0</v>
      </c>
      <c r="AG305" s="107">
        <f t="shared" si="169"/>
        <v>0</v>
      </c>
      <c r="AH305" s="142">
        <f t="shared" si="170"/>
        <v>0</v>
      </c>
      <c r="AI305" s="145">
        <v>0</v>
      </c>
      <c r="AJ305" s="107">
        <f t="shared" si="171"/>
        <v>0</v>
      </c>
      <c r="AK305" s="142">
        <f t="shared" si="172"/>
        <v>0</v>
      </c>
      <c r="AL305" s="146"/>
      <c r="AM305" s="215"/>
      <c r="AN305" s="107">
        <f t="shared" si="173"/>
        <v>0</v>
      </c>
      <c r="AO305" s="151">
        <f t="shared" si="174"/>
        <v>0</v>
      </c>
      <c r="AP305" s="282">
        <f t="shared" si="175"/>
        <v>0</v>
      </c>
      <c r="AQ305" s="684">
        <v>14.98</v>
      </c>
      <c r="AR305" s="411">
        <v>0</v>
      </c>
      <c r="AS305" s="411">
        <v>0</v>
      </c>
      <c r="AT305" s="411">
        <v>0</v>
      </c>
      <c r="AU305" s="411">
        <v>0</v>
      </c>
      <c r="AV305" s="742">
        <v>0</v>
      </c>
      <c r="AW305" s="256"/>
      <c r="AX305" s="728">
        <f t="shared" si="176"/>
        <v>0</v>
      </c>
      <c r="AY305" s="729">
        <v>0</v>
      </c>
      <c r="AZ305" s="730"/>
      <c r="BA305" s="731">
        <v>0</v>
      </c>
      <c r="BB305" s="742"/>
      <c r="BC305" s="727">
        <v>0</v>
      </c>
      <c r="BD305" s="727">
        <v>0</v>
      </c>
      <c r="BE305" s="727"/>
      <c r="BF305" s="727"/>
      <c r="BG305" s="727">
        <v>0</v>
      </c>
      <c r="BH305" s="727">
        <v>0</v>
      </c>
      <c r="BI305" s="137">
        <f>BC305+BD305+BE305+BG305+BH305</f>
        <v>0</v>
      </c>
      <c r="BJ305" s="126"/>
      <c r="BK305" s="807"/>
      <c r="BL305" s="107"/>
      <c r="BM305" s="687"/>
      <c r="BO305" s="577"/>
      <c r="BS305" s="904"/>
      <c r="BT305" s="789"/>
      <c r="BU305" s="789">
        <v>0</v>
      </c>
      <c r="BV305" s="789">
        <v>0</v>
      </c>
      <c r="BW305" s="789">
        <f t="shared" si="177"/>
        <v>0</v>
      </c>
    </row>
    <row r="306" spans="1:75" ht="15" thickBot="1" x14ac:dyDescent="0.35">
      <c r="A306" s="220" t="s">
        <v>144</v>
      </c>
      <c r="B306" s="238">
        <v>1</v>
      </c>
      <c r="C306" s="40">
        <f>'[7]побудинковий звіт'!E306</f>
        <v>326.10000000000002</v>
      </c>
      <c r="D306" s="215">
        <f t="shared" si="152"/>
        <v>35.409974148583657</v>
      </c>
      <c r="E306" s="107">
        <f t="shared" si="153"/>
        <v>7.7902008183469444</v>
      </c>
      <c r="F306" s="107">
        <f t="shared" si="154"/>
        <v>0</v>
      </c>
      <c r="G306" s="107">
        <f t="shared" si="155"/>
        <v>0</v>
      </c>
      <c r="H306" s="107">
        <f t="shared" si="156"/>
        <v>29.584137287207479</v>
      </c>
      <c r="I306" s="107">
        <f t="shared" si="157"/>
        <v>9.3682751489654521</v>
      </c>
      <c r="J306" s="687">
        <f t="shared" si="145"/>
        <v>0</v>
      </c>
      <c r="K306" s="142">
        <f t="shared" si="158"/>
        <v>82.152587403103539</v>
      </c>
      <c r="L306" s="141">
        <f t="shared" si="146"/>
        <v>0</v>
      </c>
      <c r="M306" s="107">
        <f t="shared" si="147"/>
        <v>0</v>
      </c>
      <c r="N306" s="30">
        <f t="shared" si="159"/>
        <v>0</v>
      </c>
      <c r="O306" s="107">
        <f t="shared" si="148"/>
        <v>0.58708090239188493</v>
      </c>
      <c r="P306" s="107">
        <f t="shared" si="160"/>
        <v>0</v>
      </c>
      <c r="Q306" s="107">
        <f t="shared" si="161"/>
        <v>7.5564847121261547E-2</v>
      </c>
      <c r="R306" s="143">
        <f t="shared" si="162"/>
        <v>0.66264574951314648</v>
      </c>
      <c r="S306" s="141">
        <f t="shared" si="163"/>
        <v>0</v>
      </c>
      <c r="T306" s="107">
        <f t="shared" si="149"/>
        <v>0</v>
      </c>
      <c r="U306" s="142">
        <f t="shared" si="164"/>
        <v>0</v>
      </c>
      <c r="V306" s="107"/>
      <c r="W306" s="107">
        <f t="shared" si="165"/>
        <v>0</v>
      </c>
      <c r="X306" s="142">
        <f t="shared" si="166"/>
        <v>0</v>
      </c>
      <c r="Y306" s="141">
        <v>0</v>
      </c>
      <c r="Z306" s="144">
        <v>0</v>
      </c>
      <c r="AA306" s="107">
        <f t="shared" si="150"/>
        <v>0</v>
      </c>
      <c r="AB306" s="142">
        <f t="shared" si="151"/>
        <v>0</v>
      </c>
      <c r="AC306" s="141">
        <v>0</v>
      </c>
      <c r="AD306" s="107">
        <f t="shared" si="167"/>
        <v>0</v>
      </c>
      <c r="AE306" s="142">
        <f t="shared" si="168"/>
        <v>0</v>
      </c>
      <c r="AF306" s="145">
        <v>0</v>
      </c>
      <c r="AG306" s="107">
        <f t="shared" si="169"/>
        <v>0</v>
      </c>
      <c r="AH306" s="142">
        <f t="shared" si="170"/>
        <v>0</v>
      </c>
      <c r="AI306" s="145">
        <v>0</v>
      </c>
      <c r="AJ306" s="107">
        <f t="shared" si="171"/>
        <v>0</v>
      </c>
      <c r="AK306" s="142">
        <f t="shared" si="172"/>
        <v>0</v>
      </c>
      <c r="AL306" s="146"/>
      <c r="AM306" s="215"/>
      <c r="AN306" s="107">
        <f t="shared" si="173"/>
        <v>0</v>
      </c>
      <c r="AO306" s="151">
        <f t="shared" si="174"/>
        <v>0</v>
      </c>
      <c r="AP306" s="282">
        <f t="shared" si="175"/>
        <v>0</v>
      </c>
      <c r="AQ306" s="684">
        <v>32.68</v>
      </c>
      <c r="AR306" s="411">
        <v>0</v>
      </c>
      <c r="AS306" s="411">
        <v>0</v>
      </c>
      <c r="AT306" s="411">
        <v>0</v>
      </c>
      <c r="AU306" s="411">
        <v>0</v>
      </c>
      <c r="AV306" s="742">
        <v>0</v>
      </c>
      <c r="AW306" s="256"/>
      <c r="AX306" s="728">
        <f t="shared" si="176"/>
        <v>0</v>
      </c>
      <c r="AY306" s="729">
        <v>0</v>
      </c>
      <c r="AZ306" s="730"/>
      <c r="BA306" s="731">
        <v>0</v>
      </c>
      <c r="BB306" s="742"/>
      <c r="BC306" s="727">
        <v>0</v>
      </c>
      <c r="BD306" s="727">
        <v>0</v>
      </c>
      <c r="BE306" s="727"/>
      <c r="BF306" s="727"/>
      <c r="BG306" s="727">
        <v>0</v>
      </c>
      <c r="BH306" s="727">
        <v>0</v>
      </c>
      <c r="BI306" s="137">
        <f>BC306+BD306+BE306+BG306+BH306</f>
        <v>0</v>
      </c>
      <c r="BJ306" s="126"/>
      <c r="BK306" s="807"/>
      <c r="BL306" s="107"/>
      <c r="BM306" s="687"/>
      <c r="BO306" s="577"/>
      <c r="BS306" s="904"/>
      <c r="BT306" s="789"/>
      <c r="BU306" s="789">
        <v>0</v>
      </c>
      <c r="BV306" s="789">
        <v>0</v>
      </c>
      <c r="BW306" s="789">
        <f t="shared" si="177"/>
        <v>0</v>
      </c>
    </row>
    <row r="307" spans="1:75" ht="15" thickBot="1" x14ac:dyDescent="0.35">
      <c r="A307" s="220" t="s">
        <v>145</v>
      </c>
      <c r="B307" s="238">
        <v>1</v>
      </c>
      <c r="C307" s="40">
        <f>'[7]побудинковий звіт'!E307</f>
        <v>241.4</v>
      </c>
      <c r="D307" s="215">
        <f t="shared" si="152"/>
        <v>16.231377379001934</v>
      </c>
      <c r="E307" s="107">
        <f t="shared" si="153"/>
        <v>3.5709060054723758</v>
      </c>
      <c r="F307" s="107">
        <f t="shared" si="154"/>
        <v>0</v>
      </c>
      <c r="G307" s="107">
        <f t="shared" si="155"/>
        <v>0</v>
      </c>
      <c r="H307" s="107">
        <f t="shared" si="156"/>
        <v>13.560905035568178</v>
      </c>
      <c r="I307" s="107">
        <f t="shared" si="157"/>
        <v>4.294270554819537</v>
      </c>
      <c r="J307" s="687">
        <f t="shared" si="145"/>
        <v>0</v>
      </c>
      <c r="K307" s="142">
        <f t="shared" si="158"/>
        <v>37.657458974862024</v>
      </c>
      <c r="L307" s="141">
        <f t="shared" si="146"/>
        <v>0</v>
      </c>
      <c r="M307" s="107">
        <f t="shared" si="147"/>
        <v>0</v>
      </c>
      <c r="N307" s="30">
        <f t="shared" si="159"/>
        <v>0</v>
      </c>
      <c r="O307" s="107">
        <f t="shared" si="148"/>
        <v>0.43459469438025461</v>
      </c>
      <c r="P307" s="107">
        <f t="shared" si="160"/>
        <v>0</v>
      </c>
      <c r="Q307" s="107">
        <f t="shared" si="161"/>
        <v>5.5937915041620781E-2</v>
      </c>
      <c r="R307" s="143">
        <f t="shared" si="162"/>
        <v>0.49053260942187538</v>
      </c>
      <c r="S307" s="141">
        <f t="shared" si="163"/>
        <v>0</v>
      </c>
      <c r="T307" s="107">
        <f t="shared" si="149"/>
        <v>0</v>
      </c>
      <c r="U307" s="142">
        <f t="shared" si="164"/>
        <v>0</v>
      </c>
      <c r="V307" s="107"/>
      <c r="W307" s="107">
        <f t="shared" si="165"/>
        <v>0</v>
      </c>
      <c r="X307" s="142">
        <f t="shared" si="166"/>
        <v>0</v>
      </c>
      <c r="Y307" s="141">
        <v>0</v>
      </c>
      <c r="Z307" s="144">
        <v>0</v>
      </c>
      <c r="AA307" s="107">
        <f t="shared" si="150"/>
        <v>0</v>
      </c>
      <c r="AB307" s="142">
        <f t="shared" si="151"/>
        <v>0</v>
      </c>
      <c r="AC307" s="141">
        <v>0</v>
      </c>
      <c r="AD307" s="107">
        <f t="shared" si="167"/>
        <v>0</v>
      </c>
      <c r="AE307" s="142">
        <f t="shared" si="168"/>
        <v>0</v>
      </c>
      <c r="AF307" s="145">
        <v>0</v>
      </c>
      <c r="AG307" s="107">
        <f t="shared" si="169"/>
        <v>0</v>
      </c>
      <c r="AH307" s="142">
        <f t="shared" si="170"/>
        <v>0</v>
      </c>
      <c r="AI307" s="145">
        <v>0</v>
      </c>
      <c r="AJ307" s="107">
        <f t="shared" si="171"/>
        <v>0</v>
      </c>
      <c r="AK307" s="142">
        <f t="shared" si="172"/>
        <v>0</v>
      </c>
      <c r="AL307" s="146"/>
      <c r="AM307" s="215"/>
      <c r="AN307" s="107">
        <f t="shared" si="173"/>
        <v>0</v>
      </c>
      <c r="AO307" s="151">
        <f t="shared" si="174"/>
        <v>0</v>
      </c>
      <c r="AP307" s="282">
        <f t="shared" si="175"/>
        <v>0</v>
      </c>
      <c r="AQ307" s="684">
        <v>14.98</v>
      </c>
      <c r="AR307" s="411">
        <v>0</v>
      </c>
      <c r="AS307" s="411">
        <v>0</v>
      </c>
      <c r="AT307" s="411">
        <v>0</v>
      </c>
      <c r="AU307" s="411">
        <v>0</v>
      </c>
      <c r="AV307" s="742">
        <v>0</v>
      </c>
      <c r="AW307" s="256"/>
      <c r="AX307" s="728">
        <f t="shared" si="176"/>
        <v>0</v>
      </c>
      <c r="AY307" s="729">
        <v>0</v>
      </c>
      <c r="AZ307" s="730"/>
      <c r="BA307" s="731">
        <v>0</v>
      </c>
      <c r="BB307" s="742"/>
      <c r="BC307" s="727">
        <v>0</v>
      </c>
      <c r="BD307" s="727">
        <v>0</v>
      </c>
      <c r="BE307" s="727"/>
      <c r="BF307" s="727"/>
      <c r="BG307" s="727">
        <v>0</v>
      </c>
      <c r="BH307" s="727">
        <v>0</v>
      </c>
      <c r="BI307" s="137">
        <f>BC307+BD307+BE307+BG307+BH307</f>
        <v>0</v>
      </c>
      <c r="BJ307" s="126"/>
      <c r="BK307" s="807"/>
      <c r="BL307" s="107"/>
      <c r="BM307" s="687"/>
      <c r="BO307" s="577"/>
      <c r="BS307" s="904"/>
      <c r="BT307" s="789"/>
      <c r="BU307" s="789">
        <v>0</v>
      </c>
      <c r="BV307" s="789">
        <v>0</v>
      </c>
      <c r="BW307" s="789">
        <f t="shared" si="177"/>
        <v>0</v>
      </c>
    </row>
    <row r="308" spans="1:75" ht="15" thickBot="1" x14ac:dyDescent="0.35">
      <c r="A308" s="260" t="s">
        <v>191</v>
      </c>
      <c r="B308" s="237">
        <v>2</v>
      </c>
      <c r="C308" s="40">
        <f>'[7]побудинковий звіт'!E308</f>
        <v>148.4</v>
      </c>
      <c r="D308" s="215">
        <f t="shared" si="152"/>
        <v>0</v>
      </c>
      <c r="E308" s="107">
        <f t="shared" si="153"/>
        <v>0</v>
      </c>
      <c r="F308" s="107">
        <f t="shared" si="154"/>
        <v>0</v>
      </c>
      <c r="G308" s="107">
        <f t="shared" si="155"/>
        <v>0</v>
      </c>
      <c r="H308" s="107">
        <f t="shared" si="156"/>
        <v>0</v>
      </c>
      <c r="I308" s="107">
        <f t="shared" si="157"/>
        <v>0</v>
      </c>
      <c r="J308" s="687">
        <f t="shared" si="145"/>
        <v>0</v>
      </c>
      <c r="K308" s="142">
        <f t="shared" si="158"/>
        <v>0</v>
      </c>
      <c r="L308" s="141">
        <f t="shared" si="146"/>
        <v>0</v>
      </c>
      <c r="M308" s="107">
        <f t="shared" si="147"/>
        <v>0</v>
      </c>
      <c r="N308" s="30">
        <f t="shared" si="159"/>
        <v>0</v>
      </c>
      <c r="O308" s="107">
        <f t="shared" si="148"/>
        <v>0.26716591816913748</v>
      </c>
      <c r="P308" s="107">
        <f t="shared" si="160"/>
        <v>0</v>
      </c>
      <c r="Q308" s="107">
        <f t="shared" si="161"/>
        <v>3.438768265193258E-2</v>
      </c>
      <c r="R308" s="143">
        <f t="shared" si="162"/>
        <v>0.30155360082107008</v>
      </c>
      <c r="S308" s="141">
        <f t="shared" si="163"/>
        <v>0</v>
      </c>
      <c r="T308" s="107">
        <f t="shared" si="149"/>
        <v>0</v>
      </c>
      <c r="U308" s="142">
        <f t="shared" si="164"/>
        <v>0</v>
      </c>
      <c r="V308" s="107"/>
      <c r="W308" s="107">
        <f t="shared" si="165"/>
        <v>0</v>
      </c>
      <c r="X308" s="142">
        <f t="shared" si="166"/>
        <v>0</v>
      </c>
      <c r="Y308" s="141">
        <v>0</v>
      </c>
      <c r="Z308" s="144">
        <v>0</v>
      </c>
      <c r="AA308" s="107">
        <f t="shared" si="150"/>
        <v>0</v>
      </c>
      <c r="AB308" s="142">
        <f t="shared" si="151"/>
        <v>0</v>
      </c>
      <c r="AC308" s="141">
        <v>0</v>
      </c>
      <c r="AD308" s="107">
        <f t="shared" si="167"/>
        <v>0</v>
      </c>
      <c r="AE308" s="142">
        <f t="shared" si="168"/>
        <v>0</v>
      </c>
      <c r="AF308" s="145">
        <v>28.6</v>
      </c>
      <c r="AG308" s="107">
        <f t="shared" si="169"/>
        <v>3.6811870712590111</v>
      </c>
      <c r="AH308" s="142">
        <f t="shared" si="170"/>
        <v>32.281187071259012</v>
      </c>
      <c r="AI308" s="145">
        <v>0</v>
      </c>
      <c r="AJ308" s="107">
        <f t="shared" si="171"/>
        <v>0</v>
      </c>
      <c r="AK308" s="142">
        <f t="shared" si="172"/>
        <v>0</v>
      </c>
      <c r="AL308" s="146"/>
      <c r="AM308" s="146"/>
      <c r="AN308" s="107">
        <f t="shared" si="173"/>
        <v>0</v>
      </c>
      <c r="AO308" s="151">
        <f t="shared" si="174"/>
        <v>0</v>
      </c>
      <c r="AP308" s="282">
        <f t="shared" si="175"/>
        <v>0</v>
      </c>
      <c r="AQ308" s="684">
        <v>0</v>
      </c>
      <c r="AR308" s="411">
        <v>0</v>
      </c>
      <c r="AS308" s="411">
        <v>0</v>
      </c>
      <c r="AT308" s="411">
        <v>0</v>
      </c>
      <c r="AU308" s="411">
        <v>0</v>
      </c>
      <c r="AV308" s="742">
        <v>0</v>
      </c>
      <c r="AW308" s="256"/>
      <c r="AX308" s="728">
        <f t="shared" si="176"/>
        <v>0</v>
      </c>
      <c r="AY308" s="729">
        <v>0</v>
      </c>
      <c r="AZ308" s="730"/>
      <c r="BA308" s="731">
        <v>0</v>
      </c>
      <c r="BB308" s="742"/>
      <c r="BC308" s="727">
        <v>0</v>
      </c>
      <c r="BD308" s="727">
        <v>0</v>
      </c>
      <c r="BE308" s="727"/>
      <c r="BF308" s="727"/>
      <c r="BG308" s="727">
        <v>0</v>
      </c>
      <c r="BH308" s="727">
        <v>0</v>
      </c>
      <c r="BI308" s="137">
        <f>BC308+BD308+BE308+BG308</f>
        <v>0</v>
      </c>
      <c r="BJ308" s="126"/>
      <c r="BK308" s="807"/>
      <c r="BL308" s="107"/>
      <c r="BM308" s="687"/>
      <c r="BO308" s="577"/>
      <c r="BS308" s="904"/>
      <c r="BT308" s="789"/>
      <c r="BU308" s="789">
        <v>0</v>
      </c>
      <c r="BV308" s="789">
        <v>0</v>
      </c>
      <c r="BW308" s="789">
        <f t="shared" si="177"/>
        <v>0</v>
      </c>
    </row>
    <row r="309" spans="1:75" ht="15" thickBot="1" x14ac:dyDescent="0.35">
      <c r="A309" s="219" t="s">
        <v>232</v>
      </c>
      <c r="B309" s="237">
        <v>4</v>
      </c>
      <c r="C309" s="40">
        <f>'[7]побудинковий звіт'!E309</f>
        <v>3401.3999999999996</v>
      </c>
      <c r="D309" s="215">
        <f t="shared" si="152"/>
        <v>2215.0392328128464</v>
      </c>
      <c r="E309" s="107">
        <f t="shared" si="153"/>
        <v>487.30903817447211</v>
      </c>
      <c r="F309" s="107">
        <f t="shared" si="154"/>
        <v>218.18515352585746</v>
      </c>
      <c r="G309" s="107">
        <f t="shared" si="155"/>
        <v>0</v>
      </c>
      <c r="H309" s="107">
        <f t="shared" si="156"/>
        <v>1850.6092234102089</v>
      </c>
      <c r="I309" s="107">
        <f t="shared" si="157"/>
        <v>614.10729477860309</v>
      </c>
      <c r="J309" s="687">
        <f t="shared" si="145"/>
        <v>0</v>
      </c>
      <c r="K309" s="142">
        <f t="shared" si="158"/>
        <v>5385.2499427019884</v>
      </c>
      <c r="L309" s="141">
        <f t="shared" si="146"/>
        <v>1065.3324395986338</v>
      </c>
      <c r="M309" s="107">
        <f t="shared" si="147"/>
        <v>234.37203357072522</v>
      </c>
      <c r="N309" s="30">
        <f t="shared" si="159"/>
        <v>151.9787312893211</v>
      </c>
      <c r="O309" s="107">
        <f t="shared" si="148"/>
        <v>6.1235724667149869</v>
      </c>
      <c r="P309" s="107">
        <f t="shared" si="160"/>
        <v>890.05829310559602</v>
      </c>
      <c r="Q309" s="107">
        <f t="shared" si="161"/>
        <v>302.20036856149358</v>
      </c>
      <c r="R309" s="143">
        <f t="shared" si="162"/>
        <v>2650.0654385924845</v>
      </c>
      <c r="S309" s="141">
        <f t="shared" si="163"/>
        <v>162.25660000000002</v>
      </c>
      <c r="T309" s="107">
        <f t="shared" si="149"/>
        <v>20.884506928197375</v>
      </c>
      <c r="U309" s="142">
        <f t="shared" si="164"/>
        <v>183.14110692819739</v>
      </c>
      <c r="V309" s="107"/>
      <c r="W309" s="107">
        <f t="shared" si="165"/>
        <v>0</v>
      </c>
      <c r="X309" s="142">
        <f t="shared" si="166"/>
        <v>0</v>
      </c>
      <c r="Y309" s="141">
        <v>0</v>
      </c>
      <c r="Z309" s="144">
        <v>0</v>
      </c>
      <c r="AA309" s="107">
        <f t="shared" si="150"/>
        <v>0</v>
      </c>
      <c r="AB309" s="142">
        <f t="shared" si="151"/>
        <v>0</v>
      </c>
      <c r="AC309" s="141">
        <v>0</v>
      </c>
      <c r="AD309" s="107">
        <f t="shared" si="167"/>
        <v>0</v>
      </c>
      <c r="AE309" s="142">
        <f t="shared" si="168"/>
        <v>0</v>
      </c>
      <c r="AF309" s="145">
        <v>638</v>
      </c>
      <c r="AG309" s="107">
        <f t="shared" si="169"/>
        <v>82.118788512701016</v>
      </c>
      <c r="AH309" s="142">
        <f t="shared" si="170"/>
        <v>720.11878851270103</v>
      </c>
      <c r="AI309" s="145">
        <v>0</v>
      </c>
      <c r="AJ309" s="107">
        <f t="shared" si="171"/>
        <v>0</v>
      </c>
      <c r="AK309" s="142">
        <f t="shared" si="172"/>
        <v>0</v>
      </c>
      <c r="AL309" s="146">
        <v>2422.5</v>
      </c>
      <c r="AM309" s="146"/>
      <c r="AN309" s="107">
        <f t="shared" si="173"/>
        <v>311.80684196241094</v>
      </c>
      <c r="AO309" s="151">
        <f t="shared" si="174"/>
        <v>2734.306841962411</v>
      </c>
      <c r="AP309" s="282">
        <f t="shared" si="175"/>
        <v>2503.4755929785474</v>
      </c>
      <c r="AQ309" s="684">
        <v>524.72</v>
      </c>
      <c r="AR309" s="740">
        <v>1519.5481439014607</v>
      </c>
      <c r="AS309" s="740">
        <v>948.64540674912666</v>
      </c>
      <c r="AT309" s="740">
        <v>35.282042327959751</v>
      </c>
      <c r="AU309" s="411">
        <v>0</v>
      </c>
      <c r="AV309" s="801"/>
      <c r="AW309" s="256"/>
      <c r="AX309" s="728">
        <f t="shared" si="176"/>
        <v>101.17515352585745</v>
      </c>
      <c r="AY309" s="729">
        <v>67.97873128932109</v>
      </c>
      <c r="AZ309" s="730"/>
      <c r="BA309" s="731">
        <v>84</v>
      </c>
      <c r="BC309" s="727">
        <v>0</v>
      </c>
      <c r="BD309" s="727">
        <v>101.17515352585745</v>
      </c>
      <c r="BE309" s="727"/>
      <c r="BF309" s="727"/>
      <c r="BG309" s="727">
        <v>0</v>
      </c>
      <c r="BH309" s="727">
        <v>0</v>
      </c>
      <c r="BI309" s="137">
        <f t="shared" ref="BI309:BI321" si="180">BC309+BD309+BE309+BG309</f>
        <v>101.17515352585745</v>
      </c>
      <c r="BJ309" s="126">
        <v>737.53</v>
      </c>
      <c r="BK309" s="807"/>
      <c r="BL309" s="107"/>
      <c r="BM309" s="687">
        <v>117.01</v>
      </c>
      <c r="BO309" s="577"/>
      <c r="BS309" s="904"/>
      <c r="BT309" s="789"/>
      <c r="BU309" s="789">
        <v>1484.5843158267751</v>
      </c>
      <c r="BV309" s="789">
        <v>0</v>
      </c>
      <c r="BW309" s="789">
        <f t="shared" si="177"/>
        <v>1484.5843158267751</v>
      </c>
    </row>
    <row r="310" spans="1:75" ht="15" thickBot="1" x14ac:dyDescent="0.35">
      <c r="A310" s="219" t="s">
        <v>233</v>
      </c>
      <c r="B310" s="237">
        <v>4</v>
      </c>
      <c r="C310" s="40">
        <f>'[7]побудинковий звіт'!E310</f>
        <v>1246.9000000000001</v>
      </c>
      <c r="D310" s="215">
        <f t="shared" si="152"/>
        <v>1034.1375753775835</v>
      </c>
      <c r="E310" s="107">
        <f t="shared" si="153"/>
        <v>227.51045657885658</v>
      </c>
      <c r="F310" s="107">
        <f t="shared" si="154"/>
        <v>153.98688765000657</v>
      </c>
      <c r="G310" s="107">
        <f t="shared" si="155"/>
        <v>0</v>
      </c>
      <c r="H310" s="107">
        <f t="shared" si="156"/>
        <v>863.99577349180345</v>
      </c>
      <c r="I310" s="107">
        <f t="shared" si="157"/>
        <v>293.4177284852621</v>
      </c>
      <c r="J310" s="687">
        <f t="shared" si="145"/>
        <v>0</v>
      </c>
      <c r="K310" s="142">
        <f t="shared" si="158"/>
        <v>2573.0484215835122</v>
      </c>
      <c r="L310" s="141">
        <f t="shared" si="146"/>
        <v>318.20721212013126</v>
      </c>
      <c r="M310" s="107">
        <f t="shared" si="147"/>
        <v>70.005257166076746</v>
      </c>
      <c r="N310" s="30">
        <f t="shared" si="159"/>
        <v>24.844458563957584</v>
      </c>
      <c r="O310" s="107">
        <f t="shared" si="148"/>
        <v>2.2448058178241075</v>
      </c>
      <c r="P310" s="107">
        <f t="shared" si="160"/>
        <v>265.85407291290142</v>
      </c>
      <c r="Q310" s="107">
        <f t="shared" si="161"/>
        <v>87.673494709740552</v>
      </c>
      <c r="R310" s="143">
        <f t="shared" si="162"/>
        <v>768.82930129063163</v>
      </c>
      <c r="S310" s="141">
        <f t="shared" si="163"/>
        <v>68.573999999999998</v>
      </c>
      <c r="T310" s="107">
        <f t="shared" si="149"/>
        <v>8.8263539239341053</v>
      </c>
      <c r="U310" s="142">
        <f t="shared" si="164"/>
        <v>77.400353923934105</v>
      </c>
      <c r="V310" s="107"/>
      <c r="W310" s="107">
        <f t="shared" si="165"/>
        <v>0</v>
      </c>
      <c r="X310" s="142">
        <f t="shared" si="166"/>
        <v>0</v>
      </c>
      <c r="Y310" s="141">
        <v>0</v>
      </c>
      <c r="Z310" s="144">
        <v>0</v>
      </c>
      <c r="AA310" s="107">
        <f t="shared" si="150"/>
        <v>0</v>
      </c>
      <c r="AB310" s="142">
        <f t="shared" si="151"/>
        <v>0</v>
      </c>
      <c r="AC310" s="141">
        <v>0</v>
      </c>
      <c r="AD310" s="107">
        <f t="shared" si="167"/>
        <v>0</v>
      </c>
      <c r="AE310" s="142">
        <f t="shared" si="168"/>
        <v>0</v>
      </c>
      <c r="AF310" s="145">
        <v>59.4</v>
      </c>
      <c r="AG310" s="107">
        <f t="shared" si="169"/>
        <v>7.6455423787687149</v>
      </c>
      <c r="AH310" s="142">
        <f t="shared" si="170"/>
        <v>67.045542378768715</v>
      </c>
      <c r="AI310" s="145">
        <v>0</v>
      </c>
      <c r="AJ310" s="107">
        <f t="shared" si="171"/>
        <v>0</v>
      </c>
      <c r="AK310" s="142">
        <f t="shared" si="172"/>
        <v>0</v>
      </c>
      <c r="AL310" s="146">
        <v>127.5</v>
      </c>
      <c r="AM310" s="146"/>
      <c r="AN310" s="107">
        <f t="shared" si="173"/>
        <v>16.410886419074263</v>
      </c>
      <c r="AO310" s="151">
        <f t="shared" si="174"/>
        <v>143.91088641907427</v>
      </c>
      <c r="AP310" s="282">
        <f t="shared" si="175"/>
        <v>1027.3616280508579</v>
      </c>
      <c r="AQ310" s="684">
        <v>220.94</v>
      </c>
      <c r="AR310" s="740">
        <v>733.46950681098417</v>
      </c>
      <c r="AS310" s="740">
        <v>282.85382441511018</v>
      </c>
      <c r="AT310" s="740">
        <v>11.038296824763526</v>
      </c>
      <c r="AU310" s="411">
        <v>0</v>
      </c>
      <c r="AV310" s="801"/>
      <c r="AW310" s="256"/>
      <c r="AX310" s="728">
        <f t="shared" si="176"/>
        <v>36.976887650006574</v>
      </c>
      <c r="AY310" s="729">
        <v>24.844458563957584</v>
      </c>
      <c r="AZ310" s="730"/>
      <c r="BA310" s="731">
        <v>0</v>
      </c>
      <c r="BC310" s="727">
        <v>0</v>
      </c>
      <c r="BD310" s="727">
        <v>36.976887650006574</v>
      </c>
      <c r="BE310" s="727"/>
      <c r="BF310" s="727"/>
      <c r="BG310" s="727">
        <v>0</v>
      </c>
      <c r="BH310" s="727">
        <v>0</v>
      </c>
      <c r="BI310" s="137">
        <f t="shared" si="180"/>
        <v>36.976887650006574</v>
      </c>
      <c r="BJ310" s="126">
        <v>311.7</v>
      </c>
      <c r="BK310" s="807"/>
      <c r="BL310" s="107"/>
      <c r="BM310" s="687">
        <v>117.01</v>
      </c>
      <c r="BO310" s="577"/>
      <c r="BS310" s="904"/>
      <c r="BT310" s="789"/>
      <c r="BU310" s="789">
        <v>716.59579790982934</v>
      </c>
      <c r="BV310" s="789">
        <v>0</v>
      </c>
      <c r="BW310" s="789">
        <f t="shared" si="177"/>
        <v>716.59579790982934</v>
      </c>
    </row>
    <row r="311" spans="1:75" ht="15" thickBot="1" x14ac:dyDescent="0.35">
      <c r="A311" s="219" t="s">
        <v>234</v>
      </c>
      <c r="B311" s="237">
        <v>4</v>
      </c>
      <c r="C311" s="40">
        <f>'[7]побудинковий звіт'!E311</f>
        <v>4217.7</v>
      </c>
      <c r="D311" s="215">
        <f t="shared" si="152"/>
        <v>4073.7394641140822</v>
      </c>
      <c r="E311" s="107">
        <f t="shared" si="153"/>
        <v>896.22343054839894</v>
      </c>
      <c r="F311" s="107">
        <f t="shared" si="154"/>
        <v>133.03412121312695</v>
      </c>
      <c r="G311" s="107">
        <f t="shared" si="155"/>
        <v>0</v>
      </c>
      <c r="H311" s="107">
        <f t="shared" si="156"/>
        <v>3403.5062288653653</v>
      </c>
      <c r="I311" s="107">
        <f t="shared" si="157"/>
        <v>1094.8961456700454</v>
      </c>
      <c r="J311" s="687">
        <f t="shared" si="145"/>
        <v>0</v>
      </c>
      <c r="K311" s="142">
        <f t="shared" si="158"/>
        <v>9601.3993904110193</v>
      </c>
      <c r="L311" s="141">
        <f t="shared" si="146"/>
        <v>1215.6716249907029</v>
      </c>
      <c r="M311" s="107">
        <f t="shared" si="147"/>
        <v>267.44649868227339</v>
      </c>
      <c r="N311" s="30">
        <f t="shared" si="159"/>
        <v>173.38450264814151</v>
      </c>
      <c r="O311" s="107">
        <f t="shared" si="148"/>
        <v>7.593165047587406</v>
      </c>
      <c r="P311" s="107">
        <f t="shared" si="160"/>
        <v>1015.6628778935747</v>
      </c>
      <c r="Q311" s="107">
        <f t="shared" si="161"/>
        <v>344.91933452386559</v>
      </c>
      <c r="R311" s="143">
        <f t="shared" si="162"/>
        <v>3024.6780037861454</v>
      </c>
      <c r="S311" s="141">
        <f t="shared" si="163"/>
        <v>87.45</v>
      </c>
      <c r="T311" s="107">
        <f t="shared" si="149"/>
        <v>11.255937390965054</v>
      </c>
      <c r="U311" s="142">
        <f t="shared" si="164"/>
        <v>98.705937390965062</v>
      </c>
      <c r="V311" s="107"/>
      <c r="W311" s="107">
        <f t="shared" si="165"/>
        <v>0</v>
      </c>
      <c r="X311" s="142">
        <f t="shared" si="166"/>
        <v>0</v>
      </c>
      <c r="Y311" s="141">
        <v>0</v>
      </c>
      <c r="Z311" s="144">
        <v>0</v>
      </c>
      <c r="AA311" s="107">
        <f t="shared" si="150"/>
        <v>0</v>
      </c>
      <c r="AB311" s="142">
        <f t="shared" si="151"/>
        <v>0</v>
      </c>
      <c r="AC311" s="141">
        <v>0</v>
      </c>
      <c r="AD311" s="107">
        <f t="shared" si="167"/>
        <v>0</v>
      </c>
      <c r="AE311" s="142">
        <f t="shared" si="168"/>
        <v>0</v>
      </c>
      <c r="AF311" s="145">
        <v>1361.8</v>
      </c>
      <c r="AG311" s="107">
        <f t="shared" si="169"/>
        <v>175.28113823917906</v>
      </c>
      <c r="AH311" s="142">
        <f t="shared" si="170"/>
        <v>1537.0811382391789</v>
      </c>
      <c r="AI311" s="145">
        <v>0</v>
      </c>
      <c r="AJ311" s="107">
        <f t="shared" si="171"/>
        <v>0</v>
      </c>
      <c r="AK311" s="142">
        <f t="shared" si="172"/>
        <v>0</v>
      </c>
      <c r="AL311" s="146"/>
      <c r="AM311" s="401"/>
      <c r="AN311" s="107">
        <f t="shared" si="173"/>
        <v>0</v>
      </c>
      <c r="AO311" s="151">
        <f t="shared" si="174"/>
        <v>0</v>
      </c>
      <c r="AP311" s="282">
        <f t="shared" si="175"/>
        <v>4573.6884687866332</v>
      </c>
      <c r="AQ311" s="684">
        <v>308.76</v>
      </c>
      <c r="AR311" s="740">
        <v>3450.9096661969515</v>
      </c>
      <c r="AS311" s="740">
        <v>1108.6506847641294</v>
      </c>
      <c r="AT311" s="740">
        <v>14.128117825552515</v>
      </c>
      <c r="AU311" s="411">
        <v>0</v>
      </c>
      <c r="AV311" s="801"/>
      <c r="AW311" s="256"/>
      <c r="AX311" s="728">
        <f t="shared" si="176"/>
        <v>133.03412121312695</v>
      </c>
      <c r="AY311" s="729">
        <v>89.384502648141492</v>
      </c>
      <c r="AZ311" s="730"/>
      <c r="BA311" s="731">
        <v>84</v>
      </c>
      <c r="BC311" s="727">
        <v>0</v>
      </c>
      <c r="BD311" s="727">
        <v>133.03412121312695</v>
      </c>
      <c r="BE311" s="727"/>
      <c r="BF311" s="727"/>
      <c r="BG311" s="727">
        <v>0</v>
      </c>
      <c r="BH311" s="727">
        <v>0</v>
      </c>
      <c r="BI311" s="137">
        <f t="shared" si="180"/>
        <v>133.03412121312695</v>
      </c>
      <c r="BJ311" s="126">
        <v>397.5</v>
      </c>
      <c r="BK311" s="807"/>
      <c r="BL311" s="107"/>
      <c r="BM311" s="687"/>
      <c r="BO311" s="577"/>
      <c r="BS311" s="904"/>
      <c r="BT311" s="789"/>
      <c r="BU311" s="789">
        <v>3539.3408857661134</v>
      </c>
      <c r="BV311" s="789">
        <v>0</v>
      </c>
      <c r="BW311" s="789">
        <f t="shared" si="177"/>
        <v>3539.3408857661134</v>
      </c>
    </row>
    <row r="312" spans="1:75" ht="15" thickBot="1" x14ac:dyDescent="0.35">
      <c r="A312" s="219" t="s">
        <v>235</v>
      </c>
      <c r="B312" s="237">
        <v>4</v>
      </c>
      <c r="C312" s="40">
        <f>'[7]побудинковий звіт'!E312</f>
        <v>3277.6</v>
      </c>
      <c r="D312" s="215">
        <f t="shared" si="152"/>
        <v>2982.2217644132775</v>
      </c>
      <c r="E312" s="107">
        <f t="shared" si="153"/>
        <v>656.08933607633344</v>
      </c>
      <c r="F312" s="107">
        <f t="shared" si="154"/>
        <v>97.984670533375137</v>
      </c>
      <c r="G312" s="107">
        <f t="shared" si="155"/>
        <v>0</v>
      </c>
      <c r="H312" s="107">
        <f t="shared" si="156"/>
        <v>2491.5708136101375</v>
      </c>
      <c r="I312" s="107">
        <f t="shared" si="157"/>
        <v>801.60636198872271</v>
      </c>
      <c r="J312" s="687">
        <f t="shared" si="145"/>
        <v>0</v>
      </c>
      <c r="K312" s="142">
        <f t="shared" si="158"/>
        <v>7029.4729466218469</v>
      </c>
      <c r="L312" s="141">
        <f t="shared" si="146"/>
        <v>1134.2568040323856</v>
      </c>
      <c r="M312" s="107">
        <f t="shared" si="147"/>
        <v>249.53532237566785</v>
      </c>
      <c r="N312" s="30">
        <f t="shared" si="159"/>
        <v>65.835072708425784</v>
      </c>
      <c r="O312" s="107">
        <f t="shared" si="148"/>
        <v>5.9006941603178227</v>
      </c>
      <c r="P312" s="107">
        <f t="shared" si="160"/>
        <v>947.64285533333191</v>
      </c>
      <c r="Q312" s="107">
        <f t="shared" si="161"/>
        <v>309.3189192241764</v>
      </c>
      <c r="R312" s="143">
        <f t="shared" si="162"/>
        <v>2712.4896678343057</v>
      </c>
      <c r="S312" s="141">
        <f t="shared" si="163"/>
        <v>81.400000000000006</v>
      </c>
      <c r="T312" s="107">
        <f t="shared" si="149"/>
        <v>10.477224741275647</v>
      </c>
      <c r="U312" s="142">
        <f t="shared" si="164"/>
        <v>91.877224741275654</v>
      </c>
      <c r="V312" s="107"/>
      <c r="W312" s="107">
        <f t="shared" si="165"/>
        <v>0</v>
      </c>
      <c r="X312" s="142">
        <f t="shared" si="166"/>
        <v>0</v>
      </c>
      <c r="Y312" s="141">
        <v>0</v>
      </c>
      <c r="Z312" s="144">
        <v>0</v>
      </c>
      <c r="AA312" s="107">
        <f t="shared" si="150"/>
        <v>0</v>
      </c>
      <c r="AB312" s="142">
        <f t="shared" si="151"/>
        <v>0</v>
      </c>
      <c r="AC312" s="141">
        <v>0</v>
      </c>
      <c r="AD312" s="107">
        <f t="shared" si="167"/>
        <v>0</v>
      </c>
      <c r="AE312" s="142">
        <f t="shared" si="168"/>
        <v>0</v>
      </c>
      <c r="AF312" s="145">
        <v>354.2</v>
      </c>
      <c r="AG312" s="107">
        <f t="shared" si="169"/>
        <v>45.590086036361591</v>
      </c>
      <c r="AH312" s="142">
        <f t="shared" si="170"/>
        <v>399.79008603636157</v>
      </c>
      <c r="AI312" s="145">
        <v>0</v>
      </c>
      <c r="AJ312" s="107">
        <f t="shared" si="171"/>
        <v>0</v>
      </c>
      <c r="AK312" s="142">
        <f t="shared" si="172"/>
        <v>0</v>
      </c>
      <c r="AL312" s="146"/>
      <c r="AM312" s="401"/>
      <c r="AN312" s="107">
        <f t="shared" si="173"/>
        <v>0</v>
      </c>
      <c r="AO312" s="151">
        <f t="shared" si="174"/>
        <v>0</v>
      </c>
      <c r="AP312" s="282">
        <f t="shared" si="175"/>
        <v>3390.2789368074846</v>
      </c>
      <c r="AQ312" s="684">
        <v>409.61</v>
      </c>
      <c r="AR312" s="740">
        <v>2342.6938241168587</v>
      </c>
      <c r="AS312" s="740">
        <v>1034.5405766979613</v>
      </c>
      <c r="AT312" s="740">
        <v>13.044535992664184</v>
      </c>
      <c r="AU312" s="411">
        <v>0</v>
      </c>
      <c r="AV312" s="801"/>
      <c r="AW312" s="256"/>
      <c r="AX312" s="728">
        <f t="shared" si="176"/>
        <v>97.984670533375137</v>
      </c>
      <c r="AY312" s="729">
        <v>65.835072708425784</v>
      </c>
      <c r="AZ312" s="730"/>
      <c r="BA312" s="731">
        <v>0</v>
      </c>
      <c r="BC312" s="727">
        <v>0</v>
      </c>
      <c r="BD312" s="727">
        <v>97.984670533375137</v>
      </c>
      <c r="BE312" s="727"/>
      <c r="BF312" s="727"/>
      <c r="BG312" s="727">
        <v>0</v>
      </c>
      <c r="BH312" s="727">
        <v>0</v>
      </c>
      <c r="BI312" s="137">
        <f t="shared" si="180"/>
        <v>97.984670533375137</v>
      </c>
      <c r="BJ312" s="126">
        <v>370</v>
      </c>
      <c r="BK312" s="807"/>
      <c r="BL312" s="107"/>
      <c r="BM312" s="687"/>
      <c r="BO312" s="577"/>
      <c r="BS312" s="904"/>
      <c r="BT312" s="789"/>
      <c r="BU312" s="789">
        <v>2299.2562830755051</v>
      </c>
      <c r="BV312" s="789">
        <v>0</v>
      </c>
      <c r="BW312" s="789">
        <f t="shared" si="177"/>
        <v>2299.2562830755051</v>
      </c>
    </row>
    <row r="313" spans="1:75" ht="15" thickBot="1" x14ac:dyDescent="0.35">
      <c r="A313" s="219" t="s">
        <v>200</v>
      </c>
      <c r="B313" s="237">
        <v>3</v>
      </c>
      <c r="C313" s="40">
        <f>'[7]побудинковий звіт'!E313</f>
        <v>3987.0600000000004</v>
      </c>
      <c r="D313" s="215">
        <f t="shared" si="152"/>
        <v>907.06302836375039</v>
      </c>
      <c r="E313" s="107">
        <f t="shared" si="153"/>
        <v>199.55403288918197</v>
      </c>
      <c r="F313" s="107">
        <f t="shared" si="154"/>
        <v>411.99602079926626</v>
      </c>
      <c r="G313" s="107">
        <f t="shared" si="155"/>
        <v>0</v>
      </c>
      <c r="H313" s="107">
        <f t="shared" si="156"/>
        <v>757.82820531476455</v>
      </c>
      <c r="I313" s="107">
        <f t="shared" si="157"/>
        <v>293.00721103270922</v>
      </c>
      <c r="J313" s="687">
        <f t="shared" si="145"/>
        <v>0</v>
      </c>
      <c r="K313" s="142">
        <f t="shared" si="158"/>
        <v>2569.4484983996726</v>
      </c>
      <c r="L313" s="141">
        <f t="shared" si="146"/>
        <v>387.14305091745217</v>
      </c>
      <c r="M313" s="107">
        <f t="shared" si="147"/>
        <v>85.17107031912299</v>
      </c>
      <c r="N313" s="30">
        <f t="shared" si="159"/>
        <v>80.274929470257291</v>
      </c>
      <c r="O313" s="107">
        <f t="shared" si="148"/>
        <v>7.1779416825838362</v>
      </c>
      <c r="P313" s="107">
        <f t="shared" si="160"/>
        <v>323.44822168101962</v>
      </c>
      <c r="Q313" s="107">
        <f t="shared" si="161"/>
        <v>113.68113381731987</v>
      </c>
      <c r="R313" s="143">
        <f t="shared" si="162"/>
        <v>996.89634788775584</v>
      </c>
      <c r="S313" s="141">
        <f t="shared" si="163"/>
        <v>61.6</v>
      </c>
      <c r="T313" s="107">
        <f t="shared" si="149"/>
        <v>7.9287106150194084</v>
      </c>
      <c r="U313" s="142">
        <f t="shared" si="164"/>
        <v>69.528710615019406</v>
      </c>
      <c r="V313" s="107"/>
      <c r="W313" s="107">
        <f t="shared" si="165"/>
        <v>0</v>
      </c>
      <c r="X313" s="142">
        <f t="shared" si="166"/>
        <v>0</v>
      </c>
      <c r="Y313" s="141">
        <v>0</v>
      </c>
      <c r="Z313" s="144">
        <v>0</v>
      </c>
      <c r="AA313" s="107">
        <f t="shared" si="150"/>
        <v>0</v>
      </c>
      <c r="AB313" s="142">
        <f t="shared" si="151"/>
        <v>0</v>
      </c>
      <c r="AC313" s="141">
        <v>0</v>
      </c>
      <c r="AD313" s="107">
        <f t="shared" si="167"/>
        <v>0</v>
      </c>
      <c r="AE313" s="142">
        <f t="shared" si="168"/>
        <v>0</v>
      </c>
      <c r="AF313" s="145">
        <v>420.2</v>
      </c>
      <c r="AG313" s="107">
        <f t="shared" si="169"/>
        <v>54.085133123882386</v>
      </c>
      <c r="AH313" s="142">
        <f t="shared" si="170"/>
        <v>474.28513312388236</v>
      </c>
      <c r="AI313" s="145">
        <v>0</v>
      </c>
      <c r="AJ313" s="107">
        <f t="shared" si="171"/>
        <v>0</v>
      </c>
      <c r="AK313" s="142">
        <f t="shared" si="172"/>
        <v>0</v>
      </c>
      <c r="AL313" s="146">
        <v>2741.25</v>
      </c>
      <c r="AM313" s="146"/>
      <c r="AN313" s="107">
        <f t="shared" si="173"/>
        <v>352.83405801009661</v>
      </c>
      <c r="AO313" s="151">
        <f t="shared" si="174"/>
        <v>3094.0840580100967</v>
      </c>
      <c r="AP313" s="282">
        <f t="shared" si="175"/>
        <v>1024.3323058399189</v>
      </c>
      <c r="AQ313" s="684">
        <v>170.36</v>
      </c>
      <c r="AR313" s="740">
        <v>666.7719234107102</v>
      </c>
      <c r="AS313" s="740">
        <v>355.1512958023373</v>
      </c>
      <c r="AT313" s="740">
        <v>2.4090866268713236</v>
      </c>
      <c r="AU313" s="411">
        <v>0</v>
      </c>
      <c r="AV313" s="801"/>
      <c r="AW313" s="256"/>
      <c r="AX313" s="728">
        <f t="shared" si="176"/>
        <v>119.47602079926631</v>
      </c>
      <c r="AY313" s="729">
        <v>80.274929470257291</v>
      </c>
      <c r="AZ313" s="730"/>
      <c r="BA313" s="731">
        <v>0</v>
      </c>
      <c r="BC313" s="727">
        <v>0</v>
      </c>
      <c r="BD313" s="727">
        <v>119.47602079926631</v>
      </c>
      <c r="BE313" s="727"/>
      <c r="BF313" s="727"/>
      <c r="BG313" s="727">
        <v>0</v>
      </c>
      <c r="BH313" s="727">
        <v>0</v>
      </c>
      <c r="BI313" s="137">
        <f t="shared" si="180"/>
        <v>119.47602079926631</v>
      </c>
      <c r="BJ313" s="126">
        <v>280</v>
      </c>
      <c r="BK313" s="807"/>
      <c r="BL313" s="107"/>
      <c r="BM313" s="687">
        <v>292.52</v>
      </c>
      <c r="BO313" s="577"/>
      <c r="BS313" s="904"/>
      <c r="BT313" s="789"/>
      <c r="BU313" s="789">
        <v>2683.6506918279974</v>
      </c>
      <c r="BV313" s="789">
        <v>0</v>
      </c>
      <c r="BW313" s="789">
        <f t="shared" si="177"/>
        <v>2683.6506918279974</v>
      </c>
    </row>
    <row r="314" spans="1:75" ht="15" thickBot="1" x14ac:dyDescent="0.35">
      <c r="A314" s="219" t="s">
        <v>305</v>
      </c>
      <c r="B314" s="237">
        <v>5</v>
      </c>
      <c r="C314" s="40">
        <f>'[7]побудинковий звіт'!E314</f>
        <v>9137</v>
      </c>
      <c r="D314" s="215">
        <f t="shared" si="152"/>
        <v>3381.8252803827236</v>
      </c>
      <c r="E314" s="107">
        <f t="shared" si="153"/>
        <v>744.00218300632787</v>
      </c>
      <c r="F314" s="107">
        <f t="shared" si="154"/>
        <v>455.8945985010015</v>
      </c>
      <c r="G314" s="107">
        <f t="shared" si="155"/>
        <v>0</v>
      </c>
      <c r="H314" s="107">
        <f t="shared" si="156"/>
        <v>2825.4294385073194</v>
      </c>
      <c r="I314" s="107">
        <f t="shared" si="157"/>
        <v>953.3954663678179</v>
      </c>
      <c r="J314" s="687">
        <f t="shared" si="145"/>
        <v>0</v>
      </c>
      <c r="K314" s="142">
        <f t="shared" si="158"/>
        <v>8360.5469667651905</v>
      </c>
      <c r="L314" s="141">
        <f t="shared" si="146"/>
        <v>1564.0615590892317</v>
      </c>
      <c r="M314" s="107">
        <f t="shared" si="147"/>
        <v>344.09192342969402</v>
      </c>
      <c r="N314" s="30">
        <f t="shared" si="159"/>
        <v>188.38804404969375</v>
      </c>
      <c r="O314" s="107">
        <f t="shared" si="148"/>
        <v>16.449427185386853</v>
      </c>
      <c r="P314" s="107">
        <f t="shared" si="160"/>
        <v>1306.7338511906364</v>
      </c>
      <c r="Q314" s="107">
        <f t="shared" si="161"/>
        <v>440.16247339950911</v>
      </c>
      <c r="R314" s="143">
        <f t="shared" si="162"/>
        <v>3859.8872783441516</v>
      </c>
      <c r="S314" s="141">
        <f t="shared" si="163"/>
        <v>67.98</v>
      </c>
      <c r="T314" s="107">
        <f t="shared" si="149"/>
        <v>8.7498985001464185</v>
      </c>
      <c r="U314" s="142">
        <f t="shared" si="164"/>
        <v>76.729898500146419</v>
      </c>
      <c r="V314" s="107"/>
      <c r="W314" s="107">
        <f t="shared" si="165"/>
        <v>0</v>
      </c>
      <c r="X314" s="142">
        <f t="shared" si="166"/>
        <v>0</v>
      </c>
      <c r="Y314" s="141">
        <v>0</v>
      </c>
      <c r="Z314" s="144">
        <v>0</v>
      </c>
      <c r="AA314" s="107">
        <f t="shared" si="150"/>
        <v>0</v>
      </c>
      <c r="AB314" s="142">
        <f t="shared" si="151"/>
        <v>0</v>
      </c>
      <c r="AC314" s="141">
        <v>0</v>
      </c>
      <c r="AD314" s="107">
        <f t="shared" si="167"/>
        <v>0</v>
      </c>
      <c r="AE314" s="142">
        <f t="shared" si="168"/>
        <v>0</v>
      </c>
      <c r="AF314" s="145">
        <v>275</v>
      </c>
      <c r="AG314" s="107">
        <f t="shared" si="169"/>
        <v>35.396029531336644</v>
      </c>
      <c r="AH314" s="142">
        <f t="shared" si="170"/>
        <v>310.39602953133664</v>
      </c>
      <c r="AI314" s="145">
        <v>0</v>
      </c>
      <c r="AJ314" s="107">
        <f t="shared" si="171"/>
        <v>0</v>
      </c>
      <c r="AK314" s="142">
        <f t="shared" si="172"/>
        <v>0</v>
      </c>
      <c r="AL314" s="146">
        <v>9243.75</v>
      </c>
      <c r="AM314" s="146"/>
      <c r="AN314" s="107">
        <f t="shared" si="173"/>
        <v>1189.789265382884</v>
      </c>
      <c r="AO314" s="151">
        <f t="shared" si="174"/>
        <v>10433.539265382884</v>
      </c>
      <c r="AP314" s="282">
        <f t="shared" si="175"/>
        <v>4148.2967316480481</v>
      </c>
      <c r="AQ314" s="684">
        <v>417.35</v>
      </c>
      <c r="AR314" s="740">
        <v>2703.7494308881178</v>
      </c>
      <c r="AS314" s="740">
        <v>1436.8460501085469</v>
      </c>
      <c r="AT314" s="740">
        <v>7.7012506513838321</v>
      </c>
      <c r="AU314" s="411">
        <v>0</v>
      </c>
      <c r="AV314" s="801"/>
      <c r="AW314" s="256"/>
      <c r="AX314" s="728">
        <f t="shared" si="176"/>
        <v>280.38459850100151</v>
      </c>
      <c r="AY314" s="729">
        <v>188.38804404969375</v>
      </c>
      <c r="AZ314" s="730"/>
      <c r="BA314" s="731">
        <v>0</v>
      </c>
      <c r="BC314" s="727">
        <v>0</v>
      </c>
      <c r="BD314" s="727">
        <v>280.38459850100151</v>
      </c>
      <c r="BE314" s="727"/>
      <c r="BF314" s="727"/>
      <c r="BG314" s="727">
        <v>0</v>
      </c>
      <c r="BH314" s="727">
        <v>0</v>
      </c>
      <c r="BI314" s="137">
        <f t="shared" si="180"/>
        <v>280.38459850100151</v>
      </c>
      <c r="BJ314" s="126">
        <v>309</v>
      </c>
      <c r="BK314" s="807"/>
      <c r="BL314" s="107"/>
      <c r="BM314" s="687">
        <v>175.51</v>
      </c>
      <c r="BO314" s="577"/>
      <c r="BS314" s="904"/>
      <c r="BT314" s="789"/>
      <c r="BU314" s="789">
        <v>3756.0737785126948</v>
      </c>
      <c r="BV314" s="789">
        <v>0</v>
      </c>
      <c r="BW314" s="789">
        <f t="shared" si="177"/>
        <v>3756.0737785126948</v>
      </c>
    </row>
    <row r="315" spans="1:75" ht="15" thickBot="1" x14ac:dyDescent="0.35">
      <c r="A315" s="219" t="s">
        <v>306</v>
      </c>
      <c r="B315" s="237">
        <v>5</v>
      </c>
      <c r="C315" s="40">
        <f>'[7]побудинковий звіт'!E315</f>
        <v>2609.46</v>
      </c>
      <c r="D315" s="215">
        <f t="shared" si="152"/>
        <v>1913.8520665015897</v>
      </c>
      <c r="E315" s="107">
        <f t="shared" si="153"/>
        <v>421.04780625071487</v>
      </c>
      <c r="F315" s="107">
        <f t="shared" si="154"/>
        <v>255.29378293783324</v>
      </c>
      <c r="G315" s="107">
        <f t="shared" si="155"/>
        <v>0</v>
      </c>
      <c r="H315" s="107">
        <f t="shared" si="156"/>
        <v>1598.9749680473421</v>
      </c>
      <c r="I315" s="107">
        <f t="shared" si="157"/>
        <v>539.1997684274935</v>
      </c>
      <c r="J315" s="687">
        <f t="shared" si="145"/>
        <v>0</v>
      </c>
      <c r="K315" s="142">
        <f t="shared" si="158"/>
        <v>4728.3683921649736</v>
      </c>
      <c r="L315" s="141">
        <f t="shared" si="146"/>
        <v>525.61279552893291</v>
      </c>
      <c r="M315" s="107">
        <f t="shared" si="147"/>
        <v>115.63427074962767</v>
      </c>
      <c r="N315" s="30">
        <f t="shared" si="159"/>
        <v>53.606050028778768</v>
      </c>
      <c r="O315" s="107">
        <f t="shared" si="148"/>
        <v>4.6978354233533519</v>
      </c>
      <c r="P315" s="107">
        <f t="shared" si="160"/>
        <v>439.13618907464894</v>
      </c>
      <c r="Q315" s="107">
        <f t="shared" si="161"/>
        <v>146.56364968326966</v>
      </c>
      <c r="R315" s="143">
        <f t="shared" si="162"/>
        <v>1285.2507904886113</v>
      </c>
      <c r="S315" s="141">
        <f t="shared" si="163"/>
        <v>51.04</v>
      </c>
      <c r="T315" s="107">
        <f t="shared" si="149"/>
        <v>6.569503081016081</v>
      </c>
      <c r="U315" s="142">
        <f t="shared" si="164"/>
        <v>57.609503081016079</v>
      </c>
      <c r="V315" s="107"/>
      <c r="W315" s="107">
        <f t="shared" si="165"/>
        <v>0</v>
      </c>
      <c r="X315" s="142">
        <f t="shared" si="166"/>
        <v>0</v>
      </c>
      <c r="Y315" s="141">
        <v>0</v>
      </c>
      <c r="Z315" s="144">
        <v>0</v>
      </c>
      <c r="AA315" s="107">
        <f t="shared" si="150"/>
        <v>0</v>
      </c>
      <c r="AB315" s="142">
        <f t="shared" si="151"/>
        <v>0</v>
      </c>
      <c r="AC315" s="141">
        <v>0</v>
      </c>
      <c r="AD315" s="107">
        <f t="shared" si="167"/>
        <v>0</v>
      </c>
      <c r="AE315" s="142">
        <f t="shared" si="168"/>
        <v>0</v>
      </c>
      <c r="AF315" s="145">
        <v>231</v>
      </c>
      <c r="AG315" s="107">
        <f t="shared" si="169"/>
        <v>29.732664806322781</v>
      </c>
      <c r="AH315" s="142">
        <f t="shared" si="170"/>
        <v>260.73266480632276</v>
      </c>
      <c r="AI315" s="145">
        <v>0</v>
      </c>
      <c r="AJ315" s="107">
        <f t="shared" si="171"/>
        <v>0</v>
      </c>
      <c r="AK315" s="142">
        <f t="shared" si="172"/>
        <v>0</v>
      </c>
      <c r="AL315" s="146">
        <v>701.25</v>
      </c>
      <c r="AM315" s="146"/>
      <c r="AN315" s="107">
        <f t="shared" si="173"/>
        <v>90.259875304908434</v>
      </c>
      <c r="AO315" s="151">
        <f t="shared" si="174"/>
        <v>791.50987530490841</v>
      </c>
      <c r="AP315" s="282">
        <f t="shared" si="175"/>
        <v>2095.9406329208464</v>
      </c>
      <c r="AQ315" s="684">
        <v>155.81</v>
      </c>
      <c r="AR315" s="740">
        <v>1610.4913610467049</v>
      </c>
      <c r="AS315" s="740">
        <v>477.30792278009403</v>
      </c>
      <c r="AT315" s="740">
        <v>8.1413490940470723</v>
      </c>
      <c r="AU315" s="411">
        <v>0</v>
      </c>
      <c r="AV315" s="801"/>
      <c r="AW315" s="256"/>
      <c r="AX315" s="728">
        <f t="shared" si="176"/>
        <v>79.783782937833251</v>
      </c>
      <c r="AY315" s="729">
        <v>53.606050028778768</v>
      </c>
      <c r="AZ315" s="730"/>
      <c r="BA315" s="731">
        <v>0</v>
      </c>
      <c r="BC315" s="727">
        <v>0</v>
      </c>
      <c r="BD315" s="727">
        <v>79.783782937833251</v>
      </c>
      <c r="BE315" s="727"/>
      <c r="BF315" s="727"/>
      <c r="BG315" s="727">
        <v>0</v>
      </c>
      <c r="BH315" s="727">
        <v>0</v>
      </c>
      <c r="BI315" s="137">
        <f t="shared" si="180"/>
        <v>79.783782937833251</v>
      </c>
      <c r="BJ315" s="126">
        <v>232</v>
      </c>
      <c r="BK315" s="807"/>
      <c r="BL315" s="107"/>
      <c r="BM315" s="687">
        <v>175.51</v>
      </c>
      <c r="BO315" s="577"/>
      <c r="BS315" s="904"/>
      <c r="BT315" s="789"/>
      <c r="BU315" s="789">
        <v>1587.2594992532702</v>
      </c>
      <c r="BV315" s="789">
        <v>0</v>
      </c>
      <c r="BW315" s="789">
        <f t="shared" si="177"/>
        <v>1587.2594992532702</v>
      </c>
    </row>
    <row r="316" spans="1:75" ht="15" thickBot="1" x14ac:dyDescent="0.35">
      <c r="A316" s="219" t="s">
        <v>307</v>
      </c>
      <c r="B316" s="237">
        <v>5</v>
      </c>
      <c r="C316" s="40">
        <f>'[7]побудинковий звіт'!E316</f>
        <v>2534.1999999999998</v>
      </c>
      <c r="D316" s="215">
        <f t="shared" si="152"/>
        <v>2662.7164995633934</v>
      </c>
      <c r="E316" s="107">
        <f t="shared" si="153"/>
        <v>585.79811910860576</v>
      </c>
      <c r="F316" s="107">
        <f t="shared" si="154"/>
        <v>69.683083739017164</v>
      </c>
      <c r="G316" s="107">
        <f t="shared" si="155"/>
        <v>0</v>
      </c>
      <c r="H316" s="107">
        <f t="shared" si="156"/>
        <v>2224.6322504911177</v>
      </c>
      <c r="I316" s="107">
        <f t="shared" si="157"/>
        <v>713.43335527309534</v>
      </c>
      <c r="J316" s="687">
        <f t="shared" si="145"/>
        <v>0</v>
      </c>
      <c r="K316" s="142">
        <f t="shared" si="158"/>
        <v>6256.2633081752292</v>
      </c>
      <c r="L316" s="141">
        <f t="shared" si="146"/>
        <v>727.56253995441728</v>
      </c>
      <c r="M316" s="107">
        <f t="shared" si="147"/>
        <v>160.06300540631494</v>
      </c>
      <c r="N316" s="30">
        <f t="shared" si="159"/>
        <v>46.819475531561963</v>
      </c>
      <c r="O316" s="107">
        <f t="shared" si="148"/>
        <v>4.5623441362818609</v>
      </c>
      <c r="P316" s="107">
        <f t="shared" si="160"/>
        <v>607.86008983578415</v>
      </c>
      <c r="Q316" s="107">
        <f t="shared" si="161"/>
        <v>199.10169495797251</v>
      </c>
      <c r="R316" s="143">
        <f t="shared" si="162"/>
        <v>1745.9691498223326</v>
      </c>
      <c r="S316" s="141">
        <f t="shared" si="163"/>
        <v>26.400000000000002</v>
      </c>
      <c r="T316" s="107">
        <f t="shared" si="149"/>
        <v>3.398018835008318</v>
      </c>
      <c r="U316" s="142">
        <f t="shared" si="164"/>
        <v>29.798018835008321</v>
      </c>
      <c r="V316" s="107"/>
      <c r="W316" s="107">
        <f t="shared" si="165"/>
        <v>0</v>
      </c>
      <c r="X316" s="142">
        <f t="shared" si="166"/>
        <v>0</v>
      </c>
      <c r="Y316" s="141">
        <v>0</v>
      </c>
      <c r="Z316" s="144">
        <v>0</v>
      </c>
      <c r="AA316" s="107">
        <f t="shared" si="150"/>
        <v>0</v>
      </c>
      <c r="AB316" s="142">
        <f t="shared" si="151"/>
        <v>0</v>
      </c>
      <c r="AC316" s="141">
        <v>0</v>
      </c>
      <c r="AD316" s="107">
        <f t="shared" si="167"/>
        <v>0</v>
      </c>
      <c r="AE316" s="142">
        <f t="shared" si="168"/>
        <v>0</v>
      </c>
      <c r="AF316" s="145">
        <v>387.2</v>
      </c>
      <c r="AG316" s="107">
        <f t="shared" si="169"/>
        <v>49.837609580121992</v>
      </c>
      <c r="AH316" s="142">
        <f t="shared" si="170"/>
        <v>437.03760958012197</v>
      </c>
      <c r="AI316" s="145">
        <v>0</v>
      </c>
      <c r="AJ316" s="107">
        <f t="shared" si="171"/>
        <v>0</v>
      </c>
      <c r="AK316" s="142">
        <f t="shared" si="172"/>
        <v>0</v>
      </c>
      <c r="AL316" s="146"/>
      <c r="AM316" s="146"/>
      <c r="AN316" s="107">
        <f t="shared" si="173"/>
        <v>0</v>
      </c>
      <c r="AO316" s="151">
        <f t="shared" si="174"/>
        <v>0</v>
      </c>
      <c r="AP316" s="282">
        <f t="shared" si="175"/>
        <v>2981.008677588854</v>
      </c>
      <c r="AQ316" s="684">
        <v>148.38999999999999</v>
      </c>
      <c r="AR316" s="740">
        <v>2309.0411983566432</v>
      </c>
      <c r="AS316" s="740">
        <v>667.75124418967107</v>
      </c>
      <c r="AT316" s="740">
        <v>4.2162350425397914</v>
      </c>
      <c r="AU316" s="411">
        <v>0</v>
      </c>
      <c r="AV316" s="801"/>
      <c r="AW316" s="256"/>
      <c r="AX316" s="728">
        <f t="shared" si="176"/>
        <v>69.683083739017164</v>
      </c>
      <c r="AY316" s="729">
        <v>46.819475531561963</v>
      </c>
      <c r="AZ316" s="730"/>
      <c r="BA316" s="731">
        <v>0</v>
      </c>
      <c r="BC316" s="727">
        <v>0</v>
      </c>
      <c r="BD316" s="727">
        <v>69.683083739017164</v>
      </c>
      <c r="BE316" s="727"/>
      <c r="BF316" s="727"/>
      <c r="BG316" s="727">
        <v>0</v>
      </c>
      <c r="BH316" s="727">
        <v>0</v>
      </c>
      <c r="BI316" s="137">
        <f t="shared" si="180"/>
        <v>69.683083739017164</v>
      </c>
      <c r="BJ316" s="126">
        <v>120</v>
      </c>
      <c r="BK316" s="807"/>
      <c r="BL316" s="107"/>
      <c r="BM316" s="687"/>
      <c r="BO316" s="577"/>
      <c r="BS316" s="904"/>
      <c r="BT316" s="789"/>
      <c r="BU316" s="789">
        <v>2275.7260792492239</v>
      </c>
      <c r="BV316" s="789">
        <v>0</v>
      </c>
      <c r="BW316" s="789">
        <f t="shared" si="177"/>
        <v>2275.7260792492239</v>
      </c>
    </row>
    <row r="317" spans="1:75" ht="15" thickBot="1" x14ac:dyDescent="0.35">
      <c r="A317" s="219" t="s">
        <v>308</v>
      </c>
      <c r="B317" s="237">
        <v>5</v>
      </c>
      <c r="C317" s="40">
        <f>'[7]побудинковий звіт'!E317</f>
        <v>5026.5</v>
      </c>
      <c r="D317" s="215">
        <f t="shared" si="152"/>
        <v>2813.3367220556693</v>
      </c>
      <c r="E317" s="107">
        <f t="shared" si="153"/>
        <v>618.93459572944107</v>
      </c>
      <c r="F317" s="107">
        <f t="shared" si="154"/>
        <v>147.42442275145598</v>
      </c>
      <c r="G317" s="107">
        <f t="shared" si="155"/>
        <v>0</v>
      </c>
      <c r="H317" s="107">
        <f t="shared" si="156"/>
        <v>2350.471634664163</v>
      </c>
      <c r="I317" s="107">
        <f t="shared" si="157"/>
        <v>763.28865286681491</v>
      </c>
      <c r="J317" s="687">
        <f t="shared" si="145"/>
        <v>0</v>
      </c>
      <c r="K317" s="142">
        <f t="shared" si="158"/>
        <v>6693.4560280675441</v>
      </c>
      <c r="L317" s="141">
        <f t="shared" si="146"/>
        <v>973.553850142692</v>
      </c>
      <c r="M317" s="107">
        <f t="shared" si="147"/>
        <v>214.18083892621982</v>
      </c>
      <c r="N317" s="30">
        <f t="shared" si="159"/>
        <v>82.651036457735415</v>
      </c>
      <c r="O317" s="107">
        <f t="shared" si="148"/>
        <v>9.0492553077976368</v>
      </c>
      <c r="P317" s="107">
        <f t="shared" si="160"/>
        <v>813.37960423963875</v>
      </c>
      <c r="Q317" s="107">
        <f t="shared" si="161"/>
        <v>269.37209766143388</v>
      </c>
      <c r="R317" s="143">
        <f t="shared" si="162"/>
        <v>2362.1866827355179</v>
      </c>
      <c r="S317" s="141">
        <f t="shared" si="163"/>
        <v>7.04</v>
      </c>
      <c r="T317" s="107">
        <f t="shared" si="149"/>
        <v>0.90613835600221804</v>
      </c>
      <c r="U317" s="142">
        <f t="shared" si="164"/>
        <v>7.9461383560022183</v>
      </c>
      <c r="V317" s="107"/>
      <c r="W317" s="107">
        <f t="shared" si="165"/>
        <v>0</v>
      </c>
      <c r="X317" s="142">
        <f t="shared" si="166"/>
        <v>0</v>
      </c>
      <c r="Y317" s="141">
        <v>0</v>
      </c>
      <c r="Z317" s="144">
        <v>0</v>
      </c>
      <c r="AA317" s="107">
        <f t="shared" si="150"/>
        <v>0</v>
      </c>
      <c r="AB317" s="142">
        <f t="shared" si="151"/>
        <v>0</v>
      </c>
      <c r="AC317" s="141">
        <v>0</v>
      </c>
      <c r="AD317" s="107">
        <f t="shared" si="167"/>
        <v>0</v>
      </c>
      <c r="AE317" s="142">
        <f t="shared" si="168"/>
        <v>0</v>
      </c>
      <c r="AF317" s="145">
        <v>204.6</v>
      </c>
      <c r="AG317" s="107">
        <f t="shared" si="169"/>
        <v>26.334645971314462</v>
      </c>
      <c r="AH317" s="142">
        <f t="shared" si="170"/>
        <v>230.93464597131447</v>
      </c>
      <c r="AI317" s="145">
        <v>0</v>
      </c>
      <c r="AJ317" s="107">
        <f t="shared" si="171"/>
        <v>0</v>
      </c>
      <c r="AK317" s="142">
        <f t="shared" si="172"/>
        <v>0</v>
      </c>
      <c r="AL317" s="146"/>
      <c r="AM317" s="146"/>
      <c r="AN317" s="107">
        <f t="shared" si="173"/>
        <v>0</v>
      </c>
      <c r="AO317" s="151">
        <f t="shared" si="174"/>
        <v>0</v>
      </c>
      <c r="AP317" s="282">
        <f t="shared" si="175"/>
        <v>2445.6710901499309</v>
      </c>
      <c r="AQ317" s="684">
        <v>1049.93</v>
      </c>
      <c r="AR317" s="741">
        <v>1546.5091753292686</v>
      </c>
      <c r="AS317" s="741">
        <v>898.03503518119783</v>
      </c>
      <c r="AT317" s="741">
        <v>1.1268796394642793</v>
      </c>
      <c r="AU317" s="411">
        <v>0</v>
      </c>
      <c r="AV317" s="801"/>
      <c r="AW317" s="256"/>
      <c r="AX317" s="728">
        <f t="shared" si="176"/>
        <v>147.42442275145598</v>
      </c>
      <c r="AY317" s="729">
        <v>82.651036457735415</v>
      </c>
      <c r="AZ317" s="730"/>
      <c r="BA317" s="731">
        <v>0</v>
      </c>
      <c r="BC317" s="727">
        <v>0</v>
      </c>
      <c r="BD317" s="727">
        <v>147.42442275145598</v>
      </c>
      <c r="BE317" s="727"/>
      <c r="BF317" s="727"/>
      <c r="BG317" s="727">
        <v>0</v>
      </c>
      <c r="BH317" s="727">
        <v>10.126176167787968</v>
      </c>
      <c r="BI317" s="137">
        <f t="shared" si="180"/>
        <v>147.42442275145598</v>
      </c>
      <c r="BJ317" s="126">
        <v>32</v>
      </c>
      <c r="BK317" s="807"/>
      <c r="BL317" s="107"/>
      <c r="BM317" s="687"/>
      <c r="BO317" s="577"/>
      <c r="BS317" s="904"/>
      <c r="BT317" s="789"/>
      <c r="BU317" s="789">
        <v>1534.2603589447401</v>
      </c>
      <c r="BV317" s="789">
        <v>0</v>
      </c>
      <c r="BW317" s="789">
        <f t="shared" si="177"/>
        <v>1534.2603589447401</v>
      </c>
    </row>
    <row r="318" spans="1:75" ht="15" thickBot="1" x14ac:dyDescent="0.35">
      <c r="A318" s="219" t="s">
        <v>309</v>
      </c>
      <c r="B318" s="237">
        <v>5</v>
      </c>
      <c r="C318" s="40">
        <f>'[7]побудинковий звіт'!E318</f>
        <v>2840.51</v>
      </c>
      <c r="D318" s="215">
        <f t="shared" si="152"/>
        <v>1247.6899070585505</v>
      </c>
      <c r="E318" s="107">
        <f t="shared" si="153"/>
        <v>274.49200878333647</v>
      </c>
      <c r="F318" s="107">
        <f t="shared" si="154"/>
        <v>79.586379622511714</v>
      </c>
      <c r="G318" s="107">
        <f t="shared" si="155"/>
        <v>0</v>
      </c>
      <c r="H318" s="107">
        <f t="shared" si="156"/>
        <v>1042.413342280277</v>
      </c>
      <c r="I318" s="107">
        <f t="shared" si="157"/>
        <v>340.34011394846777</v>
      </c>
      <c r="J318" s="687">
        <f t="shared" si="145"/>
        <v>0</v>
      </c>
      <c r="K318" s="142">
        <f t="shared" si="158"/>
        <v>2984.5217516931434</v>
      </c>
      <c r="L318" s="141">
        <f t="shared" si="146"/>
        <v>546.14836837663245</v>
      </c>
      <c r="M318" s="107">
        <f t="shared" si="147"/>
        <v>120.15207551174345</v>
      </c>
      <c r="N318" s="30">
        <f t="shared" si="159"/>
        <v>46.692813495848839</v>
      </c>
      <c r="O318" s="107">
        <f t="shared" si="148"/>
        <v>5.1137969152197886</v>
      </c>
      <c r="P318" s="107">
        <f t="shared" si="160"/>
        <v>456.29314049880281</v>
      </c>
      <c r="Q318" s="107">
        <f t="shared" si="161"/>
        <v>151.16037809704099</v>
      </c>
      <c r="R318" s="143">
        <f t="shared" si="162"/>
        <v>1325.5605728952885</v>
      </c>
      <c r="S318" s="141">
        <f t="shared" si="163"/>
        <v>51.699999999999996</v>
      </c>
      <c r="T318" s="107">
        <f t="shared" si="149"/>
        <v>6.6544535518912884</v>
      </c>
      <c r="U318" s="142">
        <f t="shared" si="164"/>
        <v>58.354453551891282</v>
      </c>
      <c r="V318" s="107"/>
      <c r="W318" s="107">
        <f t="shared" si="165"/>
        <v>0</v>
      </c>
      <c r="X318" s="142">
        <f t="shared" si="166"/>
        <v>0</v>
      </c>
      <c r="Y318" s="141">
        <v>0</v>
      </c>
      <c r="Z318" s="144">
        <v>0</v>
      </c>
      <c r="AA318" s="107">
        <f t="shared" si="150"/>
        <v>0</v>
      </c>
      <c r="AB318" s="142">
        <f t="shared" si="151"/>
        <v>0</v>
      </c>
      <c r="AC318" s="141">
        <v>0</v>
      </c>
      <c r="AD318" s="107">
        <f t="shared" si="167"/>
        <v>0</v>
      </c>
      <c r="AE318" s="142">
        <f t="shared" si="168"/>
        <v>0</v>
      </c>
      <c r="AF318" s="145">
        <v>81.400000000000006</v>
      </c>
      <c r="AG318" s="107">
        <f t="shared" si="169"/>
        <v>10.477224741275647</v>
      </c>
      <c r="AH318" s="142">
        <f t="shared" si="170"/>
        <v>91.877224741275654</v>
      </c>
      <c r="AI318" s="145">
        <v>0</v>
      </c>
      <c r="AJ318" s="107">
        <f t="shared" si="171"/>
        <v>0</v>
      </c>
      <c r="AK318" s="142">
        <f t="shared" si="172"/>
        <v>0</v>
      </c>
      <c r="AL318" s="146"/>
      <c r="AM318" s="146"/>
      <c r="AN318" s="107">
        <f t="shared" si="173"/>
        <v>0</v>
      </c>
      <c r="AO318" s="151">
        <f t="shared" si="174"/>
        <v>0</v>
      </c>
      <c r="AP318" s="282">
        <f t="shared" si="175"/>
        <v>1140.9734319810898</v>
      </c>
      <c r="AQ318" s="684">
        <v>514.94000000000005</v>
      </c>
      <c r="AR318" s="741">
        <v>636.55776702969831</v>
      </c>
      <c r="AS318" s="741">
        <v>496.10845425025315</v>
      </c>
      <c r="AT318" s="741">
        <v>8.3072107011381817</v>
      </c>
      <c r="AU318" s="411">
        <v>0</v>
      </c>
      <c r="AV318" s="801"/>
      <c r="AW318" s="256"/>
      <c r="AX318" s="728">
        <f t="shared" si="176"/>
        <v>79.586379622511714</v>
      </c>
      <c r="AY318" s="729">
        <v>46.692813495848839</v>
      </c>
      <c r="AZ318" s="730"/>
      <c r="BA318" s="731">
        <v>0</v>
      </c>
      <c r="BC318" s="727">
        <v>0</v>
      </c>
      <c r="BD318" s="727">
        <v>79.586379622511714</v>
      </c>
      <c r="BE318" s="727"/>
      <c r="BF318" s="727"/>
      <c r="BG318" s="727">
        <v>0</v>
      </c>
      <c r="BH318" s="727">
        <v>2.021212919290349</v>
      </c>
      <c r="BI318" s="137">
        <f t="shared" si="180"/>
        <v>79.586379622511714</v>
      </c>
      <c r="BJ318" s="126">
        <v>235</v>
      </c>
      <c r="BK318" s="807"/>
      <c r="BL318" s="107"/>
      <c r="BM318" s="687"/>
      <c r="BO318" s="577"/>
      <c r="BS318" s="904"/>
      <c r="BT318" s="789"/>
      <c r="BU318" s="789">
        <v>631.51230909701803</v>
      </c>
      <c r="BV318" s="789">
        <v>0</v>
      </c>
      <c r="BW318" s="789">
        <f t="shared" si="177"/>
        <v>631.51230909701803</v>
      </c>
    </row>
    <row r="319" spans="1:75" ht="15" thickBot="1" x14ac:dyDescent="0.35">
      <c r="A319" s="219" t="s">
        <v>310</v>
      </c>
      <c r="B319" s="237">
        <v>5</v>
      </c>
      <c r="C319" s="40">
        <f>'[7]побудинковий звіт'!E319</f>
        <v>3295.38</v>
      </c>
      <c r="D319" s="215">
        <f t="shared" si="152"/>
        <v>3097.2562930978629</v>
      </c>
      <c r="E319" s="107">
        <f t="shared" si="153"/>
        <v>681.39695352153444</v>
      </c>
      <c r="F319" s="107">
        <f t="shared" si="154"/>
        <v>92.152767300612879</v>
      </c>
      <c r="G319" s="107">
        <f t="shared" si="155"/>
        <v>0</v>
      </c>
      <c r="H319" s="107">
        <f t="shared" si="156"/>
        <v>2587.6792511676981</v>
      </c>
      <c r="I319" s="107">
        <f t="shared" si="157"/>
        <v>831.28994607544405</v>
      </c>
      <c r="J319" s="687">
        <f t="shared" si="145"/>
        <v>0</v>
      </c>
      <c r="K319" s="142">
        <f t="shared" si="158"/>
        <v>7289.7752111631535</v>
      </c>
      <c r="L319" s="141">
        <f t="shared" si="146"/>
        <v>642.42412490326512</v>
      </c>
      <c r="M319" s="107">
        <f t="shared" si="147"/>
        <v>141.33264225502978</v>
      </c>
      <c r="N319" s="30">
        <f t="shared" si="159"/>
        <v>54.193988639149538</v>
      </c>
      <c r="O319" s="107">
        <f t="shared" si="148"/>
        <v>5.9327036618343145</v>
      </c>
      <c r="P319" s="107">
        <f t="shared" si="160"/>
        <v>536.72909864331302</v>
      </c>
      <c r="Q319" s="107">
        <f t="shared" si="161"/>
        <v>177.7025559197584</v>
      </c>
      <c r="R319" s="143">
        <f t="shared" si="162"/>
        <v>1558.3151140223501</v>
      </c>
      <c r="S319" s="141">
        <f t="shared" si="163"/>
        <v>88.26400000000001</v>
      </c>
      <c r="T319" s="107">
        <f t="shared" si="149"/>
        <v>11.360709638377809</v>
      </c>
      <c r="U319" s="142">
        <f t="shared" si="164"/>
        <v>99.624709638377823</v>
      </c>
      <c r="V319" s="107"/>
      <c r="W319" s="107">
        <f t="shared" si="165"/>
        <v>0</v>
      </c>
      <c r="X319" s="142">
        <f t="shared" si="166"/>
        <v>0</v>
      </c>
      <c r="Y319" s="141">
        <v>0</v>
      </c>
      <c r="Z319" s="144">
        <v>0</v>
      </c>
      <c r="AA319" s="107">
        <f t="shared" si="150"/>
        <v>0</v>
      </c>
      <c r="AB319" s="142">
        <f t="shared" si="151"/>
        <v>0</v>
      </c>
      <c r="AC319" s="141">
        <v>0</v>
      </c>
      <c r="AD319" s="107">
        <f t="shared" si="167"/>
        <v>0</v>
      </c>
      <c r="AE319" s="142">
        <f t="shared" si="168"/>
        <v>0</v>
      </c>
      <c r="AF319" s="145">
        <v>415.8</v>
      </c>
      <c r="AG319" s="107">
        <f t="shared" si="169"/>
        <v>53.518796651381003</v>
      </c>
      <c r="AH319" s="142">
        <f t="shared" si="170"/>
        <v>469.31879665138104</v>
      </c>
      <c r="AI319" s="145">
        <v>0</v>
      </c>
      <c r="AJ319" s="107">
        <f t="shared" si="171"/>
        <v>0</v>
      </c>
      <c r="AK319" s="142">
        <f t="shared" si="172"/>
        <v>0</v>
      </c>
      <c r="AL319" s="146"/>
      <c r="AM319" s="401"/>
      <c r="AN319" s="107">
        <f t="shared" si="173"/>
        <v>0</v>
      </c>
      <c r="AO319" s="151">
        <f t="shared" si="174"/>
        <v>0</v>
      </c>
      <c r="AP319" s="282">
        <f t="shared" si="175"/>
        <v>3075.2243540836794</v>
      </c>
      <c r="AQ319" s="684">
        <v>376.58</v>
      </c>
      <c r="AR319" s="741">
        <v>2481.8896287468692</v>
      </c>
      <c r="AS319" s="741">
        <v>573.99094402874789</v>
      </c>
      <c r="AT319" s="741">
        <v>19.343781308062141</v>
      </c>
      <c r="AU319" s="411">
        <v>0</v>
      </c>
      <c r="AV319" s="801"/>
      <c r="AW319" s="256"/>
      <c r="AX319" s="728">
        <f t="shared" si="176"/>
        <v>92.152767300612879</v>
      </c>
      <c r="AY319" s="729">
        <v>54.193988639149538</v>
      </c>
      <c r="AZ319" s="730"/>
      <c r="BA319" s="731">
        <v>0</v>
      </c>
      <c r="BC319" s="727">
        <v>0</v>
      </c>
      <c r="BD319" s="727">
        <v>92.152767300612879</v>
      </c>
      <c r="BE319" s="727"/>
      <c r="BF319" s="727"/>
      <c r="BG319" s="727">
        <v>0</v>
      </c>
      <c r="BH319" s="727">
        <v>2.1267986688055163</v>
      </c>
      <c r="BI319" s="137">
        <f t="shared" si="180"/>
        <v>92.152767300612879</v>
      </c>
      <c r="BJ319" s="126">
        <v>401.2</v>
      </c>
      <c r="BK319" s="807"/>
      <c r="BL319" s="107"/>
      <c r="BM319" s="687"/>
      <c r="BO319" s="577"/>
      <c r="BS319" s="904"/>
      <c r="BT319" s="789"/>
      <c r="BU319" s="789">
        <v>2079.6236989335985</v>
      </c>
      <c r="BV319" s="789">
        <v>0</v>
      </c>
      <c r="BW319" s="789">
        <f t="shared" si="177"/>
        <v>2079.6236989335985</v>
      </c>
    </row>
    <row r="320" spans="1:75" ht="15" thickBot="1" x14ac:dyDescent="0.35">
      <c r="A320" s="219" t="s">
        <v>311</v>
      </c>
      <c r="B320" s="237">
        <v>5</v>
      </c>
      <c r="C320" s="40">
        <f>'[7]побудинковий звіт'!E320</f>
        <v>5802.99</v>
      </c>
      <c r="D320" s="215">
        <f t="shared" si="152"/>
        <v>2827.7340390948475</v>
      </c>
      <c r="E320" s="107">
        <f t="shared" si="153"/>
        <v>622.10200812319147</v>
      </c>
      <c r="F320" s="107">
        <f t="shared" si="154"/>
        <v>163.29478150294165</v>
      </c>
      <c r="G320" s="107">
        <f t="shared" si="155"/>
        <v>0</v>
      </c>
      <c r="H320" s="107">
        <f t="shared" si="156"/>
        <v>2362.5002287000484</v>
      </c>
      <c r="I320" s="107">
        <f t="shared" si="157"/>
        <v>769.14041227944426</v>
      </c>
      <c r="J320" s="687">
        <f t="shared" si="145"/>
        <v>0</v>
      </c>
      <c r="K320" s="142">
        <f t="shared" si="158"/>
        <v>6744.771469700474</v>
      </c>
      <c r="L320" s="141">
        <f t="shared" si="146"/>
        <v>1381.7541458956566</v>
      </c>
      <c r="M320" s="107">
        <f t="shared" si="147"/>
        <v>303.98448130459133</v>
      </c>
      <c r="N320" s="30">
        <f t="shared" si="159"/>
        <v>164.7410768279945</v>
      </c>
      <c r="O320" s="107">
        <f t="shared" si="148"/>
        <v>10.447177570595167</v>
      </c>
      <c r="P320" s="107">
        <f t="shared" si="160"/>
        <v>1154.4206210887694</v>
      </c>
      <c r="Q320" s="107">
        <f t="shared" si="161"/>
        <v>388.11392455408264</v>
      </c>
      <c r="R320" s="143">
        <f t="shared" si="162"/>
        <v>3403.4614272416893</v>
      </c>
      <c r="S320" s="141">
        <f t="shared" si="163"/>
        <v>193.732</v>
      </c>
      <c r="T320" s="107">
        <f t="shared" si="149"/>
        <v>24.935794884236039</v>
      </c>
      <c r="U320" s="142">
        <f t="shared" si="164"/>
        <v>218.66779488423603</v>
      </c>
      <c r="V320" s="107"/>
      <c r="W320" s="107">
        <f t="shared" si="165"/>
        <v>0</v>
      </c>
      <c r="X320" s="142">
        <f t="shared" si="166"/>
        <v>0</v>
      </c>
      <c r="Y320" s="141">
        <v>0</v>
      </c>
      <c r="Z320" s="144">
        <v>0</v>
      </c>
      <c r="AA320" s="107">
        <f t="shared" si="150"/>
        <v>0</v>
      </c>
      <c r="AB320" s="142">
        <f t="shared" si="151"/>
        <v>0</v>
      </c>
      <c r="AC320" s="141">
        <v>0</v>
      </c>
      <c r="AD320" s="107">
        <f t="shared" si="167"/>
        <v>0</v>
      </c>
      <c r="AE320" s="142">
        <f t="shared" si="168"/>
        <v>0</v>
      </c>
      <c r="AF320" s="145">
        <v>587.4</v>
      </c>
      <c r="AG320" s="107">
        <f t="shared" si="169"/>
        <v>75.605919078935059</v>
      </c>
      <c r="AH320" s="142">
        <f t="shared" si="170"/>
        <v>663.00591907893499</v>
      </c>
      <c r="AI320" s="145">
        <v>0</v>
      </c>
      <c r="AJ320" s="107">
        <f t="shared" si="171"/>
        <v>0</v>
      </c>
      <c r="AK320" s="142">
        <f t="shared" si="172"/>
        <v>0</v>
      </c>
      <c r="AL320" s="146">
        <v>3230</v>
      </c>
      <c r="AM320" s="146"/>
      <c r="AN320" s="107">
        <f t="shared" si="173"/>
        <v>415.74245594988128</v>
      </c>
      <c r="AO320" s="151">
        <f t="shared" si="174"/>
        <v>3645.7424559498813</v>
      </c>
      <c r="AP320" s="282">
        <f t="shared" si="175"/>
        <v>3132.7370139759264</v>
      </c>
      <c r="AQ320" s="684">
        <v>753.16</v>
      </c>
      <c r="AR320" s="741">
        <v>1856.5665140566584</v>
      </c>
      <c r="AS320" s="741">
        <v>1234.0906336517385</v>
      </c>
      <c r="AT320" s="741">
        <v>42.079866267529368</v>
      </c>
      <c r="AU320" s="411">
        <v>0</v>
      </c>
      <c r="AV320" s="801"/>
      <c r="AW320" s="256"/>
      <c r="AX320" s="728">
        <f t="shared" si="176"/>
        <v>163.29478150294165</v>
      </c>
      <c r="AY320" s="729">
        <v>164.7410768279945</v>
      </c>
      <c r="AZ320" s="730"/>
      <c r="BA320" s="731">
        <v>0</v>
      </c>
      <c r="BC320" s="727">
        <v>0</v>
      </c>
      <c r="BD320" s="727">
        <v>163.29478150294165</v>
      </c>
      <c r="BE320" s="727"/>
      <c r="BF320" s="727"/>
      <c r="BG320" s="727">
        <v>0</v>
      </c>
      <c r="BH320" s="727">
        <v>5.9128019728493788</v>
      </c>
      <c r="BI320" s="137">
        <f t="shared" si="180"/>
        <v>163.29478150294165</v>
      </c>
      <c r="BJ320" s="126">
        <v>880.6</v>
      </c>
      <c r="BK320" s="807"/>
      <c r="BL320" s="107"/>
      <c r="BM320" s="687"/>
      <c r="BO320" s="577"/>
      <c r="BS320" s="904"/>
      <c r="BT320" s="789"/>
      <c r="BU320" s="789">
        <v>1802.344332280866</v>
      </c>
      <c r="BV320" s="789">
        <v>0</v>
      </c>
      <c r="BW320" s="789">
        <f t="shared" si="177"/>
        <v>1802.344332280866</v>
      </c>
    </row>
    <row r="321" spans="1:75" ht="15" thickBot="1" x14ac:dyDescent="0.35">
      <c r="A321" s="219" t="s">
        <v>312</v>
      </c>
      <c r="B321" s="237">
        <v>5</v>
      </c>
      <c r="C321" s="40">
        <f>'[7]побудинковий звіт'!E321</f>
        <v>3190.1</v>
      </c>
      <c r="D321" s="215">
        <f t="shared" si="152"/>
        <v>1597.3313006568196</v>
      </c>
      <c r="E321" s="107">
        <f t="shared" si="153"/>
        <v>351.41317961243607</v>
      </c>
      <c r="F321" s="107">
        <f t="shared" si="154"/>
        <v>94.042168106405654</v>
      </c>
      <c r="G321" s="107">
        <f t="shared" si="155"/>
        <v>0</v>
      </c>
      <c r="H321" s="107">
        <f t="shared" si="156"/>
        <v>1334.5298783189082</v>
      </c>
      <c r="I321" s="107">
        <f t="shared" si="157"/>
        <v>434.7039836929174</v>
      </c>
      <c r="J321" s="687">
        <f t="shared" si="145"/>
        <v>0</v>
      </c>
      <c r="K321" s="142">
        <f t="shared" si="158"/>
        <v>3812.0205103874873</v>
      </c>
      <c r="L321" s="141">
        <f t="shared" si="146"/>
        <v>692.233074564812</v>
      </c>
      <c r="M321" s="107">
        <f t="shared" si="147"/>
        <v>152.29055960390613</v>
      </c>
      <c r="N321" s="30">
        <f t="shared" si="159"/>
        <v>52.452982050533905</v>
      </c>
      <c r="O321" s="107">
        <f t="shared" si="148"/>
        <v>5.7431670859256423</v>
      </c>
      <c r="P321" s="107">
        <f t="shared" si="160"/>
        <v>578.34321557928229</v>
      </c>
      <c r="Q321" s="107">
        <f t="shared" si="161"/>
        <v>190.63181689557945</v>
      </c>
      <c r="R321" s="143">
        <f t="shared" si="162"/>
        <v>1671.6948157800393</v>
      </c>
      <c r="S321" s="141">
        <f t="shared" si="163"/>
        <v>64.900000000000006</v>
      </c>
      <c r="T321" s="107">
        <f t="shared" si="149"/>
        <v>8.3534629693954479</v>
      </c>
      <c r="U321" s="142">
        <f t="shared" si="164"/>
        <v>73.253462969395457</v>
      </c>
      <c r="V321" s="107"/>
      <c r="W321" s="107">
        <f t="shared" si="165"/>
        <v>0</v>
      </c>
      <c r="X321" s="142">
        <f t="shared" si="166"/>
        <v>0</v>
      </c>
      <c r="Y321" s="141">
        <v>0</v>
      </c>
      <c r="Z321" s="144">
        <v>0</v>
      </c>
      <c r="AA321" s="107">
        <f t="shared" si="150"/>
        <v>0</v>
      </c>
      <c r="AB321" s="142">
        <f t="shared" si="151"/>
        <v>0</v>
      </c>
      <c r="AC321" s="141">
        <v>0</v>
      </c>
      <c r="AD321" s="107">
        <f t="shared" si="167"/>
        <v>0</v>
      </c>
      <c r="AE321" s="142">
        <f t="shared" si="168"/>
        <v>0</v>
      </c>
      <c r="AF321" s="145">
        <v>246.4</v>
      </c>
      <c r="AG321" s="107">
        <f t="shared" si="169"/>
        <v>31.714842460077634</v>
      </c>
      <c r="AH321" s="142">
        <f t="shared" si="170"/>
        <v>278.11484246007763</v>
      </c>
      <c r="AI321" s="145">
        <v>0</v>
      </c>
      <c r="AJ321" s="107">
        <f t="shared" si="171"/>
        <v>0</v>
      </c>
      <c r="AK321" s="142">
        <f t="shared" si="172"/>
        <v>0</v>
      </c>
      <c r="AL321" s="146"/>
      <c r="AM321" s="401"/>
      <c r="AN321" s="107">
        <f t="shared" si="173"/>
        <v>0</v>
      </c>
      <c r="AO321" s="151">
        <f t="shared" si="174"/>
        <v>0</v>
      </c>
      <c r="AP321" s="282">
        <f t="shared" si="175"/>
        <v>1614.4407765371377</v>
      </c>
      <c r="AQ321" s="684">
        <v>499.08</v>
      </c>
      <c r="AR321" s="741">
        <v>975.10314078472186</v>
      </c>
      <c r="AS321" s="741">
        <v>625.25163877466628</v>
      </c>
      <c r="AT321" s="741">
        <v>14.08599697774968</v>
      </c>
      <c r="AU321" s="411">
        <v>0</v>
      </c>
      <c r="AV321" s="801"/>
      <c r="AW321" s="256"/>
      <c r="AX321" s="728">
        <f t="shared" si="176"/>
        <v>94.042168106405654</v>
      </c>
      <c r="AY321" s="729">
        <v>52.452982050533905</v>
      </c>
      <c r="AZ321" s="730"/>
      <c r="BA321" s="731">
        <v>0</v>
      </c>
      <c r="BC321" s="727">
        <v>0</v>
      </c>
      <c r="BD321" s="727">
        <v>94.042168106405654</v>
      </c>
      <c r="BE321" s="727"/>
      <c r="BF321" s="727"/>
      <c r="BG321" s="727">
        <v>0</v>
      </c>
      <c r="BH321" s="727">
        <v>6.9083247539923871</v>
      </c>
      <c r="BI321" s="137">
        <f t="shared" si="180"/>
        <v>94.042168106405654</v>
      </c>
      <c r="BJ321" s="126">
        <v>295</v>
      </c>
      <c r="BK321" s="807"/>
      <c r="BL321" s="107"/>
      <c r="BM321" s="687"/>
      <c r="BO321" s="577"/>
      <c r="BS321" s="904"/>
      <c r="BT321" s="789"/>
      <c r="BU321" s="789">
        <v>497.38061599628071</v>
      </c>
      <c r="BV321" s="789">
        <v>0</v>
      </c>
      <c r="BW321" s="789">
        <f t="shared" si="177"/>
        <v>497.38061599628071</v>
      </c>
    </row>
    <row r="322" spans="1:75" ht="15" thickBot="1" x14ac:dyDescent="0.35">
      <c r="A322" s="220" t="s">
        <v>140</v>
      </c>
      <c r="B322" s="238">
        <v>1</v>
      </c>
      <c r="C322" s="40">
        <f>'[7]побудинковий звіт'!E322</f>
        <v>152.6</v>
      </c>
      <c r="D322" s="215">
        <f t="shared" si="152"/>
        <v>0</v>
      </c>
      <c r="E322" s="107">
        <f t="shared" si="153"/>
        <v>0</v>
      </c>
      <c r="F322" s="107">
        <f t="shared" si="154"/>
        <v>0</v>
      </c>
      <c r="G322" s="107">
        <f t="shared" si="155"/>
        <v>0</v>
      </c>
      <c r="H322" s="107">
        <f t="shared" si="156"/>
        <v>0</v>
      </c>
      <c r="I322" s="107">
        <f t="shared" si="157"/>
        <v>0</v>
      </c>
      <c r="J322" s="687">
        <f t="shared" si="145"/>
        <v>0</v>
      </c>
      <c r="K322" s="142">
        <f t="shared" si="158"/>
        <v>0</v>
      </c>
      <c r="L322" s="141">
        <f t="shared" si="146"/>
        <v>0</v>
      </c>
      <c r="M322" s="107">
        <f t="shared" si="147"/>
        <v>0</v>
      </c>
      <c r="N322" s="30">
        <f t="shared" si="159"/>
        <v>0</v>
      </c>
      <c r="O322" s="107">
        <f t="shared" si="148"/>
        <v>0.27472721773996212</v>
      </c>
      <c r="P322" s="107">
        <f t="shared" si="160"/>
        <v>0</v>
      </c>
      <c r="Q322" s="107">
        <f t="shared" si="161"/>
        <v>3.5360918953402369E-2</v>
      </c>
      <c r="R322" s="143">
        <f t="shared" si="162"/>
        <v>0.31008813669336449</v>
      </c>
      <c r="S322" s="141">
        <f t="shared" si="163"/>
        <v>0</v>
      </c>
      <c r="T322" s="107">
        <f t="shared" si="149"/>
        <v>0</v>
      </c>
      <c r="U322" s="142">
        <f t="shared" si="164"/>
        <v>0</v>
      </c>
      <c r="V322" s="107"/>
      <c r="W322" s="107">
        <f t="shared" si="165"/>
        <v>0</v>
      </c>
      <c r="X322" s="142">
        <f t="shared" si="166"/>
        <v>0</v>
      </c>
      <c r="Y322" s="141">
        <v>0</v>
      </c>
      <c r="Z322" s="144">
        <v>0</v>
      </c>
      <c r="AA322" s="107">
        <f t="shared" si="150"/>
        <v>0</v>
      </c>
      <c r="AB322" s="142">
        <f t="shared" si="151"/>
        <v>0</v>
      </c>
      <c r="AC322" s="141">
        <v>0</v>
      </c>
      <c r="AD322" s="107">
        <f t="shared" si="167"/>
        <v>0</v>
      </c>
      <c r="AE322" s="142">
        <f t="shared" si="168"/>
        <v>0</v>
      </c>
      <c r="AF322" s="145">
        <v>0</v>
      </c>
      <c r="AG322" s="107">
        <f t="shared" si="169"/>
        <v>0</v>
      </c>
      <c r="AH322" s="142">
        <f t="shared" si="170"/>
        <v>0</v>
      </c>
      <c r="AI322" s="145">
        <v>0</v>
      </c>
      <c r="AJ322" s="107">
        <f t="shared" si="171"/>
        <v>0</v>
      </c>
      <c r="AK322" s="142">
        <f t="shared" si="172"/>
        <v>0</v>
      </c>
      <c r="AL322" s="146"/>
      <c r="AM322" s="215"/>
      <c r="AN322" s="107">
        <f t="shared" si="173"/>
        <v>0</v>
      </c>
      <c r="AO322" s="151">
        <f t="shared" si="174"/>
        <v>0</v>
      </c>
      <c r="AP322" s="282">
        <f t="shared" si="175"/>
        <v>0</v>
      </c>
      <c r="AQ322" s="684">
        <v>0</v>
      </c>
      <c r="AR322" s="740">
        <v>0</v>
      </c>
      <c r="AS322" s="740">
        <v>0</v>
      </c>
      <c r="AT322" s="740">
        <v>0</v>
      </c>
      <c r="AU322" s="411">
        <v>0</v>
      </c>
      <c r="AV322" s="801"/>
      <c r="AW322" s="256"/>
      <c r="AX322" s="728">
        <f t="shared" si="176"/>
        <v>0</v>
      </c>
      <c r="AY322" s="729">
        <v>0</v>
      </c>
      <c r="AZ322" s="730"/>
      <c r="BA322" s="731">
        <v>0</v>
      </c>
      <c r="BC322" s="727">
        <v>0</v>
      </c>
      <c r="BD322" s="727">
        <v>0</v>
      </c>
      <c r="BE322" s="727"/>
      <c r="BF322" s="727"/>
      <c r="BG322" s="727">
        <v>0</v>
      </c>
      <c r="BH322" s="727">
        <v>0</v>
      </c>
      <c r="BI322" s="137">
        <f>BC322+BD322+BE322+BG322+BH322</f>
        <v>0</v>
      </c>
      <c r="BJ322" s="126"/>
      <c r="BK322" s="807"/>
      <c r="BL322" s="107"/>
      <c r="BM322" s="687"/>
      <c r="BO322" s="577"/>
      <c r="BS322" s="904"/>
      <c r="BT322" s="789"/>
      <c r="BU322" s="789">
        <v>0</v>
      </c>
      <c r="BV322" s="789">
        <v>0</v>
      </c>
      <c r="BW322" s="789">
        <f t="shared" si="177"/>
        <v>0</v>
      </c>
    </row>
    <row r="323" spans="1:75" ht="15" thickBot="1" x14ac:dyDescent="0.35">
      <c r="A323" s="219" t="s">
        <v>396</v>
      </c>
      <c r="B323" s="237">
        <v>9</v>
      </c>
      <c r="C323" s="40">
        <f>'[7]побудинковий звіт'!E323</f>
        <v>2133.27</v>
      </c>
      <c r="D323" s="215">
        <f t="shared" si="152"/>
        <v>2108.8270495732881</v>
      </c>
      <c r="E323" s="107">
        <f t="shared" si="153"/>
        <v>463.94233834805283</v>
      </c>
      <c r="F323" s="107">
        <f t="shared" si="154"/>
        <v>65.224357004051228</v>
      </c>
      <c r="G323" s="107">
        <f t="shared" si="155"/>
        <v>0</v>
      </c>
      <c r="H323" s="107">
        <f t="shared" si="156"/>
        <v>1761.8716322064374</v>
      </c>
      <c r="I323" s="107">
        <f t="shared" si="157"/>
        <v>566.31914481041406</v>
      </c>
      <c r="J323" s="687">
        <f t="shared" si="145"/>
        <v>0</v>
      </c>
      <c r="K323" s="142">
        <f t="shared" si="158"/>
        <v>4966.1845219422439</v>
      </c>
      <c r="L323" s="141">
        <f t="shared" si="146"/>
        <v>877.54905782189485</v>
      </c>
      <c r="M323" s="107">
        <f t="shared" si="147"/>
        <v>193.05988402763663</v>
      </c>
      <c r="N323" s="30">
        <f t="shared" si="159"/>
        <v>127.82369468966486</v>
      </c>
      <c r="O323" s="107">
        <f t="shared" si="148"/>
        <v>3.8405460798697835</v>
      </c>
      <c r="P323" s="107">
        <f t="shared" si="160"/>
        <v>733.17002983186114</v>
      </c>
      <c r="Q323" s="107">
        <f t="shared" si="161"/>
        <v>249.11638219686574</v>
      </c>
      <c r="R323" s="143">
        <f t="shared" si="162"/>
        <v>2184.5595946477929</v>
      </c>
      <c r="S323" s="141">
        <f t="shared" si="163"/>
        <v>11</v>
      </c>
      <c r="T323" s="107">
        <f t="shared" si="149"/>
        <v>1.4158411812534657</v>
      </c>
      <c r="U323" s="142">
        <f t="shared" si="164"/>
        <v>12.415841181253466</v>
      </c>
      <c r="V323" s="107"/>
      <c r="W323" s="107">
        <f t="shared" si="165"/>
        <v>0</v>
      </c>
      <c r="X323" s="142">
        <f t="shared" si="166"/>
        <v>0</v>
      </c>
      <c r="Y323" s="141">
        <v>2154.4699999999998</v>
      </c>
      <c r="Z323" s="144">
        <v>0</v>
      </c>
      <c r="AA323" s="107">
        <f t="shared" si="150"/>
        <v>277.30794088865036</v>
      </c>
      <c r="AB323" s="142">
        <f t="shared" si="151"/>
        <v>2431.7779408886499</v>
      </c>
      <c r="AC323" s="141">
        <v>0</v>
      </c>
      <c r="AD323" s="107">
        <f t="shared" si="167"/>
        <v>0</v>
      </c>
      <c r="AE323" s="142">
        <f t="shared" si="168"/>
        <v>0</v>
      </c>
      <c r="AF323" s="145">
        <v>539</v>
      </c>
      <c r="AG323" s="107">
        <f t="shared" si="169"/>
        <v>69.376217881419819</v>
      </c>
      <c r="AH323" s="142">
        <f t="shared" si="170"/>
        <v>608.37621788141985</v>
      </c>
      <c r="AI323" s="145">
        <v>404.8</v>
      </c>
      <c r="AJ323" s="107">
        <f t="shared" si="171"/>
        <v>52.10295547012754</v>
      </c>
      <c r="AK323" s="142">
        <f t="shared" si="172"/>
        <v>456.90295547012755</v>
      </c>
      <c r="AL323" s="146"/>
      <c r="AM323" s="146"/>
      <c r="AN323" s="107">
        <f t="shared" si="173"/>
        <v>0</v>
      </c>
      <c r="AO323" s="151">
        <f t="shared" si="174"/>
        <v>0</v>
      </c>
      <c r="AP323" s="282">
        <f t="shared" si="175"/>
        <v>2756.7376290010479</v>
      </c>
      <c r="AQ323" s="684">
        <v>0</v>
      </c>
      <c r="AR323" s="740">
        <v>1946.2445154824154</v>
      </c>
      <c r="AS323" s="740">
        <v>796.03538968436544</v>
      </c>
      <c r="AT323" s="740">
        <v>14.457723834267391</v>
      </c>
      <c r="AU323" s="411">
        <v>0</v>
      </c>
      <c r="AV323" s="801"/>
      <c r="AW323" s="256"/>
      <c r="AX323" s="728">
        <f t="shared" si="176"/>
        <v>65.224357004051228</v>
      </c>
      <c r="AY323" s="729">
        <v>43.823694689664862</v>
      </c>
      <c r="AZ323" s="730"/>
      <c r="BA323" s="731">
        <v>84</v>
      </c>
      <c r="BC323" s="727">
        <v>0</v>
      </c>
      <c r="BD323" s="727">
        <v>65.224357004051228</v>
      </c>
      <c r="BE323" s="727"/>
      <c r="BF323" s="727"/>
      <c r="BG323" s="727">
        <v>0</v>
      </c>
      <c r="BH323" s="727">
        <v>0</v>
      </c>
      <c r="BI323" s="137">
        <f t="shared" ref="BI323:BI366" si="181">BC323+BD323+BE323+BG323</f>
        <v>65.224357004051228</v>
      </c>
      <c r="BJ323" s="126">
        <v>50</v>
      </c>
      <c r="BK323" s="807"/>
      <c r="BL323" s="107"/>
      <c r="BM323" s="687"/>
      <c r="BO323" s="577"/>
      <c r="BS323" s="904"/>
      <c r="BT323" s="789"/>
      <c r="BU323" s="789">
        <v>1901.9188550609633</v>
      </c>
      <c r="BV323" s="789">
        <v>0</v>
      </c>
      <c r="BW323" s="789">
        <f t="shared" si="177"/>
        <v>1901.9188550609633</v>
      </c>
    </row>
    <row r="324" spans="1:75" ht="15" thickBot="1" x14ac:dyDescent="0.35">
      <c r="A324" s="219" t="s">
        <v>397</v>
      </c>
      <c r="B324" s="237">
        <v>9</v>
      </c>
      <c r="C324" s="40">
        <f>'[7]побудинковий звіт'!E324</f>
        <v>6420.63</v>
      </c>
      <c r="D324" s="215">
        <f t="shared" si="152"/>
        <v>3728.283620483217</v>
      </c>
      <c r="E324" s="107">
        <f t="shared" si="153"/>
        <v>820.22308148111381</v>
      </c>
      <c r="F324" s="107">
        <f t="shared" si="154"/>
        <v>196.33807345668166</v>
      </c>
      <c r="G324" s="107">
        <f t="shared" si="155"/>
        <v>0</v>
      </c>
      <c r="H324" s="107">
        <f t="shared" si="156"/>
        <v>3114.886613901529</v>
      </c>
      <c r="I324" s="107">
        <f t="shared" si="157"/>
        <v>1011.6483067812155</v>
      </c>
      <c r="J324" s="687">
        <f t="shared" si="145"/>
        <v>0</v>
      </c>
      <c r="K324" s="142">
        <f t="shared" si="158"/>
        <v>8871.3796961037569</v>
      </c>
      <c r="L324" s="141">
        <f t="shared" si="146"/>
        <v>2374.3691157871253</v>
      </c>
      <c r="M324" s="107">
        <f t="shared" si="147"/>
        <v>522.3587468379452</v>
      </c>
      <c r="N324" s="30">
        <f t="shared" si="159"/>
        <v>215.91789359591817</v>
      </c>
      <c r="O324" s="107">
        <f t="shared" si="148"/>
        <v>11.559120681767581</v>
      </c>
      <c r="P324" s="107">
        <f t="shared" si="160"/>
        <v>1983.725308502135</v>
      </c>
      <c r="Q324" s="107">
        <f t="shared" si="161"/>
        <v>657.45617340580861</v>
      </c>
      <c r="R324" s="143">
        <f t="shared" si="162"/>
        <v>5765.3863588106997</v>
      </c>
      <c r="S324" s="141">
        <f t="shared" si="163"/>
        <v>77.220000000000013</v>
      </c>
      <c r="T324" s="107">
        <f t="shared" si="149"/>
        <v>9.9392050923993303</v>
      </c>
      <c r="U324" s="142">
        <f t="shared" si="164"/>
        <v>87.159205092399347</v>
      </c>
      <c r="V324" s="107"/>
      <c r="W324" s="107">
        <f t="shared" si="165"/>
        <v>0</v>
      </c>
      <c r="X324" s="142">
        <f t="shared" si="166"/>
        <v>0</v>
      </c>
      <c r="Y324" s="141">
        <v>6463.3950000000004</v>
      </c>
      <c r="Z324" s="144">
        <v>0</v>
      </c>
      <c r="AA324" s="107">
        <f t="shared" si="150"/>
        <v>831.92189197343134</v>
      </c>
      <c r="AB324" s="142">
        <f t="shared" si="151"/>
        <v>7295.3168919734317</v>
      </c>
      <c r="AC324" s="141">
        <v>0</v>
      </c>
      <c r="AD324" s="107">
        <f t="shared" si="167"/>
        <v>0</v>
      </c>
      <c r="AE324" s="142">
        <f t="shared" si="168"/>
        <v>0</v>
      </c>
      <c r="AF324" s="145">
        <v>319</v>
      </c>
      <c r="AG324" s="107">
        <f t="shared" si="169"/>
        <v>41.059394256350508</v>
      </c>
      <c r="AH324" s="142">
        <f t="shared" si="170"/>
        <v>360.05939425635052</v>
      </c>
      <c r="AI324" s="145">
        <v>1254</v>
      </c>
      <c r="AJ324" s="107">
        <f t="shared" si="171"/>
        <v>161.40589466289509</v>
      </c>
      <c r="AK324" s="142">
        <f t="shared" si="172"/>
        <v>1415.4058946628952</v>
      </c>
      <c r="AL324" s="146"/>
      <c r="AM324" s="215"/>
      <c r="AN324" s="107">
        <f t="shared" si="173"/>
        <v>0</v>
      </c>
      <c r="AO324" s="151">
        <f t="shared" si="174"/>
        <v>0</v>
      </c>
      <c r="AP324" s="282">
        <f t="shared" si="175"/>
        <v>5633.7841741943921</v>
      </c>
      <c r="AQ324" s="684">
        <v>0</v>
      </c>
      <c r="AR324" s="740">
        <v>3440.8471524474398</v>
      </c>
      <c r="AS324" s="740">
        <v>2148.7235203574251</v>
      </c>
      <c r="AT324" s="740">
        <v>44.213501389527806</v>
      </c>
      <c r="AU324" s="411">
        <v>0</v>
      </c>
      <c r="AV324" s="801"/>
      <c r="AW324" s="256"/>
      <c r="AX324" s="728">
        <f t="shared" si="176"/>
        <v>196.33807345668166</v>
      </c>
      <c r="AY324" s="729">
        <v>131.91789359591817</v>
      </c>
      <c r="AZ324" s="730"/>
      <c r="BA324" s="731">
        <v>84</v>
      </c>
      <c r="BC324" s="727">
        <v>0</v>
      </c>
      <c r="BD324" s="727">
        <v>196.33807345668166</v>
      </c>
      <c r="BE324" s="727"/>
      <c r="BF324" s="727"/>
      <c r="BG324" s="727">
        <v>0</v>
      </c>
      <c r="BH324" s="727">
        <v>0</v>
      </c>
      <c r="BI324" s="137">
        <f t="shared" si="181"/>
        <v>196.33807345668166</v>
      </c>
      <c r="BJ324" s="126">
        <v>351</v>
      </c>
      <c r="BK324" s="807"/>
      <c r="BL324" s="107"/>
      <c r="BM324" s="687"/>
      <c r="BO324" s="577"/>
      <c r="BS324" s="904"/>
      <c r="BT324" s="789"/>
      <c r="BU324" s="789">
        <v>3362.4681396300907</v>
      </c>
      <c r="BV324" s="789">
        <v>0</v>
      </c>
      <c r="BW324" s="789">
        <f t="shared" si="177"/>
        <v>3362.4681396300907</v>
      </c>
    </row>
    <row r="325" spans="1:75" ht="15" thickBot="1" x14ac:dyDescent="0.35">
      <c r="A325" s="219" t="s">
        <v>313</v>
      </c>
      <c r="B325" s="237">
        <v>5</v>
      </c>
      <c r="C325" s="40">
        <f>'[7]побудинковий звіт'!E325</f>
        <v>3374.5599999999995</v>
      </c>
      <c r="D325" s="215">
        <f t="shared" si="152"/>
        <v>789.34945161616326</v>
      </c>
      <c r="E325" s="107">
        <f t="shared" si="153"/>
        <v>173.65702437791543</v>
      </c>
      <c r="F325" s="107">
        <f t="shared" si="154"/>
        <v>103.18850575446274</v>
      </c>
      <c r="G325" s="107">
        <f t="shared" si="155"/>
        <v>0</v>
      </c>
      <c r="H325" s="107">
        <f t="shared" si="156"/>
        <v>659.48149089876028</v>
      </c>
      <c r="I325" s="107">
        <f t="shared" si="157"/>
        <v>222.11671049947907</v>
      </c>
      <c r="J325" s="687">
        <f t="shared" si="145"/>
        <v>0</v>
      </c>
      <c r="K325" s="142">
        <f t="shared" si="158"/>
        <v>1947.7931831467808</v>
      </c>
      <c r="L325" s="141">
        <f t="shared" si="146"/>
        <v>246.69211622935106</v>
      </c>
      <c r="M325" s="107">
        <f t="shared" si="147"/>
        <v>54.272010123264117</v>
      </c>
      <c r="N325" s="30">
        <f t="shared" si="159"/>
        <v>69.331485650144828</v>
      </c>
      <c r="O325" s="107">
        <f t="shared" si="148"/>
        <v>6.0752521618385735</v>
      </c>
      <c r="P325" s="107">
        <f t="shared" si="160"/>
        <v>206.10502011599974</v>
      </c>
      <c r="Q325" s="107">
        <f t="shared" si="161"/>
        <v>74.972122186499931</v>
      </c>
      <c r="R325" s="143">
        <f t="shared" si="162"/>
        <v>657.44800646709825</v>
      </c>
      <c r="S325" s="141">
        <f t="shared" si="163"/>
        <v>58.52</v>
      </c>
      <c r="T325" s="107">
        <f t="shared" si="149"/>
        <v>7.5322750842684378</v>
      </c>
      <c r="U325" s="142">
        <f t="shared" si="164"/>
        <v>66.052275084268445</v>
      </c>
      <c r="V325" s="107"/>
      <c r="W325" s="107">
        <f t="shared" si="165"/>
        <v>0</v>
      </c>
      <c r="X325" s="142">
        <f t="shared" si="166"/>
        <v>0</v>
      </c>
      <c r="Y325" s="141">
        <v>0</v>
      </c>
      <c r="Z325" s="144">
        <v>0</v>
      </c>
      <c r="AA325" s="107">
        <f t="shared" si="150"/>
        <v>0</v>
      </c>
      <c r="AB325" s="142">
        <f t="shared" si="151"/>
        <v>0</v>
      </c>
      <c r="AC325" s="141">
        <v>0</v>
      </c>
      <c r="AD325" s="107">
        <f t="shared" si="167"/>
        <v>0</v>
      </c>
      <c r="AE325" s="142">
        <f t="shared" si="168"/>
        <v>0</v>
      </c>
      <c r="AF325" s="145">
        <v>222.2</v>
      </c>
      <c r="AG325" s="107">
        <f t="shared" si="169"/>
        <v>28.599991861320007</v>
      </c>
      <c r="AH325" s="142">
        <f t="shared" si="170"/>
        <v>250.79999186132</v>
      </c>
      <c r="AI325" s="145">
        <v>0</v>
      </c>
      <c r="AJ325" s="107">
        <f t="shared" si="171"/>
        <v>0</v>
      </c>
      <c r="AK325" s="142">
        <f t="shared" si="172"/>
        <v>0</v>
      </c>
      <c r="AL325" s="146">
        <v>1530</v>
      </c>
      <c r="AM325" s="146"/>
      <c r="AN325" s="107">
        <f t="shared" si="173"/>
        <v>196.93063702889114</v>
      </c>
      <c r="AO325" s="151">
        <f t="shared" si="174"/>
        <v>1726.9306370288912</v>
      </c>
      <c r="AP325" s="282">
        <f t="shared" si="175"/>
        <v>680.32530622694219</v>
      </c>
      <c r="AQ325" s="684">
        <v>276.01</v>
      </c>
      <c r="AR325" s="740">
        <v>452.48361512024746</v>
      </c>
      <c r="AS325" s="740">
        <v>225.4365628503206</v>
      </c>
      <c r="AT325" s="740">
        <v>2.4051282563741889</v>
      </c>
      <c r="AU325" s="411">
        <v>0</v>
      </c>
      <c r="AV325" s="801"/>
      <c r="AW325" s="256"/>
      <c r="AX325" s="728">
        <f t="shared" si="176"/>
        <v>103.18850575446274</v>
      </c>
      <c r="AY325" s="729">
        <v>69.331485650144828</v>
      </c>
      <c r="AZ325" s="730"/>
      <c r="BA325" s="731">
        <v>0</v>
      </c>
      <c r="BC325" s="727">
        <v>0</v>
      </c>
      <c r="BD325" s="727">
        <v>103.18850575446274</v>
      </c>
      <c r="BE325" s="727"/>
      <c r="BF325" s="727"/>
      <c r="BG325" s="727">
        <v>0</v>
      </c>
      <c r="BH325" s="727">
        <v>0</v>
      </c>
      <c r="BI325" s="137">
        <f t="shared" si="181"/>
        <v>103.18850575446274</v>
      </c>
      <c r="BJ325" s="126">
        <v>266</v>
      </c>
      <c r="BK325" s="807"/>
      <c r="BL325" s="107"/>
      <c r="BM325" s="687"/>
      <c r="BO325" s="577"/>
      <c r="BS325" s="904"/>
      <c r="BT325" s="789"/>
      <c r="BU325" s="789">
        <v>1734.6703807589004</v>
      </c>
      <c r="BV325" s="789">
        <v>0</v>
      </c>
      <c r="BW325" s="789">
        <f t="shared" si="177"/>
        <v>1734.6703807589004</v>
      </c>
    </row>
    <row r="326" spans="1:75" ht="15" thickBot="1" x14ac:dyDescent="0.35">
      <c r="A326" s="219" t="s">
        <v>427</v>
      </c>
      <c r="B326" s="237">
        <v>16</v>
      </c>
      <c r="C326" s="40">
        <f>'[7]побудинковий звіт'!E326</f>
        <v>5269.58</v>
      </c>
      <c r="D326" s="215">
        <f t="shared" si="152"/>
        <v>2578.6561679888191</v>
      </c>
      <c r="E326" s="107">
        <f t="shared" si="153"/>
        <v>567.30483071830747</v>
      </c>
      <c r="F326" s="107">
        <f t="shared" si="154"/>
        <v>394.79099098907432</v>
      </c>
      <c r="G326" s="107">
        <f t="shared" si="155"/>
        <v>0</v>
      </c>
      <c r="H326" s="107">
        <f t="shared" si="156"/>
        <v>2154.4019707604602</v>
      </c>
      <c r="I326" s="107">
        <f t="shared" si="157"/>
        <v>733.03941007211938</v>
      </c>
      <c r="J326" s="687">
        <f t="shared" si="145"/>
        <v>0</v>
      </c>
      <c r="K326" s="142">
        <f t="shared" si="158"/>
        <v>6428.1933705287811</v>
      </c>
      <c r="L326" s="141">
        <f t="shared" si="146"/>
        <v>2885.9101969473804</v>
      </c>
      <c r="M326" s="107">
        <f t="shared" si="147"/>
        <v>634.89725499758174</v>
      </c>
      <c r="N326" s="30">
        <f t="shared" si="159"/>
        <v>192.0206712290385</v>
      </c>
      <c r="O326" s="107">
        <f t="shared" si="148"/>
        <v>9.4868745220062216</v>
      </c>
      <c r="P326" s="107">
        <f t="shared" si="160"/>
        <v>2411.1049363321331</v>
      </c>
      <c r="Q326" s="107">
        <f t="shared" si="161"/>
        <v>789.44986586526863</v>
      </c>
      <c r="R326" s="143">
        <f t="shared" si="162"/>
        <v>6922.8697998934076</v>
      </c>
      <c r="S326" s="141">
        <f t="shared" si="163"/>
        <v>60.72</v>
      </c>
      <c r="T326" s="107">
        <f t="shared" si="149"/>
        <v>7.8154433205191305</v>
      </c>
      <c r="U326" s="142">
        <f t="shared" si="164"/>
        <v>68.535443320519136</v>
      </c>
      <c r="V326" s="107"/>
      <c r="W326" s="107">
        <f t="shared" si="165"/>
        <v>0</v>
      </c>
      <c r="X326" s="142">
        <f t="shared" si="166"/>
        <v>0</v>
      </c>
      <c r="Y326" s="141">
        <v>3508.71</v>
      </c>
      <c r="Z326" s="144">
        <v>0</v>
      </c>
      <c r="AA326" s="107">
        <f t="shared" si="150"/>
        <v>451.61601009780435</v>
      </c>
      <c r="AB326" s="142">
        <f t="shared" si="151"/>
        <v>3960.3260100978046</v>
      </c>
      <c r="AC326" s="141">
        <v>0</v>
      </c>
      <c r="AD326" s="107">
        <f t="shared" si="167"/>
        <v>0</v>
      </c>
      <c r="AE326" s="142">
        <f t="shared" si="168"/>
        <v>0</v>
      </c>
      <c r="AF326" s="145">
        <v>1436.6</v>
      </c>
      <c r="AG326" s="107">
        <f t="shared" si="169"/>
        <v>184.9088582717026</v>
      </c>
      <c r="AH326" s="142">
        <f t="shared" si="170"/>
        <v>1621.5088582717026</v>
      </c>
      <c r="AI326" s="145">
        <v>981.2</v>
      </c>
      <c r="AJ326" s="107">
        <f t="shared" si="171"/>
        <v>126.29303336780914</v>
      </c>
      <c r="AK326" s="142">
        <f t="shared" si="172"/>
        <v>1107.4930333678092</v>
      </c>
      <c r="AL326" s="146"/>
      <c r="AM326" s="146"/>
      <c r="AN326" s="107">
        <f t="shared" si="173"/>
        <v>0</v>
      </c>
      <c r="AO326" s="151">
        <f t="shared" si="174"/>
        <v>0</v>
      </c>
      <c r="AP326" s="282">
        <f t="shared" si="175"/>
        <v>5045.2414359695231</v>
      </c>
      <c r="AQ326" s="684">
        <v>0</v>
      </c>
      <c r="AR326" s="740">
        <v>2379.8515982041545</v>
      </c>
      <c r="AS326" s="740">
        <v>2643.4540492645679</v>
      </c>
      <c r="AT326" s="740">
        <v>21.935788500801596</v>
      </c>
      <c r="AU326" s="411">
        <v>0</v>
      </c>
      <c r="AV326" s="801"/>
      <c r="AW326" s="256"/>
      <c r="AX326" s="728">
        <f t="shared" si="176"/>
        <v>160.77099098907428</v>
      </c>
      <c r="AY326" s="729">
        <v>108.0206712290385</v>
      </c>
      <c r="AZ326" s="730"/>
      <c r="BA326" s="731">
        <v>84</v>
      </c>
      <c r="BC326" s="727">
        <v>0</v>
      </c>
      <c r="BD326" s="727">
        <v>160.77099098907428</v>
      </c>
      <c r="BE326" s="727"/>
      <c r="BF326" s="727"/>
      <c r="BG326" s="727">
        <v>0</v>
      </c>
      <c r="BH326" s="727">
        <v>0</v>
      </c>
      <c r="BI326" s="137">
        <f t="shared" si="181"/>
        <v>160.77099098907428</v>
      </c>
      <c r="BJ326" s="126">
        <v>276</v>
      </c>
      <c r="BK326" s="807"/>
      <c r="BL326" s="107"/>
      <c r="BM326" s="687">
        <v>234.02</v>
      </c>
      <c r="BO326" s="577"/>
      <c r="BS326" s="904"/>
      <c r="BT326" s="789"/>
      <c r="BU326" s="789">
        <v>2335.7245965692155</v>
      </c>
      <c r="BV326" s="789">
        <v>0</v>
      </c>
      <c r="BW326" s="789">
        <f t="shared" si="177"/>
        <v>2335.7245965692155</v>
      </c>
    </row>
    <row r="327" spans="1:75" ht="14.25" customHeight="1" thickBot="1" x14ac:dyDescent="0.35">
      <c r="A327" s="219" t="s">
        <v>398</v>
      </c>
      <c r="B327" s="237">
        <v>9</v>
      </c>
      <c r="C327" s="40">
        <f>'[7]побудинковий звіт'!E327</f>
        <v>8484.5</v>
      </c>
      <c r="D327" s="215">
        <f t="shared" si="152"/>
        <v>6991.6592777837359</v>
      </c>
      <c r="E327" s="107">
        <f t="shared" si="153"/>
        <v>1538.16632564733</v>
      </c>
      <c r="F327" s="107">
        <f t="shared" si="154"/>
        <v>429.97387333217875</v>
      </c>
      <c r="G327" s="107">
        <f t="shared" si="155"/>
        <v>0</v>
      </c>
      <c r="H327" s="107">
        <f t="shared" si="156"/>
        <v>5841.3543899072656</v>
      </c>
      <c r="I327" s="107">
        <f t="shared" si="157"/>
        <v>1905.0984704091886</v>
      </c>
      <c r="J327" s="687">
        <f t="shared" si="145"/>
        <v>0</v>
      </c>
      <c r="K327" s="142">
        <f t="shared" si="158"/>
        <v>16706.252337079699</v>
      </c>
      <c r="L327" s="141">
        <f t="shared" si="146"/>
        <v>3589.0071219976794</v>
      </c>
      <c r="M327" s="107">
        <f t="shared" si="147"/>
        <v>789.57785045888761</v>
      </c>
      <c r="N327" s="30">
        <f t="shared" si="159"/>
        <v>170.97212769405007</v>
      </c>
      <c r="O327" s="107">
        <f t="shared" si="148"/>
        <v>15.274725287776596</v>
      </c>
      <c r="P327" s="107">
        <f t="shared" si="160"/>
        <v>2998.5246240625024</v>
      </c>
      <c r="Q327" s="107">
        <f t="shared" si="161"/>
        <v>973.50104815476061</v>
      </c>
      <c r="R327" s="143">
        <f t="shared" si="162"/>
        <v>8536.8574976556556</v>
      </c>
      <c r="S327" s="141">
        <f t="shared" si="163"/>
        <v>134.64000000000001</v>
      </c>
      <c r="T327" s="107">
        <f t="shared" si="149"/>
        <v>17.32989605854242</v>
      </c>
      <c r="U327" s="142">
        <f t="shared" si="164"/>
        <v>151.96989605854245</v>
      </c>
      <c r="V327" s="107"/>
      <c r="W327" s="107">
        <f t="shared" si="165"/>
        <v>0</v>
      </c>
      <c r="X327" s="142">
        <f t="shared" si="166"/>
        <v>0</v>
      </c>
      <c r="Y327" s="141">
        <v>5334.88</v>
      </c>
      <c r="Z327" s="144">
        <v>0</v>
      </c>
      <c r="AA327" s="107">
        <f t="shared" si="150"/>
        <v>686.66752736777175</v>
      </c>
      <c r="AB327" s="142">
        <f t="shared" si="151"/>
        <v>6021.5475273677721</v>
      </c>
      <c r="AC327" s="141">
        <v>354.22500000000002</v>
      </c>
      <c r="AD327" s="107">
        <f t="shared" si="167"/>
        <v>45.593303857228086</v>
      </c>
      <c r="AE327" s="142">
        <f t="shared" si="168"/>
        <v>399.8183038572281</v>
      </c>
      <c r="AF327" s="145">
        <v>400.4</v>
      </c>
      <c r="AG327" s="107">
        <f t="shared" si="169"/>
        <v>51.53661899762615</v>
      </c>
      <c r="AH327" s="142">
        <f t="shared" si="170"/>
        <v>451.93661899762611</v>
      </c>
      <c r="AI327" s="145">
        <v>1566.4</v>
      </c>
      <c r="AJ327" s="107">
        <f t="shared" si="171"/>
        <v>201.61578421049353</v>
      </c>
      <c r="AK327" s="142">
        <f t="shared" si="172"/>
        <v>1768.0157842104936</v>
      </c>
      <c r="AL327" s="146">
        <v>807.5</v>
      </c>
      <c r="AM327" s="146"/>
      <c r="AN327" s="107">
        <f t="shared" si="173"/>
        <v>103.93561398747032</v>
      </c>
      <c r="AO327" s="151">
        <f t="shared" si="174"/>
        <v>911.43561398747033</v>
      </c>
      <c r="AP327" s="282">
        <f t="shared" si="175"/>
        <v>9767.3901622984595</v>
      </c>
      <c r="AQ327" s="684">
        <v>0</v>
      </c>
      <c r="AR327" s="740">
        <v>6452.6289750796559</v>
      </c>
      <c r="AS327" s="740">
        <v>3250.8282944167627</v>
      </c>
      <c r="AT327" s="740">
        <v>63.932892802041245</v>
      </c>
      <c r="AU327" s="411">
        <v>0</v>
      </c>
      <c r="AV327" s="801"/>
      <c r="AW327" s="256"/>
      <c r="AX327" s="728">
        <f t="shared" si="176"/>
        <v>254.46387333217876</v>
      </c>
      <c r="AY327" s="729">
        <v>170.97212769405007</v>
      </c>
      <c r="AZ327" s="730"/>
      <c r="BA327" s="731">
        <v>0</v>
      </c>
      <c r="BC327" s="727">
        <v>0</v>
      </c>
      <c r="BD327" s="727">
        <v>254.46387333217876</v>
      </c>
      <c r="BE327" s="727"/>
      <c r="BF327" s="727"/>
      <c r="BG327" s="727">
        <v>0</v>
      </c>
      <c r="BH327" s="727">
        <v>0</v>
      </c>
      <c r="BI327" s="137">
        <f t="shared" si="181"/>
        <v>254.46387333217876</v>
      </c>
      <c r="BJ327" s="126">
        <v>612</v>
      </c>
      <c r="BK327" s="807"/>
      <c r="BL327" s="107"/>
      <c r="BM327" s="687">
        <v>175.51</v>
      </c>
      <c r="BO327" s="577"/>
      <c r="BS327" s="904"/>
      <c r="BT327" s="789"/>
      <c r="BU327" s="789">
        <v>6351.8867048281245</v>
      </c>
      <c r="BV327" s="789">
        <v>0</v>
      </c>
      <c r="BW327" s="789">
        <f t="shared" si="177"/>
        <v>6351.8867048281245</v>
      </c>
    </row>
    <row r="328" spans="1:75" ht="15" thickBot="1" x14ac:dyDescent="0.35">
      <c r="A328" s="219" t="s">
        <v>189</v>
      </c>
      <c r="B328" s="237">
        <v>2</v>
      </c>
      <c r="C328" s="40">
        <f>'[7]побудинковий звіт'!E328</f>
        <v>294.26</v>
      </c>
      <c r="D328" s="215">
        <f t="shared" si="152"/>
        <v>57.324304308116588</v>
      </c>
      <c r="E328" s="107">
        <f t="shared" si="153"/>
        <v>12.611357479630387</v>
      </c>
      <c r="F328" s="107">
        <f t="shared" si="154"/>
        <v>22.046283340290344</v>
      </c>
      <c r="G328" s="107">
        <f t="shared" si="155"/>
        <v>0</v>
      </c>
      <c r="H328" s="107">
        <f t="shared" si="156"/>
        <v>47.893005553431422</v>
      </c>
      <c r="I328" s="107">
        <f t="shared" si="157"/>
        <v>18.003701400056453</v>
      </c>
      <c r="J328" s="687">
        <f t="shared" si="145"/>
        <v>0</v>
      </c>
      <c r="K328" s="142">
        <f t="shared" si="158"/>
        <v>157.87865208152522</v>
      </c>
      <c r="L328" s="141">
        <f t="shared" si="146"/>
        <v>0</v>
      </c>
      <c r="M328" s="107">
        <f t="shared" si="147"/>
        <v>0</v>
      </c>
      <c r="N328" s="30">
        <f t="shared" si="159"/>
        <v>14.812711608436697</v>
      </c>
      <c r="O328" s="107">
        <f t="shared" si="148"/>
        <v>0.52975905040734761</v>
      </c>
      <c r="P328" s="107">
        <f t="shared" si="160"/>
        <v>0</v>
      </c>
      <c r="Q328" s="107">
        <f t="shared" si="161"/>
        <v>1.974772889178581</v>
      </c>
      <c r="R328" s="143">
        <f t="shared" si="162"/>
        <v>17.317243548022624</v>
      </c>
      <c r="S328" s="141">
        <f t="shared" si="163"/>
        <v>0</v>
      </c>
      <c r="T328" s="107">
        <f t="shared" si="149"/>
        <v>0</v>
      </c>
      <c r="U328" s="142">
        <f t="shared" si="164"/>
        <v>0</v>
      </c>
      <c r="V328" s="107"/>
      <c r="W328" s="107">
        <f t="shared" si="165"/>
        <v>0</v>
      </c>
      <c r="X328" s="142">
        <f t="shared" si="166"/>
        <v>0</v>
      </c>
      <c r="Y328" s="141">
        <v>0</v>
      </c>
      <c r="Z328" s="144">
        <v>0</v>
      </c>
      <c r="AA328" s="107">
        <f t="shared" si="150"/>
        <v>0</v>
      </c>
      <c r="AB328" s="142">
        <f t="shared" si="151"/>
        <v>0</v>
      </c>
      <c r="AC328" s="141">
        <v>0</v>
      </c>
      <c r="AD328" s="107">
        <f t="shared" si="167"/>
        <v>0</v>
      </c>
      <c r="AE328" s="142">
        <f t="shared" si="168"/>
        <v>0</v>
      </c>
      <c r="AF328" s="145">
        <v>0</v>
      </c>
      <c r="AG328" s="107">
        <f t="shared" si="169"/>
        <v>0</v>
      </c>
      <c r="AH328" s="142">
        <f t="shared" si="170"/>
        <v>0</v>
      </c>
      <c r="AI328" s="145">
        <v>0</v>
      </c>
      <c r="AJ328" s="107">
        <f t="shared" si="171"/>
        <v>0</v>
      </c>
      <c r="AK328" s="142">
        <f t="shared" si="172"/>
        <v>0</v>
      </c>
      <c r="AL328" s="146"/>
      <c r="AM328" s="215"/>
      <c r="AN328" s="107">
        <f t="shared" si="173"/>
        <v>0</v>
      </c>
      <c r="AO328" s="151">
        <f t="shared" si="174"/>
        <v>0</v>
      </c>
      <c r="AP328" s="282">
        <f t="shared" si="175"/>
        <v>32.704818764579123</v>
      </c>
      <c r="AQ328" s="684">
        <v>20.2</v>
      </c>
      <c r="AR328" s="740">
        <v>32.704818764579123</v>
      </c>
      <c r="AS328" s="740">
        <v>0</v>
      </c>
      <c r="AT328" s="740">
        <v>0</v>
      </c>
      <c r="AU328" s="411">
        <v>0</v>
      </c>
      <c r="AV328" s="801"/>
      <c r="AW328" s="256"/>
      <c r="AX328" s="728">
        <f t="shared" si="176"/>
        <v>22.046283340290344</v>
      </c>
      <c r="AY328" s="729">
        <v>14.812711608436697</v>
      </c>
      <c r="AZ328" s="730"/>
      <c r="BA328" s="731">
        <v>0</v>
      </c>
      <c r="BC328" s="727">
        <v>0</v>
      </c>
      <c r="BD328" s="727">
        <v>22.046283340290344</v>
      </c>
      <c r="BE328" s="727"/>
      <c r="BF328" s="727"/>
      <c r="BG328" s="727">
        <v>0</v>
      </c>
      <c r="BH328" s="727">
        <v>0</v>
      </c>
      <c r="BI328" s="137">
        <f t="shared" si="181"/>
        <v>22.046283340290344</v>
      </c>
      <c r="BJ328" s="126"/>
      <c r="BK328" s="807"/>
      <c r="BL328" s="107"/>
      <c r="BM328" s="687"/>
      <c r="BO328" s="577"/>
      <c r="BS328" s="904"/>
      <c r="BT328" s="789"/>
      <c r="BU328" s="789">
        <v>131.64071943558375</v>
      </c>
      <c r="BV328" s="789">
        <v>0</v>
      </c>
      <c r="BW328" s="789">
        <f t="shared" si="177"/>
        <v>131.64071943558375</v>
      </c>
    </row>
    <row r="329" spans="1:75" ht="15" thickBot="1" x14ac:dyDescent="0.35">
      <c r="A329" s="219" t="s">
        <v>399</v>
      </c>
      <c r="B329" s="237">
        <v>9</v>
      </c>
      <c r="C329" s="40">
        <f>'[7]побудинковий звіт'!E329</f>
        <v>3516.6</v>
      </c>
      <c r="D329" s="215">
        <f t="shared" si="152"/>
        <v>1497.3079483743586</v>
      </c>
      <c r="E329" s="107">
        <f t="shared" si="153"/>
        <v>329.40802373361424</v>
      </c>
      <c r="F329" s="107">
        <f t="shared" si="154"/>
        <v>107.35432566558602</v>
      </c>
      <c r="G329" s="107">
        <f t="shared" si="155"/>
        <v>0</v>
      </c>
      <c r="H329" s="107">
        <f t="shared" si="156"/>
        <v>1250.9628987601445</v>
      </c>
      <c r="I329" s="107">
        <f t="shared" si="157"/>
        <v>409.9546512101619</v>
      </c>
      <c r="J329" s="687">
        <f t="shared" ref="J329:J367" si="182">F329*$J$376*-1</f>
        <v>0</v>
      </c>
      <c r="K329" s="142">
        <f t="shared" si="158"/>
        <v>3594.9878477438656</v>
      </c>
      <c r="L329" s="141">
        <f t="shared" ref="L329:L367" si="183">(AS329+AT329+AU329)*$AS$376</f>
        <v>1303.5238469129756</v>
      </c>
      <c r="M329" s="107">
        <f t="shared" ref="M329:M367" si="184">L329*$AS$379</f>
        <v>286.7738965350855</v>
      </c>
      <c r="N329" s="30">
        <f t="shared" si="159"/>
        <v>72.130464870528002</v>
      </c>
      <c r="O329" s="107">
        <f t="shared" ref="O329:O367" si="185">$O$369/$C$368*C329</f>
        <v>6.3309681120861772</v>
      </c>
      <c r="P329" s="107">
        <f t="shared" si="160"/>
        <v>1089.061186049038</v>
      </c>
      <c r="Q329" s="107">
        <f t="shared" si="161"/>
        <v>354.96687633619439</v>
      </c>
      <c r="R329" s="143">
        <f t="shared" si="162"/>
        <v>3112.7872388159076</v>
      </c>
      <c r="S329" s="141">
        <f t="shared" si="163"/>
        <v>7.5019999999999998</v>
      </c>
      <c r="T329" s="107">
        <f t="shared" ref="T329:T367" si="186">S329*$B$5</f>
        <v>0.96560368561486354</v>
      </c>
      <c r="U329" s="142">
        <f t="shared" si="164"/>
        <v>8.4676036856148631</v>
      </c>
      <c r="V329" s="107"/>
      <c r="W329" s="107">
        <f t="shared" si="165"/>
        <v>0</v>
      </c>
      <c r="X329" s="142">
        <f t="shared" si="166"/>
        <v>0</v>
      </c>
      <c r="Y329" s="141">
        <v>1010.88</v>
      </c>
      <c r="Z329" s="144">
        <v>0</v>
      </c>
      <c r="AA329" s="107">
        <f t="shared" ref="AA329:AA362" si="187">(Y329+Z329)*$B$5</f>
        <v>130.11323030050031</v>
      </c>
      <c r="AB329" s="142">
        <f t="shared" ref="AB329:AB362" si="188">Y329+Z329+AA329</f>
        <v>1140.9932303005003</v>
      </c>
      <c r="AC329" s="141">
        <v>150</v>
      </c>
      <c r="AD329" s="107">
        <f t="shared" si="167"/>
        <v>19.306925198910896</v>
      </c>
      <c r="AE329" s="142">
        <f t="shared" si="168"/>
        <v>169.3069251989109</v>
      </c>
      <c r="AF329" s="145">
        <v>308</v>
      </c>
      <c r="AG329" s="107">
        <f t="shared" si="169"/>
        <v>39.643553075097039</v>
      </c>
      <c r="AH329" s="142">
        <f t="shared" si="170"/>
        <v>347.64355307509703</v>
      </c>
      <c r="AI329" s="145">
        <v>770</v>
      </c>
      <c r="AJ329" s="107">
        <f t="shared" si="171"/>
        <v>99.108882687742593</v>
      </c>
      <c r="AK329" s="142">
        <f t="shared" si="172"/>
        <v>869.10888268774261</v>
      </c>
      <c r="AL329" s="215"/>
      <c r="AM329" s="215"/>
      <c r="AN329" s="107">
        <f t="shared" si="173"/>
        <v>0</v>
      </c>
      <c r="AO329" s="151">
        <f t="shared" si="174"/>
        <v>0</v>
      </c>
      <c r="AP329" s="282">
        <f t="shared" si="175"/>
        <v>2372.2692019129468</v>
      </c>
      <c r="AQ329" s="684">
        <v>213.52</v>
      </c>
      <c r="AR329" s="740">
        <v>1168.3512080260371</v>
      </c>
      <c r="AS329" s="740">
        <v>1203.9179938869097</v>
      </c>
      <c r="AT329" s="740">
        <v>0</v>
      </c>
      <c r="AU329" s="411">
        <v>0</v>
      </c>
      <c r="AV329" s="801"/>
      <c r="AW329" s="256"/>
      <c r="AX329" s="728">
        <f t="shared" si="176"/>
        <v>107.35432566558602</v>
      </c>
      <c r="AY329" s="729">
        <v>72.130464870528002</v>
      </c>
      <c r="AZ329" s="730"/>
      <c r="BA329" s="731">
        <v>0</v>
      </c>
      <c r="BC329" s="727">
        <v>0</v>
      </c>
      <c r="BD329" s="727">
        <v>107.35432566558602</v>
      </c>
      <c r="BE329" s="727"/>
      <c r="BF329" s="727"/>
      <c r="BG329" s="727">
        <v>0</v>
      </c>
      <c r="BH329" s="727">
        <v>0</v>
      </c>
      <c r="BI329" s="137">
        <f t="shared" si="181"/>
        <v>107.35432566558602</v>
      </c>
      <c r="BJ329" s="126">
        <v>34.1</v>
      </c>
      <c r="BK329" s="807"/>
      <c r="BL329" s="107"/>
      <c r="BM329" s="687"/>
      <c r="BO329" s="577"/>
      <c r="BS329" s="904"/>
      <c r="BT329" s="789"/>
      <c r="BU329" s="789">
        <v>1196.9573630703801</v>
      </c>
      <c r="BV329" s="789">
        <v>0</v>
      </c>
      <c r="BW329" s="789">
        <f t="shared" si="177"/>
        <v>1196.9573630703801</v>
      </c>
    </row>
    <row r="330" spans="1:75" ht="15" thickBot="1" x14ac:dyDescent="0.35">
      <c r="A330" s="260" t="s">
        <v>400</v>
      </c>
      <c r="B330" s="237">
        <v>9</v>
      </c>
      <c r="C330" s="40">
        <f>'[7]побудинковий звіт'!E330</f>
        <v>4153.8999999999996</v>
      </c>
      <c r="D330" s="215">
        <f t="shared" ref="D330:D367" si="189">(AQ330+AR330+AV330)*$AR$376</f>
        <v>3180.3360964004946</v>
      </c>
      <c r="E330" s="107">
        <f t="shared" ref="E330:E367" si="190">D330*$AR$379</f>
        <v>699.67452551185886</v>
      </c>
      <c r="F330" s="107">
        <f t="shared" ref="F330:F367" si="191">AX330*$F$375+BM330+BK330</f>
        <v>135.89254280685179</v>
      </c>
      <c r="G330" s="107">
        <f t="shared" ref="G330:G367" si="192">BL330</f>
        <v>0</v>
      </c>
      <c r="H330" s="107">
        <f t="shared" ref="H330:H367" si="193">D330*$B$4</f>
        <v>2657.0903243412026</v>
      </c>
      <c r="I330" s="107">
        <f t="shared" ref="I330:I367" si="194">(D330+E330+F330+G330+H330)*$B$5</f>
        <v>858.8999076407249</v>
      </c>
      <c r="J330" s="687">
        <f t="shared" si="182"/>
        <v>0</v>
      </c>
      <c r="K330" s="142">
        <f t="shared" ref="K330:K367" si="195">D330+E330+F330+G330+H330+I330-J330</f>
        <v>7531.8933967011326</v>
      </c>
      <c r="L330" s="141">
        <f t="shared" si="183"/>
        <v>2766.8899155241525</v>
      </c>
      <c r="M330" s="107">
        <f t="shared" si="184"/>
        <v>608.71291632877012</v>
      </c>
      <c r="N330" s="30">
        <f t="shared" ref="N330:N366" si="196">AY330+BA330</f>
        <v>84.838389192881152</v>
      </c>
      <c r="O330" s="107">
        <f t="shared" si="185"/>
        <v>7.4783053064877354</v>
      </c>
      <c r="P330" s="107">
        <f t="shared" ref="P330:P367" si="197">L330*$B$4</f>
        <v>2311.6665032281744</v>
      </c>
      <c r="Q330" s="107">
        <f t="shared" ref="Q330:Q367" si="198">(L330+M330+N330+O330+P330)*$B$5</f>
        <v>743.90690102520307</v>
      </c>
      <c r="R330" s="143">
        <f t="shared" ref="R330:R367" si="199">SUM(L330:Q330)</f>
        <v>6523.4929306056683</v>
      </c>
      <c r="S330" s="141">
        <f t="shared" ref="S330:S367" si="200">BJ330*2.64/12</f>
        <v>106.86060000000002</v>
      </c>
      <c r="T330" s="107">
        <f t="shared" si="186"/>
        <v>13.754330739404921</v>
      </c>
      <c r="U330" s="142">
        <f t="shared" ref="U330:U367" si="201">S330+T330</f>
        <v>120.61493073940494</v>
      </c>
      <c r="V330" s="107"/>
      <c r="W330" s="107">
        <f t="shared" ref="W330:W367" si="202">V330*$B$5</f>
        <v>0</v>
      </c>
      <c r="X330" s="142">
        <f t="shared" ref="X330:X367" si="203">V330+W330</f>
        <v>0</v>
      </c>
      <c r="Y330" s="141">
        <v>4308.93</v>
      </c>
      <c r="Z330" s="144">
        <v>0</v>
      </c>
      <c r="AA330" s="107">
        <f t="shared" si="187"/>
        <v>554.61459464895427</v>
      </c>
      <c r="AB330" s="142">
        <f t="shared" si="188"/>
        <v>4863.5445946489544</v>
      </c>
      <c r="AC330" s="141">
        <v>0</v>
      </c>
      <c r="AD330" s="107">
        <f t="shared" ref="AD330:AD367" si="204">AC330*$B$5</f>
        <v>0</v>
      </c>
      <c r="AE330" s="142">
        <f t="shared" ref="AE330:AE367" si="205">AC330+AD330</f>
        <v>0</v>
      </c>
      <c r="AF330" s="145">
        <v>706.2</v>
      </c>
      <c r="AG330" s="107">
        <f t="shared" ref="AG330:AG367" si="206">AF330*$B$5</f>
        <v>90.897003836472507</v>
      </c>
      <c r="AH330" s="142">
        <f t="shared" ref="AH330:AH367" si="207">AF330+AG330</f>
        <v>797.0970038364726</v>
      </c>
      <c r="AI330" s="145">
        <v>820.6</v>
      </c>
      <c r="AJ330" s="107">
        <f t="shared" ref="AJ330:AJ367" si="208">AI330*$B$5</f>
        <v>105.62175212150855</v>
      </c>
      <c r="AK330" s="142">
        <f t="shared" ref="AK330:AK367" si="209">AI330+AJ330</f>
        <v>926.22175212150853</v>
      </c>
      <c r="AL330" s="146"/>
      <c r="AM330" s="146"/>
      <c r="AN330" s="107">
        <f t="shared" ref="AN330:AN367" si="210">AL330*$C$5</f>
        <v>0</v>
      </c>
      <c r="AO330" s="151">
        <f t="shared" ref="AO330:AO367" si="211">AL330+AM330+AN330</f>
        <v>0</v>
      </c>
      <c r="AP330" s="282">
        <f t="shared" ref="AP330:AP367" si="212">AR330+AS330+AT330</f>
        <v>4320.2397906650185</v>
      </c>
      <c r="AQ330" s="684">
        <v>146.62</v>
      </c>
      <c r="AR330" s="411">
        <v>2650.5169524630901</v>
      </c>
      <c r="AS330" s="411">
        <v>1636.1796016889252</v>
      </c>
      <c r="AT330" s="411">
        <v>33.543236513003237</v>
      </c>
      <c r="AU330" s="411">
        <v>885.74138617151812</v>
      </c>
      <c r="AV330" s="742">
        <v>138.00734315976686</v>
      </c>
      <c r="AW330" s="256"/>
      <c r="AX330" s="728">
        <f t="shared" ref="AX330:AX366" si="213">BC330+BD330+BE330+BF330+BG330</f>
        <v>135.89254280685179</v>
      </c>
      <c r="AY330" s="729">
        <v>80.90133036935174</v>
      </c>
      <c r="AZ330" s="730"/>
      <c r="BA330" s="731">
        <v>3.9370588235294122</v>
      </c>
      <c r="BB330" s="742"/>
      <c r="BC330" s="727">
        <v>26.362500000000001</v>
      </c>
      <c r="BD330" s="727">
        <v>109.5300428068518</v>
      </c>
      <c r="BE330" s="727"/>
      <c r="BF330" s="727"/>
      <c r="BG330" s="727">
        <v>0</v>
      </c>
      <c r="BH330" s="727">
        <v>38.04296875</v>
      </c>
      <c r="BI330" s="137">
        <f t="shared" si="181"/>
        <v>135.89254280685179</v>
      </c>
      <c r="BJ330" s="126">
        <v>485.73</v>
      </c>
      <c r="BK330" s="807"/>
      <c r="BL330" s="107"/>
      <c r="BM330" s="687"/>
      <c r="BO330" s="577"/>
      <c r="BS330" s="904"/>
      <c r="BT330" s="789"/>
      <c r="BU330" s="789">
        <v>1387.8917411592554</v>
      </c>
      <c r="BV330" s="789">
        <v>0</v>
      </c>
      <c r="BW330" s="789">
        <f t="shared" ref="BW330:BW369" si="214">BU330+BV330</f>
        <v>1387.8917411592554</v>
      </c>
    </row>
    <row r="331" spans="1:75" ht="15" thickBot="1" x14ac:dyDescent="0.35">
      <c r="A331" s="260" t="s">
        <v>314</v>
      </c>
      <c r="B331" s="237">
        <v>5</v>
      </c>
      <c r="C331" s="40">
        <f>'[7]побудинковий звіт'!E331</f>
        <v>2749.1</v>
      </c>
      <c r="D331" s="215">
        <f t="shared" si="189"/>
        <v>522.83163563175344</v>
      </c>
      <c r="E331" s="107">
        <f t="shared" si="190"/>
        <v>115.02305589565276</v>
      </c>
      <c r="F331" s="107">
        <f t="shared" si="191"/>
        <v>87.597916781458466</v>
      </c>
      <c r="G331" s="107">
        <f t="shared" si="192"/>
        <v>0</v>
      </c>
      <c r="H331" s="107">
        <f t="shared" si="193"/>
        <v>436.81260036287563</v>
      </c>
      <c r="I331" s="107">
        <f t="shared" si="194"/>
        <v>149.59844963414568</v>
      </c>
      <c r="J331" s="687">
        <f t="shared" si="182"/>
        <v>0</v>
      </c>
      <c r="K331" s="142">
        <f t="shared" si="195"/>
        <v>1311.863658305886</v>
      </c>
      <c r="L331" s="141">
        <f t="shared" si="183"/>
        <v>1120.8843118883633</v>
      </c>
      <c r="M331" s="107">
        <f t="shared" si="184"/>
        <v>246.59338795106339</v>
      </c>
      <c r="N331" s="30">
        <f t="shared" si="196"/>
        <v>57.490198792379523</v>
      </c>
      <c r="O331" s="107">
        <f t="shared" si="185"/>
        <v>4.9492306309890548</v>
      </c>
      <c r="P331" s="107">
        <f t="shared" si="197"/>
        <v>936.47047656228767</v>
      </c>
      <c r="Q331" s="107">
        <f t="shared" si="198"/>
        <v>304.58445664863149</v>
      </c>
      <c r="R331" s="143">
        <f t="shared" si="199"/>
        <v>2670.9720624737147</v>
      </c>
      <c r="S331" s="141">
        <f t="shared" si="200"/>
        <v>130.59200000000001</v>
      </c>
      <c r="T331" s="107">
        <f t="shared" si="186"/>
        <v>16.808866503841145</v>
      </c>
      <c r="U331" s="142">
        <f t="shared" si="201"/>
        <v>147.40086650384114</v>
      </c>
      <c r="V331" s="107"/>
      <c r="W331" s="107">
        <f t="shared" si="202"/>
        <v>0</v>
      </c>
      <c r="X331" s="142">
        <f t="shared" si="203"/>
        <v>0</v>
      </c>
      <c r="Y331" s="141">
        <v>0</v>
      </c>
      <c r="Z331" s="144">
        <v>0</v>
      </c>
      <c r="AA331" s="107">
        <f t="shared" si="187"/>
        <v>0</v>
      </c>
      <c r="AB331" s="142">
        <f t="shared" si="188"/>
        <v>0</v>
      </c>
      <c r="AC331" s="141">
        <v>0</v>
      </c>
      <c r="AD331" s="107">
        <f t="shared" si="204"/>
        <v>0</v>
      </c>
      <c r="AE331" s="142">
        <f t="shared" si="205"/>
        <v>0</v>
      </c>
      <c r="AF331" s="145">
        <v>162.80000000000001</v>
      </c>
      <c r="AG331" s="107">
        <f t="shared" si="206"/>
        <v>20.954449482551293</v>
      </c>
      <c r="AH331" s="142">
        <f t="shared" si="207"/>
        <v>183.75444948255131</v>
      </c>
      <c r="AI331" s="145">
        <v>0</v>
      </c>
      <c r="AJ331" s="107">
        <f t="shared" si="208"/>
        <v>0</v>
      </c>
      <c r="AK331" s="142">
        <f t="shared" si="209"/>
        <v>0</v>
      </c>
      <c r="AL331" s="146">
        <v>3315</v>
      </c>
      <c r="AM331" s="146"/>
      <c r="AN331" s="107">
        <f t="shared" si="210"/>
        <v>426.68304689593077</v>
      </c>
      <c r="AO331" s="151">
        <f t="shared" si="211"/>
        <v>3741.6830468959306</v>
      </c>
      <c r="AP331" s="282">
        <f t="shared" si="212"/>
        <v>541.08332957675839</v>
      </c>
      <c r="AQ331" s="684">
        <v>98.05</v>
      </c>
      <c r="AR331" s="411">
        <v>365.44527206751707</v>
      </c>
      <c r="AS331" s="411">
        <v>170.21465589342</v>
      </c>
      <c r="AT331" s="411">
        <v>5.423401615821386</v>
      </c>
      <c r="AU331" s="411">
        <v>859.59639205126462</v>
      </c>
      <c r="AV331" s="742">
        <v>19.028035652240757</v>
      </c>
      <c r="AW331" s="256"/>
      <c r="AX331" s="728">
        <f t="shared" si="213"/>
        <v>87.597916781458466</v>
      </c>
      <c r="AY331" s="729">
        <v>53.553139968850111</v>
      </c>
      <c r="AZ331" s="730"/>
      <c r="BA331" s="731">
        <v>3.9370588235294122</v>
      </c>
      <c r="BB331" s="742"/>
      <c r="BC331" s="727">
        <v>15.817499999999999</v>
      </c>
      <c r="BD331" s="727">
        <v>71.78041678145847</v>
      </c>
      <c r="BE331" s="727"/>
      <c r="BF331" s="727"/>
      <c r="BG331" s="727">
        <v>0</v>
      </c>
      <c r="BH331" s="727">
        <v>22.825781249999999</v>
      </c>
      <c r="BI331" s="137">
        <f t="shared" si="181"/>
        <v>87.597916781458466</v>
      </c>
      <c r="BJ331" s="126">
        <v>593.6</v>
      </c>
      <c r="BK331" s="807"/>
      <c r="BL331" s="107"/>
      <c r="BM331" s="687"/>
      <c r="BO331" s="577"/>
      <c r="BS331" s="904"/>
      <c r="BT331" s="789"/>
      <c r="BU331" s="789">
        <v>308.34439610910169</v>
      </c>
      <c r="BV331" s="789">
        <v>0</v>
      </c>
      <c r="BW331" s="789">
        <f t="shared" si="214"/>
        <v>308.34439610910169</v>
      </c>
    </row>
    <row r="332" spans="1:75" ht="15" thickBot="1" x14ac:dyDescent="0.35">
      <c r="A332" s="260" t="s">
        <v>315</v>
      </c>
      <c r="B332" s="237">
        <v>5</v>
      </c>
      <c r="C332" s="40">
        <f>'[7]побудинковий звіт'!E332</f>
        <v>4406.5</v>
      </c>
      <c r="D332" s="215">
        <f t="shared" si="189"/>
        <v>1989.3937073761892</v>
      </c>
      <c r="E332" s="107">
        <f t="shared" si="190"/>
        <v>437.66698112193166</v>
      </c>
      <c r="F332" s="107">
        <f t="shared" si="191"/>
        <v>136.40347404286931</v>
      </c>
      <c r="G332" s="107">
        <f t="shared" si="192"/>
        <v>0</v>
      </c>
      <c r="H332" s="107">
        <f t="shared" si="193"/>
        <v>1662.0880972791654</v>
      </c>
      <c r="I332" s="107">
        <f t="shared" si="194"/>
        <v>543.88280936291085</v>
      </c>
      <c r="J332" s="687">
        <f t="shared" si="182"/>
        <v>0</v>
      </c>
      <c r="K332" s="142">
        <f t="shared" si="195"/>
        <v>4769.4350691830659</v>
      </c>
      <c r="L332" s="141">
        <f t="shared" si="183"/>
        <v>2397.8880352739347</v>
      </c>
      <c r="M332" s="107">
        <f t="shared" si="184"/>
        <v>527.53288477143985</v>
      </c>
      <c r="N332" s="30">
        <f t="shared" si="196"/>
        <v>85.260823496959546</v>
      </c>
      <c r="O332" s="107">
        <f t="shared" si="185"/>
        <v>7.9330634663901902</v>
      </c>
      <c r="P332" s="107">
        <f t="shared" si="197"/>
        <v>2003.3747705442411</v>
      </c>
      <c r="Q332" s="107">
        <f t="shared" si="198"/>
        <v>646.39451415683493</v>
      </c>
      <c r="R332" s="143">
        <f t="shared" si="199"/>
        <v>5668.3840917098005</v>
      </c>
      <c r="S332" s="141">
        <f t="shared" si="200"/>
        <v>179.9358</v>
      </c>
      <c r="T332" s="107">
        <f t="shared" si="186"/>
        <v>23.160046874707941</v>
      </c>
      <c r="U332" s="142">
        <f t="shared" si="201"/>
        <v>203.09584687470795</v>
      </c>
      <c r="V332" s="107"/>
      <c r="W332" s="107">
        <f t="shared" si="202"/>
        <v>0</v>
      </c>
      <c r="X332" s="142">
        <f t="shared" si="203"/>
        <v>0</v>
      </c>
      <c r="Y332" s="141">
        <v>0</v>
      </c>
      <c r="Z332" s="144">
        <v>0</v>
      </c>
      <c r="AA332" s="107">
        <f t="shared" si="187"/>
        <v>0</v>
      </c>
      <c r="AB332" s="142">
        <f t="shared" si="188"/>
        <v>0</v>
      </c>
      <c r="AC332" s="141">
        <v>0</v>
      </c>
      <c r="AD332" s="107">
        <f t="shared" si="204"/>
        <v>0</v>
      </c>
      <c r="AE332" s="142">
        <f t="shared" si="205"/>
        <v>0</v>
      </c>
      <c r="AF332" s="145">
        <v>371.8</v>
      </c>
      <c r="AG332" s="107">
        <f t="shared" si="206"/>
        <v>47.855431926367139</v>
      </c>
      <c r="AH332" s="142">
        <f t="shared" si="207"/>
        <v>419.65543192636716</v>
      </c>
      <c r="AI332" s="145">
        <v>0</v>
      </c>
      <c r="AJ332" s="107">
        <f t="shared" si="208"/>
        <v>0</v>
      </c>
      <c r="AK332" s="142">
        <f t="shared" si="209"/>
        <v>0</v>
      </c>
      <c r="AL332" s="146"/>
      <c r="AM332" s="146"/>
      <c r="AN332" s="107">
        <f t="shared" si="210"/>
        <v>0</v>
      </c>
      <c r="AO332" s="151">
        <f t="shared" si="211"/>
        <v>0</v>
      </c>
      <c r="AP332" s="282">
        <f t="shared" si="212"/>
        <v>2674.1151165151441</v>
      </c>
      <c r="AQ332" s="684">
        <v>118.21</v>
      </c>
      <c r="AR332" s="411">
        <v>1632.7926422926535</v>
      </c>
      <c r="AS332" s="411">
        <v>1012.3906579727701</v>
      </c>
      <c r="AT332" s="411">
        <v>28.93181624972074</v>
      </c>
      <c r="AU332" s="411">
        <v>1173.3363214943076</v>
      </c>
      <c r="AV332" s="742">
        <v>85.01638681624793</v>
      </c>
      <c r="AW332" s="256"/>
      <c r="AX332" s="728">
        <f t="shared" si="213"/>
        <v>136.40347404286931</v>
      </c>
      <c r="AY332" s="729">
        <v>81.323764673430134</v>
      </c>
      <c r="AZ332" s="730"/>
      <c r="BA332" s="731">
        <v>3.9370588235294122</v>
      </c>
      <c r="BB332" s="742"/>
      <c r="BC332" s="727">
        <v>26.362500000000001</v>
      </c>
      <c r="BD332" s="727">
        <v>110.04097404286931</v>
      </c>
      <c r="BE332" s="727"/>
      <c r="BF332" s="727"/>
      <c r="BG332" s="727">
        <v>0</v>
      </c>
      <c r="BH332" s="727">
        <v>38.04296875</v>
      </c>
      <c r="BI332" s="137">
        <f t="shared" si="181"/>
        <v>136.40347404286931</v>
      </c>
      <c r="BJ332" s="126">
        <v>817.89</v>
      </c>
      <c r="BK332" s="807"/>
      <c r="BL332" s="107"/>
      <c r="BM332" s="687"/>
      <c r="BO332" s="577"/>
      <c r="BS332" s="904"/>
      <c r="BT332" s="789"/>
      <c r="BU332" s="789">
        <v>854.9862079479085</v>
      </c>
      <c r="BV332" s="789">
        <v>0</v>
      </c>
      <c r="BW332" s="789">
        <f t="shared" si="214"/>
        <v>854.9862079479085</v>
      </c>
    </row>
    <row r="333" spans="1:75" ht="15" thickBot="1" x14ac:dyDescent="0.35">
      <c r="A333" s="260" t="s">
        <v>316</v>
      </c>
      <c r="B333" s="237">
        <v>5</v>
      </c>
      <c r="C333" s="40">
        <f>'[7]побудинковий звіт'!E333</f>
        <v>2741.4</v>
      </c>
      <c r="D333" s="215">
        <f t="shared" si="189"/>
        <v>1484.1409542186796</v>
      </c>
      <c r="E333" s="107">
        <f t="shared" si="190"/>
        <v>326.51128260027338</v>
      </c>
      <c r="F333" s="107">
        <f t="shared" si="191"/>
        <v>102.62194447807704</v>
      </c>
      <c r="G333" s="107">
        <f t="shared" si="192"/>
        <v>0</v>
      </c>
      <c r="H333" s="107">
        <f t="shared" si="193"/>
        <v>1239.9622083578599</v>
      </c>
      <c r="I333" s="107">
        <f t="shared" si="194"/>
        <v>405.86199406367206</v>
      </c>
      <c r="J333" s="687">
        <f t="shared" si="182"/>
        <v>0</v>
      </c>
      <c r="K333" s="142">
        <f t="shared" si="195"/>
        <v>3559.0983837185622</v>
      </c>
      <c r="L333" s="141">
        <f t="shared" si="183"/>
        <v>1719.2536699149457</v>
      </c>
      <c r="M333" s="107">
        <f t="shared" si="184"/>
        <v>378.23402711148884</v>
      </c>
      <c r="N333" s="30">
        <f t="shared" si="196"/>
        <v>53.393436820235877</v>
      </c>
      <c r="O333" s="107">
        <f t="shared" si="185"/>
        <v>4.9353682484425434</v>
      </c>
      <c r="P333" s="107">
        <f t="shared" si="197"/>
        <v>1436.3929323663024</v>
      </c>
      <c r="Q333" s="107">
        <f t="shared" si="198"/>
        <v>462.3634589997904</v>
      </c>
      <c r="R333" s="143">
        <f t="shared" si="199"/>
        <v>4054.5728934612057</v>
      </c>
      <c r="S333" s="141">
        <f t="shared" si="200"/>
        <v>130.14760000000001</v>
      </c>
      <c r="T333" s="107">
        <f t="shared" si="186"/>
        <v>16.751666520118505</v>
      </c>
      <c r="U333" s="142">
        <f t="shared" si="201"/>
        <v>146.89926652011852</v>
      </c>
      <c r="V333" s="107"/>
      <c r="W333" s="107">
        <f t="shared" si="202"/>
        <v>0</v>
      </c>
      <c r="X333" s="142">
        <f t="shared" si="203"/>
        <v>0</v>
      </c>
      <c r="Y333" s="141">
        <v>0</v>
      </c>
      <c r="Z333" s="144">
        <v>0</v>
      </c>
      <c r="AA333" s="107">
        <f t="shared" si="187"/>
        <v>0</v>
      </c>
      <c r="AB333" s="142">
        <f t="shared" si="188"/>
        <v>0</v>
      </c>
      <c r="AC333" s="141">
        <v>0</v>
      </c>
      <c r="AD333" s="107">
        <f t="shared" si="204"/>
        <v>0</v>
      </c>
      <c r="AE333" s="142">
        <f t="shared" si="205"/>
        <v>0</v>
      </c>
      <c r="AF333" s="145">
        <v>96.8</v>
      </c>
      <c r="AG333" s="107">
        <f t="shared" si="206"/>
        <v>12.459402395030498</v>
      </c>
      <c r="AH333" s="142">
        <f t="shared" si="207"/>
        <v>109.25940239503049</v>
      </c>
      <c r="AI333" s="145">
        <v>0</v>
      </c>
      <c r="AJ333" s="107">
        <f t="shared" si="208"/>
        <v>0</v>
      </c>
      <c r="AK333" s="142">
        <f t="shared" si="209"/>
        <v>0</v>
      </c>
      <c r="AL333" s="146">
        <v>3251.25</v>
      </c>
      <c r="AM333" s="146"/>
      <c r="AN333" s="107">
        <f t="shared" si="210"/>
        <v>418.47760368639365</v>
      </c>
      <c r="AO333" s="151">
        <f t="shared" si="211"/>
        <v>3669.7276036863936</v>
      </c>
      <c r="AP333" s="282">
        <f t="shared" si="212"/>
        <v>1900.256569991039</v>
      </c>
      <c r="AQ333" s="684">
        <v>86.14</v>
      </c>
      <c r="AR333" s="411">
        <v>1220.053489625662</v>
      </c>
      <c r="AS333" s="411">
        <v>659.27952346970596</v>
      </c>
      <c r="AT333" s="411">
        <v>20.923556895670931</v>
      </c>
      <c r="AU333" s="411">
        <v>907.67767392119435</v>
      </c>
      <c r="AV333" s="742">
        <v>63.525849347830018</v>
      </c>
      <c r="AW333" s="256"/>
      <c r="AX333" s="728">
        <f t="shared" si="213"/>
        <v>102.62194447807704</v>
      </c>
      <c r="AY333" s="729">
        <v>53.393436820235877</v>
      </c>
      <c r="AZ333" s="730"/>
      <c r="BA333" s="731">
        <v>0</v>
      </c>
      <c r="BB333" s="742"/>
      <c r="BC333" s="727">
        <v>26.362500000000001</v>
      </c>
      <c r="BD333" s="727">
        <v>76.259444478077043</v>
      </c>
      <c r="BE333" s="727"/>
      <c r="BF333" s="727"/>
      <c r="BG333" s="727">
        <v>0</v>
      </c>
      <c r="BH333" s="727">
        <v>38.04296875</v>
      </c>
      <c r="BI333" s="137">
        <f t="shared" si="181"/>
        <v>102.62194447807704</v>
      </c>
      <c r="BJ333" s="126">
        <v>591.58000000000004</v>
      </c>
      <c r="BK333" s="807"/>
      <c r="BL333" s="107"/>
      <c r="BM333" s="687"/>
      <c r="BO333" s="577"/>
      <c r="BS333" s="904"/>
      <c r="BT333" s="789"/>
      <c r="BU333" s="789">
        <v>1123.3154946393465</v>
      </c>
      <c r="BV333" s="789">
        <v>0</v>
      </c>
      <c r="BW333" s="789">
        <f t="shared" si="214"/>
        <v>1123.3154946393465</v>
      </c>
    </row>
    <row r="334" spans="1:75" ht="15" thickBot="1" x14ac:dyDescent="0.35">
      <c r="A334" s="260" t="s">
        <v>401</v>
      </c>
      <c r="B334" s="237">
        <v>9</v>
      </c>
      <c r="C334" s="40">
        <f>'[7]побудинковий звіт'!E334</f>
        <v>4247.05</v>
      </c>
      <c r="D334" s="215">
        <f t="shared" si="189"/>
        <v>2936.8527538506937</v>
      </c>
      <c r="E334" s="107">
        <f t="shared" si="190"/>
        <v>646.10814541719355</v>
      </c>
      <c r="F334" s="107">
        <f t="shared" si="191"/>
        <v>139.76869471495141</v>
      </c>
      <c r="G334" s="107">
        <f t="shared" si="192"/>
        <v>0</v>
      </c>
      <c r="H334" s="107">
        <f t="shared" si="193"/>
        <v>2453.6661534306008</v>
      </c>
      <c r="I334" s="107">
        <f t="shared" si="194"/>
        <v>794.98140462788422</v>
      </c>
      <c r="J334" s="687">
        <f t="shared" si="182"/>
        <v>0</v>
      </c>
      <c r="K334" s="142">
        <f t="shared" si="195"/>
        <v>6971.3771520413238</v>
      </c>
      <c r="L334" s="141">
        <f t="shared" si="183"/>
        <v>2679.5578183401517</v>
      </c>
      <c r="M334" s="107">
        <f t="shared" si="184"/>
        <v>589.49994537979399</v>
      </c>
      <c r="N334" s="30">
        <f t="shared" si="196"/>
        <v>181.5431639617193</v>
      </c>
      <c r="O334" s="107">
        <f t="shared" si="185"/>
        <v>7.6460041291120975</v>
      </c>
      <c r="P334" s="107">
        <f t="shared" si="197"/>
        <v>2238.7027461288326</v>
      </c>
      <c r="Q334" s="107">
        <f t="shared" si="198"/>
        <v>733.27054195959704</v>
      </c>
      <c r="R334" s="143">
        <f t="shared" si="199"/>
        <v>6430.2202198992063</v>
      </c>
      <c r="S334" s="141">
        <f t="shared" si="200"/>
        <v>137.5</v>
      </c>
      <c r="T334" s="107">
        <f t="shared" si="186"/>
        <v>17.698014765668322</v>
      </c>
      <c r="U334" s="142">
        <f t="shared" si="201"/>
        <v>155.19801476566832</v>
      </c>
      <c r="V334" s="107"/>
      <c r="W334" s="107">
        <f t="shared" si="202"/>
        <v>0</v>
      </c>
      <c r="X334" s="142">
        <f t="shared" si="203"/>
        <v>0</v>
      </c>
      <c r="Y334" s="141">
        <v>4308.93</v>
      </c>
      <c r="Z334" s="144">
        <v>0</v>
      </c>
      <c r="AA334" s="107">
        <f t="shared" si="187"/>
        <v>554.61459464895427</v>
      </c>
      <c r="AB334" s="142">
        <f t="shared" si="188"/>
        <v>4863.5445946489544</v>
      </c>
      <c r="AC334" s="141">
        <v>0</v>
      </c>
      <c r="AD334" s="107">
        <f t="shared" si="204"/>
        <v>0</v>
      </c>
      <c r="AE334" s="142">
        <f t="shared" si="205"/>
        <v>0</v>
      </c>
      <c r="AF334" s="145">
        <v>1271.5999999999999</v>
      </c>
      <c r="AG334" s="107">
        <f t="shared" si="206"/>
        <v>163.67124055290063</v>
      </c>
      <c r="AH334" s="142">
        <f t="shared" si="207"/>
        <v>1435.2712405529005</v>
      </c>
      <c r="AI334" s="145">
        <v>827.2</v>
      </c>
      <c r="AJ334" s="107">
        <f t="shared" si="208"/>
        <v>106.47125683026063</v>
      </c>
      <c r="AK334" s="142">
        <f t="shared" si="209"/>
        <v>933.67125683026063</v>
      </c>
      <c r="AL334" s="146"/>
      <c r="AM334" s="146"/>
      <c r="AN334" s="107">
        <f t="shared" si="210"/>
        <v>0</v>
      </c>
      <c r="AO334" s="151">
        <f t="shared" si="211"/>
        <v>0</v>
      </c>
      <c r="AP334" s="282">
        <f t="shared" si="212"/>
        <v>4071.9036824190407</v>
      </c>
      <c r="AQ334" s="684">
        <v>146.62</v>
      </c>
      <c r="AR334" s="411">
        <v>2436.92649453583</v>
      </c>
      <c r="AS334" s="411">
        <v>1589.4369528715356</v>
      </c>
      <c r="AT334" s="411">
        <v>45.540235011675342</v>
      </c>
      <c r="AU334" s="411">
        <v>839.82822576521914</v>
      </c>
      <c r="AV334" s="742">
        <v>126.88609694573059</v>
      </c>
      <c r="AW334" s="256"/>
      <c r="AX334" s="728">
        <f t="shared" si="213"/>
        <v>139.76869471495141</v>
      </c>
      <c r="AY334" s="729">
        <v>84.106105138189889</v>
      </c>
      <c r="AZ334" s="730"/>
      <c r="BA334" s="731">
        <v>97.437058823529412</v>
      </c>
      <c r="BB334" s="742"/>
      <c r="BC334" s="727">
        <v>26.362500000000001</v>
      </c>
      <c r="BD334" s="727">
        <v>113.40619471495141</v>
      </c>
      <c r="BE334" s="727"/>
      <c r="BF334" s="727"/>
      <c r="BG334" s="727">
        <v>0</v>
      </c>
      <c r="BH334" s="727">
        <v>38.04296875</v>
      </c>
      <c r="BI334" s="137">
        <f t="shared" si="181"/>
        <v>139.76869471495141</v>
      </c>
      <c r="BJ334" s="126">
        <v>625</v>
      </c>
      <c r="BK334" s="807"/>
      <c r="BL334" s="107"/>
      <c r="BM334" s="687"/>
      <c r="BO334" s="577"/>
      <c r="BS334" s="904"/>
      <c r="BT334" s="789"/>
      <c r="BU334" s="789">
        <v>1276.0468646573863</v>
      </c>
      <c r="BV334" s="789">
        <v>0</v>
      </c>
      <c r="BW334" s="789">
        <f t="shared" si="214"/>
        <v>1276.0468646573863</v>
      </c>
    </row>
    <row r="335" spans="1:75" ht="15" thickBot="1" x14ac:dyDescent="0.35">
      <c r="A335" s="260" t="s">
        <v>317</v>
      </c>
      <c r="B335" s="237">
        <v>5</v>
      </c>
      <c r="C335" s="40">
        <f>'[7]побудинковий звіт'!E335</f>
        <v>2712.05</v>
      </c>
      <c r="D335" s="215">
        <f t="shared" si="189"/>
        <v>1672.2006517542782</v>
      </c>
      <c r="E335" s="107">
        <f t="shared" si="190"/>
        <v>367.88445060916609</v>
      </c>
      <c r="F335" s="107">
        <f t="shared" si="191"/>
        <v>101.93057371841296</v>
      </c>
      <c r="G335" s="107">
        <f t="shared" si="192"/>
        <v>0</v>
      </c>
      <c r="H335" s="107">
        <f t="shared" si="193"/>
        <v>1397.0813264554483</v>
      </c>
      <c r="I335" s="107">
        <f t="shared" si="194"/>
        <v>455.52720733118349</v>
      </c>
      <c r="J335" s="687">
        <f t="shared" si="182"/>
        <v>0</v>
      </c>
      <c r="K335" s="142">
        <f t="shared" si="195"/>
        <v>3994.6242098684888</v>
      </c>
      <c r="L335" s="141">
        <f t="shared" si="183"/>
        <v>1725.5082339244564</v>
      </c>
      <c r="M335" s="107">
        <f t="shared" si="184"/>
        <v>379.61002471704336</v>
      </c>
      <c r="N335" s="30">
        <f t="shared" si="196"/>
        <v>52.821816404159307</v>
      </c>
      <c r="O335" s="107">
        <f t="shared" si="185"/>
        <v>4.8825291669178528</v>
      </c>
      <c r="P335" s="107">
        <f t="shared" si="197"/>
        <v>1441.6184623131066</v>
      </c>
      <c r="Q335" s="107">
        <f t="shared" si="198"/>
        <v>463.9378270352932</v>
      </c>
      <c r="R335" s="143">
        <f t="shared" si="199"/>
        <v>4068.3788935609764</v>
      </c>
      <c r="S335" s="141">
        <f t="shared" si="200"/>
        <v>130.22900000000001</v>
      </c>
      <c r="T335" s="107">
        <f t="shared" si="186"/>
        <v>16.762143744859781</v>
      </c>
      <c r="U335" s="142">
        <f t="shared" si="201"/>
        <v>146.99114374485978</v>
      </c>
      <c r="V335" s="107"/>
      <c r="W335" s="107">
        <f t="shared" si="202"/>
        <v>0</v>
      </c>
      <c r="X335" s="142">
        <f t="shared" si="203"/>
        <v>0</v>
      </c>
      <c r="Y335" s="141">
        <v>0</v>
      </c>
      <c r="Z335" s="144">
        <v>0</v>
      </c>
      <c r="AA335" s="107">
        <f t="shared" si="187"/>
        <v>0</v>
      </c>
      <c r="AB335" s="142">
        <f t="shared" si="188"/>
        <v>0</v>
      </c>
      <c r="AC335" s="141">
        <v>0</v>
      </c>
      <c r="AD335" s="107">
        <f t="shared" si="204"/>
        <v>0</v>
      </c>
      <c r="AE335" s="142">
        <f t="shared" si="205"/>
        <v>0</v>
      </c>
      <c r="AF335" s="145">
        <v>904.2</v>
      </c>
      <c r="AG335" s="107">
        <f t="shared" si="206"/>
        <v>116.38214509903489</v>
      </c>
      <c r="AH335" s="142">
        <f t="shared" si="207"/>
        <v>1020.582145099035</v>
      </c>
      <c r="AI335" s="145">
        <v>0</v>
      </c>
      <c r="AJ335" s="107">
        <f t="shared" si="208"/>
        <v>0</v>
      </c>
      <c r="AK335" s="142">
        <f t="shared" si="209"/>
        <v>0</v>
      </c>
      <c r="AL335" s="146"/>
      <c r="AM335" s="146"/>
      <c r="AN335" s="107">
        <f t="shared" si="210"/>
        <v>0</v>
      </c>
      <c r="AO335" s="151">
        <f t="shared" si="211"/>
        <v>0</v>
      </c>
      <c r="AP335" s="282">
        <f t="shared" si="212"/>
        <v>2064.0650414391571</v>
      </c>
      <c r="AQ335" s="684">
        <v>94.38</v>
      </c>
      <c r="AR335" s="411">
        <v>1377.1925696572041</v>
      </c>
      <c r="AS335" s="411">
        <v>665.93405993192914</v>
      </c>
      <c r="AT335" s="411">
        <v>20.938411850023986</v>
      </c>
      <c r="AU335" s="411">
        <v>906.78491802440521</v>
      </c>
      <c r="AV335" s="742">
        <v>71.70778039398698</v>
      </c>
      <c r="AW335" s="256"/>
      <c r="AX335" s="728">
        <f t="shared" si="213"/>
        <v>101.93057371841296</v>
      </c>
      <c r="AY335" s="729">
        <v>52.821816404159307</v>
      </c>
      <c r="AZ335" s="730"/>
      <c r="BA335" s="731">
        <v>0</v>
      </c>
      <c r="BB335" s="742"/>
      <c r="BC335" s="727">
        <v>26.362500000000001</v>
      </c>
      <c r="BD335" s="727">
        <v>75.568073718412961</v>
      </c>
      <c r="BE335" s="727"/>
      <c r="BF335" s="727"/>
      <c r="BG335" s="727">
        <v>0</v>
      </c>
      <c r="BH335" s="727">
        <v>38.04296875</v>
      </c>
      <c r="BI335" s="137">
        <f t="shared" si="181"/>
        <v>101.93057371841296</v>
      </c>
      <c r="BJ335" s="126">
        <v>591.95000000000005</v>
      </c>
      <c r="BK335" s="807"/>
      <c r="BL335" s="107"/>
      <c r="BM335" s="687"/>
      <c r="BO335" s="577"/>
      <c r="BS335" s="904"/>
      <c r="BT335" s="789"/>
      <c r="BU335" s="789">
        <v>1267.9963317675461</v>
      </c>
      <c r="BV335" s="789">
        <v>0</v>
      </c>
      <c r="BW335" s="789">
        <f t="shared" si="214"/>
        <v>1267.9963317675461</v>
      </c>
    </row>
    <row r="336" spans="1:75" ht="15" thickBot="1" x14ac:dyDescent="0.35">
      <c r="A336" s="260" t="s">
        <v>190</v>
      </c>
      <c r="B336" s="237">
        <v>2</v>
      </c>
      <c r="C336" s="40">
        <f>'[7]побудинковий звіт'!E336</f>
        <v>472.1</v>
      </c>
      <c r="D336" s="215">
        <f t="shared" si="189"/>
        <v>242.75238725482649</v>
      </c>
      <c r="E336" s="107">
        <f t="shared" si="190"/>
        <v>53.405569795477085</v>
      </c>
      <c r="F336" s="107">
        <f t="shared" si="191"/>
        <v>33.946603588582953</v>
      </c>
      <c r="G336" s="107">
        <f t="shared" si="192"/>
        <v>0</v>
      </c>
      <c r="H336" s="107">
        <f t="shared" si="193"/>
        <v>202.81347625980672</v>
      </c>
      <c r="I336" s="107">
        <f t="shared" si="194"/>
        <v>68.593391170356711</v>
      </c>
      <c r="J336" s="687">
        <f t="shared" si="182"/>
        <v>0</v>
      </c>
      <c r="K336" s="142">
        <f t="shared" si="195"/>
        <v>601.51142806905</v>
      </c>
      <c r="L336" s="141">
        <f t="shared" si="183"/>
        <v>752.7812347047053</v>
      </c>
      <c r="M336" s="107">
        <f t="shared" si="184"/>
        <v>165.61109213767477</v>
      </c>
      <c r="N336" s="30">
        <f t="shared" si="196"/>
        <v>9.1946166415587669</v>
      </c>
      <c r="O336" s="107">
        <f t="shared" si="185"/>
        <v>0.84992607794912267</v>
      </c>
      <c r="P336" s="107">
        <f t="shared" si="197"/>
        <v>628.92967109461551</v>
      </c>
      <c r="Q336" s="107">
        <f t="shared" si="198"/>
        <v>200.4530620516116</v>
      </c>
      <c r="R336" s="143">
        <f t="shared" si="199"/>
        <v>1757.8196027081151</v>
      </c>
      <c r="S336" s="141">
        <f t="shared" si="200"/>
        <v>0</v>
      </c>
      <c r="T336" s="107">
        <f t="shared" si="186"/>
        <v>0</v>
      </c>
      <c r="U336" s="142">
        <f t="shared" si="201"/>
        <v>0</v>
      </c>
      <c r="V336" s="107"/>
      <c r="W336" s="107">
        <f t="shared" si="202"/>
        <v>0</v>
      </c>
      <c r="X336" s="142">
        <f t="shared" si="203"/>
        <v>0</v>
      </c>
      <c r="Y336" s="141">
        <v>0</v>
      </c>
      <c r="Z336" s="144">
        <v>0</v>
      </c>
      <c r="AA336" s="107">
        <f t="shared" si="187"/>
        <v>0</v>
      </c>
      <c r="AB336" s="142">
        <f t="shared" si="188"/>
        <v>0</v>
      </c>
      <c r="AC336" s="141">
        <v>0</v>
      </c>
      <c r="AD336" s="107">
        <f t="shared" si="204"/>
        <v>0</v>
      </c>
      <c r="AE336" s="142">
        <f t="shared" si="205"/>
        <v>0</v>
      </c>
      <c r="AF336" s="145">
        <v>129.80000000000001</v>
      </c>
      <c r="AG336" s="107">
        <f t="shared" si="206"/>
        <v>16.706925938790896</v>
      </c>
      <c r="AH336" s="142">
        <f t="shared" si="207"/>
        <v>146.50692593879091</v>
      </c>
      <c r="AI336" s="145">
        <v>0</v>
      </c>
      <c r="AJ336" s="107">
        <f t="shared" si="208"/>
        <v>0</v>
      </c>
      <c r="AK336" s="142">
        <f t="shared" si="209"/>
        <v>0</v>
      </c>
      <c r="AL336" s="146"/>
      <c r="AM336" s="146"/>
      <c r="AN336" s="107">
        <f t="shared" si="210"/>
        <v>0</v>
      </c>
      <c r="AO336" s="151">
        <f t="shared" si="211"/>
        <v>0</v>
      </c>
      <c r="AP336" s="282">
        <f t="shared" si="212"/>
        <v>326.52725817441586</v>
      </c>
      <c r="AQ336" s="684">
        <v>16.489999999999998</v>
      </c>
      <c r="AR336" s="411">
        <v>197.27535279005966</v>
      </c>
      <c r="AS336" s="411">
        <v>129.25190538435621</v>
      </c>
      <c r="AT336" s="411">
        <v>0</v>
      </c>
      <c r="AU336" s="411">
        <v>566.00723856431932</v>
      </c>
      <c r="AV336" s="742">
        <v>10.271749925674532</v>
      </c>
      <c r="AW336" s="256"/>
      <c r="AX336" s="728">
        <f t="shared" si="213"/>
        <v>33.946603588582953</v>
      </c>
      <c r="AY336" s="729">
        <v>9.1946166415587669</v>
      </c>
      <c r="AZ336" s="730"/>
      <c r="BA336" s="731">
        <v>0</v>
      </c>
      <c r="BB336" s="742"/>
      <c r="BC336" s="727">
        <v>15.817499999999999</v>
      </c>
      <c r="BD336" s="727">
        <v>18.129103588582954</v>
      </c>
      <c r="BE336" s="727"/>
      <c r="BF336" s="727"/>
      <c r="BG336" s="727">
        <v>0</v>
      </c>
      <c r="BH336" s="727">
        <v>22.825781249999999</v>
      </c>
      <c r="BI336" s="137">
        <f t="shared" si="181"/>
        <v>33.946603588582953</v>
      </c>
      <c r="BJ336" s="126"/>
      <c r="BK336" s="807"/>
      <c r="BL336" s="107"/>
      <c r="BM336" s="687"/>
      <c r="BO336" s="577"/>
      <c r="BS336" s="904"/>
      <c r="BT336" s="789"/>
      <c r="BU336" s="789">
        <v>181.63783711460746</v>
      </c>
      <c r="BV336" s="789">
        <v>0</v>
      </c>
      <c r="BW336" s="789">
        <f t="shared" si="214"/>
        <v>181.63783711460746</v>
      </c>
    </row>
    <row r="337" spans="1:75" ht="15" thickBot="1" x14ac:dyDescent="0.35">
      <c r="A337" s="260" t="s">
        <v>402</v>
      </c>
      <c r="B337" s="237">
        <v>9</v>
      </c>
      <c r="C337" s="40">
        <f>'[7]побудинковий звіт'!E337</f>
        <v>6212</v>
      </c>
      <c r="D337" s="215">
        <f t="shared" si="189"/>
        <v>5015.3641206543753</v>
      </c>
      <c r="E337" s="107">
        <f t="shared" si="190"/>
        <v>1103.3810279862173</v>
      </c>
      <c r="F337" s="107">
        <f t="shared" si="191"/>
        <v>184.34856397097394</v>
      </c>
      <c r="G337" s="107">
        <f t="shared" si="192"/>
        <v>0</v>
      </c>
      <c r="H337" s="107">
        <f t="shared" si="193"/>
        <v>4190.2097998766376</v>
      </c>
      <c r="I337" s="107">
        <f t="shared" si="194"/>
        <v>1350.6228400338582</v>
      </c>
      <c r="J337" s="687">
        <f t="shared" si="182"/>
        <v>0</v>
      </c>
      <c r="K337" s="142">
        <f t="shared" si="195"/>
        <v>11843.926352522063</v>
      </c>
      <c r="L337" s="141">
        <f t="shared" si="183"/>
        <v>3715.0481197546378</v>
      </c>
      <c r="M337" s="107">
        <f t="shared" si="184"/>
        <v>817.3067394512392</v>
      </c>
      <c r="N337" s="30">
        <f t="shared" si="196"/>
        <v>124.9014821022615</v>
      </c>
      <c r="O337" s="107">
        <f t="shared" si="185"/>
        <v>11.183522127133974</v>
      </c>
      <c r="P337" s="107">
        <f t="shared" si="197"/>
        <v>3103.8286879912703</v>
      </c>
      <c r="Q337" s="107">
        <f t="shared" si="198"/>
        <v>1000.3907169882652</v>
      </c>
      <c r="R337" s="143">
        <f t="shared" si="199"/>
        <v>8772.6592684148072</v>
      </c>
      <c r="S337" s="141">
        <f t="shared" si="200"/>
        <v>144.76000000000002</v>
      </c>
      <c r="T337" s="107">
        <f t="shared" si="186"/>
        <v>18.632469945295611</v>
      </c>
      <c r="U337" s="142">
        <f t="shared" si="201"/>
        <v>163.39246994529563</v>
      </c>
      <c r="V337" s="107"/>
      <c r="W337" s="107">
        <f t="shared" si="202"/>
        <v>0</v>
      </c>
      <c r="X337" s="142">
        <f t="shared" si="203"/>
        <v>0</v>
      </c>
      <c r="Y337" s="141">
        <v>6506.78</v>
      </c>
      <c r="Z337" s="144">
        <v>0</v>
      </c>
      <c r="AA337" s="107">
        <f t="shared" si="187"/>
        <v>837.50609830512951</v>
      </c>
      <c r="AB337" s="142">
        <f t="shared" si="188"/>
        <v>7344.2860983051296</v>
      </c>
      <c r="AC337" s="141">
        <v>0</v>
      </c>
      <c r="AD337" s="107">
        <f t="shared" si="204"/>
        <v>0</v>
      </c>
      <c r="AE337" s="142">
        <f t="shared" si="205"/>
        <v>0</v>
      </c>
      <c r="AF337" s="145">
        <v>904.2</v>
      </c>
      <c r="AG337" s="107">
        <f t="shared" si="206"/>
        <v>116.38214509903489</v>
      </c>
      <c r="AH337" s="142">
        <f t="shared" si="207"/>
        <v>1020.582145099035</v>
      </c>
      <c r="AI337" s="145">
        <v>1570.8</v>
      </c>
      <c r="AJ337" s="107">
        <f t="shared" si="208"/>
        <v>202.18212068299491</v>
      </c>
      <c r="AK337" s="142">
        <f t="shared" si="209"/>
        <v>1772.9821206829949</v>
      </c>
      <c r="AL337" s="146"/>
      <c r="AM337" s="146"/>
      <c r="AN337" s="107">
        <f t="shared" si="210"/>
        <v>0</v>
      </c>
      <c r="AO337" s="151">
        <f t="shared" si="211"/>
        <v>0</v>
      </c>
      <c r="AP337" s="282">
        <f t="shared" si="212"/>
        <v>6508.2358661414482</v>
      </c>
      <c r="AQ337" s="684">
        <v>0</v>
      </c>
      <c r="AR337" s="411">
        <v>4399.6189143140846</v>
      </c>
      <c r="AS337" s="411">
        <v>2054.4209299874246</v>
      </c>
      <c r="AT337" s="411">
        <v>54.196021839938759</v>
      </c>
      <c r="AU337" s="411">
        <v>1322.5540928147796</v>
      </c>
      <c r="AV337" s="742">
        <v>229.07973356506955</v>
      </c>
      <c r="AW337" s="256"/>
      <c r="AX337" s="728">
        <f t="shared" si="213"/>
        <v>184.34856397097394</v>
      </c>
      <c r="AY337" s="729">
        <v>120.96442327873208</v>
      </c>
      <c r="AZ337" s="730"/>
      <c r="BA337" s="731">
        <v>3.9370588235294122</v>
      </c>
      <c r="BB337" s="742"/>
      <c r="BC337" s="727">
        <v>26.362500000000001</v>
      </c>
      <c r="BD337" s="727">
        <v>157.98606397097393</v>
      </c>
      <c r="BE337" s="727"/>
      <c r="BF337" s="727"/>
      <c r="BG337" s="727">
        <v>0</v>
      </c>
      <c r="BH337" s="727">
        <v>38.04296875</v>
      </c>
      <c r="BI337" s="137">
        <f t="shared" si="181"/>
        <v>184.34856397097394</v>
      </c>
      <c r="BJ337" s="126">
        <v>658</v>
      </c>
      <c r="BK337" s="807"/>
      <c r="BL337" s="107"/>
      <c r="BM337" s="687"/>
      <c r="BO337" s="577"/>
      <c r="BS337" s="904"/>
      <c r="BT337" s="789"/>
      <c r="BU337" s="789">
        <v>4007.0021252381102</v>
      </c>
      <c r="BV337" s="789">
        <v>0</v>
      </c>
      <c r="BW337" s="789">
        <f t="shared" si="214"/>
        <v>4007.0021252381102</v>
      </c>
    </row>
    <row r="338" spans="1:75" ht="15" thickBot="1" x14ac:dyDescent="0.35">
      <c r="A338" s="260" t="s">
        <v>425</v>
      </c>
      <c r="B338" s="237">
        <v>14</v>
      </c>
      <c r="C338" s="40">
        <f>'[7]побудинковий звіт'!E338</f>
        <v>4357.8100000000004</v>
      </c>
      <c r="D338" s="215">
        <f t="shared" si="189"/>
        <v>2337.9025936453554</v>
      </c>
      <c r="E338" s="107">
        <f t="shared" si="190"/>
        <v>514.33900013055984</v>
      </c>
      <c r="F338" s="107">
        <f t="shared" si="191"/>
        <v>140.33733833124754</v>
      </c>
      <c r="G338" s="107">
        <f t="shared" si="192"/>
        <v>0</v>
      </c>
      <c r="H338" s="107">
        <f t="shared" si="193"/>
        <v>1953.2584521044932</v>
      </c>
      <c r="I338" s="107">
        <f t="shared" si="194"/>
        <v>636.59274948634379</v>
      </c>
      <c r="J338" s="687">
        <f t="shared" si="182"/>
        <v>0</v>
      </c>
      <c r="K338" s="142">
        <f t="shared" si="195"/>
        <v>5582.4301336979997</v>
      </c>
      <c r="L338" s="141">
        <f t="shared" si="183"/>
        <v>2150.5293155476534</v>
      </c>
      <c r="M338" s="107">
        <f t="shared" si="184"/>
        <v>473.11422256911226</v>
      </c>
      <c r="N338" s="30">
        <f t="shared" si="196"/>
        <v>88.513314450444653</v>
      </c>
      <c r="O338" s="107">
        <f t="shared" si="185"/>
        <v>7.8454064006512736</v>
      </c>
      <c r="P338" s="107">
        <f t="shared" si="197"/>
        <v>1796.7128200761724</v>
      </c>
      <c r="Q338" s="107">
        <f t="shared" si="198"/>
        <v>581.35920117264061</v>
      </c>
      <c r="R338" s="143">
        <f t="shared" si="199"/>
        <v>5098.0742802166751</v>
      </c>
      <c r="S338" s="141">
        <f t="shared" si="200"/>
        <v>86.46</v>
      </c>
      <c r="T338" s="107">
        <f t="shared" si="186"/>
        <v>11.12851168465224</v>
      </c>
      <c r="U338" s="142">
        <f t="shared" si="201"/>
        <v>97.588511684652232</v>
      </c>
      <c r="V338" s="107"/>
      <c r="W338" s="107">
        <f t="shared" si="202"/>
        <v>0</v>
      </c>
      <c r="X338" s="142">
        <f t="shared" si="203"/>
        <v>0</v>
      </c>
      <c r="Y338" s="141">
        <v>2830.42</v>
      </c>
      <c r="Z338" s="144">
        <v>0</v>
      </c>
      <c r="AA338" s="107">
        <f t="shared" si="187"/>
        <v>364.31138147667588</v>
      </c>
      <c r="AB338" s="142">
        <f t="shared" si="188"/>
        <v>3194.7313814766758</v>
      </c>
      <c r="AC338" s="141">
        <v>118.075</v>
      </c>
      <c r="AD338" s="107">
        <f t="shared" si="204"/>
        <v>15.197767952409361</v>
      </c>
      <c r="AE338" s="142">
        <f t="shared" si="205"/>
        <v>133.27276795240937</v>
      </c>
      <c r="AF338" s="145">
        <v>688.6</v>
      </c>
      <c r="AG338" s="107">
        <f t="shared" si="206"/>
        <v>88.631657946466959</v>
      </c>
      <c r="AH338" s="142">
        <f t="shared" si="207"/>
        <v>777.23165794646695</v>
      </c>
      <c r="AI338" s="145">
        <v>1031.8</v>
      </c>
      <c r="AJ338" s="107">
        <f t="shared" si="208"/>
        <v>132.80590280157509</v>
      </c>
      <c r="AK338" s="142">
        <f t="shared" si="209"/>
        <v>1164.605902801575</v>
      </c>
      <c r="AL338" s="146"/>
      <c r="AM338" s="146"/>
      <c r="AN338" s="107">
        <f t="shared" si="210"/>
        <v>0</v>
      </c>
      <c r="AO338" s="151">
        <f t="shared" si="211"/>
        <v>0</v>
      </c>
      <c r="AP338" s="282">
        <f t="shared" si="212"/>
        <v>3357.3057096825969</v>
      </c>
      <c r="AQ338" s="684">
        <v>0</v>
      </c>
      <c r="AR338" s="411">
        <v>2050.8741186839334</v>
      </c>
      <c r="AS338" s="411">
        <v>1276.1261138090904</v>
      </c>
      <c r="AT338" s="411">
        <v>30.305477189573207</v>
      </c>
      <c r="AU338" s="411">
        <v>679.7698471265935</v>
      </c>
      <c r="AV338" s="742">
        <v>106.78508885282803</v>
      </c>
      <c r="AW338" s="256"/>
      <c r="AX338" s="728">
        <f t="shared" si="213"/>
        <v>140.33733833124754</v>
      </c>
      <c r="AY338" s="729">
        <v>84.576255626915241</v>
      </c>
      <c r="AZ338" s="730"/>
      <c r="BA338" s="731">
        <v>3.9370588235294122</v>
      </c>
      <c r="BB338" s="742"/>
      <c r="BC338" s="727">
        <v>26.362500000000001</v>
      </c>
      <c r="BD338" s="727">
        <v>113.97483833124753</v>
      </c>
      <c r="BE338" s="727"/>
      <c r="BF338" s="727"/>
      <c r="BG338" s="727">
        <v>0</v>
      </c>
      <c r="BH338" s="727">
        <v>38.04296875</v>
      </c>
      <c r="BI338" s="137">
        <f t="shared" si="181"/>
        <v>140.33733833124754</v>
      </c>
      <c r="BJ338" s="126">
        <v>393</v>
      </c>
      <c r="BK338" s="807"/>
      <c r="BL338" s="107"/>
      <c r="BM338" s="687"/>
      <c r="BO338" s="577"/>
      <c r="BS338" s="904"/>
      <c r="BT338" s="789"/>
      <c r="BU338" s="789">
        <v>1926.7160788030874</v>
      </c>
      <c r="BV338" s="789">
        <v>0</v>
      </c>
      <c r="BW338" s="789">
        <f t="shared" si="214"/>
        <v>1926.7160788030874</v>
      </c>
    </row>
    <row r="339" spans="1:75" ht="15" thickBot="1" x14ac:dyDescent="0.35">
      <c r="A339" s="260" t="s">
        <v>424</v>
      </c>
      <c r="B339" s="237">
        <v>10</v>
      </c>
      <c r="C339" s="40">
        <f>'[7]побудинковий звіт'!E339</f>
        <v>10174.199999999999</v>
      </c>
      <c r="D339" s="215">
        <f t="shared" si="189"/>
        <v>6205.5361590464163</v>
      </c>
      <c r="E339" s="107">
        <f t="shared" si="190"/>
        <v>1365.2190950955146</v>
      </c>
      <c r="F339" s="107">
        <f t="shared" si="191"/>
        <v>271.75690841211525</v>
      </c>
      <c r="G339" s="107">
        <f t="shared" si="192"/>
        <v>0</v>
      </c>
      <c r="H339" s="107">
        <f t="shared" si="193"/>
        <v>5184.568418480545</v>
      </c>
      <c r="I339" s="107">
        <f t="shared" si="194"/>
        <v>1676.7524689214638</v>
      </c>
      <c r="J339" s="687">
        <f t="shared" si="182"/>
        <v>0</v>
      </c>
      <c r="K339" s="142">
        <f t="shared" si="195"/>
        <v>14703.833049956056</v>
      </c>
      <c r="L339" s="141">
        <f t="shared" si="183"/>
        <v>7015.1617863519996</v>
      </c>
      <c r="M339" s="107">
        <f t="shared" si="184"/>
        <v>1543.3283288683103</v>
      </c>
      <c r="N339" s="30">
        <f t="shared" si="196"/>
        <v>197.17007824926429</v>
      </c>
      <c r="O339" s="107">
        <f t="shared" si="185"/>
        <v>18.316708117496212</v>
      </c>
      <c r="P339" s="107">
        <f t="shared" si="197"/>
        <v>5860.9901410422344</v>
      </c>
      <c r="Q339" s="107">
        <f t="shared" si="198"/>
        <v>1883.7080932038014</v>
      </c>
      <c r="R339" s="143">
        <f t="shared" si="199"/>
        <v>16518.675135833106</v>
      </c>
      <c r="S339" s="141">
        <f t="shared" si="200"/>
        <v>180.136</v>
      </c>
      <c r="T339" s="107">
        <f t="shared" si="186"/>
        <v>23.185815184206753</v>
      </c>
      <c r="U339" s="142">
        <f t="shared" si="201"/>
        <v>203.32181518420674</v>
      </c>
      <c r="V339" s="107"/>
      <c r="W339" s="107">
        <f t="shared" si="202"/>
        <v>0</v>
      </c>
      <c r="X339" s="142">
        <f t="shared" si="203"/>
        <v>0</v>
      </c>
      <c r="Y339" s="141">
        <v>6205.46</v>
      </c>
      <c r="Z339" s="144">
        <v>0</v>
      </c>
      <c r="AA339" s="107">
        <f t="shared" si="187"/>
        <v>798.72234696555734</v>
      </c>
      <c r="AB339" s="142">
        <f t="shared" si="188"/>
        <v>7004.1823469655574</v>
      </c>
      <c r="AC339" s="141">
        <v>0</v>
      </c>
      <c r="AD339" s="107">
        <f t="shared" si="204"/>
        <v>0</v>
      </c>
      <c r="AE339" s="142">
        <f t="shared" si="205"/>
        <v>0</v>
      </c>
      <c r="AF339" s="145">
        <v>1240.8</v>
      </c>
      <c r="AG339" s="107">
        <f t="shared" si="206"/>
        <v>159.70688524539094</v>
      </c>
      <c r="AH339" s="142">
        <f t="shared" si="207"/>
        <v>1400.506885245391</v>
      </c>
      <c r="AI339" s="145">
        <v>1843.6</v>
      </c>
      <c r="AJ339" s="107">
        <f t="shared" si="208"/>
        <v>237.29498197808084</v>
      </c>
      <c r="AK339" s="142">
        <f t="shared" si="209"/>
        <v>2080.894981978081</v>
      </c>
      <c r="AL339" s="146"/>
      <c r="AM339" s="146"/>
      <c r="AN339" s="107">
        <f t="shared" si="210"/>
        <v>0</v>
      </c>
      <c r="AO339" s="151">
        <f t="shared" si="211"/>
        <v>0</v>
      </c>
      <c r="AP339" s="282">
        <f t="shared" si="212"/>
        <v>8799.4150560306534</v>
      </c>
      <c r="AQ339" s="684">
        <v>0</v>
      </c>
      <c r="AR339" s="411">
        <v>5443.6714069004393</v>
      </c>
      <c r="AS339" s="411">
        <v>3281.9495827025498</v>
      </c>
      <c r="AT339" s="411">
        <v>73.794066427664703</v>
      </c>
      <c r="AU339" s="411">
        <v>3123.3702731951735</v>
      </c>
      <c r="AV339" s="742">
        <v>283.44154796028664</v>
      </c>
      <c r="AW339" s="256"/>
      <c r="AX339" s="728">
        <f t="shared" si="213"/>
        <v>271.75690841211525</v>
      </c>
      <c r="AY339" s="729">
        <v>193.23301942573488</v>
      </c>
      <c r="AZ339" s="730"/>
      <c r="BA339" s="731">
        <v>3.9370588235294122</v>
      </c>
      <c r="BB339" s="742"/>
      <c r="BC339" s="727">
        <v>26.362500000000001</v>
      </c>
      <c r="BD339" s="727">
        <v>245.39440841211527</v>
      </c>
      <c r="BE339" s="727"/>
      <c r="BF339" s="727"/>
      <c r="BG339" s="727">
        <v>0</v>
      </c>
      <c r="BH339" s="727">
        <v>38.04296875</v>
      </c>
      <c r="BI339" s="137">
        <f t="shared" si="181"/>
        <v>271.75690841211525</v>
      </c>
      <c r="BJ339" s="126">
        <v>818.8</v>
      </c>
      <c r="BK339" s="807"/>
      <c r="BL339" s="107"/>
      <c r="BM339" s="687"/>
      <c r="BO339" s="577"/>
      <c r="BS339" s="904"/>
      <c r="BT339" s="789"/>
      <c r="BU339" s="789">
        <v>5114.1276772864949</v>
      </c>
      <c r="BV339" s="789">
        <v>0</v>
      </c>
      <c r="BW339" s="789">
        <f t="shared" si="214"/>
        <v>5114.1276772864949</v>
      </c>
    </row>
    <row r="340" spans="1:75" ht="15" thickBot="1" x14ac:dyDescent="0.35">
      <c r="A340" s="260" t="s">
        <v>403</v>
      </c>
      <c r="B340" s="237">
        <v>9</v>
      </c>
      <c r="C340" s="40">
        <f>'[7]побудинковий звіт'!E340</f>
        <v>3581.3</v>
      </c>
      <c r="D340" s="215">
        <f t="shared" si="189"/>
        <v>1301.9776097575789</v>
      </c>
      <c r="E340" s="107">
        <f t="shared" si="190"/>
        <v>286.43531335107116</v>
      </c>
      <c r="F340" s="107">
        <f t="shared" si="191"/>
        <v>239.414335073167</v>
      </c>
      <c r="G340" s="107">
        <f t="shared" si="192"/>
        <v>0</v>
      </c>
      <c r="H340" s="107">
        <f t="shared" si="193"/>
        <v>1087.7693440360536</v>
      </c>
      <c r="I340" s="107">
        <f t="shared" si="194"/>
        <v>375.27470339479459</v>
      </c>
      <c r="J340" s="687">
        <f t="shared" si="182"/>
        <v>0</v>
      </c>
      <c r="K340" s="142">
        <f t="shared" si="195"/>
        <v>3290.8713056126649</v>
      </c>
      <c r="L340" s="141">
        <f t="shared" si="183"/>
        <v>2738.033790788159</v>
      </c>
      <c r="M340" s="107">
        <f t="shared" si="184"/>
        <v>602.36459876707704</v>
      </c>
      <c r="N340" s="30">
        <f t="shared" si="196"/>
        <v>73.686435181111307</v>
      </c>
      <c r="O340" s="107">
        <f t="shared" si="185"/>
        <v>6.4474481316653103</v>
      </c>
      <c r="P340" s="107">
        <f t="shared" si="197"/>
        <v>2287.5579412680813</v>
      </c>
      <c r="Q340" s="107">
        <f t="shared" si="198"/>
        <v>734.70447195307224</v>
      </c>
      <c r="R340" s="143">
        <f t="shared" si="199"/>
        <v>6442.7946860891661</v>
      </c>
      <c r="S340" s="141">
        <f t="shared" si="200"/>
        <v>108.63600000000001</v>
      </c>
      <c r="T340" s="107">
        <f t="shared" si="186"/>
        <v>13.982847506059228</v>
      </c>
      <c r="U340" s="142">
        <f t="shared" si="201"/>
        <v>122.61884750605924</v>
      </c>
      <c r="V340" s="107"/>
      <c r="W340" s="107">
        <f t="shared" si="202"/>
        <v>0</v>
      </c>
      <c r="X340" s="142">
        <f t="shared" si="203"/>
        <v>0</v>
      </c>
      <c r="Y340" s="141">
        <v>2577.16</v>
      </c>
      <c r="Z340" s="144">
        <v>0</v>
      </c>
      <c r="AA340" s="107">
        <f t="shared" si="187"/>
        <v>331.71356897083467</v>
      </c>
      <c r="AB340" s="142">
        <f t="shared" si="188"/>
        <v>2908.8735689708346</v>
      </c>
      <c r="AC340" s="141">
        <v>118.075</v>
      </c>
      <c r="AD340" s="107">
        <f t="shared" si="204"/>
        <v>15.197767952409361</v>
      </c>
      <c r="AE340" s="142">
        <f t="shared" si="205"/>
        <v>133.27276795240937</v>
      </c>
      <c r="AF340" s="145">
        <v>1185.8</v>
      </c>
      <c r="AG340" s="107">
        <f t="shared" si="206"/>
        <v>152.6276793391236</v>
      </c>
      <c r="AH340" s="142">
        <f t="shared" si="207"/>
        <v>1338.4276793391236</v>
      </c>
      <c r="AI340" s="145">
        <v>556.6</v>
      </c>
      <c r="AJ340" s="107">
        <f t="shared" si="208"/>
        <v>71.641563771425368</v>
      </c>
      <c r="AK340" s="142">
        <f t="shared" si="209"/>
        <v>628.24156377142538</v>
      </c>
      <c r="AL340" s="146">
        <v>2295</v>
      </c>
      <c r="AM340" s="146"/>
      <c r="AN340" s="107">
        <f t="shared" si="210"/>
        <v>295.3959555433367</v>
      </c>
      <c r="AO340" s="151">
        <f t="shared" si="211"/>
        <v>2590.3959555433366</v>
      </c>
      <c r="AP340" s="282">
        <f t="shared" si="212"/>
        <v>2405.9840819738624</v>
      </c>
      <c r="AQ340" s="684">
        <v>418.42</v>
      </c>
      <c r="AR340" s="411">
        <v>744.41959169552672</v>
      </c>
      <c r="AS340" s="411">
        <v>1618.2545652580088</v>
      </c>
      <c r="AT340" s="411">
        <v>43.309925020326617</v>
      </c>
      <c r="AU340" s="411">
        <v>867.24858545231439</v>
      </c>
      <c r="AV340" s="742">
        <v>38.76050290887877</v>
      </c>
      <c r="AW340" s="256"/>
      <c r="AX340" s="728">
        <f t="shared" si="213"/>
        <v>122.40433507316699</v>
      </c>
      <c r="AY340" s="729">
        <v>69.749376357581895</v>
      </c>
      <c r="AZ340" s="730"/>
      <c r="BA340" s="731">
        <v>3.9370588235294122</v>
      </c>
      <c r="BB340" s="742"/>
      <c r="BC340" s="727">
        <v>26.362500000000001</v>
      </c>
      <c r="BD340" s="727">
        <v>96.041835073166993</v>
      </c>
      <c r="BE340" s="727"/>
      <c r="BF340" s="727"/>
      <c r="BG340" s="727">
        <v>0</v>
      </c>
      <c r="BH340" s="727">
        <v>38.04296875</v>
      </c>
      <c r="BI340" s="137">
        <f t="shared" si="181"/>
        <v>122.40433507316699</v>
      </c>
      <c r="BJ340" s="126">
        <v>493.8</v>
      </c>
      <c r="BK340" s="807"/>
      <c r="BL340" s="107"/>
      <c r="BM340" s="687">
        <v>117.01</v>
      </c>
      <c r="BO340" s="577"/>
      <c r="BS340" s="904"/>
      <c r="BT340" s="789"/>
      <c r="BU340" s="789">
        <v>681.29405080702077</v>
      </c>
      <c r="BV340" s="789">
        <v>0</v>
      </c>
      <c r="BW340" s="789">
        <f t="shared" si="214"/>
        <v>681.29405080702077</v>
      </c>
    </row>
    <row r="341" spans="1:75" ht="15" thickBot="1" x14ac:dyDescent="0.35">
      <c r="A341" s="260" t="s">
        <v>404</v>
      </c>
      <c r="B341" s="237">
        <v>9</v>
      </c>
      <c r="C341" s="40">
        <f>'[7]побудинковий звіт'!E341</f>
        <v>4073.8</v>
      </c>
      <c r="D341" s="215">
        <f t="shared" si="189"/>
        <v>1910.9846222473002</v>
      </c>
      <c r="E341" s="107">
        <f t="shared" si="190"/>
        <v>420.41696798795317</v>
      </c>
      <c r="F341" s="107">
        <f t="shared" si="191"/>
        <v>133.99392327605369</v>
      </c>
      <c r="G341" s="107">
        <f t="shared" si="192"/>
        <v>0</v>
      </c>
      <c r="H341" s="107">
        <f t="shared" si="193"/>
        <v>1596.5792909387865</v>
      </c>
      <c r="I341" s="107">
        <f t="shared" si="194"/>
        <v>522.82829139585783</v>
      </c>
      <c r="J341" s="687">
        <f t="shared" si="182"/>
        <v>0</v>
      </c>
      <c r="K341" s="142">
        <f t="shared" si="195"/>
        <v>4584.8030958459512</v>
      </c>
      <c r="L341" s="141">
        <f t="shared" si="183"/>
        <v>2722.9972991736154</v>
      </c>
      <c r="M341" s="107">
        <f t="shared" si="184"/>
        <v>599.05658618201255</v>
      </c>
      <c r="N341" s="30">
        <f t="shared" si="196"/>
        <v>83.268624097965599</v>
      </c>
      <c r="O341" s="107">
        <f t="shared" si="185"/>
        <v>7.3341005218155813</v>
      </c>
      <c r="P341" s="107">
        <f t="shared" si="197"/>
        <v>2274.9953330499561</v>
      </c>
      <c r="Q341" s="107">
        <f t="shared" si="198"/>
        <v>732.07380414287297</v>
      </c>
      <c r="R341" s="143">
        <f t="shared" si="199"/>
        <v>6419.7257471682387</v>
      </c>
      <c r="S341" s="141">
        <f t="shared" si="200"/>
        <v>126.91800000000001</v>
      </c>
      <c r="T341" s="107">
        <f t="shared" si="186"/>
        <v>16.335975549302489</v>
      </c>
      <c r="U341" s="142">
        <f t="shared" si="201"/>
        <v>143.25397554930248</v>
      </c>
      <c r="V341" s="107"/>
      <c r="W341" s="107">
        <f t="shared" si="202"/>
        <v>0</v>
      </c>
      <c r="X341" s="142">
        <f t="shared" si="203"/>
        <v>0</v>
      </c>
      <c r="Y341" s="141">
        <v>3102.43</v>
      </c>
      <c r="Z341" s="144">
        <v>0</v>
      </c>
      <c r="AA341" s="107">
        <f t="shared" si="187"/>
        <v>399.32255963238083</v>
      </c>
      <c r="AB341" s="142">
        <f t="shared" si="188"/>
        <v>3501.7525596323808</v>
      </c>
      <c r="AC341" s="141">
        <v>0</v>
      </c>
      <c r="AD341" s="107">
        <f t="shared" si="204"/>
        <v>0</v>
      </c>
      <c r="AE341" s="142">
        <f t="shared" si="205"/>
        <v>0</v>
      </c>
      <c r="AF341" s="145">
        <v>578.6</v>
      </c>
      <c r="AG341" s="107">
        <f t="shared" si="206"/>
        <v>74.473246133932292</v>
      </c>
      <c r="AH341" s="142">
        <f t="shared" si="207"/>
        <v>653.07324613393234</v>
      </c>
      <c r="AI341" s="145">
        <v>690.8</v>
      </c>
      <c r="AJ341" s="107">
        <f t="shared" si="208"/>
        <v>88.914826182717647</v>
      </c>
      <c r="AK341" s="142">
        <f t="shared" si="209"/>
        <v>779.71482618271762</v>
      </c>
      <c r="AL341" s="146">
        <v>1700</v>
      </c>
      <c r="AM341" s="146"/>
      <c r="AN341" s="107">
        <f t="shared" si="210"/>
        <v>218.81181892099016</v>
      </c>
      <c r="AO341" s="151">
        <f t="shared" si="211"/>
        <v>1918.8118189209902</v>
      </c>
      <c r="AP341" s="282">
        <f t="shared" si="212"/>
        <v>2904.3075114986232</v>
      </c>
      <c r="AQ341" s="684">
        <v>314.26</v>
      </c>
      <c r="AR341" s="411">
        <v>1377.662725324371</v>
      </c>
      <c r="AS341" s="411">
        <v>1476.3395183515956</v>
      </c>
      <c r="AT341" s="411">
        <v>50.305267822656724</v>
      </c>
      <c r="AU341" s="411">
        <v>988.28077774558585</v>
      </c>
      <c r="AV341" s="742">
        <v>71.732260499438453</v>
      </c>
      <c r="AW341" s="256"/>
      <c r="AX341" s="728">
        <f t="shared" si="213"/>
        <v>133.99392327605369</v>
      </c>
      <c r="AY341" s="729">
        <v>79.331565274436187</v>
      </c>
      <c r="AZ341" s="730"/>
      <c r="BA341" s="731">
        <v>3.9370588235294122</v>
      </c>
      <c r="BB341" s="742"/>
      <c r="BC341" s="727">
        <v>26.362500000000001</v>
      </c>
      <c r="BD341" s="727">
        <v>107.6314232760537</v>
      </c>
      <c r="BE341" s="727"/>
      <c r="BF341" s="727"/>
      <c r="BG341" s="727">
        <v>0</v>
      </c>
      <c r="BH341" s="727">
        <v>38.04296875</v>
      </c>
      <c r="BI341" s="137">
        <f t="shared" si="181"/>
        <v>133.99392327605369</v>
      </c>
      <c r="BJ341" s="126">
        <v>576.9</v>
      </c>
      <c r="BK341" s="807"/>
      <c r="BL341" s="107"/>
      <c r="BM341" s="687"/>
      <c r="BO341" s="577"/>
      <c r="BS341" s="904"/>
      <c r="BT341" s="789"/>
      <c r="BU341" s="789">
        <v>1260.8483377809373</v>
      </c>
      <c r="BV341" s="789">
        <v>0</v>
      </c>
      <c r="BW341" s="789">
        <f t="shared" si="214"/>
        <v>1260.8483377809373</v>
      </c>
    </row>
    <row r="342" spans="1:75" ht="15" thickBot="1" x14ac:dyDescent="0.35">
      <c r="A342" s="260" t="s">
        <v>405</v>
      </c>
      <c r="B342" s="237">
        <v>9</v>
      </c>
      <c r="C342" s="40">
        <f>'[7]побудинковий звіт'!E342</f>
        <v>4387.3</v>
      </c>
      <c r="D342" s="215">
        <f t="shared" si="189"/>
        <v>819.44317510633937</v>
      </c>
      <c r="E342" s="107">
        <f t="shared" si="190"/>
        <v>180.2776490746904</v>
      </c>
      <c r="F342" s="107">
        <f t="shared" si="191"/>
        <v>141.39053038114807</v>
      </c>
      <c r="G342" s="107">
        <f t="shared" si="192"/>
        <v>0</v>
      </c>
      <c r="H342" s="107">
        <f t="shared" si="193"/>
        <v>684.62403529828055</v>
      </c>
      <c r="I342" s="107">
        <f t="shared" si="194"/>
        <v>234.99557736693527</v>
      </c>
      <c r="J342" s="687">
        <f t="shared" si="182"/>
        <v>0</v>
      </c>
      <c r="K342" s="142">
        <f t="shared" si="195"/>
        <v>2060.7309672273936</v>
      </c>
      <c r="L342" s="141">
        <f t="shared" si="183"/>
        <v>321.31282919473273</v>
      </c>
      <c r="M342" s="107">
        <f t="shared" si="184"/>
        <v>70.688489706653982</v>
      </c>
      <c r="N342" s="30">
        <f t="shared" si="196"/>
        <v>85.44702730673751</v>
      </c>
      <c r="O342" s="107">
        <f t="shared" si="185"/>
        <v>7.8984975254949923</v>
      </c>
      <c r="P342" s="107">
        <f t="shared" si="197"/>
        <v>268.4487373854306</v>
      </c>
      <c r="Q342" s="107">
        <f t="shared" si="198"/>
        <v>97.023165999567098</v>
      </c>
      <c r="R342" s="143">
        <f t="shared" si="199"/>
        <v>850.8187471186169</v>
      </c>
      <c r="S342" s="141">
        <f t="shared" si="200"/>
        <v>118.80000000000001</v>
      </c>
      <c r="T342" s="107">
        <f t="shared" si="186"/>
        <v>15.291084757537432</v>
      </c>
      <c r="U342" s="142">
        <f t="shared" si="201"/>
        <v>134.09108475753743</v>
      </c>
      <c r="V342" s="107"/>
      <c r="W342" s="107">
        <f t="shared" si="202"/>
        <v>0</v>
      </c>
      <c r="X342" s="142">
        <f t="shared" si="203"/>
        <v>0</v>
      </c>
      <c r="Y342" s="141">
        <v>2039.57</v>
      </c>
      <c r="Z342" s="144">
        <v>0</v>
      </c>
      <c r="AA342" s="107">
        <f t="shared" si="187"/>
        <v>262.51883618628466</v>
      </c>
      <c r="AB342" s="142">
        <f t="shared" si="188"/>
        <v>2302.0888361862844</v>
      </c>
      <c r="AC342" s="141">
        <v>236.15</v>
      </c>
      <c r="AD342" s="107">
        <f t="shared" si="204"/>
        <v>30.395535904818722</v>
      </c>
      <c r="AE342" s="142">
        <f t="shared" si="205"/>
        <v>266.54553590481873</v>
      </c>
      <c r="AF342" s="145">
        <v>767.8</v>
      </c>
      <c r="AG342" s="107">
        <f t="shared" si="206"/>
        <v>98.825714451491905</v>
      </c>
      <c r="AH342" s="142">
        <f t="shared" si="207"/>
        <v>866.62571445149183</v>
      </c>
      <c r="AI342" s="145">
        <v>259.60000000000002</v>
      </c>
      <c r="AJ342" s="107">
        <f t="shared" si="208"/>
        <v>33.413851877581791</v>
      </c>
      <c r="AK342" s="142">
        <f t="shared" si="209"/>
        <v>293.01385187758183</v>
      </c>
      <c r="AL342" s="146"/>
      <c r="AM342" s="401"/>
      <c r="AN342" s="107">
        <f t="shared" si="210"/>
        <v>0</v>
      </c>
      <c r="AO342" s="151">
        <f t="shared" si="211"/>
        <v>0</v>
      </c>
      <c r="AP342" s="282">
        <f t="shared" si="212"/>
        <v>636.28905139340384</v>
      </c>
      <c r="AQ342" s="684">
        <v>399.06</v>
      </c>
      <c r="AR342" s="411">
        <v>339.52862184671272</v>
      </c>
      <c r="AS342" s="411">
        <v>283.81311241349499</v>
      </c>
      <c r="AT342" s="411">
        <v>12.947317133196147</v>
      </c>
      <c r="AU342" s="411">
        <v>0</v>
      </c>
      <c r="AV342" s="742">
        <v>17.678605294041979</v>
      </c>
      <c r="AW342" s="256"/>
      <c r="AX342" s="728">
        <f t="shared" si="213"/>
        <v>141.39053038114807</v>
      </c>
      <c r="AY342" s="729">
        <v>85.44702730673751</v>
      </c>
      <c r="AZ342" s="730"/>
      <c r="BA342" s="731">
        <v>0</v>
      </c>
      <c r="BB342" s="742"/>
      <c r="BC342" s="727">
        <v>26.362500000000001</v>
      </c>
      <c r="BD342" s="727">
        <v>115.02803038114806</v>
      </c>
      <c r="BE342" s="727"/>
      <c r="BF342" s="727"/>
      <c r="BG342" s="727">
        <v>0</v>
      </c>
      <c r="BH342" s="727">
        <v>38.04296875</v>
      </c>
      <c r="BI342" s="137">
        <f t="shared" si="181"/>
        <v>141.39053038114807</v>
      </c>
      <c r="BJ342" s="126">
        <v>540</v>
      </c>
      <c r="BK342" s="807"/>
      <c r="BL342" s="107"/>
      <c r="BM342" s="687"/>
      <c r="BO342" s="577"/>
      <c r="BS342" s="904"/>
      <c r="BT342" s="789"/>
      <c r="BU342" s="789">
        <v>286.47507200253102</v>
      </c>
      <c r="BV342" s="789">
        <v>0</v>
      </c>
      <c r="BW342" s="789">
        <f t="shared" si="214"/>
        <v>286.47507200253102</v>
      </c>
    </row>
    <row r="343" spans="1:75" ht="15" thickBot="1" x14ac:dyDescent="0.35">
      <c r="A343" s="260" t="s">
        <v>426</v>
      </c>
      <c r="B343" s="237">
        <v>14</v>
      </c>
      <c r="C343" s="40">
        <f>'[7]побудинковий звіт'!E343</f>
        <v>5222.9000000000005</v>
      </c>
      <c r="D343" s="215">
        <f t="shared" si="189"/>
        <v>1445.7555335439956</v>
      </c>
      <c r="E343" s="107">
        <f t="shared" si="190"/>
        <v>318.06648299952371</v>
      </c>
      <c r="F343" s="107">
        <f t="shared" si="191"/>
        <v>395.09398546718899</v>
      </c>
      <c r="G343" s="107">
        <f t="shared" si="192"/>
        <v>0</v>
      </c>
      <c r="H343" s="107">
        <f t="shared" si="193"/>
        <v>1207.8921607971931</v>
      </c>
      <c r="I343" s="107">
        <f t="shared" si="194"/>
        <v>433.35142238943183</v>
      </c>
      <c r="J343" s="687">
        <f t="shared" si="182"/>
        <v>0</v>
      </c>
      <c r="K343" s="142">
        <f t="shared" si="195"/>
        <v>3800.1595851973334</v>
      </c>
      <c r="L343" s="141">
        <f t="shared" si="183"/>
        <v>2009.9132280113135</v>
      </c>
      <c r="M343" s="107">
        <f t="shared" si="184"/>
        <v>442.17882891765498</v>
      </c>
      <c r="N343" s="30">
        <f t="shared" si="196"/>
        <v>101.72116767040305</v>
      </c>
      <c r="O343" s="107">
        <f t="shared" si="185"/>
        <v>9.4028360782047713</v>
      </c>
      <c r="P343" s="107">
        <f t="shared" si="197"/>
        <v>1679.2316374859431</v>
      </c>
      <c r="Q343" s="107">
        <f t="shared" si="198"/>
        <v>546.0574691248986</v>
      </c>
      <c r="R343" s="143">
        <f t="shared" si="199"/>
        <v>4788.5051672884183</v>
      </c>
      <c r="S343" s="141">
        <f t="shared" si="200"/>
        <v>94.71</v>
      </c>
      <c r="T343" s="107">
        <f t="shared" si="186"/>
        <v>12.190392570592339</v>
      </c>
      <c r="U343" s="142">
        <f t="shared" si="201"/>
        <v>106.90039257059233</v>
      </c>
      <c r="V343" s="107"/>
      <c r="W343" s="107">
        <f t="shared" si="202"/>
        <v>0</v>
      </c>
      <c r="X343" s="142">
        <f t="shared" si="203"/>
        <v>0</v>
      </c>
      <c r="Y343" s="141">
        <v>2805.21</v>
      </c>
      <c r="Z343" s="144">
        <v>0</v>
      </c>
      <c r="AA343" s="107">
        <f t="shared" si="187"/>
        <v>361.06653091491222</v>
      </c>
      <c r="AB343" s="142">
        <f t="shared" si="188"/>
        <v>3166.2765309149122</v>
      </c>
      <c r="AC343" s="141">
        <v>0</v>
      </c>
      <c r="AD343" s="107">
        <f t="shared" si="204"/>
        <v>0</v>
      </c>
      <c r="AE343" s="142">
        <f t="shared" si="205"/>
        <v>0</v>
      </c>
      <c r="AF343" s="145">
        <v>1144</v>
      </c>
      <c r="AG343" s="107">
        <f t="shared" si="206"/>
        <v>147.24748285036043</v>
      </c>
      <c r="AH343" s="142">
        <f t="shared" si="207"/>
        <v>1291.2474828503605</v>
      </c>
      <c r="AI343" s="145">
        <v>1102.2</v>
      </c>
      <c r="AJ343" s="107">
        <f t="shared" si="208"/>
        <v>141.86728636159728</v>
      </c>
      <c r="AK343" s="142">
        <f t="shared" si="209"/>
        <v>1244.0672863615973</v>
      </c>
      <c r="AL343" s="146"/>
      <c r="AM343" s="146"/>
      <c r="AN343" s="107">
        <f t="shared" si="210"/>
        <v>0</v>
      </c>
      <c r="AO343" s="151">
        <f t="shared" si="211"/>
        <v>0</v>
      </c>
      <c r="AP343" s="282">
        <f t="shared" si="212"/>
        <v>2790.3223209373591</v>
      </c>
      <c r="AQ343" s="684">
        <v>351.67</v>
      </c>
      <c r="AR343" s="411">
        <v>933.99210719813232</v>
      </c>
      <c r="AS343" s="411">
        <v>1819.7869887884178</v>
      </c>
      <c r="AT343" s="411">
        <v>36.54322495080919</v>
      </c>
      <c r="AU343" s="411">
        <v>0</v>
      </c>
      <c r="AV343" s="742">
        <v>48.631180844485236</v>
      </c>
      <c r="AW343" s="256"/>
      <c r="AX343" s="728">
        <f t="shared" si="213"/>
        <v>161.07398546718898</v>
      </c>
      <c r="AY343" s="729">
        <v>101.72116767040305</v>
      </c>
      <c r="AZ343" s="730"/>
      <c r="BA343" s="731">
        <v>0</v>
      </c>
      <c r="BB343" s="742"/>
      <c r="BC343" s="727">
        <v>26.362500000000001</v>
      </c>
      <c r="BD343" s="727">
        <v>134.71148546718896</v>
      </c>
      <c r="BE343" s="727"/>
      <c r="BF343" s="727"/>
      <c r="BG343" s="727">
        <v>0</v>
      </c>
      <c r="BH343" s="727">
        <v>38.04296875</v>
      </c>
      <c r="BI343" s="137">
        <f t="shared" si="181"/>
        <v>161.07398546718898</v>
      </c>
      <c r="BJ343" s="126">
        <v>430.5</v>
      </c>
      <c r="BK343" s="807"/>
      <c r="BL343" s="107"/>
      <c r="BM343" s="687">
        <v>234.02</v>
      </c>
      <c r="BO343" s="577"/>
      <c r="BS343" s="904"/>
      <c r="BT343" s="789"/>
      <c r="BU343" s="789">
        <v>850.63882004611617</v>
      </c>
      <c r="BV343" s="789">
        <v>0</v>
      </c>
      <c r="BW343" s="789">
        <f t="shared" si="214"/>
        <v>850.63882004611617</v>
      </c>
    </row>
    <row r="344" spans="1:75" ht="15" thickBot="1" x14ac:dyDescent="0.35">
      <c r="A344" s="260" t="s">
        <v>406</v>
      </c>
      <c r="B344" s="237">
        <v>9</v>
      </c>
      <c r="C344" s="40">
        <f>'[7]побудинковий звіт'!E344</f>
        <v>3936.36</v>
      </c>
      <c r="D344" s="215">
        <f t="shared" si="189"/>
        <v>1450.7353766126737</v>
      </c>
      <c r="E344" s="107">
        <f t="shared" si="190"/>
        <v>319.16204938954911</v>
      </c>
      <c r="F344" s="107">
        <f t="shared" si="191"/>
        <v>130.75119418660373</v>
      </c>
      <c r="G344" s="107">
        <f t="shared" si="192"/>
        <v>0</v>
      </c>
      <c r="H344" s="107">
        <f t="shared" si="193"/>
        <v>1212.0526936570686</v>
      </c>
      <c r="I344" s="107">
        <f t="shared" si="194"/>
        <v>400.64460955316241</v>
      </c>
      <c r="J344" s="687">
        <f t="shared" si="182"/>
        <v>0</v>
      </c>
      <c r="K344" s="142">
        <f t="shared" si="195"/>
        <v>3513.3459233990575</v>
      </c>
      <c r="L344" s="141">
        <f t="shared" si="183"/>
        <v>1649.2128416382627</v>
      </c>
      <c r="M344" s="107">
        <f t="shared" si="184"/>
        <v>362.82511741718838</v>
      </c>
      <c r="N344" s="30">
        <f t="shared" si="196"/>
        <v>76.65049997709032</v>
      </c>
      <c r="O344" s="107">
        <f t="shared" si="185"/>
        <v>7.0866659949074524</v>
      </c>
      <c r="P344" s="107">
        <f t="shared" si="197"/>
        <v>1377.8755928519499</v>
      </c>
      <c r="Q344" s="107">
        <f t="shared" si="198"/>
        <v>447.10343051493794</v>
      </c>
      <c r="R344" s="143">
        <f t="shared" si="199"/>
        <v>3920.7541483943369</v>
      </c>
      <c r="S344" s="141">
        <f t="shared" si="200"/>
        <v>105.73200000000001</v>
      </c>
      <c r="T344" s="107">
        <f t="shared" si="186"/>
        <v>13.609065434208315</v>
      </c>
      <c r="U344" s="142">
        <f t="shared" si="201"/>
        <v>119.34106543420833</v>
      </c>
      <c r="V344" s="107"/>
      <c r="W344" s="107">
        <f t="shared" si="202"/>
        <v>0</v>
      </c>
      <c r="X344" s="142">
        <f t="shared" si="203"/>
        <v>0</v>
      </c>
      <c r="Y344" s="141">
        <v>3102.43</v>
      </c>
      <c r="Z344" s="144">
        <v>0</v>
      </c>
      <c r="AA344" s="107">
        <f t="shared" si="187"/>
        <v>399.32255963238083</v>
      </c>
      <c r="AB344" s="142">
        <f t="shared" si="188"/>
        <v>3501.7525596323808</v>
      </c>
      <c r="AC344" s="141">
        <v>0</v>
      </c>
      <c r="AD344" s="107">
        <f t="shared" si="204"/>
        <v>0</v>
      </c>
      <c r="AE344" s="142">
        <f t="shared" si="205"/>
        <v>0</v>
      </c>
      <c r="AF344" s="145">
        <v>123.2</v>
      </c>
      <c r="AG344" s="107">
        <f t="shared" si="206"/>
        <v>15.857421230038817</v>
      </c>
      <c r="AH344" s="142">
        <f t="shared" si="207"/>
        <v>139.05742123003881</v>
      </c>
      <c r="AI344" s="145">
        <v>972.4</v>
      </c>
      <c r="AJ344" s="107">
        <f t="shared" si="208"/>
        <v>125.16036042280636</v>
      </c>
      <c r="AK344" s="142">
        <f t="shared" si="209"/>
        <v>1097.5603604228063</v>
      </c>
      <c r="AL344" s="146"/>
      <c r="AM344" s="146"/>
      <c r="AN344" s="107">
        <f t="shared" si="210"/>
        <v>0</v>
      </c>
      <c r="AO344" s="151">
        <f t="shared" si="211"/>
        <v>0</v>
      </c>
      <c r="AP344" s="282">
        <f t="shared" si="212"/>
        <v>2683.5153258321607</v>
      </c>
      <c r="AQ344" s="684">
        <v>118.15</v>
      </c>
      <c r="AR344" s="411">
        <v>1160.3233869199594</v>
      </c>
      <c r="AS344" s="411">
        <v>1481.0846720135366</v>
      </c>
      <c r="AT344" s="411">
        <v>42.107266898664562</v>
      </c>
      <c r="AU344" s="411">
        <v>0</v>
      </c>
      <c r="AV344" s="742">
        <v>60.415817256386973</v>
      </c>
      <c r="AW344" s="256"/>
      <c r="AX344" s="728">
        <f t="shared" si="213"/>
        <v>130.75119418660373</v>
      </c>
      <c r="AY344" s="729">
        <v>76.65049997709032</v>
      </c>
      <c r="AZ344" s="730"/>
      <c r="BA344" s="731">
        <v>0</v>
      </c>
      <c r="BB344" s="742"/>
      <c r="BC344" s="727">
        <v>26.362500000000001</v>
      </c>
      <c r="BD344" s="727">
        <v>104.38869418660373</v>
      </c>
      <c r="BE344" s="727"/>
      <c r="BF344" s="727"/>
      <c r="BG344" s="727">
        <v>0</v>
      </c>
      <c r="BH344" s="727">
        <v>38.04296875</v>
      </c>
      <c r="BI344" s="137">
        <f t="shared" si="181"/>
        <v>130.75119418660373</v>
      </c>
      <c r="BJ344" s="126">
        <v>480.6</v>
      </c>
      <c r="BK344" s="807"/>
      <c r="BL344" s="107"/>
      <c r="BM344" s="687"/>
      <c r="BO344" s="577"/>
      <c r="BS344" s="904"/>
      <c r="BT344" s="789"/>
      <c r="BU344" s="789">
        <v>1061.9344111058231</v>
      </c>
      <c r="BV344" s="789">
        <v>0</v>
      </c>
      <c r="BW344" s="789">
        <f t="shared" si="214"/>
        <v>1061.9344111058231</v>
      </c>
    </row>
    <row r="345" spans="1:75" ht="15" thickBot="1" x14ac:dyDescent="0.35">
      <c r="A345" s="260" t="s">
        <v>407</v>
      </c>
      <c r="B345" s="237">
        <v>9</v>
      </c>
      <c r="C345" s="40">
        <f>'[7]побудинковий звіт'!E345</f>
        <v>6307.74</v>
      </c>
      <c r="D345" s="215">
        <f t="shared" si="189"/>
        <v>2464.9832097373151</v>
      </c>
      <c r="E345" s="107">
        <f t="shared" si="190"/>
        <v>542.29675901853739</v>
      </c>
      <c r="F345" s="107">
        <f t="shared" si="191"/>
        <v>186.6370365195724</v>
      </c>
      <c r="G345" s="107">
        <f t="shared" si="192"/>
        <v>0</v>
      </c>
      <c r="H345" s="107">
        <f t="shared" si="193"/>
        <v>2059.4310908427178</v>
      </c>
      <c r="I345" s="107">
        <f t="shared" si="194"/>
        <v>676.17332490395972</v>
      </c>
      <c r="J345" s="687">
        <f t="shared" si="182"/>
        <v>0</v>
      </c>
      <c r="K345" s="142">
        <f t="shared" si="195"/>
        <v>5929.5214210221029</v>
      </c>
      <c r="L345" s="141">
        <f t="shared" si="183"/>
        <v>1502.3951866710881</v>
      </c>
      <c r="M345" s="107">
        <f t="shared" si="184"/>
        <v>330.52538535260783</v>
      </c>
      <c r="N345" s="30">
        <f t="shared" si="196"/>
        <v>122.85651606993615</v>
      </c>
      <c r="O345" s="107">
        <f t="shared" si="185"/>
        <v>11.355883751160343</v>
      </c>
      <c r="P345" s="107">
        <f t="shared" si="197"/>
        <v>1255.2131576152249</v>
      </c>
      <c r="Q345" s="107">
        <f t="shared" si="198"/>
        <v>414.75730457656402</v>
      </c>
      <c r="R345" s="143">
        <f t="shared" si="199"/>
        <v>3637.1034340365813</v>
      </c>
      <c r="S345" s="141">
        <f t="shared" si="200"/>
        <v>173.25</v>
      </c>
      <c r="T345" s="107">
        <f t="shared" si="186"/>
        <v>22.299498604742084</v>
      </c>
      <c r="U345" s="142">
        <f t="shared" si="201"/>
        <v>195.5494986047421</v>
      </c>
      <c r="V345" s="107"/>
      <c r="W345" s="107">
        <f t="shared" si="202"/>
        <v>0</v>
      </c>
      <c r="X345" s="142">
        <f t="shared" si="203"/>
        <v>0</v>
      </c>
      <c r="Y345" s="141">
        <v>6463.3950000000004</v>
      </c>
      <c r="Z345" s="144">
        <v>0</v>
      </c>
      <c r="AA345" s="107">
        <f t="shared" si="187"/>
        <v>831.92189197343134</v>
      </c>
      <c r="AB345" s="142">
        <f t="shared" si="188"/>
        <v>7295.3168919734317</v>
      </c>
      <c r="AC345" s="141">
        <v>0</v>
      </c>
      <c r="AD345" s="107">
        <f t="shared" si="204"/>
        <v>0</v>
      </c>
      <c r="AE345" s="142">
        <f t="shared" si="205"/>
        <v>0</v>
      </c>
      <c r="AF345" s="145">
        <v>1256.2</v>
      </c>
      <c r="AG345" s="107">
        <f t="shared" si="206"/>
        <v>161.6890628991458</v>
      </c>
      <c r="AH345" s="142">
        <f t="shared" si="207"/>
        <v>1417.8890628991458</v>
      </c>
      <c r="AI345" s="145">
        <v>1185.8</v>
      </c>
      <c r="AJ345" s="107">
        <f t="shared" si="208"/>
        <v>152.6276793391236</v>
      </c>
      <c r="AK345" s="142">
        <f t="shared" si="209"/>
        <v>1338.4276793391236</v>
      </c>
      <c r="AL345" s="146"/>
      <c r="AM345" s="146"/>
      <c r="AN345" s="107">
        <f t="shared" si="210"/>
        <v>0</v>
      </c>
      <c r="AO345" s="151">
        <f t="shared" si="211"/>
        <v>0</v>
      </c>
      <c r="AP345" s="282">
        <f t="shared" si="212"/>
        <v>2972.4737149456528</v>
      </c>
      <c r="AQ345" s="684">
        <v>607.54</v>
      </c>
      <c r="AR345" s="411">
        <v>1584.880688975365</v>
      </c>
      <c r="AS345" s="411">
        <v>1321.6616588189627</v>
      </c>
      <c r="AT345" s="411">
        <v>65.93136715132492</v>
      </c>
      <c r="AU345" s="411">
        <v>0</v>
      </c>
      <c r="AV345" s="742">
        <v>82.521703136987128</v>
      </c>
      <c r="AW345" s="256"/>
      <c r="AX345" s="728">
        <f t="shared" si="213"/>
        <v>186.6370365195724</v>
      </c>
      <c r="AY345" s="729">
        <v>122.85651606993615</v>
      </c>
      <c r="AZ345" s="730"/>
      <c r="BA345" s="731">
        <v>0</v>
      </c>
      <c r="BB345" s="742"/>
      <c r="BC345" s="727">
        <v>26.362500000000001</v>
      </c>
      <c r="BD345" s="727">
        <v>160.27453651957239</v>
      </c>
      <c r="BE345" s="727"/>
      <c r="BF345" s="727"/>
      <c r="BG345" s="727">
        <v>0</v>
      </c>
      <c r="BH345" s="727">
        <v>38.04296875</v>
      </c>
      <c r="BI345" s="137">
        <f t="shared" si="181"/>
        <v>186.6370365195724</v>
      </c>
      <c r="BJ345" s="126">
        <v>787.5</v>
      </c>
      <c r="BK345" s="807"/>
      <c r="BL345" s="107"/>
      <c r="BM345" s="687"/>
      <c r="BO345" s="577"/>
      <c r="BS345" s="904"/>
      <c r="BT345" s="789"/>
      <c r="BU345" s="789">
        <v>1590.6578079605715</v>
      </c>
      <c r="BV345" s="789">
        <v>445.84960000000001</v>
      </c>
      <c r="BW345" s="789">
        <f t="shared" si="214"/>
        <v>2036.5074079605715</v>
      </c>
    </row>
    <row r="346" spans="1:75" ht="15" thickBot="1" x14ac:dyDescent="0.35">
      <c r="A346" s="260" t="s">
        <v>408</v>
      </c>
      <c r="B346" s="237">
        <v>9</v>
      </c>
      <c r="C346" s="40">
        <f>'[7]побудинковий звіт'!E346</f>
        <v>6324.72</v>
      </c>
      <c r="D346" s="215">
        <f t="shared" si="189"/>
        <v>1963.8215439307228</v>
      </c>
      <c r="E346" s="107">
        <f t="shared" si="190"/>
        <v>432.04110046571145</v>
      </c>
      <c r="F346" s="107">
        <f t="shared" si="191"/>
        <v>186.84268104195289</v>
      </c>
      <c r="G346" s="107">
        <f t="shared" si="192"/>
        <v>0</v>
      </c>
      <c r="H346" s="107">
        <f t="shared" si="193"/>
        <v>1640.723201870682</v>
      </c>
      <c r="I346" s="107">
        <f t="shared" si="194"/>
        <v>543.60945773135063</v>
      </c>
      <c r="J346" s="687">
        <f t="shared" si="182"/>
        <v>0</v>
      </c>
      <c r="K346" s="142">
        <f t="shared" si="195"/>
        <v>4767.0379850404197</v>
      </c>
      <c r="L346" s="141">
        <f t="shared" si="183"/>
        <v>1484.2243496313567</v>
      </c>
      <c r="M346" s="107">
        <f t="shared" si="184"/>
        <v>326.52782001958502</v>
      </c>
      <c r="N346" s="30">
        <f t="shared" si="196"/>
        <v>123.02654149522911</v>
      </c>
      <c r="O346" s="107">
        <f t="shared" si="185"/>
        <v>11.386453005139536</v>
      </c>
      <c r="P346" s="107">
        <f t="shared" si="197"/>
        <v>1240.0318831146787</v>
      </c>
      <c r="Q346" s="107">
        <f t="shared" si="198"/>
        <v>409.97574090237543</v>
      </c>
      <c r="R346" s="143">
        <f t="shared" si="199"/>
        <v>3595.1727881683651</v>
      </c>
      <c r="S346" s="141">
        <f t="shared" si="200"/>
        <v>183.48000000000002</v>
      </c>
      <c r="T346" s="107">
        <f t="shared" si="186"/>
        <v>23.616230903307809</v>
      </c>
      <c r="U346" s="142">
        <f t="shared" si="201"/>
        <v>207.09623090330783</v>
      </c>
      <c r="V346" s="107"/>
      <c r="W346" s="107">
        <f t="shared" si="202"/>
        <v>0</v>
      </c>
      <c r="X346" s="142">
        <f t="shared" si="203"/>
        <v>0</v>
      </c>
      <c r="Y346" s="141">
        <v>6463.3950000000004</v>
      </c>
      <c r="Z346" s="144">
        <v>0</v>
      </c>
      <c r="AA346" s="107">
        <f t="shared" si="187"/>
        <v>831.92189197343134</v>
      </c>
      <c r="AB346" s="142">
        <f>Y346+Z346+AA346</f>
        <v>7295.3168919734317</v>
      </c>
      <c r="AC346" s="141">
        <v>236.15</v>
      </c>
      <c r="AD346" s="107">
        <f t="shared" si="204"/>
        <v>30.395535904818722</v>
      </c>
      <c r="AE346" s="142">
        <f t="shared" si="205"/>
        <v>266.54553590481873</v>
      </c>
      <c r="AF346" s="145">
        <v>638</v>
      </c>
      <c r="AG346" s="107">
        <f t="shared" si="206"/>
        <v>82.118788512701016</v>
      </c>
      <c r="AH346" s="142">
        <f t="shared" si="207"/>
        <v>720.11878851270103</v>
      </c>
      <c r="AI346" s="145">
        <v>1084.5999999999999</v>
      </c>
      <c r="AJ346" s="107">
        <f t="shared" si="208"/>
        <v>139.60194047159172</v>
      </c>
      <c r="AK346" s="142">
        <f t="shared" si="209"/>
        <v>1224.2019404715916</v>
      </c>
      <c r="AL346" s="146"/>
      <c r="AM346" s="146"/>
      <c r="AN346" s="107">
        <f t="shared" si="210"/>
        <v>0</v>
      </c>
      <c r="AO346" s="151">
        <f t="shared" si="211"/>
        <v>0</v>
      </c>
      <c r="AP346" s="282">
        <f t="shared" si="212"/>
        <v>2798.9391397381478</v>
      </c>
      <c r="AQ346" s="684">
        <v>309.93</v>
      </c>
      <c r="AR346" s="411">
        <v>1428.128467023558</v>
      </c>
      <c r="AS346" s="411">
        <v>1312.2814299230656</v>
      </c>
      <c r="AT346" s="411">
        <v>58.529242791524254</v>
      </c>
      <c r="AU346" s="411">
        <v>0</v>
      </c>
      <c r="AV346" s="742">
        <v>74.359915050381701</v>
      </c>
      <c r="AW346" s="256"/>
      <c r="AX346" s="728">
        <f t="shared" si="213"/>
        <v>186.84268104195289</v>
      </c>
      <c r="AY346" s="729">
        <v>123.02654149522911</v>
      </c>
      <c r="AZ346" s="730"/>
      <c r="BA346" s="731">
        <v>0</v>
      </c>
      <c r="BB346" s="742"/>
      <c r="BC346" s="727">
        <v>26.362500000000001</v>
      </c>
      <c r="BD346" s="727">
        <v>160.48018104195287</v>
      </c>
      <c r="BE346" s="727"/>
      <c r="BF346" s="727"/>
      <c r="BG346" s="727">
        <v>0</v>
      </c>
      <c r="BH346" s="727">
        <v>38.04296875</v>
      </c>
      <c r="BI346" s="137">
        <f t="shared" si="181"/>
        <v>186.84268104195289</v>
      </c>
      <c r="BJ346" s="126">
        <v>834</v>
      </c>
      <c r="BK346" s="807"/>
      <c r="BL346" s="107"/>
      <c r="BM346" s="687"/>
      <c r="BO346" s="577"/>
      <c r="BS346" s="904"/>
      <c r="BT346" s="789"/>
      <c r="BU346" s="789">
        <v>1599.9159058200014</v>
      </c>
      <c r="BV346" s="789">
        <v>445.84960000000001</v>
      </c>
      <c r="BW346" s="789">
        <f t="shared" si="214"/>
        <v>2045.7655058200014</v>
      </c>
    </row>
    <row r="347" spans="1:75" ht="15" thickBot="1" x14ac:dyDescent="0.35">
      <c r="A347" s="260" t="s">
        <v>409</v>
      </c>
      <c r="B347" s="237">
        <v>9</v>
      </c>
      <c r="C347" s="40">
        <f>'[7]побудинковий звіт'!E347</f>
        <v>6335.19</v>
      </c>
      <c r="D347" s="215">
        <f t="shared" si="189"/>
        <v>2113.8395235408593</v>
      </c>
      <c r="E347" s="107">
        <f t="shared" si="190"/>
        <v>465.04508354182974</v>
      </c>
      <c r="F347" s="107">
        <f t="shared" si="191"/>
        <v>187.2829440572211</v>
      </c>
      <c r="G347" s="107">
        <f t="shared" si="192"/>
        <v>0</v>
      </c>
      <c r="H347" s="107">
        <f t="shared" si="193"/>
        <v>1766.0594273565537</v>
      </c>
      <c r="I347" s="107">
        <f t="shared" si="194"/>
        <v>583.35578172211444</v>
      </c>
      <c r="J347" s="687">
        <f t="shared" si="182"/>
        <v>0</v>
      </c>
      <c r="K347" s="142">
        <f t="shared" si="195"/>
        <v>5115.5827602185782</v>
      </c>
      <c r="L347" s="141">
        <f t="shared" si="183"/>
        <v>1715.0945995484526</v>
      </c>
      <c r="M347" s="107">
        <f t="shared" si="184"/>
        <v>377.31903593753566</v>
      </c>
      <c r="N347" s="30">
        <f t="shared" si="196"/>
        <v>123.39054781810717</v>
      </c>
      <c r="O347" s="107">
        <f t="shared" si="185"/>
        <v>11.405302244783947</v>
      </c>
      <c r="P347" s="107">
        <f t="shared" si="197"/>
        <v>1432.9181343279533</v>
      </c>
      <c r="Q347" s="107">
        <f t="shared" si="198"/>
        <v>471.10540116953189</v>
      </c>
      <c r="R347" s="143">
        <f t="shared" si="199"/>
        <v>4131.2330210463642</v>
      </c>
      <c r="S347" s="141">
        <f t="shared" si="200"/>
        <v>183.43600000000001</v>
      </c>
      <c r="T347" s="107">
        <f t="shared" si="186"/>
        <v>23.610567538582796</v>
      </c>
      <c r="U347" s="142">
        <f t="shared" si="201"/>
        <v>207.04656753858279</v>
      </c>
      <c r="V347" s="107"/>
      <c r="W347" s="107">
        <f t="shared" si="202"/>
        <v>0</v>
      </c>
      <c r="X347" s="142">
        <f t="shared" si="203"/>
        <v>0</v>
      </c>
      <c r="Y347" s="141">
        <v>3869.25</v>
      </c>
      <c r="Z347" s="144">
        <v>0</v>
      </c>
      <c r="AA347" s="107">
        <f t="shared" si="187"/>
        <v>498.02213550590653</v>
      </c>
      <c r="AB347" s="142">
        <f t="shared" si="188"/>
        <v>4367.2721355059066</v>
      </c>
      <c r="AC347" s="141">
        <v>118.075</v>
      </c>
      <c r="AD347" s="107">
        <f t="shared" si="204"/>
        <v>15.197767952409361</v>
      </c>
      <c r="AE347" s="142">
        <f t="shared" si="205"/>
        <v>133.27276795240937</v>
      </c>
      <c r="AF347" s="145">
        <v>783.2</v>
      </c>
      <c r="AG347" s="107">
        <f t="shared" si="206"/>
        <v>100.80789210524676</v>
      </c>
      <c r="AH347" s="142">
        <f t="shared" si="207"/>
        <v>884.00789210524681</v>
      </c>
      <c r="AI347" s="145">
        <v>1172.5999999999999</v>
      </c>
      <c r="AJ347" s="107">
        <f t="shared" si="208"/>
        <v>150.92866992161944</v>
      </c>
      <c r="AK347" s="142">
        <f t="shared" si="209"/>
        <v>1323.5286699216194</v>
      </c>
      <c r="AL347" s="146"/>
      <c r="AM347" s="146"/>
      <c r="AN347" s="107">
        <f t="shared" si="210"/>
        <v>0</v>
      </c>
      <c r="AO347" s="151">
        <f t="shared" si="211"/>
        <v>0</v>
      </c>
      <c r="AP347" s="282">
        <f t="shared" si="212"/>
        <v>3183.2616031200719</v>
      </c>
      <c r="AQ347" s="684">
        <v>268.38</v>
      </c>
      <c r="AR347" s="411">
        <v>1599.2221131601345</v>
      </c>
      <c r="AS347" s="411">
        <v>1518.5503634677236</v>
      </c>
      <c r="AT347" s="411">
        <v>65.489126492213856</v>
      </c>
      <c r="AU347" s="411">
        <v>0</v>
      </c>
      <c r="AV347" s="742">
        <v>83.268433636872444</v>
      </c>
      <c r="AW347" s="256"/>
      <c r="AX347" s="728">
        <f t="shared" si="213"/>
        <v>187.2829440572211</v>
      </c>
      <c r="AY347" s="729">
        <v>123.39054781810717</v>
      </c>
      <c r="AZ347" s="730"/>
      <c r="BA347" s="731">
        <v>0</v>
      </c>
      <c r="BB347" s="742"/>
      <c r="BC347" s="727">
        <v>26.362500000000001</v>
      </c>
      <c r="BD347" s="727">
        <v>160.92044405722109</v>
      </c>
      <c r="BE347" s="727"/>
      <c r="BF347" s="727"/>
      <c r="BG347" s="727">
        <v>0</v>
      </c>
      <c r="BH347" s="727">
        <v>38.04296875</v>
      </c>
      <c r="BI347" s="137">
        <f t="shared" si="181"/>
        <v>187.2829440572211</v>
      </c>
      <c r="BJ347" s="126">
        <v>833.8</v>
      </c>
      <c r="BK347" s="807"/>
      <c r="BL347" s="107"/>
      <c r="BM347" s="687"/>
      <c r="BO347" s="577"/>
      <c r="BS347" s="904"/>
      <c r="BT347" s="789"/>
      <c r="BU347" s="789">
        <v>1606.0762780337545</v>
      </c>
      <c r="BV347" s="789">
        <v>445.84960000000001</v>
      </c>
      <c r="BW347" s="789">
        <f t="shared" si="214"/>
        <v>2051.9258780337545</v>
      </c>
    </row>
    <row r="348" spans="1:75" ht="15" thickBot="1" x14ac:dyDescent="0.35">
      <c r="A348" s="260" t="s">
        <v>410</v>
      </c>
      <c r="B348" s="237">
        <v>9</v>
      </c>
      <c r="C348" s="40">
        <f>'[7]побудинковий звіт'!E348</f>
        <v>6347.35</v>
      </c>
      <c r="D348" s="215">
        <f t="shared" si="189"/>
        <v>2095.4379552840733</v>
      </c>
      <c r="E348" s="107">
        <f t="shared" si="190"/>
        <v>460.99673514452894</v>
      </c>
      <c r="F348" s="107">
        <f t="shared" si="191"/>
        <v>187.55925680035088</v>
      </c>
      <c r="G348" s="107">
        <f t="shared" si="192"/>
        <v>0</v>
      </c>
      <c r="H348" s="107">
        <f t="shared" si="193"/>
        <v>1750.6853827632326</v>
      </c>
      <c r="I348" s="107">
        <f t="shared" si="194"/>
        <v>578.52291744833383</v>
      </c>
      <c r="J348" s="687">
        <f t="shared" si="182"/>
        <v>0</v>
      </c>
      <c r="K348" s="142">
        <f t="shared" si="195"/>
        <v>5073.2022474405194</v>
      </c>
      <c r="L348" s="141">
        <f t="shared" si="183"/>
        <v>1478.0845241594441</v>
      </c>
      <c r="M348" s="107">
        <f t="shared" si="184"/>
        <v>325.17706477349151</v>
      </c>
      <c r="N348" s="30">
        <f t="shared" si="196"/>
        <v>123.61900122460045</v>
      </c>
      <c r="O348" s="107">
        <f t="shared" si="185"/>
        <v>11.427194007350908</v>
      </c>
      <c r="P348" s="107">
        <f t="shared" si="197"/>
        <v>1234.9022143123698</v>
      </c>
      <c r="Q348" s="107">
        <f t="shared" si="198"/>
        <v>408.43285387357702</v>
      </c>
      <c r="R348" s="143">
        <f t="shared" si="199"/>
        <v>3581.6428523508339</v>
      </c>
      <c r="S348" s="141">
        <f t="shared" si="200"/>
        <v>170.61</v>
      </c>
      <c r="T348" s="107">
        <f t="shared" si="186"/>
        <v>21.959696721241254</v>
      </c>
      <c r="U348" s="142">
        <f t="shared" si="201"/>
        <v>192.56969672124126</v>
      </c>
      <c r="V348" s="107"/>
      <c r="W348" s="107">
        <f t="shared" si="202"/>
        <v>0</v>
      </c>
      <c r="X348" s="142">
        <f t="shared" si="203"/>
        <v>0</v>
      </c>
      <c r="Y348" s="141">
        <v>3869.25</v>
      </c>
      <c r="Z348" s="144">
        <v>0</v>
      </c>
      <c r="AA348" s="107">
        <f t="shared" si="187"/>
        <v>498.02213550590653</v>
      </c>
      <c r="AB348" s="142">
        <f t="shared" si="188"/>
        <v>4367.2721355059066</v>
      </c>
      <c r="AC348" s="141">
        <v>236.15</v>
      </c>
      <c r="AD348" s="107">
        <f t="shared" si="204"/>
        <v>30.395535904818722</v>
      </c>
      <c r="AE348" s="142">
        <f t="shared" si="205"/>
        <v>266.54553590481873</v>
      </c>
      <c r="AF348" s="145">
        <v>2310</v>
      </c>
      <c r="AG348" s="107">
        <f t="shared" si="206"/>
        <v>297.32664806322782</v>
      </c>
      <c r="AH348" s="142">
        <f t="shared" si="207"/>
        <v>2607.3266480632278</v>
      </c>
      <c r="AI348" s="145">
        <v>1273.8</v>
      </c>
      <c r="AJ348" s="107">
        <f t="shared" si="208"/>
        <v>163.95440878915133</v>
      </c>
      <c r="AK348" s="142">
        <f t="shared" si="209"/>
        <v>1437.7544087891513</v>
      </c>
      <c r="AL348" s="146"/>
      <c r="AM348" s="146"/>
      <c r="AN348" s="107">
        <f t="shared" si="210"/>
        <v>0</v>
      </c>
      <c r="AO348" s="151">
        <f t="shared" si="211"/>
        <v>0</v>
      </c>
      <c r="AP348" s="282">
        <f t="shared" si="212"/>
        <v>2935.4068875676685</v>
      </c>
      <c r="AQ348" s="684">
        <v>281.86</v>
      </c>
      <c r="AR348" s="411">
        <v>1570.2668793234423</v>
      </c>
      <c r="AS348" s="411">
        <v>1302.7456638691376</v>
      </c>
      <c r="AT348" s="411">
        <v>62.394344375088821</v>
      </c>
      <c r="AU348" s="411">
        <v>0</v>
      </c>
      <c r="AV348" s="742">
        <v>81.760790047323539</v>
      </c>
      <c r="AW348" s="256"/>
      <c r="AX348" s="728">
        <f t="shared" si="213"/>
        <v>187.55925680035088</v>
      </c>
      <c r="AY348" s="729">
        <v>123.61900122460045</v>
      </c>
      <c r="AZ348" s="730"/>
      <c r="BA348" s="731">
        <v>0</v>
      </c>
      <c r="BB348" s="742"/>
      <c r="BC348" s="727">
        <v>26.362500000000001</v>
      </c>
      <c r="BD348" s="727">
        <v>161.19675680035087</v>
      </c>
      <c r="BE348" s="727"/>
      <c r="BF348" s="727"/>
      <c r="BG348" s="727">
        <v>0</v>
      </c>
      <c r="BH348" s="727">
        <v>38.04296875</v>
      </c>
      <c r="BI348" s="137">
        <f t="shared" si="181"/>
        <v>187.55925680035088</v>
      </c>
      <c r="BJ348" s="126">
        <v>775.5</v>
      </c>
      <c r="BK348" s="807"/>
      <c r="BL348" s="107"/>
      <c r="BM348" s="687"/>
      <c r="BO348" s="577"/>
      <c r="BS348" s="904"/>
      <c r="BT348" s="789"/>
      <c r="BU348" s="789">
        <v>1576.664113242108</v>
      </c>
      <c r="BV348" s="789">
        <v>445.84960000000001</v>
      </c>
      <c r="BW348" s="789">
        <f t="shared" si="214"/>
        <v>2022.513713242108</v>
      </c>
    </row>
    <row r="349" spans="1:75" ht="15" thickBot="1" x14ac:dyDescent="0.35">
      <c r="A349" s="260" t="s">
        <v>318</v>
      </c>
      <c r="B349" s="237">
        <v>5</v>
      </c>
      <c r="C349" s="40">
        <f>'[7]побудинковий звіт'!E349</f>
        <v>5864.08</v>
      </c>
      <c r="D349" s="215">
        <f t="shared" si="189"/>
        <v>917.44977545307472</v>
      </c>
      <c r="E349" s="107">
        <f t="shared" si="190"/>
        <v>201.83911915712699</v>
      </c>
      <c r="F349" s="107">
        <f t="shared" si="191"/>
        <v>176.17766872720298</v>
      </c>
      <c r="G349" s="107">
        <f t="shared" si="192"/>
        <v>0</v>
      </c>
      <c r="H349" s="107">
        <f t="shared" si="193"/>
        <v>766.50606965232907</v>
      </c>
      <c r="I349" s="107">
        <f t="shared" si="194"/>
        <v>265.40234258222756</v>
      </c>
      <c r="J349" s="687">
        <f t="shared" si="182"/>
        <v>0</v>
      </c>
      <c r="K349" s="142">
        <f t="shared" si="195"/>
        <v>2327.3749755719609</v>
      </c>
      <c r="L349" s="141">
        <f t="shared" si="183"/>
        <v>380.66701938836763</v>
      </c>
      <c r="M349" s="107">
        <f t="shared" si="184"/>
        <v>83.746350088589594</v>
      </c>
      <c r="N349" s="30">
        <f t="shared" si="196"/>
        <v>114.20878533241248</v>
      </c>
      <c r="O349" s="107">
        <f t="shared" si="185"/>
        <v>10.557158473162234</v>
      </c>
      <c r="P349" s="107">
        <f t="shared" si="197"/>
        <v>318.03766122625052</v>
      </c>
      <c r="Q349" s="107">
        <f t="shared" si="198"/>
        <v>116.77046844015544</v>
      </c>
      <c r="R349" s="143">
        <f t="shared" si="199"/>
        <v>1023.9874429489379</v>
      </c>
      <c r="S349" s="141">
        <f t="shared" si="200"/>
        <v>195.73400000000004</v>
      </c>
      <c r="T349" s="107">
        <f t="shared" si="186"/>
        <v>25.193477979224173</v>
      </c>
      <c r="U349" s="142">
        <f t="shared" si="201"/>
        <v>220.92747797922422</v>
      </c>
      <c r="V349" s="418"/>
      <c r="W349" s="107">
        <f t="shared" si="202"/>
        <v>0</v>
      </c>
      <c r="X349" s="142">
        <f t="shared" si="203"/>
        <v>0</v>
      </c>
      <c r="Y349" s="141">
        <v>0</v>
      </c>
      <c r="Z349" s="144">
        <v>0</v>
      </c>
      <c r="AA349" s="107">
        <f t="shared" si="187"/>
        <v>0</v>
      </c>
      <c r="AB349" s="142">
        <f t="shared" si="188"/>
        <v>0</v>
      </c>
      <c r="AC349" s="141">
        <v>0</v>
      </c>
      <c r="AD349" s="107">
        <f t="shared" si="204"/>
        <v>0</v>
      </c>
      <c r="AE349" s="142">
        <f t="shared" si="205"/>
        <v>0</v>
      </c>
      <c r="AF349" s="145">
        <v>649</v>
      </c>
      <c r="AG349" s="107">
        <f t="shared" si="206"/>
        <v>83.534629693954471</v>
      </c>
      <c r="AH349" s="142">
        <f t="shared" si="207"/>
        <v>732.53462969395446</v>
      </c>
      <c r="AI349" s="145">
        <v>0</v>
      </c>
      <c r="AJ349" s="107">
        <f t="shared" si="208"/>
        <v>0</v>
      </c>
      <c r="AK349" s="142">
        <f t="shared" si="209"/>
        <v>0</v>
      </c>
      <c r="AL349" s="146">
        <v>6630</v>
      </c>
      <c r="AM349" s="146"/>
      <c r="AN349" s="107">
        <f t="shared" si="210"/>
        <v>853.36609379186154</v>
      </c>
      <c r="AO349" s="151">
        <f t="shared" si="211"/>
        <v>7483.3660937918612</v>
      </c>
      <c r="AP349" s="282">
        <f t="shared" si="212"/>
        <v>908.25219713192939</v>
      </c>
      <c r="AQ349" s="684">
        <v>261.06</v>
      </c>
      <c r="AR349" s="411">
        <v>556.67299479797396</v>
      </c>
      <c r="AS349" s="411">
        <v>337.83799163727576</v>
      </c>
      <c r="AT349" s="411">
        <v>13.741210696679643</v>
      </c>
      <c r="AU349" s="411">
        <v>0</v>
      </c>
      <c r="AV349" s="742">
        <v>28.984897059219595</v>
      </c>
      <c r="AW349" s="256"/>
      <c r="AX349" s="728">
        <f t="shared" si="213"/>
        <v>176.17766872720298</v>
      </c>
      <c r="AY349" s="729">
        <v>114.20878533241248</v>
      </c>
      <c r="AZ349" s="730"/>
      <c r="BA349" s="731">
        <v>0</v>
      </c>
      <c r="BB349" s="742"/>
      <c r="BC349" s="727">
        <v>26.362500000000001</v>
      </c>
      <c r="BD349" s="727">
        <v>149.81516872720297</v>
      </c>
      <c r="BE349" s="727"/>
      <c r="BF349" s="727"/>
      <c r="BG349" s="727">
        <v>0</v>
      </c>
      <c r="BH349" s="727">
        <v>38.04296875</v>
      </c>
      <c r="BI349" s="137">
        <f t="shared" si="181"/>
        <v>176.17766872720298</v>
      </c>
      <c r="BJ349" s="126">
        <v>889.7</v>
      </c>
      <c r="BK349" s="807"/>
      <c r="BL349" s="107"/>
      <c r="BM349" s="687"/>
      <c r="BO349" s="577"/>
      <c r="BS349" s="904"/>
      <c r="BT349" s="789"/>
      <c r="BU349" s="789">
        <v>1705.2545735342112</v>
      </c>
      <c r="BV349" s="789">
        <v>0</v>
      </c>
      <c r="BW349" s="789">
        <f t="shared" si="214"/>
        <v>1705.2545735342112</v>
      </c>
    </row>
    <row r="350" spans="1:75" ht="15" thickBot="1" x14ac:dyDescent="0.35">
      <c r="A350" s="260" t="s">
        <v>319</v>
      </c>
      <c r="B350" s="237">
        <v>5</v>
      </c>
      <c r="C350" s="40">
        <f>'[7]побудинковий звіт'!E350</f>
        <v>4467.5200000000004</v>
      </c>
      <c r="D350" s="215">
        <f t="shared" si="189"/>
        <v>817.49208588994918</v>
      </c>
      <c r="E350" s="107">
        <f t="shared" si="190"/>
        <v>179.84840908862284</v>
      </c>
      <c r="F350" s="107">
        <f t="shared" si="191"/>
        <v>143.27784299662628</v>
      </c>
      <c r="G350" s="107">
        <f t="shared" si="192"/>
        <v>0</v>
      </c>
      <c r="H350" s="107">
        <f t="shared" si="193"/>
        <v>682.99394963385532</v>
      </c>
      <c r="I350" s="107">
        <f t="shared" si="194"/>
        <v>234.7223068578852</v>
      </c>
      <c r="J350" s="687">
        <f t="shared" si="182"/>
        <v>0</v>
      </c>
      <c r="K350" s="142">
        <f t="shared" si="195"/>
        <v>2058.3345944669386</v>
      </c>
      <c r="L350" s="141">
        <f t="shared" si="183"/>
        <v>264.28529691255625</v>
      </c>
      <c r="M350" s="107">
        <f t="shared" si="184"/>
        <v>58.142491656008474</v>
      </c>
      <c r="N350" s="30">
        <f t="shared" si="196"/>
        <v>87.007443924661004</v>
      </c>
      <c r="O350" s="107">
        <f t="shared" si="185"/>
        <v>8.0429183472977428</v>
      </c>
      <c r="P350" s="107">
        <f t="shared" si="197"/>
        <v>220.80367734931511</v>
      </c>
      <c r="Q350" s="107">
        <f t="shared" si="198"/>
        <v>82.15506341790207</v>
      </c>
      <c r="R350" s="143">
        <f t="shared" si="199"/>
        <v>720.43689160774068</v>
      </c>
      <c r="S350" s="141">
        <f t="shared" si="200"/>
        <v>184.22799999999998</v>
      </c>
      <c r="T350" s="107">
        <f t="shared" si="186"/>
        <v>23.712508103633041</v>
      </c>
      <c r="U350" s="142">
        <f t="shared" si="201"/>
        <v>207.94050810363302</v>
      </c>
      <c r="V350" s="418"/>
      <c r="W350" s="107">
        <f t="shared" si="202"/>
        <v>0</v>
      </c>
      <c r="X350" s="142">
        <f t="shared" si="203"/>
        <v>0</v>
      </c>
      <c r="Y350" s="141">
        <v>0</v>
      </c>
      <c r="Z350" s="144">
        <v>0</v>
      </c>
      <c r="AA350" s="107">
        <f t="shared" si="187"/>
        <v>0</v>
      </c>
      <c r="AB350" s="142">
        <f t="shared" si="188"/>
        <v>0</v>
      </c>
      <c r="AC350" s="141">
        <v>0</v>
      </c>
      <c r="AD350" s="107">
        <f t="shared" si="204"/>
        <v>0</v>
      </c>
      <c r="AE350" s="142">
        <f t="shared" si="205"/>
        <v>0</v>
      </c>
      <c r="AF350" s="145">
        <v>330</v>
      </c>
      <c r="AG350" s="107">
        <f t="shared" si="206"/>
        <v>42.47523543760397</v>
      </c>
      <c r="AH350" s="142">
        <f t="shared" si="207"/>
        <v>372.47523543760394</v>
      </c>
      <c r="AI350" s="145">
        <v>0</v>
      </c>
      <c r="AJ350" s="107">
        <f t="shared" si="208"/>
        <v>0</v>
      </c>
      <c r="AK350" s="142">
        <f t="shared" si="209"/>
        <v>0</v>
      </c>
      <c r="AL350" s="146">
        <v>5036.25</v>
      </c>
      <c r="AM350" s="146"/>
      <c r="AN350" s="107">
        <f t="shared" si="210"/>
        <v>648.23001355343331</v>
      </c>
      <c r="AO350" s="151">
        <f t="shared" si="211"/>
        <v>5684.4800135534333</v>
      </c>
      <c r="AP350" s="282">
        <f t="shared" si="212"/>
        <v>706.85198473946343</v>
      </c>
      <c r="AQ350" s="684">
        <v>267.61</v>
      </c>
      <c r="AR350" s="411">
        <v>462.76145641788008</v>
      </c>
      <c r="AS350" s="411">
        <v>235.01081726416106</v>
      </c>
      <c r="AT350" s="411">
        <v>9.0797110574223119</v>
      </c>
      <c r="AU350" s="411">
        <v>0</v>
      </c>
      <c r="AV350" s="742">
        <v>24.095103054378683</v>
      </c>
      <c r="AW350" s="256"/>
      <c r="AX350" s="728">
        <f t="shared" si="213"/>
        <v>143.27784299662628</v>
      </c>
      <c r="AY350" s="729">
        <v>87.007443924661004</v>
      </c>
      <c r="AZ350" s="730"/>
      <c r="BA350" s="731">
        <v>0</v>
      </c>
      <c r="BB350" s="742"/>
      <c r="BC350" s="727">
        <v>26.362500000000001</v>
      </c>
      <c r="BD350" s="727">
        <v>116.91534299662628</v>
      </c>
      <c r="BE350" s="727"/>
      <c r="BF350" s="727"/>
      <c r="BG350" s="727">
        <v>0</v>
      </c>
      <c r="BH350" s="727">
        <v>38.04296875</v>
      </c>
      <c r="BI350" s="137">
        <f t="shared" si="181"/>
        <v>143.27784299662628</v>
      </c>
      <c r="BJ350" s="126">
        <v>837.4</v>
      </c>
      <c r="BK350" s="807"/>
      <c r="BL350" s="107"/>
      <c r="BM350" s="687"/>
      <c r="BO350" s="577"/>
      <c r="BS350" s="904"/>
      <c r="BT350" s="789"/>
      <c r="BU350" s="789">
        <v>1487.3483359085194</v>
      </c>
      <c r="BV350" s="789">
        <v>0</v>
      </c>
      <c r="BW350" s="789">
        <f t="shared" si="214"/>
        <v>1487.3483359085194</v>
      </c>
    </row>
    <row r="351" spans="1:75" ht="15" thickBot="1" x14ac:dyDescent="0.35">
      <c r="A351" s="260" t="s">
        <v>320</v>
      </c>
      <c r="B351" s="237">
        <v>5</v>
      </c>
      <c r="C351" s="40">
        <f>'[7]побудинковий звіт'!E351</f>
        <v>2779.82</v>
      </c>
      <c r="D351" s="215">
        <f t="shared" si="189"/>
        <v>1694.417193279088</v>
      </c>
      <c r="E351" s="107">
        <f t="shared" si="190"/>
        <v>372.7720938263339</v>
      </c>
      <c r="F351" s="107">
        <f t="shared" si="191"/>
        <v>337.53990200306492</v>
      </c>
      <c r="G351" s="107">
        <f t="shared" si="192"/>
        <v>0</v>
      </c>
      <c r="H351" s="107">
        <f t="shared" si="193"/>
        <v>1415.6426846693516</v>
      </c>
      <c r="I351" s="107">
        <f t="shared" si="194"/>
        <v>491.73089332701193</v>
      </c>
      <c r="J351" s="687">
        <f t="shared" si="182"/>
        <v>0</v>
      </c>
      <c r="K351" s="142">
        <f t="shared" si="195"/>
        <v>4312.1027671048505</v>
      </c>
      <c r="L351" s="141">
        <f t="shared" si="183"/>
        <v>651.06743694008367</v>
      </c>
      <c r="M351" s="107">
        <f t="shared" si="184"/>
        <v>143.2341619530676</v>
      </c>
      <c r="N351" s="30">
        <f t="shared" si="196"/>
        <v>54.135861701354742</v>
      </c>
      <c r="O351" s="107">
        <f t="shared" si="185"/>
        <v>5.0045361364213727</v>
      </c>
      <c r="P351" s="107">
        <f t="shared" si="197"/>
        <v>543.95036711531043</v>
      </c>
      <c r="Q351" s="107">
        <f t="shared" si="198"/>
        <v>179.86233228205728</v>
      </c>
      <c r="R351" s="143">
        <f t="shared" si="199"/>
        <v>1577.2546961282951</v>
      </c>
      <c r="S351" s="141">
        <f t="shared" si="200"/>
        <v>129.602</v>
      </c>
      <c r="T351" s="107">
        <f t="shared" si="186"/>
        <v>16.681440797528332</v>
      </c>
      <c r="U351" s="142">
        <f t="shared" si="201"/>
        <v>146.28344079752833</v>
      </c>
      <c r="V351" s="418"/>
      <c r="W351" s="107">
        <f t="shared" si="202"/>
        <v>0</v>
      </c>
      <c r="X351" s="142">
        <f t="shared" si="203"/>
        <v>0</v>
      </c>
      <c r="Y351" s="141">
        <v>0</v>
      </c>
      <c r="Z351" s="144">
        <v>0</v>
      </c>
      <c r="AA351" s="107">
        <f t="shared" si="187"/>
        <v>0</v>
      </c>
      <c r="AB351" s="142">
        <f t="shared" si="188"/>
        <v>0</v>
      </c>
      <c r="AC351" s="141">
        <v>0</v>
      </c>
      <c r="AD351" s="107">
        <f t="shared" si="204"/>
        <v>0</v>
      </c>
      <c r="AE351" s="142">
        <f t="shared" si="205"/>
        <v>0</v>
      </c>
      <c r="AF351" s="145">
        <v>387.2</v>
      </c>
      <c r="AG351" s="107">
        <f t="shared" si="206"/>
        <v>49.837609580121992</v>
      </c>
      <c r="AH351" s="142">
        <f t="shared" si="207"/>
        <v>437.03760958012197</v>
      </c>
      <c r="AI351" s="145">
        <v>0</v>
      </c>
      <c r="AJ351" s="107">
        <f t="shared" si="208"/>
        <v>0</v>
      </c>
      <c r="AK351" s="142">
        <f t="shared" si="209"/>
        <v>0</v>
      </c>
      <c r="AL351" s="146"/>
      <c r="AM351" s="146"/>
      <c r="AN351" s="107">
        <f t="shared" si="210"/>
        <v>0</v>
      </c>
      <c r="AO351" s="151">
        <f t="shared" si="211"/>
        <v>0</v>
      </c>
      <c r="AP351" s="282">
        <f t="shared" si="212"/>
        <v>1972.468457729721</v>
      </c>
      <c r="AQ351" s="684">
        <v>121.24</v>
      </c>
      <c r="AR351" s="411">
        <v>1371.1508796721505</v>
      </c>
      <c r="AS351" s="411">
        <v>578.79491520694762</v>
      </c>
      <c r="AT351" s="411">
        <v>22.522662850622723</v>
      </c>
      <c r="AU351" s="411">
        <v>0</v>
      </c>
      <c r="AV351" s="742">
        <v>71.39320116360048</v>
      </c>
      <c r="AW351" s="256"/>
      <c r="AX351" s="728">
        <f t="shared" si="213"/>
        <v>103.51990200306493</v>
      </c>
      <c r="AY351" s="729">
        <v>54.135861701354742</v>
      </c>
      <c r="AZ351" s="730"/>
      <c r="BA351" s="731">
        <v>0</v>
      </c>
      <c r="BB351" s="742"/>
      <c r="BC351" s="727">
        <v>26.362500000000001</v>
      </c>
      <c r="BD351" s="727">
        <v>77.157402003064931</v>
      </c>
      <c r="BE351" s="727"/>
      <c r="BF351" s="727"/>
      <c r="BG351" s="727">
        <v>0</v>
      </c>
      <c r="BH351" s="727">
        <v>38.04296875</v>
      </c>
      <c r="BI351" s="137">
        <f t="shared" si="181"/>
        <v>103.51990200306493</v>
      </c>
      <c r="BJ351" s="126">
        <v>589.1</v>
      </c>
      <c r="BK351" s="807"/>
      <c r="BL351" s="107"/>
      <c r="BM351" s="687">
        <v>234.02</v>
      </c>
      <c r="BO351" s="577"/>
      <c r="BS351" s="904"/>
      <c r="BT351" s="789"/>
      <c r="BU351" s="789">
        <v>1438.7491884281335</v>
      </c>
      <c r="BV351" s="789">
        <v>0</v>
      </c>
      <c r="BW351" s="789">
        <f t="shared" si="214"/>
        <v>1438.7491884281335</v>
      </c>
    </row>
    <row r="352" spans="1:75" ht="15" thickBot="1" x14ac:dyDescent="0.35">
      <c r="A352" s="260" t="s">
        <v>321</v>
      </c>
      <c r="B352" s="237">
        <v>5</v>
      </c>
      <c r="C352" s="40">
        <f>'[7]побудинковий звіт'!E352</f>
        <v>2762.3</v>
      </c>
      <c r="D352" s="215">
        <f t="shared" si="189"/>
        <v>1874.8329693619278</v>
      </c>
      <c r="E352" s="107">
        <f t="shared" si="190"/>
        <v>412.46359771124861</v>
      </c>
      <c r="F352" s="107">
        <f t="shared" si="191"/>
        <v>220.12191080860561</v>
      </c>
      <c r="G352" s="107">
        <f t="shared" si="192"/>
        <v>0</v>
      </c>
      <c r="H352" s="107">
        <f t="shared" si="193"/>
        <v>1566.3754998365241</v>
      </c>
      <c r="I352" s="107">
        <f t="shared" si="194"/>
        <v>524.34957069054019</v>
      </c>
      <c r="J352" s="687">
        <f t="shared" si="182"/>
        <v>0</v>
      </c>
      <c r="K352" s="142">
        <f t="shared" si="195"/>
        <v>4598.143548408847</v>
      </c>
      <c r="L352" s="141">
        <f t="shared" si="183"/>
        <v>726.66035666368657</v>
      </c>
      <c r="M352" s="107">
        <f t="shared" si="184"/>
        <v>159.86452601655586</v>
      </c>
      <c r="N352" s="30">
        <f t="shared" si="196"/>
        <v>53.798537489891508</v>
      </c>
      <c r="O352" s="107">
        <f t="shared" si="185"/>
        <v>4.9729947153545044</v>
      </c>
      <c r="P352" s="107">
        <f t="shared" si="197"/>
        <v>607.10633852777119</v>
      </c>
      <c r="Q352" s="107">
        <f t="shared" si="198"/>
        <v>199.81415892488747</v>
      </c>
      <c r="R352" s="143">
        <f t="shared" si="199"/>
        <v>1752.2169123381473</v>
      </c>
      <c r="S352" s="141">
        <f t="shared" si="200"/>
        <v>115.12599999999999</v>
      </c>
      <c r="T352" s="107">
        <f t="shared" si="186"/>
        <v>14.818193802998771</v>
      </c>
      <c r="U352" s="142">
        <f t="shared" si="201"/>
        <v>129.94419380299877</v>
      </c>
      <c r="V352" s="418"/>
      <c r="W352" s="107">
        <f t="shared" si="202"/>
        <v>0</v>
      </c>
      <c r="X352" s="142">
        <f t="shared" si="203"/>
        <v>0</v>
      </c>
      <c r="Y352" s="141">
        <v>0</v>
      </c>
      <c r="Z352" s="144">
        <v>0</v>
      </c>
      <c r="AA352" s="107">
        <f t="shared" si="187"/>
        <v>0</v>
      </c>
      <c r="AB352" s="142">
        <f t="shared" si="188"/>
        <v>0</v>
      </c>
      <c r="AC352" s="141">
        <v>0</v>
      </c>
      <c r="AD352" s="107">
        <f t="shared" si="204"/>
        <v>0</v>
      </c>
      <c r="AE352" s="142">
        <f t="shared" si="205"/>
        <v>0</v>
      </c>
      <c r="AF352" s="145">
        <v>299.2</v>
      </c>
      <c r="AG352" s="107">
        <f t="shared" si="206"/>
        <v>38.510880130094264</v>
      </c>
      <c r="AH352" s="142">
        <f t="shared" si="207"/>
        <v>337.71088013009427</v>
      </c>
      <c r="AI352" s="145">
        <v>0</v>
      </c>
      <c r="AJ352" s="107">
        <f t="shared" si="208"/>
        <v>0</v>
      </c>
      <c r="AK352" s="142">
        <f t="shared" si="209"/>
        <v>0</v>
      </c>
      <c r="AL352" s="146"/>
      <c r="AM352" s="146"/>
      <c r="AN352" s="107">
        <f t="shared" si="210"/>
        <v>0</v>
      </c>
      <c r="AO352" s="151">
        <f t="shared" si="211"/>
        <v>0</v>
      </c>
      <c r="AP352" s="282">
        <f t="shared" si="212"/>
        <v>2194.3155852152677</v>
      </c>
      <c r="AQ352" s="684">
        <v>127.8</v>
      </c>
      <c r="AR352" s="411">
        <v>1523.1813509597921</v>
      </c>
      <c r="AS352" s="411">
        <v>646.02228793366112</v>
      </c>
      <c r="AT352" s="411">
        <v>25.111946321814557</v>
      </c>
      <c r="AU352" s="411">
        <v>0</v>
      </c>
      <c r="AV352" s="742">
        <v>79.309136733164351</v>
      </c>
      <c r="AW352" s="256"/>
      <c r="AX352" s="728">
        <f t="shared" si="213"/>
        <v>103.11191080860559</v>
      </c>
      <c r="AY352" s="729">
        <v>53.798537489891508</v>
      </c>
      <c r="AZ352" s="730"/>
      <c r="BA352" s="731">
        <v>0</v>
      </c>
      <c r="BB352" s="742"/>
      <c r="BC352" s="727">
        <v>26.362500000000001</v>
      </c>
      <c r="BD352" s="727">
        <v>76.749410808605589</v>
      </c>
      <c r="BE352" s="727"/>
      <c r="BF352" s="727"/>
      <c r="BG352" s="727">
        <v>0</v>
      </c>
      <c r="BH352" s="727">
        <v>38.04296875</v>
      </c>
      <c r="BI352" s="137">
        <f t="shared" si="181"/>
        <v>103.11191080860559</v>
      </c>
      <c r="BJ352" s="126">
        <v>523.29999999999995</v>
      </c>
      <c r="BK352" s="807"/>
      <c r="BL352" s="107"/>
      <c r="BM352" s="687">
        <v>117.01</v>
      </c>
      <c r="BO352" s="577"/>
      <c r="BS352" s="904"/>
      <c r="BT352" s="789"/>
      <c r="BU352" s="789">
        <v>1432.7165861729077</v>
      </c>
      <c r="BV352" s="789">
        <v>0</v>
      </c>
      <c r="BW352" s="789">
        <f t="shared" si="214"/>
        <v>1432.7165861729077</v>
      </c>
    </row>
    <row r="353" spans="1:75" ht="15" thickBot="1" x14ac:dyDescent="0.35">
      <c r="A353" s="260" t="s">
        <v>322</v>
      </c>
      <c r="B353" s="237">
        <v>5</v>
      </c>
      <c r="C353" s="40">
        <f>'[7]побудинковий звіт'!E353</f>
        <v>2743.4</v>
      </c>
      <c r="D353" s="215">
        <f t="shared" si="189"/>
        <v>1962.4021427509733</v>
      </c>
      <c r="E353" s="107">
        <f t="shared" si="190"/>
        <v>431.72883194538866</v>
      </c>
      <c r="F353" s="107">
        <f t="shared" si="191"/>
        <v>102.66670101788493</v>
      </c>
      <c r="G353" s="107">
        <f t="shared" si="192"/>
        <v>0</v>
      </c>
      <c r="H353" s="107">
        <f t="shared" si="193"/>
        <v>1639.5373281055352</v>
      </c>
      <c r="I353" s="107">
        <f t="shared" si="194"/>
        <v>532.399403442569</v>
      </c>
      <c r="J353" s="687">
        <f t="shared" si="182"/>
        <v>0</v>
      </c>
      <c r="K353" s="142">
        <f t="shared" si="195"/>
        <v>4668.7344072623509</v>
      </c>
      <c r="L353" s="141">
        <f t="shared" si="183"/>
        <v>641.8931510967011</v>
      </c>
      <c r="M353" s="107">
        <f t="shared" si="184"/>
        <v>141.21582856740369</v>
      </c>
      <c r="N353" s="30">
        <f t="shared" si="196"/>
        <v>53.43044120832942</v>
      </c>
      <c r="O353" s="107">
        <f t="shared" si="185"/>
        <v>4.9389688672857934</v>
      </c>
      <c r="P353" s="107">
        <f t="shared" si="197"/>
        <v>536.28548346518869</v>
      </c>
      <c r="Q353" s="107">
        <f t="shared" si="198"/>
        <v>177.33589361152616</v>
      </c>
      <c r="R353" s="143">
        <f t="shared" si="199"/>
        <v>1555.0997668164348</v>
      </c>
      <c r="S353" s="141">
        <f t="shared" si="200"/>
        <v>115.10400000000003</v>
      </c>
      <c r="T353" s="107">
        <f t="shared" si="186"/>
        <v>14.815362120636269</v>
      </c>
      <c r="U353" s="142">
        <f t="shared" si="201"/>
        <v>129.91936212063629</v>
      </c>
      <c r="V353" s="418"/>
      <c r="W353" s="107">
        <f t="shared" si="202"/>
        <v>0</v>
      </c>
      <c r="X353" s="142">
        <f t="shared" si="203"/>
        <v>0</v>
      </c>
      <c r="Y353" s="141">
        <v>0</v>
      </c>
      <c r="Z353" s="144">
        <v>0</v>
      </c>
      <c r="AA353" s="107">
        <f t="shared" si="187"/>
        <v>0</v>
      </c>
      <c r="AB353" s="142">
        <f t="shared" si="188"/>
        <v>0</v>
      </c>
      <c r="AC353" s="141">
        <v>0</v>
      </c>
      <c r="AD353" s="107">
        <f t="shared" si="204"/>
        <v>0</v>
      </c>
      <c r="AE353" s="142">
        <f t="shared" si="205"/>
        <v>0</v>
      </c>
      <c r="AF353" s="145">
        <v>338.8</v>
      </c>
      <c r="AG353" s="107">
        <f t="shared" si="206"/>
        <v>43.607908382606745</v>
      </c>
      <c r="AH353" s="142">
        <f t="shared" si="207"/>
        <v>382.40790838260676</v>
      </c>
      <c r="AI353" s="145">
        <v>0</v>
      </c>
      <c r="AJ353" s="107">
        <f t="shared" si="208"/>
        <v>0</v>
      </c>
      <c r="AK353" s="142">
        <f t="shared" si="209"/>
        <v>0</v>
      </c>
      <c r="AL353" s="146">
        <v>3315</v>
      </c>
      <c r="AM353" s="146"/>
      <c r="AN353" s="107">
        <f t="shared" si="210"/>
        <v>426.68304689593077</v>
      </c>
      <c r="AO353" s="151">
        <f t="shared" si="211"/>
        <v>3741.6830468959306</v>
      </c>
      <c r="AP353" s="282">
        <f t="shared" si="212"/>
        <v>2189.7356614514447</v>
      </c>
      <c r="AQ353" s="684">
        <v>131.07</v>
      </c>
      <c r="AR353" s="411">
        <v>1596.8913367479017</v>
      </c>
      <c r="AS353" s="411">
        <v>570.30807833623021</v>
      </c>
      <c r="AT353" s="411">
        <v>22.536246367312632</v>
      </c>
      <c r="AU353" s="411">
        <v>0</v>
      </c>
      <c r="AV353" s="742">
        <v>83.147074571482278</v>
      </c>
      <c r="AW353" s="256"/>
      <c r="AX353" s="728">
        <f t="shared" si="213"/>
        <v>102.66670101788493</v>
      </c>
      <c r="AY353" s="729">
        <v>53.43044120832942</v>
      </c>
      <c r="AZ353" s="730"/>
      <c r="BA353" s="731">
        <v>0</v>
      </c>
      <c r="BB353" s="742"/>
      <c r="BC353" s="727">
        <v>26.362500000000001</v>
      </c>
      <c r="BD353" s="727">
        <v>76.304201017884935</v>
      </c>
      <c r="BE353" s="727"/>
      <c r="BF353" s="727"/>
      <c r="BG353" s="727">
        <v>0</v>
      </c>
      <c r="BH353" s="727">
        <v>38.04296875</v>
      </c>
      <c r="BI353" s="137">
        <f t="shared" si="181"/>
        <v>102.66670101788493</v>
      </c>
      <c r="BJ353" s="126">
        <v>523.20000000000005</v>
      </c>
      <c r="BK353" s="807"/>
      <c r="BL353" s="107"/>
      <c r="BM353" s="687"/>
      <c r="BO353" s="577"/>
      <c r="BS353" s="904"/>
      <c r="BT353" s="789"/>
      <c r="BU353" s="789">
        <v>1672.5815953915687</v>
      </c>
      <c r="BV353" s="789">
        <v>0</v>
      </c>
      <c r="BW353" s="789">
        <f t="shared" si="214"/>
        <v>1672.5815953915687</v>
      </c>
    </row>
    <row r="354" spans="1:75" ht="15" thickBot="1" x14ac:dyDescent="0.35">
      <c r="A354" s="260" t="s">
        <v>323</v>
      </c>
      <c r="B354" s="237">
        <v>5</v>
      </c>
      <c r="C354" s="40">
        <f>'[7]побудинковий звіт'!E354</f>
        <v>5790.5</v>
      </c>
      <c r="D354" s="215">
        <f t="shared" si="189"/>
        <v>862.04939548300104</v>
      </c>
      <c r="E354" s="107">
        <f t="shared" si="190"/>
        <v>189.65102538533694</v>
      </c>
      <c r="F354" s="107">
        <f t="shared" si="191"/>
        <v>292.91960060982728</v>
      </c>
      <c r="G354" s="107">
        <f t="shared" si="192"/>
        <v>0</v>
      </c>
      <c r="H354" s="107">
        <f t="shared" si="193"/>
        <v>720.22045419492053</v>
      </c>
      <c r="I354" s="107">
        <f t="shared" si="194"/>
        <v>265.77147074335903</v>
      </c>
      <c r="J354" s="687">
        <f t="shared" si="182"/>
        <v>0</v>
      </c>
      <c r="K354" s="142">
        <f t="shared" si="195"/>
        <v>2330.6119464164449</v>
      </c>
      <c r="L354" s="141">
        <f t="shared" si="183"/>
        <v>2434.5041602303263</v>
      </c>
      <c r="M354" s="107">
        <f t="shared" si="184"/>
        <v>535.58839434621871</v>
      </c>
      <c r="N354" s="30">
        <f t="shared" si="196"/>
        <v>137.87420734725529</v>
      </c>
      <c r="O354" s="107">
        <f t="shared" si="185"/>
        <v>10.424691705919074</v>
      </c>
      <c r="P354" s="107">
        <f t="shared" si="197"/>
        <v>2033.9666163075276</v>
      </c>
      <c r="Q354" s="107">
        <f t="shared" si="198"/>
        <v>663.17461236188899</v>
      </c>
      <c r="R354" s="143">
        <f t="shared" si="199"/>
        <v>5815.5326822991356</v>
      </c>
      <c r="S354" s="141">
        <f t="shared" si="200"/>
        <v>174.13</v>
      </c>
      <c r="T354" s="107">
        <f t="shared" si="186"/>
        <v>22.412765899242363</v>
      </c>
      <c r="U354" s="142">
        <f t="shared" si="201"/>
        <v>196.54276589924237</v>
      </c>
      <c r="V354" s="418"/>
      <c r="W354" s="107">
        <f t="shared" si="202"/>
        <v>0</v>
      </c>
      <c r="X354" s="142">
        <f t="shared" si="203"/>
        <v>0</v>
      </c>
      <c r="Y354" s="141">
        <v>0</v>
      </c>
      <c r="Z354" s="144">
        <v>0</v>
      </c>
      <c r="AA354" s="107">
        <f t="shared" si="187"/>
        <v>0</v>
      </c>
      <c r="AB354" s="142">
        <f t="shared" si="188"/>
        <v>0</v>
      </c>
      <c r="AC354" s="141">
        <v>0</v>
      </c>
      <c r="AD354" s="107">
        <f t="shared" si="204"/>
        <v>0</v>
      </c>
      <c r="AE354" s="142">
        <f t="shared" si="205"/>
        <v>0</v>
      </c>
      <c r="AF354" s="145">
        <v>409.2</v>
      </c>
      <c r="AG354" s="107">
        <f t="shared" si="206"/>
        <v>52.669291942628924</v>
      </c>
      <c r="AH354" s="142">
        <f t="shared" si="207"/>
        <v>461.86929194262893</v>
      </c>
      <c r="AI354" s="145">
        <v>0</v>
      </c>
      <c r="AJ354" s="107">
        <f t="shared" si="208"/>
        <v>0</v>
      </c>
      <c r="AK354" s="142">
        <f t="shared" si="209"/>
        <v>0</v>
      </c>
      <c r="AL354" s="146">
        <v>6375</v>
      </c>
      <c r="AM354" s="146"/>
      <c r="AN354" s="107">
        <f t="shared" si="210"/>
        <v>820.54432095371305</v>
      </c>
      <c r="AO354" s="151">
        <f t="shared" si="211"/>
        <v>7195.5443209537134</v>
      </c>
      <c r="AP354" s="282">
        <f t="shared" si="212"/>
        <v>868.62347259508283</v>
      </c>
      <c r="AQ354" s="684">
        <v>238.12</v>
      </c>
      <c r="AR354" s="411">
        <v>529.87889082723348</v>
      </c>
      <c r="AS354" s="411">
        <v>325.70580889128109</v>
      </c>
      <c r="AT354" s="411">
        <v>13.038772876568299</v>
      </c>
      <c r="AU354" s="411">
        <v>1909.7323997886701</v>
      </c>
      <c r="AV354" s="742">
        <v>27.589779364193294</v>
      </c>
      <c r="AW354" s="256"/>
      <c r="AX354" s="728">
        <f t="shared" si="213"/>
        <v>175.90960060982727</v>
      </c>
      <c r="AY354" s="729">
        <v>113.98714852372588</v>
      </c>
      <c r="AZ354" s="730"/>
      <c r="BA354" s="731">
        <v>23.887058823529415</v>
      </c>
      <c r="BB354" s="742"/>
      <c r="BC354" s="727">
        <v>26.362500000000001</v>
      </c>
      <c r="BD354" s="727">
        <v>149.54710060982725</v>
      </c>
      <c r="BE354" s="727"/>
      <c r="BF354" s="727"/>
      <c r="BG354" s="727">
        <v>0</v>
      </c>
      <c r="BH354" s="727">
        <v>38.04296875</v>
      </c>
      <c r="BI354" s="137">
        <f t="shared" si="181"/>
        <v>175.90960060982727</v>
      </c>
      <c r="BJ354" s="126">
        <v>791.5</v>
      </c>
      <c r="BK354" s="807"/>
      <c r="BL354" s="107"/>
      <c r="BM354" s="687">
        <v>117.01</v>
      </c>
      <c r="BO354" s="577"/>
      <c r="BS354" s="904"/>
      <c r="BT354" s="789"/>
      <c r="BU354" s="789">
        <v>1703.0705474647871</v>
      </c>
      <c r="BV354" s="789">
        <v>0</v>
      </c>
      <c r="BW354" s="789">
        <f t="shared" si="214"/>
        <v>1703.0705474647871</v>
      </c>
    </row>
    <row r="355" spans="1:75" ht="15" thickBot="1" x14ac:dyDescent="0.35">
      <c r="A355" s="260" t="s">
        <v>324</v>
      </c>
      <c r="B355" s="237">
        <v>5</v>
      </c>
      <c r="C355" s="40">
        <f>'[7]побудинковий звіт'!E355</f>
        <v>4445.5</v>
      </c>
      <c r="D355" s="215">
        <f t="shared" si="189"/>
        <v>2353.7510240600827</v>
      </c>
      <c r="E355" s="107">
        <f t="shared" si="190"/>
        <v>517.82565773353531</v>
      </c>
      <c r="F355" s="107">
        <f t="shared" si="191"/>
        <v>259.77620507840129</v>
      </c>
      <c r="G355" s="107">
        <f t="shared" si="192"/>
        <v>0</v>
      </c>
      <c r="H355" s="107">
        <f t="shared" si="193"/>
        <v>1966.4994146425809</v>
      </c>
      <c r="I355" s="107">
        <f t="shared" si="194"/>
        <v>656.15902040292099</v>
      </c>
      <c r="J355" s="687">
        <f t="shared" si="182"/>
        <v>0</v>
      </c>
      <c r="K355" s="142">
        <f t="shared" si="195"/>
        <v>5754.0113219175209</v>
      </c>
      <c r="L355" s="141">
        <f t="shared" si="183"/>
        <v>2462.4801099731926</v>
      </c>
      <c r="M355" s="107">
        <f t="shared" si="184"/>
        <v>541.74307432083606</v>
      </c>
      <c r="N355" s="30">
        <f t="shared" si="196"/>
        <v>90.52148416430002</v>
      </c>
      <c r="O355" s="107">
        <f t="shared" si="185"/>
        <v>8.0032755338335626</v>
      </c>
      <c r="P355" s="107">
        <f t="shared" si="197"/>
        <v>2057.3398143352952</v>
      </c>
      <c r="Q355" s="107">
        <f t="shared" si="198"/>
        <v>664.16952246562687</v>
      </c>
      <c r="R355" s="143">
        <f t="shared" si="199"/>
        <v>5824.2572807930846</v>
      </c>
      <c r="S355" s="141">
        <f t="shared" si="200"/>
        <v>206.62400000000002</v>
      </c>
      <c r="T355" s="107">
        <f t="shared" si="186"/>
        <v>26.595160748665101</v>
      </c>
      <c r="U355" s="142">
        <f t="shared" si="201"/>
        <v>233.21916074866513</v>
      </c>
      <c r="V355" s="107"/>
      <c r="W355" s="107">
        <f t="shared" si="202"/>
        <v>0</v>
      </c>
      <c r="X355" s="142">
        <f t="shared" si="203"/>
        <v>0</v>
      </c>
      <c r="Y355" s="141">
        <v>0</v>
      </c>
      <c r="Z355" s="144">
        <v>0</v>
      </c>
      <c r="AA355" s="107">
        <f t="shared" si="187"/>
        <v>0</v>
      </c>
      <c r="AB355" s="142">
        <f t="shared" si="188"/>
        <v>0</v>
      </c>
      <c r="AC355" s="141">
        <v>0</v>
      </c>
      <c r="AD355" s="107">
        <f t="shared" si="204"/>
        <v>0</v>
      </c>
      <c r="AE355" s="142">
        <f t="shared" si="205"/>
        <v>0</v>
      </c>
      <c r="AF355" s="145">
        <v>305.8</v>
      </c>
      <c r="AG355" s="107">
        <f t="shared" si="206"/>
        <v>39.36038483884635</v>
      </c>
      <c r="AH355" s="142">
        <f t="shared" si="207"/>
        <v>345.16038483884637</v>
      </c>
      <c r="AI355" s="145">
        <v>0</v>
      </c>
      <c r="AJ355" s="107">
        <f t="shared" si="208"/>
        <v>0</v>
      </c>
      <c r="AK355" s="142">
        <f t="shared" si="209"/>
        <v>0</v>
      </c>
      <c r="AL355" s="146">
        <v>5036.25</v>
      </c>
      <c r="AM355" s="146"/>
      <c r="AN355" s="107">
        <f t="shared" si="210"/>
        <v>648.23001355343331</v>
      </c>
      <c r="AO355" s="151">
        <f t="shared" si="211"/>
        <v>5684.4800135534333</v>
      </c>
      <c r="AP355" s="282">
        <f t="shared" si="212"/>
        <v>2386.2685099262226</v>
      </c>
      <c r="AQ355" s="684">
        <v>453.77</v>
      </c>
      <c r="AR355" s="411">
        <v>1633.4644193628451</v>
      </c>
      <c r="AS355" s="411">
        <v>720.90053329817272</v>
      </c>
      <c r="AT355" s="411">
        <v>31.903557265204761</v>
      </c>
      <c r="AU355" s="411">
        <v>1521.5111212420752</v>
      </c>
      <c r="AV355" s="742">
        <v>85.051364962140056</v>
      </c>
      <c r="AW355" s="256"/>
      <c r="AX355" s="728">
        <f t="shared" si="213"/>
        <v>142.76620507840127</v>
      </c>
      <c r="AY355" s="729">
        <v>86.584425340770608</v>
      </c>
      <c r="AZ355" s="730"/>
      <c r="BA355" s="731">
        <v>3.9370588235294122</v>
      </c>
      <c r="BB355" s="742"/>
      <c r="BC355" s="727">
        <v>26.362500000000001</v>
      </c>
      <c r="BD355" s="727">
        <v>116.40370507840127</v>
      </c>
      <c r="BE355" s="727"/>
      <c r="BF355" s="727"/>
      <c r="BG355" s="727">
        <v>0</v>
      </c>
      <c r="BH355" s="727">
        <v>38.04296875</v>
      </c>
      <c r="BI355" s="137">
        <f t="shared" si="181"/>
        <v>142.76620507840127</v>
      </c>
      <c r="BJ355" s="126">
        <v>939.2</v>
      </c>
      <c r="BK355" s="807"/>
      <c r="BL355" s="107"/>
      <c r="BM355" s="687">
        <v>117.01</v>
      </c>
      <c r="BO355" s="577"/>
      <c r="BS355" s="904"/>
      <c r="BT355" s="789"/>
      <c r="BU355" s="789">
        <v>2031.1162682003639</v>
      </c>
      <c r="BV355" s="789">
        <v>0</v>
      </c>
      <c r="BW355" s="789">
        <f t="shared" si="214"/>
        <v>2031.1162682003639</v>
      </c>
    </row>
    <row r="356" spans="1:75" ht="15" thickBot="1" x14ac:dyDescent="0.35">
      <c r="A356" s="260" t="s">
        <v>325</v>
      </c>
      <c r="B356" s="237">
        <v>5</v>
      </c>
      <c r="C356" s="40">
        <f>'[7]побудинковий звіт'!E356</f>
        <v>4591.2</v>
      </c>
      <c r="D356" s="215">
        <f t="shared" si="189"/>
        <v>2075.0638646298589</v>
      </c>
      <c r="E356" s="107">
        <f t="shared" si="190"/>
        <v>456.51443145739438</v>
      </c>
      <c r="F356" s="107">
        <f t="shared" si="191"/>
        <v>146.13236799342673</v>
      </c>
      <c r="G356" s="107">
        <f t="shared" si="192"/>
        <v>0</v>
      </c>
      <c r="H356" s="107">
        <f t="shared" si="193"/>
        <v>1733.6633456251343</v>
      </c>
      <c r="I356" s="107">
        <f t="shared" si="194"/>
        <v>567.80045353206526</v>
      </c>
      <c r="J356" s="687">
        <f t="shared" si="182"/>
        <v>0</v>
      </c>
      <c r="K356" s="142">
        <f t="shared" si="195"/>
        <v>4979.1744632378795</v>
      </c>
      <c r="L356" s="141">
        <f t="shared" si="183"/>
        <v>2575.8863892284112</v>
      </c>
      <c r="M356" s="107">
        <f t="shared" si="184"/>
        <v>566.69233832592818</v>
      </c>
      <c r="N356" s="30">
        <f t="shared" si="196"/>
        <v>93.304603668809136</v>
      </c>
      <c r="O356" s="107">
        <f t="shared" si="185"/>
        <v>8.2655806165643124</v>
      </c>
      <c r="P356" s="107">
        <f t="shared" si="197"/>
        <v>2152.0878907004389</v>
      </c>
      <c r="Q356" s="107">
        <f t="shared" si="198"/>
        <v>694.56493534835215</v>
      </c>
      <c r="R356" s="143">
        <f t="shared" si="199"/>
        <v>6090.8017378885042</v>
      </c>
      <c r="S356" s="141">
        <f t="shared" si="200"/>
        <v>120.25200000000001</v>
      </c>
      <c r="T356" s="107">
        <f t="shared" si="186"/>
        <v>15.477975793462889</v>
      </c>
      <c r="U356" s="142">
        <f t="shared" si="201"/>
        <v>135.7299757934629</v>
      </c>
      <c r="V356" s="107"/>
      <c r="W356" s="107">
        <f t="shared" si="202"/>
        <v>0</v>
      </c>
      <c r="X356" s="142">
        <f t="shared" si="203"/>
        <v>0</v>
      </c>
      <c r="Y356" s="141">
        <v>0</v>
      </c>
      <c r="Z356" s="144">
        <v>0</v>
      </c>
      <c r="AA356" s="107">
        <f t="shared" si="187"/>
        <v>0</v>
      </c>
      <c r="AB356" s="142">
        <f t="shared" si="188"/>
        <v>0</v>
      </c>
      <c r="AC356" s="141">
        <v>0</v>
      </c>
      <c r="AD356" s="107">
        <f t="shared" si="204"/>
        <v>0</v>
      </c>
      <c r="AE356" s="142">
        <f t="shared" si="205"/>
        <v>0</v>
      </c>
      <c r="AF356" s="145">
        <v>448.8</v>
      </c>
      <c r="AG356" s="107">
        <f t="shared" si="206"/>
        <v>57.766320195141404</v>
      </c>
      <c r="AH356" s="142">
        <f t="shared" si="207"/>
        <v>506.56632019514143</v>
      </c>
      <c r="AI356" s="145">
        <v>0</v>
      </c>
      <c r="AJ356" s="107">
        <f t="shared" si="208"/>
        <v>0</v>
      </c>
      <c r="AK356" s="142">
        <f t="shared" si="209"/>
        <v>0</v>
      </c>
      <c r="AL356" s="146">
        <v>5291.25</v>
      </c>
      <c r="AM356" s="146"/>
      <c r="AN356" s="107">
        <f t="shared" si="210"/>
        <v>681.0517863915818</v>
      </c>
      <c r="AO356" s="151">
        <f t="shared" si="211"/>
        <v>5972.301786391582</v>
      </c>
      <c r="AP356" s="282">
        <f t="shared" si="212"/>
        <v>2142.2573291941276</v>
      </c>
      <c r="AQ356" s="684">
        <v>435.34</v>
      </c>
      <c r="AR356" s="411">
        <v>1406.5100576478437</v>
      </c>
      <c r="AS356" s="411">
        <v>701.273278978603</v>
      </c>
      <c r="AT356" s="411">
        <v>34.47399256768098</v>
      </c>
      <c r="AU356" s="411">
        <v>1643.3085328754516</v>
      </c>
      <c r="AV356" s="742">
        <v>73.234285863777174</v>
      </c>
      <c r="AW356" s="256"/>
      <c r="AX356" s="728">
        <f t="shared" si="213"/>
        <v>146.13236799342673</v>
      </c>
      <c r="AY356" s="729">
        <v>89.367544845279724</v>
      </c>
      <c r="AZ356" s="730"/>
      <c r="BA356" s="731">
        <v>3.9370588235294122</v>
      </c>
      <c r="BB356" s="742"/>
      <c r="BC356" s="727">
        <v>26.362500000000001</v>
      </c>
      <c r="BD356" s="727">
        <v>119.76986799342671</v>
      </c>
      <c r="BE356" s="727"/>
      <c r="BF356" s="727"/>
      <c r="BG356" s="727">
        <v>0</v>
      </c>
      <c r="BH356" s="727">
        <v>38.04296875</v>
      </c>
      <c r="BI356" s="137">
        <f t="shared" si="181"/>
        <v>146.13236799342673</v>
      </c>
      <c r="BJ356" s="126">
        <v>546.6</v>
      </c>
      <c r="BK356" s="807"/>
      <c r="BL356" s="107"/>
      <c r="BM356" s="687"/>
      <c r="BO356" s="577"/>
      <c r="BS356" s="904"/>
      <c r="BT356" s="789"/>
      <c r="BU356" s="789">
        <v>1748.9155256696774</v>
      </c>
      <c r="BV356" s="789">
        <v>0</v>
      </c>
      <c r="BW356" s="789">
        <f t="shared" si="214"/>
        <v>1748.9155256696774</v>
      </c>
    </row>
    <row r="357" spans="1:75" ht="15" thickBot="1" x14ac:dyDescent="0.35">
      <c r="A357" s="260" t="s">
        <v>326</v>
      </c>
      <c r="B357" s="237">
        <v>5</v>
      </c>
      <c r="C357" s="40">
        <f>'[7]побудинковий звіт'!E357</f>
        <v>4566.7</v>
      </c>
      <c r="D357" s="215">
        <f t="shared" si="189"/>
        <v>2293.2242049823494</v>
      </c>
      <c r="E357" s="107">
        <f t="shared" si="190"/>
        <v>504.50974641621076</v>
      </c>
      <c r="F357" s="107">
        <f t="shared" si="191"/>
        <v>145.62120119667335</v>
      </c>
      <c r="G357" s="107">
        <f t="shared" si="192"/>
        <v>0</v>
      </c>
      <c r="H357" s="107">
        <f t="shared" si="193"/>
        <v>1915.9307890446078</v>
      </c>
      <c r="I357" s="107">
        <f t="shared" si="194"/>
        <v>625.45246796906474</v>
      </c>
      <c r="J357" s="687">
        <f t="shared" si="182"/>
        <v>0</v>
      </c>
      <c r="K357" s="142">
        <f t="shared" si="195"/>
        <v>5484.7384096089063</v>
      </c>
      <c r="L357" s="141">
        <f t="shared" si="183"/>
        <v>2819.2569481490632</v>
      </c>
      <c r="M357" s="107">
        <f t="shared" si="184"/>
        <v>620.23360928071747</v>
      </c>
      <c r="N357" s="30">
        <f t="shared" si="196"/>
        <v>92.881974604793385</v>
      </c>
      <c r="O357" s="107">
        <f t="shared" si="185"/>
        <v>8.2214730357345012</v>
      </c>
      <c r="P357" s="107">
        <f t="shared" si="197"/>
        <v>2355.4178337430822</v>
      </c>
      <c r="Q357" s="107">
        <f t="shared" si="198"/>
        <v>758.89239695908816</v>
      </c>
      <c r="R357" s="143">
        <f t="shared" si="199"/>
        <v>6654.9042357724784</v>
      </c>
      <c r="S357" s="141">
        <f t="shared" si="200"/>
        <v>239.36</v>
      </c>
      <c r="T357" s="107">
        <f t="shared" si="186"/>
        <v>30.808704104075414</v>
      </c>
      <c r="U357" s="142">
        <f t="shared" si="201"/>
        <v>270.1687041040754</v>
      </c>
      <c r="V357" s="107"/>
      <c r="W357" s="107">
        <f t="shared" si="202"/>
        <v>0</v>
      </c>
      <c r="X357" s="142">
        <f t="shared" si="203"/>
        <v>0</v>
      </c>
      <c r="Y357" s="141">
        <v>0</v>
      </c>
      <c r="Z357" s="144">
        <v>0</v>
      </c>
      <c r="AA357" s="107">
        <f t="shared" si="187"/>
        <v>0</v>
      </c>
      <c r="AB357" s="142">
        <f t="shared" si="188"/>
        <v>0</v>
      </c>
      <c r="AC357" s="141">
        <v>0</v>
      </c>
      <c r="AD357" s="107">
        <f t="shared" si="204"/>
        <v>0</v>
      </c>
      <c r="AE357" s="142">
        <f t="shared" si="205"/>
        <v>0</v>
      </c>
      <c r="AF357" s="145">
        <v>499.4</v>
      </c>
      <c r="AG357" s="107">
        <f t="shared" si="206"/>
        <v>64.279189628907346</v>
      </c>
      <c r="AH357" s="142">
        <f t="shared" si="207"/>
        <v>563.67918962890735</v>
      </c>
      <c r="AI357" s="145">
        <v>0</v>
      </c>
      <c r="AJ357" s="107">
        <f t="shared" si="208"/>
        <v>0</v>
      </c>
      <c r="AK357" s="142">
        <f t="shared" si="209"/>
        <v>0</v>
      </c>
      <c r="AL357" s="146">
        <v>510</v>
      </c>
      <c r="AM357" s="146"/>
      <c r="AN357" s="107">
        <f t="shared" si="210"/>
        <v>65.643545676297052</v>
      </c>
      <c r="AO357" s="151">
        <f t="shared" si="211"/>
        <v>575.64354567629709</v>
      </c>
      <c r="AP357" s="282">
        <f t="shared" si="212"/>
        <v>2795.4168093319786</v>
      </c>
      <c r="AQ357" s="684">
        <v>193.37</v>
      </c>
      <c r="AR357" s="411">
        <v>1827.8810840133094</v>
      </c>
      <c r="AS357" s="411">
        <v>922.15727024350315</v>
      </c>
      <c r="AT357" s="411">
        <v>45.378455075166237</v>
      </c>
      <c r="AU357" s="411">
        <v>1636.2940222578227</v>
      </c>
      <c r="AV357" s="742">
        <v>95.174268469495601</v>
      </c>
      <c r="AW357" s="256"/>
      <c r="AX357" s="728">
        <f t="shared" si="213"/>
        <v>145.62120119667335</v>
      </c>
      <c r="AY357" s="729">
        <v>88.944915781263973</v>
      </c>
      <c r="AZ357" s="730"/>
      <c r="BA357" s="731">
        <v>3.9370588235294122</v>
      </c>
      <c r="BB357" s="742"/>
      <c r="BC357" s="727">
        <v>26.362500000000001</v>
      </c>
      <c r="BD357" s="727">
        <v>119.25870119667336</v>
      </c>
      <c r="BE357" s="727"/>
      <c r="BF357" s="727"/>
      <c r="BG357" s="727">
        <v>0</v>
      </c>
      <c r="BH357" s="727">
        <v>38.04296875</v>
      </c>
      <c r="BI357" s="137">
        <f t="shared" si="181"/>
        <v>145.62120119667335</v>
      </c>
      <c r="BJ357" s="126">
        <v>1088</v>
      </c>
      <c r="BK357" s="807"/>
      <c r="BL357" s="107"/>
      <c r="BM357" s="687"/>
      <c r="BO357" s="577"/>
      <c r="BS357" s="904"/>
      <c r="BT357" s="789"/>
      <c r="BU357" s="789">
        <v>1664.7625558235852</v>
      </c>
      <c r="BV357" s="789">
        <v>0</v>
      </c>
      <c r="BW357" s="789">
        <f t="shared" si="214"/>
        <v>1664.7625558235852</v>
      </c>
    </row>
    <row r="358" spans="1:75" ht="15" thickBot="1" x14ac:dyDescent="0.35">
      <c r="A358" s="260" t="s">
        <v>327</v>
      </c>
      <c r="B358" s="237">
        <v>5</v>
      </c>
      <c r="C358" s="40">
        <f>'[7]побудинковий звіт'!E358</f>
        <v>4553.8</v>
      </c>
      <c r="D358" s="215">
        <f t="shared" si="189"/>
        <v>2109.5195746760292</v>
      </c>
      <c r="E358" s="107">
        <f t="shared" si="190"/>
        <v>464.09469399788924</v>
      </c>
      <c r="F358" s="107">
        <f t="shared" si="191"/>
        <v>145.31497224009303</v>
      </c>
      <c r="G358" s="107">
        <f t="shared" si="192"/>
        <v>0</v>
      </c>
      <c r="H358" s="107">
        <f t="shared" si="193"/>
        <v>1762.4502194041677</v>
      </c>
      <c r="I358" s="107">
        <f t="shared" si="194"/>
        <v>576.81105352199177</v>
      </c>
      <c r="J358" s="687">
        <f t="shared" si="182"/>
        <v>0</v>
      </c>
      <c r="K358" s="142">
        <f t="shared" si="195"/>
        <v>5058.1905138401717</v>
      </c>
      <c r="L358" s="141">
        <f t="shared" si="183"/>
        <v>3643.2919471170558</v>
      </c>
      <c r="M358" s="107">
        <f t="shared" si="184"/>
        <v>801.52045577376271</v>
      </c>
      <c r="N358" s="30">
        <f t="shared" si="196"/>
        <v>92.628786686258621</v>
      </c>
      <c r="O358" s="107">
        <f t="shared" si="185"/>
        <v>8.1982490441955402</v>
      </c>
      <c r="P358" s="107">
        <f t="shared" si="197"/>
        <v>3043.8782216733021</v>
      </c>
      <c r="Q358" s="107">
        <f t="shared" si="198"/>
        <v>976.86833175413722</v>
      </c>
      <c r="R358" s="143">
        <f t="shared" si="199"/>
        <v>8566.3859920487121</v>
      </c>
      <c r="S358" s="141">
        <f t="shared" si="200"/>
        <v>239.66800000000003</v>
      </c>
      <c r="T358" s="107">
        <f t="shared" si="186"/>
        <v>30.848347657150516</v>
      </c>
      <c r="U358" s="142">
        <f t="shared" si="201"/>
        <v>270.51634765715056</v>
      </c>
      <c r="V358" s="107"/>
      <c r="W358" s="107">
        <f t="shared" si="202"/>
        <v>0</v>
      </c>
      <c r="X358" s="142">
        <f t="shared" si="203"/>
        <v>0</v>
      </c>
      <c r="Y358" s="141">
        <v>0</v>
      </c>
      <c r="Z358" s="144">
        <v>0</v>
      </c>
      <c r="AA358" s="107">
        <f t="shared" si="187"/>
        <v>0</v>
      </c>
      <c r="AB358" s="142">
        <f t="shared" si="188"/>
        <v>0</v>
      </c>
      <c r="AC358" s="141">
        <v>0</v>
      </c>
      <c r="AD358" s="107">
        <f t="shared" si="204"/>
        <v>0</v>
      </c>
      <c r="AE358" s="142">
        <f t="shared" si="205"/>
        <v>0</v>
      </c>
      <c r="AF358" s="145">
        <v>884.4</v>
      </c>
      <c r="AG358" s="107">
        <f t="shared" si="206"/>
        <v>113.83363097277864</v>
      </c>
      <c r="AH358" s="142">
        <f t="shared" si="207"/>
        <v>998.23363097277866</v>
      </c>
      <c r="AI358" s="145">
        <v>0</v>
      </c>
      <c r="AJ358" s="107">
        <f t="shared" si="208"/>
        <v>0</v>
      </c>
      <c r="AK358" s="142">
        <f t="shared" si="209"/>
        <v>0</v>
      </c>
      <c r="AL358" s="146">
        <v>5610</v>
      </c>
      <c r="AM358" s="146"/>
      <c r="AN358" s="107">
        <f t="shared" si="210"/>
        <v>722.07900243926747</v>
      </c>
      <c r="AO358" s="151">
        <f t="shared" si="211"/>
        <v>6332.0790024392672</v>
      </c>
      <c r="AP358" s="282">
        <f t="shared" si="212"/>
        <v>2580.4680361664837</v>
      </c>
      <c r="AQ358" s="684">
        <v>244.26</v>
      </c>
      <c r="AR358" s="411">
        <v>1618.3588049947152</v>
      </c>
      <c r="AS358" s="411">
        <v>916.68134407794309</v>
      </c>
      <c r="AT358" s="411">
        <v>45.427887093825689</v>
      </c>
      <c r="AU358" s="411">
        <v>2402.7887279296474</v>
      </c>
      <c r="AV358" s="742">
        <v>84.264844542489712</v>
      </c>
      <c r="AW358" s="256"/>
      <c r="AX358" s="728">
        <f t="shared" si="213"/>
        <v>145.31497224009303</v>
      </c>
      <c r="AY358" s="729">
        <v>88.691727862729209</v>
      </c>
      <c r="AZ358" s="730"/>
      <c r="BA358" s="731">
        <v>3.9370588235294122</v>
      </c>
      <c r="BB358" s="742"/>
      <c r="BC358" s="727">
        <v>26.362500000000001</v>
      </c>
      <c r="BD358" s="727">
        <v>118.95247224009302</v>
      </c>
      <c r="BE358" s="727"/>
      <c r="BF358" s="727"/>
      <c r="BG358" s="727">
        <v>0</v>
      </c>
      <c r="BH358" s="727">
        <v>38.04296875</v>
      </c>
      <c r="BI358" s="137">
        <f t="shared" si="181"/>
        <v>145.31497224009303</v>
      </c>
      <c r="BJ358" s="126">
        <v>1089.4000000000001</v>
      </c>
      <c r="BK358" s="807"/>
      <c r="BL358" s="107"/>
      <c r="BM358" s="687"/>
      <c r="BO358" s="577"/>
      <c r="BS358" s="904"/>
      <c r="BT358" s="789"/>
      <c r="BU358" s="789">
        <v>1356.1923265163587</v>
      </c>
      <c r="BV358" s="789">
        <v>0</v>
      </c>
      <c r="BW358" s="789">
        <f t="shared" si="214"/>
        <v>1356.1923265163587</v>
      </c>
    </row>
    <row r="359" spans="1:75" ht="15" thickBot="1" x14ac:dyDescent="0.35">
      <c r="A359" s="260" t="s">
        <v>328</v>
      </c>
      <c r="B359" s="237">
        <v>5</v>
      </c>
      <c r="C359" s="40">
        <f>'[7]побудинковий звіт'!E359</f>
        <v>6174.2300000000005</v>
      </c>
      <c r="D359" s="215">
        <f t="shared" si="189"/>
        <v>2273.5398698252093</v>
      </c>
      <c r="E359" s="107">
        <f t="shared" si="190"/>
        <v>500.17918906515712</v>
      </c>
      <c r="F359" s="107">
        <f t="shared" si="191"/>
        <v>183.47416251956915</v>
      </c>
      <c r="G359" s="107">
        <f t="shared" si="192"/>
        <v>0</v>
      </c>
      <c r="H359" s="107">
        <f t="shared" si="193"/>
        <v>1899.4850251687951</v>
      </c>
      <c r="I359" s="107">
        <f t="shared" si="194"/>
        <v>625.11682414582197</v>
      </c>
      <c r="J359" s="687">
        <f t="shared" si="182"/>
        <v>0</v>
      </c>
      <c r="K359" s="142">
        <f t="shared" si="195"/>
        <v>5481.7950707245527</v>
      </c>
      <c r="L359" s="141">
        <f t="shared" si="183"/>
        <v>3479.8555454739794</v>
      </c>
      <c r="M359" s="107">
        <f t="shared" si="184"/>
        <v>765.56461664902804</v>
      </c>
      <c r="N359" s="30">
        <f t="shared" si="196"/>
        <v>120.24147439134666</v>
      </c>
      <c r="O359" s="107">
        <f t="shared" si="185"/>
        <v>11.115524440279202</v>
      </c>
      <c r="P359" s="107">
        <f t="shared" si="197"/>
        <v>2907.3312441565354</v>
      </c>
      <c r="Q359" s="107">
        <f t="shared" si="198"/>
        <v>937.55824078826311</v>
      </c>
      <c r="R359" s="143">
        <f t="shared" si="199"/>
        <v>8221.6666458994314</v>
      </c>
      <c r="S359" s="141">
        <f t="shared" si="200"/>
        <v>281.90800000000002</v>
      </c>
      <c r="T359" s="107">
        <f t="shared" si="186"/>
        <v>36.285177793163818</v>
      </c>
      <c r="U359" s="142">
        <f t="shared" si="201"/>
        <v>318.19317779316384</v>
      </c>
      <c r="V359" s="107"/>
      <c r="W359" s="107">
        <f t="shared" si="202"/>
        <v>0</v>
      </c>
      <c r="X359" s="142">
        <f t="shared" si="203"/>
        <v>0</v>
      </c>
      <c r="Y359" s="141">
        <v>0</v>
      </c>
      <c r="Z359" s="144">
        <v>0</v>
      </c>
      <c r="AA359" s="107">
        <f t="shared" si="187"/>
        <v>0</v>
      </c>
      <c r="AB359" s="142">
        <f t="shared" si="188"/>
        <v>0</v>
      </c>
      <c r="AC359" s="141">
        <v>0</v>
      </c>
      <c r="AD359" s="107">
        <f t="shared" si="204"/>
        <v>0</v>
      </c>
      <c r="AE359" s="142">
        <f t="shared" si="205"/>
        <v>0</v>
      </c>
      <c r="AF359" s="145">
        <v>1859</v>
      </c>
      <c r="AG359" s="107">
        <f t="shared" si="206"/>
        <v>239.2771596318357</v>
      </c>
      <c r="AH359" s="142">
        <f t="shared" si="207"/>
        <v>2098.2771596318357</v>
      </c>
      <c r="AI359" s="145">
        <v>0</v>
      </c>
      <c r="AJ359" s="107">
        <f t="shared" si="208"/>
        <v>0</v>
      </c>
      <c r="AK359" s="142">
        <f t="shared" si="209"/>
        <v>0</v>
      </c>
      <c r="AL359" s="146">
        <v>7267.5</v>
      </c>
      <c r="AM359" s="146"/>
      <c r="AN359" s="107">
        <f t="shared" si="210"/>
        <v>935.42052588723288</v>
      </c>
      <c r="AO359" s="151">
        <f t="shared" si="211"/>
        <v>8202.9205258872335</v>
      </c>
      <c r="AP359" s="282">
        <f t="shared" si="212"/>
        <v>2706.3014875043837</v>
      </c>
      <c r="AQ359" s="684">
        <v>299.67</v>
      </c>
      <c r="AR359" s="411">
        <v>1709.574341697215</v>
      </c>
      <c r="AS359" s="411">
        <v>950.21554233110112</v>
      </c>
      <c r="AT359" s="411">
        <v>46.511603476067826</v>
      </c>
      <c r="AU359" s="411">
        <v>2217.2230379541893</v>
      </c>
      <c r="AV359" s="742">
        <v>89.014262901616206</v>
      </c>
      <c r="AW359" s="256"/>
      <c r="AX359" s="728">
        <f t="shared" si="213"/>
        <v>183.47416251956915</v>
      </c>
      <c r="AY359" s="729">
        <v>120.24147439134666</v>
      </c>
      <c r="AZ359" s="730"/>
      <c r="BA359" s="731">
        <v>0</v>
      </c>
      <c r="BB359" s="742"/>
      <c r="BC359" s="727">
        <v>26.362500000000001</v>
      </c>
      <c r="BD359" s="727">
        <v>157.11166251956914</v>
      </c>
      <c r="BE359" s="727"/>
      <c r="BF359" s="727"/>
      <c r="BG359" s="727">
        <v>0</v>
      </c>
      <c r="BH359" s="727">
        <v>38.04296875</v>
      </c>
      <c r="BI359" s="137">
        <f t="shared" si="181"/>
        <v>183.47416251956915</v>
      </c>
      <c r="BJ359" s="126">
        <v>1281.4000000000001</v>
      </c>
      <c r="BK359" s="807"/>
      <c r="BL359" s="107"/>
      <c r="BM359" s="687"/>
      <c r="BO359" s="577"/>
      <c r="BS359" s="904"/>
      <c r="BT359" s="789"/>
      <c r="BU359" s="789">
        <v>2125.7605578283392</v>
      </c>
      <c r="BV359" s="789">
        <v>0</v>
      </c>
      <c r="BW359" s="789">
        <f t="shared" si="214"/>
        <v>2125.7605578283392</v>
      </c>
    </row>
    <row r="360" spans="1:75" ht="15" thickBot="1" x14ac:dyDescent="0.35">
      <c r="A360" s="219" t="s">
        <v>236</v>
      </c>
      <c r="B360" s="237">
        <v>4</v>
      </c>
      <c r="C360" s="40">
        <f>'[7]побудинковий звіт'!E360</f>
        <v>2116.4899999999998</v>
      </c>
      <c r="D360" s="215">
        <f t="shared" si="189"/>
        <v>1772.0652521969644</v>
      </c>
      <c r="E360" s="107">
        <f t="shared" si="190"/>
        <v>389.85468105407085</v>
      </c>
      <c r="F360" s="107">
        <f t="shared" si="191"/>
        <v>74.255854571366513</v>
      </c>
      <c r="G360" s="107">
        <f t="shared" si="192"/>
        <v>0</v>
      </c>
      <c r="H360" s="107">
        <f t="shared" si="193"/>
        <v>1480.5156728695847</v>
      </c>
      <c r="I360" s="107">
        <f t="shared" si="194"/>
        <v>478.3858934600737</v>
      </c>
      <c r="J360" s="687">
        <f t="shared" si="182"/>
        <v>0</v>
      </c>
      <c r="K360" s="142">
        <f t="shared" si="195"/>
        <v>4195.0773541520603</v>
      </c>
      <c r="L360" s="141">
        <f t="shared" si="183"/>
        <v>942.33530264937917</v>
      </c>
      <c r="M360" s="107">
        <f t="shared" si="184"/>
        <v>207.31279080418142</v>
      </c>
      <c r="N360" s="30">
        <f t="shared" si="196"/>
        <v>49.891881639455605</v>
      </c>
      <c r="O360" s="107">
        <f t="shared" si="185"/>
        <v>3.8103368877749171</v>
      </c>
      <c r="P360" s="107">
        <f t="shared" si="197"/>
        <v>787.29729785121924</v>
      </c>
      <c r="Q360" s="107">
        <f t="shared" si="198"/>
        <v>256.22189666944922</v>
      </c>
      <c r="R360" s="143">
        <f t="shared" si="199"/>
        <v>2246.8695065014595</v>
      </c>
      <c r="S360" s="141">
        <f t="shared" si="200"/>
        <v>40.480000000000004</v>
      </c>
      <c r="T360" s="107">
        <f t="shared" si="186"/>
        <v>5.2102955470127545</v>
      </c>
      <c r="U360" s="142">
        <f t="shared" si="201"/>
        <v>45.690295547012759</v>
      </c>
      <c r="V360" s="107"/>
      <c r="W360" s="107">
        <f t="shared" si="202"/>
        <v>0</v>
      </c>
      <c r="X360" s="142">
        <f t="shared" si="203"/>
        <v>0</v>
      </c>
      <c r="Y360" s="141">
        <v>0</v>
      </c>
      <c r="Z360" s="144">
        <v>0</v>
      </c>
      <c r="AA360" s="107">
        <f t="shared" si="187"/>
        <v>0</v>
      </c>
      <c r="AB360" s="142">
        <f t="shared" si="188"/>
        <v>0</v>
      </c>
      <c r="AC360" s="141">
        <v>0</v>
      </c>
      <c r="AD360" s="107">
        <f t="shared" si="204"/>
        <v>0</v>
      </c>
      <c r="AE360" s="142">
        <f t="shared" si="205"/>
        <v>0</v>
      </c>
      <c r="AF360" s="145">
        <v>160.6</v>
      </c>
      <c r="AG360" s="107">
        <f t="shared" si="206"/>
        <v>20.671281246300598</v>
      </c>
      <c r="AH360" s="142">
        <f t="shared" si="207"/>
        <v>181.27128124630059</v>
      </c>
      <c r="AI360" s="145">
        <v>0</v>
      </c>
      <c r="AJ360" s="107">
        <f t="shared" si="208"/>
        <v>0</v>
      </c>
      <c r="AK360" s="142">
        <f t="shared" si="209"/>
        <v>0</v>
      </c>
      <c r="AL360" s="146"/>
      <c r="AM360" s="146"/>
      <c r="AN360" s="107">
        <f t="shared" si="210"/>
        <v>0</v>
      </c>
      <c r="AO360" s="151">
        <f t="shared" si="211"/>
        <v>0</v>
      </c>
      <c r="AP360" s="574">
        <f>AR360+AS360+AT360</f>
        <v>2439.2946327927248</v>
      </c>
      <c r="AQ360" s="684">
        <v>66.48</v>
      </c>
      <c r="AR360" s="740">
        <v>1568.965770132344</v>
      </c>
      <c r="AS360" s="740">
        <v>863.81250132484683</v>
      </c>
      <c r="AT360" s="740">
        <v>6.5163613355339916</v>
      </c>
      <c r="AU360" s="411">
        <v>0</v>
      </c>
      <c r="AV360" s="801"/>
      <c r="AW360" s="256"/>
      <c r="AX360" s="728">
        <f t="shared" si="213"/>
        <v>74.255854571366513</v>
      </c>
      <c r="AY360" s="729">
        <v>49.891881639455605</v>
      </c>
      <c r="AZ360" s="730"/>
      <c r="BA360" s="731">
        <v>0</v>
      </c>
      <c r="BC360" s="727">
        <v>0</v>
      </c>
      <c r="BD360" s="727">
        <v>74.255854571366513</v>
      </c>
      <c r="BE360" s="727"/>
      <c r="BF360" s="727"/>
      <c r="BG360" s="727">
        <v>0</v>
      </c>
      <c r="BH360" s="727">
        <v>0</v>
      </c>
      <c r="BI360" s="137">
        <f t="shared" si="181"/>
        <v>74.255854571366513</v>
      </c>
      <c r="BJ360" s="126">
        <v>184</v>
      </c>
      <c r="BK360" s="807"/>
      <c r="BL360" s="107"/>
      <c r="BM360" s="687"/>
      <c r="BO360" s="577"/>
      <c r="BS360" s="904"/>
      <c r="BT360" s="789"/>
      <c r="BU360" s="789">
        <v>1534.1245207566483</v>
      </c>
      <c r="BV360" s="789">
        <v>0</v>
      </c>
      <c r="BW360" s="789">
        <f t="shared" si="214"/>
        <v>1534.1245207566483</v>
      </c>
    </row>
    <row r="361" spans="1:75" ht="15" thickBot="1" x14ac:dyDescent="0.35">
      <c r="A361" s="219" t="s">
        <v>329</v>
      </c>
      <c r="B361" s="237">
        <v>5</v>
      </c>
      <c r="C361" s="40">
        <f>'[7]побудинковий звіт'!E361</f>
        <v>4570.7300000000005</v>
      </c>
      <c r="D361" s="215">
        <f t="shared" si="189"/>
        <v>2010.6176764352522</v>
      </c>
      <c r="E361" s="107">
        <f t="shared" si="190"/>
        <v>442.33625821427586</v>
      </c>
      <c r="F361" s="107">
        <f t="shared" si="191"/>
        <v>314.75478542264239</v>
      </c>
      <c r="G361" s="107">
        <f t="shared" si="192"/>
        <v>0</v>
      </c>
      <c r="H361" s="107">
        <f t="shared" si="193"/>
        <v>1679.8201863167924</v>
      </c>
      <c r="I361" s="107">
        <f t="shared" si="194"/>
        <v>572.45405277097132</v>
      </c>
      <c r="J361" s="687">
        <f t="shared" si="182"/>
        <v>0</v>
      </c>
      <c r="K361" s="142">
        <f t="shared" si="195"/>
        <v>5019.9829591599346</v>
      </c>
      <c r="L361" s="141">
        <f t="shared" si="183"/>
        <v>842.96084116891484</v>
      </c>
      <c r="M361" s="107">
        <f t="shared" si="184"/>
        <v>185.4505121797298</v>
      </c>
      <c r="N361" s="30">
        <f t="shared" si="196"/>
        <v>93.55739548510617</v>
      </c>
      <c r="O361" s="107">
        <f t="shared" si="185"/>
        <v>8.228728282703651</v>
      </c>
      <c r="P361" s="107">
        <f t="shared" si="197"/>
        <v>704.27245013615936</v>
      </c>
      <c r="Q361" s="107">
        <f t="shared" si="198"/>
        <v>236.11982443411821</v>
      </c>
      <c r="R361" s="143">
        <f t="shared" si="199"/>
        <v>2070.5897516867321</v>
      </c>
      <c r="S361" s="141">
        <f t="shared" si="200"/>
        <v>0</v>
      </c>
      <c r="T361" s="107">
        <f t="shared" si="186"/>
        <v>0</v>
      </c>
      <c r="U361" s="142">
        <f t="shared" si="201"/>
        <v>0</v>
      </c>
      <c r="V361" s="107"/>
      <c r="W361" s="107">
        <f t="shared" si="202"/>
        <v>0</v>
      </c>
      <c r="X361" s="142">
        <f t="shared" si="203"/>
        <v>0</v>
      </c>
      <c r="Y361" s="141">
        <v>0</v>
      </c>
      <c r="Z361" s="144">
        <v>0</v>
      </c>
      <c r="AA361" s="107">
        <f t="shared" si="187"/>
        <v>0</v>
      </c>
      <c r="AB361" s="142">
        <f t="shared" si="188"/>
        <v>0</v>
      </c>
      <c r="AC361" s="141">
        <v>0</v>
      </c>
      <c r="AD361" s="107">
        <f t="shared" si="204"/>
        <v>0</v>
      </c>
      <c r="AE361" s="142">
        <f t="shared" si="205"/>
        <v>0</v>
      </c>
      <c r="AF361" s="145">
        <v>499.4</v>
      </c>
      <c r="AG361" s="107">
        <f t="shared" si="206"/>
        <v>64.279189628907346</v>
      </c>
      <c r="AH361" s="142">
        <f t="shared" si="207"/>
        <v>563.67918962890735</v>
      </c>
      <c r="AI361" s="145">
        <v>0</v>
      </c>
      <c r="AJ361" s="107">
        <f t="shared" si="208"/>
        <v>0</v>
      </c>
      <c r="AK361" s="142">
        <f t="shared" si="209"/>
        <v>0</v>
      </c>
      <c r="AL361" s="146"/>
      <c r="AM361" s="146"/>
      <c r="AN361" s="107">
        <f t="shared" si="210"/>
        <v>0</v>
      </c>
      <c r="AO361" s="151">
        <f t="shared" si="211"/>
        <v>0</v>
      </c>
      <c r="AP361" s="282">
        <f t="shared" si="212"/>
        <v>2411.2045888993271</v>
      </c>
      <c r="AQ361" s="684">
        <v>222.95</v>
      </c>
      <c r="AR361" s="740">
        <v>1632.6567109846285</v>
      </c>
      <c r="AS361" s="740">
        <v>778.5478779146988</v>
      </c>
      <c r="AT361" s="740">
        <v>0</v>
      </c>
      <c r="AU361" s="411">
        <v>0</v>
      </c>
      <c r="AV361" s="801"/>
      <c r="AW361" s="256"/>
      <c r="AX361" s="728">
        <f t="shared" si="213"/>
        <v>139.24478542264237</v>
      </c>
      <c r="AY361" s="729">
        <v>93.55739548510617</v>
      </c>
      <c r="AZ361" s="730"/>
      <c r="BA361" s="731">
        <v>0</v>
      </c>
      <c r="BC361" s="727">
        <v>0</v>
      </c>
      <c r="BD361" s="727">
        <v>139.24478542264237</v>
      </c>
      <c r="BE361" s="727"/>
      <c r="BF361" s="727"/>
      <c r="BG361" s="727">
        <v>0</v>
      </c>
      <c r="BH361" s="727">
        <v>0</v>
      </c>
      <c r="BI361" s="137">
        <f t="shared" si="181"/>
        <v>139.24478542264237</v>
      </c>
      <c r="BJ361" s="126"/>
      <c r="BK361" s="807"/>
      <c r="BL361" s="107"/>
      <c r="BM361" s="687">
        <v>175.51</v>
      </c>
      <c r="BO361" s="577"/>
      <c r="BS361" s="904"/>
      <c r="BT361" s="789"/>
      <c r="BU361" s="789">
        <v>1609.1047728937799</v>
      </c>
      <c r="BV361" s="789">
        <v>0</v>
      </c>
      <c r="BW361" s="789">
        <f t="shared" si="214"/>
        <v>1609.1047728937799</v>
      </c>
    </row>
    <row r="362" spans="1:75" ht="15" thickBot="1" x14ac:dyDescent="0.35">
      <c r="A362" s="219" t="s">
        <v>237</v>
      </c>
      <c r="B362" s="237">
        <v>4</v>
      </c>
      <c r="C362" s="40">
        <f>'[7]побудинковий звіт'!E362</f>
        <v>2726.35</v>
      </c>
      <c r="D362" s="215">
        <f t="shared" si="189"/>
        <v>1682.374814718612</v>
      </c>
      <c r="E362" s="107">
        <f t="shared" si="190"/>
        <v>370.12276833055643</v>
      </c>
      <c r="F362" s="107">
        <f t="shared" si="191"/>
        <v>141.85767423626407</v>
      </c>
      <c r="G362" s="107">
        <f t="shared" si="192"/>
        <v>0</v>
      </c>
      <c r="H362" s="107">
        <f t="shared" si="193"/>
        <v>1405.581582136412</v>
      </c>
      <c r="I362" s="107">
        <f t="shared" si="194"/>
        <v>463.35807519680839</v>
      </c>
      <c r="J362" s="687">
        <f t="shared" si="182"/>
        <v>0</v>
      </c>
      <c r="K362" s="142">
        <f t="shared" si="195"/>
        <v>4063.2949146186529</v>
      </c>
      <c r="L362" s="141">
        <f t="shared" si="183"/>
        <v>750.70860925837678</v>
      </c>
      <c r="M362" s="107">
        <f t="shared" si="184"/>
        <v>165.15511668566518</v>
      </c>
      <c r="N362" s="30">
        <f t="shared" si="196"/>
        <v>56.007317412783095</v>
      </c>
      <c r="O362" s="107">
        <f t="shared" si="185"/>
        <v>4.9082735916470881</v>
      </c>
      <c r="P362" s="107">
        <f t="shared" si="197"/>
        <v>627.19804498577253</v>
      </c>
      <c r="Q362" s="107">
        <f t="shared" si="198"/>
        <v>206.45247298407261</v>
      </c>
      <c r="R362" s="143">
        <f t="shared" si="199"/>
        <v>1810.4298349183173</v>
      </c>
      <c r="S362" s="141">
        <f t="shared" si="200"/>
        <v>71.5</v>
      </c>
      <c r="T362" s="107">
        <f t="shared" si="186"/>
        <v>9.2029676781475267</v>
      </c>
      <c r="U362" s="142">
        <f t="shared" si="201"/>
        <v>80.70296767814753</v>
      </c>
      <c r="V362" s="107"/>
      <c r="W362" s="107">
        <f t="shared" si="202"/>
        <v>0</v>
      </c>
      <c r="X362" s="142">
        <f t="shared" si="203"/>
        <v>0</v>
      </c>
      <c r="Y362" s="141">
        <v>0</v>
      </c>
      <c r="Z362" s="144">
        <v>0</v>
      </c>
      <c r="AA362" s="107">
        <f t="shared" si="187"/>
        <v>0</v>
      </c>
      <c r="AB362" s="142">
        <f t="shared" si="188"/>
        <v>0</v>
      </c>
      <c r="AC362" s="141">
        <v>0</v>
      </c>
      <c r="AD362" s="107">
        <f t="shared" si="204"/>
        <v>0</v>
      </c>
      <c r="AE362" s="142">
        <f t="shared" si="205"/>
        <v>0</v>
      </c>
      <c r="AF362" s="145">
        <v>481.8</v>
      </c>
      <c r="AG362" s="107">
        <f t="shared" si="206"/>
        <v>62.013843738901798</v>
      </c>
      <c r="AH362" s="142">
        <f t="shared" si="207"/>
        <v>543.81384373890182</v>
      </c>
      <c r="AI362" s="145">
        <v>0</v>
      </c>
      <c r="AJ362" s="107">
        <f t="shared" si="208"/>
        <v>0</v>
      </c>
      <c r="AK362" s="142">
        <f t="shared" si="209"/>
        <v>0</v>
      </c>
      <c r="AL362" s="146">
        <v>1657.5</v>
      </c>
      <c r="AM362" s="146"/>
      <c r="AN362" s="107">
        <f t="shared" si="210"/>
        <v>213.34152344796539</v>
      </c>
      <c r="AO362" s="151">
        <f t="shared" si="211"/>
        <v>1870.8415234479653</v>
      </c>
      <c r="AP362" s="282">
        <f t="shared" si="212"/>
        <v>2133.8250173293154</v>
      </c>
      <c r="AQ362" s="684">
        <v>112.19</v>
      </c>
      <c r="AR362" s="740">
        <v>1440.4801237990978</v>
      </c>
      <c r="AS362" s="740">
        <v>681.84007545800944</v>
      </c>
      <c r="AT362" s="740">
        <v>11.504818072208305</v>
      </c>
      <c r="AU362" s="411">
        <v>0</v>
      </c>
      <c r="AV362" s="801"/>
      <c r="AW362" s="256"/>
      <c r="AX362" s="728">
        <f t="shared" si="213"/>
        <v>83.357674236264074</v>
      </c>
      <c r="AY362" s="729">
        <v>56.007317412783095</v>
      </c>
      <c r="AZ362" s="730"/>
      <c r="BA362" s="731">
        <v>0</v>
      </c>
      <c r="BC362" s="727">
        <v>0</v>
      </c>
      <c r="BD362" s="727">
        <v>83.357674236264074</v>
      </c>
      <c r="BE362" s="727"/>
      <c r="BF362" s="727"/>
      <c r="BG362" s="727">
        <v>0</v>
      </c>
      <c r="BH362" s="727">
        <v>0</v>
      </c>
      <c r="BI362" s="137">
        <f t="shared" si="181"/>
        <v>83.357674236264074</v>
      </c>
      <c r="BJ362" s="126">
        <v>325</v>
      </c>
      <c r="BK362" s="807"/>
      <c r="BL362" s="107"/>
      <c r="BM362" s="687">
        <v>58.5</v>
      </c>
      <c r="BO362" s="577"/>
      <c r="BS362" s="904"/>
      <c r="BT362" s="789"/>
      <c r="BU362" s="789">
        <v>1408.489150461699</v>
      </c>
      <c r="BV362" s="789">
        <v>0</v>
      </c>
      <c r="BW362" s="789">
        <f t="shared" si="214"/>
        <v>1408.489150461699</v>
      </c>
    </row>
    <row r="363" spans="1:75" ht="15" thickBot="1" x14ac:dyDescent="0.35">
      <c r="A363" s="219" t="s">
        <v>411</v>
      </c>
      <c r="B363" s="237">
        <v>9</v>
      </c>
      <c r="C363" s="40">
        <f>'[7]побудинковий звіт'!E363</f>
        <v>2405.4</v>
      </c>
      <c r="D363" s="215">
        <f t="shared" si="189"/>
        <v>534.66658575893234</v>
      </c>
      <c r="E363" s="107">
        <f t="shared" si="190"/>
        <v>117.62674709799531</v>
      </c>
      <c r="F363" s="107">
        <f t="shared" si="191"/>
        <v>73.54468414103458</v>
      </c>
      <c r="G363" s="107">
        <f t="shared" si="192"/>
        <v>0</v>
      </c>
      <c r="H363" s="107">
        <f t="shared" si="193"/>
        <v>446.70040168915023</v>
      </c>
      <c r="I363" s="107">
        <f t="shared" si="194"/>
        <v>150.92074361627564</v>
      </c>
      <c r="J363" s="687">
        <f t="shared" si="182"/>
        <v>0</v>
      </c>
      <c r="K363" s="142">
        <f t="shared" si="195"/>
        <v>1323.459162303388</v>
      </c>
      <c r="L363" s="141">
        <f t="shared" si="183"/>
        <v>262.74128745969489</v>
      </c>
      <c r="M363" s="107">
        <f t="shared" si="184"/>
        <v>57.802811175185155</v>
      </c>
      <c r="N363" s="30">
        <f t="shared" si="196"/>
        <v>49.414052232731848</v>
      </c>
      <c r="O363" s="107">
        <f t="shared" si="185"/>
        <v>4.330464282776572</v>
      </c>
      <c r="P363" s="107">
        <f t="shared" si="197"/>
        <v>219.51369652542277</v>
      </c>
      <c r="Q363" s="107">
        <f t="shared" si="198"/>
        <v>76.429978763101744</v>
      </c>
      <c r="R363" s="143">
        <f t="shared" si="199"/>
        <v>670.23229043891297</v>
      </c>
      <c r="S363" s="141">
        <f t="shared" si="200"/>
        <v>0</v>
      </c>
      <c r="T363" s="107">
        <f t="shared" si="186"/>
        <v>0</v>
      </c>
      <c r="U363" s="142">
        <f t="shared" si="201"/>
        <v>0</v>
      </c>
      <c r="V363" s="107"/>
      <c r="W363" s="107">
        <f t="shared" si="202"/>
        <v>0</v>
      </c>
      <c r="X363" s="142">
        <f t="shared" si="203"/>
        <v>0</v>
      </c>
      <c r="Y363" s="141">
        <v>1465.63</v>
      </c>
      <c r="Z363" s="144">
        <v>0</v>
      </c>
      <c r="AA363" s="107">
        <f>(Y363+Z363)*$B$5</f>
        <v>188.64539186186519</v>
      </c>
      <c r="AB363" s="142">
        <f>Y363+Z363+AA363</f>
        <v>1654.2753918618653</v>
      </c>
      <c r="AC363" s="141">
        <v>0</v>
      </c>
      <c r="AD363" s="107">
        <f t="shared" si="204"/>
        <v>0</v>
      </c>
      <c r="AE363" s="142">
        <f t="shared" si="205"/>
        <v>0</v>
      </c>
      <c r="AF363" s="145">
        <v>226.6</v>
      </c>
      <c r="AG363" s="107">
        <f t="shared" si="206"/>
        <v>29.166328333821394</v>
      </c>
      <c r="AH363" s="142">
        <f t="shared" si="207"/>
        <v>255.76632833382138</v>
      </c>
      <c r="AI363" s="145">
        <v>633.6</v>
      </c>
      <c r="AJ363" s="107">
        <f t="shared" si="208"/>
        <v>81.552452040199626</v>
      </c>
      <c r="AK363" s="142">
        <f t="shared" si="209"/>
        <v>715.15245204019971</v>
      </c>
      <c r="AL363" s="146">
        <v>212.5</v>
      </c>
      <c r="AM363" s="146"/>
      <c r="AN363" s="107">
        <f t="shared" si="210"/>
        <v>27.35147736512377</v>
      </c>
      <c r="AO363" s="151">
        <f t="shared" si="211"/>
        <v>239.85147736512377</v>
      </c>
      <c r="AP363" s="282">
        <f t="shared" si="212"/>
        <v>736.11032915563237</v>
      </c>
      <c r="AQ363" s="684">
        <v>0</v>
      </c>
      <c r="AR363" s="740">
        <v>493.44582826533343</v>
      </c>
      <c r="AS363" s="740">
        <v>239.61441066487146</v>
      </c>
      <c r="AT363" s="740">
        <v>3.0500902254275486</v>
      </c>
      <c r="AU363" s="411">
        <v>0</v>
      </c>
      <c r="AV363" s="801"/>
      <c r="AW363" s="256"/>
      <c r="AX363" s="728">
        <f t="shared" si="213"/>
        <v>73.54468414103458</v>
      </c>
      <c r="AY363" s="729">
        <v>49.414052232731848</v>
      </c>
      <c r="AZ363" s="730"/>
      <c r="BA363" s="731">
        <v>0</v>
      </c>
      <c r="BC363" s="727">
        <v>0</v>
      </c>
      <c r="BD363" s="727">
        <v>73.54468414103458</v>
      </c>
      <c r="BE363" s="727"/>
      <c r="BF363" s="727"/>
      <c r="BG363" s="727">
        <v>0</v>
      </c>
      <c r="BH363" s="727">
        <v>0</v>
      </c>
      <c r="BI363" s="137">
        <f t="shared" si="181"/>
        <v>73.54468414103458</v>
      </c>
      <c r="BJ363" s="126"/>
      <c r="BK363" s="807"/>
      <c r="BL363" s="107"/>
      <c r="BM363" s="687"/>
      <c r="BO363" s="577"/>
      <c r="BS363" s="904"/>
      <c r="BT363" s="789"/>
      <c r="BU363" s="789">
        <v>1986.0301467429988</v>
      </c>
      <c r="BV363" s="789">
        <v>0</v>
      </c>
      <c r="BW363" s="789">
        <f t="shared" si="214"/>
        <v>1986.0301467429988</v>
      </c>
    </row>
    <row r="364" spans="1:75" ht="15" thickBot="1" x14ac:dyDescent="0.35">
      <c r="A364" s="219" t="s">
        <v>330</v>
      </c>
      <c r="B364" s="237">
        <v>5</v>
      </c>
      <c r="C364" s="40">
        <f>'[7]побудинковий звіт'!E364</f>
        <v>3012.17</v>
      </c>
      <c r="D364" s="215">
        <f t="shared" si="189"/>
        <v>1593.5388269675684</v>
      </c>
      <c r="E364" s="107">
        <f t="shared" si="190"/>
        <v>350.57883470403272</v>
      </c>
      <c r="F364" s="107">
        <f t="shared" si="191"/>
        <v>93.668116734825503</v>
      </c>
      <c r="G364" s="107">
        <f t="shared" si="192"/>
        <v>0</v>
      </c>
      <c r="H364" s="107">
        <f t="shared" si="193"/>
        <v>1331.3613625269977</v>
      </c>
      <c r="I364" s="107">
        <f t="shared" si="194"/>
        <v>433.65247889417424</v>
      </c>
      <c r="J364" s="687">
        <f t="shared" si="182"/>
        <v>0</v>
      </c>
      <c r="K364" s="142">
        <f t="shared" si="195"/>
        <v>3802.7996198275987</v>
      </c>
      <c r="L364" s="141">
        <f t="shared" si="183"/>
        <v>521.01512373711478</v>
      </c>
      <c r="M364" s="107">
        <f t="shared" si="184"/>
        <v>114.62278771627037</v>
      </c>
      <c r="N364" s="30">
        <f t="shared" si="196"/>
        <v>62.934816661939919</v>
      </c>
      <c r="O364" s="107">
        <f t="shared" si="185"/>
        <v>5.4228380305359218</v>
      </c>
      <c r="P364" s="107">
        <f t="shared" si="197"/>
        <v>435.29495064504931</v>
      </c>
      <c r="Q364" s="107">
        <f t="shared" si="198"/>
        <v>146.64131191673761</v>
      </c>
      <c r="R364" s="143">
        <f t="shared" si="199"/>
        <v>1285.9318287076478</v>
      </c>
      <c r="S364" s="141">
        <f t="shared" si="200"/>
        <v>39.380000000000003</v>
      </c>
      <c r="T364" s="107">
        <f t="shared" si="186"/>
        <v>5.0687114288874078</v>
      </c>
      <c r="U364" s="142">
        <f t="shared" si="201"/>
        <v>44.448711428887407</v>
      </c>
      <c r="V364" s="107"/>
      <c r="W364" s="107">
        <f t="shared" si="202"/>
        <v>0</v>
      </c>
      <c r="X364" s="142">
        <f t="shared" si="203"/>
        <v>0</v>
      </c>
      <c r="Y364" s="141">
        <v>0</v>
      </c>
      <c r="Z364" s="144">
        <v>0</v>
      </c>
      <c r="AA364" s="107">
        <f>Y364*$B$5</f>
        <v>0</v>
      </c>
      <c r="AB364" s="142">
        <f>Y364+AA364</f>
        <v>0</v>
      </c>
      <c r="AC364" s="141">
        <v>0</v>
      </c>
      <c r="AD364" s="107">
        <f t="shared" si="204"/>
        <v>0</v>
      </c>
      <c r="AE364" s="142">
        <f t="shared" si="205"/>
        <v>0</v>
      </c>
      <c r="AF364" s="145">
        <v>169.4</v>
      </c>
      <c r="AG364" s="107">
        <f t="shared" si="206"/>
        <v>21.803954191303372</v>
      </c>
      <c r="AH364" s="142">
        <f t="shared" si="207"/>
        <v>191.20395419130338</v>
      </c>
      <c r="AI364" s="145">
        <v>0</v>
      </c>
      <c r="AJ364" s="107">
        <f t="shared" si="208"/>
        <v>0</v>
      </c>
      <c r="AK364" s="142">
        <f t="shared" si="209"/>
        <v>0</v>
      </c>
      <c r="AL364" s="146"/>
      <c r="AM364" s="146"/>
      <c r="AN364" s="107">
        <f t="shared" si="210"/>
        <v>0</v>
      </c>
      <c r="AO364" s="151">
        <f t="shared" si="211"/>
        <v>0</v>
      </c>
      <c r="AP364" s="282">
        <f t="shared" si="212"/>
        <v>1744.1359732403535</v>
      </c>
      <c r="AQ364" s="684">
        <v>207.75</v>
      </c>
      <c r="AR364" s="740">
        <v>1262.9330523733418</v>
      </c>
      <c r="AS364" s="740">
        <v>474.91872292265469</v>
      </c>
      <c r="AT364" s="740">
        <v>6.2841979443569276</v>
      </c>
      <c r="AU364" s="411">
        <v>0</v>
      </c>
      <c r="AV364" s="801"/>
      <c r="AW364" s="256"/>
      <c r="AX364" s="728">
        <f t="shared" si="213"/>
        <v>93.668116734825503</v>
      </c>
      <c r="AY364" s="729">
        <v>62.934816661939919</v>
      </c>
      <c r="AZ364" s="730"/>
      <c r="BA364" s="731">
        <v>0</v>
      </c>
      <c r="BC364" s="727">
        <v>0</v>
      </c>
      <c r="BD364" s="727">
        <v>93.668116734825503</v>
      </c>
      <c r="BE364" s="727"/>
      <c r="BF364" s="727"/>
      <c r="BG364" s="727">
        <v>0</v>
      </c>
      <c r="BH364" s="727">
        <v>0</v>
      </c>
      <c r="BI364" s="137">
        <f t="shared" si="181"/>
        <v>93.668116734825503</v>
      </c>
      <c r="BJ364" s="126">
        <v>179</v>
      </c>
      <c r="BK364" s="807"/>
      <c r="BL364" s="107"/>
      <c r="BM364" s="687"/>
      <c r="BO364" s="577"/>
      <c r="BS364" s="904"/>
      <c r="BT364" s="789"/>
      <c r="BU364" s="789">
        <v>1244.7117669046117</v>
      </c>
      <c r="BV364" s="789">
        <v>0</v>
      </c>
      <c r="BW364" s="789">
        <f t="shared" si="214"/>
        <v>1244.7117669046117</v>
      </c>
    </row>
    <row r="365" spans="1:75" ht="15" thickBot="1" x14ac:dyDescent="0.35">
      <c r="A365" s="219" t="s">
        <v>331</v>
      </c>
      <c r="B365" s="237">
        <v>5</v>
      </c>
      <c r="C365" s="40">
        <f>'[7]побудинковий звіт'!E365</f>
        <v>1851.94</v>
      </c>
      <c r="D365" s="215">
        <f t="shared" si="189"/>
        <v>1341.1092497515883</v>
      </c>
      <c r="E365" s="107">
        <f t="shared" si="190"/>
        <v>295.04428133917077</v>
      </c>
      <c r="F365" s="107">
        <f t="shared" si="191"/>
        <v>56.622741476738831</v>
      </c>
      <c r="G365" s="107">
        <f t="shared" si="192"/>
        <v>0</v>
      </c>
      <c r="H365" s="107">
        <f t="shared" si="193"/>
        <v>1120.4628389535769</v>
      </c>
      <c r="I365" s="107">
        <f t="shared" si="194"/>
        <v>362.09998061858624</v>
      </c>
      <c r="J365" s="687">
        <f t="shared" si="182"/>
        <v>0</v>
      </c>
      <c r="K365" s="142">
        <f t="shared" si="195"/>
        <v>3175.3390921396613</v>
      </c>
      <c r="L365" s="141">
        <f t="shared" si="183"/>
        <v>328.53416190426572</v>
      </c>
      <c r="M365" s="107">
        <f t="shared" si="184"/>
        <v>72.277175425134203</v>
      </c>
      <c r="N365" s="30">
        <f t="shared" si="196"/>
        <v>38.044341852450913</v>
      </c>
      <c r="O365" s="107">
        <f t="shared" si="185"/>
        <v>3.3340650302840462</v>
      </c>
      <c r="P365" s="107">
        <f t="shared" si="197"/>
        <v>274.48197811525955</v>
      </c>
      <c r="Q365" s="107">
        <f t="shared" si="198"/>
        <v>92.244848900997638</v>
      </c>
      <c r="R365" s="143">
        <f t="shared" si="199"/>
        <v>808.91657122839217</v>
      </c>
      <c r="S365" s="141">
        <f t="shared" si="200"/>
        <v>0</v>
      </c>
      <c r="T365" s="107">
        <f t="shared" si="186"/>
        <v>0</v>
      </c>
      <c r="U365" s="142">
        <f t="shared" si="201"/>
        <v>0</v>
      </c>
      <c r="V365" s="107"/>
      <c r="W365" s="107">
        <f t="shared" si="202"/>
        <v>0</v>
      </c>
      <c r="X365" s="142">
        <f t="shared" si="203"/>
        <v>0</v>
      </c>
      <c r="Y365" s="141">
        <v>0</v>
      </c>
      <c r="Z365" s="144">
        <v>0</v>
      </c>
      <c r="AA365" s="107">
        <f>Y365*$B$5</f>
        <v>0</v>
      </c>
      <c r="AB365" s="142">
        <f>Y365+AA365</f>
        <v>0</v>
      </c>
      <c r="AC365" s="141">
        <v>0</v>
      </c>
      <c r="AD365" s="107">
        <f t="shared" si="204"/>
        <v>0</v>
      </c>
      <c r="AE365" s="142">
        <f t="shared" si="205"/>
        <v>0</v>
      </c>
      <c r="AF365" s="145">
        <v>11</v>
      </c>
      <c r="AG365" s="107">
        <f t="shared" si="206"/>
        <v>1.4158411812534657</v>
      </c>
      <c r="AH365" s="142">
        <f t="shared" si="207"/>
        <v>12.415841181253466</v>
      </c>
      <c r="AI365" s="145">
        <v>0</v>
      </c>
      <c r="AJ365" s="107">
        <f t="shared" si="208"/>
        <v>0</v>
      </c>
      <c r="AK365" s="142">
        <f t="shared" si="209"/>
        <v>0</v>
      </c>
      <c r="AL365" s="146"/>
      <c r="AM365" s="146"/>
      <c r="AN365" s="107">
        <f t="shared" si="210"/>
        <v>0</v>
      </c>
      <c r="AO365" s="151">
        <f t="shared" si="211"/>
        <v>0</v>
      </c>
      <c r="AP365" s="282">
        <f t="shared" si="212"/>
        <v>1410.1747944902656</v>
      </c>
      <c r="AQ365" s="684">
        <v>130.97</v>
      </c>
      <c r="AR365" s="740">
        <v>1106.7448341870488</v>
      </c>
      <c r="AS365" s="740">
        <v>303.42996030321689</v>
      </c>
      <c r="AT365" s="740">
        <v>0</v>
      </c>
      <c r="AU365" s="411">
        <v>0</v>
      </c>
      <c r="AV365" s="801"/>
      <c r="AW365" s="256"/>
      <c r="AX365" s="728">
        <f t="shared" si="213"/>
        <v>56.622741476738831</v>
      </c>
      <c r="AY365" s="729">
        <v>38.044341852450913</v>
      </c>
      <c r="AZ365" s="730"/>
      <c r="BA365" s="731">
        <v>0</v>
      </c>
      <c r="BC365" s="727">
        <v>0</v>
      </c>
      <c r="BD365" s="727">
        <v>56.622741476738831</v>
      </c>
      <c r="BE365" s="727"/>
      <c r="BF365" s="727"/>
      <c r="BG365" s="727">
        <v>0</v>
      </c>
      <c r="BH365" s="727">
        <v>0</v>
      </c>
      <c r="BI365" s="137">
        <f t="shared" si="181"/>
        <v>56.622741476738831</v>
      </c>
      <c r="BJ365" s="126"/>
      <c r="BK365" s="807"/>
      <c r="BL365" s="107"/>
      <c r="BM365" s="687"/>
      <c r="BO365" s="577"/>
      <c r="BS365" s="904"/>
      <c r="BT365" s="789"/>
      <c r="BU365" s="789">
        <v>1081.5340494533004</v>
      </c>
      <c r="BV365" s="789">
        <v>0</v>
      </c>
      <c r="BW365" s="789">
        <f t="shared" si="214"/>
        <v>1081.5340494533004</v>
      </c>
    </row>
    <row r="366" spans="1:75" ht="15" thickBot="1" x14ac:dyDescent="0.35">
      <c r="A366" s="219" t="s">
        <v>332</v>
      </c>
      <c r="B366" s="237">
        <v>5</v>
      </c>
      <c r="C366" s="40">
        <f>'[7]побудинковий звіт'!E366</f>
        <v>3396.3</v>
      </c>
      <c r="D366" s="215">
        <f t="shared" si="189"/>
        <v>1276.6206704859351</v>
      </c>
      <c r="E366" s="107">
        <f t="shared" si="190"/>
        <v>280.85678205263378</v>
      </c>
      <c r="F366" s="107">
        <f t="shared" si="191"/>
        <v>279.45676141534977</v>
      </c>
      <c r="G366" s="107">
        <f t="shared" si="192"/>
        <v>0</v>
      </c>
      <c r="H366" s="107">
        <f t="shared" si="193"/>
        <v>1066.5842629781589</v>
      </c>
      <c r="I366" s="107">
        <f t="shared" si="194"/>
        <v>373.72009365188876</v>
      </c>
      <c r="J366" s="687">
        <f t="shared" si="182"/>
        <v>0</v>
      </c>
      <c r="K366" s="142">
        <f t="shared" si="195"/>
        <v>3277.2385705839665</v>
      </c>
      <c r="L366" s="141">
        <f t="shared" si="183"/>
        <v>850.42882036606727</v>
      </c>
      <c r="M366" s="107">
        <f t="shared" si="184"/>
        <v>187.09345987008635</v>
      </c>
      <c r="N366" s="30">
        <f t="shared" si="196"/>
        <v>296.64095122567147</v>
      </c>
      <c r="O366" s="107">
        <f t="shared" si="185"/>
        <v>6.1143908886647012</v>
      </c>
      <c r="P366" s="107">
        <f t="shared" si="197"/>
        <v>710.51175776455545</v>
      </c>
      <c r="Q366" s="107">
        <f t="shared" si="198"/>
        <v>263.96291440401347</v>
      </c>
      <c r="R366" s="143">
        <f t="shared" si="199"/>
        <v>2314.752294519059</v>
      </c>
      <c r="S366" s="141">
        <f t="shared" si="200"/>
        <v>52.360000000000007</v>
      </c>
      <c r="T366" s="107">
        <f t="shared" si="186"/>
        <v>6.7394040227664975</v>
      </c>
      <c r="U366" s="142">
        <f t="shared" si="201"/>
        <v>59.099404022766507</v>
      </c>
      <c r="V366" s="107"/>
      <c r="W366" s="107">
        <f t="shared" si="202"/>
        <v>0</v>
      </c>
      <c r="X366" s="142">
        <f t="shared" si="203"/>
        <v>0</v>
      </c>
      <c r="Y366" s="141">
        <v>0</v>
      </c>
      <c r="Z366" s="144">
        <v>0</v>
      </c>
      <c r="AA366" s="107">
        <f>Y366*$B$5</f>
        <v>0</v>
      </c>
      <c r="AB366" s="142">
        <f>Y366+AA366</f>
        <v>0</v>
      </c>
      <c r="AC366" s="141">
        <v>0</v>
      </c>
      <c r="AD366" s="107">
        <f t="shared" si="204"/>
        <v>0</v>
      </c>
      <c r="AE366" s="142">
        <f t="shared" si="205"/>
        <v>0</v>
      </c>
      <c r="AF366" s="145">
        <v>488.4</v>
      </c>
      <c r="AG366" s="107">
        <f t="shared" si="206"/>
        <v>62.863348447653877</v>
      </c>
      <c r="AH366" s="142">
        <f t="shared" si="207"/>
        <v>551.26334844765381</v>
      </c>
      <c r="AI366" s="145">
        <v>0</v>
      </c>
      <c r="AJ366" s="107">
        <f t="shared" si="208"/>
        <v>0</v>
      </c>
      <c r="AK366" s="142">
        <f t="shared" si="209"/>
        <v>0</v>
      </c>
      <c r="AL366" s="146"/>
      <c r="AM366" s="146"/>
      <c r="AN366" s="107">
        <f t="shared" si="210"/>
        <v>0</v>
      </c>
      <c r="AO366" s="151">
        <f t="shared" si="211"/>
        <v>0</v>
      </c>
      <c r="AP366" s="282">
        <f t="shared" si="212"/>
        <v>1787.5132869994713</v>
      </c>
      <c r="AQ366" s="684">
        <v>176.13</v>
      </c>
      <c r="AR366" s="740">
        <v>1002.0680787791421</v>
      </c>
      <c r="AS366" s="740">
        <v>777.02166044013984</v>
      </c>
      <c r="AT366" s="740">
        <v>8.4235477801894056</v>
      </c>
      <c r="AU366" s="411">
        <v>0</v>
      </c>
      <c r="AV366" s="801"/>
      <c r="AW366" s="256"/>
      <c r="AX366" s="728">
        <f t="shared" si="213"/>
        <v>103.94676141534975</v>
      </c>
      <c r="AY366" s="729">
        <v>69.840951225671446</v>
      </c>
      <c r="AZ366" s="730"/>
      <c r="BA366" s="731">
        <v>226.8</v>
      </c>
      <c r="BC366" s="727">
        <v>0</v>
      </c>
      <c r="BD366" s="727">
        <v>103.94676141534975</v>
      </c>
      <c r="BE366" s="727"/>
      <c r="BF366" s="727"/>
      <c r="BG366" s="727">
        <v>0</v>
      </c>
      <c r="BH366" s="727">
        <v>0</v>
      </c>
      <c r="BI366" s="137">
        <f t="shared" si="181"/>
        <v>103.94676141534975</v>
      </c>
      <c r="BJ366" s="126">
        <v>238</v>
      </c>
      <c r="BK366" s="807"/>
      <c r="BL366" s="107"/>
      <c r="BM366" s="687">
        <v>175.51</v>
      </c>
      <c r="BO366" s="577"/>
      <c r="BS366" s="904"/>
      <c r="BT366" s="789"/>
      <c r="BU366" s="789">
        <v>979.25106072247866</v>
      </c>
      <c r="BV366" s="789">
        <v>0</v>
      </c>
      <c r="BW366" s="789">
        <f t="shared" si="214"/>
        <v>979.25106072247866</v>
      </c>
    </row>
    <row r="367" spans="1:75" ht="15" thickBot="1" x14ac:dyDescent="0.35">
      <c r="A367" s="222" t="s">
        <v>238</v>
      </c>
      <c r="B367" s="240">
        <v>4</v>
      </c>
      <c r="C367" s="40">
        <f>'[7]побудинковий звіт'!E367</f>
        <v>1494.6000000000001</v>
      </c>
      <c r="D367" s="215">
        <f t="shared" si="189"/>
        <v>1129.9409938982819</v>
      </c>
      <c r="E367" s="107">
        <f t="shared" si="190"/>
        <v>248.58722625478788</v>
      </c>
      <c r="F367" s="107">
        <f t="shared" si="191"/>
        <v>45.69713349845776</v>
      </c>
      <c r="G367" s="107">
        <f t="shared" si="192"/>
        <v>0</v>
      </c>
      <c r="H367" s="107">
        <f t="shared" si="193"/>
        <v>944.03710518572973</v>
      </c>
      <c r="I367" s="107">
        <f t="shared" si="194"/>
        <v>304.82577429439817</v>
      </c>
      <c r="J367" s="687">
        <f t="shared" si="182"/>
        <v>0</v>
      </c>
      <c r="K367" s="142">
        <f t="shared" si="195"/>
        <v>2673.0882331316557</v>
      </c>
      <c r="L367" s="141">
        <f t="shared" si="183"/>
        <v>373.77006519394814</v>
      </c>
      <c r="M367" s="107">
        <f t="shared" si="184"/>
        <v>82.22902730754366</v>
      </c>
      <c r="N367" s="30">
        <f>AY367+BA367</f>
        <v>30.703518112181349</v>
      </c>
      <c r="O367" s="107">
        <f t="shared" si="185"/>
        <v>2.6907424615605988</v>
      </c>
      <c r="P367" s="107">
        <f t="shared" si="197"/>
        <v>312.27543053680938</v>
      </c>
      <c r="Q367" s="107">
        <f t="shared" si="198"/>
        <v>103.18506159666401</v>
      </c>
      <c r="R367" s="143">
        <f t="shared" si="199"/>
        <v>904.85384520870718</v>
      </c>
      <c r="S367" s="141">
        <f t="shared" si="200"/>
        <v>18.48</v>
      </c>
      <c r="T367" s="107">
        <f t="shared" si="186"/>
        <v>2.3786131845058223</v>
      </c>
      <c r="U367" s="142">
        <f t="shared" si="201"/>
        <v>20.858613184505824</v>
      </c>
      <c r="V367" s="107"/>
      <c r="W367" s="107">
        <f t="shared" si="202"/>
        <v>0</v>
      </c>
      <c r="X367" s="142">
        <f t="shared" si="203"/>
        <v>0</v>
      </c>
      <c r="Y367" s="141">
        <v>0</v>
      </c>
      <c r="Z367" s="144">
        <v>0</v>
      </c>
      <c r="AA367" s="107">
        <f>Y367*$B$5</f>
        <v>0</v>
      </c>
      <c r="AB367" s="142">
        <f>Y367+AA367</f>
        <v>0</v>
      </c>
      <c r="AC367" s="141">
        <v>0</v>
      </c>
      <c r="AD367" s="107">
        <f t="shared" si="204"/>
        <v>0</v>
      </c>
      <c r="AE367" s="142">
        <f t="shared" si="205"/>
        <v>0</v>
      </c>
      <c r="AF367" s="145">
        <v>136.4</v>
      </c>
      <c r="AG367" s="107">
        <f t="shared" si="206"/>
        <v>17.556430647542975</v>
      </c>
      <c r="AH367" s="142">
        <f t="shared" si="207"/>
        <v>153.95643064754299</v>
      </c>
      <c r="AI367" s="145">
        <v>0</v>
      </c>
      <c r="AJ367" s="107">
        <f t="shared" si="208"/>
        <v>0</v>
      </c>
      <c r="AK367" s="142">
        <f t="shared" si="209"/>
        <v>0</v>
      </c>
      <c r="AL367" s="146"/>
      <c r="AM367" s="147"/>
      <c r="AN367" s="107">
        <f t="shared" si="210"/>
        <v>0</v>
      </c>
      <c r="AO367" s="151">
        <f t="shared" si="211"/>
        <v>0</v>
      </c>
      <c r="AP367" s="282">
        <f t="shared" si="212"/>
        <v>1281.9061100647709</v>
      </c>
      <c r="AQ367" s="684">
        <v>106.13</v>
      </c>
      <c r="AR367" s="740">
        <v>936.69684662939392</v>
      </c>
      <c r="AS367" s="740">
        <v>342.25789890559918</v>
      </c>
      <c r="AT367" s="740">
        <v>2.9513645297778544</v>
      </c>
      <c r="AU367" s="411">
        <v>0</v>
      </c>
      <c r="AV367" s="801"/>
      <c r="AW367" s="256"/>
      <c r="AX367" s="728">
        <f>BC367+BD367+BE367+BF367+BG367</f>
        <v>45.69713349845776</v>
      </c>
      <c r="AY367" s="729">
        <v>30.703518112181349</v>
      </c>
      <c r="AZ367" s="730"/>
      <c r="BA367" s="731">
        <v>0</v>
      </c>
      <c r="BC367" s="727">
        <v>0</v>
      </c>
      <c r="BD367" s="727">
        <v>45.69713349845776</v>
      </c>
      <c r="BE367" s="727"/>
      <c r="BF367" s="727"/>
      <c r="BG367" s="727">
        <v>0</v>
      </c>
      <c r="BH367" s="727">
        <v>0</v>
      </c>
      <c r="BI367" s="137">
        <f>BC367+BD367+BE367+BG367</f>
        <v>45.69713349845776</v>
      </c>
      <c r="BJ367" s="126">
        <v>84</v>
      </c>
      <c r="BK367" s="807"/>
      <c r="BL367" s="107"/>
      <c r="BM367" s="687"/>
      <c r="BO367" s="577"/>
      <c r="BS367" s="904"/>
      <c r="BT367" s="789"/>
      <c r="BU367" s="789">
        <v>923.18327332196282</v>
      </c>
      <c r="BV367" s="789">
        <v>0</v>
      </c>
      <c r="BW367" s="789">
        <f t="shared" si="214"/>
        <v>923.18327332196282</v>
      </c>
    </row>
    <row r="368" spans="1:75" thickBot="1" x14ac:dyDescent="0.35">
      <c r="A368" s="127" t="s">
        <v>824</v>
      </c>
      <c r="B368" s="128"/>
      <c r="C368" s="41">
        <f t="shared" ref="C368:AO368" si="215">SUM(C9:C367)</f>
        <v>1010381.8699999996</v>
      </c>
      <c r="D368" s="129">
        <f t="shared" si="215"/>
        <v>544294.99999999977</v>
      </c>
      <c r="E368" s="41">
        <f t="shared" si="215"/>
        <v>119745</v>
      </c>
      <c r="F368" s="41">
        <f t="shared" si="215"/>
        <v>41681.910000000018</v>
      </c>
      <c r="G368" s="41">
        <f t="shared" si="215"/>
        <v>0</v>
      </c>
      <c r="H368" s="41">
        <f t="shared" si="215"/>
        <v>454744.69812299142</v>
      </c>
      <c r="I368" s="41">
        <f t="shared" si="215"/>
        <v>149366.94665909625</v>
      </c>
      <c r="J368" s="688">
        <f t="shared" si="215"/>
        <v>0</v>
      </c>
      <c r="K368" s="130">
        <f t="shared" si="215"/>
        <v>1309833.5547820865</v>
      </c>
      <c r="L368" s="129">
        <f t="shared" si="215"/>
        <v>328346.99999999977</v>
      </c>
      <c r="M368" s="41">
        <f t="shared" si="215"/>
        <v>72236.000000000044</v>
      </c>
      <c r="N368" s="41">
        <f t="shared" si="215"/>
        <v>22808.66</v>
      </c>
      <c r="O368" s="41">
        <f t="shared" si="215"/>
        <v>1819.0000000000011</v>
      </c>
      <c r="P368" s="41">
        <f t="shared" si="215"/>
        <v>274325.6090807186</v>
      </c>
      <c r="Q368" s="41">
        <f t="shared" si="215"/>
        <v>90039.29614044429</v>
      </c>
      <c r="R368" s="41">
        <f t="shared" si="215"/>
        <v>789575.56522116309</v>
      </c>
      <c r="S368" s="41">
        <f t="shared" si="215"/>
        <v>24694.824000000001</v>
      </c>
      <c r="T368" s="41">
        <f t="shared" si="215"/>
        <v>3178.5407984551312</v>
      </c>
      <c r="U368" s="130">
        <f t="shared" si="215"/>
        <v>27873.364798455143</v>
      </c>
      <c r="V368" s="131">
        <f t="shared" si="215"/>
        <v>0</v>
      </c>
      <c r="W368" s="41">
        <f t="shared" si="215"/>
        <v>0</v>
      </c>
      <c r="X368" s="130">
        <f t="shared" si="215"/>
        <v>0</v>
      </c>
      <c r="Y368" s="130">
        <f>SUM(Y9:Y367)</f>
        <v>386266.58000000007</v>
      </c>
      <c r="Z368" s="130">
        <f t="shared" si="215"/>
        <v>0</v>
      </c>
      <c r="AA368" s="41">
        <f t="shared" si="215"/>
        <v>49717.466445994221</v>
      </c>
      <c r="AB368" s="41">
        <f t="shared" si="215"/>
        <v>435984.04644599411</v>
      </c>
      <c r="AC368" s="41">
        <f t="shared" si="215"/>
        <v>10244.380999999998</v>
      </c>
      <c r="AD368" s="41">
        <f t="shared" si="215"/>
        <v>1318.5833178409596</v>
      </c>
      <c r="AE368" s="130">
        <f t="shared" si="215"/>
        <v>11562.964317840962</v>
      </c>
      <c r="AF368" s="130">
        <f t="shared" si="215"/>
        <v>147586.99999999997</v>
      </c>
      <c r="AG368" s="41">
        <f t="shared" si="215"/>
        <v>18996.341128877746</v>
      </c>
      <c r="AH368" s="130">
        <f t="shared" si="215"/>
        <v>166583.34112887768</v>
      </c>
      <c r="AI368" s="130">
        <f t="shared" si="215"/>
        <v>109256.40000000004</v>
      </c>
      <c r="AJ368" s="41">
        <f t="shared" si="215"/>
        <v>14062.700948681926</v>
      </c>
      <c r="AK368" s="41">
        <f t="shared" si="215"/>
        <v>123319.10094868194</v>
      </c>
      <c r="AL368" s="129">
        <f>SUM(AL9:AL367)</f>
        <v>170148.75</v>
      </c>
      <c r="AM368" s="41">
        <f t="shared" si="215"/>
        <v>0</v>
      </c>
      <c r="AN368" s="41">
        <f t="shared" si="215"/>
        <v>21900.327926254591</v>
      </c>
      <c r="AO368" s="130">
        <f t="shared" si="215"/>
        <v>192049.07792625463</v>
      </c>
      <c r="AQ368" s="132">
        <f>SUM(AQ9:AQ367)</f>
        <v>45586.23</v>
      </c>
      <c r="AR368" s="132">
        <f>SUM(AR9:AR367)</f>
        <v>451633.69843806361</v>
      </c>
      <c r="AS368" s="132">
        <f t="shared" ref="AS368:BH368" si="216">SUM(AS9:AS367)</f>
        <v>249447.32247834752</v>
      </c>
      <c r="AT368" s="132">
        <f t="shared" si="216"/>
        <v>6418.1974780109367</v>
      </c>
      <c r="AU368" s="132">
        <f>SUM(AU9:AU367)</f>
        <v>47391.58</v>
      </c>
      <c r="AV368" s="132">
        <f t="shared" si="216"/>
        <v>5111.9999999999982</v>
      </c>
      <c r="AW368" s="132">
        <f t="shared" si="216"/>
        <v>0</v>
      </c>
      <c r="AX368" s="132">
        <f t="shared" si="216"/>
        <v>31736.2</v>
      </c>
      <c r="AY368" s="132">
        <f t="shared" si="216"/>
        <v>20641.329999999991</v>
      </c>
      <c r="AZ368" s="132">
        <f t="shared" si="216"/>
        <v>0</v>
      </c>
      <c r="BA368" s="132">
        <f t="shared" si="216"/>
        <v>2167.3300000000008</v>
      </c>
      <c r="BC368" s="132">
        <f t="shared" si="216"/>
        <v>3377.200000000008</v>
      </c>
      <c r="BD368" s="132">
        <f t="shared" si="216"/>
        <v>28358.999999999993</v>
      </c>
      <c r="BE368" s="132">
        <f t="shared" si="216"/>
        <v>0</v>
      </c>
      <c r="BF368" s="132">
        <f t="shared" si="216"/>
        <v>0</v>
      </c>
      <c r="BG368" s="132">
        <f t="shared" si="216"/>
        <v>0</v>
      </c>
      <c r="BH368" s="132">
        <f t="shared" si="216"/>
        <v>3064.7500000000005</v>
      </c>
      <c r="BI368" s="137"/>
      <c r="BJ368" s="132">
        <f>SUM(BJ9:BJ367)</f>
        <v>112249.20000000001</v>
      </c>
      <c r="BK368" s="804"/>
      <c r="BL368" s="132">
        <f>SUM(BL9:BL367)</f>
        <v>0</v>
      </c>
      <c r="BM368" s="119">
        <f>SUM(BM9:BM367)</f>
        <v>9945.7100000000064</v>
      </c>
      <c r="BO368" s="578">
        <f>SUM(BO9:BO367)</f>
        <v>0</v>
      </c>
      <c r="BS368" s="904"/>
      <c r="BT368" s="789"/>
      <c r="BU368" s="789">
        <v>451895.38282979216</v>
      </c>
      <c r="BV368" s="789">
        <v>2786.56</v>
      </c>
      <c r="BW368" s="789">
        <f t="shared" si="214"/>
        <v>454681.94282979215</v>
      </c>
    </row>
    <row r="369" spans="1:78" s="457" customFormat="1" ht="15" thickBot="1" x14ac:dyDescent="0.35">
      <c r="A369" s="450"/>
      <c r="B369" s="451"/>
      <c r="C369" s="305"/>
      <c r="D369" s="452"/>
      <c r="E369" s="453"/>
      <c r="F369" s="453"/>
      <c r="G369" s="453"/>
      <c r="H369" s="453"/>
      <c r="I369" s="453"/>
      <c r="J369" s="453"/>
      <c r="K369" s="454">
        <v>1309834</v>
      </c>
      <c r="L369" s="452"/>
      <c r="M369" s="453"/>
      <c r="N369" s="453"/>
      <c r="O369" s="453">
        <v>1819</v>
      </c>
      <c r="P369" s="453"/>
      <c r="Q369" s="453"/>
      <c r="R369" s="305">
        <v>789575</v>
      </c>
      <c r="S369" s="452"/>
      <c r="T369" s="451"/>
      <c r="U369" s="455">
        <v>27874</v>
      </c>
      <c r="V369" s="306"/>
      <c r="W369" s="451"/>
      <c r="X369" s="455">
        <v>0</v>
      </c>
      <c r="Y369" s="450"/>
      <c r="Z369" s="306">
        <v>0</v>
      </c>
      <c r="AA369" s="451"/>
      <c r="AB369" s="456">
        <v>435983</v>
      </c>
      <c r="AC369" s="450"/>
      <c r="AD369" s="451"/>
      <c r="AE369" s="455">
        <v>11563</v>
      </c>
      <c r="AF369" s="307"/>
      <c r="AG369" s="451"/>
      <c r="AH369" s="455">
        <v>166583</v>
      </c>
      <c r="AI369" s="433"/>
      <c r="AJ369" s="451"/>
      <c r="AK369" s="456">
        <v>123320</v>
      </c>
      <c r="AL369" s="307"/>
      <c r="AM369" s="451"/>
      <c r="AN369" s="451"/>
      <c r="AO369" s="455">
        <v>192049</v>
      </c>
      <c r="AQ369" s="458"/>
      <c r="AR369" s="450"/>
      <c r="AS369" s="451"/>
      <c r="AT369" s="451"/>
      <c r="AU369" s="459"/>
      <c r="AV369" s="460"/>
      <c r="AW369" s="461"/>
      <c r="AX369" s="462"/>
      <c r="AY369" s="456"/>
      <c r="AZ369" s="463"/>
      <c r="BA369" s="464"/>
      <c r="BB369" s="137"/>
      <c r="BC369" s="465"/>
      <c r="BD369" s="464"/>
      <c r="BE369" s="464"/>
      <c r="BF369" s="464"/>
      <c r="BG369" s="459"/>
      <c r="BH369" s="466"/>
      <c r="BJ369" s="465"/>
      <c r="BO369" s="465"/>
      <c r="BS369" s="903"/>
      <c r="BT369" s="457">
        <f>SUM(BT9:BT368)</f>
        <v>0</v>
      </c>
      <c r="BU369" s="789">
        <f t="shared" ref="BU369" si="217">AR369</f>
        <v>0</v>
      </c>
      <c r="BV369" s="789">
        <f t="shared" ref="BV369" si="218">AW369</f>
        <v>0</v>
      </c>
      <c r="BW369" s="789">
        <f t="shared" si="214"/>
        <v>0</v>
      </c>
      <c r="BY369" s="686"/>
      <c r="BZ369" s="686"/>
    </row>
    <row r="370" spans="1:78" ht="13.8" x14ac:dyDescent="0.3">
      <c r="A370" s="15" t="s">
        <v>1005</v>
      </c>
      <c r="C370" s="135">
        <f>C15+C16+C17+C18+C49+C50+C51+C65+C66+C67+C68+C69+C70+C71+C72+C73+C74+C78+C79+C80+C81+C82+C86+C87+C88+C89+C90+C91+C92+C93+C94+C95+C96+C126+C127+C135+C145+C147+C148+C149+C150+C151+C152+C153+C154+C155+C156+C157+C158+C159+C160+C161+C187+C188+C197+C198+C200+C202+C203+C204+C205+C206+C208+C209+C210+C211+C212+C213+C214+C215+C216+C251+C252+C253+C269+C271+C272+C273+C274+C275+C276+C277+C279+C317+C318+C319+C320+C321</f>
        <v>339021.13999999996</v>
      </c>
      <c r="D370" s="135">
        <f t="shared" ref="D370:BO370" si="219">D15+D16+D17+D18+D49+D50+D51+D65+D66+D67+D68+D69+D70+D71+D72+D73+D74+D78+D79+D80+D81+D82+D86+D87+D88+D89+D90+D91+D92+D93+D94+D95+D96+D126+D127+D135+D145+D147+D148+D149+D150+D151+D152+D153+D154+D155+D156+D157+D158+D159+D160+D161+D187+D188+D197+D198+D200+D202+D203+D204+D205+D206+D208+D209+D210+D211+D212+D213+D214+D215+D216+D251+D252+D253+D269+D271+D272+D273+D274+D275+D276+D277+D279+D317+D318+D319+D320+D321</f>
        <v>203224.07072812755</v>
      </c>
      <c r="E370" s="135">
        <f t="shared" si="219"/>
        <v>44709.332897306835</v>
      </c>
      <c r="F370" s="135">
        <f t="shared" si="219"/>
        <v>11413.049999999996</v>
      </c>
      <c r="G370" s="135">
        <f t="shared" si="219"/>
        <v>0</v>
      </c>
      <c r="H370" s="135">
        <f t="shared" si="219"/>
        <v>169788.56813784395</v>
      </c>
      <c r="I370" s="135">
        <f t="shared" si="219"/>
        <v>55235.185102777425</v>
      </c>
      <c r="J370" s="135">
        <f t="shared" si="219"/>
        <v>0</v>
      </c>
      <c r="K370" s="135">
        <f t="shared" si="219"/>
        <v>484370.20686605561</v>
      </c>
      <c r="L370" s="135">
        <f t="shared" si="219"/>
        <v>117115.4808975698</v>
      </c>
      <c r="M370" s="135">
        <f t="shared" si="219"/>
        <v>25765.284525568535</v>
      </c>
      <c r="N370" s="135">
        <f t="shared" si="219"/>
        <v>7997.4499999999989</v>
      </c>
      <c r="O370" s="135">
        <f t="shared" si="219"/>
        <v>610.34295247201953</v>
      </c>
      <c r="P370" s="135">
        <f t="shared" si="219"/>
        <v>97847.020469220399</v>
      </c>
      <c r="Q370" s="135">
        <f t="shared" si="219"/>
        <v>32092.689134561992</v>
      </c>
      <c r="R370" s="135">
        <f t="shared" si="219"/>
        <v>281428.26797939278</v>
      </c>
      <c r="S370" s="135">
        <f t="shared" si="219"/>
        <v>7263.2999999999984</v>
      </c>
      <c r="T370" s="135">
        <f t="shared" si="219"/>
        <v>934.87993198166373</v>
      </c>
      <c r="U370" s="135">
        <f t="shared" si="219"/>
        <v>8198.1799319816637</v>
      </c>
      <c r="V370" s="135">
        <f t="shared" si="219"/>
        <v>0</v>
      </c>
      <c r="W370" s="135">
        <f t="shared" si="219"/>
        <v>0</v>
      </c>
      <c r="X370" s="135">
        <f t="shared" si="219"/>
        <v>0</v>
      </c>
      <c r="Y370" s="135">
        <f t="shared" si="219"/>
        <v>202711.79499999998</v>
      </c>
      <c r="Z370" s="135">
        <f t="shared" si="219"/>
        <v>0</v>
      </c>
      <c r="AA370" s="135">
        <f t="shared" si="219"/>
        <v>26091.609753346409</v>
      </c>
      <c r="AB370" s="135">
        <f t="shared" si="219"/>
        <v>228803.40475334635</v>
      </c>
      <c r="AC370" s="135">
        <f t="shared" si="219"/>
        <v>6431.5699999999988</v>
      </c>
      <c r="AD370" s="135">
        <f t="shared" si="219"/>
        <v>827.82560601039552</v>
      </c>
      <c r="AE370" s="135">
        <f t="shared" si="219"/>
        <v>7259.3956060103974</v>
      </c>
      <c r="AF370" s="135">
        <f t="shared" si="219"/>
        <v>51900.200000000004</v>
      </c>
      <c r="AG370" s="135">
        <f t="shared" si="219"/>
        <v>6680.2218613901023</v>
      </c>
      <c r="AH370" s="135">
        <f t="shared" si="219"/>
        <v>58580.421861390096</v>
      </c>
      <c r="AI370" s="135">
        <f t="shared" si="219"/>
        <v>56247.399999999987</v>
      </c>
      <c r="AJ370" s="135">
        <f t="shared" si="219"/>
        <v>7239.7622962214709</v>
      </c>
      <c r="AK370" s="135">
        <f t="shared" si="219"/>
        <v>63487.162296221482</v>
      </c>
      <c r="AL370" s="135">
        <f t="shared" si="219"/>
        <v>30026.25</v>
      </c>
      <c r="AM370" s="135">
        <f t="shared" si="219"/>
        <v>0</v>
      </c>
      <c r="AN370" s="135">
        <f t="shared" si="219"/>
        <v>3864.7637516919885</v>
      </c>
      <c r="AO370" s="135">
        <f t="shared" si="219"/>
        <v>33891.013751691986</v>
      </c>
      <c r="AP370" s="135">
        <f t="shared" si="219"/>
        <v>280199.21027417679</v>
      </c>
      <c r="AQ370" s="135">
        <f t="shared" si="219"/>
        <v>7603.1999999999989</v>
      </c>
      <c r="AR370" s="135">
        <f t="shared" si="219"/>
        <v>179953.06885033613</v>
      </c>
      <c r="AS370" s="135">
        <f>AS15+AS16+AS17+AS18+AS49+AS50+AS51+AS65+AS66+AS67+AS68+AS69+AS70+AS71+AS72+AS73+AS74+AS78+AS79+AS80+AS81+AS82+AS86+AS87+AS88+AS89+AS90+AS91+AS92+AS93+AS94+AS95+AS96+AS126+AS127+AS135+AS145+AS147+AS148+AS149+AS150+AS151+AS152+AS153+AS154+AS155+AS156+AS157+AS158+AS159+AS160+AS161+AS187+AS188+AS197+AS198+AS200+AS202+AS203+AS204+AS205+AS206+AS208+AS209+AS210+AS211+AS212+AS213+AS214+AS215+AS216+AS251+AS252+AS253+AS269+AS271+AS272+AS273+AS274+AS275+AS276+AS277+AS279+AS317+AS318+AS319+AS320+AS321</f>
        <v>97779.937686864097</v>
      </c>
      <c r="AT370" s="135">
        <f>AT15+AT16+AT17+AT18+AT49+AT50+AT51+AT65+AT66+AT67+AT68+AT69+AT70+AT71+AT72+AT73+AT74+AT78+AT79+AT80+AT81+AT82+AT86+AT87+AT88+AT89+AT90+AT91+AT92+AT93+AT94+AT95+AT96+AT126+AT127+AT135+AT145+AT147+AT148+AT149+AT150+AT151+AT152+AT153+AT154+AT155+AT156+AT157+AT158+AT159+AT160+AT161+AT187+AT188+AT197+AT198+AT200+AT202+AT203+AT204+AT205+AT206+AT208+AT209+AT210+AT211+AT212+AT213+AT214+AT215+AT216+AT251+AT252+AT253+AT269+AT271+AT272+AT273+AT274+AT275+AT276+AT277+AT279+AT317+AT318+AT319+AT320+AT321</f>
        <v>2466.2037369765699</v>
      </c>
      <c r="AU370" s="135">
        <f>AU15+AU16+AU17+AU18+AU49+AU50+AU51+AU65+AU66+AU67+AU68+AU69+AU70+AU71+AU72+AU73+AU74+AU78+AU79+AU80+AU81+AU82+AU86+AU87+AU88+AU89+AU90+AU91+AU92+AU93+AU94+AU95+AU96+AU126+AU127+AU135+AU145+AU147+AU148+AU149+AU150+AU151+AU152+AU153+AU154+AU155+AU156+AU157+AU158+AU159+AU160+AU161+AU187+AU188+AU197+AU198+AU200+AU202+AU203+AU204+AU205+AU206+AU208+AU209+AU210+AU211+AU212+AU213+AU214+AU215+AU216+AU251+AU252+AU253+AU269+AU271+AU272+AU273+AU274+AU275+AU276+AU277+AU279+AU317+AU318+AU319+AU320+AU321</f>
        <v>7920.2225051469968</v>
      </c>
      <c r="AV370" s="135">
        <f t="shared" si="219"/>
        <v>0</v>
      </c>
      <c r="AW370" s="135">
        <f t="shared" si="219"/>
        <v>0</v>
      </c>
      <c r="AX370" s="135">
        <f t="shared" si="219"/>
        <v>11413.049999999996</v>
      </c>
      <c r="AY370" s="135">
        <f t="shared" si="219"/>
        <v>7543.85</v>
      </c>
      <c r="AZ370" s="135">
        <f t="shared" si="219"/>
        <v>0</v>
      </c>
      <c r="BA370" s="135">
        <f t="shared" si="219"/>
        <v>453.6</v>
      </c>
      <c r="BB370" s="135"/>
      <c r="BC370" s="135">
        <f t="shared" si="219"/>
        <v>1690</v>
      </c>
      <c r="BD370" s="135">
        <f t="shared" si="219"/>
        <v>9723.0499999999956</v>
      </c>
      <c r="BE370" s="135">
        <f t="shared" si="219"/>
        <v>0</v>
      </c>
      <c r="BF370" s="135">
        <f t="shared" si="219"/>
        <v>0</v>
      </c>
      <c r="BG370" s="135">
        <f t="shared" si="219"/>
        <v>0</v>
      </c>
      <c r="BH370" s="135">
        <f t="shared" si="219"/>
        <v>629.99999999999977</v>
      </c>
      <c r="BI370" s="135">
        <f t="shared" si="219"/>
        <v>11413.049999999996</v>
      </c>
      <c r="BJ370" s="135">
        <f t="shared" si="219"/>
        <v>33015</v>
      </c>
      <c r="BK370" s="135"/>
      <c r="BL370" s="135">
        <f t="shared" si="219"/>
        <v>0</v>
      </c>
      <c r="BM370" s="135">
        <f t="shared" si="219"/>
        <v>0</v>
      </c>
      <c r="BN370" s="135">
        <f t="shared" si="219"/>
        <v>0</v>
      </c>
      <c r="BO370" s="135" t="e">
        <f t="shared" si="219"/>
        <v>#VALUE!</v>
      </c>
      <c r="BU370" s="789"/>
      <c r="BV370" s="789"/>
      <c r="BW370" s="789"/>
    </row>
    <row r="371" spans="1:78" ht="13.8" x14ac:dyDescent="0.3">
      <c r="A371" s="15" t="s">
        <v>1006</v>
      </c>
      <c r="C371" s="135">
        <f t="shared" ref="C371:BA371" si="220">C10+C11+C21+C19+C22+C32+C33+C34+C35+C36+C37+C38+C39+C46+C52+C54+C53+C55+C56+C57+C58+C59+C60+C61+C62+C64+C63+C97+C98+C99+C100+C101+C102+C103+C104+C105+C106+C107+C108+C109+C110+C111+C112+C113+C114+C115+C134+C136+C137+C138+C139+C140+C141+C142+C143+C144+C146+C162+C163+C164+C172+C180+C186+C189+C190+C191+C192+C193+C194+C195+C196+C199+C201+C207+C217+C218+C219+C220+C221+C222+C223+C224+C225+C226+C228+C227+C229+C230+C231+C232+C233+C234+C235+C236+C237+C238+C239+C254+C255+C256+C257+C258+C259+C260+C261+C262+C263+C264+C265+C266+C267+C268+C278+C280+C283+C285+C286+C287+C288+C290+C292+C293+C294+C295+C296+C297+C298+C300+C301+C302+C303+C309+C310+C311+C312+C313+C314+C315+C316+C322+C323+C324+C326+C325+C327+C328+C329+C360+C361+C362+C363+C364+C365+C366+C367+C40</f>
        <v>357418.37000000011</v>
      </c>
      <c r="D371" s="135">
        <f t="shared" si="220"/>
        <v>208593.12200226975</v>
      </c>
      <c r="E371" s="135">
        <f t="shared" si="220"/>
        <v>45890.525164041159</v>
      </c>
      <c r="F371" s="135">
        <f t="shared" si="220"/>
        <v>16628.7</v>
      </c>
      <c r="G371" s="135">
        <f t="shared" si="220"/>
        <v>0</v>
      </c>
      <c r="H371" s="135">
        <f t="shared" si="220"/>
        <v>174274.2746037615</v>
      </c>
      <c r="I371" s="135">
        <f t="shared" si="220"/>
        <v>57326.97460740267</v>
      </c>
      <c r="J371" s="135">
        <f t="shared" si="220"/>
        <v>0</v>
      </c>
      <c r="K371" s="135">
        <f t="shared" si="220"/>
        <v>502713.59637747501</v>
      </c>
      <c r="L371" s="135">
        <f t="shared" si="220"/>
        <v>102319.19886095823</v>
      </c>
      <c r="M371" s="135">
        <f t="shared" si="220"/>
        <v>22510.117798914507</v>
      </c>
      <c r="N371" s="135">
        <f t="shared" si="220"/>
        <v>8705.7000000000007</v>
      </c>
      <c r="O371" s="135">
        <f t="shared" si="220"/>
        <v>643.46365897282044</v>
      </c>
      <c r="P371" s="135">
        <f t="shared" si="220"/>
        <v>85485.101274516157</v>
      </c>
      <c r="Q371" s="135">
        <f t="shared" si="220"/>
        <v>28273.522258319321</v>
      </c>
      <c r="R371" s="135">
        <f t="shared" si="220"/>
        <v>247937.10385168105</v>
      </c>
      <c r="S371" s="135">
        <f t="shared" si="220"/>
        <v>8669.9513999999999</v>
      </c>
      <c r="T371" s="135">
        <f t="shared" si="220"/>
        <v>1115.9340210532853</v>
      </c>
      <c r="U371" s="135">
        <f t="shared" si="220"/>
        <v>9785.8854210532882</v>
      </c>
      <c r="V371" s="135">
        <f t="shared" si="220"/>
        <v>0</v>
      </c>
      <c r="W371" s="135">
        <f t="shared" si="220"/>
        <v>0</v>
      </c>
      <c r="X371" s="135">
        <f t="shared" si="220"/>
        <v>0</v>
      </c>
      <c r="Y371" s="135">
        <f t="shared" si="220"/>
        <v>59618.289999999994</v>
      </c>
      <c r="Z371" s="135">
        <f t="shared" si="220"/>
        <v>0</v>
      </c>
      <c r="AA371" s="135">
        <f t="shared" si="220"/>
        <v>7673.6391034465178</v>
      </c>
      <c r="AB371" s="135">
        <f t="shared" si="220"/>
        <v>67291.929103446528</v>
      </c>
      <c r="AC371" s="135">
        <f t="shared" si="220"/>
        <v>1684.9700000000003</v>
      </c>
      <c r="AD371" s="135">
        <f t="shared" si="220"/>
        <v>216.87726501605928</v>
      </c>
      <c r="AE371" s="135">
        <f t="shared" si="220"/>
        <v>1901.8472650160595</v>
      </c>
      <c r="AF371" s="135">
        <f t="shared" si="220"/>
        <v>43768.999999999993</v>
      </c>
      <c r="AG371" s="135">
        <f t="shared" si="220"/>
        <v>5633.6320602075366</v>
      </c>
      <c r="AH371" s="135">
        <f t="shared" si="220"/>
        <v>49402.632060207521</v>
      </c>
      <c r="AI371" s="135">
        <f t="shared" si="220"/>
        <v>20152</v>
      </c>
      <c r="AJ371" s="135">
        <f t="shared" si="220"/>
        <v>2593.8210440563494</v>
      </c>
      <c r="AK371" s="135">
        <f t="shared" si="220"/>
        <v>22745.821044056345</v>
      </c>
      <c r="AL371" s="135">
        <f t="shared" si="220"/>
        <v>65003.75</v>
      </c>
      <c r="AM371" s="135">
        <f t="shared" si="220"/>
        <v>0</v>
      </c>
      <c r="AN371" s="135">
        <f t="shared" si="220"/>
        <v>8366.8169259913611</v>
      </c>
      <c r="AO371" s="135">
        <f t="shared" si="220"/>
        <v>73370.56692599137</v>
      </c>
      <c r="AP371" s="135">
        <f t="shared" si="220"/>
        <v>258464.17584394678</v>
      </c>
      <c r="AQ371" s="135">
        <f t="shared" si="220"/>
        <v>19009.899999999998</v>
      </c>
      <c r="AR371" s="135">
        <f t="shared" si="220"/>
        <v>173501.48671918048</v>
      </c>
      <c r="AS371" s="135">
        <f>AS10+AS11+AS21+AS19+AS22+AS32+AS33+AS34+AS35+AS36+AS37+AS38+AS39+AS46+AS52+AS54+AS53+AS55+AS56+AS57+AS58+AS59+AS60+AS61+AS62+AS64+AS63+AS97+AS98+AS99+AS100+AS101+AS102+AS103+AS104+AS105+AS106+AS107+AS108+AS109+AS110+AS111+AS112+AS113+AS114+AS115+AS134+AS136+AS137+AS138+AS139+AS140+AS141+AS142+AS143+AS144+AS146+AS162+AS163+AS164+AS172+AS180+AS186+AS189+AS190+AS191+AS192+AS193+AS194+AS195+AS196+AS199+AS201+AS207+AS217+AS218+AS219+AS220+AS221+AS222+AS223+AS224+AS225+AS226+AS228+AS227+AS229+AS230+AS231+AS232+AS233+AS234+AS235+AS236+AS237+AS238+AS239+AS254+AS255+AS256+AS257+AS258+AS259+AS260+AS261+AS262+AS263+AS264+AS265+AS266+AS267+AS268+AS278+AS280+AS283+AS285+AS286+AS287+AS288+AS290+AS292+AS293+AS294+AS295+AS296+AS297+AS298+AS300+AS301+AS302+AS303+AS309+AS310+AS311+AS312+AS313+AS314+AS315+AS316+AS322+AS323+AS324+AS326+AS325+AS327+AS328+AS329+AS360+AS361+AS362+AS363+AS364+AS365+AS366+AS367+AS40</f>
        <v>83121.861215379628</v>
      </c>
      <c r="AT371" s="135">
        <f>AT10+AT11+AT21+AT19+AT22+AT32+AT33+AT34+AT35+AT36+AT37+AT38+AT39+AT46+AT52+AT54+AT53+AT55+AT56+AT57+AT58+AT59+AT60+AT61+AT62+AT64+AT63+AT97+AT98+AT99+AT100+AT101+AT102+AT103+AT104+AT105+AT106+AT107+AT108+AT109+AT110+AT111+AT112+AT113+AT114+AT115+AT134+AT136+AT137+AT138+AT139+AT140+AT141+AT142+AT143+AT144+AT146+AT162+AT163+AT164+AT172+AT180+AT186+AT189+AT190+AT191+AT192+AT193+AT194+AT195+AT196+AT199+AT201+AT207+AT217+AT218+AT219+AT220+AT221+AT222+AT223+AT224+AT225+AT226+AT228+AT227+AT229+AT230+AT231+AT232+AT233+AT234+AT235+AT236+AT237+AT238+AT239+AT254+AT255+AT256+AT257+AT258+AT259+AT260+AT261+AT262+AT263+AT264+AT265+AT266+AT267+AT268+AT278+AT280+AT283+AT285+AT286+AT287+AT288+AT290+AT292+AT293+AT294+AT295+AT296+AT297+AT298+AT300+AT301+AT302+AT303+AT309+AT310+AT311+AT312+AT313+AT314+AT315+AT316+AT322+AT323+AT324+AT326+AT325+AT327+AT328+AT329+AT360+AT361+AT362+AT363+AT364+AT365+AT366+AT367+AT40</f>
        <v>1840.8279093866315</v>
      </c>
      <c r="AU371" s="135">
        <f>AU10+AU11+AU21+AU19+AU22+AU32+AU33+AU34+AU35+AU36+AU37+AU38+AU39+AU46+AU52+AU54+AU53+AU55+AU56+AU57+AU58+AU59+AU60+AU61+AU62+AU64+AU63+AU97+AU98+AU99+AU100+AU101+AU102+AU103+AU104+AU105+AU106+AU107+AU108+AU109+AU110+AU111+AU112+AU113+AU114+AU115+AU134+AU136+AU137+AU138+AU139+AU140+AU141+AU142+AU143+AU144+AU146+AU162+AU163+AU164+AU172+AU180+AU186+AU189+AU190+AU191+AU192+AU193+AU194+AU195+AU196+AU199+AU201+AU207+AU217+AU218+AU219+AU220+AU221+AU222+AU223+AU224+AU225+AU226+AU228+AU227+AU229+AU230+AU231+AU232+AU233+AU234+AU235+AU236+AU237+AU238+AU239+AU254+AU255+AU256+AU257+AU258+AU259+AU260+AU261+AU262+AU263+AU264+AU265+AU266+AU267+AU268+AU278+AU280+AU283+AU285+AU286+AU287+AU288+AU290+AU292+AU293+AU294+AU295+AU296+AU297+AU298+AU300+AU301+AU302+AU303+AU309+AU310+AU311+AU312+AU313+AU314+AU315+AU316+AU322+AU323+AU324+AU326+AU325+AU327+AU328+AU329+AU360+AU361+AU362+AU363+AU364+AU365+AU366+AU367+AU40</f>
        <v>9538.0174948530021</v>
      </c>
      <c r="AV371" s="135">
        <f t="shared" si="220"/>
        <v>0</v>
      </c>
      <c r="AW371" s="135">
        <f t="shared" si="220"/>
        <v>0</v>
      </c>
      <c r="AX371" s="135">
        <f t="shared" si="220"/>
        <v>10778.299999999996</v>
      </c>
      <c r="AY371" s="135">
        <f t="shared" si="220"/>
        <v>7218.9000000000005</v>
      </c>
      <c r="AZ371" s="135">
        <f t="shared" si="220"/>
        <v>0</v>
      </c>
      <c r="BA371" s="135">
        <f t="shared" si="220"/>
        <v>1486.8</v>
      </c>
      <c r="BB371" s="408"/>
      <c r="BC371" s="135">
        <f t="shared" ref="BC371:BH371" si="221">BC10+BC11+BC21+BC19+BC22+BC32+BC33+BC34+BC35+BC36+BC37+BC38+BC39+BC46+BC52+BC54+BC53+BC55+BC56+BC57+BC58+BC59+BC60+BC61+BC62+BC64+BC63+BC97+BC98+BC99+BC100+BC101+BC102+BC103+BC104+BC105+BC106+BC107+BC108+BC109+BC110+BC111+BC112+BC113+BC114+BC115+BC134+BC136+BC137+BC138+BC139+BC140+BC141+BC142+BC143+BC144+BC146+BC162+BC163+BC164+BC172+BC180+BC186+BC189+BC190+BC191+BC192+BC193+BC194+BC195+BC196+BC199+BC201+BC207+BC217+BC218+BC219+BC220+BC221+BC222+BC223+BC224+BC225+BC226+BC228+BC227+BC229+BC230+BC231+BC232+BC233+BC234+BC235+BC236+BC237+BC238+BC239+BC254+BC255+BC256+BC257+BC258+BC259+BC260+BC261+BC262+BC263+BC264+BC265+BC266+BC267+BC268+BC278+BC280+BC283+BC285+BC286+BC287+BC288+BC290+BC292+BC293+BC294+BC295+BC296+BC297+BC298+BC300+BC301+BC302+BC303+BC309+BC310+BC311+BC312+BC313+BC314+BC315+BC316+BC322+BC323+BC324+BC326+BC325+BC327+BC328+BC329+BC360+BC361+BC362+BC363+BC364+BC365+BC366+BC367+BC40</f>
        <v>0</v>
      </c>
      <c r="BD371" s="135">
        <f t="shared" si="221"/>
        <v>10778.299999999996</v>
      </c>
      <c r="BE371" s="135">
        <f t="shared" si="221"/>
        <v>0</v>
      </c>
      <c r="BF371" s="135">
        <f t="shared" si="221"/>
        <v>0</v>
      </c>
      <c r="BG371" s="135">
        <f t="shared" si="221"/>
        <v>0</v>
      </c>
      <c r="BH371" s="135">
        <f t="shared" si="221"/>
        <v>0</v>
      </c>
      <c r="BJ371" s="135">
        <f t="shared" ref="BJ371:BO371" si="222">BJ10+BJ11+BJ21+BJ19+BJ22+BJ32+BJ33+BJ34+BJ35+BJ36+BJ37+BJ38+BJ39+BJ46+BJ52+BJ54+BJ53+BJ55+BJ56+BJ57+BJ58+BJ59+BJ60+BJ61+BJ62+BJ64+BJ63+BJ97+BJ98+BJ99+BJ100+BJ101+BJ102+BJ103+BJ104+BJ105+BJ106+BJ107+BJ108+BJ109+BJ110+BJ111+BJ112+BJ113+BJ114+BJ115+BJ134+BJ136+BJ137+BJ138+BJ139+BJ140+BJ141+BJ142+BJ143+BJ144+BJ146+BJ162+BJ163+BJ164+BJ172+BJ180+BJ186+BJ189+BJ190+BJ191+BJ192+BJ193+BJ194+BJ195+BJ196+BJ199+BJ201+BJ207+BJ217+BJ218+BJ219+BJ220+BJ221+BJ222+BJ223+BJ224+BJ225+BJ226+BJ228+BJ227+BJ229+BJ230+BJ231+BJ232+BJ233+BJ234+BJ235+BJ236+BJ237+BJ238+BJ239+BJ254+BJ255+BJ256+BJ257+BJ258+BJ259+BJ260+BJ261+BJ262+BJ263+BJ264+BJ265+BJ266+BJ267+BJ268+BJ278+BJ280+BJ283+BJ285+BJ286+BJ287+BJ288+BJ290+BJ292+BJ293+BJ294+BJ295+BJ296+BJ297+BJ298+BJ300+BJ301+BJ302+BJ303+BJ309+BJ310+BJ311+BJ312+BJ313+BJ314+BJ315+BJ316+BJ322+BJ323+BJ324+BJ326+BJ325+BJ327+BJ328+BJ329+BJ360+BJ361+BJ362+BJ363+BJ364+BJ365+BJ366+BJ367+BJ40</f>
        <v>39408.869999999988</v>
      </c>
      <c r="BK371" s="135"/>
      <c r="BL371" s="135">
        <f t="shared" si="222"/>
        <v>0</v>
      </c>
      <c r="BM371" s="135">
        <f t="shared" si="222"/>
        <v>5850.4000000000033</v>
      </c>
      <c r="BN371" s="135">
        <f t="shared" si="222"/>
        <v>0</v>
      </c>
      <c r="BO371" s="135" t="e">
        <f t="shared" si="222"/>
        <v>#VALUE!</v>
      </c>
      <c r="BU371" s="789"/>
      <c r="BV371" s="789"/>
      <c r="BW371" s="789"/>
    </row>
    <row r="372" spans="1:78" ht="13.8" x14ac:dyDescent="0.3">
      <c r="A372" s="15" t="s">
        <v>1007</v>
      </c>
      <c r="C372" s="135">
        <f t="shared" ref="C372:BA372" si="223">C9+C12+C13+C14+C20+C23+C24+C25+C26+C27+C28+C29+C30+C31+C41+C42+C43+C44+C45+C47+C48+C75+C76+C77+C83+C84+C85+C116+C117+C118+C120+C121+C122+C123+C124+C125+C128+C129+C130+C131+C132+C133+C165+C166+C167+C168+C169+C170+C171+C173+C174+C175+C176+C177+C179+C178+C181+C182+C183+C184+C185+C240+C241+C242+C243+C244+C245+C246+C247+C248+C249+C250+C270+C281+C282+C284+C289+C291+C299+C304+C305+C306+C307+C308+C330+C331+C332+C333+C334+C335+C336+C337+C338+C339+C340+C341+C342+C343+C344+C345+C346+C347+C348+C349+C350+C351+C352+C353+C354+C355+C356+C357+C358+C359+C119</f>
        <v>313942.36</v>
      </c>
      <c r="D372" s="135">
        <f t="shared" si="223"/>
        <v>132477.80726960284</v>
      </c>
      <c r="E372" s="135">
        <f t="shared" si="223"/>
        <v>29145.141938651996</v>
      </c>
      <c r="F372" s="135">
        <f t="shared" si="223"/>
        <v>13640.159999999998</v>
      </c>
      <c r="G372" s="135">
        <f t="shared" si="223"/>
        <v>0</v>
      </c>
      <c r="H372" s="135">
        <f t="shared" si="223"/>
        <v>110681.85538138567</v>
      </c>
      <c r="I372" s="135">
        <f t="shared" si="223"/>
        <v>36804.78694891608</v>
      </c>
      <c r="J372" s="135">
        <f t="shared" si="223"/>
        <v>0</v>
      </c>
      <c r="K372" s="135">
        <f t="shared" si="223"/>
        <v>322749.75153855671</v>
      </c>
      <c r="L372" s="135">
        <f t="shared" si="223"/>
        <v>108912.32024147184</v>
      </c>
      <c r="M372" s="135">
        <f t="shared" si="223"/>
        <v>23960.59767551695</v>
      </c>
      <c r="N372" s="135">
        <f t="shared" si="223"/>
        <v>6105.5099999999993</v>
      </c>
      <c r="O372" s="135">
        <f t="shared" si="223"/>
        <v>565.19338855516094</v>
      </c>
      <c r="P372" s="135">
        <f t="shared" si="223"/>
        <v>90993.487336982071</v>
      </c>
      <c r="Q372" s="135">
        <f t="shared" si="223"/>
        <v>29673.084747562956</v>
      </c>
      <c r="R372" s="135">
        <f t="shared" si="223"/>
        <v>260210.19339008894</v>
      </c>
      <c r="S372" s="135">
        <f t="shared" si="223"/>
        <v>8761.5725999999995</v>
      </c>
      <c r="T372" s="135">
        <f t="shared" si="223"/>
        <v>1127.7268454201817</v>
      </c>
      <c r="U372" s="135">
        <f t="shared" si="223"/>
        <v>9889.2994454201835</v>
      </c>
      <c r="V372" s="135">
        <f t="shared" si="223"/>
        <v>0</v>
      </c>
      <c r="W372" s="135">
        <f t="shared" si="223"/>
        <v>0</v>
      </c>
      <c r="X372" s="135">
        <f t="shared" si="223"/>
        <v>0</v>
      </c>
      <c r="Y372" s="135">
        <f t="shared" si="223"/>
        <v>123936.49500000001</v>
      </c>
      <c r="Z372" s="135">
        <f t="shared" si="223"/>
        <v>0</v>
      </c>
      <c r="AA372" s="135">
        <f t="shared" si="223"/>
        <v>15952.217589201295</v>
      </c>
      <c r="AB372" s="135">
        <f t="shared" si="223"/>
        <v>139888.71258920134</v>
      </c>
      <c r="AC372" s="135">
        <f t="shared" si="223"/>
        <v>2127.8410000000003</v>
      </c>
      <c r="AD372" s="135">
        <f t="shared" si="223"/>
        <v>273.88044681450504</v>
      </c>
      <c r="AE372" s="135">
        <f t="shared" si="223"/>
        <v>2401.7214468145053</v>
      </c>
      <c r="AF372" s="135">
        <f t="shared" si="223"/>
        <v>51917.799999999996</v>
      </c>
      <c r="AG372" s="135">
        <f t="shared" si="223"/>
        <v>6682.4872072801081</v>
      </c>
      <c r="AH372" s="135">
        <f t="shared" si="223"/>
        <v>58600.287207280118</v>
      </c>
      <c r="AI372" s="135">
        <f t="shared" si="223"/>
        <v>32856.999999999993</v>
      </c>
      <c r="AJ372" s="135">
        <f t="shared" si="223"/>
        <v>4229.1176084041017</v>
      </c>
      <c r="AK372" s="135">
        <f t="shared" si="223"/>
        <v>37086.1176084041</v>
      </c>
      <c r="AL372" s="135">
        <f t="shared" si="223"/>
        <v>75118.75</v>
      </c>
      <c r="AM372" s="135">
        <f t="shared" si="223"/>
        <v>0</v>
      </c>
      <c r="AN372" s="135">
        <f t="shared" si="223"/>
        <v>9668.7472485712533</v>
      </c>
      <c r="AO372" s="135">
        <f t="shared" si="223"/>
        <v>84787.497248571264</v>
      </c>
      <c r="AP372" s="135">
        <f t="shared" si="223"/>
        <v>168835.83227629817</v>
      </c>
      <c r="AQ372" s="135">
        <f t="shared" si="223"/>
        <v>18973.129999999994</v>
      </c>
      <c r="AR372" s="135">
        <f t="shared" si="223"/>
        <v>98179.142868546784</v>
      </c>
      <c r="AS372" s="135">
        <f>AS9+AS12+AS13+AS14+AS20+AS23+AS24+AS25+AS26+AS27+AS28+AS29+AS30+AS31+AS41+AS42+AS43+AS44+AS45+AS47+AS48+AS75+AS76+AS77+AS83+AS84+AS85+AS116+AS117+AS118+AS120+AS121+AS122+AS123+AS124+AS125+AS128+AS129+AS130+AS131+AS132+AS133+AS165+AS166+AS167+AS168+AS169+AS170+AS171+AS173+AS174+AS175+AS176+AS177+AS179+AS178+AS181+AS182+AS183+AS184+AS185+AS240+AS241+AS242+AS243+AS244+AS245+AS246+AS247+AS248+AS249+AS250+AS270+AS281+AS282+AS284+AS289+AS291+AS299+AS304+AS305+AS306+AS307+AS308+AS330+AS331+AS332+AS333+AS334+AS335+AS336+AS337+AS338+AS339+AS340+AS341+AS342+AS343+AS344+AS345+AS346+AS347+AS348+AS349+AS350+AS351+AS352+AS353+AS354+AS355+AS356+AS357+AS358+AS359+AS119</f>
        <v>68545.523576103675</v>
      </c>
      <c r="AT372" s="135">
        <f>AT9+AT12+AT13+AT14+AT20+AT23+AT24+AT25+AT26+AT27+AT28+AT29+AT30+AT31+AT41+AT42+AT43+AT44+AT45+AT47+AT48+AT75+AT76+AT77+AT83+AT84+AT85+AT116+AT117+AT118+AT120+AT121+AT122+AT123+AT124+AT125+AT128+AT129+AT130+AT131+AT132+AT133+AT165+AT166+AT167+AT168+AT169+AT170+AT171+AT173+AT174+AT175+AT176+AT177+AT179+AT178+AT181+AT182+AT183+AT184+AT185+AT240+AT241+AT242+AT243+AT244+AT245+AT246+AT247+AT248+AT249+AT250+AT270+AT281+AT282+AT284+AT289+AT291+AT299+AT304+AT305+AT306+AT307+AT308+AT330+AT331+AT332+AT333+AT334+AT335+AT336+AT337+AT338+AT339+AT340+AT341+AT342+AT343+AT344+AT345+AT346+AT347+AT348+AT349+AT350+AT351+AT352+AT353+AT354+AT355+AT356+AT357+AT358+AT359+AT119</f>
        <v>2111.1658316477365</v>
      </c>
      <c r="AU372" s="135">
        <f>AU9+AU12+AU13+AU14+AU20+AU23+AU24+AU25+AU26+AU27+AU28+AU29+AU30+AU31+AU41+AU42+AU43+AU44+AU45+AU47+AU48+AU75+AU76+AU77+AU83+AU84+AU85+AU116+AU117+AU118+AU120+AU121+AU122+AU123+AU124+AU125+AU128+AU129+AU130+AU131+AU132+AU133+AU165+AU166+AU167+AU168+AU169+AU170+AU171+AU173+AU174+AU175+AU176+AU177+AU179+AU178+AU181+AU182+AU183+AU184+AU185+AU240+AU241+AU242+AU243+AU244+AU245+AU246+AU247+AU248+AU249+AU250+AU270+AU281+AU282+AU284+AU289+AU291+AU299+AU304+AU305+AU306+AU307+AU308+AU330+AU331+AU332+AU333+AU334+AU335+AU336+AU337+AU338+AU339+AU340+AU341+AU342+AU343+AU344+AU345+AU346+AU347+AU348+AU349+AU350+AU351+AU352+AU353+AU354+AU355+AU356+AU357+AU358+AU359+AU119</f>
        <v>29933.340000000004</v>
      </c>
      <c r="AV372" s="135">
        <f t="shared" si="223"/>
        <v>5111.9999999999982</v>
      </c>
      <c r="AW372" s="135">
        <f t="shared" si="223"/>
        <v>0</v>
      </c>
      <c r="AX372" s="135">
        <f t="shared" si="223"/>
        <v>9544.8500000000022</v>
      </c>
      <c r="AY372" s="135">
        <f t="shared" si="223"/>
        <v>5878.5800000000008</v>
      </c>
      <c r="AZ372" s="135">
        <f t="shared" si="223"/>
        <v>0</v>
      </c>
      <c r="BA372" s="135">
        <f t="shared" si="223"/>
        <v>226.93</v>
      </c>
      <c r="BB372" s="409"/>
      <c r="BC372" s="135">
        <f t="shared" ref="BC372:BH372" si="224">BC9+BC12+BC13+BC14+BC20+BC23+BC24+BC25+BC26+BC27+BC28+BC29+BC30+BC31+BC41+BC42+BC43+BC44+BC45+BC47+BC48+BC75+BC76+BC77+BC83+BC84+BC85+BC116+BC117+BC118+BC120+BC121+BC122+BC123+BC124+BC125+BC128+BC129+BC130+BC131+BC132+BC133+BC165+BC166+BC167+BC168+BC169+BC170+BC171+BC173+BC174+BC175+BC176+BC177+BC179+BC178+BC181+BC182+BC183+BC184+BC185+BC240+BC241+BC242+BC243+BC244+BC245+BC246+BC247+BC248+BC249+BC250+BC270+BC281+BC282+BC284+BC289+BC291+BC299+BC304+BC305+BC306+BC307+BC308+BC330+BC331+BC332+BC333+BC334+BC335+BC336+BC337+BC338+BC339+BC340+BC341+BC342+BC343+BC344+BC345+BC346+BC347+BC348+BC349+BC350+BC351+BC352+BC353+BC354+BC355+BC356+BC357+BC358+BC359+BC119</f>
        <v>1687.1999999999985</v>
      </c>
      <c r="BD372" s="135">
        <f t="shared" si="224"/>
        <v>7857.65</v>
      </c>
      <c r="BE372" s="135">
        <f t="shared" si="224"/>
        <v>0</v>
      </c>
      <c r="BF372" s="135">
        <f t="shared" si="224"/>
        <v>0</v>
      </c>
      <c r="BG372" s="135">
        <f t="shared" si="224"/>
        <v>0</v>
      </c>
      <c r="BH372" s="135">
        <f t="shared" si="224"/>
        <v>2434.7500000000005</v>
      </c>
      <c r="BJ372" s="135">
        <f t="shared" ref="BJ372:BO372" si="225">BJ9+BJ12+BJ13+BJ14+BJ20+BJ23+BJ24+BJ25+BJ26+BJ27+BJ28+BJ29+BJ30+BJ31+BJ41+BJ42+BJ43+BJ44+BJ45+BJ47+BJ48+BJ75+BJ76+BJ77+BJ83+BJ84+BJ85+BJ116+BJ117+BJ118+BJ120+BJ121+BJ122+BJ123+BJ124+BJ125+BJ128+BJ129+BJ130+BJ131+BJ132+BJ133+BJ165+BJ166+BJ167+BJ168+BJ169+BJ170+BJ171+BJ173+BJ174+BJ175+BJ176+BJ177+BJ179+BJ178+BJ181+BJ182+BJ183+BJ184+BJ185+BJ240+BJ241+BJ242+BJ243+BJ244+BJ245+BJ246+BJ247+BJ248+BJ249+BJ250+BJ270+BJ281+BJ282+BJ284+BJ289+BJ291+BJ299+BJ304+BJ305+BJ306+BJ307+BJ308+BJ330+BJ331+BJ332+BJ333+BJ334+BJ335+BJ336+BJ337+BJ338+BJ339+BJ340+BJ341+BJ342+BJ343+BJ344+BJ345+BJ346+BJ347+BJ348+BJ349+BJ350+BJ351+BJ352+BJ353+BJ354+BJ355+BJ356+BJ357+BJ358+BJ359+BJ119</f>
        <v>39825.329999999994</v>
      </c>
      <c r="BK372" s="135"/>
      <c r="BL372" s="135">
        <f t="shared" si="225"/>
        <v>0</v>
      </c>
      <c r="BM372" s="135">
        <f t="shared" si="225"/>
        <v>4095.3100000000013</v>
      </c>
      <c r="BN372" s="135">
        <f t="shared" si="225"/>
        <v>0</v>
      </c>
      <c r="BO372" s="135" t="e">
        <f t="shared" si="225"/>
        <v>#VALUE!</v>
      </c>
      <c r="BU372" s="789"/>
      <c r="BV372" s="789"/>
      <c r="BW372" s="789"/>
    </row>
    <row r="373" spans="1:78" s="287" customFormat="1" ht="13.8" x14ac:dyDescent="0.3">
      <c r="C373" s="291">
        <f t="shared" ref="C373:AP373" si="226">SUM(C370:C372)</f>
        <v>1010381.87</v>
      </c>
      <c r="D373" s="291">
        <f t="shared" si="226"/>
        <v>544295.00000000023</v>
      </c>
      <c r="E373" s="291">
        <f t="shared" si="226"/>
        <v>119745</v>
      </c>
      <c r="F373" s="291">
        <f t="shared" si="226"/>
        <v>41681.909999999996</v>
      </c>
      <c r="G373" s="291">
        <f t="shared" si="226"/>
        <v>0</v>
      </c>
      <c r="H373" s="291">
        <f t="shared" si="226"/>
        <v>454744.69812299113</v>
      </c>
      <c r="I373" s="291">
        <f t="shared" si="226"/>
        <v>149366.94665909617</v>
      </c>
      <c r="J373" s="291">
        <f t="shared" si="226"/>
        <v>0</v>
      </c>
      <c r="K373" s="291">
        <f t="shared" si="226"/>
        <v>1309833.5547820874</v>
      </c>
      <c r="L373" s="291">
        <f t="shared" si="226"/>
        <v>328346.99999999988</v>
      </c>
      <c r="M373" s="291">
        <f t="shared" si="226"/>
        <v>72236</v>
      </c>
      <c r="N373" s="291">
        <f t="shared" si="226"/>
        <v>22808.66</v>
      </c>
      <c r="O373" s="291">
        <f t="shared" si="226"/>
        <v>1819.0000000000009</v>
      </c>
      <c r="P373" s="291">
        <f t="shared" si="226"/>
        <v>274325.6090807186</v>
      </c>
      <c r="Q373" s="291">
        <f t="shared" si="226"/>
        <v>90039.296140444261</v>
      </c>
      <c r="R373" s="291">
        <f t="shared" si="226"/>
        <v>789575.56522116286</v>
      </c>
      <c r="S373" s="291">
        <f t="shared" si="226"/>
        <v>24694.823999999997</v>
      </c>
      <c r="T373" s="291">
        <f t="shared" si="226"/>
        <v>3178.5407984551307</v>
      </c>
      <c r="U373" s="291">
        <f t="shared" si="226"/>
        <v>27873.364798455135</v>
      </c>
      <c r="V373" s="291">
        <f t="shared" si="226"/>
        <v>0</v>
      </c>
      <c r="W373" s="291">
        <f t="shared" si="226"/>
        <v>0</v>
      </c>
      <c r="X373" s="291">
        <f t="shared" si="226"/>
        <v>0</v>
      </c>
      <c r="Y373" s="291">
        <f t="shared" si="226"/>
        <v>386266.57999999996</v>
      </c>
      <c r="Z373" s="291">
        <f t="shared" si="226"/>
        <v>0</v>
      </c>
      <c r="AA373" s="291">
        <f t="shared" si="226"/>
        <v>49717.466445994221</v>
      </c>
      <c r="AB373" s="291">
        <f t="shared" si="226"/>
        <v>435984.04644599423</v>
      </c>
      <c r="AC373" s="291">
        <f t="shared" si="226"/>
        <v>10244.380999999999</v>
      </c>
      <c r="AD373" s="291">
        <f t="shared" si="226"/>
        <v>1318.5833178409598</v>
      </c>
      <c r="AE373" s="291">
        <f t="shared" si="226"/>
        <v>11562.964317840962</v>
      </c>
      <c r="AF373" s="291">
        <f t="shared" si="226"/>
        <v>147587</v>
      </c>
      <c r="AG373" s="291">
        <f t="shared" si="226"/>
        <v>18996.341128877746</v>
      </c>
      <c r="AH373" s="291">
        <f t="shared" si="226"/>
        <v>166583.34112887774</v>
      </c>
      <c r="AI373" s="291">
        <f t="shared" si="226"/>
        <v>109256.4</v>
      </c>
      <c r="AJ373" s="291">
        <f t="shared" si="226"/>
        <v>14062.700948681922</v>
      </c>
      <c r="AK373" s="291">
        <f t="shared" si="226"/>
        <v>123319.10094868194</v>
      </c>
      <c r="AL373" s="291">
        <f t="shared" si="226"/>
        <v>170148.75</v>
      </c>
      <c r="AM373" s="291">
        <f t="shared" si="226"/>
        <v>0</v>
      </c>
      <c r="AN373" s="291">
        <f t="shared" si="226"/>
        <v>21900.327926254602</v>
      </c>
      <c r="AO373" s="291">
        <f t="shared" si="226"/>
        <v>192049.0779262546</v>
      </c>
      <c r="AP373" s="291">
        <f t="shared" si="226"/>
        <v>707499.21839442174</v>
      </c>
      <c r="AQ373" s="291">
        <f>SUM(AQ370:AQ372)</f>
        <v>45586.229999999996</v>
      </c>
      <c r="AR373" s="291">
        <f t="shared" ref="AR373:BA373" si="227">SUM(AR370:AR372)</f>
        <v>451633.69843806338</v>
      </c>
      <c r="AS373" s="291">
        <f>SUM(AS370:AS372)</f>
        <v>249447.3224783474</v>
      </c>
      <c r="AT373" s="291">
        <f>SUM(AT370:AT372)</f>
        <v>6418.1974780109376</v>
      </c>
      <c r="AU373" s="291">
        <f>SUM(AU370:AU372)</f>
        <v>47391.58</v>
      </c>
      <c r="AV373" s="291">
        <f t="shared" si="227"/>
        <v>5111.9999999999982</v>
      </c>
      <c r="AW373" s="291">
        <f t="shared" si="227"/>
        <v>0</v>
      </c>
      <c r="AX373" s="291">
        <f t="shared" si="227"/>
        <v>31736.199999999993</v>
      </c>
      <c r="AY373" s="291">
        <f t="shared" si="227"/>
        <v>20641.330000000002</v>
      </c>
      <c r="AZ373" s="291">
        <f t="shared" si="227"/>
        <v>0</v>
      </c>
      <c r="BA373" s="291">
        <f t="shared" si="227"/>
        <v>2167.33</v>
      </c>
      <c r="BB373" s="291"/>
      <c r="BC373" s="291">
        <f t="shared" ref="BC373:BH373" si="228">SUM(BC370:BC372)</f>
        <v>3377.1999999999985</v>
      </c>
      <c r="BD373" s="291">
        <f t="shared" si="228"/>
        <v>28358.999999999993</v>
      </c>
      <c r="BE373" s="291">
        <f t="shared" si="228"/>
        <v>0</v>
      </c>
      <c r="BF373" s="291">
        <f t="shared" si="228"/>
        <v>0</v>
      </c>
      <c r="BG373" s="291">
        <f t="shared" si="228"/>
        <v>0</v>
      </c>
      <c r="BH373" s="291">
        <f t="shared" si="228"/>
        <v>3064.75</v>
      </c>
      <c r="BI373" s="288"/>
      <c r="BJ373" s="291">
        <f t="shared" ref="BJ373:BO373" si="229">SUM(BJ370:BJ372)</f>
        <v>112249.19999999998</v>
      </c>
      <c r="BK373" s="291"/>
      <c r="BL373" s="291">
        <f t="shared" si="229"/>
        <v>0</v>
      </c>
      <c r="BM373" s="291">
        <f t="shared" si="229"/>
        <v>9945.7100000000046</v>
      </c>
      <c r="BN373" s="291">
        <f t="shared" si="229"/>
        <v>0</v>
      </c>
      <c r="BO373" s="291" t="e">
        <f t="shared" si="229"/>
        <v>#VALUE!</v>
      </c>
      <c r="BU373" s="789"/>
      <c r="BV373" s="789"/>
      <c r="BW373" s="789"/>
      <c r="BY373" s="933"/>
      <c r="BZ373" s="933"/>
    </row>
    <row r="374" spans="1:78" x14ac:dyDescent="0.3">
      <c r="F374" s="744">
        <v>1</v>
      </c>
      <c r="V374" s="284"/>
      <c r="AE374" s="449"/>
      <c r="AF374" s="105"/>
      <c r="AR374" s="104">
        <f>AQ373+AR373+AV368</f>
        <v>502331.92843806336</v>
      </c>
      <c r="AS374" s="104">
        <f>AS368+AT368+AU368</f>
        <v>303257.09995635843</v>
      </c>
      <c r="AT374" s="104">
        <f>AT373+AU373</f>
        <v>53809.777478010939</v>
      </c>
      <c r="AU374" s="104"/>
      <c r="AX374" s="104"/>
      <c r="BC374" s="295"/>
      <c r="BD374" s="296"/>
      <c r="BE374" s="297"/>
      <c r="BF374" s="297"/>
      <c r="BG374" s="296"/>
      <c r="BH374" s="1"/>
      <c r="BU374" s="789"/>
      <c r="BV374" s="789"/>
      <c r="BW374" s="789"/>
    </row>
    <row r="375" spans="1:78" ht="15" thickBot="1" x14ac:dyDescent="0.35">
      <c r="F375" s="725">
        <f>F374</f>
        <v>1</v>
      </c>
      <c r="J375" s="686">
        <v>0</v>
      </c>
      <c r="AL375" s="105">
        <f>AL368-100215-113368.75</f>
        <v>-43435</v>
      </c>
      <c r="AQ375" s="416" t="s">
        <v>983</v>
      </c>
      <c r="AR375" s="104">
        <f>502055+42240</f>
        <v>544295</v>
      </c>
      <c r="AS375" s="104">
        <f>302624+25723</f>
        <v>328347</v>
      </c>
      <c r="AT375" s="104">
        <v>15906.3</v>
      </c>
      <c r="AV375" s="1330" t="s">
        <v>1047</v>
      </c>
      <c r="AW375" s="257"/>
      <c r="AX375" s="29" t="s">
        <v>1048</v>
      </c>
      <c r="BC375" s="104"/>
      <c r="BD375" s="298"/>
      <c r="BE375" s="395" t="e">
        <f>BE370/BB370</f>
        <v>#DIV/0!</v>
      </c>
      <c r="BF375" s="395"/>
      <c r="BG375" s="298"/>
      <c r="BH375" s="104"/>
    </row>
    <row r="376" spans="1:78" ht="15" thickBot="1" x14ac:dyDescent="0.35">
      <c r="J376" s="686">
        <f>J375/F368</f>
        <v>0</v>
      </c>
      <c r="AF376" s="294">
        <v>61864.6</v>
      </c>
      <c r="AH376" s="104"/>
      <c r="AI376" s="792">
        <v>68700.800000000003</v>
      </c>
      <c r="AK376" s="104"/>
      <c r="AL376" s="104"/>
      <c r="AR376" s="1">
        <f>AR375/AR374</f>
        <v>1.0835365406543347</v>
      </c>
      <c r="AS376" s="1">
        <f>AS375/AS374</f>
        <v>1.0827347489877475</v>
      </c>
      <c r="AU376" s="255"/>
      <c r="AV376" s="1330"/>
      <c r="AW376" s="257"/>
      <c r="AX376" s="29" t="s">
        <v>1049</v>
      </c>
      <c r="BB376" s="137"/>
      <c r="BC376" s="299"/>
      <c r="BD376" s="104"/>
      <c r="BE376" s="395" t="e">
        <f>BE371/BB371</f>
        <v>#DIV/0!</v>
      </c>
      <c r="BH376" s="251" t="s">
        <v>1124</v>
      </c>
    </row>
    <row r="377" spans="1:78" ht="14.25" customHeight="1" x14ac:dyDescent="0.3">
      <c r="F377" s="103">
        <f>F368-F369</f>
        <v>41681.910000000018</v>
      </c>
      <c r="AU377" s="104"/>
      <c r="AV377" s="1330"/>
      <c r="AW377" s="567">
        <v>0</v>
      </c>
      <c r="AX377" s="779" t="s">
        <v>1050</v>
      </c>
      <c r="AZ377" s="104"/>
      <c r="BE377" s="395" t="e">
        <f>BE372/BB372</f>
        <v>#DIV/0!</v>
      </c>
      <c r="BH377" s="251">
        <v>0</v>
      </c>
    </row>
    <row r="378" spans="1:78" ht="15" customHeight="1" x14ac:dyDescent="0.3">
      <c r="AL378" s="104"/>
      <c r="AQ378" s="416" t="s">
        <v>984</v>
      </c>
      <c r="AR378" s="1">
        <f>110452+9293</f>
        <v>119745</v>
      </c>
      <c r="AS378" s="1">
        <f>66577+5659</f>
        <v>72236</v>
      </c>
      <c r="AU378" s="104"/>
      <c r="AW378" s="258">
        <f>SUM(AW375:AW377)</f>
        <v>0</v>
      </c>
      <c r="BH378" s="251">
        <v>0</v>
      </c>
      <c r="BJ378" s="303"/>
      <c r="BK378" s="303"/>
    </row>
    <row r="379" spans="1:78" x14ac:dyDescent="0.3">
      <c r="AR379" s="1">
        <f>AR378/AR375</f>
        <v>0.22000018372389973</v>
      </c>
      <c r="AS379" s="1">
        <f>AS378/AS375</f>
        <v>0.2199989645101067</v>
      </c>
      <c r="BC379" s="1">
        <v>7161.5080001509095</v>
      </c>
      <c r="BD379" s="1">
        <v>20609.799999999992</v>
      </c>
      <c r="BE379" s="1">
        <v>17826.02823913821</v>
      </c>
      <c r="BF379" s="1">
        <v>0</v>
      </c>
      <c r="BG379" s="1">
        <v>0</v>
      </c>
      <c r="BH379" s="251">
        <v>22824.536239289118</v>
      </c>
      <c r="BJ379" s="303"/>
      <c r="BK379" s="303"/>
    </row>
    <row r="380" spans="1:78" s="400" customFormat="1" thickBot="1" x14ac:dyDescent="0.35">
      <c r="A380" s="399">
        <v>1</v>
      </c>
      <c r="B380" s="399">
        <v>2</v>
      </c>
      <c r="C380" s="399">
        <v>3</v>
      </c>
      <c r="D380" s="767">
        <v>4</v>
      </c>
      <c r="E380" s="399">
        <v>5</v>
      </c>
      <c r="F380" s="399">
        <v>6</v>
      </c>
      <c r="G380" s="399">
        <v>7</v>
      </c>
      <c r="H380" s="399">
        <v>8</v>
      </c>
      <c r="I380" s="399">
        <v>9</v>
      </c>
      <c r="J380" s="105">
        <v>10</v>
      </c>
      <c r="K380" s="399">
        <v>11</v>
      </c>
      <c r="L380" s="399">
        <v>12</v>
      </c>
      <c r="M380" s="399">
        <v>13</v>
      </c>
      <c r="N380" s="767">
        <v>14</v>
      </c>
      <c r="O380" s="399">
        <v>15</v>
      </c>
      <c r="P380" s="399">
        <v>16</v>
      </c>
      <c r="Q380" s="399">
        <v>17</v>
      </c>
      <c r="R380" s="399">
        <v>18</v>
      </c>
      <c r="S380" s="399">
        <v>19</v>
      </c>
      <c r="T380" s="399">
        <v>20</v>
      </c>
      <c r="U380" s="399">
        <v>21</v>
      </c>
      <c r="V380" s="399">
        <v>22</v>
      </c>
      <c r="W380" s="399">
        <v>23</v>
      </c>
      <c r="X380" s="399">
        <v>24</v>
      </c>
      <c r="Y380" s="399">
        <v>25</v>
      </c>
      <c r="Z380" s="399">
        <v>26</v>
      </c>
      <c r="AA380" s="399">
        <v>27</v>
      </c>
      <c r="AB380" s="399">
        <v>28</v>
      </c>
      <c r="AC380" s="399">
        <v>29</v>
      </c>
      <c r="AD380" s="399">
        <v>30</v>
      </c>
      <c r="AE380" s="399">
        <v>31</v>
      </c>
      <c r="AF380" s="399">
        <v>32</v>
      </c>
      <c r="AG380" s="399">
        <v>33</v>
      </c>
      <c r="AH380" s="399">
        <v>34</v>
      </c>
      <c r="AI380" s="399">
        <v>35</v>
      </c>
      <c r="AJ380" s="399">
        <v>36</v>
      </c>
      <c r="AK380" s="399">
        <v>37</v>
      </c>
      <c r="AL380" s="399">
        <v>38</v>
      </c>
      <c r="AM380" s="399">
        <v>39</v>
      </c>
      <c r="AN380" s="399">
        <v>40</v>
      </c>
      <c r="AO380" s="399">
        <v>41</v>
      </c>
      <c r="AP380" s="399">
        <v>42</v>
      </c>
      <c r="AQ380" s="417">
        <v>43</v>
      </c>
      <c r="AR380" s="399">
        <v>44</v>
      </c>
      <c r="AS380" s="399">
        <v>45</v>
      </c>
      <c r="AT380" s="399">
        <v>46</v>
      </c>
      <c r="AU380" s="399">
        <v>47</v>
      </c>
      <c r="AV380" s="399">
        <v>48</v>
      </c>
      <c r="AW380" s="399">
        <v>49</v>
      </c>
      <c r="AX380" s="399">
        <v>50</v>
      </c>
      <c r="AY380" s="399">
        <v>51</v>
      </c>
      <c r="AZ380" s="399">
        <v>52</v>
      </c>
      <c r="BA380" s="399">
        <v>53</v>
      </c>
      <c r="BB380" s="399"/>
      <c r="BC380" s="399">
        <v>55</v>
      </c>
      <c r="BD380" s="399">
        <v>56</v>
      </c>
      <c r="BE380" s="399">
        <v>57</v>
      </c>
      <c r="BF380" s="399">
        <v>58</v>
      </c>
      <c r="BG380" s="399">
        <v>59</v>
      </c>
      <c r="BH380" s="399">
        <v>60</v>
      </c>
      <c r="BI380" s="768"/>
      <c r="BJ380" s="303"/>
      <c r="BK380" s="303"/>
      <c r="BM380" s="768"/>
      <c r="BY380" s="934"/>
      <c r="BZ380" s="934"/>
    </row>
    <row r="381" spans="1:78" ht="18" x14ac:dyDescent="0.3">
      <c r="AP381" s="104"/>
      <c r="AR381" s="104"/>
      <c r="AT381" s="104"/>
      <c r="AU381" s="457"/>
      <c r="AV381" s="791">
        <f>SUBTOTAL(9,AV7:AV359)</f>
        <v>5111.9999999999982</v>
      </c>
      <c r="AW381" s="773"/>
      <c r="AX381" s="774"/>
      <c r="AY381" s="774"/>
      <c r="AZ381" s="775"/>
      <c r="BJ381" s="303"/>
      <c r="BK381" s="303"/>
    </row>
    <row r="382" spans="1:78" ht="18.600000000000001" thickBot="1" x14ac:dyDescent="0.35">
      <c r="AP382" s="104"/>
      <c r="AQ382" s="416">
        <v>38468.159999999989</v>
      </c>
      <c r="AR382" s="104">
        <v>413393.99215372751</v>
      </c>
      <c r="AS382" s="104">
        <v>228837.67798156937</v>
      </c>
      <c r="AT382" s="104">
        <v>5839.407806460832</v>
      </c>
      <c r="AU382" s="104"/>
      <c r="AW382" s="776"/>
      <c r="AX382" s="777"/>
      <c r="AY382" s="777"/>
      <c r="AZ382" s="778"/>
      <c r="BE382" s="732"/>
      <c r="BJ382" s="303"/>
      <c r="BK382" s="303"/>
    </row>
    <row r="383" spans="1:78" ht="18.600000000000001" thickBot="1" x14ac:dyDescent="0.35">
      <c r="AP383" s="104"/>
      <c r="AR383" s="104"/>
      <c r="AS383" s="104"/>
      <c r="AT383" s="104"/>
      <c r="AU383" s="104"/>
      <c r="AW383" s="1341"/>
      <c r="AX383" s="1342"/>
      <c r="AY383" s="1342"/>
      <c r="AZ383" s="1343"/>
      <c r="BH383" s="252" t="s">
        <v>1122</v>
      </c>
      <c r="BJ383" s="303"/>
      <c r="BK383" s="303"/>
      <c r="BM383" s="104">
        <f>BM373+238.86</f>
        <v>10184.570000000005</v>
      </c>
    </row>
    <row r="384" spans="1:78" x14ac:dyDescent="0.3">
      <c r="AP384" s="104"/>
      <c r="AR384" s="104"/>
      <c r="AS384" s="104"/>
      <c r="AT384" s="104"/>
      <c r="AU384" s="104"/>
      <c r="AV384" s="791">
        <f>56218-AV368</f>
        <v>51106</v>
      </c>
      <c r="BH384" s="420">
        <f>BH368+6249.67</f>
        <v>9314.42</v>
      </c>
      <c r="BI384" s="104" t="s">
        <v>1718</v>
      </c>
      <c r="BJ384" s="303"/>
      <c r="BK384" s="303"/>
    </row>
    <row r="385" spans="37:63" x14ac:dyDescent="0.3">
      <c r="AK385" s="118" t="s">
        <v>1692</v>
      </c>
      <c r="AL385" s="255">
        <v>4437</v>
      </c>
      <c r="AS385" s="457"/>
      <c r="AT385" s="136"/>
      <c r="BH385" s="421">
        <f>BH368</f>
        <v>3064.7500000000005</v>
      </c>
      <c r="BJ385" s="303"/>
      <c r="BK385" s="303"/>
    </row>
    <row r="386" spans="37:63" x14ac:dyDescent="0.3">
      <c r="AK386" s="118" t="s">
        <v>1691</v>
      </c>
      <c r="AL386" s="118">
        <v>70542</v>
      </c>
      <c r="AS386" s="136"/>
      <c r="AT386" s="136"/>
      <c r="AV386" s="793"/>
      <c r="BJ386" s="303"/>
      <c r="BK386" s="303"/>
    </row>
    <row r="387" spans="37:63" x14ac:dyDescent="0.3">
      <c r="AK387" s="118" t="s">
        <v>1046</v>
      </c>
      <c r="AL387" s="255">
        <f>AL386+AL385</f>
        <v>74979</v>
      </c>
      <c r="AS387" s="136"/>
      <c r="AT387" s="136"/>
      <c r="BH387" s="251" t="s">
        <v>1717</v>
      </c>
    </row>
    <row r="388" spans="37:63" x14ac:dyDescent="0.3">
      <c r="AS388" s="104"/>
      <c r="AU388" s="789"/>
      <c r="BH388" s="420">
        <f>D368/21*5</f>
        <v>129594.04761904756</v>
      </c>
    </row>
    <row r="389" spans="37:63" x14ac:dyDescent="0.3">
      <c r="AR389" s="104">
        <f>AR370+AQ370</f>
        <v>187556.26885033614</v>
      </c>
      <c r="AS389" s="104">
        <f>AS370</f>
        <v>97779.937686864097</v>
      </c>
      <c r="AT389" s="104">
        <f>AT370</f>
        <v>2466.2037369765699</v>
      </c>
      <c r="AU389" s="104">
        <f>SUM(AR389:AT389)</f>
        <v>287802.4102741768</v>
      </c>
      <c r="BH389" s="251" t="s">
        <v>1797</v>
      </c>
    </row>
    <row r="390" spans="37:63" x14ac:dyDescent="0.3">
      <c r="AR390" s="104">
        <f>AR371+AQ371</f>
        <v>192511.38671918047</v>
      </c>
      <c r="AS390" s="104">
        <f>AS371</f>
        <v>83121.861215379628</v>
      </c>
      <c r="AT390" s="104">
        <f>AT372</f>
        <v>2111.1658316477365</v>
      </c>
      <c r="AU390" s="104">
        <f>SUM(AR390:AT390)</f>
        <v>277744.41376620787</v>
      </c>
      <c r="BH390" s="420">
        <f>E368/D368*BH388</f>
        <v>28510.714285714286</v>
      </c>
    </row>
    <row r="392" spans="37:63" x14ac:dyDescent="0.3">
      <c r="BH392" s="422">
        <f>BH384+BH388+BH390+BH385</f>
        <v>170483.93190476185</v>
      </c>
      <c r="BI392" s="420" t="s">
        <v>1122</v>
      </c>
    </row>
    <row r="393" spans="37:63" x14ac:dyDescent="0.3">
      <c r="BH393" s="422">
        <f>D368+E368+F368</f>
        <v>705721.9099999998</v>
      </c>
      <c r="BI393" s="420" t="s">
        <v>1123</v>
      </c>
    </row>
    <row r="394" spans="37:63" x14ac:dyDescent="0.3">
      <c r="BH394" s="423">
        <f>BH392/BH393</f>
        <v>0.24157381184999896</v>
      </c>
    </row>
    <row r="395" spans="37:63" x14ac:dyDescent="0.3">
      <c r="BH395" s="439">
        <v>0.25</v>
      </c>
    </row>
  </sheetData>
  <autoFilter ref="A8:BZ382" xr:uid="{00000000-0001-0000-0900-000000000000}"/>
  <mergeCells count="39">
    <mergeCell ref="AV5:AW5"/>
    <mergeCell ref="AW383:AZ383"/>
    <mergeCell ref="AZ7:AZ8"/>
    <mergeCell ref="AC7:AE7"/>
    <mergeCell ref="A7:A8"/>
    <mergeCell ref="B7:B8"/>
    <mergeCell ref="D7:K7"/>
    <mergeCell ref="L7:R7"/>
    <mergeCell ref="Y7:AB7"/>
    <mergeCell ref="C7:C8"/>
    <mergeCell ref="S7:U7"/>
    <mergeCell ref="V7:X7"/>
    <mergeCell ref="AF7:AH7"/>
    <mergeCell ref="AI7:AK7"/>
    <mergeCell ref="AL7:AO7"/>
    <mergeCell ref="AQ7:AQ8"/>
    <mergeCell ref="AV375:AV377"/>
    <mergeCell ref="AV7:AV8"/>
    <mergeCell ref="BG7:BG8"/>
    <mergeCell ref="AX6:AY6"/>
    <mergeCell ref="AX7:AX8"/>
    <mergeCell ref="AY7:AY8"/>
    <mergeCell ref="BA7:BA8"/>
    <mergeCell ref="BS7:BS8"/>
    <mergeCell ref="AF5:AK6"/>
    <mergeCell ref="BC7:BC8"/>
    <mergeCell ref="BD7:BD8"/>
    <mergeCell ref="BE7:BE8"/>
    <mergeCell ref="BO7:BO8"/>
    <mergeCell ref="AR6:AW6"/>
    <mergeCell ref="AW7:AW8"/>
    <mergeCell ref="BJ6:BJ8"/>
    <mergeCell ref="BC6:BH6"/>
    <mergeCell ref="BH7:BH8"/>
    <mergeCell ref="BF7:BF8"/>
    <mergeCell ref="BB7:BB8"/>
    <mergeCell ref="AR7:AR8"/>
    <mergeCell ref="AS7:AS8"/>
    <mergeCell ref="AT7:AU7"/>
  </mergeCells>
  <phoneticPr fontId="100" type="noConversion"/>
  <pageMargins left="0.70866141732283472" right="7.874015748031496E-2" top="7.874015748031496E-2" bottom="7.874015748031496E-2" header="0.31496062992125984" footer="0.31496062992125984"/>
  <pageSetup paperSize="9" scale="10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7"/>
  <dimension ref="A1:BS399"/>
  <sheetViews>
    <sheetView zoomScale="90" zoomScaleNormal="90" workbookViewId="0">
      <pane xSplit="1" ySplit="8" topLeftCell="O9" activePane="bottomRight" state="frozen"/>
      <selection pane="topRight" activeCell="B1" sqref="B1"/>
      <selection pane="bottomLeft" activeCell="A9" sqref="A9"/>
      <selection pane="bottomRight" activeCell="W27" sqref="W27"/>
    </sheetView>
  </sheetViews>
  <sheetFormatPr defaultColWidth="8.6640625" defaultRowHeight="13.8" x14ac:dyDescent="0.3"/>
  <cols>
    <col min="1" max="1" width="39.109375" style="200" customWidth="1"/>
    <col min="2" max="2" width="8.109375" style="1" customWidth="1"/>
    <col min="3" max="3" width="14.6640625" style="1" customWidth="1"/>
    <col min="4" max="4" width="11.5546875" style="2" customWidth="1"/>
    <col min="5" max="5" width="13.109375" style="2" customWidth="1"/>
    <col min="6" max="6" width="11.33203125" style="2" customWidth="1"/>
    <col min="7" max="7" width="12.33203125" style="2" customWidth="1"/>
    <col min="8" max="8" width="11.109375" style="2" customWidth="1"/>
    <col min="9" max="9" width="10.44140625" style="2" customWidth="1"/>
    <col min="10" max="10" width="8.6640625" style="2" customWidth="1"/>
    <col min="11" max="11" width="12.109375" style="2" customWidth="1"/>
    <col min="12" max="12" width="10.44140625" style="2" customWidth="1"/>
    <col min="13" max="13" width="10.33203125" style="2" customWidth="1"/>
    <col min="14" max="14" width="11.33203125" style="2" customWidth="1"/>
    <col min="15" max="15" width="9.44140625" style="2" customWidth="1"/>
    <col min="16" max="16" width="11.109375" style="2" customWidth="1"/>
    <col min="17" max="17" width="10.5546875" style="2" customWidth="1"/>
    <col min="18" max="18" width="8.6640625" style="2" customWidth="1"/>
    <col min="19" max="19" width="10.44140625" style="2" customWidth="1"/>
    <col min="20" max="20" width="11.33203125" style="103" customWidth="1"/>
    <col min="21" max="21" width="12.6640625" style="2" customWidth="1"/>
    <col min="22" max="22" width="12.5546875" style="2" customWidth="1"/>
    <col min="23" max="23" width="10.6640625" style="103" customWidth="1"/>
    <col min="24" max="24" width="10.33203125" style="2" customWidth="1"/>
    <col min="25" max="26" width="10.44140625" style="2" customWidth="1"/>
    <col min="27" max="27" width="10.33203125" style="2" customWidth="1"/>
    <col min="28" max="28" width="11.33203125" style="2" customWidth="1"/>
    <col min="29" max="29" width="9.44140625" style="2" customWidth="1"/>
    <col min="30" max="30" width="11.109375" style="2" customWidth="1"/>
    <col min="31" max="32" width="8.6640625" style="2" customWidth="1"/>
    <col min="33" max="34" width="10.44140625" style="2" customWidth="1"/>
    <col min="35" max="35" width="10.33203125" style="2" customWidth="1"/>
    <col min="36" max="37" width="11.33203125" style="2" customWidth="1"/>
    <col min="38" max="38" width="11.44140625" style="2" customWidth="1"/>
    <col min="39" max="39" width="11.109375" style="2" customWidth="1"/>
    <col min="40" max="40" width="11.44140625" style="2" customWidth="1"/>
    <col min="41" max="41" width="10.5546875" style="2" customWidth="1"/>
    <col min="42" max="43" width="12" style="2" customWidth="1"/>
    <col min="44" max="44" width="8.6640625" style="2" customWidth="1"/>
    <col min="45" max="45" width="10.44140625" style="2" customWidth="1"/>
    <col min="46" max="46" width="11.33203125" style="104" customWidth="1"/>
    <col min="47" max="47" width="14.5546875" style="1" customWidth="1"/>
    <col min="48" max="52" width="8.6640625" style="1" customWidth="1"/>
    <col min="53" max="53" width="11.109375" style="103" customWidth="1"/>
    <col min="54" max="54" width="12.88671875" style="103" customWidth="1"/>
    <col min="55" max="55" width="10.33203125" style="103" customWidth="1"/>
    <col min="56" max="56" width="13.5546875" style="103" customWidth="1"/>
    <col min="57" max="57" width="8.6640625" style="1" customWidth="1"/>
    <col min="58" max="58" width="15" style="1" customWidth="1"/>
    <col min="59" max="60" width="8.6640625" style="1"/>
    <col min="61" max="61" width="11.33203125" style="2" customWidth="1"/>
    <col min="62" max="63" width="8.6640625" style="1"/>
    <col min="64" max="64" width="11.109375" style="313" customWidth="1"/>
    <col min="65" max="65" width="12.88671875" style="313" customWidth="1"/>
    <col min="66" max="66" width="8.6640625" style="313" customWidth="1"/>
    <col min="67" max="67" width="13.5546875" style="313" customWidth="1"/>
    <col min="68" max="68" width="8.6640625" style="1"/>
    <col min="69" max="71" width="8.6640625" style="1" customWidth="1"/>
    <col min="72" max="16384" width="8.6640625" style="1"/>
  </cols>
  <sheetData>
    <row r="1" spans="1:67" x14ac:dyDescent="0.3">
      <c r="A1" s="200" t="s">
        <v>0</v>
      </c>
      <c r="AT1" s="104" t="s">
        <v>925</v>
      </c>
      <c r="AU1" s="1" t="s">
        <v>1028</v>
      </c>
    </row>
    <row r="2" spans="1:67" ht="17.25" customHeight="1" x14ac:dyDescent="0.3">
      <c r="A2" s="32" t="s">
        <v>1089</v>
      </c>
      <c r="E2" s="122">
        <f>місяць!A2</f>
        <v>2023</v>
      </c>
      <c r="F2" s="809" t="s">
        <v>1805</v>
      </c>
      <c r="T2" s="108" t="s">
        <v>976</v>
      </c>
      <c r="U2" s="103">
        <f>T359+T358+T357+T356+T355+T354+T353+T352+T350+T351+T349+T348+T347+T346+T345+T344+T343+T342+T341+T340+T339+T338+T337+T336+T335+T334+T333+T332+T331+T330+T308+T302+T301+T300+T298+T297+T296+T295+T294+T289+T284+T282+T281+T257+T256+T255+T254+T250+T249+T248+T247+T246+T245+T244+T243+T242+T241+T240+T226+T188+T185+T184+T183+T182+T181+T180+T179+T174+T173+T172+T133+T131+T127+T126+T125+T121+T85+T84+T83+T77+T45+T44+T43+T42+T41+T23+T18+T17+T16+T15+T13+T12+T11+T10+T9</f>
        <v>45744.909999999989</v>
      </c>
      <c r="V2" s="103"/>
      <c r="W2" s="108">
        <f>W359+W358+W357+W356+W355+W354+W353+W352+W350+W351+W349+W348+W347+W346+W345+W344+W343+W342+W341+W340+W339+W338+W337+W336+W335+W334+W333+W332+W331+W330+W308+W302+W301+W300+W298+W297+W296+W295+W294+W289+W284+W282+W281+W257+W256+W255+W254+W250+W249+W248+W247+W246+W245+W244+W243+W242+W241+W240+W226+W188+W185+W184+W183+W182+W181+W180+W179+W174+W173+W172+W133+W131+W127+W126+W125+W121+W85+W84+W83+W77+W45+W44+W43+W42+W41+W23+W18+W17+W16+W15+W13+W12+W11+W10+W9</f>
        <v>6247.08</v>
      </c>
      <c r="AJ2" s="283"/>
      <c r="AT2" s="105">
        <f>499554-99997-6389</f>
        <v>393168</v>
      </c>
      <c r="AU2" s="294">
        <f>C368-C381</f>
        <v>846401.7900000005</v>
      </c>
      <c r="AV2" s="293" t="s">
        <v>1791</v>
      </c>
      <c r="AW2" s="293"/>
    </row>
    <row r="3" spans="1:67" ht="16.2" customHeight="1" thickBot="1" x14ac:dyDescent="0.35">
      <c r="A3" s="32"/>
      <c r="F3" s="285"/>
      <c r="T3" s="109" t="s">
        <v>977</v>
      </c>
      <c r="U3" s="103">
        <f>T368-U2</f>
        <v>69489.131333333382</v>
      </c>
      <c r="V3" s="103"/>
      <c r="W3" s="109">
        <f>W368-W2</f>
        <v>9500.2293333333382</v>
      </c>
      <c r="AJ3" s="301"/>
      <c r="AT3" s="105">
        <f>місяць!A2</f>
        <v>2023</v>
      </c>
      <c r="AW3" s="4"/>
    </row>
    <row r="4" spans="1:67" ht="32.25" customHeight="1" thickBot="1" x14ac:dyDescent="0.35">
      <c r="A4" s="218" t="s">
        <v>966</v>
      </c>
      <c r="B4" s="120">
        <f>'первичка 1'!B4</f>
        <v>0.83547469317739664</v>
      </c>
      <c r="C4" s="734">
        <f>B4</f>
        <v>0.83547469317739664</v>
      </c>
      <c r="D4" s="1"/>
      <c r="E4" s="1"/>
      <c r="F4" s="1"/>
      <c r="G4" s="1"/>
      <c r="H4" s="1"/>
      <c r="J4" s="1377"/>
      <c r="L4" s="1"/>
      <c r="M4" s="1"/>
      <c r="T4" s="332"/>
      <c r="U4" s="103"/>
      <c r="Z4" s="1"/>
      <c r="AA4" s="1"/>
      <c r="AH4" s="1"/>
      <c r="AI4" s="1"/>
      <c r="AP4" s="1365"/>
      <c r="AQ4" s="1366"/>
      <c r="AR4" s="1366"/>
      <c r="AS4" s="1367"/>
      <c r="AT4" s="105" t="s">
        <v>972</v>
      </c>
      <c r="BA4" s="103" t="s">
        <v>1721</v>
      </c>
      <c r="BB4" s="103" t="s">
        <v>1722</v>
      </c>
      <c r="BC4" s="103" t="s">
        <v>1723</v>
      </c>
      <c r="BD4" s="103" t="s">
        <v>1724</v>
      </c>
    </row>
    <row r="5" spans="1:67" x14ac:dyDescent="0.3">
      <c r="A5" s="218" t="s">
        <v>967</v>
      </c>
      <c r="B5" s="120">
        <f>'первичка 1'!B5</f>
        <v>0.12871283465940597</v>
      </c>
      <c r="C5" s="82"/>
      <c r="D5" s="1"/>
      <c r="E5" s="1"/>
      <c r="F5" s="1"/>
      <c r="G5" s="1"/>
      <c r="H5" s="1"/>
      <c r="J5" s="1377"/>
      <c r="L5" s="1"/>
      <c r="M5" s="1"/>
      <c r="Z5" s="1"/>
      <c r="AA5" s="1"/>
      <c r="AH5" s="1"/>
      <c r="AI5" s="1"/>
      <c r="AT5" s="111">
        <f>AT2/AU2</f>
        <v>0.46451697603333253</v>
      </c>
    </row>
    <row r="6" spans="1:67" ht="14.4" thickBot="1" x14ac:dyDescent="0.35">
      <c r="D6" s="233"/>
      <c r="E6" s="233"/>
      <c r="F6" s="233"/>
      <c r="G6" s="233"/>
      <c r="H6" s="233"/>
      <c r="N6" s="396"/>
      <c r="O6" s="397"/>
      <c r="AK6" s="158"/>
      <c r="AL6" s="158"/>
      <c r="AT6" s="105"/>
    </row>
    <row r="7" spans="1:67" ht="43.5" customHeight="1" x14ac:dyDescent="0.3">
      <c r="A7" s="1379" t="s">
        <v>1</v>
      </c>
      <c r="B7" s="1381" t="s">
        <v>2</v>
      </c>
      <c r="C7" s="1383" t="s">
        <v>970</v>
      </c>
      <c r="D7" s="1353" t="s">
        <v>1017</v>
      </c>
      <c r="E7" s="1129"/>
      <c r="F7" s="1129"/>
      <c r="G7" s="1129"/>
      <c r="H7" s="1129"/>
      <c r="I7" s="1129"/>
      <c r="J7" s="1129"/>
      <c r="K7" s="1130"/>
      <c r="L7" s="1353" t="s">
        <v>1018</v>
      </c>
      <c r="M7" s="1129"/>
      <c r="N7" s="1129"/>
      <c r="O7" s="1129"/>
      <c r="P7" s="1129"/>
      <c r="Q7" s="1129"/>
      <c r="R7" s="1129"/>
      <c r="S7" s="1378"/>
      <c r="T7" s="1346" t="s">
        <v>969</v>
      </c>
      <c r="U7" s="1362"/>
      <c r="V7" s="1386"/>
      <c r="W7" s="1357" t="s">
        <v>971</v>
      </c>
      <c r="X7" s="1362"/>
      <c r="Y7" s="1385"/>
      <c r="Z7" s="1353" t="s">
        <v>1019</v>
      </c>
      <c r="AA7" s="1129"/>
      <c r="AB7" s="1129"/>
      <c r="AC7" s="1129"/>
      <c r="AD7" s="1129"/>
      <c r="AE7" s="1129"/>
      <c r="AF7" s="1129"/>
      <c r="AG7" s="1130"/>
      <c r="AH7" s="1361" t="s">
        <v>1020</v>
      </c>
      <c r="AI7" s="1129"/>
      <c r="AJ7" s="1129"/>
      <c r="AK7" s="1129"/>
      <c r="AL7" s="1129"/>
      <c r="AM7" s="1129"/>
      <c r="AN7" s="1129"/>
      <c r="AO7" s="1129"/>
      <c r="AP7" s="1378"/>
      <c r="AQ7" s="1353" t="s">
        <v>1021</v>
      </c>
      <c r="AR7" s="1129"/>
      <c r="AS7" s="1130"/>
      <c r="AT7" s="1374" t="s">
        <v>438</v>
      </c>
      <c r="AU7" s="1375" t="s">
        <v>973</v>
      </c>
      <c r="BA7" s="1371" t="s">
        <v>978</v>
      </c>
      <c r="BB7" s="1372"/>
      <c r="BC7" s="1372"/>
      <c r="BD7" s="1373"/>
      <c r="BI7" s="1" t="s">
        <v>1045</v>
      </c>
      <c r="BL7" s="1368" t="s">
        <v>1622</v>
      </c>
      <c r="BM7" s="1369"/>
      <c r="BN7" s="1369"/>
      <c r="BO7" s="1370"/>
    </row>
    <row r="8" spans="1:67" ht="22.2" customHeight="1" x14ac:dyDescent="0.3">
      <c r="A8" s="1380"/>
      <c r="B8" s="1382"/>
      <c r="C8" s="1384"/>
      <c r="D8" s="34" t="s">
        <v>951</v>
      </c>
      <c r="E8" s="29" t="s">
        <v>952</v>
      </c>
      <c r="F8" s="992" t="s">
        <v>953</v>
      </c>
      <c r="G8" s="779" t="s">
        <v>954</v>
      </c>
      <c r="H8" s="29" t="s">
        <v>955</v>
      </c>
      <c r="I8" s="29" t="s">
        <v>956</v>
      </c>
      <c r="J8" s="29" t="s">
        <v>963</v>
      </c>
      <c r="K8" s="124" t="s">
        <v>957</v>
      </c>
      <c r="L8" s="814" t="s">
        <v>951</v>
      </c>
      <c r="M8" s="29" t="s">
        <v>952</v>
      </c>
      <c r="N8" s="992" t="s">
        <v>953</v>
      </c>
      <c r="O8" s="29" t="s">
        <v>954</v>
      </c>
      <c r="P8" s="29" t="s">
        <v>955</v>
      </c>
      <c r="Q8" s="29" t="s">
        <v>956</v>
      </c>
      <c r="R8" s="29" t="s">
        <v>963</v>
      </c>
      <c r="S8" s="989" t="s">
        <v>957</v>
      </c>
      <c r="T8" s="215" t="s">
        <v>954</v>
      </c>
      <c r="U8" s="29" t="s">
        <v>956</v>
      </c>
      <c r="V8" s="124" t="s">
        <v>957</v>
      </c>
      <c r="W8" s="138" t="s">
        <v>954</v>
      </c>
      <c r="X8" s="29" t="s">
        <v>956</v>
      </c>
      <c r="Y8" s="989" t="s">
        <v>957</v>
      </c>
      <c r="Z8" s="34" t="s">
        <v>951</v>
      </c>
      <c r="AA8" s="29" t="s">
        <v>952</v>
      </c>
      <c r="AB8" s="992" t="s">
        <v>953</v>
      </c>
      <c r="AC8" s="29" t="s">
        <v>954</v>
      </c>
      <c r="AD8" s="29" t="s">
        <v>955</v>
      </c>
      <c r="AE8" s="29" t="s">
        <v>956</v>
      </c>
      <c r="AF8" s="29" t="s">
        <v>963</v>
      </c>
      <c r="AG8" s="124" t="s">
        <v>957</v>
      </c>
      <c r="AH8" s="814" t="s">
        <v>951</v>
      </c>
      <c r="AI8" s="29" t="s">
        <v>952</v>
      </c>
      <c r="AJ8" s="992" t="s">
        <v>953</v>
      </c>
      <c r="AK8" s="779" t="s">
        <v>986</v>
      </c>
      <c r="AL8" s="992" t="s">
        <v>954</v>
      </c>
      <c r="AM8" s="29" t="s">
        <v>955</v>
      </c>
      <c r="AN8" s="29" t="s">
        <v>956</v>
      </c>
      <c r="AO8" s="29" t="s">
        <v>963</v>
      </c>
      <c r="AP8" s="989" t="s">
        <v>957</v>
      </c>
      <c r="AQ8" s="34" t="s">
        <v>954</v>
      </c>
      <c r="AR8" s="29" t="s">
        <v>956</v>
      </c>
      <c r="AS8" s="124" t="s">
        <v>957</v>
      </c>
      <c r="AT8" s="1373"/>
      <c r="AU8" s="1376"/>
      <c r="BA8" s="30" t="s">
        <v>979</v>
      </c>
      <c r="BB8" s="30" t="s">
        <v>980</v>
      </c>
      <c r="BC8" s="30" t="s">
        <v>981</v>
      </c>
      <c r="BD8" s="30" t="s">
        <v>982</v>
      </c>
      <c r="BI8" s="29" t="s">
        <v>953</v>
      </c>
      <c r="BL8" s="110" t="s">
        <v>979</v>
      </c>
      <c r="BM8" s="110" t="s">
        <v>980</v>
      </c>
      <c r="BN8" s="110" t="s">
        <v>981</v>
      </c>
      <c r="BO8" s="110" t="s">
        <v>982</v>
      </c>
    </row>
    <row r="9" spans="1:67" x14ac:dyDescent="0.25">
      <c r="A9" s="260" t="s">
        <v>146</v>
      </c>
      <c r="B9" s="237">
        <v>2</v>
      </c>
      <c r="C9" s="236">
        <f>'побудинковий звіт'!E9</f>
        <v>372.8</v>
      </c>
      <c r="D9" s="141">
        <f>BA9*BL9</f>
        <v>85.4781016636651</v>
      </c>
      <c r="E9" s="107">
        <f t="shared" ref="E9:E72" si="0">D9*$BA$372</f>
        <v>17.619343212556736</v>
      </c>
      <c r="F9" s="333">
        <v>9.5791593626545577</v>
      </c>
      <c r="G9" s="107">
        <f t="shared" ref="G9:G72" si="1">$G$369/$C$368*C9</f>
        <v>0</v>
      </c>
      <c r="H9" s="735">
        <f>D9*$B$4</f>
        <v>71.414790760836922</v>
      </c>
      <c r="I9" s="107">
        <f>(D9+E9+F9+G9+H9)*$B$5</f>
        <v>23.694925286817494</v>
      </c>
      <c r="J9" s="29"/>
      <c r="K9" s="142">
        <f>D9+E9+F9+G9+H9+I9-J9</f>
        <v>207.78632028653081</v>
      </c>
      <c r="L9" s="210">
        <f>BB9*BM9</f>
        <v>14.830583204525043</v>
      </c>
      <c r="M9" s="107">
        <f t="shared" ref="M9:M72" si="2">L9*$BB$372</f>
        <v>3.2629941459283436</v>
      </c>
      <c r="N9" s="333">
        <v>0</v>
      </c>
      <c r="O9" s="107"/>
      <c r="P9" s="107">
        <f>L9*$B$4</f>
        <v>12.390576952442412</v>
      </c>
      <c r="Q9" s="107">
        <f>(L9+M9+N9+O9+P9)*$B$5</f>
        <v>3.9237019125204462</v>
      </c>
      <c r="R9" s="107"/>
      <c r="S9" s="143">
        <f>L9+M9+N9+O9+P9+Q9-R9</f>
        <v>34.407856215416246</v>
      </c>
      <c r="T9" s="244">
        <v>55.39</v>
      </c>
      <c r="U9" s="107"/>
      <c r="V9" s="151">
        <f>T9+U9</f>
        <v>55.39</v>
      </c>
      <c r="W9" s="246"/>
      <c r="X9" s="107"/>
      <c r="Y9" s="46">
        <f>W9+X9</f>
        <v>0</v>
      </c>
      <c r="Z9" s="141">
        <f>BC9*BN9</f>
        <v>0</v>
      </c>
      <c r="AA9" s="107">
        <f t="shared" ref="AA9:AA72" si="3">Z9*$BC$372</f>
        <v>0</v>
      </c>
      <c r="AB9" s="333">
        <v>0</v>
      </c>
      <c r="AC9" s="107"/>
      <c r="AD9" s="107">
        <f>Z9*$B$4</f>
        <v>0</v>
      </c>
      <c r="AE9" s="107">
        <f>(Z9+AA9+AB9+AC9+AD9)*$B$5</f>
        <v>0</v>
      </c>
      <c r="AF9" s="107"/>
      <c r="AG9" s="142">
        <f>Z9+AA9+AB9+AC9+AD9+AE9-AF9</f>
        <v>0</v>
      </c>
      <c r="AH9" s="210">
        <f>BD9*BO9</f>
        <v>14.210071191032224</v>
      </c>
      <c r="AI9" s="107">
        <f t="shared" ref="AI9:AI72" si="4">AH9*$BD$372</f>
        <v>2.8344217005721051</v>
      </c>
      <c r="AJ9" s="333">
        <v>0</v>
      </c>
      <c r="AK9" s="121">
        <f t="shared" ref="AK9:AK72" si="5">$AK$369/$C$368*C9</f>
        <v>0</v>
      </c>
      <c r="AL9" s="107"/>
      <c r="AM9" s="107">
        <f>AH9*$B$4</f>
        <v>11.87215486835661</v>
      </c>
      <c r="AN9" s="107">
        <f>(AH9+AI9+AJ9+AK9+AL9+AM9)*$B$5</f>
        <v>3.7219437020321342</v>
      </c>
      <c r="AO9" s="107"/>
      <c r="AP9" s="143">
        <f>AH9+AI9+AJ9+AK9+AL9+AM9+AN9-AO9</f>
        <v>32.638591461993073</v>
      </c>
      <c r="AQ9" s="34"/>
      <c r="AR9" s="29"/>
      <c r="AS9" s="124"/>
      <c r="AT9" s="138">
        <f>IF(B9&gt;1,C9*$AT$5,0)</f>
        <v>173.17192866522637</v>
      </c>
      <c r="AU9" s="151">
        <f>K9+S9+V9+Y9+AG9+AP9+AS9+AT9</f>
        <v>503.39469662916656</v>
      </c>
      <c r="AW9" s="1">
        <v>3</v>
      </c>
      <c r="BA9" s="30">
        <v>69.87</v>
      </c>
      <c r="BB9" s="30">
        <v>11.58</v>
      </c>
      <c r="BC9" s="30">
        <v>0</v>
      </c>
      <c r="BD9" s="30">
        <v>10.96</v>
      </c>
      <c r="BI9" s="333">
        <v>0</v>
      </c>
      <c r="BL9" s="110">
        <f>BA$399</f>
        <v>1.2233877438623886</v>
      </c>
      <c r="BM9" s="110">
        <f>BB$399</f>
        <v>1.2807066670574303</v>
      </c>
      <c r="BN9" s="110">
        <f>BC$399</f>
        <v>0.82443024793968056</v>
      </c>
      <c r="BO9" s="110">
        <f>BD$399</f>
        <v>1.2965393422474656</v>
      </c>
    </row>
    <row r="10" spans="1:67" x14ac:dyDescent="0.25">
      <c r="A10" s="260" t="s">
        <v>239</v>
      </c>
      <c r="B10" s="237">
        <v>5</v>
      </c>
      <c r="C10" s="236">
        <f>'побудинковий звіт'!E10</f>
        <v>1840.7</v>
      </c>
      <c r="D10" s="141">
        <f t="shared" ref="D10:D73" si="6">BA10*BL10</f>
        <v>257.76695654371809</v>
      </c>
      <c r="E10" s="107">
        <f t="shared" si="0"/>
        <v>53.132725081686488</v>
      </c>
      <c r="F10" s="333">
        <v>38.783022848380512</v>
      </c>
      <c r="G10" s="107">
        <f t="shared" si="1"/>
        <v>0</v>
      </c>
      <c r="H10" s="735">
        <f t="shared" ref="H10:H73" si="7">D10*$B$4</f>
        <v>215.3577689296342</v>
      </c>
      <c r="I10" s="107">
        <f t="shared" ref="I10:I73" si="8">(D10+E10+F10+G10+H10)*$B$5</f>
        <v>72.727961029046782</v>
      </c>
      <c r="J10" s="29"/>
      <c r="K10" s="142">
        <f t="shared" ref="K10:K73" si="9">D10+E10+F10+G10+H10+I10-J10</f>
        <v>637.76843443246605</v>
      </c>
      <c r="L10" s="210">
        <f t="shared" ref="L10:L73" si="10">BB10*BM10</f>
        <v>62.556424798820856</v>
      </c>
      <c r="M10" s="107">
        <f t="shared" si="2"/>
        <v>13.763534791165766</v>
      </c>
      <c r="N10" s="333">
        <v>0</v>
      </c>
      <c r="O10" s="107"/>
      <c r="P10" s="107">
        <f t="shared" ref="P10:P73" si="11">L10*$B$4</f>
        <v>52.264309815069744</v>
      </c>
      <c r="Q10" s="107">
        <f t="shared" ref="Q10:Q73" si="12">(L10+M10+N10+O10+P10)*$B$5</f>
        <v>16.550445807733535</v>
      </c>
      <c r="R10" s="107"/>
      <c r="S10" s="143">
        <f t="shared" ref="S10:S73" si="13">L10+M10+N10+O10+P10+Q10-R10</f>
        <v>145.1347152127899</v>
      </c>
      <c r="T10" s="244">
        <v>202.63</v>
      </c>
      <c r="U10" s="107"/>
      <c r="V10" s="151">
        <f t="shared" ref="V10:V73" si="14">T10+U10</f>
        <v>202.63</v>
      </c>
      <c r="W10" s="246"/>
      <c r="X10" s="107"/>
      <c r="Y10" s="46">
        <f t="shared" ref="Y10:Y73" si="15">W10+X10</f>
        <v>0</v>
      </c>
      <c r="Z10" s="141">
        <f t="shared" ref="Z10:Z73" si="16">BC10*BN10</f>
        <v>0</v>
      </c>
      <c r="AA10" s="107">
        <f t="shared" si="3"/>
        <v>0</v>
      </c>
      <c r="AB10" s="333">
        <v>0</v>
      </c>
      <c r="AC10" s="107"/>
      <c r="AD10" s="107">
        <f t="shared" ref="AD10:AD73" si="17">Z10*$B$4</f>
        <v>0</v>
      </c>
      <c r="AE10" s="107">
        <f t="shared" ref="AE10:AE73" si="18">(Z10+AA10+AB10+AC10+AD10)*$B$5</f>
        <v>0</v>
      </c>
      <c r="AF10" s="107"/>
      <c r="AG10" s="142">
        <f t="shared" ref="AG10:AG73" si="19">Z10+AA10+AB10+AC10+AD10+AE10-AF10</f>
        <v>0</v>
      </c>
      <c r="AH10" s="210">
        <f t="shared" ref="AH10:AH73" si="20">BD10*BO10</f>
        <v>151.27214905410847</v>
      </c>
      <c r="AI10" s="107">
        <f t="shared" si="4"/>
        <v>30.173604073266937</v>
      </c>
      <c r="AJ10" s="333">
        <v>15.226956808081239</v>
      </c>
      <c r="AK10" s="121">
        <f t="shared" si="5"/>
        <v>0</v>
      </c>
      <c r="AL10" s="107">
        <v>1850</v>
      </c>
      <c r="AM10" s="107">
        <f t="shared" ref="AM10:AM73" si="21">AH10*$B$4</f>
        <v>126.38405231726668</v>
      </c>
      <c r="AN10" s="107">
        <f t="shared" ref="AN10:AN73" si="22">(AH10+AI10+AJ10+AK10+AL10+AM10)*$B$5</f>
        <v>279.70029574533885</v>
      </c>
      <c r="AO10" s="107"/>
      <c r="AP10" s="143">
        <f t="shared" ref="AP10:AP73" si="23">AH10+AI10+AJ10+AK10+AL10+AM10+AN10-AO10</f>
        <v>2452.757057998062</v>
      </c>
      <c r="AQ10" s="34"/>
      <c r="AR10" s="29"/>
      <c r="AS10" s="124"/>
      <c r="AT10" s="138">
        <f t="shared" ref="AT10:AT73" si="24">IF(B10&gt;1,C10*$AT$5,0)</f>
        <v>855.03639778455522</v>
      </c>
      <c r="AU10" s="151">
        <f t="shared" ref="AU10:AU73" si="25">K10+S10+V10+Y10+AG10+AP10+AS10+AT10</f>
        <v>4293.3266054278729</v>
      </c>
      <c r="AW10" s="1">
        <v>2</v>
      </c>
      <c r="BA10" s="30">
        <v>235.02</v>
      </c>
      <c r="BB10" s="30">
        <v>56.22</v>
      </c>
      <c r="BC10" s="30">
        <v>0</v>
      </c>
      <c r="BD10" s="30">
        <v>145.88999999999999</v>
      </c>
      <c r="BI10" s="333">
        <v>0</v>
      </c>
      <c r="BL10" s="110">
        <f t="shared" ref="BL10:BO11" si="26">BA$398</f>
        <v>1.0967873225415627</v>
      </c>
      <c r="BM10" s="110">
        <f t="shared" si="26"/>
        <v>1.1127076627324948</v>
      </c>
      <c r="BN10" s="110">
        <f t="shared" si="26"/>
        <v>2.8314493742615632</v>
      </c>
      <c r="BO10" s="110">
        <f t="shared" si="26"/>
        <v>1.036891829831438</v>
      </c>
    </row>
    <row r="11" spans="1:67" x14ac:dyDescent="0.25">
      <c r="A11" s="260" t="s">
        <v>240</v>
      </c>
      <c r="B11" s="237">
        <v>5</v>
      </c>
      <c r="C11" s="236">
        <f>'побудинковий звіт'!E11</f>
        <v>2805.68</v>
      </c>
      <c r="D11" s="141">
        <f t="shared" si="6"/>
        <v>382.46070724346833</v>
      </c>
      <c r="E11" s="107">
        <f t="shared" si="0"/>
        <v>78.835471718300113</v>
      </c>
      <c r="F11" s="333">
        <v>59.180191729273766</v>
      </c>
      <c r="G11" s="107">
        <f t="shared" si="1"/>
        <v>0</v>
      </c>
      <c r="H11" s="735">
        <f t="shared" si="7"/>
        <v>319.53624203664685</v>
      </c>
      <c r="I11" s="107">
        <f t="shared" si="8"/>
        <v>108.12040453383467</v>
      </c>
      <c r="J11" s="29"/>
      <c r="K11" s="142">
        <f t="shared" si="9"/>
        <v>948.13301726152372</v>
      </c>
      <c r="L11" s="210">
        <f t="shared" si="10"/>
        <v>74.31774479390333</v>
      </c>
      <c r="M11" s="107">
        <f t="shared" si="2"/>
        <v>16.351236013908956</v>
      </c>
      <c r="N11" s="333">
        <v>0</v>
      </c>
      <c r="O11" s="107"/>
      <c r="P11" s="107">
        <f t="shared" si="11"/>
        <v>62.090595029322451</v>
      </c>
      <c r="Q11" s="107">
        <f t="shared" si="12"/>
        <v>19.662118027366112</v>
      </c>
      <c r="R11" s="107"/>
      <c r="S11" s="143">
        <f t="shared" si="13"/>
        <v>172.42169386450087</v>
      </c>
      <c r="T11" s="244">
        <v>325.12</v>
      </c>
      <c r="U11" s="107"/>
      <c r="V11" s="151">
        <f t="shared" si="14"/>
        <v>325.12</v>
      </c>
      <c r="W11" s="246"/>
      <c r="X11" s="107"/>
      <c r="Y11" s="46">
        <f t="shared" si="15"/>
        <v>0</v>
      </c>
      <c r="Z11" s="141">
        <f t="shared" si="16"/>
        <v>67.89815599479229</v>
      </c>
      <c r="AA11" s="107">
        <f t="shared" si="3"/>
        <v>14.924552143663654</v>
      </c>
      <c r="AB11" s="333">
        <v>0</v>
      </c>
      <c r="AC11" s="107"/>
      <c r="AD11" s="107">
        <f t="shared" si="17"/>
        <v>56.727191047060103</v>
      </c>
      <c r="AE11" s="107">
        <f t="shared" si="18"/>
        <v>17.961863100602098</v>
      </c>
      <c r="AF11" s="107"/>
      <c r="AG11" s="142">
        <f t="shared" si="19"/>
        <v>157.51176228611814</v>
      </c>
      <c r="AH11" s="210">
        <f t="shared" si="20"/>
        <v>217.88208020248007</v>
      </c>
      <c r="AI11" s="107">
        <f t="shared" si="4"/>
        <v>43.460000163928868</v>
      </c>
      <c r="AJ11" s="333">
        <v>23.23527557092542</v>
      </c>
      <c r="AK11" s="121">
        <f t="shared" si="5"/>
        <v>0</v>
      </c>
      <c r="AL11" s="418"/>
      <c r="AM11" s="107">
        <f t="shared" si="21"/>
        <v>182.03496410601997</v>
      </c>
      <c r="AN11" s="107">
        <f t="shared" si="22"/>
        <v>60.058994399782087</v>
      </c>
      <c r="AO11" s="107"/>
      <c r="AP11" s="143">
        <f t="shared" si="23"/>
        <v>526.67131444313645</v>
      </c>
      <c r="AQ11" s="34"/>
      <c r="AR11" s="29"/>
      <c r="AS11" s="124"/>
      <c r="AT11" s="138">
        <f t="shared" si="24"/>
        <v>1303.2859893172003</v>
      </c>
      <c r="AU11" s="151">
        <f t="shared" si="25"/>
        <v>3433.1437771724795</v>
      </c>
      <c r="AW11" s="1">
        <v>2</v>
      </c>
      <c r="BA11" s="30">
        <v>348.71</v>
      </c>
      <c r="BB11" s="30">
        <v>66.790000000000006</v>
      </c>
      <c r="BC11" s="30">
        <v>23.98</v>
      </c>
      <c r="BD11" s="30">
        <v>210.13</v>
      </c>
      <c r="BI11" s="333">
        <v>0</v>
      </c>
      <c r="BL11" s="110">
        <f t="shared" si="26"/>
        <v>1.0967873225415627</v>
      </c>
      <c r="BM11" s="110">
        <f t="shared" si="26"/>
        <v>1.1127076627324948</v>
      </c>
      <c r="BN11" s="110">
        <f t="shared" si="26"/>
        <v>2.8314493742615632</v>
      </c>
      <c r="BO11" s="110">
        <f t="shared" si="26"/>
        <v>1.036891829831438</v>
      </c>
    </row>
    <row r="12" spans="1:67" x14ac:dyDescent="0.25">
      <c r="A12" s="260" t="s">
        <v>338</v>
      </c>
      <c r="B12" s="237">
        <v>9</v>
      </c>
      <c r="C12" s="236">
        <f>'побудинковий звіт'!E12</f>
        <v>6095.61</v>
      </c>
      <c r="D12" s="141">
        <f t="shared" si="6"/>
        <v>905.30693045816759</v>
      </c>
      <c r="E12" s="107">
        <f t="shared" si="0"/>
        <v>186.60818630731333</v>
      </c>
      <c r="F12" s="333">
        <v>156.6246515650945</v>
      </c>
      <c r="G12" s="107">
        <f t="shared" si="1"/>
        <v>0</v>
      </c>
      <c r="H12" s="735">
        <f t="shared" si="7"/>
        <v>756.36102995590829</v>
      </c>
      <c r="I12" s="107">
        <f t="shared" si="8"/>
        <v>258.05646495835924</v>
      </c>
      <c r="J12" s="29"/>
      <c r="K12" s="142">
        <f t="shared" si="9"/>
        <v>2262.957263244843</v>
      </c>
      <c r="L12" s="210">
        <f t="shared" si="10"/>
        <v>179.56788178812232</v>
      </c>
      <c r="M12" s="107">
        <f t="shared" si="2"/>
        <v>39.508152780709246</v>
      </c>
      <c r="N12" s="333">
        <v>0</v>
      </c>
      <c r="O12" s="107"/>
      <c r="P12" s="107">
        <f t="shared" si="11"/>
        <v>150.02442094144652</v>
      </c>
      <c r="Q12" s="107">
        <f t="shared" si="12"/>
        <v>47.507965902805857</v>
      </c>
      <c r="R12" s="107"/>
      <c r="S12" s="143">
        <f t="shared" si="13"/>
        <v>416.60842141308393</v>
      </c>
      <c r="T12" s="244">
        <v>657.8</v>
      </c>
      <c r="U12" s="107"/>
      <c r="V12" s="151">
        <f t="shared" si="14"/>
        <v>657.8</v>
      </c>
      <c r="W12" s="906">
        <v>158.47999999999999</v>
      </c>
      <c r="X12" s="107"/>
      <c r="Y12" s="46">
        <f t="shared" si="15"/>
        <v>158.47999999999999</v>
      </c>
      <c r="Z12" s="141">
        <f t="shared" si="16"/>
        <v>32.614460608493765</v>
      </c>
      <c r="AA12" s="107">
        <f t="shared" si="3"/>
        <v>7.1689166054268556</v>
      </c>
      <c r="AB12" s="333">
        <v>0</v>
      </c>
      <c r="AC12" s="107"/>
      <c r="AD12" s="107">
        <f t="shared" si="17"/>
        <v>27.248556470027616</v>
      </c>
      <c r="AE12" s="107">
        <f t="shared" si="18"/>
        <v>8.6278701971622951</v>
      </c>
      <c r="AF12" s="107"/>
      <c r="AG12" s="142">
        <f t="shared" si="19"/>
        <v>75.659803881110534</v>
      </c>
      <c r="AH12" s="210">
        <f t="shared" si="20"/>
        <v>513.04061772732211</v>
      </c>
      <c r="AI12" s="107">
        <f t="shared" si="4"/>
        <v>102.33400245587426</v>
      </c>
      <c r="AJ12" s="333">
        <v>88.159114473868215</v>
      </c>
      <c r="AK12" s="121">
        <f t="shared" si="5"/>
        <v>0</v>
      </c>
      <c r="AL12" s="107"/>
      <c r="AM12" s="107">
        <f t="shared" si="21"/>
        <v>428.63245268327648</v>
      </c>
      <c r="AN12" s="107">
        <f t="shared" si="22"/>
        <v>145.72431927810734</v>
      </c>
      <c r="AO12" s="107"/>
      <c r="AP12" s="143">
        <f t="shared" si="23"/>
        <v>1277.8905066184482</v>
      </c>
      <c r="AQ12" s="34"/>
      <c r="AR12" s="29"/>
      <c r="AS12" s="124"/>
      <c r="AT12" s="138">
        <f t="shared" si="24"/>
        <v>2831.5143242785421</v>
      </c>
      <c r="AU12" s="151">
        <f t="shared" si="25"/>
        <v>7680.9103194360287</v>
      </c>
      <c r="AW12" s="1">
        <v>3</v>
      </c>
      <c r="BA12" s="30">
        <v>740</v>
      </c>
      <c r="BB12" s="30">
        <v>140.21</v>
      </c>
      <c r="BC12" s="30">
        <v>39.56</v>
      </c>
      <c r="BD12" s="30">
        <v>395.7</v>
      </c>
      <c r="BI12" s="333">
        <v>8.7100000000000009</v>
      </c>
      <c r="BL12" s="110">
        <f t="shared" ref="BL12:BO14" si="27">BA$399</f>
        <v>1.2233877438623886</v>
      </c>
      <c r="BM12" s="110">
        <f t="shared" si="27"/>
        <v>1.2807066670574303</v>
      </c>
      <c r="BN12" s="110">
        <f t="shared" si="27"/>
        <v>0.82443024793968056</v>
      </c>
      <c r="BO12" s="110">
        <f t="shared" si="27"/>
        <v>1.2965393422474656</v>
      </c>
    </row>
    <row r="13" spans="1:67" x14ac:dyDescent="0.25">
      <c r="A13" s="260" t="s">
        <v>339</v>
      </c>
      <c r="B13" s="237">
        <v>9</v>
      </c>
      <c r="C13" s="236">
        <f>'побудинковий звіт'!E13</f>
        <v>6316</v>
      </c>
      <c r="D13" s="141">
        <f t="shared" si="6"/>
        <v>892.49806077992832</v>
      </c>
      <c r="E13" s="107">
        <f t="shared" si="0"/>
        <v>183.96793264428956</v>
      </c>
      <c r="F13" s="333">
        <v>162.30611059587926</v>
      </c>
      <c r="G13" s="107">
        <f t="shared" si="1"/>
        <v>0</v>
      </c>
      <c r="H13" s="735">
        <f t="shared" si="7"/>
        <v>745.65954349153208</v>
      </c>
      <c r="I13" s="107">
        <f t="shared" si="8"/>
        <v>255.42182253905693</v>
      </c>
      <c r="J13" s="29"/>
      <c r="K13" s="142">
        <f t="shared" si="9"/>
        <v>2239.8534700506862</v>
      </c>
      <c r="L13" s="210">
        <f t="shared" si="10"/>
        <v>177.37787338745409</v>
      </c>
      <c r="M13" s="107">
        <f t="shared" si="2"/>
        <v>39.026311676258686</v>
      </c>
      <c r="N13" s="333">
        <v>0</v>
      </c>
      <c r="O13" s="107"/>
      <c r="P13" s="107">
        <f t="shared" si="11"/>
        <v>148.19472434484231</v>
      </c>
      <c r="Q13" s="107">
        <f t="shared" si="12"/>
        <v>46.928559143703083</v>
      </c>
      <c r="R13" s="107"/>
      <c r="S13" s="143">
        <f t="shared" si="13"/>
        <v>411.52746855225814</v>
      </c>
      <c r="T13" s="244">
        <v>691.14</v>
      </c>
      <c r="U13" s="107"/>
      <c r="V13" s="151">
        <f t="shared" si="14"/>
        <v>691.14</v>
      </c>
      <c r="W13" s="906">
        <v>161.07</v>
      </c>
      <c r="X13" s="107"/>
      <c r="Y13" s="46">
        <f t="shared" si="15"/>
        <v>161.07</v>
      </c>
      <c r="Z13" s="141">
        <f t="shared" si="16"/>
        <v>32.614460608493765</v>
      </c>
      <c r="AA13" s="107">
        <f t="shared" si="3"/>
        <v>7.1689166054268556</v>
      </c>
      <c r="AB13" s="333">
        <v>0</v>
      </c>
      <c r="AC13" s="107"/>
      <c r="AD13" s="107">
        <f t="shared" si="17"/>
        <v>27.248556470027616</v>
      </c>
      <c r="AE13" s="107">
        <f t="shared" si="18"/>
        <v>8.6278701971622951</v>
      </c>
      <c r="AF13" s="107"/>
      <c r="AG13" s="142">
        <f t="shared" si="19"/>
        <v>75.659803881110534</v>
      </c>
      <c r="AH13" s="210">
        <f t="shared" si="20"/>
        <v>590.75518590163517</v>
      </c>
      <c r="AI13" s="107">
        <f t="shared" si="4"/>
        <v>117.8353926686746</v>
      </c>
      <c r="AJ13" s="333">
        <v>91.35702994929629</v>
      </c>
      <c r="AK13" s="121">
        <f t="shared" si="5"/>
        <v>0</v>
      </c>
      <c r="AL13" s="107"/>
      <c r="AM13" s="107">
        <f t="shared" si="21"/>
        <v>493.56100768412455</v>
      </c>
      <c r="AN13" s="107">
        <f t="shared" si="22"/>
        <v>166.49116064794779</v>
      </c>
      <c r="AO13" s="107"/>
      <c r="AP13" s="143">
        <f t="shared" si="23"/>
        <v>1459.9997768516782</v>
      </c>
      <c r="AQ13" s="34"/>
      <c r="AR13" s="29"/>
      <c r="AS13" s="124"/>
      <c r="AT13" s="138">
        <f t="shared" si="24"/>
        <v>2933.8892206265282</v>
      </c>
      <c r="AU13" s="151">
        <f t="shared" si="25"/>
        <v>7973.139739962262</v>
      </c>
      <c r="AW13" s="1">
        <v>3</v>
      </c>
      <c r="BA13" s="30">
        <v>729.53</v>
      </c>
      <c r="BB13" s="30">
        <v>138.5</v>
      </c>
      <c r="BC13" s="30">
        <v>39.56</v>
      </c>
      <c r="BD13" s="30">
        <v>455.64</v>
      </c>
      <c r="BI13" s="333">
        <v>8.7100000000000009</v>
      </c>
      <c r="BL13" s="110">
        <f t="shared" si="27"/>
        <v>1.2233877438623886</v>
      </c>
      <c r="BM13" s="110">
        <f t="shared" si="27"/>
        <v>1.2807066670574303</v>
      </c>
      <c r="BN13" s="110">
        <f t="shared" si="27"/>
        <v>0.82443024793968056</v>
      </c>
      <c r="BO13" s="110">
        <f t="shared" si="27"/>
        <v>1.2965393422474656</v>
      </c>
    </row>
    <row r="14" spans="1:67" x14ac:dyDescent="0.25">
      <c r="A14" s="434" t="s">
        <v>33</v>
      </c>
      <c r="B14" s="238">
        <v>1</v>
      </c>
      <c r="C14" s="236">
        <f>'побудинковий звіт'!E14</f>
        <v>263.3</v>
      </c>
      <c r="D14" s="141">
        <f t="shared" si="6"/>
        <v>0</v>
      </c>
      <c r="E14" s="107">
        <f t="shared" si="0"/>
        <v>0</v>
      </c>
      <c r="F14" s="333">
        <v>0</v>
      </c>
      <c r="G14" s="107">
        <f t="shared" si="1"/>
        <v>0</v>
      </c>
      <c r="H14" s="735">
        <f t="shared" si="7"/>
        <v>0</v>
      </c>
      <c r="I14" s="107">
        <f t="shared" si="8"/>
        <v>0</v>
      </c>
      <c r="J14" s="29"/>
      <c r="K14" s="142">
        <f t="shared" si="9"/>
        <v>0</v>
      </c>
      <c r="L14" s="210">
        <f t="shared" si="10"/>
        <v>0</v>
      </c>
      <c r="M14" s="107">
        <f t="shared" si="2"/>
        <v>0</v>
      </c>
      <c r="N14" s="333">
        <v>0</v>
      </c>
      <c r="O14" s="107"/>
      <c r="P14" s="107">
        <f t="shared" si="11"/>
        <v>0</v>
      </c>
      <c r="Q14" s="107">
        <f t="shared" si="12"/>
        <v>0</v>
      </c>
      <c r="R14" s="107"/>
      <c r="S14" s="143">
        <f t="shared" si="13"/>
        <v>0</v>
      </c>
      <c r="T14" s="245"/>
      <c r="U14" s="107"/>
      <c r="V14" s="151">
        <f t="shared" si="14"/>
        <v>0</v>
      </c>
      <c r="W14" s="246"/>
      <c r="X14" s="107"/>
      <c r="Y14" s="46">
        <f t="shared" si="15"/>
        <v>0</v>
      </c>
      <c r="Z14" s="141">
        <f t="shared" si="16"/>
        <v>0</v>
      </c>
      <c r="AA14" s="107">
        <f t="shared" si="3"/>
        <v>0</v>
      </c>
      <c r="AB14" s="333">
        <v>0</v>
      </c>
      <c r="AC14" s="107"/>
      <c r="AD14" s="107">
        <f t="shared" si="17"/>
        <v>0</v>
      </c>
      <c r="AE14" s="107">
        <f t="shared" si="18"/>
        <v>0</v>
      </c>
      <c r="AF14" s="107"/>
      <c r="AG14" s="142">
        <f t="shared" si="19"/>
        <v>0</v>
      </c>
      <c r="AH14" s="210">
        <f t="shared" si="20"/>
        <v>0</v>
      </c>
      <c r="AI14" s="107">
        <f t="shared" si="4"/>
        <v>0</v>
      </c>
      <c r="AJ14" s="333">
        <v>0</v>
      </c>
      <c r="AK14" s="121">
        <f t="shared" si="5"/>
        <v>0</v>
      </c>
      <c r="AL14" s="107"/>
      <c r="AM14" s="107">
        <f t="shared" si="21"/>
        <v>0</v>
      </c>
      <c r="AN14" s="107">
        <f t="shared" si="22"/>
        <v>0</v>
      </c>
      <c r="AO14" s="107"/>
      <c r="AP14" s="143">
        <f t="shared" si="23"/>
        <v>0</v>
      </c>
      <c r="AQ14" s="34"/>
      <c r="AR14" s="29"/>
      <c r="AS14" s="124"/>
      <c r="AT14" s="138">
        <f t="shared" si="24"/>
        <v>0</v>
      </c>
      <c r="AU14" s="151">
        <f t="shared" si="25"/>
        <v>0</v>
      </c>
      <c r="AW14" s="1">
        <v>3</v>
      </c>
      <c r="BA14" s="30">
        <v>0</v>
      </c>
      <c r="BB14" s="30">
        <v>0</v>
      </c>
      <c r="BC14" s="30">
        <v>0</v>
      </c>
      <c r="BD14" s="30">
        <v>0</v>
      </c>
      <c r="BI14" s="333">
        <v>0</v>
      </c>
      <c r="BL14" s="110">
        <f t="shared" si="27"/>
        <v>1.2233877438623886</v>
      </c>
      <c r="BM14" s="110">
        <f t="shared" si="27"/>
        <v>1.2807066670574303</v>
      </c>
      <c r="BN14" s="110">
        <f t="shared" si="27"/>
        <v>0.82443024793968056</v>
      </c>
      <c r="BO14" s="110">
        <f t="shared" si="27"/>
        <v>1.2965393422474656</v>
      </c>
    </row>
    <row r="15" spans="1:67" x14ac:dyDescent="0.25">
      <c r="A15" s="260" t="s">
        <v>340</v>
      </c>
      <c r="B15" s="237">
        <v>9</v>
      </c>
      <c r="C15" s="236">
        <f>'побудинковий звіт'!E15</f>
        <v>4163.4000000000005</v>
      </c>
      <c r="D15" s="141">
        <f t="shared" si="6"/>
        <v>438.43890456095141</v>
      </c>
      <c r="E15" s="107">
        <f t="shared" si="0"/>
        <v>90.374088647789222</v>
      </c>
      <c r="F15" s="333">
        <v>84.335889829855347</v>
      </c>
      <c r="G15" s="107">
        <f t="shared" si="1"/>
        <v>0</v>
      </c>
      <c r="H15" s="735">
        <f t="shared" si="7"/>
        <v>366.30460926509477</v>
      </c>
      <c r="I15" s="107">
        <f t="shared" si="8"/>
        <v>126.06823541146271</v>
      </c>
      <c r="J15" s="29"/>
      <c r="K15" s="142">
        <f t="shared" si="9"/>
        <v>1105.5217277151535</v>
      </c>
      <c r="L15" s="210">
        <f t="shared" si="10"/>
        <v>71.100238702640709</v>
      </c>
      <c r="M15" s="107">
        <f t="shared" si="2"/>
        <v>15.64332699944246</v>
      </c>
      <c r="N15" s="333">
        <v>0</v>
      </c>
      <c r="O15" s="107"/>
      <c r="P15" s="107">
        <f t="shared" si="11"/>
        <v>59.402450114928406</v>
      </c>
      <c r="Q15" s="107">
        <f t="shared" si="12"/>
        <v>18.810867969985942</v>
      </c>
      <c r="R15" s="107"/>
      <c r="S15" s="143">
        <f t="shared" si="13"/>
        <v>164.95688378699751</v>
      </c>
      <c r="T15" s="244">
        <v>552.6</v>
      </c>
      <c r="U15" s="107"/>
      <c r="V15" s="151">
        <f t="shared" si="14"/>
        <v>552.6</v>
      </c>
      <c r="W15" s="906">
        <v>109.96</v>
      </c>
      <c r="X15" s="107"/>
      <c r="Y15" s="46">
        <f t="shared" si="15"/>
        <v>109.96</v>
      </c>
      <c r="Z15" s="141">
        <f t="shared" si="16"/>
        <v>9.4271478874683989</v>
      </c>
      <c r="AA15" s="107">
        <f t="shared" si="3"/>
        <v>2.0721617273868529</v>
      </c>
      <c r="AB15" s="333">
        <v>0</v>
      </c>
      <c r="AC15" s="107"/>
      <c r="AD15" s="107">
        <f t="shared" si="17"/>
        <v>7.8761434888206034</v>
      </c>
      <c r="AE15" s="107">
        <f t="shared" si="18"/>
        <v>2.4938694917845048</v>
      </c>
      <c r="AF15" s="107"/>
      <c r="AG15" s="142">
        <f t="shared" si="19"/>
        <v>21.869322595460361</v>
      </c>
      <c r="AH15" s="210">
        <f t="shared" si="20"/>
        <v>119.1561334505342</v>
      </c>
      <c r="AI15" s="107">
        <f t="shared" si="4"/>
        <v>23.767560758006756</v>
      </c>
      <c r="AJ15" s="333">
        <v>135.21479903114482</v>
      </c>
      <c r="AK15" s="121">
        <f t="shared" si="5"/>
        <v>0</v>
      </c>
      <c r="AL15" s="107"/>
      <c r="AM15" s="107">
        <f t="shared" si="21"/>
        <v>99.551934034789994</v>
      </c>
      <c r="AN15" s="107">
        <f t="shared" si="22"/>
        <v>48.613605518219998</v>
      </c>
      <c r="AO15" s="107"/>
      <c r="AP15" s="143">
        <f t="shared" si="23"/>
        <v>426.30403279269581</v>
      </c>
      <c r="AQ15" s="34"/>
      <c r="AR15" s="29"/>
      <c r="AS15" s="124"/>
      <c r="AT15" s="138">
        <f t="shared" si="24"/>
        <v>1933.9699780171768</v>
      </c>
      <c r="AU15" s="151">
        <f t="shared" si="25"/>
        <v>4315.1819449074837</v>
      </c>
      <c r="AW15" s="1">
        <v>1</v>
      </c>
      <c r="BA15" s="30">
        <v>510.4</v>
      </c>
      <c r="BB15" s="30">
        <v>77.11</v>
      </c>
      <c r="BC15" s="30">
        <v>26.37</v>
      </c>
      <c r="BD15" s="30">
        <v>143.61000000000001</v>
      </c>
      <c r="BI15" s="333">
        <v>8.51</v>
      </c>
      <c r="BL15" s="110">
        <f>$BA$397</f>
        <v>0.85901039294857251</v>
      </c>
      <c r="BM15" s="110">
        <f>$BB$397</f>
        <v>0.92206249128051765</v>
      </c>
      <c r="BN15" s="110">
        <f>$BC$397</f>
        <v>0.35749517965371247</v>
      </c>
      <c r="BO15" s="110">
        <f>$BD$397</f>
        <v>0.82972030812989472</v>
      </c>
    </row>
    <row r="16" spans="1:67" x14ac:dyDescent="0.25">
      <c r="A16" s="260" t="s">
        <v>147</v>
      </c>
      <c r="B16" s="237">
        <v>2</v>
      </c>
      <c r="C16" s="236">
        <f>'побудинковий звіт'!E16</f>
        <v>409.93</v>
      </c>
      <c r="D16" s="141">
        <f t="shared" si="6"/>
        <v>30.391787702520496</v>
      </c>
      <c r="E16" s="107">
        <f t="shared" si="0"/>
        <v>6.264567508539935</v>
      </c>
      <c r="F16" s="333">
        <v>8.3282374978640377</v>
      </c>
      <c r="G16" s="107">
        <f t="shared" si="1"/>
        <v>0</v>
      </c>
      <c r="H16" s="735">
        <f t="shared" si="7"/>
        <v>25.391569505875889</v>
      </c>
      <c r="I16" s="107">
        <f t="shared" si="8"/>
        <v>9.0583153311171323</v>
      </c>
      <c r="J16" s="29"/>
      <c r="K16" s="142">
        <f t="shared" si="9"/>
        <v>79.434477545917488</v>
      </c>
      <c r="L16" s="210">
        <f t="shared" si="10"/>
        <v>13.250037999701037</v>
      </c>
      <c r="M16" s="107">
        <f t="shared" si="2"/>
        <v>2.9152458693034387</v>
      </c>
      <c r="N16" s="333">
        <v>0</v>
      </c>
      <c r="O16" s="107"/>
      <c r="P16" s="107">
        <f t="shared" si="11"/>
        <v>11.070071432389071</v>
      </c>
      <c r="Q16" s="107">
        <f t="shared" si="12"/>
        <v>3.5055397837984437</v>
      </c>
      <c r="R16" s="107"/>
      <c r="S16" s="143">
        <f t="shared" si="13"/>
        <v>30.74089508519199</v>
      </c>
      <c r="T16" s="244">
        <v>54.67</v>
      </c>
      <c r="U16" s="107"/>
      <c r="V16" s="151">
        <f t="shared" si="14"/>
        <v>54.67</v>
      </c>
      <c r="W16" s="246"/>
      <c r="X16" s="107"/>
      <c r="Y16" s="46">
        <f t="shared" si="15"/>
        <v>0</v>
      </c>
      <c r="Z16" s="141">
        <f t="shared" si="16"/>
        <v>0</v>
      </c>
      <c r="AA16" s="107">
        <f t="shared" si="3"/>
        <v>0</v>
      </c>
      <c r="AB16" s="333">
        <v>0</v>
      </c>
      <c r="AC16" s="107"/>
      <c r="AD16" s="107">
        <f t="shared" si="17"/>
        <v>0</v>
      </c>
      <c r="AE16" s="107">
        <f t="shared" si="18"/>
        <v>0</v>
      </c>
      <c r="AF16" s="107"/>
      <c r="AG16" s="142">
        <f t="shared" si="19"/>
        <v>0</v>
      </c>
      <c r="AH16" s="210">
        <f t="shared" si="20"/>
        <v>14.951559952500702</v>
      </c>
      <c r="AI16" s="107">
        <f t="shared" si="4"/>
        <v>2.9823232703800686</v>
      </c>
      <c r="AJ16" s="333">
        <v>3.5663656851881478</v>
      </c>
      <c r="AK16" s="121">
        <f t="shared" si="5"/>
        <v>0</v>
      </c>
      <c r="AL16" s="107"/>
      <c r="AM16" s="107">
        <f t="shared" si="21"/>
        <v>12.491649963838976</v>
      </c>
      <c r="AN16" s="107">
        <f t="shared" si="22"/>
        <v>4.3751936592591294</v>
      </c>
      <c r="AO16" s="107"/>
      <c r="AP16" s="143">
        <f t="shared" si="23"/>
        <v>38.367092531167025</v>
      </c>
      <c r="AQ16" s="34"/>
      <c r="AR16" s="29"/>
      <c r="AS16" s="124"/>
      <c r="AT16" s="138">
        <f t="shared" si="24"/>
        <v>190.419443985344</v>
      </c>
      <c r="AU16" s="151">
        <f t="shared" si="25"/>
        <v>393.63190914762049</v>
      </c>
      <c r="AW16" s="1">
        <v>1</v>
      </c>
      <c r="BA16" s="30">
        <v>35.380000000000003</v>
      </c>
      <c r="BB16" s="30">
        <v>14.37</v>
      </c>
      <c r="BC16" s="30">
        <v>0</v>
      </c>
      <c r="BD16" s="30">
        <v>18.02</v>
      </c>
      <c r="BI16" s="333">
        <v>0</v>
      </c>
      <c r="BL16" s="110">
        <f>$BA$397</f>
        <v>0.85901039294857251</v>
      </c>
      <c r="BM16" s="110">
        <f>$BB$397</f>
        <v>0.92206249128051765</v>
      </c>
      <c r="BN16" s="110">
        <f>$BC$397</f>
        <v>0.35749517965371247</v>
      </c>
      <c r="BO16" s="110">
        <f>$BD$397</f>
        <v>0.82972030812989472</v>
      </c>
    </row>
    <row r="17" spans="1:67" x14ac:dyDescent="0.25">
      <c r="A17" s="260" t="s">
        <v>148</v>
      </c>
      <c r="B17" s="237">
        <v>2</v>
      </c>
      <c r="C17" s="236">
        <f>'побудинковий звіт'!E17</f>
        <v>403.93</v>
      </c>
      <c r="D17" s="141">
        <f t="shared" si="6"/>
        <v>30.391787702520496</v>
      </c>
      <c r="E17" s="107">
        <f t="shared" si="0"/>
        <v>6.264567508539935</v>
      </c>
      <c r="F17" s="333">
        <v>8.1835818048318316</v>
      </c>
      <c r="G17" s="107">
        <f t="shared" si="1"/>
        <v>0</v>
      </c>
      <c r="H17" s="735">
        <f t="shared" si="7"/>
        <v>25.391569505875889</v>
      </c>
      <c r="I17" s="107">
        <f t="shared" si="8"/>
        <v>9.0396962868173372</v>
      </c>
      <c r="J17" s="29"/>
      <c r="K17" s="142">
        <f t="shared" si="9"/>
        <v>79.271202808585485</v>
      </c>
      <c r="L17" s="210">
        <f t="shared" si="10"/>
        <v>13.250037999701037</v>
      </c>
      <c r="M17" s="107">
        <f t="shared" si="2"/>
        <v>2.9152458693034387</v>
      </c>
      <c r="N17" s="333">
        <v>0</v>
      </c>
      <c r="O17" s="107"/>
      <c r="P17" s="107">
        <f t="shared" si="11"/>
        <v>11.070071432389071</v>
      </c>
      <c r="Q17" s="107">
        <f t="shared" si="12"/>
        <v>3.5055397837984437</v>
      </c>
      <c r="R17" s="107"/>
      <c r="S17" s="143">
        <f t="shared" si="13"/>
        <v>30.74089508519199</v>
      </c>
      <c r="T17" s="244">
        <v>53.59</v>
      </c>
      <c r="U17" s="107"/>
      <c r="V17" s="151">
        <f t="shared" si="14"/>
        <v>53.59</v>
      </c>
      <c r="W17" s="246"/>
      <c r="X17" s="107"/>
      <c r="Y17" s="46">
        <f t="shared" si="15"/>
        <v>0</v>
      </c>
      <c r="Z17" s="141">
        <f t="shared" si="16"/>
        <v>0</v>
      </c>
      <c r="AA17" s="107">
        <f t="shared" si="3"/>
        <v>0</v>
      </c>
      <c r="AB17" s="333">
        <v>0</v>
      </c>
      <c r="AC17" s="107"/>
      <c r="AD17" s="107">
        <f t="shared" si="17"/>
        <v>0</v>
      </c>
      <c r="AE17" s="107">
        <f t="shared" si="18"/>
        <v>0</v>
      </c>
      <c r="AF17" s="107"/>
      <c r="AG17" s="142">
        <f t="shared" si="19"/>
        <v>0</v>
      </c>
      <c r="AH17" s="210">
        <f t="shared" si="20"/>
        <v>14.951559952500702</v>
      </c>
      <c r="AI17" s="107">
        <f t="shared" si="4"/>
        <v>2.9823232703800686</v>
      </c>
      <c r="AJ17" s="333">
        <v>3.5044203936508347</v>
      </c>
      <c r="AK17" s="121">
        <f t="shared" si="5"/>
        <v>0</v>
      </c>
      <c r="AL17" s="418"/>
      <c r="AM17" s="107">
        <f t="shared" si="21"/>
        <v>12.491649963838976</v>
      </c>
      <c r="AN17" s="107">
        <f>(AH17+AI17+AJ17+AK17+AL17+AM17)*$B$5</f>
        <v>4.3672205051915585</v>
      </c>
      <c r="AO17" s="107"/>
      <c r="AP17" s="143">
        <f>AH17+AI17+AJ17+AK17+AL17+AM17+AN17-AO17</f>
        <v>38.297174085562141</v>
      </c>
      <c r="AQ17" s="34"/>
      <c r="AR17" s="29"/>
      <c r="AS17" s="124"/>
      <c r="AT17" s="138">
        <f t="shared" si="24"/>
        <v>187.63234212914401</v>
      </c>
      <c r="AU17" s="151">
        <f t="shared" si="25"/>
        <v>389.53161410848361</v>
      </c>
      <c r="AW17" s="1">
        <v>1</v>
      </c>
      <c r="BA17" s="30">
        <v>35.380000000000003</v>
      </c>
      <c r="BB17" s="30">
        <v>14.37</v>
      </c>
      <c r="BC17" s="30">
        <v>0</v>
      </c>
      <c r="BD17" s="30">
        <v>18.02</v>
      </c>
      <c r="BI17" s="333">
        <v>0</v>
      </c>
      <c r="BL17" s="110">
        <f>$BA$397</f>
        <v>0.85901039294857251</v>
      </c>
      <c r="BM17" s="110">
        <f>$BB$397</f>
        <v>0.92206249128051765</v>
      </c>
      <c r="BN17" s="110">
        <f>$BC$397</f>
        <v>0.35749517965371247</v>
      </c>
      <c r="BO17" s="110">
        <f>$BD$397</f>
        <v>0.82972030812989472</v>
      </c>
    </row>
    <row r="18" spans="1:67" x14ac:dyDescent="0.25">
      <c r="A18" s="260" t="s">
        <v>241</v>
      </c>
      <c r="B18" s="237">
        <v>5</v>
      </c>
      <c r="C18" s="236">
        <f>'побудинковий звіт'!E18</f>
        <v>4890.7</v>
      </c>
      <c r="D18" s="141">
        <f t="shared" si="6"/>
        <v>471.00398855763177</v>
      </c>
      <c r="E18" s="107">
        <f t="shared" si="0"/>
        <v>97.086631164712585</v>
      </c>
      <c r="F18" s="333">
        <v>99.135747499326882</v>
      </c>
      <c r="G18" s="107">
        <f t="shared" si="1"/>
        <v>0</v>
      </c>
      <c r="H18" s="735">
        <f t="shared" si="7"/>
        <v>393.51191282551747</v>
      </c>
      <c r="I18" s="107">
        <f t="shared" si="8"/>
        <v>136.53063085661648</v>
      </c>
      <c r="J18" s="29"/>
      <c r="K18" s="142">
        <f t="shared" si="9"/>
        <v>1197.2689109038051</v>
      </c>
      <c r="L18" s="210">
        <f t="shared" si="10"/>
        <v>106.41523211868454</v>
      </c>
      <c r="M18" s="107">
        <f t="shared" si="2"/>
        <v>23.413258578727202</v>
      </c>
      <c r="N18" s="333">
        <v>0</v>
      </c>
      <c r="O18" s="107"/>
      <c r="P18" s="107">
        <f t="shared" si="11"/>
        <v>88.907233403759406</v>
      </c>
      <c r="Q18" s="107">
        <f t="shared" si="12"/>
        <v>28.154095090339489</v>
      </c>
      <c r="R18" s="107"/>
      <c r="S18" s="143">
        <f t="shared" si="13"/>
        <v>246.88981919151067</v>
      </c>
      <c r="T18" s="244">
        <v>640.19000000000005</v>
      </c>
      <c r="U18" s="107"/>
      <c r="V18" s="151">
        <f t="shared" si="14"/>
        <v>640.19000000000005</v>
      </c>
      <c r="W18" s="246"/>
      <c r="X18" s="107"/>
      <c r="Y18" s="46">
        <f t="shared" si="15"/>
        <v>0</v>
      </c>
      <c r="Z18" s="141">
        <f t="shared" si="16"/>
        <v>0</v>
      </c>
      <c r="AA18" s="107">
        <f t="shared" si="3"/>
        <v>0</v>
      </c>
      <c r="AB18" s="333">
        <v>0</v>
      </c>
      <c r="AC18" s="107"/>
      <c r="AD18" s="107">
        <f t="shared" si="17"/>
        <v>0</v>
      </c>
      <c r="AE18" s="107">
        <f t="shared" si="18"/>
        <v>0</v>
      </c>
      <c r="AF18" s="107"/>
      <c r="AG18" s="142">
        <f t="shared" si="19"/>
        <v>0</v>
      </c>
      <c r="AH18" s="210">
        <f t="shared" si="20"/>
        <v>371.77277846376194</v>
      </c>
      <c r="AI18" s="107">
        <f t="shared" si="4"/>
        <v>74.155914969988757</v>
      </c>
      <c r="AJ18" s="333">
        <v>71.852479068680864</v>
      </c>
      <c r="AK18" s="121">
        <f t="shared" si="5"/>
        <v>0</v>
      </c>
      <c r="AL18" s="418"/>
      <c r="AM18" s="107">
        <f t="shared" si="21"/>
        <v>310.60674801871977</v>
      </c>
      <c r="AN18" s="107">
        <f>(AH18+AI18+AJ18+AK18+AL18+AM18)*$B$5</f>
        <v>106.62415744788808</v>
      </c>
      <c r="AO18" s="107"/>
      <c r="AP18" s="143">
        <f>AH18+AI18+AJ18+AK18+AL18+AM18+AN18-AO18</f>
        <v>935.01207796903941</v>
      </c>
      <c r="AQ18" s="34"/>
      <c r="AR18" s="29"/>
      <c r="AS18" s="124"/>
      <c r="AT18" s="138">
        <f t="shared" si="24"/>
        <v>2271.8131746862191</v>
      </c>
      <c r="AU18" s="151">
        <f t="shared" si="25"/>
        <v>5291.1739827505744</v>
      </c>
      <c r="AW18" s="1">
        <v>1</v>
      </c>
      <c r="BA18" s="30">
        <v>548.30999999999995</v>
      </c>
      <c r="BB18" s="30">
        <v>115.41</v>
      </c>
      <c r="BC18" s="30">
        <v>0</v>
      </c>
      <c r="BD18" s="30">
        <v>448.07</v>
      </c>
      <c r="BI18" s="333">
        <v>0</v>
      </c>
      <c r="BL18" s="110">
        <f>$BA$397</f>
        <v>0.85901039294857251</v>
      </c>
      <c r="BM18" s="110">
        <f>$BB$397</f>
        <v>0.92206249128051765</v>
      </c>
      <c r="BN18" s="110">
        <f>$BC$397</f>
        <v>0.35749517965371247</v>
      </c>
      <c r="BO18" s="110">
        <f>$BD$397</f>
        <v>0.82972030812989472</v>
      </c>
    </row>
    <row r="19" spans="1:67" x14ac:dyDescent="0.25">
      <c r="A19" s="260" t="s">
        <v>192</v>
      </c>
      <c r="B19" s="237">
        <v>3</v>
      </c>
      <c r="C19" s="236">
        <f>'побудинковий звіт'!E19</f>
        <v>853.2</v>
      </c>
      <c r="D19" s="141">
        <f t="shared" si="6"/>
        <v>136.21001758643666</v>
      </c>
      <c r="E19" s="107">
        <f t="shared" si="0"/>
        <v>28.076559985935852</v>
      </c>
      <c r="F19" s="333">
        <v>15.844425045896747</v>
      </c>
      <c r="G19" s="107">
        <f t="shared" si="1"/>
        <v>0</v>
      </c>
      <c r="H19" s="735">
        <f t="shared" si="7"/>
        <v>113.80002265071597</v>
      </c>
      <c r="I19" s="107">
        <f t="shared" si="8"/>
        <v>37.832695456716579</v>
      </c>
      <c r="J19" s="29"/>
      <c r="K19" s="142">
        <f t="shared" si="9"/>
        <v>331.76372072570183</v>
      </c>
      <c r="L19" s="210">
        <f t="shared" si="10"/>
        <v>28.54095154908849</v>
      </c>
      <c r="M19" s="107">
        <f t="shared" si="2"/>
        <v>6.2795209426076468</v>
      </c>
      <c r="N19" s="333">
        <v>0</v>
      </c>
      <c r="O19" s="107"/>
      <c r="P19" s="107">
        <f t="shared" si="11"/>
        <v>23.84524273846565</v>
      </c>
      <c r="Q19" s="107">
        <f t="shared" si="12"/>
        <v>7.5510305045956088</v>
      </c>
      <c r="R19" s="107"/>
      <c r="S19" s="143">
        <f t="shared" si="13"/>
        <v>66.216745734757396</v>
      </c>
      <c r="T19" s="905">
        <v>85.433333333333337</v>
      </c>
      <c r="U19" s="107"/>
      <c r="V19" s="151">
        <f t="shared" si="14"/>
        <v>85.433333333333337</v>
      </c>
      <c r="W19" s="246"/>
      <c r="X19" s="107"/>
      <c r="Y19" s="46">
        <f t="shared" si="15"/>
        <v>0</v>
      </c>
      <c r="Z19" s="141">
        <f t="shared" si="16"/>
        <v>0</v>
      </c>
      <c r="AA19" s="107">
        <f t="shared" si="3"/>
        <v>0</v>
      </c>
      <c r="AB19" s="333">
        <v>0</v>
      </c>
      <c r="AC19" s="107"/>
      <c r="AD19" s="107">
        <f t="shared" si="17"/>
        <v>0</v>
      </c>
      <c r="AE19" s="107">
        <f t="shared" si="18"/>
        <v>0</v>
      </c>
      <c r="AF19" s="107"/>
      <c r="AG19" s="142">
        <f t="shared" si="19"/>
        <v>0</v>
      </c>
      <c r="AH19" s="210">
        <f t="shared" si="20"/>
        <v>66.350708190913721</v>
      </c>
      <c r="AI19" s="107">
        <f t="shared" si="4"/>
        <v>13.234690003758665</v>
      </c>
      <c r="AJ19" s="333">
        <v>6.2208244253148761</v>
      </c>
      <c r="AK19" s="121">
        <f t="shared" si="5"/>
        <v>0</v>
      </c>
      <c r="AL19" s="107"/>
      <c r="AM19" s="107">
        <f t="shared" si="21"/>
        <v>55.434337567906617</v>
      </c>
      <c r="AN19" s="107">
        <f t="shared" si="22"/>
        <v>18.179472870666263</v>
      </c>
      <c r="AO19" s="107"/>
      <c r="AP19" s="143">
        <f t="shared" si="23"/>
        <v>159.42003305856016</v>
      </c>
      <c r="AQ19" s="34"/>
      <c r="AR19" s="29"/>
      <c r="AS19" s="124"/>
      <c r="AT19" s="138">
        <f t="shared" si="24"/>
        <v>396.32588395163936</v>
      </c>
      <c r="AU19" s="151">
        <f t="shared" si="25"/>
        <v>1039.1597168039921</v>
      </c>
      <c r="AW19" s="1">
        <v>2</v>
      </c>
      <c r="BA19" s="30">
        <v>124.19</v>
      </c>
      <c r="BB19" s="30">
        <v>25.65</v>
      </c>
      <c r="BC19" s="30">
        <v>0</v>
      </c>
      <c r="BD19" s="30">
        <v>63.99</v>
      </c>
      <c r="BF19" s="150">
        <f>T19*1.2</f>
        <v>102.52</v>
      </c>
      <c r="BI19" s="333">
        <v>0</v>
      </c>
      <c r="BL19" s="110">
        <f>BA$398</f>
        <v>1.0967873225415627</v>
      </c>
      <c r="BM19" s="110">
        <f>BB$398</f>
        <v>1.1127076627324948</v>
      </c>
      <c r="BN19" s="110">
        <f>BC$398</f>
        <v>2.8314493742615632</v>
      </c>
      <c r="BO19" s="110">
        <f>BD$398</f>
        <v>1.036891829831438</v>
      </c>
    </row>
    <row r="20" spans="1:67" x14ac:dyDescent="0.25">
      <c r="A20" s="434" t="s">
        <v>37</v>
      </c>
      <c r="B20" s="238">
        <v>1</v>
      </c>
      <c r="C20" s="236">
        <f>'побудинковий звіт'!E20</f>
        <v>422.90000000000003</v>
      </c>
      <c r="D20" s="141">
        <f t="shared" si="6"/>
        <v>0</v>
      </c>
      <c r="E20" s="107">
        <f t="shared" si="0"/>
        <v>0</v>
      </c>
      <c r="F20" s="333">
        <v>0</v>
      </c>
      <c r="G20" s="107">
        <f t="shared" si="1"/>
        <v>0</v>
      </c>
      <c r="H20" s="735">
        <f t="shared" si="7"/>
        <v>0</v>
      </c>
      <c r="I20" s="107">
        <f t="shared" si="8"/>
        <v>0</v>
      </c>
      <c r="J20" s="29"/>
      <c r="K20" s="142">
        <f t="shared" si="9"/>
        <v>0</v>
      </c>
      <c r="L20" s="210">
        <f t="shared" si="10"/>
        <v>0</v>
      </c>
      <c r="M20" s="107">
        <f t="shared" si="2"/>
        <v>0</v>
      </c>
      <c r="N20" s="333">
        <v>0</v>
      </c>
      <c r="O20" s="107"/>
      <c r="P20" s="107">
        <f t="shared" si="11"/>
        <v>0</v>
      </c>
      <c r="Q20" s="107">
        <f t="shared" si="12"/>
        <v>0</v>
      </c>
      <c r="R20" s="107"/>
      <c r="S20" s="143">
        <f t="shared" si="13"/>
        <v>0</v>
      </c>
      <c r="T20" s="245"/>
      <c r="U20" s="107"/>
      <c r="V20" s="151">
        <f t="shared" si="14"/>
        <v>0</v>
      </c>
      <c r="W20" s="246"/>
      <c r="X20" s="107"/>
      <c r="Y20" s="46">
        <f t="shared" si="15"/>
        <v>0</v>
      </c>
      <c r="Z20" s="141">
        <f t="shared" si="16"/>
        <v>0</v>
      </c>
      <c r="AA20" s="107">
        <f t="shared" si="3"/>
        <v>0</v>
      </c>
      <c r="AB20" s="333">
        <v>0</v>
      </c>
      <c r="AC20" s="107"/>
      <c r="AD20" s="107">
        <f t="shared" si="17"/>
        <v>0</v>
      </c>
      <c r="AE20" s="107">
        <f t="shared" si="18"/>
        <v>0</v>
      </c>
      <c r="AF20" s="107"/>
      <c r="AG20" s="142">
        <f t="shared" si="19"/>
        <v>0</v>
      </c>
      <c r="AH20" s="210">
        <f t="shared" si="20"/>
        <v>0</v>
      </c>
      <c r="AI20" s="107">
        <f t="shared" si="4"/>
        <v>0</v>
      </c>
      <c r="AJ20" s="333">
        <v>0</v>
      </c>
      <c r="AK20" s="121">
        <f t="shared" si="5"/>
        <v>0</v>
      </c>
      <c r="AL20" s="107"/>
      <c r="AM20" s="107">
        <f t="shared" si="21"/>
        <v>0</v>
      </c>
      <c r="AN20" s="107">
        <f t="shared" si="22"/>
        <v>0</v>
      </c>
      <c r="AO20" s="107"/>
      <c r="AP20" s="143">
        <f t="shared" si="23"/>
        <v>0</v>
      </c>
      <c r="AQ20" s="34"/>
      <c r="AR20" s="29"/>
      <c r="AS20" s="124"/>
      <c r="AT20" s="138">
        <f t="shared" si="24"/>
        <v>0</v>
      </c>
      <c r="AU20" s="151">
        <f t="shared" si="25"/>
        <v>0</v>
      </c>
      <c r="AW20" s="1">
        <v>3</v>
      </c>
      <c r="BA20" s="30">
        <v>0</v>
      </c>
      <c r="BB20" s="30">
        <v>0</v>
      </c>
      <c r="BC20" s="30">
        <v>0</v>
      </c>
      <c r="BD20" s="30">
        <v>0</v>
      </c>
      <c r="BI20" s="333">
        <v>0</v>
      </c>
      <c r="BL20" s="110">
        <f>BA$399</f>
        <v>1.2233877438623886</v>
      </c>
      <c r="BM20" s="110">
        <f>BB$399</f>
        <v>1.2807066670574303</v>
      </c>
      <c r="BN20" s="110">
        <f>BC$399</f>
        <v>0.82443024793968056</v>
      </c>
      <c r="BO20" s="110">
        <f>BD$399</f>
        <v>1.2965393422474656</v>
      </c>
    </row>
    <row r="21" spans="1:67" x14ac:dyDescent="0.25">
      <c r="A21" s="260" t="s">
        <v>242</v>
      </c>
      <c r="B21" s="237">
        <v>5</v>
      </c>
      <c r="C21" s="236">
        <f>'побудинковий звіт'!E21</f>
        <v>2321.5</v>
      </c>
      <c r="D21" s="141">
        <f t="shared" si="6"/>
        <v>318.75929955025435</v>
      </c>
      <c r="E21" s="107">
        <f t="shared" si="0"/>
        <v>65.704892734620628</v>
      </c>
      <c r="F21" s="333">
        <v>62.094554591439234</v>
      </c>
      <c r="G21" s="107">
        <f t="shared" si="1"/>
        <v>0</v>
      </c>
      <c r="H21" s="735">
        <f t="shared" si="7"/>
        <v>266.31532798919062</v>
      </c>
      <c r="I21" s="107">
        <f t="shared" si="8"/>
        <v>91.756042931140712</v>
      </c>
      <c r="J21" s="29"/>
      <c r="K21" s="142">
        <f t="shared" si="9"/>
        <v>804.63011779664544</v>
      </c>
      <c r="L21" s="210">
        <f t="shared" si="10"/>
        <v>63.836038610963222</v>
      </c>
      <c r="M21" s="107">
        <f t="shared" si="2"/>
        <v>14.045072767150124</v>
      </c>
      <c r="N21" s="333">
        <v>0</v>
      </c>
      <c r="O21" s="107"/>
      <c r="P21" s="107">
        <f t="shared" si="11"/>
        <v>53.333394772154946</v>
      </c>
      <c r="Q21" s="107">
        <f t="shared" si="12"/>
        <v>16.88899103503509</v>
      </c>
      <c r="R21" s="107"/>
      <c r="S21" s="143">
        <f t="shared" si="13"/>
        <v>148.10349718530335</v>
      </c>
      <c r="T21" s="905">
        <v>309.36666666666667</v>
      </c>
      <c r="U21" s="107"/>
      <c r="V21" s="151">
        <f t="shared" si="14"/>
        <v>309.36666666666667</v>
      </c>
      <c r="W21" s="246"/>
      <c r="X21" s="107"/>
      <c r="Y21" s="46">
        <f t="shared" si="15"/>
        <v>0</v>
      </c>
      <c r="Z21" s="141">
        <f t="shared" si="16"/>
        <v>0</v>
      </c>
      <c r="AA21" s="107">
        <f t="shared" si="3"/>
        <v>0</v>
      </c>
      <c r="AB21" s="333">
        <v>0</v>
      </c>
      <c r="AC21" s="107"/>
      <c r="AD21" s="107">
        <f t="shared" si="17"/>
        <v>0</v>
      </c>
      <c r="AE21" s="107">
        <f t="shared" si="18"/>
        <v>0</v>
      </c>
      <c r="AF21" s="107"/>
      <c r="AG21" s="142">
        <f t="shared" si="19"/>
        <v>0</v>
      </c>
      <c r="AH21" s="210">
        <f t="shared" si="20"/>
        <v>169.63550336042326</v>
      </c>
      <c r="AI21" s="107">
        <f t="shared" si="4"/>
        <v>33.83646326949394</v>
      </c>
      <c r="AJ21" s="333">
        <v>24.37951019128387</v>
      </c>
      <c r="AK21" s="121">
        <f t="shared" si="5"/>
        <v>0</v>
      </c>
      <c r="AL21" s="107"/>
      <c r="AM21" s="107">
        <f t="shared" si="21"/>
        <v>141.72617012204284</v>
      </c>
      <c r="AN21" s="107">
        <f t="shared" si="22"/>
        <v>47.569386564818068</v>
      </c>
      <c r="AO21" s="107"/>
      <c r="AP21" s="143">
        <f t="shared" si="23"/>
        <v>417.14703350806195</v>
      </c>
      <c r="AQ21" s="34"/>
      <c r="AR21" s="29"/>
      <c r="AS21" s="124"/>
      <c r="AT21" s="138">
        <f t="shared" si="24"/>
        <v>1078.3761598613814</v>
      </c>
      <c r="AU21" s="151">
        <f t="shared" si="25"/>
        <v>2757.6234750180588</v>
      </c>
      <c r="AW21" s="1">
        <v>2</v>
      </c>
      <c r="BA21" s="30">
        <v>290.63</v>
      </c>
      <c r="BB21" s="30">
        <v>57.37</v>
      </c>
      <c r="BC21" s="30">
        <v>0</v>
      </c>
      <c r="BD21" s="30">
        <v>163.6</v>
      </c>
      <c r="BF21" s="289">
        <f>T21*1.2</f>
        <v>371.24</v>
      </c>
      <c r="BI21" s="333">
        <v>0</v>
      </c>
      <c r="BL21" s="110">
        <f t="shared" ref="BL21:BO22" si="28">BA$398</f>
        <v>1.0967873225415627</v>
      </c>
      <c r="BM21" s="110">
        <f t="shared" si="28"/>
        <v>1.1127076627324948</v>
      </c>
      <c r="BN21" s="110">
        <f t="shared" si="28"/>
        <v>2.8314493742615632</v>
      </c>
      <c r="BO21" s="110">
        <f t="shared" si="28"/>
        <v>1.036891829831438</v>
      </c>
    </row>
    <row r="22" spans="1:67" x14ac:dyDescent="0.25">
      <c r="A22" s="260" t="s">
        <v>193</v>
      </c>
      <c r="B22" s="237">
        <v>3</v>
      </c>
      <c r="C22" s="236">
        <f>'побудинковий звіт'!E22</f>
        <v>3171.81</v>
      </c>
      <c r="D22" s="141">
        <f t="shared" si="6"/>
        <v>214.55353603558052</v>
      </c>
      <c r="E22" s="107">
        <f t="shared" si="0"/>
        <v>44.22527308518216</v>
      </c>
      <c r="F22" s="333">
        <v>29.774245166367116</v>
      </c>
      <c r="G22" s="107">
        <f t="shared" si="1"/>
        <v>0</v>
      </c>
      <c r="H22" s="735">
        <f t="shared" si="7"/>
        <v>179.25404968945216</v>
      </c>
      <c r="I22" s="107">
        <f t="shared" si="8"/>
        <v>60.212778426633335</v>
      </c>
      <c r="J22" s="29"/>
      <c r="K22" s="142">
        <f t="shared" si="9"/>
        <v>528.01988240321532</v>
      </c>
      <c r="L22" s="210">
        <f t="shared" si="10"/>
        <v>44.474925279417818</v>
      </c>
      <c r="M22" s="107">
        <f t="shared" si="2"/>
        <v>9.785280782691137</v>
      </c>
      <c r="N22" s="333">
        <v>0</v>
      </c>
      <c r="O22" s="107"/>
      <c r="P22" s="107">
        <f t="shared" si="11"/>
        <v>37.157674551909246</v>
      </c>
      <c r="Q22" s="107">
        <f t="shared" si="12"/>
        <v>11.76665455238544</v>
      </c>
      <c r="R22" s="107"/>
      <c r="S22" s="143">
        <f t="shared" si="13"/>
        <v>103.18453516640363</v>
      </c>
      <c r="T22" s="905">
        <v>174.56666666666666</v>
      </c>
      <c r="U22" s="107"/>
      <c r="V22" s="151">
        <f t="shared" si="14"/>
        <v>174.56666666666666</v>
      </c>
      <c r="W22" s="246"/>
      <c r="X22" s="107"/>
      <c r="Y22" s="46">
        <f t="shared" si="15"/>
        <v>0</v>
      </c>
      <c r="Z22" s="141">
        <f t="shared" si="16"/>
        <v>0</v>
      </c>
      <c r="AA22" s="107">
        <f t="shared" si="3"/>
        <v>0</v>
      </c>
      <c r="AB22" s="333">
        <v>0</v>
      </c>
      <c r="AC22" s="107"/>
      <c r="AD22" s="107">
        <f t="shared" si="17"/>
        <v>0</v>
      </c>
      <c r="AE22" s="107">
        <f t="shared" si="18"/>
        <v>0</v>
      </c>
      <c r="AF22" s="107"/>
      <c r="AG22" s="142">
        <f t="shared" si="19"/>
        <v>0</v>
      </c>
      <c r="AH22" s="210">
        <f t="shared" si="20"/>
        <v>132.13112587542017</v>
      </c>
      <c r="AI22" s="107">
        <f t="shared" si="4"/>
        <v>26.355626616330159</v>
      </c>
      <c r="AJ22" s="333">
        <v>11.689938324661183</v>
      </c>
      <c r="AK22" s="121">
        <f t="shared" si="5"/>
        <v>0</v>
      </c>
      <c r="AL22" s="418"/>
      <c r="AM22" s="107">
        <f t="shared" si="21"/>
        <v>110.39221184995064</v>
      </c>
      <c r="AN22" s="107">
        <f t="shared" si="22"/>
        <v>36.112818779466437</v>
      </c>
      <c r="AO22" s="107"/>
      <c r="AP22" s="143">
        <f t="shared" si="23"/>
        <v>316.68172144582854</v>
      </c>
      <c r="AQ22" s="34"/>
      <c r="AR22" s="29"/>
      <c r="AS22" s="124"/>
      <c r="AT22" s="138">
        <f t="shared" si="24"/>
        <v>1473.3595897522844</v>
      </c>
      <c r="AU22" s="151">
        <f t="shared" si="25"/>
        <v>2595.8123954343982</v>
      </c>
      <c r="AW22" s="1">
        <v>2</v>
      </c>
      <c r="BA22" s="30">
        <v>195.62</v>
      </c>
      <c r="BB22" s="30">
        <v>39.97</v>
      </c>
      <c r="BC22" s="30">
        <v>0</v>
      </c>
      <c r="BD22" s="30">
        <v>127.43</v>
      </c>
      <c r="BF22" s="289">
        <f>T22*1.2</f>
        <v>209.48</v>
      </c>
      <c r="BI22" s="333">
        <v>0</v>
      </c>
      <c r="BL22" s="110">
        <f t="shared" si="28"/>
        <v>1.0967873225415627</v>
      </c>
      <c r="BM22" s="110">
        <f t="shared" si="28"/>
        <v>1.1127076627324948</v>
      </c>
      <c r="BN22" s="110">
        <f t="shared" si="28"/>
        <v>2.8314493742615632</v>
      </c>
      <c r="BO22" s="110">
        <f t="shared" si="28"/>
        <v>1.036891829831438</v>
      </c>
    </row>
    <row r="23" spans="1:67" x14ac:dyDescent="0.25">
      <c r="A23" s="260" t="s">
        <v>341</v>
      </c>
      <c r="B23" s="237">
        <v>9</v>
      </c>
      <c r="C23" s="236">
        <f>'побудинковий звіт'!E23</f>
        <v>6095.61</v>
      </c>
      <c r="D23" s="141">
        <f t="shared" si="6"/>
        <v>484.88973227985775</v>
      </c>
      <c r="E23" s="107">
        <f t="shared" si="0"/>
        <v>99.948857625545457</v>
      </c>
      <c r="F23" s="333">
        <v>52.410438175983103</v>
      </c>
      <c r="G23" s="107">
        <f t="shared" si="1"/>
        <v>0</v>
      </c>
      <c r="H23" s="735">
        <f t="shared" si="7"/>
        <v>405.11310030138418</v>
      </c>
      <c r="I23" s="107">
        <f t="shared" si="8"/>
        <v>134.16538428575805</v>
      </c>
      <c r="J23" s="29"/>
      <c r="K23" s="142">
        <f t="shared" si="9"/>
        <v>1176.5275126685287</v>
      </c>
      <c r="L23" s="210">
        <f t="shared" si="10"/>
        <v>79.544691090936993</v>
      </c>
      <c r="M23" s="107">
        <f t="shared" si="2"/>
        <v>17.50125789323052</v>
      </c>
      <c r="N23" s="333">
        <v>0</v>
      </c>
      <c r="O23" s="107"/>
      <c r="P23" s="107">
        <f t="shared" si="11"/>
        <v>66.457576383091379</v>
      </c>
      <c r="Q23" s="107">
        <f t="shared" si="12"/>
        <v>21.045002226825982</v>
      </c>
      <c r="R23" s="107"/>
      <c r="S23" s="143">
        <f t="shared" si="13"/>
        <v>184.54852759408485</v>
      </c>
      <c r="T23" s="244">
        <v>306.29000000000002</v>
      </c>
      <c r="U23" s="107"/>
      <c r="V23" s="151">
        <f t="shared" si="14"/>
        <v>306.29000000000002</v>
      </c>
      <c r="W23" s="906">
        <v>71.39</v>
      </c>
      <c r="X23" s="107"/>
      <c r="Y23" s="46">
        <f t="shared" si="15"/>
        <v>71.39</v>
      </c>
      <c r="Z23" s="141">
        <f t="shared" si="16"/>
        <v>21.740225638169377</v>
      </c>
      <c r="AA23" s="107">
        <f t="shared" si="3"/>
        <v>4.7786736826366578</v>
      </c>
      <c r="AB23" s="333">
        <v>0</v>
      </c>
      <c r="AC23" s="107"/>
      <c r="AD23" s="107">
        <f t="shared" si="17"/>
        <v>18.163408344656933</v>
      </c>
      <c r="AE23" s="107">
        <f t="shared" si="18"/>
        <v>5.7511864787454439</v>
      </c>
      <c r="AF23" s="107"/>
      <c r="AG23" s="142">
        <f t="shared" si="19"/>
        <v>50.433494144208417</v>
      </c>
      <c r="AH23" s="210">
        <f t="shared" si="20"/>
        <v>310.10627987874881</v>
      </c>
      <c r="AI23" s="107">
        <f t="shared" si="4"/>
        <v>61.855564082375544</v>
      </c>
      <c r="AJ23" s="333">
        <v>29.50019535629605</v>
      </c>
      <c r="AK23" s="121">
        <f t="shared" si="5"/>
        <v>0</v>
      </c>
      <c r="AL23" s="418"/>
      <c r="AM23" s="107">
        <f t="shared" si="21"/>
        <v>259.08594903408152</v>
      </c>
      <c r="AN23" s="107">
        <f t="shared" si="22"/>
        <v>85.021004009290095</v>
      </c>
      <c r="AO23" s="107"/>
      <c r="AP23" s="143">
        <f t="shared" si="23"/>
        <v>745.56899236079209</v>
      </c>
      <c r="AQ23" s="34"/>
      <c r="AR23" s="29"/>
      <c r="AS23" s="124"/>
      <c r="AT23" s="138">
        <f t="shared" si="24"/>
        <v>2831.5143242785421</v>
      </c>
      <c r="AU23" s="151">
        <f t="shared" si="25"/>
        <v>5366.2728510461566</v>
      </c>
      <c r="AW23" s="1">
        <v>3</v>
      </c>
      <c r="BA23" s="30">
        <v>396.35</v>
      </c>
      <c r="BB23" s="30">
        <v>62.11</v>
      </c>
      <c r="BC23" s="30">
        <v>26.37</v>
      </c>
      <c r="BD23" s="30">
        <v>239.18</v>
      </c>
      <c r="BI23" s="333">
        <v>8.7100000000000009</v>
      </c>
      <c r="BL23" s="110">
        <f t="shared" ref="BL23:BO31" si="29">BA$399</f>
        <v>1.2233877438623886</v>
      </c>
      <c r="BM23" s="110">
        <f t="shared" si="29"/>
        <v>1.2807066670574303</v>
      </c>
      <c r="BN23" s="110">
        <f t="shared" si="29"/>
        <v>0.82443024793968056</v>
      </c>
      <c r="BO23" s="110">
        <f t="shared" si="29"/>
        <v>1.2965393422474656</v>
      </c>
    </row>
    <row r="24" spans="1:67" x14ac:dyDescent="0.25">
      <c r="A24" s="434" t="s">
        <v>39</v>
      </c>
      <c r="B24" s="238">
        <v>1</v>
      </c>
      <c r="C24" s="236">
        <f>'побудинковий звіт'!E24</f>
        <v>6316</v>
      </c>
      <c r="D24" s="141">
        <f t="shared" si="6"/>
        <v>0</v>
      </c>
      <c r="E24" s="107">
        <f t="shared" si="0"/>
        <v>0</v>
      </c>
      <c r="F24" s="333">
        <v>0</v>
      </c>
      <c r="G24" s="107">
        <f t="shared" si="1"/>
        <v>0</v>
      </c>
      <c r="H24" s="735">
        <f t="shared" si="7"/>
        <v>0</v>
      </c>
      <c r="I24" s="107">
        <f t="shared" si="8"/>
        <v>0</v>
      </c>
      <c r="J24" s="29"/>
      <c r="K24" s="142">
        <f t="shared" si="9"/>
        <v>0</v>
      </c>
      <c r="L24" s="210">
        <f t="shared" si="10"/>
        <v>0</v>
      </c>
      <c r="M24" s="107">
        <f t="shared" si="2"/>
        <v>0</v>
      </c>
      <c r="N24" s="333">
        <v>0</v>
      </c>
      <c r="O24" s="107"/>
      <c r="P24" s="107">
        <f t="shared" si="11"/>
        <v>0</v>
      </c>
      <c r="Q24" s="107">
        <f t="shared" si="12"/>
        <v>0</v>
      </c>
      <c r="R24" s="107"/>
      <c r="S24" s="143">
        <f t="shared" si="13"/>
        <v>0</v>
      </c>
      <c r="T24" s="245"/>
      <c r="U24" s="107"/>
      <c r="V24" s="151">
        <f t="shared" si="14"/>
        <v>0</v>
      </c>
      <c r="W24" s="246"/>
      <c r="X24" s="107"/>
      <c r="Y24" s="46">
        <f t="shared" si="15"/>
        <v>0</v>
      </c>
      <c r="Z24" s="141">
        <f t="shared" si="16"/>
        <v>0</v>
      </c>
      <c r="AA24" s="107">
        <f t="shared" si="3"/>
        <v>0</v>
      </c>
      <c r="AB24" s="333">
        <v>0</v>
      </c>
      <c r="AC24" s="107"/>
      <c r="AD24" s="107">
        <f t="shared" si="17"/>
        <v>0</v>
      </c>
      <c r="AE24" s="107">
        <f t="shared" si="18"/>
        <v>0</v>
      </c>
      <c r="AF24" s="107"/>
      <c r="AG24" s="142">
        <f t="shared" si="19"/>
        <v>0</v>
      </c>
      <c r="AH24" s="210">
        <f t="shared" si="20"/>
        <v>0</v>
      </c>
      <c r="AI24" s="107">
        <f t="shared" si="4"/>
        <v>0</v>
      </c>
      <c r="AJ24" s="333">
        <v>0</v>
      </c>
      <c r="AK24" s="121">
        <f t="shared" si="5"/>
        <v>0</v>
      </c>
      <c r="AL24" s="107"/>
      <c r="AM24" s="107">
        <f t="shared" si="21"/>
        <v>0</v>
      </c>
      <c r="AN24" s="107">
        <f t="shared" si="22"/>
        <v>0</v>
      </c>
      <c r="AO24" s="107"/>
      <c r="AP24" s="143">
        <f t="shared" si="23"/>
        <v>0</v>
      </c>
      <c r="AQ24" s="34"/>
      <c r="AR24" s="29"/>
      <c r="AS24" s="124"/>
      <c r="AT24" s="138">
        <f t="shared" si="24"/>
        <v>0</v>
      </c>
      <c r="AU24" s="151">
        <f t="shared" si="25"/>
        <v>0</v>
      </c>
      <c r="AW24" s="1">
        <v>3</v>
      </c>
      <c r="BA24" s="30">
        <v>0</v>
      </c>
      <c r="BB24" s="30">
        <v>0</v>
      </c>
      <c r="BC24" s="30">
        <v>0</v>
      </c>
      <c r="BD24" s="30">
        <v>0</v>
      </c>
      <c r="BI24" s="333">
        <v>0</v>
      </c>
      <c r="BL24" s="110">
        <f t="shared" si="29"/>
        <v>1.2233877438623886</v>
      </c>
      <c r="BM24" s="110">
        <f t="shared" si="29"/>
        <v>1.2807066670574303</v>
      </c>
      <c r="BN24" s="110">
        <f t="shared" si="29"/>
        <v>0.82443024793968056</v>
      </c>
      <c r="BO24" s="110">
        <f t="shared" si="29"/>
        <v>1.2965393422474656</v>
      </c>
    </row>
    <row r="25" spans="1:67" ht="21" customHeight="1" x14ac:dyDescent="0.25">
      <c r="A25" s="434" t="s">
        <v>40</v>
      </c>
      <c r="B25" s="238">
        <v>1</v>
      </c>
      <c r="C25" s="236">
        <f>'побудинковий звіт'!E25</f>
        <v>263.3</v>
      </c>
      <c r="D25" s="141">
        <f t="shared" si="6"/>
        <v>0</v>
      </c>
      <c r="E25" s="107">
        <f t="shared" si="0"/>
        <v>0</v>
      </c>
      <c r="F25" s="333">
        <v>0</v>
      </c>
      <c r="G25" s="107">
        <f t="shared" si="1"/>
        <v>0</v>
      </c>
      <c r="H25" s="735">
        <f t="shared" si="7"/>
        <v>0</v>
      </c>
      <c r="I25" s="107">
        <f t="shared" si="8"/>
        <v>0</v>
      </c>
      <c r="J25" s="29"/>
      <c r="K25" s="142">
        <f t="shared" si="9"/>
        <v>0</v>
      </c>
      <c r="L25" s="210">
        <f t="shared" si="10"/>
        <v>0</v>
      </c>
      <c r="M25" s="107">
        <f t="shared" si="2"/>
        <v>0</v>
      </c>
      <c r="N25" s="333">
        <v>0</v>
      </c>
      <c r="O25" s="107"/>
      <c r="P25" s="107">
        <f t="shared" si="11"/>
        <v>0</v>
      </c>
      <c r="Q25" s="107">
        <f t="shared" si="12"/>
        <v>0</v>
      </c>
      <c r="R25" s="107"/>
      <c r="S25" s="143">
        <f t="shared" si="13"/>
        <v>0</v>
      </c>
      <c r="T25" s="245"/>
      <c r="U25" s="107"/>
      <c r="V25" s="151">
        <f t="shared" si="14"/>
        <v>0</v>
      </c>
      <c r="W25" s="246"/>
      <c r="X25" s="107"/>
      <c r="Y25" s="46">
        <f t="shared" si="15"/>
        <v>0</v>
      </c>
      <c r="Z25" s="141">
        <f t="shared" si="16"/>
        <v>0</v>
      </c>
      <c r="AA25" s="107">
        <f t="shared" si="3"/>
        <v>0</v>
      </c>
      <c r="AB25" s="333">
        <v>0</v>
      </c>
      <c r="AC25" s="107"/>
      <c r="AD25" s="107">
        <f t="shared" si="17"/>
        <v>0</v>
      </c>
      <c r="AE25" s="107">
        <f t="shared" si="18"/>
        <v>0</v>
      </c>
      <c r="AF25" s="107"/>
      <c r="AG25" s="142">
        <f t="shared" si="19"/>
        <v>0</v>
      </c>
      <c r="AH25" s="210">
        <f t="shared" si="20"/>
        <v>0</v>
      </c>
      <c r="AI25" s="107">
        <f t="shared" si="4"/>
        <v>0</v>
      </c>
      <c r="AJ25" s="333">
        <v>0</v>
      </c>
      <c r="AK25" s="121">
        <f t="shared" si="5"/>
        <v>0</v>
      </c>
      <c r="AL25" s="107"/>
      <c r="AM25" s="107">
        <f t="shared" si="21"/>
        <v>0</v>
      </c>
      <c r="AN25" s="107">
        <f t="shared" si="22"/>
        <v>0</v>
      </c>
      <c r="AO25" s="107"/>
      <c r="AP25" s="143">
        <f t="shared" si="23"/>
        <v>0</v>
      </c>
      <c r="AQ25" s="34"/>
      <c r="AR25" s="29"/>
      <c r="AS25" s="124"/>
      <c r="AT25" s="138">
        <f t="shared" si="24"/>
        <v>0</v>
      </c>
      <c r="AU25" s="151">
        <f t="shared" si="25"/>
        <v>0</v>
      </c>
      <c r="AW25" s="1">
        <v>3</v>
      </c>
      <c r="BA25" s="30">
        <v>0</v>
      </c>
      <c r="BB25" s="30">
        <v>0</v>
      </c>
      <c r="BC25" s="30">
        <v>0</v>
      </c>
      <c r="BD25" s="30">
        <v>0</v>
      </c>
      <c r="BI25" s="333">
        <v>0</v>
      </c>
      <c r="BL25" s="110">
        <f t="shared" si="29"/>
        <v>1.2233877438623886</v>
      </c>
      <c r="BM25" s="110">
        <f t="shared" si="29"/>
        <v>1.2807066670574303</v>
      </c>
      <c r="BN25" s="110">
        <f t="shared" si="29"/>
        <v>0.82443024793968056</v>
      </c>
      <c r="BO25" s="110">
        <f t="shared" si="29"/>
        <v>1.2965393422474656</v>
      </c>
    </row>
    <row r="26" spans="1:67" x14ac:dyDescent="0.25">
      <c r="A26" s="434" t="s">
        <v>41</v>
      </c>
      <c r="B26" s="238">
        <v>1</v>
      </c>
      <c r="C26" s="236">
        <f>'побудинковий звіт'!E26</f>
        <v>4099.3</v>
      </c>
      <c r="D26" s="141">
        <f t="shared" si="6"/>
        <v>0</v>
      </c>
      <c r="E26" s="107">
        <f t="shared" si="0"/>
        <v>0</v>
      </c>
      <c r="F26" s="333">
        <v>0</v>
      </c>
      <c r="G26" s="107">
        <f t="shared" si="1"/>
        <v>0</v>
      </c>
      <c r="H26" s="735">
        <f t="shared" si="7"/>
        <v>0</v>
      </c>
      <c r="I26" s="107">
        <f t="shared" si="8"/>
        <v>0</v>
      </c>
      <c r="J26" s="29"/>
      <c r="K26" s="142">
        <f t="shared" si="9"/>
        <v>0</v>
      </c>
      <c r="L26" s="210">
        <f t="shared" si="10"/>
        <v>0</v>
      </c>
      <c r="M26" s="107">
        <f t="shared" si="2"/>
        <v>0</v>
      </c>
      <c r="N26" s="333">
        <v>0</v>
      </c>
      <c r="O26" s="107"/>
      <c r="P26" s="107">
        <f t="shared" si="11"/>
        <v>0</v>
      </c>
      <c r="Q26" s="107">
        <f t="shared" si="12"/>
        <v>0</v>
      </c>
      <c r="R26" s="107"/>
      <c r="S26" s="143">
        <f t="shared" si="13"/>
        <v>0</v>
      </c>
      <c r="T26" s="245"/>
      <c r="U26" s="107"/>
      <c r="V26" s="151">
        <f t="shared" si="14"/>
        <v>0</v>
      </c>
      <c r="W26" s="246"/>
      <c r="X26" s="107"/>
      <c r="Y26" s="46">
        <f t="shared" si="15"/>
        <v>0</v>
      </c>
      <c r="Z26" s="141">
        <f t="shared" si="16"/>
        <v>0</v>
      </c>
      <c r="AA26" s="107">
        <f t="shared" si="3"/>
        <v>0</v>
      </c>
      <c r="AB26" s="333">
        <v>0</v>
      </c>
      <c r="AC26" s="107"/>
      <c r="AD26" s="107">
        <f t="shared" si="17"/>
        <v>0</v>
      </c>
      <c r="AE26" s="107">
        <f t="shared" si="18"/>
        <v>0</v>
      </c>
      <c r="AF26" s="107"/>
      <c r="AG26" s="142">
        <f t="shared" si="19"/>
        <v>0</v>
      </c>
      <c r="AH26" s="210">
        <f t="shared" si="20"/>
        <v>0</v>
      </c>
      <c r="AI26" s="107">
        <f t="shared" si="4"/>
        <v>0</v>
      </c>
      <c r="AJ26" s="333">
        <v>0</v>
      </c>
      <c r="AK26" s="121">
        <f t="shared" si="5"/>
        <v>0</v>
      </c>
      <c r="AL26" s="107"/>
      <c r="AM26" s="107">
        <f t="shared" si="21"/>
        <v>0</v>
      </c>
      <c r="AN26" s="107">
        <f t="shared" si="22"/>
        <v>0</v>
      </c>
      <c r="AO26" s="107"/>
      <c r="AP26" s="143">
        <f t="shared" si="23"/>
        <v>0</v>
      </c>
      <c r="AQ26" s="34"/>
      <c r="AR26" s="29"/>
      <c r="AS26" s="124"/>
      <c r="AT26" s="138">
        <f t="shared" si="24"/>
        <v>0</v>
      </c>
      <c r="AU26" s="151">
        <f t="shared" si="25"/>
        <v>0</v>
      </c>
      <c r="AW26" s="1">
        <v>3</v>
      </c>
      <c r="BA26" s="30">
        <v>0</v>
      </c>
      <c r="BB26" s="30">
        <v>0</v>
      </c>
      <c r="BC26" s="30">
        <v>0</v>
      </c>
      <c r="BD26" s="30">
        <v>0</v>
      </c>
      <c r="BI26" s="333">
        <v>0</v>
      </c>
      <c r="BL26" s="110">
        <f t="shared" si="29"/>
        <v>1.2233877438623886</v>
      </c>
      <c r="BM26" s="110">
        <f t="shared" si="29"/>
        <v>1.2807066670574303</v>
      </c>
      <c r="BN26" s="110">
        <f t="shared" si="29"/>
        <v>0.82443024793968056</v>
      </c>
      <c r="BO26" s="110">
        <f t="shared" si="29"/>
        <v>1.2965393422474656</v>
      </c>
    </row>
    <row r="27" spans="1:67" ht="14.7" customHeight="1" x14ac:dyDescent="0.25">
      <c r="A27" s="434" t="s">
        <v>42</v>
      </c>
      <c r="B27" s="919">
        <v>11</v>
      </c>
      <c r="C27" s="918">
        <f>'побудинковий звіт'!E27</f>
        <v>409.93</v>
      </c>
      <c r="D27" s="141">
        <f t="shared" si="6"/>
        <v>0</v>
      </c>
      <c r="E27" s="107">
        <f t="shared" si="0"/>
        <v>0</v>
      </c>
      <c r="F27" s="333">
        <v>0</v>
      </c>
      <c r="G27" s="107">
        <f t="shared" si="1"/>
        <v>0</v>
      </c>
      <c r="H27" s="735">
        <f t="shared" si="7"/>
        <v>0</v>
      </c>
      <c r="I27" s="107">
        <f t="shared" si="8"/>
        <v>0</v>
      </c>
      <c r="J27" s="29"/>
      <c r="K27" s="142">
        <f t="shared" si="9"/>
        <v>0</v>
      </c>
      <c r="L27" s="210">
        <f t="shared" si="10"/>
        <v>0</v>
      </c>
      <c r="M27" s="107">
        <f t="shared" si="2"/>
        <v>0</v>
      </c>
      <c r="N27" s="333">
        <v>0</v>
      </c>
      <c r="O27" s="107"/>
      <c r="P27" s="107">
        <f t="shared" si="11"/>
        <v>0</v>
      </c>
      <c r="Q27" s="107">
        <f t="shared" si="12"/>
        <v>0</v>
      </c>
      <c r="R27" s="107"/>
      <c r="S27" s="143">
        <f t="shared" si="13"/>
        <v>0</v>
      </c>
      <c r="T27" s="245"/>
      <c r="U27" s="107"/>
      <c r="V27" s="151">
        <f t="shared" si="14"/>
        <v>0</v>
      </c>
      <c r="W27" s="246"/>
      <c r="X27" s="107"/>
      <c r="Y27" s="46">
        <f t="shared" si="15"/>
        <v>0</v>
      </c>
      <c r="Z27" s="141">
        <f t="shared" si="16"/>
        <v>0</v>
      </c>
      <c r="AA27" s="107">
        <f t="shared" si="3"/>
        <v>0</v>
      </c>
      <c r="AB27" s="333">
        <v>0</v>
      </c>
      <c r="AC27" s="107"/>
      <c r="AD27" s="107">
        <f t="shared" si="17"/>
        <v>0</v>
      </c>
      <c r="AE27" s="107">
        <f t="shared" si="18"/>
        <v>0</v>
      </c>
      <c r="AF27" s="107"/>
      <c r="AG27" s="142">
        <f t="shared" si="19"/>
        <v>0</v>
      </c>
      <c r="AH27" s="210">
        <f t="shared" si="20"/>
        <v>0</v>
      </c>
      <c r="AI27" s="107">
        <f t="shared" si="4"/>
        <v>0</v>
      </c>
      <c r="AJ27" s="333">
        <v>0</v>
      </c>
      <c r="AK27" s="121">
        <f t="shared" si="5"/>
        <v>0</v>
      </c>
      <c r="AL27" s="107"/>
      <c r="AM27" s="107">
        <f t="shared" si="21"/>
        <v>0</v>
      </c>
      <c r="AN27" s="107">
        <f t="shared" si="22"/>
        <v>0</v>
      </c>
      <c r="AO27" s="107"/>
      <c r="AP27" s="143">
        <f t="shared" si="23"/>
        <v>0</v>
      </c>
      <c r="AQ27" s="34"/>
      <c r="AR27" s="29"/>
      <c r="AS27" s="124"/>
      <c r="AT27" s="138">
        <f t="shared" si="24"/>
        <v>190.419443985344</v>
      </c>
      <c r="AU27" s="151">
        <f t="shared" si="25"/>
        <v>190.419443985344</v>
      </c>
      <c r="AW27" s="1">
        <v>3</v>
      </c>
      <c r="BA27" s="30">
        <v>0</v>
      </c>
      <c r="BB27" s="30">
        <v>0</v>
      </c>
      <c r="BC27" s="30">
        <v>0</v>
      </c>
      <c r="BD27" s="30">
        <v>0</v>
      </c>
      <c r="BI27" s="333">
        <v>0</v>
      </c>
      <c r="BL27" s="110">
        <f t="shared" si="29"/>
        <v>1.2233877438623886</v>
      </c>
      <c r="BM27" s="110">
        <f t="shared" si="29"/>
        <v>1.2807066670574303</v>
      </c>
      <c r="BN27" s="110">
        <f t="shared" si="29"/>
        <v>0.82443024793968056</v>
      </c>
      <c r="BO27" s="110">
        <f t="shared" si="29"/>
        <v>1.2965393422474656</v>
      </c>
    </row>
    <row r="28" spans="1:67" ht="20.100000000000001" customHeight="1" x14ac:dyDescent="0.25">
      <c r="A28" s="434" t="s">
        <v>43</v>
      </c>
      <c r="B28" s="238">
        <v>1</v>
      </c>
      <c r="C28" s="236">
        <f>'побудинковий звіт'!E28</f>
        <v>403.93</v>
      </c>
      <c r="D28" s="141">
        <f t="shared" si="6"/>
        <v>0</v>
      </c>
      <c r="E28" s="107">
        <f t="shared" si="0"/>
        <v>0</v>
      </c>
      <c r="F28" s="333">
        <v>0</v>
      </c>
      <c r="G28" s="107">
        <f t="shared" si="1"/>
        <v>0</v>
      </c>
      <c r="H28" s="735">
        <f t="shared" si="7"/>
        <v>0</v>
      </c>
      <c r="I28" s="107">
        <f t="shared" si="8"/>
        <v>0</v>
      </c>
      <c r="J28" s="29"/>
      <c r="K28" s="142">
        <f t="shared" si="9"/>
        <v>0</v>
      </c>
      <c r="L28" s="210">
        <f t="shared" si="10"/>
        <v>0</v>
      </c>
      <c r="M28" s="107">
        <f t="shared" si="2"/>
        <v>0</v>
      </c>
      <c r="N28" s="333">
        <v>0</v>
      </c>
      <c r="O28" s="107"/>
      <c r="P28" s="107">
        <f t="shared" si="11"/>
        <v>0</v>
      </c>
      <c r="Q28" s="107">
        <f t="shared" si="12"/>
        <v>0</v>
      </c>
      <c r="R28" s="107"/>
      <c r="S28" s="143">
        <f t="shared" si="13"/>
        <v>0</v>
      </c>
      <c r="T28" s="245"/>
      <c r="U28" s="107"/>
      <c r="V28" s="151">
        <f t="shared" si="14"/>
        <v>0</v>
      </c>
      <c r="W28" s="246"/>
      <c r="X28" s="107"/>
      <c r="Y28" s="46">
        <f t="shared" si="15"/>
        <v>0</v>
      </c>
      <c r="Z28" s="141">
        <f t="shared" si="16"/>
        <v>0</v>
      </c>
      <c r="AA28" s="107">
        <f t="shared" si="3"/>
        <v>0</v>
      </c>
      <c r="AB28" s="333">
        <v>0</v>
      </c>
      <c r="AC28" s="107"/>
      <c r="AD28" s="107">
        <f t="shared" si="17"/>
        <v>0</v>
      </c>
      <c r="AE28" s="107">
        <f t="shared" si="18"/>
        <v>0</v>
      </c>
      <c r="AF28" s="107"/>
      <c r="AG28" s="142">
        <f t="shared" si="19"/>
        <v>0</v>
      </c>
      <c r="AH28" s="210">
        <f t="shared" si="20"/>
        <v>0</v>
      </c>
      <c r="AI28" s="107">
        <f t="shared" si="4"/>
        <v>0</v>
      </c>
      <c r="AJ28" s="333">
        <v>0</v>
      </c>
      <c r="AK28" s="121">
        <f t="shared" si="5"/>
        <v>0</v>
      </c>
      <c r="AL28" s="107"/>
      <c r="AM28" s="107">
        <f t="shared" si="21"/>
        <v>0</v>
      </c>
      <c r="AN28" s="107">
        <f t="shared" si="22"/>
        <v>0</v>
      </c>
      <c r="AO28" s="107"/>
      <c r="AP28" s="143">
        <f t="shared" si="23"/>
        <v>0</v>
      </c>
      <c r="AQ28" s="34"/>
      <c r="AR28" s="29"/>
      <c r="AS28" s="124"/>
      <c r="AT28" s="138">
        <f t="shared" si="24"/>
        <v>0</v>
      </c>
      <c r="AU28" s="151">
        <f t="shared" si="25"/>
        <v>0</v>
      </c>
      <c r="AW28" s="1">
        <v>3</v>
      </c>
      <c r="BA28" s="30">
        <v>0</v>
      </c>
      <c r="BB28" s="30">
        <v>0</v>
      </c>
      <c r="BC28" s="30">
        <v>0</v>
      </c>
      <c r="BD28" s="30">
        <v>0</v>
      </c>
      <c r="BI28" s="333">
        <v>0</v>
      </c>
      <c r="BL28" s="110">
        <f t="shared" si="29"/>
        <v>1.2233877438623886</v>
      </c>
      <c r="BM28" s="110">
        <f t="shared" si="29"/>
        <v>1.2807066670574303</v>
      </c>
      <c r="BN28" s="110">
        <f t="shared" si="29"/>
        <v>0.82443024793968056</v>
      </c>
      <c r="BO28" s="110">
        <f t="shared" si="29"/>
        <v>1.2965393422474656</v>
      </c>
    </row>
    <row r="29" spans="1:67" x14ac:dyDescent="0.25">
      <c r="A29" s="434" t="s">
        <v>44</v>
      </c>
      <c r="B29" s="919">
        <v>11</v>
      </c>
      <c r="C29" s="918">
        <f>'побудинковий звіт'!E29</f>
        <v>4845</v>
      </c>
      <c r="D29" s="141">
        <f t="shared" si="6"/>
        <v>0</v>
      </c>
      <c r="E29" s="107">
        <f t="shared" si="0"/>
        <v>0</v>
      </c>
      <c r="F29" s="333">
        <v>0</v>
      </c>
      <c r="G29" s="107">
        <f t="shared" si="1"/>
        <v>0</v>
      </c>
      <c r="H29" s="735">
        <f t="shared" si="7"/>
        <v>0</v>
      </c>
      <c r="I29" s="107">
        <f t="shared" si="8"/>
        <v>0</v>
      </c>
      <c r="J29" s="29"/>
      <c r="K29" s="142">
        <f t="shared" si="9"/>
        <v>0</v>
      </c>
      <c r="L29" s="210">
        <f t="shared" si="10"/>
        <v>0</v>
      </c>
      <c r="M29" s="107">
        <f t="shared" si="2"/>
        <v>0</v>
      </c>
      <c r="N29" s="333">
        <v>0</v>
      </c>
      <c r="O29" s="107"/>
      <c r="P29" s="107">
        <f t="shared" si="11"/>
        <v>0</v>
      </c>
      <c r="Q29" s="107">
        <f t="shared" si="12"/>
        <v>0</v>
      </c>
      <c r="R29" s="107"/>
      <c r="S29" s="143">
        <f t="shared" si="13"/>
        <v>0</v>
      </c>
      <c r="T29" s="245"/>
      <c r="U29" s="107"/>
      <c r="V29" s="151">
        <f t="shared" si="14"/>
        <v>0</v>
      </c>
      <c r="W29" s="246"/>
      <c r="X29" s="107"/>
      <c r="Y29" s="46">
        <f t="shared" si="15"/>
        <v>0</v>
      </c>
      <c r="Z29" s="141">
        <f t="shared" si="16"/>
        <v>0</v>
      </c>
      <c r="AA29" s="107">
        <f t="shared" si="3"/>
        <v>0</v>
      </c>
      <c r="AB29" s="333">
        <v>0</v>
      </c>
      <c r="AC29" s="107"/>
      <c r="AD29" s="107">
        <f t="shared" si="17"/>
        <v>0</v>
      </c>
      <c r="AE29" s="107">
        <f t="shared" si="18"/>
        <v>0</v>
      </c>
      <c r="AF29" s="107"/>
      <c r="AG29" s="142">
        <f t="shared" si="19"/>
        <v>0</v>
      </c>
      <c r="AH29" s="210">
        <f t="shared" si="20"/>
        <v>0</v>
      </c>
      <c r="AI29" s="107">
        <f t="shared" si="4"/>
        <v>0</v>
      </c>
      <c r="AJ29" s="333">
        <v>0</v>
      </c>
      <c r="AK29" s="121">
        <f t="shared" si="5"/>
        <v>0</v>
      </c>
      <c r="AL29" s="107"/>
      <c r="AM29" s="107">
        <f t="shared" si="21"/>
        <v>0</v>
      </c>
      <c r="AN29" s="107">
        <f t="shared" si="22"/>
        <v>0</v>
      </c>
      <c r="AO29" s="107"/>
      <c r="AP29" s="143">
        <f t="shared" si="23"/>
        <v>0</v>
      </c>
      <c r="AQ29" s="34"/>
      <c r="AR29" s="29"/>
      <c r="AS29" s="124"/>
      <c r="AT29" s="138">
        <f t="shared" si="24"/>
        <v>2250.5847488814961</v>
      </c>
      <c r="AU29" s="151">
        <f t="shared" si="25"/>
        <v>2250.5847488814961</v>
      </c>
      <c r="AW29" s="1">
        <v>3</v>
      </c>
      <c r="BA29" s="30">
        <v>0</v>
      </c>
      <c r="BB29" s="30">
        <v>0</v>
      </c>
      <c r="BC29" s="30">
        <v>0</v>
      </c>
      <c r="BD29" s="30">
        <v>0</v>
      </c>
      <c r="BI29" s="333">
        <v>0</v>
      </c>
      <c r="BL29" s="110">
        <f t="shared" si="29"/>
        <v>1.2233877438623886</v>
      </c>
      <c r="BM29" s="110">
        <f t="shared" si="29"/>
        <v>1.2807066670574303</v>
      </c>
      <c r="BN29" s="110">
        <f t="shared" si="29"/>
        <v>0.82443024793968056</v>
      </c>
      <c r="BO29" s="110">
        <f t="shared" si="29"/>
        <v>1.2965393422474656</v>
      </c>
    </row>
    <row r="30" spans="1:67" x14ac:dyDescent="0.25">
      <c r="A30" s="434" t="s">
        <v>47</v>
      </c>
      <c r="B30" s="238">
        <v>1</v>
      </c>
      <c r="C30" s="236">
        <f>'побудинковий звіт'!E30</f>
        <v>664</v>
      </c>
      <c r="D30" s="141">
        <f t="shared" si="6"/>
        <v>0</v>
      </c>
      <c r="E30" s="107">
        <f t="shared" si="0"/>
        <v>0</v>
      </c>
      <c r="F30" s="333">
        <v>0</v>
      </c>
      <c r="G30" s="107">
        <f t="shared" si="1"/>
        <v>0</v>
      </c>
      <c r="H30" s="735">
        <f t="shared" si="7"/>
        <v>0</v>
      </c>
      <c r="I30" s="107">
        <f t="shared" si="8"/>
        <v>0</v>
      </c>
      <c r="J30" s="29"/>
      <c r="K30" s="142">
        <f t="shared" si="9"/>
        <v>0</v>
      </c>
      <c r="L30" s="210">
        <f t="shared" si="10"/>
        <v>0</v>
      </c>
      <c r="M30" s="107">
        <f t="shared" si="2"/>
        <v>0</v>
      </c>
      <c r="N30" s="333">
        <v>0</v>
      </c>
      <c r="O30" s="107"/>
      <c r="P30" s="107">
        <f t="shared" si="11"/>
        <v>0</v>
      </c>
      <c r="Q30" s="107">
        <f t="shared" si="12"/>
        <v>0</v>
      </c>
      <c r="R30" s="107"/>
      <c r="S30" s="143">
        <f t="shared" si="13"/>
        <v>0</v>
      </c>
      <c r="T30" s="245"/>
      <c r="U30" s="107"/>
      <c r="V30" s="151">
        <f t="shared" si="14"/>
        <v>0</v>
      </c>
      <c r="W30" s="246"/>
      <c r="X30" s="107"/>
      <c r="Y30" s="46">
        <f t="shared" si="15"/>
        <v>0</v>
      </c>
      <c r="Z30" s="141">
        <f t="shared" si="16"/>
        <v>0</v>
      </c>
      <c r="AA30" s="107">
        <f t="shared" si="3"/>
        <v>0</v>
      </c>
      <c r="AB30" s="333">
        <v>0</v>
      </c>
      <c r="AC30" s="107"/>
      <c r="AD30" s="107">
        <f t="shared" si="17"/>
        <v>0</v>
      </c>
      <c r="AE30" s="107">
        <f t="shared" si="18"/>
        <v>0</v>
      </c>
      <c r="AF30" s="107"/>
      <c r="AG30" s="142">
        <f t="shared" si="19"/>
        <v>0</v>
      </c>
      <c r="AH30" s="210">
        <f t="shared" si="20"/>
        <v>0</v>
      </c>
      <c r="AI30" s="107">
        <f t="shared" si="4"/>
        <v>0</v>
      </c>
      <c r="AJ30" s="333">
        <v>0</v>
      </c>
      <c r="AK30" s="121">
        <f t="shared" si="5"/>
        <v>0</v>
      </c>
      <c r="AL30" s="107"/>
      <c r="AM30" s="107">
        <f t="shared" si="21"/>
        <v>0</v>
      </c>
      <c r="AN30" s="107">
        <f t="shared" si="22"/>
        <v>0</v>
      </c>
      <c r="AO30" s="107"/>
      <c r="AP30" s="143">
        <f t="shared" si="23"/>
        <v>0</v>
      </c>
      <c r="AQ30" s="34"/>
      <c r="AR30" s="29"/>
      <c r="AS30" s="124"/>
      <c r="AT30" s="138">
        <f t="shared" si="24"/>
        <v>0</v>
      </c>
      <c r="AU30" s="151">
        <f t="shared" si="25"/>
        <v>0</v>
      </c>
      <c r="AW30" s="1">
        <v>3</v>
      </c>
      <c r="BA30" s="30">
        <v>0</v>
      </c>
      <c r="BB30" s="30">
        <v>0</v>
      </c>
      <c r="BC30" s="30">
        <v>0</v>
      </c>
      <c r="BD30" s="30">
        <v>0</v>
      </c>
      <c r="BI30" s="333">
        <v>0</v>
      </c>
      <c r="BL30" s="110">
        <f t="shared" si="29"/>
        <v>1.2233877438623886</v>
      </c>
      <c r="BM30" s="110">
        <f t="shared" si="29"/>
        <v>1.2807066670574303</v>
      </c>
      <c r="BN30" s="110">
        <f t="shared" si="29"/>
        <v>0.82443024793968056</v>
      </c>
      <c r="BO30" s="110">
        <f t="shared" si="29"/>
        <v>1.2965393422474656</v>
      </c>
    </row>
    <row r="31" spans="1:67" ht="18.45" customHeight="1" x14ac:dyDescent="0.25">
      <c r="A31" s="434" t="s">
        <v>48</v>
      </c>
      <c r="B31" s="919">
        <v>11</v>
      </c>
      <c r="C31" s="918">
        <f>'побудинковий звіт'!E31</f>
        <v>206.8</v>
      </c>
      <c r="D31" s="141">
        <f t="shared" si="6"/>
        <v>0</v>
      </c>
      <c r="E31" s="107">
        <f t="shared" si="0"/>
        <v>0</v>
      </c>
      <c r="F31" s="333">
        <v>0</v>
      </c>
      <c r="G31" s="107">
        <f t="shared" si="1"/>
        <v>0</v>
      </c>
      <c r="H31" s="735">
        <f t="shared" si="7"/>
        <v>0</v>
      </c>
      <c r="I31" s="107">
        <f t="shared" si="8"/>
        <v>0</v>
      </c>
      <c r="J31" s="29"/>
      <c r="K31" s="142">
        <f t="shared" si="9"/>
        <v>0</v>
      </c>
      <c r="L31" s="210">
        <f t="shared" si="10"/>
        <v>0</v>
      </c>
      <c r="M31" s="107">
        <f t="shared" si="2"/>
        <v>0</v>
      </c>
      <c r="N31" s="333">
        <v>0</v>
      </c>
      <c r="O31" s="107"/>
      <c r="P31" s="107">
        <f t="shared" si="11"/>
        <v>0</v>
      </c>
      <c r="Q31" s="107">
        <f t="shared" si="12"/>
        <v>0</v>
      </c>
      <c r="R31" s="107"/>
      <c r="S31" s="143">
        <f t="shared" si="13"/>
        <v>0</v>
      </c>
      <c r="T31" s="245"/>
      <c r="U31" s="107"/>
      <c r="V31" s="151">
        <f t="shared" si="14"/>
        <v>0</v>
      </c>
      <c r="W31" s="246"/>
      <c r="X31" s="107"/>
      <c r="Y31" s="46">
        <f t="shared" si="15"/>
        <v>0</v>
      </c>
      <c r="Z31" s="141">
        <f t="shared" si="16"/>
        <v>0</v>
      </c>
      <c r="AA31" s="107">
        <f t="shared" si="3"/>
        <v>0</v>
      </c>
      <c r="AB31" s="333">
        <v>0</v>
      </c>
      <c r="AC31" s="107"/>
      <c r="AD31" s="107">
        <f t="shared" si="17"/>
        <v>0</v>
      </c>
      <c r="AE31" s="107">
        <f t="shared" si="18"/>
        <v>0</v>
      </c>
      <c r="AF31" s="107"/>
      <c r="AG31" s="142">
        <f t="shared" si="19"/>
        <v>0</v>
      </c>
      <c r="AH31" s="210">
        <f t="shared" si="20"/>
        <v>0</v>
      </c>
      <c r="AI31" s="107">
        <f t="shared" si="4"/>
        <v>0</v>
      </c>
      <c r="AJ31" s="333">
        <v>0</v>
      </c>
      <c r="AK31" s="121">
        <f t="shared" si="5"/>
        <v>0</v>
      </c>
      <c r="AL31" s="107"/>
      <c r="AM31" s="107">
        <f t="shared" si="21"/>
        <v>0</v>
      </c>
      <c r="AN31" s="107">
        <f t="shared" si="22"/>
        <v>0</v>
      </c>
      <c r="AO31" s="107"/>
      <c r="AP31" s="143">
        <f t="shared" si="23"/>
        <v>0</v>
      </c>
      <c r="AQ31" s="34"/>
      <c r="AR31" s="29"/>
      <c r="AS31" s="124"/>
      <c r="AT31" s="138">
        <f t="shared" si="24"/>
        <v>96.062110643693174</v>
      </c>
      <c r="AU31" s="151">
        <f t="shared" si="25"/>
        <v>96.062110643693174</v>
      </c>
      <c r="AW31" s="1">
        <v>3</v>
      </c>
      <c r="BA31" s="30">
        <v>0</v>
      </c>
      <c r="BB31" s="30">
        <v>0</v>
      </c>
      <c r="BC31" s="30">
        <v>0</v>
      </c>
      <c r="BD31" s="30">
        <v>0</v>
      </c>
      <c r="BI31" s="333">
        <v>0</v>
      </c>
      <c r="BL31" s="110">
        <f t="shared" si="29"/>
        <v>1.2233877438623886</v>
      </c>
      <c r="BM31" s="110">
        <f t="shared" si="29"/>
        <v>1.2807066670574303</v>
      </c>
      <c r="BN31" s="110">
        <f t="shared" si="29"/>
        <v>0.82443024793968056</v>
      </c>
      <c r="BO31" s="110">
        <f t="shared" si="29"/>
        <v>1.2965393422474656</v>
      </c>
    </row>
    <row r="32" spans="1:67" x14ac:dyDescent="0.25">
      <c r="A32" s="260" t="s">
        <v>201</v>
      </c>
      <c r="B32" s="237">
        <v>4</v>
      </c>
      <c r="C32" s="236">
        <f>'побудинковий звіт'!E32</f>
        <v>2825.6</v>
      </c>
      <c r="D32" s="141">
        <f t="shared" si="6"/>
        <v>307.75852270516253</v>
      </c>
      <c r="E32" s="107">
        <f t="shared" si="0"/>
        <v>63.437335792363321</v>
      </c>
      <c r="F32" s="333">
        <v>48.445593760678712</v>
      </c>
      <c r="G32" s="107">
        <f t="shared" si="1"/>
        <v>0</v>
      </c>
      <c r="H32" s="735">
        <f t="shared" si="7"/>
        <v>257.12445732982451</v>
      </c>
      <c r="I32" s="107">
        <f t="shared" si="8"/>
        <v>87.108458623926481</v>
      </c>
      <c r="J32" s="29"/>
      <c r="K32" s="142">
        <f t="shared" si="9"/>
        <v>763.87436821195558</v>
      </c>
      <c r="L32" s="210">
        <f t="shared" si="10"/>
        <v>51.663016780669729</v>
      </c>
      <c r="M32" s="107">
        <f t="shared" si="2"/>
        <v>11.366789760829358</v>
      </c>
      <c r="N32" s="333">
        <v>0</v>
      </c>
      <c r="O32" s="107"/>
      <c r="P32" s="107">
        <f t="shared" si="11"/>
        <v>43.163143093448738</v>
      </c>
      <c r="Q32" s="107">
        <f t="shared" si="12"/>
        <v>13.668395568357665</v>
      </c>
      <c r="R32" s="107"/>
      <c r="S32" s="143">
        <f t="shared" si="13"/>
        <v>119.86134520330549</v>
      </c>
      <c r="T32" s="905">
        <v>273.60000000000002</v>
      </c>
      <c r="U32" s="107"/>
      <c r="V32" s="151">
        <f t="shared" si="14"/>
        <v>273.60000000000002</v>
      </c>
      <c r="W32" s="246"/>
      <c r="X32" s="107"/>
      <c r="Y32" s="46">
        <f t="shared" si="15"/>
        <v>0</v>
      </c>
      <c r="Z32" s="141">
        <f t="shared" si="16"/>
        <v>0</v>
      </c>
      <c r="AA32" s="107">
        <f t="shared" si="3"/>
        <v>0</v>
      </c>
      <c r="AB32" s="333">
        <v>0</v>
      </c>
      <c r="AC32" s="107"/>
      <c r="AD32" s="107">
        <f t="shared" si="17"/>
        <v>0</v>
      </c>
      <c r="AE32" s="107">
        <f t="shared" si="18"/>
        <v>0</v>
      </c>
      <c r="AF32" s="107"/>
      <c r="AG32" s="142">
        <f t="shared" si="19"/>
        <v>0</v>
      </c>
      <c r="AH32" s="210">
        <f t="shared" si="20"/>
        <v>151.86317739711242</v>
      </c>
      <c r="AI32" s="107">
        <f t="shared" si="4"/>
        <v>30.291493951406377</v>
      </c>
      <c r="AJ32" s="333">
        <v>24.620667022774594</v>
      </c>
      <c r="AK32" s="121">
        <f t="shared" si="5"/>
        <v>0</v>
      </c>
      <c r="AL32" s="418"/>
      <c r="AM32" s="107">
        <f t="shared" si="21"/>
        <v>126.87784154079706</v>
      </c>
      <c r="AN32" s="107">
        <f t="shared" si="22"/>
        <v>42.945446579609936</v>
      </c>
      <c r="AO32" s="107"/>
      <c r="AP32" s="143">
        <f t="shared" si="23"/>
        <v>376.59862649170043</v>
      </c>
      <c r="AQ32" s="34"/>
      <c r="AR32" s="29"/>
      <c r="AS32" s="124"/>
      <c r="AT32" s="138">
        <f t="shared" si="24"/>
        <v>1312.5391674797843</v>
      </c>
      <c r="AU32" s="151">
        <f t="shared" si="25"/>
        <v>2846.473507386746</v>
      </c>
      <c r="AW32" s="1">
        <v>2</v>
      </c>
      <c r="BA32" s="30">
        <v>280.60000000000002</v>
      </c>
      <c r="BB32" s="30">
        <v>46.43</v>
      </c>
      <c r="BC32" s="30">
        <v>0</v>
      </c>
      <c r="BD32" s="30">
        <v>146.46</v>
      </c>
      <c r="BF32" s="289">
        <f>T32*1.2</f>
        <v>328.32</v>
      </c>
      <c r="BI32" s="333">
        <v>0</v>
      </c>
      <c r="BL32" s="110">
        <f t="shared" ref="BL32:BO40" si="30">BA$398</f>
        <v>1.0967873225415627</v>
      </c>
      <c r="BM32" s="110">
        <f t="shared" si="30"/>
        <v>1.1127076627324948</v>
      </c>
      <c r="BN32" s="110">
        <f t="shared" si="30"/>
        <v>2.8314493742615632</v>
      </c>
      <c r="BO32" s="110">
        <f t="shared" si="30"/>
        <v>1.036891829831438</v>
      </c>
    </row>
    <row r="33" spans="1:67" x14ac:dyDescent="0.25">
      <c r="A33" s="260" t="s">
        <v>202</v>
      </c>
      <c r="B33" s="237">
        <v>4</v>
      </c>
      <c r="C33" s="236">
        <f>'побудинковий звіт'!E33</f>
        <v>1556.0700000000002</v>
      </c>
      <c r="D33" s="141">
        <f t="shared" si="6"/>
        <v>238.50737115988824</v>
      </c>
      <c r="E33" s="107">
        <f t="shared" si="0"/>
        <v>49.162804851772371</v>
      </c>
      <c r="F33" s="333">
        <v>48.788398010009487</v>
      </c>
      <c r="G33" s="107">
        <f t="shared" si="1"/>
        <v>0</v>
      </c>
      <c r="H33" s="735">
        <f t="shared" si="7"/>
        <v>199.2668727403551</v>
      </c>
      <c r="I33" s="107">
        <f t="shared" si="8"/>
        <v>68.954740851916938</v>
      </c>
      <c r="J33" s="29"/>
      <c r="K33" s="142">
        <f t="shared" si="9"/>
        <v>604.68018761394205</v>
      </c>
      <c r="L33" s="210">
        <f t="shared" si="10"/>
        <v>35.428611981402632</v>
      </c>
      <c r="M33" s="107">
        <f t="shared" si="2"/>
        <v>7.7949297002973674</v>
      </c>
      <c r="N33" s="333">
        <v>0</v>
      </c>
      <c r="O33" s="107"/>
      <c r="P33" s="107">
        <f t="shared" si="11"/>
        <v>29.599708724863401</v>
      </c>
      <c r="Q33" s="107">
        <f t="shared" si="12"/>
        <v>9.3732869889405137</v>
      </c>
      <c r="R33" s="107"/>
      <c r="S33" s="143">
        <f t="shared" si="13"/>
        <v>82.196537395503924</v>
      </c>
      <c r="T33" s="905">
        <v>269.18333333333334</v>
      </c>
      <c r="U33" s="107"/>
      <c r="V33" s="151">
        <f t="shared" si="14"/>
        <v>269.18333333333334</v>
      </c>
      <c r="W33" s="907">
        <v>66.875</v>
      </c>
      <c r="X33" s="107"/>
      <c r="Y33" s="46">
        <f t="shared" si="15"/>
        <v>66.875</v>
      </c>
      <c r="Z33" s="141">
        <f t="shared" si="16"/>
        <v>0</v>
      </c>
      <c r="AA33" s="107">
        <f t="shared" si="3"/>
        <v>0</v>
      </c>
      <c r="AB33" s="333">
        <v>0</v>
      </c>
      <c r="AC33" s="107"/>
      <c r="AD33" s="107">
        <f t="shared" si="17"/>
        <v>0</v>
      </c>
      <c r="AE33" s="107">
        <f t="shared" si="18"/>
        <v>0</v>
      </c>
      <c r="AF33" s="107"/>
      <c r="AG33" s="142">
        <f t="shared" si="19"/>
        <v>0</v>
      </c>
      <c r="AH33" s="210">
        <f t="shared" si="20"/>
        <v>144.17980893806146</v>
      </c>
      <c r="AI33" s="107">
        <f t="shared" si="4"/>
        <v>28.758925535593722</v>
      </c>
      <c r="AJ33" s="333">
        <v>24.755258529955277</v>
      </c>
      <c r="AK33" s="121">
        <f t="shared" si="5"/>
        <v>0</v>
      </c>
      <c r="AL33" s="418"/>
      <c r="AM33" s="107">
        <f t="shared" si="21"/>
        <v>120.45858163490256</v>
      </c>
      <c r="AN33" s="107">
        <f t="shared" si="22"/>
        <v>40.950319735911251</v>
      </c>
      <c r="AO33" s="107"/>
      <c r="AP33" s="143">
        <f t="shared" si="23"/>
        <v>359.1028943744243</v>
      </c>
      <c r="AQ33" s="34"/>
      <c r="AR33" s="29"/>
      <c r="AS33" s="124"/>
      <c r="AT33" s="138">
        <f t="shared" si="24"/>
        <v>722.82093089618786</v>
      </c>
      <c r="AU33" s="151">
        <f t="shared" si="25"/>
        <v>2104.8588836133913</v>
      </c>
      <c r="AW33" s="1">
        <v>2</v>
      </c>
      <c r="BA33" s="30">
        <v>217.46</v>
      </c>
      <c r="BB33" s="30">
        <v>31.84</v>
      </c>
      <c r="BC33" s="30">
        <v>0</v>
      </c>
      <c r="BD33" s="30">
        <v>139.05000000000001</v>
      </c>
      <c r="BF33" s="289">
        <f t="shared" ref="BF33:BF40" si="31">T33*1.2</f>
        <v>323.02</v>
      </c>
      <c r="BI33" s="333">
        <v>0</v>
      </c>
      <c r="BL33" s="110">
        <f t="shared" si="30"/>
        <v>1.0967873225415627</v>
      </c>
      <c r="BM33" s="110">
        <f t="shared" si="30"/>
        <v>1.1127076627324948</v>
      </c>
      <c r="BN33" s="110">
        <f t="shared" si="30"/>
        <v>2.8314493742615632</v>
      </c>
      <c r="BO33" s="110">
        <f t="shared" si="30"/>
        <v>1.036891829831438</v>
      </c>
    </row>
    <row r="34" spans="1:67" x14ac:dyDescent="0.25">
      <c r="A34" s="260" t="s">
        <v>203</v>
      </c>
      <c r="B34" s="237">
        <v>4</v>
      </c>
      <c r="C34" s="236">
        <f>'побудинковий звіт'!E34</f>
        <v>4447.43</v>
      </c>
      <c r="D34" s="141">
        <f t="shared" si="6"/>
        <v>358.6275187246402</v>
      </c>
      <c r="E34" s="107">
        <f t="shared" si="0"/>
        <v>73.92280847251233</v>
      </c>
      <c r="F34" s="333">
        <v>68.553054071916264</v>
      </c>
      <c r="G34" s="107">
        <f t="shared" si="1"/>
        <v>0</v>
      </c>
      <c r="H34" s="735">
        <f t="shared" si="7"/>
        <v>299.62421617143985</v>
      </c>
      <c r="I34" s="107">
        <f t="shared" si="8"/>
        <v>103.06391885658357</v>
      </c>
      <c r="J34" s="29"/>
      <c r="K34" s="142">
        <f t="shared" si="9"/>
        <v>903.79151629709213</v>
      </c>
      <c r="L34" s="210">
        <f t="shared" si="10"/>
        <v>72.937987292115025</v>
      </c>
      <c r="M34" s="107">
        <f t="shared" si="2"/>
        <v>16.047664631108429</v>
      </c>
      <c r="N34" s="333">
        <v>0</v>
      </c>
      <c r="O34" s="107"/>
      <c r="P34" s="107">
        <f t="shared" si="11"/>
        <v>60.937842553856655</v>
      </c>
      <c r="Q34" s="107">
        <f t="shared" si="12"/>
        <v>19.297077956188776</v>
      </c>
      <c r="R34" s="107"/>
      <c r="S34" s="143">
        <f t="shared" si="13"/>
        <v>169.2205724332689</v>
      </c>
      <c r="T34" s="905">
        <v>381.05</v>
      </c>
      <c r="U34" s="107"/>
      <c r="V34" s="151">
        <f t="shared" si="14"/>
        <v>381.05</v>
      </c>
      <c r="W34" s="246"/>
      <c r="X34" s="107"/>
      <c r="Y34" s="46">
        <f t="shared" si="15"/>
        <v>0</v>
      </c>
      <c r="Z34" s="141">
        <f t="shared" si="16"/>
        <v>0</v>
      </c>
      <c r="AA34" s="107">
        <f t="shared" si="3"/>
        <v>0</v>
      </c>
      <c r="AB34" s="333">
        <v>0</v>
      </c>
      <c r="AC34" s="107"/>
      <c r="AD34" s="107">
        <f t="shared" si="17"/>
        <v>0</v>
      </c>
      <c r="AE34" s="107">
        <f t="shared" si="18"/>
        <v>0</v>
      </c>
      <c r="AF34" s="107"/>
      <c r="AG34" s="142">
        <f t="shared" si="19"/>
        <v>0</v>
      </c>
      <c r="AH34" s="210">
        <f t="shared" si="20"/>
        <v>262.5306423950218</v>
      </c>
      <c r="AI34" s="107">
        <f t="shared" si="4"/>
        <v>52.365856572146527</v>
      </c>
      <c r="AJ34" s="333">
        <v>32.515240658161218</v>
      </c>
      <c r="AK34" s="121">
        <f t="shared" si="5"/>
        <v>0</v>
      </c>
      <c r="AL34" s="418"/>
      <c r="AM34" s="107">
        <f t="shared" si="21"/>
        <v>219.33770790464567</v>
      </c>
      <c r="AN34" s="107">
        <f t="shared" si="22"/>
        <v>72.947927933235377</v>
      </c>
      <c r="AO34" s="107"/>
      <c r="AP34" s="143">
        <f t="shared" si="23"/>
        <v>639.69737546321062</v>
      </c>
      <c r="AQ34" s="34"/>
      <c r="AR34" s="29"/>
      <c r="AS34" s="124"/>
      <c r="AT34" s="138">
        <f t="shared" si="24"/>
        <v>2065.9067347199243</v>
      </c>
      <c r="AU34" s="151">
        <f t="shared" si="25"/>
        <v>4159.6661989134955</v>
      </c>
      <c r="AW34" s="1">
        <v>2</v>
      </c>
      <c r="BA34" s="30">
        <v>326.98</v>
      </c>
      <c r="BB34" s="30">
        <v>65.55</v>
      </c>
      <c r="BC34" s="30">
        <v>0</v>
      </c>
      <c r="BD34" s="30">
        <v>253.19</v>
      </c>
      <c r="BF34" s="289">
        <f t="shared" si="31"/>
        <v>457.26</v>
      </c>
      <c r="BI34" s="333">
        <v>0</v>
      </c>
      <c r="BL34" s="110">
        <f t="shared" si="30"/>
        <v>1.0967873225415627</v>
      </c>
      <c r="BM34" s="110">
        <f t="shared" si="30"/>
        <v>1.1127076627324948</v>
      </c>
      <c r="BN34" s="110">
        <f t="shared" si="30"/>
        <v>2.8314493742615632</v>
      </c>
      <c r="BO34" s="110">
        <f t="shared" si="30"/>
        <v>1.036891829831438</v>
      </c>
    </row>
    <row r="35" spans="1:67" x14ac:dyDescent="0.25">
      <c r="A35" s="260" t="s">
        <v>149</v>
      </c>
      <c r="B35" s="237">
        <v>2</v>
      </c>
      <c r="C35" s="236">
        <f>'побудинковий звіт'!E35</f>
        <v>364.29999999999995</v>
      </c>
      <c r="D35" s="141">
        <f t="shared" si="6"/>
        <v>164.7264879725173</v>
      </c>
      <c r="E35" s="107">
        <f t="shared" si="0"/>
        <v>33.954573993781352</v>
      </c>
      <c r="F35" s="333">
        <v>22.041027979405037</v>
      </c>
      <c r="G35" s="107">
        <f t="shared" si="1"/>
        <v>0</v>
      </c>
      <c r="H35" s="735">
        <f t="shared" si="7"/>
        <v>137.62481199702901</v>
      </c>
      <c r="I35" s="107">
        <f t="shared" si="8"/>
        <v>46.123845540465325</v>
      </c>
      <c r="J35" s="29"/>
      <c r="K35" s="142">
        <f t="shared" si="9"/>
        <v>404.47074748319807</v>
      </c>
      <c r="L35" s="210">
        <f t="shared" si="10"/>
        <v>31.189195786391831</v>
      </c>
      <c r="M35" s="107">
        <f t="shared" si="2"/>
        <v>6.8621821450796237</v>
      </c>
      <c r="N35" s="333">
        <v>0</v>
      </c>
      <c r="O35" s="107"/>
      <c r="P35" s="107">
        <f t="shared" si="11"/>
        <v>26.057783780085469</v>
      </c>
      <c r="Q35" s="107">
        <f t="shared" si="12"/>
        <v>8.251671931532746</v>
      </c>
      <c r="R35" s="107"/>
      <c r="S35" s="143">
        <f t="shared" si="13"/>
        <v>72.360833643089663</v>
      </c>
      <c r="T35" s="905">
        <v>104.77500000000001</v>
      </c>
      <c r="U35" s="107"/>
      <c r="V35" s="151">
        <f t="shared" si="14"/>
        <v>104.77500000000001</v>
      </c>
      <c r="W35" s="907">
        <v>25.875</v>
      </c>
      <c r="X35" s="107"/>
      <c r="Y35" s="46">
        <f t="shared" si="15"/>
        <v>25.875</v>
      </c>
      <c r="Z35" s="141">
        <f t="shared" si="16"/>
        <v>0</v>
      </c>
      <c r="AA35" s="107">
        <f t="shared" si="3"/>
        <v>0</v>
      </c>
      <c r="AB35" s="333">
        <v>0</v>
      </c>
      <c r="AC35" s="107"/>
      <c r="AD35" s="107">
        <f t="shared" si="17"/>
        <v>0</v>
      </c>
      <c r="AE35" s="107">
        <f t="shared" si="18"/>
        <v>0</v>
      </c>
      <c r="AF35" s="107"/>
      <c r="AG35" s="142">
        <f t="shared" si="19"/>
        <v>0</v>
      </c>
      <c r="AH35" s="210">
        <f t="shared" si="20"/>
        <v>50.538107785984288</v>
      </c>
      <c r="AI35" s="107">
        <f t="shared" si="4"/>
        <v>10.080618702659748</v>
      </c>
      <c r="AJ35" s="333">
        <v>8.6537292969705994</v>
      </c>
      <c r="AK35" s="121">
        <f t="shared" si="5"/>
        <v>0</v>
      </c>
      <c r="AL35" s="418"/>
      <c r="AM35" s="107">
        <f t="shared" si="21"/>
        <v>42.223310096261422</v>
      </c>
      <c r="AN35" s="107">
        <f t="shared" si="22"/>
        <v>14.35093607917775</v>
      </c>
      <c r="AO35" s="107"/>
      <c r="AP35" s="143">
        <f t="shared" si="23"/>
        <v>125.84670196105381</v>
      </c>
      <c r="AQ35" s="34"/>
      <c r="AR35" s="29"/>
      <c r="AS35" s="124"/>
      <c r="AT35" s="138">
        <f t="shared" si="24"/>
        <v>169.22353436894301</v>
      </c>
      <c r="AU35" s="151">
        <f t="shared" si="25"/>
        <v>902.55181745628454</v>
      </c>
      <c r="AW35" s="1">
        <v>2</v>
      </c>
      <c r="BA35" s="30">
        <v>150.19</v>
      </c>
      <c r="BB35" s="30">
        <v>28.03</v>
      </c>
      <c r="BC35" s="30">
        <v>0</v>
      </c>
      <c r="BD35" s="30">
        <v>48.74</v>
      </c>
      <c r="BF35" s="289">
        <f t="shared" si="31"/>
        <v>125.73</v>
      </c>
      <c r="BI35" s="333">
        <v>0</v>
      </c>
      <c r="BL35" s="110">
        <f t="shared" si="30"/>
        <v>1.0967873225415627</v>
      </c>
      <c r="BM35" s="110">
        <f t="shared" si="30"/>
        <v>1.1127076627324948</v>
      </c>
      <c r="BN35" s="110">
        <f t="shared" si="30"/>
        <v>2.8314493742615632</v>
      </c>
      <c r="BO35" s="110">
        <f t="shared" si="30"/>
        <v>1.036891829831438</v>
      </c>
    </row>
    <row r="36" spans="1:67" x14ac:dyDescent="0.25">
      <c r="A36" s="260" t="s">
        <v>150</v>
      </c>
      <c r="B36" s="237">
        <v>2</v>
      </c>
      <c r="C36" s="236">
        <f>'побудинковий звіт'!E36</f>
        <v>553.6</v>
      </c>
      <c r="D36" s="141">
        <f t="shared" si="6"/>
        <v>158.34318575532541</v>
      </c>
      <c r="E36" s="107">
        <f t="shared" si="0"/>
        <v>32.638803165871316</v>
      </c>
      <c r="F36" s="333">
        <v>19.074412226130754</v>
      </c>
      <c r="G36" s="107">
        <f t="shared" si="1"/>
        <v>0</v>
      </c>
      <c r="H36" s="735">
        <f t="shared" si="7"/>
        <v>132.29172453566201</v>
      </c>
      <c r="I36" s="107">
        <f t="shared" si="8"/>
        <v>44.064597696992159</v>
      </c>
      <c r="J36" s="29"/>
      <c r="K36" s="142">
        <f t="shared" si="9"/>
        <v>386.41272337998163</v>
      </c>
      <c r="L36" s="210">
        <f t="shared" si="10"/>
        <v>31.189195786391831</v>
      </c>
      <c r="M36" s="107">
        <f t="shared" si="2"/>
        <v>6.8621821450796237</v>
      </c>
      <c r="N36" s="333">
        <v>0</v>
      </c>
      <c r="O36" s="107"/>
      <c r="P36" s="107">
        <f t="shared" si="11"/>
        <v>26.057783780085469</v>
      </c>
      <c r="Q36" s="107">
        <f t="shared" si="12"/>
        <v>8.251671931532746</v>
      </c>
      <c r="R36" s="107"/>
      <c r="S36" s="143">
        <f t="shared" si="13"/>
        <v>72.360833643089663</v>
      </c>
      <c r="T36" s="905">
        <v>99.3</v>
      </c>
      <c r="U36" s="107"/>
      <c r="V36" s="151">
        <f t="shared" si="14"/>
        <v>99.3</v>
      </c>
      <c r="W36" s="246"/>
      <c r="X36" s="107"/>
      <c r="Y36" s="46">
        <f t="shared" si="15"/>
        <v>0</v>
      </c>
      <c r="Z36" s="141">
        <f t="shared" si="16"/>
        <v>0</v>
      </c>
      <c r="AA36" s="107">
        <f t="shared" si="3"/>
        <v>0</v>
      </c>
      <c r="AB36" s="333">
        <v>0</v>
      </c>
      <c r="AC36" s="107"/>
      <c r="AD36" s="107">
        <f t="shared" si="17"/>
        <v>0</v>
      </c>
      <c r="AE36" s="107">
        <f t="shared" si="18"/>
        <v>0</v>
      </c>
      <c r="AF36" s="107"/>
      <c r="AG36" s="142">
        <f t="shared" si="19"/>
        <v>0</v>
      </c>
      <c r="AH36" s="210">
        <f t="shared" si="20"/>
        <v>50.538107785984288</v>
      </c>
      <c r="AI36" s="107">
        <f t="shared" si="4"/>
        <v>10.080618702659748</v>
      </c>
      <c r="AJ36" s="333">
        <v>7.4889791918052628</v>
      </c>
      <c r="AK36" s="121">
        <f t="shared" si="5"/>
        <v>0</v>
      </c>
      <c r="AL36" s="418"/>
      <c r="AM36" s="107">
        <f t="shared" si="21"/>
        <v>42.223310096261422</v>
      </c>
      <c r="AN36" s="107">
        <f t="shared" si="22"/>
        <v>14.201017791472079</v>
      </c>
      <c r="AO36" s="107"/>
      <c r="AP36" s="143">
        <f t="shared" si="23"/>
        <v>124.53203356818281</v>
      </c>
      <c r="AQ36" s="34"/>
      <c r="AR36" s="29"/>
      <c r="AS36" s="124"/>
      <c r="AT36" s="138">
        <f t="shared" si="24"/>
        <v>257.15659793205288</v>
      </c>
      <c r="AU36" s="151">
        <f t="shared" si="25"/>
        <v>939.76218852330703</v>
      </c>
      <c r="AW36" s="1">
        <v>2</v>
      </c>
      <c r="BA36" s="30">
        <v>144.37</v>
      </c>
      <c r="BB36" s="30">
        <v>28.03</v>
      </c>
      <c r="BC36" s="30">
        <v>0</v>
      </c>
      <c r="BD36" s="30">
        <v>48.74</v>
      </c>
      <c r="BF36" s="289">
        <f t="shared" si="31"/>
        <v>119.16</v>
      </c>
      <c r="BI36" s="333">
        <v>0</v>
      </c>
      <c r="BL36" s="110">
        <f t="shared" si="30"/>
        <v>1.0967873225415627</v>
      </c>
      <c r="BM36" s="110">
        <f t="shared" si="30"/>
        <v>1.1127076627324948</v>
      </c>
      <c r="BN36" s="110">
        <f t="shared" si="30"/>
        <v>2.8314493742615632</v>
      </c>
      <c r="BO36" s="110">
        <f t="shared" si="30"/>
        <v>1.036891829831438</v>
      </c>
    </row>
    <row r="37" spans="1:67" x14ac:dyDescent="0.25">
      <c r="A37" s="260" t="s">
        <v>243</v>
      </c>
      <c r="B37" s="237">
        <v>5</v>
      </c>
      <c r="C37" s="236">
        <f>'побудинковий звіт'!E37</f>
        <v>435.5</v>
      </c>
      <c r="D37" s="141">
        <f t="shared" si="6"/>
        <v>223.44848122139257</v>
      </c>
      <c r="E37" s="107">
        <f t="shared" si="0"/>
        <v>46.058761300706266</v>
      </c>
      <c r="F37" s="333">
        <v>39.339263302119434</v>
      </c>
      <c r="G37" s="107">
        <f t="shared" si="1"/>
        <v>0</v>
      </c>
      <c r="H37" s="735">
        <f t="shared" si="7"/>
        <v>186.68555128939823</v>
      </c>
      <c r="I37" s="107">
        <f t="shared" si="8"/>
        <v>63.781335735700239</v>
      </c>
      <c r="J37" s="29"/>
      <c r="K37" s="142">
        <f t="shared" si="9"/>
        <v>559.31339284931676</v>
      </c>
      <c r="L37" s="210">
        <f t="shared" si="10"/>
        <v>39.434359567239611</v>
      </c>
      <c r="M37" s="107">
        <f t="shared" si="2"/>
        <v>8.6762659729440532</v>
      </c>
      <c r="N37" s="333">
        <v>0</v>
      </c>
      <c r="O37" s="107"/>
      <c r="P37" s="107">
        <f t="shared" si="11"/>
        <v>32.946409460086649</v>
      </c>
      <c r="Q37" s="107">
        <f t="shared" si="12"/>
        <v>10.433080743971475</v>
      </c>
      <c r="R37" s="107"/>
      <c r="S37" s="143">
        <f t="shared" si="13"/>
        <v>91.490115744241777</v>
      </c>
      <c r="T37" s="905">
        <v>237.26666666666671</v>
      </c>
      <c r="U37" s="107"/>
      <c r="V37" s="151">
        <f t="shared" si="14"/>
        <v>237.26666666666671</v>
      </c>
      <c r="W37" s="246"/>
      <c r="X37" s="107"/>
      <c r="Y37" s="46">
        <f t="shared" si="15"/>
        <v>0</v>
      </c>
      <c r="Z37" s="141">
        <f t="shared" si="16"/>
        <v>0</v>
      </c>
      <c r="AA37" s="107">
        <f t="shared" si="3"/>
        <v>0</v>
      </c>
      <c r="AB37" s="333">
        <v>0</v>
      </c>
      <c r="AC37" s="107"/>
      <c r="AD37" s="107">
        <f t="shared" si="17"/>
        <v>0</v>
      </c>
      <c r="AE37" s="107">
        <f t="shared" si="18"/>
        <v>0</v>
      </c>
      <c r="AF37" s="107"/>
      <c r="AG37" s="142">
        <f t="shared" si="19"/>
        <v>0</v>
      </c>
      <c r="AH37" s="210">
        <f t="shared" si="20"/>
        <v>98.463248160793341</v>
      </c>
      <c r="AI37" s="107">
        <f t="shared" si="4"/>
        <v>19.640040049334623</v>
      </c>
      <c r="AJ37" s="333">
        <v>15.445347452799739</v>
      </c>
      <c r="AK37" s="121">
        <f t="shared" si="5"/>
        <v>0</v>
      </c>
      <c r="AL37" s="107"/>
      <c r="AM37" s="107">
        <f t="shared" si="21"/>
        <v>82.263552046388682</v>
      </c>
      <c r="AN37" s="107">
        <f t="shared" si="22"/>
        <v>27.777798434113926</v>
      </c>
      <c r="AO37" s="107"/>
      <c r="AP37" s="143">
        <f t="shared" si="23"/>
        <v>243.58998614343031</v>
      </c>
      <c r="AQ37" s="34"/>
      <c r="AR37" s="29"/>
      <c r="AS37" s="124"/>
      <c r="AT37" s="138">
        <f t="shared" si="24"/>
        <v>202.29714306251631</v>
      </c>
      <c r="AU37" s="151">
        <f t="shared" si="25"/>
        <v>1333.9573044661718</v>
      </c>
      <c r="AW37" s="1">
        <v>2</v>
      </c>
      <c r="BA37" s="30">
        <v>203.73</v>
      </c>
      <c r="BB37" s="30">
        <v>35.44</v>
      </c>
      <c r="BC37" s="30">
        <v>0</v>
      </c>
      <c r="BD37" s="30">
        <v>94.96</v>
      </c>
      <c r="BF37" s="289">
        <f t="shared" si="31"/>
        <v>284.72000000000003</v>
      </c>
      <c r="BI37" s="333">
        <v>0</v>
      </c>
      <c r="BL37" s="110">
        <f t="shared" si="30"/>
        <v>1.0967873225415627</v>
      </c>
      <c r="BM37" s="110">
        <f t="shared" si="30"/>
        <v>1.1127076627324948</v>
      </c>
      <c r="BN37" s="110">
        <f t="shared" si="30"/>
        <v>2.8314493742615632</v>
      </c>
      <c r="BO37" s="110">
        <f t="shared" si="30"/>
        <v>1.036891829831438</v>
      </c>
    </row>
    <row r="38" spans="1:67" x14ac:dyDescent="0.25">
      <c r="A38" s="260" t="s">
        <v>204</v>
      </c>
      <c r="B38" s="237">
        <v>4</v>
      </c>
      <c r="C38" s="236">
        <f>'побудинковий звіт'!E38</f>
        <v>475.51</v>
      </c>
      <c r="D38" s="141">
        <f t="shared" si="6"/>
        <v>161.86387306068386</v>
      </c>
      <c r="E38" s="107">
        <f t="shared" si="0"/>
        <v>33.364511818378404</v>
      </c>
      <c r="F38" s="333">
        <v>24.811906088162853</v>
      </c>
      <c r="G38" s="107">
        <f t="shared" si="1"/>
        <v>0</v>
      </c>
      <c r="H38" s="735">
        <f t="shared" si="7"/>
        <v>135.23316968187993</v>
      </c>
      <c r="I38" s="107">
        <f t="shared" si="8"/>
        <v>45.728254199403231</v>
      </c>
      <c r="J38" s="29"/>
      <c r="K38" s="142">
        <f t="shared" si="9"/>
        <v>401.0017148485083</v>
      </c>
      <c r="L38" s="210">
        <f t="shared" si="10"/>
        <v>33.904202483459116</v>
      </c>
      <c r="M38" s="107">
        <f t="shared" si="2"/>
        <v>7.4595322854290451</v>
      </c>
      <c r="N38" s="333">
        <v>0</v>
      </c>
      <c r="O38" s="107"/>
      <c r="P38" s="107">
        <f t="shared" si="11"/>
        <v>28.326103167292334</v>
      </c>
      <c r="Q38" s="107">
        <f t="shared" si="12"/>
        <v>8.9699765877203976</v>
      </c>
      <c r="R38" s="107"/>
      <c r="S38" s="143">
        <f t="shared" si="13"/>
        <v>78.659814523900891</v>
      </c>
      <c r="T38" s="905">
        <v>132.30833333333334</v>
      </c>
      <c r="U38" s="107"/>
      <c r="V38" s="151">
        <f t="shared" si="14"/>
        <v>132.30833333333334</v>
      </c>
      <c r="W38" s="246"/>
      <c r="X38" s="107"/>
      <c r="Y38" s="46">
        <f t="shared" si="15"/>
        <v>0</v>
      </c>
      <c r="Z38" s="141">
        <f t="shared" si="16"/>
        <v>0</v>
      </c>
      <c r="AA38" s="107">
        <f t="shared" si="3"/>
        <v>0</v>
      </c>
      <c r="AB38" s="333">
        <v>0</v>
      </c>
      <c r="AC38" s="107"/>
      <c r="AD38" s="107">
        <f t="shared" si="17"/>
        <v>0</v>
      </c>
      <c r="AE38" s="107">
        <f t="shared" si="18"/>
        <v>0</v>
      </c>
      <c r="AF38" s="107"/>
      <c r="AG38" s="142">
        <f t="shared" si="19"/>
        <v>0</v>
      </c>
      <c r="AH38" s="210">
        <f t="shared" si="20"/>
        <v>89.556347342541301</v>
      </c>
      <c r="AI38" s="107">
        <f t="shared" si="4"/>
        <v>17.86341890333858</v>
      </c>
      <c r="AJ38" s="333">
        <v>9.7416290578391607</v>
      </c>
      <c r="AK38" s="121">
        <f t="shared" si="5"/>
        <v>0</v>
      </c>
      <c r="AL38" s="418"/>
      <c r="AM38" s="107">
        <f t="shared" si="21"/>
        <v>74.822061818098049</v>
      </c>
      <c r="AN38" s="107">
        <f t="shared" si="22"/>
        <v>24.710734973861598</v>
      </c>
      <c r="AO38" s="107"/>
      <c r="AP38" s="143">
        <f t="shared" si="23"/>
        <v>216.69419209567869</v>
      </c>
      <c r="AQ38" s="34"/>
      <c r="AR38" s="29"/>
      <c r="AS38" s="124"/>
      <c r="AT38" s="138">
        <f t="shared" si="24"/>
        <v>220.88246727360993</v>
      </c>
      <c r="AU38" s="151">
        <f t="shared" si="25"/>
        <v>1049.5465220750311</v>
      </c>
      <c r="AW38" s="1">
        <v>2</v>
      </c>
      <c r="BA38" s="30">
        <v>147.58000000000001</v>
      </c>
      <c r="BB38" s="30">
        <v>30.47</v>
      </c>
      <c r="BC38" s="30">
        <v>0</v>
      </c>
      <c r="BD38" s="30">
        <v>86.37</v>
      </c>
      <c r="BF38" s="289">
        <f t="shared" si="31"/>
        <v>158.77000000000001</v>
      </c>
      <c r="BI38" s="333">
        <v>0</v>
      </c>
      <c r="BL38" s="110">
        <f t="shared" si="30"/>
        <v>1.0967873225415627</v>
      </c>
      <c r="BM38" s="110">
        <f t="shared" si="30"/>
        <v>1.1127076627324948</v>
      </c>
      <c r="BN38" s="110">
        <f t="shared" si="30"/>
        <v>2.8314493742615632</v>
      </c>
      <c r="BO38" s="110">
        <f t="shared" si="30"/>
        <v>1.036891829831438</v>
      </c>
    </row>
    <row r="39" spans="1:67" x14ac:dyDescent="0.25">
      <c r="A39" s="260" t="s">
        <v>205</v>
      </c>
      <c r="B39" s="237">
        <v>4</v>
      </c>
      <c r="C39" s="236">
        <f>'побудинковий звіт'!E39</f>
        <v>499.4</v>
      </c>
      <c r="D39" s="141">
        <f t="shared" si="6"/>
        <v>189.9087248980716</v>
      </c>
      <c r="E39" s="107">
        <f t="shared" si="0"/>
        <v>39.145312517632604</v>
      </c>
      <c r="F39" s="333">
        <v>31.482366893057076</v>
      </c>
      <c r="G39" s="107">
        <f t="shared" si="1"/>
        <v>0</v>
      </c>
      <c r="H39" s="735">
        <f t="shared" si="7"/>
        <v>158.663933665927</v>
      </c>
      <c r="I39" s="107">
        <f t="shared" si="8"/>
        <v>53.956463790903157</v>
      </c>
      <c r="J39" s="29"/>
      <c r="K39" s="142">
        <f t="shared" si="9"/>
        <v>473.15680176559147</v>
      </c>
      <c r="L39" s="210">
        <f t="shared" si="10"/>
        <v>35.005783069564288</v>
      </c>
      <c r="M39" s="107">
        <f t="shared" si="2"/>
        <v>7.7018997604068842</v>
      </c>
      <c r="N39" s="333">
        <v>0</v>
      </c>
      <c r="O39" s="107"/>
      <c r="P39" s="107">
        <f t="shared" si="11"/>
        <v>29.24644586947873</v>
      </c>
      <c r="Q39" s="107">
        <f t="shared" si="12"/>
        <v>9.2614198703539135</v>
      </c>
      <c r="R39" s="107"/>
      <c r="S39" s="143">
        <f t="shared" si="13"/>
        <v>81.215548569803815</v>
      </c>
      <c r="T39" s="905">
        <v>170.83333333333334</v>
      </c>
      <c r="U39" s="107"/>
      <c r="V39" s="151">
        <f t="shared" si="14"/>
        <v>170.83333333333334</v>
      </c>
      <c r="W39" s="246"/>
      <c r="X39" s="107"/>
      <c r="Y39" s="46">
        <f t="shared" si="15"/>
        <v>0</v>
      </c>
      <c r="Z39" s="141">
        <f t="shared" si="16"/>
        <v>0</v>
      </c>
      <c r="AA39" s="107">
        <f t="shared" si="3"/>
        <v>0</v>
      </c>
      <c r="AB39" s="333">
        <v>0</v>
      </c>
      <c r="AC39" s="107"/>
      <c r="AD39" s="107">
        <f t="shared" si="17"/>
        <v>0</v>
      </c>
      <c r="AE39" s="107">
        <f t="shared" si="18"/>
        <v>0</v>
      </c>
      <c r="AF39" s="107"/>
      <c r="AG39" s="142">
        <f t="shared" si="19"/>
        <v>0</v>
      </c>
      <c r="AH39" s="210">
        <f t="shared" si="20"/>
        <v>91.920460714556981</v>
      </c>
      <c r="AI39" s="107">
        <f t="shared" si="4"/>
        <v>18.33497841589632</v>
      </c>
      <c r="AJ39" s="333">
        <v>12.360579596150915</v>
      </c>
      <c r="AK39" s="121">
        <f t="shared" si="5"/>
        <v>0</v>
      </c>
      <c r="AL39" s="107"/>
      <c r="AM39" s="107">
        <f t="shared" si="21"/>
        <v>76.797218712219433</v>
      </c>
      <c r="AN39" s="107">
        <f t="shared" si="22"/>
        <v>25.667043059360171</v>
      </c>
      <c r="AO39" s="107"/>
      <c r="AP39" s="143">
        <f t="shared" si="23"/>
        <v>225.08028049818381</v>
      </c>
      <c r="AQ39" s="34"/>
      <c r="AR39" s="29"/>
      <c r="AS39" s="124"/>
      <c r="AT39" s="138">
        <f t="shared" si="24"/>
        <v>231.97977783104625</v>
      </c>
      <c r="AU39" s="151">
        <f t="shared" si="25"/>
        <v>1182.2657419979587</v>
      </c>
      <c r="AW39" s="1">
        <v>2</v>
      </c>
      <c r="BA39" s="30">
        <v>173.15</v>
      </c>
      <c r="BB39" s="30">
        <v>31.46</v>
      </c>
      <c r="BC39" s="30">
        <v>0</v>
      </c>
      <c r="BD39" s="30">
        <v>88.65</v>
      </c>
      <c r="BF39" s="289">
        <f t="shared" si="31"/>
        <v>205</v>
      </c>
      <c r="BI39" s="333">
        <v>0</v>
      </c>
      <c r="BL39" s="110">
        <f t="shared" si="30"/>
        <v>1.0967873225415627</v>
      </c>
      <c r="BM39" s="110">
        <f t="shared" si="30"/>
        <v>1.1127076627324948</v>
      </c>
      <c r="BN39" s="110">
        <f t="shared" si="30"/>
        <v>2.8314493742615632</v>
      </c>
      <c r="BO39" s="110">
        <f t="shared" si="30"/>
        <v>1.036891829831438</v>
      </c>
    </row>
    <row r="40" spans="1:67" x14ac:dyDescent="0.25">
      <c r="A40" s="260" t="s">
        <v>244</v>
      </c>
      <c r="B40" s="237">
        <v>5</v>
      </c>
      <c r="C40" s="236">
        <f>'побудинковий звіт'!E40</f>
        <v>597.9</v>
      </c>
      <c r="D40" s="141">
        <f t="shared" si="6"/>
        <v>223.44848122139257</v>
      </c>
      <c r="E40" s="107">
        <f t="shared" si="0"/>
        <v>46.058761300706266</v>
      </c>
      <c r="F40" s="333">
        <v>48.416096160859226</v>
      </c>
      <c r="G40" s="107">
        <f t="shared" si="1"/>
        <v>0</v>
      </c>
      <c r="H40" s="735">
        <f t="shared" si="7"/>
        <v>186.68555128939823</v>
      </c>
      <c r="I40" s="107">
        <f t="shared" si="8"/>
        <v>64.949640622678288</v>
      </c>
      <c r="J40" s="29"/>
      <c r="K40" s="142">
        <f t="shared" si="9"/>
        <v>569.55853059503465</v>
      </c>
      <c r="L40" s="210">
        <f t="shared" si="10"/>
        <v>39.434359567239611</v>
      </c>
      <c r="M40" s="107">
        <f t="shared" si="2"/>
        <v>8.6762659729440532</v>
      </c>
      <c r="N40" s="333">
        <v>0</v>
      </c>
      <c r="O40" s="107"/>
      <c r="P40" s="107">
        <f t="shared" si="11"/>
        <v>32.946409460086649</v>
      </c>
      <c r="Q40" s="107">
        <f t="shared" si="12"/>
        <v>10.433080743971475</v>
      </c>
      <c r="R40" s="107"/>
      <c r="S40" s="143">
        <f t="shared" si="13"/>
        <v>91.490115744241777</v>
      </c>
      <c r="T40" s="905">
        <v>224.36666666666667</v>
      </c>
      <c r="U40" s="107"/>
      <c r="V40" s="151">
        <f t="shared" si="14"/>
        <v>224.36666666666667</v>
      </c>
      <c r="W40" s="246"/>
      <c r="X40" s="107"/>
      <c r="Y40" s="46">
        <f t="shared" si="15"/>
        <v>0</v>
      </c>
      <c r="Z40" s="141">
        <f t="shared" si="16"/>
        <v>0</v>
      </c>
      <c r="AA40" s="107">
        <f t="shared" si="3"/>
        <v>0</v>
      </c>
      <c r="AB40" s="333">
        <v>0</v>
      </c>
      <c r="AC40" s="107"/>
      <c r="AD40" s="107">
        <f t="shared" si="17"/>
        <v>0</v>
      </c>
      <c r="AE40" s="107">
        <f t="shared" si="18"/>
        <v>0</v>
      </c>
      <c r="AF40" s="107"/>
      <c r="AG40" s="142">
        <f t="shared" si="19"/>
        <v>0</v>
      </c>
      <c r="AH40" s="210">
        <f t="shared" si="20"/>
        <v>112.50276353671103</v>
      </c>
      <c r="AI40" s="107">
        <f t="shared" si="4"/>
        <v>22.44044171601524</v>
      </c>
      <c r="AJ40" s="333">
        <v>19.009085700706187</v>
      </c>
      <c r="AK40" s="121">
        <f t="shared" si="5"/>
        <v>0</v>
      </c>
      <c r="AL40" s="107"/>
      <c r="AM40" s="107">
        <f t="shared" si="21"/>
        <v>93.993211847442851</v>
      </c>
      <c r="AN40" s="107">
        <f t="shared" si="22"/>
        <v>31.913768506552344</v>
      </c>
      <c r="AO40" s="107"/>
      <c r="AP40" s="143">
        <f t="shared" si="23"/>
        <v>279.85927130742766</v>
      </c>
      <c r="AQ40" s="34"/>
      <c r="AR40" s="29"/>
      <c r="AS40" s="124"/>
      <c r="AT40" s="138">
        <f t="shared" si="24"/>
        <v>277.73469997032953</v>
      </c>
      <c r="AU40" s="151">
        <f t="shared" si="25"/>
        <v>1443.0092842837003</v>
      </c>
      <c r="AW40" s="1">
        <v>2</v>
      </c>
      <c r="BA40" s="30">
        <v>203.73</v>
      </c>
      <c r="BB40" s="30">
        <v>35.44</v>
      </c>
      <c r="BC40" s="30">
        <v>0</v>
      </c>
      <c r="BD40" s="30">
        <v>108.5</v>
      </c>
      <c r="BF40" s="289">
        <f t="shared" si="31"/>
        <v>269.24</v>
      </c>
      <c r="BI40" s="333">
        <v>0</v>
      </c>
      <c r="BL40" s="110">
        <f t="shared" si="30"/>
        <v>1.0967873225415627</v>
      </c>
      <c r="BM40" s="110">
        <f t="shared" si="30"/>
        <v>1.1127076627324948</v>
      </c>
      <c r="BN40" s="110">
        <f t="shared" si="30"/>
        <v>2.8314493742615632</v>
      </c>
      <c r="BO40" s="110">
        <f t="shared" si="30"/>
        <v>1.036891829831438</v>
      </c>
    </row>
    <row r="41" spans="1:67" x14ac:dyDescent="0.25">
      <c r="A41" s="260" t="s">
        <v>342</v>
      </c>
      <c r="B41" s="237">
        <v>9</v>
      </c>
      <c r="C41" s="236">
        <f>'побудинковий звіт'!E41</f>
        <v>135.6</v>
      </c>
      <c r="D41" s="141">
        <f t="shared" si="6"/>
        <v>306.50756534728282</v>
      </c>
      <c r="E41" s="107">
        <f t="shared" si="0"/>
        <v>63.179479726262535</v>
      </c>
      <c r="F41" s="333">
        <v>56.898613513630295</v>
      </c>
      <c r="G41" s="107">
        <f t="shared" si="1"/>
        <v>0</v>
      </c>
      <c r="H41" s="735">
        <f t="shared" si="7"/>
        <v>256.07931411507195</v>
      </c>
      <c r="I41" s="107">
        <f t="shared" si="8"/>
        <v>87.867743759192294</v>
      </c>
      <c r="J41" s="29"/>
      <c r="K41" s="142">
        <f t="shared" si="9"/>
        <v>770.53271646143992</v>
      </c>
      <c r="L41" s="210">
        <f t="shared" si="10"/>
        <v>59.744966018229121</v>
      </c>
      <c r="M41" s="107">
        <f t="shared" si="2"/>
        <v>13.144963463519622</v>
      </c>
      <c r="N41" s="333">
        <v>0</v>
      </c>
      <c r="O41" s="107"/>
      <c r="P41" s="107">
        <f t="shared" si="11"/>
        <v>49.915407152973962</v>
      </c>
      <c r="Q41" s="107">
        <f t="shared" si="12"/>
        <v>15.806622989557752</v>
      </c>
      <c r="R41" s="107"/>
      <c r="S41" s="143">
        <f t="shared" si="13"/>
        <v>138.61195962428044</v>
      </c>
      <c r="T41" s="244">
        <v>241</v>
      </c>
      <c r="U41" s="107"/>
      <c r="V41" s="151">
        <f t="shared" si="14"/>
        <v>241</v>
      </c>
      <c r="W41" s="906">
        <v>60.53</v>
      </c>
      <c r="X41" s="107"/>
      <c r="Y41" s="46">
        <f t="shared" si="15"/>
        <v>60.53</v>
      </c>
      <c r="Z41" s="141">
        <f t="shared" si="16"/>
        <v>10.874234970324386</v>
      </c>
      <c r="AA41" s="107">
        <f t="shared" si="3"/>
        <v>2.3902429227901973</v>
      </c>
      <c r="AB41" s="333">
        <v>0</v>
      </c>
      <c r="AC41" s="107"/>
      <c r="AD41" s="107">
        <f t="shared" si="17"/>
        <v>9.0851481253706829</v>
      </c>
      <c r="AE41" s="107">
        <f t="shared" si="18"/>
        <v>2.8766837184168521</v>
      </c>
      <c r="AF41" s="107"/>
      <c r="AG41" s="142">
        <f t="shared" si="19"/>
        <v>25.22630973690212</v>
      </c>
      <c r="AH41" s="210">
        <f t="shared" si="20"/>
        <v>152.00627248509286</v>
      </c>
      <c r="AI41" s="107">
        <f t="shared" si="4"/>
        <v>30.320036512324229</v>
      </c>
      <c r="AJ41" s="333">
        <v>32.02644878713599</v>
      </c>
      <c r="AK41" s="121">
        <f t="shared" si="5"/>
        <v>0</v>
      </c>
      <c r="AL41" s="107"/>
      <c r="AM41" s="107">
        <f t="shared" si="21"/>
        <v>126.99739386552271</v>
      </c>
      <c r="AN41" s="107">
        <f t="shared" si="22"/>
        <v>43.936145630299364</v>
      </c>
      <c r="AO41" s="107"/>
      <c r="AP41" s="143">
        <f t="shared" si="23"/>
        <v>385.28629728037515</v>
      </c>
      <c r="AQ41" s="34"/>
      <c r="AR41" s="29"/>
      <c r="AS41" s="124"/>
      <c r="AT41" s="138">
        <f t="shared" si="24"/>
        <v>62.98850195011989</v>
      </c>
      <c r="AU41" s="151">
        <f t="shared" si="25"/>
        <v>1684.1757850531171</v>
      </c>
      <c r="AW41" s="1">
        <v>3</v>
      </c>
      <c r="BA41" s="30">
        <v>250.54</v>
      </c>
      <c r="BB41" s="30">
        <v>46.65</v>
      </c>
      <c r="BC41" s="30">
        <v>13.19</v>
      </c>
      <c r="BD41" s="30">
        <v>117.24</v>
      </c>
      <c r="BI41" s="333">
        <v>8.7100000000000009</v>
      </c>
      <c r="BL41" s="110">
        <f t="shared" ref="BL41:BO45" si="32">BA$399</f>
        <v>1.2233877438623886</v>
      </c>
      <c r="BM41" s="110">
        <f t="shared" si="32"/>
        <v>1.2807066670574303</v>
      </c>
      <c r="BN41" s="110">
        <f t="shared" si="32"/>
        <v>0.82443024793968056</v>
      </c>
      <c r="BO41" s="110">
        <f t="shared" si="32"/>
        <v>1.2965393422474656</v>
      </c>
    </row>
    <row r="42" spans="1:67" x14ac:dyDescent="0.25">
      <c r="A42" s="260" t="s">
        <v>343</v>
      </c>
      <c r="B42" s="237">
        <v>9</v>
      </c>
      <c r="C42" s="236">
        <f>'побудинковий звіт'!E42</f>
        <v>229.9</v>
      </c>
      <c r="D42" s="141">
        <f t="shared" si="6"/>
        <v>650.36515851468437</v>
      </c>
      <c r="E42" s="107">
        <f t="shared" si="0"/>
        <v>134.05780800382544</v>
      </c>
      <c r="F42" s="333">
        <v>152.95383958400856</v>
      </c>
      <c r="G42" s="107">
        <f t="shared" si="1"/>
        <v>0</v>
      </c>
      <c r="H42" s="735">
        <f t="shared" si="7"/>
        <v>543.36363126332481</v>
      </c>
      <c r="I42" s="107">
        <f t="shared" si="8"/>
        <v>190.59029908816626</v>
      </c>
      <c r="J42" s="29"/>
      <c r="K42" s="142">
        <f t="shared" si="9"/>
        <v>1671.3307364540096</v>
      </c>
      <c r="L42" s="210">
        <f t="shared" si="10"/>
        <v>178.45366698778236</v>
      </c>
      <c r="M42" s="107">
        <f t="shared" si="2"/>
        <v>39.263005552129137</v>
      </c>
      <c r="N42" s="333">
        <v>0</v>
      </c>
      <c r="O42" s="107"/>
      <c r="P42" s="107">
        <f t="shared" si="11"/>
        <v>149.09352267299877</v>
      </c>
      <c r="Q42" s="107">
        <f t="shared" si="12"/>
        <v>47.213180007823745</v>
      </c>
      <c r="R42" s="107"/>
      <c r="S42" s="143">
        <f t="shared" si="13"/>
        <v>414.02337522073395</v>
      </c>
      <c r="T42" s="244">
        <v>647.35</v>
      </c>
      <c r="U42" s="107"/>
      <c r="V42" s="151">
        <f t="shared" si="14"/>
        <v>647.35</v>
      </c>
      <c r="W42" s="906">
        <v>157.74</v>
      </c>
      <c r="X42" s="107"/>
      <c r="Y42" s="46">
        <f t="shared" si="15"/>
        <v>157.74</v>
      </c>
      <c r="Z42" s="141">
        <f t="shared" si="16"/>
        <v>32.614460608493765</v>
      </c>
      <c r="AA42" s="107">
        <f t="shared" si="3"/>
        <v>7.1689166054268556</v>
      </c>
      <c r="AB42" s="333">
        <v>0</v>
      </c>
      <c r="AC42" s="107"/>
      <c r="AD42" s="107">
        <f t="shared" si="17"/>
        <v>27.248556470027616</v>
      </c>
      <c r="AE42" s="107">
        <f t="shared" si="18"/>
        <v>8.6278701971622951</v>
      </c>
      <c r="AF42" s="107"/>
      <c r="AG42" s="142">
        <f t="shared" si="19"/>
        <v>75.659803881110534</v>
      </c>
      <c r="AH42" s="210">
        <f t="shared" si="20"/>
        <v>501.63107151554442</v>
      </c>
      <c r="AI42" s="107">
        <f t="shared" si="4"/>
        <v>100.05818941161928</v>
      </c>
      <c r="AJ42" s="333">
        <v>86.092929295361358</v>
      </c>
      <c r="AK42" s="121">
        <f t="shared" si="5"/>
        <v>0</v>
      </c>
      <c r="AL42" s="107"/>
      <c r="AM42" s="107">
        <f t="shared" si="21"/>
        <v>419.10006556269821</v>
      </c>
      <c r="AN42" s="107">
        <f t="shared" si="22"/>
        <v>142.46995277631373</v>
      </c>
      <c r="AO42" s="107"/>
      <c r="AP42" s="143">
        <f t="shared" si="23"/>
        <v>1249.3522085615368</v>
      </c>
      <c r="AQ42" s="34"/>
      <c r="AR42" s="29"/>
      <c r="AS42" s="124"/>
      <c r="AT42" s="138">
        <f t="shared" si="24"/>
        <v>106.79245279006315</v>
      </c>
      <c r="AU42" s="151">
        <f t="shared" si="25"/>
        <v>4322.2485769074547</v>
      </c>
      <c r="AW42" s="1">
        <v>3</v>
      </c>
      <c r="BA42" s="30">
        <v>531.61</v>
      </c>
      <c r="BB42" s="30">
        <v>139.34</v>
      </c>
      <c r="BC42" s="30">
        <v>39.56</v>
      </c>
      <c r="BD42" s="30">
        <v>386.9</v>
      </c>
      <c r="BI42" s="333">
        <v>8.7100000000000009</v>
      </c>
      <c r="BL42" s="110">
        <f t="shared" si="32"/>
        <v>1.2233877438623886</v>
      </c>
      <c r="BM42" s="110">
        <f t="shared" si="32"/>
        <v>1.2807066670574303</v>
      </c>
      <c r="BN42" s="110">
        <f t="shared" si="32"/>
        <v>0.82443024793968056</v>
      </c>
      <c r="BO42" s="110">
        <f t="shared" si="32"/>
        <v>1.2965393422474656</v>
      </c>
    </row>
    <row r="43" spans="1:67" x14ac:dyDescent="0.25">
      <c r="A43" s="260" t="s">
        <v>344</v>
      </c>
      <c r="B43" s="237">
        <v>9</v>
      </c>
      <c r="C43" s="236">
        <f>'побудинковий звіт'!E43</f>
        <v>1931.4</v>
      </c>
      <c r="D43" s="141">
        <f t="shared" si="6"/>
        <v>427.84316178355459</v>
      </c>
      <c r="E43" s="107">
        <f t="shared" si="0"/>
        <v>88.190020155937333</v>
      </c>
      <c r="F43" s="333">
        <v>99.14224378987754</v>
      </c>
      <c r="G43" s="107">
        <f t="shared" si="1"/>
        <v>0</v>
      </c>
      <c r="H43" s="735">
        <f t="shared" si="7"/>
        <v>357.45213431916255</v>
      </c>
      <c r="I43" s="107">
        <f t="shared" si="8"/>
        <v>125.18965032170814</v>
      </c>
      <c r="J43" s="29"/>
      <c r="K43" s="142">
        <f t="shared" si="9"/>
        <v>1097.81721037024</v>
      </c>
      <c r="L43" s="210">
        <f t="shared" si="10"/>
        <v>66.583939620315803</v>
      </c>
      <c r="M43" s="107">
        <f t="shared" si="2"/>
        <v>14.649660245838911</v>
      </c>
      <c r="N43" s="333">
        <v>0</v>
      </c>
      <c r="O43" s="107"/>
      <c r="P43" s="107">
        <f t="shared" si="11"/>
        <v>55.629196524825652</v>
      </c>
      <c r="Q43" s="107">
        <f t="shared" si="12"/>
        <v>17.615998482896202</v>
      </c>
      <c r="R43" s="107"/>
      <c r="S43" s="143">
        <f t="shared" si="13"/>
        <v>154.47879487387658</v>
      </c>
      <c r="T43" s="244">
        <v>416.71</v>
      </c>
      <c r="U43" s="107"/>
      <c r="V43" s="151">
        <f t="shared" si="14"/>
        <v>416.71</v>
      </c>
      <c r="W43" s="906">
        <v>106.75</v>
      </c>
      <c r="X43" s="107"/>
      <c r="Y43" s="46">
        <f t="shared" si="15"/>
        <v>106.75</v>
      </c>
      <c r="Z43" s="141">
        <f t="shared" si="16"/>
        <v>21.740225638169377</v>
      </c>
      <c r="AA43" s="107">
        <f t="shared" si="3"/>
        <v>4.7786736826366578</v>
      </c>
      <c r="AB43" s="333">
        <v>0</v>
      </c>
      <c r="AC43" s="107"/>
      <c r="AD43" s="107">
        <f t="shared" si="17"/>
        <v>18.163408344656933</v>
      </c>
      <c r="AE43" s="107">
        <f t="shared" si="18"/>
        <v>5.7511864787454439</v>
      </c>
      <c r="AF43" s="107"/>
      <c r="AG43" s="142">
        <f t="shared" si="19"/>
        <v>50.433494144208417</v>
      </c>
      <c r="AH43" s="210">
        <f t="shared" si="20"/>
        <v>363.53666617276684</v>
      </c>
      <c r="AI43" s="107">
        <f t="shared" si="4"/>
        <v>72.513093122574119</v>
      </c>
      <c r="AJ43" s="333">
        <v>55.804066167932874</v>
      </c>
      <c r="AK43" s="121">
        <f t="shared" si="5"/>
        <v>0</v>
      </c>
      <c r="AL43" s="107"/>
      <c r="AM43" s="107">
        <f t="shared" si="21"/>
        <v>303.72568462942604</v>
      </c>
      <c r="AN43" s="107">
        <f t="shared" si="22"/>
        <v>102.40129394097288</v>
      </c>
      <c r="AO43" s="107"/>
      <c r="AP43" s="143">
        <f t="shared" si="23"/>
        <v>897.98080403367271</v>
      </c>
      <c r="AQ43" s="34"/>
      <c r="AR43" s="29"/>
      <c r="AS43" s="124"/>
      <c r="AT43" s="138">
        <f t="shared" si="24"/>
        <v>897.16808751077849</v>
      </c>
      <c r="AU43" s="151">
        <f t="shared" si="25"/>
        <v>3621.3383909327763</v>
      </c>
      <c r="AW43" s="1">
        <v>3</v>
      </c>
      <c r="BA43" s="30">
        <v>349.72</v>
      </c>
      <c r="BB43" s="30">
        <v>51.99</v>
      </c>
      <c r="BC43" s="30">
        <v>26.37</v>
      </c>
      <c r="BD43" s="30">
        <v>280.39</v>
      </c>
      <c r="BI43" s="333">
        <v>8.7100000000000009</v>
      </c>
      <c r="BL43" s="110">
        <f t="shared" si="32"/>
        <v>1.2233877438623886</v>
      </c>
      <c r="BM43" s="110">
        <f t="shared" si="32"/>
        <v>1.2807066670574303</v>
      </c>
      <c r="BN43" s="110">
        <f t="shared" si="32"/>
        <v>0.82443024793968056</v>
      </c>
      <c r="BO43" s="110">
        <f t="shared" si="32"/>
        <v>1.2965393422474656</v>
      </c>
    </row>
    <row r="44" spans="1:67" x14ac:dyDescent="0.25">
      <c r="A44" s="260" t="s">
        <v>345</v>
      </c>
      <c r="B44" s="237">
        <v>9</v>
      </c>
      <c r="C44" s="236">
        <f>'побудинковий звіт'!E44</f>
        <v>1907.4</v>
      </c>
      <c r="D44" s="141">
        <f t="shared" si="6"/>
        <v>1068.188774676006</v>
      </c>
      <c r="E44" s="107">
        <f t="shared" si="0"/>
        <v>220.18252944914536</v>
      </c>
      <c r="F44" s="333">
        <v>251.52333803538403</v>
      </c>
      <c r="G44" s="107">
        <f t="shared" si="1"/>
        <v>0</v>
      </c>
      <c r="H44" s="735">
        <f t="shared" si="7"/>
        <v>892.44468877797544</v>
      </c>
      <c r="I44" s="107">
        <f t="shared" si="8"/>
        <v>313.07329013865871</v>
      </c>
      <c r="J44" s="29"/>
      <c r="K44" s="142">
        <f t="shared" si="9"/>
        <v>2745.4126210771697</v>
      </c>
      <c r="L44" s="210">
        <f t="shared" si="10"/>
        <v>184.60105898965799</v>
      </c>
      <c r="M44" s="107">
        <f t="shared" si="2"/>
        <v>40.615541985674561</v>
      </c>
      <c r="N44" s="333">
        <v>0</v>
      </c>
      <c r="O44" s="107"/>
      <c r="P44" s="107">
        <f t="shared" si="11"/>
        <v>154.22951311960699</v>
      </c>
      <c r="Q44" s="107">
        <f t="shared" si="12"/>
        <v>48.839584945656043</v>
      </c>
      <c r="R44" s="107"/>
      <c r="S44" s="143">
        <f t="shared" si="13"/>
        <v>428.28569904059555</v>
      </c>
      <c r="T44" s="244">
        <v>1044.1300000000001</v>
      </c>
      <c r="U44" s="107"/>
      <c r="V44" s="151">
        <f t="shared" si="14"/>
        <v>1044.1300000000001</v>
      </c>
      <c r="W44" s="906">
        <v>246.35</v>
      </c>
      <c r="X44" s="107"/>
      <c r="Y44" s="46">
        <f t="shared" si="15"/>
        <v>246.35</v>
      </c>
      <c r="Z44" s="141">
        <f t="shared" si="16"/>
        <v>32.614460608493765</v>
      </c>
      <c r="AA44" s="107">
        <f t="shared" si="3"/>
        <v>7.1689166054268556</v>
      </c>
      <c r="AB44" s="333">
        <v>0</v>
      </c>
      <c r="AC44" s="107"/>
      <c r="AD44" s="107">
        <f t="shared" si="17"/>
        <v>27.248556470027616</v>
      </c>
      <c r="AE44" s="107">
        <f t="shared" si="18"/>
        <v>8.6278701971622951</v>
      </c>
      <c r="AF44" s="107"/>
      <c r="AG44" s="142">
        <f t="shared" si="19"/>
        <v>75.659803881110534</v>
      </c>
      <c r="AH44" s="210">
        <f t="shared" si="20"/>
        <v>680.30715827066774</v>
      </c>
      <c r="AI44" s="107">
        <f t="shared" si="4"/>
        <v>135.69793891488953</v>
      </c>
      <c r="AJ44" s="333">
        <v>141.57461503750034</v>
      </c>
      <c r="AK44" s="121">
        <f t="shared" si="5"/>
        <v>0</v>
      </c>
      <c r="AL44" s="418"/>
      <c r="AM44" s="107">
        <f t="shared" si="21"/>
        <v>568.37941432257276</v>
      </c>
      <c r="AN44" s="107">
        <f t="shared" si="22"/>
        <v>196.41052475207928</v>
      </c>
      <c r="AO44" s="107"/>
      <c r="AP44" s="143">
        <f t="shared" si="23"/>
        <v>1722.3696512977097</v>
      </c>
      <c r="AQ44" s="34"/>
      <c r="AR44" s="29"/>
      <c r="AS44" s="124"/>
      <c r="AT44" s="138">
        <f t="shared" si="24"/>
        <v>886.01968008597851</v>
      </c>
      <c r="AU44" s="151">
        <f t="shared" si="25"/>
        <v>7148.2274553825646</v>
      </c>
      <c r="AW44" s="1">
        <v>3</v>
      </c>
      <c r="BA44" s="30">
        <v>873.14</v>
      </c>
      <c r="BB44" s="30">
        <v>144.13999999999999</v>
      </c>
      <c r="BC44" s="30">
        <v>39.56</v>
      </c>
      <c r="BD44" s="30">
        <v>524.71</v>
      </c>
      <c r="BI44" s="333">
        <v>8.7100000000000009</v>
      </c>
      <c r="BL44" s="110">
        <f t="shared" si="32"/>
        <v>1.2233877438623886</v>
      </c>
      <c r="BM44" s="110">
        <f t="shared" si="32"/>
        <v>1.2807066670574303</v>
      </c>
      <c r="BN44" s="110">
        <f t="shared" si="32"/>
        <v>0.82443024793968056</v>
      </c>
      <c r="BO44" s="110">
        <f t="shared" si="32"/>
        <v>1.2965393422474656</v>
      </c>
    </row>
    <row r="45" spans="1:67" x14ac:dyDescent="0.25">
      <c r="A45" s="260" t="s">
        <v>346</v>
      </c>
      <c r="B45" s="237">
        <v>9</v>
      </c>
      <c r="C45" s="236">
        <f>'побудинковий звіт'!E45</f>
        <v>2888.6</v>
      </c>
      <c r="D45" s="141">
        <f t="shared" si="6"/>
        <v>713.0760142650704</v>
      </c>
      <c r="E45" s="107">
        <f t="shared" si="0"/>
        <v>146.98420750397798</v>
      </c>
      <c r="F45" s="333">
        <v>169.19498566328181</v>
      </c>
      <c r="G45" s="107">
        <f t="shared" si="1"/>
        <v>0</v>
      </c>
      <c r="H45" s="735">
        <f t="shared" si="7"/>
        <v>595.75696423027057</v>
      </c>
      <c r="I45" s="107">
        <f t="shared" si="8"/>
        <v>209.15992297073058</v>
      </c>
      <c r="J45" s="29"/>
      <c r="K45" s="142">
        <f t="shared" si="9"/>
        <v>1834.1720946333314</v>
      </c>
      <c r="L45" s="210">
        <f t="shared" si="10"/>
        <v>123.52415803768916</v>
      </c>
      <c r="M45" s="107">
        <f t="shared" si="2"/>
        <v>27.177528961553431</v>
      </c>
      <c r="N45" s="333">
        <v>0</v>
      </c>
      <c r="O45" s="107"/>
      <c r="P45" s="107">
        <f t="shared" si="11"/>
        <v>103.20130803653461</v>
      </c>
      <c r="Q45" s="107">
        <f t="shared" si="12"/>
        <v>32.680574219567966</v>
      </c>
      <c r="R45" s="107"/>
      <c r="S45" s="143">
        <f t="shared" si="13"/>
        <v>286.58356925534514</v>
      </c>
      <c r="T45" s="244">
        <v>706.76</v>
      </c>
      <c r="U45" s="107"/>
      <c r="V45" s="151">
        <f t="shared" si="14"/>
        <v>706.76</v>
      </c>
      <c r="W45" s="906">
        <v>166.81</v>
      </c>
      <c r="X45" s="107"/>
      <c r="Y45" s="46">
        <f t="shared" si="15"/>
        <v>166.81</v>
      </c>
      <c r="Z45" s="141">
        <f t="shared" si="16"/>
        <v>21.740225638169377</v>
      </c>
      <c r="AA45" s="107">
        <f t="shared" si="3"/>
        <v>4.7786736826366578</v>
      </c>
      <c r="AB45" s="333">
        <v>0</v>
      </c>
      <c r="AC45" s="107"/>
      <c r="AD45" s="107">
        <f t="shared" si="17"/>
        <v>18.163408344656933</v>
      </c>
      <c r="AE45" s="107">
        <f t="shared" si="18"/>
        <v>5.7511864787454439</v>
      </c>
      <c r="AF45" s="107"/>
      <c r="AG45" s="142">
        <f t="shared" si="19"/>
        <v>50.433494144208417</v>
      </c>
      <c r="AH45" s="210">
        <f t="shared" si="20"/>
        <v>412.10502993335695</v>
      </c>
      <c r="AI45" s="107">
        <f t="shared" si="4"/>
        <v>82.200815467777687</v>
      </c>
      <c r="AJ45" s="333">
        <v>95.234562123156635</v>
      </c>
      <c r="AK45" s="121">
        <f t="shared" si="5"/>
        <v>0</v>
      </c>
      <c r="AL45" s="107"/>
      <c r="AM45" s="107">
        <f t="shared" si="21"/>
        <v>344.30332344043325</v>
      </c>
      <c r="AN45" s="107">
        <f t="shared" si="22"/>
        <v>120.19767374138537</v>
      </c>
      <c r="AO45" s="107"/>
      <c r="AP45" s="143">
        <f t="shared" si="23"/>
        <v>1054.0414047061099</v>
      </c>
      <c r="AQ45" s="34"/>
      <c r="AR45" s="29"/>
      <c r="AS45" s="124"/>
      <c r="AT45" s="138">
        <f t="shared" si="24"/>
        <v>1341.8037369698843</v>
      </c>
      <c r="AU45" s="151">
        <f t="shared" si="25"/>
        <v>5440.6042997088789</v>
      </c>
      <c r="AW45" s="1">
        <v>3</v>
      </c>
      <c r="BA45" s="30">
        <v>582.87</v>
      </c>
      <c r="BB45" s="30">
        <v>96.45</v>
      </c>
      <c r="BC45" s="30">
        <v>26.37</v>
      </c>
      <c r="BD45" s="30">
        <v>317.85000000000002</v>
      </c>
      <c r="BI45" s="333">
        <v>8.7100000000000009</v>
      </c>
      <c r="BL45" s="110">
        <f t="shared" si="32"/>
        <v>1.2233877438623886</v>
      </c>
      <c r="BM45" s="110">
        <f t="shared" si="32"/>
        <v>1.2807066670574303</v>
      </c>
      <c r="BN45" s="110">
        <f t="shared" si="32"/>
        <v>0.82443024793968056</v>
      </c>
      <c r="BO45" s="110">
        <f t="shared" si="32"/>
        <v>1.2965393422474656</v>
      </c>
    </row>
    <row r="46" spans="1:67" x14ac:dyDescent="0.25">
      <c r="A46" s="260" t="s">
        <v>245</v>
      </c>
      <c r="B46" s="237">
        <v>5</v>
      </c>
      <c r="C46" s="236">
        <f>'побудинковий звіт'!E46</f>
        <v>1007.47</v>
      </c>
      <c r="D46" s="141">
        <f t="shared" si="6"/>
        <v>423.04183817750612</v>
      </c>
      <c r="E46" s="107">
        <f t="shared" si="0"/>
        <v>87.200337806387935</v>
      </c>
      <c r="F46" s="333">
        <v>72.620351692740613</v>
      </c>
      <c r="G46" s="107">
        <f t="shared" si="1"/>
        <v>0</v>
      </c>
      <c r="H46" s="735">
        <f t="shared" si="7"/>
        <v>353.4407499525538</v>
      </c>
      <c r="I46" s="107">
        <f t="shared" si="8"/>
        <v>120.51424896454563</v>
      </c>
      <c r="J46" s="29"/>
      <c r="K46" s="142">
        <f t="shared" si="9"/>
        <v>1056.8175265937341</v>
      </c>
      <c r="L46" s="210">
        <f t="shared" si="10"/>
        <v>76.83246411167876</v>
      </c>
      <c r="M46" s="107">
        <f t="shared" si="2"/>
        <v>16.904519340626042</v>
      </c>
      <c r="N46" s="333">
        <v>0</v>
      </c>
      <c r="O46" s="107"/>
      <c r="P46" s="107">
        <f t="shared" si="11"/>
        <v>64.191579379768157</v>
      </c>
      <c r="Q46" s="107">
        <f t="shared" si="12"/>
        <v>20.327432995802212</v>
      </c>
      <c r="R46" s="107"/>
      <c r="S46" s="143">
        <f t="shared" si="13"/>
        <v>178.25599582787515</v>
      </c>
      <c r="T46" s="905">
        <v>375.95</v>
      </c>
      <c r="U46" s="107"/>
      <c r="V46" s="151">
        <f t="shared" si="14"/>
        <v>375.95</v>
      </c>
      <c r="W46" s="246"/>
      <c r="X46" s="107"/>
      <c r="Y46" s="46">
        <f t="shared" si="15"/>
        <v>0</v>
      </c>
      <c r="Z46" s="141">
        <f t="shared" si="16"/>
        <v>0</v>
      </c>
      <c r="AA46" s="107">
        <f t="shared" si="3"/>
        <v>0</v>
      </c>
      <c r="AB46" s="333">
        <v>0</v>
      </c>
      <c r="AC46" s="107"/>
      <c r="AD46" s="107">
        <f t="shared" si="17"/>
        <v>0</v>
      </c>
      <c r="AE46" s="107">
        <f t="shared" si="18"/>
        <v>0</v>
      </c>
      <c r="AF46" s="107"/>
      <c r="AG46" s="142">
        <f t="shared" si="19"/>
        <v>0</v>
      </c>
      <c r="AH46" s="210">
        <f t="shared" si="20"/>
        <v>230.92617942175957</v>
      </c>
      <c r="AI46" s="107">
        <f t="shared" si="4"/>
        <v>46.061850456900956</v>
      </c>
      <c r="AJ46" s="333">
        <v>28.512139523936202</v>
      </c>
      <c r="AK46" s="121">
        <f t="shared" si="5"/>
        <v>0</v>
      </c>
      <c r="AL46" s="107"/>
      <c r="AM46" s="107">
        <f t="shared" si="21"/>
        <v>192.93297889902303</v>
      </c>
      <c r="AN46" s="107">
        <f t="shared" si="22"/>
        <v>64.154743406113568</v>
      </c>
      <c r="AO46" s="107"/>
      <c r="AP46" s="143">
        <f t="shared" si="23"/>
        <v>562.58789170773332</v>
      </c>
      <c r="AQ46" s="34"/>
      <c r="AR46" s="29"/>
      <c r="AS46" s="124"/>
      <c r="AT46" s="138">
        <f t="shared" si="24"/>
        <v>467.98691784430156</v>
      </c>
      <c r="AU46" s="151">
        <f t="shared" si="25"/>
        <v>2641.5983319736438</v>
      </c>
      <c r="AW46" s="1">
        <v>2</v>
      </c>
      <c r="BA46" s="30">
        <v>385.71</v>
      </c>
      <c r="BB46" s="30">
        <v>69.05</v>
      </c>
      <c r="BC46" s="30">
        <v>0</v>
      </c>
      <c r="BD46" s="30">
        <v>222.71</v>
      </c>
      <c r="BF46" s="289">
        <f>T46*1.2</f>
        <v>451.14</v>
      </c>
      <c r="BI46" s="333">
        <v>0</v>
      </c>
      <c r="BL46" s="110">
        <f>BA$398</f>
        <v>1.0967873225415627</v>
      </c>
      <c r="BM46" s="110">
        <f>BB$398</f>
        <v>1.1127076627324948</v>
      </c>
      <c r="BN46" s="110">
        <f>BC$398</f>
        <v>2.8314493742615632</v>
      </c>
      <c r="BO46" s="110">
        <f>BD$398</f>
        <v>1.036891829831438</v>
      </c>
    </row>
    <row r="47" spans="1:67" x14ac:dyDescent="0.25">
      <c r="A47" s="434" t="s">
        <v>50</v>
      </c>
      <c r="B47" s="238">
        <v>1</v>
      </c>
      <c r="C47" s="236">
        <f>'побудинковий звіт'!E47</f>
        <v>654.20000000000005</v>
      </c>
      <c r="D47" s="141">
        <f t="shared" si="6"/>
        <v>0</v>
      </c>
      <c r="E47" s="107">
        <f t="shared" si="0"/>
        <v>0</v>
      </c>
      <c r="F47" s="333">
        <v>0</v>
      </c>
      <c r="G47" s="107">
        <f t="shared" si="1"/>
        <v>0</v>
      </c>
      <c r="H47" s="735">
        <f t="shared" si="7"/>
        <v>0</v>
      </c>
      <c r="I47" s="107">
        <f t="shared" si="8"/>
        <v>0</v>
      </c>
      <c r="J47" s="29"/>
      <c r="K47" s="142">
        <f t="shared" si="9"/>
        <v>0</v>
      </c>
      <c r="L47" s="210">
        <f t="shared" si="10"/>
        <v>0</v>
      </c>
      <c r="M47" s="107">
        <f t="shared" si="2"/>
        <v>0</v>
      </c>
      <c r="N47" s="333">
        <v>0</v>
      </c>
      <c r="O47" s="107"/>
      <c r="P47" s="107">
        <f t="shared" si="11"/>
        <v>0</v>
      </c>
      <c r="Q47" s="107">
        <f t="shared" si="12"/>
        <v>0</v>
      </c>
      <c r="R47" s="107"/>
      <c r="S47" s="143">
        <f t="shared" si="13"/>
        <v>0</v>
      </c>
      <c r="T47" s="245"/>
      <c r="U47" s="107"/>
      <c r="V47" s="151">
        <f t="shared" si="14"/>
        <v>0</v>
      </c>
      <c r="W47" s="246"/>
      <c r="X47" s="107"/>
      <c r="Y47" s="46">
        <f t="shared" si="15"/>
        <v>0</v>
      </c>
      <c r="Z47" s="141">
        <f t="shared" si="16"/>
        <v>0</v>
      </c>
      <c r="AA47" s="107">
        <f t="shared" si="3"/>
        <v>0</v>
      </c>
      <c r="AB47" s="333">
        <v>0</v>
      </c>
      <c r="AC47" s="107"/>
      <c r="AD47" s="107">
        <f t="shared" si="17"/>
        <v>0</v>
      </c>
      <c r="AE47" s="107">
        <f t="shared" si="18"/>
        <v>0</v>
      </c>
      <c r="AF47" s="107"/>
      <c r="AG47" s="142">
        <f t="shared" si="19"/>
        <v>0</v>
      </c>
      <c r="AH47" s="210">
        <f t="shared" si="20"/>
        <v>0</v>
      </c>
      <c r="AI47" s="107">
        <f t="shared" si="4"/>
        <v>0</v>
      </c>
      <c r="AJ47" s="333">
        <v>0</v>
      </c>
      <c r="AK47" s="121">
        <f t="shared" si="5"/>
        <v>0</v>
      </c>
      <c r="AL47" s="107"/>
      <c r="AM47" s="107">
        <f t="shared" si="21"/>
        <v>0</v>
      </c>
      <c r="AN47" s="107">
        <f t="shared" si="22"/>
        <v>0</v>
      </c>
      <c r="AO47" s="107"/>
      <c r="AP47" s="143">
        <f t="shared" si="23"/>
        <v>0</v>
      </c>
      <c r="AQ47" s="34"/>
      <c r="AR47" s="29"/>
      <c r="AS47" s="124"/>
      <c r="AT47" s="138">
        <f t="shared" si="24"/>
        <v>0</v>
      </c>
      <c r="AU47" s="151">
        <f t="shared" si="25"/>
        <v>0</v>
      </c>
      <c r="AW47" s="1">
        <v>3</v>
      </c>
      <c r="BA47" s="30">
        <v>0</v>
      </c>
      <c r="BB47" s="30">
        <v>0</v>
      </c>
      <c r="BC47" s="30">
        <v>0</v>
      </c>
      <c r="BD47" s="30">
        <v>0</v>
      </c>
      <c r="BI47" s="333">
        <v>0</v>
      </c>
      <c r="BL47" s="110">
        <f t="shared" ref="BL47:BO48" si="33">BA$399</f>
        <v>1.2233877438623886</v>
      </c>
      <c r="BM47" s="110">
        <f t="shared" si="33"/>
        <v>1.2807066670574303</v>
      </c>
      <c r="BN47" s="110">
        <f t="shared" si="33"/>
        <v>0.82443024793968056</v>
      </c>
      <c r="BO47" s="110">
        <f t="shared" si="33"/>
        <v>1.2965393422474656</v>
      </c>
    </row>
    <row r="48" spans="1:67" x14ac:dyDescent="0.25">
      <c r="A48" s="434" t="s">
        <v>51</v>
      </c>
      <c r="B48" s="238">
        <v>1</v>
      </c>
      <c r="C48" s="236">
        <f>'побудинковий звіт'!E48</f>
        <v>1730</v>
      </c>
      <c r="D48" s="141">
        <f t="shared" si="6"/>
        <v>0</v>
      </c>
      <c r="E48" s="107">
        <f t="shared" si="0"/>
        <v>0</v>
      </c>
      <c r="F48" s="333">
        <v>0</v>
      </c>
      <c r="G48" s="107">
        <f t="shared" si="1"/>
        <v>0</v>
      </c>
      <c r="H48" s="735">
        <f t="shared" si="7"/>
        <v>0</v>
      </c>
      <c r="I48" s="107">
        <f t="shared" si="8"/>
        <v>0</v>
      </c>
      <c r="J48" s="29"/>
      <c r="K48" s="142">
        <f t="shared" si="9"/>
        <v>0</v>
      </c>
      <c r="L48" s="210">
        <f t="shared" si="10"/>
        <v>0</v>
      </c>
      <c r="M48" s="107">
        <f t="shared" si="2"/>
        <v>0</v>
      </c>
      <c r="N48" s="333">
        <v>0</v>
      </c>
      <c r="O48" s="107"/>
      <c r="P48" s="107">
        <f t="shared" si="11"/>
        <v>0</v>
      </c>
      <c r="Q48" s="107">
        <f t="shared" si="12"/>
        <v>0</v>
      </c>
      <c r="R48" s="107"/>
      <c r="S48" s="143">
        <f t="shared" si="13"/>
        <v>0</v>
      </c>
      <c r="T48" s="245"/>
      <c r="U48" s="107"/>
      <c r="V48" s="151">
        <f t="shared" si="14"/>
        <v>0</v>
      </c>
      <c r="W48" s="246"/>
      <c r="X48" s="107"/>
      <c r="Y48" s="46">
        <f t="shared" si="15"/>
        <v>0</v>
      </c>
      <c r="Z48" s="141">
        <f t="shared" si="16"/>
        <v>0</v>
      </c>
      <c r="AA48" s="107">
        <f t="shared" si="3"/>
        <v>0</v>
      </c>
      <c r="AB48" s="333">
        <v>0</v>
      </c>
      <c r="AC48" s="107"/>
      <c r="AD48" s="107">
        <f t="shared" si="17"/>
        <v>0</v>
      </c>
      <c r="AE48" s="107">
        <f t="shared" si="18"/>
        <v>0</v>
      </c>
      <c r="AF48" s="107"/>
      <c r="AG48" s="142">
        <f t="shared" si="19"/>
        <v>0</v>
      </c>
      <c r="AH48" s="210">
        <f t="shared" si="20"/>
        <v>0</v>
      </c>
      <c r="AI48" s="107">
        <f t="shared" si="4"/>
        <v>0</v>
      </c>
      <c r="AJ48" s="333">
        <v>0</v>
      </c>
      <c r="AK48" s="121">
        <f t="shared" si="5"/>
        <v>0</v>
      </c>
      <c r="AL48" s="107"/>
      <c r="AM48" s="107">
        <f t="shared" si="21"/>
        <v>0</v>
      </c>
      <c r="AN48" s="107">
        <f t="shared" si="22"/>
        <v>0</v>
      </c>
      <c r="AO48" s="107"/>
      <c r="AP48" s="143">
        <f t="shared" si="23"/>
        <v>0</v>
      </c>
      <c r="AQ48" s="34"/>
      <c r="AR48" s="29"/>
      <c r="AS48" s="124"/>
      <c r="AT48" s="138">
        <f t="shared" si="24"/>
        <v>0</v>
      </c>
      <c r="AU48" s="151">
        <f t="shared" si="25"/>
        <v>0</v>
      </c>
      <c r="AW48" s="1">
        <v>3</v>
      </c>
      <c r="BA48" s="30">
        <v>0</v>
      </c>
      <c r="BB48" s="30">
        <v>0</v>
      </c>
      <c r="BC48" s="30">
        <v>0</v>
      </c>
      <c r="BD48" s="30">
        <v>0</v>
      </c>
      <c r="BI48" s="333">
        <v>0</v>
      </c>
      <c r="BL48" s="110">
        <f t="shared" si="33"/>
        <v>1.2233877438623886</v>
      </c>
      <c r="BM48" s="110">
        <f t="shared" si="33"/>
        <v>1.2807066670574303</v>
      </c>
      <c r="BN48" s="110">
        <f t="shared" si="33"/>
        <v>0.82443024793968056</v>
      </c>
      <c r="BO48" s="110">
        <f t="shared" si="33"/>
        <v>1.2965393422474656</v>
      </c>
    </row>
    <row r="49" spans="1:67" x14ac:dyDescent="0.25">
      <c r="A49" s="260" t="s">
        <v>246</v>
      </c>
      <c r="B49" s="237">
        <v>5</v>
      </c>
      <c r="C49" s="236">
        <f>'побудинковий звіт'!E49</f>
        <v>934</v>
      </c>
      <c r="D49" s="141">
        <f t="shared" si="6"/>
        <v>219.40843456692437</v>
      </c>
      <c r="E49" s="107">
        <f t="shared" si="0"/>
        <v>45.225998672449684</v>
      </c>
      <c r="F49" s="333">
        <v>44.373235137134337</v>
      </c>
      <c r="G49" s="107">
        <f t="shared" si="1"/>
        <v>0</v>
      </c>
      <c r="H49" s="735">
        <f t="shared" si="7"/>
        <v>183.31019455033405</v>
      </c>
      <c r="I49" s="107">
        <f t="shared" si="8"/>
        <v>63.367627690774761</v>
      </c>
      <c r="J49" s="29"/>
      <c r="K49" s="142">
        <f t="shared" si="9"/>
        <v>555.68549061761712</v>
      </c>
      <c r="L49" s="210">
        <f t="shared" si="10"/>
        <v>55.056351354359713</v>
      </c>
      <c r="M49" s="107">
        <f t="shared" si="2"/>
        <v>12.113384193187777</v>
      </c>
      <c r="N49" s="333">
        <v>18.399999999999999</v>
      </c>
      <c r="O49" s="107"/>
      <c r="P49" s="107">
        <f t="shared" si="11"/>
        <v>45.998188255250625</v>
      </c>
      <c r="Q49" s="107">
        <f t="shared" si="12"/>
        <v>16.934480422910877</v>
      </c>
      <c r="R49" s="107"/>
      <c r="S49" s="143">
        <f t="shared" si="13"/>
        <v>148.50240422570897</v>
      </c>
      <c r="T49" s="905">
        <v>276.48333333333335</v>
      </c>
      <c r="U49" s="107"/>
      <c r="V49" s="151">
        <f t="shared" si="14"/>
        <v>276.48333333333335</v>
      </c>
      <c r="W49" s="907">
        <v>54.233333333333334</v>
      </c>
      <c r="X49" s="107"/>
      <c r="Y49" s="46">
        <f t="shared" si="15"/>
        <v>54.233333333333334</v>
      </c>
      <c r="Z49" s="141">
        <f t="shared" si="16"/>
        <v>6.4277633301737502</v>
      </c>
      <c r="AA49" s="107">
        <f t="shared" si="3"/>
        <v>1.4128732597048013</v>
      </c>
      <c r="AB49" s="333">
        <v>0</v>
      </c>
      <c r="AC49" s="107"/>
      <c r="AD49" s="107">
        <f t="shared" si="17"/>
        <v>5.3702335960938354</v>
      </c>
      <c r="AE49" s="107">
        <f t="shared" si="18"/>
        <v>1.7004085499539394</v>
      </c>
      <c r="AF49" s="107"/>
      <c r="AG49" s="142">
        <f t="shared" si="19"/>
        <v>14.911278735926325</v>
      </c>
      <c r="AH49" s="210">
        <f t="shared" si="20"/>
        <v>140.97777755435041</v>
      </c>
      <c r="AI49" s="107">
        <f t="shared" si="4"/>
        <v>28.120230125986541</v>
      </c>
      <c r="AJ49" s="333">
        <v>19.00176155812655</v>
      </c>
      <c r="AK49" s="121">
        <f t="shared" si="5"/>
        <v>0</v>
      </c>
      <c r="AL49" s="107"/>
      <c r="AM49" s="107">
        <f t="shared" si="21"/>
        <v>117.78336544705219</v>
      </c>
      <c r="AN49" s="107">
        <f t="shared" si="22"/>
        <v>39.371085339877588</v>
      </c>
      <c r="AO49" s="107"/>
      <c r="AP49" s="143">
        <f t="shared" si="23"/>
        <v>345.25422002539329</v>
      </c>
      <c r="AQ49" s="34"/>
      <c r="AR49" s="29"/>
      <c r="AS49" s="124"/>
      <c r="AT49" s="138">
        <f t="shared" si="24"/>
        <v>433.8588556151326</v>
      </c>
      <c r="AU49" s="151">
        <f t="shared" si="25"/>
        <v>1828.9289158864451</v>
      </c>
      <c r="AW49" s="1">
        <v>1</v>
      </c>
      <c r="BA49" s="30">
        <v>255.42</v>
      </c>
      <c r="BB49" s="30">
        <v>59.71</v>
      </c>
      <c r="BC49" s="30">
        <v>17.98</v>
      </c>
      <c r="BD49" s="30">
        <v>169.91</v>
      </c>
      <c r="BF49" s="289">
        <f>T49*1.2</f>
        <v>331.78000000000003</v>
      </c>
      <c r="BI49" s="333">
        <v>0</v>
      </c>
      <c r="BL49" s="110">
        <f>$BA$397</f>
        <v>0.85901039294857251</v>
      </c>
      <c r="BM49" s="110">
        <f>$BB$397</f>
        <v>0.92206249128051765</v>
      </c>
      <c r="BN49" s="110">
        <f>$BC$397</f>
        <v>0.35749517965371247</v>
      </c>
      <c r="BO49" s="110">
        <f>$BD$397</f>
        <v>0.82972030812989472</v>
      </c>
    </row>
    <row r="50" spans="1:67" x14ac:dyDescent="0.25">
      <c r="A50" s="260" t="s">
        <v>206</v>
      </c>
      <c r="B50" s="237">
        <v>4</v>
      </c>
      <c r="C50" s="236">
        <f>'побудинковий звіт'!E50</f>
        <v>1264.5999999999999</v>
      </c>
      <c r="D50" s="141">
        <f t="shared" si="6"/>
        <v>158.95987321513334</v>
      </c>
      <c r="E50" s="107">
        <f t="shared" si="0"/>
        <v>32.765919091444736</v>
      </c>
      <c r="F50" s="333">
        <v>23.710972518671262</v>
      </c>
      <c r="G50" s="107">
        <f t="shared" si="1"/>
        <v>0</v>
      </c>
      <c r="H50" s="735">
        <f t="shared" si="7"/>
        <v>132.80695130193141</v>
      </c>
      <c r="I50" s="107">
        <f t="shared" si="8"/>
        <v>44.823435855054925</v>
      </c>
      <c r="J50" s="29"/>
      <c r="K50" s="142">
        <f t="shared" si="9"/>
        <v>393.06715198223566</v>
      </c>
      <c r="L50" s="210">
        <f t="shared" si="10"/>
        <v>42.341109599601374</v>
      </c>
      <c r="M50" s="107">
        <f t="shared" si="2"/>
        <v>9.3158030840928259</v>
      </c>
      <c r="N50" s="333">
        <v>0</v>
      </c>
      <c r="O50" s="107"/>
      <c r="P50" s="107">
        <f t="shared" si="11"/>
        <v>35.374925551517485</v>
      </c>
      <c r="Q50" s="107">
        <f t="shared" si="12"/>
        <v>11.202114604872969</v>
      </c>
      <c r="R50" s="107"/>
      <c r="S50" s="143">
        <f t="shared" si="13"/>
        <v>98.233952840084669</v>
      </c>
      <c r="T50" s="905">
        <v>141.65</v>
      </c>
      <c r="U50" s="107"/>
      <c r="V50" s="151">
        <f t="shared" si="14"/>
        <v>141.65</v>
      </c>
      <c r="W50" s="907">
        <v>27.725000000000005</v>
      </c>
      <c r="X50" s="107"/>
      <c r="Y50" s="46">
        <f t="shared" si="15"/>
        <v>27.725000000000005</v>
      </c>
      <c r="Z50" s="141">
        <f t="shared" si="16"/>
        <v>0</v>
      </c>
      <c r="AA50" s="107">
        <f t="shared" si="3"/>
        <v>0</v>
      </c>
      <c r="AB50" s="333">
        <v>0</v>
      </c>
      <c r="AC50" s="107"/>
      <c r="AD50" s="107">
        <f t="shared" si="17"/>
        <v>0</v>
      </c>
      <c r="AE50" s="107">
        <f t="shared" si="18"/>
        <v>0</v>
      </c>
      <c r="AF50" s="107"/>
      <c r="AG50" s="142">
        <f t="shared" si="19"/>
        <v>0</v>
      </c>
      <c r="AH50" s="210">
        <f t="shared" si="20"/>
        <v>71.073841594406773</v>
      </c>
      <c r="AI50" s="107">
        <f t="shared" si="4"/>
        <v>14.176793082172956</v>
      </c>
      <c r="AJ50" s="333">
        <v>10.153648809212779</v>
      </c>
      <c r="AK50" s="121">
        <f t="shared" si="5"/>
        <v>0</v>
      </c>
      <c r="AL50" s="107"/>
      <c r="AM50" s="107">
        <f t="shared" si="21"/>
        <v>59.380395999025893</v>
      </c>
      <c r="AN50" s="107">
        <f t="shared" si="22"/>
        <v>19.922774858338581</v>
      </c>
      <c r="AO50" s="107"/>
      <c r="AP50" s="143">
        <f t="shared" si="23"/>
        <v>174.707454343157</v>
      </c>
      <c r="AQ50" s="34"/>
      <c r="AR50" s="29"/>
      <c r="AS50" s="124"/>
      <c r="AT50" s="138">
        <f t="shared" si="24"/>
        <v>587.42816789175231</v>
      </c>
      <c r="AU50" s="151">
        <f t="shared" si="25"/>
        <v>1422.8117270572297</v>
      </c>
      <c r="AW50" s="1">
        <v>1</v>
      </c>
      <c r="BA50" s="30">
        <v>185.05</v>
      </c>
      <c r="BB50" s="30">
        <v>45.92</v>
      </c>
      <c r="BC50" s="30">
        <v>0</v>
      </c>
      <c r="BD50" s="30">
        <v>85.66</v>
      </c>
      <c r="BF50" s="289">
        <f>T50*1.2</f>
        <v>169.98</v>
      </c>
      <c r="BI50" s="333">
        <v>0</v>
      </c>
      <c r="BL50" s="110">
        <f>$BA$397</f>
        <v>0.85901039294857251</v>
      </c>
      <c r="BM50" s="110">
        <f>$BB$397</f>
        <v>0.92206249128051765</v>
      </c>
      <c r="BN50" s="110">
        <f>$BC$397</f>
        <v>0.35749517965371247</v>
      </c>
      <c r="BO50" s="110">
        <f>$BD$397</f>
        <v>0.82972030812989472</v>
      </c>
    </row>
    <row r="51" spans="1:67" x14ac:dyDescent="0.25">
      <c r="A51" s="260" t="s">
        <v>247</v>
      </c>
      <c r="B51" s="237">
        <v>5</v>
      </c>
      <c r="C51" s="236">
        <f>'побудинковий звіт'!E51</f>
        <v>1759.4</v>
      </c>
      <c r="D51" s="141">
        <f t="shared" si="6"/>
        <v>305.14626188712145</v>
      </c>
      <c r="E51" s="107">
        <f t="shared" si="0"/>
        <v>62.898878351007383</v>
      </c>
      <c r="F51" s="333">
        <v>55.576960381785646</v>
      </c>
      <c r="G51" s="107">
        <f t="shared" si="1"/>
        <v>0</v>
      </c>
      <c r="H51" s="735">
        <f t="shared" si="7"/>
        <v>254.94197952437233</v>
      </c>
      <c r="I51" s="107">
        <f t="shared" si="8"/>
        <v>87.339906253423493</v>
      </c>
      <c r="J51" s="29"/>
      <c r="K51" s="142">
        <f t="shared" si="9"/>
        <v>765.90398639771024</v>
      </c>
      <c r="L51" s="210">
        <f t="shared" si="10"/>
        <v>62.580381283208737</v>
      </c>
      <c r="M51" s="107">
        <f t="shared" si="2"/>
        <v>13.76880564715549</v>
      </c>
      <c r="N51" s="333">
        <v>0</v>
      </c>
      <c r="O51" s="107"/>
      <c r="P51" s="107">
        <f t="shared" si="11"/>
        <v>52.284324851513318</v>
      </c>
      <c r="Q51" s="107">
        <f t="shared" si="12"/>
        <v>16.556783933639554</v>
      </c>
      <c r="R51" s="107"/>
      <c r="S51" s="143">
        <f t="shared" si="13"/>
        <v>145.1902957155171</v>
      </c>
      <c r="T51" s="905">
        <v>343.9666666666667</v>
      </c>
      <c r="U51" s="107"/>
      <c r="V51" s="151">
        <f t="shared" si="14"/>
        <v>343.9666666666667</v>
      </c>
      <c r="W51" s="907">
        <v>74.483333333333334</v>
      </c>
      <c r="X51" s="107"/>
      <c r="Y51" s="46">
        <f t="shared" si="15"/>
        <v>74.483333333333334</v>
      </c>
      <c r="Z51" s="141">
        <f t="shared" si="16"/>
        <v>8.572734408096025</v>
      </c>
      <c r="AA51" s="107">
        <f t="shared" si="3"/>
        <v>1.8843548814082944</v>
      </c>
      <c r="AB51" s="333">
        <v>0</v>
      </c>
      <c r="AC51" s="107"/>
      <c r="AD51" s="107">
        <f t="shared" si="17"/>
        <v>7.1623026492953379</v>
      </c>
      <c r="AE51" s="107">
        <f t="shared" si="18"/>
        <v>2.2678418814179908</v>
      </c>
      <c r="AF51" s="107"/>
      <c r="AG51" s="142">
        <f t="shared" si="19"/>
        <v>19.887233820217649</v>
      </c>
      <c r="AH51" s="210">
        <f t="shared" si="20"/>
        <v>187.08533507712866</v>
      </c>
      <c r="AI51" s="107">
        <f t="shared" si="4"/>
        <v>37.317106049128633</v>
      </c>
      <c r="AJ51" s="333">
        <v>23.799485118369443</v>
      </c>
      <c r="AK51" s="121">
        <f t="shared" si="5"/>
        <v>0</v>
      </c>
      <c r="AL51" s="107"/>
      <c r="AM51" s="107">
        <f t="shared" si="21"/>
        <v>156.30506292155451</v>
      </c>
      <c r="AN51" s="107">
        <f t="shared" si="22"/>
        <v>52.065241215120814</v>
      </c>
      <c r="AO51" s="107"/>
      <c r="AP51" s="143">
        <f t="shared" si="23"/>
        <v>456.57223038130206</v>
      </c>
      <c r="AQ51" s="141"/>
      <c r="AR51" s="107"/>
      <c r="AS51" s="142"/>
      <c r="AT51" s="138">
        <f t="shared" si="24"/>
        <v>817.27116763304525</v>
      </c>
      <c r="AU51" s="151">
        <f t="shared" si="25"/>
        <v>2623.2749139477924</v>
      </c>
      <c r="AW51" s="1">
        <v>1</v>
      </c>
      <c r="BA51" s="30">
        <v>355.23</v>
      </c>
      <c r="BB51" s="30">
        <v>67.87</v>
      </c>
      <c r="BC51" s="30">
        <v>23.98</v>
      </c>
      <c r="BD51" s="30">
        <v>225.48</v>
      </c>
      <c r="BF51" s="289">
        <f>T51*1.2</f>
        <v>412.76000000000005</v>
      </c>
      <c r="BG51" s="1">
        <v>330.21</v>
      </c>
      <c r="BI51" s="333">
        <v>0</v>
      </c>
      <c r="BL51" s="110">
        <f>$BA$397</f>
        <v>0.85901039294857251</v>
      </c>
      <c r="BM51" s="110">
        <f>$BB$397</f>
        <v>0.92206249128051765</v>
      </c>
      <c r="BN51" s="110">
        <f>$BC$397</f>
        <v>0.35749517965371247</v>
      </c>
      <c r="BO51" s="110">
        <f>$BD$397</f>
        <v>0.82972030812989472</v>
      </c>
    </row>
    <row r="52" spans="1:67" x14ac:dyDescent="0.25">
      <c r="A52" s="434" t="s">
        <v>52</v>
      </c>
      <c r="B52" s="238">
        <v>1</v>
      </c>
      <c r="C52" s="236">
        <f>'побудинковий звіт'!E52</f>
        <v>2214.37</v>
      </c>
      <c r="D52" s="141">
        <f t="shared" si="6"/>
        <v>0</v>
      </c>
      <c r="E52" s="107">
        <f t="shared" si="0"/>
        <v>0</v>
      </c>
      <c r="F52" s="333">
        <v>0</v>
      </c>
      <c r="G52" s="107">
        <f t="shared" si="1"/>
        <v>0</v>
      </c>
      <c r="H52" s="735">
        <f t="shared" si="7"/>
        <v>0</v>
      </c>
      <c r="I52" s="107">
        <f t="shared" si="8"/>
        <v>0</v>
      </c>
      <c r="J52" s="29"/>
      <c r="K52" s="142">
        <f t="shared" si="9"/>
        <v>0</v>
      </c>
      <c r="L52" s="210">
        <f t="shared" si="10"/>
        <v>0</v>
      </c>
      <c r="M52" s="107">
        <f t="shared" si="2"/>
        <v>0</v>
      </c>
      <c r="N52" s="333">
        <v>0</v>
      </c>
      <c r="O52" s="107"/>
      <c r="P52" s="107">
        <f t="shared" si="11"/>
        <v>0</v>
      </c>
      <c r="Q52" s="107">
        <f t="shared" si="12"/>
        <v>0</v>
      </c>
      <c r="R52" s="107"/>
      <c r="S52" s="143">
        <f t="shared" si="13"/>
        <v>0</v>
      </c>
      <c r="T52" s="245"/>
      <c r="U52" s="107"/>
      <c r="V52" s="151">
        <f t="shared" si="14"/>
        <v>0</v>
      </c>
      <c r="W52" s="246"/>
      <c r="X52" s="107"/>
      <c r="Y52" s="46">
        <f t="shared" si="15"/>
        <v>0</v>
      </c>
      <c r="Z52" s="141">
        <f t="shared" si="16"/>
        <v>0</v>
      </c>
      <c r="AA52" s="107">
        <f t="shared" si="3"/>
        <v>0</v>
      </c>
      <c r="AB52" s="333">
        <v>0</v>
      </c>
      <c r="AC52" s="107"/>
      <c r="AD52" s="107">
        <f t="shared" si="17"/>
        <v>0</v>
      </c>
      <c r="AE52" s="107">
        <f t="shared" si="18"/>
        <v>0</v>
      </c>
      <c r="AF52" s="107"/>
      <c r="AG52" s="142">
        <f t="shared" si="19"/>
        <v>0</v>
      </c>
      <c r="AH52" s="210">
        <f t="shared" si="20"/>
        <v>0</v>
      </c>
      <c r="AI52" s="107">
        <f t="shared" si="4"/>
        <v>0</v>
      </c>
      <c r="AJ52" s="333">
        <v>0</v>
      </c>
      <c r="AK52" s="121">
        <f t="shared" si="5"/>
        <v>0</v>
      </c>
      <c r="AL52" s="107"/>
      <c r="AM52" s="107">
        <f t="shared" si="21"/>
        <v>0</v>
      </c>
      <c r="AN52" s="107">
        <f t="shared" si="22"/>
        <v>0</v>
      </c>
      <c r="AO52" s="107"/>
      <c r="AP52" s="143">
        <f t="shared" si="23"/>
        <v>0</v>
      </c>
      <c r="AQ52" s="34"/>
      <c r="AR52" s="29"/>
      <c r="AS52" s="124"/>
      <c r="AT52" s="138">
        <f t="shared" si="24"/>
        <v>0</v>
      </c>
      <c r="AU52" s="151">
        <f t="shared" si="25"/>
        <v>0</v>
      </c>
      <c r="AW52" s="1">
        <v>2</v>
      </c>
      <c r="BA52" s="30">
        <v>0</v>
      </c>
      <c r="BB52" s="30">
        <v>0</v>
      </c>
      <c r="BC52" s="30">
        <v>0</v>
      </c>
      <c r="BD52" s="30">
        <v>0</v>
      </c>
      <c r="BI52" s="333">
        <v>0</v>
      </c>
      <c r="BL52" s="110">
        <f t="shared" ref="BL52:BO64" si="34">BA$398</f>
        <v>1.0967873225415627</v>
      </c>
      <c r="BM52" s="110">
        <f t="shared" si="34"/>
        <v>1.1127076627324948</v>
      </c>
      <c r="BN52" s="110">
        <f t="shared" si="34"/>
        <v>2.8314493742615632</v>
      </c>
      <c r="BO52" s="110">
        <f t="shared" si="34"/>
        <v>1.036891829831438</v>
      </c>
    </row>
    <row r="53" spans="1:67" x14ac:dyDescent="0.25">
      <c r="A53" s="260" t="s">
        <v>248</v>
      </c>
      <c r="B53" s="237">
        <v>5</v>
      </c>
      <c r="C53" s="236">
        <f>'побудинковий звіт'!E53</f>
        <v>6045.39</v>
      </c>
      <c r="D53" s="141">
        <f t="shared" si="6"/>
        <v>241.29321095914381</v>
      </c>
      <c r="E53" s="107">
        <f t="shared" si="0"/>
        <v>49.73704160484651</v>
      </c>
      <c r="F53" s="333">
        <v>60.89358088450291</v>
      </c>
      <c r="G53" s="107">
        <f t="shared" si="1"/>
        <v>0</v>
      </c>
      <c r="H53" s="735">
        <f t="shared" si="7"/>
        <v>201.59437139187952</v>
      </c>
      <c r="I53" s="107">
        <f t="shared" si="8"/>
        <v>71.244897180590101</v>
      </c>
      <c r="J53" s="29"/>
      <c r="K53" s="142">
        <f t="shared" si="9"/>
        <v>624.76310202096283</v>
      </c>
      <c r="L53" s="210">
        <f t="shared" si="10"/>
        <v>46.544561532100253</v>
      </c>
      <c r="M53" s="107">
        <f t="shared" si="2"/>
        <v>10.240637856891924</v>
      </c>
      <c r="N53" s="333">
        <v>0</v>
      </c>
      <c r="O53" s="107"/>
      <c r="P53" s="107">
        <f t="shared" si="11"/>
        <v>38.886803265107915</v>
      </c>
      <c r="Q53" s="107">
        <f t="shared" si="12"/>
        <v>12.314214659151434</v>
      </c>
      <c r="R53" s="107"/>
      <c r="S53" s="143">
        <f t="shared" si="13"/>
        <v>107.98621731325152</v>
      </c>
      <c r="T53" s="905">
        <v>358.35</v>
      </c>
      <c r="U53" s="107"/>
      <c r="V53" s="151">
        <f t="shared" si="14"/>
        <v>358.35</v>
      </c>
      <c r="W53" s="246"/>
      <c r="X53" s="107"/>
      <c r="Y53" s="46">
        <f t="shared" si="15"/>
        <v>0</v>
      </c>
      <c r="Z53" s="141">
        <f t="shared" si="16"/>
        <v>0</v>
      </c>
      <c r="AA53" s="107">
        <f t="shared" si="3"/>
        <v>0</v>
      </c>
      <c r="AB53" s="333">
        <v>7.644333333333333</v>
      </c>
      <c r="AC53" s="107"/>
      <c r="AD53" s="107">
        <f t="shared" si="17"/>
        <v>0</v>
      </c>
      <c r="AE53" s="107">
        <f t="shared" si="18"/>
        <v>0.98392381241471905</v>
      </c>
      <c r="AF53" s="107"/>
      <c r="AG53" s="142">
        <f t="shared" si="19"/>
        <v>8.6282571457480515</v>
      </c>
      <c r="AH53" s="210">
        <f t="shared" si="20"/>
        <v>171.37748163454009</v>
      </c>
      <c r="AI53" s="107">
        <f t="shared" si="4"/>
        <v>34.183928173483856</v>
      </c>
      <c r="AJ53" s="333">
        <v>23.90798493564165</v>
      </c>
      <c r="AK53" s="121">
        <f t="shared" si="5"/>
        <v>0</v>
      </c>
      <c r="AL53" s="107"/>
      <c r="AM53" s="107">
        <f t="shared" si="21"/>
        <v>143.1815488861323</v>
      </c>
      <c r="AN53" s="107">
        <f t="shared" si="22"/>
        <v>47.964959293093791</v>
      </c>
      <c r="AO53" s="107"/>
      <c r="AP53" s="143">
        <f t="shared" si="23"/>
        <v>420.61590292289168</v>
      </c>
      <c r="AQ53" s="34"/>
      <c r="AR53" s="29"/>
      <c r="AS53" s="124"/>
      <c r="AT53" s="138">
        <f t="shared" si="24"/>
        <v>2808.1862817421484</v>
      </c>
      <c r="AU53" s="151">
        <f t="shared" si="25"/>
        <v>4328.5297611450023</v>
      </c>
      <c r="AW53" s="1">
        <v>2</v>
      </c>
      <c r="BA53" s="30">
        <v>220</v>
      </c>
      <c r="BB53" s="30">
        <v>41.83</v>
      </c>
      <c r="BC53" s="30">
        <v>0</v>
      </c>
      <c r="BD53" s="30">
        <v>165.28</v>
      </c>
      <c r="BF53" s="289">
        <f t="shared" ref="BF53:BF58" si="35">T53*1.2</f>
        <v>430.02000000000004</v>
      </c>
      <c r="BI53" s="333">
        <v>0</v>
      </c>
      <c r="BL53" s="110">
        <f t="shared" si="34"/>
        <v>1.0967873225415627</v>
      </c>
      <c r="BM53" s="110">
        <f t="shared" si="34"/>
        <v>1.1127076627324948</v>
      </c>
      <c r="BN53" s="110">
        <f t="shared" si="34"/>
        <v>2.8314493742615632</v>
      </c>
      <c r="BO53" s="110">
        <f t="shared" si="34"/>
        <v>1.036891829831438</v>
      </c>
    </row>
    <row r="54" spans="1:67" x14ac:dyDescent="0.25">
      <c r="A54" s="260" t="s">
        <v>249</v>
      </c>
      <c r="B54" s="237">
        <v>5</v>
      </c>
      <c r="C54" s="236">
        <f>'побудинковий звіт'!E54</f>
        <v>3858.65</v>
      </c>
      <c r="D54" s="141">
        <f t="shared" si="6"/>
        <v>441.59947967490939</v>
      </c>
      <c r="E54" s="107">
        <f t="shared" si="0"/>
        <v>91.025568460724315</v>
      </c>
      <c r="F54" s="333">
        <v>67.833944727745461</v>
      </c>
      <c r="G54" s="107">
        <f t="shared" si="1"/>
        <v>0</v>
      </c>
      <c r="H54" s="735">
        <f t="shared" si="7"/>
        <v>368.94518978869291</v>
      </c>
      <c r="I54" s="107">
        <f t="shared" si="8"/>
        <v>124.77476027983275</v>
      </c>
      <c r="J54" s="29"/>
      <c r="K54" s="142">
        <f t="shared" si="9"/>
        <v>1094.1789429319049</v>
      </c>
      <c r="L54" s="210">
        <f t="shared" si="10"/>
        <v>85.901031562948603</v>
      </c>
      <c r="M54" s="107">
        <f t="shared" si="2"/>
        <v>18.899766735645628</v>
      </c>
      <c r="N54" s="333">
        <v>0</v>
      </c>
      <c r="O54" s="107"/>
      <c r="P54" s="107">
        <f t="shared" si="11"/>
        <v>71.768137988676344</v>
      </c>
      <c r="Q54" s="107">
        <f t="shared" si="12"/>
        <v>22.726688302330643</v>
      </c>
      <c r="R54" s="107"/>
      <c r="S54" s="143">
        <f t="shared" si="13"/>
        <v>199.2956245896012</v>
      </c>
      <c r="T54" s="905">
        <v>403.95833333333337</v>
      </c>
      <c r="U54" s="107"/>
      <c r="V54" s="151">
        <f t="shared" si="14"/>
        <v>403.95833333333337</v>
      </c>
      <c r="W54" s="246"/>
      <c r="X54" s="107"/>
      <c r="Y54" s="46">
        <f t="shared" si="15"/>
        <v>0</v>
      </c>
      <c r="Z54" s="141">
        <f t="shared" si="16"/>
        <v>0</v>
      </c>
      <c r="AA54" s="107">
        <f t="shared" si="3"/>
        <v>0</v>
      </c>
      <c r="AB54" s="333">
        <v>7.644333333333333</v>
      </c>
      <c r="AC54" s="107"/>
      <c r="AD54" s="107">
        <f t="shared" si="17"/>
        <v>0</v>
      </c>
      <c r="AE54" s="107">
        <f t="shared" si="18"/>
        <v>0.98392381241471905</v>
      </c>
      <c r="AF54" s="107"/>
      <c r="AG54" s="142">
        <f t="shared" si="19"/>
        <v>8.6282571457480515</v>
      </c>
      <c r="AH54" s="210">
        <f t="shared" si="20"/>
        <v>241.69948553370818</v>
      </c>
      <c r="AI54" s="107">
        <f t="shared" si="4"/>
        <v>48.210755428600478</v>
      </c>
      <c r="AJ54" s="333">
        <v>26.632904570879308</v>
      </c>
      <c r="AK54" s="121">
        <f t="shared" si="5"/>
        <v>0</v>
      </c>
      <c r="AL54" s="107"/>
      <c r="AM54" s="107">
        <f t="shared" si="21"/>
        <v>201.93380351740947</v>
      </c>
      <c r="AN54" s="107">
        <f t="shared" si="22"/>
        <v>66.734637817862804</v>
      </c>
      <c r="AO54" s="107"/>
      <c r="AP54" s="143">
        <f t="shared" si="23"/>
        <v>585.21158686846024</v>
      </c>
      <c r="AQ54" s="34"/>
      <c r="AR54" s="29"/>
      <c r="AS54" s="124"/>
      <c r="AT54" s="138">
        <f t="shared" si="24"/>
        <v>1792.4084295710186</v>
      </c>
      <c r="AU54" s="151">
        <f t="shared" si="25"/>
        <v>4083.6811744400661</v>
      </c>
      <c r="AW54" s="1">
        <v>2</v>
      </c>
      <c r="BA54" s="30">
        <v>402.63</v>
      </c>
      <c r="BB54" s="30">
        <v>77.2</v>
      </c>
      <c r="BC54" s="30">
        <v>0</v>
      </c>
      <c r="BD54" s="30">
        <v>233.1</v>
      </c>
      <c r="BF54" s="289">
        <f t="shared" si="35"/>
        <v>484.75</v>
      </c>
      <c r="BI54" s="333">
        <v>0</v>
      </c>
      <c r="BL54" s="110">
        <f t="shared" si="34"/>
        <v>1.0967873225415627</v>
      </c>
      <c r="BM54" s="110">
        <f t="shared" si="34"/>
        <v>1.1127076627324948</v>
      </c>
      <c r="BN54" s="110">
        <f t="shared" si="34"/>
        <v>2.8314493742615632</v>
      </c>
      <c r="BO54" s="110">
        <f t="shared" si="34"/>
        <v>1.036891829831438</v>
      </c>
    </row>
    <row r="55" spans="1:67" x14ac:dyDescent="0.25">
      <c r="A55" s="260" t="s">
        <v>250</v>
      </c>
      <c r="B55" s="237">
        <v>5</v>
      </c>
      <c r="C55" s="236">
        <f>'побудинковий звіт'!E55</f>
        <v>9922.34</v>
      </c>
      <c r="D55" s="141">
        <f t="shared" si="6"/>
        <v>197.24623208587465</v>
      </c>
      <c r="E55" s="107">
        <f t="shared" si="0"/>
        <v>40.657770737343618</v>
      </c>
      <c r="F55" s="333">
        <v>38.521758392836468</v>
      </c>
      <c r="G55" s="107">
        <f t="shared" si="1"/>
        <v>0</v>
      </c>
      <c r="H55" s="735">
        <f t="shared" si="7"/>
        <v>164.79423523234368</v>
      </c>
      <c r="I55" s="107">
        <f t="shared" si="8"/>
        <v>56.790676451286394</v>
      </c>
      <c r="J55" s="29"/>
      <c r="K55" s="142">
        <f t="shared" si="9"/>
        <v>498.01067289968483</v>
      </c>
      <c r="L55" s="210">
        <f t="shared" si="10"/>
        <v>43.985333907815523</v>
      </c>
      <c r="M55" s="107">
        <f t="shared" si="2"/>
        <v>9.6775619049232091</v>
      </c>
      <c r="N55" s="333">
        <v>0</v>
      </c>
      <c r="O55" s="107"/>
      <c r="P55" s="107">
        <f t="shared" si="11"/>
        <v>36.748633350937517</v>
      </c>
      <c r="Q55" s="107">
        <f t="shared" si="12"/>
        <v>11.637124204548321</v>
      </c>
      <c r="R55" s="107"/>
      <c r="S55" s="143">
        <f t="shared" si="13"/>
        <v>102.04865336822456</v>
      </c>
      <c r="T55" s="905">
        <v>195.15833333333333</v>
      </c>
      <c r="U55" s="107"/>
      <c r="V55" s="151">
        <f t="shared" si="14"/>
        <v>195.15833333333333</v>
      </c>
      <c r="W55" s="246"/>
      <c r="X55" s="107"/>
      <c r="Y55" s="46">
        <f t="shared" si="15"/>
        <v>0</v>
      </c>
      <c r="Z55" s="141">
        <f t="shared" si="16"/>
        <v>0</v>
      </c>
      <c r="AA55" s="107">
        <f t="shared" si="3"/>
        <v>0</v>
      </c>
      <c r="AB55" s="333">
        <v>7.644333333333333</v>
      </c>
      <c r="AC55" s="107"/>
      <c r="AD55" s="107">
        <f t="shared" si="17"/>
        <v>0</v>
      </c>
      <c r="AE55" s="107">
        <f t="shared" si="18"/>
        <v>0.98392381241471905</v>
      </c>
      <c r="AF55" s="107"/>
      <c r="AG55" s="142">
        <f t="shared" si="19"/>
        <v>8.6282571457480515</v>
      </c>
      <c r="AH55" s="210">
        <f t="shared" si="20"/>
        <v>103.13963031333314</v>
      </c>
      <c r="AI55" s="107">
        <f t="shared" si="4"/>
        <v>20.572817857069452</v>
      </c>
      <c r="AJ55" s="333">
        <v>15.12437938404679</v>
      </c>
      <c r="AK55" s="121">
        <f t="shared" si="5"/>
        <v>0</v>
      </c>
      <c r="AL55" s="418"/>
      <c r="AM55" s="107">
        <f t="shared" si="21"/>
        <v>86.170550990462132</v>
      </c>
      <c r="AN55" s="107">
        <f t="shared" si="22"/>
        <v>28.961337511797563</v>
      </c>
      <c r="AO55" s="107"/>
      <c r="AP55" s="143">
        <f t="shared" si="23"/>
        <v>253.96871605670904</v>
      </c>
      <c r="AQ55" s="34"/>
      <c r="AR55" s="29"/>
      <c r="AS55" s="124"/>
      <c r="AT55" s="138">
        <f t="shared" si="24"/>
        <v>4609.0953719745767</v>
      </c>
      <c r="AU55" s="151">
        <f t="shared" si="25"/>
        <v>5666.9100047782767</v>
      </c>
      <c r="AW55" s="1">
        <v>2</v>
      </c>
      <c r="BA55" s="30">
        <v>179.84</v>
      </c>
      <c r="BB55" s="30">
        <v>39.53</v>
      </c>
      <c r="BC55" s="30">
        <v>0</v>
      </c>
      <c r="BD55" s="30">
        <v>99.47</v>
      </c>
      <c r="BF55" s="289">
        <f t="shared" si="35"/>
        <v>234.19</v>
      </c>
      <c r="BI55" s="333">
        <v>0</v>
      </c>
      <c r="BL55" s="110">
        <f t="shared" si="34"/>
        <v>1.0967873225415627</v>
      </c>
      <c r="BM55" s="110">
        <f t="shared" si="34"/>
        <v>1.1127076627324948</v>
      </c>
      <c r="BN55" s="110">
        <f t="shared" si="34"/>
        <v>2.8314493742615632</v>
      </c>
      <c r="BO55" s="110">
        <f t="shared" si="34"/>
        <v>1.036891829831438</v>
      </c>
    </row>
    <row r="56" spans="1:67" x14ac:dyDescent="0.25">
      <c r="A56" s="260" t="s">
        <v>333</v>
      </c>
      <c r="B56" s="237">
        <v>6</v>
      </c>
      <c r="C56" s="236">
        <f>'побудинковий звіт'!E56</f>
        <v>8063.9</v>
      </c>
      <c r="D56" s="141">
        <f t="shared" si="6"/>
        <v>294.61901058111459</v>
      </c>
      <c r="E56" s="107">
        <f t="shared" si="0"/>
        <v>60.728927799517585</v>
      </c>
      <c r="F56" s="333">
        <v>75.754050279278147</v>
      </c>
      <c r="G56" s="107">
        <f t="shared" si="1"/>
        <v>0</v>
      </c>
      <c r="H56" s="735">
        <f t="shared" si="7"/>
        <v>246.14672746948489</v>
      </c>
      <c r="I56" s="107">
        <f t="shared" si="8"/>
        <v>87.170602022457814</v>
      </c>
      <c r="J56" s="29"/>
      <c r="K56" s="142">
        <f t="shared" si="9"/>
        <v>764.41931815185308</v>
      </c>
      <c r="L56" s="210">
        <f t="shared" si="10"/>
        <v>60.83172792158549</v>
      </c>
      <c r="M56" s="107">
        <f t="shared" si="2"/>
        <v>13.384070562665109</v>
      </c>
      <c r="N56" s="333">
        <v>0</v>
      </c>
      <c r="O56" s="107"/>
      <c r="P56" s="107">
        <f t="shared" si="11"/>
        <v>50.823369220737511</v>
      </c>
      <c r="Q56" s="107">
        <f t="shared" si="12"/>
        <v>16.094145718761869</v>
      </c>
      <c r="R56" s="107"/>
      <c r="S56" s="143">
        <f t="shared" si="13"/>
        <v>141.13331342374997</v>
      </c>
      <c r="T56" s="905">
        <v>462.95</v>
      </c>
      <c r="U56" s="107"/>
      <c r="V56" s="151">
        <f t="shared" si="14"/>
        <v>462.95</v>
      </c>
      <c r="W56" s="907">
        <v>97.058333333333337</v>
      </c>
      <c r="X56" s="107"/>
      <c r="Y56" s="46">
        <f t="shared" si="15"/>
        <v>97.058333333333337</v>
      </c>
      <c r="Z56" s="141">
        <f t="shared" si="16"/>
        <v>39.045686871066955</v>
      </c>
      <c r="AA56" s="107">
        <f t="shared" si="3"/>
        <v>8.5825510450843101</v>
      </c>
      <c r="AB56" s="333">
        <v>0</v>
      </c>
      <c r="AC56" s="107"/>
      <c r="AD56" s="107">
        <f t="shared" si="17"/>
        <v>32.621683258505371</v>
      </c>
      <c r="AE56" s="107">
        <f t="shared" si="18"/>
        <v>10.329194835583941</v>
      </c>
      <c r="AF56" s="107"/>
      <c r="AG56" s="142">
        <f t="shared" si="19"/>
        <v>90.579116010240568</v>
      </c>
      <c r="AH56" s="210">
        <f t="shared" si="20"/>
        <v>128.36720853313201</v>
      </c>
      <c r="AI56" s="107">
        <f t="shared" si="4"/>
        <v>25.604854234494805</v>
      </c>
      <c r="AJ56" s="333">
        <v>29.742489546246151</v>
      </c>
      <c r="AK56" s="121">
        <f t="shared" si="5"/>
        <v>0</v>
      </c>
      <c r="AL56" s="418"/>
      <c r="AM56" s="107">
        <f t="shared" si="21"/>
        <v>107.24755416325736</v>
      </c>
      <c r="AN56" s="107">
        <f t="shared" si="22"/>
        <v>37.450557503143358</v>
      </c>
      <c r="AO56" s="107"/>
      <c r="AP56" s="143">
        <f t="shared" si="23"/>
        <v>328.41266398027369</v>
      </c>
      <c r="AQ56" s="34"/>
      <c r="AR56" s="29"/>
      <c r="AS56" s="124"/>
      <c r="AT56" s="138">
        <f t="shared" si="24"/>
        <v>3745.8184430351898</v>
      </c>
      <c r="AU56" s="151">
        <f t="shared" si="25"/>
        <v>5630.3711879346411</v>
      </c>
      <c r="AW56" s="1">
        <v>2</v>
      </c>
      <c r="BA56" s="30">
        <v>268.62</v>
      </c>
      <c r="BB56" s="30">
        <v>54.67</v>
      </c>
      <c r="BC56" s="30">
        <v>13.79</v>
      </c>
      <c r="BD56" s="30">
        <v>123.8</v>
      </c>
      <c r="BF56" s="289">
        <f t="shared" si="35"/>
        <v>555.54</v>
      </c>
      <c r="BI56" s="333">
        <v>0</v>
      </c>
      <c r="BL56" s="110">
        <f t="shared" si="34"/>
        <v>1.0967873225415627</v>
      </c>
      <c r="BM56" s="110">
        <f t="shared" si="34"/>
        <v>1.1127076627324948</v>
      </c>
      <c r="BN56" s="110">
        <f t="shared" si="34"/>
        <v>2.8314493742615632</v>
      </c>
      <c r="BO56" s="110">
        <f t="shared" si="34"/>
        <v>1.036891829831438</v>
      </c>
    </row>
    <row r="57" spans="1:67" x14ac:dyDescent="0.25">
      <c r="A57" s="260" t="s">
        <v>207</v>
      </c>
      <c r="B57" s="237">
        <v>4</v>
      </c>
      <c r="C57" s="236">
        <f>'побудинковий звіт'!E57</f>
        <v>3261</v>
      </c>
      <c r="D57" s="141">
        <f t="shared" si="6"/>
        <v>170.56139652843842</v>
      </c>
      <c r="E57" s="107">
        <f t="shared" si="0"/>
        <v>35.157306090771272</v>
      </c>
      <c r="F57" s="333">
        <v>30.95773101055331</v>
      </c>
      <c r="G57" s="107">
        <f t="shared" si="1"/>
        <v>0</v>
      </c>
      <c r="H57" s="735">
        <f t="shared" si="7"/>
        <v>142.49973043250537</v>
      </c>
      <c r="I57" s="107">
        <f t="shared" si="8"/>
        <v>48.804838911734549</v>
      </c>
      <c r="J57" s="29"/>
      <c r="K57" s="142">
        <f t="shared" si="9"/>
        <v>427.98100297400299</v>
      </c>
      <c r="L57" s="210">
        <f t="shared" si="10"/>
        <v>26.883017131617073</v>
      </c>
      <c r="M57" s="107">
        <f t="shared" si="2"/>
        <v>5.9147456519844344</v>
      </c>
      <c r="N57" s="333">
        <v>0</v>
      </c>
      <c r="O57" s="107"/>
      <c r="P57" s="107">
        <f t="shared" si="11"/>
        <v>22.460080489720472</v>
      </c>
      <c r="Q57" s="107">
        <f t="shared" si="12"/>
        <v>7.1123936448744605</v>
      </c>
      <c r="R57" s="107"/>
      <c r="S57" s="143">
        <f t="shared" si="13"/>
        <v>62.37023691819644</v>
      </c>
      <c r="T57" s="905">
        <v>168.00833333333335</v>
      </c>
      <c r="U57" s="107"/>
      <c r="V57" s="151">
        <f t="shared" si="14"/>
        <v>168.00833333333335</v>
      </c>
      <c r="W57" s="246"/>
      <c r="X57" s="107"/>
      <c r="Y57" s="46">
        <f t="shared" si="15"/>
        <v>0</v>
      </c>
      <c r="Z57" s="141">
        <f t="shared" si="16"/>
        <v>0</v>
      </c>
      <c r="AA57" s="107">
        <f t="shared" si="3"/>
        <v>0</v>
      </c>
      <c r="AB57" s="333">
        <v>0</v>
      </c>
      <c r="AC57" s="107"/>
      <c r="AD57" s="107">
        <f t="shared" si="17"/>
        <v>0</v>
      </c>
      <c r="AE57" s="107">
        <f t="shared" si="18"/>
        <v>0</v>
      </c>
      <c r="AF57" s="107"/>
      <c r="AG57" s="142">
        <f t="shared" si="19"/>
        <v>0</v>
      </c>
      <c r="AH57" s="210">
        <f t="shared" si="20"/>
        <v>91.920460714556981</v>
      </c>
      <c r="AI57" s="107">
        <f t="shared" si="4"/>
        <v>18.33497841589632</v>
      </c>
      <c r="AJ57" s="333">
        <v>12.154597510791419</v>
      </c>
      <c r="AK57" s="121">
        <f t="shared" si="5"/>
        <v>0</v>
      </c>
      <c r="AL57" s="107"/>
      <c r="AM57" s="107">
        <f t="shared" si="21"/>
        <v>76.797218712219433</v>
      </c>
      <c r="AN57" s="107">
        <f t="shared" si="22"/>
        <v>25.640530521264495</v>
      </c>
      <c r="AO57" s="107"/>
      <c r="AP57" s="143">
        <f t="shared" si="23"/>
        <v>224.84778587472863</v>
      </c>
      <c r="AQ57" s="34"/>
      <c r="AR57" s="29"/>
      <c r="AS57" s="124"/>
      <c r="AT57" s="138">
        <f t="shared" si="24"/>
        <v>1514.7898588446974</v>
      </c>
      <c r="AU57" s="151">
        <f t="shared" si="25"/>
        <v>2397.9972179449587</v>
      </c>
      <c r="AW57" s="1">
        <v>2</v>
      </c>
      <c r="BA57" s="30">
        <v>155.51</v>
      </c>
      <c r="BB57" s="30">
        <v>24.16</v>
      </c>
      <c r="BC57" s="30">
        <v>0</v>
      </c>
      <c r="BD57" s="30">
        <v>88.65</v>
      </c>
      <c r="BF57" s="289">
        <f t="shared" si="35"/>
        <v>201.61</v>
      </c>
      <c r="BI57" s="333">
        <v>0</v>
      </c>
      <c r="BL57" s="110">
        <f t="shared" si="34"/>
        <v>1.0967873225415627</v>
      </c>
      <c r="BM57" s="110">
        <f t="shared" si="34"/>
        <v>1.1127076627324948</v>
      </c>
      <c r="BN57" s="110">
        <f t="shared" si="34"/>
        <v>2.8314493742615632</v>
      </c>
      <c r="BO57" s="110">
        <f t="shared" si="34"/>
        <v>1.036891829831438</v>
      </c>
    </row>
    <row r="58" spans="1:67" x14ac:dyDescent="0.25">
      <c r="A58" s="260" t="s">
        <v>151</v>
      </c>
      <c r="B58" s="237">
        <v>2</v>
      </c>
      <c r="C58" s="236">
        <f>'побудинковий звіт'!E58</f>
        <v>244.2</v>
      </c>
      <c r="D58" s="141">
        <f t="shared" si="6"/>
        <v>53.512253466802846</v>
      </c>
      <c r="E58" s="107">
        <f t="shared" si="0"/>
        <v>11.030319363183914</v>
      </c>
      <c r="F58" s="333">
        <v>5.3411725387431188</v>
      </c>
      <c r="G58" s="107">
        <f t="shared" si="1"/>
        <v>0</v>
      </c>
      <c r="H58" s="735">
        <f t="shared" si="7"/>
        <v>44.708133546408185</v>
      </c>
      <c r="I58" s="107">
        <f t="shared" si="8"/>
        <v>14.749445564114836</v>
      </c>
      <c r="J58" s="29"/>
      <c r="K58" s="142">
        <f t="shared" si="9"/>
        <v>129.3413244792529</v>
      </c>
      <c r="L58" s="210">
        <f t="shared" si="10"/>
        <v>10.771010175250549</v>
      </c>
      <c r="M58" s="107">
        <f t="shared" si="2"/>
        <v>2.3698153108944258</v>
      </c>
      <c r="N58" s="333">
        <v>0</v>
      </c>
      <c r="O58" s="107"/>
      <c r="P58" s="107">
        <f t="shared" si="11"/>
        <v>8.9989064213780701</v>
      </c>
      <c r="Q58" s="107">
        <f t="shared" si="12"/>
        <v>2.849667652416588</v>
      </c>
      <c r="R58" s="107"/>
      <c r="S58" s="143">
        <f t="shared" si="13"/>
        <v>24.989399559939631</v>
      </c>
      <c r="T58" s="905">
        <v>32.033333333333331</v>
      </c>
      <c r="U58" s="107"/>
      <c r="V58" s="151">
        <f t="shared" si="14"/>
        <v>32.033333333333331</v>
      </c>
      <c r="W58" s="246"/>
      <c r="X58" s="107"/>
      <c r="Y58" s="46">
        <f t="shared" si="15"/>
        <v>0</v>
      </c>
      <c r="Z58" s="141">
        <f t="shared" si="16"/>
        <v>0</v>
      </c>
      <c r="AA58" s="107">
        <f t="shared" si="3"/>
        <v>0</v>
      </c>
      <c r="AB58" s="333">
        <v>0</v>
      </c>
      <c r="AC58" s="107"/>
      <c r="AD58" s="107">
        <f t="shared" si="17"/>
        <v>0</v>
      </c>
      <c r="AE58" s="107">
        <f t="shared" si="18"/>
        <v>0</v>
      </c>
      <c r="AF58" s="107"/>
      <c r="AG58" s="142">
        <f t="shared" si="19"/>
        <v>0</v>
      </c>
      <c r="AH58" s="210">
        <f t="shared" si="20"/>
        <v>29.706950924670696</v>
      </c>
      <c r="AI58" s="107">
        <f t="shared" si="4"/>
        <v>5.9255175591137004</v>
      </c>
      <c r="AJ58" s="333">
        <v>2.0970465316719693</v>
      </c>
      <c r="AK58" s="121">
        <f t="shared" si="5"/>
        <v>0</v>
      </c>
      <c r="AL58" s="107"/>
      <c r="AM58" s="107">
        <f t="shared" si="21"/>
        <v>24.819405709025229</v>
      </c>
      <c r="AN58" s="107">
        <f t="shared" si="22"/>
        <v>8.0508488913344909</v>
      </c>
      <c r="AO58" s="107"/>
      <c r="AP58" s="143">
        <f t="shared" si="23"/>
        <v>70.599769615816086</v>
      </c>
      <c r="AQ58" s="34"/>
      <c r="AR58" s="29"/>
      <c r="AS58" s="124"/>
      <c r="AT58" s="138">
        <f t="shared" si="24"/>
        <v>113.4350455473398</v>
      </c>
      <c r="AU58" s="151">
        <f t="shared" si="25"/>
        <v>370.39887253568179</v>
      </c>
      <c r="AW58" s="1">
        <v>2</v>
      </c>
      <c r="BA58" s="30">
        <v>48.79</v>
      </c>
      <c r="BB58" s="30">
        <v>9.68</v>
      </c>
      <c r="BC58" s="30">
        <v>0</v>
      </c>
      <c r="BD58" s="30">
        <v>28.65</v>
      </c>
      <c r="BF58" s="289">
        <f t="shared" si="35"/>
        <v>38.44</v>
      </c>
      <c r="BI58" s="333">
        <v>0</v>
      </c>
      <c r="BL58" s="110">
        <f t="shared" si="34"/>
        <v>1.0967873225415627</v>
      </c>
      <c r="BM58" s="110">
        <f t="shared" si="34"/>
        <v>1.1127076627324948</v>
      </c>
      <c r="BN58" s="110">
        <f t="shared" si="34"/>
        <v>2.8314493742615632</v>
      </c>
      <c r="BO58" s="110">
        <f t="shared" si="34"/>
        <v>1.036891829831438</v>
      </c>
    </row>
    <row r="59" spans="1:67" x14ac:dyDescent="0.25">
      <c r="A59" s="434" t="s">
        <v>53</v>
      </c>
      <c r="B59" s="238">
        <v>1</v>
      </c>
      <c r="C59" s="236">
        <f>'побудинковий звіт'!E59</f>
        <v>323.7</v>
      </c>
      <c r="D59" s="141">
        <f t="shared" si="6"/>
        <v>0</v>
      </c>
      <c r="E59" s="107">
        <f t="shared" si="0"/>
        <v>0</v>
      </c>
      <c r="F59" s="333">
        <v>0</v>
      </c>
      <c r="G59" s="107">
        <f t="shared" si="1"/>
        <v>0</v>
      </c>
      <c r="H59" s="735">
        <f t="shared" si="7"/>
        <v>0</v>
      </c>
      <c r="I59" s="107">
        <f t="shared" si="8"/>
        <v>0</v>
      </c>
      <c r="J59" s="29"/>
      <c r="K59" s="142">
        <f t="shared" si="9"/>
        <v>0</v>
      </c>
      <c r="L59" s="210">
        <f t="shared" si="10"/>
        <v>0</v>
      </c>
      <c r="M59" s="107">
        <f t="shared" si="2"/>
        <v>0</v>
      </c>
      <c r="N59" s="333">
        <v>0</v>
      </c>
      <c r="O59" s="107"/>
      <c r="P59" s="107">
        <f t="shared" si="11"/>
        <v>0</v>
      </c>
      <c r="Q59" s="107">
        <f t="shared" si="12"/>
        <v>0</v>
      </c>
      <c r="R59" s="107"/>
      <c r="S59" s="143">
        <f t="shared" si="13"/>
        <v>0</v>
      </c>
      <c r="T59" s="245"/>
      <c r="U59" s="107"/>
      <c r="V59" s="151">
        <f t="shared" si="14"/>
        <v>0</v>
      </c>
      <c r="W59" s="246"/>
      <c r="X59" s="107"/>
      <c r="Y59" s="46">
        <f t="shared" si="15"/>
        <v>0</v>
      </c>
      <c r="Z59" s="141">
        <f t="shared" si="16"/>
        <v>0</v>
      </c>
      <c r="AA59" s="107">
        <f t="shared" si="3"/>
        <v>0</v>
      </c>
      <c r="AB59" s="333">
        <v>0</v>
      </c>
      <c r="AC59" s="107"/>
      <c r="AD59" s="107">
        <f t="shared" si="17"/>
        <v>0</v>
      </c>
      <c r="AE59" s="107">
        <f t="shared" si="18"/>
        <v>0</v>
      </c>
      <c r="AF59" s="107"/>
      <c r="AG59" s="142">
        <f t="shared" si="19"/>
        <v>0</v>
      </c>
      <c r="AH59" s="210">
        <f t="shared" si="20"/>
        <v>0</v>
      </c>
      <c r="AI59" s="107">
        <f t="shared" si="4"/>
        <v>0</v>
      </c>
      <c r="AJ59" s="333">
        <v>0</v>
      </c>
      <c r="AK59" s="121">
        <f t="shared" si="5"/>
        <v>0</v>
      </c>
      <c r="AL59" s="107"/>
      <c r="AM59" s="107">
        <f t="shared" si="21"/>
        <v>0</v>
      </c>
      <c r="AN59" s="107">
        <f t="shared" si="22"/>
        <v>0</v>
      </c>
      <c r="AO59" s="107"/>
      <c r="AP59" s="143">
        <f t="shared" si="23"/>
        <v>0</v>
      </c>
      <c r="AQ59" s="34"/>
      <c r="AR59" s="29"/>
      <c r="AS59" s="124"/>
      <c r="AT59" s="138">
        <f t="shared" si="24"/>
        <v>0</v>
      </c>
      <c r="AU59" s="151">
        <f t="shared" si="25"/>
        <v>0</v>
      </c>
      <c r="AW59" s="1">
        <v>2</v>
      </c>
      <c r="BA59" s="30">
        <v>0</v>
      </c>
      <c r="BB59" s="30">
        <v>0</v>
      </c>
      <c r="BC59" s="30">
        <v>0</v>
      </c>
      <c r="BD59" s="30">
        <v>0</v>
      </c>
      <c r="BI59" s="333">
        <v>0</v>
      </c>
      <c r="BL59" s="110">
        <f t="shared" si="34"/>
        <v>1.0967873225415627</v>
      </c>
      <c r="BM59" s="110">
        <f t="shared" si="34"/>
        <v>1.1127076627324948</v>
      </c>
      <c r="BN59" s="110">
        <f t="shared" si="34"/>
        <v>2.8314493742615632</v>
      </c>
      <c r="BO59" s="110">
        <f t="shared" si="34"/>
        <v>1.036891829831438</v>
      </c>
    </row>
    <row r="60" spans="1:67" x14ac:dyDescent="0.25">
      <c r="A60" s="434" t="s">
        <v>54</v>
      </c>
      <c r="B60" s="238">
        <v>1</v>
      </c>
      <c r="C60" s="236">
        <f>'побудинковий звіт'!E60</f>
        <v>2189.9</v>
      </c>
      <c r="D60" s="141">
        <f t="shared" si="6"/>
        <v>0</v>
      </c>
      <c r="E60" s="107">
        <f t="shared" si="0"/>
        <v>0</v>
      </c>
      <c r="F60" s="333">
        <v>0</v>
      </c>
      <c r="G60" s="107">
        <f t="shared" si="1"/>
        <v>0</v>
      </c>
      <c r="H60" s="735">
        <f t="shared" si="7"/>
        <v>0</v>
      </c>
      <c r="I60" s="107">
        <f t="shared" si="8"/>
        <v>0</v>
      </c>
      <c r="J60" s="29"/>
      <c r="K60" s="142">
        <f t="shared" si="9"/>
        <v>0</v>
      </c>
      <c r="L60" s="210">
        <f t="shared" si="10"/>
        <v>0</v>
      </c>
      <c r="M60" s="107">
        <f t="shared" si="2"/>
        <v>0</v>
      </c>
      <c r="N60" s="333">
        <v>0</v>
      </c>
      <c r="O60" s="107"/>
      <c r="P60" s="107">
        <f t="shared" si="11"/>
        <v>0</v>
      </c>
      <c r="Q60" s="107">
        <f t="shared" si="12"/>
        <v>0</v>
      </c>
      <c r="R60" s="107"/>
      <c r="S60" s="143">
        <f t="shared" si="13"/>
        <v>0</v>
      </c>
      <c r="T60" s="245"/>
      <c r="U60" s="107"/>
      <c r="V60" s="151">
        <f t="shared" si="14"/>
        <v>0</v>
      </c>
      <c r="W60" s="246"/>
      <c r="X60" s="107"/>
      <c r="Y60" s="46">
        <f t="shared" si="15"/>
        <v>0</v>
      </c>
      <c r="Z60" s="141">
        <f t="shared" si="16"/>
        <v>0</v>
      </c>
      <c r="AA60" s="107">
        <f t="shared" si="3"/>
        <v>0</v>
      </c>
      <c r="AB60" s="333">
        <v>0</v>
      </c>
      <c r="AC60" s="107"/>
      <c r="AD60" s="107">
        <f t="shared" si="17"/>
        <v>0</v>
      </c>
      <c r="AE60" s="107">
        <f t="shared" si="18"/>
        <v>0</v>
      </c>
      <c r="AF60" s="107"/>
      <c r="AG60" s="142">
        <f t="shared" si="19"/>
        <v>0</v>
      </c>
      <c r="AH60" s="210">
        <f t="shared" si="20"/>
        <v>0</v>
      </c>
      <c r="AI60" s="107">
        <f t="shared" si="4"/>
        <v>0</v>
      </c>
      <c r="AJ60" s="333">
        <v>0</v>
      </c>
      <c r="AK60" s="121">
        <f t="shared" si="5"/>
        <v>0</v>
      </c>
      <c r="AL60" s="107"/>
      <c r="AM60" s="107">
        <f t="shared" si="21"/>
        <v>0</v>
      </c>
      <c r="AN60" s="107">
        <f t="shared" si="22"/>
        <v>0</v>
      </c>
      <c r="AO60" s="107"/>
      <c r="AP60" s="143">
        <f t="shared" si="23"/>
        <v>0</v>
      </c>
      <c r="AQ60" s="34"/>
      <c r="AR60" s="29"/>
      <c r="AS60" s="124"/>
      <c r="AT60" s="138">
        <f t="shared" si="24"/>
        <v>0</v>
      </c>
      <c r="AU60" s="151">
        <f t="shared" si="25"/>
        <v>0</v>
      </c>
      <c r="AW60" s="1">
        <v>2</v>
      </c>
      <c r="BA60" s="30">
        <v>0</v>
      </c>
      <c r="BB60" s="30">
        <v>0</v>
      </c>
      <c r="BC60" s="30">
        <v>0</v>
      </c>
      <c r="BD60" s="30">
        <v>0</v>
      </c>
      <c r="BI60" s="333">
        <v>0</v>
      </c>
      <c r="BL60" s="110">
        <f t="shared" si="34"/>
        <v>1.0967873225415627</v>
      </c>
      <c r="BM60" s="110">
        <f t="shared" si="34"/>
        <v>1.1127076627324948</v>
      </c>
      <c r="BN60" s="110">
        <f t="shared" si="34"/>
        <v>2.8314493742615632</v>
      </c>
      <c r="BO60" s="110">
        <f t="shared" si="34"/>
        <v>1.036891829831438</v>
      </c>
    </row>
    <row r="61" spans="1:67" x14ac:dyDescent="0.25">
      <c r="A61" s="260" t="s">
        <v>251</v>
      </c>
      <c r="B61" s="237">
        <v>5</v>
      </c>
      <c r="C61" s="236">
        <f>'побудинковий звіт'!E61</f>
        <v>1536.02</v>
      </c>
      <c r="D61" s="141">
        <f t="shared" si="6"/>
        <v>228.69112462314123</v>
      </c>
      <c r="E61" s="107">
        <f t="shared" si="0"/>
        <v>47.139411568302478</v>
      </c>
      <c r="F61" s="333">
        <v>40.487562723663814</v>
      </c>
      <c r="G61" s="107">
        <f t="shared" si="1"/>
        <v>0</v>
      </c>
      <c r="H61" s="735">
        <f t="shared" si="7"/>
        <v>191.06564717691271</v>
      </c>
      <c r="I61" s="107">
        <f t="shared" si="8"/>
        <v>65.306800219612214</v>
      </c>
      <c r="J61" s="29"/>
      <c r="K61" s="142">
        <f t="shared" si="9"/>
        <v>572.69054631163237</v>
      </c>
      <c r="L61" s="210">
        <f t="shared" si="10"/>
        <v>43.862936064914948</v>
      </c>
      <c r="M61" s="107">
        <f t="shared" si="2"/>
        <v>9.6506321854812267</v>
      </c>
      <c r="N61" s="333">
        <v>0</v>
      </c>
      <c r="O61" s="107"/>
      <c r="P61" s="107">
        <f t="shared" si="11"/>
        <v>36.646373050694585</v>
      </c>
      <c r="Q61" s="107">
        <f t="shared" si="12"/>
        <v>11.604741617589042</v>
      </c>
      <c r="R61" s="107"/>
      <c r="S61" s="143">
        <f t="shared" si="13"/>
        <v>101.7646829186798</v>
      </c>
      <c r="T61" s="905">
        <v>199.57500000000002</v>
      </c>
      <c r="U61" s="107"/>
      <c r="V61" s="151">
        <f t="shared" si="14"/>
        <v>199.57500000000002</v>
      </c>
      <c r="W61" s="246"/>
      <c r="X61" s="107"/>
      <c r="Y61" s="46">
        <f t="shared" si="15"/>
        <v>0</v>
      </c>
      <c r="Z61" s="141">
        <f t="shared" si="16"/>
        <v>0</v>
      </c>
      <c r="AA61" s="107">
        <f t="shared" si="3"/>
        <v>0</v>
      </c>
      <c r="AB61" s="333">
        <v>0</v>
      </c>
      <c r="AC61" s="107"/>
      <c r="AD61" s="107">
        <f t="shared" si="17"/>
        <v>0</v>
      </c>
      <c r="AE61" s="107">
        <f t="shared" si="18"/>
        <v>0</v>
      </c>
      <c r="AF61" s="107"/>
      <c r="AG61" s="142">
        <f t="shared" si="19"/>
        <v>0</v>
      </c>
      <c r="AH61" s="210">
        <f t="shared" si="20"/>
        <v>96.524260439008572</v>
      </c>
      <c r="AI61" s="107">
        <f t="shared" si="4"/>
        <v>19.253278519298235</v>
      </c>
      <c r="AJ61" s="333">
        <v>21.49619177617695</v>
      </c>
      <c r="AK61" s="121">
        <f t="shared" si="5"/>
        <v>0</v>
      </c>
      <c r="AL61" s="107"/>
      <c r="AM61" s="107">
        <f t="shared" si="21"/>
        <v>80.643576874455817</v>
      </c>
      <c r="AN61" s="107">
        <f t="shared" si="22"/>
        <v>28.048754383692351</v>
      </c>
      <c r="AO61" s="107"/>
      <c r="AP61" s="143">
        <f t="shared" si="23"/>
        <v>245.96606199263192</v>
      </c>
      <c r="AQ61" s="34"/>
      <c r="AR61" s="29"/>
      <c r="AS61" s="124"/>
      <c r="AT61" s="138">
        <f t="shared" si="24"/>
        <v>713.50736552671947</v>
      </c>
      <c r="AU61" s="151">
        <f t="shared" si="25"/>
        <v>1833.5036567496636</v>
      </c>
      <c r="AW61" s="1">
        <v>2</v>
      </c>
      <c r="BA61" s="30">
        <v>208.51</v>
      </c>
      <c r="BB61" s="30">
        <v>39.42</v>
      </c>
      <c r="BC61" s="30">
        <v>0</v>
      </c>
      <c r="BD61" s="30">
        <v>93.09</v>
      </c>
      <c r="BF61" s="289">
        <f>T61*1.2</f>
        <v>239.49</v>
      </c>
      <c r="BI61" s="333">
        <v>0</v>
      </c>
      <c r="BL61" s="110">
        <f t="shared" si="34"/>
        <v>1.0967873225415627</v>
      </c>
      <c r="BM61" s="110">
        <f t="shared" si="34"/>
        <v>1.1127076627324948</v>
      </c>
      <c r="BN61" s="110">
        <f t="shared" si="34"/>
        <v>2.8314493742615632</v>
      </c>
      <c r="BO61" s="110">
        <f t="shared" si="34"/>
        <v>1.036891829831438</v>
      </c>
    </row>
    <row r="62" spans="1:67" x14ac:dyDescent="0.25">
      <c r="A62" s="260" t="s">
        <v>194</v>
      </c>
      <c r="B62" s="237">
        <v>3</v>
      </c>
      <c r="C62" s="236">
        <f>'побудинковий звіт'!E62</f>
        <v>2807.4</v>
      </c>
      <c r="D62" s="141">
        <f t="shared" si="6"/>
        <v>131.46092847983172</v>
      </c>
      <c r="E62" s="107">
        <f t="shared" si="0"/>
        <v>27.097644576167742</v>
      </c>
      <c r="F62" s="333">
        <v>17.856582747869005</v>
      </c>
      <c r="G62" s="107">
        <f t="shared" si="1"/>
        <v>0</v>
      </c>
      <c r="H62" s="735">
        <f t="shared" si="7"/>
        <v>109.83227888650309</v>
      </c>
      <c r="I62" s="107">
        <f t="shared" si="8"/>
        <v>36.843718732980903</v>
      </c>
      <c r="J62" s="29"/>
      <c r="K62" s="142">
        <f t="shared" si="9"/>
        <v>323.09115342335247</v>
      </c>
      <c r="L62" s="210">
        <f t="shared" si="10"/>
        <v>30.009725663895384</v>
      </c>
      <c r="M62" s="107">
        <f t="shared" si="2"/>
        <v>6.6026775759114322</v>
      </c>
      <c r="N62" s="333">
        <v>0</v>
      </c>
      <c r="O62" s="107"/>
      <c r="P62" s="107">
        <f t="shared" si="11"/>
        <v>25.072366341380842</v>
      </c>
      <c r="Q62" s="107">
        <f t="shared" si="12"/>
        <v>7.9396215481069623</v>
      </c>
      <c r="R62" s="107"/>
      <c r="S62" s="143">
        <f t="shared" si="13"/>
        <v>69.624391129294622</v>
      </c>
      <c r="T62" s="905">
        <v>94.825000000000003</v>
      </c>
      <c r="U62" s="107"/>
      <c r="V62" s="151">
        <f t="shared" si="14"/>
        <v>94.825000000000003</v>
      </c>
      <c r="W62" s="246"/>
      <c r="X62" s="107"/>
      <c r="Y62" s="46">
        <f t="shared" si="15"/>
        <v>0</v>
      </c>
      <c r="Z62" s="141">
        <f t="shared" si="16"/>
        <v>0</v>
      </c>
      <c r="AA62" s="107">
        <f t="shared" si="3"/>
        <v>0</v>
      </c>
      <c r="AB62" s="333">
        <v>0</v>
      </c>
      <c r="AC62" s="107"/>
      <c r="AD62" s="107">
        <f t="shared" si="17"/>
        <v>0</v>
      </c>
      <c r="AE62" s="107">
        <f t="shared" si="18"/>
        <v>0</v>
      </c>
      <c r="AF62" s="107"/>
      <c r="AG62" s="142">
        <f t="shared" si="19"/>
        <v>0</v>
      </c>
      <c r="AH62" s="210">
        <f t="shared" si="20"/>
        <v>69.575441781689491</v>
      </c>
      <c r="AI62" s="107">
        <f t="shared" si="4"/>
        <v>13.87791372483523</v>
      </c>
      <c r="AJ62" s="333">
        <v>12.61083603783824</v>
      </c>
      <c r="AK62" s="121">
        <f t="shared" si="5"/>
        <v>0</v>
      </c>
      <c r="AL62" s="107"/>
      <c r="AM62" s="107">
        <f t="shared" si="21"/>
        <v>58.128520875238848</v>
      </c>
      <c r="AN62" s="107">
        <f t="shared" si="22"/>
        <v>19.846581099349542</v>
      </c>
      <c r="AO62" s="107"/>
      <c r="AP62" s="143">
        <f t="shared" si="23"/>
        <v>174.03929351895135</v>
      </c>
      <c r="AQ62" s="34"/>
      <c r="AR62" s="29"/>
      <c r="AS62" s="124"/>
      <c r="AT62" s="138">
        <f t="shared" si="24"/>
        <v>1304.0849585159779</v>
      </c>
      <c r="AU62" s="151">
        <f t="shared" si="25"/>
        <v>1965.6647965875763</v>
      </c>
      <c r="AW62" s="1">
        <v>2</v>
      </c>
      <c r="BA62" s="30">
        <v>119.86</v>
      </c>
      <c r="BB62" s="30">
        <v>26.97</v>
      </c>
      <c r="BC62" s="30">
        <v>0</v>
      </c>
      <c r="BD62" s="30">
        <v>67.099999999999994</v>
      </c>
      <c r="BF62" s="289">
        <f>T62*1.2</f>
        <v>113.79</v>
      </c>
      <c r="BI62" s="333">
        <v>0</v>
      </c>
      <c r="BL62" s="110">
        <f t="shared" si="34"/>
        <v>1.0967873225415627</v>
      </c>
      <c r="BM62" s="110">
        <f t="shared" si="34"/>
        <v>1.1127076627324948</v>
      </c>
      <c r="BN62" s="110">
        <f t="shared" si="34"/>
        <v>2.8314493742615632</v>
      </c>
      <c r="BO62" s="110">
        <f t="shared" si="34"/>
        <v>1.036891829831438</v>
      </c>
    </row>
    <row r="63" spans="1:67" x14ac:dyDescent="0.25">
      <c r="A63" s="260" t="s">
        <v>412</v>
      </c>
      <c r="B63" s="237">
        <v>10</v>
      </c>
      <c r="C63" s="236">
        <f>'побудинковий звіт'!E63</f>
        <v>310.7</v>
      </c>
      <c r="D63" s="141">
        <f t="shared" si="6"/>
        <v>301.0132806715319</v>
      </c>
      <c r="E63" s="107">
        <f t="shared" si="0"/>
        <v>62.046959402046021</v>
      </c>
      <c r="F63" s="333">
        <v>56.831339995076192</v>
      </c>
      <c r="G63" s="107">
        <f t="shared" si="1"/>
        <v>0</v>
      </c>
      <c r="H63" s="735">
        <f t="shared" si="7"/>
        <v>251.48897831136969</v>
      </c>
      <c r="I63" s="107">
        <f t="shared" si="8"/>
        <v>86.415294804307663</v>
      </c>
      <c r="J63" s="29"/>
      <c r="K63" s="142">
        <f t="shared" si="9"/>
        <v>757.79585318433146</v>
      </c>
      <c r="L63" s="210">
        <f t="shared" si="10"/>
        <v>48.514054095136771</v>
      </c>
      <c r="M63" s="107">
        <f t="shared" si="2"/>
        <v>10.673961524276546</v>
      </c>
      <c r="N63" s="333">
        <v>0</v>
      </c>
      <c r="O63" s="107"/>
      <c r="P63" s="107">
        <f t="shared" si="11"/>
        <v>40.532264459926019</v>
      </c>
      <c r="Q63" s="107">
        <f t="shared" si="12"/>
        <v>12.835279922041661</v>
      </c>
      <c r="R63" s="107"/>
      <c r="S63" s="143">
        <f t="shared" si="13"/>
        <v>112.55556000138101</v>
      </c>
      <c r="T63" s="905">
        <v>336.45833333333337</v>
      </c>
      <c r="U63" s="107"/>
      <c r="V63" s="151">
        <f t="shared" si="14"/>
        <v>336.45833333333337</v>
      </c>
      <c r="W63" s="907">
        <v>72.95</v>
      </c>
      <c r="X63" s="107"/>
      <c r="Y63" s="46">
        <f t="shared" si="15"/>
        <v>72.95</v>
      </c>
      <c r="Z63" s="141">
        <f t="shared" si="16"/>
        <v>39.895121683345423</v>
      </c>
      <c r="AA63" s="107">
        <f t="shared" si="3"/>
        <v>8.7692635406263904</v>
      </c>
      <c r="AB63" s="333">
        <v>0</v>
      </c>
      <c r="AC63" s="107"/>
      <c r="AD63" s="107">
        <f t="shared" si="17"/>
        <v>33.331364547667924</v>
      </c>
      <c r="AE63" s="107">
        <f t="shared" si="18"/>
        <v>10.55390538313109</v>
      </c>
      <c r="AF63" s="107"/>
      <c r="AG63" s="142">
        <f t="shared" si="19"/>
        <v>92.549655154770832</v>
      </c>
      <c r="AH63" s="210">
        <f t="shared" si="20"/>
        <v>98.898742729322549</v>
      </c>
      <c r="AI63" s="107">
        <f t="shared" si="4"/>
        <v>19.726906275332102</v>
      </c>
      <c r="AJ63" s="333">
        <v>22.313071439364112</v>
      </c>
      <c r="AK63" s="121">
        <f t="shared" si="5"/>
        <v>0</v>
      </c>
      <c r="AL63" s="107"/>
      <c r="AM63" s="107">
        <f t="shared" si="21"/>
        <v>82.627396737411047</v>
      </c>
      <c r="AN63" s="107">
        <f t="shared" si="22"/>
        <v>28.775828676218758</v>
      </c>
      <c r="AO63" s="107"/>
      <c r="AP63" s="143">
        <f t="shared" si="23"/>
        <v>252.3419458576486</v>
      </c>
      <c r="AQ63" s="34"/>
      <c r="AR63" s="29"/>
      <c r="AS63" s="124"/>
      <c r="AT63" s="138">
        <f t="shared" si="24"/>
        <v>144.32542445355642</v>
      </c>
      <c r="AU63" s="151">
        <f t="shared" si="25"/>
        <v>1768.9767719850217</v>
      </c>
      <c r="AW63" s="1">
        <v>2</v>
      </c>
      <c r="BA63" s="30">
        <v>274.45</v>
      </c>
      <c r="BB63" s="30">
        <v>43.6</v>
      </c>
      <c r="BC63" s="30">
        <v>14.09</v>
      </c>
      <c r="BD63" s="30">
        <v>95.38</v>
      </c>
      <c r="BF63" s="289">
        <f>T63*1.2</f>
        <v>403.75000000000006</v>
      </c>
      <c r="BI63" s="333">
        <v>0</v>
      </c>
      <c r="BL63" s="110">
        <f t="shared" si="34"/>
        <v>1.0967873225415627</v>
      </c>
      <c r="BM63" s="110">
        <f t="shared" si="34"/>
        <v>1.1127076627324948</v>
      </c>
      <c r="BN63" s="110">
        <f t="shared" si="34"/>
        <v>2.8314493742615632</v>
      </c>
      <c r="BO63" s="110">
        <f t="shared" si="34"/>
        <v>1.036891829831438</v>
      </c>
    </row>
    <row r="64" spans="1:67" x14ac:dyDescent="0.25">
      <c r="A64" s="260" t="s">
        <v>252</v>
      </c>
      <c r="B64" s="237">
        <v>5</v>
      </c>
      <c r="C64" s="236">
        <f>'побудинковий звіт'!E64</f>
        <v>3180.35</v>
      </c>
      <c r="D64" s="141">
        <f t="shared" si="6"/>
        <v>200.1088469977081</v>
      </c>
      <c r="E64" s="107">
        <f t="shared" si="0"/>
        <v>41.247832912746567</v>
      </c>
      <c r="F64" s="333">
        <v>39.753493882441681</v>
      </c>
      <c r="G64" s="107">
        <f t="shared" si="1"/>
        <v>0</v>
      </c>
      <c r="H64" s="735">
        <f t="shared" si="7"/>
        <v>167.18587754749279</v>
      </c>
      <c r="I64" s="107">
        <f t="shared" si="8"/>
        <v>57.701455534640075</v>
      </c>
      <c r="J64" s="29"/>
      <c r="K64" s="142">
        <f t="shared" si="9"/>
        <v>505.99750687502922</v>
      </c>
      <c r="L64" s="210">
        <f t="shared" si="10"/>
        <v>43.862936064914948</v>
      </c>
      <c r="M64" s="107">
        <f t="shared" si="2"/>
        <v>9.6506321854812267</v>
      </c>
      <c r="N64" s="333">
        <v>0</v>
      </c>
      <c r="O64" s="107"/>
      <c r="P64" s="107">
        <f t="shared" si="11"/>
        <v>36.646373050694585</v>
      </c>
      <c r="Q64" s="107">
        <f t="shared" si="12"/>
        <v>11.604741617589042</v>
      </c>
      <c r="R64" s="107"/>
      <c r="S64" s="143">
        <f t="shared" si="13"/>
        <v>101.7646829186798</v>
      </c>
      <c r="T64" s="905">
        <v>221.32499999999999</v>
      </c>
      <c r="U64" s="107"/>
      <c r="V64" s="151">
        <f t="shared" si="14"/>
        <v>221.32499999999999</v>
      </c>
      <c r="W64" s="246"/>
      <c r="X64" s="107"/>
      <c r="Y64" s="46">
        <f t="shared" si="15"/>
        <v>0</v>
      </c>
      <c r="Z64" s="141">
        <f t="shared" si="16"/>
        <v>0</v>
      </c>
      <c r="AA64" s="107">
        <f t="shared" si="3"/>
        <v>0</v>
      </c>
      <c r="AB64" s="333">
        <v>0</v>
      </c>
      <c r="AC64" s="107"/>
      <c r="AD64" s="107">
        <f t="shared" si="17"/>
        <v>0</v>
      </c>
      <c r="AE64" s="107">
        <f t="shared" si="18"/>
        <v>0</v>
      </c>
      <c r="AF64" s="107"/>
      <c r="AG64" s="142">
        <f t="shared" si="19"/>
        <v>0</v>
      </c>
      <c r="AH64" s="210">
        <f t="shared" si="20"/>
        <v>104.60164779339546</v>
      </c>
      <c r="AI64" s="107">
        <f t="shared" si="4"/>
        <v>20.864440187203844</v>
      </c>
      <c r="AJ64" s="333">
        <v>15.607982304131774</v>
      </c>
      <c r="AK64" s="121">
        <f t="shared" si="5"/>
        <v>0</v>
      </c>
      <c r="AL64" s="418"/>
      <c r="AM64" s="107">
        <f t="shared" si="21"/>
        <v>87.392029596037176</v>
      </c>
      <c r="AN64" s="107">
        <f t="shared" si="22"/>
        <v>29.406519339232652</v>
      </c>
      <c r="AO64" s="107"/>
      <c r="AP64" s="143">
        <f t="shared" si="23"/>
        <v>257.8726192200009</v>
      </c>
      <c r="AQ64" s="34"/>
      <c r="AR64" s="29"/>
      <c r="AS64" s="124"/>
      <c r="AT64" s="138">
        <f t="shared" si="24"/>
        <v>1477.3265647276091</v>
      </c>
      <c r="AU64" s="151">
        <f t="shared" si="25"/>
        <v>2564.286373741319</v>
      </c>
      <c r="AW64" s="1">
        <v>2</v>
      </c>
      <c r="BA64" s="30">
        <v>182.45</v>
      </c>
      <c r="BB64" s="30">
        <v>39.42</v>
      </c>
      <c r="BC64" s="30">
        <v>0</v>
      </c>
      <c r="BD64" s="30">
        <v>100.88</v>
      </c>
      <c r="BF64" s="289">
        <f>T64*1.2</f>
        <v>265.58999999999997</v>
      </c>
      <c r="BI64" s="333">
        <v>0</v>
      </c>
      <c r="BL64" s="110">
        <f t="shared" si="34"/>
        <v>1.0967873225415627</v>
      </c>
      <c r="BM64" s="110">
        <f t="shared" si="34"/>
        <v>1.1127076627324948</v>
      </c>
      <c r="BN64" s="110">
        <f t="shared" si="34"/>
        <v>2.8314493742615632</v>
      </c>
      <c r="BO64" s="110">
        <f t="shared" si="34"/>
        <v>1.036891829831438</v>
      </c>
    </row>
    <row r="65" spans="1:67" x14ac:dyDescent="0.25">
      <c r="A65" s="434" t="s">
        <v>57</v>
      </c>
      <c r="B65" s="238">
        <v>1</v>
      </c>
      <c r="C65" s="236">
        <f>'побудинковий звіт'!E65</f>
        <v>3219.5</v>
      </c>
      <c r="D65" s="141">
        <f t="shared" si="6"/>
        <v>0</v>
      </c>
      <c r="E65" s="107">
        <f t="shared" si="0"/>
        <v>0</v>
      </c>
      <c r="F65" s="333">
        <v>0</v>
      </c>
      <c r="G65" s="107">
        <f t="shared" si="1"/>
        <v>0</v>
      </c>
      <c r="H65" s="735">
        <f t="shared" si="7"/>
        <v>0</v>
      </c>
      <c r="I65" s="107">
        <f t="shared" si="8"/>
        <v>0</v>
      </c>
      <c r="J65" s="29"/>
      <c r="K65" s="142">
        <f t="shared" si="9"/>
        <v>0</v>
      </c>
      <c r="L65" s="210">
        <f t="shared" si="10"/>
        <v>0</v>
      </c>
      <c r="M65" s="107">
        <f t="shared" si="2"/>
        <v>0</v>
      </c>
      <c r="N65" s="333">
        <v>0</v>
      </c>
      <c r="O65" s="107"/>
      <c r="P65" s="107">
        <f t="shared" si="11"/>
        <v>0</v>
      </c>
      <c r="Q65" s="107">
        <f t="shared" si="12"/>
        <v>0</v>
      </c>
      <c r="R65" s="107"/>
      <c r="S65" s="143">
        <f t="shared" si="13"/>
        <v>0</v>
      </c>
      <c r="T65" s="245"/>
      <c r="U65" s="107"/>
      <c r="V65" s="151">
        <f t="shared" si="14"/>
        <v>0</v>
      </c>
      <c r="W65" s="246"/>
      <c r="X65" s="107"/>
      <c r="Y65" s="46">
        <f t="shared" si="15"/>
        <v>0</v>
      </c>
      <c r="Z65" s="141">
        <f t="shared" si="16"/>
        <v>0</v>
      </c>
      <c r="AA65" s="107">
        <f t="shared" si="3"/>
        <v>0</v>
      </c>
      <c r="AB65" s="333">
        <v>0</v>
      </c>
      <c r="AC65" s="107"/>
      <c r="AD65" s="107">
        <f t="shared" si="17"/>
        <v>0</v>
      </c>
      <c r="AE65" s="107">
        <f t="shared" si="18"/>
        <v>0</v>
      </c>
      <c r="AF65" s="107"/>
      <c r="AG65" s="142">
        <f t="shared" si="19"/>
        <v>0</v>
      </c>
      <c r="AH65" s="210">
        <f t="shared" si="20"/>
        <v>0</v>
      </c>
      <c r="AI65" s="107">
        <f t="shared" si="4"/>
        <v>0</v>
      </c>
      <c r="AJ65" s="333">
        <v>0</v>
      </c>
      <c r="AK65" s="121">
        <f t="shared" si="5"/>
        <v>0</v>
      </c>
      <c r="AL65" s="107"/>
      <c r="AM65" s="107">
        <f t="shared" si="21"/>
        <v>0</v>
      </c>
      <c r="AN65" s="107">
        <f t="shared" si="22"/>
        <v>0</v>
      </c>
      <c r="AO65" s="107"/>
      <c r="AP65" s="143">
        <f t="shared" si="23"/>
        <v>0</v>
      </c>
      <c r="AQ65" s="34"/>
      <c r="AR65" s="29"/>
      <c r="AS65" s="124"/>
      <c r="AT65" s="138">
        <f t="shared" si="24"/>
        <v>0</v>
      </c>
      <c r="AU65" s="151">
        <f t="shared" si="25"/>
        <v>0</v>
      </c>
      <c r="AW65" s="1">
        <v>1</v>
      </c>
      <c r="BA65" s="30">
        <v>0</v>
      </c>
      <c r="BB65" s="30">
        <v>0</v>
      </c>
      <c r="BC65" s="30">
        <v>0</v>
      </c>
      <c r="BD65" s="30">
        <v>0</v>
      </c>
      <c r="BI65" s="333">
        <v>0</v>
      </c>
      <c r="BL65" s="110">
        <f t="shared" ref="BL65:BL74" si="36">$BA$397</f>
        <v>0.85901039294857251</v>
      </c>
      <c r="BM65" s="110">
        <f t="shared" ref="BM65:BM74" si="37">$BB$397</f>
        <v>0.92206249128051765</v>
      </c>
      <c r="BN65" s="110">
        <f t="shared" ref="BN65:BN74" si="38">$BC$397</f>
        <v>0.35749517965371247</v>
      </c>
      <c r="BO65" s="110">
        <f t="shared" ref="BO65:BO74" si="39">$BD$397</f>
        <v>0.82972030812989472</v>
      </c>
    </row>
    <row r="66" spans="1:67" x14ac:dyDescent="0.25">
      <c r="A66" s="434" t="s">
        <v>60</v>
      </c>
      <c r="B66" s="238">
        <v>1</v>
      </c>
      <c r="C66" s="236">
        <f>'побудинковий звіт'!E66</f>
        <v>1738.1</v>
      </c>
      <c r="D66" s="141">
        <f t="shared" si="6"/>
        <v>0</v>
      </c>
      <c r="E66" s="107">
        <f t="shared" si="0"/>
        <v>0</v>
      </c>
      <c r="F66" s="333">
        <v>0</v>
      </c>
      <c r="G66" s="107">
        <f t="shared" si="1"/>
        <v>0</v>
      </c>
      <c r="H66" s="735">
        <f t="shared" si="7"/>
        <v>0</v>
      </c>
      <c r="I66" s="107">
        <f t="shared" si="8"/>
        <v>0</v>
      </c>
      <c r="J66" s="29"/>
      <c r="K66" s="142">
        <f t="shared" si="9"/>
        <v>0</v>
      </c>
      <c r="L66" s="210">
        <f t="shared" si="10"/>
        <v>0</v>
      </c>
      <c r="M66" s="107">
        <f t="shared" si="2"/>
        <v>0</v>
      </c>
      <c r="N66" s="333">
        <v>0</v>
      </c>
      <c r="O66" s="107"/>
      <c r="P66" s="107">
        <f t="shared" si="11"/>
        <v>0</v>
      </c>
      <c r="Q66" s="107">
        <f t="shared" si="12"/>
        <v>0</v>
      </c>
      <c r="R66" s="107"/>
      <c r="S66" s="143">
        <f t="shared" si="13"/>
        <v>0</v>
      </c>
      <c r="T66" s="245"/>
      <c r="U66" s="107"/>
      <c r="V66" s="151">
        <f t="shared" si="14"/>
        <v>0</v>
      </c>
      <c r="W66" s="246"/>
      <c r="X66" s="107"/>
      <c r="Y66" s="46">
        <f t="shared" si="15"/>
        <v>0</v>
      </c>
      <c r="Z66" s="141">
        <f t="shared" si="16"/>
        <v>0</v>
      </c>
      <c r="AA66" s="107">
        <f t="shared" si="3"/>
        <v>0</v>
      </c>
      <c r="AB66" s="333">
        <v>0</v>
      </c>
      <c r="AC66" s="107"/>
      <c r="AD66" s="107">
        <f t="shared" si="17"/>
        <v>0</v>
      </c>
      <c r="AE66" s="107">
        <f t="shared" si="18"/>
        <v>0</v>
      </c>
      <c r="AF66" s="107"/>
      <c r="AG66" s="142">
        <f t="shared" si="19"/>
        <v>0</v>
      </c>
      <c r="AH66" s="210">
        <f t="shared" si="20"/>
        <v>0</v>
      </c>
      <c r="AI66" s="107">
        <f t="shared" si="4"/>
        <v>0</v>
      </c>
      <c r="AJ66" s="333">
        <v>0</v>
      </c>
      <c r="AK66" s="121">
        <f t="shared" si="5"/>
        <v>0</v>
      </c>
      <c r="AL66" s="107"/>
      <c r="AM66" s="107">
        <f t="shared" si="21"/>
        <v>0</v>
      </c>
      <c r="AN66" s="107">
        <f t="shared" si="22"/>
        <v>0</v>
      </c>
      <c r="AO66" s="107"/>
      <c r="AP66" s="143">
        <f t="shared" si="23"/>
        <v>0</v>
      </c>
      <c r="AQ66" s="34"/>
      <c r="AR66" s="29"/>
      <c r="AS66" s="124"/>
      <c r="AT66" s="138">
        <f t="shared" si="24"/>
        <v>0</v>
      </c>
      <c r="AU66" s="151">
        <f t="shared" si="25"/>
        <v>0</v>
      </c>
      <c r="AW66" s="1">
        <v>1</v>
      </c>
      <c r="BA66" s="30">
        <v>0</v>
      </c>
      <c r="BB66" s="30">
        <v>0</v>
      </c>
      <c r="BC66" s="30">
        <v>0</v>
      </c>
      <c r="BD66" s="30">
        <v>0</v>
      </c>
      <c r="BI66" s="333">
        <v>0</v>
      </c>
      <c r="BL66" s="110">
        <f t="shared" si="36"/>
        <v>0.85901039294857251</v>
      </c>
      <c r="BM66" s="110">
        <f t="shared" si="37"/>
        <v>0.92206249128051765</v>
      </c>
      <c r="BN66" s="110">
        <f t="shared" si="38"/>
        <v>0.35749517965371247</v>
      </c>
      <c r="BO66" s="110">
        <f t="shared" si="39"/>
        <v>0.82972030812989472</v>
      </c>
    </row>
    <row r="67" spans="1:67" x14ac:dyDescent="0.25">
      <c r="A67" s="260" t="s">
        <v>347</v>
      </c>
      <c r="B67" s="237">
        <v>9</v>
      </c>
      <c r="C67" s="236">
        <f>'побудинковий звіт'!E67</f>
        <v>2148</v>
      </c>
      <c r="D67" s="141">
        <f t="shared" si="6"/>
        <v>403.70052427011115</v>
      </c>
      <c r="E67" s="107">
        <f t="shared" si="0"/>
        <v>83.213571122482406</v>
      </c>
      <c r="F67" s="333">
        <v>171.0806818868156</v>
      </c>
      <c r="G67" s="107">
        <f t="shared" si="1"/>
        <v>0</v>
      </c>
      <c r="H67" s="735">
        <f t="shared" si="7"/>
        <v>337.28157165012527</v>
      </c>
      <c r="I67" s="107">
        <f t="shared" si="8"/>
        <v>128.10484014018439</v>
      </c>
      <c r="J67" s="29"/>
      <c r="K67" s="142">
        <f t="shared" si="9"/>
        <v>1123.3811890697189</v>
      </c>
      <c r="L67" s="210">
        <f t="shared" si="10"/>
        <v>73.36851243119078</v>
      </c>
      <c r="M67" s="107">
        <f t="shared" si="2"/>
        <v>16.142387878947432</v>
      </c>
      <c r="N67" s="333">
        <v>0</v>
      </c>
      <c r="O67" s="107"/>
      <c r="P67" s="107">
        <f t="shared" si="11"/>
        <v>61.297535412331129</v>
      </c>
      <c r="Q67" s="107">
        <f t="shared" si="12"/>
        <v>19.410981252389849</v>
      </c>
      <c r="R67" s="107"/>
      <c r="S67" s="143">
        <f t="shared" si="13"/>
        <v>170.2194169748592</v>
      </c>
      <c r="T67" s="905">
        <v>1062.2666666666667</v>
      </c>
      <c r="U67" s="107"/>
      <c r="V67" s="151">
        <f t="shared" si="14"/>
        <v>1062.2666666666667</v>
      </c>
      <c r="W67" s="907">
        <v>230.75833333333335</v>
      </c>
      <c r="X67" s="107"/>
      <c r="Y67" s="46">
        <f t="shared" si="15"/>
        <v>230.75833333333335</v>
      </c>
      <c r="Z67" s="141">
        <f t="shared" si="16"/>
        <v>27.856024398617276</v>
      </c>
      <c r="AA67" s="107">
        <f t="shared" si="3"/>
        <v>6.122974660522698</v>
      </c>
      <c r="AB67" s="333">
        <v>0</v>
      </c>
      <c r="AC67" s="107"/>
      <c r="AD67" s="107">
        <f t="shared" si="17"/>
        <v>23.273003437576843</v>
      </c>
      <c r="AE67" s="107">
        <f t="shared" si="18"/>
        <v>7.3690675312798088</v>
      </c>
      <c r="AF67" s="107"/>
      <c r="AG67" s="142">
        <f t="shared" si="19"/>
        <v>64.621070027996623</v>
      </c>
      <c r="AH67" s="210">
        <f t="shared" si="20"/>
        <v>514.99909805314439</v>
      </c>
      <c r="AI67" s="107">
        <f t="shared" si="4"/>
        <v>102.72465209168729</v>
      </c>
      <c r="AJ67" s="333">
        <v>73.261152006797559</v>
      </c>
      <c r="AK67" s="121">
        <f t="shared" si="5"/>
        <v>0</v>
      </c>
      <c r="AL67" s="107"/>
      <c r="AM67" s="107">
        <f t="shared" si="21"/>
        <v>430.26871343258682</v>
      </c>
      <c r="AN67" s="107">
        <f t="shared" si="22"/>
        <v>144.31973123395235</v>
      </c>
      <c r="AO67" s="107"/>
      <c r="AP67" s="143">
        <f t="shared" si="23"/>
        <v>1265.5733468181684</v>
      </c>
      <c r="AQ67" s="34"/>
      <c r="AR67" s="29"/>
      <c r="AS67" s="124"/>
      <c r="AT67" s="138">
        <f t="shared" si="24"/>
        <v>997.78246451959831</v>
      </c>
      <c r="AU67" s="151">
        <f t="shared" si="25"/>
        <v>4914.6024874103405</v>
      </c>
      <c r="AW67" s="1">
        <v>1</v>
      </c>
      <c r="BA67" s="30">
        <v>469.96</v>
      </c>
      <c r="BB67" s="30">
        <v>79.569999999999993</v>
      </c>
      <c r="BC67" s="30">
        <v>77.92</v>
      </c>
      <c r="BD67" s="30">
        <v>620.69000000000005</v>
      </c>
      <c r="BF67" s="289">
        <f>T67*1.2</f>
        <v>1274.72</v>
      </c>
      <c r="BI67" s="333">
        <v>0</v>
      </c>
      <c r="BL67" s="110">
        <f t="shared" si="36"/>
        <v>0.85901039294857251</v>
      </c>
      <c r="BM67" s="110">
        <f t="shared" si="37"/>
        <v>0.92206249128051765</v>
      </c>
      <c r="BN67" s="110">
        <f t="shared" si="38"/>
        <v>0.35749517965371247</v>
      </c>
      <c r="BO67" s="110">
        <f t="shared" si="39"/>
        <v>0.82972030812989472</v>
      </c>
    </row>
    <row r="68" spans="1:67" x14ac:dyDescent="0.25">
      <c r="A68" s="434" t="s">
        <v>62</v>
      </c>
      <c r="B68" s="238">
        <v>1</v>
      </c>
      <c r="C68" s="236">
        <f>'побудинковий звіт'!E68</f>
        <v>1469.3</v>
      </c>
      <c r="D68" s="141">
        <f t="shared" si="6"/>
        <v>0</v>
      </c>
      <c r="E68" s="107">
        <f t="shared" si="0"/>
        <v>0</v>
      </c>
      <c r="F68" s="333">
        <v>0</v>
      </c>
      <c r="G68" s="107">
        <f t="shared" si="1"/>
        <v>0</v>
      </c>
      <c r="H68" s="735">
        <f t="shared" si="7"/>
        <v>0</v>
      </c>
      <c r="I68" s="107">
        <f t="shared" si="8"/>
        <v>0</v>
      </c>
      <c r="J68" s="29"/>
      <c r="K68" s="142">
        <f t="shared" si="9"/>
        <v>0</v>
      </c>
      <c r="L68" s="210">
        <f t="shared" si="10"/>
        <v>0</v>
      </c>
      <c r="M68" s="107">
        <f t="shared" si="2"/>
        <v>0</v>
      </c>
      <c r="N68" s="333">
        <v>0</v>
      </c>
      <c r="O68" s="107"/>
      <c r="P68" s="107">
        <f t="shared" si="11"/>
        <v>0</v>
      </c>
      <c r="Q68" s="107">
        <f t="shared" si="12"/>
        <v>0</v>
      </c>
      <c r="R68" s="107"/>
      <c r="S68" s="143">
        <f t="shared" si="13"/>
        <v>0</v>
      </c>
      <c r="T68" s="245"/>
      <c r="U68" s="107"/>
      <c r="V68" s="151">
        <f t="shared" si="14"/>
        <v>0</v>
      </c>
      <c r="W68" s="246"/>
      <c r="X68" s="107"/>
      <c r="Y68" s="46">
        <f t="shared" si="15"/>
        <v>0</v>
      </c>
      <c r="Z68" s="141">
        <f t="shared" si="16"/>
        <v>0</v>
      </c>
      <c r="AA68" s="107">
        <f t="shared" si="3"/>
        <v>0</v>
      </c>
      <c r="AB68" s="333">
        <v>0</v>
      </c>
      <c r="AC68" s="107"/>
      <c r="AD68" s="107">
        <f t="shared" si="17"/>
        <v>0</v>
      </c>
      <c r="AE68" s="107">
        <f t="shared" si="18"/>
        <v>0</v>
      </c>
      <c r="AF68" s="107"/>
      <c r="AG68" s="142">
        <f t="shared" si="19"/>
        <v>0</v>
      </c>
      <c r="AH68" s="210">
        <f t="shared" si="20"/>
        <v>0</v>
      </c>
      <c r="AI68" s="107">
        <f t="shared" si="4"/>
        <v>0</v>
      </c>
      <c r="AJ68" s="333">
        <v>0</v>
      </c>
      <c r="AK68" s="121">
        <f t="shared" si="5"/>
        <v>0</v>
      </c>
      <c r="AL68" s="107"/>
      <c r="AM68" s="107">
        <f t="shared" si="21"/>
        <v>0</v>
      </c>
      <c r="AN68" s="107">
        <f t="shared" si="22"/>
        <v>0</v>
      </c>
      <c r="AO68" s="107"/>
      <c r="AP68" s="143">
        <f t="shared" si="23"/>
        <v>0</v>
      </c>
      <c r="AQ68" s="34"/>
      <c r="AR68" s="29"/>
      <c r="AS68" s="124"/>
      <c r="AT68" s="138">
        <f t="shared" si="24"/>
        <v>0</v>
      </c>
      <c r="AU68" s="151">
        <f t="shared" si="25"/>
        <v>0</v>
      </c>
      <c r="AW68" s="1">
        <v>1</v>
      </c>
      <c r="BA68" s="30">
        <v>0</v>
      </c>
      <c r="BB68" s="30">
        <v>0</v>
      </c>
      <c r="BC68" s="30">
        <v>0</v>
      </c>
      <c r="BD68" s="30">
        <v>0</v>
      </c>
      <c r="BI68" s="333">
        <v>0</v>
      </c>
      <c r="BL68" s="110">
        <f t="shared" si="36"/>
        <v>0.85901039294857251</v>
      </c>
      <c r="BM68" s="110">
        <f t="shared" si="37"/>
        <v>0.92206249128051765</v>
      </c>
      <c r="BN68" s="110">
        <f t="shared" si="38"/>
        <v>0.35749517965371247</v>
      </c>
      <c r="BO68" s="110">
        <f t="shared" si="39"/>
        <v>0.82972030812989472</v>
      </c>
    </row>
    <row r="69" spans="1:67" x14ac:dyDescent="0.25">
      <c r="A69" s="434" t="s">
        <v>64</v>
      </c>
      <c r="B69" s="238">
        <v>1</v>
      </c>
      <c r="C69" s="236">
        <f>'побудинковий звіт'!E69</f>
        <v>253.5</v>
      </c>
      <c r="D69" s="141">
        <f t="shared" si="6"/>
        <v>0</v>
      </c>
      <c r="E69" s="107">
        <f t="shared" si="0"/>
        <v>0</v>
      </c>
      <c r="F69" s="333">
        <v>0</v>
      </c>
      <c r="G69" s="107">
        <f t="shared" si="1"/>
        <v>0</v>
      </c>
      <c r="H69" s="735">
        <f t="shared" si="7"/>
        <v>0</v>
      </c>
      <c r="I69" s="107">
        <f t="shared" si="8"/>
        <v>0</v>
      </c>
      <c r="J69" s="29"/>
      <c r="K69" s="142">
        <f t="shared" si="9"/>
        <v>0</v>
      </c>
      <c r="L69" s="210">
        <f t="shared" si="10"/>
        <v>0</v>
      </c>
      <c r="M69" s="107">
        <f t="shared" si="2"/>
        <v>0</v>
      </c>
      <c r="N69" s="333">
        <v>0</v>
      </c>
      <c r="O69" s="107"/>
      <c r="P69" s="107">
        <f t="shared" si="11"/>
        <v>0</v>
      </c>
      <c r="Q69" s="107">
        <f t="shared" si="12"/>
        <v>0</v>
      </c>
      <c r="R69" s="107"/>
      <c r="S69" s="143">
        <f t="shared" si="13"/>
        <v>0</v>
      </c>
      <c r="T69" s="245"/>
      <c r="U69" s="107"/>
      <c r="V69" s="151">
        <f t="shared" si="14"/>
        <v>0</v>
      </c>
      <c r="W69" s="246"/>
      <c r="X69" s="107"/>
      <c r="Y69" s="46">
        <f t="shared" si="15"/>
        <v>0</v>
      </c>
      <c r="Z69" s="141">
        <f t="shared" si="16"/>
        <v>0</v>
      </c>
      <c r="AA69" s="107">
        <f t="shared" si="3"/>
        <v>0</v>
      </c>
      <c r="AB69" s="333">
        <v>0</v>
      </c>
      <c r="AC69" s="107"/>
      <c r="AD69" s="107">
        <f t="shared" si="17"/>
        <v>0</v>
      </c>
      <c r="AE69" s="107">
        <f t="shared" si="18"/>
        <v>0</v>
      </c>
      <c r="AF69" s="107"/>
      <c r="AG69" s="142">
        <f t="shared" si="19"/>
        <v>0</v>
      </c>
      <c r="AH69" s="210">
        <f t="shared" si="20"/>
        <v>0</v>
      </c>
      <c r="AI69" s="107">
        <f t="shared" si="4"/>
        <v>0</v>
      </c>
      <c r="AJ69" s="333">
        <v>0</v>
      </c>
      <c r="AK69" s="121">
        <f t="shared" si="5"/>
        <v>0</v>
      </c>
      <c r="AL69" s="107"/>
      <c r="AM69" s="107">
        <f t="shared" si="21"/>
        <v>0</v>
      </c>
      <c r="AN69" s="107">
        <f t="shared" si="22"/>
        <v>0</v>
      </c>
      <c r="AO69" s="107"/>
      <c r="AP69" s="143">
        <f t="shared" si="23"/>
        <v>0</v>
      </c>
      <c r="AQ69" s="34"/>
      <c r="AR69" s="29"/>
      <c r="AS69" s="124"/>
      <c r="AT69" s="138">
        <f t="shared" si="24"/>
        <v>0</v>
      </c>
      <c r="AU69" s="151">
        <f t="shared" si="25"/>
        <v>0</v>
      </c>
      <c r="AW69" s="1">
        <v>1</v>
      </c>
      <c r="BA69" s="30">
        <v>0</v>
      </c>
      <c r="BB69" s="30">
        <v>0</v>
      </c>
      <c r="BC69" s="30">
        <v>0</v>
      </c>
      <c r="BD69" s="30">
        <v>0</v>
      </c>
      <c r="BI69" s="333">
        <v>0</v>
      </c>
      <c r="BL69" s="110">
        <f t="shared" si="36"/>
        <v>0.85901039294857251</v>
      </c>
      <c r="BM69" s="110">
        <f t="shared" si="37"/>
        <v>0.92206249128051765</v>
      </c>
      <c r="BN69" s="110">
        <f t="shared" si="38"/>
        <v>0.35749517965371247</v>
      </c>
      <c r="BO69" s="110">
        <f t="shared" si="39"/>
        <v>0.82972030812989472</v>
      </c>
    </row>
    <row r="70" spans="1:67" x14ac:dyDescent="0.25">
      <c r="A70" s="260" t="s">
        <v>348</v>
      </c>
      <c r="B70" s="237">
        <v>9</v>
      </c>
      <c r="C70" s="236">
        <f>'побудинковий звіт'!E70</f>
        <v>200.6</v>
      </c>
      <c r="D70" s="141">
        <f t="shared" si="6"/>
        <v>550.90913530970806</v>
      </c>
      <c r="E70" s="107">
        <f t="shared" si="0"/>
        <v>113.5572379946839</v>
      </c>
      <c r="F70" s="333">
        <v>154.31561382180845</v>
      </c>
      <c r="G70" s="107">
        <f t="shared" si="1"/>
        <v>0</v>
      </c>
      <c r="H70" s="735">
        <f t="shared" si="7"/>
        <v>460.27064079150324</v>
      </c>
      <c r="I70" s="107">
        <f t="shared" si="8"/>
        <v>164.6304894178501</v>
      </c>
      <c r="J70" s="29"/>
      <c r="K70" s="142">
        <f t="shared" si="9"/>
        <v>1443.6831173355538</v>
      </c>
      <c r="L70" s="210">
        <f t="shared" si="10"/>
        <v>98.596142192625763</v>
      </c>
      <c r="M70" s="107">
        <f t="shared" si="2"/>
        <v>21.692918636368596</v>
      </c>
      <c r="N70" s="333">
        <v>0</v>
      </c>
      <c r="O70" s="107"/>
      <c r="P70" s="107">
        <f t="shared" si="11"/>
        <v>82.374581646858985</v>
      </c>
      <c r="Q70" s="107">
        <f t="shared" si="12"/>
        <v>26.085411905467478</v>
      </c>
      <c r="R70" s="107"/>
      <c r="S70" s="143">
        <f t="shared" si="13"/>
        <v>228.74905438132083</v>
      </c>
      <c r="T70" s="905">
        <v>950.47500000000002</v>
      </c>
      <c r="U70" s="107"/>
      <c r="V70" s="151">
        <f t="shared" si="14"/>
        <v>950.47500000000002</v>
      </c>
      <c r="W70" s="907">
        <v>205.59166666666667</v>
      </c>
      <c r="X70" s="107"/>
      <c r="Y70" s="46">
        <f t="shared" si="15"/>
        <v>205.59166666666667</v>
      </c>
      <c r="Z70" s="141">
        <f t="shared" si="16"/>
        <v>41.784036597925912</v>
      </c>
      <c r="AA70" s="107">
        <f t="shared" si="3"/>
        <v>9.1844619907840475</v>
      </c>
      <c r="AB70" s="333">
        <v>0</v>
      </c>
      <c r="AC70" s="107"/>
      <c r="AD70" s="107">
        <f t="shared" si="17"/>
        <v>34.909505156365263</v>
      </c>
      <c r="AE70" s="107">
        <f t="shared" si="18"/>
        <v>11.053601296919716</v>
      </c>
      <c r="AF70" s="107"/>
      <c r="AG70" s="142">
        <f t="shared" si="19"/>
        <v>96.931605041994942</v>
      </c>
      <c r="AH70" s="210">
        <f t="shared" si="20"/>
        <v>400.77980043598302</v>
      </c>
      <c r="AI70" s="107">
        <f t="shared" si="4"/>
        <v>79.94182071540979</v>
      </c>
      <c r="AJ70" s="333">
        <v>66.0819182887126</v>
      </c>
      <c r="AK70" s="121">
        <f t="shared" si="5"/>
        <v>0</v>
      </c>
      <c r="AL70" s="107"/>
      <c r="AM70" s="107">
        <f t="shared" si="21"/>
        <v>334.84138080095119</v>
      </c>
      <c r="AN70" s="107">
        <f t="shared" si="22"/>
        <v>113.47901684729227</v>
      </c>
      <c r="AO70" s="107"/>
      <c r="AP70" s="143">
        <f t="shared" si="23"/>
        <v>995.12393708834884</v>
      </c>
      <c r="AQ70" s="34"/>
      <c r="AR70" s="29"/>
      <c r="AS70" s="124"/>
      <c r="AT70" s="138">
        <f t="shared" si="24"/>
        <v>93.182105392286502</v>
      </c>
      <c r="AU70" s="151">
        <f t="shared" si="25"/>
        <v>4013.7364859061713</v>
      </c>
      <c r="AW70" s="1">
        <v>1</v>
      </c>
      <c r="BA70" s="30">
        <v>641.33000000000004</v>
      </c>
      <c r="BB70" s="30">
        <v>106.93</v>
      </c>
      <c r="BC70" s="30">
        <v>116.88</v>
      </c>
      <c r="BD70" s="30">
        <v>483.03</v>
      </c>
      <c r="BF70" s="289">
        <f>T70*1.2</f>
        <v>1140.57</v>
      </c>
      <c r="BI70" s="333">
        <v>8.51</v>
      </c>
      <c r="BL70" s="110">
        <f t="shared" si="36"/>
        <v>0.85901039294857251</v>
      </c>
      <c r="BM70" s="110">
        <f t="shared" si="37"/>
        <v>0.92206249128051765</v>
      </c>
      <c r="BN70" s="110">
        <f t="shared" si="38"/>
        <v>0.35749517965371247</v>
      </c>
      <c r="BO70" s="110">
        <f t="shared" si="39"/>
        <v>0.82972030812989472</v>
      </c>
    </row>
    <row r="71" spans="1:67" x14ac:dyDescent="0.25">
      <c r="A71" s="260" t="s">
        <v>253</v>
      </c>
      <c r="B71" s="237">
        <v>5</v>
      </c>
      <c r="C71" s="236">
        <f>'побудинковий звіт'!E71</f>
        <v>83.8</v>
      </c>
      <c r="D71" s="141">
        <f t="shared" si="6"/>
        <v>231.12533632674291</v>
      </c>
      <c r="E71" s="107">
        <f t="shared" si="0"/>
        <v>47.641168282864747</v>
      </c>
      <c r="F71" s="333">
        <v>50.469844541511321</v>
      </c>
      <c r="G71" s="107">
        <f t="shared" si="1"/>
        <v>0</v>
      </c>
      <c r="H71" s="735">
        <f t="shared" si="7"/>
        <v>193.09936945310815</v>
      </c>
      <c r="I71" s="107">
        <f t="shared" si="8"/>
        <v>67.231310985407887</v>
      </c>
      <c r="J71" s="29"/>
      <c r="K71" s="142">
        <f t="shared" si="9"/>
        <v>589.5670295896349</v>
      </c>
      <c r="L71" s="210">
        <f t="shared" si="10"/>
        <v>53.51650699392124</v>
      </c>
      <c r="M71" s="107">
        <f t="shared" si="2"/>
        <v>11.774590831897813</v>
      </c>
      <c r="N71" s="333">
        <v>0</v>
      </c>
      <c r="O71" s="107"/>
      <c r="P71" s="107">
        <f t="shared" si="11"/>
        <v>44.711687260672349</v>
      </c>
      <c r="Q71" s="107">
        <f t="shared" si="12"/>
        <v>14.158770288911736</v>
      </c>
      <c r="R71" s="107"/>
      <c r="S71" s="143">
        <f t="shared" si="13"/>
        <v>124.16155537540314</v>
      </c>
      <c r="T71" s="905">
        <v>319.28333333333336</v>
      </c>
      <c r="U71" s="107"/>
      <c r="V71" s="151">
        <f t="shared" si="14"/>
        <v>319.28333333333336</v>
      </c>
      <c r="W71" s="907">
        <v>66.633333333333326</v>
      </c>
      <c r="X71" s="107"/>
      <c r="Y71" s="46">
        <f t="shared" si="15"/>
        <v>66.633333333333326</v>
      </c>
      <c r="Z71" s="141">
        <f t="shared" si="16"/>
        <v>6.4277633301737502</v>
      </c>
      <c r="AA71" s="107">
        <f t="shared" si="3"/>
        <v>1.4128732597048013</v>
      </c>
      <c r="AB71" s="333">
        <v>0</v>
      </c>
      <c r="AC71" s="107"/>
      <c r="AD71" s="107">
        <f t="shared" si="17"/>
        <v>5.3702335960938354</v>
      </c>
      <c r="AE71" s="107">
        <f t="shared" si="18"/>
        <v>1.7004085499539394</v>
      </c>
      <c r="AF71" s="107"/>
      <c r="AG71" s="142">
        <f t="shared" si="19"/>
        <v>14.911278735926325</v>
      </c>
      <c r="AH71" s="210">
        <f t="shared" si="20"/>
        <v>131.00453945062907</v>
      </c>
      <c r="AI71" s="107">
        <f t="shared" si="4"/>
        <v>26.130911274156993</v>
      </c>
      <c r="AJ71" s="333">
        <v>21.612486646278974</v>
      </c>
      <c r="AK71" s="121">
        <f t="shared" si="5"/>
        <v>0</v>
      </c>
      <c r="AL71" s="107"/>
      <c r="AM71" s="107">
        <f t="shared" si="21"/>
        <v>109.45097740236048</v>
      </c>
      <c r="AN71" s="107">
        <f t="shared" si="22"/>
        <v>37.094899266252149</v>
      </c>
      <c r="AO71" s="107"/>
      <c r="AP71" s="143">
        <f t="shared" si="23"/>
        <v>325.29381403967761</v>
      </c>
      <c r="AQ71" s="34"/>
      <c r="AR71" s="29"/>
      <c r="AS71" s="124"/>
      <c r="AT71" s="138">
        <f t="shared" si="24"/>
        <v>38.926522591593262</v>
      </c>
      <c r="AU71" s="151">
        <f t="shared" si="25"/>
        <v>1478.7768669989023</v>
      </c>
      <c r="AW71" s="1">
        <v>1</v>
      </c>
      <c r="BA71" s="30">
        <v>269.06</v>
      </c>
      <c r="BB71" s="30">
        <v>58.04</v>
      </c>
      <c r="BC71" s="30">
        <v>17.98</v>
      </c>
      <c r="BD71" s="30">
        <v>157.88999999999999</v>
      </c>
      <c r="BF71" s="289">
        <f>T71*1.2</f>
        <v>383.14000000000004</v>
      </c>
      <c r="BG71" s="1">
        <v>306.51</v>
      </c>
      <c r="BI71" s="333">
        <v>0</v>
      </c>
      <c r="BL71" s="110">
        <f t="shared" si="36"/>
        <v>0.85901039294857251</v>
      </c>
      <c r="BM71" s="110">
        <f t="shared" si="37"/>
        <v>0.92206249128051765</v>
      </c>
      <c r="BN71" s="110">
        <f t="shared" si="38"/>
        <v>0.35749517965371247</v>
      </c>
      <c r="BO71" s="110">
        <f t="shared" si="39"/>
        <v>0.82972030812989472</v>
      </c>
    </row>
    <row r="72" spans="1:67" x14ac:dyDescent="0.25">
      <c r="A72" s="260" t="s">
        <v>349</v>
      </c>
      <c r="B72" s="237">
        <v>9</v>
      </c>
      <c r="C72" s="236">
        <f>'побудинковий звіт'!E72</f>
        <v>1531.9</v>
      </c>
      <c r="D72" s="141">
        <f t="shared" si="6"/>
        <v>898.58500175171321</v>
      </c>
      <c r="E72" s="107">
        <f t="shared" si="0"/>
        <v>185.22261542279168</v>
      </c>
      <c r="F72" s="333">
        <v>230.53640031216094</v>
      </c>
      <c r="G72" s="107">
        <f t="shared" si="1"/>
        <v>0</v>
      </c>
      <c r="H72" s="735">
        <f t="shared" si="7"/>
        <v>750.74502863232306</v>
      </c>
      <c r="I72" s="107">
        <f t="shared" si="8"/>
        <v>265.80346495006387</v>
      </c>
      <c r="J72" s="29"/>
      <c r="K72" s="142">
        <f t="shared" si="9"/>
        <v>2330.8925110690529</v>
      </c>
      <c r="L72" s="210">
        <f t="shared" si="10"/>
        <v>166.1648815536621</v>
      </c>
      <c r="M72" s="107">
        <f t="shared" si="2"/>
        <v>36.559252477882588</v>
      </c>
      <c r="N72" s="333">
        <v>0</v>
      </c>
      <c r="O72" s="107"/>
      <c r="P72" s="107">
        <f t="shared" si="11"/>
        <v>138.82655343290429</v>
      </c>
      <c r="Q72" s="107">
        <f t="shared" si="12"/>
        <v>43.961957163418063</v>
      </c>
      <c r="R72" s="107"/>
      <c r="S72" s="143">
        <f t="shared" si="13"/>
        <v>385.51264462786702</v>
      </c>
      <c r="T72" s="905">
        <v>1439.1166666666668</v>
      </c>
      <c r="U72" s="107"/>
      <c r="V72" s="151">
        <f t="shared" si="14"/>
        <v>1439.1166666666668</v>
      </c>
      <c r="W72" s="907">
        <v>312.35000000000002</v>
      </c>
      <c r="X72" s="107"/>
      <c r="Y72" s="46">
        <f t="shared" si="15"/>
        <v>312.35000000000002</v>
      </c>
      <c r="Z72" s="141">
        <f t="shared" si="16"/>
        <v>69.640060996543198</v>
      </c>
      <c r="AA72" s="107">
        <f t="shared" si="3"/>
        <v>15.307436651306746</v>
      </c>
      <c r="AB72" s="333">
        <v>0</v>
      </c>
      <c r="AC72" s="107"/>
      <c r="AD72" s="107">
        <f t="shared" si="17"/>
        <v>58.182508593942117</v>
      </c>
      <c r="AE72" s="107">
        <f t="shared" si="18"/>
        <v>18.422668828199523</v>
      </c>
      <c r="AF72" s="107"/>
      <c r="AG72" s="142">
        <f t="shared" si="19"/>
        <v>161.55267506999158</v>
      </c>
      <c r="AH72" s="210">
        <f t="shared" si="20"/>
        <v>763.11865899630811</v>
      </c>
      <c r="AI72" s="107">
        <f t="shared" si="4"/>
        <v>152.21599231224533</v>
      </c>
      <c r="AJ72" s="333">
        <v>98.7216211678587</v>
      </c>
      <c r="AK72" s="121">
        <f t="shared" si="5"/>
        <v>0</v>
      </c>
      <c r="AL72" s="107"/>
      <c r="AM72" s="107">
        <f t="shared" si="21"/>
        <v>637.56632748288689</v>
      </c>
      <c r="AN72" s="107">
        <f t="shared" si="22"/>
        <v>212.58502662829949</v>
      </c>
      <c r="AO72" s="107"/>
      <c r="AP72" s="143">
        <f t="shared" si="23"/>
        <v>1864.2076265875985</v>
      </c>
      <c r="AQ72" s="34"/>
      <c r="AR72" s="29"/>
      <c r="AS72" s="124"/>
      <c r="AT72" s="138">
        <f t="shared" si="24"/>
        <v>711.59355558546213</v>
      </c>
      <c r="AU72" s="151">
        <f t="shared" si="25"/>
        <v>7205.2256796066395</v>
      </c>
      <c r="AW72" s="1">
        <v>1</v>
      </c>
      <c r="BA72" s="30">
        <v>1046.07</v>
      </c>
      <c r="BB72" s="30">
        <v>180.21</v>
      </c>
      <c r="BC72" s="30">
        <v>194.8</v>
      </c>
      <c r="BD72" s="30">
        <v>919.73</v>
      </c>
      <c r="BF72" s="289">
        <f>T72*1.2</f>
        <v>1726.94</v>
      </c>
      <c r="BI72" s="333">
        <v>0</v>
      </c>
      <c r="BL72" s="110">
        <f t="shared" si="36"/>
        <v>0.85901039294857251</v>
      </c>
      <c r="BM72" s="110">
        <f t="shared" si="37"/>
        <v>0.92206249128051765</v>
      </c>
      <c r="BN72" s="110">
        <f t="shared" si="38"/>
        <v>0.35749517965371247</v>
      </c>
      <c r="BO72" s="110">
        <f t="shared" si="39"/>
        <v>0.82972030812989472</v>
      </c>
    </row>
    <row r="73" spans="1:67" x14ac:dyDescent="0.25">
      <c r="A73" s="260" t="s">
        <v>254</v>
      </c>
      <c r="B73" s="237">
        <v>5</v>
      </c>
      <c r="C73" s="236">
        <f>'побудинковий звіт'!E73</f>
        <v>783.2</v>
      </c>
      <c r="D73" s="141">
        <f t="shared" si="6"/>
        <v>231.14251653460187</v>
      </c>
      <c r="E73" s="107">
        <f t="shared" ref="E73:E136" si="40">D73*$BA$372</f>
        <v>47.64470958727884</v>
      </c>
      <c r="F73" s="333">
        <v>50.274539096016859</v>
      </c>
      <c r="G73" s="107">
        <f t="shared" ref="G73:G136" si="41">$G$369/$C$368*C73</f>
        <v>0</v>
      </c>
      <c r="H73" s="735">
        <f t="shared" si="7"/>
        <v>193.11372308199782</v>
      </c>
      <c r="I73" s="107">
        <f t="shared" si="8"/>
        <v>67.21068728873901</v>
      </c>
      <c r="J73" s="29"/>
      <c r="K73" s="142">
        <f t="shared" si="9"/>
        <v>589.38617558863439</v>
      </c>
      <c r="L73" s="210">
        <f t="shared" si="10"/>
        <v>53.51650699392124</v>
      </c>
      <c r="M73" s="107">
        <f t="shared" ref="M73:M136" si="42">L73*$BB$372</f>
        <v>11.774590831897813</v>
      </c>
      <c r="N73" s="333">
        <v>0</v>
      </c>
      <c r="O73" s="107"/>
      <c r="P73" s="107">
        <f t="shared" si="11"/>
        <v>44.711687260672349</v>
      </c>
      <c r="Q73" s="107">
        <f t="shared" si="12"/>
        <v>14.158770288911736</v>
      </c>
      <c r="R73" s="107"/>
      <c r="S73" s="143">
        <f t="shared" si="13"/>
        <v>124.16155537540314</v>
      </c>
      <c r="T73" s="905">
        <v>319.98333333333335</v>
      </c>
      <c r="U73" s="107"/>
      <c r="V73" s="151">
        <f t="shared" si="14"/>
        <v>319.98333333333335</v>
      </c>
      <c r="W73" s="907">
        <v>67.791666666666671</v>
      </c>
      <c r="X73" s="107"/>
      <c r="Y73" s="46">
        <f t="shared" si="15"/>
        <v>67.791666666666671</v>
      </c>
      <c r="Z73" s="141">
        <f t="shared" si="16"/>
        <v>6.4277633301737502</v>
      </c>
      <c r="AA73" s="107">
        <f t="shared" ref="AA73:AA136" si="43">Z73*$BC$372</f>
        <v>1.4128732597048013</v>
      </c>
      <c r="AB73" s="333">
        <v>0</v>
      </c>
      <c r="AC73" s="107"/>
      <c r="AD73" s="107">
        <f t="shared" si="17"/>
        <v>5.3702335960938354</v>
      </c>
      <c r="AE73" s="107">
        <f t="shared" si="18"/>
        <v>1.7004085499539394</v>
      </c>
      <c r="AF73" s="107"/>
      <c r="AG73" s="142">
        <f t="shared" si="19"/>
        <v>14.911278735926325</v>
      </c>
      <c r="AH73" s="210">
        <f t="shared" si="20"/>
        <v>131.00453945062907</v>
      </c>
      <c r="AI73" s="107">
        <f t="shared" ref="AI73:AI136" si="44">AH73*$BD$372</f>
        <v>26.130911274156993</v>
      </c>
      <c r="AJ73" s="333">
        <v>77.928851826892469</v>
      </c>
      <c r="AK73" s="121">
        <f t="shared" ref="AK73:AK136" si="45">$AK$369/$C$368*C73</f>
        <v>0</v>
      </c>
      <c r="AL73" s="107"/>
      <c r="AM73" s="107">
        <f t="shared" si="21"/>
        <v>109.45097740236048</v>
      </c>
      <c r="AN73" s="107">
        <f t="shared" si="22"/>
        <v>44.343538266363183</v>
      </c>
      <c r="AO73" s="107"/>
      <c r="AP73" s="143">
        <f t="shared" si="23"/>
        <v>388.85881822040216</v>
      </c>
      <c r="AQ73" s="34"/>
      <c r="AR73" s="29"/>
      <c r="AS73" s="124"/>
      <c r="AT73" s="138">
        <f t="shared" si="24"/>
        <v>363.80969562930608</v>
      </c>
      <c r="AU73" s="151">
        <f t="shared" si="25"/>
        <v>1868.9025235496722</v>
      </c>
      <c r="AW73" s="1">
        <v>1</v>
      </c>
      <c r="BA73" s="30">
        <v>269.08</v>
      </c>
      <c r="BB73" s="30">
        <v>58.04</v>
      </c>
      <c r="BC73" s="30">
        <v>17.98</v>
      </c>
      <c r="BD73" s="30">
        <v>157.88999999999999</v>
      </c>
      <c r="BF73" s="289">
        <f>T73*1.2</f>
        <v>383.98</v>
      </c>
      <c r="BI73" s="333">
        <v>0</v>
      </c>
      <c r="BL73" s="110">
        <f t="shared" si="36"/>
        <v>0.85901039294857251</v>
      </c>
      <c r="BM73" s="110">
        <f t="shared" si="37"/>
        <v>0.92206249128051765</v>
      </c>
      <c r="BN73" s="110">
        <f t="shared" si="38"/>
        <v>0.35749517965371247</v>
      </c>
      <c r="BO73" s="110">
        <f t="shared" si="39"/>
        <v>0.82972030812989472</v>
      </c>
    </row>
    <row r="74" spans="1:67" x14ac:dyDescent="0.25">
      <c r="A74" s="260" t="s">
        <v>350</v>
      </c>
      <c r="B74" s="237">
        <v>9</v>
      </c>
      <c r="C74" s="236">
        <f>'побудинковий звіт'!E74</f>
        <v>2730.7</v>
      </c>
      <c r="D74" s="141">
        <f t="shared" ref="D74:D137" si="46">BA74*BL74</f>
        <v>901.91796207635377</v>
      </c>
      <c r="E74" s="107">
        <f t="shared" si="40"/>
        <v>185.90962847912675</v>
      </c>
      <c r="F74" s="333">
        <v>232.09134771275222</v>
      </c>
      <c r="G74" s="107">
        <f t="shared" si="41"/>
        <v>0</v>
      </c>
      <c r="H74" s="735">
        <f t="shared" ref="H74:H137" si="47">D74*$B$4</f>
        <v>753.52963263692448</v>
      </c>
      <c r="I74" s="107">
        <f t="shared" ref="I74:I137" si="48">(D74+E74+F74+G74+H74)*$B$5</f>
        <v>266.8794430816971</v>
      </c>
      <c r="J74" s="29"/>
      <c r="K74" s="142">
        <f t="shared" ref="K74:K137" si="49">D74+E74+F74+G74+H74+I74-J74</f>
        <v>2340.3280139868543</v>
      </c>
      <c r="L74" s="210">
        <f t="shared" ref="L74:L137" si="50">BB74*BM74</f>
        <v>166.1648815536621</v>
      </c>
      <c r="M74" s="107">
        <f t="shared" si="42"/>
        <v>36.559252477882588</v>
      </c>
      <c r="N74" s="333">
        <v>0</v>
      </c>
      <c r="O74" s="107"/>
      <c r="P74" s="107">
        <f t="shared" ref="P74:P137" si="51">L74*$B$4</f>
        <v>138.82655343290429</v>
      </c>
      <c r="Q74" s="107">
        <f t="shared" ref="Q74:Q137" si="52">(L74+M74+N74+O74+P74)*$B$5</f>
        <v>43.961957163418063</v>
      </c>
      <c r="R74" s="107"/>
      <c r="S74" s="143">
        <f t="shared" ref="S74:S137" si="53">L74+M74+N74+O74+P74+Q74-R74</f>
        <v>385.51264462786702</v>
      </c>
      <c r="T74" s="905">
        <v>1384.3833333333334</v>
      </c>
      <c r="U74" s="107"/>
      <c r="V74" s="151">
        <f t="shared" ref="V74:V137" si="54">T74+U74</f>
        <v>1384.3833333333334</v>
      </c>
      <c r="W74" s="907">
        <v>313.17500000000001</v>
      </c>
      <c r="X74" s="107"/>
      <c r="Y74" s="46">
        <f t="shared" ref="Y74:Y137" si="55">W74+X74</f>
        <v>313.17500000000001</v>
      </c>
      <c r="Z74" s="141">
        <f t="shared" ref="Z74:Z137" si="56">BC74*BN74</f>
        <v>69.640060996543198</v>
      </c>
      <c r="AA74" s="107">
        <f t="shared" si="43"/>
        <v>15.307436651306746</v>
      </c>
      <c r="AB74" s="333">
        <v>0</v>
      </c>
      <c r="AC74" s="107"/>
      <c r="AD74" s="107">
        <f t="shared" ref="AD74:AD137" si="57">Z74*$B$4</f>
        <v>58.182508593942117</v>
      </c>
      <c r="AE74" s="107">
        <f t="shared" ref="AE74:AE137" si="58">(Z74+AA74+AB74+AC74+AD74)*$B$5</f>
        <v>18.422668828199523</v>
      </c>
      <c r="AF74" s="107"/>
      <c r="AG74" s="142">
        <f t="shared" ref="AG74:AG137" si="59">Z74+AA74+AB74+AC74+AD74+AE74-AF74</f>
        <v>161.55267506999158</v>
      </c>
      <c r="AH74" s="210">
        <f t="shared" ref="AH74:AH137" si="60">BD74*BO74</f>
        <v>763.11865899630811</v>
      </c>
      <c r="AI74" s="107">
        <f t="shared" si="44"/>
        <v>152.21599231224533</v>
      </c>
      <c r="AJ74" s="333">
        <v>192.3874896728291</v>
      </c>
      <c r="AK74" s="121">
        <f t="shared" si="45"/>
        <v>0</v>
      </c>
      <c r="AL74" s="107"/>
      <c r="AM74" s="107">
        <f t="shared" ref="AM74:AM137" si="61">AH74*$B$4</f>
        <v>637.56632748288689</v>
      </c>
      <c r="AN74" s="107">
        <f t="shared" ref="AN74:AN137" si="62">(AH74+AI74+AJ74+AK74+AL74+AM74)*$B$5</f>
        <v>224.64102607440938</v>
      </c>
      <c r="AO74" s="107"/>
      <c r="AP74" s="143">
        <f t="shared" ref="AP74:AP137" si="63">AH74+AI74+AJ74+AK74+AL74+AM74+AN74-AO74</f>
        <v>1969.9294945386789</v>
      </c>
      <c r="AQ74" s="34"/>
      <c r="AR74" s="29"/>
      <c r="AS74" s="124"/>
      <c r="AT74" s="138">
        <f t="shared" ref="AT74:AT137" si="64">IF(B74&gt;1,C74*$AT$5,0)</f>
        <v>1268.456506454221</v>
      </c>
      <c r="AU74" s="151">
        <f t="shared" ref="AU74:AU137" si="65">K74+S74+V74+Y74+AG74+AP74+AS74+AT74</f>
        <v>7823.3376680109468</v>
      </c>
      <c r="AW74" s="1">
        <v>1</v>
      </c>
      <c r="BA74" s="30">
        <v>1049.95</v>
      </c>
      <c r="BB74" s="30">
        <v>180.21</v>
      </c>
      <c r="BC74" s="30">
        <v>194.8</v>
      </c>
      <c r="BD74" s="30">
        <v>919.73</v>
      </c>
      <c r="BF74" s="289">
        <f>T74*1.2</f>
        <v>1661.26</v>
      </c>
      <c r="BI74" s="333">
        <v>0</v>
      </c>
      <c r="BL74" s="110">
        <f t="shared" si="36"/>
        <v>0.85901039294857251</v>
      </c>
      <c r="BM74" s="110">
        <f t="shared" si="37"/>
        <v>0.92206249128051765</v>
      </c>
      <c r="BN74" s="110">
        <f t="shared" si="38"/>
        <v>0.35749517965371247</v>
      </c>
      <c r="BO74" s="110">
        <f t="shared" si="39"/>
        <v>0.82972030812989472</v>
      </c>
    </row>
    <row r="75" spans="1:67" x14ac:dyDescent="0.25">
      <c r="A75" s="434" t="s">
        <v>65</v>
      </c>
      <c r="B75" s="238">
        <v>1</v>
      </c>
      <c r="C75" s="236">
        <f>'побудинковий звіт'!E75</f>
        <v>1556.6</v>
      </c>
      <c r="D75" s="141">
        <f t="shared" si="46"/>
        <v>0</v>
      </c>
      <c r="E75" s="107">
        <f t="shared" si="40"/>
        <v>0</v>
      </c>
      <c r="F75" s="333">
        <v>0</v>
      </c>
      <c r="G75" s="107">
        <f t="shared" si="41"/>
        <v>0</v>
      </c>
      <c r="H75" s="735">
        <f t="shared" si="47"/>
        <v>0</v>
      </c>
      <c r="I75" s="107">
        <f t="shared" si="48"/>
        <v>0</v>
      </c>
      <c r="J75" s="29"/>
      <c r="K75" s="142">
        <f t="shared" si="49"/>
        <v>0</v>
      </c>
      <c r="L75" s="210">
        <f t="shared" si="50"/>
        <v>0</v>
      </c>
      <c r="M75" s="107">
        <f t="shared" si="42"/>
        <v>0</v>
      </c>
      <c r="N75" s="333">
        <v>0</v>
      </c>
      <c r="O75" s="107"/>
      <c r="P75" s="107">
        <f t="shared" si="51"/>
        <v>0</v>
      </c>
      <c r="Q75" s="107">
        <f t="shared" si="52"/>
        <v>0</v>
      </c>
      <c r="R75" s="107"/>
      <c r="S75" s="143">
        <f t="shared" si="53"/>
        <v>0</v>
      </c>
      <c r="T75" s="245"/>
      <c r="U75" s="107"/>
      <c r="V75" s="151">
        <f t="shared" si="54"/>
        <v>0</v>
      </c>
      <c r="W75" s="246"/>
      <c r="X75" s="107"/>
      <c r="Y75" s="46">
        <f t="shared" si="55"/>
        <v>0</v>
      </c>
      <c r="Z75" s="141">
        <f t="shared" si="56"/>
        <v>0</v>
      </c>
      <c r="AA75" s="107">
        <f t="shared" si="43"/>
        <v>0</v>
      </c>
      <c r="AB75" s="333">
        <v>0</v>
      </c>
      <c r="AC75" s="107"/>
      <c r="AD75" s="107">
        <f t="shared" si="57"/>
        <v>0</v>
      </c>
      <c r="AE75" s="107">
        <f t="shared" si="58"/>
        <v>0</v>
      </c>
      <c r="AF75" s="107"/>
      <c r="AG75" s="142">
        <f t="shared" si="59"/>
        <v>0</v>
      </c>
      <c r="AH75" s="210">
        <f t="shared" si="60"/>
        <v>0</v>
      </c>
      <c r="AI75" s="107">
        <f t="shared" si="44"/>
        <v>0</v>
      </c>
      <c r="AJ75" s="333">
        <v>0</v>
      </c>
      <c r="AK75" s="121">
        <f t="shared" si="45"/>
        <v>0</v>
      </c>
      <c r="AL75" s="107"/>
      <c r="AM75" s="107">
        <f t="shared" si="61"/>
        <v>0</v>
      </c>
      <c r="AN75" s="107">
        <f t="shared" si="62"/>
        <v>0</v>
      </c>
      <c r="AO75" s="107"/>
      <c r="AP75" s="143">
        <f t="shared" si="63"/>
        <v>0</v>
      </c>
      <c r="AQ75" s="34"/>
      <c r="AR75" s="29"/>
      <c r="AS75" s="124"/>
      <c r="AT75" s="138">
        <f t="shared" si="64"/>
        <v>0</v>
      </c>
      <c r="AU75" s="151">
        <f t="shared" si="65"/>
        <v>0</v>
      </c>
      <c r="AW75" s="1">
        <v>3</v>
      </c>
      <c r="BA75" s="30">
        <v>0</v>
      </c>
      <c r="BB75" s="30">
        <v>0</v>
      </c>
      <c r="BC75" s="30">
        <v>0</v>
      </c>
      <c r="BD75" s="30">
        <v>0</v>
      </c>
      <c r="BI75" s="333">
        <v>0</v>
      </c>
      <c r="BL75" s="110">
        <f t="shared" ref="BL75:BO77" si="66">BA$399</f>
        <v>1.2233877438623886</v>
      </c>
      <c r="BM75" s="110">
        <f t="shared" si="66"/>
        <v>1.2807066670574303</v>
      </c>
      <c r="BN75" s="110">
        <f t="shared" si="66"/>
        <v>0.82443024793968056</v>
      </c>
      <c r="BO75" s="110">
        <f t="shared" si="66"/>
        <v>1.2965393422474656</v>
      </c>
    </row>
    <row r="76" spans="1:67" x14ac:dyDescent="0.25">
      <c r="A76" s="434" t="s">
        <v>66</v>
      </c>
      <c r="B76" s="238">
        <v>1</v>
      </c>
      <c r="C76" s="236">
        <f>'побудинковий звіт'!E76</f>
        <v>300.7</v>
      </c>
      <c r="D76" s="141">
        <f t="shared" si="46"/>
        <v>0</v>
      </c>
      <c r="E76" s="107">
        <f t="shared" si="40"/>
        <v>0</v>
      </c>
      <c r="F76" s="333">
        <v>0</v>
      </c>
      <c r="G76" s="107">
        <f t="shared" si="41"/>
        <v>0</v>
      </c>
      <c r="H76" s="735">
        <f t="shared" si="47"/>
        <v>0</v>
      </c>
      <c r="I76" s="107">
        <f t="shared" si="48"/>
        <v>0</v>
      </c>
      <c r="J76" s="29"/>
      <c r="K76" s="142">
        <f t="shared" si="49"/>
        <v>0</v>
      </c>
      <c r="L76" s="210">
        <f t="shared" si="50"/>
        <v>0</v>
      </c>
      <c r="M76" s="107">
        <f t="shared" si="42"/>
        <v>0</v>
      </c>
      <c r="N76" s="333">
        <v>0</v>
      </c>
      <c r="O76" s="107"/>
      <c r="P76" s="107">
        <f t="shared" si="51"/>
        <v>0</v>
      </c>
      <c r="Q76" s="107">
        <f t="shared" si="52"/>
        <v>0</v>
      </c>
      <c r="R76" s="107"/>
      <c r="S76" s="143">
        <f t="shared" si="53"/>
        <v>0</v>
      </c>
      <c r="T76" s="245"/>
      <c r="U76" s="107"/>
      <c r="V76" s="151">
        <f t="shared" si="54"/>
        <v>0</v>
      </c>
      <c r="W76" s="246"/>
      <c r="X76" s="107"/>
      <c r="Y76" s="46">
        <f t="shared" si="55"/>
        <v>0</v>
      </c>
      <c r="Z76" s="141">
        <f t="shared" si="56"/>
        <v>0</v>
      </c>
      <c r="AA76" s="107">
        <f t="shared" si="43"/>
        <v>0</v>
      </c>
      <c r="AB76" s="333">
        <v>0</v>
      </c>
      <c r="AC76" s="107"/>
      <c r="AD76" s="107">
        <f t="shared" si="57"/>
        <v>0</v>
      </c>
      <c r="AE76" s="107">
        <f t="shared" si="58"/>
        <v>0</v>
      </c>
      <c r="AF76" s="107"/>
      <c r="AG76" s="142">
        <f t="shared" si="59"/>
        <v>0</v>
      </c>
      <c r="AH76" s="210">
        <f t="shared" si="60"/>
        <v>0</v>
      </c>
      <c r="AI76" s="107">
        <f t="shared" si="44"/>
        <v>0</v>
      </c>
      <c r="AJ76" s="333">
        <v>0</v>
      </c>
      <c r="AK76" s="121">
        <f t="shared" si="45"/>
        <v>0</v>
      </c>
      <c r="AL76" s="107"/>
      <c r="AM76" s="107">
        <f t="shared" si="61"/>
        <v>0</v>
      </c>
      <c r="AN76" s="107">
        <f t="shared" si="62"/>
        <v>0</v>
      </c>
      <c r="AO76" s="107"/>
      <c r="AP76" s="143">
        <f t="shared" si="63"/>
        <v>0</v>
      </c>
      <c r="AQ76" s="34"/>
      <c r="AR76" s="29"/>
      <c r="AS76" s="124"/>
      <c r="AT76" s="138">
        <f t="shared" si="64"/>
        <v>0</v>
      </c>
      <c r="AU76" s="151">
        <f t="shared" si="65"/>
        <v>0</v>
      </c>
      <c r="AW76" s="1">
        <v>3</v>
      </c>
      <c r="BA76" s="30">
        <v>0</v>
      </c>
      <c r="BB76" s="30">
        <v>0</v>
      </c>
      <c r="BC76" s="30">
        <v>0</v>
      </c>
      <c r="BD76" s="30">
        <v>0</v>
      </c>
      <c r="BI76" s="333">
        <v>0</v>
      </c>
      <c r="BL76" s="110">
        <f t="shared" si="66"/>
        <v>1.2233877438623886</v>
      </c>
      <c r="BM76" s="110">
        <f t="shared" si="66"/>
        <v>1.2807066670574303</v>
      </c>
      <c r="BN76" s="110">
        <f t="shared" si="66"/>
        <v>0.82443024793968056</v>
      </c>
      <c r="BO76" s="110">
        <f t="shared" si="66"/>
        <v>1.2965393422474656</v>
      </c>
    </row>
    <row r="77" spans="1:67" x14ac:dyDescent="0.25">
      <c r="A77" s="434" t="s">
        <v>67</v>
      </c>
      <c r="B77" s="238">
        <v>1</v>
      </c>
      <c r="C77" s="236">
        <f>'побудинковий звіт'!E77</f>
        <v>293.5</v>
      </c>
      <c r="D77" s="141">
        <f t="shared" si="46"/>
        <v>0</v>
      </c>
      <c r="E77" s="107">
        <f t="shared" si="40"/>
        <v>0</v>
      </c>
      <c r="F77" s="333">
        <v>0</v>
      </c>
      <c r="G77" s="107">
        <f t="shared" si="41"/>
        <v>0</v>
      </c>
      <c r="H77" s="735">
        <f t="shared" si="47"/>
        <v>0</v>
      </c>
      <c r="I77" s="107">
        <f t="shared" si="48"/>
        <v>0</v>
      </c>
      <c r="J77" s="29"/>
      <c r="K77" s="142">
        <f t="shared" si="49"/>
        <v>0</v>
      </c>
      <c r="L77" s="210">
        <f t="shared" si="50"/>
        <v>0</v>
      </c>
      <c r="M77" s="107">
        <f t="shared" si="42"/>
        <v>0</v>
      </c>
      <c r="N77" s="333">
        <v>0</v>
      </c>
      <c r="O77" s="107"/>
      <c r="P77" s="107">
        <f t="shared" si="51"/>
        <v>0</v>
      </c>
      <c r="Q77" s="107">
        <f t="shared" si="52"/>
        <v>0</v>
      </c>
      <c r="R77" s="107"/>
      <c r="S77" s="143">
        <f t="shared" si="53"/>
        <v>0</v>
      </c>
      <c r="T77" s="244">
        <v>22.45</v>
      </c>
      <c r="U77" s="107"/>
      <c r="V77" s="151">
        <f t="shared" si="54"/>
        <v>22.45</v>
      </c>
      <c r="W77" s="246"/>
      <c r="X77" s="107"/>
      <c r="Y77" s="46">
        <f t="shared" si="55"/>
        <v>0</v>
      </c>
      <c r="Z77" s="141">
        <f t="shared" si="56"/>
        <v>0</v>
      </c>
      <c r="AA77" s="107">
        <f t="shared" si="43"/>
        <v>0</v>
      </c>
      <c r="AB77" s="333">
        <v>0</v>
      </c>
      <c r="AC77" s="107"/>
      <c r="AD77" s="107">
        <f t="shared" si="57"/>
        <v>0</v>
      </c>
      <c r="AE77" s="107">
        <f t="shared" si="58"/>
        <v>0</v>
      </c>
      <c r="AF77" s="107"/>
      <c r="AG77" s="142">
        <f t="shared" si="59"/>
        <v>0</v>
      </c>
      <c r="AH77" s="210">
        <f t="shared" si="60"/>
        <v>0</v>
      </c>
      <c r="AI77" s="107">
        <f t="shared" si="44"/>
        <v>0</v>
      </c>
      <c r="AJ77" s="333">
        <v>0</v>
      </c>
      <c r="AK77" s="121">
        <f t="shared" si="45"/>
        <v>0</v>
      </c>
      <c r="AL77" s="107"/>
      <c r="AM77" s="107">
        <f t="shared" si="61"/>
        <v>0</v>
      </c>
      <c r="AN77" s="107">
        <f t="shared" si="62"/>
        <v>0</v>
      </c>
      <c r="AO77" s="107"/>
      <c r="AP77" s="143">
        <f t="shared" si="63"/>
        <v>0</v>
      </c>
      <c r="AQ77" s="34"/>
      <c r="AR77" s="29"/>
      <c r="AS77" s="124"/>
      <c r="AT77" s="138">
        <f t="shared" si="64"/>
        <v>0</v>
      </c>
      <c r="AU77" s="151">
        <f t="shared" si="65"/>
        <v>22.45</v>
      </c>
      <c r="AW77" s="1">
        <v>3</v>
      </c>
      <c r="BA77" s="30">
        <v>0</v>
      </c>
      <c r="BB77" s="30">
        <v>0</v>
      </c>
      <c r="BC77" s="30">
        <v>0</v>
      </c>
      <c r="BD77" s="30">
        <v>0</v>
      </c>
      <c r="BI77" s="333">
        <v>0</v>
      </c>
      <c r="BL77" s="110">
        <f t="shared" si="66"/>
        <v>1.2233877438623886</v>
      </c>
      <c r="BM77" s="110">
        <f t="shared" si="66"/>
        <v>1.2807066670574303</v>
      </c>
      <c r="BN77" s="110">
        <f t="shared" si="66"/>
        <v>0.82443024793968056</v>
      </c>
      <c r="BO77" s="110">
        <f t="shared" si="66"/>
        <v>1.2965393422474656</v>
      </c>
    </row>
    <row r="78" spans="1:67" x14ac:dyDescent="0.25">
      <c r="A78" s="434" t="s">
        <v>68</v>
      </c>
      <c r="B78" s="238">
        <v>1</v>
      </c>
      <c r="C78" s="236">
        <f>'побудинковий звіт'!E78</f>
        <v>8443.0499999999993</v>
      </c>
      <c r="D78" s="141">
        <f t="shared" si="46"/>
        <v>0</v>
      </c>
      <c r="E78" s="107">
        <f t="shared" si="40"/>
        <v>0</v>
      </c>
      <c r="F78" s="333">
        <v>0</v>
      </c>
      <c r="G78" s="107">
        <f t="shared" si="41"/>
        <v>0</v>
      </c>
      <c r="H78" s="735">
        <f t="shared" si="47"/>
        <v>0</v>
      </c>
      <c r="I78" s="107">
        <f t="shared" si="48"/>
        <v>0</v>
      </c>
      <c r="J78" s="29"/>
      <c r="K78" s="142">
        <f t="shared" si="49"/>
        <v>0</v>
      </c>
      <c r="L78" s="210">
        <f t="shared" si="50"/>
        <v>0</v>
      </c>
      <c r="M78" s="107">
        <f t="shared" si="42"/>
        <v>0</v>
      </c>
      <c r="N78" s="333">
        <v>0</v>
      </c>
      <c r="O78" s="107"/>
      <c r="P78" s="107">
        <f t="shared" si="51"/>
        <v>0</v>
      </c>
      <c r="Q78" s="107">
        <f t="shared" si="52"/>
        <v>0</v>
      </c>
      <c r="R78" s="107"/>
      <c r="S78" s="143">
        <f t="shared" si="53"/>
        <v>0</v>
      </c>
      <c r="T78" s="245"/>
      <c r="U78" s="107"/>
      <c r="V78" s="151">
        <f t="shared" si="54"/>
        <v>0</v>
      </c>
      <c r="W78" s="246"/>
      <c r="X78" s="107"/>
      <c r="Y78" s="46">
        <f t="shared" si="55"/>
        <v>0</v>
      </c>
      <c r="Z78" s="141">
        <f t="shared" si="56"/>
        <v>0</v>
      </c>
      <c r="AA78" s="107">
        <f t="shared" si="43"/>
        <v>0</v>
      </c>
      <c r="AB78" s="333">
        <v>0</v>
      </c>
      <c r="AC78" s="107"/>
      <c r="AD78" s="107">
        <f t="shared" si="57"/>
        <v>0</v>
      </c>
      <c r="AE78" s="107">
        <f t="shared" si="58"/>
        <v>0</v>
      </c>
      <c r="AF78" s="107"/>
      <c r="AG78" s="142">
        <f t="shared" si="59"/>
        <v>0</v>
      </c>
      <c r="AH78" s="210">
        <f t="shared" si="60"/>
        <v>0</v>
      </c>
      <c r="AI78" s="107">
        <f t="shared" si="44"/>
        <v>0</v>
      </c>
      <c r="AJ78" s="333">
        <v>0</v>
      </c>
      <c r="AK78" s="121">
        <f t="shared" si="45"/>
        <v>0</v>
      </c>
      <c r="AL78" s="107"/>
      <c r="AM78" s="107">
        <f t="shared" si="61"/>
        <v>0</v>
      </c>
      <c r="AN78" s="107">
        <f t="shared" si="62"/>
        <v>0</v>
      </c>
      <c r="AO78" s="107"/>
      <c r="AP78" s="143">
        <f t="shared" si="63"/>
        <v>0</v>
      </c>
      <c r="AQ78" s="34"/>
      <c r="AR78" s="29"/>
      <c r="AS78" s="124"/>
      <c r="AT78" s="138">
        <f t="shared" si="64"/>
        <v>0</v>
      </c>
      <c r="AU78" s="151">
        <f t="shared" si="65"/>
        <v>0</v>
      </c>
      <c r="AW78" s="1">
        <v>1</v>
      </c>
      <c r="BA78" s="30">
        <v>0</v>
      </c>
      <c r="BB78" s="30">
        <v>0</v>
      </c>
      <c r="BC78" s="30">
        <v>0</v>
      </c>
      <c r="BD78" s="30">
        <v>0</v>
      </c>
      <c r="BI78" s="333">
        <v>0</v>
      </c>
      <c r="BL78" s="110">
        <f>$BA$397</f>
        <v>0.85901039294857251</v>
      </c>
      <c r="BM78" s="110">
        <f>$BB$397</f>
        <v>0.92206249128051765</v>
      </c>
      <c r="BN78" s="110">
        <f>$BC$397</f>
        <v>0.35749517965371247</v>
      </c>
      <c r="BO78" s="110">
        <f>$BD$397</f>
        <v>0.82972030812989472</v>
      </c>
    </row>
    <row r="79" spans="1:67" x14ac:dyDescent="0.25">
      <c r="A79" s="434" t="s">
        <v>72</v>
      </c>
      <c r="B79" s="238">
        <v>1</v>
      </c>
      <c r="C79" s="236">
        <f>'побудинковий звіт'!E79</f>
        <v>174.9</v>
      </c>
      <c r="D79" s="141">
        <f t="shared" si="46"/>
        <v>0</v>
      </c>
      <c r="E79" s="107">
        <f t="shared" si="40"/>
        <v>0</v>
      </c>
      <c r="F79" s="333">
        <v>0</v>
      </c>
      <c r="G79" s="107">
        <f t="shared" si="41"/>
        <v>0</v>
      </c>
      <c r="H79" s="735">
        <f t="shared" si="47"/>
        <v>0</v>
      </c>
      <c r="I79" s="107">
        <f t="shared" si="48"/>
        <v>0</v>
      </c>
      <c r="J79" s="29"/>
      <c r="K79" s="142">
        <f t="shared" si="49"/>
        <v>0</v>
      </c>
      <c r="L79" s="210">
        <f t="shared" si="50"/>
        <v>0</v>
      </c>
      <c r="M79" s="107">
        <f t="shared" si="42"/>
        <v>0</v>
      </c>
      <c r="N79" s="333">
        <v>0</v>
      </c>
      <c r="O79" s="107"/>
      <c r="P79" s="107">
        <f t="shared" si="51"/>
        <v>0</v>
      </c>
      <c r="Q79" s="107">
        <f t="shared" si="52"/>
        <v>0</v>
      </c>
      <c r="R79" s="107"/>
      <c r="S79" s="143">
        <f t="shared" si="53"/>
        <v>0</v>
      </c>
      <c r="T79" s="245"/>
      <c r="U79" s="107"/>
      <c r="V79" s="151">
        <f t="shared" si="54"/>
        <v>0</v>
      </c>
      <c r="W79" s="246"/>
      <c r="X79" s="107"/>
      <c r="Y79" s="46">
        <f t="shared" si="55"/>
        <v>0</v>
      </c>
      <c r="Z79" s="141">
        <f t="shared" si="56"/>
        <v>0</v>
      </c>
      <c r="AA79" s="107">
        <f t="shared" si="43"/>
        <v>0</v>
      </c>
      <c r="AB79" s="333">
        <v>0</v>
      </c>
      <c r="AC79" s="107"/>
      <c r="AD79" s="107">
        <f t="shared" si="57"/>
        <v>0</v>
      </c>
      <c r="AE79" s="107">
        <f t="shared" si="58"/>
        <v>0</v>
      </c>
      <c r="AF79" s="107"/>
      <c r="AG79" s="142">
        <f t="shared" si="59"/>
        <v>0</v>
      </c>
      <c r="AH79" s="210">
        <f t="shared" si="60"/>
        <v>0</v>
      </c>
      <c r="AI79" s="107">
        <f t="shared" si="44"/>
        <v>0</v>
      </c>
      <c r="AJ79" s="333">
        <v>0</v>
      </c>
      <c r="AK79" s="121">
        <f t="shared" si="45"/>
        <v>0</v>
      </c>
      <c r="AL79" s="107"/>
      <c r="AM79" s="107">
        <f t="shared" si="61"/>
        <v>0</v>
      </c>
      <c r="AN79" s="107">
        <f t="shared" si="62"/>
        <v>0</v>
      </c>
      <c r="AO79" s="107"/>
      <c r="AP79" s="143">
        <f t="shared" si="63"/>
        <v>0</v>
      </c>
      <c r="AQ79" s="34"/>
      <c r="AR79" s="29"/>
      <c r="AS79" s="124"/>
      <c r="AT79" s="138">
        <f t="shared" si="64"/>
        <v>0</v>
      </c>
      <c r="AU79" s="151">
        <f t="shared" si="65"/>
        <v>0</v>
      </c>
      <c r="AW79" s="1">
        <v>1</v>
      </c>
      <c r="BA79" s="30">
        <v>0</v>
      </c>
      <c r="BB79" s="30">
        <v>0</v>
      </c>
      <c r="BC79" s="30">
        <v>0</v>
      </c>
      <c r="BD79" s="30">
        <v>0</v>
      </c>
      <c r="BI79" s="333">
        <v>0</v>
      </c>
      <c r="BL79" s="110">
        <f>$BA$397</f>
        <v>0.85901039294857251</v>
      </c>
      <c r="BM79" s="110">
        <f>$BB$397</f>
        <v>0.92206249128051765</v>
      </c>
      <c r="BN79" s="110">
        <f>$BC$397</f>
        <v>0.35749517965371247</v>
      </c>
      <c r="BO79" s="110">
        <f>$BD$397</f>
        <v>0.82972030812989472</v>
      </c>
    </row>
    <row r="80" spans="1:67" x14ac:dyDescent="0.25">
      <c r="A80" s="434" t="s">
        <v>74</v>
      </c>
      <c r="B80" s="238">
        <v>1</v>
      </c>
      <c r="C80" s="236">
        <f>'побудинковий звіт'!E80</f>
        <v>136.9</v>
      </c>
      <c r="D80" s="141">
        <f t="shared" si="46"/>
        <v>0</v>
      </c>
      <c r="E80" s="107">
        <f t="shared" si="40"/>
        <v>0</v>
      </c>
      <c r="F80" s="333">
        <v>0</v>
      </c>
      <c r="G80" s="107">
        <f t="shared" si="41"/>
        <v>0</v>
      </c>
      <c r="H80" s="735">
        <f t="shared" si="47"/>
        <v>0</v>
      </c>
      <c r="I80" s="107">
        <f t="shared" si="48"/>
        <v>0</v>
      </c>
      <c r="J80" s="29"/>
      <c r="K80" s="142">
        <f t="shared" si="49"/>
        <v>0</v>
      </c>
      <c r="L80" s="210">
        <f t="shared" si="50"/>
        <v>0</v>
      </c>
      <c r="M80" s="107">
        <f t="shared" si="42"/>
        <v>0</v>
      </c>
      <c r="N80" s="333">
        <v>0</v>
      </c>
      <c r="O80" s="107"/>
      <c r="P80" s="107">
        <f t="shared" si="51"/>
        <v>0</v>
      </c>
      <c r="Q80" s="107">
        <f t="shared" si="52"/>
        <v>0</v>
      </c>
      <c r="R80" s="107"/>
      <c r="S80" s="143">
        <f t="shared" si="53"/>
        <v>0</v>
      </c>
      <c r="T80" s="245"/>
      <c r="U80" s="107"/>
      <c r="V80" s="151">
        <f t="shared" si="54"/>
        <v>0</v>
      </c>
      <c r="W80" s="246"/>
      <c r="X80" s="107"/>
      <c r="Y80" s="46">
        <f t="shared" si="55"/>
        <v>0</v>
      </c>
      <c r="Z80" s="141">
        <f t="shared" si="56"/>
        <v>0</v>
      </c>
      <c r="AA80" s="107">
        <f t="shared" si="43"/>
        <v>0</v>
      </c>
      <c r="AB80" s="333">
        <v>0</v>
      </c>
      <c r="AC80" s="107"/>
      <c r="AD80" s="107">
        <f t="shared" si="57"/>
        <v>0</v>
      </c>
      <c r="AE80" s="107">
        <f t="shared" si="58"/>
        <v>0</v>
      </c>
      <c r="AF80" s="107"/>
      <c r="AG80" s="142">
        <f t="shared" si="59"/>
        <v>0</v>
      </c>
      <c r="AH80" s="210">
        <f t="shared" si="60"/>
        <v>0</v>
      </c>
      <c r="AI80" s="107">
        <f t="shared" si="44"/>
        <v>0</v>
      </c>
      <c r="AJ80" s="333">
        <v>0</v>
      </c>
      <c r="AK80" s="121">
        <f t="shared" si="45"/>
        <v>0</v>
      </c>
      <c r="AL80" s="107"/>
      <c r="AM80" s="107">
        <f t="shared" si="61"/>
        <v>0</v>
      </c>
      <c r="AN80" s="107">
        <f t="shared" si="62"/>
        <v>0</v>
      </c>
      <c r="AO80" s="107"/>
      <c r="AP80" s="143">
        <f t="shared" si="63"/>
        <v>0</v>
      </c>
      <c r="AQ80" s="34"/>
      <c r="AR80" s="29"/>
      <c r="AS80" s="124"/>
      <c r="AT80" s="138">
        <f t="shared" si="64"/>
        <v>0</v>
      </c>
      <c r="AU80" s="151">
        <f t="shared" si="65"/>
        <v>0</v>
      </c>
      <c r="AW80" s="1">
        <v>1</v>
      </c>
      <c r="BA80" s="30">
        <v>0</v>
      </c>
      <c r="BB80" s="30">
        <v>0</v>
      </c>
      <c r="BC80" s="30">
        <v>0</v>
      </c>
      <c r="BD80" s="30">
        <v>0</v>
      </c>
      <c r="BI80" s="333">
        <v>0</v>
      </c>
      <c r="BL80" s="110">
        <f>$BA$397</f>
        <v>0.85901039294857251</v>
      </c>
      <c r="BM80" s="110">
        <f>$BB$397</f>
        <v>0.92206249128051765</v>
      </c>
      <c r="BN80" s="110">
        <f>$BC$397</f>
        <v>0.35749517965371247</v>
      </c>
      <c r="BO80" s="110">
        <f>$BD$397</f>
        <v>0.82972030812989472</v>
      </c>
    </row>
    <row r="81" spans="1:67" x14ac:dyDescent="0.25">
      <c r="A81" s="260" t="s">
        <v>152</v>
      </c>
      <c r="B81" s="237">
        <v>2</v>
      </c>
      <c r="C81" s="236">
        <f>'побудинковий звіт'!E81</f>
        <v>7614.5</v>
      </c>
      <c r="D81" s="141">
        <f t="shared" si="46"/>
        <v>31.113356432597296</v>
      </c>
      <c r="E81" s="107">
        <f t="shared" si="40"/>
        <v>6.4133022939320643</v>
      </c>
      <c r="F81" s="333">
        <v>3.4765990090093384</v>
      </c>
      <c r="G81" s="107">
        <f t="shared" si="41"/>
        <v>0</v>
      </c>
      <c r="H81" s="735">
        <f t="shared" si="47"/>
        <v>25.994421919243205</v>
      </c>
      <c r="I81" s="107">
        <f t="shared" si="48"/>
        <v>8.6234612639697907</v>
      </c>
      <c r="J81" s="29"/>
      <c r="K81" s="142">
        <f t="shared" si="49"/>
        <v>75.621140918751692</v>
      </c>
      <c r="L81" s="210">
        <f t="shared" si="50"/>
        <v>6.3161280652715455</v>
      </c>
      <c r="M81" s="107">
        <f t="shared" si="42"/>
        <v>1.3896613921175056</v>
      </c>
      <c r="N81" s="333">
        <v>0</v>
      </c>
      <c r="O81" s="107"/>
      <c r="P81" s="107">
        <f t="shared" si="51"/>
        <v>5.2769651574018885</v>
      </c>
      <c r="Q81" s="107">
        <f t="shared" si="52"/>
        <v>1.6710471481572262</v>
      </c>
      <c r="R81" s="107"/>
      <c r="S81" s="143">
        <f t="shared" si="53"/>
        <v>14.653801762948166</v>
      </c>
      <c r="T81" s="245"/>
      <c r="U81" s="107"/>
      <c r="V81" s="151">
        <f t="shared" si="54"/>
        <v>0</v>
      </c>
      <c r="W81" s="246"/>
      <c r="X81" s="107"/>
      <c r="Y81" s="46">
        <f t="shared" si="55"/>
        <v>0</v>
      </c>
      <c r="Z81" s="141">
        <f t="shared" si="56"/>
        <v>0</v>
      </c>
      <c r="AA81" s="107">
        <f t="shared" si="43"/>
        <v>0</v>
      </c>
      <c r="AB81" s="333">
        <v>0</v>
      </c>
      <c r="AC81" s="107"/>
      <c r="AD81" s="107">
        <f t="shared" si="57"/>
        <v>0</v>
      </c>
      <c r="AE81" s="107">
        <f t="shared" si="58"/>
        <v>0</v>
      </c>
      <c r="AF81" s="107"/>
      <c r="AG81" s="142">
        <f t="shared" si="59"/>
        <v>0</v>
      </c>
      <c r="AH81" s="210">
        <f t="shared" si="60"/>
        <v>0.82142310504859573</v>
      </c>
      <c r="AI81" s="107">
        <f t="shared" si="44"/>
        <v>0.16384572906083619</v>
      </c>
      <c r="AJ81" s="333">
        <v>39.200000000000003</v>
      </c>
      <c r="AK81" s="121">
        <f t="shared" si="45"/>
        <v>0</v>
      </c>
      <c r="AL81" s="107"/>
      <c r="AM81" s="107">
        <f t="shared" si="61"/>
        <v>0.6862782166593</v>
      </c>
      <c r="AN81" s="107">
        <f t="shared" si="62"/>
        <v>5.2606926778197289</v>
      </c>
      <c r="AO81" s="107"/>
      <c r="AP81" s="143">
        <f t="shared" si="63"/>
        <v>46.132239728588466</v>
      </c>
      <c r="AQ81" s="34"/>
      <c r="AR81" s="29"/>
      <c r="AS81" s="124"/>
      <c r="AT81" s="138">
        <f t="shared" si="64"/>
        <v>3537.0645140058105</v>
      </c>
      <c r="AU81" s="151">
        <f t="shared" si="65"/>
        <v>3673.4716964160989</v>
      </c>
      <c r="AW81" s="1">
        <v>1</v>
      </c>
      <c r="BA81" s="30">
        <v>36.22</v>
      </c>
      <c r="BB81" s="30">
        <v>6.85</v>
      </c>
      <c r="BC81" s="30">
        <v>0</v>
      </c>
      <c r="BD81" s="30">
        <v>0.99</v>
      </c>
      <c r="BI81" s="333">
        <v>0</v>
      </c>
      <c r="BL81" s="110">
        <f>$BA$397</f>
        <v>0.85901039294857251</v>
      </c>
      <c r="BM81" s="110">
        <f>$BB$397</f>
        <v>0.92206249128051765</v>
      </c>
      <c r="BN81" s="110">
        <f>$BC$397</f>
        <v>0.35749517965371247</v>
      </c>
      <c r="BO81" s="110">
        <f>$BD$397</f>
        <v>0.82972030812989472</v>
      </c>
    </row>
    <row r="82" spans="1:67" x14ac:dyDescent="0.25">
      <c r="A82" s="434" t="s">
        <v>75</v>
      </c>
      <c r="B82" s="238">
        <v>1</v>
      </c>
      <c r="C82" s="236">
        <f>'побудинковий звіт'!E82</f>
        <v>2489.87</v>
      </c>
      <c r="D82" s="141">
        <f t="shared" si="46"/>
        <v>0</v>
      </c>
      <c r="E82" s="107">
        <f t="shared" si="40"/>
        <v>0</v>
      </c>
      <c r="F82" s="333">
        <v>0</v>
      </c>
      <c r="G82" s="107">
        <f t="shared" si="41"/>
        <v>0</v>
      </c>
      <c r="H82" s="735">
        <f t="shared" si="47"/>
        <v>0</v>
      </c>
      <c r="I82" s="107">
        <f t="shared" si="48"/>
        <v>0</v>
      </c>
      <c r="J82" s="29"/>
      <c r="K82" s="142">
        <f t="shared" si="49"/>
        <v>0</v>
      </c>
      <c r="L82" s="210">
        <f t="shared" si="50"/>
        <v>0</v>
      </c>
      <c r="M82" s="107">
        <f t="shared" si="42"/>
        <v>0</v>
      </c>
      <c r="N82" s="333">
        <v>0</v>
      </c>
      <c r="O82" s="107"/>
      <c r="P82" s="107">
        <f t="shared" si="51"/>
        <v>0</v>
      </c>
      <c r="Q82" s="107">
        <f t="shared" si="52"/>
        <v>0</v>
      </c>
      <c r="R82" s="107"/>
      <c r="S82" s="143">
        <f t="shared" si="53"/>
        <v>0</v>
      </c>
      <c r="T82" s="245"/>
      <c r="U82" s="107"/>
      <c r="V82" s="151">
        <f t="shared" si="54"/>
        <v>0</v>
      </c>
      <c r="W82" s="246"/>
      <c r="X82" s="107"/>
      <c r="Y82" s="46">
        <f t="shared" si="55"/>
        <v>0</v>
      </c>
      <c r="Z82" s="141">
        <f t="shared" si="56"/>
        <v>0</v>
      </c>
      <c r="AA82" s="107">
        <f t="shared" si="43"/>
        <v>0</v>
      </c>
      <c r="AB82" s="333">
        <v>0</v>
      </c>
      <c r="AC82" s="107"/>
      <c r="AD82" s="107">
        <f t="shared" si="57"/>
        <v>0</v>
      </c>
      <c r="AE82" s="107">
        <f t="shared" si="58"/>
        <v>0</v>
      </c>
      <c r="AF82" s="107"/>
      <c r="AG82" s="142">
        <f t="shared" si="59"/>
        <v>0</v>
      </c>
      <c r="AH82" s="210">
        <f t="shared" si="60"/>
        <v>0</v>
      </c>
      <c r="AI82" s="107">
        <f t="shared" si="44"/>
        <v>0</v>
      </c>
      <c r="AJ82" s="333">
        <v>0</v>
      </c>
      <c r="AK82" s="121">
        <f t="shared" si="45"/>
        <v>0</v>
      </c>
      <c r="AL82" s="107"/>
      <c r="AM82" s="107">
        <f t="shared" si="61"/>
        <v>0</v>
      </c>
      <c r="AN82" s="107">
        <f t="shared" si="62"/>
        <v>0</v>
      </c>
      <c r="AO82" s="107"/>
      <c r="AP82" s="143">
        <f t="shared" si="63"/>
        <v>0</v>
      </c>
      <c r="AQ82" s="34"/>
      <c r="AR82" s="29"/>
      <c r="AS82" s="124"/>
      <c r="AT82" s="138">
        <f t="shared" si="64"/>
        <v>0</v>
      </c>
      <c r="AU82" s="151">
        <f t="shared" si="65"/>
        <v>0</v>
      </c>
      <c r="AW82" s="1">
        <v>1</v>
      </c>
      <c r="BA82" s="30">
        <v>0</v>
      </c>
      <c r="BB82" s="30">
        <v>0</v>
      </c>
      <c r="BC82" s="30">
        <v>0</v>
      </c>
      <c r="BD82" s="30">
        <v>0</v>
      </c>
      <c r="BI82" s="333">
        <v>0</v>
      </c>
      <c r="BL82" s="110">
        <f>$BA$397</f>
        <v>0.85901039294857251</v>
      </c>
      <c r="BM82" s="110">
        <f>$BB$397</f>
        <v>0.92206249128051765</v>
      </c>
      <c r="BN82" s="110">
        <f>$BC$397</f>
        <v>0.35749517965371247</v>
      </c>
      <c r="BO82" s="110">
        <f>$BD$397</f>
        <v>0.82972030812989472</v>
      </c>
    </row>
    <row r="83" spans="1:67" x14ac:dyDescent="0.25">
      <c r="A83" s="260" t="s">
        <v>351</v>
      </c>
      <c r="B83" s="237">
        <v>9</v>
      </c>
      <c r="C83" s="236">
        <f>'побудинковий звіт'!E83</f>
        <v>11377.55</v>
      </c>
      <c r="D83" s="141">
        <f t="shared" si="46"/>
        <v>643.53865490393218</v>
      </c>
      <c r="E83" s="107">
        <f t="shared" si="40"/>
        <v>132.6506814097784</v>
      </c>
      <c r="F83" s="333">
        <v>129.70407894529956</v>
      </c>
      <c r="G83" s="107">
        <f t="shared" si="41"/>
        <v>0</v>
      </c>
      <c r="H83" s="735">
        <f t="shared" si="47"/>
        <v>537.66026025365727</v>
      </c>
      <c r="I83" s="107">
        <f t="shared" si="48"/>
        <v>185.80388555823973</v>
      </c>
      <c r="J83" s="29"/>
      <c r="K83" s="142">
        <f t="shared" si="49"/>
        <v>1629.357561070907</v>
      </c>
      <c r="L83" s="210">
        <f t="shared" si="50"/>
        <v>121.59029097043243</v>
      </c>
      <c r="M83" s="107">
        <f t="shared" si="42"/>
        <v>26.752043541833931</v>
      </c>
      <c r="N83" s="333">
        <v>0</v>
      </c>
      <c r="O83" s="107"/>
      <c r="P83" s="107">
        <f t="shared" si="51"/>
        <v>101.58561104187243</v>
      </c>
      <c r="Q83" s="107">
        <f t="shared" si="52"/>
        <v>32.168934332874883</v>
      </c>
      <c r="R83" s="107"/>
      <c r="S83" s="143">
        <f t="shared" si="53"/>
        <v>282.0968798870137</v>
      </c>
      <c r="T83" s="244">
        <v>539.69000000000005</v>
      </c>
      <c r="U83" s="107"/>
      <c r="V83" s="151">
        <f t="shared" si="54"/>
        <v>539.69000000000005</v>
      </c>
      <c r="W83" s="906">
        <v>128.72</v>
      </c>
      <c r="X83" s="107"/>
      <c r="Y83" s="46">
        <f t="shared" si="55"/>
        <v>128.72</v>
      </c>
      <c r="Z83" s="141">
        <f t="shared" si="56"/>
        <v>21.740225638169377</v>
      </c>
      <c r="AA83" s="107">
        <f t="shared" si="43"/>
        <v>4.7786736826366578</v>
      </c>
      <c r="AB83" s="333">
        <v>0</v>
      </c>
      <c r="AC83" s="107"/>
      <c r="AD83" s="107">
        <f t="shared" si="57"/>
        <v>18.163408344656933</v>
      </c>
      <c r="AE83" s="107">
        <f t="shared" si="58"/>
        <v>5.7511864787454439</v>
      </c>
      <c r="AF83" s="107"/>
      <c r="AG83" s="142">
        <f t="shared" si="59"/>
        <v>50.433494144208417</v>
      </c>
      <c r="AH83" s="210">
        <f t="shared" si="60"/>
        <v>401.07148013083099</v>
      </c>
      <c r="AI83" s="107">
        <f t="shared" si="44"/>
        <v>80.000000807935663</v>
      </c>
      <c r="AJ83" s="333">
        <v>73.006366681135063</v>
      </c>
      <c r="AK83" s="121">
        <f t="shared" si="45"/>
        <v>0</v>
      </c>
      <c r="AL83" s="107">
        <f>2*436+2200</f>
        <v>3072</v>
      </c>
      <c r="AM83" s="107">
        <f t="shared" si="61"/>
        <v>335.08507180451033</v>
      </c>
      <c r="AN83" s="107">
        <f t="shared" si="62"/>
        <v>509.85250790684421</v>
      </c>
      <c r="AO83" s="107"/>
      <c r="AP83" s="143">
        <f t="shared" si="63"/>
        <v>4471.0154273312564</v>
      </c>
      <c r="AQ83" s="34"/>
      <c r="AR83" s="29"/>
      <c r="AS83" s="124"/>
      <c r="AT83" s="138">
        <f t="shared" si="64"/>
        <v>5285.0651206680423</v>
      </c>
      <c r="AU83" s="151">
        <f t="shared" si="65"/>
        <v>12386.378483101427</v>
      </c>
      <c r="AW83" s="1">
        <v>3</v>
      </c>
      <c r="BA83" s="30">
        <v>526.03</v>
      </c>
      <c r="BB83" s="30">
        <v>94.94</v>
      </c>
      <c r="BC83" s="30">
        <v>26.37</v>
      </c>
      <c r="BD83" s="30">
        <v>309.33999999999997</v>
      </c>
      <c r="BI83" s="333">
        <v>8.7100000000000009</v>
      </c>
      <c r="BL83" s="110">
        <f t="shared" ref="BL83:BO85" si="67">BA$399</f>
        <v>1.2233877438623886</v>
      </c>
      <c r="BM83" s="110">
        <f t="shared" si="67"/>
        <v>1.2807066670574303</v>
      </c>
      <c r="BN83" s="110">
        <f t="shared" si="67"/>
        <v>0.82443024793968056</v>
      </c>
      <c r="BO83" s="110">
        <f t="shared" si="67"/>
        <v>1.2965393422474656</v>
      </c>
    </row>
    <row r="84" spans="1:67" x14ac:dyDescent="0.25">
      <c r="A84" s="260" t="s">
        <v>413</v>
      </c>
      <c r="B84" s="237">
        <v>10</v>
      </c>
      <c r="C84" s="236">
        <f>'побудинковий звіт'!E84</f>
        <v>2481.4</v>
      </c>
      <c r="D84" s="141">
        <f t="shared" si="46"/>
        <v>350.45165310681983</v>
      </c>
      <c r="E84" s="107">
        <f t="shared" si="40"/>
        <v>72.237541958909418</v>
      </c>
      <c r="F84" s="333">
        <v>66.964182443707188</v>
      </c>
      <c r="G84" s="107">
        <f t="shared" si="41"/>
        <v>0</v>
      </c>
      <c r="H84" s="735">
        <f t="shared" si="47"/>
        <v>292.79348735293172</v>
      </c>
      <c r="I84" s="107">
        <f t="shared" si="48"/>
        <v>100.71095394680056</v>
      </c>
      <c r="J84" s="29"/>
      <c r="K84" s="142">
        <f t="shared" si="49"/>
        <v>883.1578188091687</v>
      </c>
      <c r="L84" s="210">
        <f t="shared" si="50"/>
        <v>65.802708553410767</v>
      </c>
      <c r="M84" s="107">
        <f t="shared" si="42"/>
        <v>14.477775407409178</v>
      </c>
      <c r="N84" s="333">
        <v>18.400000000000002</v>
      </c>
      <c r="O84" s="107"/>
      <c r="P84" s="107">
        <f t="shared" si="51"/>
        <v>54.976497738902516</v>
      </c>
      <c r="Q84" s="107">
        <f t="shared" si="52"/>
        <v>19.777625679779749</v>
      </c>
      <c r="R84" s="107"/>
      <c r="S84" s="143">
        <f t="shared" si="53"/>
        <v>173.43460737950224</v>
      </c>
      <c r="T84" s="244">
        <v>286.45</v>
      </c>
      <c r="U84" s="107"/>
      <c r="V84" s="151">
        <f t="shared" si="54"/>
        <v>286.45</v>
      </c>
      <c r="W84" s="906">
        <v>69.06</v>
      </c>
      <c r="X84" s="107"/>
      <c r="Y84" s="46">
        <f t="shared" si="55"/>
        <v>69.06</v>
      </c>
      <c r="Z84" s="141">
        <f t="shared" si="56"/>
        <v>7.4116279289777287</v>
      </c>
      <c r="AA84" s="107">
        <f t="shared" si="43"/>
        <v>1.6291344864203092</v>
      </c>
      <c r="AB84" s="333">
        <v>31.125</v>
      </c>
      <c r="AC84" s="107"/>
      <c r="AD84" s="107">
        <f t="shared" si="57"/>
        <v>6.1922275699076916</v>
      </c>
      <c r="AE84" s="107">
        <f t="shared" si="58"/>
        <v>5.9668683001210541</v>
      </c>
      <c r="AF84" s="107"/>
      <c r="AG84" s="142">
        <f t="shared" si="59"/>
        <v>52.324858285426785</v>
      </c>
      <c r="AH84" s="210">
        <f t="shared" si="60"/>
        <v>122.96379121874963</v>
      </c>
      <c r="AI84" s="107">
        <f t="shared" si="44"/>
        <v>24.527057854220658</v>
      </c>
      <c r="AJ84" s="333">
        <v>60.95454251509689</v>
      </c>
      <c r="AK84" s="121">
        <f t="shared" si="45"/>
        <v>0</v>
      </c>
      <c r="AL84" s="107">
        <v>436</v>
      </c>
      <c r="AM84" s="107">
        <f t="shared" si="61"/>
        <v>102.73313574041431</v>
      </c>
      <c r="AN84" s="107">
        <f t="shared" si="62"/>
        <v>96.171466249089292</v>
      </c>
      <c r="AO84" s="107"/>
      <c r="AP84" s="143">
        <f t="shared" si="63"/>
        <v>843.34999357757079</v>
      </c>
      <c r="AQ84" s="34"/>
      <c r="AR84" s="29"/>
      <c r="AS84" s="124"/>
      <c r="AT84" s="138">
        <f t="shared" si="64"/>
        <v>1152.6524243291115</v>
      </c>
      <c r="AU84" s="151">
        <f t="shared" si="65"/>
        <v>3460.4297023807799</v>
      </c>
      <c r="AW84" s="1">
        <v>3</v>
      </c>
      <c r="BA84" s="30">
        <v>286.45999999999998</v>
      </c>
      <c r="BB84" s="30">
        <v>51.38</v>
      </c>
      <c r="BC84" s="30">
        <v>8.99</v>
      </c>
      <c r="BD84" s="30">
        <v>94.84</v>
      </c>
      <c r="BI84" s="333">
        <v>8.7100000000000009</v>
      </c>
      <c r="BL84" s="110">
        <f t="shared" si="67"/>
        <v>1.2233877438623886</v>
      </c>
      <c r="BM84" s="110">
        <f t="shared" si="67"/>
        <v>1.2807066670574303</v>
      </c>
      <c r="BN84" s="110">
        <f t="shared" si="67"/>
        <v>0.82443024793968056</v>
      </c>
      <c r="BO84" s="110">
        <f t="shared" si="67"/>
        <v>1.2965393422474656</v>
      </c>
    </row>
    <row r="85" spans="1:67" x14ac:dyDescent="0.25">
      <c r="A85" s="260" t="s">
        <v>414</v>
      </c>
      <c r="B85" s="237">
        <v>10</v>
      </c>
      <c r="C85" s="236">
        <f>'побудинковий звіт'!E85</f>
        <v>11363.16</v>
      </c>
      <c r="D85" s="141">
        <f t="shared" si="46"/>
        <v>631.62285827871256</v>
      </c>
      <c r="E85" s="107">
        <f t="shared" si="40"/>
        <v>130.19451420081458</v>
      </c>
      <c r="F85" s="333">
        <v>119.78317382212111</v>
      </c>
      <c r="G85" s="107">
        <f t="shared" si="41"/>
        <v>0</v>
      </c>
      <c r="H85" s="735">
        <f t="shared" si="47"/>
        <v>527.70491372423771</v>
      </c>
      <c r="I85" s="107">
        <f t="shared" si="48"/>
        <v>181.39570066090994</v>
      </c>
      <c r="J85" s="29"/>
      <c r="K85" s="142">
        <f t="shared" si="49"/>
        <v>1590.7011606867959</v>
      </c>
      <c r="L85" s="210">
        <f t="shared" si="50"/>
        <v>128.95435430601265</v>
      </c>
      <c r="M85" s="107">
        <f t="shared" si="42"/>
        <v>28.372269477851891</v>
      </c>
      <c r="N85" s="333">
        <v>18.400000000000002</v>
      </c>
      <c r="O85" s="107"/>
      <c r="P85" s="107">
        <f t="shared" si="51"/>
        <v>107.73809959770522</v>
      </c>
      <c r="Q85" s="107">
        <f t="shared" si="52"/>
        <v>36.485548072386237</v>
      </c>
      <c r="R85" s="107"/>
      <c r="S85" s="143">
        <f t="shared" si="53"/>
        <v>319.95027145395596</v>
      </c>
      <c r="T85" s="244">
        <v>498.8</v>
      </c>
      <c r="U85" s="107"/>
      <c r="V85" s="151">
        <f t="shared" si="54"/>
        <v>498.8</v>
      </c>
      <c r="W85" s="906">
        <v>125.87</v>
      </c>
      <c r="X85" s="107"/>
      <c r="Y85" s="46">
        <f t="shared" si="55"/>
        <v>125.87</v>
      </c>
      <c r="Z85" s="141">
        <f t="shared" si="56"/>
        <v>23.224200084460804</v>
      </c>
      <c r="AA85" s="107">
        <f t="shared" si="43"/>
        <v>5.1048630125094672</v>
      </c>
      <c r="AB85" s="333">
        <v>31.125</v>
      </c>
      <c r="AC85" s="107"/>
      <c r="AD85" s="107">
        <f t="shared" si="57"/>
        <v>19.403231439855361</v>
      </c>
      <c r="AE85" s="107">
        <f t="shared" si="58"/>
        <v>10.149945913406516</v>
      </c>
      <c r="AF85" s="107"/>
      <c r="AG85" s="142">
        <f t="shared" si="59"/>
        <v>89.007240450232146</v>
      </c>
      <c r="AH85" s="210">
        <f t="shared" si="60"/>
        <v>254.01798793312344</v>
      </c>
      <c r="AI85" s="107">
        <f t="shared" si="44"/>
        <v>50.667874048913021</v>
      </c>
      <c r="AJ85" s="333">
        <v>91.074699682524539</v>
      </c>
      <c r="AK85" s="121">
        <f t="shared" si="45"/>
        <v>0</v>
      </c>
      <c r="AL85" s="107"/>
      <c r="AM85" s="107">
        <f t="shared" si="61"/>
        <v>212.22560052996596</v>
      </c>
      <c r="AN85" s="107">
        <f t="shared" si="62"/>
        <v>78.255622369750938</v>
      </c>
      <c r="AO85" s="107"/>
      <c r="AP85" s="143">
        <f t="shared" si="63"/>
        <v>686.24178456427785</v>
      </c>
      <c r="AQ85" s="34"/>
      <c r="AR85" s="29"/>
      <c r="AS85" s="124"/>
      <c r="AT85" s="138">
        <f t="shared" si="64"/>
        <v>5278.3807213829232</v>
      </c>
      <c r="AU85" s="151">
        <f t="shared" si="65"/>
        <v>8588.9511785381837</v>
      </c>
      <c r="AW85" s="1">
        <v>3</v>
      </c>
      <c r="BA85" s="30">
        <v>516.29</v>
      </c>
      <c r="BB85" s="30">
        <v>100.69</v>
      </c>
      <c r="BC85" s="30">
        <v>28.17</v>
      </c>
      <c r="BD85" s="30">
        <v>195.92</v>
      </c>
      <c r="BI85" s="333">
        <v>8.7100000000000009</v>
      </c>
      <c r="BL85" s="110">
        <f t="shared" si="67"/>
        <v>1.2233877438623886</v>
      </c>
      <c r="BM85" s="110">
        <f t="shared" si="67"/>
        <v>1.2807066670574303</v>
      </c>
      <c r="BN85" s="110">
        <f t="shared" si="67"/>
        <v>0.82443024793968056</v>
      </c>
      <c r="BO85" s="110">
        <f t="shared" si="67"/>
        <v>1.2965393422474656</v>
      </c>
    </row>
    <row r="86" spans="1:67" x14ac:dyDescent="0.25">
      <c r="A86" s="260" t="s">
        <v>352</v>
      </c>
      <c r="B86" s="237">
        <v>9</v>
      </c>
      <c r="C86" s="236">
        <f>'побудинковий звіт'!E86</f>
        <v>216</v>
      </c>
      <c r="D86" s="141">
        <f t="shared" si="46"/>
        <v>370.84337673982822</v>
      </c>
      <c r="E86" s="107">
        <f t="shared" si="40"/>
        <v>76.440826430519365</v>
      </c>
      <c r="F86" s="333">
        <v>95.501121262635323</v>
      </c>
      <c r="G86" s="107">
        <f t="shared" si="41"/>
        <v>0</v>
      </c>
      <c r="H86" s="735">
        <f t="shared" si="47"/>
        <v>309.83025639857772</v>
      </c>
      <c r="I86" s="107">
        <f t="shared" si="48"/>
        <v>109.74256828360606</v>
      </c>
      <c r="J86" s="29"/>
      <c r="K86" s="142">
        <f t="shared" si="49"/>
        <v>962.35814911516673</v>
      </c>
      <c r="L86" s="210">
        <f t="shared" si="50"/>
        <v>68.038991231589407</v>
      </c>
      <c r="M86" s="107">
        <f t="shared" si="42"/>
        <v>14.969797682386972</v>
      </c>
      <c r="N86" s="333">
        <v>0</v>
      </c>
      <c r="O86" s="107"/>
      <c r="P86" s="107">
        <f t="shared" si="51"/>
        <v>56.844855323311741</v>
      </c>
      <c r="Q86" s="107">
        <f t="shared" si="52"/>
        <v>18.000958987229449</v>
      </c>
      <c r="R86" s="107"/>
      <c r="S86" s="143">
        <f t="shared" si="53"/>
        <v>157.85460322451755</v>
      </c>
      <c r="T86" s="905">
        <v>600.25833333333333</v>
      </c>
      <c r="U86" s="107"/>
      <c r="V86" s="151">
        <f t="shared" si="54"/>
        <v>600.25833333333333</v>
      </c>
      <c r="W86" s="907">
        <v>130.45833333333334</v>
      </c>
      <c r="X86" s="107"/>
      <c r="Y86" s="46">
        <f t="shared" si="55"/>
        <v>130.45833333333334</v>
      </c>
      <c r="Z86" s="141">
        <f t="shared" si="56"/>
        <v>9.4271478874683989</v>
      </c>
      <c r="AA86" s="107">
        <f t="shared" si="43"/>
        <v>2.0721617273868529</v>
      </c>
      <c r="AB86" s="333">
        <v>0</v>
      </c>
      <c r="AC86" s="107"/>
      <c r="AD86" s="107">
        <f t="shared" si="57"/>
        <v>7.8761434888206034</v>
      </c>
      <c r="AE86" s="107">
        <f t="shared" si="58"/>
        <v>2.4938694917845048</v>
      </c>
      <c r="AF86" s="107"/>
      <c r="AG86" s="142">
        <f t="shared" si="59"/>
        <v>21.869322595460361</v>
      </c>
      <c r="AH86" s="210">
        <f t="shared" si="60"/>
        <v>253.9773863185608</v>
      </c>
      <c r="AI86" s="107">
        <f t="shared" si="44"/>
        <v>50.659775419719153</v>
      </c>
      <c r="AJ86" s="333">
        <v>40.896038550222329</v>
      </c>
      <c r="AK86" s="121">
        <f t="shared" si="45"/>
        <v>0</v>
      </c>
      <c r="AL86" s="107"/>
      <c r="AM86" s="107">
        <f t="shared" si="61"/>
        <v>212.19167890849673</v>
      </c>
      <c r="AN86" s="107">
        <f t="shared" si="62"/>
        <v>71.786350161520488</v>
      </c>
      <c r="AO86" s="107"/>
      <c r="AP86" s="143">
        <f t="shared" si="63"/>
        <v>629.51122935851936</v>
      </c>
      <c r="AQ86" s="34"/>
      <c r="AR86" s="29"/>
      <c r="AS86" s="124"/>
      <c r="AT86" s="138">
        <f t="shared" si="64"/>
        <v>100.33566682319983</v>
      </c>
      <c r="AU86" s="151">
        <f t="shared" si="65"/>
        <v>2602.6456377835302</v>
      </c>
      <c r="AW86" s="1">
        <v>1</v>
      </c>
      <c r="BA86" s="30">
        <v>431.71</v>
      </c>
      <c r="BB86" s="30">
        <v>73.790000000000006</v>
      </c>
      <c r="BC86" s="30">
        <v>26.37</v>
      </c>
      <c r="BD86" s="30">
        <v>306.10000000000002</v>
      </c>
      <c r="BF86" s="289">
        <f>T86*1.2</f>
        <v>720.31</v>
      </c>
      <c r="BI86" s="333">
        <v>0</v>
      </c>
      <c r="BL86" s="110">
        <f t="shared" ref="BL86:BL96" si="68">$BA$397</f>
        <v>0.85901039294857251</v>
      </c>
      <c r="BM86" s="110">
        <f t="shared" ref="BM86:BM96" si="69">$BB$397</f>
        <v>0.92206249128051765</v>
      </c>
      <c r="BN86" s="110">
        <f t="shared" ref="BN86:BN96" si="70">$BC$397</f>
        <v>0.35749517965371247</v>
      </c>
      <c r="BO86" s="110">
        <f t="shared" ref="BO86:BO96" si="71">$BD$397</f>
        <v>0.82972030812989472</v>
      </c>
    </row>
    <row r="87" spans="1:67" x14ac:dyDescent="0.25">
      <c r="A87" s="434" t="s">
        <v>76</v>
      </c>
      <c r="B87" s="238">
        <v>1</v>
      </c>
      <c r="C87" s="236">
        <f>'побудинковий звіт'!E87</f>
        <v>216.8</v>
      </c>
      <c r="D87" s="141">
        <f t="shared" si="46"/>
        <v>4.3208222765313202</v>
      </c>
      <c r="E87" s="107">
        <f t="shared" si="40"/>
        <v>0.89063806014572855</v>
      </c>
      <c r="F87" s="333">
        <v>0</v>
      </c>
      <c r="G87" s="107">
        <f t="shared" si="41"/>
        <v>0</v>
      </c>
      <c r="H87" s="735">
        <f t="shared" si="47"/>
        <v>3.6099376657590652</v>
      </c>
      <c r="I87" s="107">
        <f t="shared" si="48"/>
        <v>1.1354271425523736</v>
      </c>
      <c r="J87" s="29"/>
      <c r="K87" s="142">
        <f t="shared" si="49"/>
        <v>9.9568251449884873</v>
      </c>
      <c r="L87" s="210">
        <f t="shared" si="50"/>
        <v>0</v>
      </c>
      <c r="M87" s="107">
        <f t="shared" si="42"/>
        <v>0</v>
      </c>
      <c r="N87" s="333">
        <v>0</v>
      </c>
      <c r="O87" s="107"/>
      <c r="P87" s="107">
        <f t="shared" si="51"/>
        <v>0</v>
      </c>
      <c r="Q87" s="107">
        <f t="shared" si="52"/>
        <v>0</v>
      </c>
      <c r="R87" s="107"/>
      <c r="S87" s="143">
        <f t="shared" si="53"/>
        <v>0</v>
      </c>
      <c r="T87" s="245"/>
      <c r="U87" s="107"/>
      <c r="V87" s="151">
        <f t="shared" si="54"/>
        <v>0</v>
      </c>
      <c r="W87" s="246"/>
      <c r="X87" s="107"/>
      <c r="Y87" s="46">
        <f t="shared" si="55"/>
        <v>0</v>
      </c>
      <c r="Z87" s="141">
        <f t="shared" si="56"/>
        <v>0</v>
      </c>
      <c r="AA87" s="107">
        <f t="shared" si="43"/>
        <v>0</v>
      </c>
      <c r="AB87" s="333">
        <v>0</v>
      </c>
      <c r="AC87" s="107"/>
      <c r="AD87" s="107">
        <f t="shared" si="57"/>
        <v>0</v>
      </c>
      <c r="AE87" s="107">
        <f t="shared" si="58"/>
        <v>0</v>
      </c>
      <c r="AF87" s="107"/>
      <c r="AG87" s="142">
        <f t="shared" si="59"/>
        <v>0</v>
      </c>
      <c r="AH87" s="210">
        <f t="shared" si="60"/>
        <v>0</v>
      </c>
      <c r="AI87" s="107">
        <f t="shared" si="44"/>
        <v>0</v>
      </c>
      <c r="AJ87" s="333">
        <v>0</v>
      </c>
      <c r="AK87" s="121">
        <f t="shared" si="45"/>
        <v>0</v>
      </c>
      <c r="AL87" s="107"/>
      <c r="AM87" s="107">
        <f t="shared" si="61"/>
        <v>0</v>
      </c>
      <c r="AN87" s="107">
        <f t="shared" si="62"/>
        <v>0</v>
      </c>
      <c r="AO87" s="107"/>
      <c r="AP87" s="143">
        <f t="shared" si="63"/>
        <v>0</v>
      </c>
      <c r="AQ87" s="34"/>
      <c r="AR87" s="29"/>
      <c r="AS87" s="124"/>
      <c r="AT87" s="138">
        <f t="shared" si="64"/>
        <v>0</v>
      </c>
      <c r="AU87" s="151">
        <f t="shared" si="65"/>
        <v>9.9568251449884873</v>
      </c>
      <c r="AW87" s="1">
        <v>1</v>
      </c>
      <c r="BA87" s="30">
        <v>5.03</v>
      </c>
      <c r="BB87" s="30">
        <v>0</v>
      </c>
      <c r="BC87" s="30">
        <v>0</v>
      </c>
      <c r="BD87" s="30">
        <v>0</v>
      </c>
      <c r="BI87" s="333">
        <v>0</v>
      </c>
      <c r="BL87" s="110">
        <f t="shared" si="68"/>
        <v>0.85901039294857251</v>
      </c>
      <c r="BM87" s="110">
        <f t="shared" si="69"/>
        <v>0.92206249128051765</v>
      </c>
      <c r="BN87" s="110">
        <f t="shared" si="70"/>
        <v>0.35749517965371247</v>
      </c>
      <c r="BO87" s="110">
        <f t="shared" si="71"/>
        <v>0.82972030812989472</v>
      </c>
    </row>
    <row r="88" spans="1:67" x14ac:dyDescent="0.25">
      <c r="A88" s="260" t="s">
        <v>353</v>
      </c>
      <c r="B88" s="237">
        <v>9</v>
      </c>
      <c r="C88" s="236">
        <f>'побудинковий звіт'!E88</f>
        <v>254.1</v>
      </c>
      <c r="D88" s="141">
        <f t="shared" si="46"/>
        <v>711.53548868716166</v>
      </c>
      <c r="E88" s="107">
        <f t="shared" si="40"/>
        <v>146.6666636142962</v>
      </c>
      <c r="F88" s="333">
        <v>197.3679034147271</v>
      </c>
      <c r="G88" s="107">
        <f t="shared" si="41"/>
        <v>0</v>
      </c>
      <c r="H88" s="735">
        <f t="shared" si="47"/>
        <v>594.46989409573541</v>
      </c>
      <c r="I88" s="107">
        <f t="shared" si="48"/>
        <v>212.38131924155624</v>
      </c>
      <c r="J88" s="29"/>
      <c r="K88" s="142">
        <f t="shared" si="49"/>
        <v>1862.4212690534766</v>
      </c>
      <c r="L88" s="210">
        <f t="shared" si="50"/>
        <v>128.40642253572489</v>
      </c>
      <c r="M88" s="107">
        <f t="shared" si="42"/>
        <v>28.251714666610777</v>
      </c>
      <c r="N88" s="333">
        <v>36.799999999999997</v>
      </c>
      <c r="O88" s="107"/>
      <c r="P88" s="107">
        <f t="shared" si="51"/>
        <v>107.2803164700419</v>
      </c>
      <c r="Q88" s="107">
        <f t="shared" si="52"/>
        <v>38.708898863258156</v>
      </c>
      <c r="R88" s="107"/>
      <c r="S88" s="143">
        <f t="shared" si="53"/>
        <v>339.44735253563567</v>
      </c>
      <c r="T88" s="905">
        <v>1258.0500000000002</v>
      </c>
      <c r="U88" s="107"/>
      <c r="V88" s="151">
        <f t="shared" si="54"/>
        <v>1258.0500000000002</v>
      </c>
      <c r="W88" s="907">
        <v>261.91666666666669</v>
      </c>
      <c r="X88" s="107"/>
      <c r="Y88" s="46">
        <f t="shared" si="55"/>
        <v>261.91666666666669</v>
      </c>
      <c r="Z88" s="141">
        <f t="shared" si="56"/>
        <v>55.712048797234552</v>
      </c>
      <c r="AA88" s="107">
        <f t="shared" si="43"/>
        <v>12.245949321045396</v>
      </c>
      <c r="AB88" s="333">
        <v>65.100000000000009</v>
      </c>
      <c r="AC88" s="107"/>
      <c r="AD88" s="107">
        <f t="shared" si="57"/>
        <v>46.546006875153687</v>
      </c>
      <c r="AE88" s="107">
        <f t="shared" si="58"/>
        <v>23.117340598886951</v>
      </c>
      <c r="AF88" s="107"/>
      <c r="AG88" s="142">
        <f t="shared" si="59"/>
        <v>202.7213455923206</v>
      </c>
      <c r="AH88" s="210">
        <f t="shared" si="60"/>
        <v>558.81662752548414</v>
      </c>
      <c r="AI88" s="107">
        <f t="shared" si="44"/>
        <v>111.46474598229614</v>
      </c>
      <c r="AJ88" s="333">
        <v>131.11801696053203</v>
      </c>
      <c r="AK88" s="121">
        <f t="shared" si="45"/>
        <v>0</v>
      </c>
      <c r="AL88" s="107"/>
      <c r="AM88" s="107">
        <f t="shared" si="61"/>
        <v>466.87715042428141</v>
      </c>
      <c r="AN88" s="107">
        <f t="shared" si="62"/>
        <v>163.24346871031173</v>
      </c>
      <c r="AO88" s="107"/>
      <c r="AP88" s="143">
        <f t="shared" si="63"/>
        <v>1431.5200096029052</v>
      </c>
      <c r="AQ88" s="34"/>
      <c r="AR88" s="29"/>
      <c r="AS88" s="124"/>
      <c r="AT88" s="138">
        <f t="shared" si="64"/>
        <v>118.0337636100698</v>
      </c>
      <c r="AU88" s="151">
        <f t="shared" si="65"/>
        <v>5474.1104070610736</v>
      </c>
      <c r="AW88" s="1">
        <v>1</v>
      </c>
      <c r="BA88" s="30">
        <v>828.32</v>
      </c>
      <c r="BB88" s="30">
        <v>139.26</v>
      </c>
      <c r="BC88" s="30">
        <v>155.84</v>
      </c>
      <c r="BD88" s="30">
        <v>673.5</v>
      </c>
      <c r="BF88" s="289">
        <f>T88*1.2</f>
        <v>1509.66</v>
      </c>
      <c r="BI88" s="333">
        <v>0</v>
      </c>
      <c r="BL88" s="110">
        <f t="shared" si="68"/>
        <v>0.85901039294857251</v>
      </c>
      <c r="BM88" s="110">
        <f t="shared" si="69"/>
        <v>0.92206249128051765</v>
      </c>
      <c r="BN88" s="110">
        <f t="shared" si="70"/>
        <v>0.35749517965371247</v>
      </c>
      <c r="BO88" s="110">
        <f t="shared" si="71"/>
        <v>0.82972030812989472</v>
      </c>
    </row>
    <row r="89" spans="1:67" x14ac:dyDescent="0.25">
      <c r="A89" s="434" t="s">
        <v>77</v>
      </c>
      <c r="B89" s="238">
        <v>1</v>
      </c>
      <c r="C89" s="236">
        <f>'побудинковий звіт'!E89</f>
        <v>397.8</v>
      </c>
      <c r="D89" s="141">
        <f t="shared" si="46"/>
        <v>0</v>
      </c>
      <c r="E89" s="107">
        <f t="shared" si="40"/>
        <v>0</v>
      </c>
      <c r="F89" s="333">
        <v>0</v>
      </c>
      <c r="G89" s="107">
        <f t="shared" si="41"/>
        <v>0</v>
      </c>
      <c r="H89" s="735">
        <f t="shared" si="47"/>
        <v>0</v>
      </c>
      <c r="I89" s="107">
        <f t="shared" si="48"/>
        <v>0</v>
      </c>
      <c r="J89" s="29"/>
      <c r="K89" s="142">
        <f t="shared" si="49"/>
        <v>0</v>
      </c>
      <c r="L89" s="210">
        <f t="shared" si="50"/>
        <v>0</v>
      </c>
      <c r="M89" s="107">
        <f t="shared" si="42"/>
        <v>0</v>
      </c>
      <c r="N89" s="333">
        <v>0</v>
      </c>
      <c r="O89" s="107"/>
      <c r="P89" s="107">
        <f t="shared" si="51"/>
        <v>0</v>
      </c>
      <c r="Q89" s="107">
        <f t="shared" si="52"/>
        <v>0</v>
      </c>
      <c r="R89" s="107"/>
      <c r="S89" s="143">
        <f t="shared" si="53"/>
        <v>0</v>
      </c>
      <c r="T89" s="245"/>
      <c r="U89" s="107"/>
      <c r="V89" s="151">
        <f t="shared" si="54"/>
        <v>0</v>
      </c>
      <c r="W89" s="246"/>
      <c r="X89" s="107"/>
      <c r="Y89" s="46">
        <f t="shared" si="55"/>
        <v>0</v>
      </c>
      <c r="Z89" s="141">
        <f t="shared" si="56"/>
        <v>0</v>
      </c>
      <c r="AA89" s="107">
        <f t="shared" si="43"/>
        <v>0</v>
      </c>
      <c r="AB89" s="333">
        <v>0</v>
      </c>
      <c r="AC89" s="107"/>
      <c r="AD89" s="107">
        <f t="shared" si="57"/>
        <v>0</v>
      </c>
      <c r="AE89" s="107">
        <f t="shared" si="58"/>
        <v>0</v>
      </c>
      <c r="AF89" s="107"/>
      <c r="AG89" s="142">
        <f t="shared" si="59"/>
        <v>0</v>
      </c>
      <c r="AH89" s="210">
        <f t="shared" si="60"/>
        <v>0</v>
      </c>
      <c r="AI89" s="107">
        <f t="shared" si="44"/>
        <v>0</v>
      </c>
      <c r="AJ89" s="333">
        <v>0</v>
      </c>
      <c r="AK89" s="121">
        <f t="shared" si="45"/>
        <v>0</v>
      </c>
      <c r="AL89" s="107"/>
      <c r="AM89" s="107">
        <f t="shared" si="61"/>
        <v>0</v>
      </c>
      <c r="AN89" s="107">
        <f t="shared" si="62"/>
        <v>0</v>
      </c>
      <c r="AO89" s="107"/>
      <c r="AP89" s="143">
        <f t="shared" si="63"/>
        <v>0</v>
      </c>
      <c r="AQ89" s="34"/>
      <c r="AR89" s="29"/>
      <c r="AS89" s="124"/>
      <c r="AT89" s="138">
        <f t="shared" si="64"/>
        <v>0</v>
      </c>
      <c r="AU89" s="151">
        <f t="shared" si="65"/>
        <v>0</v>
      </c>
      <c r="AW89" s="1">
        <v>1</v>
      </c>
      <c r="BA89" s="30">
        <v>0</v>
      </c>
      <c r="BB89" s="30">
        <v>0</v>
      </c>
      <c r="BC89" s="30">
        <v>0</v>
      </c>
      <c r="BD89" s="30">
        <v>0</v>
      </c>
      <c r="BI89" s="333">
        <v>0</v>
      </c>
      <c r="BL89" s="110">
        <f t="shared" si="68"/>
        <v>0.85901039294857251</v>
      </c>
      <c r="BM89" s="110">
        <f t="shared" si="69"/>
        <v>0.92206249128051765</v>
      </c>
      <c r="BN89" s="110">
        <f t="shared" si="70"/>
        <v>0.35749517965371247</v>
      </c>
      <c r="BO89" s="110">
        <f t="shared" si="71"/>
        <v>0.82972030812989472</v>
      </c>
    </row>
    <row r="90" spans="1:67" x14ac:dyDescent="0.25">
      <c r="A90" s="260" t="s">
        <v>255</v>
      </c>
      <c r="B90" s="237">
        <v>5</v>
      </c>
      <c r="C90" s="236">
        <f>'побудинковий звіт'!E90</f>
        <v>364.1</v>
      </c>
      <c r="D90" s="141">
        <f t="shared" si="46"/>
        <v>177.505907598893</v>
      </c>
      <c r="E90" s="107">
        <f t="shared" si="40"/>
        <v>36.588757206463875</v>
      </c>
      <c r="F90" s="333">
        <v>38.477401351517749</v>
      </c>
      <c r="G90" s="107">
        <f t="shared" si="41"/>
        <v>0</v>
      </c>
      <c r="H90" s="735">
        <f t="shared" si="47"/>
        <v>148.30169368836044</v>
      </c>
      <c r="I90" s="107">
        <f t="shared" si="48"/>
        <v>51.597597970254164</v>
      </c>
      <c r="J90" s="29"/>
      <c r="K90" s="142">
        <f t="shared" si="49"/>
        <v>452.47135781548928</v>
      </c>
      <c r="L90" s="210">
        <f t="shared" si="50"/>
        <v>36.486012779970082</v>
      </c>
      <c r="M90" s="107">
        <f t="shared" si="42"/>
        <v>8.0275768300860868</v>
      </c>
      <c r="N90" s="333">
        <v>0</v>
      </c>
      <c r="O90" s="107"/>
      <c r="P90" s="107">
        <f t="shared" si="51"/>
        <v>30.483140332612077</v>
      </c>
      <c r="Q90" s="107">
        <f t="shared" si="52"/>
        <v>9.6530417011067797</v>
      </c>
      <c r="R90" s="107"/>
      <c r="S90" s="143">
        <f t="shared" si="53"/>
        <v>84.64977164377504</v>
      </c>
      <c r="T90" s="905">
        <v>234.24166666666665</v>
      </c>
      <c r="U90" s="107"/>
      <c r="V90" s="151">
        <f t="shared" si="54"/>
        <v>234.24166666666665</v>
      </c>
      <c r="W90" s="246"/>
      <c r="X90" s="107"/>
      <c r="Y90" s="46">
        <f t="shared" si="55"/>
        <v>0</v>
      </c>
      <c r="Z90" s="141">
        <f t="shared" si="56"/>
        <v>0</v>
      </c>
      <c r="AA90" s="107">
        <f t="shared" si="43"/>
        <v>0</v>
      </c>
      <c r="AB90" s="333">
        <v>0</v>
      </c>
      <c r="AC90" s="107"/>
      <c r="AD90" s="107">
        <f t="shared" si="57"/>
        <v>0</v>
      </c>
      <c r="AE90" s="107">
        <f t="shared" si="58"/>
        <v>0</v>
      </c>
      <c r="AF90" s="107"/>
      <c r="AG90" s="142">
        <f t="shared" si="59"/>
        <v>0</v>
      </c>
      <c r="AH90" s="210">
        <f t="shared" si="60"/>
        <v>81.553209086087364</v>
      </c>
      <c r="AI90" s="107">
        <f t="shared" si="44"/>
        <v>16.267067383221811</v>
      </c>
      <c r="AJ90" s="333">
        <v>26.277013758368351</v>
      </c>
      <c r="AK90" s="121">
        <f t="shared" si="45"/>
        <v>0</v>
      </c>
      <c r="AL90" s="107"/>
      <c r="AM90" s="107">
        <f t="shared" si="61"/>
        <v>68.13564233883092</v>
      </c>
      <c r="AN90" s="107">
        <f t="shared" si="62"/>
        <v>24.742845665525738</v>
      </c>
      <c r="AO90" s="107"/>
      <c r="AP90" s="143">
        <f t="shared" si="63"/>
        <v>216.9757782320342</v>
      </c>
      <c r="AQ90" s="34"/>
      <c r="AR90" s="29"/>
      <c r="AS90" s="124"/>
      <c r="AT90" s="138">
        <f t="shared" si="64"/>
        <v>169.13063097373637</v>
      </c>
      <c r="AU90" s="151">
        <f t="shared" si="65"/>
        <v>1157.4692053317015</v>
      </c>
      <c r="AW90" s="1">
        <v>1</v>
      </c>
      <c r="BA90" s="30">
        <v>206.64</v>
      </c>
      <c r="BB90" s="30">
        <v>39.57</v>
      </c>
      <c r="BC90" s="30">
        <v>0</v>
      </c>
      <c r="BD90" s="30">
        <v>98.29</v>
      </c>
      <c r="BF90" s="289">
        <f>T90*1.2</f>
        <v>281.08999999999997</v>
      </c>
      <c r="BI90" s="333">
        <v>0</v>
      </c>
      <c r="BL90" s="110">
        <f t="shared" si="68"/>
        <v>0.85901039294857251</v>
      </c>
      <c r="BM90" s="110">
        <f t="shared" si="69"/>
        <v>0.92206249128051765</v>
      </c>
      <c r="BN90" s="110">
        <f t="shared" si="70"/>
        <v>0.35749517965371247</v>
      </c>
      <c r="BO90" s="110">
        <f t="shared" si="71"/>
        <v>0.82972030812989472</v>
      </c>
    </row>
    <row r="91" spans="1:67" x14ac:dyDescent="0.25">
      <c r="A91" s="260" t="s">
        <v>354</v>
      </c>
      <c r="B91" s="237">
        <v>9</v>
      </c>
      <c r="C91" s="236">
        <f>'побудинковий звіт'!E91</f>
        <v>431.8</v>
      </c>
      <c r="D91" s="141">
        <f t="shared" si="46"/>
        <v>703.19449777163095</v>
      </c>
      <c r="E91" s="107">
        <f t="shared" si="40"/>
        <v>144.94736032125144</v>
      </c>
      <c r="F91" s="333">
        <v>188.00681616465275</v>
      </c>
      <c r="G91" s="107">
        <f t="shared" si="41"/>
        <v>0</v>
      </c>
      <c r="H91" s="735">
        <f t="shared" si="47"/>
        <v>587.50120726978685</v>
      </c>
      <c r="I91" s="107">
        <f t="shared" si="48"/>
        <v>208.98457874579029</v>
      </c>
      <c r="J91" s="29"/>
      <c r="K91" s="142">
        <f t="shared" si="49"/>
        <v>1832.6344602731122</v>
      </c>
      <c r="L91" s="210">
        <f t="shared" si="50"/>
        <v>128.40642253572489</v>
      </c>
      <c r="M91" s="107">
        <f t="shared" si="42"/>
        <v>28.251714666610777</v>
      </c>
      <c r="N91" s="333">
        <v>18.399999999999999</v>
      </c>
      <c r="O91" s="107"/>
      <c r="P91" s="107">
        <f t="shared" si="51"/>
        <v>107.2803164700419</v>
      </c>
      <c r="Q91" s="107">
        <f t="shared" si="52"/>
        <v>36.340582705525087</v>
      </c>
      <c r="R91" s="107"/>
      <c r="S91" s="143">
        <f t="shared" si="53"/>
        <v>318.67903637790266</v>
      </c>
      <c r="T91" s="905">
        <v>1171.5833333333335</v>
      </c>
      <c r="U91" s="107"/>
      <c r="V91" s="151">
        <f t="shared" si="54"/>
        <v>1171.5833333333335</v>
      </c>
      <c r="W91" s="907">
        <v>249.7166666666667</v>
      </c>
      <c r="X91" s="107"/>
      <c r="Y91" s="46">
        <f t="shared" si="55"/>
        <v>249.7166666666667</v>
      </c>
      <c r="Z91" s="141">
        <f t="shared" si="56"/>
        <v>55.712048797234552</v>
      </c>
      <c r="AA91" s="107">
        <f t="shared" si="43"/>
        <v>12.245949321045396</v>
      </c>
      <c r="AB91" s="333">
        <v>43.4</v>
      </c>
      <c r="AC91" s="107"/>
      <c r="AD91" s="107">
        <f t="shared" si="57"/>
        <v>46.546006875153687</v>
      </c>
      <c r="AE91" s="107">
        <f t="shared" si="58"/>
        <v>20.324272086777839</v>
      </c>
      <c r="AF91" s="107"/>
      <c r="AG91" s="142">
        <f t="shared" si="59"/>
        <v>178.22827708021146</v>
      </c>
      <c r="AH91" s="210">
        <f t="shared" si="60"/>
        <v>558.81662752548414</v>
      </c>
      <c r="AI91" s="107">
        <f t="shared" si="44"/>
        <v>111.46474598229614</v>
      </c>
      <c r="AJ91" s="333">
        <v>202.909358423443</v>
      </c>
      <c r="AK91" s="121">
        <f t="shared" si="45"/>
        <v>0</v>
      </c>
      <c r="AL91" s="107">
        <v>2000</v>
      </c>
      <c r="AM91" s="107">
        <f t="shared" si="61"/>
        <v>466.87715042428141</v>
      </c>
      <c r="AN91" s="107">
        <f t="shared" si="62"/>
        <v>429.90960509281626</v>
      </c>
      <c r="AO91" s="107"/>
      <c r="AP91" s="143">
        <f t="shared" si="63"/>
        <v>3769.977487448321</v>
      </c>
      <c r="AQ91" s="34"/>
      <c r="AR91" s="29"/>
      <c r="AS91" s="124"/>
      <c r="AT91" s="138">
        <f t="shared" si="64"/>
        <v>200.578430251193</v>
      </c>
      <c r="AU91" s="151">
        <f t="shared" si="65"/>
        <v>7721.3976914307405</v>
      </c>
      <c r="AW91" s="1">
        <v>1</v>
      </c>
      <c r="BA91" s="30">
        <v>818.61</v>
      </c>
      <c r="BB91" s="30">
        <v>139.26</v>
      </c>
      <c r="BC91" s="30">
        <v>155.84</v>
      </c>
      <c r="BD91" s="30">
        <v>673.5</v>
      </c>
      <c r="BF91" s="289">
        <f>T91*1.2</f>
        <v>1405.9</v>
      </c>
      <c r="BI91" s="333">
        <v>0</v>
      </c>
      <c r="BL91" s="110">
        <f t="shared" si="68"/>
        <v>0.85901039294857251</v>
      </c>
      <c r="BM91" s="110">
        <f t="shared" si="69"/>
        <v>0.92206249128051765</v>
      </c>
      <c r="BN91" s="110">
        <f t="shared" si="70"/>
        <v>0.35749517965371247</v>
      </c>
      <c r="BO91" s="110">
        <f t="shared" si="71"/>
        <v>0.82972030812989472</v>
      </c>
    </row>
    <row r="92" spans="1:67" x14ac:dyDescent="0.25">
      <c r="A92" s="260" t="s">
        <v>355</v>
      </c>
      <c r="B92" s="237">
        <v>9</v>
      </c>
      <c r="C92" s="236">
        <f>'побудинковий звіт'!E92</f>
        <v>234.89999999999998</v>
      </c>
      <c r="D92" s="141">
        <f t="shared" si="46"/>
        <v>284.22076871489418</v>
      </c>
      <c r="E92" s="107">
        <f t="shared" si="40"/>
        <v>58.585569574635613</v>
      </c>
      <c r="F92" s="333">
        <v>76.52731879225405</v>
      </c>
      <c r="G92" s="107">
        <f t="shared" si="41"/>
        <v>0</v>
      </c>
      <c r="H92" s="735">
        <f t="shared" si="47"/>
        <v>237.45925953672003</v>
      </c>
      <c r="I92" s="107">
        <f t="shared" si="48"/>
        <v>84.537678082186488</v>
      </c>
      <c r="J92" s="29"/>
      <c r="K92" s="142">
        <f t="shared" si="49"/>
        <v>741.33059470069031</v>
      </c>
      <c r="L92" s="210">
        <f t="shared" si="50"/>
        <v>61.805848790533098</v>
      </c>
      <c r="M92" s="107">
        <f t="shared" si="42"/>
        <v>13.598394615129402</v>
      </c>
      <c r="N92" s="333">
        <v>0</v>
      </c>
      <c r="O92" s="107"/>
      <c r="P92" s="107">
        <f t="shared" si="51"/>
        <v>51.637222554839212</v>
      </c>
      <c r="Q92" s="107">
        <f t="shared" si="52"/>
        <v>16.351867203062607</v>
      </c>
      <c r="R92" s="107"/>
      <c r="S92" s="143">
        <f t="shared" si="53"/>
        <v>143.39333316356431</v>
      </c>
      <c r="T92" s="905">
        <v>525.55833333333328</v>
      </c>
      <c r="U92" s="107"/>
      <c r="V92" s="151">
        <f t="shared" si="54"/>
        <v>525.55833333333328</v>
      </c>
      <c r="W92" s="907">
        <v>96.208333333333343</v>
      </c>
      <c r="X92" s="107"/>
      <c r="Y92" s="46">
        <f t="shared" si="55"/>
        <v>96.208333333333343</v>
      </c>
      <c r="Z92" s="141">
        <f t="shared" si="56"/>
        <v>9.4271478874683989</v>
      </c>
      <c r="AA92" s="107">
        <f t="shared" si="43"/>
        <v>2.0721617273868529</v>
      </c>
      <c r="AB92" s="333">
        <v>0</v>
      </c>
      <c r="AC92" s="107"/>
      <c r="AD92" s="107">
        <f t="shared" si="57"/>
        <v>7.8761434888206034</v>
      </c>
      <c r="AE92" s="107">
        <f t="shared" si="58"/>
        <v>2.4938694917845048</v>
      </c>
      <c r="AF92" s="107"/>
      <c r="AG92" s="142">
        <f t="shared" si="59"/>
        <v>21.869322595460361</v>
      </c>
      <c r="AH92" s="210">
        <f t="shared" si="60"/>
        <v>197.43194731950845</v>
      </c>
      <c r="AI92" s="107">
        <f t="shared" si="44"/>
        <v>39.380900232349468</v>
      </c>
      <c r="AJ92" s="333">
        <v>32.77096790168946</v>
      </c>
      <c r="AK92" s="121">
        <f t="shared" si="45"/>
        <v>0</v>
      </c>
      <c r="AL92" s="107"/>
      <c r="AM92" s="107">
        <f t="shared" si="61"/>
        <v>164.94939561018225</v>
      </c>
      <c r="AN92" s="107">
        <f t="shared" si="62"/>
        <v>55.930001349666583</v>
      </c>
      <c r="AO92" s="107"/>
      <c r="AP92" s="143">
        <f t="shared" si="63"/>
        <v>490.46321241339615</v>
      </c>
      <c r="AQ92" s="34"/>
      <c r="AR92" s="29"/>
      <c r="AS92" s="124"/>
      <c r="AT92" s="138">
        <f t="shared" si="64"/>
        <v>109.1150376702298</v>
      </c>
      <c r="AU92" s="151">
        <f t="shared" si="65"/>
        <v>2127.9381672100076</v>
      </c>
      <c r="AW92" s="1">
        <v>1</v>
      </c>
      <c r="BA92" s="30">
        <v>330.87</v>
      </c>
      <c r="BB92" s="30">
        <v>67.03</v>
      </c>
      <c r="BC92" s="30">
        <v>26.37</v>
      </c>
      <c r="BD92" s="30">
        <v>237.95</v>
      </c>
      <c r="BF92" s="289">
        <f t="shared" ref="BF92:BF97" si="72">T92*1.2</f>
        <v>630.66999999999996</v>
      </c>
      <c r="BI92" s="333">
        <v>8.51</v>
      </c>
      <c r="BL92" s="110">
        <f t="shared" si="68"/>
        <v>0.85901039294857251</v>
      </c>
      <c r="BM92" s="110">
        <f t="shared" si="69"/>
        <v>0.92206249128051765</v>
      </c>
      <c r="BN92" s="110">
        <f t="shared" si="70"/>
        <v>0.35749517965371247</v>
      </c>
      <c r="BO92" s="110">
        <f t="shared" si="71"/>
        <v>0.82972030812989472</v>
      </c>
    </row>
    <row r="93" spans="1:67" x14ac:dyDescent="0.25">
      <c r="A93" s="260" t="s">
        <v>356</v>
      </c>
      <c r="B93" s="237">
        <v>9</v>
      </c>
      <c r="C93" s="236">
        <f>'побудинковий звіт'!E93</f>
        <v>295.29999999999995</v>
      </c>
      <c r="D93" s="141">
        <f t="shared" si="46"/>
        <v>451.63330419664146</v>
      </c>
      <c r="E93" s="107">
        <f t="shared" si="40"/>
        <v>93.093810437816728</v>
      </c>
      <c r="F93" s="333">
        <v>94.239334629295556</v>
      </c>
      <c r="G93" s="107">
        <f t="shared" si="41"/>
        <v>0</v>
      </c>
      <c r="H93" s="735">
        <f t="shared" si="47"/>
        <v>377.3281962523829</v>
      </c>
      <c r="I93" s="107">
        <f t="shared" si="48"/>
        <v>130.81016467355809</v>
      </c>
      <c r="J93" s="29"/>
      <c r="K93" s="142">
        <f t="shared" si="49"/>
        <v>1147.1048101896947</v>
      </c>
      <c r="L93" s="210">
        <f t="shared" si="50"/>
        <v>75.39704991200793</v>
      </c>
      <c r="M93" s="107">
        <f t="shared" si="42"/>
        <v>16.588702486634809</v>
      </c>
      <c r="N93" s="333">
        <v>0</v>
      </c>
      <c r="O93" s="107"/>
      <c r="P93" s="107">
        <f t="shared" si="51"/>
        <v>62.992327141715684</v>
      </c>
      <c r="Q93" s="107">
        <f t="shared" si="52"/>
        <v>19.947667927710423</v>
      </c>
      <c r="R93" s="107"/>
      <c r="S93" s="143">
        <f t="shared" si="53"/>
        <v>174.92574746806886</v>
      </c>
      <c r="T93" s="905">
        <v>608.72500000000002</v>
      </c>
      <c r="U93" s="107"/>
      <c r="V93" s="151">
        <f t="shared" si="54"/>
        <v>608.72500000000002</v>
      </c>
      <c r="W93" s="907">
        <v>117.75833333333334</v>
      </c>
      <c r="X93" s="107"/>
      <c r="Y93" s="46">
        <f t="shared" si="55"/>
        <v>117.75833333333334</v>
      </c>
      <c r="Z93" s="141">
        <f t="shared" si="56"/>
        <v>9.4271478874683989</v>
      </c>
      <c r="AA93" s="107">
        <f t="shared" si="43"/>
        <v>2.0721617273868529</v>
      </c>
      <c r="AB93" s="333">
        <v>0</v>
      </c>
      <c r="AC93" s="107"/>
      <c r="AD93" s="107">
        <f t="shared" si="57"/>
        <v>7.8761434888206034</v>
      </c>
      <c r="AE93" s="107">
        <f t="shared" si="58"/>
        <v>2.4938694917845048</v>
      </c>
      <c r="AF93" s="107"/>
      <c r="AG93" s="142">
        <f t="shared" si="59"/>
        <v>21.869322595460361</v>
      </c>
      <c r="AH93" s="210">
        <f t="shared" si="60"/>
        <v>156.8337326427127</v>
      </c>
      <c r="AI93" s="107">
        <f t="shared" si="44"/>
        <v>31.282949199069957</v>
      </c>
      <c r="AJ93" s="333">
        <v>40.355709032443073</v>
      </c>
      <c r="AK93" s="121">
        <f t="shared" si="45"/>
        <v>0</v>
      </c>
      <c r="AL93" s="107"/>
      <c r="AM93" s="107">
        <f t="shared" si="61"/>
        <v>131.03061465953624</v>
      </c>
      <c r="AN93" s="107">
        <f t="shared" si="62"/>
        <v>46.272650910826613</v>
      </c>
      <c r="AO93" s="107"/>
      <c r="AP93" s="143">
        <f t="shared" si="63"/>
        <v>405.77565644458855</v>
      </c>
      <c r="AQ93" s="34"/>
      <c r="AR93" s="29"/>
      <c r="AS93" s="124"/>
      <c r="AT93" s="138">
        <f t="shared" si="64"/>
        <v>137.17186302264307</v>
      </c>
      <c r="AU93" s="151">
        <f t="shared" si="65"/>
        <v>2613.3307330537891</v>
      </c>
      <c r="AW93" s="1">
        <v>1</v>
      </c>
      <c r="BA93" s="30">
        <v>525.76</v>
      </c>
      <c r="BB93" s="30">
        <v>81.77</v>
      </c>
      <c r="BC93" s="30">
        <v>26.37</v>
      </c>
      <c r="BD93" s="30">
        <v>189.02</v>
      </c>
      <c r="BF93" s="289">
        <f t="shared" si="72"/>
        <v>730.47</v>
      </c>
      <c r="BI93" s="333">
        <v>8.51</v>
      </c>
      <c r="BL93" s="110">
        <f t="shared" si="68"/>
        <v>0.85901039294857251</v>
      </c>
      <c r="BM93" s="110">
        <f t="shared" si="69"/>
        <v>0.92206249128051765</v>
      </c>
      <c r="BN93" s="110">
        <f t="shared" si="70"/>
        <v>0.35749517965371247</v>
      </c>
      <c r="BO93" s="110">
        <f t="shared" si="71"/>
        <v>0.82972030812989472</v>
      </c>
    </row>
    <row r="94" spans="1:67" x14ac:dyDescent="0.25">
      <c r="A94" s="260" t="s">
        <v>415</v>
      </c>
      <c r="B94" s="237">
        <v>10</v>
      </c>
      <c r="C94" s="236">
        <f>'побудинковий звіт'!E94</f>
        <v>5112.4000000000005</v>
      </c>
      <c r="D94" s="141">
        <f t="shared" si="46"/>
        <v>492.59950983635895</v>
      </c>
      <c r="E94" s="107">
        <f t="shared" si="40"/>
        <v>101.53805081323419</v>
      </c>
      <c r="F94" s="333">
        <v>98.2736887124193</v>
      </c>
      <c r="G94" s="107">
        <f t="shared" si="41"/>
        <v>0</v>
      </c>
      <c r="H94" s="735">
        <f t="shared" si="47"/>
        <v>411.55442433986798</v>
      </c>
      <c r="I94" s="107">
        <f t="shared" si="48"/>
        <v>142.09455122884987</v>
      </c>
      <c r="J94" s="29"/>
      <c r="K94" s="142">
        <f t="shared" si="49"/>
        <v>1246.0602249307303</v>
      </c>
      <c r="L94" s="210">
        <f t="shared" si="50"/>
        <v>82.441607345391077</v>
      </c>
      <c r="M94" s="107">
        <f t="shared" si="42"/>
        <v>18.138631396967323</v>
      </c>
      <c r="N94" s="333">
        <v>0</v>
      </c>
      <c r="O94" s="107"/>
      <c r="P94" s="107">
        <f t="shared" si="51"/>
        <v>68.87787660194202</v>
      </c>
      <c r="Q94" s="107">
        <f t="shared" si="52"/>
        <v>21.811434382005487</v>
      </c>
      <c r="R94" s="107"/>
      <c r="S94" s="143">
        <f t="shared" si="53"/>
        <v>191.26954972630591</v>
      </c>
      <c r="T94" s="905">
        <v>656.1583333333333</v>
      </c>
      <c r="U94" s="107"/>
      <c r="V94" s="151">
        <f t="shared" si="54"/>
        <v>656.1583333333333</v>
      </c>
      <c r="W94" s="907">
        <v>126.05833333333335</v>
      </c>
      <c r="X94" s="107"/>
      <c r="Y94" s="46">
        <f t="shared" si="55"/>
        <v>126.05833333333335</v>
      </c>
      <c r="Z94" s="141">
        <f t="shared" si="56"/>
        <v>10.070639210845082</v>
      </c>
      <c r="AA94" s="107">
        <f t="shared" si="43"/>
        <v>2.2136062138979007</v>
      </c>
      <c r="AB94" s="333">
        <v>0</v>
      </c>
      <c r="AC94" s="107"/>
      <c r="AD94" s="107">
        <f t="shared" si="57"/>
        <v>8.4137642047810548</v>
      </c>
      <c r="AE94" s="107">
        <f t="shared" si="58"/>
        <v>2.6640994912237201</v>
      </c>
      <c r="AF94" s="107"/>
      <c r="AG94" s="142">
        <f t="shared" si="59"/>
        <v>23.362109120747757</v>
      </c>
      <c r="AH94" s="210">
        <f t="shared" si="60"/>
        <v>172.26653037392876</v>
      </c>
      <c r="AI94" s="107">
        <f t="shared" si="44"/>
        <v>34.361262896576577</v>
      </c>
      <c r="AJ94" s="333">
        <v>42.083323304687497</v>
      </c>
      <c r="AK94" s="121">
        <f t="shared" si="45"/>
        <v>0</v>
      </c>
      <c r="AL94" s="107"/>
      <c r="AM94" s="107">
        <f t="shared" si="61"/>
        <v>143.92432660889281</v>
      </c>
      <c r="AN94" s="107">
        <f t="shared" si="62"/>
        <v>50.537220879975798</v>
      </c>
      <c r="AO94" s="107"/>
      <c r="AP94" s="143">
        <f t="shared" si="63"/>
        <v>443.17266406406139</v>
      </c>
      <c r="AQ94" s="34"/>
      <c r="AR94" s="29"/>
      <c r="AS94" s="124"/>
      <c r="AT94" s="138">
        <f t="shared" si="64"/>
        <v>2374.7965882728095</v>
      </c>
      <c r="AU94" s="151">
        <f t="shared" si="65"/>
        <v>5060.8778027813223</v>
      </c>
      <c r="AW94" s="1">
        <v>1</v>
      </c>
      <c r="BA94" s="30">
        <v>573.45000000000005</v>
      </c>
      <c r="BB94" s="30">
        <v>89.41</v>
      </c>
      <c r="BC94" s="30">
        <v>28.17</v>
      </c>
      <c r="BD94" s="30">
        <v>207.62</v>
      </c>
      <c r="BF94" s="289">
        <f t="shared" si="72"/>
        <v>787.39</v>
      </c>
      <c r="BI94" s="333">
        <v>8.51</v>
      </c>
      <c r="BL94" s="110">
        <f t="shared" si="68"/>
        <v>0.85901039294857251</v>
      </c>
      <c r="BM94" s="110">
        <f t="shared" si="69"/>
        <v>0.92206249128051765</v>
      </c>
      <c r="BN94" s="110">
        <f t="shared" si="70"/>
        <v>0.35749517965371247</v>
      </c>
      <c r="BO94" s="110">
        <f t="shared" si="71"/>
        <v>0.82972030812989472</v>
      </c>
    </row>
    <row r="95" spans="1:67" x14ac:dyDescent="0.25">
      <c r="A95" s="260" t="s">
        <v>357</v>
      </c>
      <c r="B95" s="237">
        <v>9</v>
      </c>
      <c r="C95" s="236">
        <f>'побудинковий звіт'!E95</f>
        <v>2605.5</v>
      </c>
      <c r="D95" s="141">
        <f t="shared" si="46"/>
        <v>693.72820324133772</v>
      </c>
      <c r="E95" s="107">
        <f t="shared" si="40"/>
        <v>142.99610158908328</v>
      </c>
      <c r="F95" s="333">
        <v>193.45490613850296</v>
      </c>
      <c r="G95" s="107">
        <f t="shared" si="41"/>
        <v>0</v>
      </c>
      <c r="H95" s="735">
        <f t="shared" si="47"/>
        <v>579.59235775156333</v>
      </c>
      <c r="I95" s="107">
        <f t="shared" si="48"/>
        <v>207.19826176413267</v>
      </c>
      <c r="J95" s="29"/>
      <c r="K95" s="142">
        <f t="shared" si="49"/>
        <v>1816.9698304846199</v>
      </c>
      <c r="L95" s="210">
        <f t="shared" si="50"/>
        <v>124.73661382042843</v>
      </c>
      <c r="M95" s="107">
        <f t="shared" si="42"/>
        <v>27.444290967249074</v>
      </c>
      <c r="N95" s="333">
        <v>0</v>
      </c>
      <c r="O95" s="107"/>
      <c r="P95" s="107">
        <f t="shared" si="51"/>
        <v>104.21428415960986</v>
      </c>
      <c r="Q95" s="107">
        <f t="shared" si="52"/>
        <v>33.001351562439353</v>
      </c>
      <c r="R95" s="107"/>
      <c r="S95" s="143">
        <f t="shared" si="53"/>
        <v>289.39654050972672</v>
      </c>
      <c r="T95" s="905">
        <v>1132.3083333333334</v>
      </c>
      <c r="U95" s="107"/>
      <c r="V95" s="151">
        <f t="shared" si="54"/>
        <v>1132.3083333333334</v>
      </c>
      <c r="W95" s="907">
        <v>246.375</v>
      </c>
      <c r="X95" s="107"/>
      <c r="Y95" s="46">
        <f t="shared" si="55"/>
        <v>246.375</v>
      </c>
      <c r="Z95" s="141">
        <f t="shared" si="56"/>
        <v>55.712048797234552</v>
      </c>
      <c r="AA95" s="107">
        <f t="shared" si="43"/>
        <v>12.245949321045396</v>
      </c>
      <c r="AB95" s="333">
        <v>0</v>
      </c>
      <c r="AC95" s="107"/>
      <c r="AD95" s="107">
        <f t="shared" si="57"/>
        <v>46.546006875153687</v>
      </c>
      <c r="AE95" s="107">
        <f t="shared" si="58"/>
        <v>14.738135062559618</v>
      </c>
      <c r="AF95" s="107"/>
      <c r="AG95" s="142">
        <f t="shared" si="59"/>
        <v>129.24214005599325</v>
      </c>
      <c r="AH95" s="210">
        <f t="shared" si="60"/>
        <v>506.51105930097555</v>
      </c>
      <c r="AI95" s="107">
        <f t="shared" si="44"/>
        <v>101.03157955805865</v>
      </c>
      <c r="AJ95" s="333">
        <v>82.842370797014283</v>
      </c>
      <c r="AK95" s="121">
        <f t="shared" si="45"/>
        <v>0</v>
      </c>
      <c r="AL95" s="107"/>
      <c r="AM95" s="107">
        <f t="shared" si="61"/>
        <v>423.17717186044069</v>
      </c>
      <c r="AN95" s="107">
        <f t="shared" si="62"/>
        <v>143.32974495249928</v>
      </c>
      <c r="AO95" s="107"/>
      <c r="AP95" s="143">
        <f t="shared" si="63"/>
        <v>1256.8919264689885</v>
      </c>
      <c r="AQ95" s="34"/>
      <c r="AR95" s="29"/>
      <c r="AS95" s="124"/>
      <c r="AT95" s="138">
        <f t="shared" si="64"/>
        <v>1210.2989810548479</v>
      </c>
      <c r="AU95" s="151">
        <f t="shared" si="65"/>
        <v>6081.4827519075097</v>
      </c>
      <c r="AW95" s="1">
        <v>1</v>
      </c>
      <c r="BA95" s="30">
        <v>807.59</v>
      </c>
      <c r="BB95" s="30">
        <v>135.28</v>
      </c>
      <c r="BC95" s="30">
        <v>155.84</v>
      </c>
      <c r="BD95" s="30">
        <v>610.46</v>
      </c>
      <c r="BF95" s="289">
        <f t="shared" si="72"/>
        <v>1358.77</v>
      </c>
      <c r="BI95" s="333">
        <v>8.51</v>
      </c>
      <c r="BL95" s="110">
        <f t="shared" si="68"/>
        <v>0.85901039294857251</v>
      </c>
      <c r="BM95" s="110">
        <f t="shared" si="69"/>
        <v>0.92206249128051765</v>
      </c>
      <c r="BN95" s="110">
        <f t="shared" si="70"/>
        <v>0.35749517965371247</v>
      </c>
      <c r="BO95" s="110">
        <f t="shared" si="71"/>
        <v>0.82972030812989472</v>
      </c>
    </row>
    <row r="96" spans="1:67" x14ac:dyDescent="0.25">
      <c r="A96" s="260" t="s">
        <v>358</v>
      </c>
      <c r="B96" s="237">
        <v>9</v>
      </c>
      <c r="C96" s="236">
        <f>'побудинковий звіт'!E96</f>
        <v>4661.7</v>
      </c>
      <c r="D96" s="141">
        <f t="shared" si="46"/>
        <v>563.12426309743671</v>
      </c>
      <c r="E96" s="107">
        <f t="shared" si="40"/>
        <v>116.07510543310781</v>
      </c>
      <c r="F96" s="333">
        <v>152.13463548078363</v>
      </c>
      <c r="G96" s="107">
        <f t="shared" si="41"/>
        <v>0</v>
      </c>
      <c r="H96" s="735">
        <f t="shared" si="47"/>
        <v>470.47607093207853</v>
      </c>
      <c r="I96" s="107">
        <f t="shared" si="48"/>
        <v>167.55966493413959</v>
      </c>
      <c r="J96" s="29"/>
      <c r="K96" s="142">
        <f t="shared" si="49"/>
        <v>1469.3697398775462</v>
      </c>
      <c r="L96" s="210">
        <f t="shared" si="50"/>
        <v>122.95703321225702</v>
      </c>
      <c r="M96" s="107">
        <f t="shared" si="42"/>
        <v>27.052751334141512</v>
      </c>
      <c r="N96" s="333">
        <v>0</v>
      </c>
      <c r="O96" s="107"/>
      <c r="P96" s="107">
        <f t="shared" si="51"/>
        <v>102.7274895970134</v>
      </c>
      <c r="Q96" s="107">
        <f t="shared" si="52"/>
        <v>32.530530979089939</v>
      </c>
      <c r="R96" s="107"/>
      <c r="S96" s="143">
        <f t="shared" si="53"/>
        <v>285.26780512250184</v>
      </c>
      <c r="T96" s="905">
        <v>1041.6333333333334</v>
      </c>
      <c r="U96" s="107"/>
      <c r="V96" s="151">
        <f t="shared" si="54"/>
        <v>1041.6333333333334</v>
      </c>
      <c r="W96" s="907">
        <v>193.60833333333335</v>
      </c>
      <c r="X96" s="107"/>
      <c r="Y96" s="46">
        <f t="shared" si="55"/>
        <v>193.60833333333335</v>
      </c>
      <c r="Z96" s="141">
        <f t="shared" si="56"/>
        <v>27.856024398617276</v>
      </c>
      <c r="AA96" s="107">
        <f t="shared" si="43"/>
        <v>6.122974660522698</v>
      </c>
      <c r="AB96" s="333">
        <v>0</v>
      </c>
      <c r="AC96" s="107"/>
      <c r="AD96" s="107">
        <f t="shared" si="57"/>
        <v>23.273003437576843</v>
      </c>
      <c r="AE96" s="107">
        <f t="shared" si="58"/>
        <v>7.3690675312798088</v>
      </c>
      <c r="AF96" s="107"/>
      <c r="AG96" s="142">
        <f t="shared" si="59"/>
        <v>64.621070027996623</v>
      </c>
      <c r="AH96" s="210">
        <f t="shared" si="60"/>
        <v>452.23075674311781</v>
      </c>
      <c r="AI96" s="107">
        <f t="shared" si="44"/>
        <v>90.204521381129453</v>
      </c>
      <c r="AJ96" s="333">
        <v>65.147967219526066</v>
      </c>
      <c r="AK96" s="121">
        <f t="shared" si="45"/>
        <v>0</v>
      </c>
      <c r="AL96" s="107">
        <v>2820</v>
      </c>
      <c r="AM96" s="107">
        <f t="shared" si="61"/>
        <v>377.82735273533825</v>
      </c>
      <c r="AN96" s="107">
        <f t="shared" si="62"/>
        <v>489.80518512170784</v>
      </c>
      <c r="AO96" s="107"/>
      <c r="AP96" s="143">
        <f t="shared" si="63"/>
        <v>4295.2157832008197</v>
      </c>
      <c r="AQ96" s="34"/>
      <c r="AR96" s="29"/>
      <c r="AS96" s="124"/>
      <c r="AT96" s="138">
        <f t="shared" si="64"/>
        <v>2165.4387871745862</v>
      </c>
      <c r="AU96" s="151">
        <f t="shared" si="65"/>
        <v>9515.1548520701162</v>
      </c>
      <c r="AW96" s="1">
        <v>1</v>
      </c>
      <c r="BA96" s="30">
        <v>655.55</v>
      </c>
      <c r="BB96" s="30">
        <v>133.35</v>
      </c>
      <c r="BC96" s="30">
        <v>77.92</v>
      </c>
      <c r="BD96" s="30">
        <v>545.04</v>
      </c>
      <c r="BF96" s="289">
        <f t="shared" si="72"/>
        <v>1249.96</v>
      </c>
      <c r="BI96" s="333">
        <v>8.51</v>
      </c>
      <c r="BL96" s="110">
        <f t="shared" si="68"/>
        <v>0.85901039294857251</v>
      </c>
      <c r="BM96" s="110">
        <f t="shared" si="69"/>
        <v>0.92206249128051765</v>
      </c>
      <c r="BN96" s="110">
        <f t="shared" si="70"/>
        <v>0.35749517965371247</v>
      </c>
      <c r="BO96" s="110">
        <f t="shared" si="71"/>
        <v>0.82972030812989472</v>
      </c>
    </row>
    <row r="97" spans="1:67" x14ac:dyDescent="0.25">
      <c r="A97" s="260" t="s">
        <v>153</v>
      </c>
      <c r="B97" s="237">
        <v>2</v>
      </c>
      <c r="C97" s="236">
        <f>'побудинковий звіт'!E97</f>
        <v>4911.1499999999996</v>
      </c>
      <c r="D97" s="141">
        <f t="shared" si="46"/>
        <v>71.894408992599438</v>
      </c>
      <c r="E97" s="107">
        <f t="shared" si="40"/>
        <v>14.819377623625858</v>
      </c>
      <c r="F97" s="333">
        <v>10.680238106070561</v>
      </c>
      <c r="G97" s="107">
        <f t="shared" si="41"/>
        <v>0</v>
      </c>
      <c r="H97" s="735">
        <f t="shared" si="47"/>
        <v>60.065959294262278</v>
      </c>
      <c r="I97" s="107">
        <f t="shared" si="48"/>
        <v>20.267120888195954</v>
      </c>
      <c r="J97" s="29"/>
      <c r="K97" s="142">
        <f t="shared" si="49"/>
        <v>177.7271049047541</v>
      </c>
      <c r="L97" s="210">
        <f t="shared" si="50"/>
        <v>13.163331650125413</v>
      </c>
      <c r="M97" s="107">
        <f t="shared" si="42"/>
        <v>2.8961689181695305</v>
      </c>
      <c r="N97" s="333">
        <v>0</v>
      </c>
      <c r="O97" s="107"/>
      <c r="P97" s="107">
        <f t="shared" si="51"/>
        <v>10.997630471580843</v>
      </c>
      <c r="Q97" s="107">
        <f t="shared" si="52"/>
        <v>3.4826000338934131</v>
      </c>
      <c r="R97" s="107"/>
      <c r="S97" s="143">
        <f t="shared" si="53"/>
        <v>30.539731073769197</v>
      </c>
      <c r="T97" s="905">
        <v>59.775000000000006</v>
      </c>
      <c r="U97" s="107"/>
      <c r="V97" s="151">
        <f t="shared" si="54"/>
        <v>59.775000000000006</v>
      </c>
      <c r="W97" s="246"/>
      <c r="X97" s="107"/>
      <c r="Y97" s="46">
        <f t="shared" si="55"/>
        <v>0</v>
      </c>
      <c r="Z97" s="141">
        <f t="shared" si="56"/>
        <v>0</v>
      </c>
      <c r="AA97" s="107">
        <f t="shared" si="43"/>
        <v>0</v>
      </c>
      <c r="AB97" s="333">
        <v>0</v>
      </c>
      <c r="AC97" s="107"/>
      <c r="AD97" s="107">
        <f t="shared" si="57"/>
        <v>0</v>
      </c>
      <c r="AE97" s="107">
        <f t="shared" si="58"/>
        <v>0</v>
      </c>
      <c r="AF97" s="107"/>
      <c r="AG97" s="142">
        <f t="shared" si="59"/>
        <v>0</v>
      </c>
      <c r="AH97" s="210">
        <f t="shared" si="60"/>
        <v>29.893591454040358</v>
      </c>
      <c r="AI97" s="107">
        <f t="shared" si="44"/>
        <v>5.9627459416840489</v>
      </c>
      <c r="AJ97" s="333">
        <v>4.1932658260533389</v>
      </c>
      <c r="AK97" s="121">
        <f t="shared" si="45"/>
        <v>0</v>
      </c>
      <c r="AL97" s="107"/>
      <c r="AM97" s="107">
        <f t="shared" si="61"/>
        <v>24.975339148034813</v>
      </c>
      <c r="AN97" s="107">
        <f t="shared" si="62"/>
        <v>8.3695446559830859</v>
      </c>
      <c r="AO97" s="107"/>
      <c r="AP97" s="143">
        <f t="shared" si="63"/>
        <v>73.394487025795655</v>
      </c>
      <c r="AQ97" s="34"/>
      <c r="AR97" s="29"/>
      <c r="AS97" s="124"/>
      <c r="AT97" s="138">
        <f t="shared" si="64"/>
        <v>2281.3125468461008</v>
      </c>
      <c r="AU97" s="151">
        <f t="shared" si="65"/>
        <v>2622.7488698504199</v>
      </c>
      <c r="AW97" s="1">
        <v>2</v>
      </c>
      <c r="BA97" s="30">
        <v>65.55</v>
      </c>
      <c r="BB97" s="30">
        <v>11.83</v>
      </c>
      <c r="BC97" s="30">
        <v>0</v>
      </c>
      <c r="BD97" s="30">
        <v>28.83</v>
      </c>
      <c r="BF97" s="289">
        <f t="shared" si="72"/>
        <v>71.73</v>
      </c>
      <c r="BG97" s="1">
        <v>57.39</v>
      </c>
      <c r="BI97" s="333">
        <v>0</v>
      </c>
      <c r="BL97" s="110">
        <f t="shared" ref="BL97:BO115" si="73">BA$398</f>
        <v>1.0967873225415627</v>
      </c>
      <c r="BM97" s="110">
        <f t="shared" si="73"/>
        <v>1.1127076627324948</v>
      </c>
      <c r="BN97" s="110">
        <f t="shared" si="73"/>
        <v>2.8314493742615632</v>
      </c>
      <c r="BO97" s="110">
        <f t="shared" si="73"/>
        <v>1.036891829831438</v>
      </c>
    </row>
    <row r="98" spans="1:67" x14ac:dyDescent="0.25">
      <c r="A98" s="260" t="s">
        <v>208</v>
      </c>
      <c r="B98" s="237">
        <v>4</v>
      </c>
      <c r="C98" s="236">
        <f>'побудинковий звіт'!E98</f>
        <v>258.5</v>
      </c>
      <c r="D98" s="141">
        <f t="shared" si="46"/>
        <v>328.57554608700133</v>
      </c>
      <c r="E98" s="107">
        <f t="shared" si="40"/>
        <v>67.728286018090529</v>
      </c>
      <c r="F98" s="333">
        <v>51.304753971753428</v>
      </c>
      <c r="G98" s="107">
        <f t="shared" si="41"/>
        <v>0</v>
      </c>
      <c r="H98" s="735">
        <f t="shared" si="47"/>
        <v>274.51655355263301</v>
      </c>
      <c r="I98" s="107">
        <f t="shared" si="48"/>
        <v>92.946773700529491</v>
      </c>
      <c r="J98" s="29"/>
      <c r="K98" s="142">
        <f t="shared" si="49"/>
        <v>815.07191333000787</v>
      </c>
      <c r="L98" s="210">
        <f t="shared" si="50"/>
        <v>35.428611981402632</v>
      </c>
      <c r="M98" s="107">
        <f t="shared" si="42"/>
        <v>7.7949297002973674</v>
      </c>
      <c r="N98" s="333">
        <v>0</v>
      </c>
      <c r="O98" s="107"/>
      <c r="P98" s="107">
        <f t="shared" si="51"/>
        <v>29.599708724863401</v>
      </c>
      <c r="Q98" s="107">
        <f t="shared" si="52"/>
        <v>9.3732869889405137</v>
      </c>
      <c r="R98" s="107"/>
      <c r="S98" s="143">
        <f t="shared" si="53"/>
        <v>82.196537395503924</v>
      </c>
      <c r="T98" s="245"/>
      <c r="U98" s="107"/>
      <c r="V98" s="151">
        <f t="shared" si="54"/>
        <v>0</v>
      </c>
      <c r="W98" s="246"/>
      <c r="X98" s="107"/>
      <c r="Y98" s="46">
        <f t="shared" si="55"/>
        <v>0</v>
      </c>
      <c r="Z98" s="141">
        <f t="shared" si="56"/>
        <v>0</v>
      </c>
      <c r="AA98" s="107">
        <f t="shared" si="43"/>
        <v>0</v>
      </c>
      <c r="AB98" s="333">
        <v>0</v>
      </c>
      <c r="AC98" s="107"/>
      <c r="AD98" s="107">
        <f t="shared" si="57"/>
        <v>0</v>
      </c>
      <c r="AE98" s="107">
        <f t="shared" si="58"/>
        <v>0</v>
      </c>
      <c r="AF98" s="107"/>
      <c r="AG98" s="142">
        <f t="shared" si="59"/>
        <v>0</v>
      </c>
      <c r="AH98" s="210">
        <f t="shared" si="60"/>
        <v>86.798215075189674</v>
      </c>
      <c r="AI98" s="107">
        <f t="shared" si="44"/>
        <v>17.313266138687887</v>
      </c>
      <c r="AJ98" s="333">
        <v>20.14322802611931</v>
      </c>
      <c r="AK98" s="121">
        <f t="shared" si="45"/>
        <v>0</v>
      </c>
      <c r="AL98" s="107"/>
      <c r="AM98" s="107">
        <f t="shared" si="61"/>
        <v>72.517712108289771</v>
      </c>
      <c r="AN98" s="107">
        <f t="shared" si="62"/>
        <v>25.327136134532985</v>
      </c>
      <c r="AO98" s="107"/>
      <c r="AP98" s="143">
        <f t="shared" si="63"/>
        <v>222.09955748281965</v>
      </c>
      <c r="AQ98" s="34"/>
      <c r="AR98" s="29"/>
      <c r="AS98" s="124"/>
      <c r="AT98" s="138">
        <f t="shared" si="64"/>
        <v>120.07763830461646</v>
      </c>
      <c r="AU98" s="151">
        <f t="shared" si="65"/>
        <v>1239.4456465129479</v>
      </c>
      <c r="AW98" s="1">
        <v>2</v>
      </c>
      <c r="BA98" s="30">
        <v>299.58</v>
      </c>
      <c r="BB98" s="30">
        <v>31.84</v>
      </c>
      <c r="BC98" s="30">
        <v>0</v>
      </c>
      <c r="BD98" s="30">
        <v>83.71</v>
      </c>
      <c r="BI98" s="333">
        <v>0</v>
      </c>
      <c r="BL98" s="110">
        <f t="shared" si="73"/>
        <v>1.0967873225415627</v>
      </c>
      <c r="BM98" s="110">
        <f t="shared" si="73"/>
        <v>1.1127076627324948</v>
      </c>
      <c r="BN98" s="110">
        <f t="shared" si="73"/>
        <v>2.8314493742615632</v>
      </c>
      <c r="BO98" s="110">
        <f t="shared" si="73"/>
        <v>1.036891829831438</v>
      </c>
    </row>
    <row r="99" spans="1:67" x14ac:dyDescent="0.25">
      <c r="A99" s="260" t="s">
        <v>154</v>
      </c>
      <c r="B99" s="237">
        <v>2</v>
      </c>
      <c r="C99" s="236">
        <f>'побудинковий звіт'!E99</f>
        <v>9763</v>
      </c>
      <c r="D99" s="141">
        <f t="shared" si="46"/>
        <v>71.356983204554069</v>
      </c>
      <c r="E99" s="107">
        <f t="shared" si="40"/>
        <v>14.708599667324153</v>
      </c>
      <c r="F99" s="333">
        <v>9.5256177702791476</v>
      </c>
      <c r="G99" s="107">
        <f t="shared" si="41"/>
        <v>0</v>
      </c>
      <c r="H99" s="735">
        <f t="shared" si="47"/>
        <v>59.616953648889456</v>
      </c>
      <c r="I99" s="107">
        <f t="shared" si="48"/>
        <v>19.977281501055078</v>
      </c>
      <c r="J99" s="29"/>
      <c r="K99" s="142">
        <f t="shared" si="49"/>
        <v>175.18543579210188</v>
      </c>
      <c r="L99" s="210">
        <f t="shared" si="50"/>
        <v>12.985298424088214</v>
      </c>
      <c r="M99" s="107">
        <f t="shared" si="42"/>
        <v>2.8569984171630112</v>
      </c>
      <c r="N99" s="333">
        <v>0</v>
      </c>
      <c r="O99" s="107"/>
      <c r="P99" s="107">
        <f t="shared" si="51"/>
        <v>10.848888216682033</v>
      </c>
      <c r="Q99" s="107">
        <f t="shared" si="52"/>
        <v>3.4354980892253706</v>
      </c>
      <c r="R99" s="107"/>
      <c r="S99" s="143">
        <f t="shared" si="53"/>
        <v>30.126683147158626</v>
      </c>
      <c r="T99" s="905">
        <v>53.841666666666669</v>
      </c>
      <c r="U99" s="107"/>
      <c r="V99" s="151">
        <f t="shared" si="54"/>
        <v>53.841666666666669</v>
      </c>
      <c r="W99" s="246"/>
      <c r="X99" s="107"/>
      <c r="Y99" s="46">
        <f t="shared" si="55"/>
        <v>0</v>
      </c>
      <c r="Z99" s="141">
        <f t="shared" si="56"/>
        <v>0</v>
      </c>
      <c r="AA99" s="107">
        <f t="shared" si="43"/>
        <v>0</v>
      </c>
      <c r="AB99" s="333">
        <v>0</v>
      </c>
      <c r="AC99" s="107"/>
      <c r="AD99" s="107">
        <f t="shared" si="57"/>
        <v>0</v>
      </c>
      <c r="AE99" s="107">
        <f t="shared" si="58"/>
        <v>0</v>
      </c>
      <c r="AF99" s="107"/>
      <c r="AG99" s="142">
        <f t="shared" si="59"/>
        <v>0</v>
      </c>
      <c r="AH99" s="210">
        <f t="shared" si="60"/>
        <v>29.83137794425047</v>
      </c>
      <c r="AI99" s="107">
        <f t="shared" si="44"/>
        <v>5.9503364808272661</v>
      </c>
      <c r="AJ99" s="333">
        <v>3.7399397908043288</v>
      </c>
      <c r="AK99" s="121">
        <f t="shared" si="45"/>
        <v>0</v>
      </c>
      <c r="AL99" s="107"/>
      <c r="AM99" s="107">
        <f t="shared" si="61"/>
        <v>24.923361335031618</v>
      </c>
      <c r="AN99" s="107">
        <f t="shared" si="62"/>
        <v>8.2949006312276001</v>
      </c>
      <c r="AO99" s="107"/>
      <c r="AP99" s="143">
        <f t="shared" si="63"/>
        <v>72.739916182141286</v>
      </c>
      <c r="AQ99" s="34"/>
      <c r="AR99" s="29"/>
      <c r="AS99" s="124"/>
      <c r="AT99" s="138">
        <f t="shared" si="64"/>
        <v>4535.0792370134259</v>
      </c>
      <c r="AU99" s="151">
        <f t="shared" si="65"/>
        <v>4866.9729388014948</v>
      </c>
      <c r="AW99" s="1">
        <v>2</v>
      </c>
      <c r="BA99" s="30">
        <v>65.06</v>
      </c>
      <c r="BB99" s="30">
        <v>11.67</v>
      </c>
      <c r="BC99" s="30">
        <v>0</v>
      </c>
      <c r="BD99" s="30">
        <v>28.77</v>
      </c>
      <c r="BF99" s="289">
        <f t="shared" ref="BF99:BF114" si="74">T99*1.2</f>
        <v>64.61</v>
      </c>
      <c r="BI99" s="333">
        <v>0</v>
      </c>
      <c r="BL99" s="110">
        <f t="shared" si="73"/>
        <v>1.0967873225415627</v>
      </c>
      <c r="BM99" s="110">
        <f t="shared" si="73"/>
        <v>1.1127076627324948</v>
      </c>
      <c r="BN99" s="110">
        <f t="shared" si="73"/>
        <v>2.8314493742615632</v>
      </c>
      <c r="BO99" s="110">
        <f t="shared" si="73"/>
        <v>1.036891829831438</v>
      </c>
    </row>
    <row r="100" spans="1:67" x14ac:dyDescent="0.25">
      <c r="A100" s="260" t="s">
        <v>155</v>
      </c>
      <c r="B100" s="237">
        <v>2</v>
      </c>
      <c r="C100" s="236">
        <f>'побудинковий звіт'!E100</f>
        <v>308.10000000000002</v>
      </c>
      <c r="D100" s="141">
        <f t="shared" si="46"/>
        <v>36.890441593685459</v>
      </c>
      <c r="E100" s="107">
        <f t="shared" si="40"/>
        <v>7.6041154289955095</v>
      </c>
      <c r="F100" s="333">
        <v>7.9854216654187065</v>
      </c>
      <c r="G100" s="107">
        <f t="shared" si="41"/>
        <v>0</v>
      </c>
      <c r="H100" s="735">
        <f t="shared" si="47"/>
        <v>30.821030371663031</v>
      </c>
      <c r="I100" s="107">
        <f t="shared" si="48"/>
        <v>10.721909006070916</v>
      </c>
      <c r="J100" s="29"/>
      <c r="K100" s="142">
        <f t="shared" si="49"/>
        <v>94.022918065833622</v>
      </c>
      <c r="L100" s="210">
        <f t="shared" si="50"/>
        <v>15.377619898963077</v>
      </c>
      <c r="M100" s="107">
        <f t="shared" si="42"/>
        <v>3.3833520244381159</v>
      </c>
      <c r="N100" s="333">
        <v>0</v>
      </c>
      <c r="O100" s="107"/>
      <c r="P100" s="107">
        <f t="shared" si="51"/>
        <v>12.847612266884806</v>
      </c>
      <c r="Q100" s="107">
        <f t="shared" si="52"/>
        <v>4.0684304707021957</v>
      </c>
      <c r="R100" s="107"/>
      <c r="S100" s="143">
        <f t="shared" si="53"/>
        <v>35.677014660988192</v>
      </c>
      <c r="T100" s="905">
        <v>44.183333333333337</v>
      </c>
      <c r="U100" s="107"/>
      <c r="V100" s="151">
        <f t="shared" si="54"/>
        <v>44.183333333333337</v>
      </c>
      <c r="W100" s="246"/>
      <c r="X100" s="107"/>
      <c r="Y100" s="46">
        <f t="shared" si="55"/>
        <v>0</v>
      </c>
      <c r="Z100" s="141">
        <f t="shared" si="56"/>
        <v>0</v>
      </c>
      <c r="AA100" s="107">
        <f t="shared" si="43"/>
        <v>0</v>
      </c>
      <c r="AB100" s="333">
        <v>0</v>
      </c>
      <c r="AC100" s="107"/>
      <c r="AD100" s="107">
        <f t="shared" si="57"/>
        <v>0</v>
      </c>
      <c r="AE100" s="107">
        <f t="shared" si="58"/>
        <v>0</v>
      </c>
      <c r="AF100" s="107"/>
      <c r="AG100" s="142">
        <f t="shared" si="59"/>
        <v>0</v>
      </c>
      <c r="AH100" s="210">
        <f t="shared" si="60"/>
        <v>12.784876261821632</v>
      </c>
      <c r="AI100" s="107">
        <f t="shared" si="44"/>
        <v>2.5501442060688286</v>
      </c>
      <c r="AJ100" s="333">
        <v>3.1352293313754491</v>
      </c>
      <c r="AK100" s="121">
        <f t="shared" si="45"/>
        <v>0</v>
      </c>
      <c r="AL100" s="107"/>
      <c r="AM100" s="107">
        <f t="shared" si="61"/>
        <v>10.68144057215641</v>
      </c>
      <c r="AN100" s="107">
        <f t="shared" si="62"/>
        <v>3.7521967028190781</v>
      </c>
      <c r="AO100" s="107"/>
      <c r="AP100" s="143">
        <f t="shared" si="63"/>
        <v>32.903887074241396</v>
      </c>
      <c r="AQ100" s="34"/>
      <c r="AR100" s="29"/>
      <c r="AS100" s="124"/>
      <c r="AT100" s="138">
        <f t="shared" si="64"/>
        <v>143.11768031586976</v>
      </c>
      <c r="AU100" s="151">
        <f t="shared" si="65"/>
        <v>349.90483345026632</v>
      </c>
      <c r="AW100" s="1">
        <v>2</v>
      </c>
      <c r="BA100" s="30">
        <v>33.634999999999998</v>
      </c>
      <c r="BB100" s="30">
        <v>13.82</v>
      </c>
      <c r="BC100" s="30">
        <v>0</v>
      </c>
      <c r="BD100" s="30">
        <v>12.33</v>
      </c>
      <c r="BF100" s="289">
        <f t="shared" si="74"/>
        <v>53.02</v>
      </c>
      <c r="BI100" s="333">
        <v>0</v>
      </c>
      <c r="BL100" s="110">
        <f t="shared" si="73"/>
        <v>1.0967873225415627</v>
      </c>
      <c r="BM100" s="110">
        <f t="shared" si="73"/>
        <v>1.1127076627324948</v>
      </c>
      <c r="BN100" s="110">
        <f t="shared" si="73"/>
        <v>2.8314493742615632</v>
      </c>
      <c r="BO100" s="110">
        <f t="shared" si="73"/>
        <v>1.036891829831438</v>
      </c>
    </row>
    <row r="101" spans="1:67" x14ac:dyDescent="0.25">
      <c r="A101" s="260" t="s">
        <v>156</v>
      </c>
      <c r="B101" s="237">
        <v>2</v>
      </c>
      <c r="C101" s="236">
        <f>'побудинковий звіт'!E101</f>
        <v>1861.07</v>
      </c>
      <c r="D101" s="141">
        <f t="shared" si="46"/>
        <v>75.382192678281612</v>
      </c>
      <c r="E101" s="107">
        <f t="shared" si="40"/>
        <v>15.53830395227773</v>
      </c>
      <c r="F101" s="333">
        <v>16.135187101260279</v>
      </c>
      <c r="G101" s="107">
        <f t="shared" si="41"/>
        <v>0</v>
      </c>
      <c r="H101" s="735">
        <f t="shared" si="47"/>
        <v>62.979914298926722</v>
      </c>
      <c r="I101" s="107">
        <f t="shared" si="48"/>
        <v>21.885763815544671</v>
      </c>
      <c r="J101" s="29"/>
      <c r="K101" s="142">
        <f t="shared" si="49"/>
        <v>191.92136184629101</v>
      </c>
      <c r="L101" s="210">
        <f t="shared" si="50"/>
        <v>27.673039572157148</v>
      </c>
      <c r="M101" s="107">
        <f t="shared" si="42"/>
        <v>6.0885647502008649</v>
      </c>
      <c r="N101" s="333">
        <v>0</v>
      </c>
      <c r="O101" s="107"/>
      <c r="P101" s="107">
        <f t="shared" si="51"/>
        <v>23.120124245833949</v>
      </c>
      <c r="Q101" s="107">
        <f t="shared" si="52"/>
        <v>7.3214085243389011</v>
      </c>
      <c r="R101" s="107"/>
      <c r="S101" s="143">
        <f t="shared" si="53"/>
        <v>64.203137092530866</v>
      </c>
      <c r="T101" s="905">
        <v>86.075000000000003</v>
      </c>
      <c r="U101" s="107"/>
      <c r="V101" s="151">
        <f t="shared" si="54"/>
        <v>86.075000000000003</v>
      </c>
      <c r="W101" s="246"/>
      <c r="X101" s="107"/>
      <c r="Y101" s="46">
        <f t="shared" si="55"/>
        <v>0</v>
      </c>
      <c r="Z101" s="141">
        <f t="shared" si="56"/>
        <v>0</v>
      </c>
      <c r="AA101" s="107">
        <f t="shared" si="43"/>
        <v>0</v>
      </c>
      <c r="AB101" s="333">
        <v>0</v>
      </c>
      <c r="AC101" s="107"/>
      <c r="AD101" s="107">
        <f t="shared" si="57"/>
        <v>0</v>
      </c>
      <c r="AE101" s="107">
        <f t="shared" si="58"/>
        <v>0</v>
      </c>
      <c r="AF101" s="107"/>
      <c r="AG101" s="142">
        <f t="shared" si="59"/>
        <v>0</v>
      </c>
      <c r="AH101" s="210">
        <f t="shared" si="60"/>
        <v>25.647519410880619</v>
      </c>
      <c r="AI101" s="107">
        <f t="shared" si="44"/>
        <v>5.1158002382086352</v>
      </c>
      <c r="AJ101" s="333">
        <v>6.3349831714177283</v>
      </c>
      <c r="AK101" s="121">
        <f t="shared" si="45"/>
        <v>0</v>
      </c>
      <c r="AL101" s="107"/>
      <c r="AM101" s="107">
        <f t="shared" si="61"/>
        <v>21.427853410566811</v>
      </c>
      <c r="AN101" s="107">
        <f t="shared" si="62"/>
        <v>7.5330674702207636</v>
      </c>
      <c r="AO101" s="107"/>
      <c r="AP101" s="143">
        <f t="shared" si="63"/>
        <v>66.059223701294556</v>
      </c>
      <c r="AQ101" s="34"/>
      <c r="AR101" s="29"/>
      <c r="AS101" s="124"/>
      <c r="AT101" s="138">
        <f t="shared" si="64"/>
        <v>864.49860858635418</v>
      </c>
      <c r="AU101" s="151">
        <f t="shared" si="65"/>
        <v>1272.7573312264706</v>
      </c>
      <c r="AW101" s="1">
        <v>2</v>
      </c>
      <c r="BA101" s="30">
        <v>68.73</v>
      </c>
      <c r="BB101" s="30">
        <v>24.87</v>
      </c>
      <c r="BC101" s="30">
        <v>0</v>
      </c>
      <c r="BD101" s="30">
        <v>24.734999999999999</v>
      </c>
      <c r="BF101" s="289">
        <f t="shared" si="74"/>
        <v>103.29</v>
      </c>
      <c r="BI101" s="333">
        <v>0</v>
      </c>
      <c r="BL101" s="110">
        <f t="shared" si="73"/>
        <v>1.0967873225415627</v>
      </c>
      <c r="BM101" s="110">
        <f t="shared" si="73"/>
        <v>1.1127076627324948</v>
      </c>
      <c r="BN101" s="110">
        <f t="shared" si="73"/>
        <v>2.8314493742615632</v>
      </c>
      <c r="BO101" s="110">
        <f t="shared" si="73"/>
        <v>1.036891829831438</v>
      </c>
    </row>
    <row r="102" spans="1:67" x14ac:dyDescent="0.25">
      <c r="A102" s="260" t="s">
        <v>157</v>
      </c>
      <c r="B102" s="237">
        <v>2</v>
      </c>
      <c r="C102" s="236">
        <f>'побудинковий звіт'!E102</f>
        <v>9458.3499999999985</v>
      </c>
      <c r="D102" s="141">
        <f t="shared" si="46"/>
        <v>157.50962739019383</v>
      </c>
      <c r="E102" s="107">
        <f t="shared" si="40"/>
        <v>32.466984294872759</v>
      </c>
      <c r="F102" s="333">
        <v>20.960151643162344</v>
      </c>
      <c r="G102" s="107">
        <f t="shared" si="41"/>
        <v>0</v>
      </c>
      <c r="H102" s="735">
        <f t="shared" si="47"/>
        <v>131.59530761630825</v>
      </c>
      <c r="I102" s="107">
        <f t="shared" si="48"/>
        <v>44.088273813028131</v>
      </c>
      <c r="J102" s="29"/>
      <c r="K102" s="142">
        <f t="shared" si="49"/>
        <v>386.62034475756531</v>
      </c>
      <c r="L102" s="210">
        <f t="shared" si="50"/>
        <v>33.214323732564971</v>
      </c>
      <c r="M102" s="107">
        <f t="shared" si="42"/>
        <v>7.3077465940287825</v>
      </c>
      <c r="N102" s="333">
        <v>0</v>
      </c>
      <c r="O102" s="107"/>
      <c r="P102" s="107">
        <f t="shared" si="51"/>
        <v>27.749726929559444</v>
      </c>
      <c r="Q102" s="107">
        <f t="shared" si="52"/>
        <v>8.7874565521317347</v>
      </c>
      <c r="R102" s="107"/>
      <c r="S102" s="143">
        <f t="shared" si="53"/>
        <v>77.059253808284936</v>
      </c>
      <c r="T102" s="905">
        <v>112.86666666666667</v>
      </c>
      <c r="U102" s="107"/>
      <c r="V102" s="151">
        <f t="shared" si="54"/>
        <v>112.86666666666667</v>
      </c>
      <c r="W102" s="246"/>
      <c r="X102" s="107"/>
      <c r="Y102" s="46">
        <f t="shared" si="55"/>
        <v>0</v>
      </c>
      <c r="Z102" s="141">
        <f t="shared" si="56"/>
        <v>0</v>
      </c>
      <c r="AA102" s="107">
        <f t="shared" si="43"/>
        <v>0</v>
      </c>
      <c r="AB102" s="333">
        <v>0</v>
      </c>
      <c r="AC102" s="107"/>
      <c r="AD102" s="107">
        <f t="shared" si="57"/>
        <v>0</v>
      </c>
      <c r="AE102" s="107">
        <f t="shared" si="58"/>
        <v>0</v>
      </c>
      <c r="AF102" s="107"/>
      <c r="AG102" s="142">
        <f t="shared" si="59"/>
        <v>0</v>
      </c>
      <c r="AH102" s="210">
        <f t="shared" si="60"/>
        <v>51.295038821761239</v>
      </c>
      <c r="AI102" s="107">
        <f t="shared" si="44"/>
        <v>10.23160047641727</v>
      </c>
      <c r="AJ102" s="333">
        <v>8.2293565668926032</v>
      </c>
      <c r="AK102" s="121">
        <f t="shared" si="45"/>
        <v>0</v>
      </c>
      <c r="AL102" s="107"/>
      <c r="AM102" s="107">
        <f t="shared" si="61"/>
        <v>42.855706821133623</v>
      </c>
      <c r="AN102" s="107">
        <f t="shared" si="62"/>
        <v>14.494571468563654</v>
      </c>
      <c r="AO102" s="107"/>
      <c r="AP102" s="143">
        <f t="shared" si="63"/>
        <v>127.10627415476839</v>
      </c>
      <c r="AQ102" s="34"/>
      <c r="AR102" s="29"/>
      <c r="AS102" s="124"/>
      <c r="AT102" s="138">
        <f t="shared" si="64"/>
        <v>4393.5641402648698</v>
      </c>
      <c r="AU102" s="151">
        <f t="shared" si="65"/>
        <v>5097.2166796521551</v>
      </c>
      <c r="AW102" s="1">
        <v>2</v>
      </c>
      <c r="BA102" s="30">
        <v>143.61000000000001</v>
      </c>
      <c r="BB102" s="30">
        <v>29.85</v>
      </c>
      <c r="BC102" s="30">
        <v>0</v>
      </c>
      <c r="BD102" s="30">
        <v>49.47</v>
      </c>
      <c r="BF102" s="289">
        <f t="shared" si="74"/>
        <v>135.44</v>
      </c>
      <c r="BI102" s="333">
        <v>0</v>
      </c>
      <c r="BL102" s="110">
        <f t="shared" si="73"/>
        <v>1.0967873225415627</v>
      </c>
      <c r="BM102" s="110">
        <f t="shared" si="73"/>
        <v>1.1127076627324948</v>
      </c>
      <c r="BN102" s="110">
        <f t="shared" si="73"/>
        <v>2.8314493742615632</v>
      </c>
      <c r="BO102" s="110">
        <f t="shared" si="73"/>
        <v>1.036891829831438</v>
      </c>
    </row>
    <row r="103" spans="1:67" x14ac:dyDescent="0.25">
      <c r="A103" s="260" t="s">
        <v>158</v>
      </c>
      <c r="B103" s="237">
        <v>2</v>
      </c>
      <c r="C103" s="236">
        <f>'побудинковий звіт'!E103</f>
        <v>3844.3500000000004</v>
      </c>
      <c r="D103" s="141">
        <f t="shared" si="46"/>
        <v>118.86981001705456</v>
      </c>
      <c r="E103" s="107">
        <f t="shared" si="40"/>
        <v>24.502275314242109</v>
      </c>
      <c r="F103" s="333">
        <v>12.382881707079758</v>
      </c>
      <c r="G103" s="107">
        <f t="shared" si="41"/>
        <v>0</v>
      </c>
      <c r="H103" s="735">
        <f t="shared" si="47"/>
        <v>99.312718052054095</v>
      </c>
      <c r="I103" s="107">
        <f t="shared" si="48"/>
        <v>32.83048477800201</v>
      </c>
      <c r="J103" s="29"/>
      <c r="K103" s="142">
        <f t="shared" si="49"/>
        <v>287.89816986843249</v>
      </c>
      <c r="L103" s="210">
        <f t="shared" si="50"/>
        <v>27.795437415057719</v>
      </c>
      <c r="M103" s="107">
        <f t="shared" si="42"/>
        <v>6.1154944696428464</v>
      </c>
      <c r="N103" s="333">
        <v>0</v>
      </c>
      <c r="O103" s="107"/>
      <c r="P103" s="107">
        <f t="shared" si="51"/>
        <v>23.222384546076878</v>
      </c>
      <c r="Q103" s="107">
        <f t="shared" si="52"/>
        <v>7.3537911112981798</v>
      </c>
      <c r="R103" s="107"/>
      <c r="S103" s="143">
        <f t="shared" si="53"/>
        <v>64.48710754207562</v>
      </c>
      <c r="T103" s="905">
        <v>68.791666666666671</v>
      </c>
      <c r="U103" s="107"/>
      <c r="V103" s="151">
        <f t="shared" si="54"/>
        <v>68.791666666666671</v>
      </c>
      <c r="W103" s="246"/>
      <c r="X103" s="107"/>
      <c r="Y103" s="46">
        <f t="shared" si="55"/>
        <v>0</v>
      </c>
      <c r="Z103" s="141">
        <f t="shared" si="56"/>
        <v>0</v>
      </c>
      <c r="AA103" s="107">
        <f t="shared" si="43"/>
        <v>0</v>
      </c>
      <c r="AB103" s="333">
        <v>0</v>
      </c>
      <c r="AC103" s="107"/>
      <c r="AD103" s="107">
        <f t="shared" si="57"/>
        <v>0</v>
      </c>
      <c r="AE103" s="107">
        <f t="shared" si="58"/>
        <v>0</v>
      </c>
      <c r="AF103" s="107"/>
      <c r="AG103" s="142">
        <f t="shared" si="59"/>
        <v>0</v>
      </c>
      <c r="AH103" s="210">
        <f t="shared" si="60"/>
        <v>37.960609890128943</v>
      </c>
      <c r="AI103" s="107">
        <f t="shared" si="44"/>
        <v>7.5718393661135277</v>
      </c>
      <c r="AJ103" s="333">
        <v>4.8617562805875076</v>
      </c>
      <c r="AK103" s="121">
        <f t="shared" si="45"/>
        <v>0</v>
      </c>
      <c r="AL103" s="107"/>
      <c r="AM103" s="107">
        <f t="shared" si="61"/>
        <v>31.715128900782329</v>
      </c>
      <c r="AN103" s="107">
        <f t="shared" si="62"/>
        <v>10.568525187462262</v>
      </c>
      <c r="AO103" s="107"/>
      <c r="AP103" s="143">
        <f t="shared" si="63"/>
        <v>92.677859625074561</v>
      </c>
      <c r="AQ103" s="34"/>
      <c r="AR103" s="29"/>
      <c r="AS103" s="124"/>
      <c r="AT103" s="138">
        <f t="shared" si="64"/>
        <v>1785.765836813742</v>
      </c>
      <c r="AU103" s="151">
        <f t="shared" si="65"/>
        <v>2299.6206405159915</v>
      </c>
      <c r="AW103" s="1">
        <v>2</v>
      </c>
      <c r="BA103" s="30">
        <v>108.38</v>
      </c>
      <c r="BB103" s="30">
        <v>24.98</v>
      </c>
      <c r="BC103" s="30">
        <v>0</v>
      </c>
      <c r="BD103" s="30">
        <v>36.61</v>
      </c>
      <c r="BF103" s="289">
        <f t="shared" si="74"/>
        <v>82.55</v>
      </c>
      <c r="BI103" s="333">
        <v>0</v>
      </c>
      <c r="BL103" s="110">
        <f t="shared" si="73"/>
        <v>1.0967873225415627</v>
      </c>
      <c r="BM103" s="110">
        <f t="shared" si="73"/>
        <v>1.1127076627324948</v>
      </c>
      <c r="BN103" s="110">
        <f t="shared" si="73"/>
        <v>2.8314493742615632</v>
      </c>
      <c r="BO103" s="110">
        <f t="shared" si="73"/>
        <v>1.036891829831438</v>
      </c>
    </row>
    <row r="104" spans="1:67" x14ac:dyDescent="0.25">
      <c r="A104" s="260" t="s">
        <v>159</v>
      </c>
      <c r="B104" s="237">
        <v>2</v>
      </c>
      <c r="C104" s="236">
        <f>'побудинковий звіт'!E104</f>
        <v>4624.96</v>
      </c>
      <c r="D104" s="141">
        <f t="shared" si="46"/>
        <v>75.590582269564507</v>
      </c>
      <c r="E104" s="107">
        <f t="shared" si="40"/>
        <v>15.581258670027371</v>
      </c>
      <c r="F104" s="333">
        <v>9.7900426829467069</v>
      </c>
      <c r="G104" s="107">
        <f t="shared" si="41"/>
        <v>0</v>
      </c>
      <c r="H104" s="735">
        <f t="shared" si="47"/>
        <v>63.154018528765164</v>
      </c>
      <c r="I104" s="107">
        <f t="shared" si="48"/>
        <v>21.123822978580009</v>
      </c>
      <c r="J104" s="29"/>
      <c r="K104" s="142">
        <f t="shared" si="49"/>
        <v>185.23972512988377</v>
      </c>
      <c r="L104" s="210">
        <f t="shared" si="50"/>
        <v>26.693856828952548</v>
      </c>
      <c r="M104" s="107">
        <f t="shared" si="42"/>
        <v>5.8731269946650073</v>
      </c>
      <c r="N104" s="333">
        <v>0</v>
      </c>
      <c r="O104" s="107"/>
      <c r="P104" s="107">
        <f t="shared" si="51"/>
        <v>22.302041843890485</v>
      </c>
      <c r="Q104" s="107">
        <f t="shared" si="52"/>
        <v>7.0623478286646648</v>
      </c>
      <c r="R104" s="107"/>
      <c r="S104" s="143">
        <f t="shared" si="53"/>
        <v>61.931373496172704</v>
      </c>
      <c r="T104" s="905">
        <v>56.041666666666671</v>
      </c>
      <c r="U104" s="107"/>
      <c r="V104" s="151">
        <f t="shared" si="54"/>
        <v>56.041666666666671</v>
      </c>
      <c r="W104" s="246"/>
      <c r="X104" s="107"/>
      <c r="Y104" s="46">
        <f t="shared" si="55"/>
        <v>0</v>
      </c>
      <c r="Z104" s="141">
        <f t="shared" si="56"/>
        <v>0</v>
      </c>
      <c r="AA104" s="107">
        <f t="shared" si="43"/>
        <v>0</v>
      </c>
      <c r="AB104" s="333">
        <v>0</v>
      </c>
      <c r="AC104" s="107"/>
      <c r="AD104" s="107">
        <f t="shared" si="57"/>
        <v>0</v>
      </c>
      <c r="AE104" s="107">
        <f t="shared" si="58"/>
        <v>0</v>
      </c>
      <c r="AF104" s="107"/>
      <c r="AG104" s="142">
        <f t="shared" si="59"/>
        <v>0</v>
      </c>
      <c r="AH104" s="210">
        <f t="shared" si="60"/>
        <v>37.960609890128943</v>
      </c>
      <c r="AI104" s="107">
        <f t="shared" si="44"/>
        <v>7.5718393661135277</v>
      </c>
      <c r="AJ104" s="333">
        <v>3.8437580707746766</v>
      </c>
      <c r="AK104" s="121">
        <f t="shared" si="45"/>
        <v>0</v>
      </c>
      <c r="AL104" s="107"/>
      <c r="AM104" s="107">
        <f t="shared" si="61"/>
        <v>31.715128900782329</v>
      </c>
      <c r="AN104" s="107">
        <f t="shared" si="62"/>
        <v>10.437495752199052</v>
      </c>
      <c r="AO104" s="107"/>
      <c r="AP104" s="143">
        <f t="shared" si="63"/>
        <v>91.528831979998529</v>
      </c>
      <c r="AQ104" s="34"/>
      <c r="AR104" s="29"/>
      <c r="AS104" s="124"/>
      <c r="AT104" s="138">
        <f t="shared" si="64"/>
        <v>2148.3724334751219</v>
      </c>
      <c r="AU104" s="151">
        <f t="shared" si="65"/>
        <v>2543.1140307478436</v>
      </c>
      <c r="AW104" s="1">
        <v>2</v>
      </c>
      <c r="BA104" s="30">
        <v>68.92</v>
      </c>
      <c r="BB104" s="30">
        <v>23.99</v>
      </c>
      <c r="BC104" s="30">
        <v>0</v>
      </c>
      <c r="BD104" s="30">
        <v>36.61</v>
      </c>
      <c r="BF104" s="289">
        <f t="shared" si="74"/>
        <v>67.25</v>
      </c>
      <c r="BI104" s="333">
        <v>0</v>
      </c>
      <c r="BL104" s="110">
        <f t="shared" si="73"/>
        <v>1.0967873225415627</v>
      </c>
      <c r="BM104" s="110">
        <f t="shared" si="73"/>
        <v>1.1127076627324948</v>
      </c>
      <c r="BN104" s="110">
        <f t="shared" si="73"/>
        <v>2.8314493742615632</v>
      </c>
      <c r="BO104" s="110">
        <f t="shared" si="73"/>
        <v>1.036891829831438</v>
      </c>
    </row>
    <row r="105" spans="1:67" x14ac:dyDescent="0.25">
      <c r="A105" s="260" t="s">
        <v>160</v>
      </c>
      <c r="B105" s="237">
        <v>2</v>
      </c>
      <c r="C105" s="236">
        <f>'побудинковий звіт'!E105</f>
        <v>4786.05</v>
      </c>
      <c r="D105" s="141">
        <f t="shared" si="46"/>
        <v>34.647511519087963</v>
      </c>
      <c r="E105" s="107">
        <f t="shared" si="40"/>
        <v>7.141787019532277</v>
      </c>
      <c r="F105" s="333">
        <v>10.01232816730071</v>
      </c>
      <c r="G105" s="107">
        <f t="shared" si="41"/>
        <v>0</v>
      </c>
      <c r="H105" s="735">
        <f t="shared" si="47"/>
        <v>28.947119055770333</v>
      </c>
      <c r="I105" s="107">
        <f t="shared" si="48"/>
        <v>10.393399962178979</v>
      </c>
      <c r="J105" s="29"/>
      <c r="K105" s="142">
        <f t="shared" si="49"/>
        <v>91.142145723870257</v>
      </c>
      <c r="L105" s="210">
        <f t="shared" si="50"/>
        <v>22.265280331277221</v>
      </c>
      <c r="M105" s="107">
        <f t="shared" si="42"/>
        <v>4.8987607821278374</v>
      </c>
      <c r="N105" s="333">
        <v>0</v>
      </c>
      <c r="O105" s="107"/>
      <c r="P105" s="107">
        <f t="shared" si="51"/>
        <v>18.60207825328256</v>
      </c>
      <c r="Q105" s="107">
        <f t="shared" si="52"/>
        <v>5.8906869550471006</v>
      </c>
      <c r="R105" s="107"/>
      <c r="S105" s="143">
        <f t="shared" si="53"/>
        <v>51.65680632173472</v>
      </c>
      <c r="T105" s="905">
        <v>55.63333333333334</v>
      </c>
      <c r="U105" s="107"/>
      <c r="V105" s="151">
        <f t="shared" si="54"/>
        <v>55.63333333333334</v>
      </c>
      <c r="W105" s="246"/>
      <c r="X105" s="107"/>
      <c r="Y105" s="46">
        <f t="shared" si="55"/>
        <v>0</v>
      </c>
      <c r="Z105" s="141">
        <f t="shared" si="56"/>
        <v>0</v>
      </c>
      <c r="AA105" s="107">
        <f t="shared" si="43"/>
        <v>0</v>
      </c>
      <c r="AB105" s="333">
        <v>0</v>
      </c>
      <c r="AC105" s="107"/>
      <c r="AD105" s="107">
        <f t="shared" si="57"/>
        <v>0</v>
      </c>
      <c r="AE105" s="107">
        <f t="shared" si="58"/>
        <v>0</v>
      </c>
      <c r="AF105" s="107"/>
      <c r="AG105" s="142">
        <f t="shared" si="59"/>
        <v>0</v>
      </c>
      <c r="AH105" s="210">
        <f t="shared" si="60"/>
        <v>18.684790773562511</v>
      </c>
      <c r="AI105" s="107">
        <f t="shared" si="44"/>
        <v>3.7269747439870464</v>
      </c>
      <c r="AJ105" s="333">
        <v>3.931031604933017</v>
      </c>
      <c r="AK105" s="121">
        <f t="shared" si="45"/>
        <v>0</v>
      </c>
      <c r="AL105" s="107"/>
      <c r="AM105" s="107">
        <f t="shared" si="61"/>
        <v>15.610669838625991</v>
      </c>
      <c r="AN105" s="107">
        <f t="shared" si="62"/>
        <v>5.3999496563540186</v>
      </c>
      <c r="AO105" s="107"/>
      <c r="AP105" s="143">
        <f t="shared" si="63"/>
        <v>47.353416617462585</v>
      </c>
      <c r="AQ105" s="34"/>
      <c r="AR105" s="29"/>
      <c r="AS105" s="124"/>
      <c r="AT105" s="138">
        <f t="shared" si="64"/>
        <v>2223.2014731443314</v>
      </c>
      <c r="AU105" s="151">
        <f t="shared" si="65"/>
        <v>2468.9871751407322</v>
      </c>
      <c r="AW105" s="1">
        <v>2</v>
      </c>
      <c r="BA105" s="30">
        <v>31.589999999999996</v>
      </c>
      <c r="BB105" s="30">
        <v>20.010000000000002</v>
      </c>
      <c r="BC105" s="30">
        <v>0</v>
      </c>
      <c r="BD105" s="30">
        <v>18.02</v>
      </c>
      <c r="BF105" s="289">
        <f t="shared" si="74"/>
        <v>66.760000000000005</v>
      </c>
      <c r="BI105" s="333">
        <v>0</v>
      </c>
      <c r="BL105" s="110">
        <f t="shared" si="73"/>
        <v>1.0967873225415627</v>
      </c>
      <c r="BM105" s="110">
        <f t="shared" si="73"/>
        <v>1.1127076627324948</v>
      </c>
      <c r="BN105" s="110">
        <f t="shared" si="73"/>
        <v>2.8314493742615632</v>
      </c>
      <c r="BO105" s="110">
        <f t="shared" si="73"/>
        <v>1.036891829831438</v>
      </c>
    </row>
    <row r="106" spans="1:67" x14ac:dyDescent="0.25">
      <c r="A106" s="260" t="s">
        <v>195</v>
      </c>
      <c r="B106" s="237">
        <v>3</v>
      </c>
      <c r="C106" s="236">
        <f>'побудинковий звіт'!E106</f>
        <v>9608.24</v>
      </c>
      <c r="D106" s="141">
        <f t="shared" si="46"/>
        <v>166.95296623727668</v>
      </c>
      <c r="E106" s="107">
        <f t="shared" si="40"/>
        <v>34.413511241316982</v>
      </c>
      <c r="F106" s="333">
        <v>23.345243285709568</v>
      </c>
      <c r="G106" s="107">
        <f t="shared" si="41"/>
        <v>0</v>
      </c>
      <c r="H106" s="735">
        <f t="shared" si="47"/>
        <v>139.48497824214499</v>
      </c>
      <c r="I106" s="107">
        <f t="shared" si="48"/>
        <v>46.87678950271841</v>
      </c>
      <c r="J106" s="29"/>
      <c r="K106" s="142">
        <f t="shared" si="49"/>
        <v>411.07348850916657</v>
      </c>
      <c r="L106" s="210">
        <f t="shared" si="50"/>
        <v>36.730479946799647</v>
      </c>
      <c r="M106" s="107">
        <f t="shared" si="42"/>
        <v>8.0813639889075404</v>
      </c>
      <c r="N106" s="333">
        <v>0</v>
      </c>
      <c r="O106" s="107"/>
      <c r="P106" s="107">
        <f t="shared" si="51"/>
        <v>30.687386463810956</v>
      </c>
      <c r="Q106" s="107">
        <f t="shared" si="52"/>
        <v>9.7177199593255761</v>
      </c>
      <c r="R106" s="107"/>
      <c r="S106" s="143">
        <f t="shared" si="53"/>
        <v>85.216950358843718</v>
      </c>
      <c r="T106" s="905">
        <v>111.40833333333333</v>
      </c>
      <c r="U106" s="107"/>
      <c r="V106" s="151">
        <f t="shared" si="54"/>
        <v>111.40833333333333</v>
      </c>
      <c r="W106" s="246"/>
      <c r="X106" s="107"/>
      <c r="Y106" s="46">
        <f t="shared" si="55"/>
        <v>0</v>
      </c>
      <c r="Z106" s="141">
        <f t="shared" si="56"/>
        <v>0</v>
      </c>
      <c r="AA106" s="107">
        <f t="shared" si="43"/>
        <v>0</v>
      </c>
      <c r="AB106" s="333">
        <v>0</v>
      </c>
      <c r="AC106" s="107"/>
      <c r="AD106" s="107">
        <f t="shared" si="57"/>
        <v>0</v>
      </c>
      <c r="AE106" s="107">
        <f t="shared" si="58"/>
        <v>0</v>
      </c>
      <c r="AF106" s="107"/>
      <c r="AG106" s="142">
        <f t="shared" si="59"/>
        <v>0</v>
      </c>
      <c r="AH106" s="210">
        <f t="shared" si="60"/>
        <v>61.33215173452956</v>
      </c>
      <c r="AI106" s="107">
        <f t="shared" si="44"/>
        <v>12.233660161311533</v>
      </c>
      <c r="AJ106" s="333">
        <v>9.1657891798522364</v>
      </c>
      <c r="AK106" s="121">
        <f t="shared" si="45"/>
        <v>0</v>
      </c>
      <c r="AL106" s="107"/>
      <c r="AM106" s="107">
        <f t="shared" si="61"/>
        <v>51.241460652315617</v>
      </c>
      <c r="AN106" s="107">
        <f t="shared" si="62"/>
        <v>17.244052543011605</v>
      </c>
      <c r="AO106" s="107"/>
      <c r="AP106" s="143">
        <f t="shared" si="63"/>
        <v>151.21711427102056</v>
      </c>
      <c r="AQ106" s="34"/>
      <c r="AR106" s="29"/>
      <c r="AS106" s="124"/>
      <c r="AT106" s="138">
        <f t="shared" si="64"/>
        <v>4463.190589802507</v>
      </c>
      <c r="AU106" s="151">
        <f t="shared" si="65"/>
        <v>5222.1064762748711</v>
      </c>
      <c r="AW106" s="1">
        <v>2</v>
      </c>
      <c r="BA106" s="30">
        <v>152.22</v>
      </c>
      <c r="BB106" s="30">
        <v>33.01</v>
      </c>
      <c r="BC106" s="30">
        <v>0</v>
      </c>
      <c r="BD106" s="30">
        <v>59.15</v>
      </c>
      <c r="BF106" s="289">
        <f t="shared" si="74"/>
        <v>133.69</v>
      </c>
      <c r="BG106" s="1">
        <v>106.95</v>
      </c>
      <c r="BI106" s="333">
        <v>0</v>
      </c>
      <c r="BL106" s="110">
        <f t="shared" si="73"/>
        <v>1.0967873225415627</v>
      </c>
      <c r="BM106" s="110">
        <f t="shared" si="73"/>
        <v>1.1127076627324948</v>
      </c>
      <c r="BN106" s="110">
        <f t="shared" si="73"/>
        <v>2.8314493742615632</v>
      </c>
      <c r="BO106" s="110">
        <f t="shared" si="73"/>
        <v>1.036891829831438</v>
      </c>
    </row>
    <row r="107" spans="1:67" x14ac:dyDescent="0.25">
      <c r="A107" s="260" t="s">
        <v>209</v>
      </c>
      <c r="B107" s="237">
        <v>4</v>
      </c>
      <c r="C107" s="236">
        <f>'побудинковий звіт'!E107</f>
        <v>7600.2300000000005</v>
      </c>
      <c r="D107" s="141">
        <f t="shared" si="46"/>
        <v>195.29395065175066</v>
      </c>
      <c r="E107" s="107">
        <f t="shared" si="40"/>
        <v>40.255352855268043</v>
      </c>
      <c r="F107" s="333">
        <v>30.99776346745119</v>
      </c>
      <c r="G107" s="107">
        <f t="shared" si="41"/>
        <v>0</v>
      </c>
      <c r="H107" s="735">
        <f t="shared" si="47"/>
        <v>163.16315350017302</v>
      </c>
      <c r="I107" s="107">
        <f t="shared" si="48"/>
        <v>55.309220559409603</v>
      </c>
      <c r="J107" s="29"/>
      <c r="K107" s="142">
        <f t="shared" si="49"/>
        <v>485.01944103405253</v>
      </c>
      <c r="L107" s="210">
        <f t="shared" si="50"/>
        <v>35.183816295601488</v>
      </c>
      <c r="M107" s="107">
        <f t="shared" si="42"/>
        <v>7.7410702614134044</v>
      </c>
      <c r="N107" s="333">
        <v>0</v>
      </c>
      <c r="O107" s="107"/>
      <c r="P107" s="107">
        <f t="shared" si="51"/>
        <v>29.39518812437754</v>
      </c>
      <c r="Q107" s="107">
        <f t="shared" si="52"/>
        <v>9.3085218150219582</v>
      </c>
      <c r="R107" s="107"/>
      <c r="S107" s="143">
        <f t="shared" si="53"/>
        <v>81.628596496414403</v>
      </c>
      <c r="T107" s="905">
        <v>177.45000000000002</v>
      </c>
      <c r="U107" s="107"/>
      <c r="V107" s="151">
        <f t="shared" si="54"/>
        <v>177.45000000000002</v>
      </c>
      <c r="W107" s="246"/>
      <c r="X107" s="107"/>
      <c r="Y107" s="46">
        <f t="shared" si="55"/>
        <v>0</v>
      </c>
      <c r="Z107" s="141">
        <f t="shared" si="56"/>
        <v>0</v>
      </c>
      <c r="AA107" s="107">
        <f t="shared" si="43"/>
        <v>0</v>
      </c>
      <c r="AB107" s="333">
        <v>0</v>
      </c>
      <c r="AC107" s="107"/>
      <c r="AD107" s="107">
        <f t="shared" si="57"/>
        <v>0</v>
      </c>
      <c r="AE107" s="107">
        <f t="shared" si="58"/>
        <v>0</v>
      </c>
      <c r="AF107" s="107"/>
      <c r="AG107" s="142">
        <f t="shared" si="59"/>
        <v>0</v>
      </c>
      <c r="AH107" s="210">
        <f t="shared" si="60"/>
        <v>91.588655329010919</v>
      </c>
      <c r="AI107" s="107">
        <f t="shared" si="44"/>
        <v>18.268794624660146</v>
      </c>
      <c r="AJ107" s="333">
        <v>12.170315019312826</v>
      </c>
      <c r="AK107" s="121">
        <f t="shared" si="45"/>
        <v>0</v>
      </c>
      <c r="AL107" s="107"/>
      <c r="AM107" s="107">
        <f t="shared" si="61"/>
        <v>76.520003709535729</v>
      </c>
      <c r="AN107" s="107">
        <f t="shared" si="62"/>
        <v>25.555646122427131</v>
      </c>
      <c r="AO107" s="107"/>
      <c r="AP107" s="143">
        <f t="shared" si="63"/>
        <v>224.10341480494677</v>
      </c>
      <c r="AQ107" s="34"/>
      <c r="AR107" s="29"/>
      <c r="AS107" s="124"/>
      <c r="AT107" s="138">
        <f t="shared" si="64"/>
        <v>3530.4358567578151</v>
      </c>
      <c r="AU107" s="151">
        <f t="shared" si="65"/>
        <v>4498.6373090932284</v>
      </c>
      <c r="AW107" s="1">
        <v>2</v>
      </c>
      <c r="BA107" s="30">
        <v>178.06</v>
      </c>
      <c r="BB107" s="30">
        <v>31.62</v>
      </c>
      <c r="BC107" s="30">
        <v>0</v>
      </c>
      <c r="BD107" s="30">
        <v>88.33</v>
      </c>
      <c r="BF107" s="289">
        <f t="shared" si="74"/>
        <v>212.94000000000003</v>
      </c>
      <c r="BI107" s="333">
        <v>0</v>
      </c>
      <c r="BL107" s="110">
        <f t="shared" si="73"/>
        <v>1.0967873225415627</v>
      </c>
      <c r="BM107" s="110">
        <f t="shared" si="73"/>
        <v>1.1127076627324948</v>
      </c>
      <c r="BN107" s="110">
        <f t="shared" si="73"/>
        <v>2.8314493742615632</v>
      </c>
      <c r="BO107" s="110">
        <f t="shared" si="73"/>
        <v>1.036891829831438</v>
      </c>
    </row>
    <row r="108" spans="1:67" x14ac:dyDescent="0.25">
      <c r="A108" s="260" t="s">
        <v>161</v>
      </c>
      <c r="B108" s="237">
        <v>2</v>
      </c>
      <c r="C108" s="236">
        <f>'побудинковий звіт'!E108</f>
        <v>311.60000000000002</v>
      </c>
      <c r="D108" s="141">
        <f t="shared" si="46"/>
        <v>65.138199085743409</v>
      </c>
      <c r="E108" s="107">
        <f t="shared" si="40"/>
        <v>13.426740458690155</v>
      </c>
      <c r="F108" s="333">
        <v>10.509152027117526</v>
      </c>
      <c r="G108" s="107">
        <f t="shared" si="41"/>
        <v>0</v>
      </c>
      <c r="H108" s="735">
        <f t="shared" si="47"/>
        <v>54.421316895289657</v>
      </c>
      <c r="I108" s="107">
        <f t="shared" si="48"/>
        <v>18.4697007843764</v>
      </c>
      <c r="J108" s="29"/>
      <c r="K108" s="142">
        <f t="shared" si="49"/>
        <v>161.96510925121714</v>
      </c>
      <c r="L108" s="210">
        <f t="shared" si="50"/>
        <v>25.948342694921777</v>
      </c>
      <c r="M108" s="107">
        <f t="shared" si="42"/>
        <v>5.7091005217002078</v>
      </c>
      <c r="N108" s="333">
        <v>0</v>
      </c>
      <c r="O108" s="107"/>
      <c r="P108" s="107">
        <f t="shared" si="51"/>
        <v>21.679183651501713</v>
      </c>
      <c r="Q108" s="107">
        <f t="shared" si="52"/>
        <v>6.8651084353672358</v>
      </c>
      <c r="R108" s="107"/>
      <c r="S108" s="143">
        <f t="shared" si="53"/>
        <v>60.201735303490935</v>
      </c>
      <c r="T108" s="905">
        <v>56.758333333333333</v>
      </c>
      <c r="U108" s="107"/>
      <c r="V108" s="151">
        <f t="shared" si="54"/>
        <v>56.758333333333333</v>
      </c>
      <c r="W108" s="246"/>
      <c r="X108" s="107"/>
      <c r="Y108" s="46">
        <f t="shared" si="55"/>
        <v>0</v>
      </c>
      <c r="Z108" s="141">
        <f t="shared" si="56"/>
        <v>0</v>
      </c>
      <c r="AA108" s="107">
        <f t="shared" si="43"/>
        <v>0</v>
      </c>
      <c r="AB108" s="333">
        <v>0</v>
      </c>
      <c r="AC108" s="107"/>
      <c r="AD108" s="107">
        <f t="shared" si="57"/>
        <v>0</v>
      </c>
      <c r="AE108" s="107">
        <f t="shared" si="58"/>
        <v>0</v>
      </c>
      <c r="AF108" s="107"/>
      <c r="AG108" s="142">
        <f t="shared" si="59"/>
        <v>0</v>
      </c>
      <c r="AH108" s="210">
        <f t="shared" si="60"/>
        <v>37.960609890128943</v>
      </c>
      <c r="AI108" s="107">
        <f t="shared" si="44"/>
        <v>7.5718393661135277</v>
      </c>
      <c r="AJ108" s="333">
        <v>4.1260941580565866</v>
      </c>
      <c r="AK108" s="121">
        <f t="shared" si="45"/>
        <v>0</v>
      </c>
      <c r="AL108" s="418"/>
      <c r="AM108" s="107">
        <f t="shared" si="61"/>
        <v>31.715128900782329</v>
      </c>
      <c r="AN108" s="107">
        <f t="shared" si="62"/>
        <v>10.473836030319752</v>
      </c>
      <c r="AO108" s="107"/>
      <c r="AP108" s="143">
        <f t="shared" si="63"/>
        <v>91.847508345401138</v>
      </c>
      <c r="AQ108" s="34"/>
      <c r="AR108" s="29"/>
      <c r="AS108" s="124"/>
      <c r="AT108" s="138">
        <f t="shared" si="64"/>
        <v>144.74348973198641</v>
      </c>
      <c r="AU108" s="151">
        <f t="shared" si="65"/>
        <v>515.51617596542894</v>
      </c>
      <c r="AW108" s="1">
        <v>2</v>
      </c>
      <c r="BA108" s="30">
        <v>59.39</v>
      </c>
      <c r="BB108" s="30">
        <v>23.32</v>
      </c>
      <c r="BC108" s="30">
        <v>0</v>
      </c>
      <c r="BD108" s="30">
        <v>36.61</v>
      </c>
      <c r="BF108" s="289">
        <f t="shared" si="74"/>
        <v>68.11</v>
      </c>
      <c r="BI108" s="333">
        <v>0</v>
      </c>
      <c r="BL108" s="110">
        <f t="shared" si="73"/>
        <v>1.0967873225415627</v>
      </c>
      <c r="BM108" s="110">
        <f t="shared" si="73"/>
        <v>1.1127076627324948</v>
      </c>
      <c r="BN108" s="110">
        <f t="shared" si="73"/>
        <v>2.8314493742615632</v>
      </c>
      <c r="BO108" s="110">
        <f t="shared" si="73"/>
        <v>1.036891829831438</v>
      </c>
    </row>
    <row r="109" spans="1:67" x14ac:dyDescent="0.25">
      <c r="A109" s="260" t="s">
        <v>210</v>
      </c>
      <c r="B109" s="237">
        <v>4</v>
      </c>
      <c r="C109" s="236">
        <f>'побудинковий звіт'!E109</f>
        <v>2638.4</v>
      </c>
      <c r="D109" s="141">
        <f t="shared" si="46"/>
        <v>187.78095749234097</v>
      </c>
      <c r="E109" s="107">
        <f t="shared" si="40"/>
        <v>38.706722241662597</v>
      </c>
      <c r="F109" s="333">
        <v>31.229108928892607</v>
      </c>
      <c r="G109" s="107">
        <f t="shared" si="41"/>
        <v>0</v>
      </c>
      <c r="H109" s="735">
        <f t="shared" si="47"/>
        <v>156.88623784547133</v>
      </c>
      <c r="I109" s="107">
        <f t="shared" si="48"/>
        <v>53.364730800260823</v>
      </c>
      <c r="J109" s="29"/>
      <c r="K109" s="142">
        <f t="shared" si="49"/>
        <v>467.96775730862834</v>
      </c>
      <c r="L109" s="210">
        <f t="shared" si="50"/>
        <v>35.005783069564288</v>
      </c>
      <c r="M109" s="107">
        <f t="shared" si="42"/>
        <v>7.7018997604068842</v>
      </c>
      <c r="N109" s="333">
        <v>0</v>
      </c>
      <c r="O109" s="107"/>
      <c r="P109" s="107">
        <f t="shared" si="51"/>
        <v>29.24644586947873</v>
      </c>
      <c r="Q109" s="107">
        <f t="shared" si="52"/>
        <v>9.2614198703539135</v>
      </c>
      <c r="R109" s="107"/>
      <c r="S109" s="143">
        <f t="shared" si="53"/>
        <v>81.215548569803815</v>
      </c>
      <c r="T109" s="905">
        <v>180.31666666666666</v>
      </c>
      <c r="U109" s="107"/>
      <c r="V109" s="151">
        <f t="shared" si="54"/>
        <v>180.31666666666666</v>
      </c>
      <c r="W109" s="246"/>
      <c r="X109" s="107"/>
      <c r="Y109" s="46">
        <f t="shared" si="55"/>
        <v>0</v>
      </c>
      <c r="Z109" s="141">
        <f t="shared" si="56"/>
        <v>0</v>
      </c>
      <c r="AA109" s="107">
        <f t="shared" si="43"/>
        <v>0</v>
      </c>
      <c r="AB109" s="333">
        <v>0</v>
      </c>
      <c r="AC109" s="107"/>
      <c r="AD109" s="107">
        <f t="shared" si="57"/>
        <v>0</v>
      </c>
      <c r="AE109" s="107">
        <f t="shared" si="58"/>
        <v>0</v>
      </c>
      <c r="AF109" s="107"/>
      <c r="AG109" s="142">
        <f t="shared" si="59"/>
        <v>0</v>
      </c>
      <c r="AH109" s="210">
        <f t="shared" si="60"/>
        <v>92.407799874577762</v>
      </c>
      <c r="AI109" s="107">
        <f t="shared" si="44"/>
        <v>18.432185859274451</v>
      </c>
      <c r="AJ109" s="333">
        <v>12.261145673820749</v>
      </c>
      <c r="AK109" s="121">
        <f t="shared" si="45"/>
        <v>0</v>
      </c>
      <c r="AL109" s="107"/>
      <c r="AM109" s="107">
        <f t="shared" si="61"/>
        <v>77.204378247411128</v>
      </c>
      <c r="AN109" s="107">
        <f t="shared" si="62"/>
        <v>25.781889945602888</v>
      </c>
      <c r="AO109" s="107"/>
      <c r="AP109" s="143">
        <f t="shared" si="63"/>
        <v>226.08739960068701</v>
      </c>
      <c r="AQ109" s="34"/>
      <c r="AR109" s="29"/>
      <c r="AS109" s="124"/>
      <c r="AT109" s="138">
        <f t="shared" si="64"/>
        <v>1225.5815895663445</v>
      </c>
      <c r="AU109" s="151">
        <f t="shared" si="65"/>
        <v>2181.1689617121306</v>
      </c>
      <c r="AW109" s="1">
        <v>2</v>
      </c>
      <c r="BA109" s="30">
        <v>171.21</v>
      </c>
      <c r="BB109" s="30">
        <v>31.46</v>
      </c>
      <c r="BC109" s="30">
        <v>0</v>
      </c>
      <c r="BD109" s="30">
        <v>89.12</v>
      </c>
      <c r="BF109" s="289">
        <f t="shared" si="74"/>
        <v>216.38</v>
      </c>
      <c r="BI109" s="333">
        <v>0</v>
      </c>
      <c r="BL109" s="110">
        <f t="shared" si="73"/>
        <v>1.0967873225415627</v>
      </c>
      <c r="BM109" s="110">
        <f t="shared" si="73"/>
        <v>1.1127076627324948</v>
      </c>
      <c r="BN109" s="110">
        <f t="shared" si="73"/>
        <v>2.8314493742615632</v>
      </c>
      <c r="BO109" s="110">
        <f t="shared" si="73"/>
        <v>1.036891829831438</v>
      </c>
    </row>
    <row r="110" spans="1:67" x14ac:dyDescent="0.25">
      <c r="A110" s="260" t="s">
        <v>162</v>
      </c>
      <c r="B110" s="237">
        <v>2</v>
      </c>
      <c r="C110" s="236">
        <f>'побудинковий звіт'!E110</f>
        <v>387.5</v>
      </c>
      <c r="D110" s="141">
        <f t="shared" si="46"/>
        <v>56.945197786357937</v>
      </c>
      <c r="E110" s="107">
        <f t="shared" si="40"/>
        <v>11.737941818743776</v>
      </c>
      <c r="F110" s="333">
        <v>13.195961976389803</v>
      </c>
      <c r="G110" s="107">
        <f t="shared" si="41"/>
        <v>0</v>
      </c>
      <c r="H110" s="735">
        <f t="shared" si="47"/>
        <v>47.576271648483562</v>
      </c>
      <c r="I110" s="107">
        <f t="shared" si="48"/>
        <v>16.662568050321472</v>
      </c>
      <c r="J110" s="29"/>
      <c r="K110" s="142">
        <f t="shared" si="49"/>
        <v>146.11794128029655</v>
      </c>
      <c r="L110" s="210">
        <f t="shared" si="50"/>
        <v>20.61847299043313</v>
      </c>
      <c r="M110" s="107">
        <f t="shared" si="42"/>
        <v>4.5364336478175327</v>
      </c>
      <c r="N110" s="333">
        <v>0</v>
      </c>
      <c r="O110" s="107"/>
      <c r="P110" s="107">
        <f t="shared" si="51"/>
        <v>17.226212395468558</v>
      </c>
      <c r="Q110" s="107">
        <f t="shared" si="52"/>
        <v>5.454993966867705</v>
      </c>
      <c r="R110" s="107"/>
      <c r="S110" s="143">
        <f t="shared" si="53"/>
        <v>47.83611300058692</v>
      </c>
      <c r="T110" s="905">
        <v>70.433333333333337</v>
      </c>
      <c r="U110" s="107"/>
      <c r="V110" s="151">
        <f t="shared" si="54"/>
        <v>70.433333333333337</v>
      </c>
      <c r="W110" s="246"/>
      <c r="X110" s="107"/>
      <c r="Y110" s="46">
        <f t="shared" si="55"/>
        <v>0</v>
      </c>
      <c r="Z110" s="141">
        <f t="shared" si="56"/>
        <v>0</v>
      </c>
      <c r="AA110" s="107">
        <f t="shared" si="43"/>
        <v>0</v>
      </c>
      <c r="AB110" s="333">
        <v>0</v>
      </c>
      <c r="AC110" s="107"/>
      <c r="AD110" s="107">
        <f t="shared" si="57"/>
        <v>0</v>
      </c>
      <c r="AE110" s="107">
        <f t="shared" si="58"/>
        <v>0</v>
      </c>
      <c r="AF110" s="107"/>
      <c r="AG110" s="142">
        <f t="shared" si="59"/>
        <v>0</v>
      </c>
      <c r="AH110" s="210">
        <f t="shared" si="60"/>
        <v>29.255902978694024</v>
      </c>
      <c r="AI110" s="107">
        <f t="shared" si="44"/>
        <v>5.8355489679020272</v>
      </c>
      <c r="AJ110" s="333">
        <v>5.1809871510301946</v>
      </c>
      <c r="AK110" s="121">
        <f t="shared" si="45"/>
        <v>0</v>
      </c>
      <c r="AL110" s="418"/>
      <c r="AM110" s="107">
        <f t="shared" si="61"/>
        <v>24.442566564752074</v>
      </c>
      <c r="AN110" s="107">
        <f t="shared" si="62"/>
        <v>8.3296518238042214</v>
      </c>
      <c r="AO110" s="107"/>
      <c r="AP110" s="143">
        <f t="shared" si="63"/>
        <v>73.044657486182544</v>
      </c>
      <c r="AQ110" s="34"/>
      <c r="AR110" s="29"/>
      <c r="AS110" s="124"/>
      <c r="AT110" s="138">
        <f t="shared" si="64"/>
        <v>180.00032821291634</v>
      </c>
      <c r="AU110" s="151">
        <f t="shared" si="65"/>
        <v>517.43237331331568</v>
      </c>
      <c r="AW110" s="1">
        <v>2</v>
      </c>
      <c r="BA110" s="30">
        <v>51.92</v>
      </c>
      <c r="BB110" s="30">
        <v>18.53</v>
      </c>
      <c r="BC110" s="30">
        <v>0</v>
      </c>
      <c r="BD110" s="30">
        <v>28.215</v>
      </c>
      <c r="BF110" s="289">
        <f t="shared" si="74"/>
        <v>84.52</v>
      </c>
      <c r="BI110" s="333">
        <v>0</v>
      </c>
      <c r="BL110" s="110">
        <f t="shared" si="73"/>
        <v>1.0967873225415627</v>
      </c>
      <c r="BM110" s="110">
        <f t="shared" si="73"/>
        <v>1.1127076627324948</v>
      </c>
      <c r="BN110" s="110">
        <f t="shared" si="73"/>
        <v>2.8314493742615632</v>
      </c>
      <c r="BO110" s="110">
        <f t="shared" si="73"/>
        <v>1.036891829831438</v>
      </c>
    </row>
    <row r="111" spans="1:67" x14ac:dyDescent="0.25">
      <c r="A111" s="260" t="s">
        <v>256</v>
      </c>
      <c r="B111" s="237">
        <v>5</v>
      </c>
      <c r="C111" s="236">
        <f>'побудинковий звіт'!E111</f>
        <v>453.40000000000003</v>
      </c>
      <c r="D111" s="141">
        <f t="shared" si="46"/>
        <v>334.03754695325836</v>
      </c>
      <c r="E111" s="107">
        <f t="shared" si="40"/>
        <v>68.854151778054785</v>
      </c>
      <c r="F111" s="333">
        <v>55.563153899979753</v>
      </c>
      <c r="G111" s="107">
        <f t="shared" si="41"/>
        <v>0</v>
      </c>
      <c r="H111" s="735">
        <f t="shared" si="47"/>
        <v>279.07991705050375</v>
      </c>
      <c r="I111" s="107">
        <f t="shared" si="48"/>
        <v>94.930190865616154</v>
      </c>
      <c r="J111" s="29"/>
      <c r="K111" s="142">
        <f t="shared" si="49"/>
        <v>832.46496054741283</v>
      </c>
      <c r="L111" s="210">
        <f t="shared" si="50"/>
        <v>64.948746273695718</v>
      </c>
      <c r="M111" s="107">
        <f t="shared" si="42"/>
        <v>14.289888398440871</v>
      </c>
      <c r="N111" s="333">
        <v>0</v>
      </c>
      <c r="O111" s="107"/>
      <c r="P111" s="107">
        <f t="shared" si="51"/>
        <v>54.263033865272511</v>
      </c>
      <c r="Q111" s="107">
        <f t="shared" si="52"/>
        <v>17.183378189210359</v>
      </c>
      <c r="R111" s="107"/>
      <c r="S111" s="143">
        <f t="shared" si="53"/>
        <v>150.68504672661948</v>
      </c>
      <c r="T111" s="905">
        <v>306.92500000000001</v>
      </c>
      <c r="U111" s="107"/>
      <c r="V111" s="151">
        <f t="shared" si="54"/>
        <v>306.92500000000001</v>
      </c>
      <c r="W111" s="246"/>
      <c r="X111" s="107"/>
      <c r="Y111" s="46">
        <f t="shared" si="55"/>
        <v>0</v>
      </c>
      <c r="Z111" s="141">
        <f t="shared" si="56"/>
        <v>0</v>
      </c>
      <c r="AA111" s="107">
        <f t="shared" si="43"/>
        <v>0</v>
      </c>
      <c r="AB111" s="333">
        <v>0</v>
      </c>
      <c r="AC111" s="107"/>
      <c r="AD111" s="107">
        <f t="shared" si="57"/>
        <v>0</v>
      </c>
      <c r="AE111" s="107">
        <f t="shared" si="58"/>
        <v>0</v>
      </c>
      <c r="AF111" s="107"/>
      <c r="AG111" s="142">
        <f t="shared" si="59"/>
        <v>0</v>
      </c>
      <c r="AH111" s="210">
        <f t="shared" si="60"/>
        <v>163.58005507420765</v>
      </c>
      <c r="AI111" s="107">
        <f t="shared" si="44"/>
        <v>32.628609079433765</v>
      </c>
      <c r="AJ111" s="333">
        <v>21.815157314151744</v>
      </c>
      <c r="AK111" s="121">
        <f t="shared" si="45"/>
        <v>0</v>
      </c>
      <c r="AL111" s="107"/>
      <c r="AM111" s="107">
        <f t="shared" si="61"/>
        <v>136.66699632306529</v>
      </c>
      <c r="AN111" s="107">
        <f t="shared" si="62"/>
        <v>45.653260585524251</v>
      </c>
      <c r="AO111" s="107"/>
      <c r="AP111" s="143">
        <f t="shared" si="63"/>
        <v>400.3440783763827</v>
      </c>
      <c r="AQ111" s="34"/>
      <c r="AR111" s="29"/>
      <c r="AS111" s="124"/>
      <c r="AT111" s="138">
        <f t="shared" si="64"/>
        <v>210.61199693351298</v>
      </c>
      <c r="AU111" s="151">
        <f t="shared" si="65"/>
        <v>1901.0310825839279</v>
      </c>
      <c r="AW111" s="1">
        <v>2</v>
      </c>
      <c r="BA111" s="30">
        <v>304.56</v>
      </c>
      <c r="BB111" s="30">
        <v>58.37</v>
      </c>
      <c r="BC111" s="30">
        <v>0</v>
      </c>
      <c r="BD111" s="30">
        <v>157.76</v>
      </c>
      <c r="BF111" s="289">
        <f t="shared" si="74"/>
        <v>368.31</v>
      </c>
      <c r="BI111" s="333">
        <v>0</v>
      </c>
      <c r="BL111" s="110">
        <f t="shared" si="73"/>
        <v>1.0967873225415627</v>
      </c>
      <c r="BM111" s="110">
        <f t="shared" si="73"/>
        <v>1.1127076627324948</v>
      </c>
      <c r="BN111" s="110">
        <f t="shared" si="73"/>
        <v>2.8314493742615632</v>
      </c>
      <c r="BO111" s="110">
        <f t="shared" si="73"/>
        <v>1.036891829831438</v>
      </c>
    </row>
    <row r="112" spans="1:67" x14ac:dyDescent="0.25">
      <c r="A112" s="260" t="s">
        <v>257</v>
      </c>
      <c r="B112" s="237">
        <v>5</v>
      </c>
      <c r="C112" s="236">
        <f>'побудинковий звіт'!E112</f>
        <v>774.3</v>
      </c>
      <c r="D112" s="141">
        <f t="shared" si="46"/>
        <v>225.57624862712319</v>
      </c>
      <c r="E112" s="107">
        <f t="shared" si="40"/>
        <v>46.497351576676273</v>
      </c>
      <c r="F112" s="333">
        <v>39.880754955948618</v>
      </c>
      <c r="G112" s="107">
        <f t="shared" si="41"/>
        <v>0</v>
      </c>
      <c r="H112" s="735">
        <f t="shared" si="47"/>
        <v>188.46324710985388</v>
      </c>
      <c r="I112" s="107">
        <f t="shared" si="48"/>
        <v>64.41016810158365</v>
      </c>
      <c r="J112" s="29"/>
      <c r="K112" s="142">
        <f t="shared" si="49"/>
        <v>564.82777037118558</v>
      </c>
      <c r="L112" s="210">
        <f t="shared" si="50"/>
        <v>43.862936064914948</v>
      </c>
      <c r="M112" s="107">
        <f t="shared" si="42"/>
        <v>9.6506321854812267</v>
      </c>
      <c r="N112" s="333">
        <v>0</v>
      </c>
      <c r="O112" s="107"/>
      <c r="P112" s="107">
        <f t="shared" si="51"/>
        <v>36.646373050694585</v>
      </c>
      <c r="Q112" s="107">
        <f t="shared" si="52"/>
        <v>11.604741617589042</v>
      </c>
      <c r="R112" s="107"/>
      <c r="S112" s="143">
        <f t="shared" si="53"/>
        <v>101.7646829186798</v>
      </c>
      <c r="T112" s="905">
        <v>205.46666666666667</v>
      </c>
      <c r="U112" s="107"/>
      <c r="V112" s="151">
        <f t="shared" si="54"/>
        <v>205.46666666666667</v>
      </c>
      <c r="W112" s="246"/>
      <c r="X112" s="107"/>
      <c r="Y112" s="46">
        <f t="shared" si="55"/>
        <v>0</v>
      </c>
      <c r="Z112" s="141">
        <f t="shared" si="56"/>
        <v>0</v>
      </c>
      <c r="AA112" s="107">
        <f t="shared" si="43"/>
        <v>0</v>
      </c>
      <c r="AB112" s="333">
        <v>0</v>
      </c>
      <c r="AC112" s="107"/>
      <c r="AD112" s="107">
        <f t="shared" si="57"/>
        <v>0</v>
      </c>
      <c r="AE112" s="107">
        <f t="shared" si="58"/>
        <v>0</v>
      </c>
      <c r="AF112" s="107"/>
      <c r="AG112" s="142">
        <f t="shared" si="59"/>
        <v>0</v>
      </c>
      <c r="AH112" s="210">
        <f t="shared" si="60"/>
        <v>103.14999923163145</v>
      </c>
      <c r="AI112" s="107">
        <f t="shared" si="44"/>
        <v>20.574886100545584</v>
      </c>
      <c r="AJ112" s="333">
        <v>15.657947436484037</v>
      </c>
      <c r="AK112" s="121">
        <f t="shared" si="45"/>
        <v>0</v>
      </c>
      <c r="AL112" s="107"/>
      <c r="AM112" s="107">
        <f t="shared" si="61"/>
        <v>86.179213959295993</v>
      </c>
      <c r="AN112" s="107">
        <f t="shared" si="62"/>
        <v>29.032730425932741</v>
      </c>
      <c r="AO112" s="107"/>
      <c r="AP112" s="143">
        <f t="shared" si="63"/>
        <v>254.59477715388982</v>
      </c>
      <c r="AQ112" s="34"/>
      <c r="AR112" s="29"/>
      <c r="AS112" s="124"/>
      <c r="AT112" s="138">
        <f t="shared" si="64"/>
        <v>359.67549454260933</v>
      </c>
      <c r="AU112" s="151">
        <f t="shared" si="65"/>
        <v>1486.3293916530313</v>
      </c>
      <c r="AW112" s="1">
        <v>2</v>
      </c>
      <c r="BA112" s="30">
        <v>205.67</v>
      </c>
      <c r="BB112" s="30">
        <v>39.42</v>
      </c>
      <c r="BC112" s="30">
        <v>0</v>
      </c>
      <c r="BD112" s="30">
        <v>99.48</v>
      </c>
      <c r="BF112" s="289">
        <f t="shared" si="74"/>
        <v>246.56</v>
      </c>
      <c r="BI112" s="333">
        <v>0</v>
      </c>
      <c r="BL112" s="110">
        <f t="shared" si="73"/>
        <v>1.0967873225415627</v>
      </c>
      <c r="BM112" s="110">
        <f t="shared" si="73"/>
        <v>1.1127076627324948</v>
      </c>
      <c r="BN112" s="110">
        <f t="shared" si="73"/>
        <v>2.8314493742615632</v>
      </c>
      <c r="BO112" s="110">
        <f t="shared" si="73"/>
        <v>1.036891829831438</v>
      </c>
    </row>
    <row r="113" spans="1:67" x14ac:dyDescent="0.25">
      <c r="A113" s="260" t="s">
        <v>416</v>
      </c>
      <c r="B113" s="237">
        <v>10</v>
      </c>
      <c r="C113" s="236">
        <f>'побудинковий звіт'!E113</f>
        <v>699</v>
      </c>
      <c r="D113" s="141">
        <f t="shared" si="46"/>
        <v>299.75197525060912</v>
      </c>
      <c r="E113" s="107">
        <f t="shared" si="40"/>
        <v>61.786970320929782</v>
      </c>
      <c r="F113" s="333">
        <v>57.819509589029053</v>
      </c>
      <c r="G113" s="107">
        <f t="shared" si="41"/>
        <v>0</v>
      </c>
      <c r="H113" s="735">
        <f t="shared" si="47"/>
        <v>250.43518955182125</v>
      </c>
      <c r="I113" s="107">
        <f t="shared" si="48"/>
        <v>86.211038647786665</v>
      </c>
      <c r="J113" s="29"/>
      <c r="K113" s="142">
        <f t="shared" si="49"/>
        <v>756.00468336017593</v>
      </c>
      <c r="L113" s="210">
        <f t="shared" si="50"/>
        <v>47.979954417025169</v>
      </c>
      <c r="M113" s="107">
        <f t="shared" si="42"/>
        <v>10.556450021256987</v>
      </c>
      <c r="N113" s="333">
        <v>0</v>
      </c>
      <c r="O113" s="107"/>
      <c r="P113" s="107">
        <f t="shared" si="51"/>
        <v>40.086037695229578</v>
      </c>
      <c r="Q113" s="107">
        <f t="shared" si="52"/>
        <v>12.693974088037528</v>
      </c>
      <c r="R113" s="107"/>
      <c r="S113" s="143">
        <f t="shared" si="53"/>
        <v>111.31641622154925</v>
      </c>
      <c r="T113" s="905">
        <v>340.11666666666667</v>
      </c>
      <c r="U113" s="107"/>
      <c r="V113" s="151">
        <f t="shared" si="54"/>
        <v>340.11666666666667</v>
      </c>
      <c r="W113" s="907">
        <v>70</v>
      </c>
      <c r="X113" s="107"/>
      <c r="Y113" s="46">
        <f t="shared" si="55"/>
        <v>70</v>
      </c>
      <c r="Z113" s="141">
        <f t="shared" si="56"/>
        <v>39.895121683345423</v>
      </c>
      <c r="AA113" s="107">
        <f t="shared" si="43"/>
        <v>8.7692635406263904</v>
      </c>
      <c r="AB113" s="333">
        <v>0</v>
      </c>
      <c r="AC113" s="107"/>
      <c r="AD113" s="107">
        <f t="shared" si="57"/>
        <v>33.331364547667924</v>
      </c>
      <c r="AE113" s="107">
        <f t="shared" si="58"/>
        <v>10.55390538313109</v>
      </c>
      <c r="AF113" s="107"/>
      <c r="AG113" s="142">
        <f t="shared" si="59"/>
        <v>92.549655154770832</v>
      </c>
      <c r="AH113" s="210">
        <f t="shared" si="60"/>
        <v>103.51291137207245</v>
      </c>
      <c r="AI113" s="107">
        <f t="shared" si="44"/>
        <v>20.647274622210148</v>
      </c>
      <c r="AJ113" s="333">
        <v>22.701045728655693</v>
      </c>
      <c r="AK113" s="121">
        <f t="shared" si="45"/>
        <v>0</v>
      </c>
      <c r="AL113" s="107"/>
      <c r="AM113" s="107">
        <f t="shared" si="61"/>
        <v>86.482417868481278</v>
      </c>
      <c r="AN113" s="107">
        <f t="shared" si="62"/>
        <v>30.034322588682755</v>
      </c>
      <c r="AO113" s="107"/>
      <c r="AP113" s="143">
        <f t="shared" si="63"/>
        <v>263.37797218010235</v>
      </c>
      <c r="AQ113" s="34"/>
      <c r="AR113" s="29"/>
      <c r="AS113" s="124"/>
      <c r="AT113" s="138">
        <f t="shared" si="64"/>
        <v>324.69736624729944</v>
      </c>
      <c r="AU113" s="151">
        <f t="shared" si="65"/>
        <v>1958.0627598305643</v>
      </c>
      <c r="AW113" s="1">
        <v>2</v>
      </c>
      <c r="BA113" s="30">
        <v>273.3</v>
      </c>
      <c r="BB113" s="30">
        <v>43.12</v>
      </c>
      <c r="BC113" s="30">
        <v>14.09</v>
      </c>
      <c r="BD113" s="30">
        <v>99.83</v>
      </c>
      <c r="BF113" s="289">
        <f t="shared" si="74"/>
        <v>408.14</v>
      </c>
      <c r="BI113" s="333">
        <v>0</v>
      </c>
      <c r="BL113" s="110">
        <f t="shared" si="73"/>
        <v>1.0967873225415627</v>
      </c>
      <c r="BM113" s="110">
        <f t="shared" si="73"/>
        <v>1.1127076627324948</v>
      </c>
      <c r="BN113" s="110">
        <f t="shared" si="73"/>
        <v>2.8314493742615632</v>
      </c>
      <c r="BO113" s="110">
        <f t="shared" si="73"/>
        <v>1.036891829831438</v>
      </c>
    </row>
    <row r="114" spans="1:67" x14ac:dyDescent="0.25">
      <c r="A114" s="260" t="s">
        <v>359</v>
      </c>
      <c r="B114" s="237">
        <v>9</v>
      </c>
      <c r="C114" s="236">
        <f>'побудинковий звіт'!E114</f>
        <v>468.01</v>
      </c>
      <c r="D114" s="141">
        <f t="shared" si="46"/>
        <v>577.01981038911617</v>
      </c>
      <c r="E114" s="107">
        <f t="shared" si="40"/>
        <v>118.93935267413522</v>
      </c>
      <c r="F114" s="333">
        <v>89.63477796576322</v>
      </c>
      <c r="G114" s="107">
        <f t="shared" si="41"/>
        <v>0</v>
      </c>
      <c r="H114" s="735">
        <f t="shared" si="47"/>
        <v>482.08544904212641</v>
      </c>
      <c r="I114" s="107">
        <f t="shared" si="48"/>
        <v>163.16660773536336</v>
      </c>
      <c r="J114" s="29"/>
      <c r="K114" s="142">
        <f t="shared" si="49"/>
        <v>1430.8459978065043</v>
      </c>
      <c r="L114" s="210">
        <f t="shared" si="50"/>
        <v>90.218337294350675</v>
      </c>
      <c r="M114" s="107">
        <f t="shared" si="42"/>
        <v>19.849651385053722</v>
      </c>
      <c r="N114" s="333">
        <v>0</v>
      </c>
      <c r="O114" s="107"/>
      <c r="P114" s="107">
        <f t="shared" si="51"/>
        <v>75.375137669972517</v>
      </c>
      <c r="Q114" s="107">
        <f t="shared" si="52"/>
        <v>23.868910460530682</v>
      </c>
      <c r="R114" s="107"/>
      <c r="S114" s="143">
        <f t="shared" si="53"/>
        <v>209.3120368099076</v>
      </c>
      <c r="T114" s="905">
        <v>517.94166666666672</v>
      </c>
      <c r="U114" s="107"/>
      <c r="V114" s="151">
        <f t="shared" si="54"/>
        <v>517.94166666666672</v>
      </c>
      <c r="W114" s="907">
        <v>115.69166666666668</v>
      </c>
      <c r="X114" s="107"/>
      <c r="Y114" s="46">
        <f t="shared" si="55"/>
        <v>115.69166666666668</v>
      </c>
      <c r="Z114" s="141">
        <f t="shared" si="56"/>
        <v>74.665319999277429</v>
      </c>
      <c r="AA114" s="107">
        <f t="shared" si="43"/>
        <v>16.412028358148898</v>
      </c>
      <c r="AB114" s="333">
        <v>0</v>
      </c>
      <c r="AC114" s="107"/>
      <c r="AD114" s="107">
        <f t="shared" si="57"/>
        <v>62.380985317388451</v>
      </c>
      <c r="AE114" s="107">
        <f t="shared" si="58"/>
        <v>19.752057129394387</v>
      </c>
      <c r="AF114" s="107"/>
      <c r="AG114" s="142">
        <f t="shared" si="59"/>
        <v>173.21039080420917</v>
      </c>
      <c r="AH114" s="210">
        <f t="shared" si="60"/>
        <v>191.75240609072785</v>
      </c>
      <c r="AI114" s="107">
        <f t="shared" si="44"/>
        <v>38.248026604080167</v>
      </c>
      <c r="AJ114" s="333">
        <v>35.192328816721464</v>
      </c>
      <c r="AK114" s="121">
        <f t="shared" si="45"/>
        <v>0</v>
      </c>
      <c r="AL114" s="107">
        <v>2200</v>
      </c>
      <c r="AM114" s="107">
        <f t="shared" si="61"/>
        <v>160.20428264467841</v>
      </c>
      <c r="AN114" s="107">
        <f t="shared" si="62"/>
        <v>337.92229565977112</v>
      </c>
      <c r="AO114" s="107"/>
      <c r="AP114" s="143">
        <f t="shared" si="63"/>
        <v>2963.3193398159788</v>
      </c>
      <c r="AQ114" s="34"/>
      <c r="AR114" s="29"/>
      <c r="AS114" s="124"/>
      <c r="AT114" s="138">
        <f t="shared" si="64"/>
        <v>217.39858995335996</v>
      </c>
      <c r="AU114" s="151">
        <f t="shared" si="65"/>
        <v>5627.7196885232934</v>
      </c>
      <c r="AW114" s="1">
        <v>2</v>
      </c>
      <c r="BA114" s="30">
        <v>526.1</v>
      </c>
      <c r="BB114" s="30">
        <v>81.08</v>
      </c>
      <c r="BC114" s="30">
        <v>26.37</v>
      </c>
      <c r="BD114" s="30">
        <v>184.93</v>
      </c>
      <c r="BF114" s="289">
        <f t="shared" si="74"/>
        <v>621.53000000000009</v>
      </c>
      <c r="BI114" s="333">
        <v>0</v>
      </c>
      <c r="BL114" s="110">
        <f t="shared" si="73"/>
        <v>1.0967873225415627</v>
      </c>
      <c r="BM114" s="110">
        <f t="shared" si="73"/>
        <v>1.1127076627324948</v>
      </c>
      <c r="BN114" s="110">
        <f t="shared" si="73"/>
        <v>2.8314493742615632</v>
      </c>
      <c r="BO114" s="110">
        <f t="shared" si="73"/>
        <v>1.036891829831438</v>
      </c>
    </row>
    <row r="115" spans="1:67" x14ac:dyDescent="0.25">
      <c r="A115" s="434" t="s">
        <v>80</v>
      </c>
      <c r="B115" s="238">
        <v>1</v>
      </c>
      <c r="C115" s="236">
        <f>'побудинковий звіт'!E115</f>
        <v>349.9</v>
      </c>
      <c r="D115" s="141">
        <f t="shared" si="46"/>
        <v>0</v>
      </c>
      <c r="E115" s="107">
        <f t="shared" si="40"/>
        <v>0</v>
      </c>
      <c r="F115" s="333">
        <v>0</v>
      </c>
      <c r="G115" s="107">
        <f t="shared" si="41"/>
        <v>0</v>
      </c>
      <c r="H115" s="735">
        <f t="shared" si="47"/>
        <v>0</v>
      </c>
      <c r="I115" s="107">
        <f t="shared" si="48"/>
        <v>0</v>
      </c>
      <c r="J115" s="29"/>
      <c r="K115" s="142">
        <f t="shared" si="49"/>
        <v>0</v>
      </c>
      <c r="L115" s="210">
        <f t="shared" si="50"/>
        <v>0</v>
      </c>
      <c r="M115" s="107">
        <f t="shared" si="42"/>
        <v>0</v>
      </c>
      <c r="N115" s="333">
        <v>0</v>
      </c>
      <c r="O115" s="107"/>
      <c r="P115" s="107">
        <f t="shared" si="51"/>
        <v>0</v>
      </c>
      <c r="Q115" s="107">
        <f t="shared" si="52"/>
        <v>0</v>
      </c>
      <c r="R115" s="107"/>
      <c r="S115" s="143">
        <f t="shared" si="53"/>
        <v>0</v>
      </c>
      <c r="T115" s="245"/>
      <c r="U115" s="107"/>
      <c r="V115" s="151">
        <f t="shared" si="54"/>
        <v>0</v>
      </c>
      <c r="W115" s="246"/>
      <c r="X115" s="107"/>
      <c r="Y115" s="46">
        <f t="shared" si="55"/>
        <v>0</v>
      </c>
      <c r="Z115" s="141">
        <f t="shared" si="56"/>
        <v>0</v>
      </c>
      <c r="AA115" s="107">
        <f t="shared" si="43"/>
        <v>0</v>
      </c>
      <c r="AB115" s="333">
        <v>0</v>
      </c>
      <c r="AC115" s="107"/>
      <c r="AD115" s="107">
        <f t="shared" si="57"/>
        <v>0</v>
      </c>
      <c r="AE115" s="107">
        <f t="shared" si="58"/>
        <v>0</v>
      </c>
      <c r="AF115" s="107"/>
      <c r="AG115" s="142">
        <f t="shared" si="59"/>
        <v>0</v>
      </c>
      <c r="AH115" s="210">
        <f t="shared" si="60"/>
        <v>0</v>
      </c>
      <c r="AI115" s="107">
        <f t="shared" si="44"/>
        <v>0</v>
      </c>
      <c r="AJ115" s="333">
        <v>0</v>
      </c>
      <c r="AK115" s="121">
        <f t="shared" si="45"/>
        <v>0</v>
      </c>
      <c r="AL115" s="107"/>
      <c r="AM115" s="107">
        <f t="shared" si="61"/>
        <v>0</v>
      </c>
      <c r="AN115" s="107">
        <f t="shared" si="62"/>
        <v>0</v>
      </c>
      <c r="AO115" s="107"/>
      <c r="AP115" s="143">
        <f t="shared" si="63"/>
        <v>0</v>
      </c>
      <c r="AQ115" s="34"/>
      <c r="AR115" s="29"/>
      <c r="AS115" s="124"/>
      <c r="AT115" s="138">
        <f t="shared" si="64"/>
        <v>0</v>
      </c>
      <c r="AU115" s="151">
        <f t="shared" si="65"/>
        <v>0</v>
      </c>
      <c r="AW115" s="1">
        <v>2</v>
      </c>
      <c r="BA115" s="30">
        <v>0</v>
      </c>
      <c r="BB115" s="30">
        <v>0</v>
      </c>
      <c r="BC115" s="30">
        <v>0</v>
      </c>
      <c r="BD115" s="30">
        <v>0</v>
      </c>
      <c r="BI115" s="333">
        <v>0</v>
      </c>
      <c r="BL115" s="110">
        <f t="shared" si="73"/>
        <v>1.0967873225415627</v>
      </c>
      <c r="BM115" s="110">
        <f t="shared" si="73"/>
        <v>1.1127076627324948</v>
      </c>
      <c r="BN115" s="110">
        <f t="shared" si="73"/>
        <v>2.8314493742615632</v>
      </c>
      <c r="BO115" s="110">
        <f t="shared" si="73"/>
        <v>1.036891829831438</v>
      </c>
    </row>
    <row r="116" spans="1:67" x14ac:dyDescent="0.25">
      <c r="A116" s="260" t="s">
        <v>163</v>
      </c>
      <c r="B116" s="237">
        <v>2</v>
      </c>
      <c r="C116" s="236">
        <f>'побудинковий звіт'!E116</f>
        <v>475.2</v>
      </c>
      <c r="D116" s="141">
        <f t="shared" si="46"/>
        <v>85.123319217944996</v>
      </c>
      <c r="E116" s="107">
        <f t="shared" si="40"/>
        <v>17.546212977382243</v>
      </c>
      <c r="F116" s="333">
        <v>9.6022850156223392</v>
      </c>
      <c r="G116" s="107">
        <f t="shared" si="41"/>
        <v>0</v>
      </c>
      <c r="H116" s="735">
        <f t="shared" si="47"/>
        <v>71.11837900585418</v>
      </c>
      <c r="I116" s="107">
        <f t="shared" si="48"/>
        <v>23.60467200380948</v>
      </c>
      <c r="J116" s="29"/>
      <c r="K116" s="142">
        <f t="shared" si="49"/>
        <v>206.99486822061323</v>
      </c>
      <c r="L116" s="210">
        <f t="shared" si="50"/>
        <v>18.173227605544934</v>
      </c>
      <c r="M116" s="107">
        <f t="shared" si="42"/>
        <v>3.9984358316686692</v>
      </c>
      <c r="N116" s="333">
        <v>0</v>
      </c>
      <c r="O116" s="107"/>
      <c r="P116" s="107">
        <f t="shared" si="51"/>
        <v>15.183271757785649</v>
      </c>
      <c r="Q116" s="107">
        <f t="shared" si="52"/>
        <v>4.8080595974667633</v>
      </c>
      <c r="R116" s="107"/>
      <c r="S116" s="143">
        <f t="shared" si="53"/>
        <v>42.162994792466016</v>
      </c>
      <c r="T116" s="245"/>
      <c r="U116" s="107"/>
      <c r="V116" s="151">
        <f t="shared" si="54"/>
        <v>0</v>
      </c>
      <c r="W116" s="246"/>
      <c r="X116" s="107"/>
      <c r="Y116" s="46">
        <f t="shared" si="55"/>
        <v>0</v>
      </c>
      <c r="Z116" s="141">
        <f t="shared" si="56"/>
        <v>0</v>
      </c>
      <c r="AA116" s="107">
        <f t="shared" si="43"/>
        <v>0</v>
      </c>
      <c r="AB116" s="333">
        <v>0</v>
      </c>
      <c r="AC116" s="107"/>
      <c r="AD116" s="107">
        <f t="shared" si="57"/>
        <v>0</v>
      </c>
      <c r="AE116" s="107">
        <f t="shared" si="58"/>
        <v>0</v>
      </c>
      <c r="AF116" s="107"/>
      <c r="AG116" s="142">
        <f t="shared" si="59"/>
        <v>0</v>
      </c>
      <c r="AH116" s="210">
        <f t="shared" si="60"/>
        <v>27.75890731751824</v>
      </c>
      <c r="AI116" s="107">
        <f t="shared" si="44"/>
        <v>5.536949690624887</v>
      </c>
      <c r="AJ116" s="333">
        <v>26.687325711941874</v>
      </c>
      <c r="AK116" s="121">
        <f t="shared" si="45"/>
        <v>0</v>
      </c>
      <c r="AL116" s="107"/>
      <c r="AM116" s="107">
        <f t="shared" si="61"/>
        <v>23.191864574043343</v>
      </c>
      <c r="AN116" s="107">
        <f t="shared" si="62"/>
        <v>10.705696110157414</v>
      </c>
      <c r="AO116" s="107"/>
      <c r="AP116" s="143">
        <f t="shared" si="63"/>
        <v>93.880743404285766</v>
      </c>
      <c r="AQ116" s="34"/>
      <c r="AR116" s="29"/>
      <c r="AS116" s="124"/>
      <c r="AT116" s="138">
        <f t="shared" si="64"/>
        <v>220.7384670110396</v>
      </c>
      <c r="AU116" s="151">
        <f t="shared" si="65"/>
        <v>563.77707342840461</v>
      </c>
      <c r="AW116" s="1">
        <v>3</v>
      </c>
      <c r="BA116" s="30">
        <v>69.58</v>
      </c>
      <c r="BB116" s="30">
        <v>14.19</v>
      </c>
      <c r="BC116" s="30">
        <v>0</v>
      </c>
      <c r="BD116" s="30">
        <v>21.41</v>
      </c>
      <c r="BI116" s="333">
        <v>0</v>
      </c>
      <c r="BL116" s="110">
        <f t="shared" ref="BL116:BO125" si="75">BA$399</f>
        <v>1.2233877438623886</v>
      </c>
      <c r="BM116" s="110">
        <f t="shared" si="75"/>
        <v>1.2807066670574303</v>
      </c>
      <c r="BN116" s="110">
        <f t="shared" si="75"/>
        <v>0.82443024793968056</v>
      </c>
      <c r="BO116" s="110">
        <f t="shared" si="75"/>
        <v>1.2965393422474656</v>
      </c>
    </row>
    <row r="117" spans="1:67" x14ac:dyDescent="0.25">
      <c r="A117" s="434" t="s">
        <v>83</v>
      </c>
      <c r="B117" s="238">
        <v>1</v>
      </c>
      <c r="C117" s="236">
        <f>'побудинковий звіт'!E117</f>
        <v>1053.5</v>
      </c>
      <c r="D117" s="141">
        <f t="shared" si="46"/>
        <v>0</v>
      </c>
      <c r="E117" s="107">
        <f t="shared" si="40"/>
        <v>0</v>
      </c>
      <c r="F117" s="333">
        <v>0</v>
      </c>
      <c r="G117" s="107">
        <f t="shared" si="41"/>
        <v>0</v>
      </c>
      <c r="H117" s="735">
        <f t="shared" si="47"/>
        <v>0</v>
      </c>
      <c r="I117" s="107">
        <f t="shared" si="48"/>
        <v>0</v>
      </c>
      <c r="J117" s="29"/>
      <c r="K117" s="142">
        <f t="shared" si="49"/>
        <v>0</v>
      </c>
      <c r="L117" s="210">
        <f t="shared" si="50"/>
        <v>0</v>
      </c>
      <c r="M117" s="107">
        <f t="shared" si="42"/>
        <v>0</v>
      </c>
      <c r="N117" s="333">
        <v>0</v>
      </c>
      <c r="O117" s="107"/>
      <c r="P117" s="107">
        <f t="shared" si="51"/>
        <v>0</v>
      </c>
      <c r="Q117" s="107">
        <f t="shared" si="52"/>
        <v>0</v>
      </c>
      <c r="R117" s="107"/>
      <c r="S117" s="143">
        <f t="shared" si="53"/>
        <v>0</v>
      </c>
      <c r="T117" s="245"/>
      <c r="U117" s="107"/>
      <c r="V117" s="151">
        <f t="shared" si="54"/>
        <v>0</v>
      </c>
      <c r="W117" s="246"/>
      <c r="X117" s="107"/>
      <c r="Y117" s="46">
        <f t="shared" si="55"/>
        <v>0</v>
      </c>
      <c r="Z117" s="141">
        <f t="shared" si="56"/>
        <v>0</v>
      </c>
      <c r="AA117" s="107">
        <f t="shared" si="43"/>
        <v>0</v>
      </c>
      <c r="AB117" s="333">
        <v>0</v>
      </c>
      <c r="AC117" s="107"/>
      <c r="AD117" s="107">
        <f t="shared" si="57"/>
        <v>0</v>
      </c>
      <c r="AE117" s="107">
        <f t="shared" si="58"/>
        <v>0</v>
      </c>
      <c r="AF117" s="107"/>
      <c r="AG117" s="142">
        <f t="shared" si="59"/>
        <v>0</v>
      </c>
      <c r="AH117" s="210">
        <f t="shared" si="60"/>
        <v>0</v>
      </c>
      <c r="AI117" s="107">
        <f t="shared" si="44"/>
        <v>0</v>
      </c>
      <c r="AJ117" s="333">
        <v>0</v>
      </c>
      <c r="AK117" s="121">
        <f t="shared" si="45"/>
        <v>0</v>
      </c>
      <c r="AL117" s="107"/>
      <c r="AM117" s="107">
        <f t="shared" si="61"/>
        <v>0</v>
      </c>
      <c r="AN117" s="107">
        <f t="shared" si="62"/>
        <v>0</v>
      </c>
      <c r="AO117" s="107"/>
      <c r="AP117" s="143">
        <f t="shared" si="63"/>
        <v>0</v>
      </c>
      <c r="AQ117" s="34"/>
      <c r="AR117" s="29"/>
      <c r="AS117" s="124"/>
      <c r="AT117" s="138">
        <f t="shared" si="64"/>
        <v>0</v>
      </c>
      <c r="AU117" s="151">
        <f t="shared" si="65"/>
        <v>0</v>
      </c>
      <c r="AW117" s="1">
        <v>3</v>
      </c>
      <c r="BA117" s="30">
        <v>0</v>
      </c>
      <c r="BB117" s="30">
        <v>0</v>
      </c>
      <c r="BC117" s="30">
        <v>0</v>
      </c>
      <c r="BD117" s="30">
        <v>0</v>
      </c>
      <c r="BI117" s="333">
        <v>0</v>
      </c>
      <c r="BL117" s="110">
        <f t="shared" si="75"/>
        <v>1.2233877438623886</v>
      </c>
      <c r="BM117" s="110">
        <f t="shared" si="75"/>
        <v>1.2807066670574303</v>
      </c>
      <c r="BN117" s="110">
        <f t="shared" si="75"/>
        <v>0.82443024793968056</v>
      </c>
      <c r="BO117" s="110">
        <f t="shared" si="75"/>
        <v>1.2965393422474656</v>
      </c>
    </row>
    <row r="118" spans="1:67" x14ac:dyDescent="0.25">
      <c r="A118" s="434" t="s">
        <v>84</v>
      </c>
      <c r="B118" s="238">
        <v>1</v>
      </c>
      <c r="C118" s="236">
        <f>'побудинковий звіт'!E118</f>
        <v>1379.8</v>
      </c>
      <c r="D118" s="141">
        <f t="shared" si="46"/>
        <v>0</v>
      </c>
      <c r="E118" s="107">
        <f t="shared" si="40"/>
        <v>0</v>
      </c>
      <c r="F118" s="333">
        <v>0</v>
      </c>
      <c r="G118" s="107">
        <f t="shared" si="41"/>
        <v>0</v>
      </c>
      <c r="H118" s="735">
        <f t="shared" si="47"/>
        <v>0</v>
      </c>
      <c r="I118" s="107">
        <f t="shared" si="48"/>
        <v>0</v>
      </c>
      <c r="J118" s="29"/>
      <c r="K118" s="142">
        <f t="shared" si="49"/>
        <v>0</v>
      </c>
      <c r="L118" s="210">
        <f t="shared" si="50"/>
        <v>0</v>
      </c>
      <c r="M118" s="107">
        <f t="shared" si="42"/>
        <v>0</v>
      </c>
      <c r="N118" s="333">
        <v>0</v>
      </c>
      <c r="O118" s="107"/>
      <c r="P118" s="107">
        <f t="shared" si="51"/>
        <v>0</v>
      </c>
      <c r="Q118" s="107">
        <f t="shared" si="52"/>
        <v>0</v>
      </c>
      <c r="R118" s="107"/>
      <c r="S118" s="143">
        <f t="shared" si="53"/>
        <v>0</v>
      </c>
      <c r="T118" s="245"/>
      <c r="U118" s="107"/>
      <c r="V118" s="151">
        <f t="shared" si="54"/>
        <v>0</v>
      </c>
      <c r="W118" s="246"/>
      <c r="X118" s="107"/>
      <c r="Y118" s="46">
        <f t="shared" si="55"/>
        <v>0</v>
      </c>
      <c r="Z118" s="141">
        <f t="shared" si="56"/>
        <v>0</v>
      </c>
      <c r="AA118" s="107">
        <f t="shared" si="43"/>
        <v>0</v>
      </c>
      <c r="AB118" s="333">
        <v>0</v>
      </c>
      <c r="AC118" s="107"/>
      <c r="AD118" s="107">
        <f t="shared" si="57"/>
        <v>0</v>
      </c>
      <c r="AE118" s="107">
        <f t="shared" si="58"/>
        <v>0</v>
      </c>
      <c r="AF118" s="107"/>
      <c r="AG118" s="142">
        <f t="shared" si="59"/>
        <v>0</v>
      </c>
      <c r="AH118" s="210">
        <f t="shared" si="60"/>
        <v>0</v>
      </c>
      <c r="AI118" s="107">
        <f t="shared" si="44"/>
        <v>0</v>
      </c>
      <c r="AJ118" s="333">
        <v>0</v>
      </c>
      <c r="AK118" s="121">
        <f t="shared" si="45"/>
        <v>0</v>
      </c>
      <c r="AL118" s="107"/>
      <c r="AM118" s="107">
        <f t="shared" si="61"/>
        <v>0</v>
      </c>
      <c r="AN118" s="107">
        <f t="shared" si="62"/>
        <v>0</v>
      </c>
      <c r="AO118" s="107"/>
      <c r="AP118" s="143">
        <f t="shared" si="63"/>
        <v>0</v>
      </c>
      <c r="AQ118" s="34"/>
      <c r="AR118" s="29"/>
      <c r="AS118" s="124"/>
      <c r="AT118" s="138">
        <f t="shared" si="64"/>
        <v>0</v>
      </c>
      <c r="AU118" s="151">
        <f t="shared" si="65"/>
        <v>0</v>
      </c>
      <c r="AW118" s="1">
        <v>3</v>
      </c>
      <c r="BA118" s="30">
        <v>0</v>
      </c>
      <c r="BB118" s="30">
        <v>0</v>
      </c>
      <c r="BC118" s="30">
        <v>0</v>
      </c>
      <c r="BD118" s="30">
        <v>0</v>
      </c>
      <c r="BI118" s="333">
        <v>0</v>
      </c>
      <c r="BL118" s="110">
        <f t="shared" si="75"/>
        <v>1.2233877438623886</v>
      </c>
      <c r="BM118" s="110">
        <f t="shared" si="75"/>
        <v>1.2807066670574303</v>
      </c>
      <c r="BN118" s="110">
        <f t="shared" si="75"/>
        <v>0.82443024793968056</v>
      </c>
      <c r="BO118" s="110">
        <f t="shared" si="75"/>
        <v>1.2965393422474656</v>
      </c>
    </row>
    <row r="119" spans="1:67" x14ac:dyDescent="0.25">
      <c r="A119" s="434" t="s">
        <v>85</v>
      </c>
      <c r="B119" s="238">
        <v>1</v>
      </c>
      <c r="C119" s="236">
        <f>'побудинковий звіт'!E119</f>
        <v>498.78</v>
      </c>
      <c r="D119" s="141">
        <f t="shared" si="46"/>
        <v>0</v>
      </c>
      <c r="E119" s="107">
        <f t="shared" si="40"/>
        <v>0</v>
      </c>
      <c r="F119" s="333">
        <v>0</v>
      </c>
      <c r="G119" s="107">
        <f t="shared" si="41"/>
        <v>0</v>
      </c>
      <c r="H119" s="735">
        <f t="shared" si="47"/>
        <v>0</v>
      </c>
      <c r="I119" s="107">
        <f t="shared" si="48"/>
        <v>0</v>
      </c>
      <c r="J119" s="29"/>
      <c r="K119" s="142">
        <f t="shared" si="49"/>
        <v>0</v>
      </c>
      <c r="L119" s="210">
        <f t="shared" si="50"/>
        <v>0</v>
      </c>
      <c r="M119" s="107">
        <f t="shared" si="42"/>
        <v>0</v>
      </c>
      <c r="N119" s="333">
        <v>0</v>
      </c>
      <c r="O119" s="107"/>
      <c r="P119" s="107">
        <f t="shared" si="51"/>
        <v>0</v>
      </c>
      <c r="Q119" s="107">
        <f t="shared" si="52"/>
        <v>0</v>
      </c>
      <c r="R119" s="107"/>
      <c r="S119" s="143">
        <f t="shared" si="53"/>
        <v>0</v>
      </c>
      <c r="T119" s="245"/>
      <c r="U119" s="107"/>
      <c r="V119" s="151">
        <f t="shared" si="54"/>
        <v>0</v>
      </c>
      <c r="W119" s="246"/>
      <c r="X119" s="107"/>
      <c r="Y119" s="46">
        <f t="shared" si="55"/>
        <v>0</v>
      </c>
      <c r="Z119" s="141">
        <f t="shared" si="56"/>
        <v>0</v>
      </c>
      <c r="AA119" s="107">
        <f t="shared" si="43"/>
        <v>0</v>
      </c>
      <c r="AB119" s="333">
        <v>0</v>
      </c>
      <c r="AC119" s="107"/>
      <c r="AD119" s="107">
        <f t="shared" si="57"/>
        <v>0</v>
      </c>
      <c r="AE119" s="107">
        <f t="shared" si="58"/>
        <v>0</v>
      </c>
      <c r="AF119" s="107"/>
      <c r="AG119" s="142">
        <f t="shared" si="59"/>
        <v>0</v>
      </c>
      <c r="AH119" s="210">
        <f t="shared" si="60"/>
        <v>0</v>
      </c>
      <c r="AI119" s="107">
        <f t="shared" si="44"/>
        <v>0</v>
      </c>
      <c r="AJ119" s="333">
        <v>0</v>
      </c>
      <c r="AK119" s="121">
        <f t="shared" si="45"/>
        <v>0</v>
      </c>
      <c r="AL119" s="107"/>
      <c r="AM119" s="107">
        <f t="shared" si="61"/>
        <v>0</v>
      </c>
      <c r="AN119" s="107">
        <f t="shared" si="62"/>
        <v>0</v>
      </c>
      <c r="AO119" s="107"/>
      <c r="AP119" s="143">
        <f t="shared" si="63"/>
        <v>0</v>
      </c>
      <c r="AQ119" s="34"/>
      <c r="AR119" s="29"/>
      <c r="AS119" s="124"/>
      <c r="AT119" s="138">
        <f t="shared" si="64"/>
        <v>0</v>
      </c>
      <c r="AU119" s="151">
        <f t="shared" si="65"/>
        <v>0</v>
      </c>
      <c r="AW119" s="1">
        <v>3</v>
      </c>
      <c r="BA119" s="30">
        <v>0</v>
      </c>
      <c r="BB119" s="30">
        <v>0</v>
      </c>
      <c r="BC119" s="30">
        <v>0</v>
      </c>
      <c r="BD119" s="30">
        <v>0</v>
      </c>
      <c r="BI119" s="333">
        <v>0</v>
      </c>
      <c r="BL119" s="110">
        <f t="shared" si="75"/>
        <v>1.2233877438623886</v>
      </c>
      <c r="BM119" s="110">
        <f t="shared" si="75"/>
        <v>1.2807066670574303</v>
      </c>
      <c r="BN119" s="110">
        <f t="shared" si="75"/>
        <v>0.82443024793968056</v>
      </c>
      <c r="BO119" s="110">
        <f t="shared" si="75"/>
        <v>1.2965393422474656</v>
      </c>
    </row>
    <row r="120" spans="1:67" x14ac:dyDescent="0.25">
      <c r="A120" s="434" t="s">
        <v>86</v>
      </c>
      <c r="B120" s="238">
        <v>1</v>
      </c>
      <c r="C120" s="236">
        <f>'побудинковий звіт'!E120</f>
        <v>1269.7</v>
      </c>
      <c r="D120" s="141">
        <f t="shared" si="46"/>
        <v>0</v>
      </c>
      <c r="E120" s="107">
        <f t="shared" si="40"/>
        <v>0</v>
      </c>
      <c r="F120" s="333">
        <v>0</v>
      </c>
      <c r="G120" s="107">
        <f t="shared" si="41"/>
        <v>0</v>
      </c>
      <c r="H120" s="735">
        <f t="shared" si="47"/>
        <v>0</v>
      </c>
      <c r="I120" s="107">
        <f t="shared" si="48"/>
        <v>0</v>
      </c>
      <c r="J120" s="29"/>
      <c r="K120" s="142">
        <f t="shared" si="49"/>
        <v>0</v>
      </c>
      <c r="L120" s="210">
        <f t="shared" si="50"/>
        <v>0</v>
      </c>
      <c r="M120" s="107">
        <f t="shared" si="42"/>
        <v>0</v>
      </c>
      <c r="N120" s="333">
        <v>0</v>
      </c>
      <c r="O120" s="107"/>
      <c r="P120" s="107">
        <f t="shared" si="51"/>
        <v>0</v>
      </c>
      <c r="Q120" s="107">
        <f t="shared" si="52"/>
        <v>0</v>
      </c>
      <c r="R120" s="107"/>
      <c r="S120" s="143">
        <f t="shared" si="53"/>
        <v>0</v>
      </c>
      <c r="T120" s="245"/>
      <c r="U120" s="107"/>
      <c r="V120" s="151">
        <f t="shared" si="54"/>
        <v>0</v>
      </c>
      <c r="W120" s="246"/>
      <c r="X120" s="107"/>
      <c r="Y120" s="46">
        <f t="shared" si="55"/>
        <v>0</v>
      </c>
      <c r="Z120" s="141">
        <f t="shared" si="56"/>
        <v>0</v>
      </c>
      <c r="AA120" s="107">
        <f t="shared" si="43"/>
        <v>0</v>
      </c>
      <c r="AB120" s="333">
        <v>0</v>
      </c>
      <c r="AC120" s="107"/>
      <c r="AD120" s="107">
        <f t="shared" si="57"/>
        <v>0</v>
      </c>
      <c r="AE120" s="107">
        <f t="shared" si="58"/>
        <v>0</v>
      </c>
      <c r="AF120" s="107"/>
      <c r="AG120" s="142">
        <f t="shared" si="59"/>
        <v>0</v>
      </c>
      <c r="AH120" s="210">
        <f t="shared" si="60"/>
        <v>0</v>
      </c>
      <c r="AI120" s="107">
        <f t="shared" si="44"/>
        <v>0</v>
      </c>
      <c r="AJ120" s="333">
        <v>0</v>
      </c>
      <c r="AK120" s="121">
        <f t="shared" si="45"/>
        <v>0</v>
      </c>
      <c r="AL120" s="107"/>
      <c r="AM120" s="107">
        <f t="shared" si="61"/>
        <v>0</v>
      </c>
      <c r="AN120" s="107">
        <f t="shared" si="62"/>
        <v>0</v>
      </c>
      <c r="AO120" s="107"/>
      <c r="AP120" s="143">
        <f t="shared" si="63"/>
        <v>0</v>
      </c>
      <c r="AQ120" s="34"/>
      <c r="AR120" s="29"/>
      <c r="AS120" s="124"/>
      <c r="AT120" s="138">
        <f t="shared" si="64"/>
        <v>0</v>
      </c>
      <c r="AU120" s="151">
        <f t="shared" si="65"/>
        <v>0</v>
      </c>
      <c r="AW120" s="1">
        <v>3</v>
      </c>
      <c r="BA120" s="30">
        <v>0</v>
      </c>
      <c r="BB120" s="30">
        <v>0</v>
      </c>
      <c r="BC120" s="30">
        <v>0</v>
      </c>
      <c r="BD120" s="30">
        <v>0</v>
      </c>
      <c r="BI120" s="333">
        <v>0</v>
      </c>
      <c r="BL120" s="110">
        <f t="shared" si="75"/>
        <v>1.2233877438623886</v>
      </c>
      <c r="BM120" s="110">
        <f t="shared" si="75"/>
        <v>1.2807066670574303</v>
      </c>
      <c r="BN120" s="110">
        <f t="shared" si="75"/>
        <v>0.82443024793968056</v>
      </c>
      <c r="BO120" s="110">
        <f t="shared" si="75"/>
        <v>1.2965393422474656</v>
      </c>
    </row>
    <row r="121" spans="1:67" x14ac:dyDescent="0.25">
      <c r="A121" s="260" t="s">
        <v>258</v>
      </c>
      <c r="B121" s="237">
        <v>5</v>
      </c>
      <c r="C121" s="236">
        <f>'побудинковий звіт'!E121</f>
        <v>626.29999999999995</v>
      </c>
      <c r="D121" s="141">
        <f t="shared" si="46"/>
        <v>448.54288240970612</v>
      </c>
      <c r="E121" s="107">
        <f t="shared" si="40"/>
        <v>92.456791118531555</v>
      </c>
      <c r="F121" s="333">
        <v>81.601949917214228</v>
      </c>
      <c r="G121" s="107">
        <f t="shared" si="41"/>
        <v>0</v>
      </c>
      <c r="H121" s="735">
        <f t="shared" si="47"/>
        <v>374.74622705815432</v>
      </c>
      <c r="I121" s="107">
        <f t="shared" si="48"/>
        <v>128.37146897978462</v>
      </c>
      <c r="J121" s="29"/>
      <c r="K121" s="142">
        <f t="shared" si="49"/>
        <v>1125.719319483391</v>
      </c>
      <c r="L121" s="210">
        <f t="shared" si="50"/>
        <v>96.667739229494842</v>
      </c>
      <c r="M121" s="107">
        <f t="shared" si="42"/>
        <v>21.268635417501844</v>
      </c>
      <c r="N121" s="333">
        <v>0</v>
      </c>
      <c r="O121" s="107"/>
      <c r="P121" s="107">
        <f t="shared" si="51"/>
        <v>80.763449772914797</v>
      </c>
      <c r="Q121" s="107">
        <f t="shared" si="52"/>
        <v>25.575217647413062</v>
      </c>
      <c r="R121" s="107"/>
      <c r="S121" s="143">
        <f t="shared" si="53"/>
        <v>224.27504206732453</v>
      </c>
      <c r="T121" s="244">
        <v>390.88</v>
      </c>
      <c r="U121" s="107"/>
      <c r="V121" s="151">
        <f t="shared" si="54"/>
        <v>390.88</v>
      </c>
      <c r="W121" s="246"/>
      <c r="X121" s="107"/>
      <c r="Y121" s="46">
        <f t="shared" si="55"/>
        <v>0</v>
      </c>
      <c r="Z121" s="141">
        <f t="shared" si="56"/>
        <v>19.76983734559354</v>
      </c>
      <c r="AA121" s="107">
        <f t="shared" si="43"/>
        <v>4.3455667390833161</v>
      </c>
      <c r="AB121" s="333">
        <v>0</v>
      </c>
      <c r="AC121" s="107"/>
      <c r="AD121" s="107">
        <f t="shared" si="57"/>
        <v>16.517198790476801</v>
      </c>
      <c r="AE121" s="107">
        <f t="shared" si="58"/>
        <v>5.2299374956509563</v>
      </c>
      <c r="AF121" s="107"/>
      <c r="AG121" s="142">
        <f t="shared" si="59"/>
        <v>45.862540370804616</v>
      </c>
      <c r="AH121" s="210">
        <f t="shared" si="60"/>
        <v>280.36366736759197</v>
      </c>
      <c r="AI121" s="107">
        <f t="shared" si="44"/>
        <v>55.922933260192693</v>
      </c>
      <c r="AJ121" s="333">
        <v>45.931183706753103</v>
      </c>
      <c r="AK121" s="121">
        <f t="shared" si="45"/>
        <v>0</v>
      </c>
      <c r="AL121" s="107"/>
      <c r="AM121" s="107">
        <f t="shared" si="61"/>
        <v>234.23674897202861</v>
      </c>
      <c r="AN121" s="107">
        <f t="shared" si="62"/>
        <v>79.345610420529354</v>
      </c>
      <c r="AO121" s="107"/>
      <c r="AP121" s="143">
        <f t="shared" si="63"/>
        <v>695.80014372709581</v>
      </c>
      <c r="AQ121" s="34"/>
      <c r="AR121" s="29"/>
      <c r="AS121" s="124"/>
      <c r="AT121" s="138">
        <f t="shared" si="64"/>
        <v>290.92698208967613</v>
      </c>
      <c r="AU121" s="151">
        <f t="shared" si="65"/>
        <v>2773.4640277382923</v>
      </c>
      <c r="AW121" s="1">
        <v>3</v>
      </c>
      <c r="BA121" s="30">
        <v>366.64</v>
      </c>
      <c r="BB121" s="30">
        <v>75.48</v>
      </c>
      <c r="BC121" s="30">
        <v>23.98</v>
      </c>
      <c r="BD121" s="30">
        <v>216.24</v>
      </c>
      <c r="BI121" s="333">
        <v>0</v>
      </c>
      <c r="BL121" s="110">
        <f t="shared" si="75"/>
        <v>1.2233877438623886</v>
      </c>
      <c r="BM121" s="110">
        <f t="shared" si="75"/>
        <v>1.2807066670574303</v>
      </c>
      <c r="BN121" s="110">
        <f t="shared" si="75"/>
        <v>0.82443024793968056</v>
      </c>
      <c r="BO121" s="110">
        <f t="shared" si="75"/>
        <v>1.2965393422474656</v>
      </c>
    </row>
    <row r="122" spans="1:67" x14ac:dyDescent="0.25">
      <c r="A122" s="434" t="s">
        <v>89</v>
      </c>
      <c r="B122" s="238">
        <v>1</v>
      </c>
      <c r="C122" s="236">
        <f>'побудинковий звіт'!E122</f>
        <v>2504.61</v>
      </c>
      <c r="D122" s="141">
        <f t="shared" si="46"/>
        <v>0</v>
      </c>
      <c r="E122" s="107">
        <f t="shared" si="40"/>
        <v>0</v>
      </c>
      <c r="F122" s="333">
        <v>0</v>
      </c>
      <c r="G122" s="107">
        <f t="shared" si="41"/>
        <v>0</v>
      </c>
      <c r="H122" s="735">
        <f t="shared" si="47"/>
        <v>0</v>
      </c>
      <c r="I122" s="107">
        <f t="shared" si="48"/>
        <v>0</v>
      </c>
      <c r="J122" s="29"/>
      <c r="K122" s="142">
        <f t="shared" si="49"/>
        <v>0</v>
      </c>
      <c r="L122" s="210">
        <f t="shared" si="50"/>
        <v>0</v>
      </c>
      <c r="M122" s="107">
        <f t="shared" si="42"/>
        <v>0</v>
      </c>
      <c r="N122" s="333">
        <v>0</v>
      </c>
      <c r="O122" s="107"/>
      <c r="P122" s="107">
        <f t="shared" si="51"/>
        <v>0</v>
      </c>
      <c r="Q122" s="107">
        <f t="shared" si="52"/>
        <v>0</v>
      </c>
      <c r="R122" s="107"/>
      <c r="S122" s="143">
        <f t="shared" si="53"/>
        <v>0</v>
      </c>
      <c r="T122" s="245"/>
      <c r="U122" s="107"/>
      <c r="V122" s="151">
        <f t="shared" si="54"/>
        <v>0</v>
      </c>
      <c r="W122" s="246"/>
      <c r="X122" s="107"/>
      <c r="Y122" s="46">
        <f t="shared" si="55"/>
        <v>0</v>
      </c>
      <c r="Z122" s="141">
        <f t="shared" si="56"/>
        <v>0</v>
      </c>
      <c r="AA122" s="107">
        <f t="shared" si="43"/>
        <v>0</v>
      </c>
      <c r="AB122" s="333">
        <v>0</v>
      </c>
      <c r="AC122" s="107"/>
      <c r="AD122" s="107">
        <f t="shared" si="57"/>
        <v>0</v>
      </c>
      <c r="AE122" s="107">
        <f t="shared" si="58"/>
        <v>0</v>
      </c>
      <c r="AF122" s="107"/>
      <c r="AG122" s="142">
        <f t="shared" si="59"/>
        <v>0</v>
      </c>
      <c r="AH122" s="210">
        <f t="shared" si="60"/>
        <v>0</v>
      </c>
      <c r="AI122" s="107">
        <f t="shared" si="44"/>
        <v>0</v>
      </c>
      <c r="AJ122" s="333">
        <v>0</v>
      </c>
      <c r="AK122" s="121">
        <f t="shared" si="45"/>
        <v>0</v>
      </c>
      <c r="AL122" s="107"/>
      <c r="AM122" s="107">
        <f t="shared" si="61"/>
        <v>0</v>
      </c>
      <c r="AN122" s="107">
        <f t="shared" si="62"/>
        <v>0</v>
      </c>
      <c r="AO122" s="107"/>
      <c r="AP122" s="143">
        <f t="shared" si="63"/>
        <v>0</v>
      </c>
      <c r="AQ122" s="34"/>
      <c r="AR122" s="29"/>
      <c r="AS122" s="124"/>
      <c r="AT122" s="138">
        <f t="shared" si="64"/>
        <v>0</v>
      </c>
      <c r="AU122" s="151">
        <f t="shared" si="65"/>
        <v>0</v>
      </c>
      <c r="AW122" s="1">
        <v>3</v>
      </c>
      <c r="BA122" s="30">
        <v>0</v>
      </c>
      <c r="BB122" s="30">
        <v>0</v>
      </c>
      <c r="BC122" s="30">
        <v>0</v>
      </c>
      <c r="BD122" s="30">
        <v>0</v>
      </c>
      <c r="BI122" s="333">
        <v>0</v>
      </c>
      <c r="BL122" s="110">
        <f t="shared" si="75"/>
        <v>1.2233877438623886</v>
      </c>
      <c r="BM122" s="110">
        <f t="shared" si="75"/>
        <v>1.2807066670574303</v>
      </c>
      <c r="BN122" s="110">
        <f t="shared" si="75"/>
        <v>0.82443024793968056</v>
      </c>
      <c r="BO122" s="110">
        <f t="shared" si="75"/>
        <v>1.2965393422474656</v>
      </c>
    </row>
    <row r="123" spans="1:67" ht="15" customHeight="1" x14ac:dyDescent="0.25">
      <c r="A123" s="434" t="s">
        <v>90</v>
      </c>
      <c r="B123" s="238">
        <v>1</v>
      </c>
      <c r="C123" s="236">
        <f>'побудинковий звіт'!E123</f>
        <v>1804.3</v>
      </c>
      <c r="D123" s="141">
        <f t="shared" si="46"/>
        <v>0</v>
      </c>
      <c r="E123" s="107">
        <f t="shared" si="40"/>
        <v>0</v>
      </c>
      <c r="F123" s="333">
        <v>0</v>
      </c>
      <c r="G123" s="107">
        <f t="shared" si="41"/>
        <v>0</v>
      </c>
      <c r="H123" s="735">
        <f t="shared" si="47"/>
        <v>0</v>
      </c>
      <c r="I123" s="107">
        <f t="shared" si="48"/>
        <v>0</v>
      </c>
      <c r="J123" s="29"/>
      <c r="K123" s="142">
        <f t="shared" si="49"/>
        <v>0</v>
      </c>
      <c r="L123" s="210">
        <f t="shared" si="50"/>
        <v>0</v>
      </c>
      <c r="M123" s="107">
        <f t="shared" si="42"/>
        <v>0</v>
      </c>
      <c r="N123" s="333">
        <v>0</v>
      </c>
      <c r="O123" s="107"/>
      <c r="P123" s="107">
        <f t="shared" si="51"/>
        <v>0</v>
      </c>
      <c r="Q123" s="107">
        <f t="shared" si="52"/>
        <v>0</v>
      </c>
      <c r="R123" s="107"/>
      <c r="S123" s="143">
        <f t="shared" si="53"/>
        <v>0</v>
      </c>
      <c r="T123" s="245"/>
      <c r="U123" s="107"/>
      <c r="V123" s="151">
        <f t="shared" si="54"/>
        <v>0</v>
      </c>
      <c r="W123" s="246"/>
      <c r="X123" s="107"/>
      <c r="Y123" s="46">
        <f t="shared" si="55"/>
        <v>0</v>
      </c>
      <c r="Z123" s="141">
        <f t="shared" si="56"/>
        <v>0</v>
      </c>
      <c r="AA123" s="107">
        <f t="shared" si="43"/>
        <v>0</v>
      </c>
      <c r="AB123" s="333">
        <v>0</v>
      </c>
      <c r="AC123" s="107"/>
      <c r="AD123" s="107">
        <f t="shared" si="57"/>
        <v>0</v>
      </c>
      <c r="AE123" s="107">
        <f t="shared" si="58"/>
        <v>0</v>
      </c>
      <c r="AF123" s="107"/>
      <c r="AG123" s="142">
        <f t="shared" si="59"/>
        <v>0</v>
      </c>
      <c r="AH123" s="210">
        <f t="shared" si="60"/>
        <v>0</v>
      </c>
      <c r="AI123" s="107">
        <f t="shared" si="44"/>
        <v>0</v>
      </c>
      <c r="AJ123" s="333">
        <v>0</v>
      </c>
      <c r="AK123" s="121">
        <f t="shared" si="45"/>
        <v>0</v>
      </c>
      <c r="AL123" s="107"/>
      <c r="AM123" s="107">
        <f t="shared" si="61"/>
        <v>0</v>
      </c>
      <c r="AN123" s="107">
        <f t="shared" si="62"/>
        <v>0</v>
      </c>
      <c r="AO123" s="107"/>
      <c r="AP123" s="143">
        <f t="shared" si="63"/>
        <v>0</v>
      </c>
      <c r="AQ123" s="34"/>
      <c r="AR123" s="29"/>
      <c r="AS123" s="124"/>
      <c r="AT123" s="138">
        <f t="shared" si="64"/>
        <v>0</v>
      </c>
      <c r="AU123" s="151">
        <f t="shared" si="65"/>
        <v>0</v>
      </c>
      <c r="AW123" s="1">
        <v>3</v>
      </c>
      <c r="BA123" s="30">
        <v>0</v>
      </c>
      <c r="BB123" s="30">
        <v>0</v>
      </c>
      <c r="BC123" s="30">
        <v>0</v>
      </c>
      <c r="BD123" s="30">
        <v>0</v>
      </c>
      <c r="BI123" s="333">
        <v>0</v>
      </c>
      <c r="BL123" s="110">
        <f t="shared" si="75"/>
        <v>1.2233877438623886</v>
      </c>
      <c r="BM123" s="110">
        <f t="shared" si="75"/>
        <v>1.2807066670574303</v>
      </c>
      <c r="BN123" s="110">
        <f t="shared" si="75"/>
        <v>0.82443024793968056</v>
      </c>
      <c r="BO123" s="110">
        <f t="shared" si="75"/>
        <v>1.2965393422474656</v>
      </c>
    </row>
    <row r="124" spans="1:67" x14ac:dyDescent="0.25">
      <c r="A124" s="434" t="s">
        <v>91</v>
      </c>
      <c r="B124" s="238">
        <v>1</v>
      </c>
      <c r="C124" s="236">
        <f>'побудинковий звіт'!E124</f>
        <v>2744.2</v>
      </c>
      <c r="D124" s="141">
        <f t="shared" si="46"/>
        <v>0</v>
      </c>
      <c r="E124" s="107">
        <f t="shared" si="40"/>
        <v>0</v>
      </c>
      <c r="F124" s="333">
        <v>0</v>
      </c>
      <c r="G124" s="107">
        <f t="shared" si="41"/>
        <v>0</v>
      </c>
      <c r="H124" s="735">
        <f t="shared" si="47"/>
        <v>0</v>
      </c>
      <c r="I124" s="107">
        <f t="shared" si="48"/>
        <v>0</v>
      </c>
      <c r="J124" s="29"/>
      <c r="K124" s="142">
        <f t="shared" si="49"/>
        <v>0</v>
      </c>
      <c r="L124" s="210">
        <f t="shared" si="50"/>
        <v>0</v>
      </c>
      <c r="M124" s="107">
        <f t="shared" si="42"/>
        <v>0</v>
      </c>
      <c r="N124" s="333">
        <v>0</v>
      </c>
      <c r="O124" s="107"/>
      <c r="P124" s="107">
        <f t="shared" si="51"/>
        <v>0</v>
      </c>
      <c r="Q124" s="107">
        <f t="shared" si="52"/>
        <v>0</v>
      </c>
      <c r="R124" s="107"/>
      <c r="S124" s="143">
        <f t="shared" si="53"/>
        <v>0</v>
      </c>
      <c r="T124" s="245"/>
      <c r="U124" s="107"/>
      <c r="V124" s="151">
        <f t="shared" si="54"/>
        <v>0</v>
      </c>
      <c r="W124" s="246"/>
      <c r="X124" s="107"/>
      <c r="Y124" s="46">
        <f t="shared" si="55"/>
        <v>0</v>
      </c>
      <c r="Z124" s="141">
        <f t="shared" si="56"/>
        <v>0</v>
      </c>
      <c r="AA124" s="107">
        <f t="shared" si="43"/>
        <v>0</v>
      </c>
      <c r="AB124" s="333">
        <v>0</v>
      </c>
      <c r="AC124" s="107"/>
      <c r="AD124" s="107">
        <f t="shared" si="57"/>
        <v>0</v>
      </c>
      <c r="AE124" s="107">
        <f t="shared" si="58"/>
        <v>0</v>
      </c>
      <c r="AF124" s="107"/>
      <c r="AG124" s="142">
        <f t="shared" si="59"/>
        <v>0</v>
      </c>
      <c r="AH124" s="210">
        <f t="shared" si="60"/>
        <v>0</v>
      </c>
      <c r="AI124" s="107">
        <f t="shared" si="44"/>
        <v>0</v>
      </c>
      <c r="AJ124" s="333">
        <v>0</v>
      </c>
      <c r="AK124" s="121">
        <f t="shared" si="45"/>
        <v>0</v>
      </c>
      <c r="AL124" s="107"/>
      <c r="AM124" s="107">
        <f t="shared" si="61"/>
        <v>0</v>
      </c>
      <c r="AN124" s="107">
        <f t="shared" si="62"/>
        <v>0</v>
      </c>
      <c r="AO124" s="107"/>
      <c r="AP124" s="143">
        <f t="shared" si="63"/>
        <v>0</v>
      </c>
      <c r="AQ124" s="34"/>
      <c r="AR124" s="29"/>
      <c r="AS124" s="124"/>
      <c r="AT124" s="138">
        <f t="shared" si="64"/>
        <v>0</v>
      </c>
      <c r="AU124" s="151">
        <f t="shared" si="65"/>
        <v>0</v>
      </c>
      <c r="AW124" s="1">
        <v>3</v>
      </c>
      <c r="BA124" s="30">
        <v>0</v>
      </c>
      <c r="BB124" s="30">
        <v>0</v>
      </c>
      <c r="BC124" s="30">
        <v>0</v>
      </c>
      <c r="BD124" s="30">
        <v>0</v>
      </c>
      <c r="BI124" s="333">
        <v>0</v>
      </c>
      <c r="BL124" s="110">
        <f t="shared" si="75"/>
        <v>1.2233877438623886</v>
      </c>
      <c r="BM124" s="110">
        <f t="shared" si="75"/>
        <v>1.2807066670574303</v>
      </c>
      <c r="BN124" s="110">
        <f t="shared" si="75"/>
        <v>0.82443024793968056</v>
      </c>
      <c r="BO124" s="110">
        <f t="shared" si="75"/>
        <v>1.2965393422474656</v>
      </c>
    </row>
    <row r="125" spans="1:67" x14ac:dyDescent="0.25">
      <c r="A125" s="260" t="s">
        <v>259</v>
      </c>
      <c r="B125" s="237">
        <v>5</v>
      </c>
      <c r="C125" s="236">
        <f>'побудинковий звіт'!E125</f>
        <v>4344.2000000000007</v>
      </c>
      <c r="D125" s="141">
        <f t="shared" si="46"/>
        <v>463.34587411044106</v>
      </c>
      <c r="E125" s="107">
        <f t="shared" si="40"/>
        <v>95.508087137880878</v>
      </c>
      <c r="F125" s="333">
        <v>89.349814516520098</v>
      </c>
      <c r="G125" s="107">
        <f t="shared" si="41"/>
        <v>0</v>
      </c>
      <c r="H125" s="735">
        <f t="shared" si="47"/>
        <v>387.11375200743339</v>
      </c>
      <c r="I125" s="107">
        <f t="shared" si="48"/>
        <v>133.25865377213782</v>
      </c>
      <c r="J125" s="29"/>
      <c r="K125" s="142">
        <f t="shared" si="49"/>
        <v>1168.5761815444132</v>
      </c>
      <c r="L125" s="210">
        <f t="shared" si="50"/>
        <v>98.79371229681017</v>
      </c>
      <c r="M125" s="107">
        <f t="shared" si="42"/>
        <v>21.736387600769639</v>
      </c>
      <c r="N125" s="333">
        <v>0</v>
      </c>
      <c r="O125" s="107"/>
      <c r="P125" s="107">
        <f t="shared" si="51"/>
        <v>82.539646469033471</v>
      </c>
      <c r="Q125" s="107">
        <f t="shared" si="52"/>
        <v>26.137682688413403</v>
      </c>
      <c r="R125" s="107"/>
      <c r="S125" s="143">
        <f t="shared" si="53"/>
        <v>229.20742905502669</v>
      </c>
      <c r="T125" s="244">
        <v>373.81</v>
      </c>
      <c r="U125" s="107"/>
      <c r="V125" s="151">
        <f t="shared" si="54"/>
        <v>373.81</v>
      </c>
      <c r="W125" s="246"/>
      <c r="X125" s="107"/>
      <c r="Y125" s="46">
        <f t="shared" si="55"/>
        <v>0</v>
      </c>
      <c r="Z125" s="141">
        <f t="shared" si="56"/>
        <v>0</v>
      </c>
      <c r="AA125" s="107">
        <f t="shared" si="43"/>
        <v>0</v>
      </c>
      <c r="AB125" s="333">
        <v>0</v>
      </c>
      <c r="AC125" s="107"/>
      <c r="AD125" s="107">
        <f t="shared" si="57"/>
        <v>0</v>
      </c>
      <c r="AE125" s="107">
        <f t="shared" si="58"/>
        <v>0</v>
      </c>
      <c r="AF125" s="107"/>
      <c r="AG125" s="142">
        <f t="shared" si="59"/>
        <v>0</v>
      </c>
      <c r="AH125" s="210">
        <f t="shared" si="60"/>
        <v>304.99791487029381</v>
      </c>
      <c r="AI125" s="107">
        <f t="shared" si="44"/>
        <v>60.836620514834117</v>
      </c>
      <c r="AJ125" s="333">
        <v>50.292214204269371</v>
      </c>
      <c r="AK125" s="121">
        <f t="shared" si="45"/>
        <v>0</v>
      </c>
      <c r="AL125" s="107">
        <v>2000</v>
      </c>
      <c r="AM125" s="107">
        <f t="shared" si="61"/>
        <v>254.81803934600447</v>
      </c>
      <c r="AN125" s="107">
        <f t="shared" si="62"/>
        <v>343.7848750026443</v>
      </c>
      <c r="AO125" s="107"/>
      <c r="AP125" s="143">
        <f t="shared" si="63"/>
        <v>3014.7296639380456</v>
      </c>
      <c r="AQ125" s="34"/>
      <c r="AR125" s="29"/>
      <c r="AS125" s="124"/>
      <c r="AT125" s="138">
        <f t="shared" si="64"/>
        <v>2017.9546472840036</v>
      </c>
      <c r="AU125" s="151">
        <f t="shared" si="65"/>
        <v>6804.2779218214891</v>
      </c>
      <c r="AW125" s="1">
        <v>3</v>
      </c>
      <c r="BA125" s="30">
        <v>378.74</v>
      </c>
      <c r="BB125" s="30">
        <v>77.14</v>
      </c>
      <c r="BC125" s="30">
        <v>0</v>
      </c>
      <c r="BD125" s="30">
        <v>235.24</v>
      </c>
      <c r="BI125" s="333">
        <v>0</v>
      </c>
      <c r="BL125" s="110">
        <f t="shared" si="75"/>
        <v>1.2233877438623886</v>
      </c>
      <c r="BM125" s="110">
        <f t="shared" si="75"/>
        <v>1.2807066670574303</v>
      </c>
      <c r="BN125" s="110">
        <f t="shared" si="75"/>
        <v>0.82443024793968056</v>
      </c>
      <c r="BO125" s="110">
        <f t="shared" si="75"/>
        <v>1.2965393422474656</v>
      </c>
    </row>
    <row r="126" spans="1:67" x14ac:dyDescent="0.25">
      <c r="A126" s="260" t="s">
        <v>417</v>
      </c>
      <c r="B126" s="237">
        <v>10</v>
      </c>
      <c r="C126" s="236">
        <f>'побудинковий звіт'!E126</f>
        <v>130.1</v>
      </c>
      <c r="D126" s="141">
        <f t="shared" si="46"/>
        <v>729.98703192769688</v>
      </c>
      <c r="E126" s="107">
        <f t="shared" si="40"/>
        <v>150.47002455503775</v>
      </c>
      <c r="F126" s="333">
        <v>144.0770702600779</v>
      </c>
      <c r="G126" s="107">
        <f t="shared" si="41"/>
        <v>0</v>
      </c>
      <c r="H126" s="735">
        <f t="shared" si="47"/>
        <v>609.88569152327102</v>
      </c>
      <c r="I126" s="107">
        <f t="shared" si="48"/>
        <v>210.37080783253876</v>
      </c>
      <c r="J126" s="29"/>
      <c r="K126" s="142">
        <f t="shared" si="49"/>
        <v>1844.7906260986222</v>
      </c>
      <c r="L126" s="210">
        <f t="shared" si="50"/>
        <v>122.14561821993017</v>
      </c>
      <c r="M126" s="107">
        <f t="shared" si="42"/>
        <v>26.874225491066564</v>
      </c>
      <c r="N126" s="333">
        <v>0</v>
      </c>
      <c r="O126" s="107"/>
      <c r="P126" s="107">
        <f t="shared" si="51"/>
        <v>102.04957290525959</v>
      </c>
      <c r="Q126" s="107">
        <f t="shared" si="52"/>
        <v>32.315856308961713</v>
      </c>
      <c r="R126" s="107"/>
      <c r="S126" s="143">
        <f t="shared" si="53"/>
        <v>283.38527292521803</v>
      </c>
      <c r="T126" s="244">
        <v>895.45</v>
      </c>
      <c r="U126" s="107"/>
      <c r="V126" s="151">
        <f t="shared" si="54"/>
        <v>895.45</v>
      </c>
      <c r="W126" s="906">
        <v>183.71</v>
      </c>
      <c r="X126" s="107"/>
      <c r="Y126" s="46">
        <f t="shared" si="55"/>
        <v>183.71</v>
      </c>
      <c r="Z126" s="141">
        <f t="shared" si="56"/>
        <v>15.107746292165888</v>
      </c>
      <c r="AA126" s="107">
        <f t="shared" si="43"/>
        <v>3.32080222219827</v>
      </c>
      <c r="AB126" s="333">
        <v>0</v>
      </c>
      <c r="AC126" s="107"/>
      <c r="AD126" s="107">
        <f t="shared" si="57"/>
        <v>12.622139698049248</v>
      </c>
      <c r="AE126" s="107">
        <f t="shared" si="58"/>
        <v>3.9966220979451328</v>
      </c>
      <c r="AF126" s="107"/>
      <c r="AG126" s="142">
        <f t="shared" si="59"/>
        <v>35.04731031035854</v>
      </c>
      <c r="AH126" s="210">
        <f t="shared" si="60"/>
        <v>266.9625091407936</v>
      </c>
      <c r="AI126" s="107">
        <f t="shared" si="44"/>
        <v>53.249861944771759</v>
      </c>
      <c r="AJ126" s="333">
        <v>61.697510371164036</v>
      </c>
      <c r="AK126" s="121">
        <f t="shared" si="45"/>
        <v>0</v>
      </c>
      <c r="AL126" s="107"/>
      <c r="AM126" s="107">
        <f t="shared" si="61"/>
        <v>223.04042041427249</v>
      </c>
      <c r="AN126" s="107">
        <f t="shared" si="62"/>
        <v>77.864868181879984</v>
      </c>
      <c r="AO126" s="107"/>
      <c r="AP126" s="143">
        <f t="shared" si="63"/>
        <v>682.81517005288174</v>
      </c>
      <c r="AQ126" s="34"/>
      <c r="AR126" s="29"/>
      <c r="AS126" s="124"/>
      <c r="AT126" s="138">
        <f t="shared" si="64"/>
        <v>60.433658581936562</v>
      </c>
      <c r="AU126" s="151">
        <f t="shared" si="65"/>
        <v>3985.6320379690169</v>
      </c>
      <c r="AW126" s="1">
        <v>1</v>
      </c>
      <c r="BA126" s="30">
        <v>849.8</v>
      </c>
      <c r="BB126" s="30">
        <v>132.47</v>
      </c>
      <c r="BC126" s="30">
        <v>42.26</v>
      </c>
      <c r="BD126" s="30">
        <v>321.75</v>
      </c>
      <c r="BI126" s="333">
        <v>0</v>
      </c>
      <c r="BL126" s="110">
        <f>$BA$397</f>
        <v>0.85901039294857251</v>
      </c>
      <c r="BM126" s="110">
        <f>$BB$397</f>
        <v>0.92206249128051765</v>
      </c>
      <c r="BN126" s="110">
        <f>$BC$397</f>
        <v>0.35749517965371247</v>
      </c>
      <c r="BO126" s="110">
        <f>$BD$397</f>
        <v>0.82972030812989472</v>
      </c>
    </row>
    <row r="127" spans="1:67" x14ac:dyDescent="0.25">
      <c r="A127" s="260" t="s">
        <v>418</v>
      </c>
      <c r="B127" s="237">
        <v>10</v>
      </c>
      <c r="C127" s="236">
        <f>'побудинковий звіт'!E127</f>
        <v>373.5</v>
      </c>
      <c r="D127" s="141">
        <f t="shared" si="46"/>
        <v>823.8510975651875</v>
      </c>
      <c r="E127" s="107">
        <f t="shared" si="40"/>
        <v>169.81794122146397</v>
      </c>
      <c r="F127" s="333">
        <v>191.75793683200749</v>
      </c>
      <c r="G127" s="107">
        <f t="shared" si="41"/>
        <v>0</v>
      </c>
      <c r="H127" s="735">
        <f t="shared" si="47"/>
        <v>688.30674296213647</v>
      </c>
      <c r="I127" s="107">
        <f t="shared" si="48"/>
        <v>241.17357831544385</v>
      </c>
      <c r="J127" s="29"/>
      <c r="K127" s="142">
        <f t="shared" si="49"/>
        <v>2114.9072968962396</v>
      </c>
      <c r="L127" s="210">
        <f t="shared" si="50"/>
        <v>134.53813810274033</v>
      </c>
      <c r="M127" s="107">
        <f t="shared" si="42"/>
        <v>29.600802003483977</v>
      </c>
      <c r="N127" s="333">
        <v>0</v>
      </c>
      <c r="O127" s="107"/>
      <c r="P127" s="107">
        <f t="shared" si="51"/>
        <v>112.40320965204519</v>
      </c>
      <c r="Q127" s="107">
        <f t="shared" si="52"/>
        <v>35.594523998192827</v>
      </c>
      <c r="R127" s="107"/>
      <c r="S127" s="143">
        <f t="shared" si="53"/>
        <v>312.1366737564623</v>
      </c>
      <c r="T127" s="244">
        <v>1227.28</v>
      </c>
      <c r="U127" s="107"/>
      <c r="V127" s="151">
        <f t="shared" si="54"/>
        <v>1227.28</v>
      </c>
      <c r="W127" s="906">
        <v>250.82</v>
      </c>
      <c r="X127" s="107"/>
      <c r="Y127" s="46">
        <f t="shared" si="55"/>
        <v>250.82</v>
      </c>
      <c r="Z127" s="141">
        <f t="shared" si="56"/>
        <v>15.107746292165888</v>
      </c>
      <c r="AA127" s="107">
        <f t="shared" si="43"/>
        <v>3.32080222219827</v>
      </c>
      <c r="AB127" s="333">
        <v>0</v>
      </c>
      <c r="AC127" s="107"/>
      <c r="AD127" s="107">
        <f t="shared" si="57"/>
        <v>12.622139698049248</v>
      </c>
      <c r="AE127" s="107">
        <f t="shared" si="58"/>
        <v>3.9966220979451328</v>
      </c>
      <c r="AF127" s="107"/>
      <c r="AG127" s="142">
        <f t="shared" si="59"/>
        <v>35.04731031035854</v>
      </c>
      <c r="AH127" s="210">
        <f t="shared" si="60"/>
        <v>277.34231019549861</v>
      </c>
      <c r="AI127" s="107">
        <f t="shared" si="44"/>
        <v>55.320276157449598</v>
      </c>
      <c r="AJ127" s="333">
        <v>82.115684855954711</v>
      </c>
      <c r="AK127" s="121">
        <f t="shared" si="45"/>
        <v>0</v>
      </c>
      <c r="AL127" s="107"/>
      <c r="AM127" s="107">
        <f t="shared" si="61"/>
        <v>231.71248151569458</v>
      </c>
      <c r="AN127" s="107">
        <f t="shared" si="62"/>
        <v>83.211657364276036</v>
      </c>
      <c r="AO127" s="107"/>
      <c r="AP127" s="143">
        <f t="shared" si="63"/>
        <v>729.70241008887353</v>
      </c>
      <c r="AQ127" s="34"/>
      <c r="AR127" s="29"/>
      <c r="AS127" s="124"/>
      <c r="AT127" s="138">
        <f t="shared" si="64"/>
        <v>173.49709054844971</v>
      </c>
      <c r="AU127" s="151">
        <f t="shared" si="65"/>
        <v>4843.3907816003839</v>
      </c>
      <c r="AW127" s="1">
        <v>1</v>
      </c>
      <c r="BA127" s="30">
        <v>959.07</v>
      </c>
      <c r="BB127" s="30">
        <v>145.91</v>
      </c>
      <c r="BC127" s="30">
        <v>42.26</v>
      </c>
      <c r="BD127" s="30">
        <v>334.26</v>
      </c>
      <c r="BI127" s="333">
        <v>0</v>
      </c>
      <c r="BL127" s="110">
        <f>$BA$397</f>
        <v>0.85901039294857251</v>
      </c>
      <c r="BM127" s="110">
        <f>$BB$397</f>
        <v>0.92206249128051765</v>
      </c>
      <c r="BN127" s="110">
        <f>$BC$397</f>
        <v>0.35749517965371247</v>
      </c>
      <c r="BO127" s="110">
        <f>$BD$397</f>
        <v>0.82972030812989472</v>
      </c>
    </row>
    <row r="128" spans="1:67" x14ac:dyDescent="0.25">
      <c r="A128" s="434" t="s">
        <v>92</v>
      </c>
      <c r="B128" s="238">
        <v>1</v>
      </c>
      <c r="C128" s="236">
        <f>'побудинковий звіт'!E128</f>
        <v>173.75</v>
      </c>
      <c r="D128" s="141">
        <f t="shared" si="46"/>
        <v>0</v>
      </c>
      <c r="E128" s="107">
        <f t="shared" si="40"/>
        <v>0</v>
      </c>
      <c r="F128" s="333">
        <v>0</v>
      </c>
      <c r="G128" s="107">
        <f t="shared" si="41"/>
        <v>0</v>
      </c>
      <c r="H128" s="735">
        <f t="shared" si="47"/>
        <v>0</v>
      </c>
      <c r="I128" s="107">
        <f t="shared" si="48"/>
        <v>0</v>
      </c>
      <c r="J128" s="29"/>
      <c r="K128" s="142">
        <f t="shared" si="49"/>
        <v>0</v>
      </c>
      <c r="L128" s="210">
        <f t="shared" si="50"/>
        <v>0</v>
      </c>
      <c r="M128" s="107">
        <f t="shared" si="42"/>
        <v>0</v>
      </c>
      <c r="N128" s="333">
        <v>0</v>
      </c>
      <c r="O128" s="107"/>
      <c r="P128" s="107">
        <f t="shared" si="51"/>
        <v>0</v>
      </c>
      <c r="Q128" s="107">
        <f t="shared" si="52"/>
        <v>0</v>
      </c>
      <c r="R128" s="107"/>
      <c r="S128" s="143">
        <f t="shared" si="53"/>
        <v>0</v>
      </c>
      <c r="T128" s="245"/>
      <c r="U128" s="107"/>
      <c r="V128" s="151">
        <f t="shared" si="54"/>
        <v>0</v>
      </c>
      <c r="W128" s="246"/>
      <c r="X128" s="107"/>
      <c r="Y128" s="46">
        <f t="shared" si="55"/>
        <v>0</v>
      </c>
      <c r="Z128" s="141">
        <f t="shared" si="56"/>
        <v>0</v>
      </c>
      <c r="AA128" s="107">
        <f t="shared" si="43"/>
        <v>0</v>
      </c>
      <c r="AB128" s="333">
        <v>0</v>
      </c>
      <c r="AC128" s="107"/>
      <c r="AD128" s="107">
        <f t="shared" si="57"/>
        <v>0</v>
      </c>
      <c r="AE128" s="107">
        <f t="shared" si="58"/>
        <v>0</v>
      </c>
      <c r="AF128" s="107"/>
      <c r="AG128" s="142">
        <f t="shared" si="59"/>
        <v>0</v>
      </c>
      <c r="AH128" s="210">
        <f t="shared" si="60"/>
        <v>0</v>
      </c>
      <c r="AI128" s="107">
        <f t="shared" si="44"/>
        <v>0</v>
      </c>
      <c r="AJ128" s="333">
        <v>0</v>
      </c>
      <c r="AK128" s="121">
        <f t="shared" si="45"/>
        <v>0</v>
      </c>
      <c r="AL128" s="107"/>
      <c r="AM128" s="107">
        <f t="shared" si="61"/>
        <v>0</v>
      </c>
      <c r="AN128" s="107">
        <f t="shared" si="62"/>
        <v>0</v>
      </c>
      <c r="AO128" s="107"/>
      <c r="AP128" s="143">
        <f t="shared" si="63"/>
        <v>0</v>
      </c>
      <c r="AQ128" s="34"/>
      <c r="AR128" s="29"/>
      <c r="AS128" s="124"/>
      <c r="AT128" s="138">
        <f t="shared" si="64"/>
        <v>0</v>
      </c>
      <c r="AU128" s="151">
        <f t="shared" si="65"/>
        <v>0</v>
      </c>
      <c r="AW128" s="1">
        <v>3</v>
      </c>
      <c r="BA128" s="30">
        <v>0</v>
      </c>
      <c r="BB128" s="30">
        <v>0</v>
      </c>
      <c r="BC128" s="30">
        <v>0</v>
      </c>
      <c r="BD128" s="30">
        <v>0</v>
      </c>
      <c r="BI128" s="333">
        <v>0</v>
      </c>
      <c r="BL128" s="110">
        <f t="shared" ref="BL128:BO133" si="76">BA$399</f>
        <v>1.2233877438623886</v>
      </c>
      <c r="BM128" s="110">
        <f t="shared" si="76"/>
        <v>1.2807066670574303</v>
      </c>
      <c r="BN128" s="110">
        <f t="shared" si="76"/>
        <v>0.82443024793968056</v>
      </c>
      <c r="BO128" s="110">
        <f t="shared" si="76"/>
        <v>1.2965393422474656</v>
      </c>
    </row>
    <row r="129" spans="1:67" x14ac:dyDescent="0.25">
      <c r="A129" s="434" t="s">
        <v>93</v>
      </c>
      <c r="B129" s="238">
        <v>1</v>
      </c>
      <c r="C129" s="236">
        <f>'побудинковий звіт'!E129</f>
        <v>188.4</v>
      </c>
      <c r="D129" s="141">
        <f t="shared" si="46"/>
        <v>0</v>
      </c>
      <c r="E129" s="107">
        <f t="shared" si="40"/>
        <v>0</v>
      </c>
      <c r="F129" s="333">
        <v>0</v>
      </c>
      <c r="G129" s="107">
        <f t="shared" si="41"/>
        <v>0</v>
      </c>
      <c r="H129" s="735">
        <f t="shared" si="47"/>
        <v>0</v>
      </c>
      <c r="I129" s="107">
        <f t="shared" si="48"/>
        <v>0</v>
      </c>
      <c r="J129" s="29"/>
      <c r="K129" s="142">
        <f t="shared" si="49"/>
        <v>0</v>
      </c>
      <c r="L129" s="210">
        <f t="shared" si="50"/>
        <v>0</v>
      </c>
      <c r="M129" s="107">
        <f t="shared" si="42"/>
        <v>0</v>
      </c>
      <c r="N129" s="333">
        <v>0</v>
      </c>
      <c r="O129" s="107"/>
      <c r="P129" s="107">
        <f t="shared" si="51"/>
        <v>0</v>
      </c>
      <c r="Q129" s="107">
        <f t="shared" si="52"/>
        <v>0</v>
      </c>
      <c r="R129" s="107"/>
      <c r="S129" s="143">
        <f t="shared" si="53"/>
        <v>0</v>
      </c>
      <c r="T129" s="245"/>
      <c r="U129" s="107"/>
      <c r="V129" s="151">
        <f t="shared" si="54"/>
        <v>0</v>
      </c>
      <c r="W129" s="246"/>
      <c r="X129" s="107"/>
      <c r="Y129" s="46">
        <f t="shared" si="55"/>
        <v>0</v>
      </c>
      <c r="Z129" s="141">
        <f t="shared" si="56"/>
        <v>0</v>
      </c>
      <c r="AA129" s="107">
        <f t="shared" si="43"/>
        <v>0</v>
      </c>
      <c r="AB129" s="333">
        <v>0</v>
      </c>
      <c r="AC129" s="107"/>
      <c r="AD129" s="107">
        <f t="shared" si="57"/>
        <v>0</v>
      </c>
      <c r="AE129" s="107">
        <f t="shared" si="58"/>
        <v>0</v>
      </c>
      <c r="AF129" s="107"/>
      <c r="AG129" s="142">
        <f t="shared" si="59"/>
        <v>0</v>
      </c>
      <c r="AH129" s="210">
        <f t="shared" si="60"/>
        <v>0</v>
      </c>
      <c r="AI129" s="107">
        <f t="shared" si="44"/>
        <v>0</v>
      </c>
      <c r="AJ129" s="333">
        <v>0</v>
      </c>
      <c r="AK129" s="121">
        <f t="shared" si="45"/>
        <v>0</v>
      </c>
      <c r="AL129" s="107"/>
      <c r="AM129" s="107">
        <f t="shared" si="61"/>
        <v>0</v>
      </c>
      <c r="AN129" s="107">
        <f t="shared" si="62"/>
        <v>0</v>
      </c>
      <c r="AO129" s="107"/>
      <c r="AP129" s="143">
        <f t="shared" si="63"/>
        <v>0</v>
      </c>
      <c r="AQ129" s="34"/>
      <c r="AR129" s="29"/>
      <c r="AS129" s="124"/>
      <c r="AT129" s="138">
        <f t="shared" si="64"/>
        <v>0</v>
      </c>
      <c r="AU129" s="151">
        <f t="shared" si="65"/>
        <v>0</v>
      </c>
      <c r="AW129" s="1">
        <v>3</v>
      </c>
      <c r="BA129" s="30">
        <v>0</v>
      </c>
      <c r="BB129" s="30">
        <v>0</v>
      </c>
      <c r="BC129" s="30">
        <v>0</v>
      </c>
      <c r="BD129" s="30">
        <v>0</v>
      </c>
      <c r="BI129" s="333">
        <v>0</v>
      </c>
      <c r="BL129" s="110">
        <f t="shared" si="76"/>
        <v>1.2233877438623886</v>
      </c>
      <c r="BM129" s="110">
        <f t="shared" si="76"/>
        <v>1.2807066670574303</v>
      </c>
      <c r="BN129" s="110">
        <f t="shared" si="76"/>
        <v>0.82443024793968056</v>
      </c>
      <c r="BO129" s="110">
        <f t="shared" si="76"/>
        <v>1.2965393422474656</v>
      </c>
    </row>
    <row r="130" spans="1:67" x14ac:dyDescent="0.25">
      <c r="A130" s="434" t="s">
        <v>95</v>
      </c>
      <c r="B130" s="238">
        <v>1</v>
      </c>
      <c r="C130" s="236">
        <f>'побудинковий звіт'!E130</f>
        <v>195.6</v>
      </c>
      <c r="D130" s="141">
        <f t="shared" si="46"/>
        <v>0</v>
      </c>
      <c r="E130" s="107">
        <f t="shared" si="40"/>
        <v>0</v>
      </c>
      <c r="F130" s="333">
        <v>0</v>
      </c>
      <c r="G130" s="107">
        <f t="shared" si="41"/>
        <v>0</v>
      </c>
      <c r="H130" s="735">
        <f t="shared" si="47"/>
        <v>0</v>
      </c>
      <c r="I130" s="107">
        <f t="shared" si="48"/>
        <v>0</v>
      </c>
      <c r="J130" s="29"/>
      <c r="K130" s="142">
        <f t="shared" si="49"/>
        <v>0</v>
      </c>
      <c r="L130" s="210">
        <f t="shared" si="50"/>
        <v>0</v>
      </c>
      <c r="M130" s="107">
        <f t="shared" si="42"/>
        <v>0</v>
      </c>
      <c r="N130" s="333">
        <v>0</v>
      </c>
      <c r="O130" s="107"/>
      <c r="P130" s="107">
        <f t="shared" si="51"/>
        <v>0</v>
      </c>
      <c r="Q130" s="107">
        <f t="shared" si="52"/>
        <v>0</v>
      </c>
      <c r="R130" s="107"/>
      <c r="S130" s="143">
        <f t="shared" si="53"/>
        <v>0</v>
      </c>
      <c r="T130" s="245"/>
      <c r="U130" s="107"/>
      <c r="V130" s="151">
        <f t="shared" si="54"/>
        <v>0</v>
      </c>
      <c r="W130" s="246"/>
      <c r="X130" s="107"/>
      <c r="Y130" s="46">
        <f t="shared" si="55"/>
        <v>0</v>
      </c>
      <c r="Z130" s="141">
        <f t="shared" si="56"/>
        <v>0</v>
      </c>
      <c r="AA130" s="107">
        <f t="shared" si="43"/>
        <v>0</v>
      </c>
      <c r="AB130" s="333">
        <v>0</v>
      </c>
      <c r="AC130" s="107"/>
      <c r="AD130" s="107">
        <f t="shared" si="57"/>
        <v>0</v>
      </c>
      <c r="AE130" s="107">
        <f t="shared" si="58"/>
        <v>0</v>
      </c>
      <c r="AF130" s="107"/>
      <c r="AG130" s="142">
        <f t="shared" si="59"/>
        <v>0</v>
      </c>
      <c r="AH130" s="210">
        <f t="shared" si="60"/>
        <v>0</v>
      </c>
      <c r="AI130" s="107">
        <f t="shared" si="44"/>
        <v>0</v>
      </c>
      <c r="AJ130" s="333">
        <v>0</v>
      </c>
      <c r="AK130" s="121">
        <f t="shared" si="45"/>
        <v>0</v>
      </c>
      <c r="AL130" s="107"/>
      <c r="AM130" s="107">
        <f t="shared" si="61"/>
        <v>0</v>
      </c>
      <c r="AN130" s="107">
        <f t="shared" si="62"/>
        <v>0</v>
      </c>
      <c r="AO130" s="107"/>
      <c r="AP130" s="143">
        <f t="shared" si="63"/>
        <v>0</v>
      </c>
      <c r="AQ130" s="34"/>
      <c r="AR130" s="29"/>
      <c r="AS130" s="124"/>
      <c r="AT130" s="138">
        <f t="shared" si="64"/>
        <v>0</v>
      </c>
      <c r="AU130" s="151">
        <f t="shared" si="65"/>
        <v>0</v>
      </c>
      <c r="AW130" s="1">
        <v>3</v>
      </c>
      <c r="BA130" s="30">
        <v>0</v>
      </c>
      <c r="BB130" s="30">
        <v>0</v>
      </c>
      <c r="BC130" s="30">
        <v>0</v>
      </c>
      <c r="BD130" s="30">
        <v>0</v>
      </c>
      <c r="BI130" s="333">
        <v>0</v>
      </c>
      <c r="BL130" s="110">
        <f t="shared" si="76"/>
        <v>1.2233877438623886</v>
      </c>
      <c r="BM130" s="110">
        <f t="shared" si="76"/>
        <v>1.2807066670574303</v>
      </c>
      <c r="BN130" s="110">
        <f t="shared" si="76"/>
        <v>0.82443024793968056</v>
      </c>
      <c r="BO130" s="110">
        <f t="shared" si="76"/>
        <v>1.2965393422474656</v>
      </c>
    </row>
    <row r="131" spans="1:67" x14ac:dyDescent="0.25">
      <c r="A131" s="260" t="s">
        <v>361</v>
      </c>
      <c r="B131" s="237">
        <v>9</v>
      </c>
      <c r="C131" s="236">
        <f>'побудинковий звіт'!E131</f>
        <v>196.35</v>
      </c>
      <c r="D131" s="141">
        <f t="shared" si="46"/>
        <v>350.78196779766267</v>
      </c>
      <c r="E131" s="107">
        <f t="shared" si="40"/>
        <v>72.305628729589117</v>
      </c>
      <c r="F131" s="333">
        <v>98.027073413431168</v>
      </c>
      <c r="G131" s="107">
        <f t="shared" si="41"/>
        <v>0</v>
      </c>
      <c r="H131" s="735">
        <f t="shared" si="47"/>
        <v>293.06945691791566</v>
      </c>
      <c r="I131" s="107">
        <f t="shared" si="48"/>
        <v>104.79594690266362</v>
      </c>
      <c r="J131" s="29"/>
      <c r="K131" s="142">
        <f t="shared" si="49"/>
        <v>918.98007376126225</v>
      </c>
      <c r="L131" s="210">
        <f t="shared" si="50"/>
        <v>60.116370951675776</v>
      </c>
      <c r="M131" s="107">
        <f t="shared" si="42"/>
        <v>13.226679206379657</v>
      </c>
      <c r="N131" s="333">
        <v>0</v>
      </c>
      <c r="O131" s="107"/>
      <c r="P131" s="107">
        <f t="shared" si="51"/>
        <v>50.225706575789879</v>
      </c>
      <c r="Q131" s="107">
        <f t="shared" si="52"/>
        <v>15.90488495455179</v>
      </c>
      <c r="R131" s="107"/>
      <c r="S131" s="143">
        <f t="shared" si="53"/>
        <v>139.47364168839709</v>
      </c>
      <c r="T131" s="244">
        <v>410.11</v>
      </c>
      <c r="U131" s="107"/>
      <c r="V131" s="151">
        <f t="shared" si="54"/>
        <v>410.11</v>
      </c>
      <c r="W131" s="906">
        <v>97.28</v>
      </c>
      <c r="X131" s="107"/>
      <c r="Y131" s="46">
        <f t="shared" si="55"/>
        <v>97.28</v>
      </c>
      <c r="Z131" s="141">
        <f t="shared" si="56"/>
        <v>10.874234970324386</v>
      </c>
      <c r="AA131" s="107">
        <f t="shared" si="43"/>
        <v>2.3902429227901973</v>
      </c>
      <c r="AB131" s="333">
        <v>0</v>
      </c>
      <c r="AC131" s="107"/>
      <c r="AD131" s="107">
        <f t="shared" si="57"/>
        <v>9.0851481253706829</v>
      </c>
      <c r="AE131" s="107">
        <f t="shared" si="58"/>
        <v>2.8766837184168521</v>
      </c>
      <c r="AF131" s="107"/>
      <c r="AG131" s="142">
        <f t="shared" si="59"/>
        <v>25.22630973690212</v>
      </c>
      <c r="AH131" s="210">
        <f t="shared" si="60"/>
        <v>147.53321175433911</v>
      </c>
      <c r="AI131" s="107">
        <f t="shared" si="44"/>
        <v>29.427814352928813</v>
      </c>
      <c r="AJ131" s="333">
        <v>55.176371664592551</v>
      </c>
      <c r="AK131" s="121">
        <f t="shared" si="45"/>
        <v>0</v>
      </c>
      <c r="AL131" s="107">
        <f>2*436</f>
        <v>872</v>
      </c>
      <c r="AM131" s="107">
        <f t="shared" si="61"/>
        <v>123.26026482393236</v>
      </c>
      <c r="AN131" s="107">
        <f t="shared" si="62"/>
        <v>157.98183240703364</v>
      </c>
      <c r="AO131" s="107"/>
      <c r="AP131" s="143">
        <f t="shared" si="63"/>
        <v>1385.3794950028264</v>
      </c>
      <c r="AQ131" s="34"/>
      <c r="AR131" s="29"/>
      <c r="AS131" s="124"/>
      <c r="AT131" s="138">
        <f t="shared" si="64"/>
        <v>91.207908244144846</v>
      </c>
      <c r="AU131" s="151">
        <f t="shared" si="65"/>
        <v>3067.6574284335329</v>
      </c>
      <c r="AW131" s="1">
        <v>3</v>
      </c>
      <c r="BA131" s="30">
        <v>286.73</v>
      </c>
      <c r="BB131" s="30">
        <v>46.94</v>
      </c>
      <c r="BC131" s="30">
        <v>13.19</v>
      </c>
      <c r="BD131" s="30">
        <v>113.79</v>
      </c>
      <c r="BI131" s="333">
        <v>0</v>
      </c>
      <c r="BL131" s="110">
        <f t="shared" si="76"/>
        <v>1.2233877438623886</v>
      </c>
      <c r="BM131" s="110">
        <f t="shared" si="76"/>
        <v>1.2807066670574303</v>
      </c>
      <c r="BN131" s="110">
        <f t="shared" si="76"/>
        <v>0.82443024793968056</v>
      </c>
      <c r="BO131" s="110">
        <f t="shared" si="76"/>
        <v>1.2965393422474656</v>
      </c>
    </row>
    <row r="132" spans="1:67" x14ac:dyDescent="0.25">
      <c r="A132" s="434" t="s">
        <v>97</v>
      </c>
      <c r="B132" s="238">
        <v>1</v>
      </c>
      <c r="C132" s="236">
        <f>'побудинковий звіт'!E132</f>
        <v>3175.8</v>
      </c>
      <c r="D132" s="141">
        <f t="shared" si="46"/>
        <v>0</v>
      </c>
      <c r="E132" s="107">
        <f t="shared" si="40"/>
        <v>0</v>
      </c>
      <c r="F132" s="333">
        <v>0</v>
      </c>
      <c r="G132" s="107">
        <f t="shared" si="41"/>
        <v>0</v>
      </c>
      <c r="H132" s="735">
        <f t="shared" si="47"/>
        <v>0</v>
      </c>
      <c r="I132" s="107">
        <f t="shared" si="48"/>
        <v>0</v>
      </c>
      <c r="J132" s="29"/>
      <c r="K132" s="142">
        <f t="shared" si="49"/>
        <v>0</v>
      </c>
      <c r="L132" s="210">
        <f t="shared" si="50"/>
        <v>0</v>
      </c>
      <c r="M132" s="107">
        <f t="shared" si="42"/>
        <v>0</v>
      </c>
      <c r="N132" s="333">
        <v>0</v>
      </c>
      <c r="O132" s="107"/>
      <c r="P132" s="107">
        <f t="shared" si="51"/>
        <v>0</v>
      </c>
      <c r="Q132" s="107">
        <f t="shared" si="52"/>
        <v>0</v>
      </c>
      <c r="R132" s="107"/>
      <c r="S132" s="143">
        <f t="shared" si="53"/>
        <v>0</v>
      </c>
      <c r="T132" s="245"/>
      <c r="U132" s="107"/>
      <c r="V132" s="151">
        <f t="shared" si="54"/>
        <v>0</v>
      </c>
      <c r="W132" s="246"/>
      <c r="X132" s="107"/>
      <c r="Y132" s="46">
        <f t="shared" si="55"/>
        <v>0</v>
      </c>
      <c r="Z132" s="141">
        <f t="shared" si="56"/>
        <v>0</v>
      </c>
      <c r="AA132" s="107">
        <f t="shared" si="43"/>
        <v>0</v>
      </c>
      <c r="AB132" s="333">
        <v>0</v>
      </c>
      <c r="AC132" s="107"/>
      <c r="AD132" s="107">
        <f t="shared" si="57"/>
        <v>0</v>
      </c>
      <c r="AE132" s="107">
        <f t="shared" si="58"/>
        <v>0</v>
      </c>
      <c r="AF132" s="107"/>
      <c r="AG132" s="142">
        <f t="shared" si="59"/>
        <v>0</v>
      </c>
      <c r="AH132" s="210">
        <f t="shared" si="60"/>
        <v>0</v>
      </c>
      <c r="AI132" s="107">
        <f t="shared" si="44"/>
        <v>0</v>
      </c>
      <c r="AJ132" s="333">
        <v>0</v>
      </c>
      <c r="AK132" s="121">
        <f t="shared" si="45"/>
        <v>0</v>
      </c>
      <c r="AL132" s="107"/>
      <c r="AM132" s="107">
        <f t="shared" si="61"/>
        <v>0</v>
      </c>
      <c r="AN132" s="107">
        <f t="shared" si="62"/>
        <v>0</v>
      </c>
      <c r="AO132" s="107"/>
      <c r="AP132" s="143">
        <f t="shared" si="63"/>
        <v>0</v>
      </c>
      <c r="AQ132" s="34"/>
      <c r="AR132" s="29"/>
      <c r="AS132" s="124"/>
      <c r="AT132" s="138">
        <f t="shared" si="64"/>
        <v>0</v>
      </c>
      <c r="AU132" s="151">
        <f t="shared" si="65"/>
        <v>0</v>
      </c>
      <c r="AW132" s="1">
        <v>3</v>
      </c>
      <c r="BA132" s="30">
        <v>0</v>
      </c>
      <c r="BB132" s="30">
        <v>0</v>
      </c>
      <c r="BC132" s="30">
        <v>0</v>
      </c>
      <c r="BD132" s="30">
        <v>0</v>
      </c>
      <c r="BI132" s="333">
        <v>0</v>
      </c>
      <c r="BL132" s="110">
        <f t="shared" si="76"/>
        <v>1.2233877438623886</v>
      </c>
      <c r="BM132" s="110">
        <f t="shared" si="76"/>
        <v>1.2807066670574303</v>
      </c>
      <c r="BN132" s="110">
        <f t="shared" si="76"/>
        <v>0.82443024793968056</v>
      </c>
      <c r="BO132" s="110">
        <f t="shared" si="76"/>
        <v>1.2965393422474656</v>
      </c>
    </row>
    <row r="133" spans="1:67" x14ac:dyDescent="0.25">
      <c r="A133" s="434" t="s">
        <v>98</v>
      </c>
      <c r="B133" s="238">
        <v>1</v>
      </c>
      <c r="C133" s="236">
        <f>'побудинковий звіт'!E133</f>
        <v>181.9</v>
      </c>
      <c r="D133" s="141">
        <f t="shared" si="46"/>
        <v>0</v>
      </c>
      <c r="E133" s="107">
        <f t="shared" si="40"/>
        <v>0</v>
      </c>
      <c r="F133" s="333">
        <v>0</v>
      </c>
      <c r="G133" s="107">
        <f t="shared" si="41"/>
        <v>0</v>
      </c>
      <c r="H133" s="735">
        <f t="shared" si="47"/>
        <v>0</v>
      </c>
      <c r="I133" s="107">
        <f t="shared" si="48"/>
        <v>0</v>
      </c>
      <c r="J133" s="29"/>
      <c r="K133" s="142">
        <f t="shared" si="49"/>
        <v>0</v>
      </c>
      <c r="L133" s="210">
        <f t="shared" si="50"/>
        <v>0</v>
      </c>
      <c r="M133" s="107">
        <f t="shared" si="42"/>
        <v>0</v>
      </c>
      <c r="N133" s="333">
        <v>0</v>
      </c>
      <c r="O133" s="107"/>
      <c r="P133" s="107">
        <f t="shared" si="51"/>
        <v>0</v>
      </c>
      <c r="Q133" s="107">
        <f t="shared" si="52"/>
        <v>0</v>
      </c>
      <c r="R133" s="107"/>
      <c r="S133" s="143">
        <f t="shared" si="53"/>
        <v>0</v>
      </c>
      <c r="T133" s="244">
        <v>14.04</v>
      </c>
      <c r="U133" s="107"/>
      <c r="V133" s="151">
        <f t="shared" si="54"/>
        <v>14.04</v>
      </c>
      <c r="W133" s="246"/>
      <c r="X133" s="107"/>
      <c r="Y133" s="46">
        <f t="shared" si="55"/>
        <v>0</v>
      </c>
      <c r="Z133" s="141">
        <f t="shared" si="56"/>
        <v>0</v>
      </c>
      <c r="AA133" s="107">
        <f t="shared" si="43"/>
        <v>0</v>
      </c>
      <c r="AB133" s="333">
        <v>0</v>
      </c>
      <c r="AC133" s="107"/>
      <c r="AD133" s="107">
        <f t="shared" si="57"/>
        <v>0</v>
      </c>
      <c r="AE133" s="107">
        <f t="shared" si="58"/>
        <v>0</v>
      </c>
      <c r="AF133" s="107"/>
      <c r="AG133" s="142">
        <f t="shared" si="59"/>
        <v>0</v>
      </c>
      <c r="AH133" s="210">
        <f t="shared" si="60"/>
        <v>0</v>
      </c>
      <c r="AI133" s="107">
        <f t="shared" si="44"/>
        <v>0</v>
      </c>
      <c r="AJ133" s="333">
        <v>0</v>
      </c>
      <c r="AK133" s="121">
        <f t="shared" si="45"/>
        <v>0</v>
      </c>
      <c r="AL133" s="107"/>
      <c r="AM133" s="107">
        <f t="shared" si="61"/>
        <v>0</v>
      </c>
      <c r="AN133" s="107">
        <f t="shared" si="62"/>
        <v>0</v>
      </c>
      <c r="AO133" s="107"/>
      <c r="AP133" s="143">
        <f t="shared" si="63"/>
        <v>0</v>
      </c>
      <c r="AQ133" s="34"/>
      <c r="AR133" s="29"/>
      <c r="AS133" s="124"/>
      <c r="AT133" s="138">
        <f t="shared" si="64"/>
        <v>0</v>
      </c>
      <c r="AU133" s="151">
        <f t="shared" si="65"/>
        <v>14.04</v>
      </c>
      <c r="AW133" s="1">
        <v>3</v>
      </c>
      <c r="BA133" s="30">
        <v>0</v>
      </c>
      <c r="BB133" s="30">
        <v>0</v>
      </c>
      <c r="BC133" s="30">
        <v>0</v>
      </c>
      <c r="BD133" s="30">
        <v>0</v>
      </c>
      <c r="BI133" s="333">
        <v>0</v>
      </c>
      <c r="BL133" s="110">
        <f t="shared" si="76"/>
        <v>1.2233877438623886</v>
      </c>
      <c r="BM133" s="110">
        <f t="shared" si="76"/>
        <v>1.2807066670574303</v>
      </c>
      <c r="BN133" s="110">
        <f t="shared" si="76"/>
        <v>0.82443024793968056</v>
      </c>
      <c r="BO133" s="110">
        <f t="shared" si="76"/>
        <v>1.2965393422474656</v>
      </c>
    </row>
    <row r="134" spans="1:67" x14ac:dyDescent="0.25">
      <c r="A134" s="260" t="s">
        <v>211</v>
      </c>
      <c r="B134" s="237">
        <v>4</v>
      </c>
      <c r="C134" s="236">
        <f>'побудинковий звіт'!E134</f>
        <v>155.19999999999999</v>
      </c>
      <c r="D134" s="141">
        <f t="shared" si="46"/>
        <v>189.67839956033785</v>
      </c>
      <c r="E134" s="107">
        <f t="shared" si="40"/>
        <v>39.097836250646154</v>
      </c>
      <c r="F134" s="333">
        <v>31.301167351308784</v>
      </c>
      <c r="G134" s="107">
        <f t="shared" si="41"/>
        <v>0</v>
      </c>
      <c r="H134" s="735">
        <f t="shared" si="47"/>
        <v>158.4715026750529</v>
      </c>
      <c r="I134" s="107">
        <f t="shared" si="48"/>
        <v>53.872616113917559</v>
      </c>
      <c r="J134" s="29"/>
      <c r="K134" s="142">
        <f t="shared" si="49"/>
        <v>472.42152195126329</v>
      </c>
      <c r="L134" s="210">
        <f t="shared" si="50"/>
        <v>34.271396012160842</v>
      </c>
      <c r="M134" s="107">
        <f t="shared" si="42"/>
        <v>7.5403214437549915</v>
      </c>
      <c r="N134" s="333">
        <v>0</v>
      </c>
      <c r="O134" s="107"/>
      <c r="P134" s="107">
        <f t="shared" si="51"/>
        <v>28.632884068021134</v>
      </c>
      <c r="Q134" s="107">
        <f t="shared" si="52"/>
        <v>9.0671243485982362</v>
      </c>
      <c r="R134" s="107"/>
      <c r="S134" s="143">
        <f t="shared" si="53"/>
        <v>79.511725872535209</v>
      </c>
      <c r="T134" s="905">
        <v>177.875</v>
      </c>
      <c r="U134" s="107"/>
      <c r="V134" s="151">
        <f t="shared" si="54"/>
        <v>177.875</v>
      </c>
      <c r="W134" s="246"/>
      <c r="X134" s="107"/>
      <c r="Y134" s="46">
        <f t="shared" si="55"/>
        <v>0</v>
      </c>
      <c r="Z134" s="141">
        <f t="shared" si="56"/>
        <v>0</v>
      </c>
      <c r="AA134" s="107">
        <f t="shared" si="43"/>
        <v>0</v>
      </c>
      <c r="AB134" s="333">
        <v>0</v>
      </c>
      <c r="AC134" s="107"/>
      <c r="AD134" s="107">
        <f t="shared" si="57"/>
        <v>0</v>
      </c>
      <c r="AE134" s="107">
        <f t="shared" si="58"/>
        <v>0</v>
      </c>
      <c r="AF134" s="107"/>
      <c r="AG134" s="142">
        <f t="shared" si="59"/>
        <v>0</v>
      </c>
      <c r="AH134" s="210">
        <f t="shared" si="60"/>
        <v>91.30869453495643</v>
      </c>
      <c r="AI134" s="107">
        <f t="shared" si="44"/>
        <v>18.212952050804624</v>
      </c>
      <c r="AJ134" s="333">
        <v>12.28943718915928</v>
      </c>
      <c r="AK134" s="121">
        <f t="shared" si="45"/>
        <v>0</v>
      </c>
      <c r="AL134" s="418"/>
      <c r="AM134" s="107">
        <f t="shared" si="61"/>
        <v>76.286103551021355</v>
      </c>
      <c r="AN134" s="107">
        <f t="shared" si="62"/>
        <v>25.497650518777309</v>
      </c>
      <c r="AO134" s="107"/>
      <c r="AP134" s="143">
        <f t="shared" si="63"/>
        <v>223.59483784471902</v>
      </c>
      <c r="AQ134" s="34"/>
      <c r="AR134" s="29"/>
      <c r="AS134" s="124"/>
      <c r="AT134" s="138">
        <f t="shared" si="64"/>
        <v>72.093034680373208</v>
      </c>
      <c r="AU134" s="151">
        <f t="shared" si="65"/>
        <v>1025.4961203488908</v>
      </c>
      <c r="AW134" s="1">
        <v>2</v>
      </c>
      <c r="BA134" s="30">
        <v>172.94</v>
      </c>
      <c r="BB134" s="30">
        <v>30.8</v>
      </c>
      <c r="BC134" s="30">
        <v>0</v>
      </c>
      <c r="BD134" s="30">
        <v>88.06</v>
      </c>
      <c r="BF134" s="289">
        <f t="shared" ref="BF134:BF145" si="77">T134*1.2</f>
        <v>213.45</v>
      </c>
      <c r="BI134" s="333">
        <v>0</v>
      </c>
      <c r="BL134" s="110">
        <f>BA$398</f>
        <v>1.0967873225415627</v>
      </c>
      <c r="BM134" s="110">
        <f>BB$398</f>
        <v>1.1127076627324948</v>
      </c>
      <c r="BN134" s="110">
        <f>BC$398</f>
        <v>2.8314493742615632</v>
      </c>
      <c r="BO134" s="110">
        <f>BD$398</f>
        <v>1.036891829831438</v>
      </c>
    </row>
    <row r="135" spans="1:67" x14ac:dyDescent="0.25">
      <c r="A135" s="260" t="s">
        <v>362</v>
      </c>
      <c r="B135" s="237">
        <v>9</v>
      </c>
      <c r="C135" s="236">
        <f>'побудинковий звіт'!E135</f>
        <v>100.2</v>
      </c>
      <c r="D135" s="141">
        <f t="shared" si="46"/>
        <v>328.61442582247645</v>
      </c>
      <c r="E135" s="107">
        <f t="shared" si="40"/>
        <v>67.736300180665694</v>
      </c>
      <c r="F135" s="333">
        <v>81.529893543446263</v>
      </c>
      <c r="G135" s="107">
        <f t="shared" si="41"/>
        <v>0</v>
      </c>
      <c r="H135" s="735">
        <f t="shared" si="47"/>
        <v>274.5490365876999</v>
      </c>
      <c r="I135" s="107">
        <f t="shared" si="48"/>
        <v>96.847353922846338</v>
      </c>
      <c r="J135" s="29"/>
      <c r="K135" s="142">
        <f t="shared" si="49"/>
        <v>849.27701005713459</v>
      </c>
      <c r="L135" s="210">
        <f t="shared" si="50"/>
        <v>60.699373800996476</v>
      </c>
      <c r="M135" s="107">
        <f t="shared" si="42"/>
        <v>13.354950283663561</v>
      </c>
      <c r="N135" s="333">
        <v>0</v>
      </c>
      <c r="O135" s="107"/>
      <c r="P135" s="107">
        <f t="shared" si="51"/>
        <v>50.712790702447641</v>
      </c>
      <c r="Q135" s="107">
        <f t="shared" si="52"/>
        <v>16.059129016524118</v>
      </c>
      <c r="R135" s="107"/>
      <c r="S135" s="143">
        <f t="shared" si="53"/>
        <v>140.8262438036318</v>
      </c>
      <c r="T135" s="905">
        <v>495.80833333333339</v>
      </c>
      <c r="U135" s="107"/>
      <c r="V135" s="151">
        <f t="shared" si="54"/>
        <v>495.80833333333339</v>
      </c>
      <c r="W135" s="907">
        <v>99.516666666666666</v>
      </c>
      <c r="X135" s="107"/>
      <c r="Y135" s="46">
        <f t="shared" si="55"/>
        <v>99.516666666666666</v>
      </c>
      <c r="Z135" s="141">
        <f t="shared" si="56"/>
        <v>9.4271478874683989</v>
      </c>
      <c r="AA135" s="107">
        <f t="shared" si="43"/>
        <v>2.0721617273868529</v>
      </c>
      <c r="AB135" s="333">
        <v>0</v>
      </c>
      <c r="AC135" s="107"/>
      <c r="AD135" s="107">
        <f t="shared" si="57"/>
        <v>7.8761434888206034</v>
      </c>
      <c r="AE135" s="107">
        <f t="shared" si="58"/>
        <v>2.4938694917845048</v>
      </c>
      <c r="AF135" s="107"/>
      <c r="AG135" s="142">
        <f t="shared" si="59"/>
        <v>21.869322595460361</v>
      </c>
      <c r="AH135" s="210">
        <f t="shared" si="60"/>
        <v>231.53345198364713</v>
      </c>
      <c r="AI135" s="107">
        <f t="shared" si="44"/>
        <v>46.182980499420545</v>
      </c>
      <c r="AJ135" s="333">
        <v>34.913199188299181</v>
      </c>
      <c r="AK135" s="121">
        <f t="shared" si="45"/>
        <v>0</v>
      </c>
      <c r="AL135" s="418"/>
      <c r="AM135" s="107">
        <f t="shared" si="61"/>
        <v>193.44033975634107</v>
      </c>
      <c r="AN135" s="107">
        <f t="shared" si="62"/>
        <v>65.137700558464871</v>
      </c>
      <c r="AO135" s="107"/>
      <c r="AP135" s="143">
        <f t="shared" si="63"/>
        <v>571.20767198617273</v>
      </c>
      <c r="AQ135" s="34"/>
      <c r="AR135" s="29"/>
      <c r="AS135" s="124"/>
      <c r="AT135" s="138">
        <f t="shared" si="64"/>
        <v>46.54460099853992</v>
      </c>
      <c r="AU135" s="151">
        <f t="shared" si="65"/>
        <v>2225.0498494409394</v>
      </c>
      <c r="AW135" s="1">
        <v>1</v>
      </c>
      <c r="BA135" s="30">
        <v>382.55</v>
      </c>
      <c r="BB135" s="30">
        <v>65.83</v>
      </c>
      <c r="BC135" s="30">
        <v>26.37</v>
      </c>
      <c r="BD135" s="30">
        <v>279.05</v>
      </c>
      <c r="BF135" s="289">
        <f t="shared" si="77"/>
        <v>594.97</v>
      </c>
      <c r="BI135" s="333">
        <v>8.51</v>
      </c>
      <c r="BL135" s="110">
        <f>$BA$397</f>
        <v>0.85901039294857251</v>
      </c>
      <c r="BM135" s="110">
        <f>$BB$397</f>
        <v>0.92206249128051765</v>
      </c>
      <c r="BN135" s="110">
        <f>$BC$397</f>
        <v>0.35749517965371247</v>
      </c>
      <c r="BO135" s="110">
        <f>$BD$397</f>
        <v>0.82972030812989472</v>
      </c>
    </row>
    <row r="136" spans="1:67" x14ac:dyDescent="0.25">
      <c r="A136" s="260" t="s">
        <v>212</v>
      </c>
      <c r="B136" s="237">
        <v>4</v>
      </c>
      <c r="C136" s="236">
        <f>'побудинковий звіт'!E136</f>
        <v>3162.15</v>
      </c>
      <c r="D136" s="141">
        <f t="shared" si="46"/>
        <v>187.55063215460723</v>
      </c>
      <c r="E136" s="107">
        <f t="shared" si="40"/>
        <v>38.659245974676146</v>
      </c>
      <c r="F136" s="333">
        <v>31.282204608567682</v>
      </c>
      <c r="G136" s="107">
        <f t="shared" si="41"/>
        <v>0</v>
      </c>
      <c r="H136" s="735">
        <f t="shared" si="47"/>
        <v>156.69380685459726</v>
      </c>
      <c r="I136" s="107">
        <f t="shared" si="48"/>
        <v>53.311039925371773</v>
      </c>
      <c r="J136" s="29"/>
      <c r="K136" s="142">
        <f t="shared" si="49"/>
        <v>467.49692951782004</v>
      </c>
      <c r="L136" s="210">
        <f t="shared" si="50"/>
        <v>34.271396012160842</v>
      </c>
      <c r="M136" s="107">
        <f t="shared" si="42"/>
        <v>7.5403214437549915</v>
      </c>
      <c r="N136" s="333">
        <v>0</v>
      </c>
      <c r="O136" s="107"/>
      <c r="P136" s="107">
        <f t="shared" si="51"/>
        <v>28.632884068021134</v>
      </c>
      <c r="Q136" s="107">
        <f t="shared" si="52"/>
        <v>9.0671243485982362</v>
      </c>
      <c r="R136" s="107"/>
      <c r="S136" s="143">
        <f t="shared" si="53"/>
        <v>79.511725872535209</v>
      </c>
      <c r="T136" s="905">
        <v>177.875</v>
      </c>
      <c r="U136" s="107"/>
      <c r="V136" s="151">
        <f t="shared" si="54"/>
        <v>177.875</v>
      </c>
      <c r="W136" s="246"/>
      <c r="X136" s="107"/>
      <c r="Y136" s="46">
        <f t="shared" si="55"/>
        <v>0</v>
      </c>
      <c r="Z136" s="141">
        <f t="shared" si="56"/>
        <v>0</v>
      </c>
      <c r="AA136" s="107">
        <f t="shared" si="43"/>
        <v>0</v>
      </c>
      <c r="AB136" s="333">
        <v>0</v>
      </c>
      <c r="AC136" s="107"/>
      <c r="AD136" s="107">
        <f t="shared" si="57"/>
        <v>0</v>
      </c>
      <c r="AE136" s="107">
        <f t="shared" si="58"/>
        <v>0</v>
      </c>
      <c r="AF136" s="107"/>
      <c r="AG136" s="142">
        <f t="shared" si="59"/>
        <v>0</v>
      </c>
      <c r="AH136" s="210">
        <f t="shared" si="60"/>
        <v>91.30869453495643</v>
      </c>
      <c r="AI136" s="107">
        <f t="shared" si="44"/>
        <v>18.212952050804624</v>
      </c>
      <c r="AJ136" s="333">
        <v>12.281992053543874</v>
      </c>
      <c r="AK136" s="121">
        <f t="shared" si="45"/>
        <v>0</v>
      </c>
      <c r="AL136" s="107"/>
      <c r="AM136" s="107">
        <f t="shared" si="61"/>
        <v>76.286103551021355</v>
      </c>
      <c r="AN136" s="107">
        <f t="shared" si="62"/>
        <v>25.496692234267822</v>
      </c>
      <c r="AO136" s="107"/>
      <c r="AP136" s="143">
        <f t="shared" si="63"/>
        <v>223.5864344245941</v>
      </c>
      <c r="AQ136" s="34"/>
      <c r="AR136" s="29"/>
      <c r="AS136" s="124"/>
      <c r="AT136" s="138">
        <f t="shared" si="64"/>
        <v>1468.8723557638025</v>
      </c>
      <c r="AU136" s="151">
        <f t="shared" si="65"/>
        <v>2417.3424455787517</v>
      </c>
      <c r="AW136" s="1">
        <v>2</v>
      </c>
      <c r="BA136" s="30">
        <v>171</v>
      </c>
      <c r="BB136" s="30">
        <v>30.8</v>
      </c>
      <c r="BC136" s="30">
        <v>0</v>
      </c>
      <c r="BD136" s="30">
        <v>88.06</v>
      </c>
      <c r="BF136" s="289">
        <f t="shared" si="77"/>
        <v>213.45</v>
      </c>
      <c r="BI136" s="333">
        <v>0</v>
      </c>
      <c r="BL136" s="110">
        <f t="shared" ref="BL136:BO144" si="78">BA$398</f>
        <v>1.0967873225415627</v>
      </c>
      <c r="BM136" s="110">
        <f t="shared" si="78"/>
        <v>1.1127076627324948</v>
      </c>
      <c r="BN136" s="110">
        <f t="shared" si="78"/>
        <v>2.8314493742615632</v>
      </c>
      <c r="BO136" s="110">
        <f t="shared" si="78"/>
        <v>1.036891829831438</v>
      </c>
    </row>
    <row r="137" spans="1:67" x14ac:dyDescent="0.25">
      <c r="A137" s="260" t="s">
        <v>164</v>
      </c>
      <c r="B137" s="237">
        <v>2</v>
      </c>
      <c r="C137" s="236">
        <f>'побудинковий звіт'!E137</f>
        <v>7316.74</v>
      </c>
      <c r="D137" s="141">
        <f t="shared" si="46"/>
        <v>118.25560911643129</v>
      </c>
      <c r="E137" s="107">
        <f t="shared" ref="E137:E200" si="79">D137*$BA$372</f>
        <v>24.375671935611592</v>
      </c>
      <c r="F137" s="333">
        <v>16.156256815417056</v>
      </c>
      <c r="G137" s="107">
        <f t="shared" ref="G137:G200" si="80">$G$369/$C$368*C137</f>
        <v>0</v>
      </c>
      <c r="H137" s="735">
        <f t="shared" si="47"/>
        <v>98.799568743056582</v>
      </c>
      <c r="I137" s="107">
        <f t="shared" si="48"/>
        <v>33.154766663554192</v>
      </c>
      <c r="J137" s="29"/>
      <c r="K137" s="142">
        <f t="shared" si="49"/>
        <v>290.74187327407071</v>
      </c>
      <c r="L137" s="210">
        <f t="shared" si="50"/>
        <v>26.148630074213628</v>
      </c>
      <c r="M137" s="107">
        <f t="shared" ref="M137:M200" si="81">L137*$BB$372</f>
        <v>5.7531673353325417</v>
      </c>
      <c r="N137" s="333">
        <v>0</v>
      </c>
      <c r="O137" s="107"/>
      <c r="P137" s="107">
        <f t="shared" si="51"/>
        <v>21.846518688262876</v>
      </c>
      <c r="Q137" s="107">
        <f t="shared" si="52"/>
        <v>6.9180981231187841</v>
      </c>
      <c r="R137" s="107"/>
      <c r="S137" s="143">
        <f t="shared" si="53"/>
        <v>60.666414220927827</v>
      </c>
      <c r="T137" s="905">
        <v>84.583333333333343</v>
      </c>
      <c r="U137" s="107"/>
      <c r="V137" s="151">
        <f t="shared" si="54"/>
        <v>84.583333333333343</v>
      </c>
      <c r="W137" s="246"/>
      <c r="X137" s="107"/>
      <c r="Y137" s="46">
        <f t="shared" si="55"/>
        <v>0</v>
      </c>
      <c r="Z137" s="141">
        <f t="shared" si="56"/>
        <v>0</v>
      </c>
      <c r="AA137" s="107">
        <f t="shared" ref="AA137:AA200" si="82">Z137*$BC$372</f>
        <v>0</v>
      </c>
      <c r="AB137" s="333">
        <v>0</v>
      </c>
      <c r="AC137" s="107"/>
      <c r="AD137" s="107">
        <f t="shared" si="57"/>
        <v>0</v>
      </c>
      <c r="AE137" s="107">
        <f t="shared" si="58"/>
        <v>0</v>
      </c>
      <c r="AF137" s="107"/>
      <c r="AG137" s="142">
        <f t="shared" si="59"/>
        <v>0</v>
      </c>
      <c r="AH137" s="210">
        <f t="shared" si="60"/>
        <v>66.889891942426075</v>
      </c>
      <c r="AI137" s="107">
        <f t="shared" ref="AI137:AI200" si="83">AH137*$BD$372</f>
        <v>13.342238664517449</v>
      </c>
      <c r="AJ137" s="333">
        <v>6.3432555443237311</v>
      </c>
      <c r="AK137" s="121">
        <f t="shared" ref="AK137:AK200" si="84">$AK$369/$C$368*C137</f>
        <v>0</v>
      </c>
      <c r="AL137" s="418"/>
      <c r="AM137" s="107">
        <f t="shared" si="61"/>
        <v>55.884811947267643</v>
      </c>
      <c r="AN137" s="107">
        <f t="shared" si="62"/>
        <v>18.336455923402944</v>
      </c>
      <c r="AO137" s="107"/>
      <c r="AP137" s="143">
        <f t="shared" si="63"/>
        <v>160.79665402193785</v>
      </c>
      <c r="AQ137" s="34"/>
      <c r="AR137" s="29"/>
      <c r="AS137" s="124"/>
      <c r="AT137" s="138">
        <f t="shared" si="64"/>
        <v>3398.7499392221252</v>
      </c>
      <c r="AU137" s="151">
        <f t="shared" si="65"/>
        <v>3995.538214072395</v>
      </c>
      <c r="AW137" s="1">
        <v>2</v>
      </c>
      <c r="BA137" s="30">
        <v>107.82</v>
      </c>
      <c r="BB137" s="30">
        <v>23.5</v>
      </c>
      <c r="BC137" s="30">
        <v>0</v>
      </c>
      <c r="BD137" s="30">
        <v>64.510000000000005</v>
      </c>
      <c r="BF137" s="289">
        <f t="shared" si="77"/>
        <v>101.50000000000001</v>
      </c>
      <c r="BI137" s="333">
        <v>0</v>
      </c>
      <c r="BL137" s="110">
        <f t="shared" si="78"/>
        <v>1.0967873225415627</v>
      </c>
      <c r="BM137" s="110">
        <f t="shared" si="78"/>
        <v>1.1127076627324948</v>
      </c>
      <c r="BN137" s="110">
        <f t="shared" si="78"/>
        <v>2.8314493742615632</v>
      </c>
      <c r="BO137" s="110">
        <f t="shared" si="78"/>
        <v>1.036891829831438</v>
      </c>
    </row>
    <row r="138" spans="1:67" x14ac:dyDescent="0.25">
      <c r="A138" s="260" t="s">
        <v>165</v>
      </c>
      <c r="B138" s="237">
        <v>2</v>
      </c>
      <c r="C138" s="236">
        <f>'побудинковий звіт'!E138</f>
        <v>9469.1</v>
      </c>
      <c r="D138" s="141">
        <f t="shared" ref="D138:D201" si="85">BA138*BL138</f>
        <v>76.775112577909397</v>
      </c>
      <c r="E138" s="107">
        <f t="shared" si="79"/>
        <v>15.825422328814799</v>
      </c>
      <c r="F138" s="333">
        <v>8.9103821169012409</v>
      </c>
      <c r="G138" s="107">
        <f t="shared" si="80"/>
        <v>0</v>
      </c>
      <c r="H138" s="735">
        <f t="shared" ref="H138:H201" si="86">D138*$B$4</f>
        <v>64.143663624688941</v>
      </c>
      <c r="I138" s="107">
        <f t="shared" ref="I138:I201" si="87">(D138+E138+F138+G138+H138)*$B$5</f>
        <v>21.32187064955972</v>
      </c>
      <c r="J138" s="29"/>
      <c r="K138" s="142">
        <f t="shared" ref="K138:K201" si="88">D138+E138+F138+G138+H138+I138-J138</f>
        <v>186.97645129787409</v>
      </c>
      <c r="L138" s="210">
        <f t="shared" ref="L138:L201" si="89">BB138*BM138</f>
        <v>12.618104895386491</v>
      </c>
      <c r="M138" s="107">
        <f t="shared" si="81"/>
        <v>2.7762092588370648</v>
      </c>
      <c r="N138" s="333">
        <v>0</v>
      </c>
      <c r="O138" s="107"/>
      <c r="P138" s="107">
        <f t="shared" ref="P138:P201" si="90">L138*$B$4</f>
        <v>10.542107315953235</v>
      </c>
      <c r="Q138" s="107">
        <f t="shared" ref="Q138:Q201" si="91">(L138+M138+N138+O138+P138)*$B$5</f>
        <v>3.3383503283475324</v>
      </c>
      <c r="R138" s="107"/>
      <c r="S138" s="143">
        <f t="shared" ref="S138:S201" si="92">L138+M138+N138+O138+P138+Q138-R138</f>
        <v>29.27477179852432</v>
      </c>
      <c r="T138" s="905">
        <v>47.366666666666674</v>
      </c>
      <c r="U138" s="107"/>
      <c r="V138" s="151">
        <f t="shared" ref="V138:V201" si="93">T138+U138</f>
        <v>47.366666666666674</v>
      </c>
      <c r="W138" s="246"/>
      <c r="X138" s="107"/>
      <c r="Y138" s="46">
        <f t="shared" ref="Y138:Y201" si="94">W138+X138</f>
        <v>0</v>
      </c>
      <c r="Z138" s="141">
        <f t="shared" ref="Z138:Z201" si="95">BC138*BN138</f>
        <v>0</v>
      </c>
      <c r="AA138" s="107">
        <f t="shared" si="82"/>
        <v>0</v>
      </c>
      <c r="AB138" s="333">
        <v>0</v>
      </c>
      <c r="AC138" s="107"/>
      <c r="AD138" s="107">
        <f t="shared" ref="AD138:AD201" si="96">Z138*$B$4</f>
        <v>0</v>
      </c>
      <c r="AE138" s="107">
        <f t="shared" ref="AE138:AE201" si="97">(Z138+AA138+AB138+AC138+AD138)*$B$5</f>
        <v>0</v>
      </c>
      <c r="AF138" s="107"/>
      <c r="AG138" s="142">
        <f t="shared" ref="AG138:AG201" si="98">Z138+AA138+AB138+AC138+AD138+AE138-AF138</f>
        <v>0</v>
      </c>
      <c r="AH138" s="210">
        <f t="shared" ref="AH138:AH201" si="99">BD138*BO138</f>
        <v>29.706950924670696</v>
      </c>
      <c r="AI138" s="107">
        <f t="shared" si="83"/>
        <v>5.9255175591137004</v>
      </c>
      <c r="AJ138" s="333">
        <v>3.498386501949017</v>
      </c>
      <c r="AK138" s="121">
        <f t="shared" si="84"/>
        <v>0</v>
      </c>
      <c r="AL138" s="418"/>
      <c r="AM138" s="107">
        <f t="shared" ref="AM138:AM201" si="100">AH138*$B$4</f>
        <v>24.819405709025229</v>
      </c>
      <c r="AN138" s="107">
        <f t="shared" ref="AN138:AN201" si="101">(AH138+AI138+AJ138+AK138+AL138+AM138)*$B$5</f>
        <v>8.2312193312303776</v>
      </c>
      <c r="AO138" s="107"/>
      <c r="AP138" s="143">
        <f t="shared" ref="AP138:AP201" si="102">AH138+AI138+AJ138+AK138+AL138+AM138+AN138-AO138</f>
        <v>72.181480025989018</v>
      </c>
      <c r="AQ138" s="34"/>
      <c r="AR138" s="29"/>
      <c r="AS138" s="124"/>
      <c r="AT138" s="138">
        <f t="shared" ref="AT138:AT201" si="103">IF(B138&gt;1,C138*$AT$5,0)</f>
        <v>4398.5576977572291</v>
      </c>
      <c r="AU138" s="151">
        <f t="shared" ref="AU138:AU201" si="104">K138+S138+V138+Y138+AG138+AP138+AS138+AT138</f>
        <v>4734.3570675462834</v>
      </c>
      <c r="AW138" s="1">
        <v>2</v>
      </c>
      <c r="BA138" s="30">
        <v>70</v>
      </c>
      <c r="BB138" s="30">
        <v>11.34</v>
      </c>
      <c r="BC138" s="30">
        <v>0</v>
      </c>
      <c r="BD138" s="30">
        <v>28.65</v>
      </c>
      <c r="BF138" s="289">
        <f t="shared" si="77"/>
        <v>56.840000000000011</v>
      </c>
      <c r="BI138" s="333">
        <v>0</v>
      </c>
      <c r="BL138" s="110">
        <f t="shared" si="78"/>
        <v>1.0967873225415627</v>
      </c>
      <c r="BM138" s="110">
        <f t="shared" si="78"/>
        <v>1.1127076627324948</v>
      </c>
      <c r="BN138" s="110">
        <f t="shared" si="78"/>
        <v>2.8314493742615632</v>
      </c>
      <c r="BO138" s="110">
        <f t="shared" si="78"/>
        <v>1.036891829831438</v>
      </c>
    </row>
    <row r="139" spans="1:67" x14ac:dyDescent="0.25">
      <c r="A139" s="260" t="s">
        <v>260</v>
      </c>
      <c r="B139" s="237">
        <v>5</v>
      </c>
      <c r="C139" s="236">
        <f>'побудинковий звіт'!E139</f>
        <v>1226.4799999999998</v>
      </c>
      <c r="D139" s="141">
        <f t="shared" si="85"/>
        <v>409.41973963153998</v>
      </c>
      <c r="E139" s="107">
        <f t="shared" si="79"/>
        <v>84.392455730332514</v>
      </c>
      <c r="F139" s="333">
        <v>73.017305107454305</v>
      </c>
      <c r="G139" s="107">
        <f t="shared" si="80"/>
        <v>0</v>
      </c>
      <c r="H139" s="735">
        <f t="shared" si="86"/>
        <v>342.05983134943051</v>
      </c>
      <c r="I139" s="107">
        <f t="shared" si="87"/>
        <v>116.98572229008569</v>
      </c>
      <c r="J139" s="29"/>
      <c r="K139" s="142">
        <f t="shared" si="88"/>
        <v>1025.875054108843</v>
      </c>
      <c r="L139" s="210">
        <f t="shared" si="89"/>
        <v>85.856523256439289</v>
      </c>
      <c r="M139" s="107">
        <f t="shared" si="81"/>
        <v>18.889974110393997</v>
      </c>
      <c r="N139" s="333">
        <v>0</v>
      </c>
      <c r="O139" s="107"/>
      <c r="P139" s="107">
        <f t="shared" si="90"/>
        <v>71.730952424951639</v>
      </c>
      <c r="Q139" s="107">
        <f t="shared" si="91"/>
        <v>22.714912816163633</v>
      </c>
      <c r="R139" s="107"/>
      <c r="S139" s="143">
        <f t="shared" si="92"/>
        <v>199.19236260794855</v>
      </c>
      <c r="T139" s="905">
        <v>410.26666666666665</v>
      </c>
      <c r="U139" s="107"/>
      <c r="V139" s="151">
        <f t="shared" si="93"/>
        <v>410.26666666666665</v>
      </c>
      <c r="W139" s="246"/>
      <c r="X139" s="107"/>
      <c r="Y139" s="46">
        <f t="shared" si="94"/>
        <v>0</v>
      </c>
      <c r="Z139" s="141">
        <f t="shared" si="95"/>
        <v>0</v>
      </c>
      <c r="AA139" s="107">
        <f t="shared" si="82"/>
        <v>0</v>
      </c>
      <c r="AB139" s="333">
        <v>0</v>
      </c>
      <c r="AC139" s="107"/>
      <c r="AD139" s="107">
        <f t="shared" si="96"/>
        <v>0</v>
      </c>
      <c r="AE139" s="107">
        <f t="shared" si="97"/>
        <v>0</v>
      </c>
      <c r="AF139" s="107"/>
      <c r="AG139" s="142">
        <f t="shared" si="98"/>
        <v>0</v>
      </c>
      <c r="AH139" s="210">
        <f t="shared" si="99"/>
        <v>242.37346522309863</v>
      </c>
      <c r="AI139" s="107">
        <f t="shared" si="83"/>
        <v>48.345191254548958</v>
      </c>
      <c r="AJ139" s="333">
        <v>28.667991029485307</v>
      </c>
      <c r="AK139" s="121">
        <f t="shared" si="84"/>
        <v>0</v>
      </c>
      <c r="AL139" s="418"/>
      <c r="AM139" s="107">
        <f t="shared" si="100"/>
        <v>202.49689649161076</v>
      </c>
      <c r="AN139" s="107">
        <f t="shared" si="101"/>
        <v>67.173110310175119</v>
      </c>
      <c r="AO139" s="107"/>
      <c r="AP139" s="143">
        <f t="shared" si="102"/>
        <v>589.05665430891884</v>
      </c>
      <c r="AQ139" s="34"/>
      <c r="AR139" s="29"/>
      <c r="AS139" s="124"/>
      <c r="AT139" s="138">
        <f t="shared" si="103"/>
        <v>569.72078076536161</v>
      </c>
      <c r="AU139" s="151">
        <f t="shared" si="104"/>
        <v>2794.1115184577388</v>
      </c>
      <c r="AW139" s="1">
        <v>2</v>
      </c>
      <c r="BA139" s="30">
        <v>373.29</v>
      </c>
      <c r="BB139" s="30">
        <v>77.16</v>
      </c>
      <c r="BC139" s="30">
        <v>0</v>
      </c>
      <c r="BD139" s="30">
        <v>233.75</v>
      </c>
      <c r="BF139" s="289">
        <f t="shared" si="77"/>
        <v>492.31999999999994</v>
      </c>
      <c r="BG139" s="1">
        <v>393.95</v>
      </c>
      <c r="BI139" s="333">
        <v>0</v>
      </c>
      <c r="BL139" s="110">
        <f t="shared" si="78"/>
        <v>1.0967873225415627</v>
      </c>
      <c r="BM139" s="110">
        <f t="shared" si="78"/>
        <v>1.1127076627324948</v>
      </c>
      <c r="BN139" s="110">
        <f t="shared" si="78"/>
        <v>2.8314493742615632</v>
      </c>
      <c r="BO139" s="110">
        <f t="shared" si="78"/>
        <v>1.036891829831438</v>
      </c>
    </row>
    <row r="140" spans="1:67" x14ac:dyDescent="0.25">
      <c r="A140" s="260" t="s">
        <v>166</v>
      </c>
      <c r="B140" s="237">
        <v>2</v>
      </c>
      <c r="C140" s="236">
        <f>'побудинковий звіт'!E140</f>
        <v>188.9</v>
      </c>
      <c r="D140" s="141">
        <f t="shared" si="85"/>
        <v>30.359073087950456</v>
      </c>
      <c r="E140" s="107">
        <f t="shared" si="79"/>
        <v>6.257824143737051</v>
      </c>
      <c r="F140" s="333">
        <v>7.1489540133946363</v>
      </c>
      <c r="G140" s="107">
        <f t="shared" si="80"/>
        <v>0</v>
      </c>
      <c r="H140" s="735">
        <f t="shared" si="86"/>
        <v>25.364237273305566</v>
      </c>
      <c r="I140" s="107">
        <f t="shared" si="87"/>
        <v>8.8979296534573358</v>
      </c>
      <c r="J140" s="29"/>
      <c r="K140" s="142">
        <f t="shared" si="88"/>
        <v>78.028018171845048</v>
      </c>
      <c r="L140" s="210">
        <f t="shared" si="89"/>
        <v>10.581849872586025</v>
      </c>
      <c r="M140" s="107">
        <f t="shared" si="81"/>
        <v>2.3281966535749987</v>
      </c>
      <c r="N140" s="333">
        <v>0</v>
      </c>
      <c r="O140" s="107"/>
      <c r="P140" s="107">
        <f t="shared" si="90"/>
        <v>8.840867775548082</v>
      </c>
      <c r="Q140" s="107">
        <f t="shared" si="91"/>
        <v>2.7996218362067928</v>
      </c>
      <c r="R140" s="107"/>
      <c r="S140" s="143">
        <f t="shared" si="92"/>
        <v>24.550536137915898</v>
      </c>
      <c r="T140" s="905">
        <v>38.425000000000004</v>
      </c>
      <c r="U140" s="107"/>
      <c r="V140" s="151">
        <f t="shared" si="93"/>
        <v>38.425000000000004</v>
      </c>
      <c r="W140" s="246"/>
      <c r="X140" s="107"/>
      <c r="Y140" s="46">
        <f t="shared" si="94"/>
        <v>0</v>
      </c>
      <c r="Z140" s="141">
        <f t="shared" si="95"/>
        <v>0</v>
      </c>
      <c r="AA140" s="107">
        <f t="shared" si="82"/>
        <v>0</v>
      </c>
      <c r="AB140" s="333">
        <v>0</v>
      </c>
      <c r="AC140" s="107"/>
      <c r="AD140" s="107">
        <f t="shared" si="96"/>
        <v>0</v>
      </c>
      <c r="AE140" s="107">
        <f t="shared" si="97"/>
        <v>0</v>
      </c>
      <c r="AF140" s="107"/>
      <c r="AG140" s="142">
        <f t="shared" si="98"/>
        <v>0</v>
      </c>
      <c r="AH140" s="210">
        <f t="shared" si="99"/>
        <v>14.796446411694619</v>
      </c>
      <c r="AI140" s="107">
        <f t="shared" si="83"/>
        <v>2.9513834404381329</v>
      </c>
      <c r="AJ140" s="333">
        <v>2.8068161270070977</v>
      </c>
      <c r="AK140" s="121">
        <f t="shared" si="84"/>
        <v>0</v>
      </c>
      <c r="AL140" s="418"/>
      <c r="AM140" s="107">
        <f t="shared" si="100"/>
        <v>12.362056525926354</v>
      </c>
      <c r="AN140" s="107">
        <f t="shared" si="101"/>
        <v>4.2368020870674412</v>
      </c>
      <c r="AO140" s="107"/>
      <c r="AP140" s="143">
        <f t="shared" si="102"/>
        <v>37.153504592133643</v>
      </c>
      <c r="AQ140" s="34"/>
      <c r="AR140" s="29"/>
      <c r="AS140" s="124"/>
      <c r="AT140" s="138">
        <f t="shared" si="103"/>
        <v>87.747256772696517</v>
      </c>
      <c r="AU140" s="151">
        <f t="shared" si="104"/>
        <v>265.90431567459109</v>
      </c>
      <c r="AW140" s="1">
        <v>2</v>
      </c>
      <c r="BA140" s="30">
        <v>27.68</v>
      </c>
      <c r="BB140" s="30">
        <v>9.51</v>
      </c>
      <c r="BC140" s="30">
        <v>0</v>
      </c>
      <c r="BD140" s="30">
        <v>14.27</v>
      </c>
      <c r="BF140" s="289">
        <f t="shared" si="77"/>
        <v>46.110000000000007</v>
      </c>
      <c r="BI140" s="333">
        <v>0</v>
      </c>
      <c r="BL140" s="110">
        <f t="shared" si="78"/>
        <v>1.0967873225415627</v>
      </c>
      <c r="BM140" s="110">
        <f t="shared" si="78"/>
        <v>1.1127076627324948</v>
      </c>
      <c r="BN140" s="110">
        <f t="shared" si="78"/>
        <v>2.8314493742615632</v>
      </c>
      <c r="BO140" s="110">
        <f t="shared" si="78"/>
        <v>1.036891829831438</v>
      </c>
    </row>
    <row r="141" spans="1:67" x14ac:dyDescent="0.25">
      <c r="A141" s="434" t="s">
        <v>99</v>
      </c>
      <c r="B141" s="238">
        <v>1</v>
      </c>
      <c r="C141" s="236">
        <f>'побудинковий звіт'!E141</f>
        <v>428.70000000000005</v>
      </c>
      <c r="D141" s="141">
        <f t="shared" si="85"/>
        <v>0</v>
      </c>
      <c r="E141" s="107">
        <f t="shared" si="79"/>
        <v>0</v>
      </c>
      <c r="F141" s="333">
        <v>0</v>
      </c>
      <c r="G141" s="107">
        <f t="shared" si="80"/>
        <v>0</v>
      </c>
      <c r="H141" s="735">
        <f t="shared" si="86"/>
        <v>0</v>
      </c>
      <c r="I141" s="107">
        <f t="shared" si="87"/>
        <v>0</v>
      </c>
      <c r="J141" s="29"/>
      <c r="K141" s="142">
        <f t="shared" si="88"/>
        <v>0</v>
      </c>
      <c r="L141" s="210">
        <f t="shared" si="89"/>
        <v>0</v>
      </c>
      <c r="M141" s="107">
        <f t="shared" si="81"/>
        <v>0</v>
      </c>
      <c r="N141" s="333">
        <v>0</v>
      </c>
      <c r="O141" s="107"/>
      <c r="P141" s="107">
        <f t="shared" si="90"/>
        <v>0</v>
      </c>
      <c r="Q141" s="107">
        <f t="shared" si="91"/>
        <v>0</v>
      </c>
      <c r="R141" s="107"/>
      <c r="S141" s="143">
        <f t="shared" si="92"/>
        <v>0</v>
      </c>
      <c r="T141" s="905">
        <v>42.433333333333337</v>
      </c>
      <c r="U141" s="107"/>
      <c r="V141" s="151">
        <f t="shared" si="93"/>
        <v>42.433333333333337</v>
      </c>
      <c r="W141" s="246"/>
      <c r="X141" s="107"/>
      <c r="Y141" s="46">
        <f t="shared" si="94"/>
        <v>0</v>
      </c>
      <c r="Z141" s="141">
        <f t="shared" si="95"/>
        <v>0</v>
      </c>
      <c r="AA141" s="107">
        <f t="shared" si="82"/>
        <v>0</v>
      </c>
      <c r="AB141" s="333">
        <v>0</v>
      </c>
      <c r="AC141" s="107"/>
      <c r="AD141" s="107">
        <f t="shared" si="96"/>
        <v>0</v>
      </c>
      <c r="AE141" s="107">
        <f t="shared" si="97"/>
        <v>0</v>
      </c>
      <c r="AF141" s="107"/>
      <c r="AG141" s="142">
        <f t="shared" si="98"/>
        <v>0</v>
      </c>
      <c r="AH141" s="210">
        <f t="shared" si="99"/>
        <v>0</v>
      </c>
      <c r="AI141" s="107">
        <f t="shared" si="83"/>
        <v>0</v>
      </c>
      <c r="AJ141" s="333">
        <v>0</v>
      </c>
      <c r="AK141" s="121">
        <f t="shared" si="84"/>
        <v>0</v>
      </c>
      <c r="AL141" s="107"/>
      <c r="AM141" s="107">
        <f t="shared" si="100"/>
        <v>0</v>
      </c>
      <c r="AN141" s="107">
        <f t="shared" si="101"/>
        <v>0</v>
      </c>
      <c r="AO141" s="107"/>
      <c r="AP141" s="143">
        <f t="shared" si="102"/>
        <v>0</v>
      </c>
      <c r="AQ141" s="34"/>
      <c r="AR141" s="29"/>
      <c r="AS141" s="124"/>
      <c r="AT141" s="138">
        <f t="shared" si="103"/>
        <v>0</v>
      </c>
      <c r="AU141" s="151">
        <f t="shared" si="104"/>
        <v>42.433333333333337</v>
      </c>
      <c r="AW141" s="1">
        <v>2</v>
      </c>
      <c r="BA141" s="30">
        <v>0</v>
      </c>
      <c r="BB141" s="30">
        <v>0</v>
      </c>
      <c r="BC141" s="30">
        <v>0</v>
      </c>
      <c r="BD141" s="30">
        <v>0</v>
      </c>
      <c r="BF141" s="289">
        <f t="shared" si="77"/>
        <v>50.92</v>
      </c>
      <c r="BI141" s="333">
        <v>0</v>
      </c>
      <c r="BL141" s="110">
        <f t="shared" si="78"/>
        <v>1.0967873225415627</v>
      </c>
      <c r="BM141" s="110">
        <f t="shared" si="78"/>
        <v>1.1127076627324948</v>
      </c>
      <c r="BN141" s="110">
        <f t="shared" si="78"/>
        <v>2.8314493742615632</v>
      </c>
      <c r="BO141" s="110">
        <f t="shared" si="78"/>
        <v>1.036891829831438</v>
      </c>
    </row>
    <row r="142" spans="1:67" x14ac:dyDescent="0.25">
      <c r="A142" s="260" t="s">
        <v>261</v>
      </c>
      <c r="B142" s="237">
        <v>5</v>
      </c>
      <c r="C142" s="236">
        <f>'побудинковий звіт'!E142</f>
        <v>4942.8999999999996</v>
      </c>
      <c r="D142" s="141">
        <f t="shared" si="85"/>
        <v>220.49812332375578</v>
      </c>
      <c r="E142" s="107">
        <f t="shared" si="79"/>
        <v>45.450612928356101</v>
      </c>
      <c r="F142" s="333">
        <v>67.800865276519303</v>
      </c>
      <c r="G142" s="107">
        <f t="shared" si="80"/>
        <v>0</v>
      </c>
      <c r="H142" s="735">
        <f t="shared" si="86"/>
        <v>184.22060193010662</v>
      </c>
      <c r="I142" s="107">
        <f t="shared" si="87"/>
        <v>66.669413156283397</v>
      </c>
      <c r="J142" s="29"/>
      <c r="K142" s="142">
        <f t="shared" si="88"/>
        <v>584.63961661502128</v>
      </c>
      <c r="L142" s="210">
        <f t="shared" si="89"/>
        <v>45.220439413448588</v>
      </c>
      <c r="M142" s="107">
        <f t="shared" si="81"/>
        <v>9.9493072556559365</v>
      </c>
      <c r="N142" s="333">
        <v>0</v>
      </c>
      <c r="O142" s="107"/>
      <c r="P142" s="107">
        <f t="shared" si="90"/>
        <v>37.780532744298014</v>
      </c>
      <c r="Q142" s="107">
        <f t="shared" si="91"/>
        <v>11.963893945682868</v>
      </c>
      <c r="R142" s="107"/>
      <c r="S142" s="143">
        <f t="shared" si="92"/>
        <v>104.91417335908541</v>
      </c>
      <c r="T142" s="905">
        <v>337.95000000000005</v>
      </c>
      <c r="U142" s="107"/>
      <c r="V142" s="151">
        <f t="shared" si="93"/>
        <v>337.95000000000005</v>
      </c>
      <c r="W142" s="907">
        <v>99.800000000000011</v>
      </c>
      <c r="X142" s="107"/>
      <c r="Y142" s="46">
        <f t="shared" si="94"/>
        <v>99.800000000000011</v>
      </c>
      <c r="Z142" s="141">
        <f t="shared" si="95"/>
        <v>0</v>
      </c>
      <c r="AA142" s="107">
        <f t="shared" si="82"/>
        <v>0</v>
      </c>
      <c r="AB142" s="333">
        <v>0</v>
      </c>
      <c r="AC142" s="107"/>
      <c r="AD142" s="107">
        <f t="shared" si="96"/>
        <v>0</v>
      </c>
      <c r="AE142" s="107">
        <f t="shared" si="97"/>
        <v>0</v>
      </c>
      <c r="AF142" s="107"/>
      <c r="AG142" s="142">
        <f t="shared" si="98"/>
        <v>0</v>
      </c>
      <c r="AH142" s="210">
        <f t="shared" si="99"/>
        <v>171.66781134689288</v>
      </c>
      <c r="AI142" s="107">
        <f t="shared" si="83"/>
        <v>34.241838990815509</v>
      </c>
      <c r="AJ142" s="333">
        <v>26.619916945416882</v>
      </c>
      <c r="AK142" s="121">
        <f t="shared" si="84"/>
        <v>0</v>
      </c>
      <c r="AL142" s="107"/>
      <c r="AM142" s="107">
        <f t="shared" si="100"/>
        <v>143.42411201348054</v>
      </c>
      <c r="AN142" s="107">
        <f t="shared" si="101"/>
        <v>48.390063762899366</v>
      </c>
      <c r="AO142" s="107"/>
      <c r="AP142" s="143">
        <f t="shared" si="102"/>
        <v>424.34374305950524</v>
      </c>
      <c r="AQ142" s="34"/>
      <c r="AR142" s="29"/>
      <c r="AS142" s="124"/>
      <c r="AT142" s="138">
        <f t="shared" si="103"/>
        <v>2296.0609608351592</v>
      </c>
      <c r="AU142" s="151">
        <f t="shared" si="104"/>
        <v>3847.7084938687713</v>
      </c>
      <c r="AW142" s="1">
        <v>2</v>
      </c>
      <c r="BA142" s="30">
        <v>201.04</v>
      </c>
      <c r="BB142" s="30">
        <v>40.64</v>
      </c>
      <c r="BC142" s="30">
        <v>0</v>
      </c>
      <c r="BD142" s="30">
        <v>165.56</v>
      </c>
      <c r="BF142" s="289">
        <f t="shared" si="77"/>
        <v>405.54</v>
      </c>
      <c r="BI142" s="333">
        <v>0</v>
      </c>
      <c r="BL142" s="110">
        <f t="shared" si="78"/>
        <v>1.0967873225415627</v>
      </c>
      <c r="BM142" s="110">
        <f t="shared" si="78"/>
        <v>1.1127076627324948</v>
      </c>
      <c r="BN142" s="110">
        <f t="shared" si="78"/>
        <v>2.8314493742615632</v>
      </c>
      <c r="BO142" s="110">
        <f t="shared" si="78"/>
        <v>1.036891829831438</v>
      </c>
    </row>
    <row r="143" spans="1:67" x14ac:dyDescent="0.25">
      <c r="A143" s="260" t="s">
        <v>213</v>
      </c>
      <c r="B143" s="237">
        <v>4</v>
      </c>
      <c r="C143" s="236">
        <f>'побудинковий звіт'!E143</f>
        <v>261</v>
      </c>
      <c r="D143" s="141">
        <f t="shared" si="85"/>
        <v>288.81700564486971</v>
      </c>
      <c r="E143" s="107">
        <f t="shared" si="79"/>
        <v>59.532978026382864</v>
      </c>
      <c r="F143" s="333">
        <v>43.112849107598301</v>
      </c>
      <c r="G143" s="107">
        <f t="shared" si="80"/>
        <v>0</v>
      </c>
      <c r="H143" s="735">
        <f t="shared" si="86"/>
        <v>241.29929917556194</v>
      </c>
      <c r="I143" s="107">
        <f t="shared" si="87"/>
        <v>81.444607668981561</v>
      </c>
      <c r="J143" s="29"/>
      <c r="K143" s="142">
        <f t="shared" si="88"/>
        <v>714.20673962339436</v>
      </c>
      <c r="L143" s="210">
        <f t="shared" si="89"/>
        <v>54.611692086910843</v>
      </c>
      <c r="M143" s="107">
        <f t="shared" si="81"/>
        <v>12.015551183749837</v>
      </c>
      <c r="N143" s="333">
        <v>0</v>
      </c>
      <c r="O143" s="107"/>
      <c r="P143" s="107">
        <f t="shared" si="90"/>
        <v>45.626686690210299</v>
      </c>
      <c r="Q143" s="107">
        <f t="shared" si="91"/>
        <v>14.448521526922125</v>
      </c>
      <c r="R143" s="107"/>
      <c r="S143" s="143">
        <f t="shared" si="92"/>
        <v>126.7024514877931</v>
      </c>
      <c r="T143" s="905">
        <v>237.60833333333335</v>
      </c>
      <c r="U143" s="107"/>
      <c r="V143" s="151">
        <f t="shared" si="93"/>
        <v>237.60833333333335</v>
      </c>
      <c r="W143" s="246"/>
      <c r="X143" s="107"/>
      <c r="Y143" s="46">
        <f t="shared" si="94"/>
        <v>0</v>
      </c>
      <c r="Z143" s="141">
        <f t="shared" si="95"/>
        <v>0</v>
      </c>
      <c r="AA143" s="107">
        <f t="shared" si="82"/>
        <v>0</v>
      </c>
      <c r="AB143" s="333">
        <v>0</v>
      </c>
      <c r="AC143" s="107"/>
      <c r="AD143" s="107">
        <f t="shared" si="96"/>
        <v>0</v>
      </c>
      <c r="AE143" s="107">
        <f t="shared" si="97"/>
        <v>0</v>
      </c>
      <c r="AF143" s="107"/>
      <c r="AG143" s="142">
        <f t="shared" si="98"/>
        <v>0</v>
      </c>
      <c r="AH143" s="210">
        <f t="shared" si="99"/>
        <v>126.57338566752364</v>
      </c>
      <c r="AI143" s="107">
        <f t="shared" si="83"/>
        <v>25.24704811312424</v>
      </c>
      <c r="AJ143" s="333">
        <v>22.526929440265025</v>
      </c>
      <c r="AK143" s="121">
        <f t="shared" si="84"/>
        <v>0</v>
      </c>
      <c r="AL143" s="107">
        <v>1850</v>
      </c>
      <c r="AM143" s="107">
        <f t="shared" si="100"/>
        <v>105.7488605549986</v>
      </c>
      <c r="AN143" s="107">
        <f t="shared" si="101"/>
        <v>274.17072305949392</v>
      </c>
      <c r="AO143" s="107"/>
      <c r="AP143" s="143">
        <f t="shared" si="102"/>
        <v>2404.2669468354052</v>
      </c>
      <c r="AQ143" s="34"/>
      <c r="AR143" s="29"/>
      <c r="AS143" s="124"/>
      <c r="AT143" s="138">
        <f t="shared" si="103"/>
        <v>121.23893074469979</v>
      </c>
      <c r="AU143" s="151">
        <f t="shared" si="104"/>
        <v>3604.0234020246257</v>
      </c>
      <c r="AW143" s="1">
        <v>2</v>
      </c>
      <c r="BA143" s="30">
        <v>263.33</v>
      </c>
      <c r="BB143" s="30">
        <v>49.08</v>
      </c>
      <c r="BC143" s="30">
        <v>0</v>
      </c>
      <c r="BD143" s="30">
        <v>122.07</v>
      </c>
      <c r="BF143" s="289">
        <f t="shared" si="77"/>
        <v>285.13</v>
      </c>
      <c r="BI143" s="333">
        <v>0</v>
      </c>
      <c r="BL143" s="110">
        <f t="shared" si="78"/>
        <v>1.0967873225415627</v>
      </c>
      <c r="BM143" s="110">
        <f t="shared" si="78"/>
        <v>1.1127076627324948</v>
      </c>
      <c r="BN143" s="110">
        <f t="shared" si="78"/>
        <v>2.8314493742615632</v>
      </c>
      <c r="BO143" s="110">
        <f t="shared" si="78"/>
        <v>1.036891829831438</v>
      </c>
    </row>
    <row r="144" spans="1:67" x14ac:dyDescent="0.25">
      <c r="A144" s="435" t="s">
        <v>429</v>
      </c>
      <c r="B144" s="239">
        <v>5</v>
      </c>
      <c r="C144" s="236">
        <f>'побудинковий звіт'!E144</f>
        <v>664.88</v>
      </c>
      <c r="D144" s="141">
        <f t="shared" si="85"/>
        <v>233.92280015166452</v>
      </c>
      <c r="E144" s="107">
        <f t="shared" si="79"/>
        <v>48.217801061280291</v>
      </c>
      <c r="F144" s="333">
        <v>59.232655317524134</v>
      </c>
      <c r="G144" s="107">
        <f t="shared" si="80"/>
        <v>0</v>
      </c>
      <c r="H144" s="735">
        <f t="shared" si="86"/>
        <v>195.4365796839094</v>
      </c>
      <c r="I144" s="107">
        <f t="shared" si="87"/>
        <v>69.094315692204091</v>
      </c>
      <c r="J144" s="29"/>
      <c r="K144" s="142">
        <f t="shared" si="88"/>
        <v>605.90415190658246</v>
      </c>
      <c r="L144" s="210">
        <f t="shared" si="89"/>
        <v>48.336020869099571</v>
      </c>
      <c r="M144" s="107">
        <f t="shared" si="81"/>
        <v>10.634791023270026</v>
      </c>
      <c r="N144" s="333">
        <v>0</v>
      </c>
      <c r="O144" s="107"/>
      <c r="P144" s="107">
        <f t="shared" si="90"/>
        <v>40.383522205027205</v>
      </c>
      <c r="Q144" s="107">
        <f t="shared" si="91"/>
        <v>12.788177977373616</v>
      </c>
      <c r="R144" s="107"/>
      <c r="S144" s="143">
        <f t="shared" si="92"/>
        <v>112.14251207477042</v>
      </c>
      <c r="T144" s="905">
        <v>300.07499999999999</v>
      </c>
      <c r="U144" s="107"/>
      <c r="V144" s="151">
        <f t="shared" si="93"/>
        <v>300.07499999999999</v>
      </c>
      <c r="W144" s="907">
        <v>88.658333333333331</v>
      </c>
      <c r="X144" s="107"/>
      <c r="Y144" s="46">
        <f t="shared" si="94"/>
        <v>88.658333333333331</v>
      </c>
      <c r="Z144" s="141">
        <f t="shared" si="95"/>
        <v>0</v>
      </c>
      <c r="AA144" s="107">
        <f t="shared" si="82"/>
        <v>0</v>
      </c>
      <c r="AB144" s="333">
        <v>0</v>
      </c>
      <c r="AC144" s="107"/>
      <c r="AD144" s="107">
        <f t="shared" si="96"/>
        <v>0</v>
      </c>
      <c r="AE144" s="107">
        <f t="shared" si="97"/>
        <v>0</v>
      </c>
      <c r="AF144" s="107"/>
      <c r="AG144" s="142">
        <f t="shared" si="98"/>
        <v>0</v>
      </c>
      <c r="AH144" s="210">
        <f t="shared" si="99"/>
        <v>168.0697966973778</v>
      </c>
      <c r="AI144" s="107">
        <f t="shared" si="83"/>
        <v>33.524158504598248</v>
      </c>
      <c r="AJ144" s="333">
        <v>23.255873779461368</v>
      </c>
      <c r="AK144" s="121">
        <f t="shared" si="84"/>
        <v>0</v>
      </c>
      <c r="AL144" s="418"/>
      <c r="AM144" s="107">
        <f t="shared" si="100"/>
        <v>140.41806182812914</v>
      </c>
      <c r="AN144" s="107">
        <f t="shared" si="101"/>
        <v>47.014665636161695</v>
      </c>
      <c r="AO144" s="107"/>
      <c r="AP144" s="143">
        <f t="shared" si="102"/>
        <v>412.28255644572823</v>
      </c>
      <c r="AQ144" s="34"/>
      <c r="AR144" s="29"/>
      <c r="AS144" s="124"/>
      <c r="AT144" s="138">
        <f t="shared" si="103"/>
        <v>308.84804702504215</v>
      </c>
      <c r="AU144" s="151">
        <f t="shared" si="104"/>
        <v>1827.9106007854566</v>
      </c>
      <c r="AW144" s="1">
        <v>2</v>
      </c>
      <c r="BA144" s="30">
        <v>213.28</v>
      </c>
      <c r="BB144" s="30">
        <v>43.44</v>
      </c>
      <c r="BC144" s="30">
        <v>0</v>
      </c>
      <c r="BD144" s="30">
        <v>162.09</v>
      </c>
      <c r="BF144" s="289">
        <f t="shared" si="77"/>
        <v>360.09</v>
      </c>
      <c r="BI144" s="333">
        <v>0</v>
      </c>
      <c r="BL144" s="110">
        <f t="shared" si="78"/>
        <v>1.0967873225415627</v>
      </c>
      <c r="BM144" s="110">
        <f t="shared" si="78"/>
        <v>1.1127076627324948</v>
      </c>
      <c r="BN144" s="110">
        <f t="shared" si="78"/>
        <v>2.8314493742615632</v>
      </c>
      <c r="BO144" s="110">
        <f t="shared" si="78"/>
        <v>1.036891829831438</v>
      </c>
    </row>
    <row r="145" spans="1:67" x14ac:dyDescent="0.25">
      <c r="A145" s="260" t="s">
        <v>419</v>
      </c>
      <c r="B145" s="237">
        <v>10</v>
      </c>
      <c r="C145" s="236">
        <f>'побудинковий звіт'!E145</f>
        <v>1440.1</v>
      </c>
      <c r="D145" s="141">
        <f t="shared" si="85"/>
        <v>726.49085962839627</v>
      </c>
      <c r="E145" s="107">
        <f t="shared" si="79"/>
        <v>149.74936910676877</v>
      </c>
      <c r="F145" s="333">
        <v>140.23903461749791</v>
      </c>
      <c r="G145" s="107">
        <f t="shared" si="80"/>
        <v>0</v>
      </c>
      <c r="H145" s="735">
        <f t="shared" si="86"/>
        <v>606.96472804421751</v>
      </c>
      <c r="I145" s="107">
        <f t="shared" si="87"/>
        <v>208.95807804347277</v>
      </c>
      <c r="J145" s="29"/>
      <c r="K145" s="142">
        <f t="shared" si="88"/>
        <v>1832.4020694403532</v>
      </c>
      <c r="L145" s="210">
        <f t="shared" si="89"/>
        <v>122.22860384414543</v>
      </c>
      <c r="M145" s="107">
        <f t="shared" si="81"/>
        <v>26.892483815926504</v>
      </c>
      <c r="N145" s="333">
        <v>0</v>
      </c>
      <c r="O145" s="107"/>
      <c r="P145" s="107">
        <f t="shared" si="90"/>
        <v>102.11890529418896</v>
      </c>
      <c r="Q145" s="107">
        <f t="shared" si="91"/>
        <v>32.337811672952107</v>
      </c>
      <c r="R145" s="107"/>
      <c r="S145" s="143">
        <f t="shared" si="92"/>
        <v>283.57780462721303</v>
      </c>
      <c r="T145" s="905">
        <v>866.76666666666665</v>
      </c>
      <c r="U145" s="107"/>
      <c r="V145" s="151">
        <f t="shared" si="93"/>
        <v>866.76666666666665</v>
      </c>
      <c r="W145" s="907">
        <v>182.10833333333335</v>
      </c>
      <c r="X145" s="107"/>
      <c r="Y145" s="46">
        <f t="shared" si="94"/>
        <v>182.10833333333335</v>
      </c>
      <c r="Z145" s="141">
        <f t="shared" si="95"/>
        <v>15.107746292165888</v>
      </c>
      <c r="AA145" s="107">
        <f t="shared" si="82"/>
        <v>3.32080222219827</v>
      </c>
      <c r="AB145" s="333">
        <v>0</v>
      </c>
      <c r="AC145" s="107"/>
      <c r="AD145" s="107">
        <f t="shared" si="96"/>
        <v>12.622139698049248</v>
      </c>
      <c r="AE145" s="107">
        <f t="shared" si="97"/>
        <v>3.9966220979451328</v>
      </c>
      <c r="AF145" s="107"/>
      <c r="AG145" s="142">
        <f t="shared" si="98"/>
        <v>35.04731031035854</v>
      </c>
      <c r="AH145" s="210">
        <f t="shared" si="99"/>
        <v>275.11865976971046</v>
      </c>
      <c r="AI145" s="107">
        <f t="shared" si="83"/>
        <v>54.876734183830358</v>
      </c>
      <c r="AJ145" s="333">
        <v>60.053964708863106</v>
      </c>
      <c r="AK145" s="121">
        <f t="shared" si="84"/>
        <v>0</v>
      </c>
      <c r="AL145" s="107"/>
      <c r="AM145" s="107">
        <f t="shared" si="100"/>
        <v>229.85467785847541</v>
      </c>
      <c r="AN145" s="107">
        <f t="shared" si="101"/>
        <v>79.7896057574103</v>
      </c>
      <c r="AO145" s="107"/>
      <c r="AP145" s="143">
        <f t="shared" si="102"/>
        <v>699.69364227828964</v>
      </c>
      <c r="AQ145" s="34"/>
      <c r="AR145" s="29"/>
      <c r="AS145" s="124"/>
      <c r="AT145" s="138">
        <f t="shared" si="103"/>
        <v>668.95089718560212</v>
      </c>
      <c r="AU145" s="151">
        <f t="shared" si="104"/>
        <v>4568.5467238418169</v>
      </c>
      <c r="AW145" s="1">
        <v>1</v>
      </c>
      <c r="BA145" s="30">
        <v>845.73</v>
      </c>
      <c r="BB145" s="30">
        <v>132.56</v>
      </c>
      <c r="BC145" s="30">
        <v>42.26</v>
      </c>
      <c r="BD145" s="30">
        <v>331.58</v>
      </c>
      <c r="BF145" s="289">
        <f t="shared" si="77"/>
        <v>1040.1199999999999</v>
      </c>
      <c r="BI145" s="333">
        <v>0</v>
      </c>
      <c r="BL145" s="110">
        <f>$BA$397</f>
        <v>0.85901039294857251</v>
      </c>
      <c r="BM145" s="110">
        <f>$BB$397</f>
        <v>0.92206249128051765</v>
      </c>
      <c r="BN145" s="110">
        <f>$BC$397</f>
        <v>0.35749517965371247</v>
      </c>
      <c r="BO145" s="110">
        <f>$BD$397</f>
        <v>0.82972030812989472</v>
      </c>
    </row>
    <row r="146" spans="1:67" x14ac:dyDescent="0.25">
      <c r="A146" s="434" t="s">
        <v>100</v>
      </c>
      <c r="B146" s="238">
        <v>1</v>
      </c>
      <c r="C146" s="236">
        <f>'побудинковий звіт'!E146</f>
        <v>4024.2</v>
      </c>
      <c r="D146" s="141">
        <f t="shared" si="85"/>
        <v>0</v>
      </c>
      <c r="E146" s="107">
        <f t="shared" si="79"/>
        <v>0</v>
      </c>
      <c r="F146" s="333">
        <v>0</v>
      </c>
      <c r="G146" s="107">
        <f t="shared" si="80"/>
        <v>0</v>
      </c>
      <c r="H146" s="735">
        <f t="shared" si="86"/>
        <v>0</v>
      </c>
      <c r="I146" s="107">
        <f t="shared" si="87"/>
        <v>0</v>
      </c>
      <c r="J146" s="29"/>
      <c r="K146" s="142">
        <f t="shared" si="88"/>
        <v>0</v>
      </c>
      <c r="L146" s="210">
        <f t="shared" si="89"/>
        <v>0</v>
      </c>
      <c r="M146" s="107">
        <f t="shared" si="81"/>
        <v>0</v>
      </c>
      <c r="N146" s="333">
        <v>0</v>
      </c>
      <c r="O146" s="107"/>
      <c r="P146" s="107">
        <f t="shared" si="90"/>
        <v>0</v>
      </c>
      <c r="Q146" s="107">
        <f t="shared" si="91"/>
        <v>0</v>
      </c>
      <c r="R146" s="107"/>
      <c r="S146" s="143">
        <f t="shared" si="92"/>
        <v>0</v>
      </c>
      <c r="T146" s="245"/>
      <c r="U146" s="107"/>
      <c r="V146" s="151">
        <f t="shared" si="93"/>
        <v>0</v>
      </c>
      <c r="W146" s="246"/>
      <c r="X146" s="107"/>
      <c r="Y146" s="46">
        <f t="shared" si="94"/>
        <v>0</v>
      </c>
      <c r="Z146" s="141">
        <f t="shared" si="95"/>
        <v>0</v>
      </c>
      <c r="AA146" s="107">
        <f t="shared" si="82"/>
        <v>0</v>
      </c>
      <c r="AB146" s="333">
        <v>0</v>
      </c>
      <c r="AC146" s="107"/>
      <c r="AD146" s="107">
        <f t="shared" si="96"/>
        <v>0</v>
      </c>
      <c r="AE146" s="107">
        <f t="shared" si="97"/>
        <v>0</v>
      </c>
      <c r="AF146" s="107"/>
      <c r="AG146" s="142">
        <f t="shared" si="98"/>
        <v>0</v>
      </c>
      <c r="AH146" s="210">
        <f t="shared" si="99"/>
        <v>0</v>
      </c>
      <c r="AI146" s="107">
        <f t="shared" si="83"/>
        <v>0</v>
      </c>
      <c r="AJ146" s="333">
        <v>0</v>
      </c>
      <c r="AK146" s="121">
        <f t="shared" si="84"/>
        <v>0</v>
      </c>
      <c r="AL146" s="107"/>
      <c r="AM146" s="107">
        <f t="shared" si="100"/>
        <v>0</v>
      </c>
      <c r="AN146" s="107">
        <f t="shared" si="101"/>
        <v>0</v>
      </c>
      <c r="AO146" s="107"/>
      <c r="AP146" s="143">
        <f t="shared" si="102"/>
        <v>0</v>
      </c>
      <c r="AQ146" s="34"/>
      <c r="AR146" s="29"/>
      <c r="AS146" s="124"/>
      <c r="AT146" s="138">
        <f t="shared" si="103"/>
        <v>0</v>
      </c>
      <c r="AU146" s="151">
        <f t="shared" si="104"/>
        <v>0</v>
      </c>
      <c r="AW146" s="1">
        <v>2</v>
      </c>
      <c r="BA146" s="30">
        <v>0</v>
      </c>
      <c r="BB146" s="30">
        <v>0</v>
      </c>
      <c r="BC146" s="30">
        <v>0</v>
      </c>
      <c r="BD146" s="30">
        <v>0</v>
      </c>
      <c r="BI146" s="333">
        <v>0</v>
      </c>
      <c r="BL146" s="110">
        <f>BA$398</f>
        <v>1.0967873225415627</v>
      </c>
      <c r="BM146" s="110">
        <f>BB$398</f>
        <v>1.1127076627324948</v>
      </c>
      <c r="BN146" s="110">
        <f>BC$398</f>
        <v>2.8314493742615632</v>
      </c>
      <c r="BO146" s="110">
        <f>BD$398</f>
        <v>1.036891829831438</v>
      </c>
    </row>
    <row r="147" spans="1:67" x14ac:dyDescent="0.25">
      <c r="A147" s="260" t="s">
        <v>363</v>
      </c>
      <c r="B147" s="237">
        <v>9</v>
      </c>
      <c r="C147" s="236">
        <f>'побудинковий звіт'!E147</f>
        <v>1399.9</v>
      </c>
      <c r="D147" s="141">
        <f t="shared" si="85"/>
        <v>852.60217541717611</v>
      </c>
      <c r="E147" s="107">
        <f t="shared" si="79"/>
        <v>175.74431415845748</v>
      </c>
      <c r="F147" s="333">
        <v>234.67772667248494</v>
      </c>
      <c r="G147" s="107">
        <f t="shared" si="80"/>
        <v>0</v>
      </c>
      <c r="H147" s="735">
        <f t="shared" si="86"/>
        <v>712.32754090904609</v>
      </c>
      <c r="I147" s="107">
        <f t="shared" si="87"/>
        <v>254.2531241131372</v>
      </c>
      <c r="J147" s="29"/>
      <c r="K147" s="142">
        <f t="shared" si="88"/>
        <v>2229.604881270302</v>
      </c>
      <c r="L147" s="210">
        <f t="shared" si="89"/>
        <v>261.00822940677614</v>
      </c>
      <c r="M147" s="107">
        <f t="shared" si="81"/>
        <v>57.426489090029534</v>
      </c>
      <c r="N147" s="333">
        <v>0</v>
      </c>
      <c r="O147" s="107"/>
      <c r="P147" s="107">
        <f t="shared" si="90"/>
        <v>218.06577038040186</v>
      </c>
      <c r="Q147" s="107">
        <f t="shared" si="91"/>
        <v>69.054498719542494</v>
      </c>
      <c r="R147" s="107"/>
      <c r="S147" s="143">
        <f t="shared" si="92"/>
        <v>605.55498759675004</v>
      </c>
      <c r="T147" s="905">
        <v>1448.6083333333333</v>
      </c>
      <c r="U147" s="107"/>
      <c r="V147" s="151">
        <f t="shared" si="93"/>
        <v>1448.6083333333333</v>
      </c>
      <c r="W147" s="907">
        <v>315.47500000000002</v>
      </c>
      <c r="X147" s="107"/>
      <c r="Y147" s="46">
        <f t="shared" si="94"/>
        <v>315.47500000000002</v>
      </c>
      <c r="Z147" s="141">
        <f t="shared" si="95"/>
        <v>41.784036597925912</v>
      </c>
      <c r="AA147" s="107">
        <f t="shared" si="82"/>
        <v>9.1844619907840475</v>
      </c>
      <c r="AB147" s="333">
        <v>0</v>
      </c>
      <c r="AC147" s="107"/>
      <c r="AD147" s="107">
        <f t="shared" si="96"/>
        <v>34.909505156365263</v>
      </c>
      <c r="AE147" s="107">
        <f t="shared" si="97"/>
        <v>11.053601296919716</v>
      </c>
      <c r="AF147" s="107"/>
      <c r="AG147" s="142">
        <f t="shared" si="98"/>
        <v>96.931605041994942</v>
      </c>
      <c r="AH147" s="210">
        <f t="shared" si="99"/>
        <v>551.57316923551014</v>
      </c>
      <c r="AI147" s="107">
        <f t="shared" si="83"/>
        <v>110.01992455330513</v>
      </c>
      <c r="AJ147" s="333">
        <v>100.49504372292063</v>
      </c>
      <c r="AK147" s="121">
        <f t="shared" si="84"/>
        <v>0</v>
      </c>
      <c r="AL147" s="107"/>
      <c r="AM147" s="107">
        <f t="shared" si="100"/>
        <v>460.82542433192208</v>
      </c>
      <c r="AN147" s="107">
        <f t="shared" si="101"/>
        <v>157.404671088328</v>
      </c>
      <c r="AO147" s="107"/>
      <c r="AP147" s="143">
        <f t="shared" si="102"/>
        <v>1380.3182329319861</v>
      </c>
      <c r="AQ147" s="34"/>
      <c r="AR147" s="29"/>
      <c r="AS147" s="124"/>
      <c r="AT147" s="138">
        <f t="shared" si="103"/>
        <v>650.27731474906227</v>
      </c>
      <c r="AU147" s="151">
        <f t="shared" si="104"/>
        <v>6726.7703549234293</v>
      </c>
      <c r="AW147" s="1">
        <v>1</v>
      </c>
      <c r="BA147" s="30">
        <v>992.54</v>
      </c>
      <c r="BB147" s="30">
        <v>283.07</v>
      </c>
      <c r="BC147" s="30">
        <v>116.88</v>
      </c>
      <c r="BD147" s="30">
        <v>664.77</v>
      </c>
      <c r="BF147" s="289">
        <f t="shared" ref="BF147:BF154" si="105">T147*1.2</f>
        <v>1738.33</v>
      </c>
      <c r="BI147" s="333">
        <v>0</v>
      </c>
      <c r="BL147" s="110">
        <f t="shared" ref="BL147:BL161" si="106">$BA$397</f>
        <v>0.85901039294857251</v>
      </c>
      <c r="BM147" s="110">
        <f t="shared" ref="BM147:BM161" si="107">$BB$397</f>
        <v>0.92206249128051765</v>
      </c>
      <c r="BN147" s="110">
        <f t="shared" ref="BN147:BN161" si="108">$BC$397</f>
        <v>0.35749517965371247</v>
      </c>
      <c r="BO147" s="110">
        <f t="shared" ref="BO147:BO161" si="109">$BD$397</f>
        <v>0.82972030812989472</v>
      </c>
    </row>
    <row r="148" spans="1:67" x14ac:dyDescent="0.25">
      <c r="A148" s="260" t="s">
        <v>262</v>
      </c>
      <c r="B148" s="237">
        <v>5</v>
      </c>
      <c r="C148" s="236">
        <f>'побудинковий звіт'!E148</f>
        <v>618.69999999999993</v>
      </c>
      <c r="D148" s="141">
        <f t="shared" si="85"/>
        <v>303.49696193266016</v>
      </c>
      <c r="E148" s="107">
        <f t="shared" si="79"/>
        <v>62.558913127253938</v>
      </c>
      <c r="F148" s="333">
        <v>57.754899737662726</v>
      </c>
      <c r="G148" s="107">
        <f t="shared" si="80"/>
        <v>0</v>
      </c>
      <c r="H148" s="735">
        <f t="shared" si="86"/>
        <v>253.56403115096128</v>
      </c>
      <c r="I148" s="107">
        <f t="shared" si="87"/>
        <v>87.18683140050139</v>
      </c>
      <c r="J148" s="29"/>
      <c r="K148" s="142">
        <f t="shared" si="88"/>
        <v>764.56163734903953</v>
      </c>
      <c r="L148" s="210">
        <f t="shared" si="89"/>
        <v>62.580381283208737</v>
      </c>
      <c r="M148" s="107">
        <f t="shared" si="81"/>
        <v>13.76880564715549</v>
      </c>
      <c r="N148" s="333">
        <v>0</v>
      </c>
      <c r="O148" s="107"/>
      <c r="P148" s="107">
        <f t="shared" si="90"/>
        <v>52.284324851513318</v>
      </c>
      <c r="Q148" s="107">
        <f t="shared" si="91"/>
        <v>16.556783933639554</v>
      </c>
      <c r="R148" s="107"/>
      <c r="S148" s="143">
        <f t="shared" si="92"/>
        <v>145.1902957155171</v>
      </c>
      <c r="T148" s="905">
        <v>368.62500000000006</v>
      </c>
      <c r="U148" s="107"/>
      <c r="V148" s="151">
        <f t="shared" si="93"/>
        <v>368.62500000000006</v>
      </c>
      <c r="W148" s="907">
        <v>77.858333333333348</v>
      </c>
      <c r="X148" s="107"/>
      <c r="Y148" s="46">
        <f t="shared" si="94"/>
        <v>77.858333333333348</v>
      </c>
      <c r="Z148" s="141">
        <f t="shared" si="95"/>
        <v>8.572734408096025</v>
      </c>
      <c r="AA148" s="107">
        <f t="shared" si="82"/>
        <v>1.8843548814082944</v>
      </c>
      <c r="AB148" s="333">
        <v>0</v>
      </c>
      <c r="AC148" s="107"/>
      <c r="AD148" s="107">
        <f t="shared" si="96"/>
        <v>7.1623026492953379</v>
      </c>
      <c r="AE148" s="107">
        <f t="shared" si="97"/>
        <v>2.2678418814179908</v>
      </c>
      <c r="AF148" s="107"/>
      <c r="AG148" s="142">
        <f t="shared" si="98"/>
        <v>19.887233820217649</v>
      </c>
      <c r="AH148" s="210">
        <f t="shared" si="99"/>
        <v>185.09400633761692</v>
      </c>
      <c r="AI148" s="107">
        <f t="shared" si="83"/>
        <v>36.919904281708419</v>
      </c>
      <c r="AJ148" s="333">
        <v>24.732134815885018</v>
      </c>
      <c r="AK148" s="121">
        <f t="shared" si="84"/>
        <v>0</v>
      </c>
      <c r="AL148" s="107"/>
      <c r="AM148" s="107">
        <f t="shared" si="100"/>
        <v>154.6413581538956</v>
      </c>
      <c r="AN148" s="107">
        <f t="shared" si="101"/>
        <v>51.663710512532845</v>
      </c>
      <c r="AO148" s="107"/>
      <c r="AP148" s="143">
        <f t="shared" si="102"/>
        <v>453.05111410163875</v>
      </c>
      <c r="AQ148" s="34"/>
      <c r="AR148" s="29"/>
      <c r="AS148" s="124"/>
      <c r="AT148" s="138">
        <f t="shared" si="103"/>
        <v>287.39665307182281</v>
      </c>
      <c r="AU148" s="151">
        <f t="shared" si="104"/>
        <v>2116.5702673915694</v>
      </c>
      <c r="AW148" s="1">
        <v>1</v>
      </c>
      <c r="BA148" s="30">
        <v>353.31</v>
      </c>
      <c r="BB148" s="30">
        <v>67.87</v>
      </c>
      <c r="BC148" s="30">
        <v>23.98</v>
      </c>
      <c r="BD148" s="30">
        <v>223.08</v>
      </c>
      <c r="BF148" s="289">
        <f t="shared" si="105"/>
        <v>442.35000000000008</v>
      </c>
      <c r="BI148" s="333">
        <v>0</v>
      </c>
      <c r="BL148" s="110">
        <f t="shared" si="106"/>
        <v>0.85901039294857251</v>
      </c>
      <c r="BM148" s="110">
        <f t="shared" si="107"/>
        <v>0.92206249128051765</v>
      </c>
      <c r="BN148" s="110">
        <f t="shared" si="108"/>
        <v>0.35749517965371247</v>
      </c>
      <c r="BO148" s="110">
        <f t="shared" si="109"/>
        <v>0.82972030812989472</v>
      </c>
    </row>
    <row r="149" spans="1:67" x14ac:dyDescent="0.25">
      <c r="A149" s="260" t="s">
        <v>364</v>
      </c>
      <c r="B149" s="237">
        <v>9</v>
      </c>
      <c r="C149" s="236">
        <f>'побудинковий звіт'!E149</f>
        <v>422.9</v>
      </c>
      <c r="D149" s="141">
        <f t="shared" si="85"/>
        <v>284.43552131313135</v>
      </c>
      <c r="E149" s="107">
        <f t="shared" si="79"/>
        <v>58.62983587981185</v>
      </c>
      <c r="F149" s="333">
        <v>76.409608767531751</v>
      </c>
      <c r="G149" s="107">
        <f t="shared" si="80"/>
        <v>0</v>
      </c>
      <c r="H149" s="735">
        <f t="shared" si="86"/>
        <v>237.63867989784129</v>
      </c>
      <c r="I149" s="107">
        <f t="shared" si="87"/>
        <v>84.578960051800905</v>
      </c>
      <c r="J149" s="29"/>
      <c r="K149" s="142">
        <f t="shared" si="88"/>
        <v>741.69260591011709</v>
      </c>
      <c r="L149" s="210">
        <f t="shared" si="89"/>
        <v>70.095190587144941</v>
      </c>
      <c r="M149" s="107">
        <f t="shared" si="81"/>
        <v>15.422198398360987</v>
      </c>
      <c r="N149" s="333">
        <v>0</v>
      </c>
      <c r="O149" s="107"/>
      <c r="P149" s="107">
        <f t="shared" si="90"/>
        <v>58.562757849006061</v>
      </c>
      <c r="Q149" s="107">
        <f t="shared" si="91"/>
        <v>18.544964117213478</v>
      </c>
      <c r="R149" s="107"/>
      <c r="S149" s="143">
        <f t="shared" si="92"/>
        <v>162.62511095172547</v>
      </c>
      <c r="T149" s="905">
        <v>447.11666666666667</v>
      </c>
      <c r="U149" s="107"/>
      <c r="V149" s="151">
        <f t="shared" si="93"/>
        <v>447.11666666666667</v>
      </c>
      <c r="W149" s="907">
        <v>95.283333333333346</v>
      </c>
      <c r="X149" s="107"/>
      <c r="Y149" s="46">
        <f t="shared" si="94"/>
        <v>95.283333333333346</v>
      </c>
      <c r="Z149" s="141">
        <f t="shared" si="95"/>
        <v>8.7836565640917161</v>
      </c>
      <c r="AA149" s="107">
        <f t="shared" si="82"/>
        <v>1.9307172408758047</v>
      </c>
      <c r="AB149" s="333">
        <v>0</v>
      </c>
      <c r="AC149" s="107"/>
      <c r="AD149" s="107">
        <f t="shared" si="96"/>
        <v>7.338522772860153</v>
      </c>
      <c r="AE149" s="107">
        <f t="shared" si="97"/>
        <v>2.3236394923452894</v>
      </c>
      <c r="AF149" s="107"/>
      <c r="AG149" s="142">
        <f t="shared" si="98"/>
        <v>20.376536070172964</v>
      </c>
      <c r="AH149" s="210">
        <f t="shared" si="99"/>
        <v>163.91954407414201</v>
      </c>
      <c r="AI149" s="107">
        <f t="shared" si="83"/>
        <v>32.696325488140204</v>
      </c>
      <c r="AJ149" s="333">
        <v>32.72056143896792</v>
      </c>
      <c r="AK149" s="121">
        <f t="shared" si="84"/>
        <v>0</v>
      </c>
      <c r="AL149" s="107">
        <v>2200</v>
      </c>
      <c r="AM149" s="107">
        <f t="shared" si="100"/>
        <v>136.95063079112253</v>
      </c>
      <c r="AN149" s="107">
        <f t="shared" si="101"/>
        <v>330.31408227305445</v>
      </c>
      <c r="AO149" s="107"/>
      <c r="AP149" s="143">
        <f t="shared" si="102"/>
        <v>2896.601144065427</v>
      </c>
      <c r="AQ149" s="34"/>
      <c r="AR149" s="29"/>
      <c r="AS149" s="124"/>
      <c r="AT149" s="138">
        <f t="shared" si="103"/>
        <v>196.44422916449631</v>
      </c>
      <c r="AU149" s="151">
        <f t="shared" si="104"/>
        <v>4560.1396261619384</v>
      </c>
      <c r="AW149" s="1">
        <v>1</v>
      </c>
      <c r="BA149" s="30">
        <v>331.12</v>
      </c>
      <c r="BB149" s="30">
        <v>76.02</v>
      </c>
      <c r="BC149" s="30">
        <v>24.57</v>
      </c>
      <c r="BD149" s="30">
        <v>197.56</v>
      </c>
      <c r="BF149" s="289">
        <f t="shared" si="105"/>
        <v>536.54</v>
      </c>
      <c r="BI149" s="333">
        <v>8.51</v>
      </c>
      <c r="BL149" s="110">
        <f t="shared" si="106"/>
        <v>0.85901039294857251</v>
      </c>
      <c r="BM149" s="110">
        <f t="shared" si="107"/>
        <v>0.92206249128051765</v>
      </c>
      <c r="BN149" s="110">
        <f t="shared" si="108"/>
        <v>0.35749517965371247</v>
      </c>
      <c r="BO149" s="110">
        <f t="shared" si="109"/>
        <v>0.82972030812989472</v>
      </c>
    </row>
    <row r="150" spans="1:67" x14ac:dyDescent="0.25">
      <c r="A150" s="260" t="s">
        <v>365</v>
      </c>
      <c r="B150" s="237">
        <v>9</v>
      </c>
      <c r="C150" s="236">
        <f>'побудинковий звіт'!E150</f>
        <v>2612.75</v>
      </c>
      <c r="D150" s="141">
        <f t="shared" si="85"/>
        <v>284.41834110527236</v>
      </c>
      <c r="E150" s="107">
        <f t="shared" si="79"/>
        <v>58.62629457539775</v>
      </c>
      <c r="F150" s="333">
        <v>76.336267925966411</v>
      </c>
      <c r="G150" s="107">
        <f t="shared" si="80"/>
        <v>0</v>
      </c>
      <c r="H150" s="735">
        <f t="shared" si="86"/>
        <v>237.62432626895156</v>
      </c>
      <c r="I150" s="107">
        <f t="shared" si="87"/>
        <v>84.565005523341597</v>
      </c>
      <c r="J150" s="29"/>
      <c r="K150" s="142">
        <f t="shared" si="88"/>
        <v>741.57023539892975</v>
      </c>
      <c r="L150" s="210">
        <f t="shared" si="89"/>
        <v>70.095190587144941</v>
      </c>
      <c r="M150" s="107">
        <f t="shared" si="81"/>
        <v>15.422198398360987</v>
      </c>
      <c r="N150" s="333">
        <v>0</v>
      </c>
      <c r="O150" s="107"/>
      <c r="P150" s="107">
        <f t="shared" si="90"/>
        <v>58.562757849006061</v>
      </c>
      <c r="Q150" s="107">
        <f t="shared" si="91"/>
        <v>18.544964117213478</v>
      </c>
      <c r="R150" s="107"/>
      <c r="S150" s="143">
        <f t="shared" si="92"/>
        <v>162.62511095172547</v>
      </c>
      <c r="T150" s="905">
        <v>399.17500000000001</v>
      </c>
      <c r="U150" s="107"/>
      <c r="V150" s="151">
        <f t="shared" si="93"/>
        <v>399.17500000000001</v>
      </c>
      <c r="W150" s="907">
        <v>98.13333333333334</v>
      </c>
      <c r="X150" s="107"/>
      <c r="Y150" s="46">
        <f t="shared" si="94"/>
        <v>98.13333333333334</v>
      </c>
      <c r="Z150" s="141">
        <f t="shared" si="95"/>
        <v>8.7836565640917161</v>
      </c>
      <c r="AA150" s="107">
        <f t="shared" si="82"/>
        <v>1.9307172408758047</v>
      </c>
      <c r="AB150" s="333">
        <v>0</v>
      </c>
      <c r="AC150" s="107"/>
      <c r="AD150" s="107">
        <f t="shared" si="96"/>
        <v>7.338522772860153</v>
      </c>
      <c r="AE150" s="107">
        <f t="shared" si="97"/>
        <v>2.3236394923452894</v>
      </c>
      <c r="AF150" s="107"/>
      <c r="AG150" s="142">
        <f t="shared" si="98"/>
        <v>20.376536070172964</v>
      </c>
      <c r="AH150" s="210">
        <f t="shared" si="99"/>
        <v>177.66800957985436</v>
      </c>
      <c r="AI150" s="107">
        <f t="shared" si="83"/>
        <v>35.438672690703889</v>
      </c>
      <c r="AJ150" s="333">
        <v>32.689155002642281</v>
      </c>
      <c r="AK150" s="121">
        <f t="shared" si="84"/>
        <v>0</v>
      </c>
      <c r="AL150" s="418">
        <v>2200</v>
      </c>
      <c r="AM150" s="107">
        <f t="shared" si="100"/>
        <v>148.43712579116757</v>
      </c>
      <c r="AN150" s="107">
        <f t="shared" si="101"/>
        <v>333.91107844288484</v>
      </c>
      <c r="AO150" s="107"/>
      <c r="AP150" s="143">
        <f t="shared" si="102"/>
        <v>2928.144041507253</v>
      </c>
      <c r="AQ150" s="34"/>
      <c r="AR150" s="29"/>
      <c r="AS150" s="124"/>
      <c r="AT150" s="138">
        <f t="shared" si="103"/>
        <v>1213.6667291310896</v>
      </c>
      <c r="AU150" s="151">
        <f t="shared" si="104"/>
        <v>5563.6909863925039</v>
      </c>
      <c r="AW150" s="1">
        <v>1</v>
      </c>
      <c r="BA150" s="30">
        <v>331.1</v>
      </c>
      <c r="BB150" s="30">
        <v>76.02</v>
      </c>
      <c r="BC150" s="30">
        <v>24.57</v>
      </c>
      <c r="BD150" s="30">
        <v>214.13</v>
      </c>
      <c r="BF150" s="289">
        <f t="shared" si="105"/>
        <v>479.01</v>
      </c>
      <c r="BI150" s="333">
        <v>8.51</v>
      </c>
      <c r="BL150" s="110">
        <f t="shared" si="106"/>
        <v>0.85901039294857251</v>
      </c>
      <c r="BM150" s="110">
        <f t="shared" si="107"/>
        <v>0.92206249128051765</v>
      </c>
      <c r="BN150" s="110">
        <f t="shared" si="108"/>
        <v>0.35749517965371247</v>
      </c>
      <c r="BO150" s="110">
        <f t="shared" si="109"/>
        <v>0.82972030812989472</v>
      </c>
    </row>
    <row r="151" spans="1:67" x14ac:dyDescent="0.25">
      <c r="A151" s="260" t="s">
        <v>366</v>
      </c>
      <c r="B151" s="237">
        <v>9</v>
      </c>
      <c r="C151" s="236">
        <f>'побудинковий звіт'!E151</f>
        <v>829.3</v>
      </c>
      <c r="D151" s="141">
        <f t="shared" si="85"/>
        <v>450.22452715220584</v>
      </c>
      <c r="E151" s="107">
        <f t="shared" si="79"/>
        <v>92.803423475860669</v>
      </c>
      <c r="F151" s="333">
        <v>86.957521017301772</v>
      </c>
      <c r="G151" s="107">
        <f t="shared" si="80"/>
        <v>0</v>
      </c>
      <c r="H151" s="735">
        <f t="shared" si="86"/>
        <v>376.15119868342765</v>
      </c>
      <c r="I151" s="107">
        <f t="shared" si="87"/>
        <v>129.50270289279558</v>
      </c>
      <c r="J151" s="29"/>
      <c r="K151" s="142">
        <f t="shared" si="88"/>
        <v>1135.6393732215915</v>
      </c>
      <c r="L151" s="210">
        <f t="shared" si="89"/>
        <v>76.199244279421976</v>
      </c>
      <c r="M151" s="107">
        <f t="shared" si="81"/>
        <v>16.765199626947542</v>
      </c>
      <c r="N151" s="333">
        <v>0</v>
      </c>
      <c r="O151" s="107"/>
      <c r="P151" s="107">
        <f t="shared" si="90"/>
        <v>63.66254023469957</v>
      </c>
      <c r="Q151" s="107">
        <f t="shared" si="91"/>
        <v>20.159903112950829</v>
      </c>
      <c r="R151" s="107"/>
      <c r="S151" s="143">
        <f t="shared" si="92"/>
        <v>176.78688725401992</v>
      </c>
      <c r="T151" s="905">
        <v>505.23333333333335</v>
      </c>
      <c r="U151" s="107"/>
      <c r="V151" s="151">
        <f t="shared" si="93"/>
        <v>505.23333333333335</v>
      </c>
      <c r="W151" s="907">
        <v>116.71666666666667</v>
      </c>
      <c r="X151" s="107"/>
      <c r="Y151" s="46">
        <f t="shared" si="94"/>
        <v>116.71666666666667</v>
      </c>
      <c r="Z151" s="141">
        <f t="shared" si="95"/>
        <v>9.4271478874683989</v>
      </c>
      <c r="AA151" s="107">
        <f t="shared" si="82"/>
        <v>2.0721617273868529</v>
      </c>
      <c r="AB151" s="333">
        <v>0</v>
      </c>
      <c r="AC151" s="107"/>
      <c r="AD151" s="107">
        <f t="shared" si="96"/>
        <v>7.8761434888206034</v>
      </c>
      <c r="AE151" s="107">
        <f t="shared" si="97"/>
        <v>2.4938694917845048</v>
      </c>
      <c r="AF151" s="107"/>
      <c r="AG151" s="142">
        <f t="shared" si="98"/>
        <v>21.869322595460361</v>
      </c>
      <c r="AH151" s="210">
        <f t="shared" si="99"/>
        <v>162.28499506712612</v>
      </c>
      <c r="AI151" s="107">
        <f t="shared" si="83"/>
        <v>32.370289037382783</v>
      </c>
      <c r="AJ151" s="333">
        <v>37.237448992619385</v>
      </c>
      <c r="AK151" s="121">
        <f t="shared" si="84"/>
        <v>0</v>
      </c>
      <c r="AL151" s="107"/>
      <c r="AM151" s="107">
        <f t="shared" si="100"/>
        <v>135.58500646100254</v>
      </c>
      <c r="AN151" s="107">
        <f t="shared" si="101"/>
        <v>47.299101532757938</v>
      </c>
      <c r="AO151" s="107"/>
      <c r="AP151" s="143">
        <f t="shared" si="102"/>
        <v>414.77684109088875</v>
      </c>
      <c r="AQ151" s="34"/>
      <c r="AR151" s="29"/>
      <c r="AS151" s="124"/>
      <c r="AT151" s="138">
        <f t="shared" si="103"/>
        <v>385.22392822444266</v>
      </c>
      <c r="AU151" s="151">
        <f t="shared" si="104"/>
        <v>2756.246352386403</v>
      </c>
      <c r="AW151" s="1">
        <v>1</v>
      </c>
      <c r="BA151" s="30">
        <v>524.12</v>
      </c>
      <c r="BB151" s="30">
        <v>82.64</v>
      </c>
      <c r="BC151" s="30">
        <v>26.37</v>
      </c>
      <c r="BD151" s="30">
        <v>195.59</v>
      </c>
      <c r="BF151" s="289">
        <f t="shared" si="105"/>
        <v>606.28</v>
      </c>
      <c r="BI151" s="333">
        <v>0</v>
      </c>
      <c r="BL151" s="110">
        <f t="shared" si="106"/>
        <v>0.85901039294857251</v>
      </c>
      <c r="BM151" s="110">
        <f t="shared" si="107"/>
        <v>0.92206249128051765</v>
      </c>
      <c r="BN151" s="110">
        <f t="shared" si="108"/>
        <v>0.35749517965371247</v>
      </c>
      <c r="BO151" s="110">
        <f t="shared" si="109"/>
        <v>0.82972030812989472</v>
      </c>
    </row>
    <row r="152" spans="1:67" x14ac:dyDescent="0.25">
      <c r="A152" s="260" t="s">
        <v>420</v>
      </c>
      <c r="B152" s="237">
        <v>10</v>
      </c>
      <c r="C152" s="236">
        <f>'побудинковий звіт'!E152</f>
        <v>416.5</v>
      </c>
      <c r="D152" s="141">
        <f t="shared" si="85"/>
        <v>535.23219563839655</v>
      </c>
      <c r="E152" s="107">
        <f t="shared" si="79"/>
        <v>110.32579771681917</v>
      </c>
      <c r="F152" s="333">
        <v>106.67648264590775</v>
      </c>
      <c r="G152" s="107">
        <f t="shared" si="80"/>
        <v>0</v>
      </c>
      <c r="H152" s="735">
        <f t="shared" si="86"/>
        <v>447.17295442965371</v>
      </c>
      <c r="I152" s="107">
        <f t="shared" si="87"/>
        <v>154.3791302822996</v>
      </c>
      <c r="J152" s="29"/>
      <c r="K152" s="142">
        <f t="shared" si="88"/>
        <v>1353.7865607130768</v>
      </c>
      <c r="L152" s="210">
        <f t="shared" si="89"/>
        <v>96.410854088290932</v>
      </c>
      <c r="M152" s="107">
        <f t="shared" si="81"/>
        <v>21.212116081723561</v>
      </c>
      <c r="N152" s="333">
        <v>0</v>
      </c>
      <c r="O152" s="107"/>
      <c r="P152" s="107">
        <f t="shared" si="90"/>
        <v>80.548828738385623</v>
      </c>
      <c r="Q152" s="107">
        <f t="shared" si="91"/>
        <v>25.507253987053954</v>
      </c>
      <c r="R152" s="107"/>
      <c r="S152" s="143">
        <f t="shared" si="92"/>
        <v>223.67905289545408</v>
      </c>
      <c r="T152" s="905">
        <v>646.54166666666674</v>
      </c>
      <c r="U152" s="107"/>
      <c r="V152" s="151">
        <f t="shared" si="93"/>
        <v>646.54166666666674</v>
      </c>
      <c r="W152" s="907">
        <v>132.49166666666667</v>
      </c>
      <c r="X152" s="107"/>
      <c r="Y152" s="46">
        <f t="shared" si="94"/>
        <v>132.49166666666667</v>
      </c>
      <c r="Z152" s="141">
        <f t="shared" si="95"/>
        <v>10.070639210845082</v>
      </c>
      <c r="AA152" s="107">
        <f t="shared" si="82"/>
        <v>2.2136062138979007</v>
      </c>
      <c r="AB152" s="333">
        <v>0</v>
      </c>
      <c r="AC152" s="107"/>
      <c r="AD152" s="107">
        <f t="shared" si="96"/>
        <v>8.4137642047810548</v>
      </c>
      <c r="AE152" s="107">
        <f t="shared" si="97"/>
        <v>2.6640994912237201</v>
      </c>
      <c r="AF152" s="107"/>
      <c r="AG152" s="142">
        <f t="shared" si="98"/>
        <v>23.362109120747757</v>
      </c>
      <c r="AH152" s="210">
        <f t="shared" si="99"/>
        <v>172.04250589073368</v>
      </c>
      <c r="AI152" s="107">
        <f t="shared" si="83"/>
        <v>34.316577697741806</v>
      </c>
      <c r="AJ152" s="333">
        <v>45.681615974869665</v>
      </c>
      <c r="AK152" s="121">
        <f t="shared" si="84"/>
        <v>0</v>
      </c>
      <c r="AL152" s="107"/>
      <c r="AM152" s="107">
        <f t="shared" si="100"/>
        <v>143.73715982253117</v>
      </c>
      <c r="AN152" s="107">
        <f t="shared" si="101"/>
        <v>50.941690176987919</v>
      </c>
      <c r="AO152" s="107"/>
      <c r="AP152" s="143">
        <f t="shared" si="102"/>
        <v>446.71954956286424</v>
      </c>
      <c r="AQ152" s="34"/>
      <c r="AR152" s="29"/>
      <c r="AS152" s="124"/>
      <c r="AT152" s="138">
        <f t="shared" si="103"/>
        <v>193.47132051788299</v>
      </c>
      <c r="AU152" s="151">
        <f t="shared" si="104"/>
        <v>3020.0519261433592</v>
      </c>
      <c r="AW152" s="1">
        <v>1</v>
      </c>
      <c r="BA152" s="30">
        <v>623.08000000000004</v>
      </c>
      <c r="BB152" s="30">
        <v>104.56</v>
      </c>
      <c r="BC152" s="30">
        <v>28.17</v>
      </c>
      <c r="BD152" s="30">
        <v>207.35</v>
      </c>
      <c r="BF152" s="289">
        <f t="shared" si="105"/>
        <v>775.85</v>
      </c>
      <c r="BI152" s="333">
        <v>0</v>
      </c>
      <c r="BL152" s="110">
        <f t="shared" si="106"/>
        <v>0.85901039294857251</v>
      </c>
      <c r="BM152" s="110">
        <f t="shared" si="107"/>
        <v>0.92206249128051765</v>
      </c>
      <c r="BN152" s="110">
        <f t="shared" si="108"/>
        <v>0.35749517965371247</v>
      </c>
      <c r="BO152" s="110">
        <f t="shared" si="109"/>
        <v>0.82972030812989472</v>
      </c>
    </row>
    <row r="153" spans="1:67" x14ac:dyDescent="0.25">
      <c r="A153" s="260" t="s">
        <v>334</v>
      </c>
      <c r="B153" s="237">
        <v>8</v>
      </c>
      <c r="C153" s="236">
        <f>'побудинковий звіт'!E153</f>
        <v>2162.08</v>
      </c>
      <c r="D153" s="141">
        <f t="shared" si="85"/>
        <v>332.53151321432193</v>
      </c>
      <c r="E153" s="107">
        <f t="shared" si="79"/>
        <v>68.54371758708011</v>
      </c>
      <c r="F153" s="333">
        <v>142.86147620098376</v>
      </c>
      <c r="G153" s="107">
        <f t="shared" si="80"/>
        <v>0</v>
      </c>
      <c r="H153" s="735">
        <f t="shared" si="86"/>
        <v>277.82166397455103</v>
      </c>
      <c r="I153" s="107">
        <f t="shared" si="87"/>
        <v>105.77084933353727</v>
      </c>
      <c r="J153" s="29"/>
      <c r="K153" s="142">
        <f t="shared" si="88"/>
        <v>927.5292203104741</v>
      </c>
      <c r="L153" s="210">
        <f t="shared" si="89"/>
        <v>120.38447886158438</v>
      </c>
      <c r="M153" s="107">
        <f t="shared" si="81"/>
        <v>26.486743263483437</v>
      </c>
      <c r="N153" s="333">
        <v>0</v>
      </c>
      <c r="O153" s="107"/>
      <c r="P153" s="107">
        <f t="shared" si="90"/>
        <v>100.57818554020301</v>
      </c>
      <c r="Q153" s="107">
        <f t="shared" si="91"/>
        <v>31.849914695387948</v>
      </c>
      <c r="R153" s="107"/>
      <c r="S153" s="143">
        <f t="shared" si="92"/>
        <v>279.29932236065878</v>
      </c>
      <c r="T153" s="905">
        <v>841.7833333333333</v>
      </c>
      <c r="U153" s="107"/>
      <c r="V153" s="151">
        <f t="shared" si="93"/>
        <v>841.7833333333333</v>
      </c>
      <c r="W153" s="907">
        <v>190.72500000000002</v>
      </c>
      <c r="X153" s="107"/>
      <c r="Y153" s="46">
        <f t="shared" si="94"/>
        <v>190.72500000000002</v>
      </c>
      <c r="Z153" s="141">
        <f t="shared" si="95"/>
        <v>27.212533075240597</v>
      </c>
      <c r="AA153" s="107">
        <f t="shared" si="82"/>
        <v>5.9815301740116507</v>
      </c>
      <c r="AB153" s="333">
        <v>0</v>
      </c>
      <c r="AC153" s="107"/>
      <c r="AD153" s="107">
        <f t="shared" si="96"/>
        <v>22.735382721616396</v>
      </c>
      <c r="AE153" s="107">
        <f t="shared" si="97"/>
        <v>7.1988375318405948</v>
      </c>
      <c r="AF153" s="107"/>
      <c r="AG153" s="142">
        <f t="shared" si="98"/>
        <v>63.128283502709237</v>
      </c>
      <c r="AH153" s="210">
        <f t="shared" si="99"/>
        <v>463.74727461996071</v>
      </c>
      <c r="AI153" s="107">
        <f t="shared" si="83"/>
        <v>92.501671602709649</v>
      </c>
      <c r="AJ153" s="333">
        <v>61.176961702783252</v>
      </c>
      <c r="AK153" s="121">
        <f t="shared" si="84"/>
        <v>0</v>
      </c>
      <c r="AL153" s="107"/>
      <c r="AM153" s="107">
        <f t="shared" si="100"/>
        <v>387.44911197496555</v>
      </c>
      <c r="AN153" s="107">
        <f t="shared" si="101"/>
        <v>129.34031228980993</v>
      </c>
      <c r="AO153" s="107"/>
      <c r="AP153" s="143">
        <f t="shared" si="102"/>
        <v>1134.215332190229</v>
      </c>
      <c r="AQ153" s="34"/>
      <c r="AR153" s="29"/>
      <c r="AS153" s="124"/>
      <c r="AT153" s="138">
        <f t="shared" si="103"/>
        <v>1004.3228635421476</v>
      </c>
      <c r="AU153" s="151">
        <f t="shared" si="104"/>
        <v>4441.0033552395516</v>
      </c>
      <c r="AW153" s="1">
        <v>1</v>
      </c>
      <c r="BA153" s="30">
        <v>387.11</v>
      </c>
      <c r="BB153" s="30">
        <v>130.56</v>
      </c>
      <c r="BC153" s="30">
        <v>76.12</v>
      </c>
      <c r="BD153" s="30">
        <v>558.91999999999996</v>
      </c>
      <c r="BF153" s="289">
        <f t="shared" si="105"/>
        <v>1010.1399999999999</v>
      </c>
      <c r="BI153" s="333">
        <v>8.51</v>
      </c>
      <c r="BL153" s="110">
        <f t="shared" si="106"/>
        <v>0.85901039294857251</v>
      </c>
      <c r="BM153" s="110">
        <f t="shared" si="107"/>
        <v>0.92206249128051765</v>
      </c>
      <c r="BN153" s="110">
        <f t="shared" si="108"/>
        <v>0.35749517965371247</v>
      </c>
      <c r="BO153" s="110">
        <f t="shared" si="109"/>
        <v>0.82972030812989472</v>
      </c>
    </row>
    <row r="154" spans="1:67" x14ac:dyDescent="0.25">
      <c r="A154" s="260" t="s">
        <v>367</v>
      </c>
      <c r="B154" s="237">
        <v>9</v>
      </c>
      <c r="C154" s="236">
        <f>'побудинковий звіт'!E154</f>
        <v>2130.7999999999997</v>
      </c>
      <c r="D154" s="141">
        <f t="shared" si="85"/>
        <v>767.9552912960238</v>
      </c>
      <c r="E154" s="107">
        <f t="shared" si="79"/>
        <v>158.29630731019506</v>
      </c>
      <c r="F154" s="333">
        <v>210.38590279257647</v>
      </c>
      <c r="G154" s="107">
        <f t="shared" si="80"/>
        <v>0</v>
      </c>
      <c r="H154" s="735">
        <f t="shared" si="86"/>
        <v>641.60721136950372</v>
      </c>
      <c r="I154" s="107">
        <f t="shared" si="87"/>
        <v>228.88291769850892</v>
      </c>
      <c r="J154" s="29"/>
      <c r="K154" s="142">
        <f t="shared" si="88"/>
        <v>2007.1276304668079</v>
      </c>
      <c r="L154" s="210">
        <f t="shared" si="89"/>
        <v>137.58094432396604</v>
      </c>
      <c r="M154" s="107">
        <f t="shared" si="81"/>
        <v>30.270273915015039</v>
      </c>
      <c r="N154" s="333">
        <v>0</v>
      </c>
      <c r="O154" s="107"/>
      <c r="P154" s="107">
        <f t="shared" si="90"/>
        <v>114.94539724612201</v>
      </c>
      <c r="Q154" s="107">
        <f t="shared" si="91"/>
        <v>36.399554011173677</v>
      </c>
      <c r="R154" s="107"/>
      <c r="S154" s="143">
        <f t="shared" si="92"/>
        <v>319.19616949627675</v>
      </c>
      <c r="T154" s="905">
        <v>1294.1416666666667</v>
      </c>
      <c r="U154" s="107"/>
      <c r="V154" s="151">
        <f t="shared" si="93"/>
        <v>1294.1416666666667</v>
      </c>
      <c r="W154" s="907">
        <v>289.24166666666667</v>
      </c>
      <c r="X154" s="107"/>
      <c r="Y154" s="46">
        <f t="shared" si="94"/>
        <v>289.24166666666667</v>
      </c>
      <c r="Z154" s="141">
        <f t="shared" si="95"/>
        <v>55.712048797234552</v>
      </c>
      <c r="AA154" s="107">
        <f t="shared" si="82"/>
        <v>12.245949321045396</v>
      </c>
      <c r="AB154" s="333">
        <v>0</v>
      </c>
      <c r="AC154" s="107"/>
      <c r="AD154" s="107">
        <f t="shared" si="96"/>
        <v>46.546006875153687</v>
      </c>
      <c r="AE154" s="107">
        <f t="shared" si="97"/>
        <v>14.738135062559618</v>
      </c>
      <c r="AF154" s="107"/>
      <c r="AG154" s="142">
        <f t="shared" si="98"/>
        <v>129.24214005599325</v>
      </c>
      <c r="AH154" s="210">
        <f t="shared" si="99"/>
        <v>614.72318188727638</v>
      </c>
      <c r="AI154" s="107">
        <f t="shared" si="83"/>
        <v>122.6161856026185</v>
      </c>
      <c r="AJ154" s="333">
        <v>90.092659408333233</v>
      </c>
      <c r="AK154" s="121">
        <f t="shared" si="84"/>
        <v>0</v>
      </c>
      <c r="AL154" s="107">
        <v>2820</v>
      </c>
      <c r="AM154" s="107">
        <f t="shared" si="100"/>
        <v>513.58566177630519</v>
      </c>
      <c r="AN154" s="107">
        <f t="shared" si="101"/>
        <v>535.5763817772289</v>
      </c>
      <c r="AO154" s="107"/>
      <c r="AP154" s="143">
        <f t="shared" si="102"/>
        <v>4696.5940704517625</v>
      </c>
      <c r="AQ154" s="34"/>
      <c r="AR154" s="29"/>
      <c r="AS154" s="124"/>
      <c r="AT154" s="138">
        <f t="shared" si="103"/>
        <v>989.79277253182488</v>
      </c>
      <c r="AU154" s="151">
        <f t="shared" si="104"/>
        <v>9725.3361163359968</v>
      </c>
      <c r="AW154" s="1">
        <v>1</v>
      </c>
      <c r="BA154" s="30">
        <v>894</v>
      </c>
      <c r="BB154" s="30">
        <v>149.21</v>
      </c>
      <c r="BC154" s="30">
        <v>155.84</v>
      </c>
      <c r="BD154" s="30">
        <v>740.88</v>
      </c>
      <c r="BF154" s="289">
        <f t="shared" si="105"/>
        <v>1552.97</v>
      </c>
      <c r="BI154" s="333">
        <v>8.51</v>
      </c>
      <c r="BL154" s="110">
        <f t="shared" si="106"/>
        <v>0.85901039294857251</v>
      </c>
      <c r="BM154" s="110">
        <f t="shared" si="107"/>
        <v>0.92206249128051765</v>
      </c>
      <c r="BN154" s="110">
        <f t="shared" si="108"/>
        <v>0.35749517965371247</v>
      </c>
      <c r="BO154" s="110">
        <f t="shared" si="109"/>
        <v>0.82972030812989472</v>
      </c>
    </row>
    <row r="155" spans="1:67" x14ac:dyDescent="0.25">
      <c r="A155" s="434" t="s">
        <v>101</v>
      </c>
      <c r="B155" s="238">
        <v>1</v>
      </c>
      <c r="C155" s="236">
        <f>'побудинковий звіт'!E155</f>
        <v>2338.0700000000002</v>
      </c>
      <c r="D155" s="141">
        <f t="shared" si="85"/>
        <v>0</v>
      </c>
      <c r="E155" s="107">
        <f t="shared" si="79"/>
        <v>0</v>
      </c>
      <c r="F155" s="333">
        <v>0</v>
      </c>
      <c r="G155" s="107">
        <f t="shared" si="80"/>
        <v>0</v>
      </c>
      <c r="H155" s="735">
        <f t="shared" si="86"/>
        <v>0</v>
      </c>
      <c r="I155" s="107">
        <f t="shared" si="87"/>
        <v>0</v>
      </c>
      <c r="J155" s="29"/>
      <c r="K155" s="142">
        <f t="shared" si="88"/>
        <v>0</v>
      </c>
      <c r="L155" s="210">
        <f t="shared" si="89"/>
        <v>0</v>
      </c>
      <c r="M155" s="107">
        <f t="shared" si="81"/>
        <v>0</v>
      </c>
      <c r="N155" s="333">
        <v>0</v>
      </c>
      <c r="O155" s="107"/>
      <c r="P155" s="107">
        <f t="shared" si="90"/>
        <v>0</v>
      </c>
      <c r="Q155" s="107">
        <f t="shared" si="91"/>
        <v>0</v>
      </c>
      <c r="R155" s="107"/>
      <c r="S155" s="143">
        <f t="shared" si="92"/>
        <v>0</v>
      </c>
      <c r="T155" s="245"/>
      <c r="U155" s="107"/>
      <c r="V155" s="151">
        <f t="shared" si="93"/>
        <v>0</v>
      </c>
      <c r="W155" s="246"/>
      <c r="X155" s="107"/>
      <c r="Y155" s="46">
        <f t="shared" si="94"/>
        <v>0</v>
      </c>
      <c r="Z155" s="141">
        <f t="shared" si="95"/>
        <v>0</v>
      </c>
      <c r="AA155" s="107">
        <f t="shared" si="82"/>
        <v>0</v>
      </c>
      <c r="AB155" s="333">
        <v>0</v>
      </c>
      <c r="AC155" s="107"/>
      <c r="AD155" s="107">
        <f t="shared" si="96"/>
        <v>0</v>
      </c>
      <c r="AE155" s="107">
        <f t="shared" si="97"/>
        <v>0</v>
      </c>
      <c r="AF155" s="107"/>
      <c r="AG155" s="142">
        <f t="shared" si="98"/>
        <v>0</v>
      </c>
      <c r="AH155" s="210">
        <f t="shared" si="99"/>
        <v>0</v>
      </c>
      <c r="AI155" s="107">
        <f t="shared" si="83"/>
        <v>0</v>
      </c>
      <c r="AJ155" s="333">
        <v>0</v>
      </c>
      <c r="AK155" s="121">
        <f t="shared" si="84"/>
        <v>0</v>
      </c>
      <c r="AL155" s="107"/>
      <c r="AM155" s="107">
        <f t="shared" si="100"/>
        <v>0</v>
      </c>
      <c r="AN155" s="107">
        <f t="shared" si="101"/>
        <v>0</v>
      </c>
      <c r="AO155" s="107"/>
      <c r="AP155" s="143">
        <f t="shared" si="102"/>
        <v>0</v>
      </c>
      <c r="AQ155" s="34"/>
      <c r="AR155" s="29"/>
      <c r="AS155" s="124"/>
      <c r="AT155" s="138">
        <f t="shared" si="103"/>
        <v>0</v>
      </c>
      <c r="AU155" s="151">
        <f t="shared" si="104"/>
        <v>0</v>
      </c>
      <c r="AW155" s="1">
        <v>1</v>
      </c>
      <c r="BA155" s="30">
        <v>0</v>
      </c>
      <c r="BB155" s="30">
        <v>0</v>
      </c>
      <c r="BC155" s="30">
        <v>0</v>
      </c>
      <c r="BD155" s="30">
        <v>0</v>
      </c>
      <c r="BI155" s="333">
        <v>0</v>
      </c>
      <c r="BL155" s="110">
        <f t="shared" si="106"/>
        <v>0.85901039294857251</v>
      </c>
      <c r="BM155" s="110">
        <f t="shared" si="107"/>
        <v>0.92206249128051765</v>
      </c>
      <c r="BN155" s="110">
        <f t="shared" si="108"/>
        <v>0.35749517965371247</v>
      </c>
      <c r="BO155" s="110">
        <f t="shared" si="109"/>
        <v>0.82972030812989472</v>
      </c>
    </row>
    <row r="156" spans="1:67" x14ac:dyDescent="0.25">
      <c r="A156" s="434" t="s">
        <v>102</v>
      </c>
      <c r="B156" s="238">
        <v>1</v>
      </c>
      <c r="C156" s="236">
        <f>'побудинковий звіт'!E156</f>
        <v>6921.8</v>
      </c>
      <c r="D156" s="141">
        <f t="shared" si="85"/>
        <v>0</v>
      </c>
      <c r="E156" s="107">
        <f t="shared" si="79"/>
        <v>0</v>
      </c>
      <c r="F156" s="333">
        <v>0</v>
      </c>
      <c r="G156" s="107">
        <f t="shared" si="80"/>
        <v>0</v>
      </c>
      <c r="H156" s="735">
        <f t="shared" si="86"/>
        <v>0</v>
      </c>
      <c r="I156" s="107">
        <f t="shared" si="87"/>
        <v>0</v>
      </c>
      <c r="J156" s="29"/>
      <c r="K156" s="142">
        <f t="shared" si="88"/>
        <v>0</v>
      </c>
      <c r="L156" s="210">
        <f t="shared" si="89"/>
        <v>0</v>
      </c>
      <c r="M156" s="107">
        <f t="shared" si="81"/>
        <v>0</v>
      </c>
      <c r="N156" s="333">
        <v>0</v>
      </c>
      <c r="O156" s="107"/>
      <c r="P156" s="107">
        <f t="shared" si="90"/>
        <v>0</v>
      </c>
      <c r="Q156" s="107">
        <f t="shared" si="91"/>
        <v>0</v>
      </c>
      <c r="R156" s="107"/>
      <c r="S156" s="143">
        <f t="shared" si="92"/>
        <v>0</v>
      </c>
      <c r="T156" s="245"/>
      <c r="U156" s="107"/>
      <c r="V156" s="151">
        <f t="shared" si="93"/>
        <v>0</v>
      </c>
      <c r="W156" s="246"/>
      <c r="X156" s="107"/>
      <c r="Y156" s="46">
        <f t="shared" si="94"/>
        <v>0</v>
      </c>
      <c r="Z156" s="141">
        <f t="shared" si="95"/>
        <v>0</v>
      </c>
      <c r="AA156" s="107">
        <f t="shared" si="82"/>
        <v>0</v>
      </c>
      <c r="AB156" s="333">
        <v>0</v>
      </c>
      <c r="AC156" s="107"/>
      <c r="AD156" s="107">
        <f t="shared" si="96"/>
        <v>0</v>
      </c>
      <c r="AE156" s="107">
        <f t="shared" si="97"/>
        <v>0</v>
      </c>
      <c r="AF156" s="107"/>
      <c r="AG156" s="142">
        <f t="shared" si="98"/>
        <v>0</v>
      </c>
      <c r="AH156" s="210">
        <f t="shared" si="99"/>
        <v>0</v>
      </c>
      <c r="AI156" s="107">
        <f t="shared" si="83"/>
        <v>0</v>
      </c>
      <c r="AJ156" s="333">
        <v>0</v>
      </c>
      <c r="AK156" s="121">
        <f t="shared" si="84"/>
        <v>0</v>
      </c>
      <c r="AL156" s="107"/>
      <c r="AM156" s="107">
        <f t="shared" si="100"/>
        <v>0</v>
      </c>
      <c r="AN156" s="107">
        <f t="shared" si="101"/>
        <v>0</v>
      </c>
      <c r="AO156" s="107"/>
      <c r="AP156" s="143">
        <f t="shared" si="102"/>
        <v>0</v>
      </c>
      <c r="AQ156" s="34"/>
      <c r="AR156" s="29"/>
      <c r="AS156" s="124"/>
      <c r="AT156" s="138">
        <f t="shared" si="103"/>
        <v>0</v>
      </c>
      <c r="AU156" s="151">
        <f t="shared" si="104"/>
        <v>0</v>
      </c>
      <c r="AW156" s="1">
        <v>1</v>
      </c>
      <c r="BA156" s="30">
        <v>0</v>
      </c>
      <c r="BB156" s="30">
        <v>0</v>
      </c>
      <c r="BC156" s="30">
        <v>0</v>
      </c>
      <c r="BD156" s="30">
        <v>0</v>
      </c>
      <c r="BI156" s="333">
        <v>0</v>
      </c>
      <c r="BL156" s="110">
        <f t="shared" si="106"/>
        <v>0.85901039294857251</v>
      </c>
      <c r="BM156" s="110">
        <f t="shared" si="107"/>
        <v>0.92206249128051765</v>
      </c>
      <c r="BN156" s="110">
        <f t="shared" si="108"/>
        <v>0.35749517965371247</v>
      </c>
      <c r="BO156" s="110">
        <f t="shared" si="109"/>
        <v>0.82972030812989472</v>
      </c>
    </row>
    <row r="157" spans="1:67" x14ac:dyDescent="0.25">
      <c r="A157" s="260" t="s">
        <v>368</v>
      </c>
      <c r="B157" s="237">
        <v>9</v>
      </c>
      <c r="C157" s="236">
        <f>'побудинковий звіт'!E157</f>
        <v>320.5</v>
      </c>
      <c r="D157" s="141">
        <f t="shared" si="85"/>
        <v>592.3220263537587</v>
      </c>
      <c r="E157" s="107">
        <f t="shared" si="79"/>
        <v>122.09355228486791</v>
      </c>
      <c r="F157" s="333">
        <v>150.47737558021859</v>
      </c>
      <c r="G157" s="107">
        <f t="shared" si="80"/>
        <v>0</v>
      </c>
      <c r="H157" s="735">
        <f t="shared" si="86"/>
        <v>494.87006323012042</v>
      </c>
      <c r="I157" s="107">
        <f t="shared" si="87"/>
        <v>175.01895244088365</v>
      </c>
      <c r="J157" s="29"/>
      <c r="K157" s="142">
        <f t="shared" si="88"/>
        <v>1534.7819698898491</v>
      </c>
      <c r="L157" s="210">
        <f t="shared" si="89"/>
        <v>109.9098489606377</v>
      </c>
      <c r="M157" s="107">
        <f t="shared" si="81"/>
        <v>24.182136925606812</v>
      </c>
      <c r="N157" s="333">
        <v>36.799999999999997</v>
      </c>
      <c r="O157" s="107"/>
      <c r="P157" s="107">
        <f t="shared" si="90"/>
        <v>91.826897337562798</v>
      </c>
      <c r="Q157" s="107">
        <f t="shared" si="91"/>
        <v>33.815292178289695</v>
      </c>
      <c r="R157" s="107"/>
      <c r="S157" s="143">
        <f t="shared" si="92"/>
        <v>296.53417540209705</v>
      </c>
      <c r="T157" s="905">
        <v>1047.6666666666667</v>
      </c>
      <c r="U157" s="107"/>
      <c r="V157" s="151">
        <f t="shared" si="93"/>
        <v>1047.6666666666667</v>
      </c>
      <c r="W157" s="907">
        <v>195.21666666666667</v>
      </c>
      <c r="X157" s="107"/>
      <c r="Y157" s="46">
        <f t="shared" si="94"/>
        <v>195.21666666666667</v>
      </c>
      <c r="Z157" s="141">
        <f t="shared" si="95"/>
        <v>41.784036597925912</v>
      </c>
      <c r="AA157" s="107">
        <f t="shared" si="82"/>
        <v>9.1844619907840475</v>
      </c>
      <c r="AB157" s="333">
        <v>61.800000000000004</v>
      </c>
      <c r="AC157" s="107"/>
      <c r="AD157" s="107">
        <f t="shared" si="96"/>
        <v>34.909505156365263</v>
      </c>
      <c r="AE157" s="107">
        <f t="shared" si="97"/>
        <v>19.008054478871006</v>
      </c>
      <c r="AF157" s="107"/>
      <c r="AG157" s="142">
        <f t="shared" si="98"/>
        <v>166.68605822394625</v>
      </c>
      <c r="AH157" s="210">
        <f t="shared" si="99"/>
        <v>391.72755187428589</v>
      </c>
      <c r="AI157" s="107">
        <f t="shared" si="83"/>
        <v>78.136207681012095</v>
      </c>
      <c r="AJ157" s="333">
        <v>64.438285868300269</v>
      </c>
      <c r="AK157" s="121">
        <f t="shared" si="84"/>
        <v>0</v>
      </c>
      <c r="AL157" s="107"/>
      <c r="AM157" s="107">
        <f t="shared" si="100"/>
        <v>327.27845621130172</v>
      </c>
      <c r="AN157" s="107">
        <f t="shared" si="101"/>
        <v>110.89646865270093</v>
      </c>
      <c r="AO157" s="107"/>
      <c r="AP157" s="143">
        <f t="shared" si="102"/>
        <v>972.47697028760092</v>
      </c>
      <c r="AQ157" s="34"/>
      <c r="AR157" s="29"/>
      <c r="AS157" s="124"/>
      <c r="AT157" s="138">
        <f t="shared" si="103"/>
        <v>148.87769081868308</v>
      </c>
      <c r="AU157" s="151">
        <f t="shared" si="104"/>
        <v>4362.2401979555098</v>
      </c>
      <c r="AW157" s="1">
        <v>1</v>
      </c>
      <c r="BA157" s="30">
        <v>689.54</v>
      </c>
      <c r="BB157" s="30">
        <v>119.2</v>
      </c>
      <c r="BC157" s="30">
        <v>116.88</v>
      </c>
      <c r="BD157" s="30">
        <v>472.12</v>
      </c>
      <c r="BF157" s="289">
        <f>T157*1.2</f>
        <v>1257.2</v>
      </c>
      <c r="BI157" s="333">
        <v>0</v>
      </c>
      <c r="BL157" s="110">
        <f t="shared" si="106"/>
        <v>0.85901039294857251</v>
      </c>
      <c r="BM157" s="110">
        <f t="shared" si="107"/>
        <v>0.92206249128051765</v>
      </c>
      <c r="BN157" s="110">
        <f t="shared" si="108"/>
        <v>0.35749517965371247</v>
      </c>
      <c r="BO157" s="110">
        <f t="shared" si="109"/>
        <v>0.82972030812989472</v>
      </c>
    </row>
    <row r="158" spans="1:67" x14ac:dyDescent="0.25">
      <c r="A158" s="260" t="s">
        <v>335</v>
      </c>
      <c r="B158" s="237">
        <v>8</v>
      </c>
      <c r="C158" s="236">
        <f>'побудинковий звіт'!E158</f>
        <v>11582.12</v>
      </c>
      <c r="D158" s="141">
        <f t="shared" si="85"/>
        <v>289.21161909792539</v>
      </c>
      <c r="E158" s="107">
        <f t="shared" si="79"/>
        <v>59.614318506931177</v>
      </c>
      <c r="F158" s="333">
        <v>124.11924439885992</v>
      </c>
      <c r="G158" s="107">
        <f t="shared" si="80"/>
        <v>0</v>
      </c>
      <c r="H158" s="735">
        <f t="shared" si="86"/>
        <v>241.62898872917734</v>
      </c>
      <c r="I158" s="107">
        <f t="shared" si="87"/>
        <v>91.974867089425089</v>
      </c>
      <c r="J158" s="29"/>
      <c r="K158" s="142">
        <f t="shared" si="88"/>
        <v>806.54903782231884</v>
      </c>
      <c r="L158" s="210">
        <f t="shared" si="89"/>
        <v>87.83567291938212</v>
      </c>
      <c r="M158" s="107">
        <f t="shared" si="81"/>
        <v>19.325422512863298</v>
      </c>
      <c r="N158" s="333">
        <v>55.2</v>
      </c>
      <c r="O158" s="107"/>
      <c r="P158" s="107">
        <f t="shared" si="90"/>
        <v>73.38448188235094</v>
      </c>
      <c r="Q158" s="107">
        <f t="shared" si="91"/>
        <v>30.343481514579846</v>
      </c>
      <c r="R158" s="107"/>
      <c r="S158" s="143">
        <f t="shared" si="92"/>
        <v>266.08905882917617</v>
      </c>
      <c r="T158" s="905">
        <v>792.82500000000005</v>
      </c>
      <c r="U158" s="107"/>
      <c r="V158" s="151">
        <f t="shared" si="93"/>
        <v>792.82500000000005</v>
      </c>
      <c r="W158" s="907">
        <v>161.52500000000001</v>
      </c>
      <c r="X158" s="107"/>
      <c r="Y158" s="46">
        <f t="shared" si="94"/>
        <v>161.52500000000001</v>
      </c>
      <c r="Z158" s="141">
        <f t="shared" si="95"/>
        <v>13.177272322035842</v>
      </c>
      <c r="AA158" s="107">
        <f t="shared" si="82"/>
        <v>2.8964687626651267</v>
      </c>
      <c r="AB158" s="333">
        <v>61.800000000000004</v>
      </c>
      <c r="AC158" s="107"/>
      <c r="AD158" s="107">
        <f t="shared" si="96"/>
        <v>11.009277550167896</v>
      </c>
      <c r="AE158" s="107">
        <f t="shared" si="97"/>
        <v>11.440385281578777</v>
      </c>
      <c r="AF158" s="107"/>
      <c r="AG158" s="142">
        <f t="shared" si="98"/>
        <v>100.32340391644766</v>
      </c>
      <c r="AH158" s="210">
        <f t="shared" si="99"/>
        <v>313.08666106973448</v>
      </c>
      <c r="AI158" s="107">
        <f t="shared" si="83"/>
        <v>62.450047882642352</v>
      </c>
      <c r="AJ158" s="333">
        <v>53.151055575576933</v>
      </c>
      <c r="AK158" s="121">
        <f t="shared" si="84"/>
        <v>0</v>
      </c>
      <c r="AL158" s="107"/>
      <c r="AM158" s="107">
        <f t="shared" si="100"/>
        <v>261.57598209517198</v>
      </c>
      <c r="AN158" s="107">
        <f t="shared" si="101"/>
        <v>88.845803490484485</v>
      </c>
      <c r="AO158" s="107"/>
      <c r="AP158" s="143">
        <f t="shared" si="102"/>
        <v>779.10955011361034</v>
      </c>
      <c r="AQ158" s="34"/>
      <c r="AR158" s="29"/>
      <c r="AS158" s="124"/>
      <c r="AT158" s="138">
        <f t="shared" si="103"/>
        <v>5380.0913584551818</v>
      </c>
      <c r="AU158" s="151">
        <f t="shared" si="104"/>
        <v>8286.5124091367361</v>
      </c>
      <c r="AW158" s="1">
        <v>1</v>
      </c>
      <c r="BA158" s="30">
        <v>336.68</v>
      </c>
      <c r="BB158" s="30">
        <v>95.26</v>
      </c>
      <c r="BC158" s="30">
        <v>36.86</v>
      </c>
      <c r="BD158" s="30">
        <v>377.34</v>
      </c>
      <c r="BF158" s="289">
        <f>T158*1.2</f>
        <v>951.39</v>
      </c>
      <c r="BI158" s="333">
        <v>0</v>
      </c>
      <c r="BL158" s="110">
        <f t="shared" si="106"/>
        <v>0.85901039294857251</v>
      </c>
      <c r="BM158" s="110">
        <f t="shared" si="107"/>
        <v>0.92206249128051765</v>
      </c>
      <c r="BN158" s="110">
        <f t="shared" si="108"/>
        <v>0.35749517965371247</v>
      </c>
      <c r="BO158" s="110">
        <f t="shared" si="109"/>
        <v>0.82972030812989472</v>
      </c>
    </row>
    <row r="159" spans="1:67" x14ac:dyDescent="0.25">
      <c r="A159" s="434" t="s">
        <v>103</v>
      </c>
      <c r="B159" s="238">
        <v>1</v>
      </c>
      <c r="C159" s="236">
        <f>'побудинковий звіт'!E159</f>
        <v>2771.3</v>
      </c>
      <c r="D159" s="141">
        <f t="shared" si="85"/>
        <v>0</v>
      </c>
      <c r="E159" s="107">
        <f t="shared" si="79"/>
        <v>0</v>
      </c>
      <c r="F159" s="333">
        <v>0</v>
      </c>
      <c r="G159" s="107">
        <f t="shared" si="80"/>
        <v>0</v>
      </c>
      <c r="H159" s="735">
        <f t="shared" si="86"/>
        <v>0</v>
      </c>
      <c r="I159" s="107">
        <f t="shared" si="87"/>
        <v>0</v>
      </c>
      <c r="J159" s="29"/>
      <c r="K159" s="142">
        <f t="shared" si="88"/>
        <v>0</v>
      </c>
      <c r="L159" s="210">
        <f t="shared" si="89"/>
        <v>0</v>
      </c>
      <c r="M159" s="107">
        <f t="shared" si="81"/>
        <v>0</v>
      </c>
      <c r="N159" s="333">
        <v>0</v>
      </c>
      <c r="O159" s="107"/>
      <c r="P159" s="107">
        <f t="shared" si="90"/>
        <v>0</v>
      </c>
      <c r="Q159" s="107">
        <f t="shared" si="91"/>
        <v>0</v>
      </c>
      <c r="R159" s="107"/>
      <c r="S159" s="143">
        <f t="shared" si="92"/>
        <v>0</v>
      </c>
      <c r="T159" s="245"/>
      <c r="U159" s="107"/>
      <c r="V159" s="151">
        <f t="shared" si="93"/>
        <v>0</v>
      </c>
      <c r="W159" s="246"/>
      <c r="X159" s="107"/>
      <c r="Y159" s="46">
        <f t="shared" si="94"/>
        <v>0</v>
      </c>
      <c r="Z159" s="141">
        <f t="shared" si="95"/>
        <v>0</v>
      </c>
      <c r="AA159" s="107">
        <f t="shared" si="82"/>
        <v>0</v>
      </c>
      <c r="AB159" s="333">
        <v>0</v>
      </c>
      <c r="AC159" s="107"/>
      <c r="AD159" s="107">
        <f t="shared" si="96"/>
        <v>0</v>
      </c>
      <c r="AE159" s="107">
        <f t="shared" si="97"/>
        <v>0</v>
      </c>
      <c r="AF159" s="107"/>
      <c r="AG159" s="142">
        <f t="shared" si="98"/>
        <v>0</v>
      </c>
      <c r="AH159" s="210">
        <f t="shared" si="99"/>
        <v>0</v>
      </c>
      <c r="AI159" s="107">
        <f t="shared" si="83"/>
        <v>0</v>
      </c>
      <c r="AJ159" s="333">
        <v>0</v>
      </c>
      <c r="AK159" s="121">
        <f t="shared" si="84"/>
        <v>0</v>
      </c>
      <c r="AL159" s="107"/>
      <c r="AM159" s="107">
        <f t="shared" si="100"/>
        <v>0</v>
      </c>
      <c r="AN159" s="107">
        <f t="shared" si="101"/>
        <v>0</v>
      </c>
      <c r="AO159" s="107"/>
      <c r="AP159" s="143">
        <f t="shared" si="102"/>
        <v>0</v>
      </c>
      <c r="AQ159" s="34"/>
      <c r="AR159" s="29"/>
      <c r="AS159" s="124"/>
      <c r="AT159" s="138">
        <f t="shared" si="103"/>
        <v>0</v>
      </c>
      <c r="AU159" s="151">
        <f t="shared" si="104"/>
        <v>0</v>
      </c>
      <c r="AW159" s="1">
        <v>1</v>
      </c>
      <c r="BA159" s="30">
        <v>0</v>
      </c>
      <c r="BB159" s="30">
        <v>0</v>
      </c>
      <c r="BC159" s="30">
        <v>0</v>
      </c>
      <c r="BD159" s="30">
        <v>0</v>
      </c>
      <c r="BI159" s="333">
        <v>0</v>
      </c>
      <c r="BL159" s="110">
        <f t="shared" si="106"/>
        <v>0.85901039294857251</v>
      </c>
      <c r="BM159" s="110">
        <f t="shared" si="107"/>
        <v>0.92206249128051765</v>
      </c>
      <c r="BN159" s="110">
        <f t="shared" si="108"/>
        <v>0.35749517965371247</v>
      </c>
      <c r="BO159" s="110">
        <f t="shared" si="109"/>
        <v>0.82972030812989472</v>
      </c>
    </row>
    <row r="160" spans="1:67" x14ac:dyDescent="0.25">
      <c r="A160" s="434" t="s">
        <v>104</v>
      </c>
      <c r="B160" s="238">
        <v>1</v>
      </c>
      <c r="C160" s="236">
        <f>'побудинковий звіт'!E160</f>
        <v>3771.47</v>
      </c>
      <c r="D160" s="141">
        <f t="shared" si="85"/>
        <v>0</v>
      </c>
      <c r="E160" s="107">
        <f t="shared" si="79"/>
        <v>0</v>
      </c>
      <c r="F160" s="333">
        <v>0</v>
      </c>
      <c r="G160" s="107">
        <f t="shared" si="80"/>
        <v>0</v>
      </c>
      <c r="H160" s="735">
        <f t="shared" si="86"/>
        <v>0</v>
      </c>
      <c r="I160" s="107">
        <f t="shared" si="87"/>
        <v>0</v>
      </c>
      <c r="J160" s="29"/>
      <c r="K160" s="142">
        <f t="shared" si="88"/>
        <v>0</v>
      </c>
      <c r="L160" s="210">
        <f t="shared" si="89"/>
        <v>0</v>
      </c>
      <c r="M160" s="107">
        <f t="shared" si="81"/>
        <v>0</v>
      </c>
      <c r="N160" s="333">
        <v>0</v>
      </c>
      <c r="O160" s="107"/>
      <c r="P160" s="107">
        <f t="shared" si="90"/>
        <v>0</v>
      </c>
      <c r="Q160" s="107">
        <f t="shared" si="91"/>
        <v>0</v>
      </c>
      <c r="R160" s="107"/>
      <c r="S160" s="143">
        <f t="shared" si="92"/>
        <v>0</v>
      </c>
      <c r="T160" s="245"/>
      <c r="U160" s="107"/>
      <c r="V160" s="151">
        <f t="shared" si="93"/>
        <v>0</v>
      </c>
      <c r="W160" s="246"/>
      <c r="X160" s="107"/>
      <c r="Y160" s="46">
        <f t="shared" si="94"/>
        <v>0</v>
      </c>
      <c r="Z160" s="141">
        <f t="shared" si="95"/>
        <v>0</v>
      </c>
      <c r="AA160" s="107">
        <f t="shared" si="82"/>
        <v>0</v>
      </c>
      <c r="AB160" s="333">
        <v>0</v>
      </c>
      <c r="AC160" s="107"/>
      <c r="AD160" s="107">
        <f t="shared" si="96"/>
        <v>0</v>
      </c>
      <c r="AE160" s="107">
        <f t="shared" si="97"/>
        <v>0</v>
      </c>
      <c r="AF160" s="107"/>
      <c r="AG160" s="142">
        <f t="shared" si="98"/>
        <v>0</v>
      </c>
      <c r="AH160" s="210">
        <f t="shared" si="99"/>
        <v>0</v>
      </c>
      <c r="AI160" s="107">
        <f t="shared" si="83"/>
        <v>0</v>
      </c>
      <c r="AJ160" s="333">
        <v>0</v>
      </c>
      <c r="AK160" s="121">
        <f t="shared" si="84"/>
        <v>0</v>
      </c>
      <c r="AL160" s="107"/>
      <c r="AM160" s="107">
        <f t="shared" si="100"/>
        <v>0</v>
      </c>
      <c r="AN160" s="107">
        <f t="shared" si="101"/>
        <v>0</v>
      </c>
      <c r="AO160" s="107"/>
      <c r="AP160" s="143">
        <f t="shared" si="102"/>
        <v>0</v>
      </c>
      <c r="AQ160" s="34"/>
      <c r="AR160" s="29"/>
      <c r="AS160" s="124"/>
      <c r="AT160" s="138">
        <f t="shared" si="103"/>
        <v>0</v>
      </c>
      <c r="AU160" s="151">
        <f t="shared" si="104"/>
        <v>0</v>
      </c>
      <c r="AW160" s="1">
        <v>1</v>
      </c>
      <c r="BA160" s="30">
        <v>0</v>
      </c>
      <c r="BB160" s="30">
        <v>0</v>
      </c>
      <c r="BC160" s="30">
        <v>0</v>
      </c>
      <c r="BD160" s="30">
        <v>0</v>
      </c>
      <c r="BI160" s="333">
        <v>0</v>
      </c>
      <c r="BL160" s="110">
        <f t="shared" si="106"/>
        <v>0.85901039294857251</v>
      </c>
      <c r="BM160" s="110">
        <f t="shared" si="107"/>
        <v>0.92206249128051765</v>
      </c>
      <c r="BN160" s="110">
        <f t="shared" si="108"/>
        <v>0.35749517965371247</v>
      </c>
      <c r="BO160" s="110">
        <f t="shared" si="109"/>
        <v>0.82972030812989472</v>
      </c>
    </row>
    <row r="161" spans="1:67" x14ac:dyDescent="0.25">
      <c r="A161" s="260" t="s">
        <v>369</v>
      </c>
      <c r="B161" s="237">
        <v>9</v>
      </c>
      <c r="C161" s="236">
        <f>'побудинковий звіт'!E161</f>
        <v>3767.85</v>
      </c>
      <c r="D161" s="141">
        <f t="shared" si="85"/>
        <v>404.19016019409179</v>
      </c>
      <c r="E161" s="107">
        <f t="shared" si="79"/>
        <v>83.314498298284207</v>
      </c>
      <c r="F161" s="333">
        <v>121.98587682514966</v>
      </c>
      <c r="G161" s="107">
        <f t="shared" si="80"/>
        <v>0</v>
      </c>
      <c r="H161" s="735">
        <f t="shared" si="86"/>
        <v>337.69065007348166</v>
      </c>
      <c r="I161" s="107">
        <f t="shared" si="87"/>
        <v>121.91437530773288</v>
      </c>
      <c r="J161" s="29"/>
      <c r="K161" s="142">
        <f t="shared" si="88"/>
        <v>1069.0955606987402</v>
      </c>
      <c r="L161" s="210">
        <f t="shared" si="89"/>
        <v>58.089936950672609</v>
      </c>
      <c r="M161" s="107">
        <f t="shared" si="81"/>
        <v>12.780827401956619</v>
      </c>
      <c r="N161" s="333">
        <v>0</v>
      </c>
      <c r="O161" s="107"/>
      <c r="P161" s="107">
        <f t="shared" si="90"/>
        <v>48.532672250557511</v>
      </c>
      <c r="Q161" s="107">
        <f t="shared" si="91"/>
        <v>15.368754793270837</v>
      </c>
      <c r="R161" s="107"/>
      <c r="S161" s="143">
        <f t="shared" si="92"/>
        <v>134.77219139645757</v>
      </c>
      <c r="T161" s="905">
        <v>741.76666666666665</v>
      </c>
      <c r="U161" s="107"/>
      <c r="V161" s="151">
        <f t="shared" si="93"/>
        <v>741.76666666666665</v>
      </c>
      <c r="W161" s="907">
        <v>155.68333333333334</v>
      </c>
      <c r="X161" s="107"/>
      <c r="Y161" s="46">
        <f t="shared" si="94"/>
        <v>155.68333333333334</v>
      </c>
      <c r="Z161" s="141">
        <f t="shared" si="95"/>
        <v>20.892018298962956</v>
      </c>
      <c r="AA161" s="107">
        <f t="shared" si="82"/>
        <v>4.5922309953920237</v>
      </c>
      <c r="AB161" s="333">
        <v>0</v>
      </c>
      <c r="AC161" s="107"/>
      <c r="AD161" s="107">
        <f t="shared" si="96"/>
        <v>17.454752578182632</v>
      </c>
      <c r="AE161" s="107">
        <f t="shared" si="97"/>
        <v>5.526800648459858</v>
      </c>
      <c r="AF161" s="107"/>
      <c r="AG161" s="142">
        <f t="shared" si="98"/>
        <v>48.465802520997471</v>
      </c>
      <c r="AH161" s="210">
        <f t="shared" si="99"/>
        <v>391.27950290789573</v>
      </c>
      <c r="AI161" s="107">
        <f t="shared" si="83"/>
        <v>78.046837283342555</v>
      </c>
      <c r="AJ161" s="333">
        <v>52.237492662568656</v>
      </c>
      <c r="AK161" s="121">
        <f t="shared" si="84"/>
        <v>0</v>
      </c>
      <c r="AL161" s="107"/>
      <c r="AM161" s="107">
        <f t="shared" si="100"/>
        <v>326.90412263857849</v>
      </c>
      <c r="AN161" s="107">
        <f t="shared" si="101"/>
        <v>109.20871566909564</v>
      </c>
      <c r="AO161" s="107"/>
      <c r="AP161" s="143">
        <f t="shared" si="102"/>
        <v>957.67667116148118</v>
      </c>
      <c r="AQ161" s="34"/>
      <c r="AR161" s="29"/>
      <c r="AS161" s="124"/>
      <c r="AT161" s="138">
        <f t="shared" si="103"/>
        <v>1750.2302881471919</v>
      </c>
      <c r="AU161" s="151">
        <f t="shared" si="104"/>
        <v>4857.6905139248684</v>
      </c>
      <c r="AW161" s="1">
        <v>1</v>
      </c>
      <c r="BA161" s="30">
        <v>470.53</v>
      </c>
      <c r="BB161" s="30">
        <v>63</v>
      </c>
      <c r="BC161" s="30">
        <v>58.44</v>
      </c>
      <c r="BD161" s="30">
        <v>471.58</v>
      </c>
      <c r="BF161" s="289">
        <f>T161*1.2</f>
        <v>890.12</v>
      </c>
      <c r="BI161" s="333">
        <v>8.52</v>
      </c>
      <c r="BL161" s="110">
        <f t="shared" si="106"/>
        <v>0.85901039294857251</v>
      </c>
      <c r="BM161" s="110">
        <f t="shared" si="107"/>
        <v>0.92206249128051765</v>
      </c>
      <c r="BN161" s="110">
        <f t="shared" si="108"/>
        <v>0.35749517965371247</v>
      </c>
      <c r="BO161" s="110">
        <f t="shared" si="109"/>
        <v>0.82972030812989472</v>
      </c>
    </row>
    <row r="162" spans="1:67" x14ac:dyDescent="0.25">
      <c r="A162" s="434" t="s">
        <v>105</v>
      </c>
      <c r="B162" s="238">
        <v>1</v>
      </c>
      <c r="C162" s="236">
        <f>'побудинковий звіт'!E162</f>
        <v>4227.22</v>
      </c>
      <c r="D162" s="141">
        <f t="shared" si="85"/>
        <v>0</v>
      </c>
      <c r="E162" s="107">
        <f t="shared" si="79"/>
        <v>0</v>
      </c>
      <c r="F162" s="333">
        <v>0</v>
      </c>
      <c r="G162" s="107">
        <f t="shared" si="80"/>
        <v>0</v>
      </c>
      <c r="H162" s="735">
        <f t="shared" si="86"/>
        <v>0</v>
      </c>
      <c r="I162" s="107">
        <f t="shared" si="87"/>
        <v>0</v>
      </c>
      <c r="J162" s="29"/>
      <c r="K162" s="142">
        <f t="shared" si="88"/>
        <v>0</v>
      </c>
      <c r="L162" s="210">
        <f t="shared" si="89"/>
        <v>0</v>
      </c>
      <c r="M162" s="107">
        <f t="shared" si="81"/>
        <v>0</v>
      </c>
      <c r="N162" s="333">
        <v>0</v>
      </c>
      <c r="O162" s="107"/>
      <c r="P162" s="107">
        <f t="shared" si="90"/>
        <v>0</v>
      </c>
      <c r="Q162" s="107">
        <f t="shared" si="91"/>
        <v>0</v>
      </c>
      <c r="R162" s="107"/>
      <c r="S162" s="143">
        <f t="shared" si="92"/>
        <v>0</v>
      </c>
      <c r="T162" s="245"/>
      <c r="U162" s="107"/>
      <c r="V162" s="151">
        <f t="shared" si="93"/>
        <v>0</v>
      </c>
      <c r="W162" s="246"/>
      <c r="X162" s="107"/>
      <c r="Y162" s="46">
        <f t="shared" si="94"/>
        <v>0</v>
      </c>
      <c r="Z162" s="141">
        <f t="shared" si="95"/>
        <v>0</v>
      </c>
      <c r="AA162" s="107">
        <f t="shared" si="82"/>
        <v>0</v>
      </c>
      <c r="AB162" s="333">
        <v>0</v>
      </c>
      <c r="AC162" s="107"/>
      <c r="AD162" s="107">
        <f t="shared" si="96"/>
        <v>0</v>
      </c>
      <c r="AE162" s="107">
        <f t="shared" si="97"/>
        <v>0</v>
      </c>
      <c r="AF162" s="107"/>
      <c r="AG162" s="142">
        <f t="shared" si="98"/>
        <v>0</v>
      </c>
      <c r="AH162" s="210">
        <f t="shared" si="99"/>
        <v>0</v>
      </c>
      <c r="AI162" s="107">
        <f t="shared" si="83"/>
        <v>0</v>
      </c>
      <c r="AJ162" s="333">
        <v>0</v>
      </c>
      <c r="AK162" s="121">
        <f t="shared" si="84"/>
        <v>0</v>
      </c>
      <c r="AL162" s="107"/>
      <c r="AM162" s="107">
        <f t="shared" si="100"/>
        <v>0</v>
      </c>
      <c r="AN162" s="107">
        <f t="shared" si="101"/>
        <v>0</v>
      </c>
      <c r="AO162" s="107"/>
      <c r="AP162" s="143">
        <f t="shared" si="102"/>
        <v>0</v>
      </c>
      <c r="AQ162" s="34"/>
      <c r="AR162" s="29"/>
      <c r="AS162" s="124"/>
      <c r="AT162" s="138">
        <f t="shared" si="103"/>
        <v>0</v>
      </c>
      <c r="AU162" s="151">
        <f t="shared" si="104"/>
        <v>0</v>
      </c>
      <c r="AW162" s="1">
        <v>2</v>
      </c>
      <c r="BA162" s="30">
        <v>0</v>
      </c>
      <c r="BB162" s="30">
        <v>0</v>
      </c>
      <c r="BC162" s="30">
        <v>0</v>
      </c>
      <c r="BD162" s="30">
        <v>0</v>
      </c>
      <c r="BI162" s="333">
        <v>0</v>
      </c>
      <c r="BL162" s="110">
        <f t="shared" ref="BL162:BO164" si="110">BA$398</f>
        <v>1.0967873225415627</v>
      </c>
      <c r="BM162" s="110">
        <f t="shared" si="110"/>
        <v>1.1127076627324948</v>
      </c>
      <c r="BN162" s="110">
        <f t="shared" si="110"/>
        <v>2.8314493742615632</v>
      </c>
      <c r="BO162" s="110">
        <f t="shared" si="110"/>
        <v>1.036891829831438</v>
      </c>
    </row>
    <row r="163" spans="1:67" x14ac:dyDescent="0.25">
      <c r="A163" s="434" t="s">
        <v>106</v>
      </c>
      <c r="B163" s="238">
        <v>1</v>
      </c>
      <c r="C163" s="236">
        <f>'побудинковий звіт'!E163</f>
        <v>5062.2</v>
      </c>
      <c r="D163" s="141">
        <f t="shared" si="85"/>
        <v>0</v>
      </c>
      <c r="E163" s="107">
        <f t="shared" si="79"/>
        <v>0</v>
      </c>
      <c r="F163" s="333">
        <v>0</v>
      </c>
      <c r="G163" s="107">
        <f t="shared" si="80"/>
        <v>0</v>
      </c>
      <c r="H163" s="735">
        <f t="shared" si="86"/>
        <v>0</v>
      </c>
      <c r="I163" s="107">
        <f t="shared" si="87"/>
        <v>0</v>
      </c>
      <c r="J163" s="29"/>
      <c r="K163" s="142">
        <f t="shared" si="88"/>
        <v>0</v>
      </c>
      <c r="L163" s="210">
        <f t="shared" si="89"/>
        <v>0</v>
      </c>
      <c r="M163" s="107">
        <f t="shared" si="81"/>
        <v>0</v>
      </c>
      <c r="N163" s="333">
        <v>0</v>
      </c>
      <c r="O163" s="107"/>
      <c r="P163" s="107">
        <f t="shared" si="90"/>
        <v>0</v>
      </c>
      <c r="Q163" s="107">
        <f t="shared" si="91"/>
        <v>0</v>
      </c>
      <c r="R163" s="107"/>
      <c r="S163" s="143">
        <f t="shared" si="92"/>
        <v>0</v>
      </c>
      <c r="T163" s="245"/>
      <c r="U163" s="107"/>
      <c r="V163" s="151">
        <f t="shared" si="93"/>
        <v>0</v>
      </c>
      <c r="W163" s="246"/>
      <c r="X163" s="107"/>
      <c r="Y163" s="46">
        <f t="shared" si="94"/>
        <v>0</v>
      </c>
      <c r="Z163" s="141">
        <f t="shared" si="95"/>
        <v>0</v>
      </c>
      <c r="AA163" s="107">
        <f t="shared" si="82"/>
        <v>0</v>
      </c>
      <c r="AB163" s="333">
        <v>0</v>
      </c>
      <c r="AC163" s="107"/>
      <c r="AD163" s="107">
        <f t="shared" si="96"/>
        <v>0</v>
      </c>
      <c r="AE163" s="107">
        <f t="shared" si="97"/>
        <v>0</v>
      </c>
      <c r="AF163" s="107"/>
      <c r="AG163" s="142">
        <f t="shared" si="98"/>
        <v>0</v>
      </c>
      <c r="AH163" s="210">
        <f t="shared" si="99"/>
        <v>0</v>
      </c>
      <c r="AI163" s="107">
        <f t="shared" si="83"/>
        <v>0</v>
      </c>
      <c r="AJ163" s="333">
        <v>0</v>
      </c>
      <c r="AK163" s="121">
        <f t="shared" si="84"/>
        <v>0</v>
      </c>
      <c r="AL163" s="107"/>
      <c r="AM163" s="107">
        <f t="shared" si="100"/>
        <v>0</v>
      </c>
      <c r="AN163" s="107">
        <f t="shared" si="101"/>
        <v>0</v>
      </c>
      <c r="AO163" s="107"/>
      <c r="AP163" s="143">
        <f t="shared" si="102"/>
        <v>0</v>
      </c>
      <c r="AQ163" s="34"/>
      <c r="AR163" s="29"/>
      <c r="AS163" s="124"/>
      <c r="AT163" s="138">
        <f t="shared" si="103"/>
        <v>0</v>
      </c>
      <c r="AU163" s="151">
        <f t="shared" si="104"/>
        <v>0</v>
      </c>
      <c r="AW163" s="1">
        <v>2</v>
      </c>
      <c r="BA163" s="30">
        <v>0</v>
      </c>
      <c r="BB163" s="30">
        <v>0</v>
      </c>
      <c r="BC163" s="30">
        <v>0</v>
      </c>
      <c r="BD163" s="30">
        <v>0</v>
      </c>
      <c r="BI163" s="333">
        <v>0</v>
      </c>
      <c r="BL163" s="110">
        <f t="shared" si="110"/>
        <v>1.0967873225415627</v>
      </c>
      <c r="BM163" s="110">
        <f t="shared" si="110"/>
        <v>1.1127076627324948</v>
      </c>
      <c r="BN163" s="110">
        <f t="shared" si="110"/>
        <v>2.8314493742615632</v>
      </c>
      <c r="BO163" s="110">
        <f t="shared" si="110"/>
        <v>1.036891829831438</v>
      </c>
    </row>
    <row r="164" spans="1:67" x14ac:dyDescent="0.25">
      <c r="A164" s="434" t="s">
        <v>107</v>
      </c>
      <c r="B164" s="238">
        <v>1</v>
      </c>
      <c r="C164" s="236">
        <f>'побудинковий звіт'!E164</f>
        <v>7052.84</v>
      </c>
      <c r="D164" s="141">
        <f t="shared" si="85"/>
        <v>0</v>
      </c>
      <c r="E164" s="107">
        <f t="shared" si="79"/>
        <v>0</v>
      </c>
      <c r="F164" s="333">
        <v>0</v>
      </c>
      <c r="G164" s="107">
        <f t="shared" si="80"/>
        <v>0</v>
      </c>
      <c r="H164" s="735">
        <f t="shared" si="86"/>
        <v>0</v>
      </c>
      <c r="I164" s="107">
        <f t="shared" si="87"/>
        <v>0</v>
      </c>
      <c r="J164" s="29"/>
      <c r="K164" s="142">
        <f t="shared" si="88"/>
        <v>0</v>
      </c>
      <c r="L164" s="210">
        <f t="shared" si="89"/>
        <v>0</v>
      </c>
      <c r="M164" s="107">
        <f t="shared" si="81"/>
        <v>0</v>
      </c>
      <c r="N164" s="333">
        <v>0</v>
      </c>
      <c r="O164" s="107"/>
      <c r="P164" s="107">
        <f t="shared" si="90"/>
        <v>0</v>
      </c>
      <c r="Q164" s="107">
        <f t="shared" si="91"/>
        <v>0</v>
      </c>
      <c r="R164" s="107"/>
      <c r="S164" s="143">
        <f t="shared" si="92"/>
        <v>0</v>
      </c>
      <c r="T164" s="245"/>
      <c r="U164" s="107"/>
      <c r="V164" s="151">
        <f t="shared" si="93"/>
        <v>0</v>
      </c>
      <c r="W164" s="246"/>
      <c r="X164" s="107"/>
      <c r="Y164" s="46">
        <f t="shared" si="94"/>
        <v>0</v>
      </c>
      <c r="Z164" s="141">
        <f t="shared" si="95"/>
        <v>0</v>
      </c>
      <c r="AA164" s="107">
        <f t="shared" si="82"/>
        <v>0</v>
      </c>
      <c r="AB164" s="333">
        <v>0</v>
      </c>
      <c r="AC164" s="107"/>
      <c r="AD164" s="107">
        <f t="shared" si="96"/>
        <v>0</v>
      </c>
      <c r="AE164" s="107">
        <f t="shared" si="97"/>
        <v>0</v>
      </c>
      <c r="AF164" s="107"/>
      <c r="AG164" s="142">
        <f t="shared" si="98"/>
        <v>0</v>
      </c>
      <c r="AH164" s="210">
        <f t="shared" si="99"/>
        <v>0</v>
      </c>
      <c r="AI164" s="107">
        <f t="shared" si="83"/>
        <v>0</v>
      </c>
      <c r="AJ164" s="333">
        <v>0</v>
      </c>
      <c r="AK164" s="121">
        <f t="shared" si="84"/>
        <v>0</v>
      </c>
      <c r="AL164" s="107"/>
      <c r="AM164" s="107">
        <f t="shared" si="100"/>
        <v>0</v>
      </c>
      <c r="AN164" s="107">
        <f t="shared" si="101"/>
        <v>0</v>
      </c>
      <c r="AO164" s="107"/>
      <c r="AP164" s="143">
        <f t="shared" si="102"/>
        <v>0</v>
      </c>
      <c r="AQ164" s="34"/>
      <c r="AR164" s="29"/>
      <c r="AS164" s="124"/>
      <c r="AT164" s="138">
        <f t="shared" si="103"/>
        <v>0</v>
      </c>
      <c r="AU164" s="151">
        <f t="shared" si="104"/>
        <v>0</v>
      </c>
      <c r="AW164" s="1">
        <v>2</v>
      </c>
      <c r="BA164" s="30">
        <v>0</v>
      </c>
      <c r="BB164" s="30">
        <v>0</v>
      </c>
      <c r="BC164" s="30">
        <v>0</v>
      </c>
      <c r="BD164" s="30">
        <v>0</v>
      </c>
      <c r="BI164" s="333">
        <v>0</v>
      </c>
      <c r="BL164" s="110">
        <f t="shared" si="110"/>
        <v>1.0967873225415627</v>
      </c>
      <c r="BM164" s="110">
        <f t="shared" si="110"/>
        <v>1.1127076627324948</v>
      </c>
      <c r="BN164" s="110">
        <f t="shared" si="110"/>
        <v>2.8314493742615632</v>
      </c>
      <c r="BO164" s="110">
        <f t="shared" si="110"/>
        <v>1.036891829831438</v>
      </c>
    </row>
    <row r="165" spans="1:67" x14ac:dyDescent="0.25">
      <c r="A165" s="434" t="s">
        <v>108</v>
      </c>
      <c r="B165" s="238">
        <v>1</v>
      </c>
      <c r="C165" s="236">
        <f>'побудинковий звіт'!E165</f>
        <v>10260.299999999999</v>
      </c>
      <c r="D165" s="141">
        <f t="shared" si="85"/>
        <v>0</v>
      </c>
      <c r="E165" s="107">
        <f t="shared" si="79"/>
        <v>0</v>
      </c>
      <c r="F165" s="333">
        <v>0</v>
      </c>
      <c r="G165" s="107">
        <f t="shared" si="80"/>
        <v>0</v>
      </c>
      <c r="H165" s="735">
        <f t="shared" si="86"/>
        <v>0</v>
      </c>
      <c r="I165" s="107">
        <f t="shared" si="87"/>
        <v>0</v>
      </c>
      <c r="J165" s="29"/>
      <c r="K165" s="142">
        <f t="shared" si="88"/>
        <v>0</v>
      </c>
      <c r="L165" s="210">
        <f t="shared" si="89"/>
        <v>0</v>
      </c>
      <c r="M165" s="107">
        <f t="shared" si="81"/>
        <v>0</v>
      </c>
      <c r="N165" s="333">
        <v>0</v>
      </c>
      <c r="O165" s="107"/>
      <c r="P165" s="107">
        <f t="shared" si="90"/>
        <v>0</v>
      </c>
      <c r="Q165" s="107">
        <f t="shared" si="91"/>
        <v>0</v>
      </c>
      <c r="R165" s="107"/>
      <c r="S165" s="143">
        <f t="shared" si="92"/>
        <v>0</v>
      </c>
      <c r="T165" s="245"/>
      <c r="U165" s="107"/>
      <c r="V165" s="151">
        <f t="shared" si="93"/>
        <v>0</v>
      </c>
      <c r="W165" s="246"/>
      <c r="X165" s="107"/>
      <c r="Y165" s="46">
        <f t="shared" si="94"/>
        <v>0</v>
      </c>
      <c r="Z165" s="141">
        <f t="shared" si="95"/>
        <v>0</v>
      </c>
      <c r="AA165" s="107">
        <f t="shared" si="82"/>
        <v>0</v>
      </c>
      <c r="AB165" s="333">
        <v>0</v>
      </c>
      <c r="AC165" s="107"/>
      <c r="AD165" s="107">
        <f t="shared" si="96"/>
        <v>0</v>
      </c>
      <c r="AE165" s="107">
        <f t="shared" si="97"/>
        <v>0</v>
      </c>
      <c r="AF165" s="107"/>
      <c r="AG165" s="142">
        <f t="shared" si="98"/>
        <v>0</v>
      </c>
      <c r="AH165" s="210">
        <f t="shared" si="99"/>
        <v>0</v>
      </c>
      <c r="AI165" s="107">
        <f t="shared" si="83"/>
        <v>0</v>
      </c>
      <c r="AJ165" s="333">
        <v>0</v>
      </c>
      <c r="AK165" s="121">
        <f t="shared" si="84"/>
        <v>0</v>
      </c>
      <c r="AL165" s="107"/>
      <c r="AM165" s="107">
        <f t="shared" si="100"/>
        <v>0</v>
      </c>
      <c r="AN165" s="107">
        <f t="shared" si="101"/>
        <v>0</v>
      </c>
      <c r="AO165" s="107"/>
      <c r="AP165" s="143">
        <f t="shared" si="102"/>
        <v>0</v>
      </c>
      <c r="AQ165" s="34"/>
      <c r="AR165" s="29"/>
      <c r="AS165" s="124"/>
      <c r="AT165" s="138">
        <f t="shared" si="103"/>
        <v>0</v>
      </c>
      <c r="AU165" s="151">
        <f t="shared" si="104"/>
        <v>0</v>
      </c>
      <c r="AW165" s="1">
        <v>3</v>
      </c>
      <c r="BA165" s="30">
        <v>0</v>
      </c>
      <c r="BB165" s="30">
        <v>0</v>
      </c>
      <c r="BC165" s="30">
        <v>0</v>
      </c>
      <c r="BD165" s="30">
        <v>0</v>
      </c>
      <c r="BI165" s="333">
        <v>0</v>
      </c>
      <c r="BL165" s="110">
        <f t="shared" ref="BL165:BO171" si="111">BA$399</f>
        <v>1.2233877438623886</v>
      </c>
      <c r="BM165" s="110">
        <f t="shared" si="111"/>
        <v>1.2807066670574303</v>
      </c>
      <c r="BN165" s="110">
        <f t="shared" si="111"/>
        <v>0.82443024793968056</v>
      </c>
      <c r="BO165" s="110">
        <f t="shared" si="111"/>
        <v>1.2965393422474656</v>
      </c>
    </row>
    <row r="166" spans="1:67" x14ac:dyDescent="0.25">
      <c r="A166" s="434" t="s">
        <v>109</v>
      </c>
      <c r="B166" s="238">
        <v>1</v>
      </c>
      <c r="C166" s="236">
        <f>'побудинковий звіт'!E166</f>
        <v>110.7</v>
      </c>
      <c r="D166" s="141">
        <f t="shared" si="85"/>
        <v>1.2233877438623886E-2</v>
      </c>
      <c r="E166" s="107">
        <f t="shared" si="79"/>
        <v>2.5217322473961262E-3</v>
      </c>
      <c r="F166" s="333">
        <v>0</v>
      </c>
      <c r="G166" s="107">
        <f t="shared" si="80"/>
        <v>0</v>
      </c>
      <c r="H166" s="735">
        <f t="shared" si="86"/>
        <v>1.0221094999404167E-2</v>
      </c>
      <c r="I166" s="107">
        <f t="shared" si="87"/>
        <v>3.2148224605118127E-3</v>
      </c>
      <c r="J166" s="29"/>
      <c r="K166" s="142">
        <f t="shared" si="88"/>
        <v>2.819152714593599E-2</v>
      </c>
      <c r="L166" s="210">
        <f t="shared" si="89"/>
        <v>0</v>
      </c>
      <c r="M166" s="107">
        <f t="shared" si="81"/>
        <v>0</v>
      </c>
      <c r="N166" s="333">
        <v>0</v>
      </c>
      <c r="O166" s="107"/>
      <c r="P166" s="107">
        <f t="shared" si="90"/>
        <v>0</v>
      </c>
      <c r="Q166" s="107">
        <f t="shared" si="91"/>
        <v>0</v>
      </c>
      <c r="R166" s="107"/>
      <c r="S166" s="143">
        <f t="shared" si="92"/>
        <v>0</v>
      </c>
      <c r="T166" s="245"/>
      <c r="U166" s="107"/>
      <c r="V166" s="151">
        <f t="shared" si="93"/>
        <v>0</v>
      </c>
      <c r="W166" s="246"/>
      <c r="X166" s="107"/>
      <c r="Y166" s="46">
        <f t="shared" si="94"/>
        <v>0</v>
      </c>
      <c r="Z166" s="141">
        <f t="shared" si="95"/>
        <v>0</v>
      </c>
      <c r="AA166" s="107">
        <f t="shared" si="82"/>
        <v>0</v>
      </c>
      <c r="AB166" s="333">
        <v>0</v>
      </c>
      <c r="AC166" s="107"/>
      <c r="AD166" s="107">
        <f t="shared" si="96"/>
        <v>0</v>
      </c>
      <c r="AE166" s="107">
        <f t="shared" si="97"/>
        <v>0</v>
      </c>
      <c r="AF166" s="107"/>
      <c r="AG166" s="142">
        <f t="shared" si="98"/>
        <v>0</v>
      </c>
      <c r="AH166" s="210">
        <f t="shared" si="99"/>
        <v>0</v>
      </c>
      <c r="AI166" s="107">
        <f t="shared" si="83"/>
        <v>0</v>
      </c>
      <c r="AJ166" s="333">
        <v>0</v>
      </c>
      <c r="AK166" s="121">
        <f t="shared" si="84"/>
        <v>0</v>
      </c>
      <c r="AL166" s="107"/>
      <c r="AM166" s="107">
        <f t="shared" si="100"/>
        <v>0</v>
      </c>
      <c r="AN166" s="107">
        <f t="shared" si="101"/>
        <v>0</v>
      </c>
      <c r="AO166" s="107"/>
      <c r="AP166" s="143">
        <f t="shared" si="102"/>
        <v>0</v>
      </c>
      <c r="AQ166" s="34"/>
      <c r="AR166" s="29"/>
      <c r="AS166" s="124"/>
      <c r="AT166" s="138">
        <f t="shared" si="103"/>
        <v>0</v>
      </c>
      <c r="AU166" s="151">
        <f t="shared" si="104"/>
        <v>2.819152714593599E-2</v>
      </c>
      <c r="AW166" s="1">
        <v>3</v>
      </c>
      <c r="BA166" s="30">
        <v>0.01</v>
      </c>
      <c r="BB166" s="30">
        <v>0</v>
      </c>
      <c r="BC166" s="30">
        <v>0</v>
      </c>
      <c r="BD166" s="30">
        <v>0</v>
      </c>
      <c r="BI166" s="333">
        <v>0</v>
      </c>
      <c r="BL166" s="110">
        <f t="shared" si="111"/>
        <v>1.2233877438623886</v>
      </c>
      <c r="BM166" s="110">
        <f t="shared" si="111"/>
        <v>1.2807066670574303</v>
      </c>
      <c r="BN166" s="110">
        <f t="shared" si="111"/>
        <v>0.82443024793968056</v>
      </c>
      <c r="BO166" s="110">
        <f t="shared" si="111"/>
        <v>1.2965393422474656</v>
      </c>
    </row>
    <row r="167" spans="1:67" x14ac:dyDescent="0.25">
      <c r="A167" s="434" t="s">
        <v>110</v>
      </c>
      <c r="B167" s="238">
        <v>1</v>
      </c>
      <c r="C167" s="236">
        <f>'побудинковий звіт'!E167</f>
        <v>211.4</v>
      </c>
      <c r="D167" s="141">
        <f t="shared" si="85"/>
        <v>0</v>
      </c>
      <c r="E167" s="107">
        <f t="shared" si="79"/>
        <v>0</v>
      </c>
      <c r="F167" s="333">
        <v>0</v>
      </c>
      <c r="G167" s="107">
        <f t="shared" si="80"/>
        <v>0</v>
      </c>
      <c r="H167" s="735">
        <f t="shared" si="86"/>
        <v>0</v>
      </c>
      <c r="I167" s="107">
        <f t="shared" si="87"/>
        <v>0</v>
      </c>
      <c r="J167" s="29"/>
      <c r="K167" s="142">
        <f t="shared" si="88"/>
        <v>0</v>
      </c>
      <c r="L167" s="210">
        <f t="shared" si="89"/>
        <v>0</v>
      </c>
      <c r="M167" s="107">
        <f t="shared" si="81"/>
        <v>0</v>
      </c>
      <c r="N167" s="333">
        <v>0</v>
      </c>
      <c r="O167" s="107"/>
      <c r="P167" s="107">
        <f t="shared" si="90"/>
        <v>0</v>
      </c>
      <c r="Q167" s="107">
        <f t="shared" si="91"/>
        <v>0</v>
      </c>
      <c r="R167" s="107"/>
      <c r="S167" s="143">
        <f t="shared" si="92"/>
        <v>0</v>
      </c>
      <c r="T167" s="245"/>
      <c r="U167" s="107"/>
      <c r="V167" s="151">
        <f t="shared" si="93"/>
        <v>0</v>
      </c>
      <c r="W167" s="246"/>
      <c r="X167" s="107"/>
      <c r="Y167" s="46">
        <f t="shared" si="94"/>
        <v>0</v>
      </c>
      <c r="Z167" s="141">
        <f t="shared" si="95"/>
        <v>0</v>
      </c>
      <c r="AA167" s="107">
        <f t="shared" si="82"/>
        <v>0</v>
      </c>
      <c r="AB167" s="333">
        <v>0</v>
      </c>
      <c r="AC167" s="107"/>
      <c r="AD167" s="107">
        <f t="shared" si="96"/>
        <v>0</v>
      </c>
      <c r="AE167" s="107">
        <f t="shared" si="97"/>
        <v>0</v>
      </c>
      <c r="AF167" s="107"/>
      <c r="AG167" s="142">
        <f t="shared" si="98"/>
        <v>0</v>
      </c>
      <c r="AH167" s="210">
        <f t="shared" si="99"/>
        <v>0</v>
      </c>
      <c r="AI167" s="107">
        <f t="shared" si="83"/>
        <v>0</v>
      </c>
      <c r="AJ167" s="333">
        <v>0</v>
      </c>
      <c r="AK167" s="121">
        <f t="shared" si="84"/>
        <v>0</v>
      </c>
      <c r="AL167" s="107"/>
      <c r="AM167" s="107">
        <f t="shared" si="100"/>
        <v>0</v>
      </c>
      <c r="AN167" s="107">
        <f t="shared" si="101"/>
        <v>0</v>
      </c>
      <c r="AO167" s="107"/>
      <c r="AP167" s="143">
        <f t="shared" si="102"/>
        <v>0</v>
      </c>
      <c r="AQ167" s="34"/>
      <c r="AR167" s="29"/>
      <c r="AS167" s="124"/>
      <c r="AT167" s="138">
        <f t="shared" si="103"/>
        <v>0</v>
      </c>
      <c r="AU167" s="151">
        <f t="shared" si="104"/>
        <v>0</v>
      </c>
      <c r="AW167" s="1">
        <v>3</v>
      </c>
      <c r="BA167" s="30">
        <v>0</v>
      </c>
      <c r="BB167" s="30">
        <v>0</v>
      </c>
      <c r="BC167" s="30">
        <v>0</v>
      </c>
      <c r="BD167" s="30">
        <v>0</v>
      </c>
      <c r="BI167" s="333">
        <v>0</v>
      </c>
      <c r="BL167" s="110">
        <f t="shared" si="111"/>
        <v>1.2233877438623886</v>
      </c>
      <c r="BM167" s="110">
        <f t="shared" si="111"/>
        <v>1.2807066670574303</v>
      </c>
      <c r="BN167" s="110">
        <f t="shared" si="111"/>
        <v>0.82443024793968056</v>
      </c>
      <c r="BO167" s="110">
        <f t="shared" si="111"/>
        <v>1.2965393422474656</v>
      </c>
    </row>
    <row r="168" spans="1:67" x14ac:dyDescent="0.25">
      <c r="A168" s="434" t="s">
        <v>111</v>
      </c>
      <c r="B168" s="238">
        <v>1</v>
      </c>
      <c r="C168" s="236">
        <f>'побудинковий звіт'!E168</f>
        <v>7425.1</v>
      </c>
      <c r="D168" s="141">
        <f t="shared" si="85"/>
        <v>0</v>
      </c>
      <c r="E168" s="107">
        <f t="shared" si="79"/>
        <v>0</v>
      </c>
      <c r="F168" s="333">
        <v>0</v>
      </c>
      <c r="G168" s="107">
        <f t="shared" si="80"/>
        <v>0</v>
      </c>
      <c r="H168" s="735">
        <f t="shared" si="86"/>
        <v>0</v>
      </c>
      <c r="I168" s="107">
        <f t="shared" si="87"/>
        <v>0</v>
      </c>
      <c r="J168" s="29"/>
      <c r="K168" s="142">
        <f t="shared" si="88"/>
        <v>0</v>
      </c>
      <c r="L168" s="210">
        <f t="shared" si="89"/>
        <v>0</v>
      </c>
      <c r="M168" s="107">
        <f t="shared" si="81"/>
        <v>0</v>
      </c>
      <c r="N168" s="333">
        <v>0</v>
      </c>
      <c r="O168" s="107"/>
      <c r="P168" s="107">
        <f t="shared" si="90"/>
        <v>0</v>
      </c>
      <c r="Q168" s="107">
        <f t="shared" si="91"/>
        <v>0</v>
      </c>
      <c r="R168" s="107"/>
      <c r="S168" s="143">
        <f t="shared" si="92"/>
        <v>0</v>
      </c>
      <c r="T168" s="245"/>
      <c r="U168" s="107"/>
      <c r="V168" s="151">
        <f t="shared" si="93"/>
        <v>0</v>
      </c>
      <c r="W168" s="246"/>
      <c r="X168" s="107"/>
      <c r="Y168" s="46">
        <f t="shared" si="94"/>
        <v>0</v>
      </c>
      <c r="Z168" s="141">
        <f t="shared" si="95"/>
        <v>0</v>
      </c>
      <c r="AA168" s="107">
        <f t="shared" si="82"/>
        <v>0</v>
      </c>
      <c r="AB168" s="333">
        <v>0</v>
      </c>
      <c r="AC168" s="107"/>
      <c r="AD168" s="107">
        <f t="shared" si="96"/>
        <v>0</v>
      </c>
      <c r="AE168" s="107">
        <f t="shared" si="97"/>
        <v>0</v>
      </c>
      <c r="AF168" s="107"/>
      <c r="AG168" s="142">
        <f t="shared" si="98"/>
        <v>0</v>
      </c>
      <c r="AH168" s="210">
        <f t="shared" si="99"/>
        <v>0</v>
      </c>
      <c r="AI168" s="107">
        <f t="shared" si="83"/>
        <v>0</v>
      </c>
      <c r="AJ168" s="333">
        <v>0</v>
      </c>
      <c r="AK168" s="121">
        <f t="shared" si="84"/>
        <v>0</v>
      </c>
      <c r="AL168" s="107"/>
      <c r="AM168" s="107">
        <f t="shared" si="100"/>
        <v>0</v>
      </c>
      <c r="AN168" s="107">
        <f t="shared" si="101"/>
        <v>0</v>
      </c>
      <c r="AO168" s="107"/>
      <c r="AP168" s="143">
        <f t="shared" si="102"/>
        <v>0</v>
      </c>
      <c r="AQ168" s="34"/>
      <c r="AR168" s="29"/>
      <c r="AS168" s="124"/>
      <c r="AT168" s="138">
        <f t="shared" si="103"/>
        <v>0</v>
      </c>
      <c r="AU168" s="151">
        <f t="shared" si="104"/>
        <v>0</v>
      </c>
      <c r="AW168" s="1">
        <v>3</v>
      </c>
      <c r="BA168" s="30">
        <v>0</v>
      </c>
      <c r="BB168" s="30">
        <v>0</v>
      </c>
      <c r="BC168" s="30">
        <v>0</v>
      </c>
      <c r="BD168" s="30">
        <v>0</v>
      </c>
      <c r="BI168" s="333">
        <v>0</v>
      </c>
      <c r="BL168" s="110">
        <f t="shared" si="111"/>
        <v>1.2233877438623886</v>
      </c>
      <c r="BM168" s="110">
        <f t="shared" si="111"/>
        <v>1.2807066670574303</v>
      </c>
      <c r="BN168" s="110">
        <f t="shared" si="111"/>
        <v>0.82443024793968056</v>
      </c>
      <c r="BO168" s="110">
        <f t="shared" si="111"/>
        <v>1.2965393422474656</v>
      </c>
    </row>
    <row r="169" spans="1:67" x14ac:dyDescent="0.25">
      <c r="A169" s="434" t="s">
        <v>112</v>
      </c>
      <c r="B169" s="238">
        <v>1</v>
      </c>
      <c r="C169" s="236">
        <f>'побудинковий звіт'!E169</f>
        <v>6125.75</v>
      </c>
      <c r="D169" s="141">
        <f t="shared" si="85"/>
        <v>0</v>
      </c>
      <c r="E169" s="107">
        <f t="shared" si="79"/>
        <v>0</v>
      </c>
      <c r="F169" s="333">
        <v>0</v>
      </c>
      <c r="G169" s="107">
        <f t="shared" si="80"/>
        <v>0</v>
      </c>
      <c r="H169" s="735">
        <f t="shared" si="86"/>
        <v>0</v>
      </c>
      <c r="I169" s="107">
        <f t="shared" si="87"/>
        <v>0</v>
      </c>
      <c r="J169" s="29"/>
      <c r="K169" s="142">
        <f t="shared" si="88"/>
        <v>0</v>
      </c>
      <c r="L169" s="210">
        <f t="shared" si="89"/>
        <v>0</v>
      </c>
      <c r="M169" s="107">
        <f t="shared" si="81"/>
        <v>0</v>
      </c>
      <c r="N169" s="333">
        <v>0</v>
      </c>
      <c r="O169" s="107"/>
      <c r="P169" s="107">
        <f t="shared" si="90"/>
        <v>0</v>
      </c>
      <c r="Q169" s="107">
        <f t="shared" si="91"/>
        <v>0</v>
      </c>
      <c r="R169" s="107"/>
      <c r="S169" s="143">
        <f t="shared" si="92"/>
        <v>0</v>
      </c>
      <c r="T169" s="245"/>
      <c r="U169" s="107"/>
      <c r="V169" s="151">
        <f t="shared" si="93"/>
        <v>0</v>
      </c>
      <c r="W169" s="246"/>
      <c r="X169" s="107"/>
      <c r="Y169" s="46">
        <f t="shared" si="94"/>
        <v>0</v>
      </c>
      <c r="Z169" s="141">
        <f t="shared" si="95"/>
        <v>0</v>
      </c>
      <c r="AA169" s="107">
        <f t="shared" si="82"/>
        <v>0</v>
      </c>
      <c r="AB169" s="333">
        <v>0</v>
      </c>
      <c r="AC169" s="107"/>
      <c r="AD169" s="107">
        <f t="shared" si="96"/>
        <v>0</v>
      </c>
      <c r="AE169" s="107">
        <f t="shared" si="97"/>
        <v>0</v>
      </c>
      <c r="AF169" s="107"/>
      <c r="AG169" s="142">
        <f t="shared" si="98"/>
        <v>0</v>
      </c>
      <c r="AH169" s="210">
        <f t="shared" si="99"/>
        <v>0</v>
      </c>
      <c r="AI169" s="107">
        <f t="shared" si="83"/>
        <v>0</v>
      </c>
      <c r="AJ169" s="333">
        <v>0</v>
      </c>
      <c r="AK169" s="121">
        <f t="shared" si="84"/>
        <v>0</v>
      </c>
      <c r="AL169" s="107"/>
      <c r="AM169" s="107">
        <f t="shared" si="100"/>
        <v>0</v>
      </c>
      <c r="AN169" s="107">
        <f t="shared" si="101"/>
        <v>0</v>
      </c>
      <c r="AO169" s="107"/>
      <c r="AP169" s="143">
        <f t="shared" si="102"/>
        <v>0</v>
      </c>
      <c r="AQ169" s="34"/>
      <c r="AR169" s="29"/>
      <c r="AS169" s="124"/>
      <c r="AT169" s="138">
        <f t="shared" si="103"/>
        <v>0</v>
      </c>
      <c r="AU169" s="151">
        <f t="shared" si="104"/>
        <v>0</v>
      </c>
      <c r="AW169" s="1">
        <v>3</v>
      </c>
      <c r="BA169" s="30">
        <v>0</v>
      </c>
      <c r="BB169" s="30">
        <v>0</v>
      </c>
      <c r="BC169" s="30">
        <v>0</v>
      </c>
      <c r="BD169" s="30">
        <v>0</v>
      </c>
      <c r="BI169" s="333">
        <v>0</v>
      </c>
      <c r="BL169" s="110">
        <f t="shared" si="111"/>
        <v>1.2233877438623886</v>
      </c>
      <c r="BM169" s="110">
        <f t="shared" si="111"/>
        <v>1.2807066670574303</v>
      </c>
      <c r="BN169" s="110">
        <f t="shared" si="111"/>
        <v>0.82443024793968056</v>
      </c>
      <c r="BO169" s="110">
        <f t="shared" si="111"/>
        <v>1.2965393422474656</v>
      </c>
    </row>
    <row r="170" spans="1:67" x14ac:dyDescent="0.25">
      <c r="A170" s="434" t="s">
        <v>113</v>
      </c>
      <c r="B170" s="238">
        <v>1</v>
      </c>
      <c r="C170" s="236">
        <f>'побудинковий звіт'!E170</f>
        <v>211.3</v>
      </c>
      <c r="D170" s="141">
        <f t="shared" si="85"/>
        <v>0</v>
      </c>
      <c r="E170" s="107">
        <f t="shared" si="79"/>
        <v>0</v>
      </c>
      <c r="F170" s="333">
        <v>0</v>
      </c>
      <c r="G170" s="107">
        <f t="shared" si="80"/>
        <v>0</v>
      </c>
      <c r="H170" s="735">
        <f t="shared" si="86"/>
        <v>0</v>
      </c>
      <c r="I170" s="107">
        <f t="shared" si="87"/>
        <v>0</v>
      </c>
      <c r="J170" s="29"/>
      <c r="K170" s="142">
        <f t="shared" si="88"/>
        <v>0</v>
      </c>
      <c r="L170" s="210">
        <f t="shared" si="89"/>
        <v>0</v>
      </c>
      <c r="M170" s="107">
        <f t="shared" si="81"/>
        <v>0</v>
      </c>
      <c r="N170" s="333">
        <v>0</v>
      </c>
      <c r="O170" s="107"/>
      <c r="P170" s="107">
        <f t="shared" si="90"/>
        <v>0</v>
      </c>
      <c r="Q170" s="107">
        <f t="shared" si="91"/>
        <v>0</v>
      </c>
      <c r="R170" s="107"/>
      <c r="S170" s="143">
        <f t="shared" si="92"/>
        <v>0</v>
      </c>
      <c r="T170" s="245"/>
      <c r="U170" s="107"/>
      <c r="V170" s="151">
        <f t="shared" si="93"/>
        <v>0</v>
      </c>
      <c r="W170" s="246"/>
      <c r="X170" s="107"/>
      <c r="Y170" s="46">
        <f t="shared" si="94"/>
        <v>0</v>
      </c>
      <c r="Z170" s="141">
        <f t="shared" si="95"/>
        <v>0</v>
      </c>
      <c r="AA170" s="107">
        <f t="shared" si="82"/>
        <v>0</v>
      </c>
      <c r="AB170" s="333">
        <v>0</v>
      </c>
      <c r="AC170" s="107"/>
      <c r="AD170" s="107">
        <f t="shared" si="96"/>
        <v>0</v>
      </c>
      <c r="AE170" s="107">
        <f t="shared" si="97"/>
        <v>0</v>
      </c>
      <c r="AF170" s="107"/>
      <c r="AG170" s="142">
        <f t="shared" si="98"/>
        <v>0</v>
      </c>
      <c r="AH170" s="210">
        <f t="shared" si="99"/>
        <v>0</v>
      </c>
      <c r="AI170" s="107">
        <f t="shared" si="83"/>
        <v>0</v>
      </c>
      <c r="AJ170" s="333">
        <v>0</v>
      </c>
      <c r="AK170" s="121">
        <f t="shared" si="84"/>
        <v>0</v>
      </c>
      <c r="AL170" s="107"/>
      <c r="AM170" s="107">
        <f t="shared" si="100"/>
        <v>0</v>
      </c>
      <c r="AN170" s="107">
        <f t="shared" si="101"/>
        <v>0</v>
      </c>
      <c r="AO170" s="107"/>
      <c r="AP170" s="143">
        <f t="shared" si="102"/>
        <v>0</v>
      </c>
      <c r="AQ170" s="34"/>
      <c r="AR170" s="29"/>
      <c r="AS170" s="124"/>
      <c r="AT170" s="138">
        <f t="shared" si="103"/>
        <v>0</v>
      </c>
      <c r="AU170" s="151">
        <f t="shared" si="104"/>
        <v>0</v>
      </c>
      <c r="AW170" s="1">
        <v>3</v>
      </c>
      <c r="BA170" s="30">
        <v>0</v>
      </c>
      <c r="BB170" s="30">
        <v>0</v>
      </c>
      <c r="BC170" s="30">
        <v>0</v>
      </c>
      <c r="BD170" s="30">
        <v>0</v>
      </c>
      <c r="BI170" s="333">
        <v>0</v>
      </c>
      <c r="BL170" s="110">
        <f t="shared" si="111"/>
        <v>1.2233877438623886</v>
      </c>
      <c r="BM170" s="110">
        <f t="shared" si="111"/>
        <v>1.2807066670574303</v>
      </c>
      <c r="BN170" s="110">
        <f t="shared" si="111"/>
        <v>0.82443024793968056</v>
      </c>
      <c r="BO170" s="110">
        <f t="shared" si="111"/>
        <v>1.2965393422474656</v>
      </c>
    </row>
    <row r="171" spans="1:67" x14ac:dyDescent="0.25">
      <c r="A171" s="434" t="s">
        <v>114</v>
      </c>
      <c r="B171" s="238">
        <v>1</v>
      </c>
      <c r="C171" s="236">
        <f>'побудинковий звіт'!E171</f>
        <v>161.4</v>
      </c>
      <c r="D171" s="141">
        <f t="shared" si="85"/>
        <v>0</v>
      </c>
      <c r="E171" s="107">
        <f t="shared" si="79"/>
        <v>0</v>
      </c>
      <c r="F171" s="333">
        <v>0</v>
      </c>
      <c r="G171" s="107">
        <f t="shared" si="80"/>
        <v>0</v>
      </c>
      <c r="H171" s="735">
        <f t="shared" si="86"/>
        <v>0</v>
      </c>
      <c r="I171" s="107">
        <f t="shared" si="87"/>
        <v>0</v>
      </c>
      <c r="J171" s="29"/>
      <c r="K171" s="142">
        <f t="shared" si="88"/>
        <v>0</v>
      </c>
      <c r="L171" s="210">
        <f t="shared" si="89"/>
        <v>0</v>
      </c>
      <c r="M171" s="107">
        <f t="shared" si="81"/>
        <v>0</v>
      </c>
      <c r="N171" s="333">
        <v>0</v>
      </c>
      <c r="O171" s="107"/>
      <c r="P171" s="107">
        <f t="shared" si="90"/>
        <v>0</v>
      </c>
      <c r="Q171" s="107">
        <f t="shared" si="91"/>
        <v>0</v>
      </c>
      <c r="R171" s="107"/>
      <c r="S171" s="143">
        <f t="shared" si="92"/>
        <v>0</v>
      </c>
      <c r="T171" s="245"/>
      <c r="U171" s="107"/>
      <c r="V171" s="151">
        <f t="shared" si="93"/>
        <v>0</v>
      </c>
      <c r="W171" s="246"/>
      <c r="X171" s="107"/>
      <c r="Y171" s="46">
        <f t="shared" si="94"/>
        <v>0</v>
      </c>
      <c r="Z171" s="141">
        <f t="shared" si="95"/>
        <v>0</v>
      </c>
      <c r="AA171" s="107">
        <f t="shared" si="82"/>
        <v>0</v>
      </c>
      <c r="AB171" s="333">
        <v>0</v>
      </c>
      <c r="AC171" s="107"/>
      <c r="AD171" s="107">
        <f t="shared" si="96"/>
        <v>0</v>
      </c>
      <c r="AE171" s="107">
        <f t="shared" si="97"/>
        <v>0</v>
      </c>
      <c r="AF171" s="107"/>
      <c r="AG171" s="142">
        <f t="shared" si="98"/>
        <v>0</v>
      </c>
      <c r="AH171" s="210">
        <f t="shared" si="99"/>
        <v>0</v>
      </c>
      <c r="AI171" s="107">
        <f t="shared" si="83"/>
        <v>0</v>
      </c>
      <c r="AJ171" s="333">
        <v>0</v>
      </c>
      <c r="AK171" s="121">
        <f t="shared" si="84"/>
        <v>0</v>
      </c>
      <c r="AL171" s="107"/>
      <c r="AM171" s="107">
        <f t="shared" si="100"/>
        <v>0</v>
      </c>
      <c r="AN171" s="107">
        <f t="shared" si="101"/>
        <v>0</v>
      </c>
      <c r="AO171" s="107"/>
      <c r="AP171" s="143">
        <f t="shared" si="102"/>
        <v>0</v>
      </c>
      <c r="AQ171" s="34"/>
      <c r="AR171" s="29"/>
      <c r="AS171" s="124"/>
      <c r="AT171" s="138">
        <f t="shared" si="103"/>
        <v>0</v>
      </c>
      <c r="AU171" s="151">
        <f t="shared" si="104"/>
        <v>0</v>
      </c>
      <c r="AW171" s="1">
        <v>3</v>
      </c>
      <c r="BA171" s="30">
        <v>0</v>
      </c>
      <c r="BB171" s="30">
        <v>0</v>
      </c>
      <c r="BC171" s="30">
        <v>0</v>
      </c>
      <c r="BD171" s="30">
        <v>0</v>
      </c>
      <c r="BI171" s="333">
        <v>0</v>
      </c>
      <c r="BL171" s="110">
        <f t="shared" si="111"/>
        <v>1.2233877438623886</v>
      </c>
      <c r="BM171" s="110">
        <f t="shared" si="111"/>
        <v>1.2807066670574303</v>
      </c>
      <c r="BN171" s="110">
        <f t="shared" si="111"/>
        <v>0.82443024793968056</v>
      </c>
      <c r="BO171" s="110">
        <f t="shared" si="111"/>
        <v>1.2965393422474656</v>
      </c>
    </row>
    <row r="172" spans="1:67" x14ac:dyDescent="0.25">
      <c r="A172" s="260" t="s">
        <v>263</v>
      </c>
      <c r="B172" s="237">
        <v>5</v>
      </c>
      <c r="C172" s="236">
        <f>'побудинковий звіт'!E172</f>
        <v>6060.6</v>
      </c>
      <c r="D172" s="141">
        <f t="shared" si="85"/>
        <v>610.1976268959985</v>
      </c>
      <c r="E172" s="107">
        <f t="shared" si="79"/>
        <v>125.77819589480163</v>
      </c>
      <c r="F172" s="333">
        <v>95.706437494321804</v>
      </c>
      <c r="G172" s="107">
        <f t="shared" si="80"/>
        <v>0</v>
      </c>
      <c r="H172" s="735">
        <f t="shared" si="86"/>
        <v>509.80467510850991</v>
      </c>
      <c r="I172" s="107">
        <f t="shared" si="87"/>
        <v>172.66658611307375</v>
      </c>
      <c r="J172" s="29"/>
      <c r="K172" s="142">
        <f t="shared" si="88"/>
        <v>1514.1535215067054</v>
      </c>
      <c r="L172" s="210">
        <f t="shared" si="89"/>
        <v>129.8418571642548</v>
      </c>
      <c r="M172" s="107">
        <f t="shared" si="81"/>
        <v>28.567536015317202</v>
      </c>
      <c r="N172" s="333">
        <v>0</v>
      </c>
      <c r="O172" s="107"/>
      <c r="P172" s="107">
        <f t="shared" si="90"/>
        <v>108.47958577588915</v>
      </c>
      <c r="Q172" s="107">
        <f t="shared" si="91"/>
        <v>34.352037020711954</v>
      </c>
      <c r="R172" s="107"/>
      <c r="S172" s="143">
        <f t="shared" si="92"/>
        <v>301.24101597617317</v>
      </c>
      <c r="T172" s="244">
        <v>498.15</v>
      </c>
      <c r="U172" s="107"/>
      <c r="V172" s="151">
        <f t="shared" si="93"/>
        <v>498.15</v>
      </c>
      <c r="W172" s="246"/>
      <c r="X172" s="107"/>
      <c r="Y172" s="46">
        <f t="shared" si="94"/>
        <v>0</v>
      </c>
      <c r="Z172" s="141">
        <f t="shared" si="95"/>
        <v>0</v>
      </c>
      <c r="AA172" s="107">
        <f t="shared" si="82"/>
        <v>0</v>
      </c>
      <c r="AB172" s="333">
        <v>0</v>
      </c>
      <c r="AC172" s="107"/>
      <c r="AD172" s="107">
        <f t="shared" si="96"/>
        <v>0</v>
      </c>
      <c r="AE172" s="107">
        <f t="shared" si="97"/>
        <v>0</v>
      </c>
      <c r="AF172" s="107"/>
      <c r="AG172" s="142">
        <f t="shared" si="98"/>
        <v>0</v>
      </c>
      <c r="AH172" s="210">
        <f t="shared" si="99"/>
        <v>434.13624023212481</v>
      </c>
      <c r="AI172" s="107">
        <f t="shared" si="83"/>
        <v>86.595286102105263</v>
      </c>
      <c r="AJ172" s="333">
        <v>37.576178517044589</v>
      </c>
      <c r="AK172" s="121">
        <f t="shared" si="84"/>
        <v>0</v>
      </c>
      <c r="AL172" s="418"/>
      <c r="AM172" s="107">
        <f t="shared" si="100"/>
        <v>362.70984210512302</v>
      </c>
      <c r="AN172" s="107">
        <f t="shared" si="101"/>
        <v>118.54677923981048</v>
      </c>
      <c r="AO172" s="107"/>
      <c r="AP172" s="143">
        <f t="shared" si="102"/>
        <v>1039.5643261962082</v>
      </c>
      <c r="AQ172" s="34"/>
      <c r="AR172" s="29"/>
      <c r="AS172" s="124"/>
      <c r="AT172" s="138">
        <f t="shared" si="103"/>
        <v>2815.2515849476154</v>
      </c>
      <c r="AU172" s="151">
        <f t="shared" si="104"/>
        <v>6168.3604486267022</v>
      </c>
      <c r="AW172" s="1">
        <v>2</v>
      </c>
      <c r="BA172" s="30">
        <v>556.35</v>
      </c>
      <c r="BB172" s="30">
        <v>116.69</v>
      </c>
      <c r="BC172" s="30">
        <v>0</v>
      </c>
      <c r="BD172" s="30">
        <v>418.69</v>
      </c>
      <c r="BI172" s="333">
        <v>0</v>
      </c>
      <c r="BL172" s="110">
        <f>BA$398</f>
        <v>1.0967873225415627</v>
      </c>
      <c r="BM172" s="110">
        <f>BB$398</f>
        <v>1.1127076627324948</v>
      </c>
      <c r="BN172" s="110">
        <f>BC$398</f>
        <v>2.8314493742615632</v>
      </c>
      <c r="BO172" s="110">
        <f>BD$398</f>
        <v>1.036891829831438</v>
      </c>
    </row>
    <row r="173" spans="1:67" x14ac:dyDescent="0.25">
      <c r="A173" s="260" t="s">
        <v>214</v>
      </c>
      <c r="B173" s="237">
        <v>4</v>
      </c>
      <c r="C173" s="236">
        <f>'побудинковий звіт'!E173</f>
        <v>108.3</v>
      </c>
      <c r="D173" s="141">
        <f t="shared" si="85"/>
        <v>296.03536625982076</v>
      </c>
      <c r="E173" s="107">
        <f t="shared" si="79"/>
        <v>61.020876922491453</v>
      </c>
      <c r="F173" s="333">
        <v>53.61297213030776</v>
      </c>
      <c r="G173" s="107">
        <f t="shared" si="80"/>
        <v>0</v>
      </c>
      <c r="H173" s="735">
        <f t="shared" si="86"/>
        <v>247.33005679558198</v>
      </c>
      <c r="I173" s="107">
        <f t="shared" si="87"/>
        <v>84.692951516872469</v>
      </c>
      <c r="J173" s="29"/>
      <c r="K173" s="142">
        <f t="shared" si="88"/>
        <v>742.69222362507435</v>
      </c>
      <c r="L173" s="210">
        <f t="shared" si="89"/>
        <v>58.579522951206862</v>
      </c>
      <c r="M173" s="107">
        <f t="shared" si="81"/>
        <v>12.888545097993301</v>
      </c>
      <c r="N173" s="333">
        <v>0</v>
      </c>
      <c r="O173" s="107"/>
      <c r="P173" s="107">
        <f t="shared" si="90"/>
        <v>48.941708964137817</v>
      </c>
      <c r="Q173" s="107">
        <f t="shared" si="91"/>
        <v>15.498283720093712</v>
      </c>
      <c r="R173" s="107"/>
      <c r="S173" s="143">
        <f t="shared" si="92"/>
        <v>135.90806073343168</v>
      </c>
      <c r="T173" s="244">
        <v>248.82</v>
      </c>
      <c r="U173" s="107"/>
      <c r="V173" s="151">
        <f t="shared" si="93"/>
        <v>248.82</v>
      </c>
      <c r="W173" s="906">
        <v>55.64</v>
      </c>
      <c r="X173" s="107"/>
      <c r="Y173" s="46">
        <f t="shared" si="94"/>
        <v>55.64</v>
      </c>
      <c r="Z173" s="141">
        <f t="shared" si="95"/>
        <v>0</v>
      </c>
      <c r="AA173" s="107">
        <f t="shared" si="82"/>
        <v>0</v>
      </c>
      <c r="AB173" s="333">
        <v>0</v>
      </c>
      <c r="AC173" s="107"/>
      <c r="AD173" s="107">
        <f t="shared" si="96"/>
        <v>0</v>
      </c>
      <c r="AE173" s="107">
        <f t="shared" si="97"/>
        <v>0</v>
      </c>
      <c r="AF173" s="107"/>
      <c r="AG173" s="142">
        <f t="shared" si="98"/>
        <v>0</v>
      </c>
      <c r="AH173" s="210">
        <f t="shared" si="99"/>
        <v>202.26013739060463</v>
      </c>
      <c r="AI173" s="107">
        <f t="shared" si="83"/>
        <v>40.343958511792728</v>
      </c>
      <c r="AJ173" s="333">
        <v>30.177064083400357</v>
      </c>
      <c r="AK173" s="121">
        <f t="shared" si="84"/>
        <v>0</v>
      </c>
      <c r="AL173" s="107"/>
      <c r="AM173" s="107">
        <f t="shared" si="100"/>
        <v>168.98322622843349</v>
      </c>
      <c r="AN173" s="107">
        <f t="shared" si="101"/>
        <v>56.860746401206306</v>
      </c>
      <c r="AO173" s="107"/>
      <c r="AP173" s="143">
        <f t="shared" si="102"/>
        <v>498.62513261543751</v>
      </c>
      <c r="AQ173" s="34"/>
      <c r="AR173" s="29"/>
      <c r="AS173" s="124"/>
      <c r="AT173" s="138">
        <f t="shared" si="103"/>
        <v>50.307188504409915</v>
      </c>
      <c r="AU173" s="151">
        <f t="shared" si="104"/>
        <v>1731.9926054783534</v>
      </c>
      <c r="AW173" s="1">
        <v>3</v>
      </c>
      <c r="BA173" s="30">
        <v>241.98</v>
      </c>
      <c r="BB173" s="30">
        <v>45.74</v>
      </c>
      <c r="BC173" s="30">
        <v>0</v>
      </c>
      <c r="BD173" s="30">
        <v>156</v>
      </c>
      <c r="BI173" s="333">
        <v>0</v>
      </c>
      <c r="BL173" s="110">
        <f t="shared" ref="BL173:BO179" si="112">BA$399</f>
        <v>1.2233877438623886</v>
      </c>
      <c r="BM173" s="110">
        <f t="shared" si="112"/>
        <v>1.2807066670574303</v>
      </c>
      <c r="BN173" s="110">
        <f t="shared" si="112"/>
        <v>0.82443024793968056</v>
      </c>
      <c r="BO173" s="110">
        <f t="shared" si="112"/>
        <v>1.2965393422474656</v>
      </c>
    </row>
    <row r="174" spans="1:67" x14ac:dyDescent="0.25">
      <c r="A174" s="260" t="s">
        <v>167</v>
      </c>
      <c r="B174" s="237">
        <v>2</v>
      </c>
      <c r="C174" s="236">
        <f>'побудинковий звіт'!E174</f>
        <v>0</v>
      </c>
      <c r="D174" s="141">
        <f t="shared" si="85"/>
        <v>72.975078921391471</v>
      </c>
      <c r="E174" s="107">
        <f t="shared" si="79"/>
        <v>15.04213285571789</v>
      </c>
      <c r="F174" s="333">
        <v>9.6056253877176854</v>
      </c>
      <c r="G174" s="107">
        <f t="shared" si="80"/>
        <v>0</v>
      </c>
      <c r="H174" s="735">
        <f t="shared" si="86"/>
        <v>60.968831671445848</v>
      </c>
      <c r="I174" s="107">
        <f t="shared" si="87"/>
        <v>20.412783249282462</v>
      </c>
      <c r="J174" s="29"/>
      <c r="K174" s="142">
        <f t="shared" si="88"/>
        <v>179.00445208555536</v>
      </c>
      <c r="L174" s="210">
        <f t="shared" si="89"/>
        <v>12.486890003809945</v>
      </c>
      <c r="M174" s="107">
        <f t="shared" si="81"/>
        <v>2.7473396306391491</v>
      </c>
      <c r="N174" s="333">
        <v>0</v>
      </c>
      <c r="O174" s="107"/>
      <c r="P174" s="107">
        <f t="shared" si="90"/>
        <v>10.432480594673015</v>
      </c>
      <c r="Q174" s="107">
        <f t="shared" si="91"/>
        <v>3.3036350299718782</v>
      </c>
      <c r="R174" s="107"/>
      <c r="S174" s="143">
        <f t="shared" si="92"/>
        <v>28.970345259093989</v>
      </c>
      <c r="T174" s="244">
        <v>55.33</v>
      </c>
      <c r="U174" s="107"/>
      <c r="V174" s="151">
        <f t="shared" si="93"/>
        <v>55.33</v>
      </c>
      <c r="W174" s="246"/>
      <c r="X174" s="107"/>
      <c r="Y174" s="46">
        <f t="shared" si="94"/>
        <v>0</v>
      </c>
      <c r="Z174" s="141">
        <f t="shared" si="95"/>
        <v>0</v>
      </c>
      <c r="AA174" s="107">
        <f t="shared" si="82"/>
        <v>0</v>
      </c>
      <c r="AB174" s="333">
        <v>0</v>
      </c>
      <c r="AC174" s="107"/>
      <c r="AD174" s="107">
        <f t="shared" si="96"/>
        <v>0</v>
      </c>
      <c r="AE174" s="107">
        <f t="shared" si="97"/>
        <v>0</v>
      </c>
      <c r="AF174" s="107"/>
      <c r="AG174" s="142">
        <f t="shared" si="98"/>
        <v>0</v>
      </c>
      <c r="AH174" s="210">
        <f t="shared" si="99"/>
        <v>47.219962844652699</v>
      </c>
      <c r="AI174" s="107">
        <f t="shared" si="83"/>
        <v>9.4187626217916112</v>
      </c>
      <c r="AJ174" s="333">
        <v>5.4067059028504927</v>
      </c>
      <c r="AK174" s="121">
        <f t="shared" si="84"/>
        <v>0</v>
      </c>
      <c r="AL174" s="107"/>
      <c r="AM174" s="107">
        <f t="shared" si="100"/>
        <v>39.45108396948428</v>
      </c>
      <c r="AN174" s="107">
        <f t="shared" si="101"/>
        <v>13.063904197306135</v>
      </c>
      <c r="AO174" s="107"/>
      <c r="AP174" s="143">
        <f t="shared" si="102"/>
        <v>114.56041953608522</v>
      </c>
      <c r="AQ174" s="34"/>
      <c r="AR174" s="29"/>
      <c r="AS174" s="124"/>
      <c r="AT174" s="138">
        <f t="shared" si="103"/>
        <v>0</v>
      </c>
      <c r="AU174" s="151">
        <f t="shared" si="104"/>
        <v>377.86521688073458</v>
      </c>
      <c r="AW174" s="1">
        <v>3</v>
      </c>
      <c r="BA174" s="30">
        <v>59.65</v>
      </c>
      <c r="BB174" s="30">
        <v>9.75</v>
      </c>
      <c r="BC174" s="30">
        <v>0</v>
      </c>
      <c r="BD174" s="30">
        <v>36.42</v>
      </c>
      <c r="BI174" s="333">
        <v>0</v>
      </c>
      <c r="BL174" s="110">
        <f t="shared" si="112"/>
        <v>1.2233877438623886</v>
      </c>
      <c r="BM174" s="110">
        <f t="shared" si="112"/>
        <v>1.2807066670574303</v>
      </c>
      <c r="BN174" s="110">
        <f t="shared" si="112"/>
        <v>0.82443024793968056</v>
      </c>
      <c r="BO174" s="110">
        <f t="shared" si="112"/>
        <v>1.2965393422474656</v>
      </c>
    </row>
    <row r="175" spans="1:67" x14ac:dyDescent="0.25">
      <c r="A175" s="434" t="s">
        <v>116</v>
      </c>
      <c r="B175" s="238">
        <v>1</v>
      </c>
      <c r="C175" s="236">
        <f>'побудинковий звіт'!E175</f>
        <v>0</v>
      </c>
      <c r="D175" s="141">
        <f t="shared" si="85"/>
        <v>0</v>
      </c>
      <c r="E175" s="107">
        <f t="shared" si="79"/>
        <v>0</v>
      </c>
      <c r="F175" s="333">
        <v>0</v>
      </c>
      <c r="G175" s="107">
        <f t="shared" si="80"/>
        <v>0</v>
      </c>
      <c r="H175" s="735">
        <f t="shared" si="86"/>
        <v>0</v>
      </c>
      <c r="I175" s="107">
        <f t="shared" si="87"/>
        <v>0</v>
      </c>
      <c r="J175" s="29"/>
      <c r="K175" s="142">
        <f t="shared" si="88"/>
        <v>0</v>
      </c>
      <c r="L175" s="210">
        <f t="shared" si="89"/>
        <v>0</v>
      </c>
      <c r="M175" s="107">
        <f t="shared" si="81"/>
        <v>0</v>
      </c>
      <c r="N175" s="333">
        <v>0</v>
      </c>
      <c r="O175" s="107"/>
      <c r="P175" s="107">
        <f t="shared" si="90"/>
        <v>0</v>
      </c>
      <c r="Q175" s="107">
        <f t="shared" si="91"/>
        <v>0</v>
      </c>
      <c r="R175" s="107"/>
      <c r="S175" s="143">
        <f t="shared" si="92"/>
        <v>0</v>
      </c>
      <c r="T175" s="245"/>
      <c r="U175" s="107"/>
      <c r="V175" s="151">
        <f t="shared" si="93"/>
        <v>0</v>
      </c>
      <c r="W175" s="246"/>
      <c r="X175" s="107"/>
      <c r="Y175" s="46">
        <f t="shared" si="94"/>
        <v>0</v>
      </c>
      <c r="Z175" s="141">
        <f t="shared" si="95"/>
        <v>0</v>
      </c>
      <c r="AA175" s="107">
        <f t="shared" si="82"/>
        <v>0</v>
      </c>
      <c r="AB175" s="333">
        <v>0</v>
      </c>
      <c r="AC175" s="107"/>
      <c r="AD175" s="107">
        <f t="shared" si="96"/>
        <v>0</v>
      </c>
      <c r="AE175" s="107">
        <f t="shared" si="97"/>
        <v>0</v>
      </c>
      <c r="AF175" s="107"/>
      <c r="AG175" s="142">
        <f t="shared" si="98"/>
        <v>0</v>
      </c>
      <c r="AH175" s="210">
        <f t="shared" si="99"/>
        <v>0</v>
      </c>
      <c r="AI175" s="107">
        <f t="shared" si="83"/>
        <v>0</v>
      </c>
      <c r="AJ175" s="333">
        <v>0</v>
      </c>
      <c r="AK175" s="121">
        <f t="shared" si="84"/>
        <v>0</v>
      </c>
      <c r="AL175" s="107"/>
      <c r="AM175" s="107">
        <f t="shared" si="100"/>
        <v>0</v>
      </c>
      <c r="AN175" s="107">
        <f t="shared" si="101"/>
        <v>0</v>
      </c>
      <c r="AO175" s="107"/>
      <c r="AP175" s="143">
        <f t="shared" si="102"/>
        <v>0</v>
      </c>
      <c r="AQ175" s="34"/>
      <c r="AR175" s="29"/>
      <c r="AS175" s="124"/>
      <c r="AT175" s="138">
        <f t="shared" si="103"/>
        <v>0</v>
      </c>
      <c r="AU175" s="151">
        <f t="shared" si="104"/>
        <v>0</v>
      </c>
      <c r="AW175" s="1">
        <v>3</v>
      </c>
      <c r="BA175" s="30">
        <v>0</v>
      </c>
      <c r="BB175" s="30">
        <v>0</v>
      </c>
      <c r="BC175" s="30">
        <v>0</v>
      </c>
      <c r="BD175" s="30">
        <v>0</v>
      </c>
      <c r="BI175" s="333">
        <v>0</v>
      </c>
      <c r="BL175" s="110">
        <f t="shared" si="112"/>
        <v>1.2233877438623886</v>
      </c>
      <c r="BM175" s="110">
        <f t="shared" si="112"/>
        <v>1.2807066670574303</v>
      </c>
      <c r="BN175" s="110">
        <f t="shared" si="112"/>
        <v>0.82443024793968056</v>
      </c>
      <c r="BO175" s="110">
        <f t="shared" si="112"/>
        <v>1.2965393422474656</v>
      </c>
    </row>
    <row r="176" spans="1:67" x14ac:dyDescent="0.25">
      <c r="A176" s="434" t="s">
        <v>117</v>
      </c>
      <c r="B176" s="238">
        <v>1</v>
      </c>
      <c r="C176" s="236">
        <f>'побудинковий звіт'!E176</f>
        <v>137.30000000000001</v>
      </c>
      <c r="D176" s="141">
        <f t="shared" si="85"/>
        <v>0</v>
      </c>
      <c r="E176" s="107">
        <f t="shared" si="79"/>
        <v>0</v>
      </c>
      <c r="F176" s="333">
        <v>0</v>
      </c>
      <c r="G176" s="107">
        <f t="shared" si="80"/>
        <v>0</v>
      </c>
      <c r="H176" s="735">
        <f t="shared" si="86"/>
        <v>0</v>
      </c>
      <c r="I176" s="107">
        <f t="shared" si="87"/>
        <v>0</v>
      </c>
      <c r="J176" s="29"/>
      <c r="K176" s="142">
        <f t="shared" si="88"/>
        <v>0</v>
      </c>
      <c r="L176" s="210">
        <f t="shared" si="89"/>
        <v>0</v>
      </c>
      <c r="M176" s="107">
        <f t="shared" si="81"/>
        <v>0</v>
      </c>
      <c r="N176" s="333">
        <v>0</v>
      </c>
      <c r="O176" s="107"/>
      <c r="P176" s="107">
        <f t="shared" si="90"/>
        <v>0</v>
      </c>
      <c r="Q176" s="107">
        <f t="shared" si="91"/>
        <v>0</v>
      </c>
      <c r="R176" s="107"/>
      <c r="S176" s="143">
        <f t="shared" si="92"/>
        <v>0</v>
      </c>
      <c r="T176" s="245"/>
      <c r="U176" s="107"/>
      <c r="V176" s="151">
        <f t="shared" si="93"/>
        <v>0</v>
      </c>
      <c r="W176" s="246"/>
      <c r="X176" s="107"/>
      <c r="Y176" s="46">
        <f t="shared" si="94"/>
        <v>0</v>
      </c>
      <c r="Z176" s="141">
        <f t="shared" si="95"/>
        <v>0</v>
      </c>
      <c r="AA176" s="107">
        <f t="shared" si="82"/>
        <v>0</v>
      </c>
      <c r="AB176" s="333">
        <v>0</v>
      </c>
      <c r="AC176" s="107"/>
      <c r="AD176" s="107">
        <f t="shared" si="96"/>
        <v>0</v>
      </c>
      <c r="AE176" s="107">
        <f t="shared" si="97"/>
        <v>0</v>
      </c>
      <c r="AF176" s="107"/>
      <c r="AG176" s="142">
        <f t="shared" si="98"/>
        <v>0</v>
      </c>
      <c r="AH176" s="210">
        <f t="shared" si="99"/>
        <v>0</v>
      </c>
      <c r="AI176" s="107">
        <f t="shared" si="83"/>
        <v>0</v>
      </c>
      <c r="AJ176" s="333">
        <v>0</v>
      </c>
      <c r="AK176" s="121">
        <f t="shared" si="84"/>
        <v>0</v>
      </c>
      <c r="AL176" s="107"/>
      <c r="AM176" s="107">
        <f t="shared" si="100"/>
        <v>0</v>
      </c>
      <c r="AN176" s="107">
        <f t="shared" si="101"/>
        <v>0</v>
      </c>
      <c r="AO176" s="107"/>
      <c r="AP176" s="143">
        <f t="shared" si="102"/>
        <v>0</v>
      </c>
      <c r="AQ176" s="34"/>
      <c r="AR176" s="29"/>
      <c r="AS176" s="124"/>
      <c r="AT176" s="138">
        <f t="shared" si="103"/>
        <v>0</v>
      </c>
      <c r="AU176" s="151">
        <f t="shared" si="104"/>
        <v>0</v>
      </c>
      <c r="AW176" s="1">
        <v>3</v>
      </c>
      <c r="BA176" s="30">
        <v>0</v>
      </c>
      <c r="BB176" s="30">
        <v>0</v>
      </c>
      <c r="BC176" s="30">
        <v>0</v>
      </c>
      <c r="BD176" s="30">
        <v>0</v>
      </c>
      <c r="BI176" s="333">
        <v>0</v>
      </c>
      <c r="BL176" s="110">
        <f t="shared" si="112"/>
        <v>1.2233877438623886</v>
      </c>
      <c r="BM176" s="110">
        <f t="shared" si="112"/>
        <v>1.2807066670574303</v>
      </c>
      <c r="BN176" s="110">
        <f t="shared" si="112"/>
        <v>0.82443024793968056</v>
      </c>
      <c r="BO176" s="110">
        <f t="shared" si="112"/>
        <v>1.2965393422474656</v>
      </c>
    </row>
    <row r="177" spans="1:71" x14ac:dyDescent="0.25">
      <c r="A177" s="434" t="s">
        <v>118</v>
      </c>
      <c r="B177" s="238">
        <v>1</v>
      </c>
      <c r="C177" s="236">
        <f>'побудинковий звіт'!E177</f>
        <v>211.6</v>
      </c>
      <c r="D177" s="141">
        <f t="shared" si="85"/>
        <v>0</v>
      </c>
      <c r="E177" s="107">
        <f t="shared" si="79"/>
        <v>0</v>
      </c>
      <c r="F177" s="333">
        <v>0</v>
      </c>
      <c r="G177" s="107">
        <f t="shared" si="80"/>
        <v>0</v>
      </c>
      <c r="H177" s="735">
        <f t="shared" si="86"/>
        <v>0</v>
      </c>
      <c r="I177" s="107">
        <f t="shared" si="87"/>
        <v>0</v>
      </c>
      <c r="J177" s="29"/>
      <c r="K177" s="142">
        <f t="shared" si="88"/>
        <v>0</v>
      </c>
      <c r="L177" s="210">
        <f t="shared" si="89"/>
        <v>0</v>
      </c>
      <c r="M177" s="107">
        <f t="shared" si="81"/>
        <v>0</v>
      </c>
      <c r="N177" s="333">
        <v>0</v>
      </c>
      <c r="O177" s="107"/>
      <c r="P177" s="107">
        <f t="shared" si="90"/>
        <v>0</v>
      </c>
      <c r="Q177" s="107">
        <f t="shared" si="91"/>
        <v>0</v>
      </c>
      <c r="R177" s="107"/>
      <c r="S177" s="143">
        <f t="shared" si="92"/>
        <v>0</v>
      </c>
      <c r="T177" s="245"/>
      <c r="U177" s="107"/>
      <c r="V177" s="151">
        <f t="shared" si="93"/>
        <v>0</v>
      </c>
      <c r="W177" s="246"/>
      <c r="X177" s="107"/>
      <c r="Y177" s="46">
        <f t="shared" si="94"/>
        <v>0</v>
      </c>
      <c r="Z177" s="141">
        <f t="shared" si="95"/>
        <v>0</v>
      </c>
      <c r="AA177" s="107">
        <f t="shared" si="82"/>
        <v>0</v>
      </c>
      <c r="AB177" s="333">
        <v>0</v>
      </c>
      <c r="AC177" s="107"/>
      <c r="AD177" s="107">
        <f t="shared" si="96"/>
        <v>0</v>
      </c>
      <c r="AE177" s="107">
        <f t="shared" si="97"/>
        <v>0</v>
      </c>
      <c r="AF177" s="107"/>
      <c r="AG177" s="142">
        <f t="shared" si="98"/>
        <v>0</v>
      </c>
      <c r="AH177" s="210">
        <f t="shared" si="99"/>
        <v>0</v>
      </c>
      <c r="AI177" s="107">
        <f t="shared" si="83"/>
        <v>0</v>
      </c>
      <c r="AJ177" s="333">
        <v>0</v>
      </c>
      <c r="AK177" s="121">
        <f t="shared" si="84"/>
        <v>0</v>
      </c>
      <c r="AL177" s="107"/>
      <c r="AM177" s="107">
        <f t="shared" si="100"/>
        <v>0</v>
      </c>
      <c r="AN177" s="107">
        <f t="shared" si="101"/>
        <v>0</v>
      </c>
      <c r="AO177" s="107"/>
      <c r="AP177" s="143">
        <f t="shared" si="102"/>
        <v>0</v>
      </c>
      <c r="AQ177" s="34"/>
      <c r="AR177" s="29"/>
      <c r="AS177" s="124"/>
      <c r="AT177" s="138">
        <f t="shared" si="103"/>
        <v>0</v>
      </c>
      <c r="AU177" s="151">
        <f t="shared" si="104"/>
        <v>0</v>
      </c>
      <c r="AW177" s="1">
        <v>3</v>
      </c>
      <c r="BA177" s="30">
        <v>0</v>
      </c>
      <c r="BB177" s="30">
        <v>0</v>
      </c>
      <c r="BC177" s="30">
        <v>0</v>
      </c>
      <c r="BD177" s="30">
        <v>0</v>
      </c>
      <c r="BI177" s="333">
        <v>0</v>
      </c>
      <c r="BL177" s="110">
        <f t="shared" si="112"/>
        <v>1.2233877438623886</v>
      </c>
      <c r="BM177" s="110">
        <f t="shared" si="112"/>
        <v>1.2807066670574303</v>
      </c>
      <c r="BN177" s="110">
        <f t="shared" si="112"/>
        <v>0.82443024793968056</v>
      </c>
      <c r="BO177" s="110">
        <f t="shared" si="112"/>
        <v>1.2965393422474656</v>
      </c>
    </row>
    <row r="178" spans="1:71" x14ac:dyDescent="0.25">
      <c r="A178" s="434" t="s">
        <v>119</v>
      </c>
      <c r="B178" s="238">
        <v>1</v>
      </c>
      <c r="C178" s="236">
        <f>'побудинковий звіт'!E178</f>
        <v>180.6</v>
      </c>
      <c r="D178" s="141">
        <f t="shared" si="85"/>
        <v>0</v>
      </c>
      <c r="E178" s="107">
        <f t="shared" si="79"/>
        <v>0</v>
      </c>
      <c r="F178" s="333">
        <v>0</v>
      </c>
      <c r="G178" s="107">
        <f t="shared" si="80"/>
        <v>0</v>
      </c>
      <c r="H178" s="735">
        <f t="shared" si="86"/>
        <v>0</v>
      </c>
      <c r="I178" s="107">
        <f t="shared" si="87"/>
        <v>0</v>
      </c>
      <c r="J178" s="29"/>
      <c r="K178" s="142">
        <f t="shared" si="88"/>
        <v>0</v>
      </c>
      <c r="L178" s="210">
        <f t="shared" si="89"/>
        <v>0</v>
      </c>
      <c r="M178" s="107">
        <f t="shared" si="81"/>
        <v>0</v>
      </c>
      <c r="N178" s="333">
        <v>0</v>
      </c>
      <c r="O178" s="107"/>
      <c r="P178" s="107">
        <f t="shared" si="90"/>
        <v>0</v>
      </c>
      <c r="Q178" s="107">
        <f t="shared" si="91"/>
        <v>0</v>
      </c>
      <c r="R178" s="107"/>
      <c r="S178" s="143">
        <f t="shared" si="92"/>
        <v>0</v>
      </c>
      <c r="T178" s="245"/>
      <c r="U178" s="107"/>
      <c r="V178" s="151">
        <f t="shared" si="93"/>
        <v>0</v>
      </c>
      <c r="W178" s="246"/>
      <c r="X178" s="107"/>
      <c r="Y178" s="46">
        <f t="shared" si="94"/>
        <v>0</v>
      </c>
      <c r="Z178" s="141">
        <f t="shared" si="95"/>
        <v>0</v>
      </c>
      <c r="AA178" s="107">
        <f t="shared" si="82"/>
        <v>0</v>
      </c>
      <c r="AB178" s="333">
        <v>0</v>
      </c>
      <c r="AC178" s="107"/>
      <c r="AD178" s="107">
        <f t="shared" si="96"/>
        <v>0</v>
      </c>
      <c r="AE178" s="107">
        <f t="shared" si="97"/>
        <v>0</v>
      </c>
      <c r="AF178" s="107"/>
      <c r="AG178" s="142">
        <f t="shared" si="98"/>
        <v>0</v>
      </c>
      <c r="AH178" s="210">
        <f t="shared" si="99"/>
        <v>0</v>
      </c>
      <c r="AI178" s="107">
        <f t="shared" si="83"/>
        <v>0</v>
      </c>
      <c r="AJ178" s="333">
        <v>0</v>
      </c>
      <c r="AK178" s="121">
        <f t="shared" si="84"/>
        <v>0</v>
      </c>
      <c r="AL178" s="107"/>
      <c r="AM178" s="107">
        <f t="shared" si="100"/>
        <v>0</v>
      </c>
      <c r="AN178" s="107">
        <f t="shared" si="101"/>
        <v>0</v>
      </c>
      <c r="AO178" s="107"/>
      <c r="AP178" s="143">
        <f t="shared" si="102"/>
        <v>0</v>
      </c>
      <c r="AQ178" s="34"/>
      <c r="AR178" s="29"/>
      <c r="AS178" s="124"/>
      <c r="AT178" s="138">
        <f t="shared" si="103"/>
        <v>0</v>
      </c>
      <c r="AU178" s="151">
        <f t="shared" si="104"/>
        <v>0</v>
      </c>
      <c r="AW178" s="1">
        <v>3</v>
      </c>
      <c r="BA178" s="30">
        <v>0</v>
      </c>
      <c r="BB178" s="30">
        <v>0</v>
      </c>
      <c r="BC178" s="30">
        <v>0</v>
      </c>
      <c r="BD178" s="30">
        <v>0</v>
      </c>
      <c r="BI178" s="333">
        <v>0</v>
      </c>
      <c r="BL178" s="110">
        <f t="shared" si="112"/>
        <v>1.2233877438623886</v>
      </c>
      <c r="BM178" s="110">
        <f t="shared" si="112"/>
        <v>1.2807066670574303</v>
      </c>
      <c r="BN178" s="110">
        <f t="shared" si="112"/>
        <v>0.82443024793968056</v>
      </c>
      <c r="BO178" s="110">
        <f t="shared" si="112"/>
        <v>1.2965393422474656</v>
      </c>
    </row>
    <row r="179" spans="1:71" x14ac:dyDescent="0.25">
      <c r="A179" s="260" t="s">
        <v>168</v>
      </c>
      <c r="B179" s="237">
        <v>2</v>
      </c>
      <c r="C179" s="236">
        <f>'побудинковий звіт'!E179</f>
        <v>102.4</v>
      </c>
      <c r="D179" s="141">
        <f t="shared" si="85"/>
        <v>60.777903115083461</v>
      </c>
      <c r="E179" s="107">
        <f t="shared" si="79"/>
        <v>12.527965805063953</v>
      </c>
      <c r="F179" s="333">
        <v>10.098201795931441</v>
      </c>
      <c r="G179" s="107">
        <f t="shared" si="80"/>
        <v>0</v>
      </c>
      <c r="H179" s="735">
        <f t="shared" si="86"/>
        <v>50.778399957039895</v>
      </c>
      <c r="I179" s="107">
        <f t="shared" si="87"/>
        <v>17.271006161939724</v>
      </c>
      <c r="J179" s="29"/>
      <c r="K179" s="142">
        <f t="shared" si="88"/>
        <v>151.4534768350585</v>
      </c>
      <c r="L179" s="210">
        <f t="shared" si="89"/>
        <v>9.8486342696716402</v>
      </c>
      <c r="M179" s="107">
        <f t="shared" si="81"/>
        <v>2.1668760779092371</v>
      </c>
      <c r="N179" s="333">
        <v>0</v>
      </c>
      <c r="O179" s="107"/>
      <c r="P179" s="107">
        <f t="shared" si="90"/>
        <v>8.2282846946703074</v>
      </c>
      <c r="Q179" s="107">
        <f t="shared" si="91"/>
        <v>2.6056362441521794</v>
      </c>
      <c r="R179" s="107"/>
      <c r="S179" s="143">
        <f t="shared" si="92"/>
        <v>22.849431286403366</v>
      </c>
      <c r="T179" s="244">
        <v>48.04</v>
      </c>
      <c r="U179" s="107"/>
      <c r="V179" s="151">
        <f t="shared" si="93"/>
        <v>48.04</v>
      </c>
      <c r="W179" s="906">
        <v>9.83</v>
      </c>
      <c r="X179" s="107"/>
      <c r="Y179" s="46">
        <f t="shared" si="94"/>
        <v>9.83</v>
      </c>
      <c r="Z179" s="141">
        <f t="shared" si="95"/>
        <v>0</v>
      </c>
      <c r="AA179" s="107">
        <f t="shared" si="82"/>
        <v>0</v>
      </c>
      <c r="AB179" s="333">
        <v>0</v>
      </c>
      <c r="AC179" s="107"/>
      <c r="AD179" s="107">
        <f t="shared" si="96"/>
        <v>0</v>
      </c>
      <c r="AE179" s="107">
        <f t="shared" si="97"/>
        <v>0</v>
      </c>
      <c r="AF179" s="107"/>
      <c r="AG179" s="142">
        <f t="shared" si="98"/>
        <v>0</v>
      </c>
      <c r="AH179" s="210">
        <f t="shared" si="99"/>
        <v>21.198418245746065</v>
      </c>
      <c r="AI179" s="107">
        <f t="shared" si="83"/>
        <v>4.2283571901782775</v>
      </c>
      <c r="AJ179" s="333">
        <v>5.6839617468374506</v>
      </c>
      <c r="AK179" s="121">
        <f t="shared" si="84"/>
        <v>0</v>
      </c>
      <c r="AL179" s="107"/>
      <c r="AM179" s="107">
        <f t="shared" si="100"/>
        <v>17.710741979710821</v>
      </c>
      <c r="AN179" s="107">
        <f t="shared" si="101"/>
        <v>6.2839509752669711</v>
      </c>
      <c r="AO179" s="107"/>
      <c r="AP179" s="143">
        <f t="shared" si="102"/>
        <v>55.105430137739582</v>
      </c>
      <c r="AQ179" s="34"/>
      <c r="AR179" s="29"/>
      <c r="AS179" s="124"/>
      <c r="AT179" s="138">
        <f t="shared" si="103"/>
        <v>47.566538345813257</v>
      </c>
      <c r="AU179" s="151">
        <f t="shared" si="104"/>
        <v>334.84487660501475</v>
      </c>
      <c r="AW179" s="1">
        <v>3</v>
      </c>
      <c r="BA179" s="30">
        <v>49.68</v>
      </c>
      <c r="BB179" s="30">
        <v>7.69</v>
      </c>
      <c r="BC179" s="30">
        <v>0</v>
      </c>
      <c r="BD179" s="30">
        <v>16.350000000000001</v>
      </c>
      <c r="BI179" s="333">
        <v>0</v>
      </c>
      <c r="BL179" s="110">
        <f t="shared" si="112"/>
        <v>1.2233877438623886</v>
      </c>
      <c r="BM179" s="110">
        <f t="shared" si="112"/>
        <v>1.2807066670574303</v>
      </c>
      <c r="BN179" s="110">
        <f t="shared" si="112"/>
        <v>0.82443024793968056</v>
      </c>
      <c r="BO179" s="110">
        <f t="shared" si="112"/>
        <v>1.2965393422474656</v>
      </c>
    </row>
    <row r="180" spans="1:71" x14ac:dyDescent="0.25">
      <c r="A180" s="260" t="s">
        <v>264</v>
      </c>
      <c r="B180" s="237">
        <v>5</v>
      </c>
      <c r="C180" s="236">
        <f>'побудинковий звіт'!E180</f>
        <v>180.22</v>
      </c>
      <c r="D180" s="141">
        <f t="shared" si="85"/>
        <v>583.1508515221235</v>
      </c>
      <c r="E180" s="107">
        <f t="shared" si="79"/>
        <v>120.203125685822</v>
      </c>
      <c r="F180" s="333">
        <v>95.311380353882228</v>
      </c>
      <c r="G180" s="107">
        <f t="shared" si="80"/>
        <v>0</v>
      </c>
      <c r="H180" s="735">
        <f t="shared" si="86"/>
        <v>487.2077787515837</v>
      </c>
      <c r="I180" s="107">
        <f t="shared" si="87"/>
        <v>165.50837638727992</v>
      </c>
      <c r="J180" s="29"/>
      <c r="K180" s="142">
        <f t="shared" si="88"/>
        <v>1451.3815127006912</v>
      </c>
      <c r="L180" s="210">
        <f t="shared" si="89"/>
        <v>123.39927979703367</v>
      </c>
      <c r="M180" s="107">
        <f t="shared" si="81"/>
        <v>27.150053510143785</v>
      </c>
      <c r="N180" s="333">
        <v>0</v>
      </c>
      <c r="O180" s="107"/>
      <c r="P180" s="107">
        <f t="shared" si="90"/>
        <v>103.09697542673842</v>
      </c>
      <c r="Q180" s="107">
        <f t="shared" si="91"/>
        <v>32.647535398037157</v>
      </c>
      <c r="R180" s="107"/>
      <c r="S180" s="143">
        <f t="shared" si="92"/>
        <v>286.29384413195305</v>
      </c>
      <c r="T180" s="244">
        <v>509.28</v>
      </c>
      <c r="U180" s="107"/>
      <c r="V180" s="151">
        <f t="shared" si="93"/>
        <v>509.28</v>
      </c>
      <c r="W180" s="246"/>
      <c r="X180" s="107"/>
      <c r="Y180" s="46">
        <f t="shared" si="94"/>
        <v>0</v>
      </c>
      <c r="Z180" s="141">
        <f t="shared" si="95"/>
        <v>123.904224617686</v>
      </c>
      <c r="AA180" s="107">
        <f t="shared" si="82"/>
        <v>27.235129349738173</v>
      </c>
      <c r="AB180" s="333">
        <v>0</v>
      </c>
      <c r="AC180" s="107"/>
      <c r="AD180" s="107">
        <f t="shared" si="96"/>
        <v>103.51884404584445</v>
      </c>
      <c r="AE180" s="107">
        <f t="shared" si="97"/>
        <v>32.777778535544108</v>
      </c>
      <c r="AF180" s="107"/>
      <c r="AG180" s="142">
        <f t="shared" si="98"/>
        <v>287.43597654881273</v>
      </c>
      <c r="AH180" s="210">
        <f t="shared" si="99"/>
        <v>387.00950656628595</v>
      </c>
      <c r="AI180" s="107">
        <f t="shared" si="83"/>
        <v>77.195119503092428</v>
      </c>
      <c r="AJ180" s="333">
        <v>37.421071525057016</v>
      </c>
      <c r="AK180" s="121">
        <f t="shared" si="84"/>
        <v>0</v>
      </c>
      <c r="AL180" s="107"/>
      <c r="AM180" s="107">
        <f t="shared" si="100"/>
        <v>323.33664875520344</v>
      </c>
      <c r="AN180" s="107">
        <f t="shared" si="101"/>
        <v>106.18324208593667</v>
      </c>
      <c r="AO180" s="107"/>
      <c r="AP180" s="143">
        <f t="shared" si="102"/>
        <v>931.14558843557552</v>
      </c>
      <c r="AQ180" s="141"/>
      <c r="AR180" s="107"/>
      <c r="AS180" s="142"/>
      <c r="AT180" s="138">
        <f t="shared" si="103"/>
        <v>83.71524942072719</v>
      </c>
      <c r="AU180" s="151">
        <f t="shared" si="104"/>
        <v>3549.2521712377597</v>
      </c>
      <c r="AW180" s="1">
        <v>2</v>
      </c>
      <c r="BA180" s="30">
        <v>531.69000000000005</v>
      </c>
      <c r="BB180" s="30">
        <v>110.9</v>
      </c>
      <c r="BC180" s="30">
        <v>43.76</v>
      </c>
      <c r="BD180" s="30">
        <v>373.24</v>
      </c>
      <c r="BI180" s="333">
        <v>0</v>
      </c>
      <c r="BL180" s="110">
        <f>BA$398</f>
        <v>1.0967873225415627</v>
      </c>
      <c r="BM180" s="110">
        <f>BB$398</f>
        <v>1.1127076627324948</v>
      </c>
      <c r="BN180" s="110">
        <f>BC$398</f>
        <v>2.8314493742615632</v>
      </c>
      <c r="BO180" s="110">
        <f>BD$398</f>
        <v>1.036891829831438</v>
      </c>
    </row>
    <row r="181" spans="1:71" x14ac:dyDescent="0.25">
      <c r="A181" s="260" t="s">
        <v>370</v>
      </c>
      <c r="B181" s="237">
        <v>9</v>
      </c>
      <c r="C181" s="236">
        <f>'побудинковий звіт'!E181</f>
        <v>278.3</v>
      </c>
      <c r="D181" s="141">
        <f t="shared" si="85"/>
        <v>907.3010524806632</v>
      </c>
      <c r="E181" s="107">
        <f t="shared" si="79"/>
        <v>187.01922866363887</v>
      </c>
      <c r="F181" s="333">
        <v>161.98106669583208</v>
      </c>
      <c r="G181" s="107">
        <f t="shared" si="80"/>
        <v>0</v>
      </c>
      <c r="H181" s="735">
        <f t="shared" si="86"/>
        <v>758.02706844081115</v>
      </c>
      <c r="I181" s="107">
        <f t="shared" si="87"/>
        <v>259.26992039451244</v>
      </c>
      <c r="J181" s="29"/>
      <c r="K181" s="142">
        <f t="shared" si="88"/>
        <v>2273.5983366754581</v>
      </c>
      <c r="L181" s="210">
        <f t="shared" si="89"/>
        <v>178.68419418785268</v>
      </c>
      <c r="M181" s="107">
        <f t="shared" si="81"/>
        <v>39.313725668387093</v>
      </c>
      <c r="N181" s="333">
        <v>0</v>
      </c>
      <c r="O181" s="107"/>
      <c r="P181" s="107">
        <f t="shared" si="90"/>
        <v>149.28612231474659</v>
      </c>
      <c r="Q181" s="107">
        <f t="shared" si="91"/>
        <v>47.274170192992457</v>
      </c>
      <c r="R181" s="107"/>
      <c r="S181" s="143">
        <f t="shared" si="92"/>
        <v>414.55821236397884</v>
      </c>
      <c r="T181" s="244">
        <v>679.25</v>
      </c>
      <c r="U181" s="107"/>
      <c r="V181" s="151">
        <f t="shared" si="93"/>
        <v>679.25</v>
      </c>
      <c r="W181" s="906">
        <v>168.63</v>
      </c>
      <c r="X181" s="107"/>
      <c r="Y181" s="46">
        <f t="shared" si="94"/>
        <v>168.63</v>
      </c>
      <c r="Z181" s="141">
        <f t="shared" si="95"/>
        <v>32.614460608493765</v>
      </c>
      <c r="AA181" s="107">
        <f t="shared" si="82"/>
        <v>7.1689166054268556</v>
      </c>
      <c r="AB181" s="333">
        <v>0</v>
      </c>
      <c r="AC181" s="107"/>
      <c r="AD181" s="107">
        <f t="shared" si="96"/>
        <v>27.248556470027616</v>
      </c>
      <c r="AE181" s="107">
        <f t="shared" si="97"/>
        <v>8.6278701971622951</v>
      </c>
      <c r="AF181" s="107"/>
      <c r="AG181" s="142">
        <f t="shared" si="98"/>
        <v>75.659803881110534</v>
      </c>
      <c r="AH181" s="210">
        <f t="shared" si="99"/>
        <v>507.76370260437494</v>
      </c>
      <c r="AI181" s="107">
        <f t="shared" si="83"/>
        <v>101.28143892290633</v>
      </c>
      <c r="AJ181" s="333">
        <v>91.174072910880255</v>
      </c>
      <c r="AK181" s="121">
        <f t="shared" si="84"/>
        <v>0</v>
      </c>
      <c r="AL181" s="107"/>
      <c r="AM181" s="107">
        <f t="shared" si="100"/>
        <v>424.22372364000904</v>
      </c>
      <c r="AN181" s="107">
        <f t="shared" si="101"/>
        <v>144.73023797279222</v>
      </c>
      <c r="AO181" s="107"/>
      <c r="AP181" s="143">
        <f t="shared" si="102"/>
        <v>1269.1731760509629</v>
      </c>
      <c r="AQ181" s="34"/>
      <c r="AR181" s="29"/>
      <c r="AS181" s="124"/>
      <c r="AT181" s="138">
        <f t="shared" si="103"/>
        <v>129.27507443007644</v>
      </c>
      <c r="AU181" s="151">
        <f t="shared" si="104"/>
        <v>5010.1446034015871</v>
      </c>
      <c r="AW181" s="1">
        <v>3</v>
      </c>
      <c r="BA181" s="30">
        <v>741.63</v>
      </c>
      <c r="BB181" s="30">
        <v>139.52000000000001</v>
      </c>
      <c r="BC181" s="30">
        <v>39.56</v>
      </c>
      <c r="BD181" s="30">
        <v>391.63</v>
      </c>
      <c r="BI181" s="333">
        <v>0</v>
      </c>
      <c r="BL181" s="110">
        <f t="shared" ref="BL181:BO185" si="113">BA$399</f>
        <v>1.2233877438623886</v>
      </c>
      <c r="BM181" s="110">
        <f t="shared" si="113"/>
        <v>1.2807066670574303</v>
      </c>
      <c r="BN181" s="110">
        <f t="shared" si="113"/>
        <v>0.82443024793968056</v>
      </c>
      <c r="BO181" s="110">
        <f t="shared" si="113"/>
        <v>1.2965393422474656</v>
      </c>
    </row>
    <row r="182" spans="1:71" x14ac:dyDescent="0.25">
      <c r="A182" s="260" t="s">
        <v>265</v>
      </c>
      <c r="B182" s="237">
        <v>5</v>
      </c>
      <c r="C182" s="236">
        <f>'побудинковий звіт'!E182</f>
        <v>151.80000000000001</v>
      </c>
      <c r="D182" s="141">
        <f t="shared" si="85"/>
        <v>435.44039967293998</v>
      </c>
      <c r="E182" s="107">
        <f t="shared" si="79"/>
        <v>89.756015881570306</v>
      </c>
      <c r="F182" s="333">
        <v>70.517824449756361</v>
      </c>
      <c r="G182" s="107">
        <f t="shared" si="80"/>
        <v>0</v>
      </c>
      <c r="H182" s="735">
        <f t="shared" si="86"/>
        <v>363.79943431379252</v>
      </c>
      <c r="I182" s="107">
        <f t="shared" si="87"/>
        <v>123.50172491593946</v>
      </c>
      <c r="J182" s="29"/>
      <c r="K182" s="142">
        <f t="shared" si="88"/>
        <v>1083.0153992339988</v>
      </c>
      <c r="L182" s="210">
        <f t="shared" si="89"/>
        <v>115.51974136858021</v>
      </c>
      <c r="M182" s="107">
        <f t="shared" si="81"/>
        <v>25.416413813707823</v>
      </c>
      <c r="N182" s="333">
        <v>0</v>
      </c>
      <c r="O182" s="107"/>
      <c r="P182" s="107">
        <f t="shared" si="90"/>
        <v>96.513820475846771</v>
      </c>
      <c r="Q182" s="107">
        <f t="shared" si="91"/>
        <v>30.562859456765477</v>
      </c>
      <c r="R182" s="107"/>
      <c r="S182" s="143">
        <f t="shared" si="92"/>
        <v>268.01283511490027</v>
      </c>
      <c r="T182" s="244">
        <v>338.25</v>
      </c>
      <c r="U182" s="107"/>
      <c r="V182" s="151">
        <f t="shared" si="93"/>
        <v>338.25</v>
      </c>
      <c r="W182" s="906">
        <v>80.73</v>
      </c>
      <c r="X182" s="107"/>
      <c r="Y182" s="46">
        <f t="shared" si="94"/>
        <v>80.73</v>
      </c>
      <c r="Z182" s="141">
        <f t="shared" si="95"/>
        <v>19.76983734559354</v>
      </c>
      <c r="AA182" s="107">
        <f t="shared" si="82"/>
        <v>4.3455667390833161</v>
      </c>
      <c r="AB182" s="333">
        <v>0</v>
      </c>
      <c r="AC182" s="107"/>
      <c r="AD182" s="107">
        <f t="shared" si="96"/>
        <v>16.517198790476801</v>
      </c>
      <c r="AE182" s="107">
        <f t="shared" si="97"/>
        <v>5.2299374956509563</v>
      </c>
      <c r="AF182" s="107"/>
      <c r="AG182" s="142">
        <f t="shared" si="98"/>
        <v>45.862540370804616</v>
      </c>
      <c r="AH182" s="210">
        <f t="shared" si="99"/>
        <v>326.63715649240402</v>
      </c>
      <c r="AI182" s="107">
        <f t="shared" si="83"/>
        <v>65.152906845358615</v>
      </c>
      <c r="AJ182" s="333">
        <v>39.692276381732057</v>
      </c>
      <c r="AK182" s="121">
        <f t="shared" si="84"/>
        <v>0</v>
      </c>
      <c r="AL182" s="107"/>
      <c r="AM182" s="107">
        <f t="shared" si="100"/>
        <v>272.89707810082854</v>
      </c>
      <c r="AN182" s="107">
        <f t="shared" si="101"/>
        <v>90.662671543395888</v>
      </c>
      <c r="AO182" s="107"/>
      <c r="AP182" s="143">
        <f t="shared" si="102"/>
        <v>795.04208936371901</v>
      </c>
      <c r="AQ182" s="34"/>
      <c r="AR182" s="29"/>
      <c r="AS182" s="124"/>
      <c r="AT182" s="138">
        <f t="shared" si="103"/>
        <v>70.513676961859886</v>
      </c>
      <c r="AU182" s="151">
        <f t="shared" si="104"/>
        <v>2681.4265410452826</v>
      </c>
      <c r="AW182" s="1">
        <v>3</v>
      </c>
      <c r="BA182" s="30">
        <v>355.93</v>
      </c>
      <c r="BB182" s="30">
        <v>90.2</v>
      </c>
      <c r="BC182" s="30">
        <v>23.98</v>
      </c>
      <c r="BD182" s="30">
        <v>251.93</v>
      </c>
      <c r="BI182" s="333">
        <v>0</v>
      </c>
      <c r="BL182" s="110">
        <f t="shared" si="113"/>
        <v>1.2233877438623886</v>
      </c>
      <c r="BM182" s="110">
        <f t="shared" si="113"/>
        <v>1.2807066670574303</v>
      </c>
      <c r="BN182" s="110">
        <f t="shared" si="113"/>
        <v>0.82443024793968056</v>
      </c>
      <c r="BO182" s="110">
        <f t="shared" si="113"/>
        <v>1.2965393422474656</v>
      </c>
    </row>
    <row r="183" spans="1:71" x14ac:dyDescent="0.25">
      <c r="A183" s="260" t="s">
        <v>371</v>
      </c>
      <c r="B183" s="237">
        <v>9</v>
      </c>
      <c r="C183" s="236">
        <f>'побудинковий звіт'!E183</f>
        <v>4489.03</v>
      </c>
      <c r="D183" s="141">
        <f t="shared" si="85"/>
        <v>906.87286677031136</v>
      </c>
      <c r="E183" s="107">
        <f t="shared" si="79"/>
        <v>186.93096803498003</v>
      </c>
      <c r="F183" s="333">
        <v>157.72671740485913</v>
      </c>
      <c r="G183" s="107">
        <f t="shared" si="80"/>
        <v>0</v>
      </c>
      <c r="H183" s="735">
        <f t="shared" si="86"/>
        <v>757.66933011583194</v>
      </c>
      <c r="I183" s="107">
        <f t="shared" si="87"/>
        <v>258.6098122515221</v>
      </c>
      <c r="J183" s="29"/>
      <c r="K183" s="142">
        <f t="shared" si="88"/>
        <v>2267.8096945775046</v>
      </c>
      <c r="L183" s="210">
        <f t="shared" si="89"/>
        <v>178.59454472115866</v>
      </c>
      <c r="M183" s="107">
        <f t="shared" si="81"/>
        <v>39.294001178731214</v>
      </c>
      <c r="N183" s="333">
        <v>0</v>
      </c>
      <c r="O183" s="107"/>
      <c r="P183" s="107">
        <f t="shared" si="90"/>
        <v>149.21122245406687</v>
      </c>
      <c r="Q183" s="107">
        <f t="shared" si="91"/>
        <v>47.25045178764907</v>
      </c>
      <c r="R183" s="107"/>
      <c r="S183" s="143">
        <f t="shared" si="92"/>
        <v>414.3502201416058</v>
      </c>
      <c r="T183" s="244">
        <v>662.43</v>
      </c>
      <c r="U183" s="107"/>
      <c r="V183" s="151">
        <f t="shared" si="93"/>
        <v>662.43</v>
      </c>
      <c r="W183" s="906">
        <v>161.63999999999999</v>
      </c>
      <c r="X183" s="107"/>
      <c r="Y183" s="46">
        <f t="shared" si="94"/>
        <v>161.63999999999999</v>
      </c>
      <c r="Z183" s="141">
        <f t="shared" si="95"/>
        <v>32.614460608493765</v>
      </c>
      <c r="AA183" s="107">
        <f t="shared" si="82"/>
        <v>7.1689166054268556</v>
      </c>
      <c r="AB183" s="333">
        <v>0</v>
      </c>
      <c r="AC183" s="107"/>
      <c r="AD183" s="107">
        <f t="shared" si="96"/>
        <v>27.248556470027616</v>
      </c>
      <c r="AE183" s="107">
        <f t="shared" si="97"/>
        <v>8.6278701971622951</v>
      </c>
      <c r="AF183" s="107"/>
      <c r="AG183" s="142">
        <f t="shared" si="98"/>
        <v>75.659803881110534</v>
      </c>
      <c r="AH183" s="210">
        <f t="shared" si="99"/>
        <v>506.71350573715449</v>
      </c>
      <c r="AI183" s="107">
        <f t="shared" si="83"/>
        <v>101.0719606767874</v>
      </c>
      <c r="AJ183" s="333">
        <v>88.779432843643932</v>
      </c>
      <c r="AK183" s="121">
        <f t="shared" si="84"/>
        <v>0</v>
      </c>
      <c r="AL183" s="107"/>
      <c r="AM183" s="107">
        <f t="shared" si="100"/>
        <v>423.34631073459218</v>
      </c>
      <c r="AN183" s="107">
        <f t="shared" si="101"/>
        <v>144.14694640493849</v>
      </c>
      <c r="AO183" s="107"/>
      <c r="AP183" s="143">
        <f t="shared" si="102"/>
        <v>1264.0581563971166</v>
      </c>
      <c r="AQ183" s="34"/>
      <c r="AR183" s="29"/>
      <c r="AS183" s="124"/>
      <c r="AT183" s="138">
        <f t="shared" si="103"/>
        <v>2085.2306409229104</v>
      </c>
      <c r="AU183" s="151">
        <f t="shared" si="104"/>
        <v>6931.1785159202482</v>
      </c>
      <c r="AW183" s="1">
        <v>3</v>
      </c>
      <c r="BA183" s="30">
        <v>741.28</v>
      </c>
      <c r="BB183" s="30">
        <v>139.44999999999999</v>
      </c>
      <c r="BC183" s="30">
        <v>39.56</v>
      </c>
      <c r="BD183" s="30">
        <v>390.82</v>
      </c>
      <c r="BI183" s="333">
        <v>0</v>
      </c>
      <c r="BL183" s="110">
        <f t="shared" si="113"/>
        <v>1.2233877438623886</v>
      </c>
      <c r="BM183" s="110">
        <f t="shared" si="113"/>
        <v>1.2807066670574303</v>
      </c>
      <c r="BN183" s="110">
        <f t="shared" si="113"/>
        <v>0.82443024793968056</v>
      </c>
      <c r="BO183" s="110">
        <f t="shared" si="113"/>
        <v>1.2965393422474656</v>
      </c>
    </row>
    <row r="184" spans="1:71" x14ac:dyDescent="0.25">
      <c r="A184" s="260" t="s">
        <v>372</v>
      </c>
      <c r="B184" s="237">
        <v>9</v>
      </c>
      <c r="C184" s="236">
        <f>'побудинковий звіт'!E184</f>
        <v>2055.6</v>
      </c>
      <c r="D184" s="141">
        <f t="shared" si="85"/>
        <v>908.05955288185794</v>
      </c>
      <c r="E184" s="107">
        <f t="shared" si="79"/>
        <v>187.17557606297746</v>
      </c>
      <c r="F184" s="333">
        <v>161.99057390871883</v>
      </c>
      <c r="G184" s="107">
        <f t="shared" si="80"/>
        <v>0</v>
      </c>
      <c r="H184" s="735">
        <f t="shared" si="86"/>
        <v>758.6607763307743</v>
      </c>
      <c r="I184" s="107">
        <f t="shared" si="87"/>
        <v>259.47046308738453</v>
      </c>
      <c r="J184" s="29"/>
      <c r="K184" s="142">
        <f t="shared" si="88"/>
        <v>2275.3569422717128</v>
      </c>
      <c r="L184" s="210">
        <f t="shared" si="89"/>
        <v>166.77362218421857</v>
      </c>
      <c r="M184" s="107">
        <f t="shared" si="81"/>
        <v>36.693186328392819</v>
      </c>
      <c r="N184" s="333">
        <v>0</v>
      </c>
      <c r="O184" s="107"/>
      <c r="P184" s="107">
        <f t="shared" si="90"/>
        <v>139.33514082444307</v>
      </c>
      <c r="Q184" s="107">
        <f t="shared" si="91"/>
        <v>44.123010625942349</v>
      </c>
      <c r="R184" s="107"/>
      <c r="S184" s="143">
        <f t="shared" si="92"/>
        <v>386.92495996299681</v>
      </c>
      <c r="T184" s="244">
        <v>679.29</v>
      </c>
      <c r="U184" s="107"/>
      <c r="V184" s="151">
        <f t="shared" si="93"/>
        <v>679.29</v>
      </c>
      <c r="W184" s="906">
        <v>168.64</v>
      </c>
      <c r="X184" s="107"/>
      <c r="Y184" s="46">
        <f t="shared" si="94"/>
        <v>168.64</v>
      </c>
      <c r="Z184" s="141">
        <f t="shared" si="95"/>
        <v>32.614460608493765</v>
      </c>
      <c r="AA184" s="107">
        <f t="shared" si="82"/>
        <v>7.1689166054268556</v>
      </c>
      <c r="AB184" s="333">
        <v>0</v>
      </c>
      <c r="AC184" s="107"/>
      <c r="AD184" s="107">
        <f t="shared" si="96"/>
        <v>27.248556470027616</v>
      </c>
      <c r="AE184" s="107">
        <f t="shared" si="97"/>
        <v>8.6278701971622951</v>
      </c>
      <c r="AF184" s="107"/>
      <c r="AG184" s="142">
        <f t="shared" si="98"/>
        <v>75.659803881110534</v>
      </c>
      <c r="AH184" s="210">
        <f t="shared" si="99"/>
        <v>509.52699610983149</v>
      </c>
      <c r="AI184" s="107">
        <f t="shared" si="83"/>
        <v>101.63315548429118</v>
      </c>
      <c r="AJ184" s="333">
        <v>91.179424223466341</v>
      </c>
      <c r="AK184" s="121">
        <f t="shared" si="84"/>
        <v>0</v>
      </c>
      <c r="AL184" s="107"/>
      <c r="AM184" s="107">
        <f t="shared" si="100"/>
        <v>425.69691074046204</v>
      </c>
      <c r="AN184" s="107">
        <f t="shared" si="101"/>
        <v>145.19277378412363</v>
      </c>
      <c r="AO184" s="107"/>
      <c r="AP184" s="143">
        <f t="shared" si="102"/>
        <v>1273.2292603421745</v>
      </c>
      <c r="AQ184" s="34"/>
      <c r="AR184" s="29"/>
      <c r="AS184" s="124"/>
      <c r="AT184" s="138">
        <f t="shared" si="103"/>
        <v>954.86109593411834</v>
      </c>
      <c r="AU184" s="151">
        <f t="shared" si="104"/>
        <v>5813.9620623921128</v>
      </c>
      <c r="AW184" s="1">
        <v>3</v>
      </c>
      <c r="BA184" s="30">
        <v>742.25</v>
      </c>
      <c r="BB184" s="30">
        <v>130.22</v>
      </c>
      <c r="BC184" s="30">
        <v>39.56</v>
      </c>
      <c r="BD184" s="30">
        <v>392.99</v>
      </c>
      <c r="BI184" s="333">
        <v>0</v>
      </c>
      <c r="BL184" s="110">
        <f t="shared" si="113"/>
        <v>1.2233877438623886</v>
      </c>
      <c r="BM184" s="110">
        <f t="shared" si="113"/>
        <v>1.2807066670574303</v>
      </c>
      <c r="BN184" s="110">
        <f t="shared" si="113"/>
        <v>0.82443024793968056</v>
      </c>
      <c r="BO184" s="110">
        <f t="shared" si="113"/>
        <v>1.2965393422474656</v>
      </c>
    </row>
    <row r="185" spans="1:71" x14ac:dyDescent="0.25">
      <c r="A185" s="260" t="s">
        <v>373</v>
      </c>
      <c r="B185" s="237">
        <v>9</v>
      </c>
      <c r="C185" s="236">
        <f>'побудинковий звіт'!E185</f>
        <v>373.83</v>
      </c>
      <c r="D185" s="141">
        <f t="shared" si="85"/>
        <v>537.40976812386998</v>
      </c>
      <c r="E185" s="107">
        <f t="shared" si="79"/>
        <v>110.774654163617</v>
      </c>
      <c r="F185" s="333">
        <v>107.6781792519855</v>
      </c>
      <c r="G185" s="107">
        <f t="shared" si="80"/>
        <v>0</v>
      </c>
      <c r="H185" s="735">
        <f t="shared" si="86"/>
        <v>448.99226113382616</v>
      </c>
      <c r="I185" s="107">
        <f t="shared" si="87"/>
        <v>155.08028472784957</v>
      </c>
      <c r="J185" s="29"/>
      <c r="K185" s="142">
        <f t="shared" si="88"/>
        <v>1359.9351474011482</v>
      </c>
      <c r="L185" s="210">
        <f t="shared" si="89"/>
        <v>75.267130822965186</v>
      </c>
      <c r="M185" s="107">
        <f t="shared" si="81"/>
        <v>16.560117958221827</v>
      </c>
      <c r="N185" s="333">
        <v>0</v>
      </c>
      <c r="O185" s="107"/>
      <c r="P185" s="107">
        <f t="shared" si="90"/>
        <v>62.883783030659814</v>
      </c>
      <c r="Q185" s="107">
        <f t="shared" si="91"/>
        <v>19.913295457584336</v>
      </c>
      <c r="R185" s="107"/>
      <c r="S185" s="143">
        <f t="shared" si="92"/>
        <v>174.62432726943115</v>
      </c>
      <c r="T185" s="244">
        <v>455.38</v>
      </c>
      <c r="U185" s="107"/>
      <c r="V185" s="151">
        <f t="shared" si="93"/>
        <v>455.38</v>
      </c>
      <c r="W185" s="906">
        <v>109.65</v>
      </c>
      <c r="X185" s="107"/>
      <c r="Y185" s="46">
        <f t="shared" si="94"/>
        <v>109.65</v>
      </c>
      <c r="Z185" s="141">
        <f t="shared" si="95"/>
        <v>21.740225638169377</v>
      </c>
      <c r="AA185" s="107">
        <f t="shared" si="82"/>
        <v>4.7786736826366578</v>
      </c>
      <c r="AB185" s="333">
        <v>0</v>
      </c>
      <c r="AC185" s="107"/>
      <c r="AD185" s="107">
        <f t="shared" si="96"/>
        <v>18.163408344656933</v>
      </c>
      <c r="AE185" s="107">
        <f t="shared" si="97"/>
        <v>5.7511864787454439</v>
      </c>
      <c r="AF185" s="107"/>
      <c r="AG185" s="142">
        <f t="shared" si="98"/>
        <v>50.433494144208417</v>
      </c>
      <c r="AH185" s="210">
        <f t="shared" si="99"/>
        <v>236.79994546807708</v>
      </c>
      <c r="AI185" s="107">
        <f t="shared" si="83"/>
        <v>47.233465273037332</v>
      </c>
      <c r="AJ185" s="333">
        <v>60.6086770898143</v>
      </c>
      <c r="AK185" s="121">
        <f t="shared" si="84"/>
        <v>0</v>
      </c>
      <c r="AL185" s="107"/>
      <c r="AM185" s="107">
        <f t="shared" si="100"/>
        <v>197.84036178436597</v>
      </c>
      <c r="AN185" s="107">
        <f t="shared" si="101"/>
        <v>69.824453842962967</v>
      </c>
      <c r="AO185" s="107"/>
      <c r="AP185" s="143">
        <f t="shared" si="102"/>
        <v>612.30690345825769</v>
      </c>
      <c r="AQ185" s="34"/>
      <c r="AR185" s="29"/>
      <c r="AS185" s="124"/>
      <c r="AT185" s="138">
        <f t="shared" si="103"/>
        <v>173.65038115054068</v>
      </c>
      <c r="AU185" s="151">
        <f t="shared" si="104"/>
        <v>2935.9802534235864</v>
      </c>
      <c r="AW185" s="1">
        <v>3</v>
      </c>
      <c r="BA185" s="30">
        <v>439.28</v>
      </c>
      <c r="BB185" s="30">
        <v>58.77</v>
      </c>
      <c r="BC185" s="30">
        <v>26.37</v>
      </c>
      <c r="BD185" s="30">
        <v>182.64</v>
      </c>
      <c r="BI185" s="333">
        <v>0</v>
      </c>
      <c r="BL185" s="110">
        <f t="shared" si="113"/>
        <v>1.2233877438623886</v>
      </c>
      <c r="BM185" s="110">
        <f t="shared" si="113"/>
        <v>1.2807066670574303</v>
      </c>
      <c r="BN185" s="110">
        <f t="shared" si="113"/>
        <v>0.82443024793968056</v>
      </c>
      <c r="BO185" s="110">
        <f t="shared" si="113"/>
        <v>1.2965393422474656</v>
      </c>
    </row>
    <row r="186" spans="1:71" x14ac:dyDescent="0.25">
      <c r="A186" s="260" t="s">
        <v>169</v>
      </c>
      <c r="B186" s="237">
        <v>2</v>
      </c>
      <c r="C186" s="236">
        <f>'побудинковий звіт'!E186</f>
        <v>362.2</v>
      </c>
      <c r="D186" s="141">
        <f t="shared" si="85"/>
        <v>93.490151373442799</v>
      </c>
      <c r="E186" s="107">
        <f t="shared" si="79"/>
        <v>19.270842847259619</v>
      </c>
      <c r="F186" s="333">
        <v>10.12610462374731</v>
      </c>
      <c r="G186" s="107">
        <f t="shared" si="80"/>
        <v>0</v>
      </c>
      <c r="H186" s="735">
        <f t="shared" si="86"/>
        <v>78.108655533835488</v>
      </c>
      <c r="I186" s="107">
        <f t="shared" si="87"/>
        <v>25.870733300534798</v>
      </c>
      <c r="J186" s="29"/>
      <c r="K186" s="142">
        <f t="shared" si="88"/>
        <v>226.86648767881999</v>
      </c>
      <c r="L186" s="210">
        <f t="shared" si="89"/>
        <v>21.152572668544728</v>
      </c>
      <c r="M186" s="107">
        <f t="shared" si="81"/>
        <v>4.6539451508370906</v>
      </c>
      <c r="N186" s="333">
        <v>0</v>
      </c>
      <c r="O186" s="107"/>
      <c r="P186" s="107">
        <f t="shared" si="90"/>
        <v>17.672439160164991</v>
      </c>
      <c r="Q186" s="107">
        <f t="shared" si="91"/>
        <v>5.5962998008718339</v>
      </c>
      <c r="R186" s="107"/>
      <c r="S186" s="143">
        <f t="shared" si="92"/>
        <v>49.075256780418641</v>
      </c>
      <c r="T186" s="905">
        <v>54.366666666666667</v>
      </c>
      <c r="U186" s="107"/>
      <c r="V186" s="151">
        <f t="shared" si="93"/>
        <v>54.366666666666667</v>
      </c>
      <c r="W186" s="246"/>
      <c r="X186" s="107"/>
      <c r="Y186" s="46">
        <f t="shared" si="94"/>
        <v>0</v>
      </c>
      <c r="Z186" s="141">
        <f t="shared" si="95"/>
        <v>0</v>
      </c>
      <c r="AA186" s="107">
        <f t="shared" si="82"/>
        <v>0</v>
      </c>
      <c r="AB186" s="333">
        <v>0</v>
      </c>
      <c r="AC186" s="107"/>
      <c r="AD186" s="107">
        <f t="shared" si="96"/>
        <v>0</v>
      </c>
      <c r="AE186" s="107">
        <f t="shared" si="97"/>
        <v>0</v>
      </c>
      <c r="AF186" s="107"/>
      <c r="AG186" s="142">
        <f t="shared" si="98"/>
        <v>0</v>
      </c>
      <c r="AH186" s="210">
        <f t="shared" si="99"/>
        <v>37.369581547125023</v>
      </c>
      <c r="AI186" s="107">
        <f t="shared" si="83"/>
        <v>7.4539494879740928</v>
      </c>
      <c r="AJ186" s="333">
        <v>3.9757024186254379</v>
      </c>
      <c r="AK186" s="121">
        <f t="shared" si="84"/>
        <v>0</v>
      </c>
      <c r="AL186" s="107"/>
      <c r="AM186" s="107">
        <f t="shared" si="100"/>
        <v>31.221339677251983</v>
      </c>
      <c r="AN186" s="107">
        <f t="shared" si="101"/>
        <v>10.299674798758288</v>
      </c>
      <c r="AO186" s="107"/>
      <c r="AP186" s="143">
        <f t="shared" si="102"/>
        <v>90.320247929734833</v>
      </c>
      <c r="AQ186" s="34"/>
      <c r="AR186" s="29"/>
      <c r="AS186" s="124"/>
      <c r="AT186" s="138">
        <f t="shared" si="103"/>
        <v>168.24804871927304</v>
      </c>
      <c r="AU186" s="151">
        <f t="shared" si="104"/>
        <v>588.87670777491314</v>
      </c>
      <c r="AW186" s="1">
        <v>2</v>
      </c>
      <c r="BA186" s="30">
        <v>85.24</v>
      </c>
      <c r="BB186" s="30">
        <v>19.010000000000002</v>
      </c>
      <c r="BC186" s="30">
        <v>0</v>
      </c>
      <c r="BD186" s="30">
        <v>36.04</v>
      </c>
      <c r="BF186" s="289">
        <f>T186*1.2</f>
        <v>65.239999999999995</v>
      </c>
      <c r="BI186" s="333">
        <v>0</v>
      </c>
      <c r="BL186" s="110">
        <f>BA$398</f>
        <v>1.0967873225415627</v>
      </c>
      <c r="BM186" s="110">
        <f>BB$398</f>
        <v>1.1127076627324948</v>
      </c>
      <c r="BN186" s="110">
        <f>BC$398</f>
        <v>2.8314493742615632</v>
      </c>
      <c r="BO186" s="110">
        <f>BD$398</f>
        <v>1.036891829831438</v>
      </c>
    </row>
    <row r="187" spans="1:71" x14ac:dyDescent="0.25">
      <c r="A187" s="260" t="s">
        <v>170</v>
      </c>
      <c r="B187" s="237">
        <v>2</v>
      </c>
      <c r="C187" s="236">
        <f>'побудинковий звіт'!E187</f>
        <v>182.8</v>
      </c>
      <c r="D187" s="141">
        <f t="shared" si="85"/>
        <v>0</v>
      </c>
      <c r="E187" s="107">
        <f t="shared" si="79"/>
        <v>0</v>
      </c>
      <c r="F187" s="333">
        <v>0</v>
      </c>
      <c r="G187" s="107">
        <f t="shared" si="80"/>
        <v>0</v>
      </c>
      <c r="H187" s="735">
        <f t="shared" si="86"/>
        <v>0</v>
      </c>
      <c r="I187" s="107">
        <f t="shared" si="87"/>
        <v>0</v>
      </c>
      <c r="J187" s="29"/>
      <c r="K187" s="142">
        <f t="shared" si="88"/>
        <v>0</v>
      </c>
      <c r="L187" s="210">
        <f t="shared" si="89"/>
        <v>0</v>
      </c>
      <c r="M187" s="107">
        <f t="shared" si="81"/>
        <v>0</v>
      </c>
      <c r="N187" s="333">
        <v>0</v>
      </c>
      <c r="O187" s="107"/>
      <c r="P187" s="107">
        <f t="shared" si="90"/>
        <v>0</v>
      </c>
      <c r="Q187" s="107">
        <f t="shared" si="91"/>
        <v>0</v>
      </c>
      <c r="R187" s="107"/>
      <c r="S187" s="143">
        <f t="shared" si="92"/>
        <v>0</v>
      </c>
      <c r="T187" s="245"/>
      <c r="U187" s="107"/>
      <c r="V187" s="151">
        <f t="shared" si="93"/>
        <v>0</v>
      </c>
      <c r="W187" s="246"/>
      <c r="X187" s="107"/>
      <c r="Y187" s="46">
        <f t="shared" si="94"/>
        <v>0</v>
      </c>
      <c r="Z187" s="141">
        <f t="shared" si="95"/>
        <v>0</v>
      </c>
      <c r="AA187" s="107">
        <f t="shared" si="82"/>
        <v>0</v>
      </c>
      <c r="AB187" s="333">
        <v>0</v>
      </c>
      <c r="AC187" s="107"/>
      <c r="AD187" s="107">
        <f t="shared" si="96"/>
        <v>0</v>
      </c>
      <c r="AE187" s="107">
        <f t="shared" si="97"/>
        <v>0</v>
      </c>
      <c r="AF187" s="107"/>
      <c r="AG187" s="142">
        <f t="shared" si="98"/>
        <v>0</v>
      </c>
      <c r="AH187" s="210">
        <f t="shared" si="99"/>
        <v>28.310056913392007</v>
      </c>
      <c r="AI187" s="107">
        <f t="shared" si="83"/>
        <v>5.6468851268239701</v>
      </c>
      <c r="AJ187" s="333">
        <v>4.7994587224708294</v>
      </c>
      <c r="AK187" s="121">
        <f t="shared" si="84"/>
        <v>0</v>
      </c>
      <c r="AL187" s="107"/>
      <c r="AM187" s="107">
        <f t="shared" si="100"/>
        <v>23.652336113550824</v>
      </c>
      <c r="AN187" s="107">
        <f t="shared" si="101"/>
        <v>8.0328054308535464</v>
      </c>
      <c r="AO187" s="107"/>
      <c r="AP187" s="143">
        <f t="shared" si="102"/>
        <v>70.441542307091183</v>
      </c>
      <c r="AQ187" s="34"/>
      <c r="AR187" s="29"/>
      <c r="AS187" s="124"/>
      <c r="AT187" s="138">
        <f t="shared" si="103"/>
        <v>84.91370321889319</v>
      </c>
      <c r="AU187" s="151">
        <f t="shared" si="104"/>
        <v>155.35524552598437</v>
      </c>
      <c r="AW187" s="1">
        <v>1</v>
      </c>
      <c r="BA187" s="30">
        <v>0</v>
      </c>
      <c r="BB187" s="30">
        <v>0</v>
      </c>
      <c r="BC187" s="30">
        <v>0</v>
      </c>
      <c r="BD187" s="30">
        <v>34.119999999999997</v>
      </c>
      <c r="BI187" s="333">
        <v>0</v>
      </c>
      <c r="BL187" s="110">
        <f>$BA$397</f>
        <v>0.85901039294857251</v>
      </c>
      <c r="BM187" s="110">
        <f>$BB$397</f>
        <v>0.92206249128051765</v>
      </c>
      <c r="BN187" s="110">
        <f>$BC$397</f>
        <v>0.35749517965371247</v>
      </c>
      <c r="BO187" s="110">
        <f>$BD$397</f>
        <v>0.82972030812989472</v>
      </c>
    </row>
    <row r="188" spans="1:71" x14ac:dyDescent="0.25">
      <c r="A188" s="260" t="s">
        <v>171</v>
      </c>
      <c r="B188" s="237">
        <v>2</v>
      </c>
      <c r="C188" s="236">
        <f>'побудинковий звіт'!E188</f>
        <v>229</v>
      </c>
      <c r="D188" s="141">
        <f t="shared" si="85"/>
        <v>35.40840839734016</v>
      </c>
      <c r="E188" s="107">
        <f t="shared" si="79"/>
        <v>7.2986283974566453</v>
      </c>
      <c r="F188" s="333">
        <v>7.2700628694225573</v>
      </c>
      <c r="G188" s="107">
        <f t="shared" si="80"/>
        <v>0</v>
      </c>
      <c r="H188" s="735">
        <f t="shared" si="86"/>
        <v>29.582829141667727</v>
      </c>
      <c r="I188" s="107">
        <f t="shared" si="87"/>
        <v>10.240383961906256</v>
      </c>
      <c r="J188" s="29"/>
      <c r="K188" s="142">
        <f t="shared" si="88"/>
        <v>89.800312767793358</v>
      </c>
      <c r="L188" s="210">
        <f t="shared" si="89"/>
        <v>7.5424711786746341</v>
      </c>
      <c r="M188" s="107">
        <f t="shared" si="81"/>
        <v>1.6594788594921452</v>
      </c>
      <c r="N188" s="333">
        <v>0</v>
      </c>
      <c r="O188" s="107"/>
      <c r="P188" s="107">
        <f t="shared" si="90"/>
        <v>6.3015437938025469</v>
      </c>
      <c r="Q188" s="107">
        <f t="shared" si="91"/>
        <v>1.9954986382373883</v>
      </c>
      <c r="R188" s="107"/>
      <c r="S188" s="143">
        <f t="shared" si="92"/>
        <v>17.498992470206716</v>
      </c>
      <c r="T188" s="244">
        <v>44.83</v>
      </c>
      <c r="U188" s="107"/>
      <c r="V188" s="151">
        <f t="shared" si="93"/>
        <v>44.83</v>
      </c>
      <c r="W188" s="246"/>
      <c r="X188" s="107"/>
      <c r="Y188" s="46">
        <f t="shared" si="94"/>
        <v>0</v>
      </c>
      <c r="Z188" s="141">
        <f t="shared" si="95"/>
        <v>0</v>
      </c>
      <c r="AA188" s="107">
        <f t="shared" si="82"/>
        <v>0</v>
      </c>
      <c r="AB188" s="333">
        <v>0</v>
      </c>
      <c r="AC188" s="107"/>
      <c r="AD188" s="107">
        <f t="shared" si="96"/>
        <v>0</v>
      </c>
      <c r="AE188" s="107">
        <f t="shared" si="97"/>
        <v>0</v>
      </c>
      <c r="AF188" s="107"/>
      <c r="AG188" s="142">
        <f t="shared" si="98"/>
        <v>0</v>
      </c>
      <c r="AH188" s="210">
        <f t="shared" si="99"/>
        <v>18.710192948329126</v>
      </c>
      <c r="AI188" s="107">
        <f t="shared" si="83"/>
        <v>3.7320416063857134</v>
      </c>
      <c r="AJ188" s="333">
        <v>3.113228069362675</v>
      </c>
      <c r="AK188" s="121">
        <f t="shared" si="84"/>
        <v>0</v>
      </c>
      <c r="AL188" s="107"/>
      <c r="AM188" s="107">
        <f t="shared" si="100"/>
        <v>15.631892712795167</v>
      </c>
      <c r="AN188" s="107">
        <f t="shared" si="101"/>
        <v>5.301341257533096</v>
      </c>
      <c r="AO188" s="107"/>
      <c r="AP188" s="143">
        <f t="shared" si="102"/>
        <v>46.488696594405781</v>
      </c>
      <c r="AQ188" s="34"/>
      <c r="AR188" s="29"/>
      <c r="AS188" s="124"/>
      <c r="AT188" s="138">
        <f t="shared" si="103"/>
        <v>106.37438751163315</v>
      </c>
      <c r="AU188" s="151">
        <f t="shared" si="104"/>
        <v>304.992389344039</v>
      </c>
      <c r="AW188" s="1">
        <v>1</v>
      </c>
      <c r="BA188" s="30">
        <v>41.22</v>
      </c>
      <c r="BB188" s="30">
        <v>8.18</v>
      </c>
      <c r="BC188" s="30">
        <v>0</v>
      </c>
      <c r="BD188" s="30">
        <v>22.55</v>
      </c>
      <c r="BI188" s="333">
        <v>0</v>
      </c>
      <c r="BL188" s="110">
        <f>$BA$397</f>
        <v>0.85901039294857251</v>
      </c>
      <c r="BM188" s="110">
        <f>$BB$397</f>
        <v>0.92206249128051765</v>
      </c>
      <c r="BN188" s="110">
        <f>$BC$397</f>
        <v>0.35749517965371247</v>
      </c>
      <c r="BO188" s="110">
        <f>$BD$397</f>
        <v>0.82972030812989472</v>
      </c>
    </row>
    <row r="189" spans="1:71" x14ac:dyDescent="0.25">
      <c r="A189" s="260" t="s">
        <v>1096</v>
      </c>
      <c r="B189" s="237">
        <v>2</v>
      </c>
      <c r="C189" s="236">
        <f>'побудинковий звіт'!E189</f>
        <v>463.1</v>
      </c>
      <c r="D189" s="141">
        <f t="shared" si="85"/>
        <v>98.096658128117369</v>
      </c>
      <c r="E189" s="107">
        <f t="shared" si="79"/>
        <v>20.220368186988505</v>
      </c>
      <c r="F189" s="333">
        <v>10.298876279832886</v>
      </c>
      <c r="G189" s="107">
        <f t="shared" si="80"/>
        <v>0</v>
      </c>
      <c r="H189" s="735">
        <f t="shared" si="86"/>
        <v>81.957275351316838</v>
      </c>
      <c r="I189" s="107">
        <f>(D189+E189+F189+G189+H189)*$B$5</f>
        <v>27.10347063670207</v>
      </c>
      <c r="J189" s="29"/>
      <c r="K189" s="142">
        <f>D189+E189+F189+G189+H189+I189-J189</f>
        <v>237.67664858295768</v>
      </c>
      <c r="L189" s="210">
        <f t="shared" si="89"/>
        <v>21.152572668544728</v>
      </c>
      <c r="M189" s="107">
        <f t="shared" si="81"/>
        <v>4.6539451508370906</v>
      </c>
      <c r="N189" s="333">
        <v>0</v>
      </c>
      <c r="O189" s="107"/>
      <c r="P189" s="107">
        <f>L189*$B$4</f>
        <v>17.672439160164991</v>
      </c>
      <c r="Q189" s="107">
        <f>(L189+M189+N189+O189+P189)*$B$5</f>
        <v>5.5962998008718339</v>
      </c>
      <c r="R189" s="107"/>
      <c r="S189" s="143">
        <f>L189+M189+N189+O189+P189+Q189-R189</f>
        <v>49.075256780418641</v>
      </c>
      <c r="T189" s="245"/>
      <c r="U189" s="107"/>
      <c r="V189" s="151">
        <f>T189+U189</f>
        <v>0</v>
      </c>
      <c r="W189" s="246"/>
      <c r="X189" s="107"/>
      <c r="Y189" s="46">
        <f>W189+X189</f>
        <v>0</v>
      </c>
      <c r="Z189" s="141">
        <f t="shared" si="95"/>
        <v>0</v>
      </c>
      <c r="AA189" s="107">
        <f t="shared" si="82"/>
        <v>0</v>
      </c>
      <c r="AB189" s="333">
        <v>0</v>
      </c>
      <c r="AC189" s="107"/>
      <c r="AD189" s="107">
        <f>Z189*$B$4</f>
        <v>0</v>
      </c>
      <c r="AE189" s="107">
        <f>(Z189+AA189+AB189+AC189+AD189)*$B$5</f>
        <v>0</v>
      </c>
      <c r="AF189" s="107"/>
      <c r="AG189" s="142">
        <f>Z189+AA189+AB189+AC189+AD189+AE189-AF189</f>
        <v>0</v>
      </c>
      <c r="AH189" s="210">
        <f t="shared" si="99"/>
        <v>37.369581547125023</v>
      </c>
      <c r="AI189" s="107">
        <f t="shared" si="83"/>
        <v>7.4539494879740928</v>
      </c>
      <c r="AJ189" s="333">
        <v>4.0435358764546692</v>
      </c>
      <c r="AK189" s="121">
        <f t="shared" si="84"/>
        <v>0</v>
      </c>
      <c r="AL189" s="107"/>
      <c r="AM189" s="107">
        <f>AH189*$B$4</f>
        <v>31.221339677251983</v>
      </c>
      <c r="AN189" s="107">
        <f>(AH189+AI189+AJ189+AK189+AL189+AM189)*$B$5</f>
        <v>10.308405835400237</v>
      </c>
      <c r="AO189" s="107"/>
      <c r="AP189" s="143">
        <f>AH189+AI189+AJ189+AK189+AL189+AM189+AN189-AO189</f>
        <v>90.396812424206004</v>
      </c>
      <c r="AQ189" s="34"/>
      <c r="AR189" s="29"/>
      <c r="AS189" s="124"/>
      <c r="AT189" s="138">
        <f t="shared" si="103"/>
        <v>215.11781160103629</v>
      </c>
      <c r="AU189" s="151">
        <f>K189+S189+V189+Y189+AG189+AP189+AS189+AT189</f>
        <v>592.26652938861866</v>
      </c>
      <c r="AW189" s="1">
        <v>2</v>
      </c>
      <c r="BA189" s="30">
        <v>89.44</v>
      </c>
      <c r="BB189" s="30">
        <v>19.010000000000002</v>
      </c>
      <c r="BC189" s="30">
        <v>0</v>
      </c>
      <c r="BD189" s="30">
        <v>36.04</v>
      </c>
      <c r="BI189" s="333">
        <v>0</v>
      </c>
      <c r="BL189" s="110">
        <f t="shared" ref="BL189:BO196" si="114">BA$398</f>
        <v>1.0967873225415627</v>
      </c>
      <c r="BM189" s="110">
        <f t="shared" si="114"/>
        <v>1.1127076627324948</v>
      </c>
      <c r="BN189" s="110">
        <f t="shared" si="114"/>
        <v>2.8314493742615632</v>
      </c>
      <c r="BO189" s="110">
        <f t="shared" si="114"/>
        <v>1.036891829831438</v>
      </c>
    </row>
    <row r="190" spans="1:71" x14ac:dyDescent="0.25">
      <c r="A190" s="260" t="s">
        <v>172</v>
      </c>
      <c r="B190" s="237">
        <v>2</v>
      </c>
      <c r="C190" s="236">
        <f>'побудинковий звіт'!E190</f>
        <v>539</v>
      </c>
      <c r="D190" s="141">
        <f t="shared" si="85"/>
        <v>31.071984847602472</v>
      </c>
      <c r="E190" s="107">
        <f t="shared" si="79"/>
        <v>6.4047744939331892</v>
      </c>
      <c r="F190" s="333">
        <v>6.8244804153802603</v>
      </c>
      <c r="G190" s="107">
        <f t="shared" si="80"/>
        <v>0</v>
      </c>
      <c r="H190" s="735">
        <f t="shared" si="86"/>
        <v>25.959857006963393</v>
      </c>
      <c r="I190" s="107">
        <f t="shared" si="87"/>
        <v>9.043504930757722</v>
      </c>
      <c r="J190" s="29"/>
      <c r="K190" s="142">
        <f t="shared" si="88"/>
        <v>79.304601694637029</v>
      </c>
      <c r="L190" s="210">
        <f t="shared" si="89"/>
        <v>12.79613812142369</v>
      </c>
      <c r="M190" s="107">
        <f t="shared" si="81"/>
        <v>2.8153797598435841</v>
      </c>
      <c r="N190" s="333">
        <v>0</v>
      </c>
      <c r="O190" s="107"/>
      <c r="P190" s="107">
        <f t="shared" si="90"/>
        <v>10.690849570852047</v>
      </c>
      <c r="Q190" s="107">
        <f t="shared" si="91"/>
        <v>3.3854522730155754</v>
      </c>
      <c r="R190" s="107"/>
      <c r="S190" s="143">
        <f t="shared" si="92"/>
        <v>29.687819725134894</v>
      </c>
      <c r="T190" s="905">
        <v>41.433333333333337</v>
      </c>
      <c r="U190" s="107"/>
      <c r="V190" s="151">
        <f t="shared" si="93"/>
        <v>41.433333333333337</v>
      </c>
      <c r="W190" s="246"/>
      <c r="X190" s="107"/>
      <c r="Y190" s="46">
        <f t="shared" si="94"/>
        <v>0</v>
      </c>
      <c r="Z190" s="141">
        <f t="shared" si="95"/>
        <v>0</v>
      </c>
      <c r="AA190" s="107">
        <f t="shared" si="82"/>
        <v>0</v>
      </c>
      <c r="AB190" s="333">
        <v>0</v>
      </c>
      <c r="AC190" s="107"/>
      <c r="AD190" s="107">
        <f t="shared" si="96"/>
        <v>0</v>
      </c>
      <c r="AE190" s="107">
        <f t="shared" si="97"/>
        <v>0</v>
      </c>
      <c r="AF190" s="107"/>
      <c r="AG190" s="142">
        <f t="shared" si="98"/>
        <v>0</v>
      </c>
      <c r="AH190" s="210">
        <f t="shared" si="99"/>
        <v>12.784876261821632</v>
      </c>
      <c r="AI190" s="107">
        <f t="shared" si="83"/>
        <v>2.5501442060688286</v>
      </c>
      <c r="AJ190" s="333">
        <v>2.6794215842546381</v>
      </c>
      <c r="AK190" s="121">
        <f t="shared" si="84"/>
        <v>0</v>
      </c>
      <c r="AL190" s="107"/>
      <c r="AM190" s="107">
        <f t="shared" si="100"/>
        <v>10.68144057215641</v>
      </c>
      <c r="AN190" s="107">
        <f t="shared" si="101"/>
        <v>3.6935283956274412</v>
      </c>
      <c r="AO190" s="107"/>
      <c r="AP190" s="143">
        <f t="shared" si="102"/>
        <v>32.38941101992895</v>
      </c>
      <c r="AQ190" s="34"/>
      <c r="AR190" s="29"/>
      <c r="AS190" s="124"/>
      <c r="AT190" s="138">
        <f t="shared" si="103"/>
        <v>250.37465008196622</v>
      </c>
      <c r="AU190" s="151">
        <f t="shared" si="104"/>
        <v>433.18981585500046</v>
      </c>
      <c r="AW190" s="1">
        <v>2</v>
      </c>
      <c r="BA190" s="30">
        <v>28.33</v>
      </c>
      <c r="BB190" s="30">
        <v>11.5</v>
      </c>
      <c r="BC190" s="30">
        <v>0</v>
      </c>
      <c r="BD190" s="30">
        <v>12.33</v>
      </c>
      <c r="BF190" s="289">
        <f t="shared" ref="BF190:BF196" si="115">T190*1.2</f>
        <v>49.720000000000006</v>
      </c>
      <c r="BI190" s="333">
        <v>0</v>
      </c>
      <c r="BL190" s="110">
        <f t="shared" si="114"/>
        <v>1.0967873225415627</v>
      </c>
      <c r="BM190" s="110">
        <f t="shared" si="114"/>
        <v>1.1127076627324948</v>
      </c>
      <c r="BN190" s="110">
        <f t="shared" si="114"/>
        <v>2.8314493742615632</v>
      </c>
      <c r="BO190" s="110">
        <f t="shared" si="114"/>
        <v>1.036891829831438</v>
      </c>
    </row>
    <row r="191" spans="1:71" x14ac:dyDescent="0.25">
      <c r="A191" s="260" t="s">
        <v>266</v>
      </c>
      <c r="B191" s="237">
        <v>5</v>
      </c>
      <c r="C191" s="236">
        <f>'побудинковий звіт'!E191</f>
        <v>4687.91</v>
      </c>
      <c r="D191" s="141">
        <f t="shared" si="85"/>
        <v>290.5608974877108</v>
      </c>
      <c r="E191" s="107">
        <f t="shared" si="79"/>
        <v>59.892441190708801</v>
      </c>
      <c r="F191" s="333">
        <v>48.298737853005974</v>
      </c>
      <c r="G191" s="107">
        <f t="shared" si="80"/>
        <v>0</v>
      </c>
      <c r="H191" s="735">
        <f t="shared" si="86"/>
        <v>242.75627667789419</v>
      </c>
      <c r="I191" s="107">
        <f t="shared" si="87"/>
        <v>82.570358599258981</v>
      </c>
      <c r="J191" s="29"/>
      <c r="K191" s="142">
        <f t="shared" si="88"/>
        <v>724.07871180857876</v>
      </c>
      <c r="L191" s="210">
        <f t="shared" si="89"/>
        <v>62.18923127011913</v>
      </c>
      <c r="M191" s="107">
        <f t="shared" si="81"/>
        <v>13.682745632839818</v>
      </c>
      <c r="N191" s="333">
        <v>0</v>
      </c>
      <c r="O191" s="107"/>
      <c r="P191" s="107">
        <f t="shared" si="90"/>
        <v>51.957528914340941</v>
      </c>
      <c r="Q191" s="107">
        <f t="shared" si="91"/>
        <v>16.453298046855693</v>
      </c>
      <c r="R191" s="107"/>
      <c r="S191" s="143">
        <f t="shared" si="92"/>
        <v>144.2828038641556</v>
      </c>
      <c r="T191" s="905">
        <v>258.68333333333334</v>
      </c>
      <c r="U191" s="107"/>
      <c r="V191" s="151">
        <f t="shared" si="93"/>
        <v>258.68333333333334</v>
      </c>
      <c r="W191" s="907">
        <v>65.275000000000006</v>
      </c>
      <c r="X191" s="107"/>
      <c r="Y191" s="46">
        <f t="shared" si="94"/>
        <v>65.275000000000006</v>
      </c>
      <c r="Z191" s="141">
        <f t="shared" si="95"/>
        <v>50.909459749222904</v>
      </c>
      <c r="AA191" s="107">
        <f t="shared" si="82"/>
        <v>11.190302232822038</v>
      </c>
      <c r="AB191" s="333">
        <v>0</v>
      </c>
      <c r="AC191" s="107"/>
      <c r="AD191" s="107">
        <f t="shared" si="96"/>
        <v>42.533565263809031</v>
      </c>
      <c r="AE191" s="107">
        <f t="shared" si="97"/>
        <v>13.46765214965912</v>
      </c>
      <c r="AF191" s="107"/>
      <c r="AG191" s="142">
        <f t="shared" si="98"/>
        <v>118.10097939551308</v>
      </c>
      <c r="AH191" s="210">
        <f t="shared" si="99"/>
        <v>187.14860636627625</v>
      </c>
      <c r="AI191" s="107">
        <f t="shared" si="83"/>
        <v>37.329726500678255</v>
      </c>
      <c r="AJ191" s="333">
        <v>18.963008583619747</v>
      </c>
      <c r="AK191" s="121">
        <f t="shared" si="84"/>
        <v>0</v>
      </c>
      <c r="AL191" s="107"/>
      <c r="AM191" s="107">
        <f t="shared" si="100"/>
        <v>156.35792448244203</v>
      </c>
      <c r="AN191" s="107">
        <f t="shared" si="101"/>
        <v>51.4592968129882</v>
      </c>
      <c r="AO191" s="107"/>
      <c r="AP191" s="143">
        <f t="shared" si="102"/>
        <v>451.25856274600449</v>
      </c>
      <c r="AQ191" s="34"/>
      <c r="AR191" s="29"/>
      <c r="AS191" s="124"/>
      <c r="AT191" s="138">
        <f t="shared" si="103"/>
        <v>2177.6137771164199</v>
      </c>
      <c r="AU191" s="151">
        <f t="shared" si="104"/>
        <v>3939.2931682640055</v>
      </c>
      <c r="AW191" s="1">
        <v>2</v>
      </c>
      <c r="BA191" s="30">
        <v>264.92</v>
      </c>
      <c r="BB191" s="30">
        <v>55.89</v>
      </c>
      <c r="BC191" s="30">
        <v>17.98</v>
      </c>
      <c r="BD191" s="30">
        <v>180.49</v>
      </c>
      <c r="BF191" s="289">
        <f t="shared" si="115"/>
        <v>310.42</v>
      </c>
      <c r="BI191" s="333">
        <v>0</v>
      </c>
      <c r="BL191" s="110">
        <f t="shared" si="114"/>
        <v>1.0967873225415627</v>
      </c>
      <c r="BM191" s="110">
        <f t="shared" si="114"/>
        <v>1.1127076627324948</v>
      </c>
      <c r="BN191" s="110">
        <f t="shared" si="114"/>
        <v>2.8314493742615632</v>
      </c>
      <c r="BO191" s="110">
        <f t="shared" si="114"/>
        <v>1.036891829831438</v>
      </c>
      <c r="BS191" s="293"/>
    </row>
    <row r="192" spans="1:71" x14ac:dyDescent="0.25">
      <c r="A192" s="260" t="s">
        <v>173</v>
      </c>
      <c r="B192" s="237">
        <v>2</v>
      </c>
      <c r="C192" s="236">
        <f>'побудинковий звіт'!E192</f>
        <v>6306.37</v>
      </c>
      <c r="D192" s="141">
        <f t="shared" si="85"/>
        <v>15.839802512145249</v>
      </c>
      <c r="E192" s="107">
        <f t="shared" si="79"/>
        <v>3.265010703896333</v>
      </c>
      <c r="F192" s="333">
        <v>7.4649997257463001</v>
      </c>
      <c r="G192" s="107">
        <f t="shared" si="80"/>
        <v>0</v>
      </c>
      <c r="H192" s="735">
        <f t="shared" si="86"/>
        <v>13.233754143825109</v>
      </c>
      <c r="I192" s="107">
        <f t="shared" si="87"/>
        <v>5.1232299491450783</v>
      </c>
      <c r="J192" s="29"/>
      <c r="K192" s="142">
        <f t="shared" si="88"/>
        <v>44.926797034758067</v>
      </c>
      <c r="L192" s="210">
        <f t="shared" si="89"/>
        <v>9.1019486811518071</v>
      </c>
      <c r="M192" s="107">
        <f t="shared" si="81"/>
        <v>2.002591863958306</v>
      </c>
      <c r="N192" s="333">
        <v>0</v>
      </c>
      <c r="O192" s="107"/>
      <c r="P192" s="107">
        <f t="shared" si="90"/>
        <v>7.6044477817017162</v>
      </c>
      <c r="Q192" s="107">
        <f t="shared" si="91"/>
        <v>2.4080869211536875</v>
      </c>
      <c r="R192" s="107"/>
      <c r="S192" s="143">
        <f t="shared" si="92"/>
        <v>21.117075247965516</v>
      </c>
      <c r="T192" s="905">
        <v>40.31666666666667</v>
      </c>
      <c r="U192" s="107"/>
      <c r="V192" s="151">
        <f t="shared" si="93"/>
        <v>40.31666666666667</v>
      </c>
      <c r="W192" s="246"/>
      <c r="X192" s="107"/>
      <c r="Y192" s="46">
        <f t="shared" si="94"/>
        <v>0</v>
      </c>
      <c r="Z192" s="141">
        <f t="shared" si="95"/>
        <v>0</v>
      </c>
      <c r="AA192" s="107">
        <f t="shared" si="82"/>
        <v>0</v>
      </c>
      <c r="AB192" s="333">
        <v>0</v>
      </c>
      <c r="AC192" s="107"/>
      <c r="AD192" s="107">
        <f t="shared" si="96"/>
        <v>0</v>
      </c>
      <c r="AE192" s="107">
        <f t="shared" si="97"/>
        <v>0</v>
      </c>
      <c r="AF192" s="107"/>
      <c r="AG192" s="142">
        <f t="shared" si="98"/>
        <v>0</v>
      </c>
      <c r="AH192" s="210">
        <f t="shared" si="99"/>
        <v>3.8468686886746348</v>
      </c>
      <c r="AI192" s="107">
        <f t="shared" si="83"/>
        <v>0.76731832964439195</v>
      </c>
      <c r="AJ192" s="333">
        <v>0</v>
      </c>
      <c r="AK192" s="121">
        <f t="shared" si="84"/>
        <v>0</v>
      </c>
      <c r="AL192" s="107"/>
      <c r="AM192" s="107">
        <f t="shared" si="100"/>
        <v>3.2139614373641745</v>
      </c>
      <c r="AN192" s="107">
        <f t="shared" si="101"/>
        <v>1.0075831778656361</v>
      </c>
      <c r="AO192" s="107"/>
      <c r="AP192" s="143">
        <f t="shared" si="102"/>
        <v>8.8357316335488374</v>
      </c>
      <c r="AQ192" s="34"/>
      <c r="AR192" s="29"/>
      <c r="AS192" s="124"/>
      <c r="AT192" s="138">
        <f t="shared" si="103"/>
        <v>2929.4159221473274</v>
      </c>
      <c r="AU192" s="151">
        <f t="shared" si="104"/>
        <v>3044.6121927302665</v>
      </c>
      <c r="AW192" s="1">
        <v>2</v>
      </c>
      <c r="BA192" s="30">
        <v>14.442</v>
      </c>
      <c r="BB192" s="30">
        <v>8.18</v>
      </c>
      <c r="BC192" s="30">
        <v>0</v>
      </c>
      <c r="BD192" s="30">
        <v>3.71</v>
      </c>
      <c r="BF192" s="289">
        <f t="shared" si="115"/>
        <v>48.38</v>
      </c>
      <c r="BI192" s="333">
        <v>0</v>
      </c>
      <c r="BL192" s="110">
        <f t="shared" si="114"/>
        <v>1.0967873225415627</v>
      </c>
      <c r="BM192" s="110">
        <f t="shared" si="114"/>
        <v>1.1127076627324948</v>
      </c>
      <c r="BN192" s="110">
        <f t="shared" si="114"/>
        <v>2.8314493742615632</v>
      </c>
      <c r="BO192" s="110">
        <f t="shared" si="114"/>
        <v>1.036891829831438</v>
      </c>
    </row>
    <row r="193" spans="1:67" x14ac:dyDescent="0.25">
      <c r="A193" s="260" t="s">
        <v>174</v>
      </c>
      <c r="B193" s="237">
        <v>2</v>
      </c>
      <c r="C193" s="236">
        <f>'побудинковий звіт'!E193</f>
        <v>2821.2000000000003</v>
      </c>
      <c r="D193" s="141">
        <f t="shared" si="85"/>
        <v>87.830728789128344</v>
      </c>
      <c r="E193" s="107">
        <f t="shared" si="79"/>
        <v>18.104283144164128</v>
      </c>
      <c r="F193" s="333">
        <v>9.9933654245596095</v>
      </c>
      <c r="G193" s="107">
        <f t="shared" si="80"/>
        <v>0</v>
      </c>
      <c r="H193" s="735">
        <f t="shared" si="86"/>
        <v>73.380351186644148</v>
      </c>
      <c r="I193" s="107">
        <f t="shared" si="87"/>
        <v>24.36646307673011</v>
      </c>
      <c r="J193" s="29"/>
      <c r="K193" s="142">
        <f t="shared" si="88"/>
        <v>213.67519162122633</v>
      </c>
      <c r="L193" s="210">
        <f t="shared" si="89"/>
        <v>24.679855959406733</v>
      </c>
      <c r="M193" s="107">
        <f t="shared" si="81"/>
        <v>5.4300107020287562</v>
      </c>
      <c r="N193" s="333">
        <v>0</v>
      </c>
      <c r="O193" s="107"/>
      <c r="P193" s="107">
        <f t="shared" si="90"/>
        <v>20.619395085347684</v>
      </c>
      <c r="Q193" s="107">
        <f t="shared" si="91"/>
        <v>6.5295070796074306</v>
      </c>
      <c r="R193" s="107"/>
      <c r="S193" s="143">
        <f t="shared" si="92"/>
        <v>57.258768826390607</v>
      </c>
      <c r="T193" s="905">
        <v>54.666666666666664</v>
      </c>
      <c r="U193" s="107"/>
      <c r="V193" s="151">
        <f t="shared" si="93"/>
        <v>54.666666666666664</v>
      </c>
      <c r="W193" s="246"/>
      <c r="X193" s="107"/>
      <c r="Y193" s="46">
        <f t="shared" si="94"/>
        <v>0</v>
      </c>
      <c r="Z193" s="141">
        <f t="shared" si="95"/>
        <v>0</v>
      </c>
      <c r="AA193" s="107">
        <f t="shared" si="82"/>
        <v>0</v>
      </c>
      <c r="AB193" s="333">
        <v>0</v>
      </c>
      <c r="AC193" s="107"/>
      <c r="AD193" s="107">
        <f t="shared" si="96"/>
        <v>0</v>
      </c>
      <c r="AE193" s="107">
        <f t="shared" si="97"/>
        <v>0</v>
      </c>
      <c r="AF193" s="107"/>
      <c r="AG193" s="142">
        <f t="shared" si="98"/>
        <v>0</v>
      </c>
      <c r="AH193" s="210">
        <f t="shared" si="99"/>
        <v>37.960609890128943</v>
      </c>
      <c r="AI193" s="107">
        <f t="shared" si="83"/>
        <v>7.5718393661135277</v>
      </c>
      <c r="AJ193" s="333">
        <v>3.923586469317613</v>
      </c>
      <c r="AK193" s="121">
        <f t="shared" si="84"/>
        <v>0</v>
      </c>
      <c r="AL193" s="735"/>
      <c r="AM193" s="107">
        <f t="shared" si="100"/>
        <v>31.715128900782329</v>
      </c>
      <c r="AN193" s="107">
        <f t="shared" si="101"/>
        <v>10.447770691661834</v>
      </c>
      <c r="AO193" s="107"/>
      <c r="AP193" s="143">
        <f t="shared" si="102"/>
        <v>91.618935318004247</v>
      </c>
      <c r="AQ193" s="34"/>
      <c r="AR193" s="29"/>
      <c r="AS193" s="124"/>
      <c r="AT193" s="138">
        <f t="shared" si="103"/>
        <v>1310.4952927852378</v>
      </c>
      <c r="AU193" s="151">
        <f t="shared" si="104"/>
        <v>1727.7148552175256</v>
      </c>
      <c r="AW193" s="1">
        <v>2</v>
      </c>
      <c r="BA193" s="30">
        <v>80.08</v>
      </c>
      <c r="BB193" s="30">
        <v>22.18</v>
      </c>
      <c r="BC193" s="30">
        <v>0</v>
      </c>
      <c r="BD193" s="30">
        <v>36.61</v>
      </c>
      <c r="BF193" s="289">
        <f t="shared" si="115"/>
        <v>65.599999999999994</v>
      </c>
      <c r="BI193" s="333">
        <v>0</v>
      </c>
      <c r="BL193" s="110">
        <f t="shared" si="114"/>
        <v>1.0967873225415627</v>
      </c>
      <c r="BM193" s="110">
        <f t="shared" si="114"/>
        <v>1.1127076627324948</v>
      </c>
      <c r="BN193" s="110">
        <f t="shared" si="114"/>
        <v>2.8314493742615632</v>
      </c>
      <c r="BO193" s="110">
        <f t="shared" si="114"/>
        <v>1.036891829831438</v>
      </c>
    </row>
    <row r="194" spans="1:67" x14ac:dyDescent="0.25">
      <c r="A194" s="260" t="s">
        <v>267</v>
      </c>
      <c r="B194" s="237">
        <v>5</v>
      </c>
      <c r="C194" s="236">
        <f>'побудинковий звіт'!E194</f>
        <v>6514.68</v>
      </c>
      <c r="D194" s="141">
        <f t="shared" si="85"/>
        <v>513.08807735816845</v>
      </c>
      <c r="E194" s="107">
        <f t="shared" si="79"/>
        <v>105.76129742346929</v>
      </c>
      <c r="F194" s="333">
        <v>99.36413987193842</v>
      </c>
      <c r="G194" s="107">
        <f t="shared" si="80"/>
        <v>0</v>
      </c>
      <c r="H194" s="735">
        <f t="shared" si="86"/>
        <v>428.67210400379616</v>
      </c>
      <c r="I194" s="107">
        <f t="shared" si="87"/>
        <v>147.61889900749691</v>
      </c>
      <c r="J194" s="29"/>
      <c r="K194" s="142">
        <f t="shared" si="88"/>
        <v>1294.5045176648691</v>
      </c>
      <c r="L194" s="210">
        <f t="shared" si="89"/>
        <v>108.61139495931882</v>
      </c>
      <c r="M194" s="107">
        <f t="shared" si="81"/>
        <v>23.896453770289764</v>
      </c>
      <c r="N194" s="333">
        <v>0</v>
      </c>
      <c r="O194" s="107"/>
      <c r="P194" s="107">
        <f t="shared" si="90"/>
        <v>90.742071879205938</v>
      </c>
      <c r="Q194" s="107">
        <f t="shared" si="91"/>
        <v>28.735130119047856</v>
      </c>
      <c r="R194" s="107"/>
      <c r="S194" s="143">
        <f t="shared" si="92"/>
        <v>251.98505072786239</v>
      </c>
      <c r="T194" s="905">
        <v>539.10833333333335</v>
      </c>
      <c r="U194" s="107"/>
      <c r="V194" s="151">
        <f t="shared" si="93"/>
        <v>539.10833333333335</v>
      </c>
      <c r="W194" s="907">
        <v>128.51666666666668</v>
      </c>
      <c r="X194" s="107"/>
      <c r="Y194" s="46">
        <f t="shared" si="94"/>
        <v>128.51666666666668</v>
      </c>
      <c r="Z194" s="141">
        <f t="shared" si="95"/>
        <v>84.858537746619049</v>
      </c>
      <c r="AA194" s="107">
        <f t="shared" si="82"/>
        <v>18.652578304653865</v>
      </c>
      <c r="AB194" s="333">
        <v>0</v>
      </c>
      <c r="AC194" s="107"/>
      <c r="AD194" s="107">
        <f t="shared" si="96"/>
        <v>70.897160787339075</v>
      </c>
      <c r="AE194" s="107">
        <f t="shared" si="97"/>
        <v>22.448583699960167</v>
      </c>
      <c r="AF194" s="107"/>
      <c r="AG194" s="142">
        <f t="shared" si="98"/>
        <v>196.85686053857216</v>
      </c>
      <c r="AH194" s="210">
        <f t="shared" si="99"/>
        <v>348.63413994422444</v>
      </c>
      <c r="AI194" s="107">
        <f t="shared" si="83"/>
        <v>69.540550397933686</v>
      </c>
      <c r="AJ194" s="333">
        <v>39.012262453526859</v>
      </c>
      <c r="AK194" s="121">
        <f t="shared" si="84"/>
        <v>0</v>
      </c>
      <c r="AL194" s="107"/>
      <c r="AM194" s="107">
        <f t="shared" si="100"/>
        <v>291.27500110106649</v>
      </c>
      <c r="AN194" s="107">
        <f t="shared" si="101"/>
        <v>96.336659720768523</v>
      </c>
      <c r="AO194" s="107"/>
      <c r="AP194" s="143">
        <f t="shared" si="102"/>
        <v>844.79861361752</v>
      </c>
      <c r="AQ194" s="34"/>
      <c r="AR194" s="29"/>
      <c r="AS194" s="124"/>
      <c r="AT194" s="138">
        <f t="shared" si="103"/>
        <v>3026.1794534248311</v>
      </c>
      <c r="AU194" s="151">
        <f t="shared" si="104"/>
        <v>6281.9494959736548</v>
      </c>
      <c r="AW194" s="1">
        <v>2</v>
      </c>
      <c r="BA194" s="30">
        <v>467.81</v>
      </c>
      <c r="BB194" s="30">
        <v>97.61</v>
      </c>
      <c r="BC194" s="30">
        <v>29.97</v>
      </c>
      <c r="BD194" s="30">
        <v>336.23</v>
      </c>
      <c r="BF194" s="289">
        <f t="shared" si="115"/>
        <v>646.92999999999995</v>
      </c>
      <c r="BI194" s="333">
        <v>0</v>
      </c>
      <c r="BL194" s="110">
        <f t="shared" si="114"/>
        <v>1.0967873225415627</v>
      </c>
      <c r="BM194" s="110">
        <f t="shared" si="114"/>
        <v>1.1127076627324948</v>
      </c>
      <c r="BN194" s="110">
        <f t="shared" si="114"/>
        <v>2.8314493742615632</v>
      </c>
      <c r="BO194" s="110">
        <f t="shared" si="114"/>
        <v>1.036891829831438</v>
      </c>
    </row>
    <row r="195" spans="1:67" x14ac:dyDescent="0.25">
      <c r="A195" s="260" t="s">
        <v>215</v>
      </c>
      <c r="B195" s="237">
        <v>4</v>
      </c>
      <c r="C195" s="236">
        <f>'побудинковий звіт'!E195</f>
        <v>6304.12</v>
      </c>
      <c r="D195" s="141">
        <f t="shared" si="85"/>
        <v>240.36094173498347</v>
      </c>
      <c r="E195" s="107">
        <f t="shared" si="79"/>
        <v>49.544875762282324</v>
      </c>
      <c r="F195" s="333">
        <v>41.742685595983055</v>
      </c>
      <c r="G195" s="107">
        <f t="shared" si="80"/>
        <v>0</v>
      </c>
      <c r="H195" s="735">
        <f t="shared" si="86"/>
        <v>200.81548404786543</v>
      </c>
      <c r="I195" s="107">
        <f t="shared" si="87"/>
        <v>68.534949138982313</v>
      </c>
      <c r="J195" s="29"/>
      <c r="K195" s="142">
        <f t="shared" si="88"/>
        <v>600.99893628009659</v>
      </c>
      <c r="L195" s="210">
        <f t="shared" si="89"/>
        <v>35.250578755365432</v>
      </c>
      <c r="M195" s="107">
        <f t="shared" si="81"/>
        <v>7.7557591992908472</v>
      </c>
      <c r="N195" s="333">
        <v>0</v>
      </c>
      <c r="O195" s="107"/>
      <c r="P195" s="107">
        <f t="shared" si="90"/>
        <v>29.450966469964591</v>
      </c>
      <c r="Q195" s="107">
        <f t="shared" si="91"/>
        <v>9.3261850442724707</v>
      </c>
      <c r="R195" s="107"/>
      <c r="S195" s="143">
        <f t="shared" si="92"/>
        <v>81.78348946889335</v>
      </c>
      <c r="T195" s="905">
        <v>212.44166666666669</v>
      </c>
      <c r="U195" s="107"/>
      <c r="V195" s="151">
        <f t="shared" si="93"/>
        <v>212.44166666666669</v>
      </c>
      <c r="W195" s="246"/>
      <c r="X195" s="107"/>
      <c r="Y195" s="46">
        <f t="shared" si="94"/>
        <v>0</v>
      </c>
      <c r="Z195" s="141">
        <f t="shared" si="95"/>
        <v>0</v>
      </c>
      <c r="AA195" s="107">
        <f t="shared" si="82"/>
        <v>0</v>
      </c>
      <c r="AB195" s="333">
        <v>0</v>
      </c>
      <c r="AC195" s="107"/>
      <c r="AD195" s="107">
        <f t="shared" si="96"/>
        <v>0</v>
      </c>
      <c r="AE195" s="107">
        <f t="shared" si="97"/>
        <v>0</v>
      </c>
      <c r="AF195" s="107"/>
      <c r="AG195" s="142">
        <f t="shared" si="98"/>
        <v>0</v>
      </c>
      <c r="AH195" s="210">
        <f t="shared" si="99"/>
        <v>144.67751701638053</v>
      </c>
      <c r="AI195" s="107">
        <f t="shared" si="83"/>
        <v>28.858201222447981</v>
      </c>
      <c r="AJ195" s="333">
        <v>16.388977030187597</v>
      </c>
      <c r="AK195" s="121">
        <f t="shared" si="84"/>
        <v>0</v>
      </c>
      <c r="AL195" s="107"/>
      <c r="AM195" s="107">
        <f t="shared" si="100"/>
        <v>120.87440413892811</v>
      </c>
      <c r="AN195" s="107">
        <f t="shared" si="101"/>
        <v>40.003833094387005</v>
      </c>
      <c r="AO195" s="107"/>
      <c r="AP195" s="143">
        <f t="shared" si="102"/>
        <v>350.8029325023312</v>
      </c>
      <c r="AQ195" s="34"/>
      <c r="AR195" s="29"/>
      <c r="AS195" s="124"/>
      <c r="AT195" s="138">
        <f t="shared" si="103"/>
        <v>2928.3707589512524</v>
      </c>
      <c r="AU195" s="151">
        <f t="shared" si="104"/>
        <v>4174.3977838692399</v>
      </c>
      <c r="AW195" s="1">
        <v>2</v>
      </c>
      <c r="BA195" s="30">
        <v>219.15</v>
      </c>
      <c r="BB195" s="30">
        <v>31.68</v>
      </c>
      <c r="BC195" s="30">
        <v>0</v>
      </c>
      <c r="BD195" s="30">
        <v>139.53</v>
      </c>
      <c r="BF195" s="289">
        <f t="shared" si="115"/>
        <v>254.93</v>
      </c>
      <c r="BI195" s="333">
        <v>0</v>
      </c>
      <c r="BL195" s="110">
        <f t="shared" si="114"/>
        <v>1.0967873225415627</v>
      </c>
      <c r="BM195" s="110">
        <f t="shared" si="114"/>
        <v>1.1127076627324948</v>
      </c>
      <c r="BN195" s="110">
        <f t="shared" si="114"/>
        <v>2.8314493742615632</v>
      </c>
      <c r="BO195" s="110">
        <f t="shared" si="114"/>
        <v>1.036891829831438</v>
      </c>
    </row>
    <row r="196" spans="1:67" x14ac:dyDescent="0.25">
      <c r="A196" s="260" t="s">
        <v>175</v>
      </c>
      <c r="B196" s="237">
        <v>2</v>
      </c>
      <c r="C196" s="236">
        <f>'побудинковий звіт'!E196</f>
        <v>4191.3999999999996</v>
      </c>
      <c r="D196" s="141">
        <f t="shared" si="85"/>
        <v>20.298242978276701</v>
      </c>
      <c r="E196" s="107">
        <f t="shared" si="79"/>
        <v>4.184015586276792</v>
      </c>
      <c r="F196" s="333">
        <v>6.030152191669746</v>
      </c>
      <c r="G196" s="107">
        <f t="shared" si="80"/>
        <v>0</v>
      </c>
      <c r="H196" s="735">
        <f t="shared" si="86"/>
        <v>16.958668324315973</v>
      </c>
      <c r="I196" s="107">
        <f t="shared" si="87"/>
        <v>6.1101371527970292</v>
      </c>
      <c r="J196" s="29"/>
      <c r="K196" s="142">
        <f t="shared" si="88"/>
        <v>53.581216233336242</v>
      </c>
      <c r="L196" s="210">
        <f t="shared" si="89"/>
        <v>10.526214489449401</v>
      </c>
      <c r="M196" s="107">
        <f t="shared" si="81"/>
        <v>2.3159558720104618</v>
      </c>
      <c r="N196" s="333">
        <v>0</v>
      </c>
      <c r="O196" s="107"/>
      <c r="P196" s="107">
        <f t="shared" si="90"/>
        <v>8.7943858208922059</v>
      </c>
      <c r="Q196" s="107">
        <f t="shared" si="91"/>
        <v>2.7849024784980303</v>
      </c>
      <c r="R196" s="107"/>
      <c r="S196" s="143">
        <f t="shared" si="92"/>
        <v>24.421458660850099</v>
      </c>
      <c r="T196" s="905">
        <v>31.966666666666669</v>
      </c>
      <c r="U196" s="107"/>
      <c r="V196" s="151">
        <f t="shared" si="93"/>
        <v>31.966666666666669</v>
      </c>
      <c r="W196" s="246"/>
      <c r="X196" s="107"/>
      <c r="Y196" s="46">
        <f t="shared" si="94"/>
        <v>0</v>
      </c>
      <c r="Z196" s="141">
        <f t="shared" si="95"/>
        <v>0</v>
      </c>
      <c r="AA196" s="107">
        <f t="shared" si="82"/>
        <v>0</v>
      </c>
      <c r="AB196" s="333">
        <v>0</v>
      </c>
      <c r="AC196" s="107"/>
      <c r="AD196" s="107">
        <f t="shared" si="96"/>
        <v>0</v>
      </c>
      <c r="AE196" s="107">
        <f t="shared" si="97"/>
        <v>0</v>
      </c>
      <c r="AF196" s="107"/>
      <c r="AG196" s="142">
        <f t="shared" si="98"/>
        <v>0</v>
      </c>
      <c r="AH196" s="210">
        <f t="shared" si="99"/>
        <v>12.572313436706185</v>
      </c>
      <c r="AI196" s="107">
        <f t="shared" si="83"/>
        <v>2.5077452148081543</v>
      </c>
      <c r="AJ196" s="333">
        <v>2.3675531256982945</v>
      </c>
      <c r="AK196" s="121">
        <f t="shared" si="84"/>
        <v>0</v>
      </c>
      <c r="AL196" s="418"/>
      <c r="AM196" s="107">
        <f t="shared" si="100"/>
        <v>10.503849711062161</v>
      </c>
      <c r="AN196" s="107">
        <f t="shared" si="101"/>
        <v>3.5977118410290672</v>
      </c>
      <c r="AO196" s="107"/>
      <c r="AP196" s="143">
        <f t="shared" si="102"/>
        <v>31.549173329303862</v>
      </c>
      <c r="AQ196" s="34"/>
      <c r="AR196" s="29"/>
      <c r="AS196" s="124"/>
      <c r="AT196" s="138">
        <f t="shared" si="103"/>
        <v>1946.9764533461098</v>
      </c>
      <c r="AU196" s="151">
        <f t="shared" si="104"/>
        <v>2088.4949682362667</v>
      </c>
      <c r="AW196" s="1">
        <v>2</v>
      </c>
      <c r="BA196" s="30">
        <v>18.506999999999998</v>
      </c>
      <c r="BB196" s="30">
        <v>9.4600000000000009</v>
      </c>
      <c r="BC196" s="30">
        <v>0</v>
      </c>
      <c r="BD196" s="30">
        <v>12.125</v>
      </c>
      <c r="BF196" s="289">
        <f t="shared" si="115"/>
        <v>38.36</v>
      </c>
      <c r="BG196" s="1">
        <v>30.69</v>
      </c>
      <c r="BI196" s="333">
        <v>0</v>
      </c>
      <c r="BL196" s="110">
        <f t="shared" si="114"/>
        <v>1.0967873225415627</v>
      </c>
      <c r="BM196" s="110">
        <f t="shared" si="114"/>
        <v>1.1127076627324948</v>
      </c>
      <c r="BN196" s="110">
        <f t="shared" si="114"/>
        <v>2.8314493742615632</v>
      </c>
      <c r="BO196" s="110">
        <f t="shared" si="114"/>
        <v>1.036891829831438</v>
      </c>
    </row>
    <row r="197" spans="1:67" x14ac:dyDescent="0.25">
      <c r="A197" s="260" t="s">
        <v>374</v>
      </c>
      <c r="B197" s="237">
        <v>9</v>
      </c>
      <c r="C197" s="236">
        <f>'побудинковий звіт'!E197</f>
        <v>234.6</v>
      </c>
      <c r="D197" s="141">
        <f t="shared" si="85"/>
        <v>167.26650371494603</v>
      </c>
      <c r="E197" s="107">
        <f t="shared" si="79"/>
        <v>34.478139775661276</v>
      </c>
      <c r="F197" s="333">
        <v>77.257080425730251</v>
      </c>
      <c r="G197" s="107">
        <f t="shared" si="80"/>
        <v>0</v>
      </c>
      <c r="H197" s="735">
        <f t="shared" si="86"/>
        <v>139.74693087010041</v>
      </c>
      <c r="I197" s="107">
        <f t="shared" si="87"/>
        <v>53.898326367375461</v>
      </c>
      <c r="J197" s="29"/>
      <c r="K197" s="142">
        <f t="shared" si="88"/>
        <v>472.64698115381339</v>
      </c>
      <c r="L197" s="210">
        <f t="shared" si="89"/>
        <v>69.947660588540074</v>
      </c>
      <c r="M197" s="107">
        <f t="shared" si="81"/>
        <v>15.389739154165545</v>
      </c>
      <c r="N197" s="333">
        <v>36.799999999999997</v>
      </c>
      <c r="O197" s="107"/>
      <c r="P197" s="107">
        <f t="shared" si="90"/>
        <v>58.439500268687198</v>
      </c>
      <c r="Q197" s="107">
        <f t="shared" si="91"/>
        <v>23.242564674474487</v>
      </c>
      <c r="R197" s="107"/>
      <c r="S197" s="143">
        <f t="shared" si="92"/>
        <v>203.8194646858673</v>
      </c>
      <c r="T197" s="905">
        <v>441.65000000000003</v>
      </c>
      <c r="U197" s="107"/>
      <c r="V197" s="151">
        <f t="shared" si="93"/>
        <v>441.65000000000003</v>
      </c>
      <c r="W197" s="907">
        <v>103.69166666666668</v>
      </c>
      <c r="X197" s="107"/>
      <c r="Y197" s="46">
        <f t="shared" si="94"/>
        <v>103.69166666666668</v>
      </c>
      <c r="Z197" s="141">
        <f t="shared" si="95"/>
        <v>13.928012199308638</v>
      </c>
      <c r="AA197" s="107">
        <f t="shared" si="82"/>
        <v>3.061487330261349</v>
      </c>
      <c r="AB197" s="333">
        <v>43.4</v>
      </c>
      <c r="AC197" s="107"/>
      <c r="AD197" s="107">
        <f t="shared" si="96"/>
        <v>11.636501718788422</v>
      </c>
      <c r="AE197" s="107">
        <f t="shared" si="97"/>
        <v>9.2706707898581246</v>
      </c>
      <c r="AF197" s="107"/>
      <c r="AG197" s="142">
        <f t="shared" si="98"/>
        <v>81.296672038216542</v>
      </c>
      <c r="AH197" s="210">
        <f t="shared" si="99"/>
        <v>204.97410492040919</v>
      </c>
      <c r="AI197" s="107">
        <f t="shared" si="83"/>
        <v>40.885301926453508</v>
      </c>
      <c r="AJ197" s="333">
        <v>33.083470618940723</v>
      </c>
      <c r="AK197" s="121">
        <f t="shared" si="84"/>
        <v>0</v>
      </c>
      <c r="AL197" s="418"/>
      <c r="AM197" s="107">
        <f t="shared" si="100"/>
        <v>171.25067741769038</v>
      </c>
      <c r="AN197" s="107">
        <f t="shared" si="101"/>
        <v>57.945688594449344</v>
      </c>
      <c r="AO197" s="107"/>
      <c r="AP197" s="143">
        <f t="shared" si="102"/>
        <v>508.13924347794313</v>
      </c>
      <c r="AQ197" s="140"/>
      <c r="AR197" s="107"/>
      <c r="AS197" s="142"/>
      <c r="AT197" s="138">
        <f t="shared" si="103"/>
        <v>108.9756825774198</v>
      </c>
      <c r="AU197" s="151">
        <f t="shared" si="104"/>
        <v>1920.2197105999267</v>
      </c>
      <c r="AW197" s="1">
        <v>1</v>
      </c>
      <c r="BA197" s="30">
        <v>194.72</v>
      </c>
      <c r="BB197" s="30">
        <v>75.86</v>
      </c>
      <c r="BC197" s="30">
        <v>38.96</v>
      </c>
      <c r="BD197" s="30">
        <v>247.04</v>
      </c>
      <c r="BF197" s="289">
        <f>T197*1.2</f>
        <v>529.98</v>
      </c>
      <c r="BI197" s="333">
        <v>0</v>
      </c>
      <c r="BL197" s="110">
        <f>$BA$397</f>
        <v>0.85901039294857251</v>
      </c>
      <c r="BM197" s="110">
        <f>$BB$397</f>
        <v>0.92206249128051765</v>
      </c>
      <c r="BN197" s="110">
        <f>$BC$397</f>
        <v>0.35749517965371247</v>
      </c>
      <c r="BO197" s="110">
        <f>$BD$397</f>
        <v>0.82972030812989472</v>
      </c>
    </row>
    <row r="198" spans="1:67" x14ac:dyDescent="0.25">
      <c r="A198" s="260" t="s">
        <v>375</v>
      </c>
      <c r="B198" s="237">
        <v>9</v>
      </c>
      <c r="C198" s="236">
        <f>'побудинковий звіт'!E198</f>
        <v>1414</v>
      </c>
      <c r="D198" s="141">
        <f t="shared" si="85"/>
        <v>1533.0586680874585</v>
      </c>
      <c r="E198" s="107">
        <f t="shared" si="79"/>
        <v>316.00475808764986</v>
      </c>
      <c r="F198" s="333">
        <v>312.61797095942609</v>
      </c>
      <c r="G198" s="107">
        <f t="shared" si="80"/>
        <v>0</v>
      </c>
      <c r="H198" s="735">
        <f t="shared" si="86"/>
        <v>1280.8317203433178</v>
      </c>
      <c r="I198" s="107">
        <f t="shared" si="87"/>
        <v>443.09562170276303</v>
      </c>
      <c r="J198" s="29"/>
      <c r="K198" s="142">
        <f t="shared" si="88"/>
        <v>3885.6087391806154</v>
      </c>
      <c r="L198" s="210">
        <f t="shared" si="89"/>
        <v>258.73995567822607</v>
      </c>
      <c r="M198" s="107">
        <f t="shared" si="81"/>
        <v>56.927428210524567</v>
      </c>
      <c r="N198" s="333">
        <v>36.799999999999997</v>
      </c>
      <c r="O198" s="107"/>
      <c r="P198" s="107">
        <f t="shared" si="90"/>
        <v>216.17068508299914</v>
      </c>
      <c r="Q198" s="107">
        <f t="shared" si="91"/>
        <v>73.191017752604722</v>
      </c>
      <c r="R198" s="107"/>
      <c r="S198" s="143">
        <f t="shared" si="92"/>
        <v>641.82908672435451</v>
      </c>
      <c r="T198" s="905">
        <v>1873.7750000000003</v>
      </c>
      <c r="U198" s="107"/>
      <c r="V198" s="151">
        <f t="shared" si="93"/>
        <v>1873.7750000000003</v>
      </c>
      <c r="W198" s="907">
        <v>417.9666666666667</v>
      </c>
      <c r="X198" s="107"/>
      <c r="Y198" s="46">
        <f t="shared" si="94"/>
        <v>417.9666666666667</v>
      </c>
      <c r="Z198" s="141">
        <f t="shared" si="95"/>
        <v>33.000380033834197</v>
      </c>
      <c r="AA198" s="107">
        <f t="shared" si="82"/>
        <v>7.2537447499082424</v>
      </c>
      <c r="AB198" s="333">
        <v>86.8</v>
      </c>
      <c r="AC198" s="107"/>
      <c r="AD198" s="107">
        <f t="shared" si="96"/>
        <v>27.570982383505111</v>
      </c>
      <c r="AE198" s="107">
        <f t="shared" si="97"/>
        <v>19.902235853010865</v>
      </c>
      <c r="AF198" s="107"/>
      <c r="AG198" s="142">
        <f t="shared" si="98"/>
        <v>174.52734302025843</v>
      </c>
      <c r="AH198" s="210">
        <f t="shared" si="99"/>
        <v>934.08252848647282</v>
      </c>
      <c r="AI198" s="107">
        <f t="shared" si="83"/>
        <v>186.31741905263451</v>
      </c>
      <c r="AJ198" s="333">
        <v>133.87106269349135</v>
      </c>
      <c r="AK198" s="121">
        <f t="shared" si="84"/>
        <v>0</v>
      </c>
      <c r="AL198" s="418"/>
      <c r="AM198" s="107">
        <f t="shared" si="100"/>
        <v>780.40231388960274</v>
      </c>
      <c r="AN198" s="107">
        <f t="shared" si="101"/>
        <v>261.88857115364482</v>
      </c>
      <c r="AO198" s="107"/>
      <c r="AP198" s="143">
        <f t="shared" si="102"/>
        <v>2296.5618952758464</v>
      </c>
      <c r="AQ198" s="34"/>
      <c r="AR198" s="29"/>
      <c r="AS198" s="124"/>
      <c r="AT198" s="138">
        <f t="shared" si="103"/>
        <v>656.82700411113217</v>
      </c>
      <c r="AU198" s="151">
        <f t="shared" si="104"/>
        <v>9947.0957349788732</v>
      </c>
      <c r="AW198" s="1">
        <v>1</v>
      </c>
      <c r="BA198" s="30">
        <v>1784.68</v>
      </c>
      <c r="BB198" s="30">
        <v>280.61</v>
      </c>
      <c r="BC198" s="30">
        <v>92.31</v>
      </c>
      <c r="BD198" s="30">
        <v>1125.78</v>
      </c>
      <c r="BF198" s="289">
        <f>T198*1.2</f>
        <v>2248.5300000000002</v>
      </c>
      <c r="BI198" s="333">
        <v>0</v>
      </c>
      <c r="BL198" s="110">
        <f>$BA$397</f>
        <v>0.85901039294857251</v>
      </c>
      <c r="BM198" s="110">
        <f>$BB$397</f>
        <v>0.92206249128051765</v>
      </c>
      <c r="BN198" s="110">
        <f>$BC$397</f>
        <v>0.35749517965371247</v>
      </c>
      <c r="BO198" s="110">
        <f>$BD$397</f>
        <v>0.82972030812989472</v>
      </c>
    </row>
    <row r="199" spans="1:67" x14ac:dyDescent="0.25">
      <c r="A199" s="260" t="s">
        <v>176</v>
      </c>
      <c r="B199" s="237">
        <v>2</v>
      </c>
      <c r="C199" s="236">
        <f>'побудинковий звіт'!E199</f>
        <v>472.24</v>
      </c>
      <c r="D199" s="141">
        <f t="shared" si="85"/>
        <v>87.863632408804591</v>
      </c>
      <c r="E199" s="107">
        <f t="shared" si="79"/>
        <v>18.111065468019333</v>
      </c>
      <c r="F199" s="333">
        <v>8.9504145737991188</v>
      </c>
      <c r="G199" s="107">
        <f t="shared" si="80"/>
        <v>0</v>
      </c>
      <c r="H199" s="735">
        <f t="shared" si="86"/>
        <v>73.407841328197577</v>
      </c>
      <c r="I199" s="107">
        <f t="shared" si="87"/>
        <v>24.240868340650888</v>
      </c>
      <c r="J199" s="29"/>
      <c r="K199" s="142">
        <f t="shared" si="88"/>
        <v>212.57382211947152</v>
      </c>
      <c r="L199" s="210">
        <f t="shared" si="89"/>
        <v>20.240152385104082</v>
      </c>
      <c r="M199" s="107">
        <f t="shared" si="81"/>
        <v>4.4531963331786786</v>
      </c>
      <c r="N199" s="333">
        <v>0</v>
      </c>
      <c r="O199" s="107"/>
      <c r="P199" s="107">
        <f t="shared" si="90"/>
        <v>16.910135103808585</v>
      </c>
      <c r="Q199" s="107">
        <f t="shared" si="91"/>
        <v>5.3549023344481146</v>
      </c>
      <c r="R199" s="107"/>
      <c r="S199" s="143">
        <f t="shared" si="92"/>
        <v>46.958386156539461</v>
      </c>
      <c r="T199" s="905">
        <v>47.933333333333337</v>
      </c>
      <c r="U199" s="107"/>
      <c r="V199" s="151">
        <f t="shared" si="93"/>
        <v>47.933333333333337</v>
      </c>
      <c r="W199" s="246"/>
      <c r="X199" s="107"/>
      <c r="Y199" s="46">
        <f t="shared" si="94"/>
        <v>0</v>
      </c>
      <c r="Z199" s="141">
        <f t="shared" si="95"/>
        <v>0</v>
      </c>
      <c r="AA199" s="107">
        <f t="shared" si="82"/>
        <v>0</v>
      </c>
      <c r="AB199" s="333">
        <v>0</v>
      </c>
      <c r="AC199" s="107"/>
      <c r="AD199" s="107">
        <f t="shared" si="96"/>
        <v>0</v>
      </c>
      <c r="AE199" s="107">
        <f t="shared" si="97"/>
        <v>0</v>
      </c>
      <c r="AF199" s="107"/>
      <c r="AG199" s="142">
        <f t="shared" si="98"/>
        <v>0</v>
      </c>
      <c r="AH199" s="210">
        <f t="shared" si="99"/>
        <v>37.369581547125023</v>
      </c>
      <c r="AI199" s="107">
        <f t="shared" si="83"/>
        <v>7.4539494879740928</v>
      </c>
      <c r="AJ199" s="333">
        <v>3.5141040104704242</v>
      </c>
      <c r="AK199" s="121">
        <f t="shared" si="84"/>
        <v>0</v>
      </c>
      <c r="AL199" s="107"/>
      <c r="AM199" s="107">
        <f t="shared" si="100"/>
        <v>31.221339677251983</v>
      </c>
      <c r="AN199" s="107">
        <f t="shared" si="101"/>
        <v>10.240261159170386</v>
      </c>
      <c r="AO199" s="107"/>
      <c r="AP199" s="143">
        <f t="shared" si="102"/>
        <v>89.799235881991905</v>
      </c>
      <c r="AQ199" s="34"/>
      <c r="AR199" s="29"/>
      <c r="AS199" s="124"/>
      <c r="AT199" s="138">
        <f t="shared" si="103"/>
        <v>219.36349676198097</v>
      </c>
      <c r="AU199" s="151">
        <f t="shared" si="104"/>
        <v>616.62827425331716</v>
      </c>
      <c r="AW199" s="1">
        <v>2</v>
      </c>
      <c r="BA199" s="30">
        <v>80.11</v>
      </c>
      <c r="BB199" s="30">
        <v>18.190000000000001</v>
      </c>
      <c r="BC199" s="30">
        <v>0</v>
      </c>
      <c r="BD199" s="30">
        <v>36.04</v>
      </c>
      <c r="BF199" s="150">
        <f>T199*1.2</f>
        <v>57.52</v>
      </c>
      <c r="BI199" s="333">
        <v>0</v>
      </c>
      <c r="BL199" s="110">
        <f>BA$398</f>
        <v>1.0967873225415627</v>
      </c>
      <c r="BM199" s="110">
        <f>BB$398</f>
        <v>1.1127076627324948</v>
      </c>
      <c r="BN199" s="110">
        <f>BC$398</f>
        <v>2.8314493742615632</v>
      </c>
      <c r="BO199" s="110">
        <f>BD$398</f>
        <v>1.036891829831438</v>
      </c>
    </row>
    <row r="200" spans="1:67" x14ac:dyDescent="0.25">
      <c r="A200" s="260" t="s">
        <v>336</v>
      </c>
      <c r="B200" s="237">
        <v>8</v>
      </c>
      <c r="C200" s="236">
        <f>'побудинковий звіт'!E200</f>
        <v>170.2</v>
      </c>
      <c r="D200" s="141">
        <f t="shared" si="85"/>
        <v>384.58754302700538</v>
      </c>
      <c r="E200" s="107">
        <f t="shared" si="79"/>
        <v>79.273869961798027</v>
      </c>
      <c r="F200" s="333">
        <v>104.16425492377978</v>
      </c>
      <c r="G200" s="107">
        <f t="shared" si="80"/>
        <v>0</v>
      </c>
      <c r="H200" s="735">
        <f t="shared" si="86"/>
        <v>321.31315951033616</v>
      </c>
      <c r="I200" s="107">
        <f t="shared" si="87"/>
        <v>114.46932145027621</v>
      </c>
      <c r="J200" s="29"/>
      <c r="K200" s="142">
        <f t="shared" si="88"/>
        <v>1003.8081488731956</v>
      </c>
      <c r="L200" s="210">
        <f t="shared" si="89"/>
        <v>71.810226820926715</v>
      </c>
      <c r="M200" s="107">
        <f t="shared" si="81"/>
        <v>15.799537112133041</v>
      </c>
      <c r="N200" s="333">
        <v>0</v>
      </c>
      <c r="O200" s="107"/>
      <c r="P200" s="107">
        <f t="shared" si="90"/>
        <v>59.995627220213009</v>
      </c>
      <c r="Q200" s="107">
        <f t="shared" si="91"/>
        <v>18.998708306348142</v>
      </c>
      <c r="R200" s="107"/>
      <c r="S200" s="143">
        <f t="shared" si="92"/>
        <v>166.6040994596209</v>
      </c>
      <c r="T200" s="905">
        <v>654.11666666666679</v>
      </c>
      <c r="U200" s="107"/>
      <c r="V200" s="151">
        <f t="shared" si="93"/>
        <v>654.11666666666679</v>
      </c>
      <c r="W200" s="907">
        <v>136.59166666666667</v>
      </c>
      <c r="X200" s="107"/>
      <c r="Y200" s="46">
        <f t="shared" si="94"/>
        <v>136.59166666666667</v>
      </c>
      <c r="Z200" s="141">
        <f t="shared" si="95"/>
        <v>27.212533075240597</v>
      </c>
      <c r="AA200" s="107">
        <f t="shared" si="82"/>
        <v>5.9815301740116507</v>
      </c>
      <c r="AB200" s="333">
        <v>0</v>
      </c>
      <c r="AC200" s="107"/>
      <c r="AD200" s="107">
        <f t="shared" si="96"/>
        <v>22.735382721616396</v>
      </c>
      <c r="AE200" s="107">
        <f t="shared" si="97"/>
        <v>7.1988375318405948</v>
      </c>
      <c r="AF200" s="107"/>
      <c r="AG200" s="142">
        <f t="shared" si="98"/>
        <v>63.128283502709237</v>
      </c>
      <c r="AH200" s="210">
        <f t="shared" si="99"/>
        <v>198.98352429571133</v>
      </c>
      <c r="AI200" s="107">
        <f t="shared" si="83"/>
        <v>39.690386609464376</v>
      </c>
      <c r="AJ200" s="333">
        <v>44.605815393549378</v>
      </c>
      <c r="AK200" s="121">
        <f t="shared" si="84"/>
        <v>0</v>
      </c>
      <c r="AL200" s="107"/>
      <c r="AM200" s="107">
        <f t="shared" si="100"/>
        <v>166.24569890831648</v>
      </c>
      <c r="AN200" s="107">
        <f t="shared" si="101"/>
        <v>57.859691729873113</v>
      </c>
      <c r="AO200" s="107"/>
      <c r="AP200" s="143">
        <f t="shared" si="102"/>
        <v>507.38511693691476</v>
      </c>
      <c r="AQ200" s="34"/>
      <c r="AR200" s="29"/>
      <c r="AS200" s="124"/>
      <c r="AT200" s="138">
        <f t="shared" si="103"/>
        <v>79.060789320873198</v>
      </c>
      <c r="AU200" s="151">
        <f t="shared" si="104"/>
        <v>2610.6947714266471</v>
      </c>
      <c r="AW200" s="1">
        <v>1</v>
      </c>
      <c r="BA200" s="30">
        <v>447.71</v>
      </c>
      <c r="BB200" s="30">
        <v>77.88</v>
      </c>
      <c r="BC200" s="30">
        <v>76.12</v>
      </c>
      <c r="BD200" s="30">
        <v>239.82</v>
      </c>
      <c r="BF200" s="289">
        <f>T200*1.2</f>
        <v>784.94000000000017</v>
      </c>
      <c r="BI200" s="333">
        <v>8.52</v>
      </c>
      <c r="BL200" s="110">
        <f>$BA$397</f>
        <v>0.85901039294857251</v>
      </c>
      <c r="BM200" s="110">
        <f>$BB$397</f>
        <v>0.92206249128051765</v>
      </c>
      <c r="BN200" s="110">
        <f>$BC$397</f>
        <v>0.35749517965371247</v>
      </c>
      <c r="BO200" s="110">
        <f>$BD$397</f>
        <v>0.82972030812989472</v>
      </c>
    </row>
    <row r="201" spans="1:67" x14ac:dyDescent="0.25">
      <c r="A201" s="260" t="s">
        <v>177</v>
      </c>
      <c r="B201" s="237">
        <v>2</v>
      </c>
      <c r="C201" s="236">
        <f>'побудинковий звіт'!E201</f>
        <v>359.9</v>
      </c>
      <c r="D201" s="141">
        <f t="shared" si="85"/>
        <v>52.163205060076727</v>
      </c>
      <c r="E201" s="107">
        <f t="shared" ref="E201:E264" si="116">D201*$BA$372</f>
        <v>10.752244085120454</v>
      </c>
      <c r="F201" s="333">
        <v>8.5311272620792469</v>
      </c>
      <c r="G201" s="107">
        <f t="shared" ref="G201:G264" si="117">$G$369/$C$368*C201</f>
        <v>0</v>
      </c>
      <c r="H201" s="735">
        <f t="shared" si="86"/>
        <v>43.581037742717228</v>
      </c>
      <c r="I201" s="107">
        <f t="shared" si="87"/>
        <v>14.805530281354081</v>
      </c>
      <c r="J201" s="29"/>
      <c r="K201" s="142">
        <f t="shared" si="88"/>
        <v>129.83314443134773</v>
      </c>
      <c r="L201" s="210">
        <f t="shared" si="89"/>
        <v>20.240152385104082</v>
      </c>
      <c r="M201" s="107">
        <f t="shared" ref="M201:M264" si="118">L201*$BB$372</f>
        <v>4.4531963331786786</v>
      </c>
      <c r="N201" s="333">
        <v>0</v>
      </c>
      <c r="O201" s="107"/>
      <c r="P201" s="107">
        <f t="shared" si="90"/>
        <v>16.910135103808585</v>
      </c>
      <c r="Q201" s="107">
        <f t="shared" si="91"/>
        <v>5.3549023344481146</v>
      </c>
      <c r="R201" s="107"/>
      <c r="S201" s="143">
        <f t="shared" si="92"/>
        <v>46.958386156539461</v>
      </c>
      <c r="T201" s="245"/>
      <c r="U201" s="107"/>
      <c r="V201" s="151">
        <f t="shared" si="93"/>
        <v>0</v>
      </c>
      <c r="W201" s="246"/>
      <c r="X201" s="107"/>
      <c r="Y201" s="46">
        <f t="shared" si="94"/>
        <v>0</v>
      </c>
      <c r="Z201" s="141">
        <f t="shared" si="95"/>
        <v>0</v>
      </c>
      <c r="AA201" s="107">
        <f t="shared" ref="AA201:AA264" si="119">Z201*$BC$372</f>
        <v>0</v>
      </c>
      <c r="AB201" s="333">
        <v>0</v>
      </c>
      <c r="AC201" s="107"/>
      <c r="AD201" s="107">
        <f t="shared" si="96"/>
        <v>0</v>
      </c>
      <c r="AE201" s="107">
        <f t="shared" si="97"/>
        <v>0</v>
      </c>
      <c r="AF201" s="107"/>
      <c r="AG201" s="142">
        <f t="shared" si="98"/>
        <v>0</v>
      </c>
      <c r="AH201" s="210">
        <f t="shared" si="99"/>
        <v>37.369581547125023</v>
      </c>
      <c r="AI201" s="107">
        <f t="shared" ref="AI201:AI264" si="120">AH201*$BD$372</f>
        <v>7.4539494879740928</v>
      </c>
      <c r="AJ201" s="333">
        <v>3.3494837896409484</v>
      </c>
      <c r="AK201" s="121">
        <f t="shared" ref="AK201:AK264" si="121">$AK$369/$C$368*C201</f>
        <v>0</v>
      </c>
      <c r="AL201" s="418"/>
      <c r="AM201" s="107">
        <f t="shared" si="100"/>
        <v>31.221339677251983</v>
      </c>
      <c r="AN201" s="107">
        <f t="shared" si="101"/>
        <v>10.219072423905166</v>
      </c>
      <c r="AO201" s="107"/>
      <c r="AP201" s="143">
        <f t="shared" si="102"/>
        <v>89.613426925897201</v>
      </c>
      <c r="AQ201" s="34"/>
      <c r="AR201" s="29"/>
      <c r="AS201" s="124"/>
      <c r="AT201" s="138">
        <f t="shared" si="103"/>
        <v>167.17965967439636</v>
      </c>
      <c r="AU201" s="151">
        <f t="shared" si="104"/>
        <v>433.58461718818074</v>
      </c>
      <c r="AW201" s="1">
        <v>2</v>
      </c>
      <c r="BA201" s="30">
        <v>47.56</v>
      </c>
      <c r="BB201" s="30">
        <v>18.190000000000001</v>
      </c>
      <c r="BC201" s="30">
        <v>0</v>
      </c>
      <c r="BD201" s="30">
        <v>36.04</v>
      </c>
      <c r="BI201" s="333">
        <v>0</v>
      </c>
      <c r="BL201" s="110">
        <f>BA$398</f>
        <v>1.0967873225415627</v>
      </c>
      <c r="BM201" s="110">
        <f>BB$398</f>
        <v>1.1127076627324948</v>
      </c>
      <c r="BN201" s="110">
        <f>BC$398</f>
        <v>2.8314493742615632</v>
      </c>
      <c r="BO201" s="110">
        <f>BD$398</f>
        <v>1.036891829831438</v>
      </c>
    </row>
    <row r="202" spans="1:67" x14ac:dyDescent="0.25">
      <c r="A202" s="260" t="s">
        <v>376</v>
      </c>
      <c r="B202" s="237">
        <v>9</v>
      </c>
      <c r="C202" s="236">
        <f>'побудинковий звіт'!E202</f>
        <v>2128.4299999999998</v>
      </c>
      <c r="D202" s="141">
        <f t="shared" ref="D202:D265" si="122">BA202*BL202</f>
        <v>590.65554619143848</v>
      </c>
      <c r="E202" s="107">
        <f t="shared" si="116"/>
        <v>121.75004575670037</v>
      </c>
      <c r="F202" s="333">
        <v>151.01426295631853</v>
      </c>
      <c r="G202" s="107">
        <f t="shared" si="117"/>
        <v>0</v>
      </c>
      <c r="H202" s="735">
        <f t="shared" ref="H202:H265" si="123">D202*$B$4</f>
        <v>493.47776122781971</v>
      </c>
      <c r="I202" s="107">
        <f t="shared" ref="I202:I265" si="124">(D202+E202+F202+G202+H202)*$B$5</f>
        <v>174.65013851497591</v>
      </c>
      <c r="J202" s="29"/>
      <c r="K202" s="142">
        <f t="shared" ref="K202:K265" si="125">D202+E202+F202+G202+H202+I202-J202</f>
        <v>1531.547754647253</v>
      </c>
      <c r="L202" s="210">
        <f t="shared" ref="L202:L265" si="126">BB202*BM202</f>
        <v>109.9098489606377</v>
      </c>
      <c r="M202" s="107">
        <f t="shared" si="118"/>
        <v>24.182136925606812</v>
      </c>
      <c r="N202" s="333">
        <v>0</v>
      </c>
      <c r="O202" s="107"/>
      <c r="P202" s="107">
        <f t="shared" ref="P202:P265" si="127">L202*$B$4</f>
        <v>91.826897337562798</v>
      </c>
      <c r="Q202" s="107">
        <f t="shared" ref="Q202:Q265" si="128">(L202+M202+N202+O202+P202)*$B$5</f>
        <v>29.078659862823557</v>
      </c>
      <c r="R202" s="107"/>
      <c r="S202" s="143">
        <f t="shared" ref="S202:S265" si="129">L202+M202+N202+O202+P202+Q202-R202</f>
        <v>254.99754308663086</v>
      </c>
      <c r="T202" s="905">
        <v>1001.6000000000001</v>
      </c>
      <c r="U202" s="107"/>
      <c r="V202" s="151">
        <f t="shared" ref="V202:V265" si="130">T202+U202</f>
        <v>1001.6000000000001</v>
      </c>
      <c r="W202" s="907">
        <v>195.0916666666667</v>
      </c>
      <c r="X202" s="107"/>
      <c r="Y202" s="46">
        <f t="shared" ref="Y202:Y265" si="131">W202+X202</f>
        <v>195.0916666666667</v>
      </c>
      <c r="Z202" s="141">
        <f t="shared" ref="Z202:Z265" si="132">BC202*BN202</f>
        <v>14.142509307100866</v>
      </c>
      <c r="AA202" s="107">
        <f t="shared" si="119"/>
        <v>3.1086354924316986</v>
      </c>
      <c r="AB202" s="333">
        <v>0</v>
      </c>
      <c r="AC202" s="107"/>
      <c r="AD202" s="107">
        <f t="shared" ref="AD202:AD265" si="133">Z202*$B$4</f>
        <v>11.815708624108572</v>
      </c>
      <c r="AE202" s="107">
        <f t="shared" ref="AE202:AE265" si="134">(Z202+AA202+AB202+AC202+AD202)*$B$5</f>
        <v>3.74127709878631</v>
      </c>
      <c r="AF202" s="107"/>
      <c r="AG202" s="142">
        <f t="shared" ref="AG202:AG265" si="135">Z202+AA202+AB202+AC202+AD202+AE202-AF202</f>
        <v>32.808130522427447</v>
      </c>
      <c r="AH202" s="210">
        <f t="shared" ref="AH202:AH265" si="136">BD202*BO202</f>
        <v>392.5821637916597</v>
      </c>
      <c r="AI202" s="107">
        <f t="shared" si="120"/>
        <v>78.306673439529945</v>
      </c>
      <c r="AJ202" s="333">
        <v>64.668194863501782</v>
      </c>
      <c r="AK202" s="121">
        <f t="shared" si="121"/>
        <v>0</v>
      </c>
      <c r="AL202" s="107"/>
      <c r="AM202" s="107">
        <f t="shared" ref="AM202:AM265" si="137">AH202*$B$4</f>
        <v>327.99246284075537</v>
      </c>
      <c r="AN202" s="107">
        <f t="shared" ref="AN202:AN265" si="138">(AH202+AI202+AJ202+AK202+AL202+AM202)*$B$5</f>
        <v>111.14990336183969</v>
      </c>
      <c r="AO202" s="107"/>
      <c r="AP202" s="143">
        <f t="shared" ref="AP202:AP265" si="139">AH202+AI202+AJ202+AK202+AL202+AM202+AN202-AO202</f>
        <v>974.69939829728651</v>
      </c>
      <c r="AQ202" s="34"/>
      <c r="AR202" s="29"/>
      <c r="AS202" s="124"/>
      <c r="AT202" s="138">
        <f t="shared" ref="AT202:AT265" si="140">IF(B202&gt;1,C202*$AT$5,0)</f>
        <v>988.69186729862588</v>
      </c>
      <c r="AU202" s="151">
        <f t="shared" ref="AU202:AU265" si="141">K202+S202+V202+Y202+AG202+AP202+AS202+AT202</f>
        <v>4979.4363605188901</v>
      </c>
      <c r="AW202" s="1">
        <v>1</v>
      </c>
      <c r="BA202" s="30">
        <v>687.6</v>
      </c>
      <c r="BB202" s="30">
        <v>119.2</v>
      </c>
      <c r="BC202" s="30">
        <v>39.56</v>
      </c>
      <c r="BD202" s="30">
        <v>473.15</v>
      </c>
      <c r="BF202" s="289">
        <f t="shared" ref="BF202:BF210" si="142">T202*1.2</f>
        <v>1201.92</v>
      </c>
      <c r="BI202" s="333">
        <v>0</v>
      </c>
      <c r="BL202" s="110">
        <f>$BA$397</f>
        <v>0.85901039294857251</v>
      </c>
      <c r="BM202" s="110">
        <f>$BB$397</f>
        <v>0.92206249128051765</v>
      </c>
      <c r="BN202" s="110">
        <f>$BC$397</f>
        <v>0.35749517965371247</v>
      </c>
      <c r="BO202" s="110">
        <f>$BD$397</f>
        <v>0.82972030812989472</v>
      </c>
    </row>
    <row r="203" spans="1:67" x14ac:dyDescent="0.25">
      <c r="A203" s="260" t="s">
        <v>337</v>
      </c>
      <c r="B203" s="237">
        <v>8</v>
      </c>
      <c r="C203" s="236">
        <f>'побудинковий звіт'!E203</f>
        <v>354.3</v>
      </c>
      <c r="D203" s="141">
        <f t="shared" si="122"/>
        <v>289.21161909792539</v>
      </c>
      <c r="E203" s="107">
        <f t="shared" si="116"/>
        <v>59.614318506931177</v>
      </c>
      <c r="F203" s="333">
        <v>124.0068019483937</v>
      </c>
      <c r="G203" s="107">
        <f t="shared" si="117"/>
        <v>0</v>
      </c>
      <c r="H203" s="735">
        <f t="shared" si="123"/>
        <v>241.62898872917734</v>
      </c>
      <c r="I203" s="107">
        <f t="shared" si="124"/>
        <v>91.960394302889526</v>
      </c>
      <c r="J203" s="29"/>
      <c r="K203" s="142">
        <f t="shared" si="125"/>
        <v>806.42212258531708</v>
      </c>
      <c r="L203" s="210">
        <f t="shared" si="126"/>
        <v>87.83567291938212</v>
      </c>
      <c r="M203" s="107">
        <f t="shared" si="118"/>
        <v>19.325422512863298</v>
      </c>
      <c r="N203" s="333">
        <v>0</v>
      </c>
      <c r="O203" s="107"/>
      <c r="P203" s="107">
        <f t="shared" si="127"/>
        <v>73.38448188235094</v>
      </c>
      <c r="Q203" s="107">
        <f t="shared" si="128"/>
        <v>23.238533041380638</v>
      </c>
      <c r="R203" s="107"/>
      <c r="S203" s="143">
        <f t="shared" si="129"/>
        <v>203.78411035597699</v>
      </c>
      <c r="T203" s="905">
        <v>818</v>
      </c>
      <c r="U203" s="107"/>
      <c r="V203" s="151">
        <f t="shared" si="130"/>
        <v>818</v>
      </c>
      <c r="W203" s="907">
        <v>150.96666666666667</v>
      </c>
      <c r="X203" s="107"/>
      <c r="Y203" s="46">
        <f t="shared" si="131"/>
        <v>150.96666666666667</v>
      </c>
      <c r="Z203" s="141">
        <f t="shared" si="132"/>
        <v>13.177272322035842</v>
      </c>
      <c r="AA203" s="107">
        <f t="shared" si="119"/>
        <v>2.8964687626651267</v>
      </c>
      <c r="AB203" s="333">
        <v>0</v>
      </c>
      <c r="AC203" s="107"/>
      <c r="AD203" s="107">
        <f t="shared" si="133"/>
        <v>11.009277550167896</v>
      </c>
      <c r="AE203" s="107">
        <f t="shared" si="134"/>
        <v>3.4859320996274872</v>
      </c>
      <c r="AF203" s="107"/>
      <c r="AG203" s="142">
        <f t="shared" si="135"/>
        <v>30.568950734496351</v>
      </c>
      <c r="AH203" s="210">
        <f t="shared" si="136"/>
        <v>313.94127298710828</v>
      </c>
      <c r="AI203" s="107">
        <f t="shared" si="120"/>
        <v>62.620513641160194</v>
      </c>
      <c r="AJ203" s="333">
        <v>53.102904823751715</v>
      </c>
      <c r="AK203" s="121">
        <f t="shared" si="121"/>
        <v>0</v>
      </c>
      <c r="AL203" s="107"/>
      <c r="AM203" s="107">
        <f t="shared" si="137"/>
        <v>262.28998872462563</v>
      </c>
      <c r="AN203" s="107">
        <f t="shared" si="138"/>
        <v>89.063448341378745</v>
      </c>
      <c r="AO203" s="107"/>
      <c r="AP203" s="143">
        <f t="shared" si="139"/>
        <v>781.01812851802447</v>
      </c>
      <c r="AQ203" s="34"/>
      <c r="AR203" s="29"/>
      <c r="AS203" s="124"/>
      <c r="AT203" s="138">
        <f t="shared" si="140"/>
        <v>164.57836460860972</v>
      </c>
      <c r="AU203" s="151">
        <f t="shared" si="141"/>
        <v>2955.3383434690913</v>
      </c>
      <c r="AW203" s="1">
        <v>1</v>
      </c>
      <c r="BA203" s="30">
        <v>336.68</v>
      </c>
      <c r="BB203" s="30">
        <v>95.26</v>
      </c>
      <c r="BC203" s="30">
        <v>36.86</v>
      </c>
      <c r="BD203" s="30">
        <v>378.37</v>
      </c>
      <c r="BF203" s="289">
        <f t="shared" si="142"/>
        <v>981.59999999999991</v>
      </c>
      <c r="BI203" s="333">
        <v>0</v>
      </c>
      <c r="BL203" s="110">
        <f>$BA$397</f>
        <v>0.85901039294857251</v>
      </c>
      <c r="BM203" s="110">
        <f>$BB$397</f>
        <v>0.92206249128051765</v>
      </c>
      <c r="BN203" s="110">
        <f>$BC$397</f>
        <v>0.35749517965371247</v>
      </c>
      <c r="BO203" s="110">
        <f>$BD$397</f>
        <v>0.82972030812989472</v>
      </c>
    </row>
    <row r="204" spans="1:67" x14ac:dyDescent="0.25">
      <c r="A204" s="260" t="s">
        <v>377</v>
      </c>
      <c r="B204" s="237">
        <v>9</v>
      </c>
      <c r="C204" s="236">
        <f>'побудинковий звіт'!E204</f>
        <v>397.4</v>
      </c>
      <c r="D204" s="141">
        <f t="shared" si="122"/>
        <v>229.16679263082014</v>
      </c>
      <c r="E204" s="107">
        <f t="shared" si="116"/>
        <v>47.237459579657532</v>
      </c>
      <c r="F204" s="333">
        <v>43.874031176866332</v>
      </c>
      <c r="G204" s="107">
        <f t="shared" si="117"/>
        <v>0</v>
      </c>
      <c r="H204" s="735">
        <f t="shared" si="123"/>
        <v>191.46305575968253</v>
      </c>
      <c r="I204" s="107">
        <f t="shared" si="124"/>
        <v>65.867678374014233</v>
      </c>
      <c r="J204" s="29"/>
      <c r="K204" s="142">
        <f t="shared" si="125"/>
        <v>577.60901752104076</v>
      </c>
      <c r="L204" s="210">
        <f t="shared" si="126"/>
        <v>37.454178395814623</v>
      </c>
      <c r="M204" s="107">
        <f t="shared" si="118"/>
        <v>8.2405906201186969</v>
      </c>
      <c r="N204" s="333">
        <v>0</v>
      </c>
      <c r="O204" s="107"/>
      <c r="P204" s="107">
        <f t="shared" si="127"/>
        <v>31.292018203454699</v>
      </c>
      <c r="Q204" s="107">
        <f t="shared" si="128"/>
        <v>9.9091876143279585</v>
      </c>
      <c r="R204" s="107"/>
      <c r="S204" s="143">
        <f t="shared" si="129"/>
        <v>86.895974833715982</v>
      </c>
      <c r="T204" s="905">
        <v>263.3416666666667</v>
      </c>
      <c r="U204" s="107"/>
      <c r="V204" s="151">
        <f t="shared" si="130"/>
        <v>263.3416666666667</v>
      </c>
      <c r="W204" s="907">
        <v>61.558333333333337</v>
      </c>
      <c r="X204" s="107"/>
      <c r="Y204" s="46">
        <f t="shared" si="131"/>
        <v>61.558333333333337</v>
      </c>
      <c r="Z204" s="141">
        <f t="shared" si="132"/>
        <v>4.7153614196324671</v>
      </c>
      <c r="AA204" s="107">
        <f t="shared" si="119"/>
        <v>1.0364737650448457</v>
      </c>
      <c r="AB204" s="333">
        <v>0</v>
      </c>
      <c r="AC204" s="107"/>
      <c r="AD204" s="107">
        <f t="shared" si="133"/>
        <v>3.9395651352879688</v>
      </c>
      <c r="AE204" s="107">
        <f t="shared" si="134"/>
        <v>1.2474076070018056</v>
      </c>
      <c r="AF204" s="107"/>
      <c r="AG204" s="142">
        <f t="shared" si="135"/>
        <v>10.938807926967089</v>
      </c>
      <c r="AH204" s="210">
        <f t="shared" si="136"/>
        <v>60.528096478075824</v>
      </c>
      <c r="AI204" s="107">
        <f t="shared" si="120"/>
        <v>12.073278722210102</v>
      </c>
      <c r="AJ204" s="333">
        <v>18.787989571644843</v>
      </c>
      <c r="AK204" s="121">
        <f t="shared" si="121"/>
        <v>0</v>
      </c>
      <c r="AL204" s="107"/>
      <c r="AM204" s="107">
        <f t="shared" si="137"/>
        <v>50.56969283363226</v>
      </c>
      <c r="AN204" s="107">
        <f t="shared" si="138"/>
        <v>18.271952709989922</v>
      </c>
      <c r="AO204" s="107"/>
      <c r="AP204" s="143">
        <f t="shared" si="139"/>
        <v>160.23101031555296</v>
      </c>
      <c r="AQ204" s="34"/>
      <c r="AR204" s="29"/>
      <c r="AS204" s="124"/>
      <c r="AT204" s="138">
        <f t="shared" si="140"/>
        <v>184.59904627564634</v>
      </c>
      <c r="AU204" s="151">
        <f t="shared" si="141"/>
        <v>1345.1738568729231</v>
      </c>
      <c r="AW204" s="1">
        <v>1</v>
      </c>
      <c r="BA204" s="30">
        <v>266.77999999999997</v>
      </c>
      <c r="BB204" s="30">
        <v>40.619999999999997</v>
      </c>
      <c r="BC204" s="30">
        <v>13.19</v>
      </c>
      <c r="BD204" s="30">
        <v>72.95</v>
      </c>
      <c r="BF204" s="289">
        <f t="shared" si="142"/>
        <v>316.01000000000005</v>
      </c>
      <c r="BI204" s="333">
        <v>8.52</v>
      </c>
      <c r="BL204" s="110">
        <f>$BA$397</f>
        <v>0.85901039294857251</v>
      </c>
      <c r="BM204" s="110">
        <f>$BB$397</f>
        <v>0.92206249128051765</v>
      </c>
      <c r="BN204" s="110">
        <f>$BC$397</f>
        <v>0.35749517965371247</v>
      </c>
      <c r="BO204" s="110">
        <f>$BD$397</f>
        <v>0.82972030812989472</v>
      </c>
    </row>
    <row r="205" spans="1:67" x14ac:dyDescent="0.25">
      <c r="A205" s="260" t="s">
        <v>378</v>
      </c>
      <c r="B205" s="237">
        <v>9</v>
      </c>
      <c r="C205" s="236">
        <f>'побудинковий звіт'!E205</f>
        <v>4358.7700000000004</v>
      </c>
      <c r="D205" s="141">
        <f t="shared" si="122"/>
        <v>452.81014843498104</v>
      </c>
      <c r="E205" s="107">
        <f t="shared" si="116"/>
        <v>93.336389790182466</v>
      </c>
      <c r="F205" s="333">
        <v>87.408101215206003</v>
      </c>
      <c r="G205" s="107">
        <f t="shared" si="117"/>
        <v>0</v>
      </c>
      <c r="H205" s="735">
        <f t="shared" si="123"/>
        <v>378.31141983132721</v>
      </c>
      <c r="I205" s="107">
        <f t="shared" si="124"/>
        <v>130.24014878450259</v>
      </c>
      <c r="J205" s="29"/>
      <c r="K205" s="142">
        <f t="shared" si="125"/>
        <v>1142.1062080561992</v>
      </c>
      <c r="L205" s="210">
        <f t="shared" si="126"/>
        <v>74.908356791629245</v>
      </c>
      <c r="M205" s="107">
        <f t="shared" si="118"/>
        <v>16.481181240237394</v>
      </c>
      <c r="N205" s="333">
        <v>0</v>
      </c>
      <c r="O205" s="107"/>
      <c r="P205" s="107">
        <f t="shared" si="127"/>
        <v>62.584036406909398</v>
      </c>
      <c r="Q205" s="107">
        <f t="shared" si="128"/>
        <v>19.818375228655917</v>
      </c>
      <c r="R205" s="107"/>
      <c r="S205" s="143">
        <f t="shared" si="129"/>
        <v>173.79194966743196</v>
      </c>
      <c r="T205" s="905">
        <v>535.00833333333333</v>
      </c>
      <c r="U205" s="107"/>
      <c r="V205" s="151">
        <f t="shared" si="130"/>
        <v>535.00833333333333</v>
      </c>
      <c r="W205" s="907">
        <v>117.72500000000001</v>
      </c>
      <c r="X205" s="107"/>
      <c r="Y205" s="46">
        <f t="shared" si="131"/>
        <v>117.72500000000001</v>
      </c>
      <c r="Z205" s="141">
        <f t="shared" si="132"/>
        <v>9.4271478874683989</v>
      </c>
      <c r="AA205" s="107">
        <f t="shared" si="119"/>
        <v>2.0721617273868529</v>
      </c>
      <c r="AB205" s="333">
        <v>0</v>
      </c>
      <c r="AC205" s="107"/>
      <c r="AD205" s="107">
        <f t="shared" si="133"/>
        <v>7.8761434888206034</v>
      </c>
      <c r="AE205" s="107">
        <f t="shared" si="134"/>
        <v>2.4938694917845048</v>
      </c>
      <c r="AF205" s="107"/>
      <c r="AG205" s="142">
        <f t="shared" si="135"/>
        <v>21.869322595460361</v>
      </c>
      <c r="AH205" s="210">
        <f t="shared" si="136"/>
        <v>161.82864889765466</v>
      </c>
      <c r="AI205" s="107">
        <f t="shared" si="120"/>
        <v>32.279263632348979</v>
      </c>
      <c r="AJ205" s="333">
        <v>37.430399032365862</v>
      </c>
      <c r="AK205" s="121">
        <f t="shared" si="121"/>
        <v>0</v>
      </c>
      <c r="AL205" s="418"/>
      <c r="AM205" s="107">
        <f t="shared" si="137"/>
        <v>135.20374078508067</v>
      </c>
      <c r="AN205" s="107">
        <f t="shared" si="138"/>
        <v>47.204409146448562</v>
      </c>
      <c r="AO205" s="107"/>
      <c r="AP205" s="143">
        <f t="shared" si="139"/>
        <v>413.94646149389871</v>
      </c>
      <c r="AQ205" s="34"/>
      <c r="AR205" s="29"/>
      <c r="AS205" s="124"/>
      <c r="AT205" s="138">
        <f t="shared" si="140"/>
        <v>2024.722659624809</v>
      </c>
      <c r="AU205" s="151">
        <f t="shared" si="141"/>
        <v>4429.1699347711328</v>
      </c>
      <c r="AW205" s="1">
        <v>1</v>
      </c>
      <c r="BA205" s="30">
        <v>527.13</v>
      </c>
      <c r="BB205" s="30">
        <v>81.239999999999995</v>
      </c>
      <c r="BC205" s="30">
        <v>26.37</v>
      </c>
      <c r="BD205" s="30">
        <v>195.04</v>
      </c>
      <c r="BF205" s="289">
        <f t="shared" si="142"/>
        <v>642.01</v>
      </c>
      <c r="BI205" s="333">
        <v>8.52</v>
      </c>
      <c r="BL205" s="110">
        <f>$BA$397</f>
        <v>0.85901039294857251</v>
      </c>
      <c r="BM205" s="110">
        <f>$BB$397</f>
        <v>0.92206249128051765</v>
      </c>
      <c r="BN205" s="110">
        <f>$BC$397</f>
        <v>0.35749517965371247</v>
      </c>
      <c r="BO205" s="110">
        <f>$BD$397</f>
        <v>0.82972030812989472</v>
      </c>
    </row>
    <row r="206" spans="1:67" x14ac:dyDescent="0.25">
      <c r="A206" s="260" t="s">
        <v>379</v>
      </c>
      <c r="B206" s="237">
        <v>9</v>
      </c>
      <c r="C206" s="236">
        <f>'побудинковий звіт'!E206</f>
        <v>1981.17</v>
      </c>
      <c r="D206" s="141">
        <f t="shared" si="122"/>
        <v>229.16679263082014</v>
      </c>
      <c r="E206" s="107">
        <f t="shared" si="116"/>
        <v>47.237459579657532</v>
      </c>
      <c r="F206" s="333">
        <v>43.38576756313018</v>
      </c>
      <c r="G206" s="107">
        <f t="shared" si="117"/>
        <v>0</v>
      </c>
      <c r="H206" s="735">
        <f t="shared" si="123"/>
        <v>191.46305575968253</v>
      </c>
      <c r="I206" s="107">
        <f t="shared" si="124"/>
        <v>65.804832580229203</v>
      </c>
      <c r="J206" s="29"/>
      <c r="K206" s="142">
        <f t="shared" si="125"/>
        <v>577.0579081135196</v>
      </c>
      <c r="L206" s="210">
        <f t="shared" si="126"/>
        <v>37.454178395814623</v>
      </c>
      <c r="M206" s="107">
        <f t="shared" si="118"/>
        <v>8.2405906201186969</v>
      </c>
      <c r="N206" s="333">
        <v>36.799999999999997</v>
      </c>
      <c r="O206" s="107"/>
      <c r="P206" s="107">
        <f t="shared" si="127"/>
        <v>31.292018203454699</v>
      </c>
      <c r="Q206" s="107">
        <f t="shared" si="128"/>
        <v>14.645819929794099</v>
      </c>
      <c r="R206" s="107"/>
      <c r="S206" s="143">
        <f t="shared" si="129"/>
        <v>128.4326071491821</v>
      </c>
      <c r="T206" s="905">
        <v>263.10833333333335</v>
      </c>
      <c r="U206" s="107"/>
      <c r="V206" s="151">
        <f t="shared" si="130"/>
        <v>263.10833333333335</v>
      </c>
      <c r="W206" s="907">
        <v>58.358333333333334</v>
      </c>
      <c r="X206" s="107"/>
      <c r="Y206" s="46">
        <f t="shared" si="131"/>
        <v>58.358333333333334</v>
      </c>
      <c r="Z206" s="141">
        <f t="shared" si="132"/>
        <v>4.7153614196324671</v>
      </c>
      <c r="AA206" s="107">
        <f t="shared" si="119"/>
        <v>1.0364737650448457</v>
      </c>
      <c r="AB206" s="333">
        <v>40.099999999999994</v>
      </c>
      <c r="AC206" s="107"/>
      <c r="AD206" s="107">
        <f t="shared" si="133"/>
        <v>3.9395651352879688</v>
      </c>
      <c r="AE206" s="107">
        <f t="shared" si="134"/>
        <v>6.4087922768439842</v>
      </c>
      <c r="AF206" s="107"/>
      <c r="AG206" s="142">
        <f t="shared" si="135"/>
        <v>56.200192596809259</v>
      </c>
      <c r="AH206" s="210">
        <f t="shared" si="136"/>
        <v>60.528096478075824</v>
      </c>
      <c r="AI206" s="107">
        <f t="shared" si="120"/>
        <v>12.073278722210102</v>
      </c>
      <c r="AJ206" s="333">
        <v>18.578902523178559</v>
      </c>
      <c r="AK206" s="121">
        <f t="shared" si="121"/>
        <v>0</v>
      </c>
      <c r="AL206" s="107"/>
      <c r="AM206" s="107">
        <f t="shared" si="137"/>
        <v>50.56969283363226</v>
      </c>
      <c r="AN206" s="107">
        <f t="shared" si="138"/>
        <v>18.245040523291255</v>
      </c>
      <c r="AO206" s="107"/>
      <c r="AP206" s="143">
        <f t="shared" si="139"/>
        <v>159.995011080388</v>
      </c>
      <c r="AQ206" s="34"/>
      <c r="AR206" s="29"/>
      <c r="AS206" s="124"/>
      <c r="AT206" s="138">
        <f t="shared" si="140"/>
        <v>920.28709740795739</v>
      </c>
      <c r="AU206" s="151">
        <f t="shared" si="141"/>
        <v>2163.4394830145229</v>
      </c>
      <c r="AW206" s="1">
        <v>1</v>
      </c>
      <c r="BA206" s="30">
        <v>266.77999999999997</v>
      </c>
      <c r="BB206" s="30">
        <v>40.619999999999997</v>
      </c>
      <c r="BC206" s="30">
        <v>13.19</v>
      </c>
      <c r="BD206" s="30">
        <v>72.95</v>
      </c>
      <c r="BF206" s="289">
        <f t="shared" si="142"/>
        <v>315.73</v>
      </c>
      <c r="BI206" s="333">
        <v>8.52</v>
      </c>
      <c r="BL206" s="110">
        <f>$BA$397</f>
        <v>0.85901039294857251</v>
      </c>
      <c r="BM206" s="110">
        <f>$BB$397</f>
        <v>0.92206249128051765</v>
      </c>
      <c r="BN206" s="110">
        <f>$BC$397</f>
        <v>0.35749517965371247</v>
      </c>
      <c r="BO206" s="110">
        <f>$BD$397</f>
        <v>0.82972030812989472</v>
      </c>
    </row>
    <row r="207" spans="1:67" x14ac:dyDescent="0.25">
      <c r="A207" s="260" t="s">
        <v>178</v>
      </c>
      <c r="B207" s="237">
        <v>2</v>
      </c>
      <c r="C207" s="236">
        <f>'побудинковий звіт'!E207</f>
        <v>525.79999999999995</v>
      </c>
      <c r="D207" s="141">
        <f t="shared" si="122"/>
        <v>103.28446216373897</v>
      </c>
      <c r="E207" s="107">
        <f t="shared" si="116"/>
        <v>21.289714581492706</v>
      </c>
      <c r="F207" s="333">
        <v>14.948962194233701</v>
      </c>
      <c r="G207" s="107">
        <f t="shared" si="117"/>
        <v>0</v>
      </c>
      <c r="H207" s="735">
        <f t="shared" si="123"/>
        <v>86.291554336242243</v>
      </c>
      <c r="I207" s="107">
        <f t="shared" si="124"/>
        <v>29.065249279260627</v>
      </c>
      <c r="J207" s="29"/>
      <c r="K207" s="142">
        <f t="shared" si="125"/>
        <v>254.87994255496824</v>
      </c>
      <c r="L207" s="210">
        <f t="shared" si="126"/>
        <v>26.760619288716502</v>
      </c>
      <c r="M207" s="107">
        <f t="shared" si="118"/>
        <v>5.8878159325424528</v>
      </c>
      <c r="N207" s="333">
        <v>0</v>
      </c>
      <c r="O207" s="107"/>
      <c r="P207" s="107">
        <f t="shared" si="127"/>
        <v>22.357820189477543</v>
      </c>
      <c r="Q207" s="107">
        <f t="shared" si="128"/>
        <v>7.0800110579151827</v>
      </c>
      <c r="R207" s="107"/>
      <c r="S207" s="143">
        <f t="shared" si="129"/>
        <v>62.086266468651687</v>
      </c>
      <c r="T207" s="905">
        <v>75.366666666666674</v>
      </c>
      <c r="U207" s="107"/>
      <c r="V207" s="151">
        <f t="shared" si="130"/>
        <v>75.366666666666674</v>
      </c>
      <c r="W207" s="246"/>
      <c r="X207" s="107"/>
      <c r="Y207" s="46">
        <f t="shared" si="131"/>
        <v>0</v>
      </c>
      <c r="Z207" s="141">
        <f t="shared" si="132"/>
        <v>0</v>
      </c>
      <c r="AA207" s="107">
        <f t="shared" si="119"/>
        <v>0</v>
      </c>
      <c r="AB207" s="333">
        <v>0</v>
      </c>
      <c r="AC207" s="107"/>
      <c r="AD207" s="107">
        <f t="shared" si="133"/>
        <v>0</v>
      </c>
      <c r="AE207" s="107">
        <f t="shared" si="134"/>
        <v>0</v>
      </c>
      <c r="AF207" s="107"/>
      <c r="AG207" s="142">
        <f t="shared" si="135"/>
        <v>0</v>
      </c>
      <c r="AH207" s="210">
        <f t="shared" si="136"/>
        <v>37.960609890128943</v>
      </c>
      <c r="AI207" s="107">
        <f t="shared" si="120"/>
        <v>7.5718393661135277</v>
      </c>
      <c r="AJ207" s="333">
        <v>5.8692485768097136</v>
      </c>
      <c r="AK207" s="121">
        <f t="shared" si="121"/>
        <v>0</v>
      </c>
      <c r="AL207" s="418"/>
      <c r="AM207" s="107">
        <f t="shared" si="137"/>
        <v>31.715128900782329</v>
      </c>
      <c r="AN207" s="107">
        <f t="shared" si="138"/>
        <v>10.698202376806536</v>
      </c>
      <c r="AO207" s="107"/>
      <c r="AP207" s="143">
        <f t="shared" si="139"/>
        <v>93.815029110641049</v>
      </c>
      <c r="AQ207" s="34"/>
      <c r="AR207" s="29"/>
      <c r="AS207" s="124"/>
      <c r="AT207" s="138">
        <f t="shared" si="140"/>
        <v>244.24302599832623</v>
      </c>
      <c r="AU207" s="151">
        <f t="shared" si="141"/>
        <v>730.39093079925385</v>
      </c>
      <c r="AW207" s="1">
        <v>2</v>
      </c>
      <c r="BA207" s="30">
        <v>94.17</v>
      </c>
      <c r="BB207" s="30">
        <v>24.05</v>
      </c>
      <c r="BC207" s="30">
        <v>0</v>
      </c>
      <c r="BD207" s="30">
        <v>36.61</v>
      </c>
      <c r="BF207" s="289">
        <f t="shared" si="142"/>
        <v>90.440000000000012</v>
      </c>
      <c r="BI207" s="333">
        <v>0</v>
      </c>
      <c r="BL207" s="110">
        <f>BA$398</f>
        <v>1.0967873225415627</v>
      </c>
      <c r="BM207" s="110">
        <f>BB$398</f>
        <v>1.1127076627324948</v>
      </c>
      <c r="BN207" s="110">
        <f>BC$398</f>
        <v>2.8314493742615632</v>
      </c>
      <c r="BO207" s="110">
        <f>BD$398</f>
        <v>1.036891829831438</v>
      </c>
    </row>
    <row r="208" spans="1:67" x14ac:dyDescent="0.25">
      <c r="A208" s="260" t="s">
        <v>380</v>
      </c>
      <c r="B208" s="237">
        <v>9</v>
      </c>
      <c r="C208" s="236">
        <f>'побудинковий звіт'!E208</f>
        <v>3813.3</v>
      </c>
      <c r="D208" s="141">
        <f t="shared" si="122"/>
        <v>229.16679263082014</v>
      </c>
      <c r="E208" s="107">
        <f t="shared" si="116"/>
        <v>47.237459579657532</v>
      </c>
      <c r="F208" s="333">
        <v>43.275148503752604</v>
      </c>
      <c r="G208" s="107">
        <f t="shared" si="117"/>
        <v>0</v>
      </c>
      <c r="H208" s="735">
        <f t="shared" si="123"/>
        <v>191.46305575968253</v>
      </c>
      <c r="I208" s="107">
        <f t="shared" si="124"/>
        <v>65.790594487529361</v>
      </c>
      <c r="J208" s="29"/>
      <c r="K208" s="142">
        <f t="shared" si="125"/>
        <v>576.93305096144218</v>
      </c>
      <c r="L208" s="210">
        <f t="shared" si="126"/>
        <v>37.454178395814623</v>
      </c>
      <c r="M208" s="107">
        <f t="shared" si="118"/>
        <v>8.2405906201186969</v>
      </c>
      <c r="N208" s="333">
        <v>18.399999999999999</v>
      </c>
      <c r="O208" s="107"/>
      <c r="P208" s="107">
        <f t="shared" si="127"/>
        <v>31.292018203454699</v>
      </c>
      <c r="Q208" s="107">
        <f t="shared" si="128"/>
        <v>12.277503772061028</v>
      </c>
      <c r="R208" s="107"/>
      <c r="S208" s="143">
        <f t="shared" si="129"/>
        <v>107.66429099144904</v>
      </c>
      <c r="T208" s="905">
        <v>258.72500000000002</v>
      </c>
      <c r="U208" s="107"/>
      <c r="V208" s="151">
        <f t="shared" si="130"/>
        <v>258.72500000000002</v>
      </c>
      <c r="W208" s="907">
        <v>58.116666666666667</v>
      </c>
      <c r="X208" s="107"/>
      <c r="Y208" s="46">
        <f t="shared" si="131"/>
        <v>58.116666666666667</v>
      </c>
      <c r="Z208" s="141">
        <f t="shared" si="132"/>
        <v>4.7153614196324671</v>
      </c>
      <c r="AA208" s="107">
        <f t="shared" si="119"/>
        <v>1.0364737650448457</v>
      </c>
      <c r="AB208" s="333">
        <v>40.099999999999994</v>
      </c>
      <c r="AC208" s="107"/>
      <c r="AD208" s="107">
        <f t="shared" si="133"/>
        <v>3.9395651352879688</v>
      </c>
      <c r="AE208" s="107">
        <f t="shared" si="134"/>
        <v>6.4087922768439842</v>
      </c>
      <c r="AF208" s="107"/>
      <c r="AG208" s="142">
        <f t="shared" si="135"/>
        <v>56.200192596809259</v>
      </c>
      <c r="AH208" s="210">
        <f t="shared" si="136"/>
        <v>60.528096478075824</v>
      </c>
      <c r="AI208" s="107">
        <f t="shared" si="120"/>
        <v>12.073278722210102</v>
      </c>
      <c r="AJ208" s="333">
        <v>18.531532594355909</v>
      </c>
      <c r="AK208" s="121">
        <f t="shared" si="121"/>
        <v>0</v>
      </c>
      <c r="AL208" s="107"/>
      <c r="AM208" s="107">
        <f t="shared" si="137"/>
        <v>50.56969283363226</v>
      </c>
      <c r="AN208" s="107">
        <f t="shared" si="138"/>
        <v>18.238943405474881</v>
      </c>
      <c r="AO208" s="107"/>
      <c r="AP208" s="143">
        <f t="shared" si="139"/>
        <v>159.94154403374898</v>
      </c>
      <c r="AQ208" s="34"/>
      <c r="AR208" s="29"/>
      <c r="AS208" s="124"/>
      <c r="AT208" s="138">
        <f t="shared" si="140"/>
        <v>1771.342584707907</v>
      </c>
      <c r="AU208" s="151">
        <f t="shared" si="141"/>
        <v>2988.9233299580233</v>
      </c>
      <c r="AW208" s="1">
        <v>1</v>
      </c>
      <c r="BA208" s="30">
        <v>266.77999999999997</v>
      </c>
      <c r="BB208" s="30">
        <v>40.619999999999997</v>
      </c>
      <c r="BC208" s="30">
        <v>13.19</v>
      </c>
      <c r="BD208" s="30">
        <v>72.95</v>
      </c>
      <c r="BF208" s="289">
        <f t="shared" si="142"/>
        <v>310.47000000000003</v>
      </c>
      <c r="BI208" s="333">
        <v>8.52</v>
      </c>
      <c r="BL208" s="110">
        <f t="shared" ref="BL208:BL216" si="143">$BA$397</f>
        <v>0.85901039294857251</v>
      </c>
      <c r="BM208" s="110">
        <f t="shared" ref="BM208:BM216" si="144">$BB$397</f>
        <v>0.92206249128051765</v>
      </c>
      <c r="BN208" s="110">
        <f t="shared" ref="BN208:BN216" si="145">$BC$397</f>
        <v>0.35749517965371247</v>
      </c>
      <c r="BO208" s="110">
        <f t="shared" ref="BO208:BO216" si="146">$BD$397</f>
        <v>0.82972030812989472</v>
      </c>
    </row>
    <row r="209" spans="1:67" x14ac:dyDescent="0.25">
      <c r="A209" s="260" t="s">
        <v>381</v>
      </c>
      <c r="B209" s="237">
        <v>9</v>
      </c>
      <c r="C209" s="236">
        <f>'побудинковий звіт'!E209</f>
        <v>14576.67</v>
      </c>
      <c r="D209" s="141">
        <f t="shared" si="122"/>
        <v>451.13507816873124</v>
      </c>
      <c r="E209" s="107">
        <f t="shared" si="116"/>
        <v>92.991112609807871</v>
      </c>
      <c r="F209" s="333">
        <v>88.128543294229132</v>
      </c>
      <c r="G209" s="107">
        <f t="shared" si="117"/>
        <v>0</v>
      </c>
      <c r="H209" s="735">
        <f t="shared" si="123"/>
        <v>376.9119410145816</v>
      </c>
      <c r="I209" s="107">
        <f t="shared" si="124"/>
        <v>129.89270339430053</v>
      </c>
      <c r="J209" s="29"/>
      <c r="K209" s="142">
        <f t="shared" si="125"/>
        <v>1139.0593784816504</v>
      </c>
      <c r="L209" s="210">
        <f t="shared" si="126"/>
        <v>74.908356791629245</v>
      </c>
      <c r="M209" s="107">
        <f t="shared" si="118"/>
        <v>16.481181240237394</v>
      </c>
      <c r="N209" s="333">
        <v>36.799999999999997</v>
      </c>
      <c r="O209" s="107"/>
      <c r="P209" s="107">
        <f t="shared" si="127"/>
        <v>62.584036406909398</v>
      </c>
      <c r="Q209" s="107">
        <f t="shared" si="128"/>
        <v>24.555007544122056</v>
      </c>
      <c r="R209" s="107"/>
      <c r="S209" s="143">
        <f t="shared" si="129"/>
        <v>215.32858198289807</v>
      </c>
      <c r="T209" s="905">
        <v>542.625</v>
      </c>
      <c r="U209" s="107"/>
      <c r="V209" s="151">
        <f t="shared" si="130"/>
        <v>542.625</v>
      </c>
      <c r="W209" s="907">
        <v>117.24166666666667</v>
      </c>
      <c r="X209" s="107"/>
      <c r="Y209" s="46">
        <f t="shared" si="131"/>
        <v>117.24166666666667</v>
      </c>
      <c r="Z209" s="141">
        <f t="shared" si="132"/>
        <v>9.4271478874683989</v>
      </c>
      <c r="AA209" s="107">
        <f t="shared" si="119"/>
        <v>2.0721617273868529</v>
      </c>
      <c r="AB209" s="333">
        <v>43.4</v>
      </c>
      <c r="AC209" s="107"/>
      <c r="AD209" s="107">
        <f t="shared" si="133"/>
        <v>7.8761434888206034</v>
      </c>
      <c r="AE209" s="107">
        <f t="shared" si="134"/>
        <v>8.0800065160027241</v>
      </c>
      <c r="AF209" s="107"/>
      <c r="AG209" s="142">
        <f t="shared" si="135"/>
        <v>70.85545961967857</v>
      </c>
      <c r="AH209" s="210">
        <f t="shared" si="136"/>
        <v>171.12151634870949</v>
      </c>
      <c r="AI209" s="107">
        <f t="shared" si="120"/>
        <v>34.132871880309956</v>
      </c>
      <c r="AJ209" s="333">
        <v>37.738910876492866</v>
      </c>
      <c r="AK209" s="121">
        <f t="shared" si="121"/>
        <v>0</v>
      </c>
      <c r="AL209" s="107"/>
      <c r="AM209" s="107">
        <f t="shared" si="137"/>
        <v>142.96769636748891</v>
      </c>
      <c r="AN209" s="107">
        <f t="shared" si="138"/>
        <v>49.678133795296141</v>
      </c>
      <c r="AO209" s="107"/>
      <c r="AP209" s="143">
        <f t="shared" si="139"/>
        <v>435.63912926829738</v>
      </c>
      <c r="AQ209" s="34"/>
      <c r="AR209" s="29"/>
      <c r="AS209" s="124"/>
      <c r="AT209" s="138">
        <f t="shared" si="140"/>
        <v>6771.1106690357974</v>
      </c>
      <c r="AU209" s="151">
        <f t="shared" si="141"/>
        <v>9291.8598850549897</v>
      </c>
      <c r="AW209" s="1">
        <v>1</v>
      </c>
      <c r="BA209" s="30">
        <v>525.17999999999995</v>
      </c>
      <c r="BB209" s="30">
        <v>81.239999999999995</v>
      </c>
      <c r="BC209" s="30">
        <v>26.37</v>
      </c>
      <c r="BD209" s="30">
        <v>206.24</v>
      </c>
      <c r="BF209" s="289">
        <f t="shared" si="142"/>
        <v>651.15</v>
      </c>
      <c r="BI209" s="333">
        <v>8.52</v>
      </c>
      <c r="BL209" s="110">
        <f t="shared" si="143"/>
        <v>0.85901039294857251</v>
      </c>
      <c r="BM209" s="110">
        <f t="shared" si="144"/>
        <v>0.92206249128051765</v>
      </c>
      <c r="BN209" s="110">
        <f t="shared" si="145"/>
        <v>0.35749517965371247</v>
      </c>
      <c r="BO209" s="110">
        <f t="shared" si="146"/>
        <v>0.82972030812989472</v>
      </c>
    </row>
    <row r="210" spans="1:67" x14ac:dyDescent="0.25">
      <c r="A210" s="260" t="s">
        <v>382</v>
      </c>
      <c r="B210" s="237">
        <v>9</v>
      </c>
      <c r="C210" s="236">
        <f>'побудинковий звіт'!E210</f>
        <v>366</v>
      </c>
      <c r="D210" s="141">
        <f t="shared" si="122"/>
        <v>229.16679263082014</v>
      </c>
      <c r="E210" s="107">
        <f t="shared" si="116"/>
        <v>47.237459579657532</v>
      </c>
      <c r="F210" s="333">
        <v>43.198160880009972</v>
      </c>
      <c r="G210" s="107">
        <f t="shared" si="117"/>
        <v>0</v>
      </c>
      <c r="H210" s="735">
        <f t="shared" si="123"/>
        <v>191.46305575968253</v>
      </c>
      <c r="I210" s="107">
        <f t="shared" si="124"/>
        <v>65.780685192243752</v>
      </c>
      <c r="J210" s="29"/>
      <c r="K210" s="142">
        <f t="shared" si="125"/>
        <v>576.8461540424139</v>
      </c>
      <c r="L210" s="210">
        <f t="shared" si="126"/>
        <v>37.454178395814623</v>
      </c>
      <c r="M210" s="107">
        <f t="shared" si="118"/>
        <v>8.2405906201186969</v>
      </c>
      <c r="N210" s="333">
        <v>0</v>
      </c>
      <c r="O210" s="107"/>
      <c r="P210" s="107">
        <f t="shared" si="127"/>
        <v>31.292018203454699</v>
      </c>
      <c r="Q210" s="107">
        <f t="shared" si="128"/>
        <v>9.9091876143279585</v>
      </c>
      <c r="R210" s="107"/>
      <c r="S210" s="143">
        <f t="shared" si="129"/>
        <v>86.895974833715982</v>
      </c>
      <c r="T210" s="905">
        <v>263.78333333333336</v>
      </c>
      <c r="U210" s="107"/>
      <c r="V210" s="151">
        <f t="shared" si="130"/>
        <v>263.78333333333336</v>
      </c>
      <c r="W210" s="907">
        <v>58.108333333333341</v>
      </c>
      <c r="X210" s="107"/>
      <c r="Y210" s="46">
        <f t="shared" si="131"/>
        <v>58.108333333333341</v>
      </c>
      <c r="Z210" s="141">
        <f t="shared" si="132"/>
        <v>4.7153614196324671</v>
      </c>
      <c r="AA210" s="107">
        <f t="shared" si="119"/>
        <v>1.0364737650448457</v>
      </c>
      <c r="AB210" s="333">
        <v>0</v>
      </c>
      <c r="AC210" s="107"/>
      <c r="AD210" s="107">
        <f t="shared" si="133"/>
        <v>3.9395651352879688</v>
      </c>
      <c r="AE210" s="107">
        <f t="shared" si="134"/>
        <v>1.2474076070018056</v>
      </c>
      <c r="AF210" s="107"/>
      <c r="AG210" s="142">
        <f t="shared" si="135"/>
        <v>10.938807926967089</v>
      </c>
      <c r="AH210" s="210">
        <f t="shared" si="136"/>
        <v>60.528096478075824</v>
      </c>
      <c r="AI210" s="107">
        <f t="shared" si="120"/>
        <v>12.073278722210102</v>
      </c>
      <c r="AJ210" s="333">
        <v>18.498564512025123</v>
      </c>
      <c r="AK210" s="121">
        <f t="shared" si="121"/>
        <v>0</v>
      </c>
      <c r="AL210" s="107"/>
      <c r="AM210" s="107">
        <f t="shared" si="137"/>
        <v>50.56969283363226</v>
      </c>
      <c r="AN210" s="107">
        <f t="shared" si="138"/>
        <v>18.234699990144804</v>
      </c>
      <c r="AO210" s="107"/>
      <c r="AP210" s="143">
        <f t="shared" si="139"/>
        <v>159.90433253608813</v>
      </c>
      <c r="AQ210" s="34"/>
      <c r="AR210" s="29"/>
      <c r="AS210" s="124"/>
      <c r="AT210" s="138">
        <f t="shared" si="140"/>
        <v>170.0132132281997</v>
      </c>
      <c r="AU210" s="151">
        <f t="shared" si="141"/>
        <v>1326.4901492340516</v>
      </c>
      <c r="AW210" s="1">
        <v>1</v>
      </c>
      <c r="BA210" s="30">
        <v>266.77999999999997</v>
      </c>
      <c r="BB210" s="30">
        <v>40.619999999999997</v>
      </c>
      <c r="BC210" s="30">
        <v>13.19</v>
      </c>
      <c r="BD210" s="30">
        <v>72.95</v>
      </c>
      <c r="BF210" s="289">
        <f t="shared" si="142"/>
        <v>316.54000000000002</v>
      </c>
      <c r="BI210" s="333">
        <v>8.52</v>
      </c>
      <c r="BL210" s="110">
        <f t="shared" si="143"/>
        <v>0.85901039294857251</v>
      </c>
      <c r="BM210" s="110">
        <f t="shared" si="144"/>
        <v>0.92206249128051765</v>
      </c>
      <c r="BN210" s="110">
        <f t="shared" si="145"/>
        <v>0.35749517965371247</v>
      </c>
      <c r="BO210" s="110">
        <f t="shared" si="146"/>
        <v>0.82972030812989472</v>
      </c>
    </row>
    <row r="211" spans="1:67" x14ac:dyDescent="0.25">
      <c r="A211" s="434" t="s">
        <v>122</v>
      </c>
      <c r="B211" s="238">
        <v>1</v>
      </c>
      <c r="C211" s="236">
        <f>'побудинковий звіт'!E211</f>
        <v>5138.55</v>
      </c>
      <c r="D211" s="141">
        <f t="shared" si="122"/>
        <v>0</v>
      </c>
      <c r="E211" s="107">
        <f t="shared" si="116"/>
        <v>0</v>
      </c>
      <c r="F211" s="333">
        <v>0</v>
      </c>
      <c r="G211" s="107">
        <f t="shared" si="117"/>
        <v>0</v>
      </c>
      <c r="H211" s="735">
        <f t="shared" si="123"/>
        <v>0</v>
      </c>
      <c r="I211" s="107">
        <f t="shared" si="124"/>
        <v>0</v>
      </c>
      <c r="J211" s="29"/>
      <c r="K211" s="142">
        <f t="shared" si="125"/>
        <v>0</v>
      </c>
      <c r="L211" s="210">
        <f t="shared" si="126"/>
        <v>0</v>
      </c>
      <c r="M211" s="107">
        <f t="shared" si="118"/>
        <v>0</v>
      </c>
      <c r="N211" s="333">
        <v>0</v>
      </c>
      <c r="O211" s="107"/>
      <c r="P211" s="107">
        <f t="shared" si="127"/>
        <v>0</v>
      </c>
      <c r="Q211" s="107">
        <f t="shared" si="128"/>
        <v>0</v>
      </c>
      <c r="R211" s="107"/>
      <c r="S211" s="143">
        <f t="shared" si="129"/>
        <v>0</v>
      </c>
      <c r="T211" s="245"/>
      <c r="U211" s="107"/>
      <c r="V211" s="151">
        <f t="shared" si="130"/>
        <v>0</v>
      </c>
      <c r="W211" s="246"/>
      <c r="X211" s="107"/>
      <c r="Y211" s="46">
        <f t="shared" si="131"/>
        <v>0</v>
      </c>
      <c r="Z211" s="141">
        <f t="shared" si="132"/>
        <v>0</v>
      </c>
      <c r="AA211" s="107">
        <f t="shared" si="119"/>
        <v>0</v>
      </c>
      <c r="AB211" s="333">
        <v>0</v>
      </c>
      <c r="AC211" s="107"/>
      <c r="AD211" s="107">
        <f t="shared" si="133"/>
        <v>0</v>
      </c>
      <c r="AE211" s="107">
        <f t="shared" si="134"/>
        <v>0</v>
      </c>
      <c r="AF211" s="107"/>
      <c r="AG211" s="142">
        <f t="shared" si="135"/>
        <v>0</v>
      </c>
      <c r="AH211" s="210">
        <f t="shared" si="136"/>
        <v>0</v>
      </c>
      <c r="AI211" s="107">
        <f t="shared" si="120"/>
        <v>0</v>
      </c>
      <c r="AJ211" s="333">
        <v>0</v>
      </c>
      <c r="AK211" s="121">
        <f t="shared" si="121"/>
        <v>0</v>
      </c>
      <c r="AL211" s="107"/>
      <c r="AM211" s="107">
        <f t="shared" si="137"/>
        <v>0</v>
      </c>
      <c r="AN211" s="107">
        <f t="shared" si="138"/>
        <v>0</v>
      </c>
      <c r="AO211" s="107"/>
      <c r="AP211" s="143">
        <f t="shared" si="139"/>
        <v>0</v>
      </c>
      <c r="AQ211" s="34"/>
      <c r="AR211" s="29"/>
      <c r="AS211" s="124"/>
      <c r="AT211" s="138">
        <f t="shared" si="140"/>
        <v>0</v>
      </c>
      <c r="AU211" s="151">
        <f t="shared" si="141"/>
        <v>0</v>
      </c>
      <c r="AW211" s="1">
        <v>1</v>
      </c>
      <c r="BA211" s="30">
        <v>0</v>
      </c>
      <c r="BB211" s="30">
        <v>0</v>
      </c>
      <c r="BC211" s="30">
        <v>0</v>
      </c>
      <c r="BD211" s="30">
        <v>0</v>
      </c>
      <c r="BI211" s="333">
        <v>0</v>
      </c>
      <c r="BL211" s="110">
        <f t="shared" si="143"/>
        <v>0.85901039294857251</v>
      </c>
      <c r="BM211" s="110">
        <f t="shared" si="144"/>
        <v>0.92206249128051765</v>
      </c>
      <c r="BN211" s="110">
        <f t="shared" si="145"/>
        <v>0.35749517965371247</v>
      </c>
      <c r="BO211" s="110">
        <f t="shared" si="146"/>
        <v>0.82972030812989472</v>
      </c>
    </row>
    <row r="212" spans="1:67" x14ac:dyDescent="0.25">
      <c r="A212" s="434" t="s">
        <v>123</v>
      </c>
      <c r="B212" s="238">
        <v>1</v>
      </c>
      <c r="C212" s="236">
        <f>'побудинковий звіт'!E212</f>
        <v>284.10000000000002</v>
      </c>
      <c r="D212" s="141">
        <f t="shared" si="122"/>
        <v>0</v>
      </c>
      <c r="E212" s="107">
        <f t="shared" si="116"/>
        <v>0</v>
      </c>
      <c r="F212" s="333">
        <v>0</v>
      </c>
      <c r="G212" s="107">
        <f t="shared" si="117"/>
        <v>0</v>
      </c>
      <c r="H212" s="735">
        <f t="shared" si="123"/>
        <v>0</v>
      </c>
      <c r="I212" s="107">
        <f t="shared" si="124"/>
        <v>0</v>
      </c>
      <c r="J212" s="29"/>
      <c r="K212" s="142">
        <f t="shared" si="125"/>
        <v>0</v>
      </c>
      <c r="L212" s="210">
        <f t="shared" si="126"/>
        <v>0</v>
      </c>
      <c r="M212" s="107">
        <f t="shared" si="118"/>
        <v>0</v>
      </c>
      <c r="N212" s="333">
        <v>0</v>
      </c>
      <c r="O212" s="107"/>
      <c r="P212" s="107">
        <f t="shared" si="127"/>
        <v>0</v>
      </c>
      <c r="Q212" s="107">
        <f t="shared" si="128"/>
        <v>0</v>
      </c>
      <c r="R212" s="107"/>
      <c r="S212" s="143">
        <f t="shared" si="129"/>
        <v>0</v>
      </c>
      <c r="T212" s="245"/>
      <c r="U212" s="107"/>
      <c r="V212" s="151">
        <f t="shared" si="130"/>
        <v>0</v>
      </c>
      <c r="W212" s="246"/>
      <c r="X212" s="107"/>
      <c r="Y212" s="46">
        <f t="shared" si="131"/>
        <v>0</v>
      </c>
      <c r="Z212" s="141">
        <f t="shared" si="132"/>
        <v>0</v>
      </c>
      <c r="AA212" s="107">
        <f t="shared" si="119"/>
        <v>0</v>
      </c>
      <c r="AB212" s="333">
        <v>0</v>
      </c>
      <c r="AC212" s="107"/>
      <c r="AD212" s="107">
        <f t="shared" si="133"/>
        <v>0</v>
      </c>
      <c r="AE212" s="107">
        <f t="shared" si="134"/>
        <v>0</v>
      </c>
      <c r="AF212" s="107"/>
      <c r="AG212" s="142">
        <f t="shared" si="135"/>
        <v>0</v>
      </c>
      <c r="AH212" s="210">
        <f t="shared" si="136"/>
        <v>0</v>
      </c>
      <c r="AI212" s="107">
        <f t="shared" si="120"/>
        <v>0</v>
      </c>
      <c r="AJ212" s="333">
        <v>0</v>
      </c>
      <c r="AK212" s="121">
        <f t="shared" si="121"/>
        <v>0</v>
      </c>
      <c r="AL212" s="107"/>
      <c r="AM212" s="107">
        <f t="shared" si="137"/>
        <v>0</v>
      </c>
      <c r="AN212" s="107">
        <f t="shared" si="138"/>
        <v>0</v>
      </c>
      <c r="AO212" s="107"/>
      <c r="AP212" s="143">
        <f t="shared" si="139"/>
        <v>0</v>
      </c>
      <c r="AQ212" s="34"/>
      <c r="AR212" s="29"/>
      <c r="AS212" s="124"/>
      <c r="AT212" s="138">
        <f t="shared" si="140"/>
        <v>0</v>
      </c>
      <c r="AU212" s="151">
        <f t="shared" si="141"/>
        <v>0</v>
      </c>
      <c r="AW212" s="1">
        <v>1</v>
      </c>
      <c r="BA212" s="30">
        <v>0</v>
      </c>
      <c r="BB212" s="30">
        <v>0</v>
      </c>
      <c r="BC212" s="30">
        <v>0</v>
      </c>
      <c r="BD212" s="30">
        <v>0</v>
      </c>
      <c r="BI212" s="333">
        <v>0</v>
      </c>
      <c r="BL212" s="110">
        <f t="shared" si="143"/>
        <v>0.85901039294857251</v>
      </c>
      <c r="BM212" s="110">
        <f t="shared" si="144"/>
        <v>0.92206249128051765</v>
      </c>
      <c r="BN212" s="110">
        <f t="shared" si="145"/>
        <v>0.35749517965371247</v>
      </c>
      <c r="BO212" s="110">
        <f t="shared" si="146"/>
        <v>0.82972030812989472</v>
      </c>
    </row>
    <row r="213" spans="1:67" x14ac:dyDescent="0.25">
      <c r="A213" s="260" t="s">
        <v>421</v>
      </c>
      <c r="B213" s="237">
        <v>10</v>
      </c>
      <c r="C213" s="236">
        <f>'побудинковий звіт'!E213</f>
        <v>7515.72</v>
      </c>
      <c r="D213" s="141">
        <f t="shared" si="122"/>
        <v>721.64604101216628</v>
      </c>
      <c r="E213" s="107">
        <f t="shared" si="116"/>
        <v>148.75072126199302</v>
      </c>
      <c r="F213" s="333">
        <v>136.62284489070259</v>
      </c>
      <c r="G213" s="107">
        <f t="shared" si="117"/>
        <v>0</v>
      </c>
      <c r="H213" s="735">
        <f t="shared" si="123"/>
        <v>602.91700469732257</v>
      </c>
      <c r="I213" s="107">
        <f t="shared" si="124"/>
        <v>207.21950493474159</v>
      </c>
      <c r="J213" s="29"/>
      <c r="K213" s="142">
        <f t="shared" si="125"/>
        <v>1817.156116796926</v>
      </c>
      <c r="L213" s="210">
        <f t="shared" si="126"/>
        <v>121.89666134728442</v>
      </c>
      <c r="M213" s="107">
        <f t="shared" si="118"/>
        <v>26.819450516486746</v>
      </c>
      <c r="N213" s="333">
        <v>0</v>
      </c>
      <c r="O213" s="107"/>
      <c r="P213" s="107">
        <f t="shared" si="127"/>
        <v>101.84157573847148</v>
      </c>
      <c r="Q213" s="107">
        <f t="shared" si="128"/>
        <v>32.249990216990554</v>
      </c>
      <c r="R213" s="107"/>
      <c r="S213" s="143">
        <f t="shared" si="129"/>
        <v>282.80767781923322</v>
      </c>
      <c r="T213" s="905">
        <v>808.22500000000002</v>
      </c>
      <c r="U213" s="107"/>
      <c r="V213" s="151">
        <f t="shared" si="130"/>
        <v>808.22500000000002</v>
      </c>
      <c r="W213" s="907">
        <v>175.80833333333334</v>
      </c>
      <c r="X213" s="107"/>
      <c r="Y213" s="46">
        <f t="shared" si="131"/>
        <v>175.80833333333334</v>
      </c>
      <c r="Z213" s="141">
        <f t="shared" si="132"/>
        <v>15.107746292165888</v>
      </c>
      <c r="AA213" s="107">
        <f t="shared" si="119"/>
        <v>3.32080222219827</v>
      </c>
      <c r="AB213" s="333">
        <v>0</v>
      </c>
      <c r="AC213" s="107"/>
      <c r="AD213" s="107">
        <f t="shared" si="133"/>
        <v>12.622139698049248</v>
      </c>
      <c r="AE213" s="107">
        <f t="shared" si="134"/>
        <v>3.9966220979451328</v>
      </c>
      <c r="AF213" s="107"/>
      <c r="AG213" s="142">
        <f t="shared" si="135"/>
        <v>35.04731031035854</v>
      </c>
      <c r="AH213" s="210">
        <f t="shared" si="136"/>
        <v>273.06925060862966</v>
      </c>
      <c r="AI213" s="107">
        <f t="shared" si="120"/>
        <v>54.4679473648604</v>
      </c>
      <c r="AJ213" s="333">
        <v>58.505419178541679</v>
      </c>
      <c r="AK213" s="121">
        <f t="shared" si="121"/>
        <v>0</v>
      </c>
      <c r="AL213" s="418"/>
      <c r="AM213" s="107">
        <f t="shared" si="137"/>
        <v>228.1424483684265</v>
      </c>
      <c r="AN213" s="107">
        <f t="shared" si="138"/>
        <v>79.05350078861116</v>
      </c>
      <c r="AO213" s="107"/>
      <c r="AP213" s="143">
        <f t="shared" si="139"/>
        <v>693.23856630906937</v>
      </c>
      <c r="AQ213" s="34"/>
      <c r="AR213" s="29"/>
      <c r="AS213" s="124"/>
      <c r="AT213" s="138">
        <f t="shared" si="140"/>
        <v>3491.1795271132382</v>
      </c>
      <c r="AU213" s="151">
        <f t="shared" si="141"/>
        <v>7303.4625316821584</v>
      </c>
      <c r="AW213" s="1">
        <v>1</v>
      </c>
      <c r="BA213" s="30">
        <v>840.09</v>
      </c>
      <c r="BB213" s="30">
        <v>132.19999999999999</v>
      </c>
      <c r="BC213" s="30">
        <v>42.26</v>
      </c>
      <c r="BD213" s="30">
        <v>329.11</v>
      </c>
      <c r="BF213" s="289">
        <f>T213*1.2</f>
        <v>969.87</v>
      </c>
      <c r="BI213" s="333">
        <v>8.52</v>
      </c>
      <c r="BL213" s="110">
        <f t="shared" si="143"/>
        <v>0.85901039294857251</v>
      </c>
      <c r="BM213" s="110">
        <f t="shared" si="144"/>
        <v>0.92206249128051765</v>
      </c>
      <c r="BN213" s="110">
        <f t="shared" si="145"/>
        <v>0.35749517965371247</v>
      </c>
      <c r="BO213" s="110">
        <f t="shared" si="146"/>
        <v>0.82972030812989472</v>
      </c>
    </row>
    <row r="214" spans="1:67" x14ac:dyDescent="0.25">
      <c r="A214" s="260" t="s">
        <v>268</v>
      </c>
      <c r="B214" s="237">
        <v>5</v>
      </c>
      <c r="C214" s="236">
        <f>'побудинковий звіт'!E214</f>
        <v>6120.05</v>
      </c>
      <c r="D214" s="141">
        <f t="shared" si="122"/>
        <v>322.88482650150945</v>
      </c>
      <c r="E214" s="107">
        <f t="shared" si="116"/>
        <v>66.555275158563902</v>
      </c>
      <c r="F214" s="333">
        <v>66.195174487973262</v>
      </c>
      <c r="G214" s="107">
        <f t="shared" si="117"/>
        <v>0</v>
      </c>
      <c r="H214" s="735">
        <f t="shared" si="123"/>
        <v>269.76210135298555</v>
      </c>
      <c r="I214" s="107">
        <f t="shared" si="124"/>
        <v>93.367952712657058</v>
      </c>
      <c r="J214" s="29"/>
      <c r="K214" s="142">
        <f t="shared" si="125"/>
        <v>818.76533021368925</v>
      </c>
      <c r="L214" s="210">
        <f t="shared" si="126"/>
        <v>72.981246184852978</v>
      </c>
      <c r="M214" s="107">
        <f t="shared" si="118"/>
        <v>16.057182362934391</v>
      </c>
      <c r="N214" s="333">
        <v>0</v>
      </c>
      <c r="O214" s="107"/>
      <c r="P214" s="107">
        <f t="shared" si="127"/>
        <v>60.97398426399409</v>
      </c>
      <c r="Q214" s="107">
        <f t="shared" si="128"/>
        <v>19.308522887101379</v>
      </c>
      <c r="R214" s="107"/>
      <c r="S214" s="143">
        <f t="shared" si="129"/>
        <v>169.32093569888283</v>
      </c>
      <c r="T214" s="905">
        <v>452.35000000000008</v>
      </c>
      <c r="U214" s="107"/>
      <c r="V214" s="151">
        <f t="shared" si="130"/>
        <v>452.35000000000008</v>
      </c>
      <c r="W214" s="907">
        <v>88.991666666666674</v>
      </c>
      <c r="X214" s="107"/>
      <c r="Y214" s="46">
        <f t="shared" si="131"/>
        <v>88.991666666666674</v>
      </c>
      <c r="Z214" s="141">
        <f t="shared" si="132"/>
        <v>8.572734408096025</v>
      </c>
      <c r="AA214" s="107">
        <f t="shared" si="119"/>
        <v>1.8843548814082944</v>
      </c>
      <c r="AB214" s="333">
        <v>0</v>
      </c>
      <c r="AC214" s="107"/>
      <c r="AD214" s="107">
        <f t="shared" si="133"/>
        <v>7.1623026492953379</v>
      </c>
      <c r="AE214" s="107">
        <f t="shared" si="134"/>
        <v>2.2678418814179908</v>
      </c>
      <c r="AF214" s="107"/>
      <c r="AG214" s="142">
        <f t="shared" si="135"/>
        <v>19.887233820217649</v>
      </c>
      <c r="AH214" s="210">
        <f t="shared" si="136"/>
        <v>209.79477991064388</v>
      </c>
      <c r="AI214" s="107">
        <f t="shared" si="120"/>
        <v>41.846861205083265</v>
      </c>
      <c r="AJ214" s="333">
        <v>28.346477736675595</v>
      </c>
      <c r="AK214" s="121">
        <f t="shared" si="121"/>
        <v>0</v>
      </c>
      <c r="AL214" s="107"/>
      <c r="AM214" s="107">
        <f t="shared" si="137"/>
        <v>175.27822937606464</v>
      </c>
      <c r="AN214" s="107">
        <f t="shared" si="138"/>
        <v>58.598622205522268</v>
      </c>
      <c r="AO214" s="107"/>
      <c r="AP214" s="143">
        <f t="shared" si="139"/>
        <v>513.8649704339897</v>
      </c>
      <c r="AQ214" s="34"/>
      <c r="AR214" s="29"/>
      <c r="AS214" s="124"/>
      <c r="AT214" s="138">
        <f t="shared" si="140"/>
        <v>2842.8671191727967</v>
      </c>
      <c r="AU214" s="151">
        <f t="shared" si="141"/>
        <v>4906.0472560062426</v>
      </c>
      <c r="AW214" s="1">
        <v>1</v>
      </c>
      <c r="BA214" s="30">
        <v>375.88</v>
      </c>
      <c r="BB214" s="30">
        <v>79.150000000000006</v>
      </c>
      <c r="BC214" s="30">
        <v>23.98</v>
      </c>
      <c r="BD214" s="30">
        <v>252.85</v>
      </c>
      <c r="BF214" s="289">
        <f t="shared" ref="BF214:BF222" si="147">T214*1.2</f>
        <v>542.82000000000005</v>
      </c>
      <c r="BI214" s="333">
        <v>0</v>
      </c>
      <c r="BL214" s="110">
        <f t="shared" si="143"/>
        <v>0.85901039294857251</v>
      </c>
      <c r="BM214" s="110">
        <f t="shared" si="144"/>
        <v>0.92206249128051765</v>
      </c>
      <c r="BN214" s="110">
        <f t="shared" si="145"/>
        <v>0.35749517965371247</v>
      </c>
      <c r="BO214" s="110">
        <f t="shared" si="146"/>
        <v>0.82972030812989472</v>
      </c>
    </row>
    <row r="215" spans="1:67" x14ac:dyDescent="0.25">
      <c r="A215" s="260" t="s">
        <v>383</v>
      </c>
      <c r="B215" s="237">
        <v>9</v>
      </c>
      <c r="C215" s="236">
        <f>'побудинковий звіт'!E215</f>
        <v>2163.8200000000002</v>
      </c>
      <c r="D215" s="141">
        <f t="shared" si="122"/>
        <v>488.56216098950063</v>
      </c>
      <c r="E215" s="107">
        <f t="shared" si="116"/>
        <v>100.70584427592108</v>
      </c>
      <c r="F215" s="333">
        <v>133.8308279359731</v>
      </c>
      <c r="G215" s="107">
        <f t="shared" si="117"/>
        <v>0</v>
      </c>
      <c r="H215" s="735">
        <f t="shared" si="123"/>
        <v>408.18132155078888</v>
      </c>
      <c r="I215" s="107">
        <f t="shared" si="124"/>
        <v>145.61027551208502</v>
      </c>
      <c r="J215" s="29"/>
      <c r="K215" s="142">
        <f t="shared" si="125"/>
        <v>1276.8904302642688</v>
      </c>
      <c r="L215" s="210">
        <f t="shared" si="126"/>
        <v>109.5410239641255</v>
      </c>
      <c r="M215" s="107">
        <f t="shared" si="118"/>
        <v>24.1009888151182</v>
      </c>
      <c r="N215" s="333">
        <v>0</v>
      </c>
      <c r="O215" s="107"/>
      <c r="P215" s="107">
        <f t="shared" si="127"/>
        <v>91.51875338676561</v>
      </c>
      <c r="Q215" s="107">
        <f t="shared" si="128"/>
        <v>28.981080467310729</v>
      </c>
      <c r="R215" s="107"/>
      <c r="S215" s="143">
        <f t="shared" si="129"/>
        <v>254.14184663332006</v>
      </c>
      <c r="T215" s="905">
        <v>817.17500000000007</v>
      </c>
      <c r="U215" s="107"/>
      <c r="V215" s="151">
        <f t="shared" si="130"/>
        <v>817.17500000000007</v>
      </c>
      <c r="W215" s="907">
        <v>167.06666666666666</v>
      </c>
      <c r="X215" s="107"/>
      <c r="Y215" s="46">
        <f t="shared" si="131"/>
        <v>167.06666666666666</v>
      </c>
      <c r="Z215" s="141">
        <f t="shared" si="132"/>
        <v>10.499633426429536</v>
      </c>
      <c r="AA215" s="107">
        <f t="shared" si="119"/>
        <v>2.3079025382385994</v>
      </c>
      <c r="AB215" s="333">
        <v>0</v>
      </c>
      <c r="AC215" s="107"/>
      <c r="AD215" s="107">
        <f t="shared" si="133"/>
        <v>8.7721780154213551</v>
      </c>
      <c r="AE215" s="107">
        <f t="shared" si="134"/>
        <v>2.7775861575165304</v>
      </c>
      <c r="AF215" s="107"/>
      <c r="AG215" s="142">
        <f t="shared" si="135"/>
        <v>24.357300137606021</v>
      </c>
      <c r="AH215" s="210">
        <f t="shared" si="136"/>
        <v>327.45741680654424</v>
      </c>
      <c r="AI215" s="107">
        <f t="shared" si="120"/>
        <v>65.31652063752486</v>
      </c>
      <c r="AJ215" s="333">
        <v>57.309805645382411</v>
      </c>
      <c r="AK215" s="121">
        <f t="shared" si="121"/>
        <v>0</v>
      </c>
      <c r="AL215" s="107"/>
      <c r="AM215" s="107">
        <f t="shared" si="137"/>
        <v>273.58238483511042</v>
      </c>
      <c r="AN215" s="107">
        <f t="shared" si="138"/>
        <v>93.145118672166689</v>
      </c>
      <c r="AO215" s="107"/>
      <c r="AP215" s="143">
        <f t="shared" si="139"/>
        <v>816.81124659672878</v>
      </c>
      <c r="AQ215" s="34"/>
      <c r="AR215" s="29"/>
      <c r="AS215" s="124"/>
      <c r="AT215" s="138">
        <f t="shared" si="140"/>
        <v>1005.1311230804457</v>
      </c>
      <c r="AU215" s="151">
        <f t="shared" si="141"/>
        <v>4361.573613379036</v>
      </c>
      <c r="AW215" s="1">
        <v>1</v>
      </c>
      <c r="BA215" s="30">
        <v>568.75</v>
      </c>
      <c r="BB215" s="30">
        <v>118.8</v>
      </c>
      <c r="BC215" s="30">
        <v>29.37</v>
      </c>
      <c r="BD215" s="30">
        <v>394.66</v>
      </c>
      <c r="BF215" s="289">
        <f t="shared" si="147"/>
        <v>980.61</v>
      </c>
      <c r="BI215" s="333">
        <v>8.52</v>
      </c>
      <c r="BL215" s="110">
        <f t="shared" si="143"/>
        <v>0.85901039294857251</v>
      </c>
      <c r="BM215" s="110">
        <f t="shared" si="144"/>
        <v>0.92206249128051765</v>
      </c>
      <c r="BN215" s="110">
        <f t="shared" si="145"/>
        <v>0.35749517965371247</v>
      </c>
      <c r="BO215" s="110">
        <f t="shared" si="146"/>
        <v>0.82972030812989472</v>
      </c>
    </row>
    <row r="216" spans="1:67" x14ac:dyDescent="0.25">
      <c r="A216" s="260" t="s">
        <v>384</v>
      </c>
      <c r="B216" s="237">
        <v>9</v>
      </c>
      <c r="C216" s="236">
        <f>'побудинковий звіт'!E216</f>
        <v>4314</v>
      </c>
      <c r="D216" s="141">
        <f t="shared" si="122"/>
        <v>693.19561679770959</v>
      </c>
      <c r="E216" s="107">
        <f t="shared" si="116"/>
        <v>142.88632115224621</v>
      </c>
      <c r="F216" s="333">
        <v>190.25060019873072</v>
      </c>
      <c r="G216" s="107">
        <f t="shared" si="117"/>
        <v>0</v>
      </c>
      <c r="H216" s="735">
        <f t="shared" si="123"/>
        <v>579.14739525598259</v>
      </c>
      <c r="I216" s="107">
        <f t="shared" si="124"/>
        <v>206.64587321730932</v>
      </c>
      <c r="J216" s="29"/>
      <c r="K216" s="142">
        <f t="shared" si="125"/>
        <v>1812.1258066219787</v>
      </c>
      <c r="L216" s="210">
        <f t="shared" si="126"/>
        <v>152.72121043079213</v>
      </c>
      <c r="M216" s="107">
        <f t="shared" si="118"/>
        <v>33.601403850572616</v>
      </c>
      <c r="N216" s="333">
        <v>0</v>
      </c>
      <c r="O216" s="107"/>
      <c r="P216" s="107">
        <f t="shared" si="127"/>
        <v>127.59470642634668</v>
      </c>
      <c r="Q216" s="107">
        <f t="shared" si="128"/>
        <v>40.405188196975374</v>
      </c>
      <c r="R216" s="107"/>
      <c r="S216" s="143">
        <f t="shared" si="129"/>
        <v>354.32250890468674</v>
      </c>
      <c r="T216" s="905">
        <v>1181.8583333333333</v>
      </c>
      <c r="U216" s="107"/>
      <c r="V216" s="151">
        <f t="shared" si="130"/>
        <v>1181.8583333333333</v>
      </c>
      <c r="W216" s="907">
        <v>243.85833333333335</v>
      </c>
      <c r="X216" s="107"/>
      <c r="Y216" s="46">
        <f t="shared" si="131"/>
        <v>243.85833333333335</v>
      </c>
      <c r="Z216" s="141">
        <f t="shared" si="132"/>
        <v>34.820030498271599</v>
      </c>
      <c r="AA216" s="107">
        <f t="shared" si="119"/>
        <v>7.6537183256533732</v>
      </c>
      <c r="AB216" s="333">
        <v>0</v>
      </c>
      <c r="AC216" s="107"/>
      <c r="AD216" s="107">
        <f t="shared" si="133"/>
        <v>29.091254296971059</v>
      </c>
      <c r="AE216" s="107">
        <f t="shared" si="134"/>
        <v>9.2113344140997615</v>
      </c>
      <c r="AF216" s="107"/>
      <c r="AG216" s="142">
        <f t="shared" si="135"/>
        <v>80.77633753499579</v>
      </c>
      <c r="AH216" s="210">
        <f t="shared" si="136"/>
        <v>583.86588362792565</v>
      </c>
      <c r="AI216" s="107">
        <f t="shared" si="120"/>
        <v>116.46121321496952</v>
      </c>
      <c r="AJ216" s="333">
        <v>81.470204507162535</v>
      </c>
      <c r="AK216" s="121">
        <f t="shared" si="121"/>
        <v>0</v>
      </c>
      <c r="AL216" s="107"/>
      <c r="AM216" s="107">
        <f t="shared" si="137"/>
        <v>487.80516998079077</v>
      </c>
      <c r="AN216" s="107">
        <f t="shared" si="138"/>
        <v>163.41413297558071</v>
      </c>
      <c r="AO216" s="107"/>
      <c r="AP216" s="143">
        <f t="shared" si="139"/>
        <v>1433.0166043064291</v>
      </c>
      <c r="AQ216" s="34"/>
      <c r="AR216" s="29"/>
      <c r="AS216" s="124"/>
      <c r="AT216" s="138">
        <f t="shared" si="140"/>
        <v>2003.9262346077965</v>
      </c>
      <c r="AU216" s="151">
        <f t="shared" si="141"/>
        <v>7109.8841586425542</v>
      </c>
      <c r="AW216" s="1">
        <v>1</v>
      </c>
      <c r="BA216" s="30">
        <v>806.97</v>
      </c>
      <c r="BB216" s="30">
        <v>165.63</v>
      </c>
      <c r="BC216" s="30">
        <v>97.4</v>
      </c>
      <c r="BD216" s="30">
        <v>703.69</v>
      </c>
      <c r="BF216" s="289">
        <f t="shared" si="147"/>
        <v>1418.23</v>
      </c>
      <c r="BI216" s="333">
        <v>8.51</v>
      </c>
      <c r="BL216" s="110">
        <f t="shared" si="143"/>
        <v>0.85901039294857251</v>
      </c>
      <c r="BM216" s="110">
        <f t="shared" si="144"/>
        <v>0.92206249128051765</v>
      </c>
      <c r="BN216" s="110">
        <f t="shared" si="145"/>
        <v>0.35749517965371247</v>
      </c>
      <c r="BO216" s="110">
        <f t="shared" si="146"/>
        <v>0.82972030812989472</v>
      </c>
    </row>
    <row r="217" spans="1:67" x14ac:dyDescent="0.25">
      <c r="A217" s="260" t="s">
        <v>269</v>
      </c>
      <c r="B217" s="237">
        <v>5</v>
      </c>
      <c r="C217" s="236">
        <f>'побудинковий звіт'!E217</f>
        <v>2417.4399999999996</v>
      </c>
      <c r="D217" s="141">
        <f t="shared" si="122"/>
        <v>443.86982943257044</v>
      </c>
      <c r="E217" s="107">
        <f t="shared" si="116"/>
        <v>91.493548806733557</v>
      </c>
      <c r="F217" s="333">
        <v>73.876738747909258</v>
      </c>
      <c r="G217" s="107">
        <f t="shared" si="117"/>
        <v>0</v>
      </c>
      <c r="H217" s="735">
        <f t="shared" si="123"/>
        <v>370.84200955588017</v>
      </c>
      <c r="I217" s="107">
        <f t="shared" si="124"/>
        <v>126.14914870638019</v>
      </c>
      <c r="J217" s="29"/>
      <c r="K217" s="142">
        <f t="shared" si="125"/>
        <v>1106.2312752494736</v>
      </c>
      <c r="L217" s="210">
        <f t="shared" si="126"/>
        <v>86.30160632153229</v>
      </c>
      <c r="M217" s="107">
        <f t="shared" si="118"/>
        <v>18.987900362910295</v>
      </c>
      <c r="N217" s="333">
        <v>0</v>
      </c>
      <c r="O217" s="107"/>
      <c r="P217" s="107">
        <f t="shared" si="127"/>
        <v>72.102808062198662</v>
      </c>
      <c r="Q217" s="107">
        <f t="shared" si="128"/>
        <v>22.83266767783374</v>
      </c>
      <c r="R217" s="107"/>
      <c r="S217" s="143">
        <f t="shared" si="129"/>
        <v>200.224982424475</v>
      </c>
      <c r="T217" s="905">
        <v>412.3416666666667</v>
      </c>
      <c r="U217" s="107"/>
      <c r="V217" s="151">
        <f t="shared" si="130"/>
        <v>412.3416666666667</v>
      </c>
      <c r="W217" s="246"/>
      <c r="X217" s="107"/>
      <c r="Y217" s="46">
        <f t="shared" si="131"/>
        <v>0</v>
      </c>
      <c r="Z217" s="141">
        <f t="shared" si="132"/>
        <v>0</v>
      </c>
      <c r="AA217" s="107">
        <f t="shared" si="119"/>
        <v>0</v>
      </c>
      <c r="AB217" s="333">
        <v>0</v>
      </c>
      <c r="AC217" s="107"/>
      <c r="AD217" s="107">
        <f t="shared" si="133"/>
        <v>0</v>
      </c>
      <c r="AE217" s="107">
        <f t="shared" si="134"/>
        <v>0</v>
      </c>
      <c r="AF217" s="107"/>
      <c r="AG217" s="142">
        <f t="shared" si="135"/>
        <v>0</v>
      </c>
      <c r="AH217" s="210">
        <f t="shared" si="136"/>
        <v>244.91385020618566</v>
      </c>
      <c r="AI217" s="107">
        <f t="shared" si="120"/>
        <v>48.851910906200914</v>
      </c>
      <c r="AJ217" s="333">
        <v>29.005421120321202</v>
      </c>
      <c r="AK217" s="121">
        <f t="shared" si="121"/>
        <v>0</v>
      </c>
      <c r="AL217" s="107"/>
      <c r="AM217" s="107">
        <f t="shared" si="137"/>
        <v>204.61932385590785</v>
      </c>
      <c r="AN217" s="107">
        <f t="shared" si="138"/>
        <v>67.881927011124432</v>
      </c>
      <c r="AO217" s="107"/>
      <c r="AP217" s="143">
        <f t="shared" si="139"/>
        <v>595.27243309974006</v>
      </c>
      <c r="AQ217" s="34"/>
      <c r="AR217" s="29"/>
      <c r="AS217" s="124"/>
      <c r="AT217" s="138">
        <f t="shared" si="140"/>
        <v>1122.9419185420193</v>
      </c>
      <c r="AU217" s="151">
        <f t="shared" si="141"/>
        <v>3437.0122759823744</v>
      </c>
      <c r="AW217" s="1">
        <v>2</v>
      </c>
      <c r="BA217" s="30">
        <v>404.7</v>
      </c>
      <c r="BB217" s="30">
        <v>77.56</v>
      </c>
      <c r="BC217" s="30">
        <v>0</v>
      </c>
      <c r="BD217" s="30">
        <v>236.2</v>
      </c>
      <c r="BF217" s="289">
        <f t="shared" si="147"/>
        <v>494.81</v>
      </c>
      <c r="BI217" s="333">
        <v>0</v>
      </c>
      <c r="BL217" s="110">
        <f t="shared" ref="BL217:BO239" si="148">BA$398</f>
        <v>1.0967873225415627</v>
      </c>
      <c r="BM217" s="110">
        <f t="shared" si="148"/>
        <v>1.1127076627324948</v>
      </c>
      <c r="BN217" s="110">
        <f t="shared" si="148"/>
        <v>2.8314493742615632</v>
      </c>
      <c r="BO217" s="110">
        <f t="shared" si="148"/>
        <v>1.036891829831438</v>
      </c>
    </row>
    <row r="218" spans="1:67" x14ac:dyDescent="0.25">
      <c r="A218" s="260" t="s">
        <v>270</v>
      </c>
      <c r="B218" s="237">
        <v>5</v>
      </c>
      <c r="C218" s="236">
        <f>'побудинковий звіт'!E218</f>
        <v>418.2</v>
      </c>
      <c r="D218" s="141">
        <f t="shared" si="122"/>
        <v>446.78728371053103</v>
      </c>
      <c r="E218" s="107">
        <f t="shared" si="116"/>
        <v>92.094914855228524</v>
      </c>
      <c r="F218" s="333">
        <v>75.081926397676938</v>
      </c>
      <c r="G218" s="107">
        <f t="shared" si="117"/>
        <v>0</v>
      </c>
      <c r="H218" s="735">
        <f t="shared" si="123"/>
        <v>373.27946877361836</v>
      </c>
      <c r="I218" s="107">
        <f t="shared" si="124"/>
        <v>127.0709214492353</v>
      </c>
      <c r="J218" s="29"/>
      <c r="K218" s="142">
        <f t="shared" si="125"/>
        <v>1114.3145151862902</v>
      </c>
      <c r="L218" s="210">
        <f t="shared" si="126"/>
        <v>77.889536391274632</v>
      </c>
      <c r="M218" s="107">
        <f t="shared" si="118"/>
        <v>17.137094190352251</v>
      </c>
      <c r="N218" s="333">
        <v>0</v>
      </c>
      <c r="O218" s="107"/>
      <c r="P218" s="107">
        <f t="shared" si="127"/>
        <v>65.074736518229841</v>
      </c>
      <c r="Q218" s="107">
        <f t="shared" si="128"/>
        <v>20.607100792268714</v>
      </c>
      <c r="R218" s="107"/>
      <c r="S218" s="143">
        <f t="shared" si="129"/>
        <v>180.70846789212541</v>
      </c>
      <c r="T218" s="905">
        <v>403.32500000000005</v>
      </c>
      <c r="U218" s="107"/>
      <c r="V218" s="151">
        <f t="shared" si="130"/>
        <v>403.32500000000005</v>
      </c>
      <c r="W218" s="246"/>
      <c r="X218" s="107"/>
      <c r="Y218" s="46">
        <f t="shared" si="131"/>
        <v>0</v>
      </c>
      <c r="Z218" s="141">
        <f t="shared" si="132"/>
        <v>0</v>
      </c>
      <c r="AA218" s="107">
        <f t="shared" si="119"/>
        <v>0</v>
      </c>
      <c r="AB218" s="333">
        <v>0</v>
      </c>
      <c r="AC218" s="107"/>
      <c r="AD218" s="107">
        <f t="shared" si="133"/>
        <v>0</v>
      </c>
      <c r="AE218" s="107">
        <f t="shared" si="134"/>
        <v>0</v>
      </c>
      <c r="AF218" s="107"/>
      <c r="AG218" s="142">
        <f t="shared" si="135"/>
        <v>0</v>
      </c>
      <c r="AH218" s="210">
        <f t="shared" si="136"/>
        <v>248.58444728378896</v>
      </c>
      <c r="AI218" s="107">
        <f t="shared" si="120"/>
        <v>49.584069096751094</v>
      </c>
      <c r="AJ218" s="333">
        <v>29.478600850544627</v>
      </c>
      <c r="AK218" s="121">
        <f t="shared" si="121"/>
        <v>0</v>
      </c>
      <c r="AL218" s="107"/>
      <c r="AM218" s="107">
        <f t="shared" si="137"/>
        <v>207.68601482309631</v>
      </c>
      <c r="AN218" s="107">
        <f t="shared" si="138"/>
        <v>68.904244913791743</v>
      </c>
      <c r="AO218" s="107"/>
      <c r="AP218" s="143">
        <f t="shared" si="139"/>
        <v>604.23737696797275</v>
      </c>
      <c r="AQ218" s="34"/>
      <c r="AR218" s="29"/>
      <c r="AS218" s="124"/>
      <c r="AT218" s="138">
        <f t="shared" si="140"/>
        <v>194.26099937713965</v>
      </c>
      <c r="AU218" s="151">
        <f t="shared" si="141"/>
        <v>2496.8463594235282</v>
      </c>
      <c r="AW218" s="1">
        <v>2</v>
      </c>
      <c r="BA218" s="30">
        <v>407.36</v>
      </c>
      <c r="BB218" s="30">
        <v>70</v>
      </c>
      <c r="BC218" s="30">
        <v>0</v>
      </c>
      <c r="BD218" s="30">
        <v>239.74</v>
      </c>
      <c r="BF218" s="289">
        <f t="shared" si="147"/>
        <v>483.99</v>
      </c>
      <c r="BI218" s="333">
        <v>0</v>
      </c>
      <c r="BL218" s="110">
        <f t="shared" si="148"/>
        <v>1.0967873225415627</v>
      </c>
      <c r="BM218" s="110">
        <f t="shared" si="148"/>
        <v>1.1127076627324948</v>
      </c>
      <c r="BN218" s="110">
        <f t="shared" si="148"/>
        <v>2.8314493742615632</v>
      </c>
      <c r="BO218" s="110">
        <f t="shared" si="148"/>
        <v>1.036891829831438</v>
      </c>
    </row>
    <row r="219" spans="1:67" x14ac:dyDescent="0.25">
      <c r="A219" s="260" t="s">
        <v>271</v>
      </c>
      <c r="B219" s="237">
        <v>5</v>
      </c>
      <c r="C219" s="236">
        <f>'побудинковий звіт'!E219</f>
        <v>2135.1</v>
      </c>
      <c r="D219" s="141">
        <f t="shared" si="122"/>
        <v>433.43938199520016</v>
      </c>
      <c r="E219" s="107">
        <f t="shared" si="116"/>
        <v>89.343552144633136</v>
      </c>
      <c r="F219" s="333">
        <v>75.250484110931154</v>
      </c>
      <c r="G219" s="107">
        <f t="shared" si="117"/>
        <v>0</v>
      </c>
      <c r="H219" s="735">
        <f t="shared" si="123"/>
        <v>362.12763468344025</v>
      </c>
      <c r="I219" s="107">
        <f t="shared" si="124"/>
        <v>123.58505085272144</v>
      </c>
      <c r="J219" s="29"/>
      <c r="K219" s="142">
        <f t="shared" si="125"/>
        <v>1083.7461037869261</v>
      </c>
      <c r="L219" s="210">
        <f t="shared" si="126"/>
        <v>77.889536391274632</v>
      </c>
      <c r="M219" s="107">
        <f t="shared" si="118"/>
        <v>17.137094190352251</v>
      </c>
      <c r="N219" s="333">
        <v>0</v>
      </c>
      <c r="O219" s="107"/>
      <c r="P219" s="107">
        <f t="shared" si="127"/>
        <v>65.074736518229841</v>
      </c>
      <c r="Q219" s="107">
        <f t="shared" si="128"/>
        <v>20.607100792268714</v>
      </c>
      <c r="R219" s="107"/>
      <c r="S219" s="143">
        <f t="shared" si="129"/>
        <v>180.70846789212541</v>
      </c>
      <c r="T219" s="905">
        <v>442.03333333333342</v>
      </c>
      <c r="U219" s="107"/>
      <c r="V219" s="151">
        <f t="shared" si="130"/>
        <v>442.03333333333342</v>
      </c>
      <c r="W219" s="246"/>
      <c r="X219" s="107"/>
      <c r="Y219" s="46">
        <f t="shared" si="131"/>
        <v>0</v>
      </c>
      <c r="Z219" s="141">
        <f t="shared" si="132"/>
        <v>0</v>
      </c>
      <c r="AA219" s="107">
        <f t="shared" si="119"/>
        <v>0</v>
      </c>
      <c r="AB219" s="333">
        <v>0</v>
      </c>
      <c r="AC219" s="107"/>
      <c r="AD219" s="107">
        <f t="shared" si="133"/>
        <v>0</v>
      </c>
      <c r="AE219" s="107">
        <f t="shared" si="134"/>
        <v>0</v>
      </c>
      <c r="AF219" s="107"/>
      <c r="AG219" s="142">
        <f t="shared" si="135"/>
        <v>0</v>
      </c>
      <c r="AH219" s="210">
        <f t="shared" si="136"/>
        <v>248.58444728378896</v>
      </c>
      <c r="AI219" s="107">
        <f t="shared" si="120"/>
        <v>49.584069096751094</v>
      </c>
      <c r="AJ219" s="333">
        <v>134.54477983379266</v>
      </c>
      <c r="AK219" s="121">
        <f t="shared" si="121"/>
        <v>0</v>
      </c>
      <c r="AL219" s="107"/>
      <c r="AM219" s="107">
        <f t="shared" si="137"/>
        <v>207.68601482309631</v>
      </c>
      <c r="AN219" s="107">
        <f t="shared" si="138"/>
        <v>82.427610637558104</v>
      </c>
      <c r="AO219" s="107"/>
      <c r="AP219" s="143">
        <f t="shared" si="139"/>
        <v>722.82692167498715</v>
      </c>
      <c r="AQ219" s="34"/>
      <c r="AR219" s="29"/>
      <c r="AS219" s="124"/>
      <c r="AT219" s="138">
        <f t="shared" si="140"/>
        <v>991.79019552876821</v>
      </c>
      <c r="AU219" s="151">
        <f t="shared" si="141"/>
        <v>3421.1050222161402</v>
      </c>
      <c r="AW219" s="1">
        <v>2</v>
      </c>
      <c r="BA219" s="30">
        <v>395.19</v>
      </c>
      <c r="BB219" s="30">
        <v>70</v>
      </c>
      <c r="BC219" s="30">
        <v>0</v>
      </c>
      <c r="BD219" s="30">
        <v>239.74</v>
      </c>
      <c r="BF219" s="289">
        <f t="shared" si="147"/>
        <v>530.44000000000005</v>
      </c>
      <c r="BI219" s="333">
        <v>0</v>
      </c>
      <c r="BL219" s="110">
        <f t="shared" si="148"/>
        <v>1.0967873225415627</v>
      </c>
      <c r="BM219" s="110">
        <f t="shared" si="148"/>
        <v>1.1127076627324948</v>
      </c>
      <c r="BN219" s="110">
        <f t="shared" si="148"/>
        <v>2.8314493742615632</v>
      </c>
      <c r="BO219" s="110">
        <f t="shared" si="148"/>
        <v>1.036891829831438</v>
      </c>
    </row>
    <row r="220" spans="1:67" x14ac:dyDescent="0.25">
      <c r="A220" s="260" t="s">
        <v>272</v>
      </c>
      <c r="B220" s="237">
        <v>5</v>
      </c>
      <c r="C220" s="236">
        <f>'побудинковий звіт'!E220</f>
        <v>4626.5999999999995</v>
      </c>
      <c r="D220" s="141">
        <f t="shared" si="122"/>
        <v>315.77603803294136</v>
      </c>
      <c r="E220" s="107">
        <f t="shared" si="116"/>
        <v>65.089962038415266</v>
      </c>
      <c r="F220" s="333">
        <v>55.668291773622066</v>
      </c>
      <c r="G220" s="107">
        <f t="shared" si="117"/>
        <v>0</v>
      </c>
      <c r="H220" s="735">
        <f t="shared" si="123"/>
        <v>263.8228884883456</v>
      </c>
      <c r="I220" s="107">
        <f t="shared" si="124"/>
        <v>90.144957954770945</v>
      </c>
      <c r="J220" s="29"/>
      <c r="K220" s="142">
        <f t="shared" si="125"/>
        <v>790.50213828809524</v>
      </c>
      <c r="L220" s="210">
        <f t="shared" si="126"/>
        <v>67.897421579936832</v>
      </c>
      <c r="M220" s="107">
        <f t="shared" si="118"/>
        <v>14.93864982136135</v>
      </c>
      <c r="N220" s="333">
        <v>0</v>
      </c>
      <c r="O220" s="107"/>
      <c r="P220" s="107">
        <f t="shared" si="127"/>
        <v>56.726577462034072</v>
      </c>
      <c r="Q220" s="107">
        <f t="shared" si="128"/>
        <v>17.963504147774817</v>
      </c>
      <c r="R220" s="107"/>
      <c r="S220" s="143">
        <f t="shared" si="129"/>
        <v>157.52615301110706</v>
      </c>
      <c r="T220" s="905">
        <v>292.125</v>
      </c>
      <c r="U220" s="107"/>
      <c r="V220" s="151">
        <f t="shared" si="130"/>
        <v>292.125</v>
      </c>
      <c r="W220" s="246"/>
      <c r="X220" s="107"/>
      <c r="Y220" s="46">
        <f t="shared" si="131"/>
        <v>0</v>
      </c>
      <c r="Z220" s="141">
        <f t="shared" si="132"/>
        <v>0</v>
      </c>
      <c r="AA220" s="107">
        <f t="shared" si="119"/>
        <v>0</v>
      </c>
      <c r="AB220" s="333">
        <v>0</v>
      </c>
      <c r="AC220" s="107"/>
      <c r="AD220" s="107">
        <f t="shared" si="133"/>
        <v>0</v>
      </c>
      <c r="AE220" s="107">
        <f t="shared" si="134"/>
        <v>0</v>
      </c>
      <c r="AF220" s="107"/>
      <c r="AG220" s="142">
        <f t="shared" si="135"/>
        <v>0</v>
      </c>
      <c r="AH220" s="210">
        <f t="shared" si="136"/>
        <v>183.87202818400891</v>
      </c>
      <c r="AI220" s="107">
        <f t="shared" si="120"/>
        <v>36.676161562221033</v>
      </c>
      <c r="AJ220" s="333">
        <v>21.8564364549527</v>
      </c>
      <c r="AK220" s="121">
        <f t="shared" si="121"/>
        <v>0</v>
      </c>
      <c r="AL220" s="107"/>
      <c r="AM220" s="107">
        <f t="shared" si="137"/>
        <v>153.62042633094046</v>
      </c>
      <c r="AN220" s="107">
        <f t="shared" si="138"/>
        <v>50.973507107549729</v>
      </c>
      <c r="AO220" s="107"/>
      <c r="AP220" s="143">
        <f t="shared" si="139"/>
        <v>446.99855963967286</v>
      </c>
      <c r="AQ220" s="34"/>
      <c r="AR220" s="29"/>
      <c r="AS220" s="124"/>
      <c r="AT220" s="138">
        <f t="shared" si="140"/>
        <v>2149.1342413158159</v>
      </c>
      <c r="AU220" s="151">
        <f t="shared" si="141"/>
        <v>3836.2860922546911</v>
      </c>
      <c r="AW220" s="1">
        <v>2</v>
      </c>
      <c r="BA220" s="30">
        <v>287.91000000000003</v>
      </c>
      <c r="BB220" s="30">
        <v>61.02</v>
      </c>
      <c r="BC220" s="30">
        <v>0</v>
      </c>
      <c r="BD220" s="30">
        <v>177.33</v>
      </c>
      <c r="BF220" s="289">
        <f t="shared" si="147"/>
        <v>350.55</v>
      </c>
      <c r="BI220" s="333">
        <v>0</v>
      </c>
      <c r="BL220" s="110">
        <f t="shared" si="148"/>
        <v>1.0967873225415627</v>
      </c>
      <c r="BM220" s="110">
        <f t="shared" si="148"/>
        <v>1.1127076627324948</v>
      </c>
      <c r="BN220" s="110">
        <f t="shared" si="148"/>
        <v>2.8314493742615632</v>
      </c>
      <c r="BO220" s="110">
        <f t="shared" si="148"/>
        <v>1.036891829831438</v>
      </c>
    </row>
    <row r="221" spans="1:67" x14ac:dyDescent="0.25">
      <c r="A221" s="260" t="s">
        <v>216</v>
      </c>
      <c r="B221" s="237">
        <v>4</v>
      </c>
      <c r="C221" s="236">
        <f>'побудинковий звіт'!E221</f>
        <v>2643.05</v>
      </c>
      <c r="D221" s="141">
        <f t="shared" si="122"/>
        <v>325.87744927354913</v>
      </c>
      <c r="E221" s="107">
        <f t="shared" si="116"/>
        <v>67.172135461963606</v>
      </c>
      <c r="F221" s="333">
        <v>50.702581541152725</v>
      </c>
      <c r="G221" s="107">
        <f t="shared" si="117"/>
        <v>0</v>
      </c>
      <c r="H221" s="735">
        <f t="shared" si="123"/>
        <v>272.26236194525109</v>
      </c>
      <c r="I221" s="107">
        <f t="shared" si="124"/>
        <v>92.160259584760112</v>
      </c>
      <c r="J221" s="29"/>
      <c r="K221" s="142">
        <f t="shared" si="125"/>
        <v>808.17478780667659</v>
      </c>
      <c r="L221" s="210">
        <f t="shared" si="126"/>
        <v>85.678490030402102</v>
      </c>
      <c r="M221" s="107">
        <f t="shared" si="118"/>
        <v>18.85080360938748</v>
      </c>
      <c r="N221" s="333">
        <v>0</v>
      </c>
      <c r="O221" s="107"/>
      <c r="P221" s="107">
        <f t="shared" si="127"/>
        <v>71.582210170052832</v>
      </c>
      <c r="Q221" s="107">
        <f t="shared" si="128"/>
        <v>22.667810871495593</v>
      </c>
      <c r="R221" s="107"/>
      <c r="S221" s="143">
        <f t="shared" si="129"/>
        <v>198.77931468133801</v>
      </c>
      <c r="T221" s="905">
        <v>284.375</v>
      </c>
      <c r="U221" s="107"/>
      <c r="V221" s="151">
        <f t="shared" si="130"/>
        <v>284.375</v>
      </c>
      <c r="W221" s="246"/>
      <c r="X221" s="107"/>
      <c r="Y221" s="46">
        <f t="shared" si="131"/>
        <v>0</v>
      </c>
      <c r="Z221" s="141">
        <f t="shared" si="132"/>
        <v>0</v>
      </c>
      <c r="AA221" s="107">
        <f t="shared" si="119"/>
        <v>0</v>
      </c>
      <c r="AB221" s="333">
        <v>0</v>
      </c>
      <c r="AC221" s="107"/>
      <c r="AD221" s="107">
        <f t="shared" si="133"/>
        <v>0</v>
      </c>
      <c r="AE221" s="107">
        <f t="shared" si="134"/>
        <v>0</v>
      </c>
      <c r="AF221" s="107"/>
      <c r="AG221" s="142">
        <f t="shared" si="135"/>
        <v>0</v>
      </c>
      <c r="AH221" s="210">
        <f t="shared" si="136"/>
        <v>307.10662215947531</v>
      </c>
      <c r="AI221" s="107">
        <f t="shared" si="120"/>
        <v>61.257235276031274</v>
      </c>
      <c r="AJ221" s="333">
        <v>19.906803608465722</v>
      </c>
      <c r="AK221" s="121">
        <f t="shared" si="121"/>
        <v>0</v>
      </c>
      <c r="AL221" s="107"/>
      <c r="AM221" s="107">
        <f t="shared" si="137"/>
        <v>256.57981092143433</v>
      </c>
      <c r="AN221" s="107">
        <f t="shared" si="138"/>
        <v>83.000532178123294</v>
      </c>
      <c r="AO221" s="107"/>
      <c r="AP221" s="143">
        <f t="shared" si="139"/>
        <v>727.85100414352996</v>
      </c>
      <c r="AQ221" s="34"/>
      <c r="AR221" s="29"/>
      <c r="AS221" s="124"/>
      <c r="AT221" s="138">
        <f t="shared" si="140"/>
        <v>1227.7415935048996</v>
      </c>
      <c r="AU221" s="151">
        <f t="shared" si="141"/>
        <v>3246.9217001364441</v>
      </c>
      <c r="AW221" s="1">
        <v>2</v>
      </c>
      <c r="BA221" s="30">
        <v>297.12</v>
      </c>
      <c r="BB221" s="30">
        <v>77</v>
      </c>
      <c r="BC221" s="30">
        <v>0</v>
      </c>
      <c r="BD221" s="30">
        <v>296.18</v>
      </c>
      <c r="BF221" s="289">
        <f t="shared" si="147"/>
        <v>341.25</v>
      </c>
      <c r="BI221" s="333">
        <v>0</v>
      </c>
      <c r="BL221" s="110">
        <f t="shared" si="148"/>
        <v>1.0967873225415627</v>
      </c>
      <c r="BM221" s="110">
        <f t="shared" si="148"/>
        <v>1.1127076627324948</v>
      </c>
      <c r="BN221" s="110">
        <f t="shared" si="148"/>
        <v>2.8314493742615632</v>
      </c>
      <c r="BO221" s="110">
        <f t="shared" si="148"/>
        <v>1.036891829831438</v>
      </c>
    </row>
    <row r="222" spans="1:67" x14ac:dyDescent="0.25">
      <c r="A222" s="260" t="s">
        <v>179</v>
      </c>
      <c r="B222" s="237">
        <v>2</v>
      </c>
      <c r="C222" s="236">
        <f>'побудинковий звіт'!E222</f>
        <v>381.7</v>
      </c>
      <c r="D222" s="141">
        <f t="shared" si="122"/>
        <v>89.980431941309817</v>
      </c>
      <c r="E222" s="107">
        <f t="shared" si="116"/>
        <v>18.547394969370945</v>
      </c>
      <c r="F222" s="333">
        <v>16.072188655931512</v>
      </c>
      <c r="G222" s="107">
        <f t="shared" si="117"/>
        <v>0</v>
      </c>
      <c r="H222" s="735">
        <f t="shared" si="123"/>
        <v>75.176373768135434</v>
      </c>
      <c r="I222" s="107">
        <f t="shared" si="124"/>
        <v>25.713785369296495</v>
      </c>
      <c r="J222" s="29"/>
      <c r="K222" s="142">
        <f t="shared" si="125"/>
        <v>225.49017470404419</v>
      </c>
      <c r="L222" s="210">
        <f t="shared" si="126"/>
        <v>15.967354960211299</v>
      </c>
      <c r="M222" s="107">
        <f t="shared" si="118"/>
        <v>3.5131043090222116</v>
      </c>
      <c r="N222" s="333">
        <v>0</v>
      </c>
      <c r="O222" s="107"/>
      <c r="P222" s="107">
        <f t="shared" si="127"/>
        <v>13.340320986237117</v>
      </c>
      <c r="Q222" s="107">
        <f t="shared" si="128"/>
        <v>4.2244556624150862</v>
      </c>
      <c r="R222" s="107"/>
      <c r="S222" s="143">
        <f t="shared" si="129"/>
        <v>37.045235917885712</v>
      </c>
      <c r="T222" s="905">
        <v>94.341666666666669</v>
      </c>
      <c r="U222" s="107"/>
      <c r="V222" s="151">
        <f t="shared" si="130"/>
        <v>94.341666666666669</v>
      </c>
      <c r="W222" s="246"/>
      <c r="X222" s="107"/>
      <c r="Y222" s="46">
        <f t="shared" si="131"/>
        <v>0</v>
      </c>
      <c r="Z222" s="141">
        <f t="shared" si="132"/>
        <v>0</v>
      </c>
      <c r="AA222" s="107">
        <f t="shared" si="119"/>
        <v>0</v>
      </c>
      <c r="AB222" s="333">
        <v>0</v>
      </c>
      <c r="AC222" s="107"/>
      <c r="AD222" s="107">
        <f t="shared" si="133"/>
        <v>0</v>
      </c>
      <c r="AE222" s="107">
        <f t="shared" si="134"/>
        <v>0</v>
      </c>
      <c r="AF222" s="107"/>
      <c r="AG222" s="142">
        <f t="shared" si="135"/>
        <v>0</v>
      </c>
      <c r="AH222" s="210">
        <f t="shared" si="136"/>
        <v>36.934086978595822</v>
      </c>
      <c r="AI222" s="107">
        <f t="shared" si="120"/>
        <v>7.3670832619766156</v>
      </c>
      <c r="AJ222" s="333">
        <v>6.3102487764287778</v>
      </c>
      <c r="AK222" s="121">
        <f t="shared" si="121"/>
        <v>0</v>
      </c>
      <c r="AL222" s="107"/>
      <c r="AM222" s="107">
        <f t="shared" si="137"/>
        <v>30.857494986229625</v>
      </c>
      <c r="AN222" s="107">
        <f t="shared" si="138"/>
        <v>10.486094857979216</v>
      </c>
      <c r="AO222" s="107"/>
      <c r="AP222" s="143">
        <f t="shared" si="139"/>
        <v>91.955008861210061</v>
      </c>
      <c r="AQ222" s="34"/>
      <c r="AR222" s="29"/>
      <c r="AS222" s="124"/>
      <c r="AT222" s="138">
        <f t="shared" si="140"/>
        <v>177.30612975192301</v>
      </c>
      <c r="AU222" s="151">
        <f t="shared" si="141"/>
        <v>626.13821590172961</v>
      </c>
      <c r="AW222" s="1">
        <v>2</v>
      </c>
      <c r="BA222" s="30">
        <v>82.04</v>
      </c>
      <c r="BB222" s="30">
        <v>14.35</v>
      </c>
      <c r="BC222" s="30">
        <v>0</v>
      </c>
      <c r="BD222" s="30">
        <v>35.619999999999997</v>
      </c>
      <c r="BF222" s="289">
        <f t="shared" si="147"/>
        <v>113.21</v>
      </c>
      <c r="BG222" s="1">
        <v>90.57</v>
      </c>
      <c r="BI222" s="333">
        <v>0</v>
      </c>
      <c r="BL222" s="110">
        <f t="shared" si="148"/>
        <v>1.0967873225415627</v>
      </c>
      <c r="BM222" s="110">
        <f t="shared" si="148"/>
        <v>1.1127076627324948</v>
      </c>
      <c r="BN222" s="110">
        <f t="shared" si="148"/>
        <v>2.8314493742615632</v>
      </c>
      <c r="BO222" s="110">
        <f t="shared" si="148"/>
        <v>1.036891829831438</v>
      </c>
    </row>
    <row r="223" spans="1:67" x14ac:dyDescent="0.25">
      <c r="A223" s="434" t="s">
        <v>125</v>
      </c>
      <c r="B223" s="238">
        <v>1</v>
      </c>
      <c r="C223" s="236">
        <f>'побудинковий звіт'!E223</f>
        <v>140.69999999999999</v>
      </c>
      <c r="D223" s="141">
        <f t="shared" si="122"/>
        <v>0</v>
      </c>
      <c r="E223" s="107">
        <f t="shared" si="116"/>
        <v>0</v>
      </c>
      <c r="F223" s="333">
        <v>0</v>
      </c>
      <c r="G223" s="107">
        <f t="shared" si="117"/>
        <v>0</v>
      </c>
      <c r="H223" s="735">
        <f t="shared" si="123"/>
        <v>0</v>
      </c>
      <c r="I223" s="107">
        <f t="shared" si="124"/>
        <v>0</v>
      </c>
      <c r="J223" s="29"/>
      <c r="K223" s="142">
        <f t="shared" si="125"/>
        <v>0</v>
      </c>
      <c r="L223" s="210">
        <f t="shared" si="126"/>
        <v>0</v>
      </c>
      <c r="M223" s="107">
        <f t="shared" si="118"/>
        <v>0</v>
      </c>
      <c r="N223" s="333">
        <v>0</v>
      </c>
      <c r="O223" s="107"/>
      <c r="P223" s="107">
        <f t="shared" si="127"/>
        <v>0</v>
      </c>
      <c r="Q223" s="107">
        <f t="shared" si="128"/>
        <v>0</v>
      </c>
      <c r="R223" s="107"/>
      <c r="S223" s="143">
        <f t="shared" si="129"/>
        <v>0</v>
      </c>
      <c r="T223" s="245"/>
      <c r="U223" s="107"/>
      <c r="V223" s="151">
        <f t="shared" si="130"/>
        <v>0</v>
      </c>
      <c r="W223" s="246"/>
      <c r="X223" s="107"/>
      <c r="Y223" s="46">
        <f t="shared" si="131"/>
        <v>0</v>
      </c>
      <c r="Z223" s="141">
        <f t="shared" si="132"/>
        <v>0</v>
      </c>
      <c r="AA223" s="107">
        <f t="shared" si="119"/>
        <v>0</v>
      </c>
      <c r="AB223" s="333">
        <v>0</v>
      </c>
      <c r="AC223" s="107"/>
      <c r="AD223" s="107">
        <f t="shared" si="133"/>
        <v>0</v>
      </c>
      <c r="AE223" s="107">
        <f t="shared" si="134"/>
        <v>0</v>
      </c>
      <c r="AF223" s="107"/>
      <c r="AG223" s="142">
        <f t="shared" si="135"/>
        <v>0</v>
      </c>
      <c r="AH223" s="210">
        <f t="shared" si="136"/>
        <v>0</v>
      </c>
      <c r="AI223" s="107">
        <f t="shared" si="120"/>
        <v>0</v>
      </c>
      <c r="AJ223" s="333">
        <v>0</v>
      </c>
      <c r="AK223" s="121">
        <f t="shared" si="121"/>
        <v>0</v>
      </c>
      <c r="AL223" s="107"/>
      <c r="AM223" s="107">
        <f t="shared" si="137"/>
        <v>0</v>
      </c>
      <c r="AN223" s="107">
        <f t="shared" si="138"/>
        <v>0</v>
      </c>
      <c r="AO223" s="107"/>
      <c r="AP223" s="143">
        <f t="shared" si="139"/>
        <v>0</v>
      </c>
      <c r="AQ223" s="34"/>
      <c r="AR223" s="29"/>
      <c r="AS223" s="124"/>
      <c r="AT223" s="138">
        <f t="shared" si="140"/>
        <v>0</v>
      </c>
      <c r="AU223" s="151">
        <f t="shared" si="141"/>
        <v>0</v>
      </c>
      <c r="AW223" s="1">
        <v>2</v>
      </c>
      <c r="BA223" s="30">
        <v>0</v>
      </c>
      <c r="BB223" s="30">
        <v>0</v>
      </c>
      <c r="BC223" s="30">
        <v>0</v>
      </c>
      <c r="BD223" s="30">
        <v>0</v>
      </c>
      <c r="BI223" s="333">
        <v>0</v>
      </c>
      <c r="BL223" s="110">
        <f t="shared" si="148"/>
        <v>1.0967873225415627</v>
      </c>
      <c r="BM223" s="110">
        <f t="shared" si="148"/>
        <v>1.1127076627324948</v>
      </c>
      <c r="BN223" s="110">
        <f t="shared" si="148"/>
        <v>2.8314493742615632</v>
      </c>
      <c r="BO223" s="110">
        <f t="shared" si="148"/>
        <v>1.036891829831438</v>
      </c>
    </row>
    <row r="224" spans="1:67" x14ac:dyDescent="0.25">
      <c r="A224" s="260" t="s">
        <v>180</v>
      </c>
      <c r="B224" s="237">
        <v>2</v>
      </c>
      <c r="C224" s="236">
        <f>'побудинковий звіт'!E224</f>
        <v>6677.85</v>
      </c>
      <c r="D224" s="141">
        <f t="shared" si="122"/>
        <v>25.275463847970315</v>
      </c>
      <c r="E224" s="107">
        <f t="shared" si="116"/>
        <v>5.209955108107672</v>
      </c>
      <c r="F224" s="333">
        <v>5.345386481574474</v>
      </c>
      <c r="G224" s="107">
        <f t="shared" si="117"/>
        <v>0</v>
      </c>
      <c r="H224" s="735">
        <f t="shared" si="123"/>
        <v>21.117010403299378</v>
      </c>
      <c r="I224" s="107">
        <f t="shared" si="124"/>
        <v>7.3299148045507332</v>
      </c>
      <c r="J224" s="29"/>
      <c r="K224" s="142">
        <f t="shared" si="125"/>
        <v>64.277730645502572</v>
      </c>
      <c r="L224" s="210">
        <f t="shared" si="126"/>
        <v>8.7347551524500844</v>
      </c>
      <c r="M224" s="107">
        <f t="shared" si="118"/>
        <v>1.9218027056323599</v>
      </c>
      <c r="N224" s="333">
        <v>0</v>
      </c>
      <c r="O224" s="107"/>
      <c r="P224" s="107">
        <f t="shared" si="127"/>
        <v>7.297666880972919</v>
      </c>
      <c r="Q224" s="107">
        <f t="shared" si="128"/>
        <v>2.3109391602758493</v>
      </c>
      <c r="R224" s="107"/>
      <c r="S224" s="143">
        <f t="shared" si="129"/>
        <v>20.265163899331213</v>
      </c>
      <c r="T224" s="245"/>
      <c r="U224" s="107"/>
      <c r="V224" s="151">
        <f t="shared" si="130"/>
        <v>0</v>
      </c>
      <c r="W224" s="246"/>
      <c r="X224" s="107"/>
      <c r="Y224" s="46">
        <f t="shared" si="131"/>
        <v>0</v>
      </c>
      <c r="Z224" s="141">
        <f t="shared" si="132"/>
        <v>0</v>
      </c>
      <c r="AA224" s="107">
        <f t="shared" si="119"/>
        <v>0</v>
      </c>
      <c r="AB224" s="333">
        <v>0</v>
      </c>
      <c r="AC224" s="107"/>
      <c r="AD224" s="107">
        <f t="shared" si="133"/>
        <v>0</v>
      </c>
      <c r="AE224" s="107">
        <f t="shared" si="134"/>
        <v>0</v>
      </c>
      <c r="AF224" s="107"/>
      <c r="AG224" s="142">
        <f t="shared" si="135"/>
        <v>0</v>
      </c>
      <c r="AH224" s="210">
        <f t="shared" si="136"/>
        <v>11.110295956643858</v>
      </c>
      <c r="AI224" s="107">
        <f t="shared" si="120"/>
        <v>2.2161228846737631</v>
      </c>
      <c r="AJ224" s="333">
        <v>7.6987010062531711</v>
      </c>
      <c r="AK224" s="121">
        <f t="shared" si="121"/>
        <v>0</v>
      </c>
      <c r="AL224" s="107"/>
      <c r="AM224" s="107">
        <f t="shared" si="137"/>
        <v>9.2823711054870977</v>
      </c>
      <c r="AN224" s="107">
        <f t="shared" si="138"/>
        <v>3.9009630719823827</v>
      </c>
      <c r="AO224" s="107"/>
      <c r="AP224" s="143">
        <f t="shared" si="139"/>
        <v>34.208454025040275</v>
      </c>
      <c r="AQ224" s="34"/>
      <c r="AR224" s="29"/>
      <c r="AS224" s="124"/>
      <c r="AT224" s="138">
        <f t="shared" si="140"/>
        <v>3101.9746884041897</v>
      </c>
      <c r="AU224" s="151">
        <f t="shared" si="141"/>
        <v>3220.7260369740638</v>
      </c>
      <c r="AW224" s="1">
        <v>2</v>
      </c>
      <c r="BA224" s="30">
        <v>23.045000000000002</v>
      </c>
      <c r="BB224" s="30">
        <v>7.85</v>
      </c>
      <c r="BC224" s="30">
        <v>0</v>
      </c>
      <c r="BD224" s="30">
        <v>10.715</v>
      </c>
      <c r="BI224" s="333">
        <v>0</v>
      </c>
      <c r="BL224" s="110">
        <f t="shared" si="148"/>
        <v>1.0967873225415627</v>
      </c>
      <c r="BM224" s="110">
        <f t="shared" si="148"/>
        <v>1.1127076627324948</v>
      </c>
      <c r="BN224" s="110">
        <f t="shared" si="148"/>
        <v>2.8314493742615632</v>
      </c>
      <c r="BO224" s="110">
        <f t="shared" si="148"/>
        <v>1.036891829831438</v>
      </c>
    </row>
    <row r="225" spans="1:67" x14ac:dyDescent="0.25">
      <c r="A225" s="260" t="s">
        <v>196</v>
      </c>
      <c r="B225" s="237">
        <v>3</v>
      </c>
      <c r="C225" s="236">
        <f>'побудинковий звіт'!E225</f>
        <v>3267.3</v>
      </c>
      <c r="D225" s="141">
        <f t="shared" si="122"/>
        <v>89.695267237449002</v>
      </c>
      <c r="E225" s="107">
        <f t="shared" si="116"/>
        <v>18.488614829292487</v>
      </c>
      <c r="F225" s="333">
        <v>12.671326093886043</v>
      </c>
      <c r="G225" s="107">
        <f t="shared" si="117"/>
        <v>0</v>
      </c>
      <c r="H225" s="735">
        <f t="shared" si="123"/>
        <v>74.938125874672309</v>
      </c>
      <c r="I225" s="107">
        <f t="shared" si="124"/>
        <v>25.201115031099391</v>
      </c>
      <c r="J225" s="29"/>
      <c r="K225" s="142">
        <f t="shared" si="125"/>
        <v>220.99444906639923</v>
      </c>
      <c r="L225" s="210">
        <f t="shared" si="126"/>
        <v>13.87546455427421</v>
      </c>
      <c r="M225" s="107">
        <f t="shared" si="118"/>
        <v>3.0528509221956082</v>
      </c>
      <c r="N225" s="333">
        <v>0</v>
      </c>
      <c r="O225" s="107"/>
      <c r="P225" s="107">
        <f t="shared" si="127"/>
        <v>11.592599491176088</v>
      </c>
      <c r="Q225" s="107">
        <f t="shared" si="128"/>
        <v>3.6710078125655849</v>
      </c>
      <c r="R225" s="107"/>
      <c r="S225" s="143">
        <f t="shared" si="129"/>
        <v>32.191922780211492</v>
      </c>
      <c r="T225" s="905">
        <v>74.916666666666671</v>
      </c>
      <c r="U225" s="107"/>
      <c r="V225" s="151">
        <f t="shared" si="130"/>
        <v>74.916666666666671</v>
      </c>
      <c r="W225" s="246"/>
      <c r="X225" s="107"/>
      <c r="Y225" s="46">
        <f t="shared" si="131"/>
        <v>0</v>
      </c>
      <c r="Z225" s="141">
        <f t="shared" si="132"/>
        <v>0</v>
      </c>
      <c r="AA225" s="107">
        <f t="shared" si="119"/>
        <v>0</v>
      </c>
      <c r="AB225" s="333">
        <v>0</v>
      </c>
      <c r="AC225" s="107"/>
      <c r="AD225" s="107">
        <f t="shared" si="133"/>
        <v>0</v>
      </c>
      <c r="AE225" s="107">
        <f t="shared" si="134"/>
        <v>0</v>
      </c>
      <c r="AF225" s="107"/>
      <c r="AG225" s="142">
        <f t="shared" si="135"/>
        <v>0</v>
      </c>
      <c r="AH225" s="210">
        <f t="shared" si="136"/>
        <v>33.678246632925102</v>
      </c>
      <c r="AI225" s="107">
        <f t="shared" si="120"/>
        <v>6.7176548104716574</v>
      </c>
      <c r="AJ225" s="333">
        <v>4.9750050656706994</v>
      </c>
      <c r="AK225" s="121">
        <f t="shared" si="121"/>
        <v>0</v>
      </c>
      <c r="AL225" s="107"/>
      <c r="AM225" s="107">
        <f t="shared" si="137"/>
        <v>28.137322772395791</v>
      </c>
      <c r="AN225" s="107">
        <f t="shared" si="138"/>
        <v>9.4614525616106846</v>
      </c>
      <c r="AO225" s="107"/>
      <c r="AP225" s="143">
        <f t="shared" si="139"/>
        <v>82.969681843073943</v>
      </c>
      <c r="AQ225" s="34"/>
      <c r="AR225" s="29"/>
      <c r="AS225" s="124"/>
      <c r="AT225" s="138">
        <f t="shared" si="140"/>
        <v>1517.7163157937075</v>
      </c>
      <c r="AU225" s="151">
        <f t="shared" si="141"/>
        <v>1928.7890361500588</v>
      </c>
      <c r="AW225" s="1">
        <v>2</v>
      </c>
      <c r="BA225" s="30">
        <v>81.78</v>
      </c>
      <c r="BB225" s="30">
        <v>12.47</v>
      </c>
      <c r="BC225" s="30">
        <v>0</v>
      </c>
      <c r="BD225" s="30">
        <v>32.479999999999997</v>
      </c>
      <c r="BF225" s="289">
        <f>T225*1.2</f>
        <v>89.9</v>
      </c>
      <c r="BI225" s="333">
        <v>0</v>
      </c>
      <c r="BL225" s="110">
        <f t="shared" si="148"/>
        <v>1.0967873225415627</v>
      </c>
      <c r="BM225" s="110">
        <f t="shared" si="148"/>
        <v>1.1127076627324948</v>
      </c>
      <c r="BN225" s="110">
        <f t="shared" si="148"/>
        <v>2.8314493742615632</v>
      </c>
      <c r="BO225" s="110">
        <f t="shared" si="148"/>
        <v>1.036891829831438</v>
      </c>
    </row>
    <row r="226" spans="1:67" x14ac:dyDescent="0.25">
      <c r="A226" s="260" t="s">
        <v>181</v>
      </c>
      <c r="B226" s="237">
        <v>2</v>
      </c>
      <c r="C226" s="236">
        <f>'побудинковий звіт'!E226</f>
        <v>6615</v>
      </c>
      <c r="D226" s="141">
        <f t="shared" si="122"/>
        <v>81.14032612162481</v>
      </c>
      <c r="E226" s="107">
        <f t="shared" si="116"/>
        <v>16.725210626938839</v>
      </c>
      <c r="F226" s="333">
        <v>8.9988749163597088</v>
      </c>
      <c r="G226" s="107">
        <f t="shared" si="117"/>
        <v>0</v>
      </c>
      <c r="H226" s="735">
        <f t="shared" si="123"/>
        <v>67.790689070778384</v>
      </c>
      <c r="I226" s="107">
        <f t="shared" si="124"/>
        <v>22.480353103416274</v>
      </c>
      <c r="J226" s="29"/>
      <c r="K226" s="142">
        <f t="shared" si="125"/>
        <v>197.13545383911801</v>
      </c>
      <c r="L226" s="210">
        <f t="shared" si="126"/>
        <v>15.666923891273527</v>
      </c>
      <c r="M226" s="107">
        <f t="shared" si="118"/>
        <v>3.4470040885737103</v>
      </c>
      <c r="N226" s="333">
        <v>0</v>
      </c>
      <c r="O226" s="107"/>
      <c r="P226" s="107">
        <f t="shared" si="127"/>
        <v>13.089318431095375</v>
      </c>
      <c r="Q226" s="107">
        <f t="shared" si="128"/>
        <v>4.1449711307877655</v>
      </c>
      <c r="R226" s="107"/>
      <c r="S226" s="143">
        <f t="shared" si="129"/>
        <v>36.348217541730378</v>
      </c>
      <c r="T226" s="244">
        <v>51.43</v>
      </c>
      <c r="U226" s="107"/>
      <c r="V226" s="151">
        <f t="shared" si="130"/>
        <v>51.43</v>
      </c>
      <c r="W226" s="246"/>
      <c r="X226" s="107"/>
      <c r="Y226" s="46">
        <f t="shared" si="131"/>
        <v>0</v>
      </c>
      <c r="Z226" s="141">
        <f t="shared" si="132"/>
        <v>0</v>
      </c>
      <c r="AA226" s="107">
        <f t="shared" si="119"/>
        <v>0</v>
      </c>
      <c r="AB226" s="333">
        <v>0</v>
      </c>
      <c r="AC226" s="107"/>
      <c r="AD226" s="107">
        <f t="shared" si="133"/>
        <v>0</v>
      </c>
      <c r="AE226" s="107">
        <f t="shared" si="134"/>
        <v>0</v>
      </c>
      <c r="AF226" s="107"/>
      <c r="AG226" s="142">
        <f t="shared" si="135"/>
        <v>0</v>
      </c>
      <c r="AH226" s="210">
        <f t="shared" si="136"/>
        <v>37.369581547125023</v>
      </c>
      <c r="AI226" s="107">
        <f t="shared" si="120"/>
        <v>7.4539494879740928</v>
      </c>
      <c r="AJ226" s="333">
        <v>3.533130468154233</v>
      </c>
      <c r="AK226" s="121">
        <f t="shared" si="121"/>
        <v>0</v>
      </c>
      <c r="AL226" s="107"/>
      <c r="AM226" s="107">
        <f t="shared" si="137"/>
        <v>31.221339677251983</v>
      </c>
      <c r="AN226" s="107">
        <f t="shared" si="138"/>
        <v>10.242710108472396</v>
      </c>
      <c r="AO226" s="107"/>
      <c r="AP226" s="143">
        <f t="shared" si="139"/>
        <v>89.820711288977733</v>
      </c>
      <c r="AQ226" s="34"/>
      <c r="AR226" s="29"/>
      <c r="AS226" s="124"/>
      <c r="AT226" s="138">
        <f t="shared" si="140"/>
        <v>3072.7797964604947</v>
      </c>
      <c r="AU226" s="151">
        <f t="shared" si="141"/>
        <v>3447.5141791303208</v>
      </c>
      <c r="AW226" s="1">
        <v>2</v>
      </c>
      <c r="BA226" s="30">
        <v>73.98</v>
      </c>
      <c r="BB226" s="30">
        <v>14.08</v>
      </c>
      <c r="BC226" s="30">
        <v>0</v>
      </c>
      <c r="BD226" s="30">
        <v>36.04</v>
      </c>
      <c r="BI226" s="333">
        <v>0</v>
      </c>
      <c r="BL226" s="110">
        <f t="shared" si="148"/>
        <v>1.0967873225415627</v>
      </c>
      <c r="BM226" s="110">
        <f t="shared" si="148"/>
        <v>1.1127076627324948</v>
      </c>
      <c r="BN226" s="110">
        <f t="shared" si="148"/>
        <v>2.8314493742615632</v>
      </c>
      <c r="BO226" s="110">
        <f t="shared" si="148"/>
        <v>1.036891829831438</v>
      </c>
    </row>
    <row r="227" spans="1:67" x14ac:dyDescent="0.25">
      <c r="A227" s="260" t="s">
        <v>217</v>
      </c>
      <c r="B227" s="237">
        <v>4</v>
      </c>
      <c r="C227" s="236">
        <f>'побудинковий звіт'!E227</f>
        <v>9392.7999999999993</v>
      </c>
      <c r="D227" s="141">
        <f t="shared" si="122"/>
        <v>170.38591055683176</v>
      </c>
      <c r="E227" s="107">
        <f t="shared" si="116"/>
        <v>35.121133696876839</v>
      </c>
      <c r="F227" s="333">
        <v>27.013480520404546</v>
      </c>
      <c r="G227" s="107">
        <f t="shared" si="117"/>
        <v>0</v>
      </c>
      <c r="H227" s="735">
        <f t="shared" si="123"/>
        <v>142.35311634422035</v>
      </c>
      <c r="I227" s="107">
        <f t="shared" si="124"/>
        <v>48.251048987433556</v>
      </c>
      <c r="J227" s="29"/>
      <c r="K227" s="142">
        <f t="shared" si="125"/>
        <v>423.12469010576706</v>
      </c>
      <c r="L227" s="210">
        <f t="shared" si="126"/>
        <v>34.271396012160842</v>
      </c>
      <c r="M227" s="107">
        <f t="shared" si="118"/>
        <v>7.5403214437549915</v>
      </c>
      <c r="N227" s="333">
        <v>0</v>
      </c>
      <c r="O227" s="107"/>
      <c r="P227" s="107">
        <f t="shared" si="127"/>
        <v>28.632884068021134</v>
      </c>
      <c r="Q227" s="107">
        <f t="shared" si="128"/>
        <v>9.0671243485982362</v>
      </c>
      <c r="R227" s="107"/>
      <c r="S227" s="143">
        <f t="shared" si="129"/>
        <v>79.511725872535209</v>
      </c>
      <c r="T227" s="905">
        <v>159.85833333333335</v>
      </c>
      <c r="U227" s="107"/>
      <c r="V227" s="151">
        <f t="shared" si="130"/>
        <v>159.85833333333335</v>
      </c>
      <c r="W227" s="246"/>
      <c r="X227" s="107"/>
      <c r="Y227" s="46">
        <f t="shared" si="131"/>
        <v>0</v>
      </c>
      <c r="Z227" s="141">
        <f t="shared" si="132"/>
        <v>0</v>
      </c>
      <c r="AA227" s="107">
        <f t="shared" si="119"/>
        <v>0</v>
      </c>
      <c r="AB227" s="333">
        <v>0</v>
      </c>
      <c r="AC227" s="107"/>
      <c r="AD227" s="107">
        <f t="shared" si="133"/>
        <v>0</v>
      </c>
      <c r="AE227" s="107">
        <f t="shared" si="134"/>
        <v>0</v>
      </c>
      <c r="AF227" s="107"/>
      <c r="AG227" s="142">
        <f t="shared" si="135"/>
        <v>0</v>
      </c>
      <c r="AH227" s="210">
        <f t="shared" si="136"/>
        <v>89.380075731469958</v>
      </c>
      <c r="AI227" s="107">
        <f t="shared" si="120"/>
        <v>17.828258764244364</v>
      </c>
      <c r="AJ227" s="333">
        <v>10.606009302787502</v>
      </c>
      <c r="AK227" s="121">
        <f t="shared" si="121"/>
        <v>0</v>
      </c>
      <c r="AL227" s="107"/>
      <c r="AM227" s="107">
        <f t="shared" si="137"/>
        <v>74.674791347922337</v>
      </c>
      <c r="AN227" s="107">
        <f t="shared" si="138"/>
        <v>24.775822225833743</v>
      </c>
      <c r="AO227" s="107"/>
      <c r="AP227" s="143">
        <f t="shared" si="139"/>
        <v>217.2649573722579</v>
      </c>
      <c r="AQ227" s="34"/>
      <c r="AR227" s="29"/>
      <c r="AS227" s="124"/>
      <c r="AT227" s="138">
        <f t="shared" si="140"/>
        <v>4363.1150524858858</v>
      </c>
      <c r="AU227" s="151">
        <f t="shared" si="141"/>
        <v>5242.8747591697793</v>
      </c>
      <c r="AW227" s="1">
        <v>2</v>
      </c>
      <c r="BA227" s="30">
        <v>155.35</v>
      </c>
      <c r="BB227" s="30">
        <v>30.8</v>
      </c>
      <c r="BC227" s="30">
        <v>0</v>
      </c>
      <c r="BD227" s="30">
        <v>86.2</v>
      </c>
      <c r="BF227" s="289">
        <f>T227*1.2</f>
        <v>191.83</v>
      </c>
      <c r="BI227" s="333">
        <v>0</v>
      </c>
      <c r="BL227" s="110">
        <f t="shared" si="148"/>
        <v>1.0967873225415627</v>
      </c>
      <c r="BM227" s="110">
        <f t="shared" si="148"/>
        <v>1.1127076627324948</v>
      </c>
      <c r="BN227" s="110">
        <f t="shared" si="148"/>
        <v>2.8314493742615632</v>
      </c>
      <c r="BO227" s="110">
        <f t="shared" si="148"/>
        <v>1.036891829831438</v>
      </c>
    </row>
    <row r="228" spans="1:67" x14ac:dyDescent="0.25">
      <c r="A228" s="435" t="s">
        <v>428</v>
      </c>
      <c r="B228" s="239">
        <v>5</v>
      </c>
      <c r="C228" s="236">
        <f>'побудинковий звіт'!E228</f>
        <v>3295.8</v>
      </c>
      <c r="D228" s="141">
        <f t="shared" si="122"/>
        <v>479.10960610583084</v>
      </c>
      <c r="E228" s="107">
        <f t="shared" si="116"/>
        <v>98.757417655659538</v>
      </c>
      <c r="F228" s="333">
        <v>67.722275242714531</v>
      </c>
      <c r="G228" s="107">
        <f t="shared" si="117"/>
        <v>0</v>
      </c>
      <c r="H228" s="735">
        <f t="shared" si="123"/>
        <v>400.2839511596124</v>
      </c>
      <c r="I228" s="107">
        <f t="shared" si="124"/>
        <v>134.61731072303095</v>
      </c>
      <c r="J228" s="29"/>
      <c r="K228" s="142">
        <f t="shared" si="125"/>
        <v>1180.4905608868482</v>
      </c>
      <c r="L228" s="210">
        <f t="shared" si="126"/>
        <v>96.927964500627624</v>
      </c>
      <c r="M228" s="107">
        <f t="shared" si="118"/>
        <v>21.325889641736925</v>
      </c>
      <c r="N228" s="333">
        <v>0</v>
      </c>
      <c r="O228" s="107"/>
      <c r="P228" s="107">
        <f t="shared" si="127"/>
        <v>80.980861401471458</v>
      </c>
      <c r="Q228" s="107">
        <f t="shared" si="128"/>
        <v>25.644065000207544</v>
      </c>
      <c r="R228" s="107"/>
      <c r="S228" s="143">
        <f t="shared" si="129"/>
        <v>224.87878054404354</v>
      </c>
      <c r="T228" s="905">
        <v>368.83333333333337</v>
      </c>
      <c r="U228" s="107"/>
      <c r="V228" s="151">
        <f t="shared" si="130"/>
        <v>368.83333333333337</v>
      </c>
      <c r="W228" s="246"/>
      <c r="X228" s="107"/>
      <c r="Y228" s="46">
        <f t="shared" si="131"/>
        <v>0</v>
      </c>
      <c r="Z228" s="141">
        <f t="shared" si="132"/>
        <v>0</v>
      </c>
      <c r="AA228" s="107">
        <f t="shared" si="119"/>
        <v>0</v>
      </c>
      <c r="AB228" s="333">
        <v>0</v>
      </c>
      <c r="AC228" s="107"/>
      <c r="AD228" s="107">
        <f t="shared" si="133"/>
        <v>0</v>
      </c>
      <c r="AE228" s="107">
        <f t="shared" si="134"/>
        <v>0</v>
      </c>
      <c r="AF228" s="107"/>
      <c r="AG228" s="142">
        <f t="shared" si="135"/>
        <v>0</v>
      </c>
      <c r="AH228" s="210">
        <f t="shared" si="136"/>
        <v>241.4091558213554</v>
      </c>
      <c r="AI228" s="107">
        <f t="shared" si="120"/>
        <v>48.152844611268826</v>
      </c>
      <c r="AJ228" s="333">
        <v>26.589060994477492</v>
      </c>
      <c r="AK228" s="121">
        <f t="shared" si="121"/>
        <v>0</v>
      </c>
      <c r="AL228" s="107"/>
      <c r="AM228" s="107">
        <f t="shared" si="137"/>
        <v>201.69124039006124</v>
      </c>
      <c r="AN228" s="107">
        <f t="shared" si="138"/>
        <v>66.652950573438702</v>
      </c>
      <c r="AO228" s="107"/>
      <c r="AP228" s="143">
        <f t="shared" si="139"/>
        <v>584.49525239060165</v>
      </c>
      <c r="AQ228" s="34"/>
      <c r="AR228" s="29"/>
      <c r="AS228" s="124"/>
      <c r="AT228" s="138">
        <f t="shared" si="140"/>
        <v>1530.9550496106574</v>
      </c>
      <c r="AU228" s="151">
        <f t="shared" si="141"/>
        <v>3889.6529767654847</v>
      </c>
      <c r="AW228" s="1">
        <v>2</v>
      </c>
      <c r="BA228" s="30">
        <v>436.83</v>
      </c>
      <c r="BB228" s="30">
        <v>87.11</v>
      </c>
      <c r="BC228" s="30">
        <v>0</v>
      </c>
      <c r="BD228" s="30">
        <v>232.82</v>
      </c>
      <c r="BF228" s="289">
        <f>T228*1.2</f>
        <v>442.6</v>
      </c>
      <c r="BI228" s="333">
        <v>0</v>
      </c>
      <c r="BL228" s="110">
        <f t="shared" si="148"/>
        <v>1.0967873225415627</v>
      </c>
      <c r="BM228" s="110">
        <f t="shared" si="148"/>
        <v>1.1127076627324948</v>
      </c>
      <c r="BN228" s="110">
        <f t="shared" si="148"/>
        <v>2.8314493742615632</v>
      </c>
      <c r="BO228" s="110">
        <f t="shared" si="148"/>
        <v>1.036891829831438</v>
      </c>
    </row>
    <row r="229" spans="1:67" x14ac:dyDescent="0.25">
      <c r="A229" s="260" t="s">
        <v>182</v>
      </c>
      <c r="B229" s="237">
        <v>2</v>
      </c>
      <c r="C229" s="236">
        <f>'побудинковий звіт'!E229</f>
        <v>3564.3</v>
      </c>
      <c r="D229" s="141">
        <f t="shared" si="122"/>
        <v>131.50479997273337</v>
      </c>
      <c r="E229" s="107">
        <f t="shared" si="116"/>
        <v>27.106687674641346</v>
      </c>
      <c r="F229" s="333">
        <v>12.711358550783919</v>
      </c>
      <c r="G229" s="107">
        <f t="shared" si="117"/>
        <v>0</v>
      </c>
      <c r="H229" s="735">
        <f t="shared" si="123"/>
        <v>109.86893240857432</v>
      </c>
      <c r="I229" s="107">
        <f t="shared" si="124"/>
        <v>36.192990907392705</v>
      </c>
      <c r="J229" s="29"/>
      <c r="K229" s="142">
        <f t="shared" si="125"/>
        <v>317.38476951412565</v>
      </c>
      <c r="L229" s="210">
        <f t="shared" si="126"/>
        <v>23.199954767972518</v>
      </c>
      <c r="M229" s="107">
        <f t="shared" si="118"/>
        <v>5.104405912412064</v>
      </c>
      <c r="N229" s="333">
        <v>0</v>
      </c>
      <c r="O229" s="107"/>
      <c r="P229" s="107">
        <f t="shared" si="127"/>
        <v>19.382975091501319</v>
      </c>
      <c r="Q229" s="107">
        <f t="shared" si="128"/>
        <v>6.1379721645543253</v>
      </c>
      <c r="R229" s="107"/>
      <c r="S229" s="143">
        <f t="shared" si="129"/>
        <v>53.825307936440225</v>
      </c>
      <c r="T229" s="905">
        <v>68.88333333333334</v>
      </c>
      <c r="U229" s="107"/>
      <c r="V229" s="151">
        <f t="shared" si="130"/>
        <v>68.88333333333334</v>
      </c>
      <c r="W229" s="246"/>
      <c r="X229" s="107"/>
      <c r="Y229" s="46">
        <f t="shared" si="131"/>
        <v>0</v>
      </c>
      <c r="Z229" s="141">
        <f t="shared" si="132"/>
        <v>0</v>
      </c>
      <c r="AA229" s="107">
        <f t="shared" si="119"/>
        <v>0</v>
      </c>
      <c r="AB229" s="333">
        <v>0</v>
      </c>
      <c r="AC229" s="107"/>
      <c r="AD229" s="107">
        <f t="shared" si="133"/>
        <v>0</v>
      </c>
      <c r="AE229" s="107">
        <f t="shared" si="134"/>
        <v>0</v>
      </c>
      <c r="AF229" s="107"/>
      <c r="AG229" s="142">
        <f t="shared" si="135"/>
        <v>0</v>
      </c>
      <c r="AH229" s="210">
        <f t="shared" si="136"/>
        <v>37.960609890128943</v>
      </c>
      <c r="AI229" s="107">
        <f t="shared" si="120"/>
        <v>7.5718393661135277</v>
      </c>
      <c r="AJ229" s="333">
        <v>4.9907225741921062</v>
      </c>
      <c r="AK229" s="121">
        <f t="shared" si="121"/>
        <v>0</v>
      </c>
      <c r="AL229" s="107"/>
      <c r="AM229" s="107">
        <f t="shared" si="137"/>
        <v>31.715128900782329</v>
      </c>
      <c r="AN229" s="107">
        <f t="shared" si="138"/>
        <v>10.585124804687627</v>
      </c>
      <c r="AO229" s="107"/>
      <c r="AP229" s="143">
        <f t="shared" si="139"/>
        <v>92.823425535904533</v>
      </c>
      <c r="AQ229" s="34"/>
      <c r="AR229" s="29"/>
      <c r="AS229" s="124"/>
      <c r="AT229" s="138">
        <f t="shared" si="140"/>
        <v>1655.6778576756071</v>
      </c>
      <c r="AU229" s="151">
        <f t="shared" si="141"/>
        <v>2188.594693995411</v>
      </c>
      <c r="AW229" s="1">
        <v>2</v>
      </c>
      <c r="BA229" s="30">
        <v>119.9</v>
      </c>
      <c r="BB229" s="30">
        <v>20.85</v>
      </c>
      <c r="BC229" s="30">
        <v>0</v>
      </c>
      <c r="BD229" s="30">
        <v>36.61</v>
      </c>
      <c r="BF229" s="289">
        <f>T229*1.2</f>
        <v>82.660000000000011</v>
      </c>
      <c r="BI229" s="333">
        <v>0</v>
      </c>
      <c r="BL229" s="110">
        <f t="shared" si="148"/>
        <v>1.0967873225415627</v>
      </c>
      <c r="BM229" s="110">
        <f t="shared" si="148"/>
        <v>1.1127076627324948</v>
      </c>
      <c r="BN229" s="110">
        <f t="shared" si="148"/>
        <v>2.8314493742615632</v>
      </c>
      <c r="BO229" s="110">
        <f t="shared" si="148"/>
        <v>1.036891829831438</v>
      </c>
    </row>
    <row r="230" spans="1:67" x14ac:dyDescent="0.25">
      <c r="A230" s="260" t="s">
        <v>385</v>
      </c>
      <c r="B230" s="237">
        <v>9</v>
      </c>
      <c r="C230" s="236">
        <f>'побудинковий звіт'!E230</f>
        <v>3571.4</v>
      </c>
      <c r="D230" s="141">
        <f t="shared" si="122"/>
        <v>571.40425929770333</v>
      </c>
      <c r="E230" s="107">
        <f t="shared" si="116"/>
        <v>117.78183606951333</v>
      </c>
      <c r="F230" s="333">
        <v>88.456980944399362</v>
      </c>
      <c r="G230" s="107">
        <f t="shared" si="117"/>
        <v>0</v>
      </c>
      <c r="H230" s="735">
        <f t="shared" si="123"/>
        <v>477.39379821700629</v>
      </c>
      <c r="I230" s="107">
        <f t="shared" si="124"/>
        <v>161.53935372266019</v>
      </c>
      <c r="J230" s="29"/>
      <c r="K230" s="142">
        <f t="shared" si="125"/>
        <v>1416.5762282512826</v>
      </c>
      <c r="L230" s="210">
        <f t="shared" si="126"/>
        <v>89.283662857655372</v>
      </c>
      <c r="M230" s="107">
        <f t="shared" si="118"/>
        <v>19.644006254769494</v>
      </c>
      <c r="N230" s="333">
        <v>0</v>
      </c>
      <c r="O230" s="107"/>
      <c r="P230" s="107">
        <f t="shared" si="127"/>
        <v>74.594240831753751</v>
      </c>
      <c r="Q230" s="107">
        <f t="shared" si="128"/>
        <v>23.621625251023456</v>
      </c>
      <c r="R230" s="107"/>
      <c r="S230" s="143">
        <f t="shared" si="129"/>
        <v>207.14353519520208</v>
      </c>
      <c r="T230" s="905">
        <v>505.67499999999995</v>
      </c>
      <c r="U230" s="107"/>
      <c r="V230" s="151">
        <f t="shared" si="130"/>
        <v>505.67499999999995</v>
      </c>
      <c r="W230" s="907">
        <v>125.85000000000001</v>
      </c>
      <c r="X230" s="107"/>
      <c r="Y230" s="46">
        <f t="shared" si="131"/>
        <v>125.85000000000001</v>
      </c>
      <c r="Z230" s="141">
        <f t="shared" si="132"/>
        <v>74.665319999277429</v>
      </c>
      <c r="AA230" s="107">
        <f t="shared" si="119"/>
        <v>16.412028358148898</v>
      </c>
      <c r="AB230" s="333">
        <v>0</v>
      </c>
      <c r="AC230" s="107"/>
      <c r="AD230" s="107">
        <f t="shared" si="133"/>
        <v>62.380985317388451</v>
      </c>
      <c r="AE230" s="107">
        <f t="shared" si="134"/>
        <v>19.752057129394387</v>
      </c>
      <c r="AF230" s="107"/>
      <c r="AG230" s="142">
        <f t="shared" si="135"/>
        <v>173.21039080420917</v>
      </c>
      <c r="AH230" s="210">
        <f t="shared" si="136"/>
        <v>193.61881138442442</v>
      </c>
      <c r="AI230" s="107">
        <f t="shared" si="120"/>
        <v>38.620310429783643</v>
      </c>
      <c r="AJ230" s="333">
        <v>34.729903171275858</v>
      </c>
      <c r="AK230" s="121">
        <f t="shared" si="121"/>
        <v>0</v>
      </c>
      <c r="AL230" s="418"/>
      <c r="AM230" s="107">
        <f t="shared" si="137"/>
        <v>161.76361703477423</v>
      </c>
      <c r="AN230" s="107">
        <f t="shared" si="138"/>
        <v>55.183393665443774</v>
      </c>
      <c r="AO230" s="107"/>
      <c r="AP230" s="143">
        <f t="shared" si="139"/>
        <v>483.9160356857019</v>
      </c>
      <c r="AQ230" s="34"/>
      <c r="AR230" s="29"/>
      <c r="AS230" s="124"/>
      <c r="AT230" s="138">
        <f t="shared" si="140"/>
        <v>1658.9759282054438</v>
      </c>
      <c r="AU230" s="151">
        <f t="shared" si="141"/>
        <v>4571.347118141839</v>
      </c>
      <c r="AW230" s="1">
        <v>2</v>
      </c>
      <c r="BA230" s="30">
        <v>520.98</v>
      </c>
      <c r="BB230" s="30">
        <v>80.239999999999995</v>
      </c>
      <c r="BC230" s="30">
        <v>26.37</v>
      </c>
      <c r="BD230" s="30">
        <v>186.73</v>
      </c>
      <c r="BF230" s="289">
        <f>T230*1.2</f>
        <v>606.80999999999995</v>
      </c>
      <c r="BI230" s="333">
        <v>0</v>
      </c>
      <c r="BL230" s="110">
        <f t="shared" si="148"/>
        <v>1.0967873225415627</v>
      </c>
      <c r="BM230" s="110">
        <f t="shared" si="148"/>
        <v>1.1127076627324948</v>
      </c>
      <c r="BN230" s="110">
        <f t="shared" si="148"/>
        <v>2.8314493742615632</v>
      </c>
      <c r="BO230" s="110">
        <f t="shared" si="148"/>
        <v>1.036891829831438</v>
      </c>
    </row>
    <row r="231" spans="1:67" x14ac:dyDescent="0.25">
      <c r="A231" s="434" t="s">
        <v>127</v>
      </c>
      <c r="B231" s="238">
        <v>1</v>
      </c>
      <c r="C231" s="236">
        <f>'побудинковий звіт'!E231</f>
        <v>2470.9</v>
      </c>
      <c r="D231" s="141">
        <f t="shared" si="122"/>
        <v>0</v>
      </c>
      <c r="E231" s="107">
        <f t="shared" si="116"/>
        <v>0</v>
      </c>
      <c r="F231" s="333">
        <v>0</v>
      </c>
      <c r="G231" s="107">
        <f t="shared" si="117"/>
        <v>0</v>
      </c>
      <c r="H231" s="735">
        <f t="shared" si="123"/>
        <v>0</v>
      </c>
      <c r="I231" s="107">
        <f t="shared" si="124"/>
        <v>0</v>
      </c>
      <c r="J231" s="29"/>
      <c r="K231" s="142">
        <f t="shared" si="125"/>
        <v>0</v>
      </c>
      <c r="L231" s="210">
        <f t="shared" si="126"/>
        <v>0</v>
      </c>
      <c r="M231" s="107">
        <f t="shared" si="118"/>
        <v>0</v>
      </c>
      <c r="N231" s="333">
        <v>0</v>
      </c>
      <c r="O231" s="107"/>
      <c r="P231" s="107">
        <f t="shared" si="127"/>
        <v>0</v>
      </c>
      <c r="Q231" s="107">
        <f t="shared" si="128"/>
        <v>0</v>
      </c>
      <c r="R231" s="107"/>
      <c r="S231" s="143">
        <f t="shared" si="129"/>
        <v>0</v>
      </c>
      <c r="T231" s="245"/>
      <c r="U231" s="107"/>
      <c r="V231" s="151">
        <f t="shared" si="130"/>
        <v>0</v>
      </c>
      <c r="W231" s="246"/>
      <c r="X231" s="107"/>
      <c r="Y231" s="46">
        <f t="shared" si="131"/>
        <v>0</v>
      </c>
      <c r="Z231" s="141">
        <f t="shared" si="132"/>
        <v>0</v>
      </c>
      <c r="AA231" s="107">
        <f t="shared" si="119"/>
        <v>0</v>
      </c>
      <c r="AB231" s="333">
        <v>0</v>
      </c>
      <c r="AC231" s="107"/>
      <c r="AD231" s="107">
        <f t="shared" si="133"/>
        <v>0</v>
      </c>
      <c r="AE231" s="107">
        <f t="shared" si="134"/>
        <v>0</v>
      </c>
      <c r="AF231" s="107"/>
      <c r="AG231" s="142">
        <f t="shared" si="135"/>
        <v>0</v>
      </c>
      <c r="AH231" s="210">
        <f t="shared" si="136"/>
        <v>0</v>
      </c>
      <c r="AI231" s="107">
        <f t="shared" si="120"/>
        <v>0</v>
      </c>
      <c r="AJ231" s="333">
        <v>0</v>
      </c>
      <c r="AK231" s="121">
        <f t="shared" si="121"/>
        <v>0</v>
      </c>
      <c r="AL231" s="107"/>
      <c r="AM231" s="107">
        <f t="shared" si="137"/>
        <v>0</v>
      </c>
      <c r="AN231" s="107">
        <f t="shared" si="138"/>
        <v>0</v>
      </c>
      <c r="AO231" s="107"/>
      <c r="AP231" s="143">
        <f t="shared" si="139"/>
        <v>0</v>
      </c>
      <c r="AQ231" s="34"/>
      <c r="AR231" s="29"/>
      <c r="AS231" s="124"/>
      <c r="AT231" s="138">
        <f t="shared" si="140"/>
        <v>0</v>
      </c>
      <c r="AU231" s="151">
        <f t="shared" si="141"/>
        <v>0</v>
      </c>
      <c r="AW231" s="1">
        <v>2</v>
      </c>
      <c r="BA231" s="30">
        <v>0</v>
      </c>
      <c r="BB231" s="30">
        <v>0</v>
      </c>
      <c r="BC231" s="30">
        <v>0</v>
      </c>
      <c r="BD231" s="30">
        <v>0</v>
      </c>
      <c r="BI231" s="333">
        <v>0</v>
      </c>
      <c r="BL231" s="110">
        <f t="shared" si="148"/>
        <v>1.0967873225415627</v>
      </c>
      <c r="BM231" s="110">
        <f t="shared" si="148"/>
        <v>1.1127076627324948</v>
      </c>
      <c r="BN231" s="110">
        <f t="shared" si="148"/>
        <v>2.8314493742615632</v>
      </c>
      <c r="BO231" s="110">
        <f t="shared" si="148"/>
        <v>1.036891829831438</v>
      </c>
    </row>
    <row r="232" spans="1:67" x14ac:dyDescent="0.25">
      <c r="A232" s="260" t="s">
        <v>183</v>
      </c>
      <c r="B232" s="237">
        <v>2</v>
      </c>
      <c r="C232" s="236">
        <f>'побудинковий звіт'!E232</f>
        <v>2013</v>
      </c>
      <c r="D232" s="141">
        <f t="shared" si="122"/>
        <v>71.422790443906578</v>
      </c>
      <c r="E232" s="107">
        <f t="shared" si="116"/>
        <v>14.722164315034568</v>
      </c>
      <c r="F232" s="333">
        <v>8.6111921758750007</v>
      </c>
      <c r="G232" s="107">
        <f t="shared" si="117"/>
        <v>0</v>
      </c>
      <c r="H232" s="735">
        <f t="shared" si="123"/>
        <v>59.671933931996342</v>
      </c>
      <c r="I232" s="107">
        <f t="shared" si="124"/>
        <v>19.876876039379411</v>
      </c>
      <c r="J232" s="29"/>
      <c r="K232" s="142">
        <f t="shared" si="125"/>
        <v>174.30495690619188</v>
      </c>
      <c r="L232" s="210">
        <f t="shared" si="126"/>
        <v>12.618104895386491</v>
      </c>
      <c r="M232" s="107">
        <f t="shared" si="118"/>
        <v>2.7762092588370648</v>
      </c>
      <c r="N232" s="333">
        <v>0</v>
      </c>
      <c r="O232" s="107"/>
      <c r="P232" s="107">
        <f t="shared" si="127"/>
        <v>10.542107315953235</v>
      </c>
      <c r="Q232" s="107">
        <f t="shared" si="128"/>
        <v>3.3383503283475324</v>
      </c>
      <c r="R232" s="107"/>
      <c r="S232" s="143">
        <f t="shared" si="129"/>
        <v>29.27477179852432</v>
      </c>
      <c r="T232" s="905">
        <v>47.75</v>
      </c>
      <c r="U232" s="107"/>
      <c r="V232" s="151">
        <f t="shared" si="130"/>
        <v>47.75</v>
      </c>
      <c r="W232" s="246"/>
      <c r="X232" s="107"/>
      <c r="Y232" s="46">
        <f t="shared" si="131"/>
        <v>0</v>
      </c>
      <c r="Z232" s="141">
        <f t="shared" si="132"/>
        <v>0</v>
      </c>
      <c r="AA232" s="107">
        <f t="shared" si="119"/>
        <v>0</v>
      </c>
      <c r="AB232" s="333">
        <v>0</v>
      </c>
      <c r="AC232" s="107"/>
      <c r="AD232" s="107">
        <f t="shared" si="133"/>
        <v>0</v>
      </c>
      <c r="AE232" s="107">
        <f t="shared" si="134"/>
        <v>0</v>
      </c>
      <c r="AF232" s="107"/>
      <c r="AG232" s="142">
        <f t="shared" si="135"/>
        <v>0</v>
      </c>
      <c r="AH232" s="210">
        <f t="shared" si="136"/>
        <v>29.706950924670696</v>
      </c>
      <c r="AI232" s="107">
        <f t="shared" si="120"/>
        <v>5.9255175591137004</v>
      </c>
      <c r="AJ232" s="333">
        <v>3.3809188066837623</v>
      </c>
      <c r="AK232" s="121">
        <f t="shared" si="121"/>
        <v>0</v>
      </c>
      <c r="AL232" s="107"/>
      <c r="AM232" s="107">
        <f t="shared" si="137"/>
        <v>24.819405709025229</v>
      </c>
      <c r="AN232" s="107">
        <f t="shared" si="138"/>
        <v>8.2160997311918784</v>
      </c>
      <c r="AO232" s="107"/>
      <c r="AP232" s="143">
        <f t="shared" si="139"/>
        <v>72.048892730685253</v>
      </c>
      <c r="AQ232" s="34"/>
      <c r="AR232" s="29"/>
      <c r="AS232" s="124"/>
      <c r="AT232" s="138">
        <f t="shared" si="140"/>
        <v>935.07267275509844</v>
      </c>
      <c r="AU232" s="151">
        <f t="shared" si="141"/>
        <v>1258.4512941905</v>
      </c>
      <c r="AW232" s="1">
        <v>2</v>
      </c>
      <c r="BA232" s="30">
        <v>65.12</v>
      </c>
      <c r="BB232" s="30">
        <v>11.34</v>
      </c>
      <c r="BC232" s="30">
        <v>0</v>
      </c>
      <c r="BD232" s="30">
        <v>28.65</v>
      </c>
      <c r="BF232" s="289">
        <f>T232*1.2</f>
        <v>57.3</v>
      </c>
      <c r="BI232" s="333">
        <v>0</v>
      </c>
      <c r="BL232" s="110">
        <f t="shared" si="148"/>
        <v>1.0967873225415627</v>
      </c>
      <c r="BM232" s="110">
        <f t="shared" si="148"/>
        <v>1.1127076627324948</v>
      </c>
      <c r="BN232" s="110">
        <f t="shared" si="148"/>
        <v>2.8314493742615632</v>
      </c>
      <c r="BO232" s="110">
        <f t="shared" si="148"/>
        <v>1.036891829831438</v>
      </c>
    </row>
    <row r="233" spans="1:67" x14ac:dyDescent="0.25">
      <c r="A233" s="260" t="s">
        <v>184</v>
      </c>
      <c r="B233" s="237">
        <v>2</v>
      </c>
      <c r="C233" s="236">
        <f>'побудинковий звіт'!E233</f>
        <v>699.21</v>
      </c>
      <c r="D233" s="141">
        <f t="shared" si="122"/>
        <v>72.771838850632676</v>
      </c>
      <c r="E233" s="107">
        <f t="shared" si="116"/>
        <v>15.000239593098025</v>
      </c>
      <c r="F233" s="333">
        <v>9.494013199043982</v>
      </c>
      <c r="G233" s="107">
        <f t="shared" si="117"/>
        <v>0</v>
      </c>
      <c r="H233" s="735">
        <f t="shared" si="123"/>
        <v>60.799029735687284</v>
      </c>
      <c r="I233" s="107">
        <f t="shared" si="124"/>
        <v>20.345009833404912</v>
      </c>
      <c r="J233" s="29"/>
      <c r="K233" s="142">
        <f t="shared" si="125"/>
        <v>178.41013121186688</v>
      </c>
      <c r="L233" s="210">
        <f t="shared" si="126"/>
        <v>12.618104895386491</v>
      </c>
      <c r="M233" s="107">
        <f t="shared" si="118"/>
        <v>2.7762092588370648</v>
      </c>
      <c r="N233" s="333">
        <v>0</v>
      </c>
      <c r="O233" s="107"/>
      <c r="P233" s="107">
        <f t="shared" si="127"/>
        <v>10.542107315953235</v>
      </c>
      <c r="Q233" s="107">
        <f t="shared" si="128"/>
        <v>3.3383503283475324</v>
      </c>
      <c r="R233" s="107"/>
      <c r="S233" s="143">
        <f t="shared" si="129"/>
        <v>29.27477179852432</v>
      </c>
      <c r="T233" s="905">
        <v>53.75833333333334</v>
      </c>
      <c r="U233" s="107"/>
      <c r="V233" s="151">
        <f t="shared" si="130"/>
        <v>53.75833333333334</v>
      </c>
      <c r="W233" s="246"/>
      <c r="X233" s="107"/>
      <c r="Y233" s="46">
        <f t="shared" si="131"/>
        <v>0</v>
      </c>
      <c r="Z233" s="141">
        <f t="shared" si="132"/>
        <v>0</v>
      </c>
      <c r="AA233" s="107">
        <f t="shared" si="119"/>
        <v>0</v>
      </c>
      <c r="AB233" s="333">
        <v>0</v>
      </c>
      <c r="AC233" s="107"/>
      <c r="AD233" s="107">
        <f t="shared" si="133"/>
        <v>0</v>
      </c>
      <c r="AE233" s="107">
        <f t="shared" si="134"/>
        <v>0</v>
      </c>
      <c r="AF233" s="107"/>
      <c r="AG233" s="142">
        <f t="shared" si="135"/>
        <v>0</v>
      </c>
      <c r="AH233" s="210">
        <f t="shared" si="136"/>
        <v>29.706950924670696</v>
      </c>
      <c r="AI233" s="107">
        <f t="shared" si="120"/>
        <v>5.9255175591137004</v>
      </c>
      <c r="AJ233" s="333">
        <v>3.7275312314453233</v>
      </c>
      <c r="AK233" s="121">
        <f t="shared" si="121"/>
        <v>0</v>
      </c>
      <c r="AL233" s="107"/>
      <c r="AM233" s="107">
        <f t="shared" si="137"/>
        <v>24.819405709025229</v>
      </c>
      <c r="AN233" s="107">
        <f t="shared" si="138"/>
        <v>8.2607131989111107</v>
      </c>
      <c r="AO233" s="107"/>
      <c r="AP233" s="143">
        <f t="shared" si="139"/>
        <v>72.440118623166057</v>
      </c>
      <c r="AQ233" s="34"/>
      <c r="AR233" s="29"/>
      <c r="AS233" s="124"/>
      <c r="AT233" s="138">
        <f t="shared" si="140"/>
        <v>324.79491481226643</v>
      </c>
      <c r="AU233" s="151">
        <f t="shared" si="141"/>
        <v>658.67826977915706</v>
      </c>
      <c r="AW233" s="1">
        <v>2</v>
      </c>
      <c r="BA233" s="30">
        <v>66.349999999999994</v>
      </c>
      <c r="BB233" s="30">
        <v>11.34</v>
      </c>
      <c r="BC233" s="30">
        <v>0</v>
      </c>
      <c r="BD233" s="30">
        <v>28.65</v>
      </c>
      <c r="BF233" s="289">
        <f t="shared" ref="BF233:BF239" si="149">T233*1.2</f>
        <v>64.510000000000005</v>
      </c>
      <c r="BG233" s="1">
        <v>51.61</v>
      </c>
      <c r="BI233" s="333">
        <v>0</v>
      </c>
      <c r="BL233" s="110">
        <f t="shared" si="148"/>
        <v>1.0967873225415627</v>
      </c>
      <c r="BM233" s="110">
        <f t="shared" si="148"/>
        <v>1.1127076627324948</v>
      </c>
      <c r="BN233" s="110">
        <f t="shared" si="148"/>
        <v>2.8314493742615632</v>
      </c>
      <c r="BO233" s="110">
        <f t="shared" si="148"/>
        <v>1.036891829831438</v>
      </c>
    </row>
    <row r="234" spans="1:67" x14ac:dyDescent="0.25">
      <c r="A234" s="260" t="s">
        <v>273</v>
      </c>
      <c r="B234" s="237">
        <v>5</v>
      </c>
      <c r="C234" s="236">
        <f>'побудинковий звіт'!E234</f>
        <v>63</v>
      </c>
      <c r="D234" s="141">
        <f t="shared" si="122"/>
        <v>309.31596070317153</v>
      </c>
      <c r="E234" s="107">
        <f t="shared" si="116"/>
        <v>63.75836578817642</v>
      </c>
      <c r="F234" s="333">
        <v>44.366497099926562</v>
      </c>
      <c r="G234" s="107">
        <f t="shared" si="117"/>
        <v>0</v>
      </c>
      <c r="H234" s="735">
        <f t="shared" si="123"/>
        <v>258.42565736335393</v>
      </c>
      <c r="I234" s="107">
        <f t="shared" si="124"/>
        <v>86.992690614947662</v>
      </c>
      <c r="J234" s="29"/>
      <c r="K234" s="142">
        <f t="shared" si="125"/>
        <v>762.85917156957612</v>
      </c>
      <c r="L234" s="210">
        <f t="shared" si="126"/>
        <v>67.530228051235099</v>
      </c>
      <c r="M234" s="107">
        <f t="shared" si="118"/>
        <v>14.857860663035401</v>
      </c>
      <c r="N234" s="333">
        <v>0</v>
      </c>
      <c r="O234" s="107"/>
      <c r="P234" s="107">
        <f t="shared" si="127"/>
        <v>56.419796561305269</v>
      </c>
      <c r="Q234" s="107">
        <f t="shared" si="128"/>
        <v>17.866356386896975</v>
      </c>
      <c r="R234" s="107"/>
      <c r="S234" s="143">
        <f t="shared" si="129"/>
        <v>156.67424166247272</v>
      </c>
      <c r="T234" s="905">
        <v>261.98333333333335</v>
      </c>
      <c r="U234" s="107"/>
      <c r="V234" s="151">
        <f t="shared" si="130"/>
        <v>261.98333333333335</v>
      </c>
      <c r="W234" s="246"/>
      <c r="X234" s="107"/>
      <c r="Y234" s="46">
        <f t="shared" si="131"/>
        <v>0</v>
      </c>
      <c r="Z234" s="141">
        <f t="shared" si="132"/>
        <v>0</v>
      </c>
      <c r="AA234" s="107">
        <f t="shared" si="119"/>
        <v>0</v>
      </c>
      <c r="AB234" s="333">
        <v>0</v>
      </c>
      <c r="AC234" s="107"/>
      <c r="AD234" s="107">
        <f t="shared" si="133"/>
        <v>0</v>
      </c>
      <c r="AE234" s="107">
        <f t="shared" si="134"/>
        <v>0</v>
      </c>
      <c r="AF234" s="107"/>
      <c r="AG234" s="142">
        <f t="shared" si="135"/>
        <v>0</v>
      </c>
      <c r="AH234" s="210">
        <f t="shared" si="136"/>
        <v>181.71529317795952</v>
      </c>
      <c r="AI234" s="107">
        <f t="shared" si="120"/>
        <v>36.245966919185904</v>
      </c>
      <c r="AJ234" s="333">
        <v>23.019135628172251</v>
      </c>
      <c r="AK234" s="121">
        <f t="shared" si="121"/>
        <v>0</v>
      </c>
      <c r="AL234" s="107"/>
      <c r="AM234" s="107">
        <f t="shared" si="137"/>
        <v>151.81852881349641</v>
      </c>
      <c r="AN234" s="107">
        <f t="shared" si="138"/>
        <v>50.558263028556865</v>
      </c>
      <c r="AO234" s="107"/>
      <c r="AP234" s="143">
        <f t="shared" si="139"/>
        <v>443.35718756737094</v>
      </c>
      <c r="AQ234" s="34"/>
      <c r="AR234" s="29"/>
      <c r="AS234" s="124"/>
      <c r="AT234" s="138">
        <f t="shared" si="140"/>
        <v>29.264569490099948</v>
      </c>
      <c r="AU234" s="151">
        <f t="shared" si="141"/>
        <v>1654.1385036228532</v>
      </c>
      <c r="AW234" s="1">
        <v>2</v>
      </c>
      <c r="BA234" s="30">
        <v>282.02</v>
      </c>
      <c r="BB234" s="30">
        <v>60.69</v>
      </c>
      <c r="BC234" s="30">
        <v>0</v>
      </c>
      <c r="BD234" s="30">
        <v>175.25</v>
      </c>
      <c r="BF234" s="289">
        <f t="shared" si="149"/>
        <v>314.38</v>
      </c>
      <c r="BI234" s="333">
        <v>0</v>
      </c>
      <c r="BL234" s="110">
        <f t="shared" si="148"/>
        <v>1.0967873225415627</v>
      </c>
      <c r="BM234" s="110">
        <f t="shared" si="148"/>
        <v>1.1127076627324948</v>
      </c>
      <c r="BN234" s="110">
        <f t="shared" si="148"/>
        <v>2.8314493742615632</v>
      </c>
      <c r="BO234" s="110">
        <f t="shared" si="148"/>
        <v>1.036891829831438</v>
      </c>
    </row>
    <row r="235" spans="1:67" x14ac:dyDescent="0.25">
      <c r="A235" s="260" t="s">
        <v>218</v>
      </c>
      <c r="B235" s="237">
        <v>4</v>
      </c>
      <c r="C235" s="236">
        <f>'побудинковий звіт'!E235</f>
        <v>320.39999999999998</v>
      </c>
      <c r="D235" s="141">
        <f t="shared" si="122"/>
        <v>386.9246316462125</v>
      </c>
      <c r="E235" s="107">
        <f t="shared" si="116"/>
        <v>79.755606987989779</v>
      </c>
      <c r="F235" s="333">
        <v>58.77396764033108</v>
      </c>
      <c r="G235" s="107">
        <f t="shared" si="117"/>
        <v>0</v>
      </c>
      <c r="H235" s="735">
        <f t="shared" si="123"/>
        <v>323.26573790739661</v>
      </c>
      <c r="I235" s="107">
        <f t="shared" si="124"/>
        <v>109.24114984762903</v>
      </c>
      <c r="J235" s="29"/>
      <c r="K235" s="142">
        <f t="shared" si="125"/>
        <v>957.96109402955904</v>
      </c>
      <c r="L235" s="210">
        <f t="shared" si="126"/>
        <v>55.846797592543908</v>
      </c>
      <c r="M235" s="107">
        <f t="shared" si="118"/>
        <v>12.287296534482564</v>
      </c>
      <c r="N235" s="333">
        <v>0</v>
      </c>
      <c r="O235" s="107"/>
      <c r="P235" s="107">
        <f t="shared" si="127"/>
        <v>46.658586083570796</v>
      </c>
      <c r="Q235" s="107">
        <f t="shared" si="128"/>
        <v>14.775291268056669</v>
      </c>
      <c r="R235" s="107"/>
      <c r="S235" s="143">
        <f t="shared" si="129"/>
        <v>129.56797147865393</v>
      </c>
      <c r="T235" s="905">
        <v>312.66666666666669</v>
      </c>
      <c r="U235" s="107"/>
      <c r="V235" s="151">
        <f t="shared" si="130"/>
        <v>312.66666666666669</v>
      </c>
      <c r="W235" s="246"/>
      <c r="X235" s="107"/>
      <c r="Y235" s="46">
        <f t="shared" si="131"/>
        <v>0</v>
      </c>
      <c r="Z235" s="141">
        <f t="shared" si="132"/>
        <v>0</v>
      </c>
      <c r="AA235" s="107">
        <f t="shared" si="119"/>
        <v>0</v>
      </c>
      <c r="AB235" s="333">
        <v>0</v>
      </c>
      <c r="AC235" s="107"/>
      <c r="AD235" s="107">
        <f t="shared" si="133"/>
        <v>0</v>
      </c>
      <c r="AE235" s="107">
        <f t="shared" si="134"/>
        <v>0</v>
      </c>
      <c r="AF235" s="107"/>
      <c r="AG235" s="142">
        <f t="shared" si="135"/>
        <v>0</v>
      </c>
      <c r="AH235" s="210">
        <f t="shared" si="136"/>
        <v>142.37561715415475</v>
      </c>
      <c r="AI235" s="107">
        <f t="shared" si="120"/>
        <v>28.399051170747025</v>
      </c>
      <c r="AJ235" s="333">
        <v>23.075784221297667</v>
      </c>
      <c r="AK235" s="121">
        <f t="shared" si="121"/>
        <v>0</v>
      </c>
      <c r="AL235" s="107"/>
      <c r="AM235" s="107">
        <f t="shared" si="137"/>
        <v>118.95122505780994</v>
      </c>
      <c r="AN235" s="107">
        <f t="shared" si="138"/>
        <v>40.261590610629675</v>
      </c>
      <c r="AO235" s="107"/>
      <c r="AP235" s="143">
        <f t="shared" si="139"/>
        <v>353.06326821463909</v>
      </c>
      <c r="AQ235" s="34"/>
      <c r="AR235" s="29"/>
      <c r="AS235" s="124">
        <f>AQ235</f>
        <v>0</v>
      </c>
      <c r="AT235" s="138">
        <f t="shared" si="140"/>
        <v>148.83123912107973</v>
      </c>
      <c r="AU235" s="151">
        <f t="shared" si="141"/>
        <v>1902.0902395105986</v>
      </c>
      <c r="AW235" s="1">
        <v>2</v>
      </c>
      <c r="BA235" s="30">
        <v>352.78</v>
      </c>
      <c r="BB235" s="30">
        <v>50.19</v>
      </c>
      <c r="BC235" s="30">
        <v>0</v>
      </c>
      <c r="BD235" s="30">
        <v>137.31</v>
      </c>
      <c r="BF235" s="289">
        <f t="shared" si="149"/>
        <v>375.2</v>
      </c>
      <c r="BI235" s="333">
        <v>0</v>
      </c>
      <c r="BL235" s="110">
        <f t="shared" si="148"/>
        <v>1.0967873225415627</v>
      </c>
      <c r="BM235" s="110">
        <f t="shared" si="148"/>
        <v>1.1127076627324948</v>
      </c>
      <c r="BN235" s="110">
        <f t="shared" si="148"/>
        <v>2.8314493742615632</v>
      </c>
      <c r="BO235" s="110">
        <f t="shared" si="148"/>
        <v>1.036891829831438</v>
      </c>
    </row>
    <row r="236" spans="1:67" x14ac:dyDescent="0.25">
      <c r="A236" s="260" t="s">
        <v>274</v>
      </c>
      <c r="B236" s="237">
        <v>5</v>
      </c>
      <c r="C236" s="236">
        <f>'побудинковий звіт'!E236</f>
        <v>601.4</v>
      </c>
      <c r="D236" s="141">
        <f t="shared" si="122"/>
        <v>446.60082986569893</v>
      </c>
      <c r="E236" s="107">
        <f t="shared" si="116"/>
        <v>92.056481686715671</v>
      </c>
      <c r="F236" s="333">
        <v>74.99764754104983</v>
      </c>
      <c r="G236" s="107">
        <f t="shared" si="117"/>
        <v>0</v>
      </c>
      <c r="H236" s="735">
        <f t="shared" si="123"/>
        <v>373.12369130481551</v>
      </c>
      <c r="I236" s="107">
        <f t="shared" si="124"/>
        <v>127.01107727414558</v>
      </c>
      <c r="J236" s="29"/>
      <c r="K236" s="142">
        <f t="shared" si="125"/>
        <v>1113.7897276724257</v>
      </c>
      <c r="L236" s="210">
        <f t="shared" si="126"/>
        <v>77.889536391274632</v>
      </c>
      <c r="M236" s="107">
        <f t="shared" si="118"/>
        <v>17.137094190352251</v>
      </c>
      <c r="N236" s="333">
        <v>0</v>
      </c>
      <c r="O236" s="107"/>
      <c r="P236" s="107">
        <f t="shared" si="127"/>
        <v>65.074736518229841</v>
      </c>
      <c r="Q236" s="107">
        <f t="shared" si="128"/>
        <v>20.607100792268714</v>
      </c>
      <c r="R236" s="107"/>
      <c r="S236" s="143">
        <f t="shared" si="129"/>
        <v>180.70846789212541</v>
      </c>
      <c r="T236" s="905">
        <v>406.49166666666667</v>
      </c>
      <c r="U236" s="107"/>
      <c r="V236" s="151">
        <f t="shared" si="130"/>
        <v>406.49166666666667</v>
      </c>
      <c r="W236" s="246"/>
      <c r="X236" s="107"/>
      <c r="Y236" s="46">
        <f t="shared" si="131"/>
        <v>0</v>
      </c>
      <c r="Z236" s="141">
        <f t="shared" si="132"/>
        <v>0</v>
      </c>
      <c r="AA236" s="107">
        <f t="shared" si="119"/>
        <v>0</v>
      </c>
      <c r="AB236" s="333">
        <v>0</v>
      </c>
      <c r="AC236" s="107"/>
      <c r="AD236" s="107">
        <f t="shared" si="133"/>
        <v>0</v>
      </c>
      <c r="AE236" s="107">
        <f t="shared" si="134"/>
        <v>0</v>
      </c>
      <c r="AF236" s="107"/>
      <c r="AG236" s="142">
        <f t="shared" si="135"/>
        <v>0</v>
      </c>
      <c r="AH236" s="210">
        <f t="shared" si="136"/>
        <v>287.3538328011864</v>
      </c>
      <c r="AI236" s="107">
        <f t="shared" si="120"/>
        <v>57.317231454002787</v>
      </c>
      <c r="AJ236" s="333">
        <v>29.445511358920612</v>
      </c>
      <c r="AK236" s="121">
        <f t="shared" si="121"/>
        <v>0</v>
      </c>
      <c r="AL236" s="107"/>
      <c r="AM236" s="107">
        <f t="shared" si="137"/>
        <v>240.07685529292013</v>
      </c>
      <c r="AN236" s="107">
        <f t="shared" si="138"/>
        <v>79.054577521229845</v>
      </c>
      <c r="AO236" s="107"/>
      <c r="AP236" s="143">
        <f t="shared" si="139"/>
        <v>693.24800842825982</v>
      </c>
      <c r="AQ236" s="34"/>
      <c r="AR236" s="29"/>
      <c r="AS236" s="124"/>
      <c r="AT236" s="138">
        <f t="shared" si="140"/>
        <v>279.36050938644615</v>
      </c>
      <c r="AU236" s="151">
        <f t="shared" si="141"/>
        <v>2673.5983800459235</v>
      </c>
      <c r="AW236" s="1">
        <v>2</v>
      </c>
      <c r="BA236" s="30">
        <v>407.19</v>
      </c>
      <c r="BB236" s="30">
        <v>70</v>
      </c>
      <c r="BC236" s="30">
        <v>0</v>
      </c>
      <c r="BD236" s="30">
        <v>277.13</v>
      </c>
      <c r="BF236" s="289">
        <f t="shared" si="149"/>
        <v>487.78999999999996</v>
      </c>
      <c r="BI236" s="333">
        <v>0</v>
      </c>
      <c r="BL236" s="110">
        <f t="shared" si="148"/>
        <v>1.0967873225415627</v>
      </c>
      <c r="BM236" s="110">
        <f t="shared" si="148"/>
        <v>1.1127076627324948</v>
      </c>
      <c r="BN236" s="110">
        <f t="shared" si="148"/>
        <v>2.8314493742615632</v>
      </c>
      <c r="BO236" s="110">
        <f t="shared" si="148"/>
        <v>1.036891829831438</v>
      </c>
    </row>
    <row r="237" spans="1:67" x14ac:dyDescent="0.25">
      <c r="A237" s="260" t="s">
        <v>275</v>
      </c>
      <c r="B237" s="237">
        <v>5</v>
      </c>
      <c r="C237" s="236">
        <f>'побудинковий звіт'!E237</f>
        <v>427.1</v>
      </c>
      <c r="D237" s="141">
        <f t="shared" si="122"/>
        <v>446.63373348537522</v>
      </c>
      <c r="E237" s="107">
        <f t="shared" si="116"/>
        <v>92.06326401057089</v>
      </c>
      <c r="F237" s="333">
        <v>75.332655996142591</v>
      </c>
      <c r="G237" s="107">
        <f t="shared" si="117"/>
        <v>0</v>
      </c>
      <c r="H237" s="735">
        <f t="shared" si="123"/>
        <v>373.15118144636898</v>
      </c>
      <c r="I237" s="107">
        <f t="shared" si="124"/>
        <v>127.06284358636806</v>
      </c>
      <c r="J237" s="29"/>
      <c r="K237" s="142">
        <f t="shared" si="125"/>
        <v>1114.2436785248258</v>
      </c>
      <c r="L237" s="210">
        <f t="shared" si="126"/>
        <v>77.889536391274632</v>
      </c>
      <c r="M237" s="107">
        <f t="shared" si="118"/>
        <v>17.137094190352251</v>
      </c>
      <c r="N237" s="333">
        <v>0</v>
      </c>
      <c r="O237" s="107"/>
      <c r="P237" s="107">
        <f t="shared" si="127"/>
        <v>65.074736518229841</v>
      </c>
      <c r="Q237" s="107">
        <f t="shared" si="128"/>
        <v>20.607100792268714</v>
      </c>
      <c r="R237" s="107"/>
      <c r="S237" s="143">
        <f t="shared" si="129"/>
        <v>180.70846789212541</v>
      </c>
      <c r="T237" s="905">
        <v>410.14166666666671</v>
      </c>
      <c r="U237" s="107"/>
      <c r="V237" s="151">
        <f t="shared" si="130"/>
        <v>410.14166666666671</v>
      </c>
      <c r="W237" s="246"/>
      <c r="X237" s="107"/>
      <c r="Y237" s="46">
        <f t="shared" si="131"/>
        <v>0</v>
      </c>
      <c r="Z237" s="141">
        <f t="shared" si="132"/>
        <v>0</v>
      </c>
      <c r="AA237" s="107">
        <f t="shared" si="119"/>
        <v>0</v>
      </c>
      <c r="AB237" s="333">
        <v>0</v>
      </c>
      <c r="AC237" s="107"/>
      <c r="AD237" s="107">
        <f t="shared" si="133"/>
        <v>0</v>
      </c>
      <c r="AE237" s="107">
        <f t="shared" si="134"/>
        <v>0</v>
      </c>
      <c r="AF237" s="107"/>
      <c r="AG237" s="142">
        <f t="shared" si="135"/>
        <v>0</v>
      </c>
      <c r="AH237" s="210">
        <f t="shared" si="136"/>
        <v>248.58444728378896</v>
      </c>
      <c r="AI237" s="107">
        <f t="shared" si="120"/>
        <v>49.584069096751094</v>
      </c>
      <c r="AJ237" s="333">
        <v>29.577042088126074</v>
      </c>
      <c r="AK237" s="121">
        <f t="shared" si="121"/>
        <v>0</v>
      </c>
      <c r="AL237" s="107"/>
      <c r="AM237" s="107">
        <f t="shared" si="137"/>
        <v>207.68601482309631</v>
      </c>
      <c r="AN237" s="107">
        <f t="shared" si="138"/>
        <v>68.916915564528225</v>
      </c>
      <c r="AO237" s="107"/>
      <c r="AP237" s="143">
        <f t="shared" si="139"/>
        <v>604.34848885629071</v>
      </c>
      <c r="AQ237" s="34"/>
      <c r="AR237" s="29"/>
      <c r="AS237" s="124"/>
      <c r="AT237" s="138">
        <f t="shared" si="140"/>
        <v>198.39520046383635</v>
      </c>
      <c r="AU237" s="151">
        <f t="shared" si="141"/>
        <v>2507.8375024037446</v>
      </c>
      <c r="AW237" s="1">
        <v>2</v>
      </c>
      <c r="BA237" s="30">
        <v>407.22</v>
      </c>
      <c r="BB237" s="30">
        <v>70</v>
      </c>
      <c r="BC237" s="30">
        <v>0</v>
      </c>
      <c r="BD237" s="30">
        <v>239.74</v>
      </c>
      <c r="BF237" s="289">
        <f t="shared" si="149"/>
        <v>492.17</v>
      </c>
      <c r="BI237" s="333">
        <v>0</v>
      </c>
      <c r="BL237" s="110">
        <f t="shared" si="148"/>
        <v>1.0967873225415627</v>
      </c>
      <c r="BM237" s="110">
        <f t="shared" si="148"/>
        <v>1.1127076627324948</v>
      </c>
      <c r="BN237" s="110">
        <f t="shared" si="148"/>
        <v>2.8314493742615632</v>
      </c>
      <c r="BO237" s="110">
        <f t="shared" si="148"/>
        <v>1.036891829831438</v>
      </c>
    </row>
    <row r="238" spans="1:67" x14ac:dyDescent="0.25">
      <c r="A238" s="260" t="s">
        <v>276</v>
      </c>
      <c r="B238" s="237">
        <v>5</v>
      </c>
      <c r="C238" s="236">
        <f>'побудинковий звіт'!E238</f>
        <v>1282.0999999999999</v>
      </c>
      <c r="D238" s="141">
        <f t="shared" si="122"/>
        <v>446.78728371053103</v>
      </c>
      <c r="E238" s="107">
        <f t="shared" si="116"/>
        <v>92.094914855228524</v>
      </c>
      <c r="F238" s="333">
        <v>75.113530968912102</v>
      </c>
      <c r="G238" s="107">
        <f t="shared" si="117"/>
        <v>0</v>
      </c>
      <c r="H238" s="735">
        <f t="shared" si="123"/>
        <v>373.27946877361836</v>
      </c>
      <c r="I238" s="107">
        <f t="shared" si="124"/>
        <v>127.07498936318719</v>
      </c>
      <c r="J238" s="29"/>
      <c r="K238" s="142">
        <f t="shared" si="125"/>
        <v>1114.3501876714772</v>
      </c>
      <c r="L238" s="210">
        <f t="shared" si="126"/>
        <v>77.889536391274632</v>
      </c>
      <c r="M238" s="107">
        <f t="shared" si="118"/>
        <v>17.137094190352251</v>
      </c>
      <c r="N238" s="333">
        <v>0</v>
      </c>
      <c r="O238" s="107"/>
      <c r="P238" s="107">
        <f t="shared" si="127"/>
        <v>65.074736518229841</v>
      </c>
      <c r="Q238" s="107">
        <f t="shared" si="128"/>
        <v>20.607100792268714</v>
      </c>
      <c r="R238" s="107"/>
      <c r="S238" s="143">
        <f t="shared" si="129"/>
        <v>180.70846789212541</v>
      </c>
      <c r="T238" s="905">
        <v>410.14166666666671</v>
      </c>
      <c r="U238" s="107"/>
      <c r="V238" s="151">
        <f t="shared" si="130"/>
        <v>410.14166666666671</v>
      </c>
      <c r="W238" s="246"/>
      <c r="X238" s="107"/>
      <c r="Y238" s="46">
        <f t="shared" si="131"/>
        <v>0</v>
      </c>
      <c r="Z238" s="141">
        <f t="shared" si="132"/>
        <v>0</v>
      </c>
      <c r="AA238" s="107">
        <f t="shared" si="119"/>
        <v>0</v>
      </c>
      <c r="AB238" s="333">
        <v>0</v>
      </c>
      <c r="AC238" s="107"/>
      <c r="AD238" s="107">
        <f t="shared" si="133"/>
        <v>0</v>
      </c>
      <c r="AE238" s="107">
        <f t="shared" si="134"/>
        <v>0</v>
      </c>
      <c r="AF238" s="107"/>
      <c r="AG238" s="142">
        <f t="shared" si="135"/>
        <v>0</v>
      </c>
      <c r="AH238" s="210">
        <f t="shared" si="136"/>
        <v>248.58444728378896</v>
      </c>
      <c r="AI238" s="107">
        <f t="shared" si="120"/>
        <v>49.584069096751094</v>
      </c>
      <c r="AJ238" s="333">
        <v>29.491009409903633</v>
      </c>
      <c r="AK238" s="121">
        <f t="shared" si="121"/>
        <v>0</v>
      </c>
      <c r="AL238" s="107"/>
      <c r="AM238" s="107">
        <f t="shared" si="137"/>
        <v>207.68601482309631</v>
      </c>
      <c r="AN238" s="107">
        <f t="shared" si="138"/>
        <v>68.905842054640885</v>
      </c>
      <c r="AO238" s="107"/>
      <c r="AP238" s="143">
        <f t="shared" si="139"/>
        <v>604.2513826681809</v>
      </c>
      <c r="AQ238" s="34"/>
      <c r="AR238" s="29"/>
      <c r="AS238" s="124"/>
      <c r="AT238" s="138">
        <f t="shared" si="140"/>
        <v>595.5572149723356</v>
      </c>
      <c r="AU238" s="151">
        <f t="shared" si="141"/>
        <v>2905.0089198707856</v>
      </c>
      <c r="AW238" s="1">
        <v>2</v>
      </c>
      <c r="BA238" s="30">
        <v>407.36</v>
      </c>
      <c r="BB238" s="30">
        <v>70</v>
      </c>
      <c r="BC238" s="30">
        <v>0</v>
      </c>
      <c r="BD238" s="30">
        <v>239.74</v>
      </c>
      <c r="BF238" s="289">
        <f t="shared" si="149"/>
        <v>492.17</v>
      </c>
      <c r="BI238" s="333">
        <v>0</v>
      </c>
      <c r="BL238" s="110">
        <f t="shared" si="148"/>
        <v>1.0967873225415627</v>
      </c>
      <c r="BM238" s="110">
        <f t="shared" si="148"/>
        <v>1.1127076627324948</v>
      </c>
      <c r="BN238" s="110">
        <f t="shared" si="148"/>
        <v>2.8314493742615632</v>
      </c>
      <c r="BO238" s="110">
        <f t="shared" si="148"/>
        <v>1.036891829831438</v>
      </c>
    </row>
    <row r="239" spans="1:67" x14ac:dyDescent="0.25">
      <c r="A239" s="260" t="s">
        <v>277</v>
      </c>
      <c r="B239" s="237">
        <v>5</v>
      </c>
      <c r="C239" s="236">
        <f>'побудинковий звіт'!E239</f>
        <v>3107.5</v>
      </c>
      <c r="D239" s="141">
        <f t="shared" si="122"/>
        <v>446.62276561214975</v>
      </c>
      <c r="E239" s="107">
        <f t="shared" si="116"/>
        <v>92.061003235952484</v>
      </c>
      <c r="F239" s="333">
        <v>75.264390122274634</v>
      </c>
      <c r="G239" s="107">
        <f t="shared" si="117"/>
        <v>0</v>
      </c>
      <c r="H239" s="735">
        <f t="shared" si="123"/>
        <v>373.14201806585118</v>
      </c>
      <c r="I239" s="107">
        <f t="shared" si="124"/>
        <v>127.05117475078779</v>
      </c>
      <c r="J239" s="29"/>
      <c r="K239" s="142">
        <f t="shared" si="125"/>
        <v>1114.1413517870158</v>
      </c>
      <c r="L239" s="210">
        <f t="shared" si="126"/>
        <v>77.889536391274632</v>
      </c>
      <c r="M239" s="107">
        <f t="shared" si="118"/>
        <v>17.137094190352251</v>
      </c>
      <c r="N239" s="333">
        <v>0</v>
      </c>
      <c r="O239" s="107"/>
      <c r="P239" s="107">
        <f t="shared" si="127"/>
        <v>65.074736518229841</v>
      </c>
      <c r="Q239" s="107">
        <f t="shared" si="128"/>
        <v>20.607100792268714</v>
      </c>
      <c r="R239" s="107"/>
      <c r="S239" s="143">
        <f t="shared" si="129"/>
        <v>180.70846789212541</v>
      </c>
      <c r="T239" s="905">
        <v>405.75833333333338</v>
      </c>
      <c r="U239" s="107"/>
      <c r="V239" s="151">
        <f t="shared" si="130"/>
        <v>405.75833333333338</v>
      </c>
      <c r="W239" s="246"/>
      <c r="X239" s="107"/>
      <c r="Y239" s="46">
        <f t="shared" si="131"/>
        <v>0</v>
      </c>
      <c r="Z239" s="141">
        <f t="shared" si="132"/>
        <v>0</v>
      </c>
      <c r="AA239" s="107">
        <f t="shared" si="119"/>
        <v>0</v>
      </c>
      <c r="AB239" s="333">
        <v>0</v>
      </c>
      <c r="AC239" s="107"/>
      <c r="AD239" s="107">
        <f t="shared" si="133"/>
        <v>0</v>
      </c>
      <c r="AE239" s="107">
        <f t="shared" si="134"/>
        <v>0</v>
      </c>
      <c r="AF239" s="107"/>
      <c r="AG239" s="142">
        <f t="shared" si="135"/>
        <v>0</v>
      </c>
      <c r="AH239" s="210">
        <f t="shared" si="136"/>
        <v>248.58444728378896</v>
      </c>
      <c r="AI239" s="107">
        <f t="shared" si="120"/>
        <v>49.584069096751094</v>
      </c>
      <c r="AJ239" s="333">
        <v>29.550239599910618</v>
      </c>
      <c r="AK239" s="121">
        <f t="shared" si="121"/>
        <v>0</v>
      </c>
      <c r="AL239" s="107"/>
      <c r="AM239" s="107">
        <f t="shared" si="137"/>
        <v>207.68601482309631</v>
      </c>
      <c r="AN239" s="107">
        <f t="shared" si="138"/>
        <v>68.913465740294086</v>
      </c>
      <c r="AO239" s="107"/>
      <c r="AP239" s="143">
        <f t="shared" si="139"/>
        <v>604.31823654384107</v>
      </c>
      <c r="AQ239" s="34"/>
      <c r="AR239" s="29"/>
      <c r="AS239" s="124"/>
      <c r="AT239" s="138">
        <f t="shared" si="140"/>
        <v>1443.4865030235808</v>
      </c>
      <c r="AU239" s="151">
        <f t="shared" si="141"/>
        <v>3748.4128925798959</v>
      </c>
      <c r="AW239" s="1">
        <v>2</v>
      </c>
      <c r="BA239" s="30">
        <v>407.21</v>
      </c>
      <c r="BB239" s="30">
        <v>70</v>
      </c>
      <c r="BC239" s="30">
        <v>0</v>
      </c>
      <c r="BD239" s="30">
        <v>239.74</v>
      </c>
      <c r="BF239" s="289">
        <f t="shared" si="149"/>
        <v>486.91</v>
      </c>
      <c r="BI239" s="333">
        <v>0</v>
      </c>
      <c r="BL239" s="110">
        <f t="shared" si="148"/>
        <v>1.0967873225415627</v>
      </c>
      <c r="BM239" s="110">
        <f t="shared" si="148"/>
        <v>1.1127076627324948</v>
      </c>
      <c r="BN239" s="110">
        <f t="shared" si="148"/>
        <v>2.8314493742615632</v>
      </c>
      <c r="BO239" s="110">
        <f t="shared" si="148"/>
        <v>1.036891829831438</v>
      </c>
    </row>
    <row r="240" spans="1:67" x14ac:dyDescent="0.25">
      <c r="A240" s="260" t="s">
        <v>278</v>
      </c>
      <c r="B240" s="237">
        <v>5</v>
      </c>
      <c r="C240" s="236">
        <f>'побудинковий звіт'!E240</f>
        <v>704.09999999999991</v>
      </c>
      <c r="D240" s="141">
        <f t="shared" si="122"/>
        <v>680.38709374906739</v>
      </c>
      <c r="E240" s="107">
        <f t="shared" si="116"/>
        <v>140.24613893893553</v>
      </c>
      <c r="F240" s="333">
        <v>117.04920773793</v>
      </c>
      <c r="G240" s="107">
        <f t="shared" si="117"/>
        <v>0</v>
      </c>
      <c r="H240" s="735">
        <f t="shared" si="123"/>
        <v>568.44619839186271</v>
      </c>
      <c r="I240" s="107">
        <f t="shared" si="124"/>
        <v>193.85808646395108</v>
      </c>
      <c r="J240" s="29"/>
      <c r="K240" s="142">
        <f t="shared" si="125"/>
        <v>1699.9867252817467</v>
      </c>
      <c r="L240" s="210">
        <f t="shared" si="126"/>
        <v>147.15319604489875</v>
      </c>
      <c r="M240" s="107">
        <f t="shared" si="118"/>
        <v>32.37634087799367</v>
      </c>
      <c r="N240" s="333">
        <v>0</v>
      </c>
      <c r="O240" s="107"/>
      <c r="P240" s="107">
        <f t="shared" si="127"/>
        <v>122.94277131568508</v>
      </c>
      <c r="Q240" s="107">
        <f t="shared" si="128"/>
        <v>38.932068199360906</v>
      </c>
      <c r="R240" s="107"/>
      <c r="S240" s="143">
        <f t="shared" si="129"/>
        <v>341.40437643793842</v>
      </c>
      <c r="T240" s="244">
        <v>553.47</v>
      </c>
      <c r="U240" s="107"/>
      <c r="V240" s="151">
        <f t="shared" si="130"/>
        <v>553.47</v>
      </c>
      <c r="W240" s="246"/>
      <c r="X240" s="107"/>
      <c r="Y240" s="46">
        <f t="shared" si="131"/>
        <v>0</v>
      </c>
      <c r="Z240" s="141">
        <f t="shared" si="132"/>
        <v>0</v>
      </c>
      <c r="AA240" s="107">
        <f t="shared" si="119"/>
        <v>0</v>
      </c>
      <c r="AB240" s="333">
        <v>0</v>
      </c>
      <c r="AC240" s="107"/>
      <c r="AD240" s="107">
        <f t="shared" si="133"/>
        <v>0</v>
      </c>
      <c r="AE240" s="107">
        <f t="shared" si="134"/>
        <v>0</v>
      </c>
      <c r="AF240" s="107"/>
      <c r="AG240" s="142">
        <f t="shared" si="135"/>
        <v>0</v>
      </c>
      <c r="AH240" s="210">
        <f t="shared" si="136"/>
        <v>531.6589226819957</v>
      </c>
      <c r="AI240" s="107">
        <f t="shared" si="120"/>
        <v>106.0477155599085</v>
      </c>
      <c r="AJ240" s="333">
        <v>65.8833357388515</v>
      </c>
      <c r="AK240" s="121">
        <f t="shared" si="121"/>
        <v>0</v>
      </c>
      <c r="AL240" s="107"/>
      <c r="AM240" s="107">
        <f t="shared" si="137"/>
        <v>444.18757530276559</v>
      </c>
      <c r="AN240" s="107">
        <f t="shared" si="138"/>
        <v>147.73370192670805</v>
      </c>
      <c r="AO240" s="107"/>
      <c r="AP240" s="143">
        <f t="shared" si="139"/>
        <v>1295.5112512102294</v>
      </c>
      <c r="AQ240" s="34"/>
      <c r="AR240" s="29"/>
      <c r="AS240" s="124"/>
      <c r="AT240" s="138">
        <f t="shared" si="140"/>
        <v>327.06640282506942</v>
      </c>
      <c r="AU240" s="151">
        <f t="shared" si="141"/>
        <v>4217.4387557549844</v>
      </c>
      <c r="AW240" s="1">
        <v>3</v>
      </c>
      <c r="BA240" s="30">
        <v>556.15</v>
      </c>
      <c r="BB240" s="30">
        <v>114.9</v>
      </c>
      <c r="BC240" s="30">
        <v>0</v>
      </c>
      <c r="BD240" s="30">
        <v>410.06</v>
      </c>
      <c r="BI240" s="333">
        <v>0</v>
      </c>
      <c r="BL240" s="110">
        <f t="shared" ref="BL240:BO250" si="150">BA$399</f>
        <v>1.2233877438623886</v>
      </c>
      <c r="BM240" s="110">
        <f t="shared" si="150"/>
        <v>1.2807066670574303</v>
      </c>
      <c r="BN240" s="110">
        <f t="shared" si="150"/>
        <v>0.82443024793968056</v>
      </c>
      <c r="BO240" s="110">
        <f t="shared" si="150"/>
        <v>1.2965393422474656</v>
      </c>
    </row>
    <row r="241" spans="1:67" x14ac:dyDescent="0.25">
      <c r="A241" s="260" t="s">
        <v>279</v>
      </c>
      <c r="B241" s="237">
        <v>5</v>
      </c>
      <c r="C241" s="236">
        <f>'побудинковий звіт'!E241</f>
        <v>4238</v>
      </c>
      <c r="D241" s="141">
        <f t="shared" si="122"/>
        <v>680.52166640089229</v>
      </c>
      <c r="E241" s="107">
        <f t="shared" si="116"/>
        <v>140.2738779936569</v>
      </c>
      <c r="F241" s="333">
        <v>117.61193196014602</v>
      </c>
      <c r="G241" s="107">
        <f t="shared" si="117"/>
        <v>0</v>
      </c>
      <c r="H241" s="735">
        <f t="shared" si="123"/>
        <v>568.55863043685611</v>
      </c>
      <c r="I241" s="107">
        <f t="shared" si="124"/>
        <v>193.96587934078966</v>
      </c>
      <c r="J241" s="29"/>
      <c r="K241" s="142">
        <f t="shared" si="125"/>
        <v>1700.9319861323409</v>
      </c>
      <c r="L241" s="210">
        <f t="shared" si="126"/>
        <v>147.1788101782399</v>
      </c>
      <c r="M241" s="107">
        <f t="shared" si="118"/>
        <v>32.381976446466773</v>
      </c>
      <c r="N241" s="333">
        <v>0</v>
      </c>
      <c r="O241" s="107"/>
      <c r="P241" s="107">
        <f t="shared" si="127"/>
        <v>122.96417127587928</v>
      </c>
      <c r="Q241" s="107">
        <f t="shared" si="128"/>
        <v>38.938844886601871</v>
      </c>
      <c r="R241" s="107"/>
      <c r="S241" s="143">
        <f t="shared" si="129"/>
        <v>341.46380278718783</v>
      </c>
      <c r="T241" s="244">
        <v>571.39</v>
      </c>
      <c r="U241" s="107"/>
      <c r="V241" s="151">
        <f t="shared" si="130"/>
        <v>571.39</v>
      </c>
      <c r="W241" s="246"/>
      <c r="X241" s="107"/>
      <c r="Y241" s="46">
        <f t="shared" si="131"/>
        <v>0</v>
      </c>
      <c r="Z241" s="141">
        <f t="shared" si="132"/>
        <v>36.077067649840423</v>
      </c>
      <c r="AA241" s="107">
        <f t="shared" si="119"/>
        <v>7.9300250417967435</v>
      </c>
      <c r="AB241" s="333">
        <v>0</v>
      </c>
      <c r="AC241" s="107"/>
      <c r="AD241" s="107">
        <f t="shared" si="133"/>
        <v>30.141477025490609</v>
      </c>
      <c r="AE241" s="107">
        <f t="shared" si="134"/>
        <v>9.5438725942321039</v>
      </c>
      <c r="AF241" s="107"/>
      <c r="AG241" s="142">
        <f t="shared" si="135"/>
        <v>83.692442311359869</v>
      </c>
      <c r="AH241" s="210">
        <f t="shared" si="136"/>
        <v>532.00898830440258</v>
      </c>
      <c r="AI241" s="107">
        <f t="shared" si="120"/>
        <v>106.11754164194815</v>
      </c>
      <c r="AJ241" s="333">
        <v>66.200075591919529</v>
      </c>
      <c r="AK241" s="121">
        <f t="shared" si="121"/>
        <v>0</v>
      </c>
      <c r="AL241" s="107"/>
      <c r="AM241" s="107">
        <f t="shared" si="137"/>
        <v>444.48004627123794</v>
      </c>
      <c r="AN241" s="107">
        <f t="shared" si="138"/>
        <v>147.86616062998303</v>
      </c>
      <c r="AO241" s="107"/>
      <c r="AP241" s="143">
        <f t="shared" si="139"/>
        <v>1296.6728124394913</v>
      </c>
      <c r="AQ241" s="34"/>
      <c r="AR241" s="29"/>
      <c r="AS241" s="124">
        <f>AQ241</f>
        <v>0</v>
      </c>
      <c r="AT241" s="138">
        <f t="shared" si="140"/>
        <v>1968.6229444292633</v>
      </c>
      <c r="AU241" s="151">
        <f t="shared" si="141"/>
        <v>5962.7739880996432</v>
      </c>
      <c r="AW241" s="1">
        <v>3</v>
      </c>
      <c r="BA241" s="30">
        <v>556.26</v>
      </c>
      <c r="BB241" s="30">
        <v>114.92</v>
      </c>
      <c r="BC241" s="30">
        <v>43.76</v>
      </c>
      <c r="BD241" s="30">
        <v>410.33</v>
      </c>
      <c r="BI241" s="333">
        <v>0</v>
      </c>
      <c r="BL241" s="110">
        <f t="shared" si="150"/>
        <v>1.2233877438623886</v>
      </c>
      <c r="BM241" s="110">
        <f t="shared" si="150"/>
        <v>1.2807066670574303</v>
      </c>
      <c r="BN241" s="110">
        <f t="shared" si="150"/>
        <v>0.82443024793968056</v>
      </c>
      <c r="BO241" s="110">
        <f t="shared" si="150"/>
        <v>1.2965393422474656</v>
      </c>
    </row>
    <row r="242" spans="1:67" x14ac:dyDescent="0.25">
      <c r="A242" s="260" t="s">
        <v>280</v>
      </c>
      <c r="B242" s="237">
        <v>5</v>
      </c>
      <c r="C242" s="236">
        <f>'побудинковий звіт'!E242</f>
        <v>229.7</v>
      </c>
      <c r="D242" s="141">
        <f t="shared" si="122"/>
        <v>468.39846549259272</v>
      </c>
      <c r="E242" s="107">
        <f t="shared" si="116"/>
        <v>96.549562556055477</v>
      </c>
      <c r="F242" s="333">
        <v>82.454001753227161</v>
      </c>
      <c r="G242" s="107">
        <f t="shared" si="117"/>
        <v>0</v>
      </c>
      <c r="H242" s="735">
        <f t="shared" si="123"/>
        <v>391.33506424218729</v>
      </c>
      <c r="I242" s="107">
        <f t="shared" si="124"/>
        <v>133.6987958402853</v>
      </c>
      <c r="J242" s="29"/>
      <c r="K242" s="142">
        <f t="shared" si="125"/>
        <v>1172.4358898843482</v>
      </c>
      <c r="L242" s="210">
        <f t="shared" si="126"/>
        <v>98.819326430151321</v>
      </c>
      <c r="M242" s="107">
        <f t="shared" si="118"/>
        <v>21.742023169242746</v>
      </c>
      <c r="N242" s="333">
        <v>0</v>
      </c>
      <c r="O242" s="107"/>
      <c r="P242" s="107">
        <f t="shared" si="127"/>
        <v>82.561046429227673</v>
      </c>
      <c r="Q242" s="107">
        <f t="shared" si="128"/>
        <v>26.144459375654368</v>
      </c>
      <c r="R242" s="107"/>
      <c r="S242" s="143">
        <f t="shared" si="129"/>
        <v>229.2668554042761</v>
      </c>
      <c r="T242" s="244">
        <v>397.11</v>
      </c>
      <c r="U242" s="107"/>
      <c r="V242" s="151">
        <f t="shared" si="130"/>
        <v>397.11</v>
      </c>
      <c r="W242" s="246"/>
      <c r="X242" s="107"/>
      <c r="Y242" s="46">
        <f t="shared" si="131"/>
        <v>0</v>
      </c>
      <c r="Z242" s="141">
        <f t="shared" si="132"/>
        <v>0</v>
      </c>
      <c r="AA242" s="107">
        <f t="shared" si="119"/>
        <v>0</v>
      </c>
      <c r="AB242" s="333">
        <v>0</v>
      </c>
      <c r="AC242" s="107"/>
      <c r="AD242" s="107">
        <f t="shared" si="133"/>
        <v>0</v>
      </c>
      <c r="AE242" s="107">
        <f t="shared" si="134"/>
        <v>0</v>
      </c>
      <c r="AF242" s="107"/>
      <c r="AG242" s="142">
        <f t="shared" si="135"/>
        <v>0</v>
      </c>
      <c r="AH242" s="210">
        <f t="shared" si="136"/>
        <v>303.66247934777891</v>
      </c>
      <c r="AI242" s="107">
        <f t="shared" si="120"/>
        <v>60.570246942608819</v>
      </c>
      <c r="AJ242" s="333">
        <v>46.410777018521877</v>
      </c>
      <c r="AK242" s="121">
        <f t="shared" si="121"/>
        <v>0</v>
      </c>
      <c r="AL242" s="107"/>
      <c r="AM242" s="107">
        <f t="shared" si="137"/>
        <v>253.70231676257313</v>
      </c>
      <c r="AN242" s="107">
        <f t="shared" si="138"/>
        <v>85.509833695528229</v>
      </c>
      <c r="AO242" s="107"/>
      <c r="AP242" s="143">
        <f t="shared" si="139"/>
        <v>749.85565376701095</v>
      </c>
      <c r="AQ242" s="34"/>
      <c r="AR242" s="29"/>
      <c r="AS242" s="124"/>
      <c r="AT242" s="138">
        <f t="shared" si="140"/>
        <v>106.69954939485648</v>
      </c>
      <c r="AU242" s="151">
        <f t="shared" si="141"/>
        <v>2655.3679484504919</v>
      </c>
      <c r="AW242" s="1">
        <v>3</v>
      </c>
      <c r="BA242" s="30">
        <v>382.87</v>
      </c>
      <c r="BB242" s="30">
        <v>77.16</v>
      </c>
      <c r="BC242" s="30">
        <v>0</v>
      </c>
      <c r="BD242" s="30">
        <v>234.21</v>
      </c>
      <c r="BI242" s="333">
        <v>0</v>
      </c>
      <c r="BL242" s="110">
        <f t="shared" si="150"/>
        <v>1.2233877438623886</v>
      </c>
      <c r="BM242" s="110">
        <f t="shared" si="150"/>
        <v>1.2807066670574303</v>
      </c>
      <c r="BN242" s="110">
        <f t="shared" si="150"/>
        <v>0.82443024793968056</v>
      </c>
      <c r="BO242" s="110">
        <f t="shared" si="150"/>
        <v>1.2965393422474656</v>
      </c>
    </row>
    <row r="243" spans="1:67" x14ac:dyDescent="0.25">
      <c r="A243" s="260" t="s">
        <v>281</v>
      </c>
      <c r="B243" s="237">
        <v>5</v>
      </c>
      <c r="C243" s="236">
        <f>'побудинковий звіт'!E243</f>
        <v>1532.1999999999998</v>
      </c>
      <c r="D243" s="141">
        <f t="shared" si="122"/>
        <v>890.88318895803002</v>
      </c>
      <c r="E243" s="107">
        <f t="shared" si="116"/>
        <v>183.63506398763329</v>
      </c>
      <c r="F243" s="333">
        <v>159.41283445791009</v>
      </c>
      <c r="G243" s="107">
        <f t="shared" si="117"/>
        <v>0</v>
      </c>
      <c r="H243" s="735">
        <f t="shared" si="123"/>
        <v>744.31035895161085</v>
      </c>
      <c r="I243" s="107">
        <f t="shared" si="124"/>
        <v>254.62506420109895</v>
      </c>
      <c r="J243" s="29"/>
      <c r="K243" s="142">
        <f t="shared" si="125"/>
        <v>2232.8665105562832</v>
      </c>
      <c r="L243" s="210">
        <f t="shared" si="126"/>
        <v>196.4219815265981</v>
      </c>
      <c r="M243" s="107">
        <f t="shared" si="118"/>
        <v>43.216356836012963</v>
      </c>
      <c r="N243" s="333">
        <v>0</v>
      </c>
      <c r="O243" s="107"/>
      <c r="P243" s="107">
        <f t="shared" si="127"/>
        <v>164.10559474923082</v>
      </c>
      <c r="Q243" s="107">
        <f t="shared" si="128"/>
        <v>51.96702610736277</v>
      </c>
      <c r="R243" s="107"/>
      <c r="S243" s="143">
        <f t="shared" si="129"/>
        <v>455.71095921920465</v>
      </c>
      <c r="T243" s="244">
        <v>728.97</v>
      </c>
      <c r="U243" s="107"/>
      <c r="V243" s="151">
        <f t="shared" si="130"/>
        <v>728.97</v>
      </c>
      <c r="W243" s="246"/>
      <c r="X243" s="107"/>
      <c r="Y243" s="46">
        <f t="shared" si="131"/>
        <v>0</v>
      </c>
      <c r="Z243" s="141">
        <f t="shared" si="132"/>
        <v>55.838660692954569</v>
      </c>
      <c r="AA243" s="107">
        <f t="shared" si="119"/>
        <v>12.273779617936322</v>
      </c>
      <c r="AB243" s="333">
        <v>0</v>
      </c>
      <c r="AC243" s="107"/>
      <c r="AD243" s="107">
        <f t="shared" si="133"/>
        <v>46.651787909882977</v>
      </c>
      <c r="AE243" s="107">
        <f t="shared" si="134"/>
        <v>14.7716291317948</v>
      </c>
      <c r="AF243" s="107"/>
      <c r="AG243" s="142">
        <f t="shared" si="135"/>
        <v>129.53585735256868</v>
      </c>
      <c r="AH243" s="210">
        <f t="shared" si="136"/>
        <v>848.04045297722234</v>
      </c>
      <c r="AI243" s="107">
        <f t="shared" si="120"/>
        <v>169.1549768166243</v>
      </c>
      <c r="AJ243" s="333">
        <v>89.728495362288896</v>
      </c>
      <c r="AK243" s="121">
        <f t="shared" si="121"/>
        <v>0</v>
      </c>
      <c r="AL243" s="107"/>
      <c r="AM243" s="107">
        <f t="shared" si="137"/>
        <v>708.51633725316526</v>
      </c>
      <c r="AN243" s="107">
        <f t="shared" si="138"/>
        <v>233.67046232951694</v>
      </c>
      <c r="AO243" s="107"/>
      <c r="AP243" s="143">
        <f t="shared" si="139"/>
        <v>2049.1107247388177</v>
      </c>
      <c r="AQ243" s="34"/>
      <c r="AR243" s="29"/>
      <c r="AS243" s="124"/>
      <c r="AT243" s="138">
        <f t="shared" si="140"/>
        <v>711.73291067827199</v>
      </c>
      <c r="AU243" s="151">
        <f t="shared" si="141"/>
        <v>6307.9269625451461</v>
      </c>
      <c r="AW243" s="1">
        <v>3</v>
      </c>
      <c r="BA243" s="30">
        <v>728.21</v>
      </c>
      <c r="BB243" s="30">
        <v>153.37</v>
      </c>
      <c r="BC243" s="30">
        <v>67.73</v>
      </c>
      <c r="BD243" s="30">
        <v>654.08000000000004</v>
      </c>
      <c r="BI243" s="333">
        <v>0</v>
      </c>
      <c r="BL243" s="110">
        <f t="shared" si="150"/>
        <v>1.2233877438623886</v>
      </c>
      <c r="BM243" s="110">
        <f t="shared" si="150"/>
        <v>1.2807066670574303</v>
      </c>
      <c r="BN243" s="110">
        <f t="shared" si="150"/>
        <v>0.82443024793968056</v>
      </c>
      <c r="BO243" s="110">
        <f t="shared" si="150"/>
        <v>1.2965393422474656</v>
      </c>
    </row>
    <row r="244" spans="1:67" x14ac:dyDescent="0.25">
      <c r="A244" s="260" t="s">
        <v>282</v>
      </c>
      <c r="B244" s="237">
        <v>5</v>
      </c>
      <c r="C244" s="236">
        <f>'побудинковий звіт'!E244</f>
        <v>386.5</v>
      </c>
      <c r="D244" s="141">
        <f t="shared" si="122"/>
        <v>430.9750344078422</v>
      </c>
      <c r="E244" s="107">
        <f t="shared" si="116"/>
        <v>88.835583611270721</v>
      </c>
      <c r="F244" s="333">
        <v>71.077979154975964</v>
      </c>
      <c r="G244" s="107">
        <f t="shared" si="117"/>
        <v>0</v>
      </c>
      <c r="H244" s="735">
        <f t="shared" si="123"/>
        <v>360.0687346390099</v>
      </c>
      <c r="I244" s="107">
        <f t="shared" si="124"/>
        <v>122.40041381780925</v>
      </c>
      <c r="J244" s="29"/>
      <c r="K244" s="142">
        <f t="shared" si="125"/>
        <v>1073.3577456309081</v>
      </c>
      <c r="L244" s="210">
        <f t="shared" si="126"/>
        <v>96.526861496118528</v>
      </c>
      <c r="M244" s="107">
        <f t="shared" si="118"/>
        <v>21.237639790899763</v>
      </c>
      <c r="N244" s="333">
        <v>0</v>
      </c>
      <c r="O244" s="107"/>
      <c r="P244" s="107">
        <f t="shared" si="127"/>
        <v>80.645749991846685</v>
      </c>
      <c r="Q244" s="107">
        <f t="shared" si="128"/>
        <v>25.537945867587737</v>
      </c>
      <c r="R244" s="107"/>
      <c r="S244" s="143">
        <f t="shared" si="129"/>
        <v>223.94819714645269</v>
      </c>
      <c r="T244" s="244">
        <v>340.7</v>
      </c>
      <c r="U244" s="107"/>
      <c r="V244" s="151">
        <f t="shared" si="130"/>
        <v>340.7</v>
      </c>
      <c r="W244" s="246"/>
      <c r="X244" s="107"/>
      <c r="Y244" s="46">
        <f t="shared" si="131"/>
        <v>0</v>
      </c>
      <c r="Z244" s="141">
        <f t="shared" si="132"/>
        <v>0</v>
      </c>
      <c r="AA244" s="107">
        <f t="shared" si="119"/>
        <v>0</v>
      </c>
      <c r="AB244" s="333">
        <v>0</v>
      </c>
      <c r="AC244" s="107"/>
      <c r="AD244" s="107">
        <f t="shared" si="133"/>
        <v>0</v>
      </c>
      <c r="AE244" s="107">
        <f t="shared" si="134"/>
        <v>0</v>
      </c>
      <c r="AF244" s="107"/>
      <c r="AG244" s="142">
        <f t="shared" si="135"/>
        <v>0</v>
      </c>
      <c r="AH244" s="210">
        <f t="shared" si="136"/>
        <v>283.94211595219497</v>
      </c>
      <c r="AI244" s="107">
        <f t="shared" si="120"/>
        <v>56.636710987709023</v>
      </c>
      <c r="AJ244" s="333">
        <v>40.007569934101156</v>
      </c>
      <c r="AK244" s="121">
        <f t="shared" si="121"/>
        <v>0</v>
      </c>
      <c r="AL244" s="107"/>
      <c r="AM244" s="107">
        <f t="shared" si="137"/>
        <v>237.22645220530086</v>
      </c>
      <c r="AN244" s="107">
        <f t="shared" si="138"/>
        <v>79.520443094001251</v>
      </c>
      <c r="AO244" s="107"/>
      <c r="AP244" s="143">
        <f t="shared" si="139"/>
        <v>697.33329217330731</v>
      </c>
      <c r="AQ244" s="34"/>
      <c r="AR244" s="29"/>
      <c r="AS244" s="124"/>
      <c r="AT244" s="138">
        <f t="shared" si="140"/>
        <v>179.53581123688303</v>
      </c>
      <c r="AU244" s="151">
        <f t="shared" si="141"/>
        <v>2514.8750461875511</v>
      </c>
      <c r="AW244" s="1">
        <v>3</v>
      </c>
      <c r="BA244" s="30">
        <v>352.28</v>
      </c>
      <c r="BB244" s="30">
        <v>75.37</v>
      </c>
      <c r="BC244" s="30">
        <v>0</v>
      </c>
      <c r="BD244" s="30">
        <v>219</v>
      </c>
      <c r="BI244" s="333">
        <v>0</v>
      </c>
      <c r="BL244" s="110">
        <f t="shared" si="150"/>
        <v>1.2233877438623886</v>
      </c>
      <c r="BM244" s="110">
        <f t="shared" si="150"/>
        <v>1.2807066670574303</v>
      </c>
      <c r="BN244" s="110">
        <f t="shared" si="150"/>
        <v>0.82443024793968056</v>
      </c>
      <c r="BO244" s="110">
        <f t="shared" si="150"/>
        <v>1.2965393422474656</v>
      </c>
    </row>
    <row r="245" spans="1:67" x14ac:dyDescent="0.25">
      <c r="A245" s="260" t="s">
        <v>283</v>
      </c>
      <c r="B245" s="237">
        <v>5</v>
      </c>
      <c r="C245" s="236">
        <f>'побудинковий звіт'!E245</f>
        <v>2102.6</v>
      </c>
      <c r="D245" s="141">
        <f t="shared" si="122"/>
        <v>681.64718312524565</v>
      </c>
      <c r="E245" s="107">
        <f t="shared" si="116"/>
        <v>140.50587736041734</v>
      </c>
      <c r="F245" s="333">
        <v>117.69158698703507</v>
      </c>
      <c r="G245" s="107">
        <f t="shared" si="117"/>
        <v>0</v>
      </c>
      <c r="H245" s="735">
        <f t="shared" si="123"/>
        <v>569.49897117680132</v>
      </c>
      <c r="I245" s="107">
        <f t="shared" si="124"/>
        <v>194.27189563146251</v>
      </c>
      <c r="J245" s="29"/>
      <c r="K245" s="142">
        <f t="shared" si="125"/>
        <v>1703.6155142809619</v>
      </c>
      <c r="L245" s="210">
        <f t="shared" si="126"/>
        <v>147.34530204495735</v>
      </c>
      <c r="M245" s="107">
        <f t="shared" si="118"/>
        <v>32.418607641541961</v>
      </c>
      <c r="N245" s="333">
        <v>0</v>
      </c>
      <c r="O245" s="107"/>
      <c r="P245" s="107">
        <f t="shared" si="127"/>
        <v>123.10327101714158</v>
      </c>
      <c r="Q245" s="107">
        <f t="shared" si="128"/>
        <v>38.98289335366816</v>
      </c>
      <c r="R245" s="107"/>
      <c r="S245" s="143">
        <f t="shared" si="129"/>
        <v>341.85007405730903</v>
      </c>
      <c r="T245" s="244">
        <v>577.12</v>
      </c>
      <c r="U245" s="107"/>
      <c r="V245" s="151">
        <f t="shared" si="130"/>
        <v>577.12</v>
      </c>
      <c r="W245" s="246"/>
      <c r="X245" s="107"/>
      <c r="Y245" s="46">
        <f t="shared" si="131"/>
        <v>0</v>
      </c>
      <c r="Z245" s="141">
        <f t="shared" si="132"/>
        <v>36.819054872986129</v>
      </c>
      <c r="AA245" s="107">
        <f t="shared" si="119"/>
        <v>8.0931197067331464</v>
      </c>
      <c r="AB245" s="333">
        <v>0</v>
      </c>
      <c r="AC245" s="107"/>
      <c r="AD245" s="107">
        <f t="shared" si="133"/>
        <v>30.761388573089818</v>
      </c>
      <c r="AE245" s="107">
        <f t="shared" si="134"/>
        <v>9.7401588221756334</v>
      </c>
      <c r="AF245" s="107"/>
      <c r="AG245" s="142">
        <f t="shared" si="135"/>
        <v>85.413721974984725</v>
      </c>
      <c r="AH245" s="210">
        <f t="shared" si="136"/>
        <v>534.03158967830859</v>
      </c>
      <c r="AI245" s="107">
        <f t="shared" si="120"/>
        <v>106.52098122706607</v>
      </c>
      <c r="AJ245" s="333">
        <v>66.244910913586708</v>
      </c>
      <c r="AK245" s="121">
        <f t="shared" si="121"/>
        <v>0</v>
      </c>
      <c r="AL245" s="107"/>
      <c r="AM245" s="107">
        <f t="shared" si="137"/>
        <v>446.16987853352225</v>
      </c>
      <c r="AN245" s="107">
        <f t="shared" si="138"/>
        <v>148.40169722074097</v>
      </c>
      <c r="AO245" s="107"/>
      <c r="AP245" s="143">
        <f t="shared" si="139"/>
        <v>1301.3690575732246</v>
      </c>
      <c r="AQ245" s="34"/>
      <c r="AR245" s="29"/>
      <c r="AS245" s="124"/>
      <c r="AT245" s="138">
        <f t="shared" si="140"/>
        <v>976.69339380768497</v>
      </c>
      <c r="AU245" s="151">
        <f t="shared" si="141"/>
        <v>4986.0617616941654</v>
      </c>
      <c r="AW245" s="1">
        <v>3</v>
      </c>
      <c r="BA245" s="30">
        <v>557.17999999999995</v>
      </c>
      <c r="BB245" s="30">
        <v>115.05</v>
      </c>
      <c r="BC245" s="30">
        <v>44.66</v>
      </c>
      <c r="BD245" s="30">
        <v>411.89</v>
      </c>
      <c r="BI245" s="333">
        <v>0</v>
      </c>
      <c r="BL245" s="110">
        <f t="shared" si="150"/>
        <v>1.2233877438623886</v>
      </c>
      <c r="BM245" s="110">
        <f t="shared" si="150"/>
        <v>1.2807066670574303</v>
      </c>
      <c r="BN245" s="110">
        <f t="shared" si="150"/>
        <v>0.82443024793968056</v>
      </c>
      <c r="BO245" s="110">
        <f t="shared" si="150"/>
        <v>1.2965393422474656</v>
      </c>
    </row>
    <row r="246" spans="1:67" x14ac:dyDescent="0.25">
      <c r="A246" s="260" t="s">
        <v>284</v>
      </c>
      <c r="B246" s="237">
        <v>5</v>
      </c>
      <c r="C246" s="236">
        <f>'побудинковий звіт'!E246</f>
        <v>2959.2000000000003</v>
      </c>
      <c r="D246" s="141">
        <f t="shared" si="122"/>
        <v>891.77626201104965</v>
      </c>
      <c r="E246" s="107">
        <f t="shared" si="116"/>
        <v>183.81915044169324</v>
      </c>
      <c r="F246" s="333">
        <v>159.59270064765951</v>
      </c>
      <c r="G246" s="107">
        <f t="shared" si="117"/>
        <v>0</v>
      </c>
      <c r="H246" s="735">
        <f t="shared" si="123"/>
        <v>745.0564988865674</v>
      </c>
      <c r="I246" s="107">
        <f t="shared" si="124"/>
        <v>254.88289732785839</v>
      </c>
      <c r="J246" s="29"/>
      <c r="K246" s="142">
        <f t="shared" si="125"/>
        <v>2235.1275093148283</v>
      </c>
      <c r="L246" s="210">
        <f t="shared" si="126"/>
        <v>196.5628592599744</v>
      </c>
      <c r="M246" s="107">
        <f t="shared" si="118"/>
        <v>43.247352462615041</v>
      </c>
      <c r="N246" s="333">
        <v>0</v>
      </c>
      <c r="O246" s="107"/>
      <c r="P246" s="107">
        <f t="shared" si="127"/>
        <v>164.22329453029892</v>
      </c>
      <c r="Q246" s="107">
        <f t="shared" si="128"/>
        <v>52.004297887188088</v>
      </c>
      <c r="R246" s="107"/>
      <c r="S246" s="143">
        <f t="shared" si="129"/>
        <v>456.03780414007645</v>
      </c>
      <c r="T246" s="244">
        <v>752.57</v>
      </c>
      <c r="U246" s="107"/>
      <c r="V246" s="151">
        <f t="shared" si="130"/>
        <v>752.57</v>
      </c>
      <c r="W246" s="246"/>
      <c r="X246" s="107"/>
      <c r="Y246" s="46">
        <f t="shared" si="131"/>
        <v>0</v>
      </c>
      <c r="Z246" s="141">
        <f t="shared" si="132"/>
        <v>55.838660692954569</v>
      </c>
      <c r="AA246" s="107">
        <f t="shared" si="119"/>
        <v>12.273779617936322</v>
      </c>
      <c r="AB246" s="333">
        <v>0</v>
      </c>
      <c r="AC246" s="107"/>
      <c r="AD246" s="107">
        <f t="shared" si="133"/>
        <v>46.651787909882977</v>
      </c>
      <c r="AE246" s="107">
        <f t="shared" si="134"/>
        <v>14.7716291317948</v>
      </c>
      <c r="AF246" s="107"/>
      <c r="AG246" s="142">
        <f t="shared" si="135"/>
        <v>129.53585735256868</v>
      </c>
      <c r="AH246" s="210">
        <f t="shared" si="136"/>
        <v>863.79340598552903</v>
      </c>
      <c r="AI246" s="107">
        <f t="shared" si="120"/>
        <v>172.29715050840815</v>
      </c>
      <c r="AJ246" s="333">
        <v>89.829736411214768</v>
      </c>
      <c r="AK246" s="121">
        <f t="shared" si="121"/>
        <v>0</v>
      </c>
      <c r="AL246" s="107"/>
      <c r="AM246" s="107">
        <f t="shared" si="137"/>
        <v>721.67753083441823</v>
      </c>
      <c r="AN246" s="107">
        <f t="shared" si="138"/>
        <v>237.8095532040696</v>
      </c>
      <c r="AO246" s="107"/>
      <c r="AP246" s="143">
        <f t="shared" si="139"/>
        <v>2085.40737694364</v>
      </c>
      <c r="AQ246" s="34"/>
      <c r="AR246" s="29"/>
      <c r="AS246" s="124"/>
      <c r="AT246" s="138">
        <f t="shared" si="140"/>
        <v>1374.5986354778377</v>
      </c>
      <c r="AU246" s="151">
        <f t="shared" si="141"/>
        <v>7033.2771832289509</v>
      </c>
      <c r="AW246" s="1">
        <v>3</v>
      </c>
      <c r="BA246" s="30">
        <v>728.94</v>
      </c>
      <c r="BB246" s="30">
        <v>153.47999999999999</v>
      </c>
      <c r="BC246" s="30">
        <v>67.73</v>
      </c>
      <c r="BD246" s="30">
        <v>666.23</v>
      </c>
      <c r="BI246" s="333">
        <v>0</v>
      </c>
      <c r="BL246" s="110">
        <f t="shared" si="150"/>
        <v>1.2233877438623886</v>
      </c>
      <c r="BM246" s="110">
        <f t="shared" si="150"/>
        <v>1.2807066670574303</v>
      </c>
      <c r="BN246" s="110">
        <f t="shared" si="150"/>
        <v>0.82443024793968056</v>
      </c>
      <c r="BO246" s="110">
        <f t="shared" si="150"/>
        <v>1.2965393422474656</v>
      </c>
    </row>
    <row r="247" spans="1:67" x14ac:dyDescent="0.25">
      <c r="A247" s="260" t="s">
        <v>285</v>
      </c>
      <c r="B247" s="237">
        <v>5</v>
      </c>
      <c r="C247" s="236">
        <f>'побудинковий звіт'!E247</f>
        <v>4052.32</v>
      </c>
      <c r="D247" s="141">
        <f t="shared" si="122"/>
        <v>510.43406837170443</v>
      </c>
      <c r="E247" s="107">
        <f t="shared" si="116"/>
        <v>105.21423455810857</v>
      </c>
      <c r="F247" s="333">
        <v>82.258461509799602</v>
      </c>
      <c r="G247" s="107">
        <f t="shared" si="117"/>
        <v>0</v>
      </c>
      <c r="H247" s="735">
        <f t="shared" si="123"/>
        <v>426.45474666014007</v>
      </c>
      <c r="I247" s="107">
        <f t="shared" si="124"/>
        <v>144.71975727558234</v>
      </c>
      <c r="J247" s="29"/>
      <c r="K247" s="142">
        <f t="shared" si="125"/>
        <v>1269.0812683753352</v>
      </c>
      <c r="L247" s="210">
        <f t="shared" si="126"/>
        <v>98.79371229681017</v>
      </c>
      <c r="M247" s="107">
        <f t="shared" si="118"/>
        <v>21.736387600769639</v>
      </c>
      <c r="N247" s="333">
        <v>0</v>
      </c>
      <c r="O247" s="107"/>
      <c r="P247" s="107">
        <f t="shared" si="127"/>
        <v>82.539646469033471</v>
      </c>
      <c r="Q247" s="107">
        <f t="shared" si="128"/>
        <v>26.137682688413403</v>
      </c>
      <c r="R247" s="107"/>
      <c r="S247" s="143">
        <f t="shared" si="129"/>
        <v>229.20742905502669</v>
      </c>
      <c r="T247" s="244">
        <v>387.36</v>
      </c>
      <c r="U247" s="107"/>
      <c r="V247" s="151">
        <f t="shared" si="130"/>
        <v>387.36</v>
      </c>
      <c r="W247" s="246"/>
      <c r="X247" s="107"/>
      <c r="Y247" s="46">
        <f t="shared" si="131"/>
        <v>0</v>
      </c>
      <c r="Z247" s="141">
        <f t="shared" si="132"/>
        <v>0</v>
      </c>
      <c r="AA247" s="107">
        <f t="shared" si="119"/>
        <v>0</v>
      </c>
      <c r="AB247" s="333">
        <v>0</v>
      </c>
      <c r="AC247" s="107"/>
      <c r="AD247" s="107">
        <f t="shared" si="133"/>
        <v>0</v>
      </c>
      <c r="AE247" s="107">
        <f t="shared" si="134"/>
        <v>0</v>
      </c>
      <c r="AF247" s="107"/>
      <c r="AG247" s="142">
        <f t="shared" si="135"/>
        <v>0</v>
      </c>
      <c r="AH247" s="210">
        <f t="shared" si="136"/>
        <v>300.78416200798955</v>
      </c>
      <c r="AI247" s="107">
        <f t="shared" si="120"/>
        <v>59.996121379171768</v>
      </c>
      <c r="AJ247" s="333">
        <v>46.300713535332484</v>
      </c>
      <c r="AK247" s="121">
        <f t="shared" si="121"/>
        <v>0</v>
      </c>
      <c r="AL247" s="107"/>
      <c r="AM247" s="107">
        <f t="shared" si="137"/>
        <v>251.29755546624543</v>
      </c>
      <c r="AN247" s="107">
        <f t="shared" si="138"/>
        <v>84.741769756910841</v>
      </c>
      <c r="AO247" s="107"/>
      <c r="AP247" s="143">
        <f t="shared" si="139"/>
        <v>743.12032214564999</v>
      </c>
      <c r="AQ247" s="34"/>
      <c r="AR247" s="29"/>
      <c r="AS247" s="124"/>
      <c r="AT247" s="138">
        <f t="shared" si="140"/>
        <v>1882.3714323193942</v>
      </c>
      <c r="AU247" s="151">
        <f t="shared" si="141"/>
        <v>4511.1404518954059</v>
      </c>
      <c r="AW247" s="1">
        <v>3</v>
      </c>
      <c r="BA247" s="30">
        <v>417.23</v>
      </c>
      <c r="BB247" s="30">
        <v>77.14</v>
      </c>
      <c r="BC247" s="30">
        <v>0</v>
      </c>
      <c r="BD247" s="30">
        <v>231.99</v>
      </c>
      <c r="BI247" s="333">
        <v>0</v>
      </c>
      <c r="BL247" s="110">
        <f t="shared" si="150"/>
        <v>1.2233877438623886</v>
      </c>
      <c r="BM247" s="110">
        <f t="shared" si="150"/>
        <v>1.2807066670574303</v>
      </c>
      <c r="BN247" s="110">
        <f t="shared" si="150"/>
        <v>0.82443024793968056</v>
      </c>
      <c r="BO247" s="110">
        <f t="shared" si="150"/>
        <v>1.2965393422474656</v>
      </c>
    </row>
    <row r="248" spans="1:67" x14ac:dyDescent="0.25">
      <c r="A248" s="260" t="s">
        <v>286</v>
      </c>
      <c r="B248" s="237">
        <v>5</v>
      </c>
      <c r="C248" s="236">
        <f>'побудинковий звіт'!E248</f>
        <v>4147.0999999999995</v>
      </c>
      <c r="D248" s="141">
        <f t="shared" si="122"/>
        <v>501.0751521311571</v>
      </c>
      <c r="E248" s="107">
        <f t="shared" si="116"/>
        <v>103.28510938885053</v>
      </c>
      <c r="F248" s="333">
        <v>81.333692342787955</v>
      </c>
      <c r="G248" s="107">
        <f t="shared" si="117"/>
        <v>0</v>
      </c>
      <c r="H248" s="735">
        <f t="shared" si="123"/>
        <v>418.63560898559581</v>
      </c>
      <c r="I248" s="107">
        <f t="shared" si="124"/>
        <v>142.14138843239908</v>
      </c>
      <c r="J248" s="29"/>
      <c r="K248" s="142">
        <f t="shared" si="125"/>
        <v>1246.4709512807904</v>
      </c>
      <c r="L248" s="210">
        <f t="shared" si="126"/>
        <v>98.79371229681017</v>
      </c>
      <c r="M248" s="107">
        <f t="shared" si="118"/>
        <v>21.736387600769639</v>
      </c>
      <c r="N248" s="333">
        <v>0</v>
      </c>
      <c r="O248" s="107"/>
      <c r="P248" s="107">
        <f t="shared" si="127"/>
        <v>82.539646469033471</v>
      </c>
      <c r="Q248" s="107">
        <f t="shared" si="128"/>
        <v>26.137682688413403</v>
      </c>
      <c r="R248" s="107"/>
      <c r="S248" s="143">
        <f t="shared" si="129"/>
        <v>229.20742905502669</v>
      </c>
      <c r="T248" s="244">
        <v>386.17</v>
      </c>
      <c r="U248" s="107"/>
      <c r="V248" s="151">
        <f t="shared" si="130"/>
        <v>386.17</v>
      </c>
      <c r="W248" s="246"/>
      <c r="X248" s="107"/>
      <c r="Y248" s="46">
        <f t="shared" si="131"/>
        <v>0</v>
      </c>
      <c r="Z248" s="141">
        <f t="shared" si="132"/>
        <v>0</v>
      </c>
      <c r="AA248" s="107">
        <f t="shared" si="119"/>
        <v>0</v>
      </c>
      <c r="AB248" s="333">
        <v>0</v>
      </c>
      <c r="AC248" s="107"/>
      <c r="AD248" s="107">
        <f t="shared" si="133"/>
        <v>0</v>
      </c>
      <c r="AE248" s="107">
        <f t="shared" si="134"/>
        <v>0</v>
      </c>
      <c r="AF248" s="107"/>
      <c r="AG248" s="142">
        <f t="shared" si="135"/>
        <v>0</v>
      </c>
      <c r="AH248" s="210">
        <f t="shared" si="136"/>
        <v>300.90085054879182</v>
      </c>
      <c r="AI248" s="107">
        <f t="shared" si="120"/>
        <v>60.019396739851651</v>
      </c>
      <c r="AJ248" s="333">
        <v>45.78018991378368</v>
      </c>
      <c r="AK248" s="121">
        <f t="shared" si="121"/>
        <v>0</v>
      </c>
      <c r="AL248" s="107"/>
      <c r="AM248" s="107">
        <f t="shared" si="137"/>
        <v>251.39504578906954</v>
      </c>
      <c r="AN248" s="107">
        <f t="shared" si="138"/>
        <v>84.70533509238642</v>
      </c>
      <c r="AO248" s="107"/>
      <c r="AP248" s="143">
        <f t="shared" si="139"/>
        <v>742.80081808388309</v>
      </c>
      <c r="AQ248" s="34"/>
      <c r="AR248" s="29"/>
      <c r="AS248" s="124"/>
      <c r="AT248" s="138">
        <f t="shared" si="140"/>
        <v>1926.3983513078331</v>
      </c>
      <c r="AU248" s="151">
        <f t="shared" si="141"/>
        <v>4531.0475497275329</v>
      </c>
      <c r="AW248" s="1">
        <v>3</v>
      </c>
      <c r="BA248" s="30">
        <v>409.58</v>
      </c>
      <c r="BB248" s="30">
        <v>77.14</v>
      </c>
      <c r="BC248" s="30">
        <v>0</v>
      </c>
      <c r="BD248" s="30">
        <v>232.08</v>
      </c>
      <c r="BI248" s="333">
        <v>0</v>
      </c>
      <c r="BL248" s="110">
        <f t="shared" si="150"/>
        <v>1.2233877438623886</v>
      </c>
      <c r="BM248" s="110">
        <f t="shared" si="150"/>
        <v>1.2807066670574303</v>
      </c>
      <c r="BN248" s="110">
        <f t="shared" si="150"/>
        <v>0.82443024793968056</v>
      </c>
      <c r="BO248" s="110">
        <f t="shared" si="150"/>
        <v>1.2965393422474656</v>
      </c>
    </row>
    <row r="249" spans="1:67" x14ac:dyDescent="0.25">
      <c r="A249" s="260" t="s">
        <v>287</v>
      </c>
      <c r="B249" s="237">
        <v>5</v>
      </c>
      <c r="C249" s="236">
        <f>'побудинковий звіт'!E249</f>
        <v>3564.2</v>
      </c>
      <c r="D249" s="141">
        <f t="shared" si="122"/>
        <v>650.48749728907069</v>
      </c>
      <c r="E249" s="107">
        <f t="shared" si="116"/>
        <v>134.08302532629943</v>
      </c>
      <c r="F249" s="333">
        <v>114.51566397945967</v>
      </c>
      <c r="G249" s="107">
        <f t="shared" si="117"/>
        <v>0</v>
      </c>
      <c r="H249" s="735">
        <f t="shared" si="123"/>
        <v>543.46584221331898</v>
      </c>
      <c r="I249" s="107">
        <f t="shared" si="124"/>
        <v>185.67496077157389</v>
      </c>
      <c r="J249" s="29"/>
      <c r="K249" s="142">
        <f t="shared" si="125"/>
        <v>1628.2269895797228</v>
      </c>
      <c r="L249" s="210">
        <f t="shared" si="126"/>
        <v>146.10301657791166</v>
      </c>
      <c r="M249" s="107">
        <f t="shared" si="118"/>
        <v>32.145282570596329</v>
      </c>
      <c r="N249" s="333">
        <v>0</v>
      </c>
      <c r="O249" s="107"/>
      <c r="P249" s="107">
        <f t="shared" si="127"/>
        <v>122.06537294772284</v>
      </c>
      <c r="Q249" s="107">
        <f t="shared" si="128"/>
        <v>38.654224022481216</v>
      </c>
      <c r="R249" s="107"/>
      <c r="S249" s="143">
        <f t="shared" si="129"/>
        <v>338.96789611871202</v>
      </c>
      <c r="T249" s="244">
        <v>550.4</v>
      </c>
      <c r="U249" s="107"/>
      <c r="V249" s="151">
        <f t="shared" si="130"/>
        <v>550.4</v>
      </c>
      <c r="W249" s="246"/>
      <c r="X249" s="107"/>
      <c r="Y249" s="46">
        <f t="shared" si="131"/>
        <v>0</v>
      </c>
      <c r="Z249" s="141">
        <f t="shared" si="132"/>
        <v>36.077067649840423</v>
      </c>
      <c r="AA249" s="107">
        <f t="shared" si="119"/>
        <v>7.9300250417967435</v>
      </c>
      <c r="AB249" s="333">
        <v>0</v>
      </c>
      <c r="AC249" s="107"/>
      <c r="AD249" s="107">
        <f t="shared" si="133"/>
        <v>30.141477025490609</v>
      </c>
      <c r="AE249" s="107">
        <f t="shared" si="134"/>
        <v>9.5438725942321039</v>
      </c>
      <c r="AF249" s="107"/>
      <c r="AG249" s="142">
        <f t="shared" si="135"/>
        <v>83.692442311359869</v>
      </c>
      <c r="AH249" s="210">
        <f t="shared" si="136"/>
        <v>563.39820578021374</v>
      </c>
      <c r="AI249" s="107">
        <f t="shared" si="120"/>
        <v>112.378613664836</v>
      </c>
      <c r="AJ249" s="333">
        <v>64.457283249695834</v>
      </c>
      <c r="AK249" s="121">
        <f t="shared" si="121"/>
        <v>0</v>
      </c>
      <c r="AL249" s="107"/>
      <c r="AM249" s="107">
        <f t="shared" si="137"/>
        <v>470.70494311091983</v>
      </c>
      <c r="AN249" s="107">
        <f t="shared" si="138"/>
        <v>155.86339718540347</v>
      </c>
      <c r="AO249" s="107"/>
      <c r="AP249" s="143">
        <f t="shared" si="139"/>
        <v>1366.802442991069</v>
      </c>
      <c r="AQ249" s="34"/>
      <c r="AR249" s="29"/>
      <c r="AS249" s="124"/>
      <c r="AT249" s="138">
        <f t="shared" si="140"/>
        <v>1655.6314059780036</v>
      </c>
      <c r="AU249" s="151">
        <f t="shared" si="141"/>
        <v>5623.7211769788673</v>
      </c>
      <c r="AW249" s="1">
        <v>3</v>
      </c>
      <c r="BA249" s="30">
        <v>531.71</v>
      </c>
      <c r="BB249" s="30">
        <v>114.08</v>
      </c>
      <c r="BC249" s="30">
        <v>43.76</v>
      </c>
      <c r="BD249" s="30">
        <v>434.54</v>
      </c>
      <c r="BI249" s="333">
        <v>0</v>
      </c>
      <c r="BL249" s="110">
        <f t="shared" si="150"/>
        <v>1.2233877438623886</v>
      </c>
      <c r="BM249" s="110">
        <f t="shared" si="150"/>
        <v>1.2807066670574303</v>
      </c>
      <c r="BN249" s="110">
        <f t="shared" si="150"/>
        <v>0.82443024793968056</v>
      </c>
      <c r="BO249" s="110">
        <f t="shared" si="150"/>
        <v>1.2965393422474656</v>
      </c>
    </row>
    <row r="250" spans="1:67" x14ac:dyDescent="0.25">
      <c r="A250" s="260" t="s">
        <v>288</v>
      </c>
      <c r="B250" s="237">
        <v>5</v>
      </c>
      <c r="C250" s="236">
        <f>'побудинковий звіт'!E250</f>
        <v>3672.96</v>
      </c>
      <c r="D250" s="141">
        <f t="shared" si="122"/>
        <v>439.42864371793132</v>
      </c>
      <c r="E250" s="107">
        <f t="shared" si="116"/>
        <v>90.578100594221439</v>
      </c>
      <c r="F250" s="333">
        <v>94.303843285618271</v>
      </c>
      <c r="G250" s="107">
        <f t="shared" si="117"/>
        <v>0</v>
      </c>
      <c r="H250" s="735">
        <f t="shared" si="123"/>
        <v>367.13151128359823</v>
      </c>
      <c r="I250" s="107">
        <f t="shared" si="124"/>
        <v>127.6113229476921</v>
      </c>
      <c r="J250" s="29"/>
      <c r="K250" s="142">
        <f t="shared" si="125"/>
        <v>1119.0534218290613</v>
      </c>
      <c r="L250" s="210">
        <f t="shared" si="126"/>
        <v>94.77229336224984</v>
      </c>
      <c r="M250" s="107">
        <f t="shared" si="118"/>
        <v>20.851603350492006</v>
      </c>
      <c r="N250" s="333">
        <v>0</v>
      </c>
      <c r="O250" s="107"/>
      <c r="P250" s="107">
        <f t="shared" si="127"/>
        <v>79.179852718543913</v>
      </c>
      <c r="Q250" s="107">
        <f t="shared" si="128"/>
        <v>25.073742791581434</v>
      </c>
      <c r="R250" s="107"/>
      <c r="S250" s="143">
        <f t="shared" si="129"/>
        <v>219.87749222286718</v>
      </c>
      <c r="T250" s="244">
        <v>437.05</v>
      </c>
      <c r="U250" s="107"/>
      <c r="V250" s="151">
        <f t="shared" si="130"/>
        <v>437.05</v>
      </c>
      <c r="W250" s="906">
        <v>110.41</v>
      </c>
      <c r="X250" s="107"/>
      <c r="Y250" s="46">
        <f t="shared" si="131"/>
        <v>110.41</v>
      </c>
      <c r="Z250" s="141">
        <f t="shared" si="132"/>
        <v>0</v>
      </c>
      <c r="AA250" s="107">
        <f t="shared" si="119"/>
        <v>0</v>
      </c>
      <c r="AB250" s="333">
        <v>0</v>
      </c>
      <c r="AC250" s="107"/>
      <c r="AD250" s="107">
        <f t="shared" si="133"/>
        <v>0</v>
      </c>
      <c r="AE250" s="107">
        <f t="shared" si="134"/>
        <v>0</v>
      </c>
      <c r="AF250" s="107"/>
      <c r="AG250" s="142">
        <f t="shared" si="135"/>
        <v>0</v>
      </c>
      <c r="AH250" s="210">
        <f t="shared" si="136"/>
        <v>167.87591403420183</v>
      </c>
      <c r="AI250" s="107">
        <f t="shared" si="120"/>
        <v>33.485485564787965</v>
      </c>
      <c r="AJ250" s="333">
        <v>53.080681951827287</v>
      </c>
      <c r="AK250" s="121">
        <f t="shared" si="121"/>
        <v>0</v>
      </c>
      <c r="AL250" s="107"/>
      <c r="AM250" s="107">
        <f t="shared" si="137"/>
        <v>140.25607776959978</v>
      </c>
      <c r="AN250" s="107">
        <f t="shared" si="138"/>
        <v>50.802718920980688</v>
      </c>
      <c r="AO250" s="107"/>
      <c r="AP250" s="143">
        <f t="shared" si="139"/>
        <v>445.50087824139752</v>
      </c>
      <c r="AQ250" s="34"/>
      <c r="AR250" s="29"/>
      <c r="AS250" s="124"/>
      <c r="AT250" s="138">
        <f t="shared" si="140"/>
        <v>1706.152272291389</v>
      </c>
      <c r="AU250" s="151">
        <f t="shared" si="141"/>
        <v>4038.0440645847148</v>
      </c>
      <c r="AW250" s="1">
        <v>3</v>
      </c>
      <c r="BA250" s="30">
        <v>359.19</v>
      </c>
      <c r="BB250" s="30">
        <v>74</v>
      </c>
      <c r="BC250" s="30">
        <v>0</v>
      </c>
      <c r="BD250" s="30">
        <v>129.47999999999999</v>
      </c>
      <c r="BI250" s="333">
        <v>0</v>
      </c>
      <c r="BL250" s="110">
        <f t="shared" si="150"/>
        <v>1.2233877438623886</v>
      </c>
      <c r="BM250" s="110">
        <f t="shared" si="150"/>
        <v>1.2807066670574303</v>
      </c>
      <c r="BN250" s="110">
        <f t="shared" si="150"/>
        <v>0.82443024793968056</v>
      </c>
      <c r="BO250" s="110">
        <f t="shared" si="150"/>
        <v>1.2965393422474656</v>
      </c>
    </row>
    <row r="251" spans="1:67" x14ac:dyDescent="0.25">
      <c r="A251" s="434" t="s">
        <v>129</v>
      </c>
      <c r="B251" s="238">
        <v>1</v>
      </c>
      <c r="C251" s="236">
        <f>'побудинковий звіт'!E251</f>
        <v>4471.5</v>
      </c>
      <c r="D251" s="141">
        <f t="shared" si="122"/>
        <v>0</v>
      </c>
      <c r="E251" s="107">
        <f t="shared" si="116"/>
        <v>0</v>
      </c>
      <c r="F251" s="333">
        <v>0</v>
      </c>
      <c r="G251" s="107">
        <f t="shared" si="117"/>
        <v>0</v>
      </c>
      <c r="H251" s="735">
        <f t="shared" si="123"/>
        <v>0</v>
      </c>
      <c r="I251" s="107">
        <f t="shared" si="124"/>
        <v>0</v>
      </c>
      <c r="J251" s="29"/>
      <c r="K251" s="142">
        <f t="shared" si="125"/>
        <v>0</v>
      </c>
      <c r="L251" s="210">
        <f t="shared" si="126"/>
        <v>0</v>
      </c>
      <c r="M251" s="107">
        <f t="shared" si="118"/>
        <v>0</v>
      </c>
      <c r="N251" s="333">
        <v>0</v>
      </c>
      <c r="O251" s="107"/>
      <c r="P251" s="107">
        <f t="shared" si="127"/>
        <v>0</v>
      </c>
      <c r="Q251" s="107">
        <f t="shared" si="128"/>
        <v>0</v>
      </c>
      <c r="R251" s="107"/>
      <c r="S251" s="143">
        <f t="shared" si="129"/>
        <v>0</v>
      </c>
      <c r="T251" s="245"/>
      <c r="U251" s="107"/>
      <c r="V251" s="151">
        <f t="shared" si="130"/>
        <v>0</v>
      </c>
      <c r="W251" s="246"/>
      <c r="X251" s="107"/>
      <c r="Y251" s="46">
        <f t="shared" si="131"/>
        <v>0</v>
      </c>
      <c r="Z251" s="141">
        <f t="shared" si="132"/>
        <v>0</v>
      </c>
      <c r="AA251" s="107">
        <f t="shared" si="119"/>
        <v>0</v>
      </c>
      <c r="AB251" s="333">
        <v>0</v>
      </c>
      <c r="AC251" s="107"/>
      <c r="AD251" s="107">
        <f t="shared" si="133"/>
        <v>0</v>
      </c>
      <c r="AE251" s="107">
        <f t="shared" si="134"/>
        <v>0</v>
      </c>
      <c r="AF251" s="107"/>
      <c r="AG251" s="142">
        <f t="shared" si="135"/>
        <v>0</v>
      </c>
      <c r="AH251" s="210">
        <f t="shared" si="136"/>
        <v>0</v>
      </c>
      <c r="AI251" s="107">
        <f t="shared" si="120"/>
        <v>0</v>
      </c>
      <c r="AJ251" s="333">
        <v>0</v>
      </c>
      <c r="AK251" s="121">
        <f t="shared" si="121"/>
        <v>0</v>
      </c>
      <c r="AL251" s="107"/>
      <c r="AM251" s="107">
        <f t="shared" si="137"/>
        <v>0</v>
      </c>
      <c r="AN251" s="107">
        <f t="shared" si="138"/>
        <v>0</v>
      </c>
      <c r="AO251" s="107"/>
      <c r="AP251" s="143">
        <f t="shared" si="139"/>
        <v>0</v>
      </c>
      <c r="AQ251" s="34"/>
      <c r="AR251" s="29"/>
      <c r="AS251" s="124"/>
      <c r="AT251" s="138">
        <f t="shared" si="140"/>
        <v>0</v>
      </c>
      <c r="AU251" s="151">
        <f t="shared" si="141"/>
        <v>0</v>
      </c>
      <c r="AW251" s="1">
        <v>1</v>
      </c>
      <c r="BA251" s="30">
        <v>0</v>
      </c>
      <c r="BB251" s="30">
        <v>0</v>
      </c>
      <c r="BC251" s="30">
        <v>0</v>
      </c>
      <c r="BD251" s="30">
        <v>0</v>
      </c>
      <c r="BI251" s="333">
        <v>0</v>
      </c>
      <c r="BL251" s="110">
        <f>$BA$397</f>
        <v>0.85901039294857251</v>
      </c>
      <c r="BM251" s="110">
        <f>$BB$397</f>
        <v>0.92206249128051765</v>
      </c>
      <c r="BN251" s="110">
        <f>$BC$397</f>
        <v>0.35749517965371247</v>
      </c>
      <c r="BO251" s="110">
        <f>$BD$397</f>
        <v>0.82972030812989472</v>
      </c>
    </row>
    <row r="252" spans="1:67" x14ac:dyDescent="0.25">
      <c r="A252" s="434" t="s">
        <v>130</v>
      </c>
      <c r="B252" s="238">
        <v>1</v>
      </c>
      <c r="C252" s="236">
        <f>'побудинковий звіт'!E252</f>
        <v>4538</v>
      </c>
      <c r="D252" s="141">
        <f t="shared" si="122"/>
        <v>0</v>
      </c>
      <c r="E252" s="107">
        <f t="shared" si="116"/>
        <v>0</v>
      </c>
      <c r="F252" s="333">
        <v>0</v>
      </c>
      <c r="G252" s="107">
        <f t="shared" si="117"/>
        <v>0</v>
      </c>
      <c r="H252" s="735">
        <f t="shared" si="123"/>
        <v>0</v>
      </c>
      <c r="I252" s="107">
        <f t="shared" si="124"/>
        <v>0</v>
      </c>
      <c r="J252" s="29"/>
      <c r="K252" s="142">
        <f t="shared" si="125"/>
        <v>0</v>
      </c>
      <c r="L252" s="210">
        <f t="shared" si="126"/>
        <v>0</v>
      </c>
      <c r="M252" s="107">
        <f t="shared" si="118"/>
        <v>0</v>
      </c>
      <c r="N252" s="333">
        <v>0</v>
      </c>
      <c r="O252" s="107"/>
      <c r="P252" s="107">
        <f t="shared" si="127"/>
        <v>0</v>
      </c>
      <c r="Q252" s="107">
        <f t="shared" si="128"/>
        <v>0</v>
      </c>
      <c r="R252" s="107"/>
      <c r="S252" s="143">
        <f t="shared" si="129"/>
        <v>0</v>
      </c>
      <c r="T252" s="245"/>
      <c r="U252" s="107"/>
      <c r="V252" s="151">
        <f t="shared" si="130"/>
        <v>0</v>
      </c>
      <c r="W252" s="246"/>
      <c r="X252" s="107"/>
      <c r="Y252" s="46">
        <f t="shared" si="131"/>
        <v>0</v>
      </c>
      <c r="Z252" s="141">
        <f t="shared" si="132"/>
        <v>0</v>
      </c>
      <c r="AA252" s="107">
        <f t="shared" si="119"/>
        <v>0</v>
      </c>
      <c r="AB252" s="333">
        <v>0</v>
      </c>
      <c r="AC252" s="107"/>
      <c r="AD252" s="107">
        <f t="shared" si="133"/>
        <v>0</v>
      </c>
      <c r="AE252" s="107">
        <f t="shared" si="134"/>
        <v>0</v>
      </c>
      <c r="AF252" s="107"/>
      <c r="AG252" s="142">
        <f t="shared" si="135"/>
        <v>0</v>
      </c>
      <c r="AH252" s="210">
        <f t="shared" si="136"/>
        <v>0</v>
      </c>
      <c r="AI252" s="107">
        <f t="shared" si="120"/>
        <v>0</v>
      </c>
      <c r="AJ252" s="333">
        <v>0</v>
      </c>
      <c r="AK252" s="121">
        <f t="shared" si="121"/>
        <v>0</v>
      </c>
      <c r="AL252" s="107"/>
      <c r="AM252" s="107">
        <f t="shared" si="137"/>
        <v>0</v>
      </c>
      <c r="AN252" s="107">
        <f t="shared" si="138"/>
        <v>0</v>
      </c>
      <c r="AO252" s="107"/>
      <c r="AP252" s="143">
        <f t="shared" si="139"/>
        <v>0</v>
      </c>
      <c r="AQ252" s="34"/>
      <c r="AR252" s="29"/>
      <c r="AS252" s="124"/>
      <c r="AT252" s="138">
        <f t="shared" si="140"/>
        <v>0</v>
      </c>
      <c r="AU252" s="151">
        <f t="shared" si="141"/>
        <v>0</v>
      </c>
      <c r="AW252" s="1">
        <v>1</v>
      </c>
      <c r="BA252" s="30">
        <v>0</v>
      </c>
      <c r="BB252" s="30">
        <v>0</v>
      </c>
      <c r="BC252" s="30">
        <v>0</v>
      </c>
      <c r="BD252" s="30">
        <v>0</v>
      </c>
      <c r="BI252" s="333">
        <v>0</v>
      </c>
      <c r="BL252" s="110">
        <f>$BA$397</f>
        <v>0.85901039294857251</v>
      </c>
      <c r="BM252" s="110">
        <f>$BB$397</f>
        <v>0.92206249128051765</v>
      </c>
      <c r="BN252" s="110">
        <f>$BC$397</f>
        <v>0.35749517965371247</v>
      </c>
      <c r="BO252" s="110">
        <f>$BD$397</f>
        <v>0.82972030812989472</v>
      </c>
    </row>
    <row r="253" spans="1:67" x14ac:dyDescent="0.25">
      <c r="A253" s="260" t="s">
        <v>386</v>
      </c>
      <c r="B253" s="237">
        <v>9</v>
      </c>
      <c r="C253" s="236">
        <f>'побудинковий звіт'!E253</f>
        <v>3381.24</v>
      </c>
      <c r="D253" s="141">
        <f t="shared" si="122"/>
        <v>332.05905749820022</v>
      </c>
      <c r="E253" s="107">
        <f t="shared" si="116"/>
        <v>68.446331715692409</v>
      </c>
      <c r="F253" s="333">
        <v>80.851186860452032</v>
      </c>
      <c r="G253" s="107">
        <f t="shared" si="117"/>
        <v>0</v>
      </c>
      <c r="H253" s="735">
        <f t="shared" si="123"/>
        <v>277.42693918008433</v>
      </c>
      <c r="I253" s="107">
        <f t="shared" si="124"/>
        <v>97.665177141226167</v>
      </c>
      <c r="J253" s="29"/>
      <c r="K253" s="142">
        <f t="shared" si="125"/>
        <v>856.44869239565514</v>
      </c>
      <c r="L253" s="210">
        <f t="shared" si="126"/>
        <v>60.533402552565988</v>
      </c>
      <c r="M253" s="107">
        <f t="shared" si="118"/>
        <v>13.318433633943686</v>
      </c>
      <c r="N253" s="333">
        <v>36.799999999999997</v>
      </c>
      <c r="O253" s="107"/>
      <c r="P253" s="107">
        <f t="shared" si="127"/>
        <v>50.574125924588905</v>
      </c>
      <c r="Q253" s="107">
        <f t="shared" si="128"/>
        <v>20.751850604009483</v>
      </c>
      <c r="R253" s="107"/>
      <c r="S253" s="143">
        <f t="shared" si="129"/>
        <v>181.97781271510806</v>
      </c>
      <c r="T253" s="905">
        <v>487.43333333333334</v>
      </c>
      <c r="U253" s="107"/>
      <c r="V253" s="151">
        <f t="shared" si="130"/>
        <v>487.43333333333334</v>
      </c>
      <c r="W253" s="907">
        <v>104.95833333333334</v>
      </c>
      <c r="X253" s="107"/>
      <c r="Y253" s="46">
        <f t="shared" si="131"/>
        <v>104.95833333333334</v>
      </c>
      <c r="Z253" s="141">
        <f t="shared" si="132"/>
        <v>9.4271478874683989</v>
      </c>
      <c r="AA253" s="107">
        <f t="shared" si="119"/>
        <v>2.0721617273868529</v>
      </c>
      <c r="AB253" s="333">
        <v>40.099999999999994</v>
      </c>
      <c r="AC253" s="107"/>
      <c r="AD253" s="107">
        <f t="shared" si="133"/>
        <v>7.8761434888206034</v>
      </c>
      <c r="AE253" s="107">
        <f t="shared" si="134"/>
        <v>7.6552541616266829</v>
      </c>
      <c r="AF253" s="107"/>
      <c r="AG253" s="142">
        <f t="shared" si="135"/>
        <v>67.130707265302533</v>
      </c>
      <c r="AH253" s="210">
        <f t="shared" si="136"/>
        <v>196.24544727888272</v>
      </c>
      <c r="AI253" s="107">
        <f t="shared" si="120"/>
        <v>39.144234179261595</v>
      </c>
      <c r="AJ253" s="333">
        <v>67.722559515119926</v>
      </c>
      <c r="AK253" s="121">
        <f t="shared" si="121"/>
        <v>0</v>
      </c>
      <c r="AL253" s="107"/>
      <c r="AM253" s="107">
        <f t="shared" si="137"/>
        <v>163.95810485278551</v>
      </c>
      <c r="AN253" s="107">
        <f t="shared" si="138"/>
        <v>60.117948196619913</v>
      </c>
      <c r="AO253" s="107"/>
      <c r="AP253" s="143">
        <f t="shared" si="139"/>
        <v>527.18829402266965</v>
      </c>
      <c r="AQ253" s="34"/>
      <c r="AR253" s="29"/>
      <c r="AS253" s="124"/>
      <c r="AT253" s="138">
        <f t="shared" si="140"/>
        <v>1570.6433800429452</v>
      </c>
      <c r="AU253" s="151">
        <f t="shared" si="141"/>
        <v>3795.7805531083468</v>
      </c>
      <c r="AW253" s="1">
        <v>1</v>
      </c>
      <c r="BA253" s="30">
        <v>386.56</v>
      </c>
      <c r="BB253" s="30">
        <v>65.650000000000006</v>
      </c>
      <c r="BC253" s="30">
        <v>26.37</v>
      </c>
      <c r="BD253" s="30">
        <v>236.52</v>
      </c>
      <c r="BF253" s="289">
        <f>T253*1.2</f>
        <v>584.91999999999996</v>
      </c>
      <c r="BI253" s="333">
        <v>0</v>
      </c>
      <c r="BL253" s="110">
        <f>$BA$397</f>
        <v>0.85901039294857251</v>
      </c>
      <c r="BM253" s="110">
        <f>$BB$397</f>
        <v>0.92206249128051765</v>
      </c>
      <c r="BN253" s="110">
        <f>$BC$397</f>
        <v>0.35749517965371247</v>
      </c>
      <c r="BO253" s="110">
        <f>$BD$397</f>
        <v>0.82972030812989472</v>
      </c>
    </row>
    <row r="254" spans="1:67" x14ac:dyDescent="0.25">
      <c r="A254" s="260" t="s">
        <v>387</v>
      </c>
      <c r="B254" s="237">
        <v>9</v>
      </c>
      <c r="C254" s="236">
        <f>'побудинковий звіт'!E254</f>
        <v>5131.2</v>
      </c>
      <c r="D254" s="141">
        <f t="shared" si="122"/>
        <v>988.47957444058341</v>
      </c>
      <c r="E254" s="107">
        <f t="shared" si="116"/>
        <v>203.75231248349053</v>
      </c>
      <c r="F254" s="333">
        <v>238.8825195895804</v>
      </c>
      <c r="G254" s="107">
        <f t="shared" si="117"/>
        <v>0</v>
      </c>
      <c r="H254" s="735">
        <f t="shared" si="123"/>
        <v>825.84966916787005</v>
      </c>
      <c r="I254" s="107">
        <f t="shared" si="124"/>
        <v>290.50024390541506</v>
      </c>
      <c r="J254" s="29"/>
      <c r="K254" s="142">
        <f t="shared" si="125"/>
        <v>2547.4643195869394</v>
      </c>
      <c r="L254" s="210">
        <f t="shared" si="126"/>
        <v>305.51614295646107</v>
      </c>
      <c r="M254" s="107">
        <f t="shared" si="118"/>
        <v>67.219027883500246</v>
      </c>
      <c r="N254" s="333">
        <v>0</v>
      </c>
      <c r="O254" s="107"/>
      <c r="P254" s="107">
        <f t="shared" si="127"/>
        <v>255.25100579729096</v>
      </c>
      <c r="Q254" s="107">
        <f t="shared" si="128"/>
        <v>80.829880921903168</v>
      </c>
      <c r="R254" s="107"/>
      <c r="S254" s="143">
        <f t="shared" si="129"/>
        <v>708.81605755915541</v>
      </c>
      <c r="T254" s="244">
        <v>1319.9</v>
      </c>
      <c r="U254" s="107"/>
      <c r="V254" s="151">
        <f t="shared" si="130"/>
        <v>1319.9</v>
      </c>
      <c r="W254" s="906">
        <v>300.45</v>
      </c>
      <c r="X254" s="107"/>
      <c r="Y254" s="46">
        <f t="shared" si="131"/>
        <v>300.45</v>
      </c>
      <c r="Z254" s="141">
        <f t="shared" si="132"/>
        <v>112.01213724578744</v>
      </c>
      <c r="AA254" s="107">
        <f t="shared" si="119"/>
        <v>24.621154412149046</v>
      </c>
      <c r="AB254" s="333">
        <v>0</v>
      </c>
      <c r="AC254" s="107"/>
      <c r="AD254" s="107">
        <f t="shared" si="133"/>
        <v>93.583305997568701</v>
      </c>
      <c r="AE254" s="107">
        <f t="shared" si="134"/>
        <v>29.63183086988403</v>
      </c>
      <c r="AF254" s="107"/>
      <c r="AG254" s="142">
        <f t="shared" si="135"/>
        <v>259.84842852538924</v>
      </c>
      <c r="AH254" s="210">
        <f t="shared" si="136"/>
        <v>807.44840572633746</v>
      </c>
      <c r="AI254" s="107">
        <f t="shared" si="120"/>
        <v>161.05825597322936</v>
      </c>
      <c r="AJ254" s="333">
        <v>93.789847743857663</v>
      </c>
      <c r="AK254" s="121">
        <f t="shared" si="121"/>
        <v>0</v>
      </c>
      <c r="AL254" s="107">
        <v>130.33000000000001</v>
      </c>
      <c r="AM254" s="107">
        <f t="shared" si="137"/>
        <v>674.60270903078981</v>
      </c>
      <c r="AN254" s="107">
        <f t="shared" si="138"/>
        <v>240.33636566868338</v>
      </c>
      <c r="AO254" s="107"/>
      <c r="AP254" s="143">
        <f t="shared" si="139"/>
        <v>2107.5655841428979</v>
      </c>
      <c r="AQ254" s="34"/>
      <c r="AR254" s="29"/>
      <c r="AS254" s="124"/>
      <c r="AT254" s="138">
        <f t="shared" si="140"/>
        <v>2383.5295074222358</v>
      </c>
      <c r="AU254" s="151">
        <f t="shared" si="141"/>
        <v>9627.5738972366162</v>
      </c>
      <c r="AW254" s="1">
        <v>2</v>
      </c>
      <c r="BA254" s="30">
        <v>901.25</v>
      </c>
      <c r="BB254" s="30">
        <v>274.57</v>
      </c>
      <c r="BC254" s="30">
        <v>39.56</v>
      </c>
      <c r="BD254" s="30">
        <v>778.72</v>
      </c>
      <c r="BI254" s="333">
        <v>0</v>
      </c>
      <c r="BL254" s="110">
        <f t="shared" ref="BL254:BO268" si="151">BA$398</f>
        <v>1.0967873225415627</v>
      </c>
      <c r="BM254" s="110">
        <f t="shared" si="151"/>
        <v>1.1127076627324948</v>
      </c>
      <c r="BN254" s="110">
        <f t="shared" si="151"/>
        <v>2.8314493742615632</v>
      </c>
      <c r="BO254" s="110">
        <f t="shared" si="151"/>
        <v>1.036891829831438</v>
      </c>
    </row>
    <row r="255" spans="1:67" x14ac:dyDescent="0.25">
      <c r="A255" s="260" t="s">
        <v>388</v>
      </c>
      <c r="B255" s="237">
        <v>9</v>
      </c>
      <c r="C255" s="236">
        <f>'побудинковий звіт'!E255</f>
        <v>2774.6000000000004</v>
      </c>
      <c r="D255" s="141">
        <f t="shared" si="122"/>
        <v>1238.3277265155514</v>
      </c>
      <c r="E255" s="107">
        <f t="shared" si="116"/>
        <v>255.25275829069068</v>
      </c>
      <c r="F255" s="333">
        <v>278.31617521112224</v>
      </c>
      <c r="G255" s="107">
        <f t="shared" si="117"/>
        <v>0</v>
      </c>
      <c r="H255" s="735">
        <f t="shared" si="123"/>
        <v>1034.5914773636434</v>
      </c>
      <c r="I255" s="107">
        <f t="shared" si="124"/>
        <v>361.2310436003059</v>
      </c>
      <c r="J255" s="29"/>
      <c r="K255" s="142">
        <f t="shared" si="125"/>
        <v>3167.7191809813135</v>
      </c>
      <c r="L255" s="210">
        <f t="shared" si="126"/>
        <v>356.42251852647274</v>
      </c>
      <c r="M255" s="107">
        <f t="shared" si="118"/>
        <v>78.419343015051908</v>
      </c>
      <c r="N255" s="333">
        <v>0</v>
      </c>
      <c r="O255" s="107"/>
      <c r="P255" s="107">
        <f t="shared" si="127"/>
        <v>297.78199430741978</v>
      </c>
      <c r="Q255" s="107">
        <f t="shared" si="128"/>
        <v>94.298093225421667</v>
      </c>
      <c r="R255" s="107"/>
      <c r="S255" s="143">
        <f t="shared" si="129"/>
        <v>826.92194907436613</v>
      </c>
      <c r="T255" s="244">
        <v>1516.55</v>
      </c>
      <c r="U255" s="107"/>
      <c r="V255" s="151">
        <f t="shared" si="130"/>
        <v>1516.55</v>
      </c>
      <c r="W255" s="906">
        <v>329.3</v>
      </c>
      <c r="X255" s="107"/>
      <c r="Y255" s="46">
        <f t="shared" si="131"/>
        <v>329.3</v>
      </c>
      <c r="Z255" s="141">
        <f t="shared" si="132"/>
        <v>130.67138862217115</v>
      </c>
      <c r="AA255" s="107">
        <f t="shared" si="119"/>
        <v>28.722605564223421</v>
      </c>
      <c r="AB255" s="333">
        <v>0</v>
      </c>
      <c r="AC255" s="107"/>
      <c r="AD255" s="107">
        <f t="shared" si="133"/>
        <v>109.17263831617279</v>
      </c>
      <c r="AE255" s="107">
        <f t="shared" si="134"/>
        <v>34.567972564336401</v>
      </c>
      <c r="AF255" s="107"/>
      <c r="AG255" s="142">
        <f t="shared" si="135"/>
        <v>303.13460506690376</v>
      </c>
      <c r="AH255" s="210">
        <f t="shared" si="136"/>
        <v>746.85244719098819</v>
      </c>
      <c r="AI255" s="107">
        <f t="shared" si="120"/>
        <v>148.97144109872309</v>
      </c>
      <c r="AJ255" s="333">
        <v>197.27225542727632</v>
      </c>
      <c r="AK255" s="121">
        <f t="shared" si="121"/>
        <v>0</v>
      </c>
      <c r="AL255" s="107">
        <f>2*436+130.33*2</f>
        <v>1132.6600000000001</v>
      </c>
      <c r="AM255" s="107">
        <f t="shared" si="137"/>
        <v>623.97631916567866</v>
      </c>
      <c r="AN255" s="107">
        <f t="shared" si="138"/>
        <v>366.79714331855843</v>
      </c>
      <c r="AO255" s="107"/>
      <c r="AP255" s="143">
        <f t="shared" si="139"/>
        <v>3216.5296062012249</v>
      </c>
      <c r="AQ255" s="34"/>
      <c r="AR255" s="29"/>
      <c r="AS255" s="124"/>
      <c r="AT255" s="138">
        <f t="shared" si="140"/>
        <v>1288.8488017020845</v>
      </c>
      <c r="AU255" s="151">
        <f t="shared" si="141"/>
        <v>10649.004143025892</v>
      </c>
      <c r="AW255" s="1">
        <v>2</v>
      </c>
      <c r="BA255" s="30">
        <v>1129.05</v>
      </c>
      <c r="BB255" s="30">
        <v>320.32</v>
      </c>
      <c r="BC255" s="30">
        <v>46.15</v>
      </c>
      <c r="BD255" s="30">
        <v>720.28</v>
      </c>
      <c r="BI255" s="333">
        <v>0</v>
      </c>
      <c r="BL255" s="110">
        <f t="shared" si="151"/>
        <v>1.0967873225415627</v>
      </c>
      <c r="BM255" s="110">
        <f t="shared" si="151"/>
        <v>1.1127076627324948</v>
      </c>
      <c r="BN255" s="110">
        <f t="shared" si="151"/>
        <v>2.8314493742615632</v>
      </c>
      <c r="BO255" s="110">
        <f t="shared" si="151"/>
        <v>1.036891829831438</v>
      </c>
    </row>
    <row r="256" spans="1:67" x14ac:dyDescent="0.25">
      <c r="A256" s="260" t="s">
        <v>389</v>
      </c>
      <c r="B256" s="237">
        <v>9</v>
      </c>
      <c r="C256" s="236">
        <f>'побудинковий звіт'!E256</f>
        <v>4580.3</v>
      </c>
      <c r="D256" s="141">
        <f t="shared" si="122"/>
        <v>541.31938304038829</v>
      </c>
      <c r="E256" s="107">
        <f t="shared" si="116"/>
        <v>111.58053129123634</v>
      </c>
      <c r="F256" s="333">
        <v>119.83568484380508</v>
      </c>
      <c r="G256" s="107">
        <f t="shared" si="117"/>
        <v>0</v>
      </c>
      <c r="H256" s="735">
        <f t="shared" si="123"/>
        <v>452.25864545664604</v>
      </c>
      <c r="I256" s="107">
        <f t="shared" si="124"/>
        <v>157.67248166805226</v>
      </c>
      <c r="J256" s="29"/>
      <c r="K256" s="142">
        <f t="shared" si="125"/>
        <v>1382.6667263001279</v>
      </c>
      <c r="L256" s="210">
        <f t="shared" si="126"/>
        <v>87.425441060892112</v>
      </c>
      <c r="M256" s="107">
        <f t="shared" si="118"/>
        <v>19.235164150513949</v>
      </c>
      <c r="N256" s="333">
        <v>0</v>
      </c>
      <c r="O256" s="107"/>
      <c r="P256" s="107">
        <f t="shared" si="127"/>
        <v>73.041743546247417</v>
      </c>
      <c r="Q256" s="107">
        <f t="shared" si="128"/>
        <v>23.129998703550761</v>
      </c>
      <c r="R256" s="107"/>
      <c r="S256" s="143">
        <f t="shared" si="129"/>
        <v>202.83234746120425</v>
      </c>
      <c r="T256" s="244">
        <v>700.99</v>
      </c>
      <c r="U256" s="107"/>
      <c r="V256" s="151">
        <f t="shared" si="130"/>
        <v>700.99</v>
      </c>
      <c r="W256" s="906">
        <v>162.1</v>
      </c>
      <c r="X256" s="107"/>
      <c r="Y256" s="46">
        <f t="shared" si="131"/>
        <v>162.1</v>
      </c>
      <c r="Z256" s="141">
        <f t="shared" si="132"/>
        <v>56.006068622893721</v>
      </c>
      <c r="AA256" s="107">
        <f t="shared" si="119"/>
        <v>12.310577206074523</v>
      </c>
      <c r="AB256" s="333">
        <v>0</v>
      </c>
      <c r="AC256" s="107"/>
      <c r="AD256" s="107">
        <f t="shared" si="133"/>
        <v>46.79165299878435</v>
      </c>
      <c r="AE256" s="107">
        <f t="shared" si="134"/>
        <v>14.815915434942015</v>
      </c>
      <c r="AF256" s="107"/>
      <c r="AG256" s="142">
        <f t="shared" si="135"/>
        <v>129.92421426269462</v>
      </c>
      <c r="AH256" s="210">
        <f t="shared" si="136"/>
        <v>385.74449853389154</v>
      </c>
      <c r="AI256" s="107">
        <f t="shared" si="120"/>
        <v>76.942793799004505</v>
      </c>
      <c r="AJ256" s="333">
        <v>47.049782692729231</v>
      </c>
      <c r="AK256" s="121">
        <f t="shared" si="121"/>
        <v>0</v>
      </c>
      <c r="AL256" s="107"/>
      <c r="AM256" s="107">
        <f t="shared" si="137"/>
        <v>322.27976655747176</v>
      </c>
      <c r="AN256" s="107">
        <f t="shared" si="138"/>
        <v>107.09124616452634</v>
      </c>
      <c r="AO256" s="107"/>
      <c r="AP256" s="143">
        <f t="shared" si="139"/>
        <v>939.10808774762336</v>
      </c>
      <c r="AQ256" s="34"/>
      <c r="AR256" s="29"/>
      <c r="AS256" s="124"/>
      <c r="AT256" s="138">
        <f t="shared" si="140"/>
        <v>2127.6271053254732</v>
      </c>
      <c r="AU256" s="151">
        <f t="shared" si="141"/>
        <v>5645.2484810971237</v>
      </c>
      <c r="AW256" s="1">
        <v>2</v>
      </c>
      <c r="BA256" s="30">
        <v>493.55</v>
      </c>
      <c r="BB256" s="30">
        <v>78.569999999999993</v>
      </c>
      <c r="BC256" s="30">
        <v>19.78</v>
      </c>
      <c r="BD256" s="30">
        <v>372.02</v>
      </c>
      <c r="BI256" s="333">
        <v>0</v>
      </c>
      <c r="BL256" s="110">
        <f t="shared" si="151"/>
        <v>1.0967873225415627</v>
      </c>
      <c r="BM256" s="110">
        <f t="shared" si="151"/>
        <v>1.1127076627324948</v>
      </c>
      <c r="BN256" s="110">
        <f t="shared" si="151"/>
        <v>2.8314493742615632</v>
      </c>
      <c r="BO256" s="110">
        <f t="shared" si="151"/>
        <v>1.036891829831438</v>
      </c>
    </row>
    <row r="257" spans="1:67" x14ac:dyDescent="0.25">
      <c r="A257" s="260" t="s">
        <v>390</v>
      </c>
      <c r="B257" s="237">
        <v>9</v>
      </c>
      <c r="C257" s="236">
        <f>'побудинковий звіт'!E257</f>
        <v>6069.8</v>
      </c>
      <c r="D257" s="141">
        <f t="shared" si="122"/>
        <v>572.555885986372</v>
      </c>
      <c r="E257" s="107">
        <f t="shared" si="116"/>
        <v>118.01921740444556</v>
      </c>
      <c r="F257" s="333">
        <v>141.60512420772926</v>
      </c>
      <c r="G257" s="107">
        <f t="shared" si="117"/>
        <v>0</v>
      </c>
      <c r="H257" s="735">
        <f t="shared" si="123"/>
        <v>478.35595317137665</v>
      </c>
      <c r="I257" s="107">
        <f t="shared" si="124"/>
        <v>168.68282675060851</v>
      </c>
      <c r="J257" s="29"/>
      <c r="K257" s="142">
        <f t="shared" si="125"/>
        <v>1479.2190075205317</v>
      </c>
      <c r="L257" s="210">
        <f t="shared" si="126"/>
        <v>89.483950236947237</v>
      </c>
      <c r="M257" s="107">
        <f t="shared" si="118"/>
        <v>19.688073068401831</v>
      </c>
      <c r="N257" s="333">
        <v>0</v>
      </c>
      <c r="O257" s="107"/>
      <c r="P257" s="107">
        <f t="shared" si="127"/>
        <v>74.761575868514925</v>
      </c>
      <c r="Q257" s="107">
        <f t="shared" si="128"/>
        <v>23.674614938775008</v>
      </c>
      <c r="R257" s="107"/>
      <c r="S257" s="143">
        <f t="shared" si="129"/>
        <v>207.60821411263902</v>
      </c>
      <c r="T257" s="244">
        <v>828.07</v>
      </c>
      <c r="U257" s="107"/>
      <c r="V257" s="151">
        <f t="shared" si="130"/>
        <v>828.07</v>
      </c>
      <c r="W257" s="906">
        <v>165.84</v>
      </c>
      <c r="X257" s="107"/>
      <c r="Y257" s="46">
        <f t="shared" si="131"/>
        <v>165.84</v>
      </c>
      <c r="Z257" s="141">
        <f t="shared" si="132"/>
        <v>74.665319999277429</v>
      </c>
      <c r="AA257" s="107">
        <f t="shared" si="119"/>
        <v>16.412028358148898</v>
      </c>
      <c r="AB257" s="333">
        <v>0</v>
      </c>
      <c r="AC257" s="107"/>
      <c r="AD257" s="107">
        <f t="shared" si="133"/>
        <v>62.380985317388451</v>
      </c>
      <c r="AE257" s="107">
        <f t="shared" si="134"/>
        <v>19.752057129394387</v>
      </c>
      <c r="AF257" s="107"/>
      <c r="AG257" s="142">
        <f t="shared" si="135"/>
        <v>173.21039080420917</v>
      </c>
      <c r="AH257" s="210">
        <f t="shared" si="136"/>
        <v>252.44168489076191</v>
      </c>
      <c r="AI257" s="107">
        <f t="shared" si="120"/>
        <v>50.353455669871614</v>
      </c>
      <c r="AJ257" s="333">
        <v>97.596881102941438</v>
      </c>
      <c r="AK257" s="121">
        <f t="shared" si="121"/>
        <v>0</v>
      </c>
      <c r="AL257" s="107">
        <f>130.33+436</f>
        <v>566.33000000000004</v>
      </c>
      <c r="AM257" s="107">
        <f t="shared" si="137"/>
        <v>210.90863922929435</v>
      </c>
      <c r="AN257" s="107">
        <f t="shared" si="138"/>
        <v>151.57618054535089</v>
      </c>
      <c r="AO257" s="107"/>
      <c r="AP257" s="143">
        <f t="shared" si="139"/>
        <v>1329.2068414382202</v>
      </c>
      <c r="AQ257" s="34"/>
      <c r="AR257" s="29"/>
      <c r="AS257" s="124"/>
      <c r="AT257" s="138">
        <f t="shared" si="140"/>
        <v>2819.525141127122</v>
      </c>
      <c r="AU257" s="151">
        <f t="shared" si="141"/>
        <v>7002.6795950027226</v>
      </c>
      <c r="AW257" s="1">
        <v>2</v>
      </c>
      <c r="BA257" s="30">
        <v>522.03</v>
      </c>
      <c r="BB257" s="30">
        <v>80.42</v>
      </c>
      <c r="BC257" s="30">
        <v>26.37</v>
      </c>
      <c r="BD257" s="30">
        <v>243.46</v>
      </c>
      <c r="BI257" s="333">
        <v>0</v>
      </c>
      <c r="BL257" s="110">
        <f t="shared" si="151"/>
        <v>1.0967873225415627</v>
      </c>
      <c r="BM257" s="110">
        <f t="shared" si="151"/>
        <v>1.1127076627324948</v>
      </c>
      <c r="BN257" s="110">
        <f t="shared" si="151"/>
        <v>2.8314493742615632</v>
      </c>
      <c r="BO257" s="110">
        <f t="shared" si="151"/>
        <v>1.036891829831438</v>
      </c>
    </row>
    <row r="258" spans="1:67" x14ac:dyDescent="0.25">
      <c r="A258" s="260" t="s">
        <v>391</v>
      </c>
      <c r="B258" s="237">
        <v>9</v>
      </c>
      <c r="C258" s="236">
        <f>'побудинковий звіт'!E258</f>
        <v>2685</v>
      </c>
      <c r="D258" s="141">
        <f t="shared" si="122"/>
        <v>316.68637151065082</v>
      </c>
      <c r="E258" s="107">
        <f t="shared" si="116"/>
        <v>65.277606331742632</v>
      </c>
      <c r="F258" s="333">
        <v>59.496658835908562</v>
      </c>
      <c r="G258" s="107">
        <f t="shared" si="117"/>
        <v>0</v>
      </c>
      <c r="H258" s="735">
        <f t="shared" si="123"/>
        <v>264.58344907132403</v>
      </c>
      <c r="I258" s="107">
        <f t="shared" si="124"/>
        <v>90.876935671343062</v>
      </c>
      <c r="J258" s="29"/>
      <c r="K258" s="142">
        <f t="shared" si="125"/>
        <v>796.92102142096905</v>
      </c>
      <c r="L258" s="210">
        <f t="shared" si="126"/>
        <v>52.163735228899355</v>
      </c>
      <c r="M258" s="107">
        <f t="shared" si="118"/>
        <v>11.476956794910194</v>
      </c>
      <c r="N258" s="333">
        <v>0</v>
      </c>
      <c r="O258" s="107"/>
      <c r="P258" s="107">
        <f t="shared" si="127"/>
        <v>43.581480685351643</v>
      </c>
      <c r="Q258" s="107">
        <f t="shared" si="128"/>
        <v>13.800869787736534</v>
      </c>
      <c r="R258" s="107"/>
      <c r="S258" s="143">
        <f t="shared" si="129"/>
        <v>121.02304249689772</v>
      </c>
      <c r="T258" s="245"/>
      <c r="U258" s="107"/>
      <c r="V258" s="151">
        <f t="shared" si="130"/>
        <v>0</v>
      </c>
      <c r="W258" s="246"/>
      <c r="X258" s="107"/>
      <c r="Y258" s="46">
        <f t="shared" si="131"/>
        <v>0</v>
      </c>
      <c r="Z258" s="141">
        <f t="shared" si="132"/>
        <v>37.346817246510014</v>
      </c>
      <c r="AA258" s="107">
        <f t="shared" si="119"/>
        <v>8.2091260540001478</v>
      </c>
      <c r="AB258" s="333">
        <v>0</v>
      </c>
      <c r="AC258" s="107"/>
      <c r="AD258" s="107">
        <f t="shared" si="133"/>
        <v>31.202320680180261</v>
      </c>
      <c r="AE258" s="107">
        <f t="shared" si="134"/>
        <v>9.8797737404896449</v>
      </c>
      <c r="AF258" s="107"/>
      <c r="AG258" s="142">
        <f t="shared" si="135"/>
        <v>86.638037721180069</v>
      </c>
      <c r="AH258" s="210">
        <f t="shared" si="136"/>
        <v>96.669425295184965</v>
      </c>
      <c r="AI258" s="107">
        <f t="shared" si="120"/>
        <v>19.282233927964061</v>
      </c>
      <c r="AJ258" s="333">
        <v>23.3595266119736</v>
      </c>
      <c r="AK258" s="121">
        <f t="shared" si="121"/>
        <v>0</v>
      </c>
      <c r="AL258" s="107">
        <f>436+130.33</f>
        <v>566.33000000000004</v>
      </c>
      <c r="AM258" s="107">
        <f t="shared" si="137"/>
        <v>80.76485843812992</v>
      </c>
      <c r="AN258" s="107">
        <f t="shared" si="138"/>
        <v>101.22055115170065</v>
      </c>
      <c r="AO258" s="107"/>
      <c r="AP258" s="143">
        <f t="shared" si="139"/>
        <v>887.62659542495317</v>
      </c>
      <c r="AQ258" s="34"/>
      <c r="AR258" s="29"/>
      <c r="AS258" s="124"/>
      <c r="AT258" s="138">
        <f t="shared" si="140"/>
        <v>1247.2280806494978</v>
      </c>
      <c r="AU258" s="151">
        <f t="shared" si="141"/>
        <v>3139.4367777134976</v>
      </c>
      <c r="AW258" s="1">
        <v>2</v>
      </c>
      <c r="BA258" s="30">
        <v>288.74</v>
      </c>
      <c r="BB258" s="30">
        <v>46.88</v>
      </c>
      <c r="BC258" s="30">
        <v>13.19</v>
      </c>
      <c r="BD258" s="30">
        <v>93.23</v>
      </c>
      <c r="BI258" s="333">
        <v>0</v>
      </c>
      <c r="BL258" s="110">
        <f t="shared" si="151"/>
        <v>1.0967873225415627</v>
      </c>
      <c r="BM258" s="110">
        <f t="shared" si="151"/>
        <v>1.1127076627324948</v>
      </c>
      <c r="BN258" s="110">
        <f t="shared" si="151"/>
        <v>2.8314493742615632</v>
      </c>
      <c r="BO258" s="110">
        <f t="shared" si="151"/>
        <v>1.036891829831438</v>
      </c>
    </row>
    <row r="259" spans="1:67" x14ac:dyDescent="0.25">
      <c r="A259" s="260" t="s">
        <v>219</v>
      </c>
      <c r="B259" s="237">
        <v>4</v>
      </c>
      <c r="C259" s="236">
        <f>'побудинковий звіт'!E259</f>
        <v>2786.3999999999996</v>
      </c>
      <c r="D259" s="141">
        <f t="shared" si="122"/>
        <v>330.74718498563368</v>
      </c>
      <c r="E259" s="107">
        <f t="shared" si="116"/>
        <v>68.175919392534155</v>
      </c>
      <c r="F259" s="333">
        <v>59.983369232930109</v>
      </c>
      <c r="G259" s="107">
        <f t="shared" si="117"/>
        <v>0</v>
      </c>
      <c r="H259" s="735">
        <f t="shared" si="123"/>
        <v>276.33090289515997</v>
      </c>
      <c r="I259" s="107">
        <f t="shared" si="124"/>
        <v>94.634486877665395</v>
      </c>
      <c r="J259" s="29"/>
      <c r="K259" s="142">
        <f t="shared" si="125"/>
        <v>829.87186338392337</v>
      </c>
      <c r="L259" s="210">
        <f t="shared" si="126"/>
        <v>68.809841863377486</v>
      </c>
      <c r="M259" s="107">
        <f t="shared" si="118"/>
        <v>15.139398639019763</v>
      </c>
      <c r="N259" s="333">
        <v>0</v>
      </c>
      <c r="O259" s="107"/>
      <c r="P259" s="107">
        <f t="shared" si="127"/>
        <v>57.488881518390485</v>
      </c>
      <c r="Q259" s="107">
        <f t="shared" si="128"/>
        <v>18.204901614198537</v>
      </c>
      <c r="R259" s="107"/>
      <c r="S259" s="143">
        <f t="shared" si="129"/>
        <v>159.64302363498626</v>
      </c>
      <c r="T259" s="905">
        <v>326.39166666666671</v>
      </c>
      <c r="U259" s="107"/>
      <c r="V259" s="151">
        <f t="shared" si="130"/>
        <v>326.39166666666671</v>
      </c>
      <c r="W259" s="246"/>
      <c r="X259" s="107"/>
      <c r="Y259" s="46">
        <f t="shared" si="131"/>
        <v>0</v>
      </c>
      <c r="Z259" s="141">
        <f t="shared" si="132"/>
        <v>0</v>
      </c>
      <c r="AA259" s="107">
        <f t="shared" si="119"/>
        <v>0</v>
      </c>
      <c r="AB259" s="333">
        <v>0</v>
      </c>
      <c r="AC259" s="107"/>
      <c r="AD259" s="107">
        <f t="shared" si="133"/>
        <v>0</v>
      </c>
      <c r="AE259" s="107">
        <f t="shared" si="134"/>
        <v>0</v>
      </c>
      <c r="AF259" s="107"/>
      <c r="AG259" s="142">
        <f t="shared" si="135"/>
        <v>0</v>
      </c>
      <c r="AH259" s="210">
        <f t="shared" si="136"/>
        <v>224.05158658997715</v>
      </c>
      <c r="AI259" s="107">
        <f t="shared" si="120"/>
        <v>44.690605032226479</v>
      </c>
      <c r="AJ259" s="333">
        <v>23.550618426102286</v>
      </c>
      <c r="AK259" s="121">
        <f t="shared" si="121"/>
        <v>0</v>
      </c>
      <c r="AL259" s="107"/>
      <c r="AM259" s="107">
        <f t="shared" si="137"/>
        <v>187.18943056217009</v>
      </c>
      <c r="AN259" s="107">
        <f t="shared" si="138"/>
        <v>61.715518357817707</v>
      </c>
      <c r="AO259" s="107"/>
      <c r="AP259" s="143">
        <f t="shared" si="139"/>
        <v>541.19775896829367</v>
      </c>
      <c r="AQ259" s="34"/>
      <c r="AR259" s="29"/>
      <c r="AS259" s="124"/>
      <c r="AT259" s="138">
        <f t="shared" si="140"/>
        <v>1294.3301020192775</v>
      </c>
      <c r="AU259" s="151">
        <f t="shared" si="141"/>
        <v>3151.4344146731473</v>
      </c>
      <c r="AW259" s="1">
        <v>2</v>
      </c>
      <c r="BA259" s="30">
        <v>301.56</v>
      </c>
      <c r="BB259" s="30">
        <v>61.84</v>
      </c>
      <c r="BC259" s="30">
        <v>0</v>
      </c>
      <c r="BD259" s="30">
        <v>216.08</v>
      </c>
      <c r="BF259" s="289">
        <f t="shared" ref="BF259:BF267" si="152">T259*1.2</f>
        <v>391.67</v>
      </c>
      <c r="BI259" s="333">
        <v>0</v>
      </c>
      <c r="BL259" s="110">
        <f t="shared" si="151"/>
        <v>1.0967873225415627</v>
      </c>
      <c r="BM259" s="110">
        <f t="shared" si="151"/>
        <v>1.1127076627324948</v>
      </c>
      <c r="BN259" s="110">
        <f t="shared" si="151"/>
        <v>2.8314493742615632</v>
      </c>
      <c r="BO259" s="110">
        <f t="shared" si="151"/>
        <v>1.036891829831438</v>
      </c>
    </row>
    <row r="260" spans="1:67" x14ac:dyDescent="0.25">
      <c r="A260" s="260" t="s">
        <v>220</v>
      </c>
      <c r="B260" s="237">
        <v>4</v>
      </c>
      <c r="C260" s="236">
        <f>'побудинковий звіт'!E260</f>
        <v>4979.4000000000005</v>
      </c>
      <c r="D260" s="141">
        <f t="shared" si="122"/>
        <v>283.93630205955975</v>
      </c>
      <c r="E260" s="107">
        <f t="shared" si="116"/>
        <v>58.526933321193923</v>
      </c>
      <c r="F260" s="333">
        <v>48.390812503871096</v>
      </c>
      <c r="G260" s="107">
        <f t="shared" si="117"/>
        <v>0</v>
      </c>
      <c r="H260" s="735">
        <f t="shared" si="123"/>
        <v>237.22159484513529</v>
      </c>
      <c r="I260" s="107">
        <f t="shared" si="124"/>
        <v>80.841396356275737</v>
      </c>
      <c r="J260" s="29"/>
      <c r="K260" s="142">
        <f t="shared" si="125"/>
        <v>708.91703908603574</v>
      </c>
      <c r="L260" s="210">
        <f t="shared" si="126"/>
        <v>51.484983554632535</v>
      </c>
      <c r="M260" s="107">
        <f t="shared" si="118"/>
        <v>11.327619259822839</v>
      </c>
      <c r="N260" s="333">
        <v>0</v>
      </c>
      <c r="O260" s="107"/>
      <c r="P260" s="107">
        <f t="shared" si="127"/>
        <v>43.014400838549932</v>
      </c>
      <c r="Q260" s="107">
        <f t="shared" si="128"/>
        <v>13.621293623689624</v>
      </c>
      <c r="R260" s="107"/>
      <c r="S260" s="143">
        <f t="shared" si="129"/>
        <v>119.44829727669493</v>
      </c>
      <c r="T260" s="905">
        <v>237.15833333333333</v>
      </c>
      <c r="U260" s="107"/>
      <c r="V260" s="151">
        <f t="shared" si="130"/>
        <v>237.15833333333333</v>
      </c>
      <c r="W260" s="246"/>
      <c r="X260" s="107"/>
      <c r="Y260" s="46">
        <f t="shared" si="131"/>
        <v>0</v>
      </c>
      <c r="Z260" s="141">
        <f t="shared" si="132"/>
        <v>0</v>
      </c>
      <c r="AA260" s="107">
        <f t="shared" si="119"/>
        <v>0</v>
      </c>
      <c r="AB260" s="333">
        <v>0</v>
      </c>
      <c r="AC260" s="107"/>
      <c r="AD260" s="107">
        <f t="shared" si="133"/>
        <v>0</v>
      </c>
      <c r="AE260" s="107">
        <f t="shared" si="134"/>
        <v>0</v>
      </c>
      <c r="AF260" s="107"/>
      <c r="AG260" s="142">
        <f t="shared" si="135"/>
        <v>0</v>
      </c>
      <c r="AH260" s="210">
        <f t="shared" si="136"/>
        <v>146.09805882324963</v>
      </c>
      <c r="AI260" s="107">
        <f t="shared" si="120"/>
        <v>29.141550578677855</v>
      </c>
      <c r="AJ260" s="333">
        <v>18.999158853218983</v>
      </c>
      <c r="AK260" s="121">
        <f t="shared" si="121"/>
        <v>0</v>
      </c>
      <c r="AL260" s="107"/>
      <c r="AM260" s="107">
        <f t="shared" si="137"/>
        <v>122.06123086916773</v>
      </c>
      <c r="AN260" s="107">
        <f t="shared" si="138"/>
        <v>40.711869490058106</v>
      </c>
      <c r="AO260" s="107"/>
      <c r="AP260" s="143">
        <f t="shared" si="139"/>
        <v>357.0118686143723</v>
      </c>
      <c r="AQ260" s="34"/>
      <c r="AR260" s="29"/>
      <c r="AS260" s="124"/>
      <c r="AT260" s="138">
        <f t="shared" si="140"/>
        <v>2313.015830460376</v>
      </c>
      <c r="AU260" s="151">
        <f t="shared" si="141"/>
        <v>3735.5513687708126</v>
      </c>
      <c r="AW260" s="1">
        <v>2</v>
      </c>
      <c r="BA260" s="30">
        <v>258.88</v>
      </c>
      <c r="BB260" s="30">
        <v>46.27</v>
      </c>
      <c r="BC260" s="30">
        <v>0</v>
      </c>
      <c r="BD260" s="30">
        <v>140.9</v>
      </c>
      <c r="BF260" s="289">
        <f t="shared" si="152"/>
        <v>284.58999999999997</v>
      </c>
      <c r="BI260" s="333">
        <v>0</v>
      </c>
      <c r="BL260" s="110">
        <f t="shared" si="151"/>
        <v>1.0967873225415627</v>
      </c>
      <c r="BM260" s="110">
        <f t="shared" si="151"/>
        <v>1.1127076627324948</v>
      </c>
      <c r="BN260" s="110">
        <f t="shared" si="151"/>
        <v>2.8314493742615632</v>
      </c>
      <c r="BO260" s="110">
        <f t="shared" si="151"/>
        <v>1.036891829831438</v>
      </c>
    </row>
    <row r="261" spans="1:67" x14ac:dyDescent="0.25">
      <c r="A261" s="260" t="s">
        <v>221</v>
      </c>
      <c r="B261" s="237">
        <v>4</v>
      </c>
      <c r="C261" s="236">
        <f>'побудинковий звіт'!E261</f>
        <v>3871.3</v>
      </c>
      <c r="D261" s="141">
        <f t="shared" si="122"/>
        <v>367.98311458591968</v>
      </c>
      <c r="E261" s="107">
        <f t="shared" si="116"/>
        <v>75.851249222009315</v>
      </c>
      <c r="F261" s="333">
        <v>54.235551210961191</v>
      </c>
      <c r="G261" s="107">
        <f t="shared" si="117"/>
        <v>0</v>
      </c>
      <c r="H261" s="735">
        <f t="shared" si="123"/>
        <v>307.44057975313405</v>
      </c>
      <c r="I261" s="107">
        <f t="shared" si="124"/>
        <v>103.67953913000785</v>
      </c>
      <c r="J261" s="29"/>
      <c r="K261" s="142">
        <f t="shared" si="125"/>
        <v>909.19003390203204</v>
      </c>
      <c r="L261" s="210">
        <f t="shared" si="126"/>
        <v>68.186725572247283</v>
      </c>
      <c r="M261" s="107">
        <f t="shared" si="118"/>
        <v>15.002301885496944</v>
      </c>
      <c r="N261" s="333">
        <v>0</v>
      </c>
      <c r="O261" s="107"/>
      <c r="P261" s="107">
        <f t="shared" si="127"/>
        <v>56.968283626244641</v>
      </c>
      <c r="Q261" s="107">
        <f t="shared" si="128"/>
        <v>18.040044807860387</v>
      </c>
      <c r="R261" s="107"/>
      <c r="S261" s="143">
        <f t="shared" si="129"/>
        <v>158.19735589184927</v>
      </c>
      <c r="T261" s="905">
        <v>344.6</v>
      </c>
      <c r="U261" s="107"/>
      <c r="V261" s="151">
        <f t="shared" si="130"/>
        <v>344.6</v>
      </c>
      <c r="W261" s="246"/>
      <c r="X261" s="107"/>
      <c r="Y261" s="46">
        <f t="shared" si="131"/>
        <v>0</v>
      </c>
      <c r="Z261" s="141">
        <f t="shared" si="132"/>
        <v>0</v>
      </c>
      <c r="AA261" s="107">
        <f t="shared" si="119"/>
        <v>0</v>
      </c>
      <c r="AB261" s="333">
        <v>0</v>
      </c>
      <c r="AC261" s="107"/>
      <c r="AD261" s="107">
        <f t="shared" si="133"/>
        <v>0</v>
      </c>
      <c r="AE261" s="107">
        <f t="shared" si="134"/>
        <v>0</v>
      </c>
      <c r="AF261" s="107"/>
      <c r="AG261" s="142">
        <f t="shared" si="135"/>
        <v>0</v>
      </c>
      <c r="AH261" s="210">
        <f t="shared" si="136"/>
        <v>219.14708823487442</v>
      </c>
      <c r="AI261" s="107">
        <f t="shared" si="120"/>
        <v>43.712325868016777</v>
      </c>
      <c r="AJ261" s="333">
        <v>21.293915097344442</v>
      </c>
      <c r="AK261" s="121">
        <f t="shared" si="121"/>
        <v>0</v>
      </c>
      <c r="AL261" s="418"/>
      <c r="AM261" s="107">
        <f t="shared" si="137"/>
        <v>183.09184630375157</v>
      </c>
      <c r="AN261" s="107">
        <f t="shared" si="138"/>
        <v>60.140451020049831</v>
      </c>
      <c r="AO261" s="107"/>
      <c r="AP261" s="143">
        <f t="shared" si="139"/>
        <v>527.38562652403698</v>
      </c>
      <c r="AQ261" s="34"/>
      <c r="AR261" s="29"/>
      <c r="AS261" s="124"/>
      <c r="AT261" s="138">
        <f t="shared" si="140"/>
        <v>1798.2845693178404</v>
      </c>
      <c r="AU261" s="151">
        <f t="shared" si="141"/>
        <v>3737.6575856357586</v>
      </c>
      <c r="AW261" s="1">
        <v>2</v>
      </c>
      <c r="BA261" s="30">
        <v>335.51</v>
      </c>
      <c r="BB261" s="30">
        <v>61.28</v>
      </c>
      <c r="BC261" s="30">
        <v>0</v>
      </c>
      <c r="BD261" s="30">
        <v>211.35</v>
      </c>
      <c r="BF261" s="289">
        <f t="shared" si="152"/>
        <v>413.52000000000004</v>
      </c>
      <c r="BG261" s="1">
        <v>330.81</v>
      </c>
      <c r="BI261" s="333">
        <v>0</v>
      </c>
      <c r="BL261" s="110">
        <f t="shared" si="151"/>
        <v>1.0967873225415627</v>
      </c>
      <c r="BM261" s="110">
        <f t="shared" si="151"/>
        <v>1.1127076627324948</v>
      </c>
      <c r="BN261" s="110">
        <f t="shared" si="151"/>
        <v>2.8314493742615632</v>
      </c>
      <c r="BO261" s="110">
        <f t="shared" si="151"/>
        <v>1.036891829831438</v>
      </c>
    </row>
    <row r="262" spans="1:67" x14ac:dyDescent="0.25">
      <c r="A262" s="260" t="s">
        <v>289</v>
      </c>
      <c r="B262" s="237">
        <v>5</v>
      </c>
      <c r="C262" s="236">
        <f>'побудинковий звіт'!E262</f>
        <v>275.8</v>
      </c>
      <c r="D262" s="141">
        <f t="shared" si="122"/>
        <v>446.84212307665808</v>
      </c>
      <c r="E262" s="107">
        <f t="shared" si="116"/>
        <v>92.106218728320528</v>
      </c>
      <c r="F262" s="333">
        <v>75.178847082798114</v>
      </c>
      <c r="G262" s="107">
        <f t="shared" si="117"/>
        <v>0</v>
      </c>
      <c r="H262" s="735">
        <f t="shared" si="123"/>
        <v>373.32528567620744</v>
      </c>
      <c r="I262" s="107">
        <f t="shared" si="124"/>
        <v>127.09780709257538</v>
      </c>
      <c r="J262" s="29"/>
      <c r="K262" s="142">
        <f t="shared" si="125"/>
        <v>1114.5502816565595</v>
      </c>
      <c r="L262" s="210">
        <f t="shared" si="126"/>
        <v>77.911790544529282</v>
      </c>
      <c r="M262" s="107">
        <f t="shared" si="118"/>
        <v>17.141990502978068</v>
      </c>
      <c r="N262" s="333">
        <v>0</v>
      </c>
      <c r="O262" s="107"/>
      <c r="P262" s="107">
        <f t="shared" si="127"/>
        <v>65.093329300092194</v>
      </c>
      <c r="Q262" s="107">
        <f t="shared" si="128"/>
        <v>20.612988535352223</v>
      </c>
      <c r="R262" s="107"/>
      <c r="S262" s="143">
        <f t="shared" si="129"/>
        <v>180.76009888295178</v>
      </c>
      <c r="T262" s="905">
        <v>435.18333333333339</v>
      </c>
      <c r="U262" s="107"/>
      <c r="V262" s="151">
        <f t="shared" si="130"/>
        <v>435.18333333333339</v>
      </c>
      <c r="W262" s="246"/>
      <c r="X262" s="107"/>
      <c r="Y262" s="46">
        <f t="shared" si="131"/>
        <v>0</v>
      </c>
      <c r="Z262" s="141">
        <f t="shared" si="132"/>
        <v>0</v>
      </c>
      <c r="AA262" s="107">
        <f t="shared" si="119"/>
        <v>0</v>
      </c>
      <c r="AB262" s="333">
        <v>0</v>
      </c>
      <c r="AC262" s="107"/>
      <c r="AD262" s="107">
        <f t="shared" si="133"/>
        <v>0</v>
      </c>
      <c r="AE262" s="107">
        <f t="shared" si="134"/>
        <v>0</v>
      </c>
      <c r="AF262" s="107"/>
      <c r="AG262" s="142">
        <f t="shared" si="135"/>
        <v>0</v>
      </c>
      <c r="AH262" s="210">
        <f t="shared" si="136"/>
        <v>248.16969055185638</v>
      </c>
      <c r="AI262" s="107">
        <f t="shared" si="120"/>
        <v>49.501339357705874</v>
      </c>
      <c r="AJ262" s="333">
        <v>29.516653765912242</v>
      </c>
      <c r="AK262" s="121">
        <f t="shared" si="121"/>
        <v>0</v>
      </c>
      <c r="AL262" s="107"/>
      <c r="AM262" s="107">
        <f t="shared" si="137"/>
        <v>207.33949606974167</v>
      </c>
      <c r="AN262" s="107">
        <f t="shared" si="138"/>
        <v>68.800508507504574</v>
      </c>
      <c r="AO262" s="107"/>
      <c r="AP262" s="143">
        <f t="shared" si="139"/>
        <v>603.32768825272069</v>
      </c>
      <c r="AQ262" s="34"/>
      <c r="AR262" s="29"/>
      <c r="AS262" s="124"/>
      <c r="AT262" s="138">
        <f t="shared" si="140"/>
        <v>128.11378198999313</v>
      </c>
      <c r="AU262" s="151">
        <f t="shared" si="141"/>
        <v>2461.9351841155585</v>
      </c>
      <c r="AW262" s="1">
        <v>2</v>
      </c>
      <c r="BA262" s="30">
        <v>407.41</v>
      </c>
      <c r="BB262" s="30">
        <v>70.02</v>
      </c>
      <c r="BC262" s="30">
        <v>0</v>
      </c>
      <c r="BD262" s="30">
        <v>239.34</v>
      </c>
      <c r="BF262" s="289">
        <f t="shared" si="152"/>
        <v>522.22</v>
      </c>
      <c r="BI262" s="333">
        <v>0</v>
      </c>
      <c r="BL262" s="110">
        <f t="shared" si="151"/>
        <v>1.0967873225415627</v>
      </c>
      <c r="BM262" s="110">
        <f t="shared" si="151"/>
        <v>1.1127076627324948</v>
      </c>
      <c r="BN262" s="110">
        <f t="shared" si="151"/>
        <v>2.8314493742615632</v>
      </c>
      <c r="BO262" s="110">
        <f t="shared" si="151"/>
        <v>1.036891829831438</v>
      </c>
    </row>
    <row r="263" spans="1:67" x14ac:dyDescent="0.25">
      <c r="A263" s="260" t="s">
        <v>222</v>
      </c>
      <c r="B263" s="237">
        <v>4</v>
      </c>
      <c r="C263" s="236">
        <f>'побудинковий звіт'!E263</f>
        <v>478.1</v>
      </c>
      <c r="D263" s="141">
        <f t="shared" si="122"/>
        <v>470.73015096161333</v>
      </c>
      <c r="E263" s="107">
        <f t="shared" si="116"/>
        <v>97.030185847200329</v>
      </c>
      <c r="F263" s="333">
        <v>76.171230619582346</v>
      </c>
      <c r="G263" s="107">
        <f t="shared" si="117"/>
        <v>0</v>
      </c>
      <c r="H263" s="735">
        <f t="shared" si="123"/>
        <v>393.28312844400352</v>
      </c>
      <c r="I263" s="107">
        <f t="shared" si="124"/>
        <v>133.50284365613024</v>
      </c>
      <c r="J263" s="29"/>
      <c r="K263" s="142">
        <f t="shared" si="125"/>
        <v>1170.7175395285299</v>
      </c>
      <c r="L263" s="210">
        <f t="shared" si="126"/>
        <v>86.646545696979373</v>
      </c>
      <c r="M263" s="107">
        <f t="shared" si="118"/>
        <v>19.063793208610427</v>
      </c>
      <c r="N263" s="333">
        <v>0</v>
      </c>
      <c r="O263" s="107"/>
      <c r="P263" s="107">
        <f t="shared" si="127"/>
        <v>72.39099618106512</v>
      </c>
      <c r="Q263" s="107">
        <f t="shared" si="128"/>
        <v>22.923927695628073</v>
      </c>
      <c r="R263" s="107"/>
      <c r="S263" s="143">
        <f t="shared" si="129"/>
        <v>201.02526278228297</v>
      </c>
      <c r="T263" s="905">
        <v>424.61666666666667</v>
      </c>
      <c r="U263" s="107"/>
      <c r="V263" s="151">
        <f t="shared" si="130"/>
        <v>424.61666666666667</v>
      </c>
      <c r="W263" s="246"/>
      <c r="X263" s="107"/>
      <c r="Y263" s="46">
        <f t="shared" si="131"/>
        <v>0</v>
      </c>
      <c r="Z263" s="141">
        <f t="shared" si="132"/>
        <v>0</v>
      </c>
      <c r="AA263" s="107">
        <f t="shared" si="119"/>
        <v>0</v>
      </c>
      <c r="AB263" s="333">
        <v>0</v>
      </c>
      <c r="AC263" s="107"/>
      <c r="AD263" s="107">
        <f t="shared" si="133"/>
        <v>0</v>
      </c>
      <c r="AE263" s="107">
        <f t="shared" si="134"/>
        <v>0</v>
      </c>
      <c r="AF263" s="107"/>
      <c r="AG263" s="142">
        <f t="shared" si="135"/>
        <v>0</v>
      </c>
      <c r="AH263" s="210">
        <f t="shared" si="136"/>
        <v>330.975872082195</v>
      </c>
      <c r="AI263" s="107">
        <f t="shared" si="120"/>
        <v>66.018331758083534</v>
      </c>
      <c r="AJ263" s="333">
        <v>29.906282529785024</v>
      </c>
      <c r="AK263" s="121">
        <f t="shared" si="121"/>
        <v>0</v>
      </c>
      <c r="AL263" s="107"/>
      <c r="AM263" s="107">
        <f t="shared" si="137"/>
        <v>276.52196517699315</v>
      </c>
      <c r="AN263" s="107">
        <f t="shared" si="138"/>
        <v>90.539497701690308</v>
      </c>
      <c r="AO263" s="107"/>
      <c r="AP263" s="143">
        <f t="shared" si="139"/>
        <v>793.96194924874692</v>
      </c>
      <c r="AQ263" s="34"/>
      <c r="AR263" s="29"/>
      <c r="AS263" s="124"/>
      <c r="AT263" s="138">
        <f t="shared" si="140"/>
        <v>222.0855662415363</v>
      </c>
      <c r="AU263" s="151">
        <f t="shared" si="141"/>
        <v>2812.4069844677624</v>
      </c>
      <c r="AW263" s="1">
        <v>2</v>
      </c>
      <c r="BA263" s="30">
        <v>429.19</v>
      </c>
      <c r="BB263" s="30">
        <v>77.87</v>
      </c>
      <c r="BC263" s="30">
        <v>0</v>
      </c>
      <c r="BD263" s="30">
        <v>319.2</v>
      </c>
      <c r="BF263" s="289">
        <f t="shared" si="152"/>
        <v>509.53999999999996</v>
      </c>
      <c r="BI263" s="333">
        <v>0</v>
      </c>
      <c r="BL263" s="110">
        <f t="shared" si="151"/>
        <v>1.0967873225415627</v>
      </c>
      <c r="BM263" s="110">
        <f t="shared" si="151"/>
        <v>1.1127076627324948</v>
      </c>
      <c r="BN263" s="110">
        <f t="shared" si="151"/>
        <v>2.8314493742615632</v>
      </c>
      <c r="BO263" s="110">
        <f t="shared" si="151"/>
        <v>1.036891829831438</v>
      </c>
    </row>
    <row r="264" spans="1:67" x14ac:dyDescent="0.25">
      <c r="A264" s="260" t="s">
        <v>197</v>
      </c>
      <c r="B264" s="237">
        <v>3</v>
      </c>
      <c r="C264" s="236">
        <f>'побудинковий звіт'!E264</f>
        <v>3947.7000000000003</v>
      </c>
      <c r="D264" s="141">
        <f t="shared" si="122"/>
        <v>204.97858270979265</v>
      </c>
      <c r="E264" s="107">
        <f t="shared" si="116"/>
        <v>42.251616843317102</v>
      </c>
      <c r="F264" s="333">
        <v>28.783336509573864</v>
      </c>
      <c r="G264" s="107">
        <f t="shared" si="117"/>
        <v>0</v>
      </c>
      <c r="H264" s="735">
        <f t="shared" si="123"/>
        <v>171.25441849740164</v>
      </c>
      <c r="I264" s="107">
        <f t="shared" si="124"/>
        <v>57.56912628374296</v>
      </c>
      <c r="J264" s="29"/>
      <c r="K264" s="142">
        <f t="shared" si="125"/>
        <v>504.83708084382823</v>
      </c>
      <c r="L264" s="210">
        <f t="shared" si="126"/>
        <v>52.575437064110375</v>
      </c>
      <c r="M264" s="107">
        <f t="shared" si="118"/>
        <v>11.56753857848777</v>
      </c>
      <c r="N264" s="333">
        <v>0</v>
      </c>
      <c r="O264" s="107"/>
      <c r="P264" s="107">
        <f t="shared" si="127"/>
        <v>43.925447149805144</v>
      </c>
      <c r="Q264" s="107">
        <f t="shared" si="128"/>
        <v>13.909793034781384</v>
      </c>
      <c r="R264" s="107"/>
      <c r="S264" s="143">
        <f t="shared" si="129"/>
        <v>121.97821582718467</v>
      </c>
      <c r="T264" s="905">
        <v>165.15</v>
      </c>
      <c r="U264" s="107"/>
      <c r="V264" s="151">
        <f t="shared" si="130"/>
        <v>165.15</v>
      </c>
      <c r="W264" s="246"/>
      <c r="X264" s="107"/>
      <c r="Y264" s="46">
        <f t="shared" si="131"/>
        <v>0</v>
      </c>
      <c r="Z264" s="141">
        <f t="shared" si="132"/>
        <v>0</v>
      </c>
      <c r="AA264" s="107">
        <f t="shared" si="119"/>
        <v>0</v>
      </c>
      <c r="AB264" s="333">
        <v>0</v>
      </c>
      <c r="AC264" s="107"/>
      <c r="AD264" s="107">
        <f t="shared" si="133"/>
        <v>0</v>
      </c>
      <c r="AE264" s="107">
        <f t="shared" si="134"/>
        <v>0</v>
      </c>
      <c r="AF264" s="107"/>
      <c r="AG264" s="142">
        <f t="shared" si="135"/>
        <v>0</v>
      </c>
      <c r="AH264" s="210">
        <f t="shared" si="136"/>
        <v>121.85552784179059</v>
      </c>
      <c r="AI264" s="107">
        <f t="shared" si="120"/>
        <v>24.305997331484889</v>
      </c>
      <c r="AJ264" s="333">
        <v>11.300888626891822</v>
      </c>
      <c r="AK264" s="121">
        <f t="shared" si="121"/>
        <v>0</v>
      </c>
      <c r="AL264" s="107"/>
      <c r="AM264" s="107">
        <f t="shared" si="137"/>
        <v>101.80720973558971</v>
      </c>
      <c r="AN264" s="107">
        <f t="shared" si="138"/>
        <v>33.371328186364323</v>
      </c>
      <c r="AO264" s="107"/>
      <c r="AP264" s="143">
        <f t="shared" si="139"/>
        <v>292.64095172212137</v>
      </c>
      <c r="AQ264" s="34"/>
      <c r="AR264" s="29"/>
      <c r="AS264" s="124"/>
      <c r="AT264" s="138">
        <f t="shared" si="140"/>
        <v>1833.7736662867869</v>
      </c>
      <c r="AU264" s="151">
        <f t="shared" si="141"/>
        <v>2918.3799146799211</v>
      </c>
      <c r="AW264" s="1">
        <v>2</v>
      </c>
      <c r="BA264" s="30">
        <v>186.89</v>
      </c>
      <c r="BB264" s="30">
        <v>47.25</v>
      </c>
      <c r="BC264" s="30">
        <v>0</v>
      </c>
      <c r="BD264" s="30">
        <v>117.52</v>
      </c>
      <c r="BF264" s="289">
        <f t="shared" si="152"/>
        <v>198.18</v>
      </c>
      <c r="BI264" s="333">
        <v>0</v>
      </c>
      <c r="BL264" s="110">
        <f t="shared" si="151"/>
        <v>1.0967873225415627</v>
      </c>
      <c r="BM264" s="110">
        <f t="shared" si="151"/>
        <v>1.1127076627324948</v>
      </c>
      <c r="BN264" s="110">
        <f t="shared" si="151"/>
        <v>2.8314493742615632</v>
      </c>
      <c r="BO264" s="110">
        <f t="shared" si="151"/>
        <v>1.036891829831438</v>
      </c>
    </row>
    <row r="265" spans="1:67" x14ac:dyDescent="0.25">
      <c r="A265" s="260" t="s">
        <v>223</v>
      </c>
      <c r="B265" s="237">
        <v>4</v>
      </c>
      <c r="C265" s="236">
        <f>'побудинковий звіт'!E265</f>
        <v>11337.62</v>
      </c>
      <c r="D265" s="141">
        <f t="shared" si="122"/>
        <v>208.74056322611023</v>
      </c>
      <c r="E265" s="107">
        <f t="shared" ref="E265:E328" si="153">D265*$BA$372</f>
        <v>43.027062537429032</v>
      </c>
      <c r="F265" s="333">
        <v>31.701491920287559</v>
      </c>
      <c r="G265" s="107">
        <f t="shared" ref="G265:G328" si="154">$G$369/$C$368*C265</f>
        <v>0</v>
      </c>
      <c r="H265" s="735">
        <f t="shared" si="123"/>
        <v>174.39745801501141</v>
      </c>
      <c r="I265" s="107">
        <f t="shared" si="124"/>
        <v>58.933304853992951</v>
      </c>
      <c r="J265" s="29"/>
      <c r="K265" s="142">
        <f t="shared" si="125"/>
        <v>516.79988055283116</v>
      </c>
      <c r="L265" s="210">
        <f t="shared" si="126"/>
        <v>40.958769065183134</v>
      </c>
      <c r="M265" s="107">
        <f t="shared" ref="M265:M328" si="155">L265*$BB$372</f>
        <v>9.0116633878123782</v>
      </c>
      <c r="N265" s="333">
        <v>0</v>
      </c>
      <c r="O265" s="107"/>
      <c r="P265" s="107">
        <f t="shared" si="127"/>
        <v>34.220015017657722</v>
      </c>
      <c r="Q265" s="107">
        <f t="shared" si="128"/>
        <v>10.836391145191593</v>
      </c>
      <c r="R265" s="107"/>
      <c r="S265" s="143">
        <f t="shared" si="129"/>
        <v>95.026838615844824</v>
      </c>
      <c r="T265" s="905">
        <v>183.38333333333335</v>
      </c>
      <c r="U265" s="107"/>
      <c r="V265" s="151">
        <f t="shared" si="130"/>
        <v>183.38333333333335</v>
      </c>
      <c r="W265" s="246"/>
      <c r="X265" s="107"/>
      <c r="Y265" s="46">
        <f t="shared" si="131"/>
        <v>0</v>
      </c>
      <c r="Z265" s="141">
        <f t="shared" si="132"/>
        <v>0</v>
      </c>
      <c r="AA265" s="107">
        <f t="shared" ref="AA265:AA328" si="156">Z265*$BC$372</f>
        <v>0</v>
      </c>
      <c r="AB265" s="333">
        <v>0</v>
      </c>
      <c r="AC265" s="107"/>
      <c r="AD265" s="107">
        <f t="shared" si="133"/>
        <v>0</v>
      </c>
      <c r="AE265" s="107">
        <f t="shared" si="134"/>
        <v>0</v>
      </c>
      <c r="AF265" s="107"/>
      <c r="AG265" s="142">
        <f t="shared" si="135"/>
        <v>0</v>
      </c>
      <c r="AH265" s="210">
        <f t="shared" si="136"/>
        <v>84.475577376367255</v>
      </c>
      <c r="AI265" s="107">
        <f t="shared" ref="AI265:AI328" si="157">AH265*$BD$372</f>
        <v>16.849979600034668</v>
      </c>
      <c r="AJ265" s="333">
        <v>12.446612274373352</v>
      </c>
      <c r="AK265" s="121">
        <f t="shared" ref="AK265:AK328" si="158">$AK$369/$C$368*C265</f>
        <v>0</v>
      </c>
      <c r="AL265" s="107"/>
      <c r="AM265" s="107">
        <f t="shared" si="137"/>
        <v>70.577207089503858</v>
      </c>
      <c r="AN265" s="107">
        <f t="shared" si="138"/>
        <v>23.728130796450959</v>
      </c>
      <c r="AO265" s="107"/>
      <c r="AP265" s="143">
        <f t="shared" si="139"/>
        <v>208.07750713673011</v>
      </c>
      <c r="AQ265" s="34"/>
      <c r="AR265" s="29"/>
      <c r="AS265" s="124"/>
      <c r="AT265" s="138">
        <f t="shared" si="140"/>
        <v>5266.5169578150317</v>
      </c>
      <c r="AU265" s="151">
        <f t="shared" si="141"/>
        <v>6269.804517453771</v>
      </c>
      <c r="AW265" s="1">
        <v>2</v>
      </c>
      <c r="BA265" s="30">
        <v>190.32</v>
      </c>
      <c r="BB265" s="30">
        <v>36.81</v>
      </c>
      <c r="BC265" s="30">
        <v>0</v>
      </c>
      <c r="BD265" s="30">
        <v>81.47</v>
      </c>
      <c r="BF265" s="289">
        <f t="shared" si="152"/>
        <v>220.06000000000003</v>
      </c>
      <c r="BI265" s="333">
        <v>0</v>
      </c>
      <c r="BL265" s="110">
        <f t="shared" si="151"/>
        <v>1.0967873225415627</v>
      </c>
      <c r="BM265" s="110">
        <f t="shared" si="151"/>
        <v>1.1127076627324948</v>
      </c>
      <c r="BN265" s="110">
        <f t="shared" si="151"/>
        <v>2.8314493742615632</v>
      </c>
      <c r="BO265" s="110">
        <f t="shared" si="151"/>
        <v>1.036891829831438</v>
      </c>
    </row>
    <row r="266" spans="1:67" x14ac:dyDescent="0.25">
      <c r="A266" s="260" t="s">
        <v>224</v>
      </c>
      <c r="B266" s="237">
        <v>4</v>
      </c>
      <c r="C266" s="236">
        <f>'побудинковий звіт'!E266</f>
        <v>13532.32</v>
      </c>
      <c r="D266" s="141">
        <f t="shared" ref="D266:D329" si="159">BA266*BL266</f>
        <v>365.89921867309079</v>
      </c>
      <c r="E266" s="107">
        <f t="shared" si="153"/>
        <v>75.421702044512926</v>
      </c>
      <c r="F266" s="333">
        <v>58.438959185238318</v>
      </c>
      <c r="G266" s="107">
        <f t="shared" si="154"/>
        <v>0</v>
      </c>
      <c r="H266" s="735">
        <f t="shared" ref="H266:H329" si="160">D266*$B$4</f>
        <v>305.6995374547497</v>
      </c>
      <c r="I266" s="107">
        <f t="shared" ref="I266:I329" si="161">(D266+E266+F266+G266+H266)*$B$5</f>
        <v>103.67296481120917</v>
      </c>
      <c r="J266" s="29"/>
      <c r="K266" s="142">
        <f t="shared" ref="K266:K329" si="162">D266+E266+F266+G266+H266+I266-J266</f>
        <v>909.13238216880086</v>
      </c>
      <c r="L266" s="210">
        <f t="shared" ref="L266:L329" si="163">BB266*BM266</f>
        <v>59.340699653523941</v>
      </c>
      <c r="M266" s="107">
        <f t="shared" si="155"/>
        <v>13.056017616735508</v>
      </c>
      <c r="N266" s="333">
        <v>0</v>
      </c>
      <c r="O266" s="107"/>
      <c r="P266" s="107">
        <f t="shared" ref="P266:P329" si="164">L266*$B$4</f>
        <v>49.57765283595996</v>
      </c>
      <c r="Q266" s="107">
        <f t="shared" ref="Q266:Q329" si="165">(L266+M266+N266+O266+P266)*$B$5</f>
        <v>15.699666932167007</v>
      </c>
      <c r="R266" s="107"/>
      <c r="S266" s="143">
        <f t="shared" ref="S266:S329" si="166">L266+M266+N266+O266+P266+Q266-R266</f>
        <v>137.67403703838642</v>
      </c>
      <c r="T266" s="905">
        <v>303.32500000000005</v>
      </c>
      <c r="U266" s="107"/>
      <c r="V266" s="151">
        <f t="shared" ref="V266:V329" si="167">T266+U266</f>
        <v>303.32500000000005</v>
      </c>
      <c r="W266" s="246"/>
      <c r="X266" s="107"/>
      <c r="Y266" s="46">
        <f t="shared" ref="Y266:Y329" si="168">W266+X266</f>
        <v>0</v>
      </c>
      <c r="Z266" s="141">
        <f t="shared" ref="Z266:Z329" si="169">BC266*BN266</f>
        <v>0</v>
      </c>
      <c r="AA266" s="107">
        <f t="shared" si="156"/>
        <v>0</v>
      </c>
      <c r="AB266" s="333">
        <v>0</v>
      </c>
      <c r="AC266" s="107"/>
      <c r="AD266" s="107">
        <f t="shared" ref="AD266:AD329" si="170">Z266*$B$4</f>
        <v>0</v>
      </c>
      <c r="AE266" s="107">
        <f t="shared" ref="AE266:AE329" si="171">(Z266+AA266+AB266+AC266+AD266)*$B$5</f>
        <v>0</v>
      </c>
      <c r="AF266" s="107"/>
      <c r="AG266" s="142">
        <f t="shared" ref="AG266:AG329" si="172">Z266+AA266+AB266+AC266+AD266+AE266-AF266</f>
        <v>0</v>
      </c>
      <c r="AH266" s="210">
        <f t="shared" ref="AH266:AH329" si="173">BD266*BO266</f>
        <v>210.49941037408021</v>
      </c>
      <c r="AI266" s="107">
        <f t="shared" si="157"/>
        <v>41.98741080892399</v>
      </c>
      <c r="AJ266" s="333">
        <v>22.944253492092201</v>
      </c>
      <c r="AK266" s="121">
        <f t="shared" si="158"/>
        <v>0</v>
      </c>
      <c r="AL266" s="107"/>
      <c r="AM266" s="107">
        <f t="shared" ref="AM266:AM329" si="174">AH266*$B$4</f>
        <v>175.86693029630757</v>
      </c>
      <c r="AN266" s="107">
        <f t="shared" ref="AN266:AN329" si="175">(AH266+AI266+AJ266+AK266+AL266+AM266)*$B$5</f>
        <v>58.0878454960041</v>
      </c>
      <c r="AO266" s="107"/>
      <c r="AP266" s="143">
        <f t="shared" ref="AP266:AP329" si="176">AH266+AI266+AJ266+AK266+AL266+AM266+AN266-AO266</f>
        <v>509.38585046740809</v>
      </c>
      <c r="AQ266" s="34"/>
      <c r="AR266" s="29"/>
      <c r="AS266" s="124"/>
      <c r="AT266" s="138">
        <f t="shared" ref="AT266:AT329" si="177">IF(B266&gt;1,C266*$AT$5,0)</f>
        <v>6285.9923651153867</v>
      </c>
      <c r="AU266" s="151">
        <f t="shared" ref="AU266:AU329" si="178">K266+S266+V266+Y266+AG266+AP266+AS266+AT266</f>
        <v>8145.5096347899816</v>
      </c>
      <c r="AW266" s="1">
        <v>2</v>
      </c>
      <c r="BA266" s="30">
        <v>333.61</v>
      </c>
      <c r="BB266" s="30">
        <v>53.33</v>
      </c>
      <c r="BC266" s="30">
        <v>0</v>
      </c>
      <c r="BD266" s="30">
        <v>203.01</v>
      </c>
      <c r="BF266" s="289">
        <f t="shared" si="152"/>
        <v>363.99000000000007</v>
      </c>
      <c r="BI266" s="333">
        <v>0</v>
      </c>
      <c r="BL266" s="110">
        <f t="shared" si="151"/>
        <v>1.0967873225415627</v>
      </c>
      <c r="BM266" s="110">
        <f t="shared" si="151"/>
        <v>1.1127076627324948</v>
      </c>
      <c r="BN266" s="110">
        <f t="shared" si="151"/>
        <v>2.8314493742615632</v>
      </c>
      <c r="BO266" s="110">
        <f t="shared" si="151"/>
        <v>1.036891829831438</v>
      </c>
    </row>
    <row r="267" spans="1:67" x14ac:dyDescent="0.25">
      <c r="A267" s="260" t="s">
        <v>290</v>
      </c>
      <c r="B267" s="237">
        <v>5</v>
      </c>
      <c r="C267" s="236">
        <f>'побудинковий звіт'!E267</f>
        <v>5858.7800000000007</v>
      </c>
      <c r="D267" s="141">
        <f t="shared" si="159"/>
        <v>225.92722057033652</v>
      </c>
      <c r="E267" s="107">
        <f t="shared" si="153"/>
        <v>46.569696364465145</v>
      </c>
      <c r="F267" s="333">
        <v>37.689504683643747</v>
      </c>
      <c r="G267" s="107">
        <f t="shared" si="154"/>
        <v>0</v>
      </c>
      <c r="H267" s="735">
        <f t="shared" si="160"/>
        <v>188.75647528642392</v>
      </c>
      <c r="I267" s="107">
        <f t="shared" si="161"/>
        <v>64.220354593801488</v>
      </c>
      <c r="J267" s="29"/>
      <c r="K267" s="142">
        <f t="shared" si="162"/>
        <v>563.16325149867089</v>
      </c>
      <c r="L267" s="210">
        <f t="shared" si="163"/>
        <v>43.940825601306223</v>
      </c>
      <c r="M267" s="107">
        <f t="shared" si="155"/>
        <v>9.6677692796715782</v>
      </c>
      <c r="N267" s="333">
        <v>0</v>
      </c>
      <c r="O267" s="107"/>
      <c r="P267" s="107">
        <f t="shared" si="164"/>
        <v>36.711447787212812</v>
      </c>
      <c r="Q267" s="107">
        <f t="shared" si="165"/>
        <v>11.625348718381311</v>
      </c>
      <c r="R267" s="107"/>
      <c r="S267" s="143">
        <f t="shared" si="166"/>
        <v>101.94539138657191</v>
      </c>
      <c r="T267" s="905">
        <v>214.91666666666666</v>
      </c>
      <c r="U267" s="107"/>
      <c r="V267" s="151">
        <f t="shared" si="167"/>
        <v>214.91666666666666</v>
      </c>
      <c r="W267" s="246"/>
      <c r="X267" s="107"/>
      <c r="Y267" s="46">
        <f t="shared" si="168"/>
        <v>0</v>
      </c>
      <c r="Z267" s="141">
        <f t="shared" si="169"/>
        <v>0</v>
      </c>
      <c r="AA267" s="107">
        <f t="shared" si="156"/>
        <v>0</v>
      </c>
      <c r="AB267" s="333">
        <v>0</v>
      </c>
      <c r="AC267" s="107"/>
      <c r="AD267" s="107">
        <f t="shared" si="170"/>
        <v>0</v>
      </c>
      <c r="AE267" s="107">
        <f t="shared" si="171"/>
        <v>0</v>
      </c>
      <c r="AF267" s="107"/>
      <c r="AG267" s="142">
        <f t="shared" si="172"/>
        <v>0</v>
      </c>
      <c r="AH267" s="210">
        <f t="shared" si="173"/>
        <v>102.94262086566516</v>
      </c>
      <c r="AI267" s="107">
        <f t="shared" si="157"/>
        <v>20.533521231022974</v>
      </c>
      <c r="AJ267" s="333">
        <v>14.797620654259639</v>
      </c>
      <c r="AK267" s="121">
        <f t="shared" si="158"/>
        <v>0</v>
      </c>
      <c r="AL267" s="418"/>
      <c r="AM267" s="107">
        <f t="shared" si="174"/>
        <v>86.005954582618671</v>
      </c>
      <c r="AN267" s="107">
        <f t="shared" si="175"/>
        <v>28.867678174613648</v>
      </c>
      <c r="AO267" s="107"/>
      <c r="AP267" s="143">
        <f t="shared" si="176"/>
        <v>253.1473955081801</v>
      </c>
      <c r="AQ267" s="34"/>
      <c r="AR267" s="29"/>
      <c r="AS267" s="124"/>
      <c r="AT267" s="138">
        <f t="shared" si="177"/>
        <v>2721.5027688445684</v>
      </c>
      <c r="AU267" s="151">
        <f t="shared" si="178"/>
        <v>3854.6754739046582</v>
      </c>
      <c r="AW267" s="1">
        <v>2</v>
      </c>
      <c r="BA267" s="30">
        <v>205.99</v>
      </c>
      <c r="BB267" s="30">
        <v>39.49</v>
      </c>
      <c r="BC267" s="30">
        <v>0</v>
      </c>
      <c r="BD267" s="30">
        <v>99.28</v>
      </c>
      <c r="BF267" s="289">
        <f t="shared" si="152"/>
        <v>257.89999999999998</v>
      </c>
      <c r="BI267" s="333">
        <v>0</v>
      </c>
      <c r="BL267" s="110">
        <f t="shared" si="151"/>
        <v>1.0967873225415627</v>
      </c>
      <c r="BM267" s="110">
        <f t="shared" si="151"/>
        <v>1.1127076627324948</v>
      </c>
      <c r="BN267" s="110">
        <f t="shared" si="151"/>
        <v>2.8314493742615632</v>
      </c>
      <c r="BO267" s="110">
        <f t="shared" si="151"/>
        <v>1.036891829831438</v>
      </c>
    </row>
    <row r="268" spans="1:67" x14ac:dyDescent="0.25">
      <c r="A268" s="434" t="s">
        <v>133</v>
      </c>
      <c r="B268" s="238">
        <v>1</v>
      </c>
      <c r="C268" s="236">
        <f>'побудинковий звіт'!E268</f>
        <v>6720.79</v>
      </c>
      <c r="D268" s="141">
        <f t="shared" si="159"/>
        <v>0</v>
      </c>
      <c r="E268" s="107">
        <f t="shared" si="153"/>
        <v>0</v>
      </c>
      <c r="F268" s="333">
        <v>0</v>
      </c>
      <c r="G268" s="107">
        <f t="shared" si="154"/>
        <v>0</v>
      </c>
      <c r="H268" s="735">
        <f t="shared" si="160"/>
        <v>0</v>
      </c>
      <c r="I268" s="107">
        <f t="shared" si="161"/>
        <v>0</v>
      </c>
      <c r="J268" s="29"/>
      <c r="K268" s="142">
        <f t="shared" si="162"/>
        <v>0</v>
      </c>
      <c r="L268" s="210">
        <f t="shared" si="163"/>
        <v>0</v>
      </c>
      <c r="M268" s="107">
        <f t="shared" si="155"/>
        <v>0</v>
      </c>
      <c r="N268" s="333">
        <v>0</v>
      </c>
      <c r="O268" s="107"/>
      <c r="P268" s="107">
        <f t="shared" si="164"/>
        <v>0</v>
      </c>
      <c r="Q268" s="107">
        <f t="shared" si="165"/>
        <v>0</v>
      </c>
      <c r="R268" s="107"/>
      <c r="S268" s="143">
        <f t="shared" si="166"/>
        <v>0</v>
      </c>
      <c r="T268" s="245"/>
      <c r="U268" s="107"/>
      <c r="V268" s="151">
        <f t="shared" si="167"/>
        <v>0</v>
      </c>
      <c r="W268" s="246"/>
      <c r="X268" s="107"/>
      <c r="Y268" s="46">
        <f t="shared" si="168"/>
        <v>0</v>
      </c>
      <c r="Z268" s="141">
        <f t="shared" si="169"/>
        <v>0</v>
      </c>
      <c r="AA268" s="107">
        <f t="shared" si="156"/>
        <v>0</v>
      </c>
      <c r="AB268" s="333">
        <v>0</v>
      </c>
      <c r="AC268" s="107"/>
      <c r="AD268" s="107">
        <f t="shared" si="170"/>
        <v>0</v>
      </c>
      <c r="AE268" s="107">
        <f t="shared" si="171"/>
        <v>0</v>
      </c>
      <c r="AF268" s="107"/>
      <c r="AG268" s="142">
        <f t="shared" si="172"/>
        <v>0</v>
      </c>
      <c r="AH268" s="210">
        <f t="shared" si="173"/>
        <v>0</v>
      </c>
      <c r="AI268" s="107">
        <f t="shared" si="157"/>
        <v>0</v>
      </c>
      <c r="AJ268" s="333">
        <v>0</v>
      </c>
      <c r="AK268" s="121">
        <f t="shared" si="158"/>
        <v>0</v>
      </c>
      <c r="AL268" s="107"/>
      <c r="AM268" s="107">
        <f t="shared" si="174"/>
        <v>0</v>
      </c>
      <c r="AN268" s="107">
        <f t="shared" si="175"/>
        <v>0</v>
      </c>
      <c r="AO268" s="107"/>
      <c r="AP268" s="143">
        <f t="shared" si="176"/>
        <v>0</v>
      </c>
      <c r="AQ268" s="34"/>
      <c r="AR268" s="29"/>
      <c r="AS268" s="124"/>
      <c r="AT268" s="138">
        <f t="shared" si="177"/>
        <v>0</v>
      </c>
      <c r="AU268" s="151">
        <f t="shared" si="178"/>
        <v>0</v>
      </c>
      <c r="AW268" s="1">
        <v>2</v>
      </c>
      <c r="BA268" s="30">
        <v>0</v>
      </c>
      <c r="BB268" s="30">
        <v>0</v>
      </c>
      <c r="BC268" s="30">
        <v>0</v>
      </c>
      <c r="BD268" s="30">
        <v>0</v>
      </c>
      <c r="BI268" s="333">
        <v>0</v>
      </c>
      <c r="BL268" s="110">
        <f t="shared" si="151"/>
        <v>1.0967873225415627</v>
      </c>
      <c r="BM268" s="110">
        <f t="shared" si="151"/>
        <v>1.1127076627324948</v>
      </c>
      <c r="BN268" s="110">
        <f t="shared" si="151"/>
        <v>2.8314493742615632</v>
      </c>
      <c r="BO268" s="110">
        <f t="shared" si="151"/>
        <v>1.036891829831438</v>
      </c>
    </row>
    <row r="269" spans="1:67" x14ac:dyDescent="0.25">
      <c r="A269" s="260" t="s">
        <v>185</v>
      </c>
      <c r="B269" s="237">
        <v>2</v>
      </c>
      <c r="C269" s="236">
        <f>'побудинковий звіт'!E269</f>
        <v>2823.8</v>
      </c>
      <c r="D269" s="141">
        <f t="shared" si="159"/>
        <v>0</v>
      </c>
      <c r="E269" s="107">
        <f t="shared" si="153"/>
        <v>0</v>
      </c>
      <c r="F269" s="333">
        <v>0</v>
      </c>
      <c r="G269" s="107">
        <f t="shared" si="154"/>
        <v>0</v>
      </c>
      <c r="H269" s="735">
        <f t="shared" si="160"/>
        <v>0</v>
      </c>
      <c r="I269" s="107">
        <f t="shared" si="161"/>
        <v>0</v>
      </c>
      <c r="J269" s="29"/>
      <c r="K269" s="142">
        <f t="shared" si="162"/>
        <v>0</v>
      </c>
      <c r="L269" s="210">
        <f t="shared" si="163"/>
        <v>0</v>
      </c>
      <c r="M269" s="107">
        <f t="shared" si="155"/>
        <v>0</v>
      </c>
      <c r="N269" s="333">
        <v>0</v>
      </c>
      <c r="O269" s="107"/>
      <c r="P269" s="107">
        <f t="shared" si="164"/>
        <v>0</v>
      </c>
      <c r="Q269" s="107">
        <f t="shared" si="165"/>
        <v>0</v>
      </c>
      <c r="R269" s="107"/>
      <c r="S269" s="143">
        <f t="shared" si="166"/>
        <v>0</v>
      </c>
      <c r="T269" s="245"/>
      <c r="U269" s="107"/>
      <c r="V269" s="151">
        <f t="shared" si="167"/>
        <v>0</v>
      </c>
      <c r="W269" s="246"/>
      <c r="X269" s="107"/>
      <c r="Y269" s="46">
        <f t="shared" si="168"/>
        <v>0</v>
      </c>
      <c r="Z269" s="141">
        <f t="shared" si="169"/>
        <v>0</v>
      </c>
      <c r="AA269" s="107">
        <f t="shared" si="156"/>
        <v>0</v>
      </c>
      <c r="AB269" s="333">
        <v>0</v>
      </c>
      <c r="AC269" s="107"/>
      <c r="AD269" s="107">
        <f t="shared" si="170"/>
        <v>0</v>
      </c>
      <c r="AE269" s="107">
        <f t="shared" si="171"/>
        <v>0</v>
      </c>
      <c r="AF269" s="107"/>
      <c r="AG269" s="142">
        <f t="shared" si="172"/>
        <v>0</v>
      </c>
      <c r="AH269" s="210">
        <f t="shared" si="173"/>
        <v>10.097696149940818</v>
      </c>
      <c r="AI269" s="107">
        <f t="shared" si="157"/>
        <v>2.0141439622933093</v>
      </c>
      <c r="AJ269" s="333">
        <v>2.6461223976023187</v>
      </c>
      <c r="AK269" s="121">
        <f t="shared" si="158"/>
        <v>0</v>
      </c>
      <c r="AL269" s="107"/>
      <c r="AM269" s="107">
        <f t="shared" si="174"/>
        <v>8.4363695926703848</v>
      </c>
      <c r="AN269" s="107">
        <f t="shared" si="175"/>
        <v>2.9854082329453138</v>
      </c>
      <c r="AO269" s="107"/>
      <c r="AP269" s="143">
        <f t="shared" si="176"/>
        <v>26.179740335452145</v>
      </c>
      <c r="AQ269" s="34"/>
      <c r="AR269" s="29"/>
      <c r="AS269" s="124"/>
      <c r="AT269" s="138">
        <f t="shared" si="177"/>
        <v>1311.7030369229244</v>
      </c>
      <c r="AU269" s="151">
        <f t="shared" si="178"/>
        <v>1337.8827772583766</v>
      </c>
      <c r="AW269" s="1">
        <v>1</v>
      </c>
      <c r="BA269" s="30">
        <v>0</v>
      </c>
      <c r="BB269" s="30">
        <v>0</v>
      </c>
      <c r="BC269" s="30">
        <v>0</v>
      </c>
      <c r="BD269" s="30">
        <v>12.17</v>
      </c>
      <c r="BI269" s="333">
        <v>0</v>
      </c>
      <c r="BL269" s="110">
        <f>$BA$397</f>
        <v>0.85901039294857251</v>
      </c>
      <c r="BM269" s="110">
        <f>$BB$397</f>
        <v>0.92206249128051765</v>
      </c>
      <c r="BN269" s="110">
        <f>$BC$397</f>
        <v>0.35749517965371247</v>
      </c>
      <c r="BO269" s="110">
        <f>$BD$397</f>
        <v>0.82972030812989472</v>
      </c>
    </row>
    <row r="270" spans="1:67" x14ac:dyDescent="0.25">
      <c r="A270" s="260" t="s">
        <v>291</v>
      </c>
      <c r="B270" s="237">
        <v>5</v>
      </c>
      <c r="C270" s="236">
        <f>'побудинковий звіт'!E270</f>
        <v>2653.7</v>
      </c>
      <c r="D270" s="141">
        <f t="shared" si="159"/>
        <v>431.03620379503536</v>
      </c>
      <c r="E270" s="107">
        <f t="shared" si="153"/>
        <v>88.848192272507703</v>
      </c>
      <c r="F270" s="333">
        <v>70.976226281917704</v>
      </c>
      <c r="G270" s="107">
        <f t="shared" si="154"/>
        <v>0</v>
      </c>
      <c r="H270" s="735">
        <f t="shared" si="160"/>
        <v>360.11984011400699</v>
      </c>
      <c r="I270" s="107">
        <f t="shared" si="161"/>
        <v>122.40339102938576</v>
      </c>
      <c r="J270" s="29"/>
      <c r="K270" s="142">
        <f t="shared" si="162"/>
        <v>1073.3838534928536</v>
      </c>
      <c r="L270" s="210">
        <f t="shared" si="163"/>
        <v>86.332436426341374</v>
      </c>
      <c r="M270" s="107">
        <f t="shared" si="155"/>
        <v>18.994683538603596</v>
      </c>
      <c r="N270" s="333">
        <v>0</v>
      </c>
      <c r="O270" s="107"/>
      <c r="P270" s="107">
        <f t="shared" si="164"/>
        <v>72.128565834554664</v>
      </c>
      <c r="Q270" s="107">
        <f t="shared" si="165"/>
        <v>22.840824345682492</v>
      </c>
      <c r="R270" s="107"/>
      <c r="S270" s="143">
        <f t="shared" si="166"/>
        <v>200.29651014518214</v>
      </c>
      <c r="T270" s="245"/>
      <c r="U270" s="107"/>
      <c r="V270" s="151">
        <f t="shared" si="167"/>
        <v>0</v>
      </c>
      <c r="W270" s="246"/>
      <c r="X270" s="107"/>
      <c r="Y270" s="46">
        <f t="shared" si="168"/>
        <v>0</v>
      </c>
      <c r="Z270" s="141">
        <f t="shared" si="169"/>
        <v>0</v>
      </c>
      <c r="AA270" s="107">
        <f t="shared" si="156"/>
        <v>0</v>
      </c>
      <c r="AB270" s="333">
        <v>0</v>
      </c>
      <c r="AC270" s="107"/>
      <c r="AD270" s="107">
        <f t="shared" si="170"/>
        <v>0</v>
      </c>
      <c r="AE270" s="107">
        <f t="shared" si="171"/>
        <v>0</v>
      </c>
      <c r="AF270" s="107"/>
      <c r="AG270" s="142">
        <f t="shared" si="172"/>
        <v>0</v>
      </c>
      <c r="AH270" s="210">
        <f t="shared" si="173"/>
        <v>285.45906698262451</v>
      </c>
      <c r="AI270" s="107">
        <f t="shared" si="157"/>
        <v>56.939290676547472</v>
      </c>
      <c r="AJ270" s="333">
        <v>39.950296426423101</v>
      </c>
      <c r="AK270" s="121">
        <f t="shared" si="158"/>
        <v>0</v>
      </c>
      <c r="AL270" s="107"/>
      <c r="AM270" s="107">
        <f t="shared" si="174"/>
        <v>238.49382640201412</v>
      </c>
      <c r="AN270" s="107">
        <f t="shared" si="175"/>
        <v>79.910395540537124</v>
      </c>
      <c r="AO270" s="107"/>
      <c r="AP270" s="143">
        <f t="shared" si="176"/>
        <v>700.75287602814637</v>
      </c>
      <c r="AQ270" s="140"/>
      <c r="AR270" s="29"/>
      <c r="AS270" s="124">
        <f>AQ270</f>
        <v>0</v>
      </c>
      <c r="AT270" s="138">
        <f t="shared" si="177"/>
        <v>1232.6886992996544</v>
      </c>
      <c r="AU270" s="151">
        <f t="shared" si="178"/>
        <v>3207.1219389658363</v>
      </c>
      <c r="AW270" s="1">
        <v>3</v>
      </c>
      <c r="BA270" s="30">
        <v>352.33</v>
      </c>
      <c r="BB270" s="30">
        <v>67.41</v>
      </c>
      <c r="BC270" s="30">
        <v>0</v>
      </c>
      <c r="BD270" s="30">
        <v>220.17</v>
      </c>
      <c r="BI270" s="333">
        <v>0</v>
      </c>
      <c r="BL270" s="110">
        <f>BA$399</f>
        <v>1.2233877438623886</v>
      </c>
      <c r="BM270" s="110">
        <f>BB$399</f>
        <v>1.2807066670574303</v>
      </c>
      <c r="BN270" s="110">
        <f>BC$399</f>
        <v>0.82443024793968056</v>
      </c>
      <c r="BO270" s="110">
        <f>BD$399</f>
        <v>1.2965393422474656</v>
      </c>
    </row>
    <row r="271" spans="1:67" x14ac:dyDescent="0.25">
      <c r="A271" s="260" t="s">
        <v>422</v>
      </c>
      <c r="B271" s="237">
        <v>10</v>
      </c>
      <c r="C271" s="236">
        <f>'побудинковий звіт'!E271</f>
        <v>1773.9</v>
      </c>
      <c r="D271" s="141">
        <f t="shared" si="159"/>
        <v>478.40865814484846</v>
      </c>
      <c r="E271" s="107">
        <f t="shared" si="153"/>
        <v>98.612933367188958</v>
      </c>
      <c r="F271" s="333">
        <v>91.418751214177377</v>
      </c>
      <c r="G271" s="107">
        <f t="shared" si="154"/>
        <v>0</v>
      </c>
      <c r="H271" s="735">
        <f t="shared" si="160"/>
        <v>399.69832687697732</v>
      </c>
      <c r="I271" s="107">
        <f t="shared" si="161"/>
        <v>137.48315597395353</v>
      </c>
      <c r="J271" s="29"/>
      <c r="K271" s="142">
        <f t="shared" si="162"/>
        <v>1205.6218255771455</v>
      </c>
      <c r="L271" s="210">
        <f t="shared" si="163"/>
        <v>79.730743621026363</v>
      </c>
      <c r="M271" s="107">
        <f t="shared" si="155"/>
        <v>17.542192784876015</v>
      </c>
      <c r="N271" s="333">
        <v>0</v>
      </c>
      <c r="O271" s="107"/>
      <c r="P271" s="107">
        <f t="shared" si="164"/>
        <v>66.613018563582671</v>
      </c>
      <c r="Q271" s="107">
        <f t="shared" si="165"/>
        <v>21.094225824986182</v>
      </c>
      <c r="R271" s="107"/>
      <c r="S271" s="143">
        <f t="shared" si="166"/>
        <v>184.98018079447124</v>
      </c>
      <c r="T271" s="905">
        <v>559.85</v>
      </c>
      <c r="U271" s="107"/>
      <c r="V271" s="151">
        <f>T271+U271</f>
        <v>559.85</v>
      </c>
      <c r="W271" s="907">
        <v>112.31666666666668</v>
      </c>
      <c r="X271" s="107"/>
      <c r="Y271" s="46">
        <f t="shared" si="168"/>
        <v>112.31666666666668</v>
      </c>
      <c r="Z271" s="141">
        <f t="shared" si="169"/>
        <v>6.4277633301737502</v>
      </c>
      <c r="AA271" s="107">
        <f t="shared" si="156"/>
        <v>1.4128732597048013</v>
      </c>
      <c r="AB271" s="333">
        <v>0</v>
      </c>
      <c r="AC271" s="107"/>
      <c r="AD271" s="107">
        <f t="shared" si="170"/>
        <v>5.3702335960938354</v>
      </c>
      <c r="AE271" s="107">
        <f t="shared" si="171"/>
        <v>1.7004085499539394</v>
      </c>
      <c r="AF271" s="107"/>
      <c r="AG271" s="142">
        <f t="shared" si="172"/>
        <v>14.911278735926325</v>
      </c>
      <c r="AH271" s="210">
        <f t="shared" si="173"/>
        <v>163.06493215676821</v>
      </c>
      <c r="AI271" s="107">
        <f t="shared" si="157"/>
        <v>32.525859729622361</v>
      </c>
      <c r="AJ271" s="333">
        <v>39.147862605576861</v>
      </c>
      <c r="AK271" s="121">
        <f t="shared" si="158"/>
        <v>0</v>
      </c>
      <c r="AL271" s="107"/>
      <c r="AM271" s="107">
        <f t="shared" si="174"/>
        <v>136.23662416166891</v>
      </c>
      <c r="AN271" s="107">
        <f t="shared" si="175"/>
        <v>47.749279704072549</v>
      </c>
      <c r="AO271" s="107"/>
      <c r="AP271" s="143">
        <f t="shared" si="176"/>
        <v>418.72455835770887</v>
      </c>
      <c r="AQ271" s="34"/>
      <c r="AR271" s="29"/>
      <c r="AS271" s="124"/>
      <c r="AT271" s="138">
        <f t="shared" si="177"/>
        <v>824.00666378552864</v>
      </c>
      <c r="AU271" s="151">
        <f t="shared" si="178"/>
        <v>3320.4111739174468</v>
      </c>
      <c r="AW271" s="1">
        <v>1</v>
      </c>
      <c r="BA271" s="30">
        <v>556.92999999999995</v>
      </c>
      <c r="BB271" s="30">
        <v>86.47</v>
      </c>
      <c r="BC271" s="30">
        <v>17.98</v>
      </c>
      <c r="BD271" s="30">
        <v>196.53</v>
      </c>
      <c r="BF271" s="289">
        <f>T271*1.2</f>
        <v>671.82</v>
      </c>
      <c r="BI271" s="333">
        <v>0</v>
      </c>
      <c r="BL271" s="110">
        <f t="shared" ref="BL271:BL277" si="179">$BA$397</f>
        <v>0.85901039294857251</v>
      </c>
      <c r="BM271" s="110">
        <f t="shared" ref="BM271:BM277" si="180">$BB$397</f>
        <v>0.92206249128051765</v>
      </c>
      <c r="BN271" s="110">
        <f t="shared" ref="BN271:BN277" si="181">$BC$397</f>
        <v>0.35749517965371247</v>
      </c>
      <c r="BO271" s="110">
        <f t="shared" ref="BO271:BO277" si="182">$BD$397</f>
        <v>0.82972030812989472</v>
      </c>
    </row>
    <row r="272" spans="1:67" x14ac:dyDescent="0.25">
      <c r="A272" s="260" t="s">
        <v>392</v>
      </c>
      <c r="B272" s="237">
        <v>9</v>
      </c>
      <c r="C272" s="236">
        <f>'побудинковий звіт'!E272</f>
        <v>2311.4</v>
      </c>
      <c r="D272" s="141">
        <f t="shared" si="159"/>
        <v>478.400068040919</v>
      </c>
      <c r="E272" s="107">
        <f t="shared" si="153"/>
        <v>98.611162714981916</v>
      </c>
      <c r="F272" s="333">
        <v>96.277075470357104</v>
      </c>
      <c r="G272" s="107">
        <f t="shared" si="154"/>
        <v>0</v>
      </c>
      <c r="H272" s="735">
        <f t="shared" si="160"/>
        <v>399.69115006253247</v>
      </c>
      <c r="I272" s="107">
        <f t="shared" si="161"/>
        <v>138.10622735023841</v>
      </c>
      <c r="J272" s="29"/>
      <c r="K272" s="142">
        <f>D272+E272+F272+G272+H272+I272-J272</f>
        <v>1211.085683639029</v>
      </c>
      <c r="L272" s="210">
        <f t="shared" si="163"/>
        <v>73.479159930144448</v>
      </c>
      <c r="M272" s="107">
        <f t="shared" si="155"/>
        <v>16.166732312094016</v>
      </c>
      <c r="N272" s="333">
        <v>0</v>
      </c>
      <c r="O272" s="107"/>
      <c r="P272" s="107">
        <f t="shared" si="164"/>
        <v>61.389978597570291</v>
      </c>
      <c r="Q272" s="107">
        <f t="shared" si="165"/>
        <v>19.440255071043701</v>
      </c>
      <c r="R272" s="107"/>
      <c r="S272" s="143">
        <f t="shared" si="166"/>
        <v>170.47612591085246</v>
      </c>
      <c r="T272" s="905">
        <v>587.14166666666677</v>
      </c>
      <c r="U272" s="107"/>
      <c r="V272" s="151">
        <f t="shared" si="167"/>
        <v>587.14166666666677</v>
      </c>
      <c r="W272" s="907">
        <v>121.325</v>
      </c>
      <c r="X272" s="107"/>
      <c r="Y272" s="46">
        <f t="shared" si="168"/>
        <v>121.325</v>
      </c>
      <c r="Z272" s="141">
        <f t="shared" si="169"/>
        <v>10.070639210845082</v>
      </c>
      <c r="AA272" s="107">
        <f t="shared" si="156"/>
        <v>2.2136062138979007</v>
      </c>
      <c r="AB272" s="333">
        <v>0</v>
      </c>
      <c r="AC272" s="107"/>
      <c r="AD272" s="107">
        <f t="shared" si="170"/>
        <v>8.4137642047810548</v>
      </c>
      <c r="AE272" s="107">
        <f t="shared" si="171"/>
        <v>2.6640994912237201</v>
      </c>
      <c r="AF272" s="107"/>
      <c r="AG272" s="142">
        <f t="shared" si="172"/>
        <v>23.362109120747757</v>
      </c>
      <c r="AH272" s="210">
        <f t="shared" si="173"/>
        <v>157.49750888921662</v>
      </c>
      <c r="AI272" s="107">
        <f t="shared" si="157"/>
        <v>31.415349788210026</v>
      </c>
      <c r="AJ272" s="333">
        <v>41.228322116872064</v>
      </c>
      <c r="AK272" s="121">
        <f t="shared" si="158"/>
        <v>0</v>
      </c>
      <c r="AL272" s="735"/>
      <c r="AM272" s="107">
        <f t="shared" si="174"/>
        <v>131.58518291542256</v>
      </c>
      <c r="AN272" s="107">
        <f t="shared" si="175"/>
        <v>46.558825644117498</v>
      </c>
      <c r="AO272" s="107"/>
      <c r="AP272" s="143">
        <f t="shared" si="176"/>
        <v>408.28518935383875</v>
      </c>
      <c r="AQ272" s="34"/>
      <c r="AR272" s="29"/>
      <c r="AS272" s="124"/>
      <c r="AT272" s="138">
        <f t="shared" si="177"/>
        <v>1073.6845384034448</v>
      </c>
      <c r="AU272" s="151">
        <f t="shared" si="178"/>
        <v>3595.3603130945794</v>
      </c>
      <c r="AW272" s="1">
        <v>1</v>
      </c>
      <c r="BA272" s="30">
        <v>556.91999999999996</v>
      </c>
      <c r="BB272" s="30">
        <v>79.69</v>
      </c>
      <c r="BC272" s="30">
        <v>28.17</v>
      </c>
      <c r="BD272" s="30">
        <v>189.82</v>
      </c>
      <c r="BF272" s="289">
        <f>T272*1.2</f>
        <v>704.57</v>
      </c>
      <c r="BI272" s="333">
        <v>0</v>
      </c>
      <c r="BL272" s="110">
        <f t="shared" si="179"/>
        <v>0.85901039294857251</v>
      </c>
      <c r="BM272" s="110">
        <f t="shared" si="180"/>
        <v>0.92206249128051765</v>
      </c>
      <c r="BN272" s="110">
        <f t="shared" si="181"/>
        <v>0.35749517965371247</v>
      </c>
      <c r="BO272" s="110">
        <f t="shared" si="182"/>
        <v>0.82972030812989472</v>
      </c>
    </row>
    <row r="273" spans="1:67" x14ac:dyDescent="0.25">
      <c r="A273" s="260" t="s">
        <v>198</v>
      </c>
      <c r="B273" s="237">
        <v>3</v>
      </c>
      <c r="C273" s="236">
        <f>'побудинковий звіт'!E273</f>
        <v>3567.9</v>
      </c>
      <c r="D273" s="141">
        <f t="shared" si="159"/>
        <v>186.37948495805179</v>
      </c>
      <c r="E273" s="107">
        <f t="shared" si="153"/>
        <v>38.417840936345669</v>
      </c>
      <c r="F273" s="333">
        <v>31.984305684866218</v>
      </c>
      <c r="G273" s="107">
        <f t="shared" si="154"/>
        <v>0</v>
      </c>
      <c r="H273" s="735">
        <f t="shared" si="160"/>
        <v>155.71534300988952</v>
      </c>
      <c r="I273" s="107">
        <f t="shared" si="161"/>
        <v>53.093654887798863</v>
      </c>
      <c r="J273" s="29"/>
      <c r="K273" s="142">
        <f t="shared" si="162"/>
        <v>465.59062947695202</v>
      </c>
      <c r="L273" s="210">
        <f t="shared" si="163"/>
        <v>44.729251452017913</v>
      </c>
      <c r="M273" s="107">
        <f t="shared" si="155"/>
        <v>9.8412370995065981</v>
      </c>
      <c r="N273" s="333">
        <v>0</v>
      </c>
      <c r="O273" s="107"/>
      <c r="P273" s="107">
        <f t="shared" si="164"/>
        <v>37.370157632929292</v>
      </c>
      <c r="Q273" s="107">
        <f t="shared" si="165"/>
        <v>11.833941190818548</v>
      </c>
      <c r="R273" s="107"/>
      <c r="S273" s="143">
        <f t="shared" si="166"/>
        <v>103.77458737527236</v>
      </c>
      <c r="T273" s="905">
        <v>185.05833333333334</v>
      </c>
      <c r="U273" s="107"/>
      <c r="V273" s="151">
        <f t="shared" si="167"/>
        <v>185.05833333333334</v>
      </c>
      <c r="W273" s="907">
        <v>44.924999999999997</v>
      </c>
      <c r="X273" s="107"/>
      <c r="Y273" s="46">
        <f t="shared" si="168"/>
        <v>44.924999999999997</v>
      </c>
      <c r="Z273" s="141">
        <f t="shared" si="169"/>
        <v>2.5703903417101928</v>
      </c>
      <c r="AA273" s="107">
        <f t="shared" si="156"/>
        <v>0.56499214334135273</v>
      </c>
      <c r="AB273" s="333">
        <v>0</v>
      </c>
      <c r="AC273" s="107"/>
      <c r="AD273" s="107">
        <f t="shared" si="170"/>
        <v>2.1474960820864668</v>
      </c>
      <c r="AE273" s="107">
        <f t="shared" si="171"/>
        <v>0.67997427553775447</v>
      </c>
      <c r="AF273" s="107"/>
      <c r="AG273" s="142">
        <f t="shared" si="172"/>
        <v>5.9628528426757672</v>
      </c>
      <c r="AH273" s="210">
        <f t="shared" si="173"/>
        <v>46.688361738469176</v>
      </c>
      <c r="AI273" s="107">
        <f t="shared" si="157"/>
        <v>9.3127264386396487</v>
      </c>
      <c r="AJ273" s="333">
        <v>13.696503046212396</v>
      </c>
      <c r="AK273" s="121">
        <f t="shared" si="158"/>
        <v>0</v>
      </c>
      <c r="AL273" s="107"/>
      <c r="AM273" s="107">
        <f t="shared" si="174"/>
        <v>39.00694469840284</v>
      </c>
      <c r="AN273" s="107">
        <f t="shared" si="175"/>
        <v>13.991668958820329</v>
      </c>
      <c r="AO273" s="107"/>
      <c r="AP273" s="143">
        <f t="shared" si="176"/>
        <v>122.6962048805444</v>
      </c>
      <c r="AQ273" s="34"/>
      <c r="AR273" s="29"/>
      <c r="AS273" s="124"/>
      <c r="AT273" s="138">
        <f t="shared" si="177"/>
        <v>1657.3501187893271</v>
      </c>
      <c r="AU273" s="151">
        <f t="shared" si="178"/>
        <v>2585.3577266981051</v>
      </c>
      <c r="AW273" s="1">
        <v>1</v>
      </c>
      <c r="BA273" s="30">
        <v>216.97</v>
      </c>
      <c r="BB273" s="30">
        <v>48.51</v>
      </c>
      <c r="BC273" s="30">
        <v>7.19</v>
      </c>
      <c r="BD273" s="30">
        <v>56.27</v>
      </c>
      <c r="BF273" s="289">
        <f>T273*1.2</f>
        <v>222.07</v>
      </c>
      <c r="BI273" s="333">
        <v>0</v>
      </c>
      <c r="BL273" s="110">
        <f t="shared" si="179"/>
        <v>0.85901039294857251</v>
      </c>
      <c r="BM273" s="110">
        <f t="shared" si="180"/>
        <v>0.92206249128051765</v>
      </c>
      <c r="BN273" s="110">
        <f t="shared" si="181"/>
        <v>0.35749517965371247</v>
      </c>
      <c r="BO273" s="110">
        <f t="shared" si="182"/>
        <v>0.82972030812989472</v>
      </c>
    </row>
    <row r="274" spans="1:67" x14ac:dyDescent="0.25">
      <c r="A274" s="260" t="s">
        <v>199</v>
      </c>
      <c r="B274" s="237">
        <v>3</v>
      </c>
      <c r="C274" s="236">
        <f>'побудинковий звіт'!E274</f>
        <v>3446.6</v>
      </c>
      <c r="D274" s="141">
        <f t="shared" si="159"/>
        <v>83.023354478479533</v>
      </c>
      <c r="E274" s="107">
        <f t="shared" si="153"/>
        <v>17.113353581130148</v>
      </c>
      <c r="F274" s="333">
        <v>13.687589105400404</v>
      </c>
      <c r="G274" s="107">
        <f t="shared" si="154"/>
        <v>0</v>
      </c>
      <c r="H274" s="735">
        <f t="shared" si="160"/>
        <v>69.36391160946593</v>
      </c>
      <c r="I274" s="107">
        <f t="shared" si="161"/>
        <v>23.578673627541875</v>
      </c>
      <c r="J274" s="29"/>
      <c r="K274" s="142">
        <f t="shared" si="162"/>
        <v>206.76688240201787</v>
      </c>
      <c r="L274" s="210">
        <f t="shared" si="163"/>
        <v>13.51743612217239</v>
      </c>
      <c r="M274" s="107">
        <f t="shared" si="155"/>
        <v>2.9740782494076838</v>
      </c>
      <c r="N274" s="333">
        <v>0</v>
      </c>
      <c r="O274" s="107"/>
      <c r="P274" s="107">
        <f t="shared" si="164"/>
        <v>11.293475796717036</v>
      </c>
      <c r="Q274" s="107">
        <f t="shared" si="165"/>
        <v>3.5762848455452465</v>
      </c>
      <c r="R274" s="107"/>
      <c r="S274" s="143">
        <f t="shared" si="166"/>
        <v>31.361275013842356</v>
      </c>
      <c r="T274" s="905">
        <v>67.141666666666666</v>
      </c>
      <c r="U274" s="107"/>
      <c r="V274" s="151">
        <f t="shared" si="167"/>
        <v>67.141666666666666</v>
      </c>
      <c r="W274" s="246"/>
      <c r="X274" s="107"/>
      <c r="Y274" s="46">
        <f t="shared" si="168"/>
        <v>0</v>
      </c>
      <c r="Z274" s="141">
        <f t="shared" si="169"/>
        <v>0</v>
      </c>
      <c r="AA274" s="107">
        <f t="shared" si="156"/>
        <v>0</v>
      </c>
      <c r="AB274" s="333">
        <v>0</v>
      </c>
      <c r="AC274" s="107"/>
      <c r="AD274" s="107">
        <f t="shared" si="170"/>
        <v>0</v>
      </c>
      <c r="AE274" s="107">
        <f t="shared" si="171"/>
        <v>0</v>
      </c>
      <c r="AF274" s="107"/>
      <c r="AG274" s="142">
        <f t="shared" si="172"/>
        <v>0</v>
      </c>
      <c r="AH274" s="210">
        <f t="shared" si="173"/>
        <v>31.471291287366906</v>
      </c>
      <c r="AI274" s="107">
        <f t="shared" si="157"/>
        <v>6.2774429326035524</v>
      </c>
      <c r="AJ274" s="333">
        <v>5.8613780059676284</v>
      </c>
      <c r="AK274" s="121">
        <f t="shared" si="158"/>
        <v>0</v>
      </c>
      <c r="AL274" s="418"/>
      <c r="AM274" s="107">
        <f t="shared" si="174"/>
        <v>26.293467432209344</v>
      </c>
      <c r="AN274" s="107">
        <f t="shared" si="175"/>
        <v>8.9974878906397464</v>
      </c>
      <c r="AO274" s="107"/>
      <c r="AP274" s="143">
        <f t="shared" si="176"/>
        <v>78.901067548787182</v>
      </c>
      <c r="AQ274" s="34"/>
      <c r="AR274" s="29"/>
      <c r="AS274" s="124"/>
      <c r="AT274" s="138">
        <f t="shared" si="177"/>
        <v>1601.0042095964839</v>
      </c>
      <c r="AU274" s="151">
        <f t="shared" si="178"/>
        <v>1985.175101227798</v>
      </c>
      <c r="AW274" s="1">
        <v>1</v>
      </c>
      <c r="BA274" s="30">
        <v>96.65</v>
      </c>
      <c r="BB274" s="30">
        <v>14.66</v>
      </c>
      <c r="BC274" s="30">
        <v>0</v>
      </c>
      <c r="BD274" s="30">
        <v>37.93</v>
      </c>
      <c r="BF274" s="289">
        <f>T274*1.2</f>
        <v>80.569999999999993</v>
      </c>
      <c r="BI274" s="333">
        <v>0</v>
      </c>
      <c r="BL274" s="110">
        <f t="shared" si="179"/>
        <v>0.85901039294857251</v>
      </c>
      <c r="BM274" s="110">
        <f t="shared" si="180"/>
        <v>0.92206249128051765</v>
      </c>
      <c r="BN274" s="110">
        <f t="shared" si="181"/>
        <v>0.35749517965371247</v>
      </c>
      <c r="BO274" s="110">
        <f t="shared" si="182"/>
        <v>0.82972030812989472</v>
      </c>
    </row>
    <row r="275" spans="1:67" x14ac:dyDescent="0.25">
      <c r="A275" s="434" t="s">
        <v>135</v>
      </c>
      <c r="B275" s="238">
        <v>1</v>
      </c>
      <c r="C275" s="236">
        <f>'побудинковий звіт'!E275</f>
        <v>1236.8</v>
      </c>
      <c r="D275" s="141">
        <f t="shared" si="159"/>
        <v>0</v>
      </c>
      <c r="E275" s="107">
        <f t="shared" si="153"/>
        <v>0</v>
      </c>
      <c r="F275" s="333">
        <v>0</v>
      </c>
      <c r="G275" s="107">
        <f t="shared" si="154"/>
        <v>0</v>
      </c>
      <c r="H275" s="735">
        <f t="shared" si="160"/>
        <v>0</v>
      </c>
      <c r="I275" s="107">
        <f t="shared" si="161"/>
        <v>0</v>
      </c>
      <c r="J275" s="29"/>
      <c r="K275" s="142">
        <f t="shared" si="162"/>
        <v>0</v>
      </c>
      <c r="L275" s="210">
        <f t="shared" si="163"/>
        <v>0</v>
      </c>
      <c r="M275" s="107">
        <f t="shared" si="155"/>
        <v>0</v>
      </c>
      <c r="N275" s="333">
        <v>0</v>
      </c>
      <c r="O275" s="107"/>
      <c r="P275" s="107">
        <f t="shared" si="164"/>
        <v>0</v>
      </c>
      <c r="Q275" s="107">
        <f t="shared" si="165"/>
        <v>0</v>
      </c>
      <c r="R275" s="107"/>
      <c r="S275" s="143">
        <f t="shared" si="166"/>
        <v>0</v>
      </c>
      <c r="T275" s="245"/>
      <c r="U275" s="107"/>
      <c r="V275" s="151">
        <f t="shared" si="167"/>
        <v>0</v>
      </c>
      <c r="W275" s="246"/>
      <c r="X275" s="107"/>
      <c r="Y275" s="46">
        <f t="shared" si="168"/>
        <v>0</v>
      </c>
      <c r="Z275" s="141">
        <f t="shared" si="169"/>
        <v>0</v>
      </c>
      <c r="AA275" s="107">
        <f t="shared" si="156"/>
        <v>0</v>
      </c>
      <c r="AB275" s="333">
        <v>0</v>
      </c>
      <c r="AC275" s="107"/>
      <c r="AD275" s="107">
        <f t="shared" si="170"/>
        <v>0</v>
      </c>
      <c r="AE275" s="107">
        <f t="shared" si="171"/>
        <v>0</v>
      </c>
      <c r="AF275" s="107"/>
      <c r="AG275" s="142">
        <f t="shared" si="172"/>
        <v>0</v>
      </c>
      <c r="AH275" s="210">
        <f t="shared" si="173"/>
        <v>0</v>
      </c>
      <c r="AI275" s="107">
        <f t="shared" si="157"/>
        <v>0</v>
      </c>
      <c r="AJ275" s="333">
        <v>0</v>
      </c>
      <c r="AK275" s="121">
        <f t="shared" si="158"/>
        <v>0</v>
      </c>
      <c r="AL275" s="107"/>
      <c r="AM275" s="107">
        <f t="shared" si="174"/>
        <v>0</v>
      </c>
      <c r="AN275" s="107">
        <f t="shared" si="175"/>
        <v>0</v>
      </c>
      <c r="AO275" s="107"/>
      <c r="AP275" s="143">
        <f t="shared" si="176"/>
        <v>0</v>
      </c>
      <c r="AQ275" s="34"/>
      <c r="AR275" s="29"/>
      <c r="AS275" s="124"/>
      <c r="AT275" s="138">
        <f t="shared" si="177"/>
        <v>0</v>
      </c>
      <c r="AU275" s="151">
        <f t="shared" si="178"/>
        <v>0</v>
      </c>
      <c r="AW275" s="1">
        <v>1</v>
      </c>
      <c r="BA275" s="30">
        <v>0</v>
      </c>
      <c r="BB275" s="30">
        <v>0</v>
      </c>
      <c r="BC275" s="30">
        <v>0</v>
      </c>
      <c r="BD275" s="30">
        <v>0</v>
      </c>
      <c r="BI275" s="333">
        <v>0</v>
      </c>
      <c r="BL275" s="110">
        <f t="shared" si="179"/>
        <v>0.85901039294857251</v>
      </c>
      <c r="BM275" s="110">
        <f t="shared" si="180"/>
        <v>0.92206249128051765</v>
      </c>
      <c r="BN275" s="110">
        <f t="shared" si="181"/>
        <v>0.35749517965371247</v>
      </c>
      <c r="BO275" s="110">
        <f t="shared" si="182"/>
        <v>0.82972030812989472</v>
      </c>
    </row>
    <row r="276" spans="1:67" x14ac:dyDescent="0.25">
      <c r="A276" s="260" t="s">
        <v>393</v>
      </c>
      <c r="B276" s="237">
        <v>9</v>
      </c>
      <c r="C276" s="236">
        <f>'побудинковий звіт'!E276</f>
        <v>1504.4</v>
      </c>
      <c r="D276" s="141">
        <f t="shared" si="159"/>
        <v>452.72424739568612</v>
      </c>
      <c r="E276" s="107">
        <f t="shared" si="153"/>
        <v>93.318683268111968</v>
      </c>
      <c r="F276" s="333">
        <v>85.414526958291546</v>
      </c>
      <c r="G276" s="107">
        <f t="shared" si="154"/>
        <v>0</v>
      </c>
      <c r="H276" s="735">
        <f t="shared" si="160"/>
        <v>378.23965168687869</v>
      </c>
      <c r="I276" s="107">
        <f t="shared" si="161"/>
        <v>129.96097708656538</v>
      </c>
      <c r="J276" s="29"/>
      <c r="K276" s="142">
        <f t="shared" si="162"/>
        <v>1139.6580863955337</v>
      </c>
      <c r="L276" s="210">
        <f t="shared" si="163"/>
        <v>76.199244279421976</v>
      </c>
      <c r="M276" s="107">
        <f t="shared" si="155"/>
        <v>16.765199626947542</v>
      </c>
      <c r="N276" s="333">
        <v>0</v>
      </c>
      <c r="O276" s="107"/>
      <c r="P276" s="107">
        <f t="shared" si="164"/>
        <v>63.66254023469957</v>
      </c>
      <c r="Q276" s="107">
        <f t="shared" si="165"/>
        <v>20.159903112950829</v>
      </c>
      <c r="R276" s="107"/>
      <c r="S276" s="143">
        <f t="shared" si="166"/>
        <v>176.78688725401992</v>
      </c>
      <c r="T276" s="905">
        <v>495.90833333333336</v>
      </c>
      <c r="U276" s="107"/>
      <c r="V276" s="151">
        <f t="shared" si="167"/>
        <v>495.90833333333336</v>
      </c>
      <c r="W276" s="907">
        <v>110.7</v>
      </c>
      <c r="X276" s="107"/>
      <c r="Y276" s="46">
        <f t="shared" si="168"/>
        <v>110.7</v>
      </c>
      <c r="Z276" s="141">
        <f t="shared" si="169"/>
        <v>9.4271478874683989</v>
      </c>
      <c r="AA276" s="107">
        <f t="shared" si="156"/>
        <v>2.0721617273868529</v>
      </c>
      <c r="AB276" s="333">
        <v>0</v>
      </c>
      <c r="AC276" s="107"/>
      <c r="AD276" s="107">
        <f t="shared" si="170"/>
        <v>7.8761434888206034</v>
      </c>
      <c r="AE276" s="107">
        <f t="shared" si="171"/>
        <v>2.4938694917845048</v>
      </c>
      <c r="AF276" s="107"/>
      <c r="AG276" s="142">
        <f t="shared" si="172"/>
        <v>21.869322595460361</v>
      </c>
      <c r="AH276" s="210">
        <f t="shared" si="173"/>
        <v>162.87409648589835</v>
      </c>
      <c r="AI276" s="107">
        <f t="shared" si="157"/>
        <v>32.487794560244595</v>
      </c>
      <c r="AJ276" s="333">
        <v>36.576699216221371</v>
      </c>
      <c r="AK276" s="121">
        <f t="shared" si="158"/>
        <v>0</v>
      </c>
      <c r="AL276" s="107"/>
      <c r="AM276" s="107">
        <f t="shared" si="174"/>
        <v>136.07718578810162</v>
      </c>
      <c r="AN276" s="107">
        <f t="shared" si="175"/>
        <v>47.368353734836589</v>
      </c>
      <c r="AO276" s="107"/>
      <c r="AP276" s="143">
        <f t="shared" si="176"/>
        <v>415.38412978530249</v>
      </c>
      <c r="AQ276" s="34"/>
      <c r="AR276" s="29"/>
      <c r="AS276" s="124"/>
      <c r="AT276" s="138">
        <f t="shared" si="177"/>
        <v>698.81933874454546</v>
      </c>
      <c r="AU276" s="151">
        <f t="shared" si="178"/>
        <v>3059.126098108195</v>
      </c>
      <c r="AW276" s="1">
        <v>1</v>
      </c>
      <c r="BA276" s="30">
        <v>527.03</v>
      </c>
      <c r="BB276" s="30">
        <v>82.64</v>
      </c>
      <c r="BC276" s="30">
        <v>26.37</v>
      </c>
      <c r="BD276" s="30">
        <v>196.3</v>
      </c>
      <c r="BF276" s="289">
        <f>T276*1.2</f>
        <v>595.09</v>
      </c>
      <c r="BI276" s="333">
        <v>0</v>
      </c>
      <c r="BL276" s="110">
        <f t="shared" si="179"/>
        <v>0.85901039294857251</v>
      </c>
      <c r="BM276" s="110">
        <f t="shared" si="180"/>
        <v>0.92206249128051765</v>
      </c>
      <c r="BN276" s="110">
        <f t="shared" si="181"/>
        <v>0.35749517965371247</v>
      </c>
      <c r="BO276" s="110">
        <f t="shared" si="182"/>
        <v>0.82972030812989472</v>
      </c>
    </row>
    <row r="277" spans="1:67" x14ac:dyDescent="0.25">
      <c r="A277" s="434" t="s">
        <v>136</v>
      </c>
      <c r="B277" s="238">
        <v>1</v>
      </c>
      <c r="C277" s="236">
        <f>'побудинковий звіт'!E277</f>
        <v>2273.5</v>
      </c>
      <c r="D277" s="141">
        <f t="shared" si="159"/>
        <v>0</v>
      </c>
      <c r="E277" s="107">
        <f t="shared" si="153"/>
        <v>0</v>
      </c>
      <c r="F277" s="333">
        <v>0</v>
      </c>
      <c r="G277" s="107">
        <f t="shared" si="154"/>
        <v>0</v>
      </c>
      <c r="H277" s="735">
        <f t="shared" si="160"/>
        <v>0</v>
      </c>
      <c r="I277" s="107">
        <f t="shared" si="161"/>
        <v>0</v>
      </c>
      <c r="J277" s="29"/>
      <c r="K277" s="142">
        <f t="shared" si="162"/>
        <v>0</v>
      </c>
      <c r="L277" s="210">
        <f t="shared" si="163"/>
        <v>0</v>
      </c>
      <c r="M277" s="107">
        <f t="shared" si="155"/>
        <v>0</v>
      </c>
      <c r="N277" s="333">
        <v>0</v>
      </c>
      <c r="O277" s="107"/>
      <c r="P277" s="107">
        <f t="shared" si="164"/>
        <v>0</v>
      </c>
      <c r="Q277" s="107">
        <f t="shared" si="165"/>
        <v>0</v>
      </c>
      <c r="R277" s="107"/>
      <c r="S277" s="143">
        <f t="shared" si="166"/>
        <v>0</v>
      </c>
      <c r="T277" s="245"/>
      <c r="U277" s="107"/>
      <c r="V277" s="151">
        <f t="shared" si="167"/>
        <v>0</v>
      </c>
      <c r="W277" s="246"/>
      <c r="X277" s="107"/>
      <c r="Y277" s="46">
        <f t="shared" si="168"/>
        <v>0</v>
      </c>
      <c r="Z277" s="141">
        <f t="shared" si="169"/>
        <v>0</v>
      </c>
      <c r="AA277" s="107">
        <f t="shared" si="156"/>
        <v>0</v>
      </c>
      <c r="AB277" s="333">
        <v>0</v>
      </c>
      <c r="AC277" s="107"/>
      <c r="AD277" s="107">
        <f t="shared" si="170"/>
        <v>0</v>
      </c>
      <c r="AE277" s="107">
        <f t="shared" si="171"/>
        <v>0</v>
      </c>
      <c r="AF277" s="107"/>
      <c r="AG277" s="142">
        <f t="shared" si="172"/>
        <v>0</v>
      </c>
      <c r="AH277" s="210">
        <f t="shared" si="173"/>
        <v>0</v>
      </c>
      <c r="AI277" s="107">
        <f t="shared" si="157"/>
        <v>0</v>
      </c>
      <c r="AJ277" s="333">
        <v>0</v>
      </c>
      <c r="AK277" s="121">
        <f t="shared" si="158"/>
        <v>0</v>
      </c>
      <c r="AL277" s="107"/>
      <c r="AM277" s="107">
        <f t="shared" si="174"/>
        <v>0</v>
      </c>
      <c r="AN277" s="107">
        <f t="shared" si="175"/>
        <v>0</v>
      </c>
      <c r="AO277" s="107"/>
      <c r="AP277" s="143">
        <f t="shared" si="176"/>
        <v>0</v>
      </c>
      <c r="AQ277" s="34"/>
      <c r="AR277" s="29"/>
      <c r="AS277" s="124"/>
      <c r="AT277" s="138">
        <f t="shared" si="177"/>
        <v>0</v>
      </c>
      <c r="AU277" s="151">
        <f t="shared" si="178"/>
        <v>0</v>
      </c>
      <c r="AW277" s="1">
        <v>1</v>
      </c>
      <c r="BA277" s="30">
        <v>0</v>
      </c>
      <c r="BB277" s="30">
        <v>0</v>
      </c>
      <c r="BC277" s="30">
        <v>0</v>
      </c>
      <c r="BD277" s="30">
        <v>0</v>
      </c>
      <c r="BI277" s="333">
        <v>0</v>
      </c>
      <c r="BL277" s="110">
        <f t="shared" si="179"/>
        <v>0.85901039294857251</v>
      </c>
      <c r="BM277" s="110">
        <f t="shared" si="180"/>
        <v>0.92206249128051765</v>
      </c>
      <c r="BN277" s="110">
        <f t="shared" si="181"/>
        <v>0.35749517965371247</v>
      </c>
      <c r="BO277" s="110">
        <f t="shared" si="182"/>
        <v>0.82972030812989472</v>
      </c>
    </row>
    <row r="278" spans="1:67" x14ac:dyDescent="0.25">
      <c r="A278" s="260" t="s">
        <v>186</v>
      </c>
      <c r="B278" s="237">
        <v>2</v>
      </c>
      <c r="C278" s="236">
        <f>'побудинковий звіт'!E278</f>
        <v>1700.4</v>
      </c>
      <c r="D278" s="141">
        <f t="shared" si="159"/>
        <v>18.047635392421412</v>
      </c>
      <c r="E278" s="107">
        <f t="shared" si="153"/>
        <v>3.7201046345806779</v>
      </c>
      <c r="F278" s="333">
        <v>5.5034093377503055</v>
      </c>
      <c r="G278" s="107">
        <f t="shared" si="154"/>
        <v>0</v>
      </c>
      <c r="H278" s="735">
        <f t="shared" si="160"/>
        <v>15.078342642060804</v>
      </c>
      <c r="I278" s="107">
        <f t="shared" si="161"/>
        <v>5.4509231625827823</v>
      </c>
      <c r="J278" s="29"/>
      <c r="K278" s="142">
        <f t="shared" si="162"/>
        <v>47.800415169395983</v>
      </c>
      <c r="L278" s="210">
        <f t="shared" si="163"/>
        <v>8.5567219264128855</v>
      </c>
      <c r="M278" s="107">
        <f t="shared" si="155"/>
        <v>1.8826322046258406</v>
      </c>
      <c r="N278" s="333">
        <v>0</v>
      </c>
      <c r="O278" s="107"/>
      <c r="P278" s="107">
        <f t="shared" si="164"/>
        <v>7.1489246260741082</v>
      </c>
      <c r="Q278" s="107">
        <f t="shared" si="165"/>
        <v>2.2638372156078068</v>
      </c>
      <c r="R278" s="107"/>
      <c r="S278" s="143">
        <f t="shared" si="166"/>
        <v>19.852115972720643</v>
      </c>
      <c r="T278" s="245"/>
      <c r="U278" s="107"/>
      <c r="V278" s="151">
        <f t="shared" si="167"/>
        <v>0</v>
      </c>
      <c r="W278" s="246"/>
      <c r="X278" s="107"/>
      <c r="Y278" s="46">
        <f t="shared" si="168"/>
        <v>0</v>
      </c>
      <c r="Z278" s="141">
        <f t="shared" si="169"/>
        <v>0</v>
      </c>
      <c r="AA278" s="107">
        <f t="shared" si="156"/>
        <v>0</v>
      </c>
      <c r="AB278" s="333">
        <v>0</v>
      </c>
      <c r="AC278" s="107"/>
      <c r="AD278" s="107">
        <f t="shared" si="170"/>
        <v>0</v>
      </c>
      <c r="AE278" s="107">
        <f t="shared" si="171"/>
        <v>0</v>
      </c>
      <c r="AF278" s="107"/>
      <c r="AG278" s="142">
        <f t="shared" si="172"/>
        <v>0</v>
      </c>
      <c r="AH278" s="210">
        <f t="shared" si="173"/>
        <v>12.784876261821632</v>
      </c>
      <c r="AI278" s="107">
        <f t="shared" si="157"/>
        <v>2.5501442060688286</v>
      </c>
      <c r="AJ278" s="333">
        <v>2.1607438030481987</v>
      </c>
      <c r="AK278" s="121">
        <f t="shared" si="158"/>
        <v>0</v>
      </c>
      <c r="AL278" s="107"/>
      <c r="AM278" s="107">
        <f t="shared" si="174"/>
        <v>10.68144057215641</v>
      </c>
      <c r="AN278" s="107">
        <f t="shared" si="175"/>
        <v>3.6267679081335089</v>
      </c>
      <c r="AO278" s="107"/>
      <c r="AP278" s="143">
        <f t="shared" si="176"/>
        <v>31.803972751228578</v>
      </c>
      <c r="AQ278" s="34"/>
      <c r="AR278" s="29"/>
      <c r="AS278" s="124"/>
      <c r="AT278" s="138">
        <f t="shared" si="177"/>
        <v>789.86466604707869</v>
      </c>
      <c r="AU278" s="151">
        <f t="shared" si="178"/>
        <v>889.32116994042394</v>
      </c>
      <c r="AW278" s="1">
        <v>2</v>
      </c>
      <c r="BA278" s="30">
        <v>16.454999999999998</v>
      </c>
      <c r="BB278" s="30">
        <v>7.69</v>
      </c>
      <c r="BC278" s="30">
        <v>0</v>
      </c>
      <c r="BD278" s="30">
        <v>12.33</v>
      </c>
      <c r="BI278" s="333">
        <v>0</v>
      </c>
      <c r="BL278" s="110">
        <f>BA$398</f>
        <v>1.0967873225415627</v>
      </c>
      <c r="BM278" s="110">
        <f>BB$398</f>
        <v>1.1127076627324948</v>
      </c>
      <c r="BN278" s="110">
        <f>BC$398</f>
        <v>2.8314493742615632</v>
      </c>
      <c r="BO278" s="110">
        <f>BD$398</f>
        <v>1.036891829831438</v>
      </c>
    </row>
    <row r="279" spans="1:67" x14ac:dyDescent="0.25">
      <c r="A279" s="434" t="s">
        <v>138</v>
      </c>
      <c r="B279" s="238">
        <v>1</v>
      </c>
      <c r="C279" s="236">
        <f>'побудинковий звіт'!E279</f>
        <v>275.3</v>
      </c>
      <c r="D279" s="141">
        <f t="shared" si="159"/>
        <v>0</v>
      </c>
      <c r="E279" s="107">
        <f t="shared" si="153"/>
        <v>0</v>
      </c>
      <c r="F279" s="333">
        <v>0</v>
      </c>
      <c r="G279" s="107">
        <f t="shared" si="154"/>
        <v>0</v>
      </c>
      <c r="H279" s="735">
        <f t="shared" si="160"/>
        <v>0</v>
      </c>
      <c r="I279" s="107">
        <f t="shared" si="161"/>
        <v>0</v>
      </c>
      <c r="J279" s="29"/>
      <c r="K279" s="142">
        <f t="shared" si="162"/>
        <v>0</v>
      </c>
      <c r="L279" s="210">
        <f t="shared" si="163"/>
        <v>0</v>
      </c>
      <c r="M279" s="107">
        <f t="shared" si="155"/>
        <v>0</v>
      </c>
      <c r="N279" s="333">
        <v>0</v>
      </c>
      <c r="O279" s="107"/>
      <c r="P279" s="107">
        <f t="shared" si="164"/>
        <v>0</v>
      </c>
      <c r="Q279" s="107">
        <f t="shared" si="165"/>
        <v>0</v>
      </c>
      <c r="R279" s="107"/>
      <c r="S279" s="143">
        <f t="shared" si="166"/>
        <v>0</v>
      </c>
      <c r="T279" s="245"/>
      <c r="U279" s="107"/>
      <c r="V279" s="151">
        <f t="shared" si="167"/>
        <v>0</v>
      </c>
      <c r="W279" s="246"/>
      <c r="X279" s="107"/>
      <c r="Y279" s="46">
        <f t="shared" si="168"/>
        <v>0</v>
      </c>
      <c r="Z279" s="141">
        <f t="shared" si="169"/>
        <v>0</v>
      </c>
      <c r="AA279" s="107">
        <f t="shared" si="156"/>
        <v>0</v>
      </c>
      <c r="AB279" s="333">
        <v>0</v>
      </c>
      <c r="AC279" s="107"/>
      <c r="AD279" s="107">
        <f t="shared" si="170"/>
        <v>0</v>
      </c>
      <c r="AE279" s="107">
        <f t="shared" si="171"/>
        <v>0</v>
      </c>
      <c r="AF279" s="107"/>
      <c r="AG279" s="142">
        <f t="shared" si="172"/>
        <v>0</v>
      </c>
      <c r="AH279" s="210">
        <f t="shared" si="173"/>
        <v>0</v>
      </c>
      <c r="AI279" s="107">
        <f t="shared" si="157"/>
        <v>0</v>
      </c>
      <c r="AJ279" s="333">
        <v>0</v>
      </c>
      <c r="AK279" s="121">
        <f t="shared" si="158"/>
        <v>0</v>
      </c>
      <c r="AL279" s="107"/>
      <c r="AM279" s="107">
        <f t="shared" si="174"/>
        <v>0</v>
      </c>
      <c r="AN279" s="107">
        <f t="shared" si="175"/>
        <v>0</v>
      </c>
      <c r="AO279" s="107"/>
      <c r="AP279" s="143">
        <f t="shared" si="176"/>
        <v>0</v>
      </c>
      <c r="AQ279" s="34"/>
      <c r="AR279" s="29"/>
      <c r="AS279" s="124"/>
      <c r="AT279" s="138">
        <f t="shared" si="177"/>
        <v>0</v>
      </c>
      <c r="AU279" s="151">
        <f t="shared" si="178"/>
        <v>0</v>
      </c>
      <c r="AW279" s="1">
        <v>1</v>
      </c>
      <c r="BA279" s="30">
        <v>0</v>
      </c>
      <c r="BB279" s="30">
        <v>0</v>
      </c>
      <c r="BC279" s="30">
        <v>0</v>
      </c>
      <c r="BD279" s="30">
        <v>0</v>
      </c>
      <c r="BI279" s="333">
        <v>0</v>
      </c>
      <c r="BL279" s="110">
        <f>$BA$397</f>
        <v>0.85901039294857251</v>
      </c>
      <c r="BM279" s="110">
        <f>$BB$397</f>
        <v>0.92206249128051765</v>
      </c>
      <c r="BN279" s="110">
        <f>$BC$397</f>
        <v>0.35749517965371247</v>
      </c>
      <c r="BO279" s="110">
        <f>$BD$397</f>
        <v>0.82972030812989472</v>
      </c>
    </row>
    <row r="280" spans="1:67" x14ac:dyDescent="0.25">
      <c r="A280" s="260" t="s">
        <v>225</v>
      </c>
      <c r="B280" s="237">
        <v>4</v>
      </c>
      <c r="C280" s="236">
        <f>'побудинковий звіт'!E280</f>
        <v>626.5</v>
      </c>
      <c r="D280" s="141">
        <f t="shared" si="159"/>
        <v>143.83268947810052</v>
      </c>
      <c r="E280" s="107">
        <f t="shared" si="153"/>
        <v>29.64779834572532</v>
      </c>
      <c r="F280" s="333">
        <v>27.883659715079464</v>
      </c>
      <c r="G280" s="107">
        <f t="shared" si="154"/>
        <v>0</v>
      </c>
      <c r="H280" s="735">
        <f t="shared" si="160"/>
        <v>120.1685721105958</v>
      </c>
      <c r="I280" s="107">
        <f t="shared" si="161"/>
        <v>41.385387781835377</v>
      </c>
      <c r="J280" s="29"/>
      <c r="K280" s="142">
        <f t="shared" si="162"/>
        <v>362.91810743133652</v>
      </c>
      <c r="L280" s="210">
        <f t="shared" si="163"/>
        <v>26.515823602915347</v>
      </c>
      <c r="M280" s="107">
        <f t="shared" si="155"/>
        <v>5.8339564936584871</v>
      </c>
      <c r="N280" s="333">
        <v>0</v>
      </c>
      <c r="O280" s="107"/>
      <c r="P280" s="107">
        <f t="shared" si="164"/>
        <v>22.153299588991672</v>
      </c>
      <c r="Q280" s="107">
        <f t="shared" si="165"/>
        <v>7.0152458839966219</v>
      </c>
      <c r="R280" s="107"/>
      <c r="S280" s="143">
        <f t="shared" si="166"/>
        <v>61.51832556956213</v>
      </c>
      <c r="T280" s="905">
        <v>157.44166666666669</v>
      </c>
      <c r="U280" s="107"/>
      <c r="V280" s="151">
        <f t="shared" si="167"/>
        <v>157.44166666666669</v>
      </c>
      <c r="W280" s="246"/>
      <c r="X280" s="107"/>
      <c r="Y280" s="46">
        <f t="shared" si="168"/>
        <v>0</v>
      </c>
      <c r="Z280" s="141">
        <f t="shared" si="169"/>
        <v>0</v>
      </c>
      <c r="AA280" s="107">
        <f t="shared" si="156"/>
        <v>0</v>
      </c>
      <c r="AB280" s="333">
        <v>0</v>
      </c>
      <c r="AC280" s="107"/>
      <c r="AD280" s="107">
        <f t="shared" si="170"/>
        <v>0</v>
      </c>
      <c r="AE280" s="107">
        <f t="shared" si="171"/>
        <v>0</v>
      </c>
      <c r="AF280" s="107"/>
      <c r="AG280" s="142">
        <f t="shared" si="172"/>
        <v>0</v>
      </c>
      <c r="AH280" s="210">
        <f t="shared" si="173"/>
        <v>90.645083763864307</v>
      </c>
      <c r="AI280" s="107">
        <f t="shared" si="157"/>
        <v>18.080584468332276</v>
      </c>
      <c r="AJ280" s="333">
        <v>10.94765830380546</v>
      </c>
      <c r="AK280" s="121">
        <f t="shared" si="158"/>
        <v>0</v>
      </c>
      <c r="AL280" s="107"/>
      <c r="AM280" s="107">
        <f t="shared" si="174"/>
        <v>75.731673545653948</v>
      </c>
      <c r="AN280" s="107">
        <f t="shared" si="175"/>
        <v>25.1511314671314</v>
      </c>
      <c r="AO280" s="107"/>
      <c r="AP280" s="143">
        <f t="shared" si="176"/>
        <v>220.55613154878739</v>
      </c>
      <c r="AQ280" s="34"/>
      <c r="AR280" s="29"/>
      <c r="AS280" s="124"/>
      <c r="AT280" s="138">
        <f t="shared" si="177"/>
        <v>291.01988548488282</v>
      </c>
      <c r="AU280" s="151">
        <f t="shared" si="178"/>
        <v>1093.4541167012358</v>
      </c>
      <c r="AW280" s="1">
        <v>2</v>
      </c>
      <c r="BA280" s="30">
        <v>131.13999999999999</v>
      </c>
      <c r="BB280" s="30">
        <v>23.83</v>
      </c>
      <c r="BC280" s="30">
        <v>0</v>
      </c>
      <c r="BD280" s="30">
        <v>87.42</v>
      </c>
      <c r="BF280" s="289">
        <f>T280*1.2</f>
        <v>188.93000000000004</v>
      </c>
      <c r="BI280" s="333">
        <v>0</v>
      </c>
      <c r="BL280" s="110">
        <f>BA$398</f>
        <v>1.0967873225415627</v>
      </c>
      <c r="BM280" s="110">
        <f>BB$398</f>
        <v>1.1127076627324948</v>
      </c>
      <c r="BN280" s="110">
        <f>BC$398</f>
        <v>2.8314493742615632</v>
      </c>
      <c r="BO280" s="110">
        <f>BD$398</f>
        <v>1.036891829831438</v>
      </c>
    </row>
    <row r="281" spans="1:67" x14ac:dyDescent="0.25">
      <c r="A281" s="260" t="s">
        <v>423</v>
      </c>
      <c r="B281" s="237">
        <v>10</v>
      </c>
      <c r="C281" s="236">
        <f>'побудинковий звіт'!E281</f>
        <v>2916.54</v>
      </c>
      <c r="D281" s="141">
        <f t="shared" si="159"/>
        <v>1083.9093071846376</v>
      </c>
      <c r="E281" s="107">
        <f t="shared" si="153"/>
        <v>223.42295538704934</v>
      </c>
      <c r="F281" s="333">
        <v>174.01411479006794</v>
      </c>
      <c r="G281" s="107">
        <f t="shared" si="154"/>
        <v>0</v>
      </c>
      <c r="H281" s="735">
        <f t="shared" si="160"/>
        <v>905.57879585220962</v>
      </c>
      <c r="I281" s="107">
        <f t="shared" si="161"/>
        <v>307.22790516426301</v>
      </c>
      <c r="J281" s="29"/>
      <c r="K281" s="142">
        <f t="shared" si="162"/>
        <v>2694.1530783782277</v>
      </c>
      <c r="L281" s="210">
        <f t="shared" si="163"/>
        <v>194.34723672596505</v>
      </c>
      <c r="M281" s="107">
        <f t="shared" si="155"/>
        <v>42.759875789691378</v>
      </c>
      <c r="N281" s="333">
        <v>0</v>
      </c>
      <c r="O281" s="107"/>
      <c r="P281" s="107">
        <f t="shared" si="164"/>
        <v>162.37219797350053</v>
      </c>
      <c r="Q281" s="107">
        <f t="shared" si="165"/>
        <v>51.418114440844363</v>
      </c>
      <c r="R281" s="107"/>
      <c r="S281" s="143">
        <f t="shared" si="166"/>
        <v>450.89742493000131</v>
      </c>
      <c r="T281" s="244">
        <v>713.91</v>
      </c>
      <c r="U281" s="107"/>
      <c r="V281" s="151">
        <f t="shared" si="167"/>
        <v>713.91</v>
      </c>
      <c r="W281" s="906">
        <v>181.17</v>
      </c>
      <c r="X281" s="107"/>
      <c r="Y281" s="46">
        <f t="shared" si="168"/>
        <v>181.17</v>
      </c>
      <c r="Z281" s="141">
        <f t="shared" si="169"/>
        <v>34.840422277930898</v>
      </c>
      <c r="AA281" s="107">
        <f t="shared" si="156"/>
        <v>7.6582006002360687</v>
      </c>
      <c r="AB281" s="333">
        <v>0</v>
      </c>
      <c r="AC281" s="107"/>
      <c r="AD281" s="107">
        <f t="shared" si="170"/>
        <v>29.108291112825253</v>
      </c>
      <c r="AE281" s="107">
        <f t="shared" si="171"/>
        <v>9.2167288809928873</v>
      </c>
      <c r="AF281" s="107"/>
      <c r="AG281" s="142">
        <f t="shared" si="172"/>
        <v>80.823642871985115</v>
      </c>
      <c r="AH281" s="210">
        <f t="shared" si="173"/>
        <v>404.72772107596887</v>
      </c>
      <c r="AI281" s="107">
        <f t="shared" si="157"/>
        <v>80.729295442571924</v>
      </c>
      <c r="AJ281" s="333">
        <v>97.947099084020167</v>
      </c>
      <c r="AK281" s="121">
        <f t="shared" si="158"/>
        <v>0</v>
      </c>
      <c r="AL281" s="107"/>
      <c r="AM281" s="107">
        <f t="shared" si="174"/>
        <v>338.13976858633208</v>
      </c>
      <c r="AN281" s="107">
        <f t="shared" si="175"/>
        <v>118.61452559699177</v>
      </c>
      <c r="AO281" s="107"/>
      <c r="AP281" s="143">
        <f t="shared" si="176"/>
        <v>1040.1584097858849</v>
      </c>
      <c r="AQ281" s="34"/>
      <c r="AR281" s="29"/>
      <c r="AS281" s="124"/>
      <c r="AT281" s="138">
        <f t="shared" si="177"/>
        <v>1354.7823412802557</v>
      </c>
      <c r="AU281" s="151">
        <f t="shared" si="178"/>
        <v>6515.894897246354</v>
      </c>
      <c r="AW281" s="1">
        <v>3</v>
      </c>
      <c r="BA281" s="30">
        <v>885.99</v>
      </c>
      <c r="BB281" s="30">
        <v>151.75</v>
      </c>
      <c r="BC281" s="30">
        <v>42.26</v>
      </c>
      <c r="BD281" s="30">
        <v>312.16000000000003</v>
      </c>
      <c r="BI281" s="333">
        <v>0</v>
      </c>
      <c r="BL281" s="110">
        <f t="shared" ref="BL281:BO282" si="183">BA$399</f>
        <v>1.2233877438623886</v>
      </c>
      <c r="BM281" s="110">
        <f t="shared" si="183"/>
        <v>1.2807066670574303</v>
      </c>
      <c r="BN281" s="110">
        <f t="shared" si="183"/>
        <v>0.82443024793968056</v>
      </c>
      <c r="BO281" s="110">
        <f t="shared" si="183"/>
        <v>1.2965393422474656</v>
      </c>
    </row>
    <row r="282" spans="1:67" x14ac:dyDescent="0.25">
      <c r="A282" s="260" t="s">
        <v>394</v>
      </c>
      <c r="B282" s="237">
        <v>9</v>
      </c>
      <c r="C282" s="236">
        <f>'побудинковий звіт'!E282</f>
        <v>4446.8</v>
      </c>
      <c r="D282" s="141">
        <f t="shared" si="159"/>
        <v>591.21436109893784</v>
      </c>
      <c r="E282" s="107">
        <f t="shared" si="153"/>
        <v>121.86523258766518</v>
      </c>
      <c r="F282" s="333">
        <v>107.67946401048368</v>
      </c>
      <c r="G282" s="107">
        <f t="shared" si="154"/>
        <v>0</v>
      </c>
      <c r="H282" s="735">
        <f t="shared" si="160"/>
        <v>493.94463694120566</v>
      </c>
      <c r="I282" s="107">
        <f t="shared" si="161"/>
        <v>169.21923927408866</v>
      </c>
      <c r="J282" s="29"/>
      <c r="K282" s="142">
        <f t="shared" si="162"/>
        <v>1483.922933912381</v>
      </c>
      <c r="L282" s="210">
        <f t="shared" si="163"/>
        <v>119.08010590299988</v>
      </c>
      <c r="M282" s="107">
        <f t="shared" si="155"/>
        <v>26.199757831469551</v>
      </c>
      <c r="N282" s="333">
        <v>0</v>
      </c>
      <c r="O282" s="107"/>
      <c r="P282" s="107">
        <f t="shared" si="164"/>
        <v>99.48841494284072</v>
      </c>
      <c r="Q282" s="107">
        <f t="shared" si="165"/>
        <v>31.504818983260026</v>
      </c>
      <c r="R282" s="107"/>
      <c r="S282" s="143">
        <f t="shared" si="166"/>
        <v>276.27309766057016</v>
      </c>
      <c r="T282" s="244">
        <v>458.53</v>
      </c>
      <c r="U282" s="107"/>
      <c r="V282" s="151">
        <f t="shared" si="167"/>
        <v>458.53</v>
      </c>
      <c r="W282" s="906">
        <v>124.67</v>
      </c>
      <c r="X282" s="107"/>
      <c r="Y282" s="46">
        <f t="shared" si="168"/>
        <v>124.67</v>
      </c>
      <c r="Z282" s="141">
        <f t="shared" si="169"/>
        <v>21.740225638169377</v>
      </c>
      <c r="AA282" s="107">
        <f t="shared" si="156"/>
        <v>4.7786736826366578</v>
      </c>
      <c r="AB282" s="333">
        <v>0</v>
      </c>
      <c r="AC282" s="107"/>
      <c r="AD282" s="107">
        <f t="shared" si="170"/>
        <v>18.163408344656933</v>
      </c>
      <c r="AE282" s="107">
        <f t="shared" si="171"/>
        <v>5.7511864787454439</v>
      </c>
      <c r="AF282" s="107"/>
      <c r="AG282" s="142">
        <f t="shared" si="172"/>
        <v>50.433494144208417</v>
      </c>
      <c r="AH282" s="210">
        <f t="shared" si="173"/>
        <v>243.14002285166723</v>
      </c>
      <c r="AI282" s="107">
        <f t="shared" si="157"/>
        <v>48.498093203310837</v>
      </c>
      <c r="AJ282" s="333">
        <v>60.609400240163765</v>
      </c>
      <c r="AK282" s="121">
        <f t="shared" si="158"/>
        <v>0</v>
      </c>
      <c r="AL282" s="107"/>
      <c r="AM282" s="107">
        <f t="shared" si="174"/>
        <v>203.1373359911419</v>
      </c>
      <c r="AN282" s="107">
        <f t="shared" si="175"/>
        <v>71.485158664663047</v>
      </c>
      <c r="AO282" s="107"/>
      <c r="AP282" s="143">
        <f t="shared" si="176"/>
        <v>626.87001095094672</v>
      </c>
      <c r="AQ282" s="34"/>
      <c r="AR282" s="29"/>
      <c r="AS282" s="124"/>
      <c r="AT282" s="138">
        <f t="shared" si="177"/>
        <v>2065.6140890250231</v>
      </c>
      <c r="AU282" s="151">
        <f t="shared" si="178"/>
        <v>5086.3136256931293</v>
      </c>
      <c r="AW282" s="1">
        <v>3</v>
      </c>
      <c r="BA282" s="30">
        <v>483.26</v>
      </c>
      <c r="BB282" s="30">
        <v>92.98</v>
      </c>
      <c r="BC282" s="30">
        <v>26.37</v>
      </c>
      <c r="BD282" s="30">
        <v>187.53</v>
      </c>
      <c r="BI282" s="333">
        <v>0</v>
      </c>
      <c r="BL282" s="110">
        <f t="shared" si="183"/>
        <v>1.2233877438623886</v>
      </c>
      <c r="BM282" s="110">
        <f t="shared" si="183"/>
        <v>1.2807066670574303</v>
      </c>
      <c r="BN282" s="110">
        <f t="shared" si="183"/>
        <v>0.82443024793968056</v>
      </c>
      <c r="BO282" s="110">
        <f t="shared" si="183"/>
        <v>1.2965393422474656</v>
      </c>
    </row>
    <row r="283" spans="1:67" x14ac:dyDescent="0.25">
      <c r="A283" s="260" t="s">
        <v>292</v>
      </c>
      <c r="B283" s="237">
        <v>5</v>
      </c>
      <c r="C283" s="236">
        <f>'побудинковий звіт'!E283</f>
        <v>5056.3</v>
      </c>
      <c r="D283" s="141">
        <f t="shared" si="159"/>
        <v>243.72807881518608</v>
      </c>
      <c r="E283" s="107">
        <f t="shared" si="153"/>
        <v>50.238933570131778</v>
      </c>
      <c r="F283" s="333">
        <v>43.938781902543987</v>
      </c>
      <c r="G283" s="107">
        <f t="shared" si="154"/>
        <v>0</v>
      </c>
      <c r="H283" s="735">
        <f t="shared" si="160"/>
        <v>203.62864186683393</v>
      </c>
      <c r="I283" s="107">
        <f t="shared" si="161"/>
        <v>69.702432343154001</v>
      </c>
      <c r="J283" s="29"/>
      <c r="K283" s="142">
        <f t="shared" si="162"/>
        <v>611.23686849784974</v>
      </c>
      <c r="L283" s="210">
        <f t="shared" si="163"/>
        <v>47.557125505186832</v>
      </c>
      <c r="M283" s="107">
        <f t="shared" si="155"/>
        <v>10.463420081366506</v>
      </c>
      <c r="N283" s="333">
        <v>0</v>
      </c>
      <c r="O283" s="107"/>
      <c r="P283" s="107">
        <f t="shared" si="164"/>
        <v>39.732774839844915</v>
      </c>
      <c r="Q283" s="107">
        <f t="shared" si="165"/>
        <v>12.582106969450932</v>
      </c>
      <c r="R283" s="107"/>
      <c r="S283" s="143">
        <f t="shared" si="166"/>
        <v>110.33542739584919</v>
      </c>
      <c r="T283" s="905">
        <v>230.29166666666669</v>
      </c>
      <c r="U283" s="107"/>
      <c r="V283" s="151">
        <f t="shared" si="167"/>
        <v>230.29166666666669</v>
      </c>
      <c r="W283" s="246"/>
      <c r="X283" s="107"/>
      <c r="Y283" s="46">
        <f t="shared" si="168"/>
        <v>0</v>
      </c>
      <c r="Z283" s="141">
        <f t="shared" si="169"/>
        <v>0</v>
      </c>
      <c r="AA283" s="107">
        <f t="shared" si="156"/>
        <v>0</v>
      </c>
      <c r="AB283" s="333">
        <v>0</v>
      </c>
      <c r="AC283" s="107"/>
      <c r="AD283" s="107">
        <f t="shared" si="170"/>
        <v>0</v>
      </c>
      <c r="AE283" s="107">
        <f t="shared" si="171"/>
        <v>0</v>
      </c>
      <c r="AF283" s="107"/>
      <c r="AG283" s="142">
        <f t="shared" si="172"/>
        <v>0</v>
      </c>
      <c r="AH283" s="210">
        <f t="shared" si="173"/>
        <v>116.02819575813793</v>
      </c>
      <c r="AI283" s="107">
        <f t="shared" si="157"/>
        <v>23.14364449789959</v>
      </c>
      <c r="AJ283" s="333">
        <v>17.251206458180377</v>
      </c>
      <c r="AK283" s="121">
        <f t="shared" si="158"/>
        <v>0</v>
      </c>
      <c r="AL283" s="418"/>
      <c r="AM283" s="107">
        <f t="shared" si="174"/>
        <v>96.938621250957198</v>
      </c>
      <c r="AN283" s="107">
        <f t="shared" si="175"/>
        <v>32.610898477832897</v>
      </c>
      <c r="AO283" s="107"/>
      <c r="AP283" s="143">
        <f t="shared" si="176"/>
        <v>285.97256644300796</v>
      </c>
      <c r="AQ283" s="34"/>
      <c r="AR283" s="107"/>
      <c r="AS283" s="142"/>
      <c r="AT283" s="138">
        <f t="shared" si="177"/>
        <v>2348.7371859173395</v>
      </c>
      <c r="AU283" s="151">
        <f t="shared" si="178"/>
        <v>3586.5737149207134</v>
      </c>
      <c r="AW283" s="1">
        <v>2</v>
      </c>
      <c r="BA283" s="30">
        <v>222.22</v>
      </c>
      <c r="BB283" s="30">
        <v>42.74</v>
      </c>
      <c r="BC283" s="30">
        <v>0</v>
      </c>
      <c r="BD283" s="30">
        <v>111.9</v>
      </c>
      <c r="BF283" s="289">
        <f>T283*1.2</f>
        <v>276.35000000000002</v>
      </c>
      <c r="BI283" s="333">
        <v>0</v>
      </c>
      <c r="BL283" s="110">
        <f>BA$398</f>
        <v>1.0967873225415627</v>
      </c>
      <c r="BM283" s="110">
        <f>BB$398</f>
        <v>1.1127076627324948</v>
      </c>
      <c r="BN283" s="110">
        <f>BC$398</f>
        <v>2.8314493742615632</v>
      </c>
      <c r="BO283" s="110">
        <f>BD$398</f>
        <v>1.036891829831438</v>
      </c>
    </row>
    <row r="284" spans="1:67" x14ac:dyDescent="0.25">
      <c r="A284" s="260" t="s">
        <v>293</v>
      </c>
      <c r="B284" s="237">
        <v>5</v>
      </c>
      <c r="C284" s="236">
        <f>'побудинковий звіт'!E284</f>
        <v>3260.7000000000003</v>
      </c>
      <c r="D284" s="141">
        <f t="shared" si="159"/>
        <v>677.35309214428867</v>
      </c>
      <c r="E284" s="107">
        <f t="shared" si="153"/>
        <v>139.6207493415813</v>
      </c>
      <c r="F284" s="333">
        <v>153.17661670759821</v>
      </c>
      <c r="G284" s="107">
        <f t="shared" si="154"/>
        <v>0</v>
      </c>
      <c r="H284" s="735">
        <f t="shared" si="160"/>
        <v>565.91136683201046</v>
      </c>
      <c r="I284" s="107">
        <f t="shared" si="161"/>
        <v>197.71087171112984</v>
      </c>
      <c r="J284" s="29"/>
      <c r="K284" s="142">
        <f t="shared" si="162"/>
        <v>1733.7726967366086</v>
      </c>
      <c r="L284" s="210">
        <f t="shared" si="163"/>
        <v>147.06354657820472</v>
      </c>
      <c r="M284" s="107">
        <f t="shared" si="155"/>
        <v>32.356616388337798</v>
      </c>
      <c r="N284" s="333">
        <v>0</v>
      </c>
      <c r="O284" s="107"/>
      <c r="P284" s="107">
        <f t="shared" si="164"/>
        <v>122.86787145500537</v>
      </c>
      <c r="Q284" s="107">
        <f t="shared" si="165"/>
        <v>38.908349794017511</v>
      </c>
      <c r="R284" s="107"/>
      <c r="S284" s="143">
        <f t="shared" si="166"/>
        <v>341.19638421556539</v>
      </c>
      <c r="T284" s="244">
        <v>584.21</v>
      </c>
      <c r="U284" s="107"/>
      <c r="V284" s="151">
        <f t="shared" si="167"/>
        <v>584.21</v>
      </c>
      <c r="W284" s="246"/>
      <c r="X284" s="107"/>
      <c r="Y284" s="46">
        <f t="shared" si="168"/>
        <v>0</v>
      </c>
      <c r="Z284" s="141">
        <f t="shared" si="169"/>
        <v>36.077067649840423</v>
      </c>
      <c r="AA284" s="107">
        <f t="shared" si="156"/>
        <v>7.9300250417967435</v>
      </c>
      <c r="AB284" s="333">
        <v>0</v>
      </c>
      <c r="AC284" s="107"/>
      <c r="AD284" s="107">
        <f t="shared" si="170"/>
        <v>30.141477025490609</v>
      </c>
      <c r="AE284" s="107">
        <f t="shared" si="171"/>
        <v>9.5438725942321039</v>
      </c>
      <c r="AF284" s="107"/>
      <c r="AG284" s="142">
        <f t="shared" si="172"/>
        <v>83.692442311359869</v>
      </c>
      <c r="AH284" s="210">
        <f t="shared" si="173"/>
        <v>549.18813458918146</v>
      </c>
      <c r="AI284" s="107">
        <f t="shared" si="157"/>
        <v>109.54419196426387</v>
      </c>
      <c r="AJ284" s="333">
        <v>86.218323565959523</v>
      </c>
      <c r="AK284" s="121">
        <f t="shared" si="158"/>
        <v>0</v>
      </c>
      <c r="AL284" s="107"/>
      <c r="AM284" s="107">
        <f t="shared" si="174"/>
        <v>458.8327882425632</v>
      </c>
      <c r="AN284" s="107">
        <f t="shared" si="175"/>
        <v>154.9423786676152</v>
      </c>
      <c r="AO284" s="107"/>
      <c r="AP284" s="143">
        <f t="shared" si="176"/>
        <v>1358.7258170295831</v>
      </c>
      <c r="AQ284" s="34"/>
      <c r="AR284" s="29"/>
      <c r="AS284" s="124"/>
      <c r="AT284" s="138">
        <f t="shared" si="177"/>
        <v>1514.6505037518875</v>
      </c>
      <c r="AU284" s="151">
        <f t="shared" si="178"/>
        <v>5616.247844045005</v>
      </c>
      <c r="AW284" s="1">
        <v>3</v>
      </c>
      <c r="BA284" s="30">
        <v>553.66999999999996</v>
      </c>
      <c r="BB284" s="30">
        <v>114.83</v>
      </c>
      <c r="BC284" s="30">
        <v>43.76</v>
      </c>
      <c r="BD284" s="30">
        <v>423.58</v>
      </c>
      <c r="BI284" s="333">
        <v>0</v>
      </c>
      <c r="BL284" s="110">
        <f>BA$399</f>
        <v>1.2233877438623886</v>
      </c>
      <c r="BM284" s="110">
        <f>BB$399</f>
        <v>1.2807066670574303</v>
      </c>
      <c r="BN284" s="110">
        <f>BC$399</f>
        <v>0.82443024793968056</v>
      </c>
      <c r="BO284" s="110">
        <f>BD$399</f>
        <v>1.2965393422474656</v>
      </c>
    </row>
    <row r="285" spans="1:67" x14ac:dyDescent="0.25">
      <c r="A285" s="260" t="s">
        <v>226</v>
      </c>
      <c r="B285" s="237">
        <v>4</v>
      </c>
      <c r="C285" s="236">
        <f>'побудинковий звіт'!E285</f>
        <v>525.20000000000005</v>
      </c>
      <c r="D285" s="141">
        <f t="shared" si="159"/>
        <v>170.56139652843842</v>
      </c>
      <c r="E285" s="107">
        <f t="shared" si="153"/>
        <v>35.157306090771272</v>
      </c>
      <c r="F285" s="333">
        <v>30.610080726966483</v>
      </c>
      <c r="G285" s="107">
        <f t="shared" si="154"/>
        <v>0</v>
      </c>
      <c r="H285" s="735">
        <f t="shared" si="160"/>
        <v>142.49973043250537</v>
      </c>
      <c r="I285" s="107">
        <f t="shared" si="161"/>
        <v>48.760091858263934</v>
      </c>
      <c r="J285" s="29"/>
      <c r="K285" s="142">
        <f t="shared" si="162"/>
        <v>427.58860563694549</v>
      </c>
      <c r="L285" s="210">
        <f t="shared" si="163"/>
        <v>26.883017131617073</v>
      </c>
      <c r="M285" s="107">
        <f t="shared" si="155"/>
        <v>5.9147456519844344</v>
      </c>
      <c r="N285" s="333">
        <v>0</v>
      </c>
      <c r="O285" s="107"/>
      <c r="P285" s="107">
        <f t="shared" si="164"/>
        <v>22.460080489720472</v>
      </c>
      <c r="Q285" s="107">
        <f t="shared" si="165"/>
        <v>7.1123936448744605</v>
      </c>
      <c r="R285" s="107"/>
      <c r="S285" s="143">
        <f t="shared" si="166"/>
        <v>62.37023691819644</v>
      </c>
      <c r="T285" s="905">
        <v>172.76666666666668</v>
      </c>
      <c r="U285" s="107"/>
      <c r="V285" s="151">
        <f t="shared" si="167"/>
        <v>172.76666666666668</v>
      </c>
      <c r="W285" s="246"/>
      <c r="X285" s="107"/>
      <c r="Y285" s="46">
        <f t="shared" si="168"/>
        <v>0</v>
      </c>
      <c r="Z285" s="141">
        <f t="shared" si="169"/>
        <v>0</v>
      </c>
      <c r="AA285" s="107">
        <f t="shared" si="156"/>
        <v>0</v>
      </c>
      <c r="AB285" s="333">
        <v>0</v>
      </c>
      <c r="AC285" s="107"/>
      <c r="AD285" s="107">
        <f t="shared" si="170"/>
        <v>0</v>
      </c>
      <c r="AE285" s="107">
        <f t="shared" si="171"/>
        <v>0</v>
      </c>
      <c r="AF285" s="107"/>
      <c r="AG285" s="142">
        <f t="shared" si="172"/>
        <v>0</v>
      </c>
      <c r="AH285" s="210">
        <f t="shared" si="173"/>
        <v>91.920460714556981</v>
      </c>
      <c r="AI285" s="107">
        <f t="shared" si="157"/>
        <v>18.33497841589632</v>
      </c>
      <c r="AJ285" s="333">
        <v>12.018103357842355</v>
      </c>
      <c r="AK285" s="121">
        <f t="shared" si="158"/>
        <v>0</v>
      </c>
      <c r="AL285" s="418"/>
      <c r="AM285" s="107">
        <f t="shared" si="174"/>
        <v>76.797218712219433</v>
      </c>
      <c r="AN285" s="107">
        <f t="shared" si="175"/>
        <v>25.622961971923989</v>
      </c>
      <c r="AO285" s="107"/>
      <c r="AP285" s="143">
        <f t="shared" si="176"/>
        <v>224.69372317243906</v>
      </c>
      <c r="AQ285" s="34"/>
      <c r="AR285" s="29"/>
      <c r="AS285" s="124"/>
      <c r="AT285" s="138">
        <f t="shared" si="177"/>
        <v>243.96431581270627</v>
      </c>
      <c r="AU285" s="151">
        <f t="shared" si="178"/>
        <v>1131.3835482069539</v>
      </c>
      <c r="AW285" s="1">
        <v>2</v>
      </c>
      <c r="BA285" s="30">
        <v>155.51</v>
      </c>
      <c r="BB285" s="30">
        <v>24.16</v>
      </c>
      <c r="BC285" s="30">
        <v>0</v>
      </c>
      <c r="BD285" s="30">
        <v>88.65</v>
      </c>
      <c r="BF285" s="289">
        <f>T285*1.2</f>
        <v>207.32000000000002</v>
      </c>
      <c r="BI285" s="333">
        <v>0</v>
      </c>
      <c r="BL285" s="110">
        <f t="shared" ref="BL285:BO288" si="184">BA$398</f>
        <v>1.0967873225415627</v>
      </c>
      <c r="BM285" s="110">
        <f t="shared" si="184"/>
        <v>1.1127076627324948</v>
      </c>
      <c r="BN285" s="110">
        <f t="shared" si="184"/>
        <v>2.8314493742615632</v>
      </c>
      <c r="BO285" s="110">
        <f t="shared" si="184"/>
        <v>1.036891829831438</v>
      </c>
    </row>
    <row r="286" spans="1:67" x14ac:dyDescent="0.25">
      <c r="A286" s="260" t="s">
        <v>294</v>
      </c>
      <c r="B286" s="237">
        <v>5</v>
      </c>
      <c r="C286" s="236">
        <f>'побудинковий звіт'!E286</f>
        <v>573.79999999999995</v>
      </c>
      <c r="D286" s="141">
        <f t="shared" si="159"/>
        <v>534.83736996416769</v>
      </c>
      <c r="E286" s="107">
        <f t="shared" si="153"/>
        <v>110.2444134917607</v>
      </c>
      <c r="F286" s="333">
        <v>88.964971752719265</v>
      </c>
      <c r="G286" s="107">
        <f t="shared" si="154"/>
        <v>0</v>
      </c>
      <c r="H286" s="735">
        <f t="shared" si="160"/>
        <v>446.84308757061876</v>
      </c>
      <c r="I286" s="107">
        <f t="shared" si="161"/>
        <v>151.99567908461964</v>
      </c>
      <c r="J286" s="29"/>
      <c r="K286" s="142">
        <f t="shared" si="162"/>
        <v>1332.8855218638862</v>
      </c>
      <c r="L286" s="210">
        <f t="shared" si="163"/>
        <v>107.20938330427586</v>
      </c>
      <c r="M286" s="107">
        <f t="shared" si="155"/>
        <v>23.587986074863419</v>
      </c>
      <c r="N286" s="333">
        <v>0</v>
      </c>
      <c r="O286" s="107"/>
      <c r="P286" s="107">
        <f t="shared" si="164"/>
        <v>89.570726621877782</v>
      </c>
      <c r="Q286" s="107">
        <f t="shared" si="165"/>
        <v>28.36420230478701</v>
      </c>
      <c r="R286" s="107"/>
      <c r="S286" s="143">
        <f t="shared" si="166"/>
        <v>248.73229830580405</v>
      </c>
      <c r="T286" s="905">
        <v>460.79166666666674</v>
      </c>
      <c r="U286" s="107"/>
      <c r="V286" s="151">
        <f t="shared" si="167"/>
        <v>460.79166666666674</v>
      </c>
      <c r="W286" s="246"/>
      <c r="X286" s="107"/>
      <c r="Y286" s="46">
        <f t="shared" si="168"/>
        <v>0</v>
      </c>
      <c r="Z286" s="141">
        <f t="shared" si="169"/>
        <v>0</v>
      </c>
      <c r="AA286" s="107">
        <f t="shared" si="156"/>
        <v>0</v>
      </c>
      <c r="AB286" s="333">
        <v>0</v>
      </c>
      <c r="AC286" s="107"/>
      <c r="AD286" s="107">
        <f t="shared" si="170"/>
        <v>0</v>
      </c>
      <c r="AE286" s="107">
        <f t="shared" si="171"/>
        <v>0</v>
      </c>
      <c r="AF286" s="107"/>
      <c r="AG286" s="142">
        <f t="shared" si="172"/>
        <v>0</v>
      </c>
      <c r="AH286" s="210">
        <f t="shared" si="173"/>
        <v>341.91508088691671</v>
      </c>
      <c r="AI286" s="107">
        <f t="shared" si="157"/>
        <v>68.200328625401156</v>
      </c>
      <c r="AJ286" s="333">
        <v>34.929350082039605</v>
      </c>
      <c r="AK286" s="121">
        <f t="shared" si="158"/>
        <v>0</v>
      </c>
      <c r="AL286" s="107"/>
      <c r="AM286" s="107">
        <f t="shared" si="174"/>
        <v>285.66139729672147</v>
      </c>
      <c r="AN286" s="107">
        <f t="shared" si="175"/>
        <v>94.051260756531406</v>
      </c>
      <c r="AO286" s="107"/>
      <c r="AP286" s="143">
        <f t="shared" si="176"/>
        <v>824.7574176476104</v>
      </c>
      <c r="AQ286" s="34"/>
      <c r="AR286" s="29"/>
      <c r="AS286" s="124"/>
      <c r="AT286" s="138">
        <f t="shared" si="177"/>
        <v>266.5398408479262</v>
      </c>
      <c r="AU286" s="151">
        <f t="shared" si="178"/>
        <v>3133.7067453318937</v>
      </c>
      <c r="AW286" s="1">
        <v>2</v>
      </c>
      <c r="BA286" s="30">
        <v>487.64</v>
      </c>
      <c r="BB286" s="30">
        <v>96.35</v>
      </c>
      <c r="BC286" s="30">
        <v>0</v>
      </c>
      <c r="BD286" s="30">
        <v>329.75</v>
      </c>
      <c r="BF286" s="289">
        <f>T286*1.2</f>
        <v>552.95000000000005</v>
      </c>
      <c r="BI286" s="333">
        <v>0</v>
      </c>
      <c r="BL286" s="110">
        <f t="shared" si="184"/>
        <v>1.0967873225415627</v>
      </c>
      <c r="BM286" s="110">
        <f t="shared" si="184"/>
        <v>1.1127076627324948</v>
      </c>
      <c r="BN286" s="110">
        <f t="shared" si="184"/>
        <v>2.8314493742615632</v>
      </c>
      <c r="BO286" s="110">
        <f t="shared" si="184"/>
        <v>1.036891829831438</v>
      </c>
    </row>
    <row r="287" spans="1:67" x14ac:dyDescent="0.25">
      <c r="A287" s="260" t="s">
        <v>295</v>
      </c>
      <c r="B287" s="237">
        <v>5</v>
      </c>
      <c r="C287" s="236">
        <f>'побудинковий звіт'!E287</f>
        <v>4216.5600000000004</v>
      </c>
      <c r="D287" s="141">
        <f t="shared" si="159"/>
        <v>441.3691543371757</v>
      </c>
      <c r="E287" s="107">
        <f t="shared" si="153"/>
        <v>90.978092193737879</v>
      </c>
      <c r="F287" s="333">
        <v>67.526326901056493</v>
      </c>
      <c r="G287" s="107">
        <f t="shared" si="154"/>
        <v>0</v>
      </c>
      <c r="H287" s="735">
        <f t="shared" si="160"/>
        <v>368.7527587978189</v>
      </c>
      <c r="I287" s="107">
        <f t="shared" si="161"/>
        <v>124.67464094703965</v>
      </c>
      <c r="J287" s="29"/>
      <c r="K287" s="142">
        <f t="shared" si="162"/>
        <v>1093.3009731768286</v>
      </c>
      <c r="L287" s="210">
        <f t="shared" si="163"/>
        <v>85.856523256439289</v>
      </c>
      <c r="M287" s="107">
        <f t="shared" si="155"/>
        <v>18.889974110393997</v>
      </c>
      <c r="N287" s="333">
        <v>0</v>
      </c>
      <c r="O287" s="107"/>
      <c r="P287" s="107">
        <f t="shared" si="164"/>
        <v>71.730952424951639</v>
      </c>
      <c r="Q287" s="107">
        <f t="shared" si="165"/>
        <v>22.714912816163633</v>
      </c>
      <c r="R287" s="107"/>
      <c r="S287" s="143">
        <f t="shared" si="166"/>
        <v>199.19236260794855</v>
      </c>
      <c r="T287" s="905">
        <v>346.50833333333333</v>
      </c>
      <c r="U287" s="107"/>
      <c r="V287" s="151">
        <f t="shared" si="167"/>
        <v>346.50833333333333</v>
      </c>
      <c r="W287" s="246"/>
      <c r="X287" s="107"/>
      <c r="Y287" s="46">
        <f t="shared" si="168"/>
        <v>0</v>
      </c>
      <c r="Z287" s="141">
        <f t="shared" si="169"/>
        <v>0</v>
      </c>
      <c r="AA287" s="107">
        <f t="shared" si="156"/>
        <v>0</v>
      </c>
      <c r="AB287" s="333">
        <v>0</v>
      </c>
      <c r="AC287" s="107"/>
      <c r="AD287" s="107">
        <f t="shared" si="170"/>
        <v>0</v>
      </c>
      <c r="AE287" s="107">
        <f t="shared" si="171"/>
        <v>0</v>
      </c>
      <c r="AF287" s="107"/>
      <c r="AG287" s="142">
        <f t="shared" si="172"/>
        <v>0</v>
      </c>
      <c r="AH287" s="210">
        <f t="shared" si="173"/>
        <v>241.4091558213554</v>
      </c>
      <c r="AI287" s="107">
        <f t="shared" si="157"/>
        <v>48.152844611268826</v>
      </c>
      <c r="AJ287" s="333">
        <v>26.512127926451655</v>
      </c>
      <c r="AK287" s="121">
        <f t="shared" si="158"/>
        <v>0</v>
      </c>
      <c r="AL287" s="107"/>
      <c r="AM287" s="107">
        <f t="shared" si="174"/>
        <v>201.69124039006124</v>
      </c>
      <c r="AN287" s="107">
        <f t="shared" si="175"/>
        <v>66.643048300174044</v>
      </c>
      <c r="AO287" s="107"/>
      <c r="AP287" s="143">
        <f t="shared" si="176"/>
        <v>584.4084170493112</v>
      </c>
      <c r="AQ287" s="34"/>
      <c r="AR287" s="29"/>
      <c r="AS287" s="124"/>
      <c r="AT287" s="138">
        <f t="shared" si="177"/>
        <v>1958.6637004631089</v>
      </c>
      <c r="AU287" s="151">
        <f t="shared" si="178"/>
        <v>4182.0737866305299</v>
      </c>
      <c r="AW287" s="1">
        <v>2</v>
      </c>
      <c r="BA287" s="30">
        <v>402.42</v>
      </c>
      <c r="BB287" s="30">
        <v>77.16</v>
      </c>
      <c r="BC287" s="30">
        <v>0</v>
      </c>
      <c r="BD287" s="30">
        <v>232.82</v>
      </c>
      <c r="BF287" s="289">
        <f>T287*1.2</f>
        <v>415.81</v>
      </c>
      <c r="BI287" s="333">
        <v>0</v>
      </c>
      <c r="BL287" s="110">
        <f t="shared" si="184"/>
        <v>1.0967873225415627</v>
      </c>
      <c r="BM287" s="110">
        <f t="shared" si="184"/>
        <v>1.1127076627324948</v>
      </c>
      <c r="BN287" s="110">
        <f t="shared" si="184"/>
        <v>2.8314493742615632</v>
      </c>
      <c r="BO287" s="110">
        <f t="shared" si="184"/>
        <v>1.036891829831438</v>
      </c>
    </row>
    <row r="288" spans="1:67" x14ac:dyDescent="0.25">
      <c r="A288" s="260" t="s">
        <v>227</v>
      </c>
      <c r="B288" s="237">
        <v>4</v>
      </c>
      <c r="C288" s="236">
        <f>'побудинковий звіт'!E288</f>
        <v>423.5</v>
      </c>
      <c r="D288" s="141">
        <f t="shared" si="159"/>
        <v>182.68089644252268</v>
      </c>
      <c r="E288" s="107">
        <f t="shared" si="153"/>
        <v>37.655462044105612</v>
      </c>
      <c r="F288" s="333">
        <v>34.404736246602127</v>
      </c>
      <c r="G288" s="107">
        <f t="shared" si="154"/>
        <v>0</v>
      </c>
      <c r="H288" s="735">
        <f t="shared" si="160"/>
        <v>152.6252659046884</v>
      </c>
      <c r="I288" s="107">
        <f t="shared" si="161"/>
        <v>52.433279022592387</v>
      </c>
      <c r="J288" s="29"/>
      <c r="K288" s="142">
        <f t="shared" si="162"/>
        <v>459.79963966051116</v>
      </c>
      <c r="L288" s="210">
        <f t="shared" si="163"/>
        <v>33.459119418366122</v>
      </c>
      <c r="M288" s="107">
        <f t="shared" si="155"/>
        <v>7.3616060329127473</v>
      </c>
      <c r="N288" s="333">
        <v>0</v>
      </c>
      <c r="O288" s="107"/>
      <c r="P288" s="107">
        <f t="shared" si="164"/>
        <v>27.954247530045308</v>
      </c>
      <c r="Q288" s="107">
        <f t="shared" si="165"/>
        <v>8.8522217260502902</v>
      </c>
      <c r="R288" s="107"/>
      <c r="S288" s="143">
        <f t="shared" si="166"/>
        <v>77.627194707374457</v>
      </c>
      <c r="T288" s="905">
        <v>192.80833333333334</v>
      </c>
      <c r="U288" s="107"/>
      <c r="V288" s="151">
        <f t="shared" si="167"/>
        <v>192.80833333333334</v>
      </c>
      <c r="W288" s="246"/>
      <c r="X288" s="107"/>
      <c r="Y288" s="46">
        <f t="shared" si="168"/>
        <v>0</v>
      </c>
      <c r="Z288" s="141">
        <f t="shared" si="169"/>
        <v>0</v>
      </c>
      <c r="AA288" s="107">
        <f t="shared" si="156"/>
        <v>0</v>
      </c>
      <c r="AB288" s="333">
        <v>0</v>
      </c>
      <c r="AC288" s="107"/>
      <c r="AD288" s="107">
        <f t="shared" si="170"/>
        <v>0</v>
      </c>
      <c r="AE288" s="107">
        <f t="shared" si="171"/>
        <v>0</v>
      </c>
      <c r="AF288" s="107"/>
      <c r="AG288" s="142">
        <f t="shared" si="172"/>
        <v>0</v>
      </c>
      <c r="AH288" s="210">
        <f t="shared" si="173"/>
        <v>86.632312382416643</v>
      </c>
      <c r="AI288" s="107">
        <f t="shared" si="157"/>
        <v>17.280174243069798</v>
      </c>
      <c r="AJ288" s="333">
        <v>13.507957718213644</v>
      </c>
      <c r="AK288" s="121">
        <f t="shared" si="158"/>
        <v>0</v>
      </c>
      <c r="AL288" s="107"/>
      <c r="AM288" s="107">
        <f t="shared" si="174"/>
        <v>72.379104606947919</v>
      </c>
      <c r="AN288" s="107">
        <f t="shared" si="175"/>
        <v>24.429637962514583</v>
      </c>
      <c r="AO288" s="107"/>
      <c r="AP288" s="143">
        <f t="shared" si="176"/>
        <v>214.22918691316258</v>
      </c>
      <c r="AQ288" s="34"/>
      <c r="AR288" s="29"/>
      <c r="AS288" s="124"/>
      <c r="AT288" s="138">
        <f t="shared" si="177"/>
        <v>196.72293935011632</v>
      </c>
      <c r="AU288" s="151">
        <f t="shared" si="178"/>
        <v>1141.1872939644977</v>
      </c>
      <c r="AW288" s="1">
        <v>2</v>
      </c>
      <c r="BA288" s="30">
        <v>166.56</v>
      </c>
      <c r="BB288" s="30">
        <v>30.07</v>
      </c>
      <c r="BC288" s="30">
        <v>0</v>
      </c>
      <c r="BD288" s="30">
        <v>83.55</v>
      </c>
      <c r="BF288" s="289">
        <f>T288*1.2</f>
        <v>231.37</v>
      </c>
      <c r="BI288" s="333">
        <v>0</v>
      </c>
      <c r="BL288" s="110">
        <f t="shared" si="184"/>
        <v>1.0967873225415627</v>
      </c>
      <c r="BM288" s="110">
        <f t="shared" si="184"/>
        <v>1.1127076627324948</v>
      </c>
      <c r="BN288" s="110">
        <f t="shared" si="184"/>
        <v>2.8314493742615632</v>
      </c>
      <c r="BO288" s="110">
        <f t="shared" si="184"/>
        <v>1.036891829831438</v>
      </c>
    </row>
    <row r="289" spans="1:67" x14ac:dyDescent="0.25">
      <c r="A289" s="260" t="s">
        <v>296</v>
      </c>
      <c r="B289" s="237">
        <v>5</v>
      </c>
      <c r="C289" s="236">
        <f>'побудинковий звіт'!E289</f>
        <v>1050.9000000000001</v>
      </c>
      <c r="D289" s="141">
        <f t="shared" si="159"/>
        <v>472.14203198881165</v>
      </c>
      <c r="E289" s="107">
        <f t="shared" si="153"/>
        <v>97.321212623758697</v>
      </c>
      <c r="F289" s="333">
        <v>92.683505867675692</v>
      </c>
      <c r="G289" s="107">
        <f t="shared" si="154"/>
        <v>0</v>
      </c>
      <c r="H289" s="735">
        <f t="shared" si="160"/>
        <v>394.46271931200499</v>
      </c>
      <c r="I289" s="107">
        <f t="shared" si="161"/>
        <v>135.99919998493263</v>
      </c>
      <c r="J289" s="29"/>
      <c r="K289" s="142">
        <f t="shared" si="162"/>
        <v>1192.6086697771836</v>
      </c>
      <c r="L289" s="210">
        <f t="shared" si="163"/>
        <v>99.446872697009468</v>
      </c>
      <c r="M289" s="107">
        <f t="shared" si="155"/>
        <v>21.880094596833843</v>
      </c>
      <c r="N289" s="333">
        <v>0</v>
      </c>
      <c r="O289" s="107"/>
      <c r="P289" s="107">
        <f t="shared" si="164"/>
        <v>83.08534545398561</v>
      </c>
      <c r="Q289" s="107">
        <f t="shared" si="165"/>
        <v>26.31048821305809</v>
      </c>
      <c r="R289" s="107"/>
      <c r="S289" s="143">
        <f t="shared" si="166"/>
        <v>230.72280096088701</v>
      </c>
      <c r="T289" s="244">
        <v>431.94</v>
      </c>
      <c r="U289" s="107"/>
      <c r="V289" s="151">
        <f t="shared" si="167"/>
        <v>431.94</v>
      </c>
      <c r="W289" s="246"/>
      <c r="X289" s="107"/>
      <c r="Y289" s="46">
        <f t="shared" si="168"/>
        <v>0</v>
      </c>
      <c r="Z289" s="141">
        <f t="shared" si="169"/>
        <v>0</v>
      </c>
      <c r="AA289" s="107">
        <f t="shared" si="156"/>
        <v>0</v>
      </c>
      <c r="AB289" s="333">
        <v>0</v>
      </c>
      <c r="AC289" s="107"/>
      <c r="AD289" s="107">
        <f t="shared" si="170"/>
        <v>0</v>
      </c>
      <c r="AE289" s="107">
        <f t="shared" si="171"/>
        <v>0</v>
      </c>
      <c r="AF289" s="107"/>
      <c r="AG289" s="142">
        <f t="shared" si="172"/>
        <v>0</v>
      </c>
      <c r="AH289" s="210">
        <f t="shared" si="173"/>
        <v>312.45301608821677</v>
      </c>
      <c r="AI289" s="107">
        <f t="shared" si="157"/>
        <v>62.323657447159817</v>
      </c>
      <c r="AJ289" s="333">
        <v>52.168644731075204</v>
      </c>
      <c r="AK289" s="121">
        <f t="shared" si="158"/>
        <v>0</v>
      </c>
      <c r="AL289" s="107"/>
      <c r="AM289" s="107">
        <f t="shared" si="174"/>
        <v>261.0465877486551</v>
      </c>
      <c r="AN289" s="107">
        <f t="shared" si="175"/>
        <v>88.553388445932029</v>
      </c>
      <c r="AO289" s="107"/>
      <c r="AP289" s="143">
        <f t="shared" si="176"/>
        <v>776.54529446103891</v>
      </c>
      <c r="AQ289" s="34"/>
      <c r="AR289" s="29"/>
      <c r="AS289" s="124"/>
      <c r="AT289" s="138">
        <f t="shared" si="177"/>
        <v>488.16089011342922</v>
      </c>
      <c r="AU289" s="151">
        <f t="shared" si="178"/>
        <v>3119.9776553125389</v>
      </c>
      <c r="AW289" s="1">
        <v>3</v>
      </c>
      <c r="BA289" s="30">
        <v>385.93</v>
      </c>
      <c r="BB289" s="30">
        <v>77.650000000000006</v>
      </c>
      <c r="BC289" s="30">
        <v>0</v>
      </c>
      <c r="BD289" s="30">
        <v>240.99</v>
      </c>
      <c r="BI289" s="333">
        <v>0</v>
      </c>
      <c r="BL289" s="110">
        <f>BA$399</f>
        <v>1.2233877438623886</v>
      </c>
      <c r="BM289" s="110">
        <f>BB$399</f>
        <v>1.2807066670574303</v>
      </c>
      <c r="BN289" s="110">
        <f>BC$399</f>
        <v>0.82443024793968056</v>
      </c>
      <c r="BO289" s="110">
        <f>BD$399</f>
        <v>1.2965393422474656</v>
      </c>
    </row>
    <row r="290" spans="1:67" x14ac:dyDescent="0.25">
      <c r="A290" s="260" t="s">
        <v>228</v>
      </c>
      <c r="B290" s="237">
        <v>4</v>
      </c>
      <c r="C290" s="236">
        <f>'побудинковий звіт'!E290</f>
        <v>990</v>
      </c>
      <c r="D290" s="141">
        <f t="shared" si="159"/>
        <v>302.53781504986466</v>
      </c>
      <c r="E290" s="107">
        <f t="shared" si="153"/>
        <v>62.361207074003907</v>
      </c>
      <c r="F290" s="333">
        <v>51.618692712689416</v>
      </c>
      <c r="G290" s="107">
        <f t="shared" si="154"/>
        <v>0</v>
      </c>
      <c r="H290" s="735">
        <f t="shared" si="160"/>
        <v>252.76268820334565</v>
      </c>
      <c r="I290" s="107">
        <f t="shared" si="161"/>
        <v>86.144977857255697</v>
      </c>
      <c r="J290" s="29"/>
      <c r="K290" s="142">
        <f t="shared" si="162"/>
        <v>755.42538089715936</v>
      </c>
      <c r="L290" s="210">
        <f t="shared" si="163"/>
        <v>64.32562998256553</v>
      </c>
      <c r="M290" s="107">
        <f t="shared" si="155"/>
        <v>14.152791644918056</v>
      </c>
      <c r="N290" s="333">
        <v>0</v>
      </c>
      <c r="O290" s="107"/>
      <c r="P290" s="107">
        <f t="shared" si="164"/>
        <v>53.742435973126682</v>
      </c>
      <c r="Q290" s="107">
        <f t="shared" si="165"/>
        <v>17.018521382872208</v>
      </c>
      <c r="R290" s="107"/>
      <c r="S290" s="143">
        <f t="shared" si="166"/>
        <v>149.23937898348248</v>
      </c>
      <c r="T290" s="905">
        <v>271.65000000000003</v>
      </c>
      <c r="U290" s="107"/>
      <c r="V290" s="151">
        <f t="shared" si="167"/>
        <v>271.65000000000003</v>
      </c>
      <c r="W290" s="246"/>
      <c r="X290" s="107"/>
      <c r="Y290" s="46">
        <f t="shared" si="168"/>
        <v>0</v>
      </c>
      <c r="Z290" s="141">
        <f t="shared" si="169"/>
        <v>0</v>
      </c>
      <c r="AA290" s="107">
        <f t="shared" si="156"/>
        <v>0</v>
      </c>
      <c r="AB290" s="333">
        <v>0</v>
      </c>
      <c r="AC290" s="107"/>
      <c r="AD290" s="107">
        <f t="shared" si="170"/>
        <v>0</v>
      </c>
      <c r="AE290" s="107">
        <f t="shared" si="171"/>
        <v>0</v>
      </c>
      <c r="AF290" s="107"/>
      <c r="AG290" s="142">
        <f t="shared" si="172"/>
        <v>0</v>
      </c>
      <c r="AH290" s="210">
        <f t="shared" si="173"/>
        <v>241.16030178219586</v>
      </c>
      <c r="AI290" s="107">
        <f t="shared" si="157"/>
        <v>48.103206767841698</v>
      </c>
      <c r="AJ290" s="333">
        <v>20.266486382418769</v>
      </c>
      <c r="AK290" s="121">
        <f t="shared" si="158"/>
        <v>0</v>
      </c>
      <c r="AL290" s="107"/>
      <c r="AM290" s="107">
        <f t="shared" si="174"/>
        <v>201.48332913804848</v>
      </c>
      <c r="AN290" s="107">
        <f t="shared" si="175"/>
        <v>65.77397348984033</v>
      </c>
      <c r="AO290" s="107"/>
      <c r="AP290" s="143">
        <f t="shared" si="176"/>
        <v>576.78729756034511</v>
      </c>
      <c r="AQ290" s="34"/>
      <c r="AR290" s="29"/>
      <c r="AS290" s="124"/>
      <c r="AT290" s="138">
        <f t="shared" si="177"/>
        <v>459.87180627299921</v>
      </c>
      <c r="AU290" s="151">
        <f t="shared" si="178"/>
        <v>2212.9738637139862</v>
      </c>
      <c r="AW290" s="1">
        <v>2</v>
      </c>
      <c r="BA290" s="30">
        <v>275.83999999999997</v>
      </c>
      <c r="BB290" s="30">
        <v>57.81</v>
      </c>
      <c r="BC290" s="30">
        <v>0</v>
      </c>
      <c r="BD290" s="30">
        <v>232.58</v>
      </c>
      <c r="BF290" s="289">
        <f>T290*1.2</f>
        <v>325.98</v>
      </c>
      <c r="BI290" s="333">
        <v>0</v>
      </c>
      <c r="BL290" s="110">
        <f>BA$398</f>
        <v>1.0967873225415627</v>
      </c>
      <c r="BM290" s="110">
        <f>BB$398</f>
        <v>1.1127076627324948</v>
      </c>
      <c r="BN290" s="110">
        <f>BC$398</f>
        <v>2.8314493742615632</v>
      </c>
      <c r="BO290" s="110">
        <f>BD$398</f>
        <v>1.036891829831438</v>
      </c>
    </row>
    <row r="291" spans="1:67" x14ac:dyDescent="0.25">
      <c r="A291" s="260" t="s">
        <v>187</v>
      </c>
      <c r="B291" s="237">
        <v>2</v>
      </c>
      <c r="C291" s="236">
        <f>'побудинковий звіт'!E291</f>
        <v>1101.8</v>
      </c>
      <c r="D291" s="141">
        <f t="shared" si="159"/>
        <v>78.553727033403959</v>
      </c>
      <c r="E291" s="107">
        <f t="shared" si="153"/>
        <v>16.192042760530523</v>
      </c>
      <c r="F291" s="333">
        <v>7.7265376082355832</v>
      </c>
      <c r="G291" s="107">
        <f t="shared" si="154"/>
        <v>0</v>
      </c>
      <c r="H291" s="735">
        <f t="shared" si="160"/>
        <v>65.629650991174145</v>
      </c>
      <c r="I291" s="107">
        <f t="shared" si="161"/>
        <v>21.636879576604855</v>
      </c>
      <c r="J291" s="29"/>
      <c r="K291" s="142">
        <f t="shared" si="162"/>
        <v>189.73883796994906</v>
      </c>
      <c r="L291" s="210">
        <f t="shared" si="163"/>
        <v>14.471985337748963</v>
      </c>
      <c r="M291" s="107">
        <f t="shared" si="155"/>
        <v>3.1840961873048603</v>
      </c>
      <c r="N291" s="333">
        <v>0</v>
      </c>
      <c r="O291" s="107"/>
      <c r="P291" s="107">
        <f t="shared" si="164"/>
        <v>12.090977509723597</v>
      </c>
      <c r="Q291" s="107">
        <f t="shared" si="165"/>
        <v>3.8288282911468947</v>
      </c>
      <c r="R291" s="107"/>
      <c r="S291" s="143">
        <f t="shared" si="166"/>
        <v>33.575887325924313</v>
      </c>
      <c r="T291" s="245"/>
      <c r="U291" s="107"/>
      <c r="V291" s="151">
        <f t="shared" si="167"/>
        <v>0</v>
      </c>
      <c r="W291" s="246"/>
      <c r="X291" s="107"/>
      <c r="Y291" s="46">
        <f t="shared" si="168"/>
        <v>0</v>
      </c>
      <c r="Z291" s="141">
        <f t="shared" si="169"/>
        <v>0</v>
      </c>
      <c r="AA291" s="107">
        <f t="shared" si="156"/>
        <v>0</v>
      </c>
      <c r="AB291" s="333">
        <v>0</v>
      </c>
      <c r="AC291" s="107"/>
      <c r="AD291" s="107">
        <f t="shared" si="170"/>
        <v>0</v>
      </c>
      <c r="AE291" s="107">
        <f t="shared" si="171"/>
        <v>0</v>
      </c>
      <c r="AF291" s="107"/>
      <c r="AG291" s="142">
        <f t="shared" si="172"/>
        <v>0</v>
      </c>
      <c r="AH291" s="210">
        <f t="shared" si="173"/>
        <v>14.728686927931209</v>
      </c>
      <c r="AI291" s="107">
        <f t="shared" si="157"/>
        <v>2.93786774803824</v>
      </c>
      <c r="AJ291" s="333">
        <v>4.3490262017150663</v>
      </c>
      <c r="AK291" s="121">
        <f t="shared" si="158"/>
        <v>0</v>
      </c>
      <c r="AL291" s="107"/>
      <c r="AM291" s="107">
        <f t="shared" si="174"/>
        <v>12.30544519201926</v>
      </c>
      <c r="AN291" s="107">
        <f t="shared" si="175"/>
        <v>4.417556553850944</v>
      </c>
      <c r="AO291" s="107"/>
      <c r="AP291" s="143">
        <f t="shared" si="176"/>
        <v>38.73858262355472</v>
      </c>
      <c r="AQ291" s="34"/>
      <c r="AR291" s="29"/>
      <c r="AS291" s="124"/>
      <c r="AT291" s="138">
        <f t="shared" si="177"/>
        <v>511.80480419352574</v>
      </c>
      <c r="AU291" s="151">
        <f t="shared" si="178"/>
        <v>773.8581121129539</v>
      </c>
      <c r="AW291" s="1">
        <v>3</v>
      </c>
      <c r="BA291" s="30">
        <v>64.209999999999994</v>
      </c>
      <c r="BB291" s="30">
        <v>11.3</v>
      </c>
      <c r="BC291" s="30">
        <v>0</v>
      </c>
      <c r="BD291" s="30">
        <v>11.36</v>
      </c>
      <c r="BI291" s="333">
        <v>0</v>
      </c>
      <c r="BL291" s="110">
        <f>BA$399</f>
        <v>1.2233877438623886</v>
      </c>
      <c r="BM291" s="110">
        <f>BB$399</f>
        <v>1.2807066670574303</v>
      </c>
      <c r="BN291" s="110">
        <f>BC$399</f>
        <v>0.82443024793968056</v>
      </c>
      <c r="BO291" s="110">
        <f>BD$399</f>
        <v>1.2965393422474656</v>
      </c>
    </row>
    <row r="292" spans="1:67" x14ac:dyDescent="0.25">
      <c r="A292" s="260" t="s">
        <v>297</v>
      </c>
      <c r="B292" s="237">
        <v>5</v>
      </c>
      <c r="C292" s="236">
        <f>'побудинковий звіт'!E292</f>
        <v>6781.15</v>
      </c>
      <c r="D292" s="141">
        <f t="shared" si="159"/>
        <v>225.49947351454529</v>
      </c>
      <c r="E292" s="107">
        <f t="shared" si="153"/>
        <v>46.481526154347463</v>
      </c>
      <c r="F292" s="333">
        <v>41.132295976861215</v>
      </c>
      <c r="G292" s="107">
        <f t="shared" si="154"/>
        <v>0</v>
      </c>
      <c r="H292" s="735">
        <f t="shared" si="160"/>
        <v>188.39910344622919</v>
      </c>
      <c r="I292" s="107">
        <f t="shared" si="161"/>
        <v>64.551082503968459</v>
      </c>
      <c r="J292" s="29"/>
      <c r="K292" s="142">
        <f t="shared" si="162"/>
        <v>566.06348159595166</v>
      </c>
      <c r="L292" s="210">
        <f t="shared" si="163"/>
        <v>43.862936064914948</v>
      </c>
      <c r="M292" s="107">
        <f t="shared" si="155"/>
        <v>9.6506321854812267</v>
      </c>
      <c r="N292" s="333">
        <v>0</v>
      </c>
      <c r="O292" s="107"/>
      <c r="P292" s="107">
        <f t="shared" si="164"/>
        <v>36.646373050694585</v>
      </c>
      <c r="Q292" s="107">
        <f t="shared" si="165"/>
        <v>11.604741617589042</v>
      </c>
      <c r="R292" s="107"/>
      <c r="S292" s="143">
        <f t="shared" si="166"/>
        <v>101.7646829186798</v>
      </c>
      <c r="T292" s="905">
        <v>228.23333333333335</v>
      </c>
      <c r="U292" s="107"/>
      <c r="V292" s="151">
        <f t="shared" si="167"/>
        <v>228.23333333333335</v>
      </c>
      <c r="W292" s="246"/>
      <c r="X292" s="107"/>
      <c r="Y292" s="46">
        <f t="shared" si="168"/>
        <v>0</v>
      </c>
      <c r="Z292" s="141">
        <f t="shared" si="169"/>
        <v>0</v>
      </c>
      <c r="AA292" s="107">
        <f t="shared" si="156"/>
        <v>0</v>
      </c>
      <c r="AB292" s="333">
        <v>0</v>
      </c>
      <c r="AC292" s="107"/>
      <c r="AD292" s="107">
        <f t="shared" si="170"/>
        <v>0</v>
      </c>
      <c r="AE292" s="107">
        <f t="shared" si="171"/>
        <v>0</v>
      </c>
      <c r="AF292" s="107"/>
      <c r="AG292" s="142">
        <f t="shared" si="172"/>
        <v>0</v>
      </c>
      <c r="AH292" s="210">
        <f t="shared" si="173"/>
        <v>102.66266007161069</v>
      </c>
      <c r="AI292" s="107">
        <f t="shared" si="157"/>
        <v>20.477678657167456</v>
      </c>
      <c r="AJ292" s="333">
        <v>16.149326387100665</v>
      </c>
      <c r="AK292" s="121">
        <f t="shared" si="158"/>
        <v>0</v>
      </c>
      <c r="AL292" s="107"/>
      <c r="AM292" s="107">
        <f t="shared" si="174"/>
        <v>85.772054424104311</v>
      </c>
      <c r="AN292" s="107">
        <f t="shared" si="175"/>
        <v>28.968331895311447</v>
      </c>
      <c r="AO292" s="107"/>
      <c r="AP292" s="143">
        <f t="shared" si="176"/>
        <v>254.03005143529458</v>
      </c>
      <c r="AQ292" s="34"/>
      <c r="AR292" s="29"/>
      <c r="AS292" s="124"/>
      <c r="AT292" s="138">
        <f t="shared" si="177"/>
        <v>3149.9592920284326</v>
      </c>
      <c r="AU292" s="151">
        <f t="shared" si="178"/>
        <v>4300.0508413116922</v>
      </c>
      <c r="AW292" s="1">
        <v>2</v>
      </c>
      <c r="BA292" s="30">
        <v>205.6</v>
      </c>
      <c r="BB292" s="30">
        <v>39.42</v>
      </c>
      <c r="BC292" s="30">
        <v>0</v>
      </c>
      <c r="BD292" s="30">
        <v>99.01</v>
      </c>
      <c r="BF292" s="289">
        <f>T292*1.2</f>
        <v>273.88</v>
      </c>
      <c r="BI292" s="333">
        <v>0</v>
      </c>
      <c r="BL292" s="110">
        <f t="shared" ref="BL292:BO298" si="185">BA$398</f>
        <v>1.0967873225415627</v>
      </c>
      <c r="BM292" s="110">
        <f t="shared" si="185"/>
        <v>1.1127076627324948</v>
      </c>
      <c r="BN292" s="110">
        <f t="shared" si="185"/>
        <v>2.8314493742615632</v>
      </c>
      <c r="BO292" s="110">
        <f t="shared" si="185"/>
        <v>1.036891829831438</v>
      </c>
    </row>
    <row r="293" spans="1:67" x14ac:dyDescent="0.25">
      <c r="A293" s="260" t="s">
        <v>298</v>
      </c>
      <c r="B293" s="237">
        <v>5</v>
      </c>
      <c r="C293" s="236">
        <f>'побудинковий звіт'!E293</f>
        <v>4965.33</v>
      </c>
      <c r="D293" s="141">
        <f t="shared" si="159"/>
        <v>534.83736996416769</v>
      </c>
      <c r="E293" s="107">
        <f t="shared" si="153"/>
        <v>110.2444134917607</v>
      </c>
      <c r="F293" s="333">
        <v>92.799449032111227</v>
      </c>
      <c r="G293" s="107">
        <f t="shared" si="154"/>
        <v>0</v>
      </c>
      <c r="H293" s="735">
        <f t="shared" si="160"/>
        <v>446.84308757061876</v>
      </c>
      <c r="I293" s="107">
        <f t="shared" si="161"/>
        <v>152.48922552468724</v>
      </c>
      <c r="J293" s="29"/>
      <c r="K293" s="142">
        <f t="shared" si="162"/>
        <v>1337.2135455833456</v>
      </c>
      <c r="L293" s="210">
        <f t="shared" si="163"/>
        <v>107.33178114717644</v>
      </c>
      <c r="M293" s="107">
        <f t="shared" si="155"/>
        <v>23.614915794305404</v>
      </c>
      <c r="N293" s="333">
        <v>0</v>
      </c>
      <c r="O293" s="107"/>
      <c r="P293" s="107">
        <f t="shared" si="164"/>
        <v>89.672986922120728</v>
      </c>
      <c r="Q293" s="107">
        <f t="shared" si="165"/>
        <v>28.396584891746294</v>
      </c>
      <c r="R293" s="107"/>
      <c r="S293" s="143">
        <f t="shared" si="166"/>
        <v>249.01626875534888</v>
      </c>
      <c r="T293" s="905">
        <v>480.42500000000001</v>
      </c>
      <c r="U293" s="107"/>
      <c r="V293" s="151">
        <f t="shared" si="167"/>
        <v>480.42500000000001</v>
      </c>
      <c r="W293" s="246"/>
      <c r="X293" s="107"/>
      <c r="Y293" s="46">
        <f t="shared" si="168"/>
        <v>0</v>
      </c>
      <c r="Z293" s="141">
        <f t="shared" si="169"/>
        <v>0</v>
      </c>
      <c r="AA293" s="107">
        <f t="shared" si="156"/>
        <v>0</v>
      </c>
      <c r="AB293" s="333">
        <v>0</v>
      </c>
      <c r="AC293" s="107"/>
      <c r="AD293" s="107">
        <f t="shared" si="170"/>
        <v>0</v>
      </c>
      <c r="AE293" s="107">
        <f t="shared" si="171"/>
        <v>0</v>
      </c>
      <c r="AF293" s="107"/>
      <c r="AG293" s="142">
        <f t="shared" si="172"/>
        <v>0</v>
      </c>
      <c r="AH293" s="210">
        <f t="shared" si="173"/>
        <v>332.42752064395904</v>
      </c>
      <c r="AI293" s="107">
        <f t="shared" si="157"/>
        <v>66.307885844741804</v>
      </c>
      <c r="AJ293" s="333">
        <v>36.434839227203248</v>
      </c>
      <c r="AK293" s="121">
        <f t="shared" si="158"/>
        <v>0</v>
      </c>
      <c r="AL293" s="107"/>
      <c r="AM293" s="107">
        <f t="shared" si="174"/>
        <v>277.73478081373435</v>
      </c>
      <c r="AN293" s="107">
        <f t="shared" si="175"/>
        <v>91.760026807568778</v>
      </c>
      <c r="AO293" s="107"/>
      <c r="AP293" s="143">
        <f t="shared" si="176"/>
        <v>804.66505333720727</v>
      </c>
      <c r="AQ293" s="34"/>
      <c r="AR293" s="29"/>
      <c r="AS293" s="124"/>
      <c r="AT293" s="138">
        <f t="shared" si="177"/>
        <v>2306.4800766075869</v>
      </c>
      <c r="AU293" s="151">
        <f t="shared" si="178"/>
        <v>5177.799944283488</v>
      </c>
      <c r="AW293" s="1">
        <v>2</v>
      </c>
      <c r="BA293" s="30">
        <v>487.64</v>
      </c>
      <c r="BB293" s="30">
        <v>96.46</v>
      </c>
      <c r="BC293" s="30">
        <v>0</v>
      </c>
      <c r="BD293" s="30">
        <v>320.60000000000002</v>
      </c>
      <c r="BF293" s="289">
        <f>T293*1.2</f>
        <v>576.51</v>
      </c>
      <c r="BI293" s="333">
        <v>0</v>
      </c>
      <c r="BL293" s="110">
        <f t="shared" si="185"/>
        <v>1.0967873225415627</v>
      </c>
      <c r="BM293" s="110">
        <f t="shared" si="185"/>
        <v>1.1127076627324948</v>
      </c>
      <c r="BN293" s="110">
        <f t="shared" si="185"/>
        <v>2.8314493742615632</v>
      </c>
      <c r="BO293" s="110">
        <f t="shared" si="185"/>
        <v>1.036891829831438</v>
      </c>
    </row>
    <row r="294" spans="1:67" x14ac:dyDescent="0.25">
      <c r="A294" s="260" t="s">
        <v>299</v>
      </c>
      <c r="B294" s="237">
        <v>5</v>
      </c>
      <c r="C294" s="236">
        <f>'побудинковий звіт'!E294</f>
        <v>2200.8000000000002</v>
      </c>
      <c r="D294" s="141">
        <f t="shared" si="159"/>
        <v>305.31268697589485</v>
      </c>
      <c r="E294" s="107">
        <f t="shared" si="153"/>
        <v>62.933183052459654</v>
      </c>
      <c r="F294" s="333">
        <v>53.837333613398087</v>
      </c>
      <c r="G294" s="107">
        <f t="shared" si="154"/>
        <v>0</v>
      </c>
      <c r="H294" s="735">
        <f t="shared" si="160"/>
        <v>255.08102347435229</v>
      </c>
      <c r="I294" s="107">
        <f t="shared" si="161"/>
        <v>87.159727202059628</v>
      </c>
      <c r="J294" s="29"/>
      <c r="K294" s="142">
        <f t="shared" si="162"/>
        <v>764.3239543181644</v>
      </c>
      <c r="L294" s="210">
        <f t="shared" si="163"/>
        <v>57.816290155580432</v>
      </c>
      <c r="M294" s="107">
        <f t="shared" si="155"/>
        <v>12.720620201867186</v>
      </c>
      <c r="N294" s="333">
        <v>0</v>
      </c>
      <c r="O294" s="107"/>
      <c r="P294" s="107">
        <f t="shared" si="164"/>
        <v>48.3040472783889</v>
      </c>
      <c r="Q294" s="107">
        <f t="shared" si="165"/>
        <v>15.296356530946897</v>
      </c>
      <c r="R294" s="107"/>
      <c r="S294" s="143">
        <f t="shared" si="166"/>
        <v>134.13731416678343</v>
      </c>
      <c r="T294" s="244">
        <v>290.87</v>
      </c>
      <c r="U294" s="107"/>
      <c r="V294" s="151">
        <f t="shared" si="167"/>
        <v>290.87</v>
      </c>
      <c r="W294" s="246"/>
      <c r="X294" s="107"/>
      <c r="Y294" s="46">
        <f t="shared" si="168"/>
        <v>0</v>
      </c>
      <c r="Z294" s="141">
        <f t="shared" si="169"/>
        <v>0</v>
      </c>
      <c r="AA294" s="107">
        <f t="shared" si="156"/>
        <v>0</v>
      </c>
      <c r="AB294" s="333">
        <v>0</v>
      </c>
      <c r="AC294" s="107"/>
      <c r="AD294" s="107">
        <f t="shared" si="170"/>
        <v>0</v>
      </c>
      <c r="AE294" s="107">
        <f t="shared" si="171"/>
        <v>0</v>
      </c>
      <c r="AF294" s="107"/>
      <c r="AG294" s="142">
        <f t="shared" si="172"/>
        <v>0</v>
      </c>
      <c r="AH294" s="210">
        <f t="shared" si="173"/>
        <v>153.92659213847696</v>
      </c>
      <c r="AI294" s="107">
        <f t="shared" si="157"/>
        <v>30.703074403156329</v>
      </c>
      <c r="AJ294" s="333">
        <v>26.73756724942097</v>
      </c>
      <c r="AK294" s="121">
        <f t="shared" si="158"/>
        <v>0</v>
      </c>
      <c r="AL294" s="418"/>
      <c r="AM294" s="107">
        <f t="shared" si="174"/>
        <v>128.60177233873631</v>
      </c>
      <c r="AN294" s="107">
        <f t="shared" si="175"/>
        <v>43.758374475306312</v>
      </c>
      <c r="AO294" s="107"/>
      <c r="AP294" s="143">
        <f t="shared" si="176"/>
        <v>383.72738060509693</v>
      </c>
      <c r="AQ294" s="34"/>
      <c r="AR294" s="29"/>
      <c r="AS294" s="124"/>
      <c r="AT294" s="138">
        <f t="shared" si="177"/>
        <v>1022.3089608541583</v>
      </c>
      <c r="AU294" s="151">
        <f t="shared" si="178"/>
        <v>2595.3676099442032</v>
      </c>
      <c r="AW294" s="1">
        <v>2</v>
      </c>
      <c r="BA294" s="30">
        <v>278.37</v>
      </c>
      <c r="BB294" s="30">
        <v>51.96</v>
      </c>
      <c r="BC294" s="30">
        <v>0</v>
      </c>
      <c r="BD294" s="30">
        <v>148.44999999999999</v>
      </c>
      <c r="BI294" s="333">
        <v>0</v>
      </c>
      <c r="BL294" s="110">
        <f t="shared" si="185"/>
        <v>1.0967873225415627</v>
      </c>
      <c r="BM294" s="110">
        <f t="shared" si="185"/>
        <v>1.1127076627324948</v>
      </c>
      <c r="BN294" s="110">
        <f t="shared" si="185"/>
        <v>2.8314493742615632</v>
      </c>
      <c r="BO294" s="110">
        <f t="shared" si="185"/>
        <v>1.036891829831438</v>
      </c>
    </row>
    <row r="295" spans="1:67" x14ac:dyDescent="0.25">
      <c r="A295" s="260" t="s">
        <v>300</v>
      </c>
      <c r="B295" s="237">
        <v>5</v>
      </c>
      <c r="C295" s="236">
        <f>'побудинковий звіт'!E295</f>
        <v>4893.4000000000005</v>
      </c>
      <c r="D295" s="141">
        <f t="shared" si="159"/>
        <v>368.64118697944468</v>
      </c>
      <c r="E295" s="107">
        <f t="shared" si="153"/>
        <v>75.986895699113461</v>
      </c>
      <c r="F295" s="333">
        <v>63.191233213299512</v>
      </c>
      <c r="G295" s="107">
        <f t="shared" si="154"/>
        <v>0</v>
      </c>
      <c r="H295" s="735">
        <f t="shared" si="160"/>
        <v>307.99038258420285</v>
      </c>
      <c r="I295" s="107">
        <f t="shared" si="161"/>
        <v>105.00517883348901</v>
      </c>
      <c r="J295" s="29"/>
      <c r="K295" s="142">
        <f t="shared" si="162"/>
        <v>920.8148773095495</v>
      </c>
      <c r="L295" s="210">
        <f t="shared" si="163"/>
        <v>74.31774479390333</v>
      </c>
      <c r="M295" s="107">
        <f t="shared" si="155"/>
        <v>16.351236013908956</v>
      </c>
      <c r="N295" s="333">
        <v>0</v>
      </c>
      <c r="O295" s="107"/>
      <c r="P295" s="107">
        <f t="shared" si="164"/>
        <v>62.090595029322451</v>
      </c>
      <c r="Q295" s="107">
        <f t="shared" si="165"/>
        <v>19.662118027366112</v>
      </c>
      <c r="R295" s="107"/>
      <c r="S295" s="143">
        <f t="shared" si="166"/>
        <v>172.42169386450087</v>
      </c>
      <c r="T295" s="244">
        <v>304.16000000000003</v>
      </c>
      <c r="U295" s="107"/>
      <c r="V295" s="151">
        <f t="shared" si="167"/>
        <v>304.16000000000003</v>
      </c>
      <c r="W295" s="246"/>
      <c r="X295" s="107"/>
      <c r="Y295" s="46">
        <f t="shared" si="168"/>
        <v>0</v>
      </c>
      <c r="Z295" s="141">
        <f t="shared" si="169"/>
        <v>0</v>
      </c>
      <c r="AA295" s="107">
        <f t="shared" si="156"/>
        <v>0</v>
      </c>
      <c r="AB295" s="333">
        <v>0</v>
      </c>
      <c r="AC295" s="107"/>
      <c r="AD295" s="107">
        <f t="shared" si="170"/>
        <v>0</v>
      </c>
      <c r="AE295" s="107">
        <f t="shared" si="171"/>
        <v>0</v>
      </c>
      <c r="AF295" s="107"/>
      <c r="AG295" s="142">
        <f t="shared" si="172"/>
        <v>0</v>
      </c>
      <c r="AH295" s="210">
        <f t="shared" si="173"/>
        <v>208.23898618504771</v>
      </c>
      <c r="AI295" s="107">
        <f t="shared" si="157"/>
        <v>41.536533731127562</v>
      </c>
      <c r="AJ295" s="333">
        <v>24.81008720104137</v>
      </c>
      <c r="AK295" s="121">
        <f t="shared" si="158"/>
        <v>0</v>
      </c>
      <c r="AL295" s="418"/>
      <c r="AM295" s="107">
        <f t="shared" si="174"/>
        <v>173.97840309052486</v>
      </c>
      <c r="AN295" s="107">
        <f t="shared" si="175"/>
        <v>57.735945280029121</v>
      </c>
      <c r="AO295" s="107"/>
      <c r="AP295" s="143">
        <f t="shared" si="176"/>
        <v>506.2999554877706</v>
      </c>
      <c r="AQ295" s="34"/>
      <c r="AR295" s="29"/>
      <c r="AS295" s="124"/>
      <c r="AT295" s="138">
        <f t="shared" si="177"/>
        <v>2273.0673705215095</v>
      </c>
      <c r="AU295" s="151">
        <f t="shared" si="178"/>
        <v>4176.7638971833303</v>
      </c>
      <c r="AW295" s="1">
        <v>2</v>
      </c>
      <c r="BA295" s="30">
        <v>336.11</v>
      </c>
      <c r="BB295" s="30">
        <v>66.790000000000006</v>
      </c>
      <c r="BC295" s="30">
        <v>0</v>
      </c>
      <c r="BD295" s="30">
        <v>200.83</v>
      </c>
      <c r="BI295" s="333">
        <v>0</v>
      </c>
      <c r="BL295" s="110">
        <f t="shared" si="185"/>
        <v>1.0967873225415627</v>
      </c>
      <c r="BM295" s="110">
        <f t="shared" si="185"/>
        <v>1.1127076627324948</v>
      </c>
      <c r="BN295" s="110">
        <f t="shared" si="185"/>
        <v>2.8314493742615632</v>
      </c>
      <c r="BO295" s="110">
        <f t="shared" si="185"/>
        <v>1.036891829831438</v>
      </c>
    </row>
    <row r="296" spans="1:67" x14ac:dyDescent="0.25">
      <c r="A296" s="260" t="s">
        <v>301</v>
      </c>
      <c r="B296" s="237">
        <v>5</v>
      </c>
      <c r="C296" s="236">
        <f>'побудинковий звіт'!E296</f>
        <v>1507</v>
      </c>
      <c r="D296" s="141">
        <f t="shared" si="159"/>
        <v>335.48530621901318</v>
      </c>
      <c r="E296" s="107">
        <f t="shared" si="153"/>
        <v>69.152574027683855</v>
      </c>
      <c r="F296" s="333">
        <v>54.777042864790381</v>
      </c>
      <c r="G296" s="107">
        <f t="shared" si="154"/>
        <v>0</v>
      </c>
      <c r="H296" s="735">
        <f t="shared" si="160"/>
        <v>280.28948327885502</v>
      </c>
      <c r="I296" s="107">
        <f t="shared" si="161"/>
        <v>95.209450956554193</v>
      </c>
      <c r="J296" s="29"/>
      <c r="K296" s="142">
        <f t="shared" si="162"/>
        <v>834.91385734689663</v>
      </c>
      <c r="L296" s="210">
        <f t="shared" si="163"/>
        <v>58.205737837536802</v>
      </c>
      <c r="M296" s="107">
        <f t="shared" si="155"/>
        <v>12.806305672818947</v>
      </c>
      <c r="N296" s="333">
        <v>0</v>
      </c>
      <c r="O296" s="107"/>
      <c r="P296" s="107">
        <f t="shared" si="164"/>
        <v>48.629420960980049</v>
      </c>
      <c r="Q296" s="107">
        <f t="shared" si="165"/>
        <v>15.39939203490824</v>
      </c>
      <c r="R296" s="107"/>
      <c r="S296" s="143">
        <f t="shared" si="166"/>
        <v>135.04085650624404</v>
      </c>
      <c r="T296" s="244">
        <v>295.94</v>
      </c>
      <c r="U296" s="107"/>
      <c r="V296" s="151">
        <f t="shared" si="167"/>
        <v>295.94</v>
      </c>
      <c r="W296" s="246"/>
      <c r="X296" s="107"/>
      <c r="Y296" s="46">
        <f t="shared" si="168"/>
        <v>0</v>
      </c>
      <c r="Z296" s="141">
        <f t="shared" si="169"/>
        <v>0</v>
      </c>
      <c r="AA296" s="107">
        <f t="shared" si="156"/>
        <v>0</v>
      </c>
      <c r="AB296" s="333">
        <v>0</v>
      </c>
      <c r="AC296" s="107"/>
      <c r="AD296" s="107">
        <f t="shared" si="170"/>
        <v>0</v>
      </c>
      <c r="AE296" s="107">
        <f t="shared" si="171"/>
        <v>0</v>
      </c>
      <c r="AF296" s="107"/>
      <c r="AG296" s="142">
        <f t="shared" si="172"/>
        <v>0</v>
      </c>
      <c r="AH296" s="210">
        <f t="shared" si="173"/>
        <v>165.97527520111828</v>
      </c>
      <c r="AI296" s="107">
        <f t="shared" si="157"/>
        <v>33.106373322419898</v>
      </c>
      <c r="AJ296" s="333">
        <v>21.506515081028741</v>
      </c>
      <c r="AK296" s="121">
        <f t="shared" si="158"/>
        <v>0</v>
      </c>
      <c r="AL296" s="107"/>
      <c r="AM296" s="107">
        <f t="shared" si="174"/>
        <v>138.66814212368826</v>
      </c>
      <c r="AN296" s="107">
        <f t="shared" si="175"/>
        <v>46.240897479549908</v>
      </c>
      <c r="AO296" s="107"/>
      <c r="AP296" s="143">
        <f t="shared" si="176"/>
        <v>405.49720320780506</v>
      </c>
      <c r="AQ296" s="34"/>
      <c r="AR296" s="29"/>
      <c r="AS296" s="124"/>
      <c r="AT296" s="138">
        <f t="shared" si="177"/>
        <v>700.02708288223209</v>
      </c>
      <c r="AU296" s="151">
        <f t="shared" si="178"/>
        <v>2371.4189999431778</v>
      </c>
      <c r="AW296" s="1">
        <v>2</v>
      </c>
      <c r="BA296" s="30">
        <v>305.88</v>
      </c>
      <c r="BB296" s="30">
        <v>52.31</v>
      </c>
      <c r="BC296" s="30">
        <v>0</v>
      </c>
      <c r="BD296" s="30">
        <v>160.07</v>
      </c>
      <c r="BI296" s="333">
        <v>0</v>
      </c>
      <c r="BL296" s="110">
        <f t="shared" si="185"/>
        <v>1.0967873225415627</v>
      </c>
      <c r="BM296" s="110">
        <f t="shared" si="185"/>
        <v>1.1127076627324948</v>
      </c>
      <c r="BN296" s="110">
        <f t="shared" si="185"/>
        <v>2.8314493742615632</v>
      </c>
      <c r="BO296" s="110">
        <f t="shared" si="185"/>
        <v>1.036891829831438</v>
      </c>
    </row>
    <row r="297" spans="1:67" x14ac:dyDescent="0.25">
      <c r="A297" s="260" t="s">
        <v>302</v>
      </c>
      <c r="B297" s="237">
        <v>5</v>
      </c>
      <c r="C297" s="236">
        <f>'побудинковий звіт'!E297</f>
        <v>4422.7</v>
      </c>
      <c r="D297" s="141">
        <f t="shared" si="159"/>
        <v>218.01938397481183</v>
      </c>
      <c r="E297" s="107">
        <f t="shared" si="153"/>
        <v>44.939677864597222</v>
      </c>
      <c r="F297" s="333">
        <v>64.391153434527979</v>
      </c>
      <c r="G297" s="107">
        <f t="shared" si="154"/>
        <v>0</v>
      </c>
      <c r="H297" s="735">
        <f t="shared" si="160"/>
        <v>182.14967793308094</v>
      </c>
      <c r="I297" s="107">
        <f t="shared" si="161"/>
        <v>65.579175513339905</v>
      </c>
      <c r="J297" s="29"/>
      <c r="K297" s="142">
        <f t="shared" si="162"/>
        <v>575.0790687203579</v>
      </c>
      <c r="L297" s="210">
        <f t="shared" si="163"/>
        <v>43.740538222014372</v>
      </c>
      <c r="M297" s="107">
        <f t="shared" si="155"/>
        <v>9.6237024660392443</v>
      </c>
      <c r="N297" s="333">
        <v>0</v>
      </c>
      <c r="O297" s="107"/>
      <c r="P297" s="107">
        <f t="shared" si="164"/>
        <v>36.544112750451646</v>
      </c>
      <c r="Q297" s="107">
        <f t="shared" si="165"/>
        <v>11.572359030629762</v>
      </c>
      <c r="R297" s="107"/>
      <c r="S297" s="143">
        <f t="shared" si="166"/>
        <v>101.48071246913503</v>
      </c>
      <c r="T297" s="244">
        <v>347.63</v>
      </c>
      <c r="U297" s="107"/>
      <c r="V297" s="151">
        <f t="shared" si="167"/>
        <v>347.63</v>
      </c>
      <c r="W297" s="246"/>
      <c r="X297" s="107"/>
      <c r="Y297" s="46">
        <f t="shared" si="168"/>
        <v>0</v>
      </c>
      <c r="Z297" s="141">
        <f t="shared" si="169"/>
        <v>0</v>
      </c>
      <c r="AA297" s="107">
        <f t="shared" si="156"/>
        <v>0</v>
      </c>
      <c r="AB297" s="333">
        <v>0</v>
      </c>
      <c r="AC297" s="107"/>
      <c r="AD297" s="107">
        <f t="shared" si="170"/>
        <v>0</v>
      </c>
      <c r="AE297" s="107">
        <f t="shared" si="171"/>
        <v>0</v>
      </c>
      <c r="AF297" s="107"/>
      <c r="AG297" s="142">
        <f t="shared" si="172"/>
        <v>0</v>
      </c>
      <c r="AH297" s="210">
        <f t="shared" si="173"/>
        <v>160.30347689194031</v>
      </c>
      <c r="AI297" s="107">
        <f t="shared" si="157"/>
        <v>31.97504414097655</v>
      </c>
      <c r="AJ297" s="333">
        <v>25.281198838038282</v>
      </c>
      <c r="AK297" s="121">
        <f t="shared" si="158"/>
        <v>0</v>
      </c>
      <c r="AL297" s="418"/>
      <c r="AM297" s="107">
        <f t="shared" si="174"/>
        <v>133.92949817156372</v>
      </c>
      <c r="AN297" s="107">
        <f t="shared" si="175"/>
        <v>45.241173606470618</v>
      </c>
      <c r="AO297" s="107"/>
      <c r="AP297" s="143">
        <f t="shared" si="176"/>
        <v>396.73039164898944</v>
      </c>
      <c r="AQ297" s="34"/>
      <c r="AR297" s="29"/>
      <c r="AS297" s="124"/>
      <c r="AT297" s="138">
        <f t="shared" si="177"/>
        <v>2054.4192299026199</v>
      </c>
      <c r="AU297" s="151">
        <f t="shared" si="178"/>
        <v>3475.3394027411023</v>
      </c>
      <c r="AW297" s="1">
        <v>2</v>
      </c>
      <c r="BA297" s="30">
        <v>198.78</v>
      </c>
      <c r="BB297" s="30">
        <v>39.31</v>
      </c>
      <c r="BC297" s="30">
        <v>0</v>
      </c>
      <c r="BD297" s="30">
        <v>154.6</v>
      </c>
      <c r="BI297" s="333">
        <v>0</v>
      </c>
      <c r="BL297" s="110">
        <f t="shared" si="185"/>
        <v>1.0967873225415627</v>
      </c>
      <c r="BM297" s="110">
        <f t="shared" si="185"/>
        <v>1.1127076627324948</v>
      </c>
      <c r="BN297" s="110">
        <f t="shared" si="185"/>
        <v>2.8314493742615632</v>
      </c>
      <c r="BO297" s="110">
        <f t="shared" si="185"/>
        <v>1.036891829831438</v>
      </c>
    </row>
    <row r="298" spans="1:67" x14ac:dyDescent="0.25">
      <c r="A298" s="260" t="s">
        <v>303</v>
      </c>
      <c r="B298" s="237">
        <v>5</v>
      </c>
      <c r="C298" s="236">
        <f>'побудинковий звіт'!E298</f>
        <v>3203.6</v>
      </c>
      <c r="D298" s="141">
        <f t="shared" si="159"/>
        <v>335.48530621901318</v>
      </c>
      <c r="E298" s="107">
        <f t="shared" si="153"/>
        <v>69.152574027683855</v>
      </c>
      <c r="F298" s="333">
        <v>54.686864488199369</v>
      </c>
      <c r="G298" s="107">
        <f t="shared" si="154"/>
        <v>0</v>
      </c>
      <c r="H298" s="735">
        <f t="shared" si="160"/>
        <v>280.28948327885502</v>
      </c>
      <c r="I298" s="107">
        <f t="shared" si="161"/>
        <v>95.197843842078186</v>
      </c>
      <c r="J298" s="29"/>
      <c r="K298" s="142">
        <f t="shared" si="162"/>
        <v>834.81207185582969</v>
      </c>
      <c r="L298" s="210">
        <f t="shared" si="163"/>
        <v>58.205737837536802</v>
      </c>
      <c r="M298" s="107">
        <f t="shared" si="155"/>
        <v>12.806305672818947</v>
      </c>
      <c r="N298" s="333">
        <v>0</v>
      </c>
      <c r="O298" s="107"/>
      <c r="P298" s="107">
        <f t="shared" si="164"/>
        <v>48.629420960980049</v>
      </c>
      <c r="Q298" s="107">
        <f t="shared" si="165"/>
        <v>15.39939203490824</v>
      </c>
      <c r="R298" s="107"/>
      <c r="S298" s="143">
        <f t="shared" si="166"/>
        <v>135.04085650624404</v>
      </c>
      <c r="T298" s="244">
        <v>295.45999999999998</v>
      </c>
      <c r="U298" s="107"/>
      <c r="V298" s="151">
        <f t="shared" si="167"/>
        <v>295.45999999999998</v>
      </c>
      <c r="W298" s="246"/>
      <c r="X298" s="107"/>
      <c r="Y298" s="46">
        <f t="shared" si="168"/>
        <v>0</v>
      </c>
      <c r="Z298" s="141">
        <f t="shared" si="169"/>
        <v>0</v>
      </c>
      <c r="AA298" s="107">
        <f t="shared" si="156"/>
        <v>0</v>
      </c>
      <c r="AB298" s="333">
        <v>0</v>
      </c>
      <c r="AC298" s="107"/>
      <c r="AD298" s="107">
        <f t="shared" si="170"/>
        <v>0</v>
      </c>
      <c r="AE298" s="107">
        <f t="shared" si="171"/>
        <v>0</v>
      </c>
      <c r="AF298" s="107"/>
      <c r="AG298" s="142">
        <f t="shared" si="172"/>
        <v>0</v>
      </c>
      <c r="AH298" s="210">
        <f t="shared" si="173"/>
        <v>164.52362663935426</v>
      </c>
      <c r="AI298" s="107">
        <f t="shared" si="157"/>
        <v>32.816819235761635</v>
      </c>
      <c r="AJ298" s="333">
        <v>21.471109324991044</v>
      </c>
      <c r="AK298" s="121">
        <f t="shared" si="158"/>
        <v>0</v>
      </c>
      <c r="AL298" s="418"/>
      <c r="AM298" s="107">
        <f t="shared" si="174"/>
        <v>137.45532648694706</v>
      </c>
      <c r="AN298" s="107">
        <f t="shared" si="175"/>
        <v>45.856120237207932</v>
      </c>
      <c r="AO298" s="107"/>
      <c r="AP298" s="143">
        <f t="shared" si="176"/>
        <v>402.12300192426198</v>
      </c>
      <c r="AQ298" s="34"/>
      <c r="AR298" s="29"/>
      <c r="AS298" s="124"/>
      <c r="AT298" s="138">
        <f t="shared" si="177"/>
        <v>1488.126584420384</v>
      </c>
      <c r="AU298" s="151">
        <f t="shared" si="178"/>
        <v>3155.5625147067199</v>
      </c>
      <c r="AW298" s="1">
        <v>2</v>
      </c>
      <c r="BA298" s="30">
        <v>305.88</v>
      </c>
      <c r="BB298" s="30">
        <v>52.31</v>
      </c>
      <c r="BC298" s="30">
        <v>0</v>
      </c>
      <c r="BD298" s="30">
        <v>158.66999999999999</v>
      </c>
      <c r="BI298" s="333">
        <v>0</v>
      </c>
      <c r="BL298" s="110">
        <f t="shared" si="185"/>
        <v>1.0967873225415627</v>
      </c>
      <c r="BM298" s="110">
        <f t="shared" si="185"/>
        <v>1.1127076627324948</v>
      </c>
      <c r="BN298" s="110">
        <f t="shared" si="185"/>
        <v>2.8314493742615632</v>
      </c>
      <c r="BO298" s="110">
        <f t="shared" si="185"/>
        <v>1.036891829831438</v>
      </c>
    </row>
    <row r="299" spans="1:67" x14ac:dyDescent="0.25">
      <c r="A299" s="260" t="s">
        <v>188</v>
      </c>
      <c r="B299" s="237">
        <v>2</v>
      </c>
      <c r="C299" s="236">
        <f>'побудинковий звіт'!E299</f>
        <v>1311.9</v>
      </c>
      <c r="D299" s="141">
        <f t="shared" si="159"/>
        <v>40.200521263318088</v>
      </c>
      <c r="E299" s="107">
        <f t="shared" si="153"/>
        <v>8.2864121649436697</v>
      </c>
      <c r="F299" s="333">
        <v>9.5920069476366603</v>
      </c>
      <c r="G299" s="107">
        <f t="shared" si="154"/>
        <v>0</v>
      </c>
      <c r="H299" s="735">
        <f t="shared" si="160"/>
        <v>33.58651816804209</v>
      </c>
      <c r="I299" s="107">
        <f t="shared" si="161"/>
        <v>11.798521009544846</v>
      </c>
      <c r="J299" s="29"/>
      <c r="K299" s="142">
        <f t="shared" si="162"/>
        <v>103.46397955348534</v>
      </c>
      <c r="L299" s="210">
        <f t="shared" si="163"/>
        <v>14.779354937842745</v>
      </c>
      <c r="M299" s="107">
        <f t="shared" si="155"/>
        <v>3.2517230089821316</v>
      </c>
      <c r="N299" s="333">
        <v>0</v>
      </c>
      <c r="O299" s="107"/>
      <c r="P299" s="107">
        <f t="shared" si="164"/>
        <v>12.34777703205401</v>
      </c>
      <c r="Q299" s="107">
        <f t="shared" si="165"/>
        <v>3.9101485380385097</v>
      </c>
      <c r="R299" s="107"/>
      <c r="S299" s="143">
        <f t="shared" si="166"/>
        <v>34.289003516917397</v>
      </c>
      <c r="T299" s="245"/>
      <c r="U299" s="107"/>
      <c r="V299" s="151">
        <f t="shared" si="167"/>
        <v>0</v>
      </c>
      <c r="W299" s="246"/>
      <c r="X299" s="107"/>
      <c r="Y299" s="46">
        <f t="shared" si="168"/>
        <v>0</v>
      </c>
      <c r="Z299" s="141">
        <f t="shared" si="169"/>
        <v>0</v>
      </c>
      <c r="AA299" s="107">
        <f t="shared" si="156"/>
        <v>0</v>
      </c>
      <c r="AB299" s="333">
        <v>0</v>
      </c>
      <c r="AC299" s="107"/>
      <c r="AD299" s="107">
        <f t="shared" si="170"/>
        <v>0</v>
      </c>
      <c r="AE299" s="107">
        <f t="shared" si="171"/>
        <v>0</v>
      </c>
      <c r="AF299" s="107"/>
      <c r="AG299" s="142">
        <f t="shared" si="172"/>
        <v>0</v>
      </c>
      <c r="AH299" s="210">
        <f t="shared" si="173"/>
        <v>22.36530365376878</v>
      </c>
      <c r="AI299" s="107">
        <f t="shared" si="157"/>
        <v>4.4611107969770805</v>
      </c>
      <c r="AJ299" s="333">
        <v>5.3990405091461069</v>
      </c>
      <c r="AK299" s="121">
        <f t="shared" si="158"/>
        <v>0</v>
      </c>
      <c r="AL299" s="107"/>
      <c r="AM299" s="107">
        <f t="shared" si="174"/>
        <v>18.685645207951779</v>
      </c>
      <c r="AN299" s="107">
        <f t="shared" si="175"/>
        <v>6.5529120182321279</v>
      </c>
      <c r="AO299" s="107"/>
      <c r="AP299" s="143">
        <f t="shared" si="176"/>
        <v>57.464012186075877</v>
      </c>
      <c r="AQ299" s="34"/>
      <c r="AR299" s="29"/>
      <c r="AS299" s="124"/>
      <c r="AT299" s="138">
        <f t="shared" si="177"/>
        <v>609.39982085812903</v>
      </c>
      <c r="AU299" s="151">
        <f t="shared" si="178"/>
        <v>804.61681611460767</v>
      </c>
      <c r="AW299" s="1">
        <v>3</v>
      </c>
      <c r="BA299" s="30">
        <v>32.86</v>
      </c>
      <c r="BB299" s="30">
        <v>11.54</v>
      </c>
      <c r="BC299" s="30">
        <v>0</v>
      </c>
      <c r="BD299" s="30">
        <v>17.25</v>
      </c>
      <c r="BI299" s="333">
        <v>0</v>
      </c>
      <c r="BL299" s="110">
        <f>BA$399</f>
        <v>1.2233877438623886</v>
      </c>
      <c r="BM299" s="110">
        <f>BB$399</f>
        <v>1.2807066670574303</v>
      </c>
      <c r="BN299" s="110">
        <f>BC$399</f>
        <v>0.82443024793968056</v>
      </c>
      <c r="BO299" s="110">
        <f>BD$399</f>
        <v>1.2965393422474656</v>
      </c>
    </row>
    <row r="300" spans="1:67" x14ac:dyDescent="0.25">
      <c r="A300" s="260" t="s">
        <v>304</v>
      </c>
      <c r="B300" s="237">
        <v>5</v>
      </c>
      <c r="C300" s="236">
        <f>'побудинковий звіт'!E300</f>
        <v>3970.54</v>
      </c>
      <c r="D300" s="141">
        <f t="shared" si="159"/>
        <v>388.17496919390993</v>
      </c>
      <c r="E300" s="107">
        <f t="shared" si="153"/>
        <v>80.013335294487632</v>
      </c>
      <c r="F300" s="333">
        <v>68.105744040367867</v>
      </c>
      <c r="G300" s="107">
        <f t="shared" si="154"/>
        <v>0</v>
      </c>
      <c r="H300" s="735">
        <f t="shared" si="160"/>
        <v>324.31036328642728</v>
      </c>
      <c r="I300" s="107">
        <f t="shared" si="161"/>
        <v>110.77083336512422</v>
      </c>
      <c r="J300" s="29"/>
      <c r="K300" s="142">
        <f t="shared" si="162"/>
        <v>971.37524518031682</v>
      </c>
      <c r="L300" s="210">
        <f t="shared" si="163"/>
        <v>82.729814724160974</v>
      </c>
      <c r="M300" s="107">
        <f t="shared" si="155"/>
        <v>18.202042186466997</v>
      </c>
      <c r="N300" s="333">
        <v>0</v>
      </c>
      <c r="O300" s="107"/>
      <c r="P300" s="107">
        <f t="shared" si="164"/>
        <v>69.118666573291264</v>
      </c>
      <c r="Q300" s="107">
        <f t="shared" si="165"/>
        <v>21.887684912931128</v>
      </c>
      <c r="R300" s="107"/>
      <c r="S300" s="143">
        <f t="shared" si="166"/>
        <v>191.93820839685034</v>
      </c>
      <c r="T300" s="244">
        <v>319.47000000000003</v>
      </c>
      <c r="U300" s="107"/>
      <c r="V300" s="151">
        <f t="shared" si="167"/>
        <v>319.47000000000003</v>
      </c>
      <c r="W300" s="246"/>
      <c r="X300" s="107"/>
      <c r="Y300" s="46">
        <f t="shared" si="168"/>
        <v>0</v>
      </c>
      <c r="Z300" s="141">
        <f t="shared" si="169"/>
        <v>0</v>
      </c>
      <c r="AA300" s="107">
        <f t="shared" si="156"/>
        <v>0</v>
      </c>
      <c r="AB300" s="333">
        <v>0</v>
      </c>
      <c r="AC300" s="107"/>
      <c r="AD300" s="107">
        <f t="shared" si="170"/>
        <v>0</v>
      </c>
      <c r="AE300" s="107">
        <f t="shared" si="171"/>
        <v>0</v>
      </c>
      <c r="AF300" s="107"/>
      <c r="AG300" s="142">
        <f t="shared" si="172"/>
        <v>0</v>
      </c>
      <c r="AH300" s="210">
        <f t="shared" si="173"/>
        <v>214.15963853338519</v>
      </c>
      <c r="AI300" s="107">
        <f t="shared" si="157"/>
        <v>42.717500755998039</v>
      </c>
      <c r="AJ300" s="333">
        <v>26.739618181366758</v>
      </c>
      <c r="AK300" s="121">
        <f t="shared" si="158"/>
        <v>0</v>
      </c>
      <c r="AL300" s="107"/>
      <c r="AM300" s="107">
        <f t="shared" si="174"/>
        <v>178.92495829466216</v>
      </c>
      <c r="AN300" s="107">
        <f t="shared" si="175"/>
        <v>59.535055384391448</v>
      </c>
      <c r="AO300" s="107"/>
      <c r="AP300" s="143">
        <f t="shared" si="176"/>
        <v>522.07677114980356</v>
      </c>
      <c r="AQ300" s="34"/>
      <c r="AR300" s="29"/>
      <c r="AS300" s="124"/>
      <c r="AT300" s="138">
        <f t="shared" si="177"/>
        <v>1844.3832340193881</v>
      </c>
      <c r="AU300" s="151">
        <f t="shared" si="178"/>
        <v>3849.2434587463586</v>
      </c>
      <c r="AW300" s="1">
        <v>2</v>
      </c>
      <c r="BA300" s="30">
        <v>353.92</v>
      </c>
      <c r="BB300" s="30">
        <v>74.349999999999994</v>
      </c>
      <c r="BC300" s="30">
        <v>0</v>
      </c>
      <c r="BD300" s="30">
        <v>206.54</v>
      </c>
      <c r="BI300" s="333">
        <v>0</v>
      </c>
      <c r="BL300" s="110">
        <f t="shared" ref="BL300:BO303" si="186">BA$398</f>
        <v>1.0967873225415627</v>
      </c>
      <c r="BM300" s="110">
        <f t="shared" si="186"/>
        <v>1.1127076627324948</v>
      </c>
      <c r="BN300" s="110">
        <f t="shared" si="186"/>
        <v>2.8314493742615632</v>
      </c>
      <c r="BO300" s="110">
        <f t="shared" si="186"/>
        <v>1.036891829831438</v>
      </c>
    </row>
    <row r="301" spans="1:67" x14ac:dyDescent="0.25">
      <c r="A301" s="260" t="s">
        <v>229</v>
      </c>
      <c r="B301" s="237">
        <v>4</v>
      </c>
      <c r="C301" s="236">
        <f>'побудинковий звіт'!E301</f>
        <v>2609.3000000000002</v>
      </c>
      <c r="D301" s="141">
        <f t="shared" si="159"/>
        <v>340.38794555077402</v>
      </c>
      <c r="E301" s="107">
        <f t="shared" si="153"/>
        <v>70.163140282109609</v>
      </c>
      <c r="F301" s="333">
        <v>51.563068667315527</v>
      </c>
      <c r="G301" s="107">
        <f t="shared" si="154"/>
        <v>0</v>
      </c>
      <c r="H301" s="735">
        <f t="shared" si="160"/>
        <v>284.38551437031731</v>
      </c>
      <c r="I301" s="107">
        <f t="shared" si="161"/>
        <v>96.084088452632088</v>
      </c>
      <c r="J301" s="29"/>
      <c r="K301" s="142">
        <f t="shared" si="162"/>
        <v>842.58375732314846</v>
      </c>
      <c r="L301" s="210">
        <f t="shared" si="163"/>
        <v>56.53667634343806</v>
      </c>
      <c r="M301" s="107">
        <f t="shared" si="155"/>
        <v>12.439082225882828</v>
      </c>
      <c r="N301" s="333">
        <v>0</v>
      </c>
      <c r="O301" s="107"/>
      <c r="P301" s="107">
        <f t="shared" si="164"/>
        <v>47.234962321303691</v>
      </c>
      <c r="Q301" s="107">
        <f t="shared" si="165"/>
        <v>14.957811303645336</v>
      </c>
      <c r="R301" s="107"/>
      <c r="S301" s="143">
        <f t="shared" si="166"/>
        <v>131.16853219426991</v>
      </c>
      <c r="T301" s="244">
        <v>287.35000000000002</v>
      </c>
      <c r="U301" s="107"/>
      <c r="V301" s="151">
        <f t="shared" si="167"/>
        <v>287.35000000000002</v>
      </c>
      <c r="W301" s="906">
        <v>74.23</v>
      </c>
      <c r="X301" s="107"/>
      <c r="Y301" s="46">
        <f t="shared" si="168"/>
        <v>74.23</v>
      </c>
      <c r="Z301" s="141">
        <f t="shared" si="169"/>
        <v>0</v>
      </c>
      <c r="AA301" s="107">
        <f t="shared" si="156"/>
        <v>0</v>
      </c>
      <c r="AB301" s="333">
        <v>0</v>
      </c>
      <c r="AC301" s="107"/>
      <c r="AD301" s="107">
        <f t="shared" si="170"/>
        <v>0</v>
      </c>
      <c r="AE301" s="107">
        <f t="shared" si="171"/>
        <v>0</v>
      </c>
      <c r="AF301" s="107"/>
      <c r="AG301" s="142">
        <f t="shared" si="172"/>
        <v>0</v>
      </c>
      <c r="AH301" s="210">
        <f t="shared" si="173"/>
        <v>188.40324548037228</v>
      </c>
      <c r="AI301" s="107">
        <f t="shared" si="157"/>
        <v>37.579983961290033</v>
      </c>
      <c r="AJ301" s="333">
        <v>20.244647317946921</v>
      </c>
      <c r="AK301" s="121">
        <f t="shared" si="158"/>
        <v>0</v>
      </c>
      <c r="AL301" s="107"/>
      <c r="AM301" s="107">
        <f t="shared" si="174"/>
        <v>157.40614371133978</v>
      </c>
      <c r="AN301" s="107">
        <f t="shared" si="175"/>
        <v>51.95287893978854</v>
      </c>
      <c r="AO301" s="107"/>
      <c r="AP301" s="143">
        <f t="shared" si="176"/>
        <v>455.58689941073754</v>
      </c>
      <c r="AQ301" s="34"/>
      <c r="AR301" s="29"/>
      <c r="AS301" s="124"/>
      <c r="AT301" s="138">
        <f t="shared" si="177"/>
        <v>1212.0641455637747</v>
      </c>
      <c r="AU301" s="151">
        <f t="shared" si="178"/>
        <v>3002.9833344919307</v>
      </c>
      <c r="AW301" s="1">
        <v>2</v>
      </c>
      <c r="BA301" s="30">
        <v>310.35000000000002</v>
      </c>
      <c r="BB301" s="30">
        <v>50.81</v>
      </c>
      <c r="BC301" s="30">
        <v>0</v>
      </c>
      <c r="BD301" s="30">
        <v>181.7</v>
      </c>
      <c r="BI301" s="333">
        <v>0</v>
      </c>
      <c r="BL301" s="110">
        <f t="shared" si="186"/>
        <v>1.0967873225415627</v>
      </c>
      <c r="BM301" s="110">
        <f t="shared" si="186"/>
        <v>1.1127076627324948</v>
      </c>
      <c r="BN301" s="110">
        <f t="shared" si="186"/>
        <v>2.8314493742615632</v>
      </c>
      <c r="BO301" s="110">
        <f t="shared" si="186"/>
        <v>1.036891829831438</v>
      </c>
    </row>
    <row r="302" spans="1:67" x14ac:dyDescent="0.25">
      <c r="A302" s="260" t="s">
        <v>230</v>
      </c>
      <c r="B302" s="237">
        <v>4</v>
      </c>
      <c r="C302" s="236">
        <f>'побудинковий звіт'!E302</f>
        <v>194.4</v>
      </c>
      <c r="D302" s="141">
        <f t="shared" si="159"/>
        <v>355.7429680663559</v>
      </c>
      <c r="E302" s="107">
        <f t="shared" si="153"/>
        <v>73.328224747872568</v>
      </c>
      <c r="F302" s="333">
        <v>54.410429838462449</v>
      </c>
      <c r="G302" s="107">
        <f t="shared" si="154"/>
        <v>0</v>
      </c>
      <c r="H302" s="735">
        <f t="shared" si="160"/>
        <v>297.21424709525513</v>
      </c>
      <c r="I302" s="107">
        <f t="shared" si="161"/>
        <v>100.48557840214852</v>
      </c>
      <c r="J302" s="29"/>
      <c r="K302" s="142">
        <f t="shared" si="162"/>
        <v>881.18144815009464</v>
      </c>
      <c r="L302" s="210">
        <f t="shared" si="163"/>
        <v>56.748090799357236</v>
      </c>
      <c r="M302" s="107">
        <f t="shared" si="155"/>
        <v>12.48559719582807</v>
      </c>
      <c r="N302" s="333">
        <v>0</v>
      </c>
      <c r="O302" s="107"/>
      <c r="P302" s="107">
        <f t="shared" si="164"/>
        <v>47.411593748996033</v>
      </c>
      <c r="Q302" s="107">
        <f t="shared" si="165"/>
        <v>15.013744862938639</v>
      </c>
      <c r="R302" s="107"/>
      <c r="S302" s="143">
        <f t="shared" si="166"/>
        <v>131.65902660711998</v>
      </c>
      <c r="T302" s="244">
        <v>317.42</v>
      </c>
      <c r="U302" s="107"/>
      <c r="V302" s="151">
        <f t="shared" si="167"/>
        <v>317.42</v>
      </c>
      <c r="W302" s="246"/>
      <c r="X302" s="107"/>
      <c r="Y302" s="46">
        <f t="shared" si="168"/>
        <v>0</v>
      </c>
      <c r="Z302" s="141">
        <f t="shared" si="169"/>
        <v>0</v>
      </c>
      <c r="AA302" s="107">
        <f t="shared" si="156"/>
        <v>0</v>
      </c>
      <c r="AB302" s="333">
        <v>0</v>
      </c>
      <c r="AC302" s="107"/>
      <c r="AD302" s="107">
        <f t="shared" si="170"/>
        <v>0</v>
      </c>
      <c r="AE302" s="107">
        <f t="shared" si="171"/>
        <v>0</v>
      </c>
      <c r="AF302" s="107"/>
      <c r="AG302" s="142">
        <f t="shared" si="172"/>
        <v>0</v>
      </c>
      <c r="AH302" s="210">
        <f t="shared" si="173"/>
        <v>188.02996442163297</v>
      </c>
      <c r="AI302" s="107">
        <f t="shared" si="157"/>
        <v>37.505527196149337</v>
      </c>
      <c r="AJ302" s="333">
        <v>21.362575792464273</v>
      </c>
      <c r="AK302" s="121">
        <f t="shared" si="158"/>
        <v>0</v>
      </c>
      <c r="AL302" s="107"/>
      <c r="AM302" s="107">
        <f t="shared" si="174"/>
        <v>157.09427683332061</v>
      </c>
      <c r="AN302" s="107">
        <f t="shared" si="175"/>
        <v>51.998999808288083</v>
      </c>
      <c r="AO302" s="107"/>
      <c r="AP302" s="143">
        <f t="shared" si="176"/>
        <v>455.99134405185526</v>
      </c>
      <c r="AQ302" s="34"/>
      <c r="AR302" s="29"/>
      <c r="AS302" s="124"/>
      <c r="AT302" s="138">
        <f t="shared" si="177"/>
        <v>90.302100140879844</v>
      </c>
      <c r="AU302" s="151">
        <f t="shared" si="178"/>
        <v>1876.55391894995</v>
      </c>
      <c r="AW302" s="1">
        <v>2</v>
      </c>
      <c r="BA302" s="30">
        <v>324.35000000000002</v>
      </c>
      <c r="BB302" s="30">
        <v>51</v>
      </c>
      <c r="BC302" s="30">
        <v>0</v>
      </c>
      <c r="BD302" s="30">
        <v>181.34</v>
      </c>
      <c r="BI302" s="333">
        <v>0</v>
      </c>
      <c r="BL302" s="110">
        <f t="shared" si="186"/>
        <v>1.0967873225415627</v>
      </c>
      <c r="BM302" s="110">
        <f t="shared" si="186"/>
        <v>1.1127076627324948</v>
      </c>
      <c r="BN302" s="110">
        <f t="shared" si="186"/>
        <v>2.8314493742615632</v>
      </c>
      <c r="BO302" s="110">
        <f t="shared" si="186"/>
        <v>1.036891829831438</v>
      </c>
    </row>
    <row r="303" spans="1:67" x14ac:dyDescent="0.25">
      <c r="A303" s="260" t="s">
        <v>231</v>
      </c>
      <c r="B303" s="237">
        <v>4</v>
      </c>
      <c r="C303" s="236">
        <f>'побудинковий звіт'!E303</f>
        <v>3358.5</v>
      </c>
      <c r="D303" s="141">
        <f t="shared" si="159"/>
        <v>635.11663486414284</v>
      </c>
      <c r="E303" s="107">
        <f t="shared" si="153"/>
        <v>130.91467582781124</v>
      </c>
      <c r="F303" s="333">
        <v>95.738674156981688</v>
      </c>
      <c r="G303" s="107">
        <f t="shared" si="154"/>
        <v>0</v>
      </c>
      <c r="H303" s="735">
        <f t="shared" si="160"/>
        <v>530.62387564498044</v>
      </c>
      <c r="I303" s="107">
        <f t="shared" si="161"/>
        <v>179.21896074652543</v>
      </c>
      <c r="J303" s="29"/>
      <c r="K303" s="142">
        <f t="shared" si="162"/>
        <v>1571.6128212404417</v>
      </c>
      <c r="L303" s="210">
        <f t="shared" si="163"/>
        <v>139.11071199481648</v>
      </c>
      <c r="M303" s="107">
        <f t="shared" si="155"/>
        <v>30.606850223969118</v>
      </c>
      <c r="N303" s="333">
        <v>0</v>
      </c>
      <c r="O303" s="107"/>
      <c r="P303" s="107">
        <f t="shared" si="164"/>
        <v>116.22347942155849</v>
      </c>
      <c r="Q303" s="107">
        <f t="shared" si="165"/>
        <v>36.804282014991927</v>
      </c>
      <c r="R303" s="107"/>
      <c r="S303" s="143">
        <f t="shared" si="166"/>
        <v>322.74532365533605</v>
      </c>
      <c r="T303" s="905">
        <v>493.65000000000003</v>
      </c>
      <c r="U303" s="107"/>
      <c r="V303" s="151">
        <f t="shared" si="167"/>
        <v>493.65000000000003</v>
      </c>
      <c r="W303" s="246"/>
      <c r="X303" s="107"/>
      <c r="Y303" s="46">
        <f t="shared" si="168"/>
        <v>0</v>
      </c>
      <c r="Z303" s="141">
        <f t="shared" si="169"/>
        <v>0</v>
      </c>
      <c r="AA303" s="107">
        <f t="shared" si="156"/>
        <v>0</v>
      </c>
      <c r="AB303" s="333">
        <v>0</v>
      </c>
      <c r="AC303" s="107"/>
      <c r="AD303" s="107">
        <f t="shared" si="170"/>
        <v>0</v>
      </c>
      <c r="AE303" s="107">
        <f t="shared" si="171"/>
        <v>0</v>
      </c>
      <c r="AF303" s="107"/>
      <c r="AG303" s="142">
        <f t="shared" si="172"/>
        <v>0</v>
      </c>
      <c r="AH303" s="210">
        <f t="shared" si="173"/>
        <v>690.13446409920857</v>
      </c>
      <c r="AI303" s="107">
        <f t="shared" si="157"/>
        <v>137.65814928428961</v>
      </c>
      <c r="AJ303" s="333">
        <v>37.588835247590772</v>
      </c>
      <c r="AK303" s="121">
        <f t="shared" si="158"/>
        <v>0</v>
      </c>
      <c r="AL303" s="107"/>
      <c r="AM303" s="107">
        <f t="shared" si="174"/>
        <v>576.58987964443338</v>
      </c>
      <c r="AN303" s="107">
        <f t="shared" si="175"/>
        <v>185.60021715993133</v>
      </c>
      <c r="AO303" s="107"/>
      <c r="AP303" s="143">
        <f t="shared" si="176"/>
        <v>1627.5715454354538</v>
      </c>
      <c r="AQ303" s="34"/>
      <c r="AR303" s="29"/>
      <c r="AS303" s="124"/>
      <c r="AT303" s="138">
        <f t="shared" si="177"/>
        <v>1560.0802640079473</v>
      </c>
      <c r="AU303" s="151">
        <f t="shared" si="178"/>
        <v>5575.6599543391785</v>
      </c>
      <c r="AW303" s="1">
        <v>2</v>
      </c>
      <c r="BA303" s="30">
        <v>579.07000000000005</v>
      </c>
      <c r="BB303" s="30">
        <v>125.02</v>
      </c>
      <c r="BC303" s="30">
        <v>0</v>
      </c>
      <c r="BD303" s="30">
        <v>665.58</v>
      </c>
      <c r="BF303" s="289">
        <f>T303*1.2</f>
        <v>592.38</v>
      </c>
      <c r="BI303" s="333">
        <v>0</v>
      </c>
      <c r="BL303" s="110">
        <f t="shared" si="186"/>
        <v>1.0967873225415627</v>
      </c>
      <c r="BM303" s="110">
        <f t="shared" si="186"/>
        <v>1.1127076627324948</v>
      </c>
      <c r="BN303" s="110">
        <f t="shared" si="186"/>
        <v>2.8314493742615632</v>
      </c>
      <c r="BO303" s="110">
        <f t="shared" si="186"/>
        <v>1.036891829831438</v>
      </c>
    </row>
    <row r="304" spans="1:67" x14ac:dyDescent="0.25">
      <c r="A304" s="434" t="s">
        <v>142</v>
      </c>
      <c r="B304" s="238">
        <v>1</v>
      </c>
      <c r="C304" s="236">
        <f>'побудинковий звіт'!E304</f>
        <v>3727.2</v>
      </c>
      <c r="D304" s="141">
        <f t="shared" si="159"/>
        <v>0</v>
      </c>
      <c r="E304" s="107">
        <f t="shared" si="153"/>
        <v>0</v>
      </c>
      <c r="F304" s="333">
        <v>0</v>
      </c>
      <c r="G304" s="107">
        <f t="shared" si="154"/>
        <v>0</v>
      </c>
      <c r="H304" s="735">
        <f t="shared" si="160"/>
        <v>0</v>
      </c>
      <c r="I304" s="107">
        <f t="shared" si="161"/>
        <v>0</v>
      </c>
      <c r="J304" s="29"/>
      <c r="K304" s="142">
        <f t="shared" si="162"/>
        <v>0</v>
      </c>
      <c r="L304" s="210">
        <f t="shared" si="163"/>
        <v>0</v>
      </c>
      <c r="M304" s="107">
        <f t="shared" si="155"/>
        <v>0</v>
      </c>
      <c r="N304" s="333">
        <v>0</v>
      </c>
      <c r="O304" s="107"/>
      <c r="P304" s="107">
        <f t="shared" si="164"/>
        <v>0</v>
      </c>
      <c r="Q304" s="107">
        <f t="shared" si="165"/>
        <v>0</v>
      </c>
      <c r="R304" s="107"/>
      <c r="S304" s="143">
        <f t="shared" si="166"/>
        <v>0</v>
      </c>
      <c r="T304" s="245"/>
      <c r="U304" s="107"/>
      <c r="V304" s="151">
        <f t="shared" si="167"/>
        <v>0</v>
      </c>
      <c r="W304" s="246"/>
      <c r="X304" s="107"/>
      <c r="Y304" s="46">
        <f t="shared" si="168"/>
        <v>0</v>
      </c>
      <c r="Z304" s="141">
        <f t="shared" si="169"/>
        <v>0</v>
      </c>
      <c r="AA304" s="107">
        <f t="shared" si="156"/>
        <v>0</v>
      </c>
      <c r="AB304" s="333">
        <v>0</v>
      </c>
      <c r="AC304" s="107"/>
      <c r="AD304" s="107">
        <f t="shared" si="170"/>
        <v>0</v>
      </c>
      <c r="AE304" s="107">
        <f t="shared" si="171"/>
        <v>0</v>
      </c>
      <c r="AF304" s="107"/>
      <c r="AG304" s="142">
        <f t="shared" si="172"/>
        <v>0</v>
      </c>
      <c r="AH304" s="210">
        <f t="shared" si="173"/>
        <v>0</v>
      </c>
      <c r="AI304" s="107">
        <f t="shared" si="157"/>
        <v>0</v>
      </c>
      <c r="AJ304" s="333">
        <v>0</v>
      </c>
      <c r="AK304" s="121">
        <f t="shared" si="158"/>
        <v>0</v>
      </c>
      <c r="AL304" s="107"/>
      <c r="AM304" s="107">
        <f t="shared" si="174"/>
        <v>0</v>
      </c>
      <c r="AN304" s="107">
        <f t="shared" si="175"/>
        <v>0</v>
      </c>
      <c r="AO304" s="107"/>
      <c r="AP304" s="143">
        <f t="shared" si="176"/>
        <v>0</v>
      </c>
      <c r="AQ304" s="34"/>
      <c r="AR304" s="29"/>
      <c r="AS304" s="124"/>
      <c r="AT304" s="138">
        <f t="shared" si="177"/>
        <v>0</v>
      </c>
      <c r="AU304" s="151">
        <f t="shared" si="178"/>
        <v>0</v>
      </c>
      <c r="AW304" s="1">
        <v>3</v>
      </c>
      <c r="BA304" s="30">
        <v>0</v>
      </c>
      <c r="BB304" s="30">
        <v>0</v>
      </c>
      <c r="BC304" s="30">
        <v>0</v>
      </c>
      <c r="BD304" s="30">
        <v>0</v>
      </c>
      <c r="BI304" s="333">
        <v>0</v>
      </c>
      <c r="BL304" s="110">
        <f t="shared" ref="BL304:BO308" si="187">BA$399</f>
        <v>1.2233877438623886</v>
      </c>
      <c r="BM304" s="110">
        <f t="shared" si="187"/>
        <v>1.2807066670574303</v>
      </c>
      <c r="BN304" s="110">
        <f t="shared" si="187"/>
        <v>0.82443024793968056</v>
      </c>
      <c r="BO304" s="110">
        <f t="shared" si="187"/>
        <v>1.2965393422474656</v>
      </c>
    </row>
    <row r="305" spans="1:67" x14ac:dyDescent="0.25">
      <c r="A305" s="434" t="s">
        <v>143</v>
      </c>
      <c r="B305" s="238">
        <v>1</v>
      </c>
      <c r="C305" s="236">
        <f>'побудинковий звіт'!E305</f>
        <v>2104.64</v>
      </c>
      <c r="D305" s="141">
        <f t="shared" si="159"/>
        <v>0</v>
      </c>
      <c r="E305" s="107">
        <f t="shared" si="153"/>
        <v>0</v>
      </c>
      <c r="F305" s="333">
        <v>0</v>
      </c>
      <c r="G305" s="107">
        <f t="shared" si="154"/>
        <v>0</v>
      </c>
      <c r="H305" s="735">
        <f t="shared" si="160"/>
        <v>0</v>
      </c>
      <c r="I305" s="107">
        <f t="shared" si="161"/>
        <v>0</v>
      </c>
      <c r="J305" s="29"/>
      <c r="K305" s="142">
        <f t="shared" si="162"/>
        <v>0</v>
      </c>
      <c r="L305" s="210">
        <f t="shared" si="163"/>
        <v>0</v>
      </c>
      <c r="M305" s="107">
        <f t="shared" si="155"/>
        <v>0</v>
      </c>
      <c r="N305" s="333">
        <v>0</v>
      </c>
      <c r="O305" s="107"/>
      <c r="P305" s="107">
        <f t="shared" si="164"/>
        <v>0</v>
      </c>
      <c r="Q305" s="107">
        <f t="shared" si="165"/>
        <v>0</v>
      </c>
      <c r="R305" s="107"/>
      <c r="S305" s="143">
        <f t="shared" si="166"/>
        <v>0</v>
      </c>
      <c r="T305" s="245"/>
      <c r="U305" s="107"/>
      <c r="V305" s="151">
        <f t="shared" si="167"/>
        <v>0</v>
      </c>
      <c r="W305" s="246"/>
      <c r="X305" s="107"/>
      <c r="Y305" s="46">
        <f t="shared" si="168"/>
        <v>0</v>
      </c>
      <c r="Z305" s="141">
        <f t="shared" si="169"/>
        <v>0</v>
      </c>
      <c r="AA305" s="107">
        <f t="shared" si="156"/>
        <v>0</v>
      </c>
      <c r="AB305" s="333">
        <v>0</v>
      </c>
      <c r="AC305" s="107"/>
      <c r="AD305" s="107">
        <f t="shared" si="170"/>
        <v>0</v>
      </c>
      <c r="AE305" s="107">
        <f t="shared" si="171"/>
        <v>0</v>
      </c>
      <c r="AF305" s="107"/>
      <c r="AG305" s="142">
        <f t="shared" si="172"/>
        <v>0</v>
      </c>
      <c r="AH305" s="210">
        <f t="shared" si="173"/>
        <v>0</v>
      </c>
      <c r="AI305" s="107">
        <f t="shared" si="157"/>
        <v>0</v>
      </c>
      <c r="AJ305" s="333">
        <v>0</v>
      </c>
      <c r="AK305" s="121">
        <f t="shared" si="158"/>
        <v>0</v>
      </c>
      <c r="AL305" s="107"/>
      <c r="AM305" s="107">
        <f t="shared" si="174"/>
        <v>0</v>
      </c>
      <c r="AN305" s="107">
        <f t="shared" si="175"/>
        <v>0</v>
      </c>
      <c r="AO305" s="107"/>
      <c r="AP305" s="143">
        <f t="shared" si="176"/>
        <v>0</v>
      </c>
      <c r="AQ305" s="34"/>
      <c r="AR305" s="29"/>
      <c r="AS305" s="124"/>
      <c r="AT305" s="138">
        <f t="shared" si="177"/>
        <v>0</v>
      </c>
      <c r="AU305" s="151">
        <f t="shared" si="178"/>
        <v>0</v>
      </c>
      <c r="AW305" s="1">
        <v>3</v>
      </c>
      <c r="BA305" s="30">
        <v>0</v>
      </c>
      <c r="BB305" s="30">
        <v>0</v>
      </c>
      <c r="BC305" s="30">
        <v>0</v>
      </c>
      <c r="BD305" s="30">
        <v>0</v>
      </c>
      <c r="BI305" s="333">
        <v>0</v>
      </c>
      <c r="BL305" s="110">
        <f t="shared" si="187"/>
        <v>1.2233877438623886</v>
      </c>
      <c r="BM305" s="110">
        <f t="shared" si="187"/>
        <v>1.2807066670574303</v>
      </c>
      <c r="BN305" s="110">
        <f t="shared" si="187"/>
        <v>0.82443024793968056</v>
      </c>
      <c r="BO305" s="110">
        <f t="shared" si="187"/>
        <v>1.2965393422474656</v>
      </c>
    </row>
    <row r="306" spans="1:67" x14ac:dyDescent="0.25">
      <c r="A306" s="434" t="s">
        <v>144</v>
      </c>
      <c r="B306" s="238">
        <v>1</v>
      </c>
      <c r="C306" s="236">
        <f>'побудинковий звіт'!E306</f>
        <v>2552.36</v>
      </c>
      <c r="D306" s="141">
        <f t="shared" si="159"/>
        <v>0</v>
      </c>
      <c r="E306" s="107">
        <f t="shared" si="153"/>
        <v>0</v>
      </c>
      <c r="F306" s="333">
        <v>0</v>
      </c>
      <c r="G306" s="107">
        <f t="shared" si="154"/>
        <v>0</v>
      </c>
      <c r="H306" s="735">
        <f t="shared" si="160"/>
        <v>0</v>
      </c>
      <c r="I306" s="107">
        <f t="shared" si="161"/>
        <v>0</v>
      </c>
      <c r="J306" s="29"/>
      <c r="K306" s="142">
        <f t="shared" si="162"/>
        <v>0</v>
      </c>
      <c r="L306" s="210">
        <f t="shared" si="163"/>
        <v>0</v>
      </c>
      <c r="M306" s="107">
        <f t="shared" si="155"/>
        <v>0</v>
      </c>
      <c r="N306" s="333">
        <v>0</v>
      </c>
      <c r="O306" s="107"/>
      <c r="P306" s="107">
        <f t="shared" si="164"/>
        <v>0</v>
      </c>
      <c r="Q306" s="107">
        <f t="shared" si="165"/>
        <v>0</v>
      </c>
      <c r="R306" s="107"/>
      <c r="S306" s="143">
        <f t="shared" si="166"/>
        <v>0</v>
      </c>
      <c r="T306" s="245"/>
      <c r="U306" s="107"/>
      <c r="V306" s="151">
        <f t="shared" si="167"/>
        <v>0</v>
      </c>
      <c r="W306" s="246"/>
      <c r="X306" s="107"/>
      <c r="Y306" s="46">
        <f t="shared" si="168"/>
        <v>0</v>
      </c>
      <c r="Z306" s="141">
        <f t="shared" si="169"/>
        <v>0</v>
      </c>
      <c r="AA306" s="107">
        <f t="shared" si="156"/>
        <v>0</v>
      </c>
      <c r="AB306" s="333">
        <v>0</v>
      </c>
      <c r="AC306" s="107"/>
      <c r="AD306" s="107">
        <f t="shared" si="170"/>
        <v>0</v>
      </c>
      <c r="AE306" s="107">
        <f t="shared" si="171"/>
        <v>0</v>
      </c>
      <c r="AF306" s="107"/>
      <c r="AG306" s="142">
        <f t="shared" si="172"/>
        <v>0</v>
      </c>
      <c r="AH306" s="210">
        <f t="shared" si="173"/>
        <v>0</v>
      </c>
      <c r="AI306" s="107">
        <f t="shared" si="157"/>
        <v>0</v>
      </c>
      <c r="AJ306" s="333">
        <v>0</v>
      </c>
      <c r="AK306" s="121">
        <f t="shared" si="158"/>
        <v>0</v>
      </c>
      <c r="AL306" s="107"/>
      <c r="AM306" s="107">
        <f t="shared" si="174"/>
        <v>0</v>
      </c>
      <c r="AN306" s="107">
        <f t="shared" si="175"/>
        <v>0</v>
      </c>
      <c r="AO306" s="107"/>
      <c r="AP306" s="143">
        <f t="shared" si="176"/>
        <v>0</v>
      </c>
      <c r="AQ306" s="34"/>
      <c r="AR306" s="29"/>
      <c r="AS306" s="124"/>
      <c r="AT306" s="138">
        <f t="shared" si="177"/>
        <v>0</v>
      </c>
      <c r="AU306" s="151">
        <f t="shared" si="178"/>
        <v>0</v>
      </c>
      <c r="AW306" s="1">
        <v>3</v>
      </c>
      <c r="BA306" s="30">
        <v>0</v>
      </c>
      <c r="BB306" s="30">
        <v>0</v>
      </c>
      <c r="BC306" s="30">
        <v>0</v>
      </c>
      <c r="BD306" s="30">
        <v>0</v>
      </c>
      <c r="BI306" s="333">
        <v>0</v>
      </c>
      <c r="BL306" s="110">
        <f t="shared" si="187"/>
        <v>1.2233877438623886</v>
      </c>
      <c r="BM306" s="110">
        <f t="shared" si="187"/>
        <v>1.2807066670574303</v>
      </c>
      <c r="BN306" s="110">
        <f t="shared" si="187"/>
        <v>0.82443024793968056</v>
      </c>
      <c r="BO306" s="110">
        <f t="shared" si="187"/>
        <v>1.2965393422474656</v>
      </c>
    </row>
    <row r="307" spans="1:67" x14ac:dyDescent="0.25">
      <c r="A307" s="434" t="s">
        <v>145</v>
      </c>
      <c r="B307" s="238">
        <v>1</v>
      </c>
      <c r="C307" s="236">
        <f>'побудинковий звіт'!E307</f>
        <v>2562</v>
      </c>
      <c r="D307" s="141">
        <f t="shared" si="159"/>
        <v>0</v>
      </c>
      <c r="E307" s="107">
        <f t="shared" si="153"/>
        <v>0</v>
      </c>
      <c r="F307" s="333">
        <v>0</v>
      </c>
      <c r="G307" s="107">
        <f t="shared" si="154"/>
        <v>0</v>
      </c>
      <c r="H307" s="735">
        <f t="shared" si="160"/>
        <v>0</v>
      </c>
      <c r="I307" s="107">
        <f t="shared" si="161"/>
        <v>0</v>
      </c>
      <c r="J307" s="29"/>
      <c r="K307" s="142">
        <f t="shared" si="162"/>
        <v>0</v>
      </c>
      <c r="L307" s="210">
        <f t="shared" si="163"/>
        <v>0</v>
      </c>
      <c r="M307" s="107">
        <f t="shared" si="155"/>
        <v>0</v>
      </c>
      <c r="N307" s="333">
        <v>0</v>
      </c>
      <c r="O307" s="107"/>
      <c r="P307" s="107">
        <f t="shared" si="164"/>
        <v>0</v>
      </c>
      <c r="Q307" s="107">
        <f t="shared" si="165"/>
        <v>0</v>
      </c>
      <c r="R307" s="107"/>
      <c r="S307" s="143">
        <f t="shared" si="166"/>
        <v>0</v>
      </c>
      <c r="T307" s="245"/>
      <c r="U307" s="107"/>
      <c r="V307" s="151">
        <f t="shared" si="167"/>
        <v>0</v>
      </c>
      <c r="W307" s="246"/>
      <c r="X307" s="107"/>
      <c r="Y307" s="46">
        <f t="shared" si="168"/>
        <v>0</v>
      </c>
      <c r="Z307" s="141">
        <f t="shared" si="169"/>
        <v>0</v>
      </c>
      <c r="AA307" s="107">
        <f t="shared" si="156"/>
        <v>0</v>
      </c>
      <c r="AB307" s="333">
        <v>0</v>
      </c>
      <c r="AC307" s="107"/>
      <c r="AD307" s="107">
        <f t="shared" si="170"/>
        <v>0</v>
      </c>
      <c r="AE307" s="107">
        <f t="shared" si="171"/>
        <v>0</v>
      </c>
      <c r="AF307" s="107"/>
      <c r="AG307" s="142">
        <f t="shared" si="172"/>
        <v>0</v>
      </c>
      <c r="AH307" s="210">
        <f t="shared" si="173"/>
        <v>0</v>
      </c>
      <c r="AI307" s="107">
        <f t="shared" si="157"/>
        <v>0</v>
      </c>
      <c r="AJ307" s="333">
        <v>0</v>
      </c>
      <c r="AK307" s="121">
        <f t="shared" si="158"/>
        <v>0</v>
      </c>
      <c r="AL307" s="107"/>
      <c r="AM307" s="107">
        <f t="shared" si="174"/>
        <v>0</v>
      </c>
      <c r="AN307" s="107">
        <f t="shared" si="175"/>
        <v>0</v>
      </c>
      <c r="AO307" s="107"/>
      <c r="AP307" s="143">
        <f t="shared" si="176"/>
        <v>0</v>
      </c>
      <c r="AQ307" s="34"/>
      <c r="AR307" s="29"/>
      <c r="AS307" s="124"/>
      <c r="AT307" s="138">
        <f t="shared" si="177"/>
        <v>0</v>
      </c>
      <c r="AU307" s="151">
        <f t="shared" si="178"/>
        <v>0</v>
      </c>
      <c r="AW307" s="1">
        <v>3</v>
      </c>
      <c r="BA307" s="30">
        <v>0</v>
      </c>
      <c r="BB307" s="30">
        <v>0</v>
      </c>
      <c r="BC307" s="30">
        <v>0</v>
      </c>
      <c r="BD307" s="30">
        <v>0</v>
      </c>
      <c r="BI307" s="333">
        <v>0</v>
      </c>
      <c r="BL307" s="110">
        <f t="shared" si="187"/>
        <v>1.2233877438623886</v>
      </c>
      <c r="BM307" s="110">
        <f t="shared" si="187"/>
        <v>1.2807066670574303</v>
      </c>
      <c r="BN307" s="110">
        <f t="shared" si="187"/>
        <v>0.82443024793968056</v>
      </c>
      <c r="BO307" s="110">
        <f t="shared" si="187"/>
        <v>1.2965393422474656</v>
      </c>
    </row>
    <row r="308" spans="1:67" x14ac:dyDescent="0.25">
      <c r="A308" s="260" t="s">
        <v>191</v>
      </c>
      <c r="B308" s="237">
        <v>2</v>
      </c>
      <c r="C308" s="236">
        <f>'побудинковий звіт'!E308</f>
        <v>2295.3000000000002</v>
      </c>
      <c r="D308" s="141">
        <f t="shared" si="159"/>
        <v>38.365439647524504</v>
      </c>
      <c r="E308" s="107">
        <f t="shared" si="153"/>
        <v>7.9081523278342507</v>
      </c>
      <c r="F308" s="333">
        <v>3.8131632226875976</v>
      </c>
      <c r="G308" s="107">
        <f t="shared" si="154"/>
        <v>0</v>
      </c>
      <c r="H308" s="735">
        <f t="shared" si="160"/>
        <v>32.053353918131464</v>
      </c>
      <c r="I308" s="107">
        <f t="shared" si="161"/>
        <v>10.572486283576161</v>
      </c>
      <c r="J308" s="29"/>
      <c r="K308" s="142">
        <f t="shared" si="162"/>
        <v>92.71259539975398</v>
      </c>
      <c r="L308" s="210">
        <f t="shared" si="163"/>
        <v>7.0823078688275896</v>
      </c>
      <c r="M308" s="107">
        <f t="shared" si="155"/>
        <v>1.5582346828137945</v>
      </c>
      <c r="N308" s="333">
        <v>0</v>
      </c>
      <c r="O308" s="107"/>
      <c r="P308" s="107">
        <f t="shared" si="164"/>
        <v>5.9170889936965922</v>
      </c>
      <c r="Q308" s="107">
        <f t="shared" si="165"/>
        <v>1.8737540221276396</v>
      </c>
      <c r="R308" s="107"/>
      <c r="S308" s="143">
        <f t="shared" si="166"/>
        <v>16.431385567465615</v>
      </c>
      <c r="T308" s="244">
        <v>20.64</v>
      </c>
      <c r="U308" s="107"/>
      <c r="V308" s="151">
        <f t="shared" si="167"/>
        <v>20.64</v>
      </c>
      <c r="W308" s="906">
        <v>6.22</v>
      </c>
      <c r="X308" s="107"/>
      <c r="Y308" s="46">
        <f t="shared" si="168"/>
        <v>6.22</v>
      </c>
      <c r="Z308" s="141">
        <f t="shared" si="169"/>
        <v>0</v>
      </c>
      <c r="AA308" s="107">
        <f t="shared" si="156"/>
        <v>0</v>
      </c>
      <c r="AB308" s="333">
        <v>0</v>
      </c>
      <c r="AC308" s="107"/>
      <c r="AD308" s="107">
        <f t="shared" si="170"/>
        <v>0</v>
      </c>
      <c r="AE308" s="107">
        <f t="shared" si="171"/>
        <v>0</v>
      </c>
      <c r="AF308" s="107"/>
      <c r="AG308" s="142">
        <f t="shared" si="172"/>
        <v>0</v>
      </c>
      <c r="AH308" s="210">
        <f t="shared" si="173"/>
        <v>15.921503122798876</v>
      </c>
      <c r="AI308" s="107">
        <f t="shared" si="157"/>
        <v>3.1757936572103507</v>
      </c>
      <c r="AJ308" s="333">
        <v>2.1463102372281875</v>
      </c>
      <c r="AK308" s="121">
        <f t="shared" si="158"/>
        <v>0</v>
      </c>
      <c r="AL308" s="107"/>
      <c r="AM308" s="107">
        <f t="shared" si="174"/>
        <v>13.302012936443354</v>
      </c>
      <c r="AN308" s="107">
        <f t="shared" si="175"/>
        <v>4.4464646693047891</v>
      </c>
      <c r="AO308" s="107"/>
      <c r="AP308" s="143">
        <f t="shared" si="176"/>
        <v>38.992084622985558</v>
      </c>
      <c r="AQ308" s="34"/>
      <c r="AR308" s="29"/>
      <c r="AS308" s="124"/>
      <c r="AT308" s="138">
        <f t="shared" si="177"/>
        <v>1066.2058150893083</v>
      </c>
      <c r="AU308" s="151">
        <f t="shared" si="178"/>
        <v>1241.2018806795136</v>
      </c>
      <c r="AW308" s="1">
        <v>3</v>
      </c>
      <c r="BA308" s="30">
        <v>31.36</v>
      </c>
      <c r="BB308" s="30">
        <v>5.53</v>
      </c>
      <c r="BC308" s="30">
        <v>0</v>
      </c>
      <c r="BD308" s="30">
        <v>12.28</v>
      </c>
      <c r="BI308" s="333">
        <v>0</v>
      </c>
      <c r="BL308" s="110">
        <f t="shared" si="187"/>
        <v>1.2233877438623886</v>
      </c>
      <c r="BM308" s="110">
        <f t="shared" si="187"/>
        <v>1.2807066670574303</v>
      </c>
      <c r="BN308" s="110">
        <f t="shared" si="187"/>
        <v>0.82443024793968056</v>
      </c>
      <c r="BO308" s="110">
        <f t="shared" si="187"/>
        <v>1.2965393422474656</v>
      </c>
    </row>
    <row r="309" spans="1:67" x14ac:dyDescent="0.25">
      <c r="A309" s="260" t="s">
        <v>232</v>
      </c>
      <c r="B309" s="237">
        <v>4</v>
      </c>
      <c r="C309" s="236">
        <f>'побудинковий звіт'!E309</f>
        <v>3212.3199999999997</v>
      </c>
      <c r="D309" s="141">
        <f t="shared" si="159"/>
        <v>438.24331046793225</v>
      </c>
      <c r="E309" s="107">
        <f t="shared" si="153"/>
        <v>90.333771427493275</v>
      </c>
      <c r="F309" s="333">
        <v>69.721791116192719</v>
      </c>
      <c r="G309" s="107">
        <f t="shared" si="154"/>
        <v>0</v>
      </c>
      <c r="H309" s="735">
        <f t="shared" si="160"/>
        <v>366.1411953502423</v>
      </c>
      <c r="I309" s="107">
        <f t="shared" si="161"/>
        <v>124.13581505796635</v>
      </c>
      <c r="J309" s="29"/>
      <c r="K309" s="142">
        <f t="shared" si="162"/>
        <v>1088.5758834198268</v>
      </c>
      <c r="L309" s="210">
        <f t="shared" si="163"/>
        <v>91.831763405312799</v>
      </c>
      <c r="M309" s="107">
        <f t="shared" si="155"/>
        <v>20.204634050425305</v>
      </c>
      <c r="N309" s="333">
        <v>0</v>
      </c>
      <c r="O309" s="107"/>
      <c r="P309" s="107">
        <f t="shared" si="164"/>
        <v>76.723114354992987</v>
      </c>
      <c r="Q309" s="107">
        <f t="shared" si="165"/>
        <v>24.295771834084817</v>
      </c>
      <c r="R309" s="107"/>
      <c r="S309" s="143">
        <f t="shared" si="166"/>
        <v>213.05528364481592</v>
      </c>
      <c r="T309" s="905">
        <v>383.61666666666667</v>
      </c>
      <c r="U309" s="107"/>
      <c r="V309" s="151">
        <f t="shared" si="167"/>
        <v>383.61666666666667</v>
      </c>
      <c r="W309" s="246"/>
      <c r="X309" s="107"/>
      <c r="Y309" s="46">
        <f t="shared" si="168"/>
        <v>0</v>
      </c>
      <c r="Z309" s="141">
        <f t="shared" si="169"/>
        <v>0</v>
      </c>
      <c r="AA309" s="107">
        <f t="shared" si="156"/>
        <v>0</v>
      </c>
      <c r="AB309" s="333">
        <v>0</v>
      </c>
      <c r="AC309" s="107"/>
      <c r="AD309" s="107">
        <f t="shared" si="170"/>
        <v>0</v>
      </c>
      <c r="AE309" s="107">
        <f t="shared" si="171"/>
        <v>0</v>
      </c>
      <c r="AF309" s="107"/>
      <c r="AG309" s="142">
        <f t="shared" si="172"/>
        <v>0</v>
      </c>
      <c r="AH309" s="210">
        <f t="shared" si="173"/>
        <v>369.66230625320594</v>
      </c>
      <c r="AI309" s="107">
        <f t="shared" si="157"/>
        <v>73.734948167526198</v>
      </c>
      <c r="AJ309" s="333">
        <v>27.374109183257254</v>
      </c>
      <c r="AK309" s="121">
        <f t="shared" si="158"/>
        <v>0</v>
      </c>
      <c r="AL309" s="107"/>
      <c r="AM309" s="107">
        <f t="shared" si="174"/>
        <v>308.84350189614605</v>
      </c>
      <c r="AN309" s="107">
        <f t="shared" si="175"/>
        <v>100.34643928113397</v>
      </c>
      <c r="AO309" s="107"/>
      <c r="AP309" s="143">
        <f t="shared" si="176"/>
        <v>879.9613047812694</v>
      </c>
      <c r="AQ309" s="34"/>
      <c r="AR309" s="29"/>
      <c r="AS309" s="124"/>
      <c r="AT309" s="138">
        <f t="shared" si="177"/>
        <v>1492.1771724513947</v>
      </c>
      <c r="AU309" s="151">
        <f t="shared" si="178"/>
        <v>4057.3863109639738</v>
      </c>
      <c r="AW309" s="1">
        <v>2</v>
      </c>
      <c r="BA309" s="30">
        <v>399.57</v>
      </c>
      <c r="BB309" s="30">
        <v>82.53</v>
      </c>
      <c r="BC309" s="30">
        <v>0</v>
      </c>
      <c r="BD309" s="30">
        <v>356.51</v>
      </c>
      <c r="BF309" s="289">
        <f t="shared" ref="BF309:BF321" si="188">T309*1.2</f>
        <v>460.34</v>
      </c>
      <c r="BI309" s="333">
        <v>0</v>
      </c>
      <c r="BL309" s="110">
        <f t="shared" ref="BL309:BO316" si="189">BA$398</f>
        <v>1.0967873225415627</v>
      </c>
      <c r="BM309" s="110">
        <f t="shared" si="189"/>
        <v>1.1127076627324948</v>
      </c>
      <c r="BN309" s="110">
        <f t="shared" si="189"/>
        <v>2.8314493742615632</v>
      </c>
      <c r="BO309" s="110">
        <f t="shared" si="189"/>
        <v>1.036891829831438</v>
      </c>
    </row>
    <row r="310" spans="1:67" x14ac:dyDescent="0.25">
      <c r="A310" s="260" t="s">
        <v>233</v>
      </c>
      <c r="B310" s="237">
        <v>4</v>
      </c>
      <c r="C310" s="236">
        <f>'побудинковий звіт'!E310</f>
        <v>506.8</v>
      </c>
      <c r="D310" s="141">
        <f t="shared" si="159"/>
        <v>280.94207266902129</v>
      </c>
      <c r="E310" s="107">
        <f t="shared" si="153"/>
        <v>57.909741850370146</v>
      </c>
      <c r="F310" s="333">
        <v>25.481501604065251</v>
      </c>
      <c r="G310" s="107">
        <f t="shared" si="154"/>
        <v>0</v>
      </c>
      <c r="H310" s="735">
        <f t="shared" si="160"/>
        <v>234.71999196377243</v>
      </c>
      <c r="I310" s="107">
        <f t="shared" si="161"/>
        <v>77.105849396001716</v>
      </c>
      <c r="J310" s="29"/>
      <c r="K310" s="142">
        <f t="shared" si="162"/>
        <v>676.15915748323096</v>
      </c>
      <c r="L310" s="210">
        <f t="shared" si="163"/>
        <v>70.278615978184362</v>
      </c>
      <c r="M310" s="107">
        <f t="shared" si="155"/>
        <v>15.462555272323545</v>
      </c>
      <c r="N310" s="333">
        <v>0</v>
      </c>
      <c r="O310" s="107"/>
      <c r="P310" s="107">
        <f t="shared" si="164"/>
        <v>58.716005121305663</v>
      </c>
      <c r="Q310" s="107">
        <f t="shared" si="165"/>
        <v>18.593492657709888</v>
      </c>
      <c r="R310" s="107"/>
      <c r="S310" s="143">
        <f t="shared" si="166"/>
        <v>163.05066902952348</v>
      </c>
      <c r="T310" s="905">
        <v>139.38333333333333</v>
      </c>
      <c r="U310" s="107"/>
      <c r="V310" s="151">
        <f t="shared" si="167"/>
        <v>139.38333333333333</v>
      </c>
      <c r="W310" s="907">
        <v>33.975000000000001</v>
      </c>
      <c r="X310" s="107"/>
      <c r="Y310" s="46">
        <f t="shared" si="168"/>
        <v>33.975000000000001</v>
      </c>
      <c r="Z310" s="141">
        <f t="shared" si="169"/>
        <v>0</v>
      </c>
      <c r="AA310" s="107">
        <f t="shared" si="156"/>
        <v>0</v>
      </c>
      <c r="AB310" s="333">
        <v>0</v>
      </c>
      <c r="AC310" s="107"/>
      <c r="AD310" s="107">
        <f t="shared" si="170"/>
        <v>0</v>
      </c>
      <c r="AE310" s="107">
        <f t="shared" si="171"/>
        <v>0</v>
      </c>
      <c r="AF310" s="107"/>
      <c r="AG310" s="142">
        <f t="shared" si="172"/>
        <v>0</v>
      </c>
      <c r="AH310" s="210">
        <f t="shared" si="173"/>
        <v>89.597823015734562</v>
      </c>
      <c r="AI310" s="107">
        <f t="shared" si="157"/>
        <v>17.871691877243105</v>
      </c>
      <c r="AJ310" s="333">
        <v>10.004525068791965</v>
      </c>
      <c r="AK310" s="121">
        <f t="shared" si="158"/>
        <v>0</v>
      </c>
      <c r="AL310" s="107"/>
      <c r="AM310" s="107">
        <f t="shared" si="174"/>
        <v>74.85671369343352</v>
      </c>
      <c r="AN310" s="107">
        <f t="shared" si="175"/>
        <v>24.755436495141105</v>
      </c>
      <c r="AO310" s="107"/>
      <c r="AP310" s="143">
        <f t="shared" si="176"/>
        <v>217.08619015034427</v>
      </c>
      <c r="AQ310" s="34"/>
      <c r="AR310" s="29"/>
      <c r="AS310" s="124"/>
      <c r="AT310" s="138">
        <f t="shared" si="177"/>
        <v>235.41720345369293</v>
      </c>
      <c r="AU310" s="151">
        <f t="shared" si="178"/>
        <v>1465.0715534501251</v>
      </c>
      <c r="AW310" s="1">
        <v>2</v>
      </c>
      <c r="BA310" s="30">
        <v>256.14999999999998</v>
      </c>
      <c r="BB310" s="30">
        <v>63.16</v>
      </c>
      <c r="BC310" s="30">
        <v>0</v>
      </c>
      <c r="BD310" s="30">
        <v>86.41</v>
      </c>
      <c r="BF310" s="289">
        <f t="shared" si="188"/>
        <v>167.26</v>
      </c>
      <c r="BI310" s="333">
        <v>0</v>
      </c>
      <c r="BL310" s="110">
        <f t="shared" si="189"/>
        <v>1.0967873225415627</v>
      </c>
      <c r="BM310" s="110">
        <f t="shared" si="189"/>
        <v>1.1127076627324948</v>
      </c>
      <c r="BN310" s="110">
        <f t="shared" si="189"/>
        <v>2.8314493742615632</v>
      </c>
      <c r="BO310" s="110">
        <f t="shared" si="189"/>
        <v>1.036891829831438</v>
      </c>
    </row>
    <row r="311" spans="1:67" x14ac:dyDescent="0.25">
      <c r="A311" s="260" t="s">
        <v>234</v>
      </c>
      <c r="B311" s="237">
        <v>4</v>
      </c>
      <c r="C311" s="236">
        <f>'побудинковий звіт'!E311</f>
        <v>3259.9</v>
      </c>
      <c r="D311" s="141">
        <f t="shared" si="159"/>
        <v>521.13849630562356</v>
      </c>
      <c r="E311" s="107">
        <f t="shared" si="153"/>
        <v>107.42070599337644</v>
      </c>
      <c r="F311" s="333">
        <v>91.676433267554984</v>
      </c>
      <c r="G311" s="107">
        <f t="shared" si="154"/>
        <v>0</v>
      </c>
      <c r="H311" s="735">
        <f t="shared" si="160"/>
        <v>435.39802530387072</v>
      </c>
      <c r="I311" s="107">
        <f t="shared" si="161"/>
        <v>148.74488431845913</v>
      </c>
      <c r="J311" s="29"/>
      <c r="K311" s="142">
        <f t="shared" si="162"/>
        <v>1304.3785451888848</v>
      </c>
      <c r="L311" s="210">
        <f t="shared" si="163"/>
        <v>107.75461005901479</v>
      </c>
      <c r="M311" s="107">
        <f t="shared" si="155"/>
        <v>23.707945734195889</v>
      </c>
      <c r="N311" s="333">
        <v>0</v>
      </c>
      <c r="O311" s="107"/>
      <c r="P311" s="107">
        <f t="shared" si="164"/>
        <v>90.026249777505399</v>
      </c>
      <c r="Q311" s="107">
        <f t="shared" si="165"/>
        <v>28.508452010332899</v>
      </c>
      <c r="R311" s="107"/>
      <c r="S311" s="143">
        <f t="shared" si="166"/>
        <v>249.99725758104898</v>
      </c>
      <c r="T311" s="905">
        <v>453.19166666666672</v>
      </c>
      <c r="U311" s="107"/>
      <c r="V311" s="151">
        <f t="shared" si="167"/>
        <v>453.19166666666672</v>
      </c>
      <c r="W311" s="246"/>
      <c r="X311" s="107"/>
      <c r="Y311" s="46">
        <f t="shared" si="168"/>
        <v>0</v>
      </c>
      <c r="Z311" s="141">
        <f t="shared" si="169"/>
        <v>0</v>
      </c>
      <c r="AA311" s="107">
        <f t="shared" si="156"/>
        <v>0</v>
      </c>
      <c r="AB311" s="333">
        <v>0</v>
      </c>
      <c r="AC311" s="107"/>
      <c r="AD311" s="107">
        <f t="shared" si="170"/>
        <v>0</v>
      </c>
      <c r="AE311" s="107">
        <f t="shared" si="171"/>
        <v>0</v>
      </c>
      <c r="AF311" s="107"/>
      <c r="AG311" s="142">
        <f t="shared" si="172"/>
        <v>0</v>
      </c>
      <c r="AH311" s="210">
        <f t="shared" si="173"/>
        <v>471.31918124988016</v>
      </c>
      <c r="AI311" s="107">
        <f t="shared" si="157"/>
        <v>94.012007207509001</v>
      </c>
      <c r="AJ311" s="333">
        <v>35.993921751313238</v>
      </c>
      <c r="AK311" s="121">
        <f t="shared" si="158"/>
        <v>0</v>
      </c>
      <c r="AL311" s="107"/>
      <c r="AM311" s="107">
        <f t="shared" si="174"/>
        <v>393.77524834336543</v>
      </c>
      <c r="AN311" s="107">
        <f t="shared" si="175"/>
        <v>128.0821879198279</v>
      </c>
      <c r="AO311" s="107"/>
      <c r="AP311" s="143">
        <f t="shared" si="176"/>
        <v>1123.1825464718959</v>
      </c>
      <c r="AQ311" s="34"/>
      <c r="AR311" s="29"/>
      <c r="AS311" s="124"/>
      <c r="AT311" s="138">
        <f t="shared" si="177"/>
        <v>1514.2788901710608</v>
      </c>
      <c r="AU311" s="151">
        <f t="shared" si="178"/>
        <v>4645.0289060795567</v>
      </c>
      <c r="AW311" s="1">
        <v>2</v>
      </c>
      <c r="BA311" s="30">
        <v>475.15</v>
      </c>
      <c r="BB311" s="30">
        <v>96.84</v>
      </c>
      <c r="BC311" s="30">
        <v>0</v>
      </c>
      <c r="BD311" s="30">
        <v>454.55</v>
      </c>
      <c r="BF311" s="289">
        <f t="shared" si="188"/>
        <v>543.83000000000004</v>
      </c>
      <c r="BI311" s="333">
        <v>0</v>
      </c>
      <c r="BL311" s="110">
        <f t="shared" si="189"/>
        <v>1.0967873225415627</v>
      </c>
      <c r="BM311" s="110">
        <f t="shared" si="189"/>
        <v>1.1127076627324948</v>
      </c>
      <c r="BN311" s="110">
        <f t="shared" si="189"/>
        <v>2.8314493742615632</v>
      </c>
      <c r="BO311" s="110">
        <f t="shared" si="189"/>
        <v>1.036891829831438</v>
      </c>
    </row>
    <row r="312" spans="1:67" x14ac:dyDescent="0.25">
      <c r="A312" s="260" t="s">
        <v>235</v>
      </c>
      <c r="B312" s="237">
        <v>4</v>
      </c>
      <c r="C312" s="236">
        <f>'побудинковий звіт'!E312</f>
        <v>3099.54</v>
      </c>
      <c r="D312" s="141">
        <f t="shared" si="159"/>
        <v>396.58732795780367</v>
      </c>
      <c r="E312" s="107">
        <f t="shared" si="153"/>
        <v>81.747349426802032</v>
      </c>
      <c r="F312" s="333">
        <v>67.523166443932979</v>
      </c>
      <c r="G312" s="107">
        <f t="shared" si="154"/>
        <v>0</v>
      </c>
      <c r="H312" s="735">
        <f t="shared" si="160"/>
        <v>331.33867614358962</v>
      </c>
      <c r="I312" s="107">
        <f t="shared" si="161"/>
        <v>112.90645063897885</v>
      </c>
      <c r="J312" s="29"/>
      <c r="K312" s="142">
        <f t="shared" si="162"/>
        <v>990.10297061110714</v>
      </c>
      <c r="L312" s="210">
        <f t="shared" si="163"/>
        <v>86.424004164432873</v>
      </c>
      <c r="M312" s="107">
        <f t="shared" si="155"/>
        <v>19.01483008235228</v>
      </c>
      <c r="N312" s="333">
        <v>0</v>
      </c>
      <c r="O312" s="107"/>
      <c r="P312" s="107">
        <f t="shared" si="164"/>
        <v>72.205068362441608</v>
      </c>
      <c r="Q312" s="107">
        <f t="shared" si="165"/>
        <v>22.86505026479302</v>
      </c>
      <c r="R312" s="107"/>
      <c r="S312" s="143">
        <f t="shared" si="166"/>
        <v>200.50895287401977</v>
      </c>
      <c r="T312" s="905">
        <v>340.83333333333337</v>
      </c>
      <c r="U312" s="107"/>
      <c r="V312" s="151">
        <f t="shared" si="167"/>
        <v>340.83333333333337</v>
      </c>
      <c r="W312" s="907">
        <v>98.125</v>
      </c>
      <c r="X312" s="107"/>
      <c r="Y312" s="46">
        <f t="shared" si="168"/>
        <v>98.125</v>
      </c>
      <c r="Z312" s="141">
        <f t="shared" si="169"/>
        <v>0</v>
      </c>
      <c r="AA312" s="107">
        <f t="shared" si="156"/>
        <v>0</v>
      </c>
      <c r="AB312" s="333">
        <v>0</v>
      </c>
      <c r="AC312" s="107"/>
      <c r="AD312" s="107">
        <f t="shared" si="170"/>
        <v>0</v>
      </c>
      <c r="AE312" s="107">
        <f t="shared" si="171"/>
        <v>0</v>
      </c>
      <c r="AF312" s="107"/>
      <c r="AG312" s="142">
        <f t="shared" si="172"/>
        <v>0</v>
      </c>
      <c r="AH312" s="210">
        <f t="shared" si="173"/>
        <v>338.07858111654036</v>
      </c>
      <c r="AI312" s="107">
        <f t="shared" si="157"/>
        <v>67.43507853923289</v>
      </c>
      <c r="AJ312" s="333">
        <v>26.510887070515757</v>
      </c>
      <c r="AK312" s="121">
        <f t="shared" si="158"/>
        <v>0</v>
      </c>
      <c r="AL312" s="107"/>
      <c r="AM312" s="107">
        <f t="shared" si="174"/>
        <v>282.45609882819116</v>
      </c>
      <c r="AN312" s="107">
        <f t="shared" si="175"/>
        <v>91.962829198599451</v>
      </c>
      <c r="AO312" s="107"/>
      <c r="AP312" s="143">
        <f t="shared" si="176"/>
        <v>806.44347475307961</v>
      </c>
      <c r="AQ312" s="34"/>
      <c r="AR312" s="29"/>
      <c r="AS312" s="124"/>
      <c r="AT312" s="138">
        <f t="shared" si="177"/>
        <v>1439.7889478943555</v>
      </c>
      <c r="AU312" s="151">
        <f t="shared" si="178"/>
        <v>3875.8026794658954</v>
      </c>
      <c r="AW312" s="1">
        <v>2</v>
      </c>
      <c r="BA312" s="30">
        <v>361.59</v>
      </c>
      <c r="BB312" s="30">
        <v>77.67</v>
      </c>
      <c r="BC312" s="30">
        <v>0</v>
      </c>
      <c r="BD312" s="30">
        <v>326.05</v>
      </c>
      <c r="BF312" s="289">
        <f t="shared" si="188"/>
        <v>409.00000000000006</v>
      </c>
      <c r="BI312" s="333">
        <v>0</v>
      </c>
      <c r="BL312" s="110">
        <f t="shared" si="189"/>
        <v>1.0967873225415627</v>
      </c>
      <c r="BM312" s="110">
        <f t="shared" si="189"/>
        <v>1.1127076627324948</v>
      </c>
      <c r="BN312" s="110">
        <f t="shared" si="189"/>
        <v>2.8314493742615632</v>
      </c>
      <c r="BO312" s="110">
        <f t="shared" si="189"/>
        <v>1.036891829831438</v>
      </c>
    </row>
    <row r="313" spans="1:67" x14ac:dyDescent="0.25">
      <c r="A313" s="260" t="s">
        <v>200</v>
      </c>
      <c r="B313" s="237">
        <v>3</v>
      </c>
      <c r="C313" s="236">
        <f>'побудинковий звіт'!E313</f>
        <v>3545.5</v>
      </c>
      <c r="D313" s="141">
        <f t="shared" si="159"/>
        <v>390.93887324671465</v>
      </c>
      <c r="E313" s="107">
        <f t="shared" si="153"/>
        <v>80.583050498324951</v>
      </c>
      <c r="F313" s="333">
        <v>82.333279221873511</v>
      </c>
      <c r="G313" s="107">
        <f t="shared" si="154"/>
        <v>0</v>
      </c>
      <c r="H313" s="735">
        <f t="shared" si="160"/>
        <v>326.61953517691609</v>
      </c>
      <c r="I313" s="107">
        <f t="shared" si="161"/>
        <v>113.32839939249045</v>
      </c>
      <c r="J313" s="29"/>
      <c r="K313" s="142">
        <f t="shared" si="162"/>
        <v>993.8031375363197</v>
      </c>
      <c r="L313" s="210">
        <f t="shared" si="163"/>
        <v>75.107767234443401</v>
      </c>
      <c r="M313" s="107">
        <f t="shared" si="155"/>
        <v>16.525055112125386</v>
      </c>
      <c r="N313" s="333">
        <v>0</v>
      </c>
      <c r="O313" s="107"/>
      <c r="P313" s="107">
        <f t="shared" si="164"/>
        <v>62.750638785435925</v>
      </c>
      <c r="Q313" s="107">
        <f t="shared" si="165"/>
        <v>19.87113290683055</v>
      </c>
      <c r="R313" s="107"/>
      <c r="S313" s="143">
        <f t="shared" si="166"/>
        <v>174.25459403883525</v>
      </c>
      <c r="T313" s="905">
        <v>383.88333333333338</v>
      </c>
      <c r="U313" s="107"/>
      <c r="V313" s="151">
        <f t="shared" si="167"/>
        <v>383.88333333333338</v>
      </c>
      <c r="W313" s="246"/>
      <c r="X313" s="107"/>
      <c r="Y313" s="46">
        <f t="shared" si="168"/>
        <v>0</v>
      </c>
      <c r="Z313" s="141">
        <f t="shared" si="169"/>
        <v>0</v>
      </c>
      <c r="AA313" s="107">
        <f t="shared" si="156"/>
        <v>0</v>
      </c>
      <c r="AB313" s="333">
        <v>0</v>
      </c>
      <c r="AC313" s="107"/>
      <c r="AD313" s="107">
        <f t="shared" si="170"/>
        <v>0</v>
      </c>
      <c r="AE313" s="107">
        <f t="shared" si="171"/>
        <v>0</v>
      </c>
      <c r="AF313" s="107"/>
      <c r="AG313" s="142">
        <f t="shared" si="172"/>
        <v>0</v>
      </c>
      <c r="AH313" s="210">
        <f t="shared" si="173"/>
        <v>452.08483780650698</v>
      </c>
      <c r="AI313" s="107">
        <f t="shared" si="157"/>
        <v>90.175415559287046</v>
      </c>
      <c r="AJ313" s="333">
        <v>32.325620709874897</v>
      </c>
      <c r="AK313" s="121">
        <f t="shared" si="158"/>
        <v>0</v>
      </c>
      <c r="AL313" s="107"/>
      <c r="AM313" s="107">
        <f t="shared" si="174"/>
        <v>377.70544115654457</v>
      </c>
      <c r="AN313" s="107">
        <f t="shared" si="175"/>
        <v>122.57211460507214</v>
      </c>
      <c r="AO313" s="107"/>
      <c r="AP313" s="143">
        <f t="shared" si="176"/>
        <v>1074.8634298372856</v>
      </c>
      <c r="AQ313" s="34"/>
      <c r="AR313" s="29"/>
      <c r="AS313" s="124"/>
      <c r="AT313" s="138">
        <f t="shared" si="177"/>
        <v>1646.9449385261805</v>
      </c>
      <c r="AU313" s="151">
        <f t="shared" si="178"/>
        <v>4273.7494332719543</v>
      </c>
      <c r="AW313" s="1">
        <v>2</v>
      </c>
      <c r="BA313" s="30">
        <v>356.44</v>
      </c>
      <c r="BB313" s="30">
        <v>67.5</v>
      </c>
      <c r="BC313" s="30">
        <v>0</v>
      </c>
      <c r="BD313" s="30">
        <v>436</v>
      </c>
      <c r="BF313" s="289">
        <f t="shared" si="188"/>
        <v>460.66</v>
      </c>
      <c r="BG313" s="1">
        <v>368.53</v>
      </c>
      <c r="BI313" s="333">
        <v>0</v>
      </c>
      <c r="BL313" s="110">
        <f t="shared" si="189"/>
        <v>1.0967873225415627</v>
      </c>
      <c r="BM313" s="110">
        <f t="shared" si="189"/>
        <v>1.1127076627324948</v>
      </c>
      <c r="BN313" s="110">
        <f t="shared" si="189"/>
        <v>2.8314493742615632</v>
      </c>
      <c r="BO313" s="110">
        <f t="shared" si="189"/>
        <v>1.036891829831438</v>
      </c>
    </row>
    <row r="314" spans="1:67" x14ac:dyDescent="0.25">
      <c r="A314" s="260" t="s">
        <v>305</v>
      </c>
      <c r="B314" s="237">
        <v>5</v>
      </c>
      <c r="C314" s="236">
        <f>'побудинковий звіт'!E314</f>
        <v>6544.4</v>
      </c>
      <c r="D314" s="141">
        <f t="shared" si="159"/>
        <v>1015.3289280964009</v>
      </c>
      <c r="E314" s="107">
        <f t="shared" si="153"/>
        <v>209.28668874933891</v>
      </c>
      <c r="F314" s="333">
        <v>193.21854949187943</v>
      </c>
      <c r="G314" s="107">
        <f t="shared" si="154"/>
        <v>0</v>
      </c>
      <c r="H314" s="735">
        <f t="shared" si="160"/>
        <v>848.28162467547554</v>
      </c>
      <c r="I314" s="107">
        <f t="shared" si="161"/>
        <v>291.67818712773749</v>
      </c>
      <c r="J314" s="29"/>
      <c r="K314" s="142">
        <f t="shared" si="162"/>
        <v>2557.7939781408327</v>
      </c>
      <c r="L314" s="210">
        <f t="shared" si="163"/>
        <v>215.20878904909182</v>
      </c>
      <c r="M314" s="107">
        <f t="shared" si="155"/>
        <v>47.349791247943273</v>
      </c>
      <c r="N314" s="333">
        <v>0</v>
      </c>
      <c r="O314" s="107"/>
      <c r="P314" s="107">
        <f t="shared" si="164"/>
        <v>179.80149699986907</v>
      </c>
      <c r="Q314" s="107">
        <f t="shared" si="165"/>
        <v>56.937419489038469</v>
      </c>
      <c r="R314" s="107"/>
      <c r="S314" s="143">
        <f t="shared" si="166"/>
        <v>499.2974967859426</v>
      </c>
      <c r="T314" s="905">
        <v>1035.0916666666667</v>
      </c>
      <c r="U314" s="107"/>
      <c r="V314" s="151">
        <f t="shared" si="167"/>
        <v>1035.0916666666667</v>
      </c>
      <c r="W314" s="246"/>
      <c r="X314" s="107"/>
      <c r="Y314" s="46">
        <f t="shared" si="168"/>
        <v>0</v>
      </c>
      <c r="Z314" s="141">
        <f t="shared" si="169"/>
        <v>0</v>
      </c>
      <c r="AA314" s="107">
        <f t="shared" si="156"/>
        <v>0</v>
      </c>
      <c r="AB314" s="333">
        <v>0</v>
      </c>
      <c r="AC314" s="107"/>
      <c r="AD314" s="107">
        <f t="shared" si="170"/>
        <v>0</v>
      </c>
      <c r="AE314" s="107">
        <f t="shared" si="171"/>
        <v>0</v>
      </c>
      <c r="AF314" s="107"/>
      <c r="AG314" s="142">
        <f t="shared" si="172"/>
        <v>0</v>
      </c>
      <c r="AH314" s="210">
        <f t="shared" si="173"/>
        <v>1037.5554406025301</v>
      </c>
      <c r="AI314" s="107">
        <f t="shared" si="157"/>
        <v>206.95671519551601</v>
      </c>
      <c r="AJ314" s="333">
        <v>81.461299392133682</v>
      </c>
      <c r="AK314" s="121">
        <f t="shared" si="158"/>
        <v>0</v>
      </c>
      <c r="AL314" s="418"/>
      <c r="AM314" s="107">
        <f t="shared" si="174"/>
        <v>866.85131339193742</v>
      </c>
      <c r="AN314" s="107">
        <f t="shared" si="175"/>
        <v>282.24469187556019</v>
      </c>
      <c r="AO314" s="107"/>
      <c r="AP314" s="143">
        <f t="shared" si="176"/>
        <v>2475.0694604576775</v>
      </c>
      <c r="AQ314" s="140"/>
      <c r="AR314" s="107"/>
      <c r="AS314" s="142">
        <f>AQ314+AR314</f>
        <v>0</v>
      </c>
      <c r="AT314" s="138">
        <f t="shared" si="177"/>
        <v>3039.9848979525414</v>
      </c>
      <c r="AU314" s="151">
        <f t="shared" si="178"/>
        <v>9607.2375000036609</v>
      </c>
      <c r="AW314" s="1">
        <v>2</v>
      </c>
      <c r="BA314" s="30">
        <v>925.73</v>
      </c>
      <c r="BB314" s="30">
        <v>193.41</v>
      </c>
      <c r="BC314" s="30">
        <v>0</v>
      </c>
      <c r="BD314" s="30">
        <v>1000.64</v>
      </c>
      <c r="BF314" s="289">
        <f t="shared" si="188"/>
        <v>1242.1099999999999</v>
      </c>
      <c r="BI314" s="333">
        <v>0</v>
      </c>
      <c r="BL314" s="110">
        <f t="shared" si="189"/>
        <v>1.0967873225415627</v>
      </c>
      <c r="BM314" s="110">
        <f t="shared" si="189"/>
        <v>1.1127076627324948</v>
      </c>
      <c r="BN314" s="110">
        <f t="shared" si="189"/>
        <v>2.8314493742615632</v>
      </c>
      <c r="BO314" s="110">
        <f t="shared" si="189"/>
        <v>1.036891829831438</v>
      </c>
    </row>
    <row r="315" spans="1:67" x14ac:dyDescent="0.25">
      <c r="A315" s="260" t="s">
        <v>306</v>
      </c>
      <c r="B315" s="237">
        <v>5</v>
      </c>
      <c r="C315" s="236">
        <f>'побудинковий звіт'!E315</f>
        <v>341.7</v>
      </c>
      <c r="D315" s="141">
        <f t="shared" si="159"/>
        <v>331.89881167430229</v>
      </c>
      <c r="E315" s="107">
        <f t="shared" si="153"/>
        <v>68.413300727466364</v>
      </c>
      <c r="F315" s="333">
        <v>54.980576303544851</v>
      </c>
      <c r="G315" s="107">
        <f t="shared" si="154"/>
        <v>0</v>
      </c>
      <c r="H315" s="735">
        <f t="shared" si="160"/>
        <v>277.29305784953027</v>
      </c>
      <c r="I315" s="107">
        <f t="shared" si="161"/>
        <v>94.293188070151103</v>
      </c>
      <c r="J315" s="29"/>
      <c r="K315" s="142">
        <f t="shared" si="162"/>
        <v>826.87893462499494</v>
      </c>
      <c r="L315" s="210">
        <f t="shared" si="163"/>
        <v>64.948746273695718</v>
      </c>
      <c r="M315" s="107">
        <f t="shared" si="155"/>
        <v>14.289888398440871</v>
      </c>
      <c r="N315" s="333">
        <v>0</v>
      </c>
      <c r="O315" s="107"/>
      <c r="P315" s="107">
        <f t="shared" si="164"/>
        <v>54.263033865272511</v>
      </c>
      <c r="Q315" s="107">
        <f t="shared" si="165"/>
        <v>17.183378189210359</v>
      </c>
      <c r="R315" s="107"/>
      <c r="S315" s="143">
        <f t="shared" si="166"/>
        <v>150.68504672661948</v>
      </c>
      <c r="T315" s="905">
        <v>293.68333333333334</v>
      </c>
      <c r="U315" s="107"/>
      <c r="V315" s="151">
        <f t="shared" si="167"/>
        <v>293.68333333333334</v>
      </c>
      <c r="W315" s="246"/>
      <c r="X315" s="107"/>
      <c r="Y315" s="46">
        <f t="shared" si="168"/>
        <v>0</v>
      </c>
      <c r="Z315" s="141">
        <f t="shared" si="169"/>
        <v>0</v>
      </c>
      <c r="AA315" s="107">
        <f t="shared" si="156"/>
        <v>0</v>
      </c>
      <c r="AB315" s="333">
        <v>0</v>
      </c>
      <c r="AC315" s="107"/>
      <c r="AD315" s="107">
        <f t="shared" si="170"/>
        <v>0</v>
      </c>
      <c r="AE315" s="107">
        <f t="shared" si="171"/>
        <v>0</v>
      </c>
      <c r="AF315" s="107"/>
      <c r="AG315" s="142">
        <f t="shared" si="172"/>
        <v>0</v>
      </c>
      <c r="AH315" s="210">
        <f t="shared" si="173"/>
        <v>168.0697966973778</v>
      </c>
      <c r="AI315" s="107">
        <f t="shared" si="157"/>
        <v>33.524158504598248</v>
      </c>
      <c r="AJ315" s="333">
        <v>21.586426203300739</v>
      </c>
      <c r="AK315" s="121">
        <f t="shared" si="158"/>
        <v>0</v>
      </c>
      <c r="AL315" s="418"/>
      <c r="AM315" s="107">
        <f t="shared" si="174"/>
        <v>140.41806182812914</v>
      </c>
      <c r="AN315" s="107">
        <f t="shared" si="175"/>
        <v>46.799786306318779</v>
      </c>
      <c r="AO315" s="107"/>
      <c r="AP315" s="143">
        <f t="shared" si="176"/>
        <v>410.39822953972464</v>
      </c>
      <c r="AQ315" s="34"/>
      <c r="AR315" s="29"/>
      <c r="AS315" s="124"/>
      <c r="AT315" s="138">
        <f t="shared" si="177"/>
        <v>158.72545071058971</v>
      </c>
      <c r="AU315" s="151">
        <f t="shared" si="178"/>
        <v>1840.3709949352622</v>
      </c>
      <c r="AW315" s="1">
        <v>2</v>
      </c>
      <c r="BA315" s="30">
        <v>302.61</v>
      </c>
      <c r="BB315" s="30">
        <v>58.37</v>
      </c>
      <c r="BC315" s="30">
        <v>0</v>
      </c>
      <c r="BD315" s="30">
        <v>162.09</v>
      </c>
      <c r="BF315" s="289">
        <f t="shared" si="188"/>
        <v>352.42</v>
      </c>
      <c r="BI315" s="333">
        <v>0</v>
      </c>
      <c r="BL315" s="110">
        <f t="shared" si="189"/>
        <v>1.0967873225415627</v>
      </c>
      <c r="BM315" s="110">
        <f t="shared" si="189"/>
        <v>1.1127076627324948</v>
      </c>
      <c r="BN315" s="110">
        <f t="shared" si="189"/>
        <v>2.8314493742615632</v>
      </c>
      <c r="BO315" s="110">
        <f t="shared" si="189"/>
        <v>1.036891829831438</v>
      </c>
    </row>
    <row r="316" spans="1:67" x14ac:dyDescent="0.25">
      <c r="A316" s="260" t="s">
        <v>307</v>
      </c>
      <c r="B316" s="237">
        <v>5</v>
      </c>
      <c r="C316" s="236">
        <f>'побудинковий звіт'!E316</f>
        <v>772.72</v>
      </c>
      <c r="D316" s="141">
        <f t="shared" si="159"/>
        <v>299.96036484189199</v>
      </c>
      <c r="E316" s="107">
        <f t="shared" si="153"/>
        <v>61.829925038679413</v>
      </c>
      <c r="F316" s="333">
        <v>48.0199855347118</v>
      </c>
      <c r="G316" s="107">
        <f t="shared" si="154"/>
        <v>0</v>
      </c>
      <c r="H316" s="735">
        <f t="shared" si="160"/>
        <v>250.60929378165966</v>
      </c>
      <c r="I316" s="107">
        <f t="shared" si="161"/>
        <v>85.004474815882219</v>
      </c>
      <c r="J316" s="29"/>
      <c r="K316" s="142">
        <f t="shared" si="162"/>
        <v>745.42404401282499</v>
      </c>
      <c r="L316" s="210">
        <f t="shared" si="163"/>
        <v>64.948746273695718</v>
      </c>
      <c r="M316" s="107">
        <f t="shared" si="155"/>
        <v>14.289888398440871</v>
      </c>
      <c r="N316" s="333">
        <v>0</v>
      </c>
      <c r="O316" s="107"/>
      <c r="P316" s="107">
        <f t="shared" si="164"/>
        <v>54.263033865272511</v>
      </c>
      <c r="Q316" s="107">
        <f t="shared" si="165"/>
        <v>17.183378189210359</v>
      </c>
      <c r="R316" s="107"/>
      <c r="S316" s="143">
        <f t="shared" si="166"/>
        <v>150.68504672661948</v>
      </c>
      <c r="T316" s="905">
        <v>266.27499999999998</v>
      </c>
      <c r="U316" s="107"/>
      <c r="V316" s="151">
        <f t="shared" si="167"/>
        <v>266.27499999999998</v>
      </c>
      <c r="W316" s="907">
        <v>60.28</v>
      </c>
      <c r="X316" s="107"/>
      <c r="Y316" s="46">
        <f t="shared" si="168"/>
        <v>60.28</v>
      </c>
      <c r="Z316" s="141">
        <f t="shared" si="169"/>
        <v>50.909459749222904</v>
      </c>
      <c r="AA316" s="107">
        <f t="shared" si="156"/>
        <v>11.190302232822038</v>
      </c>
      <c r="AB316" s="333">
        <v>0</v>
      </c>
      <c r="AC316" s="107"/>
      <c r="AD316" s="107">
        <f t="shared" si="170"/>
        <v>42.533565263809031</v>
      </c>
      <c r="AE316" s="107">
        <f t="shared" si="171"/>
        <v>13.46765214965912</v>
      </c>
      <c r="AF316" s="107"/>
      <c r="AG316" s="142">
        <f t="shared" si="172"/>
        <v>118.10097939551308</v>
      </c>
      <c r="AH316" s="210">
        <f t="shared" si="173"/>
        <v>170.9730938209058</v>
      </c>
      <c r="AI316" s="107">
        <f t="shared" si="157"/>
        <v>34.103266677914768</v>
      </c>
      <c r="AJ316" s="333">
        <v>18.853565090073314</v>
      </c>
      <c r="AK316" s="121">
        <f t="shared" si="158"/>
        <v>0</v>
      </c>
      <c r="AL316" s="418"/>
      <c r="AM316" s="107">
        <f t="shared" si="174"/>
        <v>142.84369310161154</v>
      </c>
      <c r="AN316" s="107">
        <f t="shared" si="175"/>
        <v>47.208472139943041</v>
      </c>
      <c r="AO316" s="107"/>
      <c r="AP316" s="143">
        <f t="shared" si="176"/>
        <v>413.98209083044844</v>
      </c>
      <c r="AQ316" s="34"/>
      <c r="AR316" s="29"/>
      <c r="AS316" s="124"/>
      <c r="AT316" s="138">
        <f t="shared" si="177"/>
        <v>358.94155772047674</v>
      </c>
      <c r="AU316" s="151">
        <f t="shared" si="178"/>
        <v>2113.6887186858826</v>
      </c>
      <c r="AW316" s="1">
        <v>2</v>
      </c>
      <c r="BA316" s="30">
        <v>273.49</v>
      </c>
      <c r="BB316" s="30">
        <v>58.37</v>
      </c>
      <c r="BC316" s="30">
        <v>17.98</v>
      </c>
      <c r="BD316" s="30">
        <v>164.89</v>
      </c>
      <c r="BF316" s="289">
        <f t="shared" si="188"/>
        <v>319.52999999999997</v>
      </c>
      <c r="BG316" s="1">
        <v>255.63</v>
      </c>
      <c r="BI316" s="333">
        <v>0</v>
      </c>
      <c r="BL316" s="110">
        <f t="shared" si="189"/>
        <v>1.0967873225415627</v>
      </c>
      <c r="BM316" s="110">
        <f t="shared" si="189"/>
        <v>1.1127076627324948</v>
      </c>
      <c r="BN316" s="110">
        <f t="shared" si="189"/>
        <v>2.8314493742615632</v>
      </c>
      <c r="BO316" s="110">
        <f t="shared" si="189"/>
        <v>1.036891829831438</v>
      </c>
    </row>
    <row r="317" spans="1:67" x14ac:dyDescent="0.25">
      <c r="A317" s="260" t="s">
        <v>308</v>
      </c>
      <c r="B317" s="237">
        <v>5</v>
      </c>
      <c r="C317" s="236">
        <f>'побудинковий звіт'!E317</f>
        <v>1517.8000000000002</v>
      </c>
      <c r="D317" s="141">
        <f t="shared" si="159"/>
        <v>507.78681358368965</v>
      </c>
      <c r="E317" s="107">
        <f t="shared" si="153"/>
        <v>104.6685639152971</v>
      </c>
      <c r="F317" s="333">
        <v>101.84510405803798</v>
      </c>
      <c r="G317" s="107">
        <f t="shared" si="154"/>
        <v>0</v>
      </c>
      <c r="H317" s="735">
        <f t="shared" si="160"/>
        <v>424.243032278361</v>
      </c>
      <c r="I317" s="107">
        <f t="shared" si="161"/>
        <v>146.5451630488331</v>
      </c>
      <c r="J317" s="29"/>
      <c r="K317" s="142">
        <f t="shared" si="162"/>
        <v>1285.0886768842188</v>
      </c>
      <c r="L317" s="210">
        <f t="shared" si="163"/>
        <v>106.7195127408071</v>
      </c>
      <c r="M317" s="107">
        <f t="shared" si="155"/>
        <v>23.480205769880303</v>
      </c>
      <c r="N317" s="333">
        <v>0</v>
      </c>
      <c r="O317" s="107"/>
      <c r="P317" s="107">
        <f t="shared" si="164"/>
        <v>89.161452163167084</v>
      </c>
      <c r="Q317" s="107">
        <f t="shared" si="165"/>
        <v>28.234598091637565</v>
      </c>
      <c r="R317" s="107"/>
      <c r="S317" s="143">
        <f t="shared" si="166"/>
        <v>247.59576876549204</v>
      </c>
      <c r="T317" s="905">
        <v>635.70000000000005</v>
      </c>
      <c r="U317" s="107"/>
      <c r="V317" s="151">
        <f t="shared" si="167"/>
        <v>635.70000000000005</v>
      </c>
      <c r="W317" s="246"/>
      <c r="X317" s="107"/>
      <c r="Y317" s="46">
        <f t="shared" si="168"/>
        <v>0</v>
      </c>
      <c r="Z317" s="141">
        <f t="shared" si="169"/>
        <v>0</v>
      </c>
      <c r="AA317" s="107">
        <f t="shared" si="156"/>
        <v>0</v>
      </c>
      <c r="AB317" s="333">
        <v>0</v>
      </c>
      <c r="AC317" s="107"/>
      <c r="AD317" s="107">
        <f t="shared" si="170"/>
        <v>0</v>
      </c>
      <c r="AE317" s="107">
        <f t="shared" si="171"/>
        <v>0</v>
      </c>
      <c r="AF317" s="107"/>
      <c r="AG317" s="142">
        <f t="shared" si="172"/>
        <v>0</v>
      </c>
      <c r="AH317" s="210">
        <f t="shared" si="173"/>
        <v>363.88213833344662</v>
      </c>
      <c r="AI317" s="107">
        <f t="shared" si="157"/>
        <v>72.582002966586174</v>
      </c>
      <c r="AJ317" s="333">
        <v>43.612695292390242</v>
      </c>
      <c r="AK317" s="121">
        <f t="shared" si="158"/>
        <v>0</v>
      </c>
      <c r="AL317" s="107"/>
      <c r="AM317" s="107">
        <f t="shared" si="174"/>
        <v>304.0143178768713</v>
      </c>
      <c r="AN317" s="107">
        <f t="shared" si="175"/>
        <v>100.92259512310903</v>
      </c>
      <c r="AO317" s="107"/>
      <c r="AP317" s="143">
        <f t="shared" si="176"/>
        <v>885.01374959240343</v>
      </c>
      <c r="AQ317" s="34"/>
      <c r="AR317" s="29"/>
      <c r="AS317" s="124"/>
      <c r="AT317" s="138">
        <f t="shared" si="177"/>
        <v>705.04386622339223</v>
      </c>
      <c r="AU317" s="151">
        <f t="shared" si="178"/>
        <v>3758.4420614655069</v>
      </c>
      <c r="AW317" s="1">
        <v>1</v>
      </c>
      <c r="BA317" s="30">
        <v>591.13</v>
      </c>
      <c r="BB317" s="30">
        <v>115.74</v>
      </c>
      <c r="BC317" s="30">
        <v>0</v>
      </c>
      <c r="BD317" s="30">
        <v>438.56</v>
      </c>
      <c r="BF317" s="289">
        <f t="shared" si="188"/>
        <v>762.84</v>
      </c>
      <c r="BI317" s="333">
        <v>0</v>
      </c>
      <c r="BL317" s="110">
        <f>$BA$397</f>
        <v>0.85901039294857251</v>
      </c>
      <c r="BM317" s="110">
        <f>$BB$397</f>
        <v>0.92206249128051765</v>
      </c>
      <c r="BN317" s="110">
        <f>$BC$397</f>
        <v>0.35749517965371247</v>
      </c>
      <c r="BO317" s="110">
        <f>$BD$397</f>
        <v>0.82972030812989472</v>
      </c>
    </row>
    <row r="318" spans="1:67" x14ac:dyDescent="0.25">
      <c r="A318" s="260" t="s">
        <v>309</v>
      </c>
      <c r="B318" s="237">
        <v>5</v>
      </c>
      <c r="C318" s="236">
        <f>'побудинковий звіт'!E318</f>
        <v>792.9</v>
      </c>
      <c r="D318" s="141">
        <f t="shared" si="159"/>
        <v>250.23831756984865</v>
      </c>
      <c r="E318" s="107">
        <f t="shared" si="153"/>
        <v>51.580869443549133</v>
      </c>
      <c r="F318" s="333">
        <v>57.53629540603562</v>
      </c>
      <c r="G318" s="107">
        <f t="shared" si="154"/>
        <v>0</v>
      </c>
      <c r="H318" s="735">
        <f t="shared" si="160"/>
        <v>209.06778159289723</v>
      </c>
      <c r="I318" s="107">
        <f t="shared" si="161"/>
        <v>73.163369597378974</v>
      </c>
      <c r="J318" s="29"/>
      <c r="K318" s="142">
        <f t="shared" si="162"/>
        <v>641.58663360970957</v>
      </c>
      <c r="L318" s="210">
        <f t="shared" si="163"/>
        <v>54.73362948241153</v>
      </c>
      <c r="M318" s="107">
        <f t="shared" si="155"/>
        <v>12.042379596510239</v>
      </c>
      <c r="N318" s="333">
        <v>0</v>
      </c>
      <c r="O318" s="107"/>
      <c r="P318" s="107">
        <f t="shared" si="164"/>
        <v>45.728562298303082</v>
      </c>
      <c r="Q318" s="107">
        <f t="shared" si="165"/>
        <v>14.480782294104081</v>
      </c>
      <c r="R318" s="107"/>
      <c r="S318" s="143">
        <f t="shared" si="166"/>
        <v>126.98535367132894</v>
      </c>
      <c r="T318" s="905">
        <v>388.4083333333333</v>
      </c>
      <c r="U318" s="107"/>
      <c r="V318" s="151">
        <f t="shared" si="167"/>
        <v>388.4083333333333</v>
      </c>
      <c r="W318" s="246"/>
      <c r="X318" s="107"/>
      <c r="Y318" s="46">
        <f t="shared" si="168"/>
        <v>0</v>
      </c>
      <c r="Z318" s="141">
        <f t="shared" si="169"/>
        <v>0</v>
      </c>
      <c r="AA318" s="107">
        <f t="shared" si="156"/>
        <v>0</v>
      </c>
      <c r="AB318" s="333">
        <v>0</v>
      </c>
      <c r="AC318" s="107"/>
      <c r="AD318" s="107">
        <f t="shared" si="170"/>
        <v>0</v>
      </c>
      <c r="AE318" s="107">
        <f t="shared" si="171"/>
        <v>0</v>
      </c>
      <c r="AF318" s="107"/>
      <c r="AG318" s="142">
        <f t="shared" si="172"/>
        <v>0</v>
      </c>
      <c r="AH318" s="210">
        <f t="shared" si="173"/>
        <v>140.59610621261066</v>
      </c>
      <c r="AI318" s="107">
        <f t="shared" si="157"/>
        <v>28.044099787231001</v>
      </c>
      <c r="AJ318" s="333">
        <v>24.638522813687874</v>
      </c>
      <c r="AK318" s="121">
        <f t="shared" si="158"/>
        <v>0</v>
      </c>
      <c r="AL318" s="418"/>
      <c r="AM318" s="107">
        <f t="shared" si="174"/>
        <v>117.46448869991757</v>
      </c>
      <c r="AN318" s="107">
        <f t="shared" si="175"/>
        <v>39.996640377340142</v>
      </c>
      <c r="AO318" s="107"/>
      <c r="AP318" s="143">
        <f t="shared" si="176"/>
        <v>350.73985789078728</v>
      </c>
      <c r="AQ318" s="34"/>
      <c r="AR318" s="29"/>
      <c r="AS318" s="124"/>
      <c r="AT318" s="138">
        <f t="shared" si="177"/>
        <v>368.31551029682936</v>
      </c>
      <c r="AU318" s="151">
        <f t="shared" si="178"/>
        <v>1876.0356888019885</v>
      </c>
      <c r="AW318" s="1">
        <v>1</v>
      </c>
      <c r="BA318" s="30">
        <v>291.31</v>
      </c>
      <c r="BB318" s="30">
        <v>59.36</v>
      </c>
      <c r="BC318" s="30">
        <v>0</v>
      </c>
      <c r="BD318" s="30">
        <v>169.45</v>
      </c>
      <c r="BF318" s="289">
        <f t="shared" si="188"/>
        <v>466.08999999999992</v>
      </c>
      <c r="BI318" s="333">
        <v>0</v>
      </c>
      <c r="BL318" s="110">
        <f>$BA$397</f>
        <v>0.85901039294857251</v>
      </c>
      <c r="BM318" s="110">
        <f>$BB$397</f>
        <v>0.92206249128051765</v>
      </c>
      <c r="BN318" s="110">
        <f>$BC$397</f>
        <v>0.35749517965371247</v>
      </c>
      <c r="BO318" s="110">
        <f>$BD$397</f>
        <v>0.82972030812989472</v>
      </c>
    </row>
    <row r="319" spans="1:67" x14ac:dyDescent="0.25">
      <c r="A319" s="260" t="s">
        <v>310</v>
      </c>
      <c r="B319" s="237">
        <v>5</v>
      </c>
      <c r="C319" s="236">
        <f>'побудинковий звіт'!E319</f>
        <v>833.8</v>
      </c>
      <c r="D319" s="141">
        <f t="shared" si="159"/>
        <v>320.62562916805467</v>
      </c>
      <c r="E319" s="107">
        <f t="shared" si="153"/>
        <v>66.089593628109967</v>
      </c>
      <c r="F319" s="333">
        <v>66.779470032377859</v>
      </c>
      <c r="G319" s="107">
        <f t="shared" si="154"/>
        <v>0</v>
      </c>
      <c r="H319" s="735">
        <f t="shared" si="160"/>
        <v>267.87459915399023</v>
      </c>
      <c r="I319" s="107">
        <f t="shared" si="161"/>
        <v>92.849486407320498</v>
      </c>
      <c r="J319" s="29"/>
      <c r="K319" s="142">
        <f t="shared" si="162"/>
        <v>814.21877838985324</v>
      </c>
      <c r="L319" s="210">
        <f t="shared" si="163"/>
        <v>71.450622449327312</v>
      </c>
      <c r="M319" s="107">
        <f t="shared" si="155"/>
        <v>15.720417704406644</v>
      </c>
      <c r="N319" s="333">
        <v>0</v>
      </c>
      <c r="O319" s="107"/>
      <c r="P319" s="107">
        <f t="shared" si="164"/>
        <v>59.695186868185743</v>
      </c>
      <c r="Q319" s="107">
        <f t="shared" si="165"/>
        <v>18.903568395723134</v>
      </c>
      <c r="R319" s="107"/>
      <c r="S319" s="143">
        <f t="shared" si="166"/>
        <v>165.76979541764285</v>
      </c>
      <c r="T319" s="905">
        <v>435.74166666666667</v>
      </c>
      <c r="U319" s="107"/>
      <c r="V319" s="151">
        <f t="shared" si="167"/>
        <v>435.74166666666667</v>
      </c>
      <c r="W319" s="246"/>
      <c r="X319" s="107"/>
      <c r="Y319" s="46">
        <f t="shared" si="168"/>
        <v>0</v>
      </c>
      <c r="Z319" s="141">
        <f t="shared" si="169"/>
        <v>0</v>
      </c>
      <c r="AA319" s="107">
        <f t="shared" si="156"/>
        <v>0</v>
      </c>
      <c r="AB319" s="333">
        <v>0</v>
      </c>
      <c r="AC319" s="107"/>
      <c r="AD319" s="107">
        <f t="shared" si="170"/>
        <v>0</v>
      </c>
      <c r="AE319" s="107">
        <f t="shared" si="171"/>
        <v>0</v>
      </c>
      <c r="AF319" s="107"/>
      <c r="AG319" s="142">
        <f t="shared" si="172"/>
        <v>0</v>
      </c>
      <c r="AH319" s="210">
        <f t="shared" si="173"/>
        <v>196.2371500758014</v>
      </c>
      <c r="AI319" s="107">
        <f t="shared" si="157"/>
        <v>39.142579171897339</v>
      </c>
      <c r="AJ319" s="333">
        <v>28.596688129943956</v>
      </c>
      <c r="AK319" s="121">
        <f t="shared" si="158"/>
        <v>0</v>
      </c>
      <c r="AL319" s="107"/>
      <c r="AM319" s="107">
        <f t="shared" si="174"/>
        <v>163.9511727495869</v>
      </c>
      <c r="AN319" s="107">
        <f t="shared" si="175"/>
        <v>55.079773154244144</v>
      </c>
      <c r="AO319" s="107"/>
      <c r="AP319" s="143">
        <f t="shared" si="176"/>
        <v>483.00736328147372</v>
      </c>
      <c r="AQ319" s="34"/>
      <c r="AR319" s="29"/>
      <c r="AS319" s="124"/>
      <c r="AT319" s="138">
        <f t="shared" si="177"/>
        <v>387.31425461659262</v>
      </c>
      <c r="AU319" s="151">
        <f t="shared" si="178"/>
        <v>2286.0518583722292</v>
      </c>
      <c r="AW319" s="1">
        <v>1</v>
      </c>
      <c r="BA319" s="30">
        <v>373.25</v>
      </c>
      <c r="BB319" s="30">
        <v>77.489999999999995</v>
      </c>
      <c r="BC319" s="30">
        <v>0</v>
      </c>
      <c r="BD319" s="30">
        <v>236.51</v>
      </c>
      <c r="BF319" s="289">
        <f t="shared" si="188"/>
        <v>522.89</v>
      </c>
      <c r="BI319" s="333">
        <v>0</v>
      </c>
      <c r="BL319" s="110">
        <f>$BA$397</f>
        <v>0.85901039294857251</v>
      </c>
      <c r="BM319" s="110">
        <f>$BB$397</f>
        <v>0.92206249128051765</v>
      </c>
      <c r="BN319" s="110">
        <f>$BC$397</f>
        <v>0.35749517965371247</v>
      </c>
      <c r="BO319" s="110">
        <f>$BD$397</f>
        <v>0.82972030812989472</v>
      </c>
    </row>
    <row r="320" spans="1:67" x14ac:dyDescent="0.25">
      <c r="A320" s="260" t="s">
        <v>311</v>
      </c>
      <c r="B320" s="237">
        <v>5</v>
      </c>
      <c r="C320" s="236">
        <f>'побудинковий звіт'!E320</f>
        <v>3984.7</v>
      </c>
      <c r="D320" s="141">
        <f t="shared" si="159"/>
        <v>520.13938303429018</v>
      </c>
      <c r="E320" s="107">
        <f t="shared" si="153"/>
        <v>107.2147617890338</v>
      </c>
      <c r="F320" s="333">
        <v>116.74281704926662</v>
      </c>
      <c r="G320" s="107">
        <f t="shared" si="154"/>
        <v>0</v>
      </c>
      <c r="H320" s="735">
        <f t="shared" si="160"/>
        <v>434.56329145005395</v>
      </c>
      <c r="I320" s="107">
        <f t="shared" si="161"/>
        <v>151.70870230553112</v>
      </c>
      <c r="J320" s="29"/>
      <c r="K320" s="142">
        <f t="shared" si="162"/>
        <v>1330.3689556281756</v>
      </c>
      <c r="L320" s="210">
        <f t="shared" si="163"/>
        <v>127.66877254270048</v>
      </c>
      <c r="M320" s="107">
        <f t="shared" si="155"/>
        <v>28.089418445633552</v>
      </c>
      <c r="N320" s="333">
        <v>0</v>
      </c>
      <c r="O320" s="107"/>
      <c r="P320" s="107">
        <f t="shared" si="164"/>
        <v>106.66402856844752</v>
      </c>
      <c r="Q320" s="107">
        <f t="shared" si="165"/>
        <v>33.777107756766355</v>
      </c>
      <c r="R320" s="107"/>
      <c r="S320" s="143">
        <f t="shared" si="166"/>
        <v>296.19932731354788</v>
      </c>
      <c r="T320" s="905">
        <v>657.4083333333333</v>
      </c>
      <c r="U320" s="107"/>
      <c r="V320" s="151">
        <f t="shared" si="167"/>
        <v>657.4083333333333</v>
      </c>
      <c r="W320" s="907">
        <v>149.166</v>
      </c>
      <c r="X320" s="107"/>
      <c r="Y320" s="46">
        <f t="shared" si="168"/>
        <v>149.166</v>
      </c>
      <c r="Z320" s="141">
        <f t="shared" si="169"/>
        <v>15.000497738269775</v>
      </c>
      <c r="AA320" s="107">
        <f t="shared" si="156"/>
        <v>3.2972281411130955</v>
      </c>
      <c r="AB320" s="333">
        <v>0</v>
      </c>
      <c r="AC320" s="107"/>
      <c r="AD320" s="107">
        <f t="shared" si="170"/>
        <v>12.532536245389172</v>
      </c>
      <c r="AE320" s="107">
        <f t="shared" si="171"/>
        <v>3.96825043137193</v>
      </c>
      <c r="AF320" s="107"/>
      <c r="AG320" s="142">
        <f t="shared" si="172"/>
        <v>34.798512556143969</v>
      </c>
      <c r="AH320" s="210">
        <f t="shared" si="173"/>
        <v>470.17760700796742</v>
      </c>
      <c r="AI320" s="107">
        <f t="shared" si="157"/>
        <v>93.78430231000408</v>
      </c>
      <c r="AJ320" s="333">
        <v>49.992279497730941</v>
      </c>
      <c r="AK320" s="121">
        <f t="shared" si="158"/>
        <v>0</v>
      </c>
      <c r="AL320" s="107"/>
      <c r="AM320" s="107">
        <f t="shared" si="174"/>
        <v>392.82149195386415</v>
      </c>
      <c r="AN320" s="107">
        <f t="shared" si="175"/>
        <v>129.58495173800412</v>
      </c>
      <c r="AO320" s="107"/>
      <c r="AP320" s="143">
        <f t="shared" si="176"/>
        <v>1136.3606325075707</v>
      </c>
      <c r="AQ320" s="34"/>
      <c r="AR320" s="29"/>
      <c r="AS320" s="124"/>
      <c r="AT320" s="138">
        <f t="shared" si="177"/>
        <v>1850.9607944000199</v>
      </c>
      <c r="AU320" s="151">
        <f t="shared" si="178"/>
        <v>5455.262555738791</v>
      </c>
      <c r="AW320" s="1">
        <v>1</v>
      </c>
      <c r="BA320" s="30">
        <v>605.51</v>
      </c>
      <c r="BB320" s="30">
        <v>138.46</v>
      </c>
      <c r="BC320" s="30">
        <v>41.96</v>
      </c>
      <c r="BD320" s="30">
        <v>566.66999999999996</v>
      </c>
      <c r="BF320" s="289">
        <f t="shared" si="188"/>
        <v>788.89</v>
      </c>
      <c r="BI320" s="333">
        <v>0</v>
      </c>
      <c r="BL320" s="110">
        <f>$BA$397</f>
        <v>0.85901039294857251</v>
      </c>
      <c r="BM320" s="110">
        <f>$BB$397</f>
        <v>0.92206249128051765</v>
      </c>
      <c r="BN320" s="110">
        <f>$BC$397</f>
        <v>0.35749517965371247</v>
      </c>
      <c r="BO320" s="110">
        <f>$BD$397</f>
        <v>0.82972030812989472</v>
      </c>
    </row>
    <row r="321" spans="1:67" x14ac:dyDescent="0.25">
      <c r="A321" s="260" t="s">
        <v>312</v>
      </c>
      <c r="B321" s="237">
        <v>5</v>
      </c>
      <c r="C321" s="236">
        <f>'побудинковий звіт'!E321</f>
        <v>1113.4000000000001</v>
      </c>
      <c r="D321" s="141">
        <f t="shared" si="159"/>
        <v>369.57204135826436</v>
      </c>
      <c r="E321" s="107">
        <f t="shared" si="153"/>
        <v>76.178769903876088</v>
      </c>
      <c r="F321" s="333">
        <v>64.634149117086494</v>
      </c>
      <c r="G321" s="107">
        <f t="shared" si="154"/>
        <v>0</v>
      </c>
      <c r="H321" s="735">
        <f t="shared" si="160"/>
        <v>308.76808786074008</v>
      </c>
      <c r="I321" s="107">
        <f t="shared" si="161"/>
        <v>105.43551085885929</v>
      </c>
      <c r="J321" s="29"/>
      <c r="K321" s="142">
        <f t="shared" si="162"/>
        <v>924.58855909882641</v>
      </c>
      <c r="L321" s="210">
        <f t="shared" si="163"/>
        <v>80.320863615445887</v>
      </c>
      <c r="M321" s="107">
        <f t="shared" si="155"/>
        <v>17.672029761657797</v>
      </c>
      <c r="N321" s="333">
        <v>0</v>
      </c>
      <c r="O321" s="107"/>
      <c r="P321" s="107">
        <f t="shared" si="164"/>
        <v>67.106048884858168</v>
      </c>
      <c r="Q321" s="107">
        <f t="shared" si="165"/>
        <v>21.250352857806707</v>
      </c>
      <c r="R321" s="107"/>
      <c r="S321" s="143">
        <f t="shared" si="166"/>
        <v>186.34929511976856</v>
      </c>
      <c r="T321" s="905">
        <v>411.54166666666669</v>
      </c>
      <c r="U321" s="107"/>
      <c r="V321" s="151">
        <f t="shared" si="167"/>
        <v>411.54166666666669</v>
      </c>
      <c r="W321" s="246"/>
      <c r="X321" s="107"/>
      <c r="Y321" s="46">
        <f t="shared" si="168"/>
        <v>0</v>
      </c>
      <c r="Z321" s="141">
        <f t="shared" si="169"/>
        <v>0</v>
      </c>
      <c r="AA321" s="107">
        <f t="shared" si="156"/>
        <v>0</v>
      </c>
      <c r="AB321" s="333">
        <v>0</v>
      </c>
      <c r="AC321" s="107"/>
      <c r="AD321" s="107">
        <f t="shared" si="170"/>
        <v>0</v>
      </c>
      <c r="AE321" s="107">
        <f t="shared" si="171"/>
        <v>0</v>
      </c>
      <c r="AF321" s="107"/>
      <c r="AG321" s="142">
        <f t="shared" si="172"/>
        <v>0</v>
      </c>
      <c r="AH321" s="210">
        <f t="shared" si="173"/>
        <v>193.85585279146858</v>
      </c>
      <c r="AI321" s="107">
        <f t="shared" si="157"/>
        <v>38.667592058357336</v>
      </c>
      <c r="AJ321" s="333">
        <v>27.678006488363266</v>
      </c>
      <c r="AK321" s="121">
        <f t="shared" si="158"/>
        <v>0</v>
      </c>
      <c r="AL321" s="107"/>
      <c r="AM321" s="107">
        <f t="shared" si="174"/>
        <v>161.96165913159479</v>
      </c>
      <c r="AN321" s="107">
        <f t="shared" si="175"/>
        <v>54.337810637197848</v>
      </c>
      <c r="AO321" s="107"/>
      <c r="AP321" s="143">
        <f t="shared" si="176"/>
        <v>476.50092110698182</v>
      </c>
      <c r="AQ321" s="34"/>
      <c r="AR321" s="29"/>
      <c r="AS321" s="124"/>
      <c r="AT321" s="138">
        <f t="shared" si="177"/>
        <v>517.19320111551247</v>
      </c>
      <c r="AU321" s="151">
        <f t="shared" si="178"/>
        <v>2516.1736431077561</v>
      </c>
      <c r="AW321" s="1">
        <v>1</v>
      </c>
      <c r="BA321" s="30">
        <v>430.23</v>
      </c>
      <c r="BB321" s="30">
        <v>87.11</v>
      </c>
      <c r="BC321" s="30">
        <v>0</v>
      </c>
      <c r="BD321" s="30">
        <v>233.64</v>
      </c>
      <c r="BF321" s="289">
        <f t="shared" si="188"/>
        <v>493.85</v>
      </c>
      <c r="BI321" s="333">
        <v>0</v>
      </c>
      <c r="BL321" s="110">
        <f>$BA$397</f>
        <v>0.85901039294857251</v>
      </c>
      <c r="BM321" s="110">
        <f>$BB$397</f>
        <v>0.92206249128051765</v>
      </c>
      <c r="BN321" s="110">
        <f>$BC$397</f>
        <v>0.35749517965371247</v>
      </c>
      <c r="BO321" s="110">
        <f>$BD$397</f>
        <v>0.82972030812989472</v>
      </c>
    </row>
    <row r="322" spans="1:67" x14ac:dyDescent="0.25">
      <c r="A322" s="434" t="s">
        <v>140</v>
      </c>
      <c r="B322" s="238">
        <v>1</v>
      </c>
      <c r="C322" s="236">
        <f>'побудинковий звіт'!E322</f>
        <v>3517.1</v>
      </c>
      <c r="D322" s="141">
        <f t="shared" si="159"/>
        <v>0</v>
      </c>
      <c r="E322" s="107">
        <f t="shared" si="153"/>
        <v>0</v>
      </c>
      <c r="F322" s="333">
        <v>0</v>
      </c>
      <c r="G322" s="107">
        <f t="shared" si="154"/>
        <v>0</v>
      </c>
      <c r="H322" s="735">
        <f t="shared" si="160"/>
        <v>0</v>
      </c>
      <c r="I322" s="107">
        <f t="shared" si="161"/>
        <v>0</v>
      </c>
      <c r="J322" s="29"/>
      <c r="K322" s="142">
        <f t="shared" si="162"/>
        <v>0</v>
      </c>
      <c r="L322" s="210">
        <f t="shared" si="163"/>
        <v>0</v>
      </c>
      <c r="M322" s="107">
        <f t="shared" si="155"/>
        <v>0</v>
      </c>
      <c r="N322" s="333">
        <v>0</v>
      </c>
      <c r="O322" s="107"/>
      <c r="P322" s="107">
        <f t="shared" si="164"/>
        <v>0</v>
      </c>
      <c r="Q322" s="107">
        <f t="shared" si="165"/>
        <v>0</v>
      </c>
      <c r="R322" s="107"/>
      <c r="S322" s="143">
        <f t="shared" si="166"/>
        <v>0</v>
      </c>
      <c r="T322" s="245"/>
      <c r="U322" s="107"/>
      <c r="V322" s="151">
        <f t="shared" si="167"/>
        <v>0</v>
      </c>
      <c r="W322" s="246"/>
      <c r="X322" s="107"/>
      <c r="Y322" s="46">
        <f t="shared" si="168"/>
        <v>0</v>
      </c>
      <c r="Z322" s="141">
        <f t="shared" si="169"/>
        <v>0</v>
      </c>
      <c r="AA322" s="107">
        <f t="shared" si="156"/>
        <v>0</v>
      </c>
      <c r="AB322" s="333">
        <v>0</v>
      </c>
      <c r="AC322" s="107"/>
      <c r="AD322" s="107">
        <f t="shared" si="170"/>
        <v>0</v>
      </c>
      <c r="AE322" s="107">
        <f t="shared" si="171"/>
        <v>0</v>
      </c>
      <c r="AF322" s="107"/>
      <c r="AG322" s="142">
        <f t="shared" si="172"/>
        <v>0</v>
      </c>
      <c r="AH322" s="210">
        <f t="shared" si="173"/>
        <v>0</v>
      </c>
      <c r="AI322" s="107">
        <f t="shared" si="157"/>
        <v>0</v>
      </c>
      <c r="AJ322" s="333">
        <v>0</v>
      </c>
      <c r="AK322" s="121">
        <f t="shared" si="158"/>
        <v>0</v>
      </c>
      <c r="AL322" s="107"/>
      <c r="AM322" s="107">
        <f t="shared" si="174"/>
        <v>0</v>
      </c>
      <c r="AN322" s="107">
        <f t="shared" si="175"/>
        <v>0</v>
      </c>
      <c r="AO322" s="107"/>
      <c r="AP322" s="143">
        <f t="shared" si="176"/>
        <v>0</v>
      </c>
      <c r="AQ322" s="34"/>
      <c r="AR322" s="29"/>
      <c r="AS322" s="124"/>
      <c r="AT322" s="138">
        <f t="shared" si="177"/>
        <v>0</v>
      </c>
      <c r="AU322" s="151">
        <f t="shared" si="178"/>
        <v>0</v>
      </c>
      <c r="AW322" s="1">
        <v>2</v>
      </c>
      <c r="BA322" s="30">
        <v>0</v>
      </c>
      <c r="BB322" s="30">
        <v>0</v>
      </c>
      <c r="BC322" s="30">
        <v>0</v>
      </c>
      <c r="BD322" s="30">
        <v>0</v>
      </c>
      <c r="BI322" s="333">
        <v>0</v>
      </c>
      <c r="BL322" s="110">
        <f t="shared" ref="BL322:BO329" si="190">BA$398</f>
        <v>1.0967873225415627</v>
      </c>
      <c r="BM322" s="110">
        <f t="shared" si="190"/>
        <v>1.1127076627324948</v>
      </c>
      <c r="BN322" s="110">
        <f t="shared" si="190"/>
        <v>2.8314493742615632</v>
      </c>
      <c r="BO322" s="110">
        <f t="shared" si="190"/>
        <v>1.036891829831438</v>
      </c>
    </row>
    <row r="323" spans="1:67" x14ac:dyDescent="0.25">
      <c r="A323" s="260" t="s">
        <v>396</v>
      </c>
      <c r="B323" s="237">
        <v>9</v>
      </c>
      <c r="C323" s="236">
        <f>'побудинковий звіт'!E323</f>
        <v>2278.4</v>
      </c>
      <c r="D323" s="141">
        <f t="shared" si="159"/>
        <v>250.95590727073497</v>
      </c>
      <c r="E323" s="107">
        <f t="shared" si="153"/>
        <v>51.72878404365877</v>
      </c>
      <c r="F323" s="333">
        <v>44.94738911922893</v>
      </c>
      <c r="G323" s="107">
        <f t="shared" si="154"/>
        <v>0</v>
      </c>
      <c r="H323" s="735">
        <f t="shared" si="160"/>
        <v>209.6673096280725</v>
      </c>
      <c r="I323" s="107">
        <f t="shared" si="161"/>
        <v>71.731584248798768</v>
      </c>
      <c r="J323" s="29"/>
      <c r="K323" s="142">
        <f t="shared" si="162"/>
        <v>629.03097431049389</v>
      </c>
      <c r="L323" s="210">
        <f t="shared" si="163"/>
        <v>37.4203586976938</v>
      </c>
      <c r="M323" s="107">
        <f t="shared" si="155"/>
        <v>8.2331496803078039</v>
      </c>
      <c r="N323" s="333">
        <v>0</v>
      </c>
      <c r="O323" s="107"/>
      <c r="P323" s="107">
        <f t="shared" si="164"/>
        <v>31.263762701543854</v>
      </c>
      <c r="Q323" s="107">
        <f t="shared" si="165"/>
        <v>9.9002399949142426</v>
      </c>
      <c r="R323" s="107"/>
      <c r="S323" s="143">
        <f t="shared" si="166"/>
        <v>86.817511074459702</v>
      </c>
      <c r="T323" s="905">
        <v>240.54166666666666</v>
      </c>
      <c r="U323" s="107"/>
      <c r="V323" s="151">
        <f t="shared" si="167"/>
        <v>240.54166666666666</v>
      </c>
      <c r="W323" s="907">
        <v>60.88</v>
      </c>
      <c r="X323" s="107"/>
      <c r="Y323" s="46">
        <f t="shared" si="168"/>
        <v>60.88</v>
      </c>
      <c r="Z323" s="141">
        <f t="shared" si="169"/>
        <v>37.346817246510014</v>
      </c>
      <c r="AA323" s="107">
        <f t="shared" si="156"/>
        <v>8.2091260540001478</v>
      </c>
      <c r="AB323" s="333">
        <v>0</v>
      </c>
      <c r="AC323" s="107"/>
      <c r="AD323" s="107">
        <f t="shared" si="170"/>
        <v>31.202320680180261</v>
      </c>
      <c r="AE323" s="107">
        <f t="shared" si="171"/>
        <v>9.8797737404896449</v>
      </c>
      <c r="AF323" s="107"/>
      <c r="AG323" s="142">
        <f t="shared" si="172"/>
        <v>86.638037721180069</v>
      </c>
      <c r="AH323" s="210">
        <f t="shared" si="173"/>
        <v>118.81743478038449</v>
      </c>
      <c r="AI323" s="107">
        <f t="shared" si="157"/>
        <v>23.700001992978674</v>
      </c>
      <c r="AJ323" s="333">
        <v>61.647204949190773</v>
      </c>
      <c r="AK323" s="121">
        <f t="shared" si="158"/>
        <v>0</v>
      </c>
      <c r="AL323" s="418"/>
      <c r="AM323" s="107">
        <f t="shared" si="174"/>
        <v>99.268959867267071</v>
      </c>
      <c r="AN323" s="107">
        <f t="shared" si="175"/>
        <v>39.055798991538701</v>
      </c>
      <c r="AO323" s="107"/>
      <c r="AP323" s="143">
        <f t="shared" si="176"/>
        <v>342.48940058135975</v>
      </c>
      <c r="AQ323" s="34"/>
      <c r="AR323" s="29"/>
      <c r="AS323" s="124"/>
      <c r="AT323" s="138">
        <f t="shared" si="177"/>
        <v>1058.3554781943449</v>
      </c>
      <c r="AU323" s="151">
        <f t="shared" si="178"/>
        <v>2504.7530685485049</v>
      </c>
      <c r="AW323" s="1">
        <v>2</v>
      </c>
      <c r="BA323" s="30">
        <v>228.81</v>
      </c>
      <c r="BB323" s="30">
        <v>33.630000000000003</v>
      </c>
      <c r="BC323" s="30">
        <v>13.19</v>
      </c>
      <c r="BD323" s="30">
        <v>114.59</v>
      </c>
      <c r="BF323" s="289">
        <f>T323*1.2</f>
        <v>288.64999999999998</v>
      </c>
      <c r="BI323" s="333">
        <v>0</v>
      </c>
      <c r="BL323" s="110">
        <f t="shared" si="190"/>
        <v>1.0967873225415627</v>
      </c>
      <c r="BM323" s="110">
        <f t="shared" si="190"/>
        <v>1.1127076627324948</v>
      </c>
      <c r="BN323" s="110">
        <f t="shared" si="190"/>
        <v>2.8314493742615632</v>
      </c>
      <c r="BO323" s="110">
        <f t="shared" si="190"/>
        <v>1.036891829831438</v>
      </c>
    </row>
    <row r="324" spans="1:67" x14ac:dyDescent="0.25">
      <c r="A324" s="260" t="s">
        <v>397</v>
      </c>
      <c r="B324" s="237">
        <v>9</v>
      </c>
      <c r="C324" s="236">
        <f>'побудинковий звіт'!E324</f>
        <v>3022.76</v>
      </c>
      <c r="D324" s="141">
        <f t="shared" si="159"/>
        <v>856.60186677818592</v>
      </c>
      <c r="E324" s="107">
        <f t="shared" si="153"/>
        <v>176.56875847182351</v>
      </c>
      <c r="F324" s="333">
        <v>135.30043364059671</v>
      </c>
      <c r="G324" s="107">
        <f t="shared" si="154"/>
        <v>0</v>
      </c>
      <c r="H324" s="735">
        <f t="shared" si="160"/>
        <v>715.66918182169013</v>
      </c>
      <c r="I324" s="107">
        <f t="shared" si="161"/>
        <v>242.51303127793517</v>
      </c>
      <c r="J324" s="29"/>
      <c r="K324" s="142">
        <f t="shared" si="162"/>
        <v>2126.6532719902316</v>
      </c>
      <c r="L324" s="210">
        <f t="shared" si="163"/>
        <v>135.41652255454463</v>
      </c>
      <c r="M324" s="107">
        <f t="shared" si="155"/>
        <v>29.794062328083847</v>
      </c>
      <c r="N324" s="333">
        <v>0</v>
      </c>
      <c r="O324" s="107"/>
      <c r="P324" s="107">
        <f t="shared" si="164"/>
        <v>113.13707763240818</v>
      </c>
      <c r="Q324" s="107">
        <f t="shared" si="165"/>
        <v>35.826916663130042</v>
      </c>
      <c r="R324" s="107"/>
      <c r="S324" s="143">
        <f t="shared" si="166"/>
        <v>314.17457917816665</v>
      </c>
      <c r="T324" s="905">
        <v>796.00833333333344</v>
      </c>
      <c r="U324" s="107"/>
      <c r="V324" s="151">
        <f t="shared" si="167"/>
        <v>796.00833333333344</v>
      </c>
      <c r="W324" s="907">
        <v>168.89</v>
      </c>
      <c r="X324" s="107"/>
      <c r="Y324" s="46">
        <f t="shared" si="168"/>
        <v>168.89</v>
      </c>
      <c r="Z324" s="141">
        <f t="shared" si="169"/>
        <v>112.01213724578744</v>
      </c>
      <c r="AA324" s="107">
        <f t="shared" si="156"/>
        <v>24.621154412149046</v>
      </c>
      <c r="AB324" s="333">
        <v>0</v>
      </c>
      <c r="AC324" s="107"/>
      <c r="AD324" s="107">
        <f t="shared" si="170"/>
        <v>93.583305997568701</v>
      </c>
      <c r="AE324" s="107">
        <f t="shared" si="171"/>
        <v>29.63183086988403</v>
      </c>
      <c r="AF324" s="107"/>
      <c r="AG324" s="142">
        <f t="shared" si="172"/>
        <v>259.84842852538924</v>
      </c>
      <c r="AH324" s="210">
        <f t="shared" si="173"/>
        <v>332.83190845759327</v>
      </c>
      <c r="AI324" s="107">
        <f t="shared" si="157"/>
        <v>66.388547340310879</v>
      </c>
      <c r="AJ324" s="333">
        <v>53.121538958277917</v>
      </c>
      <c r="AK324" s="121">
        <f t="shared" si="158"/>
        <v>0</v>
      </c>
      <c r="AL324" s="418"/>
      <c r="AM324" s="107">
        <f t="shared" si="174"/>
        <v>278.07263659825509</v>
      </c>
      <c r="AN324" s="107">
        <f t="shared" si="175"/>
        <v>94.01373767833465</v>
      </c>
      <c r="AO324" s="107"/>
      <c r="AP324" s="143">
        <f t="shared" si="176"/>
        <v>824.42836903277191</v>
      </c>
      <c r="AQ324" s="34"/>
      <c r="AR324" s="29"/>
      <c r="AS324" s="124"/>
      <c r="AT324" s="138">
        <f t="shared" si="177"/>
        <v>1404.1233344745162</v>
      </c>
      <c r="AU324" s="151">
        <f t="shared" si="178"/>
        <v>5894.1263165344089</v>
      </c>
      <c r="AW324" s="1">
        <v>2</v>
      </c>
      <c r="BA324" s="30">
        <v>781.01</v>
      </c>
      <c r="BB324" s="30">
        <v>121.7</v>
      </c>
      <c r="BC324" s="30">
        <v>39.56</v>
      </c>
      <c r="BD324" s="30">
        <v>320.99</v>
      </c>
      <c r="BF324" s="289">
        <f>T324*1.2</f>
        <v>955.21</v>
      </c>
      <c r="BI324" s="333">
        <v>0</v>
      </c>
      <c r="BL324" s="110">
        <f t="shared" si="190"/>
        <v>1.0967873225415627</v>
      </c>
      <c r="BM324" s="110">
        <f t="shared" si="190"/>
        <v>1.1127076627324948</v>
      </c>
      <c r="BN324" s="110">
        <f t="shared" si="190"/>
        <v>2.8314493742615632</v>
      </c>
      <c r="BO324" s="110">
        <f t="shared" si="190"/>
        <v>1.036891829831438</v>
      </c>
    </row>
    <row r="325" spans="1:67" x14ac:dyDescent="0.25">
      <c r="A325" s="260" t="s">
        <v>313</v>
      </c>
      <c r="B325" s="237">
        <v>5</v>
      </c>
      <c r="C325" s="236">
        <f>'побудинковий звіт'!E325</f>
        <v>7373.17</v>
      </c>
      <c r="D325" s="141">
        <f t="shared" si="159"/>
        <v>407.29197222580933</v>
      </c>
      <c r="E325" s="107">
        <f t="shared" si="153"/>
        <v>83.9538654543625</v>
      </c>
      <c r="F325" s="333">
        <v>71.109231793416527</v>
      </c>
      <c r="G325" s="107">
        <f t="shared" si="154"/>
        <v>0</v>
      </c>
      <c r="H325" s="735">
        <f t="shared" si="160"/>
        <v>340.28213552897483</v>
      </c>
      <c r="I325" s="107">
        <f t="shared" si="161"/>
        <v>116.18099332492325</v>
      </c>
      <c r="J325" s="29"/>
      <c r="K325" s="142">
        <f t="shared" si="162"/>
        <v>1018.8181983274865</v>
      </c>
      <c r="L325" s="210">
        <f t="shared" si="163"/>
        <v>85.856523256439289</v>
      </c>
      <c r="M325" s="107">
        <f t="shared" si="155"/>
        <v>18.889974110393997</v>
      </c>
      <c r="N325" s="333">
        <v>0</v>
      </c>
      <c r="O325" s="107"/>
      <c r="P325" s="107">
        <f t="shared" si="164"/>
        <v>71.730952424951639</v>
      </c>
      <c r="Q325" s="107">
        <f t="shared" si="165"/>
        <v>22.714912816163633</v>
      </c>
      <c r="R325" s="107"/>
      <c r="S325" s="143">
        <f t="shared" si="166"/>
        <v>199.19236260794855</v>
      </c>
      <c r="T325" s="905">
        <v>382.55833333333334</v>
      </c>
      <c r="U325" s="107"/>
      <c r="V325" s="151">
        <f t="shared" si="167"/>
        <v>382.55833333333334</v>
      </c>
      <c r="W325" s="246"/>
      <c r="X325" s="107"/>
      <c r="Y325" s="46">
        <f t="shared" si="168"/>
        <v>0</v>
      </c>
      <c r="Z325" s="141">
        <f t="shared" si="169"/>
        <v>0</v>
      </c>
      <c r="AA325" s="107">
        <f t="shared" si="156"/>
        <v>0</v>
      </c>
      <c r="AB325" s="333">
        <v>0</v>
      </c>
      <c r="AC325" s="107"/>
      <c r="AD325" s="107">
        <f t="shared" si="170"/>
        <v>0</v>
      </c>
      <c r="AE325" s="107">
        <f t="shared" si="171"/>
        <v>0</v>
      </c>
      <c r="AF325" s="107"/>
      <c r="AG325" s="142">
        <f t="shared" si="172"/>
        <v>0</v>
      </c>
      <c r="AH325" s="210">
        <f t="shared" si="173"/>
        <v>243.82511378486265</v>
      </c>
      <c r="AI325" s="107">
        <f t="shared" si="157"/>
        <v>48.634745341207221</v>
      </c>
      <c r="AJ325" s="333">
        <v>27.918844939117605</v>
      </c>
      <c r="AK325" s="121">
        <f t="shared" si="158"/>
        <v>0</v>
      </c>
      <c r="AL325" s="418"/>
      <c r="AM325" s="107">
        <f t="shared" si="174"/>
        <v>203.70971212835195</v>
      </c>
      <c r="AN325" s="107">
        <f t="shared" si="175"/>
        <v>67.456905660428973</v>
      </c>
      <c r="AO325" s="107"/>
      <c r="AP325" s="143">
        <f t="shared" si="176"/>
        <v>591.5453218539684</v>
      </c>
      <c r="AQ325" s="34"/>
      <c r="AR325" s="29"/>
      <c r="AS325" s="124"/>
      <c r="AT325" s="138">
        <f t="shared" si="177"/>
        <v>3424.9626321796864</v>
      </c>
      <c r="AU325" s="151">
        <f t="shared" si="178"/>
        <v>5617.0768483024231</v>
      </c>
      <c r="AW325" s="1">
        <v>2</v>
      </c>
      <c r="BA325" s="30">
        <v>371.35</v>
      </c>
      <c r="BB325" s="30">
        <v>77.16</v>
      </c>
      <c r="BC325" s="30">
        <v>0</v>
      </c>
      <c r="BD325" s="30">
        <v>235.15</v>
      </c>
      <c r="BF325" s="289">
        <f>T325*1.2</f>
        <v>459.07</v>
      </c>
      <c r="BI325" s="333">
        <v>0</v>
      </c>
      <c r="BL325" s="110">
        <f t="shared" si="190"/>
        <v>1.0967873225415627</v>
      </c>
      <c r="BM325" s="110">
        <f t="shared" si="190"/>
        <v>1.1127076627324948</v>
      </c>
      <c r="BN325" s="110">
        <f t="shared" si="190"/>
        <v>2.8314493742615632</v>
      </c>
      <c r="BO325" s="110">
        <f t="shared" si="190"/>
        <v>1.036891829831438</v>
      </c>
    </row>
    <row r="326" spans="1:67" x14ac:dyDescent="0.25">
      <c r="A326" s="260" t="s">
        <v>427</v>
      </c>
      <c r="B326" s="237">
        <v>16</v>
      </c>
      <c r="C326" s="236">
        <f>'побудинковий звіт'!E326</f>
        <v>3324.06</v>
      </c>
      <c r="D326" s="141">
        <f t="shared" si="159"/>
        <v>813.60780373455657</v>
      </c>
      <c r="E326" s="107">
        <f t="shared" si="153"/>
        <v>167.70652196768719</v>
      </c>
      <c r="F326" s="333">
        <v>110.79045655630046</v>
      </c>
      <c r="G326" s="107">
        <f t="shared" si="154"/>
        <v>0</v>
      </c>
      <c r="H326" s="735">
        <f t="shared" si="160"/>
        <v>679.74873019186418</v>
      </c>
      <c r="I326" s="107">
        <f t="shared" si="161"/>
        <v>228.06028818871712</v>
      </c>
      <c r="J326" s="29"/>
      <c r="K326" s="142">
        <f t="shared" si="162"/>
        <v>1999.9138006391254</v>
      </c>
      <c r="L326" s="210">
        <f t="shared" si="163"/>
        <v>132.55686386132209</v>
      </c>
      <c r="M326" s="107">
        <f t="shared" si="155"/>
        <v>29.164886155666622</v>
      </c>
      <c r="N326" s="333">
        <v>0</v>
      </c>
      <c r="O326" s="107"/>
      <c r="P326" s="107">
        <f t="shared" si="164"/>
        <v>110.74790516309601</v>
      </c>
      <c r="Q326" s="107">
        <f t="shared" si="165"/>
        <v>35.070341676899602</v>
      </c>
      <c r="R326" s="107"/>
      <c r="S326" s="143">
        <f t="shared" si="166"/>
        <v>307.53999685698432</v>
      </c>
      <c r="T326" s="905">
        <v>568.875</v>
      </c>
      <c r="U326" s="107"/>
      <c r="V326" s="151">
        <f t="shared" si="167"/>
        <v>568.875</v>
      </c>
      <c r="W326" s="907">
        <v>131.99</v>
      </c>
      <c r="X326" s="107"/>
      <c r="Y326" s="46">
        <f t="shared" si="168"/>
        <v>131.99</v>
      </c>
      <c r="Z326" s="141">
        <f t="shared" si="169"/>
        <v>84.858537746619049</v>
      </c>
      <c r="AA326" s="107">
        <f t="shared" si="156"/>
        <v>18.652578304653865</v>
      </c>
      <c r="AB326" s="333">
        <v>0</v>
      </c>
      <c r="AC326" s="107"/>
      <c r="AD326" s="107">
        <f t="shared" si="170"/>
        <v>70.897160787339075</v>
      </c>
      <c r="AE326" s="107">
        <f t="shared" si="171"/>
        <v>22.448583699960167</v>
      </c>
      <c r="AF326" s="107"/>
      <c r="AG326" s="142">
        <f t="shared" si="172"/>
        <v>196.85686053857216</v>
      </c>
      <c r="AH326" s="210">
        <f t="shared" si="173"/>
        <v>199.40466779488384</v>
      </c>
      <c r="AI326" s="107">
        <f t="shared" si="157"/>
        <v>39.774390289464428</v>
      </c>
      <c r="AJ326" s="333">
        <v>137.99845300418178</v>
      </c>
      <c r="AK326" s="121">
        <f t="shared" si="158"/>
        <v>0</v>
      </c>
      <c r="AL326" s="418"/>
      <c r="AM326" s="107">
        <f t="shared" si="174"/>
        <v>166.59755364407127</v>
      </c>
      <c r="AN326" s="107">
        <f t="shared" si="175"/>
        <v>69.990829998835096</v>
      </c>
      <c r="AO326" s="107"/>
      <c r="AP326" s="143">
        <f t="shared" si="176"/>
        <v>613.76589473143645</v>
      </c>
      <c r="AQ326" s="34"/>
      <c r="AR326" s="29"/>
      <c r="AS326" s="124"/>
      <c r="AT326" s="138">
        <f t="shared" si="177"/>
        <v>1544.0822993533593</v>
      </c>
      <c r="AU326" s="151">
        <f t="shared" si="178"/>
        <v>5363.0238521194769</v>
      </c>
      <c r="AW326" s="1">
        <v>2</v>
      </c>
      <c r="BA326" s="30">
        <v>741.81</v>
      </c>
      <c r="BB326" s="30">
        <v>119.13</v>
      </c>
      <c r="BC326" s="30">
        <v>29.97</v>
      </c>
      <c r="BD326" s="30">
        <v>192.31</v>
      </c>
      <c r="BF326" s="289">
        <f>T326*1.2</f>
        <v>682.65</v>
      </c>
      <c r="BI326" s="333">
        <v>0</v>
      </c>
      <c r="BL326" s="110">
        <f t="shared" si="190"/>
        <v>1.0967873225415627</v>
      </c>
      <c r="BM326" s="110">
        <f t="shared" si="190"/>
        <v>1.1127076627324948</v>
      </c>
      <c r="BN326" s="110">
        <f t="shared" si="190"/>
        <v>2.8314493742615632</v>
      </c>
      <c r="BO326" s="110">
        <f t="shared" si="190"/>
        <v>1.036891829831438</v>
      </c>
    </row>
    <row r="327" spans="1:67" x14ac:dyDescent="0.25">
      <c r="A327" s="260" t="s">
        <v>398</v>
      </c>
      <c r="B327" s="237">
        <v>9</v>
      </c>
      <c r="C327" s="236">
        <f>'побудинковий звіт'!E327</f>
        <v>2164.9</v>
      </c>
      <c r="D327" s="141">
        <f t="shared" si="159"/>
        <v>758.01165435492487</v>
      </c>
      <c r="E327" s="107">
        <f t="shared" si="153"/>
        <v>156.24665542700691</v>
      </c>
      <c r="F327" s="333">
        <v>175.35606722404657</v>
      </c>
      <c r="G327" s="107">
        <f t="shared" si="154"/>
        <v>0</v>
      </c>
      <c r="H327" s="735">
        <f t="shared" si="160"/>
        <v>633.29955434707165</v>
      </c>
      <c r="I327" s="107">
        <f t="shared" si="161"/>
        <v>221.76113597863224</v>
      </c>
      <c r="J327" s="29"/>
      <c r="K327" s="142">
        <f t="shared" si="162"/>
        <v>1944.6750673316822</v>
      </c>
      <c r="L327" s="210">
        <f t="shared" si="163"/>
        <v>153.43125961418369</v>
      </c>
      <c r="M327" s="107">
        <f t="shared" si="155"/>
        <v>33.757627398681024</v>
      </c>
      <c r="N327" s="333">
        <v>0</v>
      </c>
      <c r="O327" s="107"/>
      <c r="P327" s="107">
        <f t="shared" si="164"/>
        <v>128.18793454998161</v>
      </c>
      <c r="Q327" s="107">
        <f t="shared" si="165"/>
        <v>40.593044689227618</v>
      </c>
      <c r="R327" s="107"/>
      <c r="S327" s="143">
        <f t="shared" si="166"/>
        <v>355.96986625207393</v>
      </c>
      <c r="T327" s="905">
        <v>1044.7833333333333</v>
      </c>
      <c r="U327" s="107"/>
      <c r="V327" s="151">
        <f>T327+U327</f>
        <v>1044.7833333333333</v>
      </c>
      <c r="W327" s="907">
        <v>246.15</v>
      </c>
      <c r="X327" s="107"/>
      <c r="Y327" s="46">
        <f t="shared" si="168"/>
        <v>246.15</v>
      </c>
      <c r="Z327" s="141">
        <f t="shared" si="169"/>
        <v>149.35895449229747</v>
      </c>
      <c r="AA327" s="107">
        <f t="shared" si="156"/>
        <v>32.830280466149198</v>
      </c>
      <c r="AB327" s="333">
        <v>0</v>
      </c>
      <c r="AC327" s="107"/>
      <c r="AD327" s="107">
        <f t="shared" si="170"/>
        <v>124.78562667774898</v>
      </c>
      <c r="AE327" s="107">
        <f t="shared" si="171"/>
        <v>39.511604610373681</v>
      </c>
      <c r="AF327" s="107"/>
      <c r="AG327" s="142">
        <f t="shared" si="172"/>
        <v>346.48646624656936</v>
      </c>
      <c r="AH327" s="210">
        <f t="shared" si="173"/>
        <v>475.05199183727331</v>
      </c>
      <c r="AI327" s="107">
        <f t="shared" si="157"/>
        <v>94.756574858915954</v>
      </c>
      <c r="AJ327" s="333">
        <v>68.848147089881792</v>
      </c>
      <c r="AK327" s="121">
        <f t="shared" si="158"/>
        <v>0</v>
      </c>
      <c r="AL327" s="418"/>
      <c r="AM327" s="107">
        <f t="shared" si="174"/>
        <v>396.89391712355706</v>
      </c>
      <c r="AN327" s="107">
        <f t="shared" si="175"/>
        <v>133.28865713771449</v>
      </c>
      <c r="AO327" s="107"/>
      <c r="AP327" s="143">
        <f t="shared" si="176"/>
        <v>1168.8392880473425</v>
      </c>
      <c r="AQ327" s="34"/>
      <c r="AR327" s="29"/>
      <c r="AS327" s="124"/>
      <c r="AT327" s="138">
        <f t="shared" si="177"/>
        <v>1005.6328014145616</v>
      </c>
      <c r="AU327" s="151">
        <f t="shared" si="178"/>
        <v>6112.5368226255632</v>
      </c>
      <c r="AW327" s="1">
        <v>2</v>
      </c>
      <c r="BA327" s="30">
        <v>691.12</v>
      </c>
      <c r="BB327" s="30">
        <v>137.88999999999999</v>
      </c>
      <c r="BC327" s="30">
        <v>52.75</v>
      </c>
      <c r="BD327" s="30">
        <v>458.15</v>
      </c>
      <c r="BF327" s="289">
        <f>T327*1.2</f>
        <v>1253.74</v>
      </c>
      <c r="BI327" s="333">
        <v>0</v>
      </c>
      <c r="BL327" s="110">
        <f t="shared" si="190"/>
        <v>1.0967873225415627</v>
      </c>
      <c r="BM327" s="110">
        <f t="shared" si="190"/>
        <v>1.1127076627324948</v>
      </c>
      <c r="BN327" s="110">
        <f t="shared" si="190"/>
        <v>2.8314493742615632</v>
      </c>
      <c r="BO327" s="110">
        <f t="shared" si="190"/>
        <v>1.036891829831438</v>
      </c>
    </row>
    <row r="328" spans="1:67" x14ac:dyDescent="0.25">
      <c r="A328" s="260" t="s">
        <v>189</v>
      </c>
      <c r="B328" s="237">
        <v>2</v>
      </c>
      <c r="C328" s="236">
        <f>'побудинковий звіт'!E328</f>
        <v>3896.6000000000004</v>
      </c>
      <c r="D328" s="141">
        <f t="shared" si="159"/>
        <v>34.910740476497942</v>
      </c>
      <c r="E328" s="107">
        <f t="shared" si="153"/>
        <v>7.196045610373929</v>
      </c>
      <c r="F328" s="333">
        <v>15.19252808988605</v>
      </c>
      <c r="G328" s="107">
        <f t="shared" si="154"/>
        <v>0</v>
      </c>
      <c r="H328" s="735">
        <f t="shared" si="160"/>
        <v>29.167040188197841</v>
      </c>
      <c r="I328" s="107">
        <f t="shared" si="161"/>
        <v>11.129329572978158</v>
      </c>
      <c r="J328" s="29"/>
      <c r="K328" s="142">
        <f t="shared" si="162"/>
        <v>97.595683937933927</v>
      </c>
      <c r="L328" s="210">
        <f t="shared" si="163"/>
        <v>11.516524309281321</v>
      </c>
      <c r="M328" s="107">
        <f t="shared" si="155"/>
        <v>2.5338417838592258</v>
      </c>
      <c r="N328" s="333">
        <v>0</v>
      </c>
      <c r="O328" s="107"/>
      <c r="P328" s="107">
        <f t="shared" si="164"/>
        <v>9.6217646137668407</v>
      </c>
      <c r="Q328" s="107">
        <f t="shared" si="165"/>
        <v>3.0469070457140179</v>
      </c>
      <c r="R328" s="107"/>
      <c r="S328" s="143">
        <f t="shared" si="166"/>
        <v>26.719037752621407</v>
      </c>
      <c r="T328" s="245"/>
      <c r="U328" s="107"/>
      <c r="V328" s="151">
        <f t="shared" si="167"/>
        <v>0</v>
      </c>
      <c r="W328" s="246"/>
      <c r="X328" s="107"/>
      <c r="Y328" s="46">
        <f t="shared" si="168"/>
        <v>0</v>
      </c>
      <c r="Z328" s="141">
        <f t="shared" si="169"/>
        <v>0</v>
      </c>
      <c r="AA328" s="107">
        <f t="shared" si="156"/>
        <v>0</v>
      </c>
      <c r="AB328" s="333">
        <v>0</v>
      </c>
      <c r="AC328" s="107"/>
      <c r="AD328" s="107">
        <f t="shared" si="170"/>
        <v>0</v>
      </c>
      <c r="AE328" s="107">
        <f t="shared" si="171"/>
        <v>0</v>
      </c>
      <c r="AF328" s="107"/>
      <c r="AG328" s="142">
        <f t="shared" si="172"/>
        <v>0</v>
      </c>
      <c r="AH328" s="210">
        <f t="shared" si="173"/>
        <v>1.0265229115331236</v>
      </c>
      <c r="AI328" s="107">
        <f t="shared" si="157"/>
        <v>0.20475610413691323</v>
      </c>
      <c r="AJ328" s="333">
        <v>5.9648772076031173</v>
      </c>
      <c r="AK328" s="121">
        <f t="shared" si="158"/>
        <v>0</v>
      </c>
      <c r="AL328" s="107"/>
      <c r="AM328" s="107">
        <f t="shared" si="174"/>
        <v>0.85763391455270432</v>
      </c>
      <c r="AN328" s="107">
        <f t="shared" si="175"/>
        <v>1.0366261583915342</v>
      </c>
      <c r="AO328" s="107"/>
      <c r="AP328" s="143">
        <f t="shared" si="176"/>
        <v>9.0904162962173931</v>
      </c>
      <c r="AQ328" s="34"/>
      <c r="AR328" s="29"/>
      <c r="AS328" s="124"/>
      <c r="AT328" s="138">
        <f t="shared" si="177"/>
        <v>1810.0368488114837</v>
      </c>
      <c r="AU328" s="151">
        <f t="shared" si="178"/>
        <v>1943.4419867982565</v>
      </c>
      <c r="AW328" s="1">
        <v>2</v>
      </c>
      <c r="BA328" s="30">
        <v>31.83</v>
      </c>
      <c r="BB328" s="30">
        <v>10.35</v>
      </c>
      <c r="BC328" s="30">
        <v>0</v>
      </c>
      <c r="BD328" s="30">
        <v>0.99</v>
      </c>
      <c r="BI328" s="333">
        <v>0</v>
      </c>
      <c r="BL328" s="110">
        <f t="shared" si="190"/>
        <v>1.0967873225415627</v>
      </c>
      <c r="BM328" s="110">
        <f t="shared" si="190"/>
        <v>1.1127076627324948</v>
      </c>
      <c r="BN328" s="110">
        <f t="shared" si="190"/>
        <v>2.8314493742615632</v>
      </c>
      <c r="BO328" s="110">
        <f t="shared" si="190"/>
        <v>1.036891829831438</v>
      </c>
    </row>
    <row r="329" spans="1:67" x14ac:dyDescent="0.25">
      <c r="A329" s="260" t="s">
        <v>399</v>
      </c>
      <c r="B329" s="237">
        <v>9</v>
      </c>
      <c r="C329" s="236">
        <f>'побудинковий звіт'!E329</f>
        <v>2289.0100000000002</v>
      </c>
      <c r="D329" s="141">
        <f t="shared" si="159"/>
        <v>720.24926683981892</v>
      </c>
      <c r="E329" s="107">
        <f t="shared" ref="E329:E367" si="191">D329*$BA$372</f>
        <v>148.46280841584843</v>
      </c>
      <c r="F329" s="333">
        <v>73.979980347277461</v>
      </c>
      <c r="G329" s="107">
        <f t="shared" ref="G329:G362" si="192">$G$369/$C$368*C329</f>
        <v>0</v>
      </c>
      <c r="H329" s="735">
        <f t="shared" si="160"/>
        <v>601.75003522424254</v>
      </c>
      <c r="I329" s="107">
        <f t="shared" si="161"/>
        <v>198.78951947766703</v>
      </c>
      <c r="J329" s="29"/>
      <c r="K329" s="142">
        <f t="shared" si="162"/>
        <v>1743.2316103048543</v>
      </c>
      <c r="L329" s="210">
        <f t="shared" si="163"/>
        <v>116.60063597773814</v>
      </c>
      <c r="M329" s="107">
        <f t="shared" ref="M329:M367" si="193">L329*$BB$372</f>
        <v>25.654230002957323</v>
      </c>
      <c r="N329" s="333">
        <v>0</v>
      </c>
      <c r="O329" s="107"/>
      <c r="P329" s="107">
        <f t="shared" si="164"/>
        <v>97.416880567790088</v>
      </c>
      <c r="Q329" s="107">
        <f t="shared" si="165"/>
        <v>30.848829886026273</v>
      </c>
      <c r="R329" s="107"/>
      <c r="S329" s="143">
        <f t="shared" si="166"/>
        <v>270.52057643451184</v>
      </c>
      <c r="T329" s="245"/>
      <c r="U329" s="107"/>
      <c r="V329" s="151">
        <f t="shared" si="167"/>
        <v>0</v>
      </c>
      <c r="W329" s="246"/>
      <c r="X329" s="107"/>
      <c r="Y329" s="46">
        <f t="shared" si="168"/>
        <v>0</v>
      </c>
      <c r="Z329" s="141">
        <f t="shared" si="169"/>
        <v>25.454729874611452</v>
      </c>
      <c r="AA329" s="107">
        <f t="shared" ref="AA329:AA367" si="194">Z329*$BC$372</f>
        <v>5.595151116411019</v>
      </c>
      <c r="AB329" s="333">
        <v>0</v>
      </c>
      <c r="AC329" s="107"/>
      <c r="AD329" s="107">
        <f t="shared" si="170"/>
        <v>21.266782631904515</v>
      </c>
      <c r="AE329" s="107">
        <f t="shared" si="171"/>
        <v>6.73382607482956</v>
      </c>
      <c r="AF329" s="107"/>
      <c r="AG329" s="142">
        <f t="shared" si="172"/>
        <v>59.050489697756539</v>
      </c>
      <c r="AH329" s="210">
        <f t="shared" si="173"/>
        <v>221.98817184861258</v>
      </c>
      <c r="AI329" s="107">
        <f t="shared" ref="AI329:AI367" si="195">AH329*$BD$372</f>
        <v>44.279024580476523</v>
      </c>
      <c r="AJ329" s="333">
        <v>29.045955747560622</v>
      </c>
      <c r="AK329" s="121">
        <f t="shared" ref="AK329:AK367" si="196">$AK$369/$C$368*C329</f>
        <v>0</v>
      </c>
      <c r="AL329" s="107"/>
      <c r="AM329" s="107">
        <f t="shared" si="174"/>
        <v>185.4654997642308</v>
      </c>
      <c r="AN329" s="107">
        <f t="shared" si="175"/>
        <v>61.882383135038651</v>
      </c>
      <c r="AO329" s="107"/>
      <c r="AP329" s="143">
        <f t="shared" si="176"/>
        <v>542.66103507591924</v>
      </c>
      <c r="AQ329" s="34"/>
      <c r="AR329" s="29"/>
      <c r="AS329" s="124"/>
      <c r="AT329" s="138">
        <f t="shared" si="177"/>
        <v>1063.2840033100586</v>
      </c>
      <c r="AU329" s="151">
        <f t="shared" si="178"/>
        <v>3678.7477148231001</v>
      </c>
      <c r="AW329" s="1">
        <v>2</v>
      </c>
      <c r="BA329" s="30">
        <v>656.69</v>
      </c>
      <c r="BB329" s="30">
        <v>104.79</v>
      </c>
      <c r="BC329" s="30">
        <v>8.99</v>
      </c>
      <c r="BD329" s="30">
        <v>214.09</v>
      </c>
      <c r="BI329" s="333">
        <v>0</v>
      </c>
      <c r="BL329" s="110">
        <f t="shared" si="190"/>
        <v>1.0967873225415627</v>
      </c>
      <c r="BM329" s="110">
        <f t="shared" si="190"/>
        <v>1.1127076627324948</v>
      </c>
      <c r="BN329" s="110">
        <f t="shared" si="190"/>
        <v>2.8314493742615632</v>
      </c>
      <c r="BO329" s="110">
        <f t="shared" si="190"/>
        <v>1.036891829831438</v>
      </c>
    </row>
    <row r="330" spans="1:67" x14ac:dyDescent="0.25">
      <c r="A330" s="260" t="s">
        <v>400</v>
      </c>
      <c r="B330" s="237">
        <v>9</v>
      </c>
      <c r="C330" s="236">
        <f>'побудинковий звіт'!E330</f>
        <v>2609.98</v>
      </c>
      <c r="D330" s="141">
        <f t="shared" ref="D330:D367" si="197">BA330*BL330</f>
        <v>683.15195005019632</v>
      </c>
      <c r="E330" s="107">
        <f t="shared" si="191"/>
        <v>140.81605042684706</v>
      </c>
      <c r="F330" s="333">
        <v>106.73516651429927</v>
      </c>
      <c r="G330" s="107">
        <f t="shared" si="192"/>
        <v>0</v>
      </c>
      <c r="H330" s="735">
        <f t="shared" ref="H330:H367" si="198">D330*$B$4</f>
        <v>570.75616586172794</v>
      </c>
      <c r="I330" s="107">
        <f t="shared" ref="I330:I367" si="199">(D330+E330+F330+G330+H330)*$B$5</f>
        <v>193.25708685733926</v>
      </c>
      <c r="J330" s="29"/>
      <c r="K330" s="142">
        <f t="shared" ref="K330:K367" si="200">D330+E330+F330+G330+H330+I330-J330</f>
        <v>1694.7164197104098</v>
      </c>
      <c r="L330" s="210">
        <f t="shared" ref="L330:L367" si="201">BB330*BM330</f>
        <v>117.86343456929531</v>
      </c>
      <c r="M330" s="107">
        <f t="shared" si="193"/>
        <v>25.932068328997016</v>
      </c>
      <c r="N330" s="333">
        <v>18.400000000000002</v>
      </c>
      <c r="O330" s="107"/>
      <c r="P330" s="107">
        <f t="shared" ref="P330:P367" si="202">L330*$B$4</f>
        <v>98.471916833616163</v>
      </c>
      <c r="Q330" s="107">
        <f t="shared" ref="Q330:Q367" si="203">(L330+M330+N330+O330+P330)*$B$5</f>
        <v>33.551242497047113</v>
      </c>
      <c r="R330" s="107"/>
      <c r="S330" s="143">
        <f t="shared" ref="S330:S367" si="204">L330+M330+N330+O330+P330+Q330-R330</f>
        <v>294.21866222895557</v>
      </c>
      <c r="T330" s="244">
        <v>449.66</v>
      </c>
      <c r="U330" s="107"/>
      <c r="V330" s="151">
        <f t="shared" ref="V330:V367" si="205">T330+U330</f>
        <v>449.66</v>
      </c>
      <c r="W330" s="906">
        <v>111.12</v>
      </c>
      <c r="X330" s="107"/>
      <c r="Y330" s="46">
        <f t="shared" ref="Y330:Y367" si="206">W330+X330</f>
        <v>111.12</v>
      </c>
      <c r="Z330" s="141">
        <f t="shared" ref="Z330:Z367" si="207">BC330*BN330</f>
        <v>21.740225638169377</v>
      </c>
      <c r="AA330" s="107">
        <f t="shared" si="194"/>
        <v>4.7786736826366578</v>
      </c>
      <c r="AB330" s="333">
        <v>31.312500000000004</v>
      </c>
      <c r="AC330" s="107"/>
      <c r="AD330" s="107">
        <f t="shared" ref="AD330:AD367" si="208">Z330*$B$4</f>
        <v>18.163408344656933</v>
      </c>
      <c r="AE330" s="107">
        <f t="shared" ref="AE330:AE367" si="209">(Z330+AA330+AB330+AC330+AD330)*$B$5</f>
        <v>9.7815071140180923</v>
      </c>
      <c r="AF330" s="107"/>
      <c r="AG330" s="142">
        <f t="shared" ref="AG330:AG367" si="210">Z330+AA330+AB330+AC330+AD330+AE330-AF330</f>
        <v>85.776314779481069</v>
      </c>
      <c r="AH330" s="210">
        <f t="shared" ref="AH330:AH367" si="211">BD330*BO330</f>
        <v>229.26705188961935</v>
      </c>
      <c r="AI330" s="107">
        <f t="shared" si="195"/>
        <v>45.730911433591722</v>
      </c>
      <c r="AJ330" s="333">
        <v>84.130384733303018</v>
      </c>
      <c r="AK330" s="121">
        <f t="shared" si="196"/>
        <v>0</v>
      </c>
      <c r="AL330" s="107"/>
      <c r="AM330" s="107">
        <f t="shared" ref="AM330:AM367" si="212">AH330*$B$4</f>
        <v>191.54681983316601</v>
      </c>
      <c r="AN330" s="107">
        <f t="shared" ref="AN330:AN367" si="213">(AH330+AI330+AJ330+AK330+AL330+AM330)*$B$5</f>
        <v>70.87896183562502</v>
      </c>
      <c r="AO330" s="107"/>
      <c r="AP330" s="143">
        <f t="shared" ref="AP330:AP367" si="214">AH330+AI330+AJ330+AK330+AL330+AM330+AN330-AO330</f>
        <v>621.55412972530507</v>
      </c>
      <c r="AQ330" s="34"/>
      <c r="AR330" s="29"/>
      <c r="AS330" s="124"/>
      <c r="AT330" s="138">
        <f t="shared" ref="AT330:AT367" si="215">IF(B330&gt;1,C330*$AT$5,0)</f>
        <v>1212.3800171074772</v>
      </c>
      <c r="AU330" s="151">
        <f t="shared" ref="AU330:AU367" si="216">K330+S330+V330+Y330+AG330+AP330+AS330+AT330</f>
        <v>4469.4255435516288</v>
      </c>
      <c r="AW330" s="1">
        <v>3</v>
      </c>
      <c r="BA330" s="30">
        <v>558.41</v>
      </c>
      <c r="BB330" s="30">
        <v>92.03</v>
      </c>
      <c r="BC330" s="30">
        <v>26.37</v>
      </c>
      <c r="BD330" s="30">
        <v>176.83</v>
      </c>
      <c r="BI330" s="333">
        <v>0</v>
      </c>
      <c r="BL330" s="110">
        <f t="shared" ref="BL330:BO359" si="217">BA$399</f>
        <v>1.2233877438623886</v>
      </c>
      <c r="BM330" s="110">
        <f t="shared" si="217"/>
        <v>1.2807066670574303</v>
      </c>
      <c r="BN330" s="110">
        <f t="shared" si="217"/>
        <v>0.82443024793968056</v>
      </c>
      <c r="BO330" s="110">
        <f t="shared" si="217"/>
        <v>1.2965393422474656</v>
      </c>
    </row>
    <row r="331" spans="1:67" x14ac:dyDescent="0.25">
      <c r="A331" s="260" t="s">
        <v>314</v>
      </c>
      <c r="B331" s="237">
        <v>5</v>
      </c>
      <c r="C331" s="236">
        <f>'побудинковий звіт'!E331</f>
        <v>4602.8900000000003</v>
      </c>
      <c r="D331" s="141">
        <f t="shared" si="197"/>
        <v>431.13407481454436</v>
      </c>
      <c r="E331" s="107">
        <f t="shared" si="191"/>
        <v>88.868366130486876</v>
      </c>
      <c r="F331" s="333">
        <v>70.654008850566626</v>
      </c>
      <c r="G331" s="107">
        <f t="shared" si="192"/>
        <v>0</v>
      </c>
      <c r="H331" s="735">
        <f t="shared" si="198"/>
        <v>360.2016088740022</v>
      </c>
      <c r="I331" s="107">
        <f t="shared" si="199"/>
        <v>122.38763609010397</v>
      </c>
      <c r="J331" s="29"/>
      <c r="K331" s="142">
        <f t="shared" si="200"/>
        <v>1073.2456947597041</v>
      </c>
      <c r="L331" s="210">
        <f t="shared" si="201"/>
        <v>86.332436426341374</v>
      </c>
      <c r="M331" s="107">
        <f t="shared" si="193"/>
        <v>18.994683538603596</v>
      </c>
      <c r="N331" s="333">
        <v>0</v>
      </c>
      <c r="O331" s="107"/>
      <c r="P331" s="107">
        <f t="shared" si="202"/>
        <v>72.128565834554664</v>
      </c>
      <c r="Q331" s="107">
        <f t="shared" si="203"/>
        <v>22.840824345682492</v>
      </c>
      <c r="R331" s="107"/>
      <c r="S331" s="143">
        <f t="shared" si="204"/>
        <v>200.29651014518214</v>
      </c>
      <c r="T331" s="244">
        <v>332.48</v>
      </c>
      <c r="U331" s="107"/>
      <c r="V331" s="151">
        <f t="shared" si="205"/>
        <v>332.48</v>
      </c>
      <c r="W331" s="246"/>
      <c r="X331" s="107"/>
      <c r="Y331" s="46">
        <f t="shared" si="206"/>
        <v>0</v>
      </c>
      <c r="Z331" s="141">
        <f t="shared" si="207"/>
        <v>19.76983734559354</v>
      </c>
      <c r="AA331" s="107">
        <f t="shared" si="194"/>
        <v>4.3455667390833161</v>
      </c>
      <c r="AB331" s="333">
        <v>0</v>
      </c>
      <c r="AC331" s="107"/>
      <c r="AD331" s="107">
        <f t="shared" si="208"/>
        <v>16.517198790476801</v>
      </c>
      <c r="AE331" s="107">
        <f t="shared" si="209"/>
        <v>5.2299374956509563</v>
      </c>
      <c r="AF331" s="107"/>
      <c r="AG331" s="142">
        <f t="shared" si="210"/>
        <v>45.862540370804616</v>
      </c>
      <c r="AH331" s="210">
        <f t="shared" si="211"/>
        <v>284.56445483647371</v>
      </c>
      <c r="AI331" s="107">
        <f t="shared" si="195"/>
        <v>56.760846244668379</v>
      </c>
      <c r="AJ331" s="333">
        <v>39.768930318775922</v>
      </c>
      <c r="AK331" s="121">
        <f t="shared" si="196"/>
        <v>0</v>
      </c>
      <c r="AL331" s="107"/>
      <c r="AM331" s="107">
        <f t="shared" si="212"/>
        <v>237.74640059369602</v>
      </c>
      <c r="AN331" s="107">
        <f t="shared" si="213"/>
        <v>79.652731946316337</v>
      </c>
      <c r="AO331" s="107"/>
      <c r="AP331" s="143">
        <f t="shared" si="214"/>
        <v>698.4933639399303</v>
      </c>
      <c r="AQ331" s="34"/>
      <c r="AR331" s="29"/>
      <c r="AS331" s="124"/>
      <c r="AT331" s="138">
        <f t="shared" si="215"/>
        <v>2138.120543814066</v>
      </c>
      <c r="AU331" s="151">
        <f t="shared" si="216"/>
        <v>4488.4986530296874</v>
      </c>
      <c r="AW331" s="1">
        <v>3</v>
      </c>
      <c r="BA331" s="30">
        <v>352.41</v>
      </c>
      <c r="BB331" s="30">
        <v>67.41</v>
      </c>
      <c r="BC331" s="30">
        <v>23.98</v>
      </c>
      <c r="BD331" s="30">
        <v>219.48</v>
      </c>
      <c r="BI331" s="333">
        <v>0</v>
      </c>
      <c r="BL331" s="110">
        <f t="shared" si="217"/>
        <v>1.2233877438623886</v>
      </c>
      <c r="BM331" s="110">
        <f t="shared" si="217"/>
        <v>1.2807066670574303</v>
      </c>
      <c r="BN331" s="110">
        <f t="shared" si="217"/>
        <v>0.82443024793968056</v>
      </c>
      <c r="BO331" s="110">
        <f t="shared" si="217"/>
        <v>1.2965393422474656</v>
      </c>
    </row>
    <row r="332" spans="1:67" x14ac:dyDescent="0.25">
      <c r="A332" s="260" t="s">
        <v>315</v>
      </c>
      <c r="B332" s="237">
        <v>5</v>
      </c>
      <c r="C332" s="236">
        <f>'побудинковий звіт'!E332</f>
        <v>4014.6</v>
      </c>
      <c r="D332" s="141">
        <f t="shared" si="197"/>
        <v>600.25519652608091</v>
      </c>
      <c r="E332" s="107">
        <f t="shared" si="191"/>
        <v>123.72879271849091</v>
      </c>
      <c r="F332" s="333">
        <v>107.29249475082283</v>
      </c>
      <c r="G332" s="107">
        <f t="shared" si="192"/>
        <v>0</v>
      </c>
      <c r="H332" s="735">
        <f t="shared" si="198"/>
        <v>501.49802614576538</v>
      </c>
      <c r="I332" s="107">
        <f t="shared" si="199"/>
        <v>171.54518516206994</v>
      </c>
      <c r="J332" s="29"/>
      <c r="K332" s="142">
        <f t="shared" si="200"/>
        <v>1504.31969530323</v>
      </c>
      <c r="L332" s="210">
        <f t="shared" si="201"/>
        <v>147.24284551159275</v>
      </c>
      <c r="M332" s="107">
        <f t="shared" si="193"/>
        <v>32.396065367649534</v>
      </c>
      <c r="N332" s="333">
        <v>18.400000000000002</v>
      </c>
      <c r="O332" s="107"/>
      <c r="P332" s="107">
        <f t="shared" si="202"/>
        <v>123.01767117636477</v>
      </c>
      <c r="Q332" s="107">
        <f t="shared" si="203"/>
        <v>41.324102762437356</v>
      </c>
      <c r="R332" s="107"/>
      <c r="S332" s="143">
        <f t="shared" si="204"/>
        <v>362.38068481804441</v>
      </c>
      <c r="T332" s="244">
        <v>468.71</v>
      </c>
      <c r="U332" s="107"/>
      <c r="V332" s="151">
        <f t="shared" si="205"/>
        <v>468.71</v>
      </c>
      <c r="W332" s="246"/>
      <c r="X332" s="107"/>
      <c r="Y332" s="46">
        <f t="shared" si="206"/>
        <v>0</v>
      </c>
      <c r="Z332" s="141">
        <f t="shared" si="207"/>
        <v>29.646511715910915</v>
      </c>
      <c r="AA332" s="107">
        <f t="shared" si="194"/>
        <v>6.5165379456812369</v>
      </c>
      <c r="AB332" s="333">
        <v>0</v>
      </c>
      <c r="AC332" s="107"/>
      <c r="AD332" s="107">
        <f t="shared" si="208"/>
        <v>24.768910279630767</v>
      </c>
      <c r="AE332" s="107">
        <f t="shared" si="209"/>
        <v>7.8427252853881742</v>
      </c>
      <c r="AF332" s="107"/>
      <c r="AG332" s="142">
        <f t="shared" si="210"/>
        <v>68.774685226611098</v>
      </c>
      <c r="AH332" s="210">
        <f t="shared" si="211"/>
        <v>537.42852275499695</v>
      </c>
      <c r="AI332" s="107">
        <f t="shared" si="195"/>
        <v>107.19855283796926</v>
      </c>
      <c r="AJ332" s="333">
        <v>126.04408735490328</v>
      </c>
      <c r="AK332" s="121">
        <f t="shared" si="196"/>
        <v>0</v>
      </c>
      <c r="AL332" s="107"/>
      <c r="AM332" s="107">
        <f t="shared" si="212"/>
        <v>449.00793015351263</v>
      </c>
      <c r="AN332" s="107">
        <f t="shared" si="213"/>
        <v>156.98835344789242</v>
      </c>
      <c r="AO332" s="107"/>
      <c r="AP332" s="143">
        <f t="shared" si="214"/>
        <v>1376.6674465492745</v>
      </c>
      <c r="AQ332" s="34"/>
      <c r="AR332" s="29"/>
      <c r="AS332" s="124"/>
      <c r="AT332" s="138">
        <f t="shared" si="215"/>
        <v>1864.8498519834168</v>
      </c>
      <c r="AU332" s="151">
        <f t="shared" si="216"/>
        <v>5645.7023638805767</v>
      </c>
      <c r="AW332" s="1">
        <v>3</v>
      </c>
      <c r="BA332" s="30">
        <v>490.65</v>
      </c>
      <c r="BB332" s="30">
        <v>114.97</v>
      </c>
      <c r="BC332" s="30">
        <v>35.96</v>
      </c>
      <c r="BD332" s="30">
        <v>414.51</v>
      </c>
      <c r="BI332" s="333">
        <v>0</v>
      </c>
      <c r="BL332" s="110">
        <f t="shared" si="217"/>
        <v>1.2233877438623886</v>
      </c>
      <c r="BM332" s="110">
        <f t="shared" si="217"/>
        <v>1.2807066670574303</v>
      </c>
      <c r="BN332" s="110">
        <f t="shared" si="217"/>
        <v>0.82443024793968056</v>
      </c>
      <c r="BO332" s="110">
        <f t="shared" si="217"/>
        <v>1.2965393422474656</v>
      </c>
    </row>
    <row r="333" spans="1:67" x14ac:dyDescent="0.25">
      <c r="A333" s="260" t="s">
        <v>316</v>
      </c>
      <c r="B333" s="237">
        <v>5</v>
      </c>
      <c r="C333" s="236">
        <f>'побудинковий звіт'!E333</f>
        <v>152.6</v>
      </c>
      <c r="D333" s="141">
        <f t="shared" si="197"/>
        <v>427.4394438280799</v>
      </c>
      <c r="E333" s="107">
        <f t="shared" si="191"/>
        <v>88.106802991773236</v>
      </c>
      <c r="F333" s="333">
        <v>70.443308456860166</v>
      </c>
      <c r="G333" s="107">
        <f t="shared" si="192"/>
        <v>0</v>
      </c>
      <c r="H333" s="735">
        <f t="shared" si="198"/>
        <v>357.11483818418213</v>
      </c>
      <c r="I333" s="107">
        <f t="shared" si="199"/>
        <v>121.38963986209161</v>
      </c>
      <c r="J333" s="29"/>
      <c r="K333" s="142">
        <f t="shared" si="200"/>
        <v>1064.4940333229872</v>
      </c>
      <c r="L333" s="210">
        <f t="shared" si="201"/>
        <v>85.397520559389463</v>
      </c>
      <c r="M333" s="107">
        <f t="shared" si="193"/>
        <v>18.78898528933523</v>
      </c>
      <c r="N333" s="333">
        <v>18.400000000000002</v>
      </c>
      <c r="O333" s="107"/>
      <c r="P333" s="107">
        <f t="shared" si="202"/>
        <v>71.34746728746633</v>
      </c>
      <c r="Q333" s="107">
        <f t="shared" si="203"/>
        <v>24.961791419120235</v>
      </c>
      <c r="R333" s="107"/>
      <c r="S333" s="143">
        <f t="shared" si="204"/>
        <v>218.89576455531125</v>
      </c>
      <c r="T333" s="244">
        <v>330.35</v>
      </c>
      <c r="U333" s="107"/>
      <c r="V333" s="151">
        <f t="shared" si="205"/>
        <v>330.35</v>
      </c>
      <c r="W333" s="246"/>
      <c r="X333" s="107"/>
      <c r="Y333" s="46">
        <f t="shared" si="206"/>
        <v>0</v>
      </c>
      <c r="Z333" s="141">
        <f t="shared" si="207"/>
        <v>0</v>
      </c>
      <c r="AA333" s="107">
        <f t="shared" si="194"/>
        <v>0</v>
      </c>
      <c r="AB333" s="333">
        <v>7.644333333333333</v>
      </c>
      <c r="AC333" s="107"/>
      <c r="AD333" s="107">
        <f t="shared" si="208"/>
        <v>0</v>
      </c>
      <c r="AE333" s="107">
        <f t="shared" si="209"/>
        <v>0.98392381241471905</v>
      </c>
      <c r="AF333" s="107"/>
      <c r="AG333" s="142">
        <f t="shared" si="210"/>
        <v>8.6282571457480515</v>
      </c>
      <c r="AH333" s="210">
        <f t="shared" si="211"/>
        <v>275.15157921175717</v>
      </c>
      <c r="AI333" s="107">
        <f t="shared" si="195"/>
        <v>54.883300483158038</v>
      </c>
      <c r="AJ333" s="333">
        <v>105.50283366146279</v>
      </c>
      <c r="AK333" s="121">
        <f t="shared" si="196"/>
        <v>0</v>
      </c>
      <c r="AL333" s="107"/>
      <c r="AM333" s="107">
        <f t="shared" si="212"/>
        <v>229.88218121921898</v>
      </c>
      <c r="AN333" s="107">
        <f t="shared" si="213"/>
        <v>85.648080869588171</v>
      </c>
      <c r="AO333" s="107"/>
      <c r="AP333" s="143">
        <f t="shared" si="214"/>
        <v>751.0679754451852</v>
      </c>
      <c r="AQ333" s="34"/>
      <c r="AR333" s="29"/>
      <c r="AS333" s="124"/>
      <c r="AT333" s="138">
        <f t="shared" si="215"/>
        <v>70.885290542686548</v>
      </c>
      <c r="AU333" s="151">
        <f t="shared" si="216"/>
        <v>2444.3213210119179</v>
      </c>
      <c r="AW333" s="1">
        <v>3</v>
      </c>
      <c r="BA333" s="30">
        <v>349.39</v>
      </c>
      <c r="BB333" s="30">
        <v>66.680000000000007</v>
      </c>
      <c r="BC333" s="30">
        <v>0</v>
      </c>
      <c r="BD333" s="30">
        <v>212.22</v>
      </c>
      <c r="BI333" s="333">
        <v>0</v>
      </c>
      <c r="BL333" s="110">
        <f t="shared" si="217"/>
        <v>1.2233877438623886</v>
      </c>
      <c r="BM333" s="110">
        <f t="shared" si="217"/>
        <v>1.2807066670574303</v>
      </c>
      <c r="BN333" s="110">
        <f t="shared" si="217"/>
        <v>0.82443024793968056</v>
      </c>
      <c r="BO333" s="110">
        <f t="shared" si="217"/>
        <v>1.2965393422474656</v>
      </c>
    </row>
    <row r="334" spans="1:67" x14ac:dyDescent="0.25">
      <c r="A334" s="260" t="s">
        <v>401</v>
      </c>
      <c r="B334" s="237">
        <v>9</v>
      </c>
      <c r="C334" s="236">
        <f>'побудинковий звіт'!E334</f>
        <v>2133.27</v>
      </c>
      <c r="D334" s="141">
        <f t="shared" si="197"/>
        <v>685.92904022876394</v>
      </c>
      <c r="E334" s="107">
        <f t="shared" si="191"/>
        <v>141.38848364700598</v>
      </c>
      <c r="F334" s="333">
        <v>110.96330673190873</v>
      </c>
      <c r="G334" s="107">
        <f t="shared" si="192"/>
        <v>0</v>
      </c>
      <c r="H334" s="735">
        <f t="shared" si="198"/>
        <v>573.07635442659273</v>
      </c>
      <c r="I334" s="107">
        <f t="shared" si="199"/>
        <v>194.53106746862142</v>
      </c>
      <c r="J334" s="29"/>
      <c r="K334" s="142">
        <f t="shared" si="200"/>
        <v>1705.8882525028928</v>
      </c>
      <c r="L334" s="210">
        <f t="shared" si="201"/>
        <v>118.73431510289436</v>
      </c>
      <c r="M334" s="107">
        <f t="shared" si="193"/>
        <v>26.123677657082617</v>
      </c>
      <c r="N334" s="333">
        <v>0</v>
      </c>
      <c r="O334" s="107"/>
      <c r="P334" s="107">
        <f t="shared" si="202"/>
        <v>99.199515480218992</v>
      </c>
      <c r="Q334" s="107">
        <f t="shared" si="203"/>
        <v>31.413333705506954</v>
      </c>
      <c r="R334" s="107"/>
      <c r="S334" s="143">
        <f t="shared" si="204"/>
        <v>275.47084194570294</v>
      </c>
      <c r="T334" s="244">
        <v>459.2</v>
      </c>
      <c r="U334" s="107"/>
      <c r="V334" s="151">
        <f t="shared" si="205"/>
        <v>459.2</v>
      </c>
      <c r="W334" s="906">
        <v>114.44</v>
      </c>
      <c r="X334" s="107"/>
      <c r="Y334" s="46">
        <f t="shared" si="206"/>
        <v>114.44</v>
      </c>
      <c r="Z334" s="141">
        <f t="shared" si="207"/>
        <v>21.740225638169377</v>
      </c>
      <c r="AA334" s="107">
        <f t="shared" si="194"/>
        <v>4.7786736826366578</v>
      </c>
      <c r="AB334" s="333">
        <v>0</v>
      </c>
      <c r="AC334" s="107"/>
      <c r="AD334" s="107">
        <f t="shared" si="208"/>
        <v>18.163408344656933</v>
      </c>
      <c r="AE334" s="107">
        <f t="shared" si="209"/>
        <v>5.7511864787454439</v>
      </c>
      <c r="AF334" s="107"/>
      <c r="AG334" s="142">
        <f t="shared" si="210"/>
        <v>50.433494144208417</v>
      </c>
      <c r="AH334" s="210">
        <f t="shared" si="211"/>
        <v>233.24742767031907</v>
      </c>
      <c r="AI334" s="107">
        <f t="shared" si="195"/>
        <v>46.524859847894312</v>
      </c>
      <c r="AJ334" s="333">
        <v>62.457772533410143</v>
      </c>
      <c r="AK334" s="121">
        <f t="shared" si="196"/>
        <v>0</v>
      </c>
      <c r="AL334" s="107"/>
      <c r="AM334" s="107">
        <f t="shared" si="212"/>
        <v>194.87232306727685</v>
      </c>
      <c r="AN334" s="107">
        <f t="shared" si="213"/>
        <v>69.131970233555947</v>
      </c>
      <c r="AO334" s="107"/>
      <c r="AP334" s="143">
        <f t="shared" si="214"/>
        <v>606.23435335245642</v>
      </c>
      <c r="AQ334" s="34"/>
      <c r="AR334" s="29"/>
      <c r="AS334" s="124"/>
      <c r="AT334" s="138">
        <f t="shared" si="215"/>
        <v>990.94012946262728</v>
      </c>
      <c r="AU334" s="151">
        <f t="shared" si="216"/>
        <v>4202.6070714078878</v>
      </c>
      <c r="AW334" s="1">
        <v>3</v>
      </c>
      <c r="BA334" s="30">
        <v>560.67999999999995</v>
      </c>
      <c r="BB334" s="30">
        <v>92.71</v>
      </c>
      <c r="BC334" s="30">
        <v>26.37</v>
      </c>
      <c r="BD334" s="30">
        <v>179.9</v>
      </c>
      <c r="BI334" s="333">
        <v>0</v>
      </c>
      <c r="BL334" s="110">
        <f t="shared" si="217"/>
        <v>1.2233877438623886</v>
      </c>
      <c r="BM334" s="110">
        <f t="shared" si="217"/>
        <v>1.2807066670574303</v>
      </c>
      <c r="BN334" s="110">
        <f t="shared" si="217"/>
        <v>0.82443024793968056</v>
      </c>
      <c r="BO334" s="110">
        <f t="shared" si="217"/>
        <v>1.2965393422474656</v>
      </c>
    </row>
    <row r="335" spans="1:67" x14ac:dyDescent="0.25">
      <c r="A335" s="260" t="s">
        <v>317</v>
      </c>
      <c r="B335" s="237">
        <v>5</v>
      </c>
      <c r="C335" s="236">
        <f>'побудинковий звіт'!E335</f>
        <v>6420.63</v>
      </c>
      <c r="D335" s="141">
        <f t="shared" si="197"/>
        <v>432.84681765595172</v>
      </c>
      <c r="E335" s="107">
        <f t="shared" si="191"/>
        <v>89.221408645122338</v>
      </c>
      <c r="F335" s="333">
        <v>69.689155218410832</v>
      </c>
      <c r="G335" s="107">
        <f t="shared" si="192"/>
        <v>0</v>
      </c>
      <c r="H335" s="735">
        <f t="shared" si="198"/>
        <v>361.63256217391881</v>
      </c>
      <c r="I335" s="107">
        <f t="shared" si="199"/>
        <v>122.71352218854945</v>
      </c>
      <c r="J335" s="29"/>
      <c r="K335" s="142">
        <f t="shared" si="200"/>
        <v>1076.1034658819533</v>
      </c>
      <c r="L335" s="210">
        <f t="shared" si="201"/>
        <v>86.332436426341374</v>
      </c>
      <c r="M335" s="107">
        <f t="shared" si="193"/>
        <v>18.994683538603596</v>
      </c>
      <c r="N335" s="333">
        <v>0</v>
      </c>
      <c r="O335" s="107"/>
      <c r="P335" s="107">
        <f t="shared" si="202"/>
        <v>72.128565834554664</v>
      </c>
      <c r="Q335" s="107">
        <f t="shared" si="203"/>
        <v>22.840824345682492</v>
      </c>
      <c r="R335" s="107"/>
      <c r="S335" s="143">
        <f t="shared" si="204"/>
        <v>200.29651014518214</v>
      </c>
      <c r="T335" s="244">
        <v>339.47</v>
      </c>
      <c r="U335" s="107"/>
      <c r="V335" s="151">
        <f t="shared" si="205"/>
        <v>339.47</v>
      </c>
      <c r="W335" s="246"/>
      <c r="X335" s="107"/>
      <c r="Y335" s="46">
        <f t="shared" si="206"/>
        <v>0</v>
      </c>
      <c r="Z335" s="141">
        <f t="shared" si="207"/>
        <v>0</v>
      </c>
      <c r="AA335" s="107">
        <f t="shared" si="194"/>
        <v>0</v>
      </c>
      <c r="AB335" s="333">
        <v>7.644333333333333</v>
      </c>
      <c r="AC335" s="107"/>
      <c r="AD335" s="107">
        <f t="shared" si="208"/>
        <v>0</v>
      </c>
      <c r="AE335" s="107">
        <f t="shared" si="209"/>
        <v>0.98392381241471905</v>
      </c>
      <c r="AF335" s="107"/>
      <c r="AG335" s="142">
        <f t="shared" si="210"/>
        <v>8.6282571457480515</v>
      </c>
      <c r="AH335" s="210">
        <f t="shared" si="211"/>
        <v>283.83839280481516</v>
      </c>
      <c r="AI335" s="107">
        <f t="shared" si="195"/>
        <v>56.616021778215796</v>
      </c>
      <c r="AJ335" s="333">
        <v>39.225844406323638</v>
      </c>
      <c r="AK335" s="121">
        <f t="shared" si="196"/>
        <v>0</v>
      </c>
      <c r="AL335" s="107"/>
      <c r="AM335" s="107">
        <f t="shared" si="212"/>
        <v>237.13979414056834</v>
      </c>
      <c r="AN335" s="107">
        <f t="shared" si="213"/>
        <v>79.392657513117783</v>
      </c>
      <c r="AO335" s="107"/>
      <c r="AP335" s="143">
        <f t="shared" si="214"/>
        <v>696.21271064304074</v>
      </c>
      <c r="AQ335" s="34"/>
      <c r="AR335" s="29"/>
      <c r="AS335" s="124"/>
      <c r="AT335" s="138">
        <f t="shared" si="215"/>
        <v>2982.4916318288961</v>
      </c>
      <c r="AU335" s="151">
        <f t="shared" si="216"/>
        <v>5303.2025756448202</v>
      </c>
      <c r="AW335" s="1">
        <v>3</v>
      </c>
      <c r="BA335" s="30">
        <v>353.81</v>
      </c>
      <c r="BB335" s="30">
        <v>67.41</v>
      </c>
      <c r="BC335" s="30">
        <v>0</v>
      </c>
      <c r="BD335" s="30">
        <v>218.92</v>
      </c>
      <c r="BI335" s="333">
        <v>0</v>
      </c>
      <c r="BL335" s="110">
        <f t="shared" si="217"/>
        <v>1.2233877438623886</v>
      </c>
      <c r="BM335" s="110">
        <f t="shared" si="217"/>
        <v>1.2807066670574303</v>
      </c>
      <c r="BN335" s="110">
        <f t="shared" si="217"/>
        <v>0.82443024793968056</v>
      </c>
      <c r="BO335" s="110">
        <f t="shared" si="217"/>
        <v>1.2965393422474656</v>
      </c>
    </row>
    <row r="336" spans="1:67" x14ac:dyDescent="0.25">
      <c r="A336" s="260" t="s">
        <v>190</v>
      </c>
      <c r="B336" s="237">
        <v>2</v>
      </c>
      <c r="C336" s="236">
        <f>'побудинковий звіт'!E336</f>
        <v>2586.9899999999998</v>
      </c>
      <c r="D336" s="141">
        <f t="shared" si="197"/>
        <v>79.348929066914522</v>
      </c>
      <c r="E336" s="107">
        <f t="shared" si="191"/>
        <v>16.355955356611272</v>
      </c>
      <c r="F336" s="333">
        <v>12.130689740099831</v>
      </c>
      <c r="G336" s="107">
        <f t="shared" si="192"/>
        <v>0</v>
      </c>
      <c r="H336" s="735">
        <f t="shared" si="198"/>
        <v>66.29402216613542</v>
      </c>
      <c r="I336" s="107">
        <f t="shared" si="199"/>
        <v>22.412713941701639</v>
      </c>
      <c r="J336" s="29"/>
      <c r="K336" s="142">
        <f t="shared" si="200"/>
        <v>196.5423102714627</v>
      </c>
      <c r="L336" s="210">
        <f t="shared" si="201"/>
        <v>19.082529339155712</v>
      </c>
      <c r="M336" s="107">
        <f t="shared" si="193"/>
        <v>4.1984985124639307</v>
      </c>
      <c r="N336" s="333">
        <v>18.400000000000002</v>
      </c>
      <c r="O336" s="107"/>
      <c r="P336" s="107">
        <f t="shared" si="202"/>
        <v>15.942970344679788</v>
      </c>
      <c r="Q336" s="107">
        <f t="shared" si="203"/>
        <v>7.4169481522541965</v>
      </c>
      <c r="R336" s="107"/>
      <c r="S336" s="143">
        <f t="shared" si="204"/>
        <v>65.040946348553632</v>
      </c>
      <c r="T336" s="244">
        <v>53.62</v>
      </c>
      <c r="U336" s="107"/>
      <c r="V336" s="151">
        <f t="shared" si="205"/>
        <v>53.62</v>
      </c>
      <c r="W336" s="246"/>
      <c r="X336" s="107"/>
      <c r="Y336" s="46">
        <f t="shared" si="206"/>
        <v>0</v>
      </c>
      <c r="Z336" s="141">
        <f t="shared" si="207"/>
        <v>0</v>
      </c>
      <c r="AA336" s="107">
        <f t="shared" si="194"/>
        <v>0</v>
      </c>
      <c r="AB336" s="333">
        <v>7.644333333333333</v>
      </c>
      <c r="AC336" s="107"/>
      <c r="AD336" s="107">
        <f t="shared" si="208"/>
        <v>0</v>
      </c>
      <c r="AE336" s="107">
        <f t="shared" si="209"/>
        <v>0.98392381241471905</v>
      </c>
      <c r="AF336" s="107"/>
      <c r="AG336" s="142">
        <f t="shared" si="210"/>
        <v>8.6282571457480515</v>
      </c>
      <c r="AH336" s="210">
        <f t="shared" si="211"/>
        <v>27.382910908266474</v>
      </c>
      <c r="AI336" s="107">
        <f t="shared" si="195"/>
        <v>5.4619513062119394</v>
      </c>
      <c r="AJ336" s="333">
        <v>28.110485599699647</v>
      </c>
      <c r="AK336" s="121">
        <f t="shared" si="196"/>
        <v>0</v>
      </c>
      <c r="AL336" s="107"/>
      <c r="AM336" s="107">
        <f t="shared" si="212"/>
        <v>22.87772908938792</v>
      </c>
      <c r="AN336" s="107">
        <f t="shared" si="213"/>
        <v>10.790392966477953</v>
      </c>
      <c r="AO336" s="107"/>
      <c r="AP336" s="143">
        <f t="shared" si="214"/>
        <v>94.62346987004392</v>
      </c>
      <c r="AQ336" s="34"/>
      <c r="AR336" s="29"/>
      <c r="AS336" s="124"/>
      <c r="AT336" s="138">
        <f t="shared" si="215"/>
        <v>1201.7007718284708</v>
      </c>
      <c r="AU336" s="151">
        <f t="shared" si="216"/>
        <v>1620.1557554642791</v>
      </c>
      <c r="AW336" s="1">
        <v>3</v>
      </c>
      <c r="BA336" s="30">
        <v>64.86</v>
      </c>
      <c r="BB336" s="30">
        <v>14.9</v>
      </c>
      <c r="BC336" s="30">
        <v>0</v>
      </c>
      <c r="BD336" s="30">
        <v>21.12</v>
      </c>
      <c r="BI336" s="333">
        <v>0</v>
      </c>
      <c r="BL336" s="110">
        <f t="shared" si="217"/>
        <v>1.2233877438623886</v>
      </c>
      <c r="BM336" s="110">
        <f t="shared" si="217"/>
        <v>1.2807066670574303</v>
      </c>
      <c r="BN336" s="110">
        <f t="shared" si="217"/>
        <v>0.82443024793968056</v>
      </c>
      <c r="BO336" s="110">
        <f t="shared" si="217"/>
        <v>1.2965393422474656</v>
      </c>
    </row>
    <row r="337" spans="1:67" x14ac:dyDescent="0.25">
      <c r="A337" s="260" t="s">
        <v>402</v>
      </c>
      <c r="B337" s="237">
        <v>9</v>
      </c>
      <c r="C337" s="236">
        <f>'побудинковий звіт'!E337</f>
        <v>4414.38</v>
      </c>
      <c r="D337" s="141">
        <f t="shared" si="197"/>
        <v>1046.0699242669739</v>
      </c>
      <c r="E337" s="107">
        <f t="shared" si="191"/>
        <v>215.62323754585313</v>
      </c>
      <c r="F337" s="333">
        <v>159.59141588916128</v>
      </c>
      <c r="G337" s="107">
        <f t="shared" si="192"/>
        <v>0</v>
      </c>
      <c r="H337" s="735">
        <f t="shared" si="198"/>
        <v>873.9649490190526</v>
      </c>
      <c r="I337" s="107">
        <f t="shared" si="199"/>
        <v>295.4280728349251</v>
      </c>
      <c r="J337" s="29"/>
      <c r="K337" s="142">
        <f t="shared" si="200"/>
        <v>2590.6775995559656</v>
      </c>
      <c r="L337" s="210">
        <f t="shared" si="201"/>
        <v>178.85068605457016</v>
      </c>
      <c r="M337" s="107">
        <f t="shared" si="193"/>
        <v>39.350356863462281</v>
      </c>
      <c r="N337" s="333">
        <v>0</v>
      </c>
      <c r="O337" s="107"/>
      <c r="P337" s="107">
        <f t="shared" si="202"/>
        <v>149.42522205600889</v>
      </c>
      <c r="Q337" s="107">
        <f t="shared" si="203"/>
        <v>47.318218660058747</v>
      </c>
      <c r="R337" s="107"/>
      <c r="S337" s="143">
        <f t="shared" si="204"/>
        <v>414.94448363410004</v>
      </c>
      <c r="T337" s="244">
        <v>666.64</v>
      </c>
      <c r="U337" s="107"/>
      <c r="V337" s="151">
        <f t="shared" si="205"/>
        <v>666.64</v>
      </c>
      <c r="W337" s="906">
        <v>163.04</v>
      </c>
      <c r="X337" s="107"/>
      <c r="Y337" s="46">
        <f t="shared" si="206"/>
        <v>163.04</v>
      </c>
      <c r="Z337" s="141">
        <f t="shared" si="207"/>
        <v>32.614460608493765</v>
      </c>
      <c r="AA337" s="107">
        <f t="shared" si="194"/>
        <v>7.1689166054268556</v>
      </c>
      <c r="AB337" s="333">
        <v>0</v>
      </c>
      <c r="AC337" s="107"/>
      <c r="AD337" s="107">
        <f t="shared" si="208"/>
        <v>27.248556470027616</v>
      </c>
      <c r="AE337" s="107">
        <f t="shared" si="209"/>
        <v>8.6278701971622951</v>
      </c>
      <c r="AF337" s="107"/>
      <c r="AG337" s="142">
        <f t="shared" si="210"/>
        <v>75.659803881110534</v>
      </c>
      <c r="AH337" s="210">
        <f t="shared" si="211"/>
        <v>392.60507822595508</v>
      </c>
      <c r="AI337" s="107">
        <f t="shared" si="195"/>
        <v>78.311244083051008</v>
      </c>
      <c r="AJ337" s="333">
        <v>89.829013260865295</v>
      </c>
      <c r="AK337" s="121">
        <f t="shared" si="196"/>
        <v>0</v>
      </c>
      <c r="AL337" s="107"/>
      <c r="AM337" s="107">
        <f t="shared" si="212"/>
        <v>328.0116072707176</v>
      </c>
      <c r="AN337" s="107">
        <f t="shared" si="213"/>
        <v>114.39442543623986</v>
      </c>
      <c r="AO337" s="107"/>
      <c r="AP337" s="143">
        <f t="shared" si="214"/>
        <v>1003.1513682768289</v>
      </c>
      <c r="AQ337" s="34"/>
      <c r="AR337" s="29"/>
      <c r="AS337" s="124"/>
      <c r="AT337" s="138">
        <f t="shared" si="215"/>
        <v>2050.5544486620224</v>
      </c>
      <c r="AU337" s="151">
        <f t="shared" si="216"/>
        <v>6964.6677040100276</v>
      </c>
      <c r="AW337" s="1">
        <v>3</v>
      </c>
      <c r="BA337" s="30">
        <v>855.06</v>
      </c>
      <c r="BB337" s="30">
        <v>139.65</v>
      </c>
      <c r="BC337" s="30">
        <v>39.56</v>
      </c>
      <c r="BD337" s="30">
        <v>302.81</v>
      </c>
      <c r="BI337" s="333">
        <v>8.7200000000000006</v>
      </c>
      <c r="BL337" s="110">
        <f t="shared" si="217"/>
        <v>1.2233877438623886</v>
      </c>
      <c r="BM337" s="110">
        <f t="shared" si="217"/>
        <v>1.2807066670574303</v>
      </c>
      <c r="BN337" s="110">
        <f t="shared" si="217"/>
        <v>0.82443024793968056</v>
      </c>
      <c r="BO337" s="110">
        <f t="shared" si="217"/>
        <v>1.2965393422474656</v>
      </c>
    </row>
    <row r="338" spans="1:67" x14ac:dyDescent="0.25">
      <c r="A338" s="260" t="s">
        <v>425</v>
      </c>
      <c r="B338" s="237">
        <v>14</v>
      </c>
      <c r="C338" s="236">
        <f>'побудинковий звіт'!E338</f>
        <v>8787.1999999999989</v>
      </c>
      <c r="D338" s="141">
        <f t="shared" si="197"/>
        <v>464.82617328051452</v>
      </c>
      <c r="E338" s="107">
        <f t="shared" si="191"/>
        <v>95.8132167398158</v>
      </c>
      <c r="F338" s="333">
        <v>111.58358813484458</v>
      </c>
      <c r="G338" s="107">
        <f t="shared" si="192"/>
        <v>0</v>
      </c>
      <c r="H338" s="735">
        <f t="shared" si="198"/>
        <v>388.35050450236128</v>
      </c>
      <c r="I338" s="107">
        <f t="shared" si="199"/>
        <v>136.50941931744984</v>
      </c>
      <c r="J338" s="29"/>
      <c r="K338" s="142">
        <f t="shared" si="200"/>
        <v>1197.082901974986</v>
      </c>
      <c r="L338" s="210">
        <f t="shared" si="201"/>
        <v>63.625507219413137</v>
      </c>
      <c r="M338" s="107">
        <f t="shared" si="193"/>
        <v>13.998752087195173</v>
      </c>
      <c r="N338" s="333">
        <v>0</v>
      </c>
      <c r="O338" s="107"/>
      <c r="P338" s="107">
        <f t="shared" si="202"/>
        <v>53.157501122395423</v>
      </c>
      <c r="Q338" s="107">
        <f t="shared" si="203"/>
        <v>16.833291106564399</v>
      </c>
      <c r="R338" s="107"/>
      <c r="S338" s="143">
        <f t="shared" si="204"/>
        <v>147.61505153556811</v>
      </c>
      <c r="T338" s="244">
        <v>428.83</v>
      </c>
      <c r="U338" s="107"/>
      <c r="V338" s="151">
        <f t="shared" si="205"/>
        <v>428.83</v>
      </c>
      <c r="W338" s="906">
        <v>108.93</v>
      </c>
      <c r="X338" s="107"/>
      <c r="Y338" s="46">
        <f t="shared" si="206"/>
        <v>108.93</v>
      </c>
      <c r="Z338" s="141">
        <f t="shared" si="207"/>
        <v>22.234883786933185</v>
      </c>
      <c r="AA338" s="107">
        <f t="shared" si="194"/>
        <v>4.887403459260927</v>
      </c>
      <c r="AB338" s="333">
        <v>0</v>
      </c>
      <c r="AC338" s="107"/>
      <c r="AD338" s="107">
        <f t="shared" si="208"/>
        <v>18.576682709723073</v>
      </c>
      <c r="AE338" s="107">
        <f t="shared" si="209"/>
        <v>5.8820439640411299</v>
      </c>
      <c r="AF338" s="107"/>
      <c r="AG338" s="142">
        <f t="shared" si="210"/>
        <v>51.581013919958316</v>
      </c>
      <c r="AH338" s="210">
        <f t="shared" si="211"/>
        <v>215.45890789468385</v>
      </c>
      <c r="AI338" s="107">
        <f t="shared" si="195"/>
        <v>42.976660419805874</v>
      </c>
      <c r="AJ338" s="333">
        <v>62.806909522134461</v>
      </c>
      <c r="AK338" s="121">
        <f t="shared" si="196"/>
        <v>0</v>
      </c>
      <c r="AL338" s="107"/>
      <c r="AM338" s="107">
        <f t="shared" si="212"/>
        <v>180.01046496564794</v>
      </c>
      <c r="AN338" s="107">
        <f t="shared" si="213"/>
        <v>64.517687149449529</v>
      </c>
      <c r="AO338" s="107"/>
      <c r="AP338" s="143">
        <f t="shared" si="214"/>
        <v>565.77062995172162</v>
      </c>
      <c r="AQ338" s="34"/>
      <c r="AR338" s="29"/>
      <c r="AS338" s="124"/>
      <c r="AT338" s="138">
        <f t="shared" si="215"/>
        <v>4081.8035718000992</v>
      </c>
      <c r="AU338" s="151">
        <f t="shared" si="216"/>
        <v>6581.6131691823339</v>
      </c>
      <c r="AW338" s="1">
        <v>3</v>
      </c>
      <c r="BA338" s="30">
        <v>379.95</v>
      </c>
      <c r="BB338" s="30">
        <v>49.68</v>
      </c>
      <c r="BC338" s="30">
        <v>26.97</v>
      </c>
      <c r="BD338" s="30">
        <v>166.18</v>
      </c>
      <c r="BI338" s="333">
        <v>0</v>
      </c>
      <c r="BL338" s="110">
        <f t="shared" si="217"/>
        <v>1.2233877438623886</v>
      </c>
      <c r="BM338" s="110">
        <f t="shared" si="217"/>
        <v>1.2807066670574303</v>
      </c>
      <c r="BN338" s="110">
        <f t="shared" si="217"/>
        <v>0.82443024793968056</v>
      </c>
      <c r="BO338" s="110">
        <f t="shared" si="217"/>
        <v>1.2965393422474656</v>
      </c>
    </row>
    <row r="339" spans="1:67" x14ac:dyDescent="0.25">
      <c r="A339" s="260" t="s">
        <v>424</v>
      </c>
      <c r="B339" s="237">
        <v>10</v>
      </c>
      <c r="C339" s="236">
        <f>'побудинковий звіт'!E339</f>
        <v>2056.3599999999997</v>
      </c>
      <c r="D339" s="141">
        <f t="shared" si="197"/>
        <v>1409.8320360270168</v>
      </c>
      <c r="E339" s="107">
        <f t="shared" si="191"/>
        <v>290.6044241899296</v>
      </c>
      <c r="F339" s="333">
        <v>254.9371983168279</v>
      </c>
      <c r="G339" s="107">
        <f t="shared" si="192"/>
        <v>0</v>
      </c>
      <c r="H339" s="735">
        <f t="shared" si="198"/>
        <v>1177.8789877313363</v>
      </c>
      <c r="I339" s="107">
        <f t="shared" si="199"/>
        <v>403.2898298048674</v>
      </c>
      <c r="J339" s="29"/>
      <c r="K339" s="142">
        <f t="shared" si="200"/>
        <v>3536.542476069978</v>
      </c>
      <c r="L339" s="210">
        <f t="shared" si="201"/>
        <v>259.12537994572989</v>
      </c>
      <c r="M339" s="107">
        <f t="shared" si="193"/>
        <v>57.012228458176317</v>
      </c>
      <c r="N339" s="333">
        <v>0</v>
      </c>
      <c r="O339" s="107"/>
      <c r="P339" s="107">
        <f t="shared" si="202"/>
        <v>216.49269730463502</v>
      </c>
      <c r="Q339" s="107">
        <f t="shared" si="203"/>
        <v>68.556356473252322</v>
      </c>
      <c r="R339" s="107"/>
      <c r="S339" s="143">
        <f t="shared" si="204"/>
        <v>601.18666218179351</v>
      </c>
      <c r="T339" s="244">
        <v>973.14</v>
      </c>
      <c r="U339" s="107"/>
      <c r="V339" s="151">
        <f t="shared" si="205"/>
        <v>973.14</v>
      </c>
      <c r="W339" s="906">
        <v>239.77</v>
      </c>
      <c r="X339" s="107"/>
      <c r="Y339" s="46">
        <f t="shared" si="206"/>
        <v>239.77</v>
      </c>
      <c r="Z339" s="141">
        <f t="shared" si="207"/>
        <v>46.448400168921609</v>
      </c>
      <c r="AA339" s="107">
        <f t="shared" si="194"/>
        <v>10.209726025018934</v>
      </c>
      <c r="AB339" s="333">
        <v>0</v>
      </c>
      <c r="AC339" s="107"/>
      <c r="AD339" s="107">
        <f t="shared" si="208"/>
        <v>38.806462879710722</v>
      </c>
      <c r="AE339" s="107">
        <f t="shared" si="209"/>
        <v>12.28751786926501</v>
      </c>
      <c r="AF339" s="107"/>
      <c r="AG339" s="142">
        <f t="shared" si="210"/>
        <v>107.75210694291627</v>
      </c>
      <c r="AH339" s="210">
        <f t="shared" si="211"/>
        <v>591.70165962147587</v>
      </c>
      <c r="AI339" s="107">
        <f t="shared" si="195"/>
        <v>118.02418170530031</v>
      </c>
      <c r="AJ339" s="333">
        <v>143.49617014611306</v>
      </c>
      <c r="AK339" s="121">
        <f t="shared" si="196"/>
        <v>0</v>
      </c>
      <c r="AL339" s="107"/>
      <c r="AM339" s="107">
        <f t="shared" si="212"/>
        <v>494.35176252480892</v>
      </c>
      <c r="AN339" s="107">
        <f t="shared" si="213"/>
        <v>173.45004036391742</v>
      </c>
      <c r="AO339" s="107"/>
      <c r="AP339" s="143">
        <f t="shared" si="214"/>
        <v>1521.0238143616155</v>
      </c>
      <c r="AQ339" s="34"/>
      <c r="AR339" s="29"/>
      <c r="AS339" s="124"/>
      <c r="AT339" s="138">
        <f t="shared" si="215"/>
        <v>955.21412883590358</v>
      </c>
      <c r="AU339" s="151">
        <f t="shared" si="216"/>
        <v>7934.6291883922077</v>
      </c>
      <c r="AW339" s="1">
        <v>3</v>
      </c>
      <c r="BA339" s="30">
        <v>1152.4000000000001</v>
      </c>
      <c r="BB339" s="30">
        <v>202.33</v>
      </c>
      <c r="BC339" s="30">
        <v>56.34</v>
      </c>
      <c r="BD339" s="30">
        <v>456.37</v>
      </c>
      <c r="BI339" s="333">
        <v>8.7200000000000006</v>
      </c>
      <c r="BL339" s="110">
        <f t="shared" si="217"/>
        <v>1.2233877438623886</v>
      </c>
      <c r="BM339" s="110">
        <f t="shared" si="217"/>
        <v>1.2807066670574303</v>
      </c>
      <c r="BN339" s="110">
        <f t="shared" si="217"/>
        <v>0.82443024793968056</v>
      </c>
      <c r="BO339" s="110">
        <f t="shared" si="217"/>
        <v>1.2965393422474656</v>
      </c>
    </row>
    <row r="340" spans="1:67" x14ac:dyDescent="0.25">
      <c r="A340" s="260" t="s">
        <v>403</v>
      </c>
      <c r="B340" s="237">
        <v>9</v>
      </c>
      <c r="C340" s="236">
        <f>'побудинковий звіт'!E340</f>
        <v>3516.6</v>
      </c>
      <c r="D340" s="141">
        <f t="shared" si="197"/>
        <v>442.35254042576247</v>
      </c>
      <c r="E340" s="107">
        <f t="shared" si="191"/>
        <v>91.18079460134912</v>
      </c>
      <c r="F340" s="333">
        <v>92.022112192797138</v>
      </c>
      <c r="G340" s="107">
        <f t="shared" si="192"/>
        <v>0</v>
      </c>
      <c r="H340" s="735">
        <f t="shared" si="198"/>
        <v>369.57435298845587</v>
      </c>
      <c r="I340" s="107">
        <f t="shared" si="199"/>
        <v>128.08597743886693</v>
      </c>
      <c r="J340" s="29"/>
      <c r="K340" s="142">
        <f t="shared" si="200"/>
        <v>1123.2157776472316</v>
      </c>
      <c r="L340" s="210">
        <f t="shared" si="201"/>
        <v>118.00431230267164</v>
      </c>
      <c r="M340" s="107">
        <f t="shared" si="193"/>
        <v>25.9630639555991</v>
      </c>
      <c r="N340" s="333">
        <v>18.400000000000002</v>
      </c>
      <c r="O340" s="107"/>
      <c r="P340" s="107">
        <f t="shared" si="202"/>
        <v>98.589616614684275</v>
      </c>
      <c r="Q340" s="107">
        <f t="shared" si="203"/>
        <v>33.588514276872445</v>
      </c>
      <c r="R340" s="107"/>
      <c r="S340" s="143">
        <f t="shared" si="204"/>
        <v>294.54550714982747</v>
      </c>
      <c r="T340" s="244">
        <v>386.48</v>
      </c>
      <c r="U340" s="107"/>
      <c r="V340" s="151">
        <f t="shared" si="205"/>
        <v>386.48</v>
      </c>
      <c r="W340" s="906">
        <v>95.2</v>
      </c>
      <c r="X340" s="107"/>
      <c r="Y340" s="46">
        <f t="shared" si="206"/>
        <v>95.2</v>
      </c>
      <c r="Z340" s="141">
        <f t="shared" si="207"/>
        <v>21.740225638169377</v>
      </c>
      <c r="AA340" s="107">
        <f t="shared" si="194"/>
        <v>4.7786736826366578</v>
      </c>
      <c r="AB340" s="333">
        <v>31.125</v>
      </c>
      <c r="AC340" s="107"/>
      <c r="AD340" s="107">
        <f t="shared" si="208"/>
        <v>18.163408344656933</v>
      </c>
      <c r="AE340" s="107">
        <f t="shared" si="209"/>
        <v>9.7573734575194546</v>
      </c>
      <c r="AF340" s="107"/>
      <c r="AG340" s="142">
        <f t="shared" si="210"/>
        <v>85.564681122982421</v>
      </c>
      <c r="AH340" s="210">
        <f t="shared" si="211"/>
        <v>371.17328289860444</v>
      </c>
      <c r="AI340" s="107">
        <f t="shared" si="195"/>
        <v>74.036336171512971</v>
      </c>
      <c r="AJ340" s="333">
        <v>117.05886693116784</v>
      </c>
      <c r="AK340" s="121">
        <f t="shared" si="196"/>
        <v>0</v>
      </c>
      <c r="AL340" s="107"/>
      <c r="AM340" s="107">
        <f t="shared" si="212"/>
        <v>310.10588464535857</v>
      </c>
      <c r="AN340" s="107">
        <f t="shared" si="213"/>
        <v>112.28577813014482</v>
      </c>
      <c r="AO340" s="107"/>
      <c r="AP340" s="143">
        <f t="shared" si="214"/>
        <v>984.66014877678867</v>
      </c>
      <c r="AQ340" s="34"/>
      <c r="AR340" s="29"/>
      <c r="AS340" s="124"/>
      <c r="AT340" s="138">
        <f t="shared" si="215"/>
        <v>1633.520397918817</v>
      </c>
      <c r="AU340" s="151">
        <f t="shared" si="216"/>
        <v>4603.1865126156472</v>
      </c>
      <c r="AW340" s="1">
        <v>3</v>
      </c>
      <c r="BA340" s="30">
        <v>361.58</v>
      </c>
      <c r="BB340" s="30">
        <v>92.14</v>
      </c>
      <c r="BC340" s="30">
        <v>26.37</v>
      </c>
      <c r="BD340" s="30">
        <v>286.27999999999997</v>
      </c>
      <c r="BI340" s="333">
        <v>8.7200000000000006</v>
      </c>
      <c r="BL340" s="110">
        <f t="shared" si="217"/>
        <v>1.2233877438623886</v>
      </c>
      <c r="BM340" s="110">
        <f t="shared" si="217"/>
        <v>1.2807066670574303</v>
      </c>
      <c r="BN340" s="110">
        <f t="shared" si="217"/>
        <v>0.82443024793968056</v>
      </c>
      <c r="BO340" s="110">
        <f t="shared" si="217"/>
        <v>1.2965393422474656</v>
      </c>
    </row>
    <row r="341" spans="1:67" x14ac:dyDescent="0.25">
      <c r="A341" s="260" t="s">
        <v>404</v>
      </c>
      <c r="B341" s="237">
        <v>9</v>
      </c>
      <c r="C341" s="236">
        <f>'побудинковий звіт'!E341</f>
        <v>4153.8999999999996</v>
      </c>
      <c r="D341" s="141">
        <f t="shared" si="197"/>
        <v>445.50888080492746</v>
      </c>
      <c r="E341" s="107">
        <f t="shared" si="191"/>
        <v>91.831401521177327</v>
      </c>
      <c r="F341" s="333">
        <v>104.66413581518458</v>
      </c>
      <c r="G341" s="107">
        <f t="shared" si="192"/>
        <v>0</v>
      </c>
      <c r="H341" s="735">
        <f t="shared" si="198"/>
        <v>372.21139549830212</v>
      </c>
      <c r="I341" s="107">
        <f t="shared" si="199"/>
        <v>130.54259232994764</v>
      </c>
      <c r="J341" s="29"/>
      <c r="K341" s="142">
        <f t="shared" si="200"/>
        <v>1144.7584059695391</v>
      </c>
      <c r="L341" s="210">
        <f t="shared" si="201"/>
        <v>67.570083753950016</v>
      </c>
      <c r="M341" s="107">
        <f t="shared" si="193"/>
        <v>14.866629632053488</v>
      </c>
      <c r="N341" s="333">
        <v>0</v>
      </c>
      <c r="O341" s="107"/>
      <c r="P341" s="107">
        <f t="shared" si="202"/>
        <v>56.453094992302383</v>
      </c>
      <c r="Q341" s="107">
        <f t="shared" si="203"/>
        <v>17.876900941673462</v>
      </c>
      <c r="R341" s="107"/>
      <c r="S341" s="143">
        <f t="shared" si="204"/>
        <v>156.76670931997933</v>
      </c>
      <c r="T341" s="244">
        <v>445.01</v>
      </c>
      <c r="U341" s="107"/>
      <c r="V341" s="151">
        <f t="shared" si="205"/>
        <v>445.01</v>
      </c>
      <c r="W341" s="906">
        <v>114.73</v>
      </c>
      <c r="X341" s="107"/>
      <c r="Y341" s="46">
        <f t="shared" si="206"/>
        <v>114.73</v>
      </c>
      <c r="Z341" s="141">
        <f t="shared" si="207"/>
        <v>21.740225638169377</v>
      </c>
      <c r="AA341" s="107">
        <f t="shared" si="194"/>
        <v>4.7786736826366578</v>
      </c>
      <c r="AB341" s="333">
        <v>0</v>
      </c>
      <c r="AC341" s="107"/>
      <c r="AD341" s="107">
        <f t="shared" si="208"/>
        <v>18.163408344656933</v>
      </c>
      <c r="AE341" s="107">
        <f t="shared" si="209"/>
        <v>5.7511864787454439</v>
      </c>
      <c r="AF341" s="107"/>
      <c r="AG341" s="142">
        <f t="shared" si="210"/>
        <v>50.433494144208417</v>
      </c>
      <c r="AH341" s="210">
        <f t="shared" si="211"/>
        <v>374.86842002400971</v>
      </c>
      <c r="AI341" s="107">
        <f t="shared" si="195"/>
        <v>74.773389259709177</v>
      </c>
      <c r="AJ341" s="333">
        <v>58.912166369956708</v>
      </c>
      <c r="AK341" s="121">
        <f t="shared" si="196"/>
        <v>0</v>
      </c>
      <c r="AL341" s="107"/>
      <c r="AM341" s="107">
        <f t="shared" si="212"/>
        <v>313.19307820145497</v>
      </c>
      <c r="AN341" s="107">
        <f t="shared" si="213"/>
        <v>105.76939267470941</v>
      </c>
      <c r="AO341" s="107"/>
      <c r="AP341" s="143">
        <f t="shared" si="214"/>
        <v>927.51644652983998</v>
      </c>
      <c r="AQ341" s="34"/>
      <c r="AR341" s="29"/>
      <c r="AS341" s="124"/>
      <c r="AT341" s="138">
        <f t="shared" si="215"/>
        <v>1929.5570667448599</v>
      </c>
      <c r="AU341" s="151">
        <f t="shared" si="216"/>
        <v>4768.7721227084267</v>
      </c>
      <c r="AW341" s="1">
        <v>3</v>
      </c>
      <c r="BA341" s="30">
        <v>364.16</v>
      </c>
      <c r="BB341" s="30">
        <v>52.76</v>
      </c>
      <c r="BC341" s="30">
        <v>26.37</v>
      </c>
      <c r="BD341" s="30">
        <v>289.13</v>
      </c>
      <c r="BI341" s="333">
        <v>8.7200000000000006</v>
      </c>
      <c r="BL341" s="110">
        <f t="shared" si="217"/>
        <v>1.2233877438623886</v>
      </c>
      <c r="BM341" s="110">
        <f t="shared" si="217"/>
        <v>1.2807066670574303</v>
      </c>
      <c r="BN341" s="110">
        <f t="shared" si="217"/>
        <v>0.82443024793968056</v>
      </c>
      <c r="BO341" s="110">
        <f t="shared" si="217"/>
        <v>1.2965393422474656</v>
      </c>
    </row>
    <row r="342" spans="1:67" x14ac:dyDescent="0.25">
      <c r="A342" s="260" t="s">
        <v>405</v>
      </c>
      <c r="B342" s="237">
        <v>9</v>
      </c>
      <c r="C342" s="236">
        <f>'побудинковий звіт'!E342</f>
        <v>2749.1</v>
      </c>
      <c r="D342" s="141">
        <f t="shared" si="197"/>
        <v>661.02086576372585</v>
      </c>
      <c r="E342" s="107">
        <f t="shared" si="191"/>
        <v>136.25423679130748</v>
      </c>
      <c r="F342" s="333">
        <v>112.73241918394406</v>
      </c>
      <c r="G342" s="107">
        <f t="shared" si="192"/>
        <v>0</v>
      </c>
      <c r="H342" s="735">
        <f t="shared" si="198"/>
        <v>552.26620500780598</v>
      </c>
      <c r="I342" s="107">
        <f t="shared" si="199"/>
        <v>188.2133964175521</v>
      </c>
      <c r="J342" s="29"/>
      <c r="K342" s="142">
        <f t="shared" si="200"/>
        <v>1650.4871231643353</v>
      </c>
      <c r="L342" s="210">
        <f t="shared" si="201"/>
        <v>119.52835323646997</v>
      </c>
      <c r="M342" s="107">
        <f t="shared" si="193"/>
        <v>26.298380279748901</v>
      </c>
      <c r="N342" s="333">
        <v>18.400000000000002</v>
      </c>
      <c r="O342" s="107"/>
      <c r="P342" s="107">
        <f t="shared" si="202"/>
        <v>99.862914246239228</v>
      </c>
      <c r="Q342" s="107">
        <f t="shared" si="203"/>
        <v>33.991727167710032</v>
      </c>
      <c r="R342" s="107"/>
      <c r="S342" s="143">
        <f t="shared" si="204"/>
        <v>298.08137493016812</v>
      </c>
      <c r="T342" s="244">
        <v>473.1</v>
      </c>
      <c r="U342" s="107"/>
      <c r="V342" s="151">
        <f t="shared" si="205"/>
        <v>473.1</v>
      </c>
      <c r="W342" s="906">
        <v>114.07</v>
      </c>
      <c r="X342" s="107"/>
      <c r="Y342" s="46">
        <f t="shared" si="206"/>
        <v>114.07</v>
      </c>
      <c r="Z342" s="141">
        <f t="shared" si="207"/>
        <v>21.740225638169377</v>
      </c>
      <c r="AA342" s="107">
        <f t="shared" si="194"/>
        <v>4.7786736826366578</v>
      </c>
      <c r="AB342" s="333">
        <v>31.687500000000004</v>
      </c>
      <c r="AC342" s="107"/>
      <c r="AD342" s="107">
        <f t="shared" si="208"/>
        <v>18.163408344656933</v>
      </c>
      <c r="AE342" s="107">
        <f t="shared" si="209"/>
        <v>9.8297744270153711</v>
      </c>
      <c r="AF342" s="107"/>
      <c r="AG342" s="142">
        <f t="shared" si="210"/>
        <v>86.199582092478337</v>
      </c>
      <c r="AH342" s="210">
        <f t="shared" si="211"/>
        <v>245.73310153616217</v>
      </c>
      <c r="AI342" s="107">
        <f t="shared" si="195"/>
        <v>49.015323440641517</v>
      </c>
      <c r="AJ342" s="333">
        <v>129.09855056463093</v>
      </c>
      <c r="AK342" s="121">
        <f t="shared" si="196"/>
        <v>0</v>
      </c>
      <c r="AL342" s="107">
        <v>130.33000000000001</v>
      </c>
      <c r="AM342" s="107">
        <f t="shared" si="212"/>
        <v>205.30378760945513</v>
      </c>
      <c r="AN342" s="107">
        <f t="shared" si="213"/>
        <v>97.754921894439946</v>
      </c>
      <c r="AO342" s="107"/>
      <c r="AP342" s="143">
        <f t="shared" si="214"/>
        <v>857.23568504532966</v>
      </c>
      <c r="AQ342" s="34"/>
      <c r="AR342" s="29"/>
      <c r="AS342" s="124"/>
      <c r="AT342" s="138">
        <f t="shared" si="215"/>
        <v>1277.0036188132344</v>
      </c>
      <c r="AU342" s="151">
        <f t="shared" si="216"/>
        <v>4756.1773840455462</v>
      </c>
      <c r="AW342" s="1">
        <v>3</v>
      </c>
      <c r="BA342" s="30">
        <v>540.32000000000005</v>
      </c>
      <c r="BB342" s="30">
        <v>93.33</v>
      </c>
      <c r="BC342" s="30">
        <v>26.37</v>
      </c>
      <c r="BD342" s="30">
        <v>189.53</v>
      </c>
      <c r="BI342" s="333">
        <v>8.7200000000000006</v>
      </c>
      <c r="BL342" s="110">
        <f t="shared" si="217"/>
        <v>1.2233877438623886</v>
      </c>
      <c r="BM342" s="110">
        <f t="shared" si="217"/>
        <v>1.2807066670574303</v>
      </c>
      <c r="BN342" s="110">
        <f t="shared" si="217"/>
        <v>0.82443024793968056</v>
      </c>
      <c r="BO342" s="110">
        <f t="shared" si="217"/>
        <v>1.2965393422474656</v>
      </c>
    </row>
    <row r="343" spans="1:67" x14ac:dyDescent="0.25">
      <c r="A343" s="260" t="s">
        <v>426</v>
      </c>
      <c r="B343" s="237">
        <v>14</v>
      </c>
      <c r="C343" s="236">
        <f>'побудинковий звіт'!E343</f>
        <v>3757.8</v>
      </c>
      <c r="D343" s="141">
        <f t="shared" si="197"/>
        <v>479.92277803977646</v>
      </c>
      <c r="E343" s="107">
        <f t="shared" si="191"/>
        <v>98.92503433310263</v>
      </c>
      <c r="F343" s="333">
        <v>134.20330320603136</v>
      </c>
      <c r="G343" s="107">
        <f t="shared" si="192"/>
        <v>0</v>
      </c>
      <c r="H343" s="735">
        <f t="shared" si="198"/>
        <v>400.96333573162605</v>
      </c>
      <c r="I343" s="107">
        <f t="shared" si="199"/>
        <v>143.38795787972194</v>
      </c>
      <c r="J343" s="29"/>
      <c r="K343" s="142">
        <f t="shared" si="200"/>
        <v>1257.4024091902584</v>
      </c>
      <c r="L343" s="210">
        <f t="shared" si="201"/>
        <v>86.575770693082276</v>
      </c>
      <c r="M343" s="107">
        <f t="shared" si="193"/>
        <v>19.0482214390981</v>
      </c>
      <c r="N343" s="333">
        <v>18.400000000000002</v>
      </c>
      <c r="O343" s="107"/>
      <c r="P343" s="107">
        <f t="shared" si="202"/>
        <v>72.331865456399569</v>
      </c>
      <c r="Q343" s="107">
        <f t="shared" si="203"/>
        <v>25.27351903220476</v>
      </c>
      <c r="R343" s="107"/>
      <c r="S343" s="143">
        <f t="shared" si="204"/>
        <v>221.62937662078474</v>
      </c>
      <c r="T343" s="244">
        <v>556.66999999999996</v>
      </c>
      <c r="U343" s="107"/>
      <c r="V343" s="151">
        <f t="shared" si="205"/>
        <v>556.66999999999996</v>
      </c>
      <c r="W343" s="906">
        <v>129.27000000000001</v>
      </c>
      <c r="X343" s="107"/>
      <c r="Y343" s="46">
        <f t="shared" si="206"/>
        <v>129.27000000000001</v>
      </c>
      <c r="Z343" s="141">
        <f t="shared" si="207"/>
        <v>22.234883786933185</v>
      </c>
      <c r="AA343" s="107">
        <f t="shared" si="194"/>
        <v>4.887403459260927</v>
      </c>
      <c r="AB343" s="333">
        <v>31.125</v>
      </c>
      <c r="AC343" s="107"/>
      <c r="AD343" s="107">
        <f t="shared" si="208"/>
        <v>18.576682709723073</v>
      </c>
      <c r="AE343" s="107">
        <f t="shared" si="209"/>
        <v>9.8882309428151416</v>
      </c>
      <c r="AF343" s="107"/>
      <c r="AG343" s="142">
        <f t="shared" si="210"/>
        <v>86.712200898732334</v>
      </c>
      <c r="AH343" s="210">
        <f t="shared" si="211"/>
        <v>314.94237162533187</v>
      </c>
      <c r="AI343" s="107">
        <f t="shared" si="195"/>
        <v>62.820198474997255</v>
      </c>
      <c r="AJ343" s="333">
        <v>141.39133920498048</v>
      </c>
      <c r="AK343" s="121">
        <f t="shared" si="196"/>
        <v>0</v>
      </c>
      <c r="AL343" s="107"/>
      <c r="AM343" s="107">
        <f t="shared" si="212"/>
        <v>263.12638130223576</v>
      </c>
      <c r="AN343" s="107">
        <f t="shared" si="213"/>
        <v>100.68951370228103</v>
      </c>
      <c r="AO343" s="107"/>
      <c r="AP343" s="143">
        <f t="shared" si="214"/>
        <v>882.96980430982637</v>
      </c>
      <c r="AQ343" s="34"/>
      <c r="AR343" s="29"/>
      <c r="AS343" s="124"/>
      <c r="AT343" s="138">
        <f t="shared" si="215"/>
        <v>1745.561892538057</v>
      </c>
      <c r="AU343" s="151">
        <f t="shared" si="216"/>
        <v>4880.2156835576588</v>
      </c>
      <c r="AW343" s="1">
        <v>3</v>
      </c>
      <c r="BA343" s="30">
        <v>392.29</v>
      </c>
      <c r="BB343" s="30">
        <v>67.599999999999994</v>
      </c>
      <c r="BC343" s="30">
        <v>26.97</v>
      </c>
      <c r="BD343" s="30">
        <v>242.91</v>
      </c>
      <c r="BI343" s="333">
        <v>0</v>
      </c>
      <c r="BL343" s="110">
        <f t="shared" si="217"/>
        <v>1.2233877438623886</v>
      </c>
      <c r="BM343" s="110">
        <f t="shared" si="217"/>
        <v>1.2807066670574303</v>
      </c>
      <c r="BN343" s="110">
        <f t="shared" si="217"/>
        <v>0.82443024793968056</v>
      </c>
      <c r="BO343" s="110">
        <f t="shared" si="217"/>
        <v>1.2965393422474656</v>
      </c>
    </row>
    <row r="344" spans="1:67" x14ac:dyDescent="0.25">
      <c r="A344" s="260" t="s">
        <v>406</v>
      </c>
      <c r="B344" s="237">
        <v>9</v>
      </c>
      <c r="C344" s="236">
        <f>'побудинковий звіт'!E344</f>
        <v>2741.4</v>
      </c>
      <c r="D344" s="141">
        <f t="shared" si="197"/>
        <v>434.09467315469129</v>
      </c>
      <c r="E344" s="107">
        <f t="shared" si="191"/>
        <v>89.478625334356721</v>
      </c>
      <c r="F344" s="333">
        <v>101.12693871791251</v>
      </c>
      <c r="G344" s="107">
        <f t="shared" si="192"/>
        <v>0</v>
      </c>
      <c r="H344" s="735">
        <f t="shared" si="198"/>
        <v>362.67511386385797</v>
      </c>
      <c r="I344" s="107">
        <f t="shared" si="199"/>
        <v>127.08788030915119</v>
      </c>
      <c r="J344" s="29"/>
      <c r="K344" s="142">
        <f t="shared" si="200"/>
        <v>1114.4632313799698</v>
      </c>
      <c r="L344" s="210">
        <f t="shared" si="201"/>
        <v>117.79939923594245</v>
      </c>
      <c r="M344" s="107">
        <f t="shared" si="193"/>
        <v>25.917979407814254</v>
      </c>
      <c r="N344" s="333">
        <v>0</v>
      </c>
      <c r="O344" s="107"/>
      <c r="P344" s="107">
        <f t="shared" si="202"/>
        <v>98.418416933130672</v>
      </c>
      <c r="Q344" s="107">
        <f t="shared" si="203"/>
        <v>31.165984621211624</v>
      </c>
      <c r="R344" s="107"/>
      <c r="S344" s="143">
        <f t="shared" si="204"/>
        <v>273.30178019809898</v>
      </c>
      <c r="T344" s="244">
        <v>418.82</v>
      </c>
      <c r="U344" s="107"/>
      <c r="V344" s="151">
        <f t="shared" si="205"/>
        <v>418.82</v>
      </c>
      <c r="W344" s="906">
        <v>101.67</v>
      </c>
      <c r="X344" s="107"/>
      <c r="Y344" s="46">
        <f t="shared" si="206"/>
        <v>101.67</v>
      </c>
      <c r="Z344" s="141">
        <f t="shared" si="207"/>
        <v>21.740225638169377</v>
      </c>
      <c r="AA344" s="107">
        <f t="shared" si="194"/>
        <v>4.7786736826366578</v>
      </c>
      <c r="AB344" s="333">
        <v>0</v>
      </c>
      <c r="AC344" s="107"/>
      <c r="AD344" s="107">
        <f t="shared" si="208"/>
        <v>18.163408344656933</v>
      </c>
      <c r="AE344" s="107">
        <f t="shared" si="209"/>
        <v>5.7511864787454439</v>
      </c>
      <c r="AF344" s="107"/>
      <c r="AG344" s="142">
        <f t="shared" si="210"/>
        <v>50.433494144208417</v>
      </c>
      <c r="AH344" s="210">
        <f t="shared" si="211"/>
        <v>369.92860513004689</v>
      </c>
      <c r="AI344" s="107">
        <f t="shared" si="195"/>
        <v>73.788065657594245</v>
      </c>
      <c r="AJ344" s="333">
        <v>56.921188827794765</v>
      </c>
      <c r="AK344" s="121">
        <f t="shared" si="196"/>
        <v>0</v>
      </c>
      <c r="AL344" s="107"/>
      <c r="AM344" s="107">
        <f t="shared" si="212"/>
        <v>309.06598786856824</v>
      </c>
      <c r="AN344" s="107">
        <f t="shared" si="213"/>
        <v>104.2192774442935</v>
      </c>
      <c r="AO344" s="107"/>
      <c r="AP344" s="143">
        <f t="shared" si="214"/>
        <v>913.92312492829774</v>
      </c>
      <c r="AQ344" s="34"/>
      <c r="AR344" s="29"/>
      <c r="AS344" s="124"/>
      <c r="AT344" s="138">
        <f t="shared" si="215"/>
        <v>1273.4268380977778</v>
      </c>
      <c r="AU344" s="151">
        <f t="shared" si="216"/>
        <v>4146.0384687483529</v>
      </c>
      <c r="AW344" s="1">
        <v>3</v>
      </c>
      <c r="BA344" s="30">
        <v>354.83</v>
      </c>
      <c r="BB344" s="30">
        <v>91.98</v>
      </c>
      <c r="BC344" s="30">
        <v>26.37</v>
      </c>
      <c r="BD344" s="30">
        <v>285.32</v>
      </c>
      <c r="BI344" s="333">
        <v>8.7200000000000006</v>
      </c>
      <c r="BL344" s="110">
        <f t="shared" si="217"/>
        <v>1.2233877438623886</v>
      </c>
      <c r="BM344" s="110">
        <f t="shared" si="217"/>
        <v>1.2807066670574303</v>
      </c>
      <c r="BN344" s="110">
        <f t="shared" si="217"/>
        <v>0.82443024793968056</v>
      </c>
      <c r="BO344" s="110">
        <f t="shared" si="217"/>
        <v>1.2965393422474656</v>
      </c>
    </row>
    <row r="345" spans="1:67" x14ac:dyDescent="0.25">
      <c r="A345" s="260" t="s">
        <v>407</v>
      </c>
      <c r="B345" s="237">
        <v>9</v>
      </c>
      <c r="C345" s="236">
        <f>'побудинковий звіт'!E345</f>
        <v>4247.05</v>
      </c>
      <c r="D345" s="141">
        <f t="shared" si="197"/>
        <v>1038.46045250015</v>
      </c>
      <c r="E345" s="107">
        <f t="shared" si="191"/>
        <v>214.05472008797278</v>
      </c>
      <c r="F345" s="333">
        <v>162.08770165118352</v>
      </c>
      <c r="G345" s="107">
        <f t="shared" si="192"/>
        <v>0</v>
      </c>
      <c r="H345" s="735">
        <f t="shared" si="198"/>
        <v>867.60742792942335</v>
      </c>
      <c r="I345" s="107">
        <f t="shared" si="199"/>
        <v>293.74975728103669</v>
      </c>
      <c r="J345" s="29"/>
      <c r="K345" s="142">
        <f t="shared" si="200"/>
        <v>2575.9600594497665</v>
      </c>
      <c r="L345" s="210">
        <f t="shared" si="201"/>
        <v>179.17086272133452</v>
      </c>
      <c r="M345" s="107">
        <f t="shared" si="193"/>
        <v>39.420801469376102</v>
      </c>
      <c r="N345" s="333">
        <v>0</v>
      </c>
      <c r="O345" s="107"/>
      <c r="P345" s="107">
        <f t="shared" si="202"/>
        <v>149.6927215584364</v>
      </c>
      <c r="Q345" s="107">
        <f t="shared" si="203"/>
        <v>47.402927250570848</v>
      </c>
      <c r="R345" s="107"/>
      <c r="S345" s="143">
        <f t="shared" si="204"/>
        <v>415.68731299971785</v>
      </c>
      <c r="T345" s="244">
        <v>684.43</v>
      </c>
      <c r="U345" s="107"/>
      <c r="V345" s="151">
        <f t="shared" si="205"/>
        <v>684.43</v>
      </c>
      <c r="W345" s="906">
        <v>161.38</v>
      </c>
      <c r="X345" s="107"/>
      <c r="Y345" s="46">
        <f t="shared" si="206"/>
        <v>161.38</v>
      </c>
      <c r="Z345" s="141">
        <f t="shared" si="207"/>
        <v>32.614460608493765</v>
      </c>
      <c r="AA345" s="107">
        <f t="shared" si="194"/>
        <v>7.1689166054268556</v>
      </c>
      <c r="AB345" s="333">
        <v>0</v>
      </c>
      <c r="AC345" s="107"/>
      <c r="AD345" s="107">
        <f t="shared" si="208"/>
        <v>27.248556470027616</v>
      </c>
      <c r="AE345" s="107">
        <f t="shared" si="209"/>
        <v>8.6278701971622951</v>
      </c>
      <c r="AF345" s="107"/>
      <c r="AG345" s="142">
        <f t="shared" si="210"/>
        <v>75.659803881110534</v>
      </c>
      <c r="AH345" s="210">
        <f t="shared" si="211"/>
        <v>396.79290030141442</v>
      </c>
      <c r="AI345" s="107">
        <f t="shared" si="195"/>
        <v>79.146570916340053</v>
      </c>
      <c r="AJ345" s="333">
        <v>91.234094389886309</v>
      </c>
      <c r="AK345" s="121">
        <f t="shared" si="196"/>
        <v>0</v>
      </c>
      <c r="AL345" s="107"/>
      <c r="AM345" s="107">
        <f t="shared" si="212"/>
        <v>331.51042663429354</v>
      </c>
      <c r="AN345" s="107">
        <f t="shared" si="213"/>
        <v>115.67216410449096</v>
      </c>
      <c r="AO345" s="107"/>
      <c r="AP345" s="143">
        <f t="shared" si="214"/>
        <v>1014.3561563464252</v>
      </c>
      <c r="AQ345" s="34"/>
      <c r="AR345" s="29"/>
      <c r="AS345" s="124"/>
      <c r="AT345" s="138">
        <f t="shared" si="215"/>
        <v>1972.8268230623651</v>
      </c>
      <c r="AU345" s="151">
        <f t="shared" si="216"/>
        <v>6900.3001557393854</v>
      </c>
      <c r="AW345" s="1">
        <v>3</v>
      </c>
      <c r="BA345" s="30">
        <v>848.84</v>
      </c>
      <c r="BB345" s="30">
        <v>139.9</v>
      </c>
      <c r="BC345" s="30">
        <v>39.56</v>
      </c>
      <c r="BD345" s="30">
        <v>306.04000000000002</v>
      </c>
      <c r="BI345" s="333">
        <v>8.7200000000000006</v>
      </c>
      <c r="BL345" s="110">
        <f t="shared" si="217"/>
        <v>1.2233877438623886</v>
      </c>
      <c r="BM345" s="110">
        <f t="shared" si="217"/>
        <v>1.2807066670574303</v>
      </c>
      <c r="BN345" s="110">
        <f t="shared" si="217"/>
        <v>0.82443024793968056</v>
      </c>
      <c r="BO345" s="110">
        <f t="shared" si="217"/>
        <v>1.2965393422474656</v>
      </c>
    </row>
    <row r="346" spans="1:67" x14ac:dyDescent="0.25">
      <c r="A346" s="260" t="s">
        <v>408</v>
      </c>
      <c r="B346" s="237">
        <v>9</v>
      </c>
      <c r="C346" s="236">
        <f>'побудинковий звіт'!E346</f>
        <v>2756.25</v>
      </c>
      <c r="D346" s="141">
        <f t="shared" si="197"/>
        <v>1035.8179349734071</v>
      </c>
      <c r="E346" s="107">
        <f t="shared" si="191"/>
        <v>213.51002592253516</v>
      </c>
      <c r="F346" s="333">
        <v>162.31202048497099</v>
      </c>
      <c r="G346" s="107">
        <f t="shared" si="192"/>
        <v>0</v>
      </c>
      <c r="H346" s="735">
        <f t="shared" si="198"/>
        <v>865.39967140955184</v>
      </c>
      <c r="I346" s="107">
        <f t="shared" si="199"/>
        <v>293.08422834253031</v>
      </c>
      <c r="J346" s="29"/>
      <c r="K346" s="142">
        <f t="shared" si="200"/>
        <v>2570.1238811329954</v>
      </c>
      <c r="L346" s="210">
        <f t="shared" si="201"/>
        <v>179.5294605881106</v>
      </c>
      <c r="M346" s="107">
        <f t="shared" si="193"/>
        <v>39.499699427999587</v>
      </c>
      <c r="N346" s="333">
        <v>0</v>
      </c>
      <c r="O346" s="107"/>
      <c r="P346" s="107">
        <f t="shared" si="202"/>
        <v>149.99232100115523</v>
      </c>
      <c r="Q346" s="107">
        <f t="shared" si="203"/>
        <v>47.497800871944399</v>
      </c>
      <c r="R346" s="107"/>
      <c r="S346" s="143">
        <f t="shared" si="204"/>
        <v>416.51928188920976</v>
      </c>
      <c r="T346" s="244">
        <v>686.43</v>
      </c>
      <c r="U346" s="107"/>
      <c r="V346" s="151">
        <f t="shared" si="205"/>
        <v>686.43</v>
      </c>
      <c r="W346" s="906">
        <v>161.08000000000001</v>
      </c>
      <c r="X346" s="107"/>
      <c r="Y346" s="46">
        <f t="shared" si="206"/>
        <v>161.08000000000001</v>
      </c>
      <c r="Z346" s="141">
        <f t="shared" si="207"/>
        <v>32.614460608493765</v>
      </c>
      <c r="AA346" s="107">
        <f t="shared" si="194"/>
        <v>7.1689166054268556</v>
      </c>
      <c r="AB346" s="333">
        <v>0</v>
      </c>
      <c r="AC346" s="107"/>
      <c r="AD346" s="107">
        <f t="shared" si="208"/>
        <v>27.248556470027616</v>
      </c>
      <c r="AE346" s="107">
        <f t="shared" si="209"/>
        <v>8.6278701971622951</v>
      </c>
      <c r="AF346" s="107"/>
      <c r="AG346" s="142">
        <f t="shared" si="210"/>
        <v>75.659803881110534</v>
      </c>
      <c r="AH346" s="210">
        <f t="shared" si="211"/>
        <v>399.77494078858348</v>
      </c>
      <c r="AI346" s="107">
        <f t="shared" si="195"/>
        <v>79.741385689270317</v>
      </c>
      <c r="AJ346" s="333">
        <v>91.360356440903843</v>
      </c>
      <c r="AK346" s="121">
        <f t="shared" si="196"/>
        <v>0</v>
      </c>
      <c r="AL346" s="107"/>
      <c r="AM346" s="107">
        <f t="shared" si="212"/>
        <v>334.00184599535368</v>
      </c>
      <c r="AN346" s="107">
        <f t="shared" si="213"/>
        <v>116.46948047896851</v>
      </c>
      <c r="AO346" s="107"/>
      <c r="AP346" s="143">
        <f t="shared" si="214"/>
        <v>1021.3480093930798</v>
      </c>
      <c r="AQ346" s="34"/>
      <c r="AR346" s="29"/>
      <c r="AS346" s="124"/>
      <c r="AT346" s="138">
        <f t="shared" si="215"/>
        <v>1280.3249151918728</v>
      </c>
      <c r="AU346" s="151">
        <f t="shared" si="216"/>
        <v>6211.485891488268</v>
      </c>
      <c r="AW346" s="1">
        <v>3</v>
      </c>
      <c r="BA346" s="30">
        <v>846.68</v>
      </c>
      <c r="BB346" s="30">
        <v>140.18</v>
      </c>
      <c r="BC346" s="30">
        <v>39.56</v>
      </c>
      <c r="BD346" s="30">
        <v>308.33999999999997</v>
      </c>
      <c r="BI346" s="333">
        <v>8.7100000000000009</v>
      </c>
      <c r="BL346" s="110">
        <f t="shared" si="217"/>
        <v>1.2233877438623886</v>
      </c>
      <c r="BM346" s="110">
        <f t="shared" si="217"/>
        <v>1.2807066670574303</v>
      </c>
      <c r="BN346" s="110">
        <f t="shared" si="217"/>
        <v>0.82443024793968056</v>
      </c>
      <c r="BO346" s="110">
        <f t="shared" si="217"/>
        <v>1.2965393422474656</v>
      </c>
    </row>
    <row r="347" spans="1:67" x14ac:dyDescent="0.25">
      <c r="A347" s="260" t="s">
        <v>409</v>
      </c>
      <c r="B347" s="237">
        <v>9</v>
      </c>
      <c r="C347" s="236">
        <f>'побудинковий звіт'!E347</f>
        <v>472.1</v>
      </c>
      <c r="D347" s="141">
        <f t="shared" si="197"/>
        <v>1034.7413537588081</v>
      </c>
      <c r="E347" s="107">
        <f t="shared" si="191"/>
        <v>213.2881134847643</v>
      </c>
      <c r="F347" s="333">
        <v>162.79226321160195</v>
      </c>
      <c r="G347" s="107">
        <f t="shared" si="192"/>
        <v>0</v>
      </c>
      <c r="H347" s="735">
        <f t="shared" si="198"/>
        <v>864.50021504960432</v>
      </c>
      <c r="I347" s="107">
        <f t="shared" si="199"/>
        <v>292.86313736867453</v>
      </c>
      <c r="J347" s="29"/>
      <c r="K347" s="142">
        <f t="shared" si="200"/>
        <v>2568.1850828734532</v>
      </c>
      <c r="L347" s="210">
        <f t="shared" si="201"/>
        <v>178.54331645447635</v>
      </c>
      <c r="M347" s="107">
        <f t="shared" si="193"/>
        <v>39.282730041785008</v>
      </c>
      <c r="N347" s="333">
        <v>0</v>
      </c>
      <c r="O347" s="107"/>
      <c r="P347" s="107">
        <f t="shared" si="202"/>
        <v>149.16842253367847</v>
      </c>
      <c r="Q347" s="107">
        <f t="shared" si="203"/>
        <v>47.236898413167133</v>
      </c>
      <c r="R347" s="107"/>
      <c r="S347" s="143">
        <f t="shared" si="204"/>
        <v>414.23136744310699</v>
      </c>
      <c r="T347" s="244">
        <v>687.93</v>
      </c>
      <c r="U347" s="107"/>
      <c r="V347" s="151">
        <f t="shared" si="205"/>
        <v>687.93</v>
      </c>
      <c r="W347" s="906">
        <v>166.31</v>
      </c>
      <c r="X347" s="107"/>
      <c r="Y347" s="46">
        <f t="shared" si="206"/>
        <v>166.31</v>
      </c>
      <c r="Z347" s="141">
        <f t="shared" si="207"/>
        <v>32.614460608493765</v>
      </c>
      <c r="AA347" s="107">
        <f t="shared" si="194"/>
        <v>7.1689166054268556</v>
      </c>
      <c r="AB347" s="333">
        <v>0</v>
      </c>
      <c r="AC347" s="107"/>
      <c r="AD347" s="107">
        <f t="shared" si="208"/>
        <v>27.248556470027616</v>
      </c>
      <c r="AE347" s="107">
        <f t="shared" si="209"/>
        <v>8.6278701971622951</v>
      </c>
      <c r="AF347" s="107"/>
      <c r="AG347" s="142">
        <f t="shared" si="210"/>
        <v>75.659803881110534</v>
      </c>
      <c r="AH347" s="210">
        <f t="shared" si="211"/>
        <v>391.5678467521571</v>
      </c>
      <c r="AI347" s="107">
        <f t="shared" si="195"/>
        <v>78.104351988118736</v>
      </c>
      <c r="AJ347" s="333">
        <v>91.630670041535893</v>
      </c>
      <c r="AK347" s="121">
        <f t="shared" si="196"/>
        <v>0</v>
      </c>
      <c r="AL347" s="107"/>
      <c r="AM347" s="107">
        <f t="shared" si="212"/>
        <v>327.14502662339231</v>
      </c>
      <c r="AN347" s="107">
        <f t="shared" si="213"/>
        <v>114.35464706478723</v>
      </c>
      <c r="AO347" s="107"/>
      <c r="AP347" s="143">
        <f t="shared" si="214"/>
        <v>1002.8025424699913</v>
      </c>
      <c r="AQ347" s="34"/>
      <c r="AR347" s="29"/>
      <c r="AS347" s="124"/>
      <c r="AT347" s="138">
        <f t="shared" si="215"/>
        <v>219.2984643853363</v>
      </c>
      <c r="AU347" s="151">
        <f t="shared" si="216"/>
        <v>5134.4172610529986</v>
      </c>
      <c r="AW347" s="1">
        <v>3</v>
      </c>
      <c r="BA347" s="30">
        <v>845.8</v>
      </c>
      <c r="BB347" s="30">
        <v>139.41</v>
      </c>
      <c r="BC347" s="30">
        <v>39.56</v>
      </c>
      <c r="BD347" s="30">
        <v>302.01</v>
      </c>
      <c r="BI347" s="333">
        <v>8.7100000000000009</v>
      </c>
      <c r="BL347" s="110">
        <f t="shared" si="217"/>
        <v>1.2233877438623886</v>
      </c>
      <c r="BM347" s="110">
        <f t="shared" si="217"/>
        <v>1.2807066670574303</v>
      </c>
      <c r="BN347" s="110">
        <f t="shared" si="217"/>
        <v>0.82443024793968056</v>
      </c>
      <c r="BO347" s="110">
        <f t="shared" si="217"/>
        <v>1.2965393422474656</v>
      </c>
    </row>
    <row r="348" spans="1:67" x14ac:dyDescent="0.25">
      <c r="A348" s="260" t="s">
        <v>410</v>
      </c>
      <c r="B348" s="237">
        <v>9</v>
      </c>
      <c r="C348" s="236">
        <f>'побудинковий звіт'!E348</f>
        <v>6327.1</v>
      </c>
      <c r="D348" s="141">
        <f t="shared" si="197"/>
        <v>1029.9946093126221</v>
      </c>
      <c r="E348" s="107">
        <f t="shared" si="191"/>
        <v>212.30968137277461</v>
      </c>
      <c r="F348" s="333">
        <v>163.09366755528202</v>
      </c>
      <c r="G348" s="107">
        <f t="shared" si="192"/>
        <v>0</v>
      </c>
      <c r="H348" s="735">
        <f t="shared" si="198"/>
        <v>860.53443018983546</v>
      </c>
      <c r="I348" s="107">
        <f t="shared" si="199"/>
        <v>291.65458086144963</v>
      </c>
      <c r="J348" s="29"/>
      <c r="K348" s="142">
        <f t="shared" si="200"/>
        <v>2557.5869692919637</v>
      </c>
      <c r="L348" s="210">
        <f t="shared" si="201"/>
        <v>178.85068605457016</v>
      </c>
      <c r="M348" s="107">
        <f t="shared" si="193"/>
        <v>39.350356863462281</v>
      </c>
      <c r="N348" s="333">
        <v>0</v>
      </c>
      <c r="O348" s="107"/>
      <c r="P348" s="107">
        <f t="shared" si="202"/>
        <v>149.42522205600889</v>
      </c>
      <c r="Q348" s="107">
        <f t="shared" si="203"/>
        <v>47.318218660058747</v>
      </c>
      <c r="R348" s="107"/>
      <c r="S348" s="143">
        <f t="shared" si="204"/>
        <v>414.94448363410004</v>
      </c>
      <c r="T348" s="244">
        <v>688.15</v>
      </c>
      <c r="U348" s="107"/>
      <c r="V348" s="151">
        <f t="shared" si="205"/>
        <v>688.15</v>
      </c>
      <c r="W348" s="906">
        <v>162.38</v>
      </c>
      <c r="X348" s="107"/>
      <c r="Y348" s="46">
        <f t="shared" si="206"/>
        <v>162.38</v>
      </c>
      <c r="Z348" s="141">
        <f t="shared" si="207"/>
        <v>32.614460608493765</v>
      </c>
      <c r="AA348" s="107">
        <f t="shared" si="194"/>
        <v>7.1689166054268556</v>
      </c>
      <c r="AB348" s="333">
        <v>0</v>
      </c>
      <c r="AC348" s="107"/>
      <c r="AD348" s="107">
        <f t="shared" si="208"/>
        <v>27.248556470027616</v>
      </c>
      <c r="AE348" s="107">
        <f t="shared" si="209"/>
        <v>8.6278701971622951</v>
      </c>
      <c r="AF348" s="107"/>
      <c r="AG348" s="142">
        <f t="shared" si="210"/>
        <v>75.659803881110534</v>
      </c>
      <c r="AH348" s="210">
        <f t="shared" si="211"/>
        <v>394.17389083007447</v>
      </c>
      <c r="AI348" s="107">
        <f t="shared" si="195"/>
        <v>78.624168376636064</v>
      </c>
      <c r="AJ348" s="333">
        <v>91.800321113521633</v>
      </c>
      <c r="AK348" s="121">
        <f t="shared" si="196"/>
        <v>0</v>
      </c>
      <c r="AL348" s="107"/>
      <c r="AM348" s="107">
        <f t="shared" si="212"/>
        <v>329.32231049979708</v>
      </c>
      <c r="AN348" s="107">
        <f t="shared" si="213"/>
        <v>115.05906607614038</v>
      </c>
      <c r="AO348" s="107"/>
      <c r="AP348" s="143">
        <f t="shared" si="214"/>
        <v>1008.9797568961696</v>
      </c>
      <c r="AQ348" s="34"/>
      <c r="AR348" s="29"/>
      <c r="AS348" s="124"/>
      <c r="AT348" s="138">
        <f t="shared" si="215"/>
        <v>2939.0453590604984</v>
      </c>
      <c r="AU348" s="151">
        <f t="shared" si="216"/>
        <v>7846.7463727638424</v>
      </c>
      <c r="AW348" s="1">
        <v>3</v>
      </c>
      <c r="BA348" s="30">
        <v>841.92</v>
      </c>
      <c r="BB348" s="30">
        <v>139.65</v>
      </c>
      <c r="BC348" s="30">
        <v>39.56</v>
      </c>
      <c r="BD348" s="30">
        <v>304.02</v>
      </c>
      <c r="BI348" s="333">
        <v>8.7100000000000009</v>
      </c>
      <c r="BL348" s="110">
        <f t="shared" si="217"/>
        <v>1.2233877438623886</v>
      </c>
      <c r="BM348" s="110">
        <f t="shared" si="217"/>
        <v>1.2807066670574303</v>
      </c>
      <c r="BN348" s="110">
        <f t="shared" si="217"/>
        <v>0.82443024793968056</v>
      </c>
      <c r="BO348" s="110">
        <f t="shared" si="217"/>
        <v>1.2965393422474656</v>
      </c>
    </row>
    <row r="349" spans="1:67" x14ac:dyDescent="0.25">
      <c r="A349" s="260" t="s">
        <v>318</v>
      </c>
      <c r="B349" s="237">
        <v>5</v>
      </c>
      <c r="C349" s="236">
        <f>'побудинковий звіт'!E349</f>
        <v>3895.01</v>
      </c>
      <c r="D349" s="141">
        <f t="shared" si="197"/>
        <v>827.87872014911704</v>
      </c>
      <c r="E349" s="107">
        <f t="shared" si="191"/>
        <v>170.64814291354324</v>
      </c>
      <c r="F349" s="333">
        <v>150.67853228367849</v>
      </c>
      <c r="G349" s="107">
        <f t="shared" si="192"/>
        <v>0</v>
      </c>
      <c r="H349" s="735">
        <f t="shared" si="198"/>
        <v>691.67171970467939</v>
      </c>
      <c r="I349" s="107">
        <f t="shared" si="199"/>
        <v>236.94451173784597</v>
      </c>
      <c r="J349" s="29"/>
      <c r="K349" s="142">
        <f t="shared" si="200"/>
        <v>2077.8216267888643</v>
      </c>
      <c r="L349" s="210">
        <f t="shared" si="201"/>
        <v>173.99680778642249</v>
      </c>
      <c r="M349" s="107">
        <f t="shared" si="193"/>
        <v>38.282416637808701</v>
      </c>
      <c r="N349" s="333">
        <v>0</v>
      </c>
      <c r="O349" s="107"/>
      <c r="P349" s="107">
        <f t="shared" si="202"/>
        <v>145.36992959920778</v>
      </c>
      <c r="Q349" s="107">
        <f t="shared" si="203"/>
        <v>46.034036427895323</v>
      </c>
      <c r="R349" s="107"/>
      <c r="S349" s="143">
        <f t="shared" si="204"/>
        <v>403.68319045133433</v>
      </c>
      <c r="T349" s="244">
        <v>729.59</v>
      </c>
      <c r="U349" s="107"/>
      <c r="V349" s="151">
        <f t="shared" si="205"/>
        <v>729.59</v>
      </c>
      <c r="W349" s="246"/>
      <c r="X349" s="107"/>
      <c r="Y349" s="46">
        <f t="shared" si="206"/>
        <v>0</v>
      </c>
      <c r="Z349" s="141">
        <f t="shared" si="207"/>
        <v>55.838660692954569</v>
      </c>
      <c r="AA349" s="107">
        <f t="shared" si="194"/>
        <v>12.273779617936322</v>
      </c>
      <c r="AB349" s="333">
        <v>0</v>
      </c>
      <c r="AC349" s="107"/>
      <c r="AD349" s="107">
        <f t="shared" si="208"/>
        <v>46.651787909882977</v>
      </c>
      <c r="AE349" s="107">
        <f t="shared" si="209"/>
        <v>14.7716291317948</v>
      </c>
      <c r="AF349" s="107"/>
      <c r="AG349" s="142">
        <f t="shared" si="210"/>
        <v>129.53585735256868</v>
      </c>
      <c r="AH349" s="210">
        <f t="shared" si="211"/>
        <v>805.11203535540869</v>
      </c>
      <c r="AI349" s="107">
        <f t="shared" si="195"/>
        <v>160.59223023761496</v>
      </c>
      <c r="AJ349" s="333">
        <v>84.812230026449257</v>
      </c>
      <c r="AK349" s="121">
        <f t="shared" si="196"/>
        <v>0</v>
      </c>
      <c r="AL349" s="107"/>
      <c r="AM349" s="107">
        <f t="shared" si="212"/>
        <v>672.65073071198935</v>
      </c>
      <c r="AN349" s="107">
        <f t="shared" si="213"/>
        <v>221.79373829330868</v>
      </c>
      <c r="AO349" s="107"/>
      <c r="AP349" s="143">
        <f t="shared" si="214"/>
        <v>1944.9609646247709</v>
      </c>
      <c r="AQ349" s="704">
        <v>0</v>
      </c>
      <c r="AR349" s="29"/>
      <c r="AS349" s="124"/>
      <c r="AT349" s="138">
        <f t="shared" si="215"/>
        <v>1809.2982668195907</v>
      </c>
      <c r="AU349" s="151">
        <f t="shared" si="216"/>
        <v>7094.8899060371295</v>
      </c>
      <c r="AW349" s="1">
        <v>3</v>
      </c>
      <c r="BA349" s="30">
        <v>676.71</v>
      </c>
      <c r="BB349" s="30">
        <v>135.86000000000001</v>
      </c>
      <c r="BC349" s="30">
        <v>67.73</v>
      </c>
      <c r="BD349" s="30">
        <v>620.97</v>
      </c>
      <c r="BI349" s="333">
        <v>0</v>
      </c>
      <c r="BL349" s="110">
        <f t="shared" si="217"/>
        <v>1.2233877438623886</v>
      </c>
      <c r="BM349" s="110">
        <f t="shared" si="217"/>
        <v>1.2807066670574303</v>
      </c>
      <c r="BN349" s="110">
        <f t="shared" si="217"/>
        <v>0.82443024793968056</v>
      </c>
      <c r="BO349" s="110">
        <f t="shared" si="217"/>
        <v>1.2965393422474656</v>
      </c>
    </row>
    <row r="350" spans="1:67" x14ac:dyDescent="0.25">
      <c r="A350" s="260" t="s">
        <v>319</v>
      </c>
      <c r="B350" s="237">
        <v>5</v>
      </c>
      <c r="C350" s="236">
        <f>'побудинковий звіт'!E350</f>
        <v>8350.2999999999993</v>
      </c>
      <c r="D350" s="141">
        <f>BA350*BL350</f>
        <v>649.54548872629664</v>
      </c>
      <c r="E350" s="107">
        <f t="shared" si="191"/>
        <v>133.88885194324993</v>
      </c>
      <c r="F350" s="333">
        <v>114.79111620147592</v>
      </c>
      <c r="G350" s="107">
        <f t="shared" si="192"/>
        <v>0</v>
      </c>
      <c r="H350" s="735">
        <f t="shared" si="198"/>
        <v>542.67881789836485</v>
      </c>
      <c r="I350" s="107">
        <f t="shared" si="199"/>
        <v>185.46287367842345</v>
      </c>
      <c r="J350" s="29"/>
      <c r="K350" s="142">
        <f t="shared" si="200"/>
        <v>1626.3671484478109</v>
      </c>
      <c r="L350" s="210">
        <f t="shared" si="201"/>
        <v>130.64488710652847</v>
      </c>
      <c r="M350" s="107">
        <f t="shared" si="193"/>
        <v>28.744216997076887</v>
      </c>
      <c r="N350" s="333">
        <v>0</v>
      </c>
      <c r="O350" s="107"/>
      <c r="P350" s="107">
        <f t="shared" si="202"/>
        <v>109.1504969705225</v>
      </c>
      <c r="Q350" s="107">
        <f t="shared" si="203"/>
        <v>34.564493272557058</v>
      </c>
      <c r="R350" s="107"/>
      <c r="S350" s="143">
        <f t="shared" si="204"/>
        <v>303.10409434668492</v>
      </c>
      <c r="T350" s="244">
        <v>522.32000000000005</v>
      </c>
      <c r="U350" s="107"/>
      <c r="V350" s="151">
        <f t="shared" si="205"/>
        <v>522.32000000000005</v>
      </c>
      <c r="W350" s="246"/>
      <c r="X350" s="107"/>
      <c r="Y350" s="46">
        <f t="shared" si="206"/>
        <v>0</v>
      </c>
      <c r="Z350" s="141">
        <f t="shared" si="207"/>
        <v>26.686807125807459</v>
      </c>
      <c r="AA350" s="107">
        <f t="shared" si="194"/>
        <v>5.8659714488793551</v>
      </c>
      <c r="AB350" s="333">
        <v>0</v>
      </c>
      <c r="AC350" s="107"/>
      <c r="AD350" s="107">
        <f t="shared" si="208"/>
        <v>22.29615199531835</v>
      </c>
      <c r="AE350" s="107">
        <f t="shared" si="209"/>
        <v>7.0597613317023127</v>
      </c>
      <c r="AF350" s="107"/>
      <c r="AG350" s="142">
        <f t="shared" si="210"/>
        <v>61.908691901707478</v>
      </c>
      <c r="AH350" s="210">
        <f t="shared" si="211"/>
        <v>515.64666180523955</v>
      </c>
      <c r="AI350" s="107">
        <f t="shared" si="195"/>
        <v>102.85381884439158</v>
      </c>
      <c r="AJ350" s="333">
        <v>64.612326684622289</v>
      </c>
      <c r="AK350" s="121">
        <f t="shared" si="196"/>
        <v>0</v>
      </c>
      <c r="AL350" s="107"/>
      <c r="AM350" s="107">
        <f t="shared" si="212"/>
        <v>430.80973655968131</v>
      </c>
      <c r="AN350" s="107">
        <f t="shared" si="213"/>
        <v>143.37612821560492</v>
      </c>
      <c r="AO350" s="107"/>
      <c r="AP350" s="143">
        <f t="shared" si="214"/>
        <v>1257.2986721095397</v>
      </c>
      <c r="AQ350" s="34"/>
      <c r="AR350" s="29"/>
      <c r="AS350" s="124"/>
      <c r="AT350" s="138">
        <f t="shared" si="215"/>
        <v>3878.8561049711361</v>
      </c>
      <c r="AU350" s="151">
        <f t="shared" si="216"/>
        <v>7649.8547117768794</v>
      </c>
      <c r="AW350" s="1">
        <v>3</v>
      </c>
      <c r="BA350" s="30">
        <v>530.94000000000005</v>
      </c>
      <c r="BB350" s="30">
        <v>102.01</v>
      </c>
      <c r="BC350" s="30">
        <v>32.369999999999997</v>
      </c>
      <c r="BD350" s="30">
        <v>397.71</v>
      </c>
      <c r="BI350" s="333">
        <v>0</v>
      </c>
      <c r="BL350" s="110">
        <f t="shared" si="217"/>
        <v>1.2233877438623886</v>
      </c>
      <c r="BM350" s="110">
        <f t="shared" si="217"/>
        <v>1.2807066670574303</v>
      </c>
      <c r="BN350" s="110">
        <f t="shared" si="217"/>
        <v>0.82443024793968056</v>
      </c>
      <c r="BO350" s="110">
        <f t="shared" si="217"/>
        <v>1.2965393422474656</v>
      </c>
    </row>
    <row r="351" spans="1:67" x14ac:dyDescent="0.25">
      <c r="A351" s="260" t="s">
        <v>320</v>
      </c>
      <c r="B351" s="237">
        <v>5</v>
      </c>
      <c r="C351" s="236">
        <f>'побудинковий звіт'!E351</f>
        <v>3581.3</v>
      </c>
      <c r="D351" s="141">
        <f t="shared" si="197"/>
        <v>431.09737318222847</v>
      </c>
      <c r="E351" s="107">
        <f t="shared" si="191"/>
        <v>88.860800933744684</v>
      </c>
      <c r="F351" s="333">
        <v>71.422808335895553</v>
      </c>
      <c r="G351" s="107">
        <f t="shared" si="192"/>
        <v>0</v>
      </c>
      <c r="H351" s="735">
        <f t="shared" si="198"/>
        <v>360.17094558900396</v>
      </c>
      <c r="I351" s="107">
        <f t="shared" si="199"/>
        <v>122.47694598376381</v>
      </c>
      <c r="J351" s="29"/>
      <c r="K351" s="142">
        <f t="shared" si="200"/>
        <v>1074.0288740246365</v>
      </c>
      <c r="L351" s="210">
        <f t="shared" si="201"/>
        <v>86.332436426341374</v>
      </c>
      <c r="M351" s="107">
        <f t="shared" si="193"/>
        <v>18.994683538603596</v>
      </c>
      <c r="N351" s="333">
        <v>0</v>
      </c>
      <c r="O351" s="107"/>
      <c r="P351" s="107">
        <f t="shared" si="202"/>
        <v>72.128565834554664</v>
      </c>
      <c r="Q351" s="107">
        <f t="shared" si="203"/>
        <v>22.840824345682492</v>
      </c>
      <c r="R351" s="107"/>
      <c r="S351" s="143">
        <f t="shared" si="204"/>
        <v>200.29651014518214</v>
      </c>
      <c r="T351" s="244">
        <v>344.44</v>
      </c>
      <c r="U351" s="107"/>
      <c r="V351" s="151">
        <f t="shared" si="205"/>
        <v>344.44</v>
      </c>
      <c r="W351" s="246"/>
      <c r="X351" s="107"/>
      <c r="Y351" s="46">
        <f t="shared" si="206"/>
        <v>0</v>
      </c>
      <c r="Z351" s="141">
        <f t="shared" si="207"/>
        <v>26.686807125807459</v>
      </c>
      <c r="AA351" s="107">
        <f t="shared" si="194"/>
        <v>5.8659714488793551</v>
      </c>
      <c r="AB351" s="333">
        <v>0</v>
      </c>
      <c r="AC351" s="107"/>
      <c r="AD351" s="107">
        <f t="shared" si="208"/>
        <v>22.29615199531835</v>
      </c>
      <c r="AE351" s="107">
        <f t="shared" si="209"/>
        <v>7.0597613317023127</v>
      </c>
      <c r="AF351" s="107"/>
      <c r="AG351" s="142">
        <f t="shared" si="210"/>
        <v>61.908691901707478</v>
      </c>
      <c r="AH351" s="210">
        <f t="shared" si="211"/>
        <v>284.39590472198159</v>
      </c>
      <c r="AI351" s="107">
        <f t="shared" si="195"/>
        <v>56.727226279241897</v>
      </c>
      <c r="AJ351" s="333">
        <v>40.201663487899019</v>
      </c>
      <c r="AK351" s="121">
        <f t="shared" si="196"/>
        <v>0</v>
      </c>
      <c r="AL351" s="107"/>
      <c r="AM351" s="107">
        <f t="shared" si="212"/>
        <v>237.60558123850569</v>
      </c>
      <c r="AN351" s="107">
        <f t="shared" si="213"/>
        <v>79.664283116714216</v>
      </c>
      <c r="AO351" s="107"/>
      <c r="AP351" s="143">
        <f t="shared" si="214"/>
        <v>698.59465884434235</v>
      </c>
      <c r="AQ351" s="34"/>
      <c r="AR351" s="29"/>
      <c r="AS351" s="124"/>
      <c r="AT351" s="138">
        <f t="shared" si="215"/>
        <v>1663.5746462681739</v>
      </c>
      <c r="AU351" s="151">
        <f t="shared" si="216"/>
        <v>4042.8433811840423</v>
      </c>
      <c r="AW351" s="1">
        <v>3</v>
      </c>
      <c r="BA351" s="30">
        <v>352.38</v>
      </c>
      <c r="BB351" s="30">
        <v>67.41</v>
      </c>
      <c r="BC351" s="30">
        <v>32.369999999999997</v>
      </c>
      <c r="BD351" s="30">
        <v>219.35</v>
      </c>
      <c r="BI351" s="333">
        <v>0</v>
      </c>
      <c r="BL351" s="110">
        <f t="shared" si="217"/>
        <v>1.2233877438623886</v>
      </c>
      <c r="BM351" s="110">
        <f t="shared" si="217"/>
        <v>1.2807066670574303</v>
      </c>
      <c r="BN351" s="110">
        <f t="shared" si="217"/>
        <v>0.82443024793968056</v>
      </c>
      <c r="BO351" s="110">
        <f t="shared" si="217"/>
        <v>1.2965393422474656</v>
      </c>
    </row>
    <row r="352" spans="1:67" x14ac:dyDescent="0.25">
      <c r="A352" s="260" t="s">
        <v>321</v>
      </c>
      <c r="B352" s="237">
        <v>5</v>
      </c>
      <c r="C352" s="236">
        <f>'побудинковий звіт'!E352</f>
        <v>4073.8</v>
      </c>
      <c r="D352" s="141">
        <f t="shared" si="197"/>
        <v>431.09737318222847</v>
      </c>
      <c r="E352" s="107">
        <f t="shared" si="191"/>
        <v>88.860800933744684</v>
      </c>
      <c r="F352" s="333">
        <v>70.977767992115574</v>
      </c>
      <c r="G352" s="107">
        <f t="shared" si="192"/>
        <v>0</v>
      </c>
      <c r="H352" s="735">
        <f t="shared" si="198"/>
        <v>360.17094558900396</v>
      </c>
      <c r="I352" s="107">
        <f t="shared" si="199"/>
        <v>122.4196635795781</v>
      </c>
      <c r="J352" s="29"/>
      <c r="K352" s="142">
        <f t="shared" si="200"/>
        <v>1073.5265512766707</v>
      </c>
      <c r="L352" s="210">
        <f t="shared" si="201"/>
        <v>86.332436426341374</v>
      </c>
      <c r="M352" s="107">
        <f t="shared" si="193"/>
        <v>18.994683538603596</v>
      </c>
      <c r="N352" s="333">
        <v>0</v>
      </c>
      <c r="O352" s="107"/>
      <c r="P352" s="107">
        <f t="shared" si="202"/>
        <v>72.128565834554664</v>
      </c>
      <c r="Q352" s="107">
        <f t="shared" si="203"/>
        <v>22.840824345682492</v>
      </c>
      <c r="R352" s="107"/>
      <c r="S352" s="143">
        <f t="shared" si="204"/>
        <v>200.29651014518214</v>
      </c>
      <c r="T352" s="244">
        <v>344.6</v>
      </c>
      <c r="U352" s="107"/>
      <c r="V352" s="151">
        <f t="shared" si="205"/>
        <v>344.6</v>
      </c>
      <c r="W352" s="246"/>
      <c r="X352" s="107"/>
      <c r="Y352" s="46">
        <f t="shared" si="206"/>
        <v>0</v>
      </c>
      <c r="Z352" s="141">
        <f t="shared" si="207"/>
        <v>26.686807125807459</v>
      </c>
      <c r="AA352" s="107">
        <f t="shared" si="194"/>
        <v>5.8659714488793551</v>
      </c>
      <c r="AB352" s="333">
        <v>0</v>
      </c>
      <c r="AC352" s="107"/>
      <c r="AD352" s="107">
        <f t="shared" si="208"/>
        <v>22.29615199531835</v>
      </c>
      <c r="AE352" s="107">
        <f t="shared" si="209"/>
        <v>7.0597613317023127</v>
      </c>
      <c r="AF352" s="107"/>
      <c r="AG352" s="142">
        <f t="shared" si="210"/>
        <v>61.908691901707478</v>
      </c>
      <c r="AH352" s="210">
        <f t="shared" si="211"/>
        <v>284.39590472198159</v>
      </c>
      <c r="AI352" s="107">
        <f t="shared" si="195"/>
        <v>56.727226279241897</v>
      </c>
      <c r="AJ352" s="333">
        <v>39.951164206842463</v>
      </c>
      <c r="AK352" s="121">
        <f t="shared" si="196"/>
        <v>0</v>
      </c>
      <c r="AL352" s="107"/>
      <c r="AM352" s="107">
        <f t="shared" si="212"/>
        <v>237.60558123850569</v>
      </c>
      <c r="AN352" s="107">
        <f t="shared" si="213"/>
        <v>79.63204064416928</v>
      </c>
      <c r="AO352" s="107"/>
      <c r="AP352" s="143">
        <f t="shared" si="214"/>
        <v>698.31191709074085</v>
      </c>
      <c r="AQ352" s="34"/>
      <c r="AR352" s="29"/>
      <c r="AS352" s="124"/>
      <c r="AT352" s="138">
        <f t="shared" si="215"/>
        <v>1892.34925696459</v>
      </c>
      <c r="AU352" s="151">
        <f t="shared" si="216"/>
        <v>4270.9929273788912</v>
      </c>
      <c r="AW352" s="1">
        <v>3</v>
      </c>
      <c r="BA352" s="30">
        <v>352.38</v>
      </c>
      <c r="BB352" s="30">
        <v>67.41</v>
      </c>
      <c r="BC352" s="30">
        <v>32.369999999999997</v>
      </c>
      <c r="BD352" s="30">
        <v>219.35</v>
      </c>
      <c r="BI352" s="333">
        <v>0</v>
      </c>
      <c r="BL352" s="110">
        <f t="shared" si="217"/>
        <v>1.2233877438623886</v>
      </c>
      <c r="BM352" s="110">
        <f t="shared" si="217"/>
        <v>1.2807066670574303</v>
      </c>
      <c r="BN352" s="110">
        <f t="shared" si="217"/>
        <v>0.82443024793968056</v>
      </c>
      <c r="BO352" s="110">
        <f t="shared" si="217"/>
        <v>1.2965393422474656</v>
      </c>
    </row>
    <row r="353" spans="1:67" x14ac:dyDescent="0.25">
      <c r="A353" s="260" t="s">
        <v>322</v>
      </c>
      <c r="B353" s="237">
        <v>5</v>
      </c>
      <c r="C353" s="236">
        <f>'побудинковий звіт'!E353</f>
        <v>4387.3</v>
      </c>
      <c r="D353" s="141">
        <f t="shared" si="197"/>
        <v>431.04843767247394</v>
      </c>
      <c r="E353" s="107">
        <f t="shared" si="191"/>
        <v>88.850714004755091</v>
      </c>
      <c r="F353" s="333">
        <v>70.492129279792152</v>
      </c>
      <c r="G353" s="107">
        <f t="shared" si="192"/>
        <v>0</v>
      </c>
      <c r="H353" s="735">
        <f t="shared" si="198"/>
        <v>360.13006120900633</v>
      </c>
      <c r="I353" s="107">
        <f t="shared" si="199"/>
        <v>122.34429635445255</v>
      </c>
      <c r="J353" s="29"/>
      <c r="K353" s="142">
        <f t="shared" si="200"/>
        <v>1072.8656385204802</v>
      </c>
      <c r="L353" s="210">
        <f t="shared" si="201"/>
        <v>86.332436426341374</v>
      </c>
      <c r="M353" s="107">
        <f t="shared" si="193"/>
        <v>18.994683538603596</v>
      </c>
      <c r="N353" s="333">
        <v>0</v>
      </c>
      <c r="O353" s="107"/>
      <c r="P353" s="107">
        <f t="shared" si="202"/>
        <v>72.128565834554664</v>
      </c>
      <c r="Q353" s="107">
        <f t="shared" si="203"/>
        <v>22.840824345682492</v>
      </c>
      <c r="R353" s="107"/>
      <c r="S353" s="143">
        <f t="shared" si="204"/>
        <v>200.29651014518214</v>
      </c>
      <c r="T353" s="244">
        <v>344.53</v>
      </c>
      <c r="U353" s="107"/>
      <c r="V353" s="151">
        <f t="shared" si="205"/>
        <v>344.53</v>
      </c>
      <c r="W353" s="246"/>
      <c r="X353" s="107"/>
      <c r="Y353" s="46">
        <f t="shared" si="206"/>
        <v>0</v>
      </c>
      <c r="Z353" s="141">
        <f t="shared" si="207"/>
        <v>26.686807125807459</v>
      </c>
      <c r="AA353" s="107">
        <f t="shared" si="194"/>
        <v>5.8659714488793551</v>
      </c>
      <c r="AB353" s="333">
        <v>0</v>
      </c>
      <c r="AC353" s="107"/>
      <c r="AD353" s="107">
        <f t="shared" si="208"/>
        <v>22.29615199531835</v>
      </c>
      <c r="AE353" s="107">
        <f t="shared" si="209"/>
        <v>7.0597613317023127</v>
      </c>
      <c r="AF353" s="107"/>
      <c r="AG353" s="142">
        <f t="shared" si="210"/>
        <v>61.908691901707478</v>
      </c>
      <c r="AH353" s="210">
        <f t="shared" si="211"/>
        <v>284.34404314829169</v>
      </c>
      <c r="AI353" s="107">
        <f t="shared" si="195"/>
        <v>56.716881674495284</v>
      </c>
      <c r="AJ353" s="333">
        <v>39.677813374742648</v>
      </c>
      <c r="AK353" s="121">
        <f t="shared" si="196"/>
        <v>0</v>
      </c>
      <c r="AL353" s="107"/>
      <c r="AM353" s="107">
        <f t="shared" si="212"/>
        <v>237.56225220613942</v>
      </c>
      <c r="AN353" s="107">
        <f t="shared" si="213"/>
        <v>79.583273147574417</v>
      </c>
      <c r="AO353" s="107"/>
      <c r="AP353" s="143">
        <f t="shared" si="214"/>
        <v>697.88426355124352</v>
      </c>
      <c r="AQ353" s="34"/>
      <c r="AR353" s="29"/>
      <c r="AS353" s="124"/>
      <c r="AT353" s="138">
        <f t="shared" si="215"/>
        <v>2037.97532895104</v>
      </c>
      <c r="AU353" s="151">
        <f t="shared" si="216"/>
        <v>4415.4604330696529</v>
      </c>
      <c r="AW353" s="1">
        <v>3</v>
      </c>
      <c r="BA353" s="30">
        <v>352.34</v>
      </c>
      <c r="BB353" s="30">
        <v>67.41</v>
      </c>
      <c r="BC353" s="30">
        <v>32.369999999999997</v>
      </c>
      <c r="BD353" s="30">
        <v>219.31</v>
      </c>
      <c r="BI353" s="333">
        <v>0</v>
      </c>
      <c r="BL353" s="110">
        <f t="shared" si="217"/>
        <v>1.2233877438623886</v>
      </c>
      <c r="BM353" s="110">
        <f t="shared" si="217"/>
        <v>1.2807066670574303</v>
      </c>
      <c r="BN353" s="110">
        <f t="shared" si="217"/>
        <v>0.82443024793968056</v>
      </c>
      <c r="BO353" s="110">
        <f t="shared" si="217"/>
        <v>1.2965393422474656</v>
      </c>
    </row>
    <row r="354" spans="1:67" x14ac:dyDescent="0.25">
      <c r="A354" s="260" t="s">
        <v>323</v>
      </c>
      <c r="B354" s="237">
        <v>5</v>
      </c>
      <c r="C354" s="236">
        <f>'побудинковий звіт'!E354</f>
        <v>5235.7000000000007</v>
      </c>
      <c r="D354" s="141">
        <f t="shared" si="197"/>
        <v>850.02203831302609</v>
      </c>
      <c r="E354" s="107">
        <f t="shared" si="191"/>
        <v>175.21247828133019</v>
      </c>
      <c r="F354" s="333">
        <v>150.38612124948588</v>
      </c>
      <c r="G354" s="107">
        <f t="shared" si="192"/>
        <v>0</v>
      </c>
      <c r="H354" s="735">
        <f t="shared" si="198"/>
        <v>710.1719016536008</v>
      </c>
      <c r="I354" s="107">
        <f t="shared" si="199"/>
        <v>242.72570333827571</v>
      </c>
      <c r="J354" s="29"/>
      <c r="K354" s="142">
        <f t="shared" si="200"/>
        <v>2128.5182428357189</v>
      </c>
      <c r="L354" s="210">
        <f t="shared" si="201"/>
        <v>173.93277245306962</v>
      </c>
      <c r="M354" s="107">
        <f t="shared" si="193"/>
        <v>38.26832771662594</v>
      </c>
      <c r="N354" s="333">
        <v>0</v>
      </c>
      <c r="O354" s="107"/>
      <c r="P354" s="107">
        <f t="shared" si="202"/>
        <v>145.31642969872229</v>
      </c>
      <c r="Q354" s="107">
        <f t="shared" si="203"/>
        <v>46.0170947097929</v>
      </c>
      <c r="R354" s="107"/>
      <c r="S354" s="143">
        <f t="shared" si="204"/>
        <v>403.53462457821075</v>
      </c>
      <c r="T354" s="244">
        <v>722.32</v>
      </c>
      <c r="U354" s="107"/>
      <c r="V354" s="151">
        <f t="shared" si="205"/>
        <v>722.32</v>
      </c>
      <c r="W354" s="246"/>
      <c r="X354" s="107"/>
      <c r="Y354" s="46">
        <f t="shared" si="206"/>
        <v>0</v>
      </c>
      <c r="Z354" s="141">
        <f t="shared" si="207"/>
        <v>55.838660692954569</v>
      </c>
      <c r="AA354" s="107">
        <f t="shared" si="194"/>
        <v>12.273779617936322</v>
      </c>
      <c r="AB354" s="333">
        <v>0</v>
      </c>
      <c r="AC354" s="107"/>
      <c r="AD354" s="107">
        <f t="shared" si="208"/>
        <v>46.651787909882977</v>
      </c>
      <c r="AE354" s="107">
        <f t="shared" si="209"/>
        <v>14.7716291317948</v>
      </c>
      <c r="AF354" s="107"/>
      <c r="AG354" s="142">
        <f t="shared" si="210"/>
        <v>129.53585735256868</v>
      </c>
      <c r="AH354" s="210">
        <f t="shared" si="211"/>
        <v>810.46674283889081</v>
      </c>
      <c r="AI354" s="107">
        <f t="shared" si="195"/>
        <v>161.6603106777028</v>
      </c>
      <c r="AJ354" s="333">
        <v>84.64764100690978</v>
      </c>
      <c r="AK354" s="121">
        <f t="shared" si="196"/>
        <v>0</v>
      </c>
      <c r="AL354" s="107"/>
      <c r="AM354" s="107">
        <f t="shared" si="212"/>
        <v>677.12445330380638</v>
      </c>
      <c r="AN354" s="107">
        <f t="shared" si="213"/>
        <v>223.17507433038142</v>
      </c>
      <c r="AO354" s="107"/>
      <c r="AP354" s="143">
        <f t="shared" si="214"/>
        <v>1957.0742221576911</v>
      </c>
      <c r="AQ354" s="34"/>
      <c r="AR354" s="29"/>
      <c r="AS354" s="124"/>
      <c r="AT354" s="138">
        <f t="shared" si="215"/>
        <v>2432.0715314177196</v>
      </c>
      <c r="AU354" s="151">
        <f t="shared" si="216"/>
        <v>7773.0544783419091</v>
      </c>
      <c r="AW354" s="1">
        <v>3</v>
      </c>
      <c r="BA354" s="30">
        <v>694.81</v>
      </c>
      <c r="BB354" s="30">
        <v>135.81</v>
      </c>
      <c r="BC354" s="30">
        <v>67.73</v>
      </c>
      <c r="BD354" s="30">
        <v>625.1</v>
      </c>
      <c r="BI354" s="333">
        <v>0</v>
      </c>
      <c r="BL354" s="110">
        <f t="shared" si="217"/>
        <v>1.2233877438623886</v>
      </c>
      <c r="BM354" s="110">
        <f t="shared" si="217"/>
        <v>1.2807066670574303</v>
      </c>
      <c r="BN354" s="110">
        <f t="shared" si="217"/>
        <v>0.82443024793968056</v>
      </c>
      <c r="BO354" s="110">
        <f t="shared" si="217"/>
        <v>1.2965393422474656</v>
      </c>
    </row>
    <row r="355" spans="1:67" x14ac:dyDescent="0.25">
      <c r="A355" s="260" t="s">
        <v>324</v>
      </c>
      <c r="B355" s="237">
        <v>5</v>
      </c>
      <c r="C355" s="236">
        <f>'побудинковий звіт'!E355</f>
        <v>3936.36</v>
      </c>
      <c r="D355" s="141">
        <f t="shared" si="197"/>
        <v>650.54866667626379</v>
      </c>
      <c r="E355" s="107">
        <f t="shared" si="191"/>
        <v>134.09563398753639</v>
      </c>
      <c r="F355" s="333">
        <v>114.23301710985345</v>
      </c>
      <c r="G355" s="107">
        <f t="shared" si="192"/>
        <v>0</v>
      </c>
      <c r="H355" s="735">
        <f t="shared" si="198"/>
        <v>543.51694768831601</v>
      </c>
      <c r="I355" s="107">
        <f t="shared" si="199"/>
        <v>185.65465460408183</v>
      </c>
      <c r="J355" s="29"/>
      <c r="K355" s="142">
        <f t="shared" si="200"/>
        <v>1628.0489200660513</v>
      </c>
      <c r="L355" s="210">
        <f t="shared" si="201"/>
        <v>130.81137897324592</v>
      </c>
      <c r="M355" s="107">
        <f t="shared" si="193"/>
        <v>28.780848192152071</v>
      </c>
      <c r="N355" s="333">
        <v>18.400000000000002</v>
      </c>
      <c r="O355" s="107"/>
      <c r="P355" s="107">
        <f t="shared" si="202"/>
        <v>109.2895967117848</v>
      </c>
      <c r="Q355" s="107">
        <f t="shared" si="203"/>
        <v>36.97685789735641</v>
      </c>
      <c r="R355" s="107"/>
      <c r="S355" s="143">
        <f t="shared" si="204"/>
        <v>324.25868177453918</v>
      </c>
      <c r="T355" s="244">
        <v>540.15</v>
      </c>
      <c r="U355" s="107"/>
      <c r="V355" s="151">
        <f t="shared" si="205"/>
        <v>540.15</v>
      </c>
      <c r="W355" s="246"/>
      <c r="X355" s="107"/>
      <c r="Y355" s="46">
        <f t="shared" si="206"/>
        <v>0</v>
      </c>
      <c r="Z355" s="141">
        <f t="shared" si="207"/>
        <v>36.077067649840423</v>
      </c>
      <c r="AA355" s="107">
        <f t="shared" si="194"/>
        <v>7.9300250417967435</v>
      </c>
      <c r="AB355" s="333">
        <v>0</v>
      </c>
      <c r="AC355" s="107"/>
      <c r="AD355" s="107">
        <f t="shared" si="208"/>
        <v>30.141477025490609</v>
      </c>
      <c r="AE355" s="107">
        <f t="shared" si="209"/>
        <v>9.5438725942321039</v>
      </c>
      <c r="AF355" s="107"/>
      <c r="AG355" s="142">
        <f t="shared" si="210"/>
        <v>83.692442311359869</v>
      </c>
      <c r="AH355" s="210">
        <f t="shared" si="211"/>
        <v>518.01932880155243</v>
      </c>
      <c r="AI355" s="107">
        <f t="shared" si="195"/>
        <v>103.32708451154916</v>
      </c>
      <c r="AJ355" s="333">
        <v>130.15069017281235</v>
      </c>
      <c r="AK355" s="121">
        <f t="shared" si="196"/>
        <v>0</v>
      </c>
      <c r="AL355" s="107"/>
      <c r="AM355" s="107">
        <f t="shared" si="212"/>
        <v>432.79203979043797</v>
      </c>
      <c r="AN355" s="107">
        <f t="shared" si="213"/>
        <v>152.43321268745865</v>
      </c>
      <c r="AO355" s="107"/>
      <c r="AP355" s="143">
        <f t="shared" si="214"/>
        <v>1336.7223559638105</v>
      </c>
      <c r="AQ355" s="34"/>
      <c r="AR355" s="29"/>
      <c r="AS355" s="124"/>
      <c r="AT355" s="138">
        <f t="shared" si="215"/>
        <v>1828.5060437785689</v>
      </c>
      <c r="AU355" s="151">
        <f t="shared" si="216"/>
        <v>5741.3784438943303</v>
      </c>
      <c r="AW355" s="1">
        <v>3</v>
      </c>
      <c r="BA355" s="30">
        <v>531.76</v>
      </c>
      <c r="BB355" s="30">
        <v>102.14</v>
      </c>
      <c r="BC355" s="30">
        <v>43.76</v>
      </c>
      <c r="BD355" s="30">
        <v>399.54</v>
      </c>
      <c r="BI355" s="333">
        <v>0</v>
      </c>
      <c r="BL355" s="110">
        <f t="shared" si="217"/>
        <v>1.2233877438623886</v>
      </c>
      <c r="BM355" s="110">
        <f t="shared" si="217"/>
        <v>1.2807066670574303</v>
      </c>
      <c r="BN355" s="110">
        <f t="shared" si="217"/>
        <v>0.82443024793968056</v>
      </c>
      <c r="BO355" s="110">
        <f t="shared" si="217"/>
        <v>1.2965393422474656</v>
      </c>
    </row>
    <row r="356" spans="1:67" x14ac:dyDescent="0.25">
      <c r="A356" s="260" t="s">
        <v>325</v>
      </c>
      <c r="B356" s="237">
        <v>5</v>
      </c>
      <c r="C356" s="236">
        <f>'побудинковий звіт'!E356</f>
        <v>6307.74</v>
      </c>
      <c r="D356" s="141">
        <f t="shared" si="197"/>
        <v>675.76268807726763</v>
      </c>
      <c r="E356" s="107">
        <f t="shared" si="191"/>
        <v>139.29292414941983</v>
      </c>
      <c r="F356" s="333">
        <v>117.90485689773794</v>
      </c>
      <c r="G356" s="107">
        <f t="shared" si="192"/>
        <v>0</v>
      </c>
      <c r="H356" s="735">
        <f t="shared" si="198"/>
        <v>564.58262448208791</v>
      </c>
      <c r="I356" s="107">
        <f t="shared" si="199"/>
        <v>192.75301660271046</v>
      </c>
      <c r="J356" s="29"/>
      <c r="K356" s="142">
        <f t="shared" si="200"/>
        <v>1690.2961102092236</v>
      </c>
      <c r="L356" s="210">
        <f t="shared" si="201"/>
        <v>147.1788101782399</v>
      </c>
      <c r="M356" s="107">
        <f t="shared" si="193"/>
        <v>32.381976446466773</v>
      </c>
      <c r="N356" s="333">
        <v>0</v>
      </c>
      <c r="O356" s="107"/>
      <c r="P356" s="107">
        <f t="shared" si="202"/>
        <v>122.96417127587928</v>
      </c>
      <c r="Q356" s="107">
        <f t="shared" si="203"/>
        <v>38.938844886601871</v>
      </c>
      <c r="R356" s="107"/>
      <c r="S356" s="143">
        <f t="shared" si="204"/>
        <v>341.46380278718783</v>
      </c>
      <c r="T356" s="244">
        <v>559.80999999999995</v>
      </c>
      <c r="U356" s="107"/>
      <c r="V356" s="151">
        <f t="shared" si="205"/>
        <v>559.80999999999995</v>
      </c>
      <c r="W356" s="246"/>
      <c r="X356" s="107"/>
      <c r="Y356" s="46">
        <f t="shared" si="206"/>
        <v>0</v>
      </c>
      <c r="Z356" s="141">
        <f t="shared" si="207"/>
        <v>36.077067649840423</v>
      </c>
      <c r="AA356" s="107">
        <f t="shared" si="194"/>
        <v>7.9300250417967435</v>
      </c>
      <c r="AB356" s="333">
        <v>0</v>
      </c>
      <c r="AC356" s="107"/>
      <c r="AD356" s="107">
        <f t="shared" si="208"/>
        <v>30.141477025490609</v>
      </c>
      <c r="AE356" s="107">
        <f t="shared" si="209"/>
        <v>9.5438725942321039</v>
      </c>
      <c r="AF356" s="107"/>
      <c r="AG356" s="142">
        <f t="shared" si="210"/>
        <v>83.692442311359869</v>
      </c>
      <c r="AH356" s="210">
        <f t="shared" si="211"/>
        <v>532.29422695969697</v>
      </c>
      <c r="AI356" s="107">
        <f t="shared" si="195"/>
        <v>106.17443696805452</v>
      </c>
      <c r="AJ356" s="333">
        <v>66.3649538715988</v>
      </c>
      <c r="AK356" s="121">
        <f t="shared" si="196"/>
        <v>0</v>
      </c>
      <c r="AL356" s="107"/>
      <c r="AM356" s="107">
        <f t="shared" si="212"/>
        <v>444.71835594925238</v>
      </c>
      <c r="AN356" s="107">
        <f t="shared" si="213"/>
        <v>147.9620931294977</v>
      </c>
      <c r="AO356" s="107"/>
      <c r="AP356" s="143">
        <f t="shared" si="214"/>
        <v>1297.5140668781005</v>
      </c>
      <c r="AQ356" s="34"/>
      <c r="AR356" s="29"/>
      <c r="AS356" s="124"/>
      <c r="AT356" s="138">
        <f t="shared" si="215"/>
        <v>2930.0523104044928</v>
      </c>
      <c r="AU356" s="151">
        <f t="shared" si="216"/>
        <v>6902.8287325903648</v>
      </c>
      <c r="AW356" s="1">
        <v>3</v>
      </c>
      <c r="BA356" s="30">
        <v>552.37</v>
      </c>
      <c r="BB356" s="30">
        <v>114.92</v>
      </c>
      <c r="BC356" s="30">
        <v>43.76</v>
      </c>
      <c r="BD356" s="30">
        <v>410.55</v>
      </c>
      <c r="BI356" s="333">
        <v>0</v>
      </c>
      <c r="BL356" s="110">
        <f t="shared" si="217"/>
        <v>1.2233877438623886</v>
      </c>
      <c r="BM356" s="110">
        <f t="shared" si="217"/>
        <v>1.2807066670574303</v>
      </c>
      <c r="BN356" s="110">
        <f t="shared" si="217"/>
        <v>0.82443024793968056</v>
      </c>
      <c r="BO356" s="110">
        <f t="shared" si="217"/>
        <v>1.2965393422474656</v>
      </c>
    </row>
    <row r="357" spans="1:67" x14ac:dyDescent="0.25">
      <c r="A357" s="260" t="s">
        <v>326</v>
      </c>
      <c r="B357" s="237">
        <v>5</v>
      </c>
      <c r="C357" s="236">
        <f>'побудинковий звіт'!E357</f>
        <v>6280.52</v>
      </c>
      <c r="D357" s="141">
        <f t="shared" si="197"/>
        <v>680.38709374906739</v>
      </c>
      <c r="E357" s="107">
        <f t="shared" si="191"/>
        <v>140.24613893893553</v>
      </c>
      <c r="F357" s="333">
        <v>117.34727170951474</v>
      </c>
      <c r="G357" s="107">
        <f t="shared" si="192"/>
        <v>0</v>
      </c>
      <c r="H357" s="735">
        <f t="shared" si="198"/>
        <v>568.44619839186271</v>
      </c>
      <c r="I357" s="107">
        <f t="shared" si="199"/>
        <v>193.89645112264361</v>
      </c>
      <c r="J357" s="29"/>
      <c r="K357" s="142">
        <f t="shared" si="200"/>
        <v>1700.3231539120238</v>
      </c>
      <c r="L357" s="210">
        <f t="shared" si="201"/>
        <v>147.15319604489875</v>
      </c>
      <c r="M357" s="107">
        <f t="shared" si="193"/>
        <v>32.37634087799367</v>
      </c>
      <c r="N357" s="333">
        <v>0</v>
      </c>
      <c r="O357" s="107"/>
      <c r="P357" s="107">
        <f t="shared" si="202"/>
        <v>122.94277131568508</v>
      </c>
      <c r="Q357" s="107">
        <f t="shared" si="203"/>
        <v>38.932068199360906</v>
      </c>
      <c r="R357" s="107"/>
      <c r="S357" s="143">
        <f t="shared" si="204"/>
        <v>341.40437643793842</v>
      </c>
      <c r="T357" s="244">
        <v>550.30999999999995</v>
      </c>
      <c r="U357" s="107"/>
      <c r="V357" s="151">
        <f t="shared" si="205"/>
        <v>550.30999999999995</v>
      </c>
      <c r="W357" s="246"/>
      <c r="X357" s="107"/>
      <c r="Y357" s="46">
        <f t="shared" si="206"/>
        <v>0</v>
      </c>
      <c r="Z357" s="141">
        <f t="shared" si="207"/>
        <v>36.077067649840423</v>
      </c>
      <c r="AA357" s="107">
        <f t="shared" si="194"/>
        <v>7.9300250417967435</v>
      </c>
      <c r="AB357" s="333">
        <v>0</v>
      </c>
      <c r="AC357" s="107"/>
      <c r="AD357" s="107">
        <f t="shared" si="208"/>
        <v>30.141477025490609</v>
      </c>
      <c r="AE357" s="107">
        <f t="shared" si="209"/>
        <v>9.5438725942321039</v>
      </c>
      <c r="AF357" s="107"/>
      <c r="AG357" s="142">
        <f t="shared" si="210"/>
        <v>83.692442311359869</v>
      </c>
      <c r="AH357" s="210">
        <f t="shared" si="211"/>
        <v>538.05086163927581</v>
      </c>
      <c r="AI357" s="107">
        <f t="shared" si="195"/>
        <v>107.32268809492864</v>
      </c>
      <c r="AJ357" s="333">
        <v>66.051106619928632</v>
      </c>
      <c r="AK357" s="121">
        <f t="shared" si="196"/>
        <v>0</v>
      </c>
      <c r="AL357" s="107"/>
      <c r="AM357" s="107">
        <f t="shared" si="212"/>
        <v>449.52787854190785</v>
      </c>
      <c r="AN357" s="107">
        <f t="shared" si="213"/>
        <v>149.42949167149237</v>
      </c>
      <c r="AO357" s="107"/>
      <c r="AP357" s="143">
        <f t="shared" si="214"/>
        <v>1310.3820265675333</v>
      </c>
      <c r="AQ357" s="34"/>
      <c r="AR357" s="29"/>
      <c r="AS357" s="124"/>
      <c r="AT357" s="138">
        <f t="shared" si="215"/>
        <v>2917.4081583168659</v>
      </c>
      <c r="AU357" s="151">
        <f t="shared" si="216"/>
        <v>6903.5201575457213</v>
      </c>
      <c r="AW357" s="1">
        <v>3</v>
      </c>
      <c r="BA357" s="30">
        <v>556.15</v>
      </c>
      <c r="BB357" s="30">
        <v>114.9</v>
      </c>
      <c r="BC357" s="30">
        <v>43.76</v>
      </c>
      <c r="BD357" s="30">
        <v>414.99</v>
      </c>
      <c r="BI357" s="333">
        <v>0</v>
      </c>
      <c r="BL357" s="110">
        <f t="shared" si="217"/>
        <v>1.2233877438623886</v>
      </c>
      <c r="BM357" s="110">
        <f t="shared" si="217"/>
        <v>1.2807066670574303</v>
      </c>
      <c r="BN357" s="110">
        <f t="shared" si="217"/>
        <v>0.82443024793968056</v>
      </c>
      <c r="BO357" s="110">
        <f t="shared" si="217"/>
        <v>1.2965393422474656</v>
      </c>
    </row>
    <row r="358" spans="1:67" x14ac:dyDescent="0.25">
      <c r="A358" s="260" t="s">
        <v>327</v>
      </c>
      <c r="B358" s="237">
        <v>5</v>
      </c>
      <c r="C358" s="236">
        <f>'побудинковий звіт'!E358</f>
        <v>6335.19</v>
      </c>
      <c r="D358" s="141">
        <f t="shared" si="197"/>
        <v>680.52166640089229</v>
      </c>
      <c r="E358" s="107">
        <f t="shared" si="191"/>
        <v>140.2738779936569</v>
      </c>
      <c r="F358" s="333">
        <v>117.01323449998011</v>
      </c>
      <c r="G358" s="107">
        <f t="shared" si="192"/>
        <v>0</v>
      </c>
      <c r="H358" s="735">
        <f t="shared" si="198"/>
        <v>568.55863043685611</v>
      </c>
      <c r="I358" s="107">
        <f t="shared" si="199"/>
        <v>193.88881929358831</v>
      </c>
      <c r="J358" s="29"/>
      <c r="K358" s="142">
        <f t="shared" si="200"/>
        <v>1700.2562286249736</v>
      </c>
      <c r="L358" s="210">
        <f t="shared" si="201"/>
        <v>147.1788101782399</v>
      </c>
      <c r="M358" s="107">
        <f t="shared" si="193"/>
        <v>32.381976446466773</v>
      </c>
      <c r="N358" s="333">
        <v>0</v>
      </c>
      <c r="O358" s="107"/>
      <c r="P358" s="107">
        <f t="shared" si="202"/>
        <v>122.96417127587928</v>
      </c>
      <c r="Q358" s="107">
        <f t="shared" si="203"/>
        <v>38.938844886601871</v>
      </c>
      <c r="R358" s="107"/>
      <c r="S358" s="143">
        <f t="shared" si="204"/>
        <v>341.46380278718783</v>
      </c>
      <c r="T358" s="244">
        <v>554.05999999999995</v>
      </c>
      <c r="U358" s="107"/>
      <c r="V358" s="151">
        <f t="shared" si="205"/>
        <v>554.05999999999995</v>
      </c>
      <c r="W358" s="246"/>
      <c r="X358" s="107"/>
      <c r="Y358" s="46">
        <f t="shared" si="206"/>
        <v>0</v>
      </c>
      <c r="Z358" s="141">
        <f t="shared" si="207"/>
        <v>36.077067649840423</v>
      </c>
      <c r="AA358" s="107">
        <f t="shared" si="194"/>
        <v>7.9300250417967435</v>
      </c>
      <c r="AB358" s="333">
        <v>0</v>
      </c>
      <c r="AC358" s="107"/>
      <c r="AD358" s="107">
        <f t="shared" si="208"/>
        <v>30.141477025490609</v>
      </c>
      <c r="AE358" s="107">
        <f t="shared" si="209"/>
        <v>9.5438725942321039</v>
      </c>
      <c r="AF358" s="107"/>
      <c r="AG358" s="142">
        <f t="shared" si="210"/>
        <v>83.692442311359869</v>
      </c>
      <c r="AH358" s="210">
        <f t="shared" si="211"/>
        <v>538.5176158024849</v>
      </c>
      <c r="AI358" s="107">
        <f t="shared" si="195"/>
        <v>107.41578953764815</v>
      </c>
      <c r="AJ358" s="333">
        <v>65.86308752906632</v>
      </c>
      <c r="AK358" s="121">
        <f t="shared" si="196"/>
        <v>0</v>
      </c>
      <c r="AL358" s="107"/>
      <c r="AM358" s="107">
        <f t="shared" si="212"/>
        <v>449.91783983320425</v>
      </c>
      <c r="AN358" s="107">
        <f t="shared" si="213"/>
        <v>149.52754482658662</v>
      </c>
      <c r="AO358" s="107"/>
      <c r="AP358" s="143">
        <f t="shared" si="214"/>
        <v>1311.2418775289902</v>
      </c>
      <c r="AQ358" s="34"/>
      <c r="AR358" s="29"/>
      <c r="AS358" s="124"/>
      <c r="AT358" s="138">
        <f t="shared" si="215"/>
        <v>2942.8033013966078</v>
      </c>
      <c r="AU358" s="151">
        <f t="shared" si="216"/>
        <v>6933.5176526491196</v>
      </c>
      <c r="AW358" s="1">
        <v>3</v>
      </c>
      <c r="BA358" s="30">
        <v>556.26</v>
      </c>
      <c r="BB358" s="30">
        <v>114.92</v>
      </c>
      <c r="BC358" s="30">
        <v>43.76</v>
      </c>
      <c r="BD358" s="30">
        <v>415.35</v>
      </c>
      <c r="BI358" s="333">
        <v>0</v>
      </c>
      <c r="BL358" s="110">
        <f t="shared" si="217"/>
        <v>1.2233877438623886</v>
      </c>
      <c r="BM358" s="110">
        <f t="shared" si="217"/>
        <v>1.2807066670574303</v>
      </c>
      <c r="BN358" s="110">
        <f t="shared" si="217"/>
        <v>0.82443024793968056</v>
      </c>
      <c r="BO358" s="110">
        <f t="shared" si="217"/>
        <v>1.2965393422474656</v>
      </c>
    </row>
    <row r="359" spans="1:67" x14ac:dyDescent="0.25">
      <c r="A359" s="260" t="s">
        <v>328</v>
      </c>
      <c r="B359" s="237">
        <v>5</v>
      </c>
      <c r="C359" s="236">
        <f>'побудинковий звіт'!E359</f>
        <v>6277.35</v>
      </c>
      <c r="D359" s="141">
        <f t="shared" si="197"/>
        <v>893.90495668537005</v>
      </c>
      <c r="E359" s="107">
        <f t="shared" si="191"/>
        <v>184.25793185274011</v>
      </c>
      <c r="F359" s="333">
        <v>158.63761118009009</v>
      </c>
      <c r="G359" s="107">
        <f t="shared" si="192"/>
        <v>0</v>
      </c>
      <c r="H359" s="735">
        <f t="shared" si="198"/>
        <v>746.83496941646354</v>
      </c>
      <c r="I359" s="107">
        <f t="shared" si="199"/>
        <v>255.31934416326317</v>
      </c>
      <c r="J359" s="29"/>
      <c r="K359" s="142">
        <f t="shared" si="200"/>
        <v>2238.9548132979271</v>
      </c>
      <c r="L359" s="210">
        <f t="shared" si="201"/>
        <v>196.53724512663325</v>
      </c>
      <c r="M359" s="107">
        <f t="shared" si="193"/>
        <v>43.241716894141931</v>
      </c>
      <c r="N359" s="333">
        <v>0</v>
      </c>
      <c r="O359" s="107"/>
      <c r="P359" s="107">
        <f t="shared" si="202"/>
        <v>164.20189457010471</v>
      </c>
      <c r="Q359" s="107">
        <f t="shared" si="203"/>
        <v>51.997521199947116</v>
      </c>
      <c r="R359" s="107"/>
      <c r="S359" s="143">
        <f t="shared" si="204"/>
        <v>455.97837779082698</v>
      </c>
      <c r="T359" s="244">
        <v>763.5</v>
      </c>
      <c r="U359" s="107"/>
      <c r="V359" s="151">
        <f t="shared" si="205"/>
        <v>763.5</v>
      </c>
      <c r="W359" s="246"/>
      <c r="X359" s="107"/>
      <c r="Y359" s="46">
        <f t="shared" si="206"/>
        <v>0</v>
      </c>
      <c r="Z359" s="141">
        <f t="shared" si="207"/>
        <v>55.838660692954569</v>
      </c>
      <c r="AA359" s="107">
        <f t="shared" si="194"/>
        <v>12.273779617936322</v>
      </c>
      <c r="AB359" s="333">
        <v>0</v>
      </c>
      <c r="AC359" s="107"/>
      <c r="AD359" s="107">
        <f t="shared" si="208"/>
        <v>46.651787909882977</v>
      </c>
      <c r="AE359" s="107">
        <f t="shared" si="209"/>
        <v>14.7716291317948</v>
      </c>
      <c r="AF359" s="107"/>
      <c r="AG359" s="142">
        <f t="shared" si="210"/>
        <v>129.53585735256868</v>
      </c>
      <c r="AH359" s="210">
        <f t="shared" si="211"/>
        <v>854.28977260685508</v>
      </c>
      <c r="AI359" s="107">
        <f t="shared" si="195"/>
        <v>170.40150168859122</v>
      </c>
      <c r="AJ359" s="333">
        <v>89.292146441418453</v>
      </c>
      <c r="AK359" s="121">
        <f t="shared" si="196"/>
        <v>0</v>
      </c>
      <c r="AL359" s="107"/>
      <c r="AM359" s="107">
        <f t="shared" si="212"/>
        <v>713.73748565330015</v>
      </c>
      <c r="AN359" s="107">
        <f t="shared" si="213"/>
        <v>235.25113882773692</v>
      </c>
      <c r="AO359" s="107"/>
      <c r="AP359" s="143">
        <f t="shared" si="214"/>
        <v>2062.9720452179022</v>
      </c>
      <c r="AQ359" s="34"/>
      <c r="AR359" s="29"/>
      <c r="AS359" s="124"/>
      <c r="AT359" s="138">
        <f t="shared" si="215"/>
        <v>2915.9356395028403</v>
      </c>
      <c r="AU359" s="151">
        <f t="shared" si="216"/>
        <v>8566.8767331620656</v>
      </c>
      <c r="AW359" s="1">
        <v>3</v>
      </c>
      <c r="BA359" s="30">
        <v>730.68</v>
      </c>
      <c r="BB359" s="30">
        <v>153.46</v>
      </c>
      <c r="BC359" s="30">
        <v>67.73</v>
      </c>
      <c r="BD359" s="30">
        <v>658.9</v>
      </c>
      <c r="BI359" s="333">
        <v>0</v>
      </c>
      <c r="BL359" s="110">
        <f t="shared" si="217"/>
        <v>1.2233877438623886</v>
      </c>
      <c r="BM359" s="110">
        <f t="shared" si="217"/>
        <v>1.2807066670574303</v>
      </c>
      <c r="BN359" s="110">
        <f t="shared" si="217"/>
        <v>0.82443024793968056</v>
      </c>
      <c r="BO359" s="110">
        <f t="shared" si="217"/>
        <v>1.2965393422474656</v>
      </c>
    </row>
    <row r="360" spans="1:67" x14ac:dyDescent="0.25">
      <c r="A360" s="260" t="s">
        <v>236</v>
      </c>
      <c r="B360" s="237">
        <v>4</v>
      </c>
      <c r="C360" s="236">
        <f>'побудинковий звіт'!E360</f>
        <v>6294.3099999999995</v>
      </c>
      <c r="D360" s="141">
        <f t="shared" si="197"/>
        <v>247.38038059924949</v>
      </c>
      <c r="E360" s="107">
        <f t="shared" si="191"/>
        <v>50.991771518059686</v>
      </c>
      <c r="F360" s="333">
        <v>51.171171983999457</v>
      </c>
      <c r="G360" s="107">
        <f t="shared" si="192"/>
        <v>0</v>
      </c>
      <c r="H360" s="735">
        <f t="shared" si="198"/>
        <v>206.68004757926556</v>
      </c>
      <c r="I360" s="107">
        <f t="shared" si="199"/>
        <v>71.593086872819057</v>
      </c>
      <c r="J360" s="29"/>
      <c r="K360" s="142">
        <f t="shared" si="200"/>
        <v>627.8164585533932</v>
      </c>
      <c r="L360" s="210">
        <f t="shared" si="201"/>
        <v>41.403852130276128</v>
      </c>
      <c r="M360" s="107">
        <f t="shared" si="193"/>
        <v>9.1095896403286751</v>
      </c>
      <c r="N360" s="333">
        <v>0</v>
      </c>
      <c r="O360" s="107"/>
      <c r="P360" s="107">
        <f t="shared" si="202"/>
        <v>34.591870654904746</v>
      </c>
      <c r="Q360" s="107">
        <f t="shared" si="203"/>
        <v>10.954146006861698</v>
      </c>
      <c r="R360" s="107"/>
      <c r="S360" s="143">
        <f t="shared" si="204"/>
        <v>96.05945843237123</v>
      </c>
      <c r="T360" s="905">
        <v>285.93</v>
      </c>
      <c r="U360" s="107"/>
      <c r="V360" s="151">
        <f t="shared" si="205"/>
        <v>285.93</v>
      </c>
      <c r="W360" s="246"/>
      <c r="X360" s="107"/>
      <c r="Y360" s="46">
        <f t="shared" si="206"/>
        <v>0</v>
      </c>
      <c r="Z360" s="141">
        <f t="shared" si="207"/>
        <v>0</v>
      </c>
      <c r="AA360" s="107">
        <f t="shared" si="194"/>
        <v>0</v>
      </c>
      <c r="AB360" s="333">
        <v>0</v>
      </c>
      <c r="AC360" s="107"/>
      <c r="AD360" s="107">
        <f t="shared" si="208"/>
        <v>0</v>
      </c>
      <c r="AE360" s="107">
        <f t="shared" si="209"/>
        <v>0</v>
      </c>
      <c r="AF360" s="107"/>
      <c r="AG360" s="142">
        <f t="shared" si="210"/>
        <v>0</v>
      </c>
      <c r="AH360" s="210">
        <f t="shared" si="211"/>
        <v>157.58682029778194</v>
      </c>
      <c r="AI360" s="107">
        <f t="shared" si="195"/>
        <v>31.433164350230374</v>
      </c>
      <c r="AJ360" s="333">
        <v>20.090781181895245</v>
      </c>
      <c r="AK360" s="121">
        <f t="shared" si="196"/>
        <v>0</v>
      </c>
      <c r="AL360" s="107"/>
      <c r="AM360" s="107">
        <f t="shared" si="212"/>
        <v>131.6598003370909</v>
      </c>
      <c r="AN360" s="107">
        <f t="shared" si="213"/>
        <v>43.861545539845039</v>
      </c>
      <c r="AO360" s="107"/>
      <c r="AP360" s="143">
        <f t="shared" si="214"/>
        <v>384.63211170684355</v>
      </c>
      <c r="AQ360" s="34"/>
      <c r="AR360" s="29"/>
      <c r="AS360" s="124"/>
      <c r="AT360" s="138">
        <f t="shared" si="215"/>
        <v>2923.8138474163652</v>
      </c>
      <c r="AU360" s="151">
        <f t="shared" si="216"/>
        <v>4318.2518761089732</v>
      </c>
      <c r="AW360" s="1">
        <v>2</v>
      </c>
      <c r="BA360" s="30">
        <v>225.55</v>
      </c>
      <c r="BB360" s="30">
        <v>37.21</v>
      </c>
      <c r="BC360" s="30">
        <v>0</v>
      </c>
      <c r="BD360" s="30">
        <v>151.97999999999999</v>
      </c>
      <c r="BF360" s="289">
        <f t="shared" ref="BF360:BF367" si="218">T360*1.2</f>
        <v>343.11599999999999</v>
      </c>
      <c r="BI360" s="333">
        <v>0</v>
      </c>
      <c r="BL360" s="110">
        <f t="shared" ref="BL360:BO367" si="219">BA$398</f>
        <v>1.0967873225415627</v>
      </c>
      <c r="BM360" s="110">
        <f t="shared" si="219"/>
        <v>1.1127076627324948</v>
      </c>
      <c r="BN360" s="110">
        <f t="shared" si="219"/>
        <v>2.8314493742615632</v>
      </c>
      <c r="BO360" s="110">
        <f t="shared" si="219"/>
        <v>1.036891829831438</v>
      </c>
    </row>
    <row r="361" spans="1:67" x14ac:dyDescent="0.25">
      <c r="A361" s="260" t="s">
        <v>329</v>
      </c>
      <c r="B361" s="237">
        <v>5</v>
      </c>
      <c r="C361" s="236">
        <f>'побудинковий звіт'!E361</f>
        <v>5426.72</v>
      </c>
      <c r="D361" s="141">
        <f t="shared" si="197"/>
        <v>476.74054548914108</v>
      </c>
      <c r="E361" s="107">
        <f t="shared" si="191"/>
        <v>98.269090338084695</v>
      </c>
      <c r="F361" s="333">
        <v>95.956324304221212</v>
      </c>
      <c r="G361" s="107">
        <f t="shared" si="192"/>
        <v>0</v>
      </c>
      <c r="H361" s="735">
        <f t="shared" si="198"/>
        <v>398.30466096776485</v>
      </c>
      <c r="I361" s="107">
        <f t="shared" si="199"/>
        <v>137.6288526597032</v>
      </c>
      <c r="J361" s="29"/>
      <c r="K361" s="142">
        <f t="shared" si="200"/>
        <v>1206.8994737589151</v>
      </c>
      <c r="L361" s="210">
        <f t="shared" si="201"/>
        <v>90.529895439915776</v>
      </c>
      <c r="M361" s="107">
        <f t="shared" si="193"/>
        <v>19.918199761815131</v>
      </c>
      <c r="N361" s="333">
        <v>0</v>
      </c>
      <c r="O361" s="107"/>
      <c r="P361" s="107">
        <f t="shared" si="202"/>
        <v>75.635436616045439</v>
      </c>
      <c r="Q361" s="107">
        <f t="shared" si="203"/>
        <v>23.95133886369976</v>
      </c>
      <c r="R361" s="107"/>
      <c r="S361" s="143">
        <f t="shared" si="204"/>
        <v>210.03487068147612</v>
      </c>
      <c r="T361" s="905">
        <v>546.98</v>
      </c>
      <c r="U361" s="107"/>
      <c r="V361" s="151">
        <f t="shared" si="205"/>
        <v>546.98</v>
      </c>
      <c r="W361" s="246"/>
      <c r="X361" s="107"/>
      <c r="Y361" s="46">
        <f t="shared" si="206"/>
        <v>0</v>
      </c>
      <c r="Z361" s="141">
        <f t="shared" si="207"/>
        <v>0</v>
      </c>
      <c r="AA361" s="107">
        <f t="shared" si="194"/>
        <v>0</v>
      </c>
      <c r="AB361" s="333">
        <v>0</v>
      </c>
      <c r="AC361" s="107"/>
      <c r="AD361" s="107">
        <f t="shared" si="208"/>
        <v>0</v>
      </c>
      <c r="AE361" s="107">
        <f t="shared" si="209"/>
        <v>0</v>
      </c>
      <c r="AF361" s="107"/>
      <c r="AG361" s="142">
        <f t="shared" si="210"/>
        <v>0</v>
      </c>
      <c r="AH361" s="210">
        <f t="shared" si="211"/>
        <v>342.2779930273577</v>
      </c>
      <c r="AI361" s="107">
        <f t="shared" si="195"/>
        <v>68.27271714706572</v>
      </c>
      <c r="AJ361" s="333">
        <v>37.674288859709797</v>
      </c>
      <c r="AK361" s="121">
        <f t="shared" si="196"/>
        <v>0</v>
      </c>
      <c r="AL361" s="107"/>
      <c r="AM361" s="107">
        <f t="shared" si="212"/>
        <v>285.96460120590677</v>
      </c>
      <c r="AN361" s="107">
        <f t="shared" si="213"/>
        <v>94.49962462435164</v>
      </c>
      <c r="AO361" s="107"/>
      <c r="AP361" s="143">
        <f t="shared" si="214"/>
        <v>828.68922486439169</v>
      </c>
      <c r="AQ361" s="34"/>
      <c r="AR361" s="29"/>
      <c r="AS361" s="124"/>
      <c r="AT361" s="138">
        <f t="shared" si="215"/>
        <v>2520.8035641796064</v>
      </c>
      <c r="AU361" s="151">
        <f t="shared" si="216"/>
        <v>5313.4071334843893</v>
      </c>
      <c r="AW361" s="1">
        <v>2</v>
      </c>
      <c r="BA361" s="30">
        <v>434.67</v>
      </c>
      <c r="BB361" s="30">
        <v>81.36</v>
      </c>
      <c r="BC361" s="30">
        <v>0</v>
      </c>
      <c r="BD361" s="30">
        <v>330.1</v>
      </c>
      <c r="BF361" s="289">
        <f t="shared" si="218"/>
        <v>656.37599999999998</v>
      </c>
      <c r="BI361" s="333">
        <v>0</v>
      </c>
      <c r="BL361" s="110">
        <f t="shared" si="219"/>
        <v>1.0967873225415627</v>
      </c>
      <c r="BM361" s="110">
        <f t="shared" si="219"/>
        <v>1.1127076627324948</v>
      </c>
      <c r="BN361" s="110">
        <f t="shared" si="219"/>
        <v>2.8314493742615632</v>
      </c>
      <c r="BO361" s="110">
        <f t="shared" si="219"/>
        <v>1.036891829831438</v>
      </c>
    </row>
    <row r="362" spans="1:67" x14ac:dyDescent="0.25">
      <c r="A362" s="260" t="s">
        <v>237</v>
      </c>
      <c r="B362" s="237">
        <v>4</v>
      </c>
      <c r="C362" s="236">
        <f>'побудинковий звіт'!E362</f>
        <v>3614.42</v>
      </c>
      <c r="D362" s="141">
        <f t="shared" si="197"/>
        <v>326.39293931514362</v>
      </c>
      <c r="E362" s="107">
        <f t="shared" si="191"/>
        <v>67.278391869028496</v>
      </c>
      <c r="F362" s="333">
        <v>57.44341519133058</v>
      </c>
      <c r="G362" s="107">
        <f t="shared" si="192"/>
        <v>0</v>
      </c>
      <c r="H362" s="735">
        <f t="shared" si="198"/>
        <v>272.69304082958826</v>
      </c>
      <c r="I362" s="107">
        <f t="shared" si="199"/>
        <v>93.163352039719385</v>
      </c>
      <c r="J362" s="29"/>
      <c r="K362" s="142">
        <f t="shared" si="200"/>
        <v>816.97113924481039</v>
      </c>
      <c r="L362" s="210">
        <f t="shared" si="201"/>
        <v>64.08083429676438</v>
      </c>
      <c r="M362" s="107">
        <f t="shared" si="193"/>
        <v>14.098932206034091</v>
      </c>
      <c r="N362" s="333">
        <v>0</v>
      </c>
      <c r="O362" s="107"/>
      <c r="P362" s="107">
        <f t="shared" si="202"/>
        <v>53.537915372640818</v>
      </c>
      <c r="Q362" s="107">
        <f t="shared" si="203"/>
        <v>16.953756208953653</v>
      </c>
      <c r="R362" s="107"/>
      <c r="S362" s="143">
        <f t="shared" si="204"/>
        <v>148.67143808439295</v>
      </c>
      <c r="T362" s="905">
        <v>329.04</v>
      </c>
      <c r="U362" s="107"/>
      <c r="V362" s="151">
        <f t="shared" si="205"/>
        <v>329.04</v>
      </c>
      <c r="W362" s="246"/>
      <c r="X362" s="107"/>
      <c r="Y362" s="46">
        <f t="shared" si="206"/>
        <v>0</v>
      </c>
      <c r="Z362" s="141">
        <f t="shared" si="207"/>
        <v>0</v>
      </c>
      <c r="AA362" s="107">
        <f t="shared" si="194"/>
        <v>0</v>
      </c>
      <c r="AB362" s="333">
        <v>0</v>
      </c>
      <c r="AC362" s="107"/>
      <c r="AD362" s="107">
        <f t="shared" si="208"/>
        <v>0</v>
      </c>
      <c r="AE362" s="107">
        <f t="shared" si="209"/>
        <v>0</v>
      </c>
      <c r="AF362" s="107"/>
      <c r="AG362" s="142">
        <f t="shared" si="210"/>
        <v>0</v>
      </c>
      <c r="AH362" s="210">
        <f t="shared" si="211"/>
        <v>242.12461118393909</v>
      </c>
      <c r="AI362" s="107">
        <f t="shared" si="195"/>
        <v>48.29555341112183</v>
      </c>
      <c r="AJ362" s="333">
        <v>22.553383872283522</v>
      </c>
      <c r="AK362" s="121">
        <f t="shared" si="196"/>
        <v>0</v>
      </c>
      <c r="AL362" s="107"/>
      <c r="AM362" s="107">
        <f t="shared" si="212"/>
        <v>202.28898523959796</v>
      </c>
      <c r="AN362" s="107">
        <f t="shared" si="213"/>
        <v>66.320901307208274</v>
      </c>
      <c r="AO362" s="107"/>
      <c r="AP362" s="143">
        <f t="shared" si="214"/>
        <v>581.58343501415061</v>
      </c>
      <c r="AQ362" s="34"/>
      <c r="AR362" s="29"/>
      <c r="AS362" s="124"/>
      <c r="AT362" s="138">
        <f t="shared" si="215"/>
        <v>1678.9594485143978</v>
      </c>
      <c r="AU362" s="151">
        <f t="shared" si="216"/>
        <v>3555.2254608577514</v>
      </c>
      <c r="AW362" s="1">
        <v>2</v>
      </c>
      <c r="BA362" s="30">
        <v>297.58999999999997</v>
      </c>
      <c r="BB362" s="30">
        <v>57.59</v>
      </c>
      <c r="BC362" s="30">
        <v>0</v>
      </c>
      <c r="BD362" s="30">
        <v>233.51</v>
      </c>
      <c r="BF362" s="289">
        <f t="shared" si="218"/>
        <v>394.84800000000001</v>
      </c>
      <c r="BI362" s="333">
        <v>0</v>
      </c>
      <c r="BL362" s="110">
        <f t="shared" si="219"/>
        <v>1.0967873225415627</v>
      </c>
      <c r="BM362" s="110">
        <f t="shared" si="219"/>
        <v>1.1127076627324948</v>
      </c>
      <c r="BN362" s="110">
        <f t="shared" si="219"/>
        <v>2.8314493742615632</v>
      </c>
      <c r="BO362" s="110">
        <f t="shared" si="219"/>
        <v>1.036891829831438</v>
      </c>
    </row>
    <row r="363" spans="1:67" x14ac:dyDescent="0.25">
      <c r="A363" s="260" t="s">
        <v>411</v>
      </c>
      <c r="B363" s="237">
        <v>9</v>
      </c>
      <c r="C363" s="236">
        <f>'побудинковий звіт'!E363</f>
        <v>3091.2000000000003</v>
      </c>
      <c r="D363" s="141">
        <f t="shared" si="197"/>
        <v>250.95590727073497</v>
      </c>
      <c r="E363" s="107">
        <f t="shared" si="191"/>
        <v>51.72878404365877</v>
      </c>
      <c r="F363" s="333">
        <v>50.681090432712814</v>
      </c>
      <c r="G363" s="107">
        <v>0</v>
      </c>
      <c r="H363" s="735">
        <f t="shared" si="198"/>
        <v>209.6673096280725</v>
      </c>
      <c r="I363" s="107">
        <f t="shared" si="199"/>
        <v>72.469585197947637</v>
      </c>
      <c r="J363" s="29"/>
      <c r="K363" s="142">
        <f t="shared" si="200"/>
        <v>635.50267657312668</v>
      </c>
      <c r="L363" s="210">
        <f t="shared" si="201"/>
        <v>37.44261285094845</v>
      </c>
      <c r="M363" s="107">
        <f t="shared" si="193"/>
        <v>8.2380459929336194</v>
      </c>
      <c r="N363" s="333">
        <v>0</v>
      </c>
      <c r="O363" s="107"/>
      <c r="P363" s="107">
        <f t="shared" si="202"/>
        <v>31.282355483406207</v>
      </c>
      <c r="Q363" s="107">
        <f t="shared" si="203"/>
        <v>9.9061277379977497</v>
      </c>
      <c r="R363" s="107"/>
      <c r="S363" s="143">
        <f t="shared" si="204"/>
        <v>86.869142065286027</v>
      </c>
      <c r="T363" s="905">
        <v>276.22500000000002</v>
      </c>
      <c r="U363" s="107"/>
      <c r="V363" s="151">
        <f t="shared" si="205"/>
        <v>276.22500000000002</v>
      </c>
      <c r="W363" s="907">
        <v>64.040000000000006</v>
      </c>
      <c r="X363" s="107"/>
      <c r="Y363" s="46">
        <f t="shared" si="206"/>
        <v>64.040000000000006</v>
      </c>
      <c r="Z363" s="141">
        <f t="shared" si="207"/>
        <v>37.346817246510014</v>
      </c>
      <c r="AA363" s="107">
        <f t="shared" si="194"/>
        <v>8.2091260540001478</v>
      </c>
      <c r="AB363" s="333">
        <v>0</v>
      </c>
      <c r="AC363" s="107"/>
      <c r="AD363" s="107">
        <f t="shared" si="208"/>
        <v>31.202320680180261</v>
      </c>
      <c r="AE363" s="107">
        <f t="shared" si="209"/>
        <v>9.8797737404896449</v>
      </c>
      <c r="AF363" s="107"/>
      <c r="AG363" s="142">
        <f t="shared" si="210"/>
        <v>86.638037721180069</v>
      </c>
      <c r="AH363" s="210">
        <f t="shared" si="211"/>
        <v>115.42679849683567</v>
      </c>
      <c r="AI363" s="107">
        <f t="shared" si="195"/>
        <v>23.023686376284019</v>
      </c>
      <c r="AJ363" s="333">
        <v>19.898365788101597</v>
      </c>
      <c r="AK363" s="121">
        <f t="shared" si="196"/>
        <v>0</v>
      </c>
      <c r="AL363" s="107"/>
      <c r="AM363" s="107">
        <f t="shared" si="212"/>
        <v>96.436169058592967</v>
      </c>
      <c r="AN363" s="107">
        <f t="shared" si="213"/>
        <v>32.794102116889945</v>
      </c>
      <c r="AO363" s="107"/>
      <c r="AP363" s="143">
        <f t="shared" si="214"/>
        <v>287.57912183670419</v>
      </c>
      <c r="AQ363" s="34"/>
      <c r="AR363" s="29"/>
      <c r="AS363" s="124"/>
      <c r="AT363" s="138">
        <f t="shared" si="215"/>
        <v>1435.9148763142377</v>
      </c>
      <c r="AU363" s="151">
        <f t="shared" si="216"/>
        <v>2872.7688545105348</v>
      </c>
      <c r="AW363" s="1">
        <v>2</v>
      </c>
      <c r="BA363" s="30">
        <v>228.81</v>
      </c>
      <c r="BB363" s="30">
        <v>33.65</v>
      </c>
      <c r="BC363" s="30">
        <v>13.19</v>
      </c>
      <c r="BD363" s="30">
        <v>111.32</v>
      </c>
      <c r="BF363" s="289">
        <f t="shared" si="218"/>
        <v>331.47</v>
      </c>
      <c r="BI363" s="333">
        <v>0</v>
      </c>
      <c r="BL363" s="110">
        <f t="shared" si="219"/>
        <v>1.0967873225415627</v>
      </c>
      <c r="BM363" s="110">
        <f t="shared" si="219"/>
        <v>1.1127076627324948</v>
      </c>
      <c r="BN363" s="110">
        <f t="shared" si="219"/>
        <v>2.8314493742615632</v>
      </c>
      <c r="BO363" s="110">
        <f t="shared" si="219"/>
        <v>1.036891829831438</v>
      </c>
    </row>
    <row r="364" spans="1:67" x14ac:dyDescent="0.25">
      <c r="A364" s="260" t="s">
        <v>330</v>
      </c>
      <c r="B364" s="237">
        <v>5</v>
      </c>
      <c r="C364" s="236">
        <f>'побудинковий звіт'!E364</f>
        <v>3432.7000000000003</v>
      </c>
      <c r="D364" s="141">
        <f t="shared" si="197"/>
        <v>317.23476517192159</v>
      </c>
      <c r="E364" s="107">
        <f t="shared" si="191"/>
        <v>65.390645062662742</v>
      </c>
      <c r="F364" s="333">
        <v>64.548544199279107</v>
      </c>
      <c r="G364" s="107">
        <f>$G$369/$C$368*C364</f>
        <v>0</v>
      </c>
      <c r="H364" s="735">
        <f t="shared" si="198"/>
        <v>265.04161809721467</v>
      </c>
      <c r="I364" s="107">
        <f t="shared" si="199"/>
        <v>91.671285229046816</v>
      </c>
      <c r="J364" s="29"/>
      <c r="K364" s="142">
        <f t="shared" si="200"/>
        <v>803.88685776012494</v>
      </c>
      <c r="L364" s="210">
        <f t="shared" si="201"/>
        <v>65.683133331099171</v>
      </c>
      <c r="M364" s="107">
        <f t="shared" si="193"/>
        <v>14.451466715092765</v>
      </c>
      <c r="N364" s="333">
        <v>0</v>
      </c>
      <c r="O364" s="107"/>
      <c r="P364" s="107">
        <f t="shared" si="202"/>
        <v>54.876595666730111</v>
      </c>
      <c r="Q364" s="107">
        <f t="shared" si="203"/>
        <v>17.377673710966036</v>
      </c>
      <c r="R364" s="107"/>
      <c r="S364" s="143">
        <f t="shared" si="204"/>
        <v>152.38886942388808</v>
      </c>
      <c r="T364" s="905">
        <v>360.85</v>
      </c>
      <c r="U364" s="107"/>
      <c r="V364" s="151">
        <f t="shared" si="205"/>
        <v>360.85</v>
      </c>
      <c r="W364" s="246"/>
      <c r="X364" s="107"/>
      <c r="Y364" s="46">
        <f t="shared" si="206"/>
        <v>0</v>
      </c>
      <c r="Z364" s="141">
        <f t="shared" si="207"/>
        <v>0</v>
      </c>
      <c r="AA364" s="107">
        <f t="shared" si="194"/>
        <v>0</v>
      </c>
      <c r="AB364" s="333">
        <v>0</v>
      </c>
      <c r="AC364" s="107"/>
      <c r="AD364" s="107">
        <f t="shared" si="208"/>
        <v>0</v>
      </c>
      <c r="AE364" s="107">
        <f t="shared" si="209"/>
        <v>0</v>
      </c>
      <c r="AF364" s="107"/>
      <c r="AG364" s="142">
        <f t="shared" si="210"/>
        <v>0</v>
      </c>
      <c r="AH364" s="210">
        <f t="shared" si="211"/>
        <v>184.77412407596225</v>
      </c>
      <c r="AI364" s="107">
        <f t="shared" si="195"/>
        <v>36.856098744644378</v>
      </c>
      <c r="AJ364" s="333">
        <v>25.342993463646135</v>
      </c>
      <c r="AK364" s="121">
        <f t="shared" si="196"/>
        <v>0</v>
      </c>
      <c r="AL364" s="418"/>
      <c r="AM364" s="107">
        <f t="shared" si="212"/>
        <v>154.37410461948679</v>
      </c>
      <c r="AN364" s="107">
        <f t="shared" si="213"/>
        <v>51.658551356478583</v>
      </c>
      <c r="AO364" s="107"/>
      <c r="AP364" s="143">
        <f t="shared" si="214"/>
        <v>453.00587226021815</v>
      </c>
      <c r="AQ364" s="34"/>
      <c r="AR364" s="29"/>
      <c r="AS364" s="124"/>
      <c r="AT364" s="138">
        <f t="shared" si="215"/>
        <v>1594.5474236296207</v>
      </c>
      <c r="AU364" s="151">
        <f t="shared" si="216"/>
        <v>3364.679023073852</v>
      </c>
      <c r="AW364" s="1">
        <v>2</v>
      </c>
      <c r="BA364" s="30">
        <v>289.24</v>
      </c>
      <c r="BB364" s="30">
        <v>59.03</v>
      </c>
      <c r="BC364" s="30">
        <v>0</v>
      </c>
      <c r="BD364" s="30">
        <v>178.2</v>
      </c>
      <c r="BF364" s="289">
        <f t="shared" si="218"/>
        <v>433.02000000000004</v>
      </c>
      <c r="BI364" s="333">
        <v>0</v>
      </c>
      <c r="BL364" s="110">
        <f t="shared" si="219"/>
        <v>1.0967873225415627</v>
      </c>
      <c r="BM364" s="110">
        <f t="shared" si="219"/>
        <v>1.1127076627324948</v>
      </c>
      <c r="BN364" s="110">
        <f t="shared" si="219"/>
        <v>2.8314493742615632</v>
      </c>
      <c r="BO364" s="110">
        <f t="shared" si="219"/>
        <v>1.036891829831438</v>
      </c>
    </row>
    <row r="365" spans="1:67" x14ac:dyDescent="0.25">
      <c r="A365" s="260" t="s">
        <v>331</v>
      </c>
      <c r="B365" s="237">
        <v>5</v>
      </c>
      <c r="C365" s="236">
        <f>'побудинковий звіт'!E365</f>
        <v>5601.9</v>
      </c>
      <c r="D365" s="141">
        <f t="shared" si="197"/>
        <v>227.58336942737427</v>
      </c>
      <c r="E365" s="107">
        <f t="shared" si="191"/>
        <v>46.911073331843866</v>
      </c>
      <c r="F365" s="333">
        <v>39.019846435502693</v>
      </c>
      <c r="G365" s="107">
        <f>$G$369/$C$368*C365</f>
        <v>0</v>
      </c>
      <c r="H365" s="735">
        <f t="shared" si="198"/>
        <v>190.14014574461362</v>
      </c>
      <c r="I365" s="107">
        <f t="shared" si="199"/>
        <v>64.8267900098231</v>
      </c>
      <c r="J365" s="29"/>
      <c r="K365" s="142">
        <f t="shared" si="200"/>
        <v>568.48122494915754</v>
      </c>
      <c r="L365" s="210">
        <f t="shared" si="201"/>
        <v>39.067166038537891</v>
      </c>
      <c r="M365" s="107">
        <f t="shared" si="193"/>
        <v>8.5954768146181078</v>
      </c>
      <c r="N365" s="333">
        <v>0</v>
      </c>
      <c r="O365" s="107"/>
      <c r="P365" s="107">
        <f t="shared" si="202"/>
        <v>32.639628559357853</v>
      </c>
      <c r="Q365" s="107">
        <f t="shared" si="203"/>
        <v>10.335932983093638</v>
      </c>
      <c r="R365" s="107"/>
      <c r="S365" s="143">
        <f t="shared" si="204"/>
        <v>90.638204395607488</v>
      </c>
      <c r="T365" s="905">
        <v>228.90799999999999</v>
      </c>
      <c r="U365" s="107"/>
      <c r="V365" s="151">
        <f t="shared" si="205"/>
        <v>228.90799999999999</v>
      </c>
      <c r="W365" s="246"/>
      <c r="X365" s="107"/>
      <c r="Y365" s="46">
        <f t="shared" si="206"/>
        <v>0</v>
      </c>
      <c r="Z365" s="141">
        <f t="shared" si="207"/>
        <v>0</v>
      </c>
      <c r="AA365" s="107">
        <f t="shared" si="194"/>
        <v>0</v>
      </c>
      <c r="AB365" s="333">
        <v>0</v>
      </c>
      <c r="AC365" s="107"/>
      <c r="AD365" s="107">
        <f t="shared" si="208"/>
        <v>0</v>
      </c>
      <c r="AE365" s="107">
        <f t="shared" si="209"/>
        <v>0</v>
      </c>
      <c r="AF365" s="107"/>
      <c r="AG365" s="142">
        <f t="shared" si="210"/>
        <v>0</v>
      </c>
      <c r="AH365" s="210">
        <f t="shared" si="211"/>
        <v>98.784684628041092</v>
      </c>
      <c r="AI365" s="107">
        <f t="shared" si="195"/>
        <v>19.704155597094669</v>
      </c>
      <c r="AJ365" s="333">
        <v>15.319938279544722</v>
      </c>
      <c r="AK365" s="121">
        <f t="shared" si="196"/>
        <v>0</v>
      </c>
      <c r="AL365" s="29"/>
      <c r="AM365" s="107">
        <f t="shared" si="212"/>
        <v>82.532104080238526</v>
      </c>
      <c r="AN365" s="107">
        <f t="shared" si="213"/>
        <v>27.845848250222641</v>
      </c>
      <c r="AO365" s="107"/>
      <c r="AP365" s="143">
        <f t="shared" si="214"/>
        <v>244.18673083514165</v>
      </c>
      <c r="AQ365" s="34"/>
      <c r="AR365" s="29"/>
      <c r="AS365" s="124"/>
      <c r="AT365" s="138">
        <f t="shared" si="215"/>
        <v>2602.1776480411254</v>
      </c>
      <c r="AU365" s="151">
        <f t="shared" si="216"/>
        <v>3734.3918082210321</v>
      </c>
      <c r="AW365" s="1">
        <v>2</v>
      </c>
      <c r="BA365" s="30">
        <v>207.5</v>
      </c>
      <c r="BB365" s="30">
        <v>35.11</v>
      </c>
      <c r="BC365" s="30">
        <v>0</v>
      </c>
      <c r="BD365" s="30">
        <v>95.27</v>
      </c>
      <c r="BF365" s="289">
        <f t="shared" si="218"/>
        <v>274.68959999999998</v>
      </c>
      <c r="BI365" s="333">
        <v>0</v>
      </c>
      <c r="BL365" s="110">
        <f t="shared" si="219"/>
        <v>1.0967873225415627</v>
      </c>
      <c r="BM365" s="110">
        <f t="shared" si="219"/>
        <v>1.1127076627324948</v>
      </c>
      <c r="BN365" s="110">
        <f t="shared" si="219"/>
        <v>2.8314493742615632</v>
      </c>
      <c r="BO365" s="110">
        <f t="shared" si="219"/>
        <v>1.036891829831438</v>
      </c>
    </row>
    <row r="366" spans="1:67" x14ac:dyDescent="0.25">
      <c r="A366" s="260" t="s">
        <v>332</v>
      </c>
      <c r="B366" s="237">
        <v>5</v>
      </c>
      <c r="C366" s="236">
        <f>'побудинковий звіт'!E366</f>
        <v>5286.7</v>
      </c>
      <c r="D366" s="141">
        <f t="shared" si="197"/>
        <v>408.41069529480171</v>
      </c>
      <c r="E366" s="107">
        <f t="shared" si="191"/>
        <v>84.184464465439518</v>
      </c>
      <c r="F366" s="333">
        <v>71.631760704504615</v>
      </c>
      <c r="G366" s="107">
        <f>$G$369/$C$368*C366</f>
        <v>0</v>
      </c>
      <c r="H366" s="735">
        <f t="shared" si="198"/>
        <v>341.21680034179167</v>
      </c>
      <c r="I366" s="107">
        <f t="shared" si="199"/>
        <v>116.54222792956921</v>
      </c>
      <c r="J366" s="29"/>
      <c r="K366" s="142">
        <f t="shared" si="200"/>
        <v>1021.9859487361067</v>
      </c>
      <c r="L366" s="210">
        <f t="shared" si="201"/>
        <v>86.056810635731154</v>
      </c>
      <c r="M366" s="107">
        <f t="shared" si="193"/>
        <v>18.934040924026334</v>
      </c>
      <c r="N366" s="333">
        <v>0</v>
      </c>
      <c r="O366" s="107"/>
      <c r="P366" s="107">
        <f t="shared" si="202"/>
        <v>71.898287461712812</v>
      </c>
      <c r="Q366" s="107">
        <f t="shared" si="203"/>
        <v>22.767902503915185</v>
      </c>
      <c r="R366" s="107"/>
      <c r="S366" s="143">
        <f t="shared" si="204"/>
        <v>199.65704152538549</v>
      </c>
      <c r="T366" s="905">
        <v>391.89</v>
      </c>
      <c r="U366" s="107"/>
      <c r="V366" s="151">
        <f t="shared" si="205"/>
        <v>391.89</v>
      </c>
      <c r="W366" s="246"/>
      <c r="X366" s="107"/>
      <c r="Y366" s="46">
        <f t="shared" si="206"/>
        <v>0</v>
      </c>
      <c r="Z366" s="141">
        <f t="shared" si="207"/>
        <v>0</v>
      </c>
      <c r="AA366" s="107">
        <f t="shared" si="194"/>
        <v>0</v>
      </c>
      <c r="AB366" s="333">
        <v>0</v>
      </c>
      <c r="AC366" s="107"/>
      <c r="AD366" s="107">
        <f t="shared" si="208"/>
        <v>0</v>
      </c>
      <c r="AE366" s="107">
        <f t="shared" si="209"/>
        <v>0</v>
      </c>
      <c r="AF366" s="107"/>
      <c r="AG366" s="142">
        <f t="shared" si="210"/>
        <v>0</v>
      </c>
      <c r="AH366" s="210">
        <f t="shared" si="211"/>
        <v>245.31823801981992</v>
      </c>
      <c r="AI366" s="107">
        <f t="shared" si="195"/>
        <v>48.932572401770003</v>
      </c>
      <c r="AJ366" s="333">
        <v>28.123999787186499</v>
      </c>
      <c r="AK366" s="121">
        <f t="shared" si="196"/>
        <v>0</v>
      </c>
      <c r="AL366" s="495"/>
      <c r="AM366" s="107">
        <f t="shared" si="212"/>
        <v>204.95717964042859</v>
      </c>
      <c r="AN366" s="107">
        <f t="shared" si="213"/>
        <v>67.874395220076266</v>
      </c>
      <c r="AO366" s="107"/>
      <c r="AP366" s="143">
        <f t="shared" si="214"/>
        <v>595.20638506928128</v>
      </c>
      <c r="AQ366" s="34"/>
      <c r="AR366" s="29"/>
      <c r="AS366" s="124"/>
      <c r="AT366" s="138">
        <f t="shared" si="215"/>
        <v>2455.7618971954189</v>
      </c>
      <c r="AU366" s="151">
        <f t="shared" si="216"/>
        <v>4664.5012725261922</v>
      </c>
      <c r="AW366" s="1">
        <v>2</v>
      </c>
      <c r="BA366" s="30">
        <v>372.37</v>
      </c>
      <c r="BB366" s="30">
        <v>77.34</v>
      </c>
      <c r="BC366" s="30">
        <v>0</v>
      </c>
      <c r="BD366" s="30">
        <v>236.59</v>
      </c>
      <c r="BF366" s="289">
        <f t="shared" si="218"/>
        <v>470.26799999999997</v>
      </c>
      <c r="BI366" s="333">
        <v>0</v>
      </c>
      <c r="BL366" s="110">
        <f t="shared" si="219"/>
        <v>1.0967873225415627</v>
      </c>
      <c r="BM366" s="110">
        <f t="shared" si="219"/>
        <v>1.1127076627324948</v>
      </c>
      <c r="BN366" s="110">
        <f t="shared" si="219"/>
        <v>2.8314493742615632</v>
      </c>
      <c r="BO366" s="110">
        <f t="shared" si="219"/>
        <v>1.036891829831438</v>
      </c>
    </row>
    <row r="367" spans="1:67" ht="14.4" thickBot="1" x14ac:dyDescent="0.3">
      <c r="A367" s="436" t="s">
        <v>238</v>
      </c>
      <c r="B367" s="240">
        <v>4</v>
      </c>
      <c r="C367" s="236">
        <f>'побудинковий звіт'!E367</f>
        <v>4637.3999999999996</v>
      </c>
      <c r="D367" s="141">
        <f t="shared" si="197"/>
        <v>196.30299498848888</v>
      </c>
      <c r="E367" s="113">
        <f t="shared" si="191"/>
        <v>40.463344120161032</v>
      </c>
      <c r="F367" s="333">
        <v>31.490794778719788</v>
      </c>
      <c r="G367" s="107">
        <f>$G$369/$C$368*C367</f>
        <v>0</v>
      </c>
      <c r="H367" s="735">
        <f t="shared" si="198"/>
        <v>164.00618450781178</v>
      </c>
      <c r="I367" s="113">
        <f t="shared" si="199"/>
        <v>55.637837029925159</v>
      </c>
      <c r="J367" s="50"/>
      <c r="K367" s="212">
        <f t="shared" si="200"/>
        <v>487.90115542510665</v>
      </c>
      <c r="L367" s="210">
        <f t="shared" si="201"/>
        <v>35.005783069564288</v>
      </c>
      <c r="M367" s="113">
        <f t="shared" si="193"/>
        <v>7.7018997604068842</v>
      </c>
      <c r="N367" s="333">
        <v>0</v>
      </c>
      <c r="O367" s="113"/>
      <c r="P367" s="113">
        <f t="shared" si="202"/>
        <v>29.24644586947873</v>
      </c>
      <c r="Q367" s="113">
        <f t="shared" si="203"/>
        <v>9.2614198703539135</v>
      </c>
      <c r="R367" s="113"/>
      <c r="S367" s="213">
        <f t="shared" si="204"/>
        <v>81.215548569803815</v>
      </c>
      <c r="T367" s="905">
        <v>181.625</v>
      </c>
      <c r="U367" s="107"/>
      <c r="V367" s="201">
        <f t="shared" si="205"/>
        <v>181.625</v>
      </c>
      <c r="W367" s="246"/>
      <c r="X367" s="113"/>
      <c r="Y367" s="209">
        <f t="shared" si="206"/>
        <v>0</v>
      </c>
      <c r="Z367" s="141">
        <f t="shared" si="207"/>
        <v>0</v>
      </c>
      <c r="AA367" s="113">
        <f t="shared" si="194"/>
        <v>0</v>
      </c>
      <c r="AB367" s="333">
        <v>0</v>
      </c>
      <c r="AC367" s="113"/>
      <c r="AD367" s="113">
        <f t="shared" si="208"/>
        <v>0</v>
      </c>
      <c r="AE367" s="113">
        <f t="shared" si="209"/>
        <v>0</v>
      </c>
      <c r="AF367" s="113"/>
      <c r="AG367" s="212">
        <f t="shared" si="210"/>
        <v>0</v>
      </c>
      <c r="AH367" s="210">
        <f t="shared" si="211"/>
        <v>93.859448436341765</v>
      </c>
      <c r="AI367" s="113">
        <f t="shared" si="195"/>
        <v>18.721739945932711</v>
      </c>
      <c r="AJ367" s="333">
        <v>12.363888545313316</v>
      </c>
      <c r="AK367" s="121">
        <f t="shared" si="196"/>
        <v>0</v>
      </c>
      <c r="AL367" s="50"/>
      <c r="AM367" s="113">
        <f t="shared" si="212"/>
        <v>78.417193884152312</v>
      </c>
      <c r="AN367" s="107">
        <f t="shared" si="213"/>
        <v>26.175334338952844</v>
      </c>
      <c r="AO367" s="107"/>
      <c r="AP367" s="143">
        <f t="shared" si="214"/>
        <v>229.53760515069294</v>
      </c>
      <c r="AQ367" s="35"/>
      <c r="AR367" s="50"/>
      <c r="AS367" s="149"/>
      <c r="AT367" s="138">
        <f t="shared" si="215"/>
        <v>2154.151024656976</v>
      </c>
      <c r="AU367" s="201">
        <f t="shared" si="216"/>
        <v>3134.4303338025793</v>
      </c>
      <c r="AW367" s="1">
        <v>2</v>
      </c>
      <c r="BA367" s="30">
        <v>178.98</v>
      </c>
      <c r="BB367" s="30">
        <v>31.46</v>
      </c>
      <c r="BC367" s="30">
        <v>0</v>
      </c>
      <c r="BD367" s="30">
        <v>90.52</v>
      </c>
      <c r="BF367" s="289">
        <f t="shared" si="218"/>
        <v>217.95</v>
      </c>
      <c r="BI367" s="334">
        <v>0</v>
      </c>
      <c r="BL367" s="110">
        <f t="shared" si="219"/>
        <v>1.0967873225415627</v>
      </c>
      <c r="BM367" s="110">
        <f t="shared" si="219"/>
        <v>1.1127076627324948</v>
      </c>
      <c r="BN367" s="110">
        <f t="shared" si="219"/>
        <v>2.8314493742615632</v>
      </c>
      <c r="BO367" s="110">
        <f t="shared" si="219"/>
        <v>1.036891829831438</v>
      </c>
    </row>
    <row r="368" spans="1:67" s="4" customFormat="1" ht="14.4" thickBot="1" x14ac:dyDescent="0.35">
      <c r="A368" s="223" t="s">
        <v>824</v>
      </c>
      <c r="B368" s="241"/>
      <c r="C368" s="148">
        <f t="shared" ref="C368:AU368" si="220">SUM(C9:C367)</f>
        <v>1005804.1400000005</v>
      </c>
      <c r="D368" s="148">
        <f t="shared" si="220"/>
        <v>113546.51222256162</v>
      </c>
      <c r="E368" s="114">
        <f t="shared" si="220"/>
        <v>23404.999999999996</v>
      </c>
      <c r="F368" s="114">
        <f t="shared" si="220"/>
        <v>21967.45</v>
      </c>
      <c r="G368" s="114">
        <f t="shared" si="220"/>
        <v>0</v>
      </c>
      <c r="H368" s="114">
        <f t="shared" si="220"/>
        <v>94865.237460508244</v>
      </c>
      <c r="I368" s="114">
        <f t="shared" si="220"/>
        <v>32665.283732976637</v>
      </c>
      <c r="J368" s="114">
        <f t="shared" si="220"/>
        <v>0</v>
      </c>
      <c r="K368" s="216">
        <f t="shared" si="220"/>
        <v>286449.48341604637</v>
      </c>
      <c r="L368" s="205">
        <f t="shared" si="220"/>
        <v>22484.531639241439</v>
      </c>
      <c r="M368" s="114">
        <f t="shared" si="220"/>
        <v>4947.0000000000018</v>
      </c>
      <c r="N368" s="114">
        <f t="shared" si="220"/>
        <v>551.99999999999989</v>
      </c>
      <c r="O368" s="114">
        <f t="shared" si="220"/>
        <v>0</v>
      </c>
      <c r="P368" s="114">
        <f t="shared" si="220"/>
        <v>18785.257172532714</v>
      </c>
      <c r="Q368" s="114">
        <f t="shared" si="220"/>
        <v>6019.7433815505592</v>
      </c>
      <c r="R368" s="114">
        <f t="shared" si="220"/>
        <v>0</v>
      </c>
      <c r="S368" s="214">
        <f t="shared" si="220"/>
        <v>52788.532193324696</v>
      </c>
      <c r="T368" s="148">
        <f t="shared" si="220"/>
        <v>115234.04133333337</v>
      </c>
      <c r="U368" s="114">
        <f t="shared" si="220"/>
        <v>0</v>
      </c>
      <c r="V368" s="112">
        <f t="shared" si="220"/>
        <v>115234.04133333337</v>
      </c>
      <c r="W368" s="114">
        <f t="shared" si="220"/>
        <v>15747.309333333338</v>
      </c>
      <c r="X368" s="114">
        <f t="shared" si="220"/>
        <v>0</v>
      </c>
      <c r="Y368" s="203">
        <f t="shared" si="220"/>
        <v>15747.309333333338</v>
      </c>
      <c r="Z368" s="148">
        <f t="shared" si="220"/>
        <v>4139.9782961992114</v>
      </c>
      <c r="AA368" s="114">
        <f t="shared" si="220"/>
        <v>909.99999999999943</v>
      </c>
      <c r="AB368" s="114">
        <f t="shared" si="220"/>
        <v>759.36599999999987</v>
      </c>
      <c r="AC368" s="114">
        <f t="shared" si="220"/>
        <v>0</v>
      </c>
      <c r="AD368" s="114">
        <f t="shared" si="220"/>
        <v>3458.84709677812</v>
      </c>
      <c r="AE368" s="114">
        <f t="shared" si="220"/>
        <v>1192.9351863560216</v>
      </c>
      <c r="AF368" s="114">
        <f t="shared" si="220"/>
        <v>0</v>
      </c>
      <c r="AG368" s="112">
        <f t="shared" si="220"/>
        <v>10461.126579333357</v>
      </c>
      <c r="AH368" s="205">
        <f t="shared" si="220"/>
        <v>68593.249196638746</v>
      </c>
      <c r="AI368" s="114">
        <f t="shared" si="220"/>
        <v>13681.999999999993</v>
      </c>
      <c r="AJ368" s="114">
        <f t="shared" si="220"/>
        <v>11653.509999999998</v>
      </c>
      <c r="AK368" s="114">
        <f t="shared" si="220"/>
        <v>0</v>
      </c>
      <c r="AL368" s="259">
        <f t="shared" si="220"/>
        <v>26845.980000000007</v>
      </c>
      <c r="AM368" s="114">
        <f t="shared" si="220"/>
        <v>57307.923826602455</v>
      </c>
      <c r="AN368" s="114">
        <f t="shared" si="220"/>
        <v>22921.524361417149</v>
      </c>
      <c r="AO368" s="114">
        <f t="shared" si="220"/>
        <v>0</v>
      </c>
      <c r="AP368" s="203">
        <f t="shared" si="220"/>
        <v>201004.1873846582</v>
      </c>
      <c r="AQ368" s="302">
        <f t="shared" si="220"/>
        <v>0</v>
      </c>
      <c r="AR368" s="203">
        <f t="shared" si="220"/>
        <v>0</v>
      </c>
      <c r="AS368" s="112">
        <f t="shared" si="220"/>
        <v>0</v>
      </c>
      <c r="AT368" s="148">
        <f t="shared" si="220"/>
        <v>393167.99999999988</v>
      </c>
      <c r="AU368" s="112">
        <f t="shared" si="220"/>
        <v>1074852.6802400292</v>
      </c>
      <c r="AW368" s="1"/>
      <c r="BA368" s="598">
        <f>SUM(BA9:BA367)</f>
        <v>106563.89399999999</v>
      </c>
      <c r="BB368" s="598">
        <f>SUM(BB9:BB367)</f>
        <v>20237.090000000004</v>
      </c>
      <c r="BC368" s="598">
        <f>SUM(BC9:BC367)</f>
        <v>5378.93</v>
      </c>
      <c r="BD368" s="598">
        <f>SUM(BD9:BD367)</f>
        <v>65163.959999999992</v>
      </c>
      <c r="BI368" s="335">
        <f>SUM(BI9:BI367)</f>
        <v>378.81000000000006</v>
      </c>
      <c r="BL368" s="599"/>
      <c r="BM368" s="599"/>
      <c r="BN368" s="599"/>
      <c r="BO368" s="599"/>
    </row>
    <row r="369" spans="1:67" s="118" customFormat="1" x14ac:dyDescent="0.25">
      <c r="A369" s="224" t="s">
        <v>985</v>
      </c>
      <c r="B369" s="115"/>
      <c r="C369" s="116"/>
      <c r="D369" s="207"/>
      <c r="E369" s="117"/>
      <c r="F369" s="117"/>
      <c r="G369" s="117">
        <v>0</v>
      </c>
      <c r="H369" s="117"/>
      <c r="I369" s="117"/>
      <c r="J369" s="117"/>
      <c r="K369" s="208"/>
      <c r="L369" s="211"/>
      <c r="M369" s="117"/>
      <c r="N369" s="117"/>
      <c r="O369" s="117"/>
      <c r="P369" s="117"/>
      <c r="Q369" s="117"/>
      <c r="R369" s="117"/>
      <c r="S369" s="204"/>
      <c r="T369" s="245"/>
      <c r="U369" s="117"/>
      <c r="V369" s="208"/>
      <c r="W369" s="246"/>
      <c r="X369" s="117"/>
      <c r="Y369" s="204"/>
      <c r="Z369" s="207"/>
      <c r="AA369" s="117"/>
      <c r="AB369" s="117"/>
      <c r="AC369" s="117"/>
      <c r="AD369" s="117"/>
      <c r="AE369" s="117"/>
      <c r="AF369" s="117"/>
      <c r="AG369" s="208"/>
      <c r="AH369" s="211"/>
      <c r="AI369" s="117"/>
      <c r="AJ369" s="117"/>
      <c r="AK369" s="117">
        <v>0</v>
      </c>
      <c r="AL369" s="117"/>
      <c r="AM369" s="117"/>
      <c r="AN369" s="117"/>
      <c r="AO369" s="117"/>
      <c r="AP369" s="204"/>
      <c r="AQ369" s="207"/>
      <c r="AR369" s="117"/>
      <c r="AS369" s="208"/>
      <c r="AT369" s="206"/>
      <c r="AU369" s="202"/>
      <c r="AW369" s="1"/>
      <c r="AZ369" s="118" t="s">
        <v>983</v>
      </c>
      <c r="BA369" s="119">
        <f>BA394</f>
        <v>113546.51222256164</v>
      </c>
      <c r="BB369" s="119">
        <f>BB394</f>
        <v>22484.531639241424</v>
      </c>
      <c r="BC369" s="119">
        <f>BC394</f>
        <v>4139.9782961992141</v>
      </c>
      <c r="BD369" s="119">
        <f>BD394</f>
        <v>68593.249196638717</v>
      </c>
      <c r="BI369" s="117"/>
      <c r="BL369" s="111"/>
      <c r="BM369" s="111"/>
      <c r="BN369" s="111"/>
      <c r="BO369" s="111"/>
    </row>
    <row r="370" spans="1:67" x14ac:dyDescent="0.25">
      <c r="A370" s="224"/>
      <c r="B370" s="115"/>
      <c r="C370" s="116"/>
      <c r="D370" s="207"/>
      <c r="E370" s="117"/>
      <c r="F370" s="117"/>
      <c r="G370" s="117"/>
      <c r="H370" s="117"/>
      <c r="I370" s="117"/>
      <c r="J370" s="117"/>
      <c r="K370" s="208"/>
      <c r="L370" s="211"/>
      <c r="M370" s="117"/>
      <c r="N370" s="117"/>
      <c r="O370" s="117"/>
      <c r="P370" s="117"/>
      <c r="Q370" s="117"/>
      <c r="R370" s="117"/>
      <c r="S370" s="204"/>
      <c r="T370" s="245"/>
      <c r="U370" s="117"/>
      <c r="V370" s="208"/>
      <c r="W370" s="246"/>
      <c r="X370" s="117"/>
      <c r="Y370" s="204"/>
      <c r="Z370" s="207"/>
      <c r="AA370" s="117"/>
      <c r="AB370" s="117"/>
      <c r="AC370" s="117"/>
      <c r="AD370" s="117"/>
      <c r="AE370" s="117"/>
      <c r="AF370" s="117"/>
      <c r="AG370" s="208"/>
      <c r="AH370" s="211"/>
      <c r="AI370" s="117"/>
      <c r="AJ370" s="117"/>
      <c r="AK370" s="117"/>
      <c r="AL370" s="117"/>
      <c r="AM370" s="117"/>
      <c r="AN370" s="117"/>
      <c r="AO370" s="117"/>
      <c r="AP370" s="204"/>
      <c r="AQ370" s="207"/>
      <c r="AR370" s="117"/>
      <c r="AS370" s="208">
        <v>0</v>
      </c>
      <c r="AT370" s="206"/>
      <c r="AU370" s="202"/>
      <c r="BA370" s="30">
        <f>BA369/BA368</f>
        <v>1.0655251789368887</v>
      </c>
      <c r="BB370" s="30">
        <f>BB369/BB368</f>
        <v>1.1110555736640704</v>
      </c>
      <c r="BC370" s="30">
        <f>BC369/BC368</f>
        <v>0.76966576925135932</v>
      </c>
      <c r="BD370" s="30">
        <f>BD369/BD368</f>
        <v>1.0526255494085799</v>
      </c>
      <c r="BI370" s="117"/>
    </row>
    <row r="371" spans="1:67" x14ac:dyDescent="0.25">
      <c r="A371" s="224"/>
      <c r="B371" s="115"/>
      <c r="C371" s="116"/>
      <c r="D371" s="207"/>
      <c r="E371" s="117"/>
      <c r="F371" s="117"/>
      <c r="G371" s="117"/>
      <c r="H371" s="117"/>
      <c r="I371" s="117"/>
      <c r="J371" s="117"/>
      <c r="K371" s="208">
        <v>286451</v>
      </c>
      <c r="L371" s="211"/>
      <c r="M371" s="117"/>
      <c r="N371" s="117"/>
      <c r="O371" s="117"/>
      <c r="P371" s="117"/>
      <c r="Q371" s="117"/>
      <c r="R371" s="117"/>
      <c r="S371" s="204">
        <v>52788</v>
      </c>
      <c r="T371" s="245"/>
      <c r="U371" s="117"/>
      <c r="V371" s="208">
        <v>115234</v>
      </c>
      <c r="W371" s="246"/>
      <c r="X371" s="117"/>
      <c r="Y371" s="204">
        <v>15747</v>
      </c>
      <c r="Z371" s="207"/>
      <c r="AA371" s="117"/>
      <c r="AB371" s="117"/>
      <c r="AC371" s="117"/>
      <c r="AD371" s="117"/>
      <c r="AE371" s="117"/>
      <c r="AF371" s="117"/>
      <c r="AG371" s="208">
        <v>10460</v>
      </c>
      <c r="AH371" s="211"/>
      <c r="AI371" s="117"/>
      <c r="AJ371" s="117"/>
      <c r="AK371" s="117"/>
      <c r="AL371" s="117"/>
      <c r="AM371" s="117"/>
      <c r="AN371" s="117"/>
      <c r="AO371" s="117"/>
      <c r="AP371" s="204">
        <v>201003</v>
      </c>
      <c r="AQ371" s="207"/>
      <c r="AR371" s="117"/>
      <c r="AS371" s="208"/>
      <c r="AT371" s="206"/>
      <c r="AU371" s="202"/>
      <c r="AZ371" s="1" t="s">
        <v>984</v>
      </c>
      <c r="BA371" s="30">
        <f>21470+1935</f>
        <v>23405</v>
      </c>
      <c r="BB371" s="30">
        <f>4559+388</f>
        <v>4947</v>
      </c>
      <c r="BC371" s="30">
        <f>839+71</f>
        <v>910</v>
      </c>
      <c r="BD371" s="30">
        <f>12520+1162</f>
        <v>13682</v>
      </c>
      <c r="BF371" s="150"/>
      <c r="BI371" s="117">
        <v>87</v>
      </c>
    </row>
    <row r="372" spans="1:67" ht="14.4" thickBot="1" x14ac:dyDescent="0.3">
      <c r="A372" s="224"/>
      <c r="B372" s="115"/>
      <c r="C372" s="116"/>
      <c r="D372" s="207"/>
      <c r="E372" s="117"/>
      <c r="F372" s="117"/>
      <c r="G372" s="117"/>
      <c r="H372" s="117"/>
      <c r="I372" s="117"/>
      <c r="J372" s="117"/>
      <c r="K372" s="208"/>
      <c r="L372" s="211"/>
      <c r="M372" s="117"/>
      <c r="N372" s="117"/>
      <c r="O372" s="117"/>
      <c r="P372" s="117"/>
      <c r="Q372" s="117"/>
      <c r="R372" s="117"/>
      <c r="S372" s="204"/>
      <c r="T372" s="245"/>
      <c r="U372" s="117"/>
      <c r="V372" s="208"/>
      <c r="W372" s="246"/>
      <c r="X372" s="117"/>
      <c r="Y372" s="204"/>
      <c r="Z372" s="207"/>
      <c r="AA372" s="117"/>
      <c r="AB372" s="117"/>
      <c r="AC372" s="117"/>
      <c r="AD372" s="117"/>
      <c r="AE372" s="117"/>
      <c r="AF372" s="117"/>
      <c r="AG372" s="208"/>
      <c r="AH372" s="211"/>
      <c r="AI372" s="117"/>
      <c r="AJ372" s="117"/>
      <c r="AK372" s="117"/>
      <c r="AL372" s="117"/>
      <c r="AM372" s="117"/>
      <c r="AN372" s="117"/>
      <c r="AO372" s="117"/>
      <c r="AP372" s="204"/>
      <c r="AQ372" s="207"/>
      <c r="AR372" s="117"/>
      <c r="AS372" s="208">
        <v>0</v>
      </c>
      <c r="AT372" s="206"/>
      <c r="AU372" s="202"/>
      <c r="BA372" s="110">
        <f>BA371/BA369</f>
        <v>0.20612698304747609</v>
      </c>
      <c r="BB372" s="110">
        <f>BB371/BB369</f>
        <v>0.22001792518400443</v>
      </c>
      <c r="BC372" s="110">
        <f>BC371/BC369</f>
        <v>0.21980791562009946</v>
      </c>
      <c r="BD372" s="110">
        <f>BD371/BD369</f>
        <v>0.19946569320221763</v>
      </c>
      <c r="BF372" s="150"/>
      <c r="BI372" s="117"/>
    </row>
    <row r="373" spans="1:67" x14ac:dyDescent="0.3">
      <c r="A373" s="225"/>
      <c r="B373" s="226"/>
      <c r="C373" s="226"/>
      <c r="D373" s="227"/>
      <c r="E373" s="227"/>
      <c r="F373" s="227"/>
      <c r="G373" s="227"/>
      <c r="H373" s="227"/>
      <c r="I373" s="227"/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8"/>
      <c r="U373" s="227"/>
      <c r="V373" s="227"/>
      <c r="W373" s="228"/>
      <c r="X373" s="227">
        <f>SUBTOTAL(9,X33:X363)</f>
        <v>0</v>
      </c>
      <c r="Y373" s="227"/>
      <c r="Z373" s="227"/>
      <c r="AA373" s="227"/>
      <c r="AB373" s="227"/>
      <c r="AC373" s="227"/>
      <c r="AD373" s="227"/>
      <c r="AE373" s="227"/>
      <c r="AF373" s="227"/>
      <c r="AG373" s="227"/>
      <c r="AH373" s="227"/>
      <c r="AI373" s="227"/>
      <c r="AJ373" s="227"/>
      <c r="AK373" s="227"/>
      <c r="AL373" s="227"/>
      <c r="AM373" s="227"/>
      <c r="AN373" s="227"/>
      <c r="AO373" s="227"/>
      <c r="AP373" s="227"/>
      <c r="AQ373" s="227"/>
      <c r="AR373" s="227"/>
      <c r="AS373" s="227"/>
      <c r="AT373" s="229"/>
      <c r="AU373" s="230"/>
      <c r="AW373" s="2"/>
      <c r="BI373" s="227"/>
    </row>
    <row r="374" spans="1:67" x14ac:dyDescent="0.3">
      <c r="A374" s="231"/>
      <c r="AS374" s="2">
        <v>0</v>
      </c>
      <c r="AU374" s="242">
        <v>1074851</v>
      </c>
      <c r="AW374" s="2"/>
      <c r="BA374" s="103">
        <f>BA369+BB369+BC369</f>
        <v>140171.02215800228</v>
      </c>
    </row>
    <row r="375" spans="1:67" ht="14.4" thickBot="1" x14ac:dyDescent="0.35">
      <c r="A375" s="232"/>
      <c r="B375" s="233"/>
      <c r="C375" s="233"/>
      <c r="D375" s="234"/>
      <c r="E375" s="234"/>
      <c r="F375" s="234"/>
      <c r="G375" s="234"/>
      <c r="H375" s="234"/>
      <c r="I375" s="234"/>
      <c r="J375" s="234"/>
      <c r="K375" s="234"/>
      <c r="L375" s="234"/>
      <c r="M375" s="234"/>
      <c r="N375" s="234"/>
      <c r="O375" s="234"/>
      <c r="P375" s="234"/>
      <c r="Q375" s="234"/>
      <c r="R375" s="336"/>
      <c r="S375" s="336"/>
      <c r="T375" s="337"/>
      <c r="U375" s="336"/>
      <c r="V375" s="336"/>
      <c r="W375" s="337"/>
      <c r="X375" s="234"/>
      <c r="Y375" s="234"/>
      <c r="Z375" s="234"/>
      <c r="AA375" s="234"/>
      <c r="AB375" s="234"/>
      <c r="AC375" s="234"/>
      <c r="AD375" s="234"/>
      <c r="AE375" s="234"/>
      <c r="AF375" s="234"/>
      <c r="AG375" s="234"/>
      <c r="AH375" s="234"/>
      <c r="AI375" s="234"/>
      <c r="AJ375" s="234"/>
      <c r="AK375" s="234"/>
      <c r="AL375" s="234"/>
      <c r="AM375" s="234"/>
      <c r="AN375" s="234"/>
      <c r="AO375" s="234"/>
      <c r="AP375" s="234"/>
      <c r="AQ375" s="234"/>
      <c r="AR375" s="234"/>
      <c r="AS375" s="234"/>
      <c r="AT375" s="235"/>
      <c r="AU375" s="338">
        <f>AU374-T382-W382</f>
        <v>1074851</v>
      </c>
      <c r="AW375" s="4"/>
      <c r="BA375" s="103">
        <f>BA374/1.09</f>
        <v>128597.26803486446</v>
      </c>
      <c r="BI375" s="234"/>
    </row>
    <row r="376" spans="1:67" s="300" customFormat="1" x14ac:dyDescent="0.3">
      <c r="A376" s="15" t="s">
        <v>1005</v>
      </c>
      <c r="B376" s="1"/>
      <c r="C376" s="1"/>
      <c r="D376" s="217">
        <f t="shared" ref="D376:AS376" si="221">SUMIF($AW$9:$AW$367,1,D$9:D$367)</f>
        <v>28086.951146888408</v>
      </c>
      <c r="E376" s="217">
        <f t="shared" si="221"/>
        <v>5789.4785029099539</v>
      </c>
      <c r="F376" s="217">
        <f t="shared" si="221"/>
        <v>6755.7899999999963</v>
      </c>
      <c r="G376" s="217">
        <f t="shared" si="221"/>
        <v>0</v>
      </c>
      <c r="H376" s="217">
        <f t="shared" si="221"/>
        <v>23465.936891735117</v>
      </c>
      <c r="I376" s="217">
        <f t="shared" si="221"/>
        <v>8250.2554249031182</v>
      </c>
      <c r="J376" s="217">
        <f t="shared" si="221"/>
        <v>0</v>
      </c>
      <c r="K376" s="217">
        <f t="shared" si="221"/>
        <v>72348.411966436601</v>
      </c>
      <c r="L376" s="217">
        <f t="shared" si="221"/>
        <v>5551.7567012498212</v>
      </c>
      <c r="M376" s="217">
        <f t="shared" si="221"/>
        <v>1221.485990535379</v>
      </c>
      <c r="N376" s="217">
        <f t="shared" si="221"/>
        <v>368</v>
      </c>
      <c r="O376" s="217">
        <f t="shared" si="221"/>
        <v>0</v>
      </c>
      <c r="P376" s="217">
        <f t="shared" si="221"/>
        <v>4638.3522265722495</v>
      </c>
      <c r="Q376" s="217">
        <f t="shared" si="221"/>
        <v>1516.1850530813206</v>
      </c>
      <c r="R376" s="217">
        <f t="shared" si="221"/>
        <v>0</v>
      </c>
      <c r="S376" s="217">
        <f t="shared" si="221"/>
        <v>13295.779971438771</v>
      </c>
      <c r="T376" s="217">
        <f t="shared" si="221"/>
        <v>41917.468333333338</v>
      </c>
      <c r="U376" s="217">
        <f t="shared" si="221"/>
        <v>0</v>
      </c>
      <c r="V376" s="217">
        <f t="shared" si="221"/>
        <v>41917.468333333338</v>
      </c>
      <c r="W376" s="217">
        <f t="shared" si="221"/>
        <v>8223.8393333333333</v>
      </c>
      <c r="X376" s="217">
        <f t="shared" si="221"/>
        <v>0</v>
      </c>
      <c r="Y376" s="217">
        <f t="shared" si="221"/>
        <v>8223.8393333333333</v>
      </c>
      <c r="Z376" s="217">
        <f t="shared" si="221"/>
        <v>1041.5979554390569</v>
      </c>
      <c r="AA376" s="217">
        <f t="shared" si="221"/>
        <v>228.95147549921626</v>
      </c>
      <c r="AB376" s="217">
        <f t="shared" si="221"/>
        <v>526</v>
      </c>
      <c r="AC376" s="217">
        <f t="shared" si="221"/>
        <v>0</v>
      </c>
      <c r="AD376" s="217">
        <f t="shared" si="221"/>
        <v>870.22873223464944</v>
      </c>
      <c r="AE376" s="217">
        <f t="shared" si="221"/>
        <v>343.24857678979066</v>
      </c>
      <c r="AF376" s="217">
        <f t="shared" si="221"/>
        <v>0</v>
      </c>
      <c r="AG376" s="217">
        <f t="shared" si="221"/>
        <v>3010.0267399627141</v>
      </c>
      <c r="AH376" s="217">
        <f t="shared" si="221"/>
        <v>17394.878829866215</v>
      </c>
      <c r="AI376" s="217">
        <f t="shared" si="221"/>
        <v>3469.6815639678448</v>
      </c>
      <c r="AJ376" s="217">
        <f t="shared" si="221"/>
        <v>3427.9599999999991</v>
      </c>
      <c r="AK376" s="217">
        <f t="shared" si="221"/>
        <v>0</v>
      </c>
      <c r="AL376" s="217">
        <f t="shared" si="221"/>
        <v>12040</v>
      </c>
      <c r="AM376" s="217">
        <f t="shared" si="221"/>
        <v>14532.981053240464</v>
      </c>
      <c r="AN376" s="217">
        <f t="shared" si="221"/>
        <v>6547.0428776250765</v>
      </c>
      <c r="AO376" s="217">
        <f t="shared" si="221"/>
        <v>0</v>
      </c>
      <c r="AP376" s="217">
        <f t="shared" si="221"/>
        <v>57412.5443246996</v>
      </c>
      <c r="AQ376" s="217">
        <f t="shared" si="221"/>
        <v>0</v>
      </c>
      <c r="AR376" s="217">
        <f t="shared" si="221"/>
        <v>0</v>
      </c>
      <c r="AS376" s="217">
        <f t="shared" si="221"/>
        <v>0</v>
      </c>
      <c r="AT376" s="217">
        <f t="shared" ref="AT376:AU376" si="222">SUMIF($AW$9:$AW$367,1,AT$9:AT$367)</f>
        <v>69107.969624497069</v>
      </c>
      <c r="AU376" s="217">
        <f t="shared" si="222"/>
        <v>265316.04029370134</v>
      </c>
      <c r="AW376" s="300">
        <v>1</v>
      </c>
      <c r="AY376" s="300" t="s">
        <v>1613</v>
      </c>
      <c r="BA376" s="217">
        <f>SUMIF($AW$9:$AW$367,1,BA$9:BA$367)</f>
        <v>32696.870000000003</v>
      </c>
      <c r="BB376" s="217">
        <f>SUMIF($AW$9:$AW$367,1,BB$9:BB$367)</f>
        <v>6021.0199999999968</v>
      </c>
      <c r="BC376" s="217">
        <f>SUMIF($AW$9:$AW$367,1,BC$9:BC$367)</f>
        <v>2913.5999999999995</v>
      </c>
      <c r="BD376" s="217">
        <f>SUMIF($AW$9:$AW$367,1,BD$9:BD$367)</f>
        <v>20964.75</v>
      </c>
      <c r="BI376" s="217">
        <f>SUMIF($AW$9:$AW$367,1,$AB$9:$AB$367)</f>
        <v>526</v>
      </c>
      <c r="BL376" s="600"/>
      <c r="BM376" s="600"/>
      <c r="BN376" s="600"/>
      <c r="BO376" s="600"/>
    </row>
    <row r="377" spans="1:67" x14ac:dyDescent="0.3">
      <c r="A377" s="15" t="s">
        <v>1006</v>
      </c>
      <c r="D377" s="217">
        <f t="shared" ref="D377:AS377" si="223">SUMIF($AW$9:$AW$367,2,D$9:D$367)</f>
        <v>42523.765026872708</v>
      </c>
      <c r="E377" s="217">
        <f t="shared" si="223"/>
        <v>8765.2953928090465</v>
      </c>
      <c r="F377" s="217">
        <f t="shared" si="223"/>
        <v>7432.880000000001</v>
      </c>
      <c r="G377" s="217">
        <f t="shared" si="223"/>
        <v>0</v>
      </c>
      <c r="H377" s="217">
        <f t="shared" si="223"/>
        <v>35527.529538574192</v>
      </c>
      <c r="I377" s="217">
        <f t="shared" si="223"/>
        <v>12131.116443473651</v>
      </c>
      <c r="J377" s="217">
        <f t="shared" si="223"/>
        <v>0</v>
      </c>
      <c r="K377" s="217">
        <f t="shared" si="223"/>
        <v>106380.58640172961</v>
      </c>
      <c r="L377" s="217">
        <f t="shared" si="223"/>
        <v>8437.0279631327503</v>
      </c>
      <c r="M377" s="217">
        <f t="shared" si="223"/>
        <v>1856.2973871678953</v>
      </c>
      <c r="N377" s="217">
        <f t="shared" si="223"/>
        <v>0</v>
      </c>
      <c r="O377" s="217">
        <f t="shared" si="223"/>
        <v>0</v>
      </c>
      <c r="P377" s="217">
        <f t="shared" si="223"/>
        <v>7048.9233488274531</v>
      </c>
      <c r="Q377" s="217">
        <f t="shared" si="223"/>
        <v>2232.1699894331728</v>
      </c>
      <c r="R377" s="217">
        <f t="shared" si="223"/>
        <v>0</v>
      </c>
      <c r="S377" s="217">
        <f t="shared" si="223"/>
        <v>19574.418688561258</v>
      </c>
      <c r="T377" s="217">
        <f t="shared" si="223"/>
        <v>39450.693000000007</v>
      </c>
      <c r="U377" s="217">
        <f t="shared" si="223"/>
        <v>0</v>
      </c>
      <c r="V377" s="217">
        <f t="shared" si="223"/>
        <v>39450.693000000007</v>
      </c>
      <c r="W377" s="217">
        <f t="shared" si="223"/>
        <v>2852.7999999999997</v>
      </c>
      <c r="X377" s="217">
        <f t="shared" si="223"/>
        <v>0</v>
      </c>
      <c r="Y377" s="217">
        <f t="shared" si="223"/>
        <v>2852.7999999999997</v>
      </c>
      <c r="Z377" s="217">
        <f t="shared" si="223"/>
        <v>1503.7261336828312</v>
      </c>
      <c r="AA377" s="217">
        <f t="shared" si="223"/>
        <v>330.53090710829406</v>
      </c>
      <c r="AB377" s="217">
        <f t="shared" si="223"/>
        <v>22.933</v>
      </c>
      <c r="AC377" s="217">
        <f t="shared" si="223"/>
        <v>0</v>
      </c>
      <c r="AD377" s="217">
        <f t="shared" si="223"/>
        <v>1256.325130161496</v>
      </c>
      <c r="AE377" s="217">
        <f t="shared" si="223"/>
        <v>400.74936340837695</v>
      </c>
      <c r="AF377" s="217">
        <f t="shared" si="223"/>
        <v>0</v>
      </c>
      <c r="AG377" s="217">
        <f t="shared" si="223"/>
        <v>3514.2645343609975</v>
      </c>
      <c r="AH377" s="217">
        <f t="shared" si="223"/>
        <v>24390.630241513842</v>
      </c>
      <c r="AI377" s="217">
        <f t="shared" si="223"/>
        <v>4865.0939687625296</v>
      </c>
      <c r="AJ377" s="217">
        <f t="shared" si="223"/>
        <v>3344.8600000000015</v>
      </c>
      <c r="AK377" s="217">
        <f t="shared" si="223"/>
        <v>0</v>
      </c>
      <c r="AL377" s="217">
        <f t="shared" si="223"/>
        <v>8295.65</v>
      </c>
      <c r="AM377" s="217">
        <f t="shared" si="223"/>
        <v>20377.754317432107</v>
      </c>
      <c r="AN377" s="217">
        <f t="shared" si="223"/>
        <v>7886.7487542892841</v>
      </c>
      <c r="AO377" s="217">
        <f t="shared" si="223"/>
        <v>0</v>
      </c>
      <c r="AP377" s="217">
        <f t="shared" si="223"/>
        <v>69160.737281997746</v>
      </c>
      <c r="AQ377" s="217">
        <f t="shared" si="223"/>
        <v>0</v>
      </c>
      <c r="AR377" s="217">
        <f t="shared" si="223"/>
        <v>0</v>
      </c>
      <c r="AS377" s="217">
        <f t="shared" si="223"/>
        <v>0</v>
      </c>
      <c r="AT377" s="217">
        <f t="shared" ref="AT377:AU377" si="224">SUMIF($AW$9:$AW$367,2,AT$9:AT$367)</f>
        <v>210882.62452374995</v>
      </c>
      <c r="AU377" s="217">
        <f t="shared" si="224"/>
        <v>451816.12443039962</v>
      </c>
      <c r="AW377" s="1">
        <v>2</v>
      </c>
      <c r="AY377" s="300" t="s">
        <v>1614</v>
      </c>
      <c r="BA377" s="217">
        <f>SUMIF($AW$9:$AW$367,2,BA$9:BA$367)</f>
        <v>38771.204000000005</v>
      </c>
      <c r="BB377" s="217">
        <f>SUMIF($AW$9:$AW$367,2,BB$9:BB$367)</f>
        <v>7582.4300000000012</v>
      </c>
      <c r="BC377" s="217">
        <f>SUMIF($AW$9:$AW$367,2,BC$9:BC$367)</f>
        <v>531.08000000000004</v>
      </c>
      <c r="BD377" s="217">
        <f>SUMIF($AW$9:$AW$367,2,BD$9:BD$367)</f>
        <v>23522.83</v>
      </c>
      <c r="BI377" s="217">
        <f>SUMIF($AW$9:$AW$367,2,$AB$9:$AB$367)</f>
        <v>22.933</v>
      </c>
      <c r="BL377" s="600"/>
      <c r="BM377" s="600"/>
      <c r="BN377" s="600"/>
      <c r="BO377" s="600"/>
    </row>
    <row r="378" spans="1:67" x14ac:dyDescent="0.3">
      <c r="A378" s="15" t="s">
        <v>1007</v>
      </c>
      <c r="D378" s="217">
        <f t="shared" ref="D378:AS378" si="225">SUMIF($AW$9:$AW$367,3,D$9:D$367)</f>
        <v>42935.796048800483</v>
      </c>
      <c r="E378" s="217">
        <f t="shared" si="225"/>
        <v>8850.2261042809914</v>
      </c>
      <c r="F378" s="217">
        <f t="shared" si="225"/>
        <v>7778.7800000000025</v>
      </c>
      <c r="G378" s="217">
        <f t="shared" si="225"/>
        <v>0</v>
      </c>
      <c r="H378" s="217">
        <f t="shared" si="225"/>
        <v>35871.771030198877</v>
      </c>
      <c r="I378" s="217">
        <f t="shared" si="225"/>
        <v>12283.911864599864</v>
      </c>
      <c r="J378" s="217">
        <f t="shared" si="225"/>
        <v>0</v>
      </c>
      <c r="K378" s="217">
        <f t="shared" si="225"/>
        <v>107720.48504788015</v>
      </c>
      <c r="L378" s="217">
        <f t="shared" si="225"/>
        <v>8495.7469748588555</v>
      </c>
      <c r="M378" s="217">
        <f t="shared" si="225"/>
        <v>1869.2166222967269</v>
      </c>
      <c r="N378" s="217">
        <f t="shared" si="225"/>
        <v>184.00000000000003</v>
      </c>
      <c r="O378" s="217">
        <f t="shared" si="225"/>
        <v>0</v>
      </c>
      <c r="P378" s="217">
        <f t="shared" si="225"/>
        <v>7097.981597132999</v>
      </c>
      <c r="Q378" s="217">
        <f t="shared" si="225"/>
        <v>2271.3883390360652</v>
      </c>
      <c r="R378" s="217">
        <f t="shared" si="225"/>
        <v>0</v>
      </c>
      <c r="S378" s="217">
        <f t="shared" si="225"/>
        <v>19918.333533324636</v>
      </c>
      <c r="T378" s="217">
        <f t="shared" si="225"/>
        <v>33865.87999999999</v>
      </c>
      <c r="U378" s="217">
        <f t="shared" si="225"/>
        <v>0</v>
      </c>
      <c r="V378" s="217">
        <f t="shared" si="225"/>
        <v>33865.87999999999</v>
      </c>
      <c r="W378" s="217">
        <f t="shared" si="225"/>
        <v>4670.67</v>
      </c>
      <c r="X378" s="217">
        <f t="shared" si="225"/>
        <v>0</v>
      </c>
      <c r="Y378" s="217">
        <f t="shared" si="225"/>
        <v>4670.67</v>
      </c>
      <c r="Z378" s="217">
        <f t="shared" si="225"/>
        <v>1594.6542070773278</v>
      </c>
      <c r="AA378" s="217">
        <f t="shared" si="225"/>
        <v>350.51761739248968</v>
      </c>
      <c r="AB378" s="217">
        <f t="shared" si="225"/>
        <v>210.43299999999999</v>
      </c>
      <c r="AC378" s="217">
        <f t="shared" si="225"/>
        <v>0</v>
      </c>
      <c r="AD378" s="217">
        <f t="shared" si="225"/>
        <v>1332.2932343819741</v>
      </c>
      <c r="AE378" s="217">
        <f t="shared" si="225"/>
        <v>448.93724615785362</v>
      </c>
      <c r="AF378" s="217">
        <f t="shared" si="225"/>
        <v>0</v>
      </c>
      <c r="AG378" s="217">
        <f t="shared" si="225"/>
        <v>3936.8353050096484</v>
      </c>
      <c r="AH378" s="217">
        <f t="shared" si="225"/>
        <v>26807.740125258657</v>
      </c>
      <c r="AI378" s="217">
        <f t="shared" si="225"/>
        <v>5347.2244672696233</v>
      </c>
      <c r="AJ378" s="217">
        <f t="shared" si="225"/>
        <v>4880.6900000000023</v>
      </c>
      <c r="AK378" s="217">
        <f t="shared" si="225"/>
        <v>0</v>
      </c>
      <c r="AL378" s="217">
        <f t="shared" si="225"/>
        <v>6510.33</v>
      </c>
      <c r="AM378" s="217">
        <f t="shared" si="225"/>
        <v>22397.188455929856</v>
      </c>
      <c r="AN378" s="217">
        <f t="shared" si="225"/>
        <v>8487.7327295027862</v>
      </c>
      <c r="AO378" s="217">
        <f t="shared" si="225"/>
        <v>0</v>
      </c>
      <c r="AP378" s="217">
        <f t="shared" si="225"/>
        <v>74430.905777960899</v>
      </c>
      <c r="AQ378" s="217">
        <f t="shared" si="225"/>
        <v>0</v>
      </c>
      <c r="AR378" s="217">
        <f t="shared" si="225"/>
        <v>0</v>
      </c>
      <c r="AS378" s="217">
        <f t="shared" si="225"/>
        <v>0</v>
      </c>
      <c r="AT378" s="217">
        <f t="shared" ref="AT378:AU378" si="226">SUMIF($AW$9:$AW$367,3,AT$9:AT$367)</f>
        <v>113177.4058517527</v>
      </c>
      <c r="AU378" s="217">
        <f t="shared" si="226"/>
        <v>357720.51551592816</v>
      </c>
      <c r="AW378" s="1">
        <v>3</v>
      </c>
      <c r="AY378" s="300" t="s">
        <v>1615</v>
      </c>
      <c r="BA378" s="217">
        <f>SUMIF($AW$9:$AW$367,3,BA$9:BA$367)</f>
        <v>35095.820000000014</v>
      </c>
      <c r="BB378" s="217">
        <f>SUMIF($AW$9:$AW$367,3,BB$9:BB$367)</f>
        <v>6633.6399999999994</v>
      </c>
      <c r="BC378" s="217">
        <f>SUMIF($AW$9:$AW$367,3,BC$9:BC$367)</f>
        <v>1934.2499999999991</v>
      </c>
      <c r="BD378" s="217">
        <f>SUMIF($AW$9:$AW$367,3,BD$9:BD$367)</f>
        <v>20676.38</v>
      </c>
      <c r="BI378" s="217">
        <f>SUMIF($AW$9:$AW$367,3,$AB$9:$AB$367)</f>
        <v>210.43299999999999</v>
      </c>
      <c r="BL378" s="600"/>
      <c r="BM378" s="600"/>
      <c r="BN378" s="600"/>
      <c r="BO378" s="600"/>
    </row>
    <row r="379" spans="1:67" s="136" customFormat="1" x14ac:dyDescent="0.3">
      <c r="A379" s="287"/>
      <c r="D379" s="398">
        <f t="shared" ref="D379:AS379" si="227">SUM(D376:D378)</f>
        <v>113546.51222256161</v>
      </c>
      <c r="E379" s="398">
        <f t="shared" si="227"/>
        <v>23404.999999999993</v>
      </c>
      <c r="F379" s="703">
        <f t="shared" si="227"/>
        <v>21967.45</v>
      </c>
      <c r="G379" s="398">
        <f t="shared" si="227"/>
        <v>0</v>
      </c>
      <c r="H379" s="398">
        <f t="shared" si="227"/>
        <v>94865.237460508186</v>
      </c>
      <c r="I379" s="398">
        <f t="shared" si="227"/>
        <v>32665.283732976633</v>
      </c>
      <c r="J379" s="398">
        <f t="shared" si="227"/>
        <v>0</v>
      </c>
      <c r="K379" s="398">
        <f t="shared" si="227"/>
        <v>286449.48341604637</v>
      </c>
      <c r="L379" s="398">
        <f t="shared" si="227"/>
        <v>22484.531639241428</v>
      </c>
      <c r="M379" s="398">
        <f t="shared" si="227"/>
        <v>4947.0000000000009</v>
      </c>
      <c r="N379" s="685">
        <f t="shared" si="227"/>
        <v>552</v>
      </c>
      <c r="O379" s="398">
        <f t="shared" si="227"/>
        <v>0</v>
      </c>
      <c r="P379" s="398">
        <f t="shared" si="227"/>
        <v>18785.2571725327</v>
      </c>
      <c r="Q379" s="398">
        <f t="shared" si="227"/>
        <v>6019.7433815505583</v>
      </c>
      <c r="R379" s="398">
        <f t="shared" si="227"/>
        <v>0</v>
      </c>
      <c r="S379" s="398">
        <f t="shared" si="227"/>
        <v>52788.532193324667</v>
      </c>
      <c r="T379" s="703">
        <f t="shared" si="227"/>
        <v>115234.04133333334</v>
      </c>
      <c r="U379" s="398">
        <f t="shared" si="227"/>
        <v>0</v>
      </c>
      <c r="V379" s="398">
        <f t="shared" si="227"/>
        <v>115234.04133333334</v>
      </c>
      <c r="W379" s="703">
        <f t="shared" si="227"/>
        <v>15747.309333333333</v>
      </c>
      <c r="X379" s="398">
        <f t="shared" si="227"/>
        <v>0</v>
      </c>
      <c r="Y379" s="398">
        <f t="shared" si="227"/>
        <v>15747.309333333333</v>
      </c>
      <c r="Z379" s="398">
        <f t="shared" si="227"/>
        <v>4139.9782961992159</v>
      </c>
      <c r="AA379" s="398">
        <f t="shared" si="227"/>
        <v>910</v>
      </c>
      <c r="AB379" s="685">
        <f t="shared" si="227"/>
        <v>759.36599999999999</v>
      </c>
      <c r="AC379" s="398">
        <f t="shared" si="227"/>
        <v>0</v>
      </c>
      <c r="AD379" s="398">
        <f t="shared" si="227"/>
        <v>3458.8470967781195</v>
      </c>
      <c r="AE379" s="398">
        <f t="shared" si="227"/>
        <v>1192.9351863560212</v>
      </c>
      <c r="AF379" s="398">
        <f t="shared" si="227"/>
        <v>0</v>
      </c>
      <c r="AG379" s="398">
        <f t="shared" si="227"/>
        <v>10461.12657933336</v>
      </c>
      <c r="AH379" s="398">
        <f t="shared" si="227"/>
        <v>68593.249196638717</v>
      </c>
      <c r="AI379" s="398">
        <f t="shared" si="227"/>
        <v>13681.999999999998</v>
      </c>
      <c r="AJ379" s="685">
        <f t="shared" si="227"/>
        <v>11653.510000000002</v>
      </c>
      <c r="AK379" s="398">
        <f t="shared" si="227"/>
        <v>0</v>
      </c>
      <c r="AL379" s="685">
        <f t="shared" si="227"/>
        <v>26845.980000000003</v>
      </c>
      <c r="AM379" s="398">
        <f t="shared" si="227"/>
        <v>57307.923826602426</v>
      </c>
      <c r="AN379" s="398">
        <f t="shared" si="227"/>
        <v>22921.524361417149</v>
      </c>
      <c r="AO379" s="398">
        <f t="shared" si="227"/>
        <v>0</v>
      </c>
      <c r="AP379" s="398">
        <f t="shared" si="227"/>
        <v>201004.18738465826</v>
      </c>
      <c r="AQ379" s="685">
        <f t="shared" si="227"/>
        <v>0</v>
      </c>
      <c r="AR379" s="398">
        <f t="shared" si="227"/>
        <v>0</v>
      </c>
      <c r="AS379" s="398">
        <f t="shared" si="227"/>
        <v>0</v>
      </c>
      <c r="AT379" s="398">
        <f t="shared" ref="AT379:AU379" si="228">SUM(AT376:AT378)</f>
        <v>393167.99999999977</v>
      </c>
      <c r="AU379" s="398">
        <f t="shared" si="228"/>
        <v>1074852.680240029</v>
      </c>
      <c r="BA379" s="682">
        <f>SUM(BA376:BA378)</f>
        <v>106563.89400000003</v>
      </c>
      <c r="BB379" s="682">
        <f>SUM(BB376:BB378)</f>
        <v>20237.089999999997</v>
      </c>
      <c r="BC379" s="682">
        <f>SUM(BC376:BC378)</f>
        <v>5378.9299999999985</v>
      </c>
      <c r="BD379" s="682">
        <f>SUM(BD376:BD378)</f>
        <v>65163.960000000006</v>
      </c>
      <c r="BI379" s="398">
        <f>SUM(BI376:BI378)</f>
        <v>759.36599999999999</v>
      </c>
      <c r="BL379" s="683"/>
      <c r="BM379" s="683"/>
      <c r="BN379" s="683"/>
      <c r="BO379" s="683"/>
    </row>
    <row r="381" spans="1:67" x14ac:dyDescent="0.3">
      <c r="B381" s="1" t="s">
        <v>1789</v>
      </c>
      <c r="C381" s="1">
        <f>SUMIF(B9:B367,1,C9:C367)</f>
        <v>159402.35000000003</v>
      </c>
      <c r="T381" s="105"/>
      <c r="W381" s="105"/>
      <c r="AY381" s="3" t="s">
        <v>1610</v>
      </c>
      <c r="AZ381" s="3" t="s">
        <v>1616</v>
      </c>
      <c r="BA381" s="30">
        <v>25911.67</v>
      </c>
      <c r="BB381" s="30">
        <v>5116.93</v>
      </c>
      <c r="BC381" s="30">
        <v>959.83</v>
      </c>
      <c r="BD381" s="30">
        <v>16054.88</v>
      </c>
    </row>
    <row r="382" spans="1:67" x14ac:dyDescent="0.3">
      <c r="AY382" s="3" t="s">
        <v>1611</v>
      </c>
      <c r="AZ382" s="3" t="s">
        <v>1616</v>
      </c>
      <c r="BA382" s="30">
        <v>39230.379999999997</v>
      </c>
      <c r="BB382" s="30">
        <v>7776.22</v>
      </c>
      <c r="BC382" s="30">
        <v>1385.68</v>
      </c>
      <c r="BD382" s="30">
        <v>22511.72</v>
      </c>
    </row>
    <row r="383" spans="1:67" x14ac:dyDescent="0.3">
      <c r="B383" s="1" t="s">
        <v>1790</v>
      </c>
      <c r="C383" s="104">
        <f>C368-C381</f>
        <v>846401.7900000005</v>
      </c>
      <c r="AY383" s="3" t="s">
        <v>1612</v>
      </c>
      <c r="AZ383" s="3" t="s">
        <v>1616</v>
      </c>
      <c r="BA383" s="30">
        <v>39610.5</v>
      </c>
      <c r="BB383" s="30">
        <v>7830.34</v>
      </c>
      <c r="BC383" s="30">
        <v>1469.47</v>
      </c>
      <c r="BD383" s="30">
        <v>24742.63</v>
      </c>
    </row>
    <row r="384" spans="1:67" x14ac:dyDescent="0.3">
      <c r="AY384" s="31"/>
      <c r="AZ384" s="31"/>
      <c r="BA384" s="106">
        <f>SUM(BA381:BA383)</f>
        <v>104752.54999999999</v>
      </c>
      <c r="BB384" s="106">
        <f>SUM(BB381:BB383)</f>
        <v>20723.490000000002</v>
      </c>
      <c r="BC384" s="106">
        <f>SUM(BC381:BC383)</f>
        <v>3814.9800000000005</v>
      </c>
      <c r="BD384" s="106">
        <f>SUM(BD381:BD383)</f>
        <v>63309.229999999996</v>
      </c>
      <c r="BL384" s="599"/>
      <c r="BM384" s="599"/>
      <c r="BN384" s="599"/>
      <c r="BO384" s="599"/>
    </row>
    <row r="385" spans="51:67" x14ac:dyDescent="0.3">
      <c r="BA385" s="103">
        <f>8794/104753</f>
        <v>8.3949863011083217E-2</v>
      </c>
      <c r="BB385" s="103">
        <f>1761/20723</f>
        <v>8.4978043719538682E-2</v>
      </c>
      <c r="BC385" s="103">
        <f>325/3815</f>
        <v>8.5190039318479682E-2</v>
      </c>
      <c r="BD385" s="103">
        <f>5284/63309</f>
        <v>8.3463646558941063E-2</v>
      </c>
    </row>
    <row r="386" spans="51:67" x14ac:dyDescent="0.3">
      <c r="AY386" s="3" t="s">
        <v>1610</v>
      </c>
      <c r="AZ386" s="3" t="s">
        <v>1617</v>
      </c>
      <c r="BA386" s="30">
        <f>BA381*$BA$385</f>
        <v>2175.2811468883947</v>
      </c>
      <c r="BB386" s="30">
        <f>BB381*$BB$385</f>
        <v>434.82670124981911</v>
      </c>
      <c r="BC386" s="30">
        <f>BC381*$BC$385</f>
        <v>81.767955439056351</v>
      </c>
      <c r="BD386" s="30">
        <f>BD381*$BD$385</f>
        <v>1339.9988298662115</v>
      </c>
    </row>
    <row r="387" spans="51:67" x14ac:dyDescent="0.3">
      <c r="AY387" s="3" t="s">
        <v>1611</v>
      </c>
      <c r="AZ387" s="3" t="s">
        <v>1617</v>
      </c>
      <c r="BA387" s="30">
        <f>BA382*$BA$385</f>
        <v>3293.3850268727388</v>
      </c>
      <c r="BB387" s="30">
        <f>BB382*$BB$385</f>
        <v>660.80796313275107</v>
      </c>
      <c r="BC387" s="30">
        <f>BC382*$BC$385</f>
        <v>118.04613368283093</v>
      </c>
      <c r="BD387" s="30">
        <f>BD382*$BD$385</f>
        <v>1878.9102415138448</v>
      </c>
    </row>
    <row r="388" spans="51:67" x14ac:dyDescent="0.3">
      <c r="AY388" s="3" t="s">
        <v>1612</v>
      </c>
      <c r="AZ388" s="3" t="s">
        <v>1617</v>
      </c>
      <c r="BA388" s="30">
        <f>BA383*$BA$385</f>
        <v>3325.2960488005119</v>
      </c>
      <c r="BB388" s="30">
        <f>BB383*$BB$385</f>
        <v>665.40697485885255</v>
      </c>
      <c r="BC388" s="30">
        <f>BC383*$BC$385</f>
        <v>125.18420707732633</v>
      </c>
      <c r="BD388" s="30">
        <f>BD383*$BD$385</f>
        <v>2065.1101252586518</v>
      </c>
    </row>
    <row r="389" spans="51:67" x14ac:dyDescent="0.3">
      <c r="AY389" s="31"/>
      <c r="AZ389" s="31"/>
      <c r="BA389" s="106">
        <f>SUM(BA386:BA388)</f>
        <v>8793.9622225616458</v>
      </c>
      <c r="BB389" s="106">
        <f>SUM(BB386:BB388)</f>
        <v>1761.0416392414227</v>
      </c>
      <c r="BC389" s="106">
        <f>SUM(BC386:BC388)</f>
        <v>324.9982961992136</v>
      </c>
      <c r="BD389" s="106">
        <f>SUM(BD386:BD388)</f>
        <v>5284.0191966387083</v>
      </c>
      <c r="BL389" s="599"/>
      <c r="BM389" s="599"/>
      <c r="BN389" s="599"/>
      <c r="BO389" s="599"/>
    </row>
    <row r="391" spans="51:67" x14ac:dyDescent="0.3">
      <c r="AY391" s="3" t="s">
        <v>1610</v>
      </c>
      <c r="AZ391" s="3" t="s">
        <v>1618</v>
      </c>
      <c r="BA391" s="30">
        <f>BA381+BA386</f>
        <v>28086.951146888394</v>
      </c>
      <c r="BB391" s="30">
        <f>BB381+BB386</f>
        <v>5551.7567012498193</v>
      </c>
      <c r="BC391" s="30">
        <f>BC381+BC386</f>
        <v>1041.5979554390565</v>
      </c>
      <c r="BD391" s="30">
        <f>BD381+BD386</f>
        <v>17394.878829866211</v>
      </c>
    </row>
    <row r="392" spans="51:67" x14ac:dyDescent="0.3">
      <c r="AY392" s="3" t="s">
        <v>1611</v>
      </c>
      <c r="AZ392" s="3" t="s">
        <v>1618</v>
      </c>
      <c r="BA392" s="30">
        <f t="shared" ref="BA392:BC393" si="229">BA382+BA387</f>
        <v>42523.765026872738</v>
      </c>
      <c r="BB392" s="30">
        <f t="shared" si="229"/>
        <v>8437.0279631327521</v>
      </c>
      <c r="BC392" s="30">
        <f t="shared" si="229"/>
        <v>1503.726133682831</v>
      </c>
      <c r="BD392" s="30">
        <f>BD382+BD387</f>
        <v>24390.630241513845</v>
      </c>
    </row>
    <row r="393" spans="51:67" x14ac:dyDescent="0.3">
      <c r="AY393" s="3" t="s">
        <v>1612</v>
      </c>
      <c r="AZ393" s="3" t="s">
        <v>1618</v>
      </c>
      <c r="BA393" s="30">
        <f t="shared" si="229"/>
        <v>42935.796048800512</v>
      </c>
      <c r="BB393" s="30">
        <f t="shared" si="229"/>
        <v>8495.7469748588519</v>
      </c>
      <c r="BC393" s="30">
        <f t="shared" si="229"/>
        <v>1594.6542070773264</v>
      </c>
      <c r="BD393" s="30">
        <f>BD383+BD388</f>
        <v>26807.740125258653</v>
      </c>
    </row>
    <row r="394" spans="51:67" x14ac:dyDescent="0.3">
      <c r="AY394" s="31"/>
      <c r="AZ394" s="31"/>
      <c r="BA394" s="119">
        <f>SUM(BA391:BA393)</f>
        <v>113546.51222256164</v>
      </c>
      <c r="BB394" s="119">
        <f>SUM(BB391:BB393)</f>
        <v>22484.531639241424</v>
      </c>
      <c r="BC394" s="119">
        <f>SUM(BC391:BC393)</f>
        <v>4139.9782961992141</v>
      </c>
      <c r="BD394" s="119">
        <f>SUM(BD391:BD393)</f>
        <v>68593.249196638717</v>
      </c>
      <c r="BL394" s="111"/>
      <c r="BM394" s="111"/>
      <c r="BN394" s="111"/>
      <c r="BO394" s="111"/>
    </row>
    <row r="397" spans="51:67" x14ac:dyDescent="0.3">
      <c r="AY397" s="3" t="s">
        <v>1619</v>
      </c>
      <c r="AZ397" s="29">
        <v>1</v>
      </c>
      <c r="BA397" s="110">
        <f>BA391/BA376</f>
        <v>0.85901039294857251</v>
      </c>
      <c r="BB397" s="30">
        <f>BB391/BB376</f>
        <v>0.92206249128051765</v>
      </c>
      <c r="BC397" s="30">
        <f>BC391/BC376</f>
        <v>0.35749517965371247</v>
      </c>
      <c r="BD397" s="30">
        <f>BD391/BD376</f>
        <v>0.82972030812989472</v>
      </c>
    </row>
    <row r="398" spans="51:67" x14ac:dyDescent="0.3">
      <c r="AY398" s="3" t="s">
        <v>1620</v>
      </c>
      <c r="AZ398" s="29">
        <v>2</v>
      </c>
      <c r="BA398" s="110">
        <f t="shared" ref="BA398:BC399" si="230">BA392/BA377</f>
        <v>1.0967873225415627</v>
      </c>
      <c r="BB398" s="30">
        <f t="shared" si="230"/>
        <v>1.1127076627324948</v>
      </c>
      <c r="BC398" s="30">
        <f t="shared" si="230"/>
        <v>2.8314493742615632</v>
      </c>
      <c r="BD398" s="30">
        <f>BD392/BD377</f>
        <v>1.036891829831438</v>
      </c>
    </row>
    <row r="399" spans="51:67" x14ac:dyDescent="0.3">
      <c r="AY399" s="3" t="s">
        <v>1621</v>
      </c>
      <c r="AZ399" s="29">
        <v>3</v>
      </c>
      <c r="BA399" s="110">
        <f t="shared" si="230"/>
        <v>1.2233877438623886</v>
      </c>
      <c r="BB399" s="30">
        <f t="shared" si="230"/>
        <v>1.2807066670574303</v>
      </c>
      <c r="BC399" s="30">
        <f t="shared" si="230"/>
        <v>0.82443024793968056</v>
      </c>
      <c r="BD399" s="30">
        <f>BD393/BD378</f>
        <v>1.2965393422474656</v>
      </c>
    </row>
  </sheetData>
  <autoFilter ref="A8:BQ372" xr:uid="{00000000-0001-0000-0A00-000000000000}"/>
  <mergeCells count="16">
    <mergeCell ref="J4:J5"/>
    <mergeCell ref="Z7:AG7"/>
    <mergeCell ref="AH7:AP7"/>
    <mergeCell ref="A7:A8"/>
    <mergeCell ref="B7:B8"/>
    <mergeCell ref="D7:K7"/>
    <mergeCell ref="C7:C8"/>
    <mergeCell ref="W7:Y7"/>
    <mergeCell ref="L7:S7"/>
    <mergeCell ref="T7:V7"/>
    <mergeCell ref="AQ7:AS7"/>
    <mergeCell ref="AP4:AS4"/>
    <mergeCell ref="BL7:BO7"/>
    <mergeCell ref="BA7:BD7"/>
    <mergeCell ref="AT7:AT8"/>
    <mergeCell ref="AU7:AU8"/>
  </mergeCells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B617C-ACF3-45BF-B92D-84CB8E01F2F5}">
  <sheetPr codeName="Лист9"/>
  <dimension ref="A1"/>
  <sheetViews>
    <sheetView workbookViewId="0">
      <selection activeCell="L32" sqref="L32"/>
    </sheetView>
  </sheetViews>
  <sheetFormatPr defaultRowHeight="14.4" x14ac:dyDescent="0.3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/>
  <dimension ref="A5:C404"/>
  <sheetViews>
    <sheetView topLeftCell="A276" workbookViewId="0">
      <selection activeCell="I312" sqref="I312"/>
    </sheetView>
  </sheetViews>
  <sheetFormatPr defaultColWidth="8.6640625" defaultRowHeight="14.4" x14ac:dyDescent="0.3"/>
  <cols>
    <col min="1" max="1" width="13.5546875" style="1" customWidth="1"/>
    <col min="2" max="2" width="34.44140625" style="1" customWidth="1"/>
    <col min="4" max="16384" width="8.6640625" style="155"/>
  </cols>
  <sheetData>
    <row r="5" spans="1:2" ht="15" thickBot="1" x14ac:dyDescent="0.35"/>
    <row r="6" spans="1:2" x14ac:dyDescent="0.3">
      <c r="A6" s="691" t="s">
        <v>1103</v>
      </c>
      <c r="B6" s="690" t="s">
        <v>1</v>
      </c>
    </row>
    <row r="7" spans="1:2" x14ac:dyDescent="0.3">
      <c r="A7" s="325">
        <v>150000488</v>
      </c>
      <c r="B7" s="86" t="s">
        <v>34</v>
      </c>
    </row>
    <row r="8" spans="1:2" x14ac:dyDescent="0.3">
      <c r="A8" s="325">
        <v>150000490</v>
      </c>
      <c r="B8" s="45" t="s">
        <v>36</v>
      </c>
    </row>
    <row r="9" spans="1:2" x14ac:dyDescent="0.3">
      <c r="A9" s="325">
        <v>150000492</v>
      </c>
      <c r="B9" s="45" t="s">
        <v>35</v>
      </c>
    </row>
    <row r="10" spans="1:2" x14ac:dyDescent="0.3">
      <c r="A10" s="325">
        <v>150000493</v>
      </c>
      <c r="B10" s="45" t="s">
        <v>417</v>
      </c>
    </row>
    <row r="11" spans="1:2" x14ac:dyDescent="0.3">
      <c r="A11" s="325">
        <v>150000494</v>
      </c>
      <c r="B11" s="45" t="s">
        <v>418</v>
      </c>
    </row>
    <row r="12" spans="1:2" x14ac:dyDescent="0.3">
      <c r="A12" s="325">
        <v>150000495</v>
      </c>
      <c r="B12" s="45" t="s">
        <v>147</v>
      </c>
    </row>
    <row r="13" spans="1:2" x14ac:dyDescent="0.3">
      <c r="A13" s="325">
        <v>150000496</v>
      </c>
      <c r="B13" s="45" t="s">
        <v>148</v>
      </c>
    </row>
    <row r="14" spans="1:2" x14ac:dyDescent="0.3">
      <c r="A14" s="325">
        <v>150000497</v>
      </c>
      <c r="B14" s="45" t="s">
        <v>340</v>
      </c>
    </row>
    <row r="15" spans="1:2" x14ac:dyDescent="0.3">
      <c r="A15" s="325">
        <v>150000498</v>
      </c>
      <c r="B15" s="45" t="s">
        <v>241</v>
      </c>
    </row>
    <row r="16" spans="1:2" x14ac:dyDescent="0.3">
      <c r="A16" s="325">
        <v>150000501</v>
      </c>
      <c r="B16" s="45" t="s">
        <v>263</v>
      </c>
    </row>
    <row r="17" spans="1:2" x14ac:dyDescent="0.3">
      <c r="A17" s="325">
        <v>150000502</v>
      </c>
      <c r="B17" s="45" t="s">
        <v>108</v>
      </c>
    </row>
    <row r="18" spans="1:2" x14ac:dyDescent="0.3">
      <c r="A18" s="325">
        <v>150000503</v>
      </c>
      <c r="B18" s="45" t="s">
        <v>109</v>
      </c>
    </row>
    <row r="19" spans="1:2" x14ac:dyDescent="0.3">
      <c r="A19" s="325">
        <v>150000504</v>
      </c>
      <c r="B19" s="45" t="s">
        <v>110</v>
      </c>
    </row>
    <row r="20" spans="1:2" x14ac:dyDescent="0.3">
      <c r="A20" s="325">
        <v>150000505</v>
      </c>
      <c r="B20" s="45" t="s">
        <v>112</v>
      </c>
    </row>
    <row r="21" spans="1:2" x14ac:dyDescent="0.3">
      <c r="A21" s="325">
        <v>150000506</v>
      </c>
      <c r="B21" s="45" t="s">
        <v>111</v>
      </c>
    </row>
    <row r="22" spans="1:2" x14ac:dyDescent="0.3">
      <c r="A22" s="325">
        <v>150000507</v>
      </c>
      <c r="B22" s="45" t="s">
        <v>113</v>
      </c>
    </row>
    <row r="23" spans="1:2" x14ac:dyDescent="0.3">
      <c r="A23" s="325">
        <v>150000508</v>
      </c>
      <c r="B23" s="45" t="s">
        <v>114</v>
      </c>
    </row>
    <row r="24" spans="1:2" x14ac:dyDescent="0.3">
      <c r="A24" s="325">
        <v>150000509</v>
      </c>
      <c r="B24" s="45" t="s">
        <v>52</v>
      </c>
    </row>
    <row r="25" spans="1:2" x14ac:dyDescent="0.3">
      <c r="A25" s="325">
        <v>150000510</v>
      </c>
      <c r="B25" s="45" t="s">
        <v>248</v>
      </c>
    </row>
    <row r="26" spans="1:2" x14ac:dyDescent="0.3">
      <c r="A26" s="325">
        <v>150000511</v>
      </c>
      <c r="B26" s="45" t="s">
        <v>249</v>
      </c>
    </row>
    <row r="27" spans="1:2" x14ac:dyDescent="0.3">
      <c r="A27" s="325">
        <v>150000512</v>
      </c>
      <c r="B27" s="45" t="s">
        <v>250</v>
      </c>
    </row>
    <row r="28" spans="1:2" x14ac:dyDescent="0.3">
      <c r="A28" s="325">
        <v>150000513</v>
      </c>
      <c r="B28" s="45" t="s">
        <v>333</v>
      </c>
    </row>
    <row r="29" spans="1:2" x14ac:dyDescent="0.3">
      <c r="A29" s="325">
        <v>150000514</v>
      </c>
      <c r="B29" s="45" t="s">
        <v>151</v>
      </c>
    </row>
    <row r="30" spans="1:2" x14ac:dyDescent="0.3">
      <c r="A30" s="325">
        <v>150000515</v>
      </c>
      <c r="B30" s="45" t="s">
        <v>53</v>
      </c>
    </row>
    <row r="31" spans="1:2" x14ac:dyDescent="0.3">
      <c r="A31" s="325">
        <v>150000516</v>
      </c>
      <c r="B31" s="45" t="s">
        <v>55</v>
      </c>
    </row>
    <row r="32" spans="1:2" x14ac:dyDescent="0.3">
      <c r="A32" s="325">
        <v>150000517</v>
      </c>
      <c r="B32" s="45" t="s">
        <v>251</v>
      </c>
    </row>
    <row r="33" spans="1:2" x14ac:dyDescent="0.3">
      <c r="A33" s="325">
        <v>150000518</v>
      </c>
      <c r="B33" s="45" t="s">
        <v>194</v>
      </c>
    </row>
    <row r="34" spans="1:2" x14ac:dyDescent="0.3">
      <c r="A34" s="325">
        <v>150000519</v>
      </c>
      <c r="B34" s="45" t="s">
        <v>412</v>
      </c>
    </row>
    <row r="35" spans="1:2" x14ac:dyDescent="0.3">
      <c r="A35" s="325">
        <v>150000521</v>
      </c>
      <c r="B35" s="45" t="s">
        <v>252</v>
      </c>
    </row>
    <row r="36" spans="1:2" x14ac:dyDescent="0.3">
      <c r="A36" s="325">
        <v>150000522</v>
      </c>
      <c r="B36" s="45" t="s">
        <v>56</v>
      </c>
    </row>
    <row r="37" spans="1:2" x14ac:dyDescent="0.3">
      <c r="A37" s="325">
        <v>150000523</v>
      </c>
      <c r="B37" s="45" t="s">
        <v>57</v>
      </c>
    </row>
    <row r="38" spans="1:2" x14ac:dyDescent="0.3">
      <c r="A38" s="325">
        <v>150000524</v>
      </c>
      <c r="B38" s="45" t="s">
        <v>58</v>
      </c>
    </row>
    <row r="39" spans="1:2" x14ac:dyDescent="0.3">
      <c r="A39" s="325">
        <v>150000527</v>
      </c>
      <c r="B39" s="45" t="s">
        <v>60</v>
      </c>
    </row>
    <row r="40" spans="1:2" x14ac:dyDescent="0.3">
      <c r="A40" s="325">
        <v>150000529</v>
      </c>
      <c r="B40" s="45" t="s">
        <v>347</v>
      </c>
    </row>
    <row r="41" spans="1:2" x14ac:dyDescent="0.3">
      <c r="A41" s="325">
        <v>150000530</v>
      </c>
      <c r="B41" s="45" t="s">
        <v>62</v>
      </c>
    </row>
    <row r="42" spans="1:2" x14ac:dyDescent="0.3">
      <c r="A42" s="325">
        <v>150000531</v>
      </c>
      <c r="B42" s="45" t="s">
        <v>348</v>
      </c>
    </row>
    <row r="43" spans="1:2" x14ac:dyDescent="0.3">
      <c r="A43" s="325">
        <v>150000532</v>
      </c>
      <c r="B43" s="45" t="s">
        <v>253</v>
      </c>
    </row>
    <row r="44" spans="1:2" x14ac:dyDescent="0.3">
      <c r="A44" s="325">
        <v>150000533</v>
      </c>
      <c r="B44" s="45" t="s">
        <v>349</v>
      </c>
    </row>
    <row r="45" spans="1:2" x14ac:dyDescent="0.3">
      <c r="A45" s="325">
        <v>150000534</v>
      </c>
      <c r="B45" s="45" t="s">
        <v>254</v>
      </c>
    </row>
    <row r="46" spans="1:2" x14ac:dyDescent="0.3">
      <c r="A46" s="325">
        <v>150000535</v>
      </c>
      <c r="B46" s="45" t="s">
        <v>350</v>
      </c>
    </row>
    <row r="47" spans="1:2" x14ac:dyDescent="0.3">
      <c r="A47" s="325">
        <v>150000537</v>
      </c>
      <c r="B47" s="45" t="s">
        <v>105</v>
      </c>
    </row>
    <row r="48" spans="1:2" x14ac:dyDescent="0.3">
      <c r="A48" s="325">
        <v>150000538</v>
      </c>
      <c r="B48" s="45" t="s">
        <v>207</v>
      </c>
    </row>
    <row r="49" spans="1:2" x14ac:dyDescent="0.3">
      <c r="A49" s="325">
        <v>150000539</v>
      </c>
      <c r="B49" s="45" t="s">
        <v>54</v>
      </c>
    </row>
    <row r="50" spans="1:2" x14ac:dyDescent="0.3">
      <c r="A50" s="325">
        <v>150000541</v>
      </c>
      <c r="B50" s="45" t="s">
        <v>59</v>
      </c>
    </row>
    <row r="51" spans="1:2" x14ac:dyDescent="0.3">
      <c r="A51" s="325">
        <v>150000542</v>
      </c>
      <c r="B51" s="45" t="s">
        <v>61</v>
      </c>
    </row>
    <row r="52" spans="1:2" x14ac:dyDescent="0.3">
      <c r="A52" s="325">
        <v>150000543</v>
      </c>
      <c r="B52" s="45" t="s">
        <v>63</v>
      </c>
    </row>
    <row r="53" spans="1:2" x14ac:dyDescent="0.3">
      <c r="A53" s="325">
        <v>150000544</v>
      </c>
      <c r="B53" s="45" t="s">
        <v>64</v>
      </c>
    </row>
    <row r="54" spans="1:2" x14ac:dyDescent="0.3">
      <c r="A54" s="325">
        <v>150000545</v>
      </c>
      <c r="B54" s="45" t="s">
        <v>106</v>
      </c>
    </row>
    <row r="55" spans="1:2" x14ac:dyDescent="0.3">
      <c r="A55" s="325">
        <v>150000546</v>
      </c>
      <c r="B55" s="45" t="s">
        <v>107</v>
      </c>
    </row>
    <row r="56" spans="1:2" x14ac:dyDescent="0.3">
      <c r="A56" s="325">
        <v>150000547</v>
      </c>
      <c r="B56" s="45" t="s">
        <v>247</v>
      </c>
    </row>
    <row r="57" spans="1:2" x14ac:dyDescent="0.3">
      <c r="A57" s="325">
        <v>150000548</v>
      </c>
      <c r="B57" s="45" t="s">
        <v>246</v>
      </c>
    </row>
    <row r="58" spans="1:2" x14ac:dyDescent="0.3">
      <c r="A58" s="325">
        <v>150000549</v>
      </c>
      <c r="B58" s="45" t="s">
        <v>206</v>
      </c>
    </row>
    <row r="59" spans="1:2" x14ac:dyDescent="0.3">
      <c r="A59" s="325">
        <v>150000552</v>
      </c>
      <c r="B59" s="45" t="s">
        <v>91</v>
      </c>
    </row>
    <row r="60" spans="1:2" x14ac:dyDescent="0.3">
      <c r="A60" s="325">
        <v>150000553</v>
      </c>
      <c r="B60" s="45" t="s">
        <v>259</v>
      </c>
    </row>
    <row r="61" spans="1:2" x14ac:dyDescent="0.3">
      <c r="A61" s="325">
        <v>150000555</v>
      </c>
      <c r="B61" s="45" t="s">
        <v>88</v>
      </c>
    </row>
    <row r="62" spans="1:2" x14ac:dyDescent="0.3">
      <c r="A62" s="325">
        <v>150000556</v>
      </c>
      <c r="B62" s="45" t="s">
        <v>89</v>
      </c>
    </row>
    <row r="63" spans="1:2" x14ac:dyDescent="0.3">
      <c r="A63" s="325">
        <v>150000557</v>
      </c>
      <c r="B63" s="45" t="s">
        <v>90</v>
      </c>
    </row>
    <row r="64" spans="1:2" x14ac:dyDescent="0.3">
      <c r="A64" s="325">
        <v>150000561</v>
      </c>
      <c r="B64" s="45" t="s">
        <v>71</v>
      </c>
    </row>
    <row r="65" spans="1:2" x14ac:dyDescent="0.3">
      <c r="A65" s="325">
        <v>150000562</v>
      </c>
      <c r="B65" s="45" t="s">
        <v>73</v>
      </c>
    </row>
    <row r="66" spans="1:2" x14ac:dyDescent="0.3">
      <c r="A66" s="325">
        <v>150000566</v>
      </c>
      <c r="B66" s="45" t="s">
        <v>68</v>
      </c>
    </row>
    <row r="67" spans="1:2" x14ac:dyDescent="0.3">
      <c r="A67" s="325">
        <v>150000567</v>
      </c>
      <c r="B67" s="45" t="s">
        <v>70</v>
      </c>
    </row>
    <row r="68" spans="1:2" x14ac:dyDescent="0.3">
      <c r="A68" s="325">
        <v>150000569</v>
      </c>
      <c r="B68" s="45" t="s">
        <v>72</v>
      </c>
    </row>
    <row r="69" spans="1:2" x14ac:dyDescent="0.3">
      <c r="A69" s="325">
        <v>150000570</v>
      </c>
      <c r="B69" s="45" t="s">
        <v>74</v>
      </c>
    </row>
    <row r="70" spans="1:2" x14ac:dyDescent="0.3">
      <c r="A70" s="325">
        <v>150000571</v>
      </c>
      <c r="B70" s="45" t="s">
        <v>69</v>
      </c>
    </row>
    <row r="71" spans="1:2" x14ac:dyDescent="0.3">
      <c r="A71" s="325">
        <v>150000572</v>
      </c>
      <c r="B71" s="45" t="s">
        <v>152</v>
      </c>
    </row>
    <row r="72" spans="1:2" x14ac:dyDescent="0.3">
      <c r="A72" s="325">
        <v>150000573</v>
      </c>
      <c r="B72" s="45" t="s">
        <v>75</v>
      </c>
    </row>
    <row r="73" spans="1:2" x14ac:dyDescent="0.3">
      <c r="A73" s="325">
        <v>150000578</v>
      </c>
      <c r="B73" s="45" t="s">
        <v>83</v>
      </c>
    </row>
    <row r="74" spans="1:2" x14ac:dyDescent="0.3">
      <c r="A74" s="325">
        <v>150000580</v>
      </c>
      <c r="B74" s="45" t="s">
        <v>84</v>
      </c>
    </row>
    <row r="75" spans="1:2" x14ac:dyDescent="0.3">
      <c r="A75" s="325">
        <v>150000587</v>
      </c>
      <c r="B75" s="45" t="s">
        <v>82</v>
      </c>
    </row>
    <row r="76" spans="1:2" x14ac:dyDescent="0.3">
      <c r="A76" s="325">
        <v>150000590</v>
      </c>
      <c r="B76" s="45" t="s">
        <v>163</v>
      </c>
    </row>
    <row r="77" spans="1:2" x14ac:dyDescent="0.3">
      <c r="A77" s="325">
        <v>150000591</v>
      </c>
      <c r="B77" s="45" t="s">
        <v>191</v>
      </c>
    </row>
    <row r="78" spans="1:2" x14ac:dyDescent="0.3">
      <c r="A78" s="325">
        <v>150000592</v>
      </c>
      <c r="B78" s="45" t="s">
        <v>353</v>
      </c>
    </row>
    <row r="79" spans="1:2" x14ac:dyDescent="0.3">
      <c r="A79" s="325">
        <v>150000593</v>
      </c>
      <c r="B79" s="45" t="s">
        <v>255</v>
      </c>
    </row>
    <row r="80" spans="1:2" x14ac:dyDescent="0.3">
      <c r="A80" s="325">
        <v>150000594</v>
      </c>
      <c r="B80" s="45" t="s">
        <v>354</v>
      </c>
    </row>
    <row r="81" spans="1:2" x14ac:dyDescent="0.3">
      <c r="A81" s="325">
        <v>150000597</v>
      </c>
      <c r="B81" s="45" t="s">
        <v>352</v>
      </c>
    </row>
    <row r="82" spans="1:2" x14ac:dyDescent="0.3">
      <c r="A82" s="325">
        <v>150000598</v>
      </c>
      <c r="B82" s="45" t="s">
        <v>76</v>
      </c>
    </row>
    <row r="83" spans="1:2" x14ac:dyDescent="0.3">
      <c r="A83" s="325">
        <v>150000599</v>
      </c>
      <c r="B83" s="45" t="s">
        <v>77</v>
      </c>
    </row>
    <row r="84" spans="1:2" x14ac:dyDescent="0.3">
      <c r="A84" s="325">
        <v>150000601</v>
      </c>
      <c r="B84" s="45" t="s">
        <v>78</v>
      </c>
    </row>
    <row r="85" spans="1:2" x14ac:dyDescent="0.3">
      <c r="A85" s="325">
        <v>150000603</v>
      </c>
      <c r="B85" s="45" t="s">
        <v>153</v>
      </c>
    </row>
    <row r="86" spans="1:2" x14ac:dyDescent="0.3">
      <c r="A86" s="325">
        <v>150000604</v>
      </c>
      <c r="B86" s="45" t="s">
        <v>154</v>
      </c>
    </row>
    <row r="87" spans="1:2" x14ac:dyDescent="0.3">
      <c r="A87" s="325">
        <v>150000605</v>
      </c>
      <c r="B87" s="45" t="s">
        <v>155</v>
      </c>
    </row>
    <row r="88" spans="1:2" x14ac:dyDescent="0.3">
      <c r="A88" s="325">
        <v>150000606</v>
      </c>
      <c r="B88" s="45" t="s">
        <v>156</v>
      </c>
    </row>
    <row r="89" spans="1:2" x14ac:dyDescent="0.3">
      <c r="A89" s="325">
        <v>150000607</v>
      </c>
      <c r="B89" s="45" t="s">
        <v>157</v>
      </c>
    </row>
    <row r="90" spans="1:2" x14ac:dyDescent="0.3">
      <c r="A90" s="325">
        <v>150000608</v>
      </c>
      <c r="B90" s="45" t="s">
        <v>158</v>
      </c>
    </row>
    <row r="91" spans="1:2" x14ac:dyDescent="0.3">
      <c r="A91" s="325">
        <v>150000609</v>
      </c>
      <c r="B91" s="45" t="s">
        <v>159</v>
      </c>
    </row>
    <row r="92" spans="1:2" x14ac:dyDescent="0.3">
      <c r="A92" s="325">
        <v>150000610</v>
      </c>
      <c r="B92" s="45" t="s">
        <v>160</v>
      </c>
    </row>
    <row r="93" spans="1:2" x14ac:dyDescent="0.3">
      <c r="A93" s="325">
        <v>150000611</v>
      </c>
      <c r="B93" s="45" t="s">
        <v>195</v>
      </c>
    </row>
    <row r="94" spans="1:2" x14ac:dyDescent="0.3">
      <c r="A94" s="325">
        <v>150000612</v>
      </c>
      <c r="B94" s="45" t="s">
        <v>161</v>
      </c>
    </row>
    <row r="95" spans="1:2" x14ac:dyDescent="0.3">
      <c r="A95" s="325">
        <v>150000613</v>
      </c>
      <c r="B95" s="45" t="s">
        <v>210</v>
      </c>
    </row>
    <row r="96" spans="1:2" x14ac:dyDescent="0.3">
      <c r="A96" s="325">
        <v>150000614</v>
      </c>
      <c r="B96" s="45" t="s">
        <v>162</v>
      </c>
    </row>
    <row r="97" spans="1:2" x14ac:dyDescent="0.3">
      <c r="A97" s="325">
        <v>150000615</v>
      </c>
      <c r="B97" s="45" t="s">
        <v>256</v>
      </c>
    </row>
    <row r="98" spans="1:2" x14ac:dyDescent="0.3">
      <c r="A98" s="325">
        <v>150000616</v>
      </c>
      <c r="B98" s="45" t="s">
        <v>257</v>
      </c>
    </row>
    <row r="99" spans="1:2" x14ac:dyDescent="0.3">
      <c r="A99" s="325">
        <v>150000618</v>
      </c>
      <c r="B99" s="45" t="s">
        <v>416</v>
      </c>
    </row>
    <row r="100" spans="1:2" x14ac:dyDescent="0.3">
      <c r="A100" s="325">
        <v>150000619</v>
      </c>
      <c r="B100" s="45" t="s">
        <v>359</v>
      </c>
    </row>
    <row r="101" spans="1:2" x14ac:dyDescent="0.3">
      <c r="A101" s="325">
        <v>150000620</v>
      </c>
      <c r="B101" s="45" t="s">
        <v>360</v>
      </c>
    </row>
    <row r="102" spans="1:2" x14ac:dyDescent="0.3">
      <c r="A102" s="325">
        <v>150000621</v>
      </c>
      <c r="B102" s="45" t="s">
        <v>80</v>
      </c>
    </row>
    <row r="103" spans="1:2" x14ac:dyDescent="0.3">
      <c r="A103" s="325">
        <v>150000622</v>
      </c>
      <c r="B103" s="45" t="s">
        <v>81</v>
      </c>
    </row>
    <row r="104" spans="1:2" x14ac:dyDescent="0.3">
      <c r="A104" s="325">
        <v>150000623</v>
      </c>
      <c r="B104" s="45" t="s">
        <v>209</v>
      </c>
    </row>
    <row r="105" spans="1:2" x14ac:dyDescent="0.3">
      <c r="A105" s="325">
        <v>150000625</v>
      </c>
      <c r="B105" s="45" t="s">
        <v>415</v>
      </c>
    </row>
    <row r="106" spans="1:2" x14ac:dyDescent="0.3">
      <c r="A106" s="325">
        <v>150000626</v>
      </c>
      <c r="B106" s="45" t="s">
        <v>358</v>
      </c>
    </row>
    <row r="107" spans="1:2" x14ac:dyDescent="0.3">
      <c r="A107" s="325">
        <v>150000627</v>
      </c>
      <c r="B107" s="45" t="s">
        <v>355</v>
      </c>
    </row>
    <row r="108" spans="1:2" x14ac:dyDescent="0.3">
      <c r="A108" s="325">
        <v>150000628</v>
      </c>
      <c r="B108" s="45" t="s">
        <v>356</v>
      </c>
    </row>
    <row r="109" spans="1:2" x14ac:dyDescent="0.3">
      <c r="A109" s="325">
        <v>150000629</v>
      </c>
      <c r="B109" s="45" t="s">
        <v>357</v>
      </c>
    </row>
    <row r="110" spans="1:2" x14ac:dyDescent="0.3">
      <c r="A110" s="325">
        <v>150000634</v>
      </c>
      <c r="B110" s="45" t="s">
        <v>86</v>
      </c>
    </row>
    <row r="111" spans="1:2" x14ac:dyDescent="0.3">
      <c r="A111" s="325">
        <v>150000636</v>
      </c>
      <c r="B111" s="45" t="s">
        <v>258</v>
      </c>
    </row>
    <row r="112" spans="1:2" x14ac:dyDescent="0.3">
      <c r="A112" s="325">
        <v>150000637</v>
      </c>
      <c r="B112" s="45" t="s">
        <v>87</v>
      </c>
    </row>
    <row r="113" spans="1:2" x14ac:dyDescent="0.3">
      <c r="A113" s="325">
        <v>150000638</v>
      </c>
      <c r="B113" s="45" t="s">
        <v>131</v>
      </c>
    </row>
    <row r="114" spans="1:2" x14ac:dyDescent="0.3">
      <c r="A114" s="325">
        <v>150000639</v>
      </c>
      <c r="B114" s="45" t="s">
        <v>132</v>
      </c>
    </row>
    <row r="115" spans="1:2" x14ac:dyDescent="0.3">
      <c r="A115" s="325">
        <v>150000643</v>
      </c>
      <c r="B115" s="45" t="s">
        <v>66</v>
      </c>
    </row>
    <row r="116" spans="1:2" x14ac:dyDescent="0.3">
      <c r="A116" s="325">
        <v>150000644</v>
      </c>
      <c r="B116" s="45" t="s">
        <v>67</v>
      </c>
    </row>
    <row r="117" spans="1:2" x14ac:dyDescent="0.3">
      <c r="A117" s="325">
        <v>150000645</v>
      </c>
      <c r="B117" s="45" t="s">
        <v>65</v>
      </c>
    </row>
    <row r="118" spans="1:2" x14ac:dyDescent="0.3">
      <c r="A118" s="325">
        <v>150000647</v>
      </c>
      <c r="B118" s="45" t="s">
        <v>96</v>
      </c>
    </row>
    <row r="119" spans="1:2" x14ac:dyDescent="0.3">
      <c r="A119" s="325">
        <v>150000648</v>
      </c>
      <c r="B119" s="45" t="s">
        <v>361</v>
      </c>
    </row>
    <row r="120" spans="1:2" x14ac:dyDescent="0.3">
      <c r="A120" s="325">
        <v>150000658</v>
      </c>
      <c r="B120" s="45" t="s">
        <v>351</v>
      </c>
    </row>
    <row r="121" spans="1:2" x14ac:dyDescent="0.3">
      <c r="A121" s="325">
        <v>150000659</v>
      </c>
      <c r="B121" s="45" t="s">
        <v>413</v>
      </c>
    </row>
    <row r="122" spans="1:2" x14ac:dyDescent="0.3">
      <c r="A122" s="325">
        <v>150000660</v>
      </c>
      <c r="B122" s="45" t="s">
        <v>414</v>
      </c>
    </row>
    <row r="123" spans="1:2" x14ac:dyDescent="0.3">
      <c r="A123" s="325">
        <v>150000670</v>
      </c>
      <c r="B123" s="45" t="s">
        <v>126</v>
      </c>
    </row>
    <row r="124" spans="1:2" x14ac:dyDescent="0.3">
      <c r="A124" s="325">
        <v>150000671</v>
      </c>
      <c r="B124" s="45" t="s">
        <v>127</v>
      </c>
    </row>
    <row r="125" spans="1:2" x14ac:dyDescent="0.3">
      <c r="A125" s="325">
        <v>150000672</v>
      </c>
      <c r="B125" s="47" t="s">
        <v>428</v>
      </c>
    </row>
    <row r="126" spans="1:2" x14ac:dyDescent="0.3">
      <c r="A126" s="325">
        <v>150000673</v>
      </c>
      <c r="B126" s="45" t="s">
        <v>182</v>
      </c>
    </row>
    <row r="127" spans="1:2" x14ac:dyDescent="0.3">
      <c r="A127" s="325">
        <v>150000676</v>
      </c>
      <c r="B127" s="45" t="s">
        <v>385</v>
      </c>
    </row>
    <row r="128" spans="1:2" x14ac:dyDescent="0.3">
      <c r="A128" s="325">
        <v>150000683</v>
      </c>
      <c r="B128" s="45" t="s">
        <v>115</v>
      </c>
    </row>
    <row r="129" spans="1:2" x14ac:dyDescent="0.3">
      <c r="A129" s="325">
        <v>150000686</v>
      </c>
      <c r="B129" s="45" t="s">
        <v>97</v>
      </c>
    </row>
    <row r="130" spans="1:2" x14ac:dyDescent="0.3">
      <c r="A130" s="325">
        <v>150000688</v>
      </c>
      <c r="B130" s="45" t="s">
        <v>92</v>
      </c>
    </row>
    <row r="131" spans="1:2" x14ac:dyDescent="0.3">
      <c r="A131" s="325">
        <v>150000689</v>
      </c>
      <c r="B131" s="45" t="s">
        <v>93</v>
      </c>
    </row>
    <row r="132" spans="1:2" x14ac:dyDescent="0.3">
      <c r="A132" s="325">
        <v>150000690</v>
      </c>
      <c r="B132" s="45" t="s">
        <v>95</v>
      </c>
    </row>
    <row r="133" spans="1:2" x14ac:dyDescent="0.3">
      <c r="A133" s="325">
        <v>150000693</v>
      </c>
      <c r="B133" s="45" t="s">
        <v>94</v>
      </c>
    </row>
    <row r="134" spans="1:2" x14ac:dyDescent="0.3">
      <c r="A134" s="325">
        <v>150000694</v>
      </c>
      <c r="B134" s="45" t="s">
        <v>371</v>
      </c>
    </row>
    <row r="135" spans="1:2" x14ac:dyDescent="0.3">
      <c r="A135" s="325">
        <v>150000695</v>
      </c>
      <c r="B135" s="45" t="s">
        <v>372</v>
      </c>
    </row>
    <row r="136" spans="1:2" x14ac:dyDescent="0.3">
      <c r="A136" s="325">
        <v>150000696</v>
      </c>
      <c r="B136" s="45" t="s">
        <v>370</v>
      </c>
    </row>
    <row r="137" spans="1:2" x14ac:dyDescent="0.3">
      <c r="A137" s="325">
        <v>150000697</v>
      </c>
      <c r="B137" s="45" t="s">
        <v>265</v>
      </c>
    </row>
    <row r="138" spans="1:2" x14ac:dyDescent="0.3">
      <c r="A138" s="325">
        <v>150000698</v>
      </c>
      <c r="B138" s="45" t="s">
        <v>120</v>
      </c>
    </row>
    <row r="139" spans="1:2" x14ac:dyDescent="0.3">
      <c r="A139" s="325">
        <v>150000699</v>
      </c>
      <c r="B139" s="45" t="s">
        <v>373</v>
      </c>
    </row>
    <row r="140" spans="1:2" x14ac:dyDescent="0.3">
      <c r="A140" s="325">
        <v>150000702</v>
      </c>
      <c r="B140" s="45" t="s">
        <v>338</v>
      </c>
    </row>
    <row r="141" spans="1:2" x14ac:dyDescent="0.3">
      <c r="A141" s="325">
        <v>150000703</v>
      </c>
      <c r="B141" s="45" t="s">
        <v>339</v>
      </c>
    </row>
    <row r="142" spans="1:2" x14ac:dyDescent="0.3">
      <c r="A142" s="325">
        <v>150000705</v>
      </c>
      <c r="B142" s="45" t="s">
        <v>141</v>
      </c>
    </row>
    <row r="143" spans="1:2" x14ac:dyDescent="0.3">
      <c r="A143" s="325">
        <v>150000706</v>
      </c>
      <c r="B143" s="45" t="s">
        <v>143</v>
      </c>
    </row>
    <row r="144" spans="1:2" x14ac:dyDescent="0.3">
      <c r="A144" s="325">
        <v>150000707</v>
      </c>
      <c r="B144" s="45" t="s">
        <v>144</v>
      </c>
    </row>
    <row r="145" spans="1:2" x14ac:dyDescent="0.3">
      <c r="A145" s="325">
        <v>150000708</v>
      </c>
      <c r="B145" s="45" t="s">
        <v>145</v>
      </c>
    </row>
    <row r="146" spans="1:2" x14ac:dyDescent="0.3">
      <c r="A146" s="325">
        <v>150000709</v>
      </c>
      <c r="B146" s="45" t="s">
        <v>142</v>
      </c>
    </row>
    <row r="147" spans="1:2" x14ac:dyDescent="0.3">
      <c r="A147" s="325">
        <v>150000710</v>
      </c>
      <c r="B147" s="45" t="s">
        <v>278</v>
      </c>
    </row>
    <row r="148" spans="1:2" x14ac:dyDescent="0.3">
      <c r="A148" s="325">
        <v>150000711</v>
      </c>
      <c r="B148" s="45" t="s">
        <v>279</v>
      </c>
    </row>
    <row r="149" spans="1:2" x14ac:dyDescent="0.3">
      <c r="A149" s="325">
        <v>150000712</v>
      </c>
      <c r="B149" s="45" t="s">
        <v>280</v>
      </c>
    </row>
    <row r="150" spans="1:2" x14ac:dyDescent="0.3">
      <c r="A150" s="325">
        <v>150000713</v>
      </c>
      <c r="B150" s="45" t="s">
        <v>281</v>
      </c>
    </row>
    <row r="151" spans="1:2" x14ac:dyDescent="0.3">
      <c r="A151" s="325">
        <v>150000714</v>
      </c>
      <c r="B151" s="45" t="s">
        <v>282</v>
      </c>
    </row>
    <row r="152" spans="1:2" x14ac:dyDescent="0.3">
      <c r="A152" s="325">
        <v>150000715</v>
      </c>
      <c r="B152" s="45" t="s">
        <v>283</v>
      </c>
    </row>
    <row r="153" spans="1:2" x14ac:dyDescent="0.3">
      <c r="A153" s="325">
        <v>150000716</v>
      </c>
      <c r="B153" s="45" t="s">
        <v>285</v>
      </c>
    </row>
    <row r="154" spans="1:2" x14ac:dyDescent="0.3">
      <c r="A154" s="325">
        <v>150000717</v>
      </c>
      <c r="B154" s="45" t="s">
        <v>286</v>
      </c>
    </row>
    <row r="155" spans="1:2" x14ac:dyDescent="0.3">
      <c r="A155" s="325">
        <v>150000718</v>
      </c>
      <c r="B155" s="45" t="s">
        <v>287</v>
      </c>
    </row>
    <row r="156" spans="1:2" x14ac:dyDescent="0.3">
      <c r="A156" s="325">
        <v>150000719</v>
      </c>
      <c r="B156" s="45" t="s">
        <v>284</v>
      </c>
    </row>
    <row r="157" spans="1:2" x14ac:dyDescent="0.3">
      <c r="A157" s="325">
        <v>150000720</v>
      </c>
      <c r="B157" s="45" t="s">
        <v>288</v>
      </c>
    </row>
    <row r="158" spans="1:2" x14ac:dyDescent="0.3">
      <c r="A158" s="325">
        <v>150000721</v>
      </c>
      <c r="B158" s="45" t="s">
        <v>218</v>
      </c>
    </row>
    <row r="159" spans="1:2" x14ac:dyDescent="0.3">
      <c r="A159" s="325">
        <v>150000722</v>
      </c>
      <c r="B159" s="45" t="s">
        <v>274</v>
      </c>
    </row>
    <row r="160" spans="1:2" x14ac:dyDescent="0.3">
      <c r="A160" s="325">
        <v>150000723</v>
      </c>
      <c r="B160" s="45" t="s">
        <v>275</v>
      </c>
    </row>
    <row r="161" spans="1:2" x14ac:dyDescent="0.3">
      <c r="A161" s="325">
        <v>150000724</v>
      </c>
      <c r="B161" s="45" t="s">
        <v>276</v>
      </c>
    </row>
    <row r="162" spans="1:2" x14ac:dyDescent="0.3">
      <c r="A162" s="325">
        <v>150000725</v>
      </c>
      <c r="B162" s="45" t="s">
        <v>277</v>
      </c>
    </row>
    <row r="163" spans="1:2" x14ac:dyDescent="0.3">
      <c r="A163" s="325">
        <v>150000726</v>
      </c>
      <c r="B163" s="45" t="s">
        <v>183</v>
      </c>
    </row>
    <row r="164" spans="1:2" x14ac:dyDescent="0.3">
      <c r="A164" s="325">
        <v>150000727</v>
      </c>
      <c r="B164" s="45" t="s">
        <v>128</v>
      </c>
    </row>
    <row r="165" spans="1:2" x14ac:dyDescent="0.3">
      <c r="A165" s="325">
        <v>150000728</v>
      </c>
      <c r="B165" s="45" t="s">
        <v>184</v>
      </c>
    </row>
    <row r="166" spans="1:2" x14ac:dyDescent="0.3">
      <c r="A166" s="325">
        <v>150000729</v>
      </c>
      <c r="B166" s="45" t="s">
        <v>273</v>
      </c>
    </row>
    <row r="167" spans="1:2" x14ac:dyDescent="0.3">
      <c r="A167" s="325">
        <v>150000736</v>
      </c>
      <c r="B167" s="45" t="s">
        <v>219</v>
      </c>
    </row>
    <row r="168" spans="1:2" x14ac:dyDescent="0.3">
      <c r="A168" s="325">
        <v>150000737</v>
      </c>
      <c r="B168" s="45" t="s">
        <v>221</v>
      </c>
    </row>
    <row r="169" spans="1:2" x14ac:dyDescent="0.3">
      <c r="A169" s="325">
        <v>150000738</v>
      </c>
      <c r="B169" s="45" t="s">
        <v>289</v>
      </c>
    </row>
    <row r="170" spans="1:2" x14ac:dyDescent="0.3">
      <c r="A170" s="325">
        <v>150000739</v>
      </c>
      <c r="B170" s="45" t="s">
        <v>222</v>
      </c>
    </row>
    <row r="171" spans="1:2" x14ac:dyDescent="0.3">
      <c r="A171" s="325">
        <v>150000740</v>
      </c>
      <c r="B171" s="45" t="s">
        <v>197</v>
      </c>
    </row>
    <row r="172" spans="1:2" x14ac:dyDescent="0.3">
      <c r="A172" s="325">
        <v>150000741</v>
      </c>
      <c r="B172" s="45" t="s">
        <v>224</v>
      </c>
    </row>
    <row r="173" spans="1:2" x14ac:dyDescent="0.3">
      <c r="A173" s="325">
        <v>150000742</v>
      </c>
      <c r="B173" s="45" t="s">
        <v>290</v>
      </c>
    </row>
    <row r="174" spans="1:2" x14ac:dyDescent="0.3">
      <c r="A174" s="325">
        <v>150000743</v>
      </c>
      <c r="B174" s="45" t="s">
        <v>220</v>
      </c>
    </row>
    <row r="175" spans="1:2" x14ac:dyDescent="0.3">
      <c r="A175" s="325">
        <v>150000744</v>
      </c>
      <c r="B175" s="45" t="s">
        <v>223</v>
      </c>
    </row>
    <row r="176" spans="1:2" x14ac:dyDescent="0.3">
      <c r="A176" s="325">
        <v>150000745</v>
      </c>
      <c r="B176" s="45" t="s">
        <v>133</v>
      </c>
    </row>
    <row r="177" spans="1:2" x14ac:dyDescent="0.3">
      <c r="A177" s="325">
        <v>150000750</v>
      </c>
      <c r="B177" s="45" t="s">
        <v>129</v>
      </c>
    </row>
    <row r="178" spans="1:2" x14ac:dyDescent="0.3">
      <c r="A178" s="325">
        <v>150000751</v>
      </c>
      <c r="B178" s="45" t="s">
        <v>130</v>
      </c>
    </row>
    <row r="179" spans="1:2" x14ac:dyDescent="0.3">
      <c r="A179" s="325">
        <v>150000752</v>
      </c>
      <c r="B179" s="45" t="s">
        <v>386</v>
      </c>
    </row>
    <row r="180" spans="1:2" x14ac:dyDescent="0.3">
      <c r="A180" s="325">
        <v>150000753</v>
      </c>
      <c r="B180" s="45" t="s">
        <v>239</v>
      </c>
    </row>
    <row r="181" spans="1:2" x14ac:dyDescent="0.3">
      <c r="A181" s="325">
        <v>150000754</v>
      </c>
      <c r="B181" s="45" t="s">
        <v>240</v>
      </c>
    </row>
    <row r="182" spans="1:2" x14ac:dyDescent="0.3">
      <c r="A182" s="325">
        <v>150000758</v>
      </c>
      <c r="B182" s="45" t="s">
        <v>388</v>
      </c>
    </row>
    <row r="183" spans="1:2" x14ac:dyDescent="0.3">
      <c r="A183" s="325">
        <v>150000759</v>
      </c>
      <c r="B183" s="45" t="s">
        <v>389</v>
      </c>
    </row>
    <row r="184" spans="1:2" x14ac:dyDescent="0.3">
      <c r="A184" s="325">
        <v>150000760</v>
      </c>
      <c r="B184" s="45" t="s">
        <v>387</v>
      </c>
    </row>
    <row r="185" spans="1:2" x14ac:dyDescent="0.3">
      <c r="A185" s="325">
        <v>150000761</v>
      </c>
      <c r="B185" s="45" t="s">
        <v>390</v>
      </c>
    </row>
    <row r="186" spans="1:2" x14ac:dyDescent="0.3">
      <c r="A186" s="325">
        <v>150000762</v>
      </c>
      <c r="B186" s="45" t="s">
        <v>391</v>
      </c>
    </row>
    <row r="187" spans="1:2" x14ac:dyDescent="0.3">
      <c r="A187" s="325">
        <v>150000763</v>
      </c>
      <c r="B187" s="45" t="s">
        <v>117</v>
      </c>
    </row>
    <row r="188" spans="1:2" x14ac:dyDescent="0.3">
      <c r="A188" s="325">
        <v>150000764</v>
      </c>
      <c r="B188" s="45" t="s">
        <v>118</v>
      </c>
    </row>
    <row r="189" spans="1:2" x14ac:dyDescent="0.3">
      <c r="A189" s="325">
        <v>150000765</v>
      </c>
      <c r="B189" s="45" t="s">
        <v>264</v>
      </c>
    </row>
    <row r="190" spans="1:2" x14ac:dyDescent="0.3">
      <c r="A190" s="325">
        <v>150000768</v>
      </c>
      <c r="B190" s="45" t="s">
        <v>116</v>
      </c>
    </row>
    <row r="191" spans="1:2" x14ac:dyDescent="0.3">
      <c r="A191" s="325">
        <v>150000770</v>
      </c>
      <c r="B191" s="45" t="s">
        <v>119</v>
      </c>
    </row>
    <row r="192" spans="1:2" x14ac:dyDescent="0.3">
      <c r="A192" s="325">
        <v>150000777</v>
      </c>
      <c r="B192" s="45" t="s">
        <v>168</v>
      </c>
    </row>
    <row r="193" spans="1:2" x14ac:dyDescent="0.3">
      <c r="A193" s="325">
        <v>150000778</v>
      </c>
      <c r="B193" s="45" t="s">
        <v>214</v>
      </c>
    </row>
    <row r="194" spans="1:2" x14ac:dyDescent="0.3">
      <c r="A194" s="325">
        <v>150000781</v>
      </c>
      <c r="B194" s="45" t="s">
        <v>33</v>
      </c>
    </row>
    <row r="195" spans="1:2" x14ac:dyDescent="0.3">
      <c r="A195" s="325">
        <v>150000795</v>
      </c>
      <c r="B195" s="45" t="s">
        <v>291</v>
      </c>
    </row>
    <row r="196" spans="1:2" x14ac:dyDescent="0.3">
      <c r="A196" s="325">
        <v>150000796</v>
      </c>
      <c r="B196" s="45" t="s">
        <v>98</v>
      </c>
    </row>
    <row r="197" spans="1:2" x14ac:dyDescent="0.3">
      <c r="A197" s="325">
        <v>150000797</v>
      </c>
      <c r="B197" s="45" t="s">
        <v>231</v>
      </c>
    </row>
    <row r="198" spans="1:2" x14ac:dyDescent="0.3">
      <c r="A198" s="325">
        <v>150000798</v>
      </c>
      <c r="B198" s="45" t="s">
        <v>225</v>
      </c>
    </row>
    <row r="199" spans="1:2" x14ac:dyDescent="0.3">
      <c r="A199" s="325">
        <v>150000799</v>
      </c>
      <c r="B199" s="45" t="s">
        <v>292</v>
      </c>
    </row>
    <row r="200" spans="1:2" x14ac:dyDescent="0.3">
      <c r="A200" s="325">
        <v>150000800</v>
      </c>
      <c r="B200" s="45" t="s">
        <v>226</v>
      </c>
    </row>
    <row r="201" spans="1:2" x14ac:dyDescent="0.3">
      <c r="A201" s="325">
        <v>150000801</v>
      </c>
      <c r="B201" s="45" t="s">
        <v>294</v>
      </c>
    </row>
    <row r="202" spans="1:2" x14ac:dyDescent="0.3">
      <c r="A202" s="325">
        <v>150000802</v>
      </c>
      <c r="B202" s="45" t="s">
        <v>295</v>
      </c>
    </row>
    <row r="203" spans="1:2" x14ac:dyDescent="0.3">
      <c r="A203" s="325">
        <v>150000803</v>
      </c>
      <c r="B203" s="45" t="s">
        <v>227</v>
      </c>
    </row>
    <row r="204" spans="1:2" x14ac:dyDescent="0.3">
      <c r="A204" s="325">
        <v>150000805</v>
      </c>
      <c r="B204" s="45" t="s">
        <v>296</v>
      </c>
    </row>
    <row r="205" spans="1:2" x14ac:dyDescent="0.3">
      <c r="A205" s="325">
        <v>150000806</v>
      </c>
      <c r="B205" s="45" t="s">
        <v>228</v>
      </c>
    </row>
    <row r="206" spans="1:2" x14ac:dyDescent="0.3">
      <c r="A206" s="325">
        <v>150000807</v>
      </c>
      <c r="B206" s="45" t="s">
        <v>187</v>
      </c>
    </row>
    <row r="207" spans="1:2" x14ac:dyDescent="0.3">
      <c r="A207" s="325">
        <v>150000808</v>
      </c>
      <c r="B207" s="45" t="s">
        <v>297</v>
      </c>
    </row>
    <row r="208" spans="1:2" x14ac:dyDescent="0.3">
      <c r="A208" s="325">
        <v>150000809</v>
      </c>
      <c r="B208" s="45" t="s">
        <v>299</v>
      </c>
    </row>
    <row r="209" spans="1:2" x14ac:dyDescent="0.3">
      <c r="A209" s="325">
        <v>150000810</v>
      </c>
      <c r="B209" s="45" t="s">
        <v>300</v>
      </c>
    </row>
    <row r="210" spans="1:2" x14ac:dyDescent="0.3">
      <c r="A210" s="325">
        <v>150000811</v>
      </c>
      <c r="B210" s="45" t="s">
        <v>301</v>
      </c>
    </row>
    <row r="211" spans="1:2" x14ac:dyDescent="0.3">
      <c r="A211" s="325">
        <v>150000812</v>
      </c>
      <c r="B211" s="45" t="s">
        <v>302</v>
      </c>
    </row>
    <row r="212" spans="1:2" x14ac:dyDescent="0.3">
      <c r="A212" s="325">
        <v>150000813</v>
      </c>
      <c r="B212" s="45" t="s">
        <v>188</v>
      </c>
    </row>
    <row r="213" spans="1:2" x14ac:dyDescent="0.3">
      <c r="A213" s="325">
        <v>150000814</v>
      </c>
      <c r="B213" s="45" t="s">
        <v>304</v>
      </c>
    </row>
    <row r="214" spans="1:2" x14ac:dyDescent="0.3">
      <c r="A214" s="325">
        <v>150000816</v>
      </c>
      <c r="B214" s="45" t="s">
        <v>229</v>
      </c>
    </row>
    <row r="215" spans="1:2" x14ac:dyDescent="0.3">
      <c r="A215" s="325">
        <v>150000819</v>
      </c>
      <c r="B215" s="45" t="s">
        <v>423</v>
      </c>
    </row>
    <row r="216" spans="1:2" x14ac:dyDescent="0.3">
      <c r="A216" s="325">
        <v>150000820</v>
      </c>
      <c r="B216" s="45" t="s">
        <v>394</v>
      </c>
    </row>
    <row r="217" spans="1:2" x14ac:dyDescent="0.3">
      <c r="A217" s="325">
        <v>150000821</v>
      </c>
      <c r="B217" s="45" t="s">
        <v>395</v>
      </c>
    </row>
    <row r="218" spans="1:2" x14ac:dyDescent="0.3">
      <c r="A218" s="325">
        <v>150000827</v>
      </c>
      <c r="B218" s="45" t="s">
        <v>298</v>
      </c>
    </row>
    <row r="219" spans="1:2" x14ac:dyDescent="0.3">
      <c r="A219" s="325">
        <v>150000828</v>
      </c>
      <c r="B219" s="45" t="s">
        <v>303</v>
      </c>
    </row>
    <row r="220" spans="1:2" x14ac:dyDescent="0.3">
      <c r="A220" s="325">
        <v>150000829</v>
      </c>
      <c r="B220" s="45" t="s">
        <v>230</v>
      </c>
    </row>
    <row r="221" spans="1:2" x14ac:dyDescent="0.3">
      <c r="A221" s="325">
        <v>150000830</v>
      </c>
      <c r="B221" s="45" t="s">
        <v>293</v>
      </c>
    </row>
    <row r="222" spans="1:2" x14ac:dyDescent="0.3">
      <c r="A222" s="325">
        <v>150000832</v>
      </c>
      <c r="B222" s="45" t="s">
        <v>422</v>
      </c>
    </row>
    <row r="223" spans="1:2" x14ac:dyDescent="0.3">
      <c r="A223" s="325">
        <v>150000833</v>
      </c>
      <c r="B223" s="45" t="s">
        <v>392</v>
      </c>
    </row>
    <row r="224" spans="1:2" x14ac:dyDescent="0.3">
      <c r="A224" s="325">
        <v>150000834</v>
      </c>
      <c r="B224" s="45" t="s">
        <v>79</v>
      </c>
    </row>
    <row r="225" spans="1:2" x14ac:dyDescent="0.3">
      <c r="A225" s="325">
        <v>150000835</v>
      </c>
      <c r="B225" s="45" t="s">
        <v>137</v>
      </c>
    </row>
    <row r="226" spans="1:2" x14ac:dyDescent="0.3">
      <c r="A226" s="325">
        <v>150000836</v>
      </c>
      <c r="B226" s="45" t="s">
        <v>198</v>
      </c>
    </row>
    <row r="227" spans="1:2" x14ac:dyDescent="0.3">
      <c r="A227" s="325">
        <v>150000837</v>
      </c>
      <c r="B227" s="45" t="s">
        <v>199</v>
      </c>
    </row>
    <row r="228" spans="1:2" x14ac:dyDescent="0.3">
      <c r="A228" s="325">
        <v>150000839</v>
      </c>
      <c r="B228" s="45" t="s">
        <v>135</v>
      </c>
    </row>
    <row r="229" spans="1:2" x14ac:dyDescent="0.3">
      <c r="A229" s="325">
        <v>150000840</v>
      </c>
      <c r="B229" s="45" t="s">
        <v>393</v>
      </c>
    </row>
    <row r="230" spans="1:2" x14ac:dyDescent="0.3">
      <c r="A230" s="325">
        <v>150000841</v>
      </c>
      <c r="B230" s="45" t="s">
        <v>136</v>
      </c>
    </row>
    <row r="231" spans="1:2" x14ac:dyDescent="0.3">
      <c r="A231" s="325">
        <v>150000845</v>
      </c>
      <c r="B231" s="45" t="s">
        <v>138</v>
      </c>
    </row>
    <row r="232" spans="1:2" x14ac:dyDescent="0.3">
      <c r="A232" s="325">
        <v>150000846</v>
      </c>
      <c r="B232" s="45" t="s">
        <v>139</v>
      </c>
    </row>
    <row r="233" spans="1:2" x14ac:dyDescent="0.3">
      <c r="A233" s="325">
        <v>150000848</v>
      </c>
      <c r="B233" s="45" t="s">
        <v>186</v>
      </c>
    </row>
    <row r="234" spans="1:2" x14ac:dyDescent="0.3">
      <c r="A234" s="325">
        <v>150000851</v>
      </c>
      <c r="B234" s="45" t="s">
        <v>134</v>
      </c>
    </row>
    <row r="235" spans="1:2" x14ac:dyDescent="0.3">
      <c r="A235" s="325">
        <v>150000861</v>
      </c>
      <c r="B235" s="45" t="s">
        <v>232</v>
      </c>
    </row>
    <row r="236" spans="1:2" x14ac:dyDescent="0.3">
      <c r="A236" s="325">
        <v>150000862</v>
      </c>
      <c r="B236" s="45" t="s">
        <v>234</v>
      </c>
    </row>
    <row r="237" spans="1:2" x14ac:dyDescent="0.3">
      <c r="A237" s="325">
        <v>150000863</v>
      </c>
      <c r="B237" s="45" t="s">
        <v>235</v>
      </c>
    </row>
    <row r="238" spans="1:2" x14ac:dyDescent="0.3">
      <c r="A238" s="325">
        <v>150000864</v>
      </c>
      <c r="B238" s="45" t="s">
        <v>200</v>
      </c>
    </row>
    <row r="239" spans="1:2" x14ac:dyDescent="0.3">
      <c r="A239" s="325">
        <v>150000865</v>
      </c>
      <c r="B239" s="45" t="s">
        <v>305</v>
      </c>
    </row>
    <row r="240" spans="1:2" x14ac:dyDescent="0.3">
      <c r="A240" s="325">
        <v>150000866</v>
      </c>
      <c r="B240" s="45" t="s">
        <v>308</v>
      </c>
    </row>
    <row r="241" spans="1:2" x14ac:dyDescent="0.3">
      <c r="A241" s="325">
        <v>150000867</v>
      </c>
      <c r="B241" s="45" t="s">
        <v>309</v>
      </c>
    </row>
    <row r="242" spans="1:2" x14ac:dyDescent="0.3">
      <c r="A242" s="325">
        <v>150000868</v>
      </c>
      <c r="B242" s="45" t="s">
        <v>310</v>
      </c>
    </row>
    <row r="243" spans="1:2" x14ac:dyDescent="0.3">
      <c r="A243" s="325">
        <v>150000869</v>
      </c>
      <c r="B243" s="45" t="s">
        <v>311</v>
      </c>
    </row>
    <row r="244" spans="1:2" x14ac:dyDescent="0.3">
      <c r="A244" s="325">
        <v>150000871</v>
      </c>
      <c r="B244" s="45" t="s">
        <v>140</v>
      </c>
    </row>
    <row r="245" spans="1:2" x14ac:dyDescent="0.3">
      <c r="A245" s="325">
        <v>150000872</v>
      </c>
      <c r="B245" s="45" t="s">
        <v>233</v>
      </c>
    </row>
    <row r="246" spans="1:2" x14ac:dyDescent="0.3">
      <c r="A246" s="325">
        <v>150000873</v>
      </c>
      <c r="B246" s="45" t="s">
        <v>306</v>
      </c>
    </row>
    <row r="247" spans="1:2" x14ac:dyDescent="0.3">
      <c r="A247" s="325">
        <v>150000874</v>
      </c>
      <c r="B247" s="45" t="s">
        <v>307</v>
      </c>
    </row>
    <row r="248" spans="1:2" x14ac:dyDescent="0.3">
      <c r="A248" s="325">
        <v>150000875</v>
      </c>
      <c r="B248" s="45" t="s">
        <v>312</v>
      </c>
    </row>
    <row r="249" spans="1:2" x14ac:dyDescent="0.3">
      <c r="A249" s="325">
        <v>150000878</v>
      </c>
      <c r="B249" s="45" t="s">
        <v>236</v>
      </c>
    </row>
    <row r="250" spans="1:2" x14ac:dyDescent="0.3">
      <c r="A250" s="325">
        <v>150000879</v>
      </c>
      <c r="B250" s="45" t="s">
        <v>329</v>
      </c>
    </row>
    <row r="251" spans="1:2" x14ac:dyDescent="0.3">
      <c r="A251" s="325">
        <v>150000880</v>
      </c>
      <c r="B251" s="45" t="s">
        <v>237</v>
      </c>
    </row>
    <row r="252" spans="1:2" x14ac:dyDescent="0.3">
      <c r="A252" s="325">
        <v>150000881</v>
      </c>
      <c r="B252" s="45" t="s">
        <v>411</v>
      </c>
    </row>
    <row r="253" spans="1:2" x14ac:dyDescent="0.3">
      <c r="A253" s="325">
        <v>150000882</v>
      </c>
      <c r="B253" s="45" t="s">
        <v>330</v>
      </c>
    </row>
    <row r="254" spans="1:2" x14ac:dyDescent="0.3">
      <c r="A254" s="325">
        <v>150000883</v>
      </c>
      <c r="B254" s="45" t="s">
        <v>331</v>
      </c>
    </row>
    <row r="255" spans="1:2" x14ac:dyDescent="0.3">
      <c r="A255" s="325">
        <v>150000884</v>
      </c>
      <c r="B255" s="45" t="s">
        <v>332</v>
      </c>
    </row>
    <row r="256" spans="1:2" x14ac:dyDescent="0.3">
      <c r="A256" s="325">
        <v>150000885</v>
      </c>
      <c r="B256" s="45" t="s">
        <v>238</v>
      </c>
    </row>
    <row r="257" spans="1:2" x14ac:dyDescent="0.3">
      <c r="A257" s="325">
        <v>150000886</v>
      </c>
      <c r="B257" s="45" t="s">
        <v>396</v>
      </c>
    </row>
    <row r="258" spans="1:2" x14ac:dyDescent="0.3">
      <c r="A258" s="325">
        <v>150000887</v>
      </c>
      <c r="B258" s="45" t="s">
        <v>397</v>
      </c>
    </row>
    <row r="259" spans="1:2" x14ac:dyDescent="0.3">
      <c r="A259" s="325">
        <v>150000888</v>
      </c>
      <c r="B259" s="45" t="s">
        <v>313</v>
      </c>
    </row>
    <row r="260" spans="1:2" x14ac:dyDescent="0.3">
      <c r="A260" s="325">
        <v>150000889</v>
      </c>
      <c r="B260" s="45" t="s">
        <v>427</v>
      </c>
    </row>
    <row r="261" spans="1:2" x14ac:dyDescent="0.3">
      <c r="A261" s="325">
        <v>150000890</v>
      </c>
      <c r="B261" s="45" t="s">
        <v>398</v>
      </c>
    </row>
    <row r="262" spans="1:2" x14ac:dyDescent="0.3">
      <c r="A262" s="325">
        <v>150000891</v>
      </c>
      <c r="B262" s="45" t="s">
        <v>189</v>
      </c>
    </row>
    <row r="263" spans="1:2" x14ac:dyDescent="0.3">
      <c r="A263" s="325">
        <v>150000892</v>
      </c>
      <c r="B263" s="45" t="s">
        <v>400</v>
      </c>
    </row>
    <row r="264" spans="1:2" x14ac:dyDescent="0.3">
      <c r="A264" s="325">
        <v>150000893</v>
      </c>
      <c r="B264" s="45" t="s">
        <v>314</v>
      </c>
    </row>
    <row r="265" spans="1:2" x14ac:dyDescent="0.3">
      <c r="A265" s="325">
        <v>150000894</v>
      </c>
      <c r="B265" s="45" t="s">
        <v>315</v>
      </c>
    </row>
    <row r="266" spans="1:2" x14ac:dyDescent="0.3">
      <c r="A266" s="325">
        <v>150000895</v>
      </c>
      <c r="B266" s="45" t="s">
        <v>316</v>
      </c>
    </row>
    <row r="267" spans="1:2" x14ac:dyDescent="0.3">
      <c r="A267" s="325">
        <v>150000896</v>
      </c>
      <c r="B267" s="45" t="s">
        <v>317</v>
      </c>
    </row>
    <row r="268" spans="1:2" x14ac:dyDescent="0.3">
      <c r="A268" s="325">
        <v>150000898</v>
      </c>
      <c r="B268" s="45" t="s">
        <v>190</v>
      </c>
    </row>
    <row r="269" spans="1:2" x14ac:dyDescent="0.3">
      <c r="A269" s="325">
        <v>150000899</v>
      </c>
      <c r="B269" s="45" t="s">
        <v>402</v>
      </c>
    </row>
    <row r="270" spans="1:2" x14ac:dyDescent="0.3">
      <c r="A270" s="325">
        <v>150000900</v>
      </c>
      <c r="B270" s="45" t="s">
        <v>425</v>
      </c>
    </row>
    <row r="271" spans="1:2" x14ac:dyDescent="0.3">
      <c r="A271" s="325">
        <v>150000901</v>
      </c>
      <c r="B271" s="45" t="s">
        <v>424</v>
      </c>
    </row>
    <row r="272" spans="1:2" x14ac:dyDescent="0.3">
      <c r="A272" s="325">
        <v>150000902</v>
      </c>
      <c r="B272" s="45" t="s">
        <v>403</v>
      </c>
    </row>
    <row r="273" spans="1:2" x14ac:dyDescent="0.3">
      <c r="A273" s="325">
        <v>150000903</v>
      </c>
      <c r="B273" s="45" t="s">
        <v>404</v>
      </c>
    </row>
    <row r="274" spans="1:2" x14ac:dyDescent="0.3">
      <c r="A274" s="325">
        <v>150000904</v>
      </c>
      <c r="B274" s="45" t="s">
        <v>405</v>
      </c>
    </row>
    <row r="275" spans="1:2" x14ac:dyDescent="0.3">
      <c r="A275" s="325">
        <v>150000905</v>
      </c>
      <c r="B275" s="45" t="s">
        <v>426</v>
      </c>
    </row>
    <row r="276" spans="1:2" x14ac:dyDescent="0.3">
      <c r="A276" s="325">
        <v>150000906</v>
      </c>
      <c r="B276" s="45" t="s">
        <v>406</v>
      </c>
    </row>
    <row r="277" spans="1:2" x14ac:dyDescent="0.3">
      <c r="A277" s="325">
        <v>150000907</v>
      </c>
      <c r="B277" s="45" t="s">
        <v>407</v>
      </c>
    </row>
    <row r="278" spans="1:2" x14ac:dyDescent="0.3">
      <c r="A278" s="325">
        <v>150000908</v>
      </c>
      <c r="B278" s="45" t="s">
        <v>408</v>
      </c>
    </row>
    <row r="279" spans="1:2" x14ac:dyDescent="0.3">
      <c r="A279" s="325">
        <v>150000909</v>
      </c>
      <c r="B279" s="45" t="s">
        <v>409</v>
      </c>
    </row>
    <row r="280" spans="1:2" x14ac:dyDescent="0.3">
      <c r="A280" s="325">
        <v>150000910</v>
      </c>
      <c r="B280" s="45" t="s">
        <v>410</v>
      </c>
    </row>
    <row r="281" spans="1:2" x14ac:dyDescent="0.3">
      <c r="A281" s="325">
        <v>150000911</v>
      </c>
      <c r="B281" s="45" t="s">
        <v>318</v>
      </c>
    </row>
    <row r="282" spans="1:2" x14ac:dyDescent="0.3">
      <c r="A282" s="325">
        <v>150000912</v>
      </c>
      <c r="B282" s="45" t="s">
        <v>319</v>
      </c>
    </row>
    <row r="283" spans="1:2" x14ac:dyDescent="0.3">
      <c r="A283" s="325">
        <v>150000913</v>
      </c>
      <c r="B283" s="45" t="s">
        <v>320</v>
      </c>
    </row>
    <row r="284" spans="1:2" x14ac:dyDescent="0.3">
      <c r="A284" s="325">
        <v>150000914</v>
      </c>
      <c r="B284" s="45" t="s">
        <v>321</v>
      </c>
    </row>
    <row r="285" spans="1:2" x14ac:dyDescent="0.3">
      <c r="A285" s="325">
        <v>150000915</v>
      </c>
      <c r="B285" s="45" t="s">
        <v>322</v>
      </c>
    </row>
    <row r="286" spans="1:2" x14ac:dyDescent="0.3">
      <c r="A286" s="325">
        <v>150000916</v>
      </c>
      <c r="B286" s="45" t="s">
        <v>323</v>
      </c>
    </row>
    <row r="287" spans="1:2" x14ac:dyDescent="0.3">
      <c r="A287" s="325">
        <v>150000917</v>
      </c>
      <c r="B287" s="45" t="s">
        <v>324</v>
      </c>
    </row>
    <row r="288" spans="1:2" x14ac:dyDescent="0.3">
      <c r="A288" s="325">
        <v>150000918</v>
      </c>
      <c r="B288" s="45" t="s">
        <v>325</v>
      </c>
    </row>
    <row r="289" spans="1:2" x14ac:dyDescent="0.3">
      <c r="A289" s="325">
        <v>150000919</v>
      </c>
      <c r="B289" s="45" t="s">
        <v>326</v>
      </c>
    </row>
    <row r="290" spans="1:2" x14ac:dyDescent="0.3">
      <c r="A290" s="325">
        <v>150000920</v>
      </c>
      <c r="B290" s="45" t="s">
        <v>327</v>
      </c>
    </row>
    <row r="291" spans="1:2" x14ac:dyDescent="0.3">
      <c r="A291" s="325">
        <v>150000921</v>
      </c>
      <c r="B291" s="45" t="s">
        <v>328</v>
      </c>
    </row>
    <row r="292" spans="1:2" x14ac:dyDescent="0.3">
      <c r="A292" s="325">
        <v>150000922</v>
      </c>
      <c r="B292" s="45" t="s">
        <v>401</v>
      </c>
    </row>
    <row r="293" spans="1:2" x14ac:dyDescent="0.3">
      <c r="A293" s="325">
        <v>150000924</v>
      </c>
      <c r="B293" s="45" t="s">
        <v>174</v>
      </c>
    </row>
    <row r="294" spans="1:2" x14ac:dyDescent="0.3">
      <c r="A294" s="325">
        <v>150000925</v>
      </c>
      <c r="B294" s="45" t="s">
        <v>176</v>
      </c>
    </row>
    <row r="295" spans="1:2" x14ac:dyDescent="0.3">
      <c r="A295" s="325">
        <v>150000926</v>
      </c>
      <c r="B295" s="45" t="s">
        <v>177</v>
      </c>
    </row>
    <row r="296" spans="1:2" x14ac:dyDescent="0.3">
      <c r="A296" s="325">
        <v>150000927</v>
      </c>
      <c r="B296" s="45" t="s">
        <v>178</v>
      </c>
    </row>
    <row r="297" spans="1:2" x14ac:dyDescent="0.3">
      <c r="A297" s="325">
        <v>150000928</v>
      </c>
      <c r="B297" s="45" t="s">
        <v>169</v>
      </c>
    </row>
    <row r="298" spans="1:2" x14ac:dyDescent="0.3">
      <c r="A298" s="325">
        <v>150000929</v>
      </c>
      <c r="B298" s="45" t="s">
        <v>1096</v>
      </c>
    </row>
    <row r="299" spans="1:2" x14ac:dyDescent="0.3">
      <c r="A299" s="325">
        <v>150000930</v>
      </c>
      <c r="B299" s="45" t="s">
        <v>172</v>
      </c>
    </row>
    <row r="300" spans="1:2" x14ac:dyDescent="0.3">
      <c r="A300" s="325">
        <v>150000931</v>
      </c>
      <c r="B300" s="45" t="s">
        <v>266</v>
      </c>
    </row>
    <row r="301" spans="1:2" x14ac:dyDescent="0.3">
      <c r="A301" s="325">
        <v>150000932</v>
      </c>
      <c r="B301" s="45" t="s">
        <v>173</v>
      </c>
    </row>
    <row r="302" spans="1:2" x14ac:dyDescent="0.3">
      <c r="A302" s="325">
        <v>150000933</v>
      </c>
      <c r="B302" s="45" t="s">
        <v>267</v>
      </c>
    </row>
    <row r="303" spans="1:2" x14ac:dyDescent="0.3">
      <c r="A303" s="325">
        <v>150000934</v>
      </c>
      <c r="B303" s="45" t="s">
        <v>215</v>
      </c>
    </row>
    <row r="304" spans="1:2" x14ac:dyDescent="0.3">
      <c r="A304" s="325">
        <v>150000935</v>
      </c>
      <c r="B304" s="45" t="s">
        <v>175</v>
      </c>
    </row>
    <row r="305" spans="1:2" x14ac:dyDescent="0.3">
      <c r="A305" s="325">
        <v>150000936</v>
      </c>
      <c r="B305" s="45" t="s">
        <v>121</v>
      </c>
    </row>
    <row r="306" spans="1:2" x14ac:dyDescent="0.3">
      <c r="A306" s="325">
        <v>150000937</v>
      </c>
      <c r="B306" s="45" t="s">
        <v>374</v>
      </c>
    </row>
    <row r="307" spans="1:2" x14ac:dyDescent="0.3">
      <c r="A307" s="325">
        <v>150000938</v>
      </c>
      <c r="B307" s="45" t="s">
        <v>375</v>
      </c>
    </row>
    <row r="308" spans="1:2" x14ac:dyDescent="0.3">
      <c r="A308" s="325">
        <v>150000939</v>
      </c>
      <c r="B308" s="45" t="s">
        <v>336</v>
      </c>
    </row>
    <row r="309" spans="1:2" x14ac:dyDescent="0.3">
      <c r="A309" s="325">
        <v>150000940</v>
      </c>
      <c r="B309" s="45" t="s">
        <v>376</v>
      </c>
    </row>
    <row r="310" spans="1:2" x14ac:dyDescent="0.3">
      <c r="A310" s="325">
        <v>150000941</v>
      </c>
      <c r="B310" s="45" t="s">
        <v>337</v>
      </c>
    </row>
    <row r="311" spans="1:2" x14ac:dyDescent="0.3">
      <c r="A311" s="325">
        <v>150000943</v>
      </c>
      <c r="B311" s="45" t="s">
        <v>122</v>
      </c>
    </row>
    <row r="312" spans="1:2" x14ac:dyDescent="0.3">
      <c r="A312" s="325">
        <v>150000944</v>
      </c>
      <c r="B312" s="45" t="s">
        <v>123</v>
      </c>
    </row>
    <row r="313" spans="1:2" x14ac:dyDescent="0.3">
      <c r="A313" s="325">
        <v>150000945</v>
      </c>
      <c r="B313" s="45" t="s">
        <v>421</v>
      </c>
    </row>
    <row r="314" spans="1:2" x14ac:dyDescent="0.3">
      <c r="A314" s="325">
        <v>150000946</v>
      </c>
      <c r="B314" s="45" t="s">
        <v>124</v>
      </c>
    </row>
    <row r="315" spans="1:2" x14ac:dyDescent="0.3">
      <c r="A315" s="325">
        <v>150000947</v>
      </c>
      <c r="B315" s="45" t="s">
        <v>268</v>
      </c>
    </row>
    <row r="316" spans="1:2" x14ac:dyDescent="0.3">
      <c r="A316" s="325">
        <v>150000948</v>
      </c>
      <c r="B316" s="45" t="s">
        <v>383</v>
      </c>
    </row>
    <row r="317" spans="1:2" x14ac:dyDescent="0.3">
      <c r="A317" s="325">
        <v>150000949</v>
      </c>
      <c r="B317" s="45" t="s">
        <v>384</v>
      </c>
    </row>
    <row r="318" spans="1:2" x14ac:dyDescent="0.3">
      <c r="A318" s="325">
        <v>150000951</v>
      </c>
      <c r="B318" s="45" t="s">
        <v>170</v>
      </c>
    </row>
    <row r="319" spans="1:2" x14ac:dyDescent="0.3">
      <c r="A319" s="325">
        <v>150000954</v>
      </c>
      <c r="B319" s="45" t="s">
        <v>171</v>
      </c>
    </row>
    <row r="320" spans="1:2" x14ac:dyDescent="0.3">
      <c r="A320" s="325">
        <v>150000957</v>
      </c>
      <c r="B320" s="45" t="s">
        <v>377</v>
      </c>
    </row>
    <row r="321" spans="1:2" x14ac:dyDescent="0.3">
      <c r="A321" s="325">
        <v>150000958</v>
      </c>
      <c r="B321" s="45" t="s">
        <v>380</v>
      </c>
    </row>
    <row r="322" spans="1:2" x14ac:dyDescent="0.3">
      <c r="A322" s="325">
        <v>150000960</v>
      </c>
      <c r="B322" s="45" t="s">
        <v>378</v>
      </c>
    </row>
    <row r="323" spans="1:2" x14ac:dyDescent="0.3">
      <c r="A323" s="325">
        <v>150000961</v>
      </c>
      <c r="B323" s="45" t="s">
        <v>381</v>
      </c>
    </row>
    <row r="324" spans="1:2" x14ac:dyDescent="0.3">
      <c r="A324" s="325">
        <v>150000963</v>
      </c>
      <c r="B324" s="45" t="s">
        <v>379</v>
      </c>
    </row>
    <row r="325" spans="1:2" x14ac:dyDescent="0.3">
      <c r="A325" s="325">
        <v>150000964</v>
      </c>
      <c r="B325" s="45" t="s">
        <v>382</v>
      </c>
    </row>
    <row r="326" spans="1:2" x14ac:dyDescent="0.3">
      <c r="A326" s="325">
        <v>150000966</v>
      </c>
      <c r="B326" s="45" t="s">
        <v>204</v>
      </c>
    </row>
    <row r="327" spans="1:2" x14ac:dyDescent="0.3">
      <c r="A327" s="325">
        <v>150000967</v>
      </c>
      <c r="B327" s="45" t="s">
        <v>205</v>
      </c>
    </row>
    <row r="328" spans="1:2" x14ac:dyDescent="0.3">
      <c r="A328" s="325">
        <v>150000968</v>
      </c>
      <c r="B328" s="45" t="s">
        <v>244</v>
      </c>
    </row>
    <row r="329" spans="1:2" x14ac:dyDescent="0.3">
      <c r="A329" s="325">
        <v>150000969</v>
      </c>
      <c r="B329" s="45" t="s">
        <v>192</v>
      </c>
    </row>
    <row r="330" spans="1:2" x14ac:dyDescent="0.3">
      <c r="A330" s="325">
        <v>150000970</v>
      </c>
      <c r="B330" s="45" t="s">
        <v>242</v>
      </c>
    </row>
    <row r="331" spans="1:2" x14ac:dyDescent="0.3">
      <c r="A331" s="325">
        <v>150000971</v>
      </c>
      <c r="B331" s="45" t="s">
        <v>193</v>
      </c>
    </row>
    <row r="332" spans="1:2" x14ac:dyDescent="0.3">
      <c r="A332" s="325">
        <v>150000972</v>
      </c>
      <c r="B332" s="45" t="s">
        <v>201</v>
      </c>
    </row>
    <row r="333" spans="1:2" x14ac:dyDescent="0.3">
      <c r="A333" s="325">
        <v>150000973</v>
      </c>
      <c r="B333" s="45" t="s">
        <v>49</v>
      </c>
    </row>
    <row r="334" spans="1:2" x14ac:dyDescent="0.3">
      <c r="A334" s="325">
        <v>150000974</v>
      </c>
      <c r="B334" s="45" t="s">
        <v>202</v>
      </c>
    </row>
    <row r="335" spans="1:2" x14ac:dyDescent="0.3">
      <c r="A335" s="325">
        <v>150000975</v>
      </c>
      <c r="B335" s="45" t="s">
        <v>203</v>
      </c>
    </row>
    <row r="336" spans="1:2" x14ac:dyDescent="0.3">
      <c r="A336" s="325">
        <v>150000976</v>
      </c>
      <c r="B336" s="45" t="s">
        <v>149</v>
      </c>
    </row>
    <row r="337" spans="1:2" x14ac:dyDescent="0.3">
      <c r="A337" s="325">
        <v>150000977</v>
      </c>
      <c r="B337" s="45" t="s">
        <v>150</v>
      </c>
    </row>
    <row r="338" spans="1:2" x14ac:dyDescent="0.3">
      <c r="A338" s="325">
        <v>150000978</v>
      </c>
      <c r="B338" s="45" t="s">
        <v>243</v>
      </c>
    </row>
    <row r="339" spans="1:2" x14ac:dyDescent="0.3">
      <c r="A339" s="325">
        <v>150000981</v>
      </c>
      <c r="B339" s="45" t="s">
        <v>342</v>
      </c>
    </row>
    <row r="340" spans="1:2" x14ac:dyDescent="0.3">
      <c r="A340" s="325">
        <v>150000982</v>
      </c>
      <c r="B340" s="45" t="s">
        <v>343</v>
      </c>
    </row>
    <row r="341" spans="1:2" x14ac:dyDescent="0.3">
      <c r="A341" s="325">
        <v>150000983</v>
      </c>
      <c r="B341" s="45" t="s">
        <v>344</v>
      </c>
    </row>
    <row r="342" spans="1:2" x14ac:dyDescent="0.3">
      <c r="A342" s="325">
        <v>150000984</v>
      </c>
      <c r="B342" s="45" t="s">
        <v>345</v>
      </c>
    </row>
    <row r="343" spans="1:2" x14ac:dyDescent="0.3">
      <c r="A343" s="325">
        <v>150000986</v>
      </c>
      <c r="B343" s="45" t="s">
        <v>346</v>
      </c>
    </row>
    <row r="344" spans="1:2" x14ac:dyDescent="0.3">
      <c r="A344" s="325">
        <v>150000987</v>
      </c>
      <c r="B344" s="45" t="s">
        <v>50</v>
      </c>
    </row>
    <row r="345" spans="1:2" x14ac:dyDescent="0.3">
      <c r="A345" s="325">
        <v>150000988</v>
      </c>
      <c r="B345" s="45" t="s">
        <v>51</v>
      </c>
    </row>
    <row r="346" spans="1:2" x14ac:dyDescent="0.3">
      <c r="A346" s="325">
        <v>150000989</v>
      </c>
      <c r="B346" s="45" t="s">
        <v>37</v>
      </c>
    </row>
    <row r="347" spans="1:2" x14ac:dyDescent="0.3">
      <c r="A347" s="325">
        <v>150000990</v>
      </c>
      <c r="B347" s="45" t="s">
        <v>38</v>
      </c>
    </row>
    <row r="348" spans="1:2" x14ac:dyDescent="0.3">
      <c r="A348" s="325">
        <v>150000991</v>
      </c>
      <c r="B348" s="45" t="s">
        <v>341</v>
      </c>
    </row>
    <row r="349" spans="1:2" x14ac:dyDescent="0.3">
      <c r="A349" s="325">
        <v>150000992</v>
      </c>
      <c r="B349" s="45" t="s">
        <v>39</v>
      </c>
    </row>
    <row r="350" spans="1:2" x14ac:dyDescent="0.3">
      <c r="A350" s="325">
        <v>150000993</v>
      </c>
      <c r="B350" s="45" t="s">
        <v>41</v>
      </c>
    </row>
    <row r="351" spans="1:2" x14ac:dyDescent="0.3">
      <c r="A351" s="325">
        <v>150000994</v>
      </c>
      <c r="B351" s="45" t="s">
        <v>44</v>
      </c>
    </row>
    <row r="352" spans="1:2" x14ac:dyDescent="0.3">
      <c r="A352" s="325">
        <v>150000995</v>
      </c>
      <c r="B352" s="45" t="s">
        <v>47</v>
      </c>
    </row>
    <row r="353" spans="1:2" x14ac:dyDescent="0.3">
      <c r="A353" s="325">
        <v>150000996</v>
      </c>
      <c r="B353" s="45" t="s">
        <v>245</v>
      </c>
    </row>
    <row r="354" spans="1:2" x14ac:dyDescent="0.3">
      <c r="A354" s="325">
        <v>150000999</v>
      </c>
      <c r="B354" s="45" t="s">
        <v>40</v>
      </c>
    </row>
    <row r="355" spans="1:2" x14ac:dyDescent="0.3">
      <c r="A355" s="325">
        <v>150001000</v>
      </c>
      <c r="B355" s="45" t="s">
        <v>42</v>
      </c>
    </row>
    <row r="356" spans="1:2" x14ac:dyDescent="0.3">
      <c r="A356" s="325">
        <v>150001001</v>
      </c>
      <c r="B356" s="45" t="s">
        <v>45</v>
      </c>
    </row>
    <row r="357" spans="1:2" x14ac:dyDescent="0.3">
      <c r="A357" s="325">
        <v>150001002</v>
      </c>
      <c r="B357" s="45" t="s">
        <v>48</v>
      </c>
    </row>
    <row r="358" spans="1:2" x14ac:dyDescent="0.3">
      <c r="A358" s="325">
        <v>150001004</v>
      </c>
      <c r="B358" s="45" t="s">
        <v>43</v>
      </c>
    </row>
    <row r="359" spans="1:2" x14ac:dyDescent="0.3">
      <c r="A359" s="325">
        <v>150001005</v>
      </c>
      <c r="B359" s="45" t="s">
        <v>46</v>
      </c>
    </row>
    <row r="360" spans="1:2" x14ac:dyDescent="0.3">
      <c r="A360" s="325">
        <v>150001007</v>
      </c>
      <c r="B360" s="45" t="s">
        <v>213</v>
      </c>
    </row>
    <row r="361" spans="1:2" x14ac:dyDescent="0.3">
      <c r="A361" s="325">
        <v>150001008</v>
      </c>
      <c r="B361" s="45" t="s">
        <v>211</v>
      </c>
    </row>
    <row r="362" spans="1:2" x14ac:dyDescent="0.3">
      <c r="A362" s="325">
        <v>150001009</v>
      </c>
      <c r="B362" s="45" t="s">
        <v>212</v>
      </c>
    </row>
    <row r="363" spans="1:2" x14ac:dyDescent="0.3">
      <c r="A363" s="325">
        <v>150001010</v>
      </c>
      <c r="B363" s="45" t="s">
        <v>164</v>
      </c>
    </row>
    <row r="364" spans="1:2" x14ac:dyDescent="0.3">
      <c r="A364" s="325">
        <v>150001011</v>
      </c>
      <c r="B364" s="45" t="s">
        <v>165</v>
      </c>
    </row>
    <row r="365" spans="1:2" x14ac:dyDescent="0.3">
      <c r="A365" s="325">
        <v>150001014</v>
      </c>
      <c r="B365" s="45" t="s">
        <v>166</v>
      </c>
    </row>
    <row r="366" spans="1:2" x14ac:dyDescent="0.3">
      <c r="A366" s="325">
        <v>150001015</v>
      </c>
      <c r="B366" s="45" t="s">
        <v>99</v>
      </c>
    </row>
    <row r="367" spans="1:2" x14ac:dyDescent="0.3">
      <c r="A367" s="325">
        <v>150001016</v>
      </c>
      <c r="B367" s="45" t="s">
        <v>261</v>
      </c>
    </row>
    <row r="368" spans="1:2" x14ac:dyDescent="0.3">
      <c r="A368" s="325">
        <v>150001018</v>
      </c>
      <c r="B368" s="47" t="s">
        <v>429</v>
      </c>
    </row>
    <row r="369" spans="1:2" x14ac:dyDescent="0.3">
      <c r="A369" s="325">
        <v>150001019</v>
      </c>
      <c r="B369" s="45" t="s">
        <v>419</v>
      </c>
    </row>
    <row r="370" spans="1:2" x14ac:dyDescent="0.3">
      <c r="A370" s="325">
        <v>150001020</v>
      </c>
      <c r="B370" s="45" t="s">
        <v>100</v>
      </c>
    </row>
    <row r="371" spans="1:2" x14ac:dyDescent="0.3">
      <c r="A371" s="325">
        <v>150001021</v>
      </c>
      <c r="B371" s="45" t="s">
        <v>363</v>
      </c>
    </row>
    <row r="372" spans="1:2" x14ac:dyDescent="0.3">
      <c r="A372" s="325">
        <v>150001022</v>
      </c>
      <c r="B372" s="45" t="s">
        <v>364</v>
      </c>
    </row>
    <row r="373" spans="1:2" x14ac:dyDescent="0.3">
      <c r="A373" s="325">
        <v>150001023</v>
      </c>
      <c r="B373" s="45" t="s">
        <v>365</v>
      </c>
    </row>
    <row r="374" spans="1:2" x14ac:dyDescent="0.3">
      <c r="A374" s="325">
        <v>150001024</v>
      </c>
      <c r="B374" s="45" t="s">
        <v>366</v>
      </c>
    </row>
    <row r="375" spans="1:2" x14ac:dyDescent="0.3">
      <c r="A375" s="325">
        <v>150001025</v>
      </c>
      <c r="B375" s="45" t="s">
        <v>420</v>
      </c>
    </row>
    <row r="376" spans="1:2" x14ac:dyDescent="0.3">
      <c r="A376" s="325">
        <v>150001026</v>
      </c>
      <c r="B376" s="45" t="s">
        <v>334</v>
      </c>
    </row>
    <row r="377" spans="1:2" x14ac:dyDescent="0.3">
      <c r="A377" s="325">
        <v>150001027</v>
      </c>
      <c r="B377" s="45" t="s">
        <v>367</v>
      </c>
    </row>
    <row r="378" spans="1:2" x14ac:dyDescent="0.3">
      <c r="A378" s="325">
        <v>150001028</v>
      </c>
      <c r="B378" s="45" t="s">
        <v>101</v>
      </c>
    </row>
    <row r="379" spans="1:2" x14ac:dyDescent="0.3">
      <c r="A379" s="325">
        <v>150001029</v>
      </c>
      <c r="B379" s="45" t="s">
        <v>368</v>
      </c>
    </row>
    <row r="380" spans="1:2" x14ac:dyDescent="0.3">
      <c r="A380" s="325">
        <v>150001030</v>
      </c>
      <c r="B380" s="45" t="s">
        <v>335</v>
      </c>
    </row>
    <row r="381" spans="1:2" x14ac:dyDescent="0.3">
      <c r="A381" s="325">
        <v>150001031</v>
      </c>
      <c r="B381" s="45" t="s">
        <v>103</v>
      </c>
    </row>
    <row r="382" spans="1:2" x14ac:dyDescent="0.3">
      <c r="A382" s="325">
        <v>150001032</v>
      </c>
      <c r="B382" s="45" t="s">
        <v>369</v>
      </c>
    </row>
    <row r="383" spans="1:2" x14ac:dyDescent="0.3">
      <c r="A383" s="325">
        <v>150001033</v>
      </c>
      <c r="B383" s="45" t="s">
        <v>362</v>
      </c>
    </row>
    <row r="384" spans="1:2" x14ac:dyDescent="0.3">
      <c r="A384" s="325">
        <v>150001035</v>
      </c>
      <c r="B384" s="45" t="s">
        <v>262</v>
      </c>
    </row>
    <row r="385" spans="1:2" x14ac:dyDescent="0.3">
      <c r="A385" s="325">
        <v>150001036</v>
      </c>
      <c r="B385" s="45" t="s">
        <v>102</v>
      </c>
    </row>
    <row r="386" spans="1:2" x14ac:dyDescent="0.3">
      <c r="A386" s="325">
        <v>150001037</v>
      </c>
      <c r="B386" s="45" t="s">
        <v>104</v>
      </c>
    </row>
    <row r="387" spans="1:2" x14ac:dyDescent="0.3">
      <c r="A387" s="325">
        <v>150001040</v>
      </c>
      <c r="B387" s="45" t="s">
        <v>216</v>
      </c>
    </row>
    <row r="388" spans="1:2" x14ac:dyDescent="0.3">
      <c r="A388" s="325">
        <v>150001041</v>
      </c>
      <c r="B388" s="45" t="s">
        <v>196</v>
      </c>
    </row>
    <row r="389" spans="1:2" x14ac:dyDescent="0.3">
      <c r="A389" s="325">
        <v>150001042</v>
      </c>
      <c r="B389" s="45" t="s">
        <v>181</v>
      </c>
    </row>
    <row r="390" spans="1:2" x14ac:dyDescent="0.3">
      <c r="A390" s="325">
        <v>150001043</v>
      </c>
      <c r="B390" s="45" t="s">
        <v>217</v>
      </c>
    </row>
    <row r="391" spans="1:2" x14ac:dyDescent="0.3">
      <c r="A391" s="325">
        <v>150001044</v>
      </c>
      <c r="B391" s="45" t="s">
        <v>269</v>
      </c>
    </row>
    <row r="392" spans="1:2" x14ac:dyDescent="0.3">
      <c r="A392" s="325">
        <v>150001045</v>
      </c>
      <c r="B392" s="45" t="s">
        <v>271</v>
      </c>
    </row>
    <row r="393" spans="1:2" x14ac:dyDescent="0.3">
      <c r="A393" s="325">
        <v>150001046</v>
      </c>
      <c r="B393" s="45" t="s">
        <v>272</v>
      </c>
    </row>
    <row r="394" spans="1:2" x14ac:dyDescent="0.3">
      <c r="A394" s="325">
        <v>150001047</v>
      </c>
      <c r="B394" s="45" t="s">
        <v>179</v>
      </c>
    </row>
    <row r="395" spans="1:2" x14ac:dyDescent="0.3">
      <c r="A395" s="325">
        <v>150001048</v>
      </c>
      <c r="B395" s="45" t="s">
        <v>125</v>
      </c>
    </row>
    <row r="396" spans="1:2" x14ac:dyDescent="0.3">
      <c r="A396" s="325">
        <v>150001049</v>
      </c>
      <c r="B396" s="45" t="s">
        <v>180</v>
      </c>
    </row>
    <row r="397" spans="1:2" x14ac:dyDescent="0.3">
      <c r="A397" s="325">
        <v>150001050</v>
      </c>
      <c r="B397" s="45" t="s">
        <v>270</v>
      </c>
    </row>
    <row r="398" spans="1:2" x14ac:dyDescent="0.3">
      <c r="A398" s="325">
        <v>150001053</v>
      </c>
      <c r="B398" s="45" t="s">
        <v>146</v>
      </c>
    </row>
    <row r="399" spans="1:2" x14ac:dyDescent="0.3">
      <c r="A399" s="325">
        <v>150001054</v>
      </c>
      <c r="B399" s="45" t="s">
        <v>85</v>
      </c>
    </row>
    <row r="400" spans="1:2" x14ac:dyDescent="0.3">
      <c r="A400" s="325">
        <v>150001071</v>
      </c>
      <c r="B400" s="45" t="s">
        <v>167</v>
      </c>
    </row>
    <row r="401" spans="1:2" ht="22.8" x14ac:dyDescent="0.3">
      <c r="A401" s="325">
        <v>150001094</v>
      </c>
      <c r="B401" s="45" t="s">
        <v>185</v>
      </c>
    </row>
    <row r="402" spans="1:2" x14ac:dyDescent="0.3">
      <c r="A402" s="325">
        <v>150001561</v>
      </c>
      <c r="B402" s="45" t="s">
        <v>399</v>
      </c>
    </row>
    <row r="403" spans="1:2" x14ac:dyDescent="0.3">
      <c r="A403" s="325">
        <v>150001562</v>
      </c>
      <c r="B403" s="45" t="s">
        <v>208</v>
      </c>
    </row>
    <row r="404" spans="1:2" x14ac:dyDescent="0.3">
      <c r="A404" s="326"/>
      <c r="B404" s="692" t="s">
        <v>260</v>
      </c>
    </row>
  </sheetData>
  <sortState xmlns:xlrd2="http://schemas.microsoft.com/office/spreadsheetml/2017/richdata2" ref="A7:B404">
    <sortCondition ref="A7:A40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1:G415"/>
  <sheetViews>
    <sheetView workbookViewId="0">
      <selection activeCell="E7" sqref="E7:G402"/>
    </sheetView>
  </sheetViews>
  <sheetFormatPr defaultColWidth="9.109375" defaultRowHeight="14.4" x14ac:dyDescent="0.3"/>
  <cols>
    <col min="1" max="1" width="13.5546875" style="122" customWidth="1"/>
    <col min="2" max="2" width="16.88671875" style="491" customWidth="1"/>
    <col min="3" max="3" width="36.109375" style="471" customWidth="1"/>
    <col min="4" max="4" width="7" style="471" customWidth="1"/>
    <col min="5" max="5" width="13.44140625" style="493" customWidth="1"/>
    <col min="6" max="6" width="14.33203125" style="493" customWidth="1"/>
    <col min="7" max="7" width="14" style="493" customWidth="1"/>
    <col min="8" max="8" width="36.109375" style="471" customWidth="1"/>
    <col min="9" max="9" width="33.5546875" style="471" customWidth="1"/>
    <col min="10" max="16384" width="9.109375" style="471"/>
  </cols>
  <sheetData>
    <row r="1" spans="1:7" x14ac:dyDescent="0.3">
      <c r="E1" s="492" t="s">
        <v>1158</v>
      </c>
      <c r="F1" s="492"/>
      <c r="G1" s="492"/>
    </row>
    <row r="2" spans="1:7" ht="61.5" customHeight="1" x14ac:dyDescent="0.3">
      <c r="A2" s="1387" t="s">
        <v>1159</v>
      </c>
      <c r="B2" s="1388"/>
      <c r="C2" s="1388"/>
      <c r="D2" s="1388"/>
      <c r="E2" s="1388"/>
      <c r="F2" s="1388"/>
      <c r="G2" s="1388"/>
    </row>
    <row r="4" spans="1:7" s="4" customFormat="1" ht="33" customHeight="1" x14ac:dyDescent="0.3">
      <c r="A4" s="1389" t="s">
        <v>1160</v>
      </c>
      <c r="B4" s="1391" t="s">
        <v>1161</v>
      </c>
      <c r="C4" s="1393" t="s">
        <v>1162</v>
      </c>
      <c r="D4" s="1395" t="s">
        <v>1163</v>
      </c>
      <c r="E4" s="1397" t="s">
        <v>1164</v>
      </c>
      <c r="F4" s="1398"/>
      <c r="G4" s="1399"/>
    </row>
    <row r="5" spans="1:7" s="4" customFormat="1" ht="37.5" customHeight="1" x14ac:dyDescent="0.3">
      <c r="A5" s="1390"/>
      <c r="B5" s="1392"/>
      <c r="C5" s="1394"/>
      <c r="D5" s="1396"/>
      <c r="E5" s="494" t="s">
        <v>1165</v>
      </c>
      <c r="F5" s="494" t="s">
        <v>1166</v>
      </c>
      <c r="G5" s="494" t="s">
        <v>1092</v>
      </c>
    </row>
    <row r="6" spans="1:7" s="4" customFormat="1" ht="14.25" customHeight="1" x14ac:dyDescent="0.3">
      <c r="A6" s="495">
        <v>1</v>
      </c>
      <c r="B6" s="496">
        <v>2</v>
      </c>
      <c r="C6" s="495">
        <v>3</v>
      </c>
      <c r="D6" s="495"/>
      <c r="E6" s="310">
        <v>4</v>
      </c>
      <c r="F6" s="310">
        <v>5</v>
      </c>
      <c r="G6" s="310">
        <v>6</v>
      </c>
    </row>
    <row r="7" spans="1:7" ht="17.100000000000001" customHeight="1" x14ac:dyDescent="0.3">
      <c r="A7" s="497">
        <v>150000488</v>
      </c>
      <c r="B7" s="498" t="s">
        <v>1174</v>
      </c>
      <c r="C7" s="477" t="s">
        <v>34</v>
      </c>
      <c r="D7" s="499">
        <v>1</v>
      </c>
      <c r="E7" s="500">
        <v>1.6413503944111532</v>
      </c>
      <c r="F7" s="500"/>
      <c r="G7" s="500">
        <v>1.6413503944111532</v>
      </c>
    </row>
    <row r="8" spans="1:7" ht="17.100000000000001" customHeight="1" x14ac:dyDescent="0.3">
      <c r="A8" s="497">
        <v>150000490</v>
      </c>
      <c r="B8" s="498" t="s">
        <v>1176</v>
      </c>
      <c r="C8" s="477" t="s">
        <v>36</v>
      </c>
      <c r="D8" s="499">
        <v>1</v>
      </c>
      <c r="E8" s="500">
        <v>1.902553366582159</v>
      </c>
      <c r="F8" s="500"/>
      <c r="G8" s="500">
        <v>1.902553366582159</v>
      </c>
    </row>
    <row r="9" spans="1:7" ht="17.100000000000001" customHeight="1" x14ac:dyDescent="0.3">
      <c r="A9" s="497">
        <v>150000492</v>
      </c>
      <c r="B9" s="498" t="s">
        <v>1175</v>
      </c>
      <c r="C9" s="477" t="s">
        <v>35</v>
      </c>
      <c r="D9" s="499">
        <v>1</v>
      </c>
      <c r="E9" s="500">
        <v>1.5234565169609646</v>
      </c>
      <c r="F9" s="500"/>
      <c r="G9" s="500">
        <v>1.5234565169609646</v>
      </c>
    </row>
    <row r="10" spans="1:7" ht="17.100000000000001" customHeight="1" x14ac:dyDescent="0.3">
      <c r="A10" s="497">
        <v>150000493</v>
      </c>
      <c r="B10" s="498" t="s">
        <v>1307</v>
      </c>
      <c r="C10" s="477" t="s">
        <v>417</v>
      </c>
      <c r="D10" s="499">
        <v>10</v>
      </c>
      <c r="E10" s="500">
        <v>6.0491207709564545</v>
      </c>
      <c r="F10" s="500">
        <v>7.3155104406192235</v>
      </c>
      <c r="G10" s="500">
        <v>4.9652115560307077</v>
      </c>
    </row>
    <row r="11" spans="1:7" ht="17.100000000000001" customHeight="1" x14ac:dyDescent="0.3">
      <c r="A11" s="497">
        <v>150000494</v>
      </c>
      <c r="B11" s="498" t="s">
        <v>1308</v>
      </c>
      <c r="C11" s="477" t="s">
        <v>418</v>
      </c>
      <c r="D11" s="499">
        <v>10</v>
      </c>
      <c r="E11" s="500">
        <v>5.1194379001858374</v>
      </c>
      <c r="F11" s="500">
        <v>5.9117166673935442</v>
      </c>
      <c r="G11" s="500">
        <v>4.2805997984186082</v>
      </c>
    </row>
    <row r="12" spans="1:7" ht="17.100000000000001" customHeight="1" x14ac:dyDescent="0.3">
      <c r="A12" s="497">
        <v>150000495</v>
      </c>
      <c r="B12" s="498" t="s">
        <v>1178</v>
      </c>
      <c r="C12" s="477" t="s">
        <v>147</v>
      </c>
      <c r="D12" s="499">
        <v>2</v>
      </c>
      <c r="E12" s="500">
        <v>6.2858646455867451</v>
      </c>
      <c r="F12" s="500">
        <v>6.2858646455867451</v>
      </c>
      <c r="G12" s="500">
        <v>5.378504172439234</v>
      </c>
    </row>
    <row r="13" spans="1:7" ht="17.100000000000001" customHeight="1" x14ac:dyDescent="0.3">
      <c r="A13" s="497">
        <v>150000496</v>
      </c>
      <c r="B13" s="498" t="s">
        <v>1179</v>
      </c>
      <c r="C13" s="477" t="s">
        <v>148</v>
      </c>
      <c r="D13" s="499">
        <v>2</v>
      </c>
      <c r="E13" s="500">
        <v>6.3800198499533733</v>
      </c>
      <c r="F13" s="500">
        <v>6.3800198499533733</v>
      </c>
      <c r="G13" s="500">
        <v>5.4179558879841263</v>
      </c>
    </row>
    <row r="14" spans="1:7" ht="17.100000000000001" customHeight="1" x14ac:dyDescent="0.3">
      <c r="A14" s="497">
        <v>150000497</v>
      </c>
      <c r="B14" s="498" t="s">
        <v>1177</v>
      </c>
      <c r="C14" s="477" t="s">
        <v>340</v>
      </c>
      <c r="D14" s="499">
        <v>9</v>
      </c>
      <c r="E14" s="500">
        <v>6.2696809416747836</v>
      </c>
      <c r="F14" s="500">
        <v>8.1563556617458719</v>
      </c>
      <c r="G14" s="500">
        <v>5.2675480835534882</v>
      </c>
    </row>
    <row r="15" spans="1:7" ht="17.100000000000001" customHeight="1" x14ac:dyDescent="0.3">
      <c r="A15" s="497">
        <v>150000498</v>
      </c>
      <c r="B15" s="498" t="s">
        <v>1180</v>
      </c>
      <c r="C15" s="477" t="s">
        <v>241</v>
      </c>
      <c r="D15" s="499">
        <v>5</v>
      </c>
      <c r="E15" s="500">
        <v>6.1564262684822832</v>
      </c>
      <c r="F15" s="500">
        <v>6.1564262684822832</v>
      </c>
      <c r="G15" s="500">
        <v>5.5962141110437216</v>
      </c>
    </row>
    <row r="16" spans="1:7" ht="17.100000000000001" customHeight="1" x14ac:dyDescent="0.3">
      <c r="A16" s="497">
        <v>150000501</v>
      </c>
      <c r="B16" s="498" t="s">
        <v>1355</v>
      </c>
      <c r="C16" s="477" t="s">
        <v>263</v>
      </c>
      <c r="D16" s="499">
        <v>5</v>
      </c>
      <c r="E16" s="500">
        <v>5.2506784230692372</v>
      </c>
      <c r="F16" s="500">
        <v>5.2506784230692372</v>
      </c>
      <c r="G16" s="500">
        <v>4.6669479569063004</v>
      </c>
    </row>
    <row r="17" spans="1:7" ht="17.100000000000001" customHeight="1" x14ac:dyDescent="0.3">
      <c r="A17" s="497">
        <v>150000502</v>
      </c>
      <c r="B17" s="498" t="s">
        <v>1348</v>
      </c>
      <c r="C17" s="477" t="s">
        <v>108</v>
      </c>
      <c r="D17" s="499">
        <v>1</v>
      </c>
      <c r="E17" s="500">
        <v>1.690540024043897</v>
      </c>
      <c r="F17" s="500"/>
      <c r="G17" s="500">
        <v>1.690540024043897</v>
      </c>
    </row>
    <row r="18" spans="1:7" ht="17.100000000000001" customHeight="1" x14ac:dyDescent="0.3">
      <c r="A18" s="497">
        <v>150000503</v>
      </c>
      <c r="B18" s="498" t="s">
        <v>1349</v>
      </c>
      <c r="C18" s="477" t="s">
        <v>109</v>
      </c>
      <c r="D18" s="499">
        <v>1</v>
      </c>
      <c r="E18" s="500">
        <v>1.611673123366997</v>
      </c>
      <c r="F18" s="500"/>
      <c r="G18" s="500">
        <v>1.611673123366997</v>
      </c>
    </row>
    <row r="19" spans="1:7" ht="17.100000000000001" customHeight="1" x14ac:dyDescent="0.3">
      <c r="A19" s="497">
        <v>150000504</v>
      </c>
      <c r="B19" s="498" t="s">
        <v>1350</v>
      </c>
      <c r="C19" s="477" t="s">
        <v>110</v>
      </c>
      <c r="D19" s="499">
        <v>1</v>
      </c>
      <c r="E19" s="500">
        <v>1.644929904675474</v>
      </c>
      <c r="F19" s="500"/>
      <c r="G19" s="500">
        <v>1.644929904675474</v>
      </c>
    </row>
    <row r="20" spans="1:7" ht="17.100000000000001" customHeight="1" x14ac:dyDescent="0.3">
      <c r="A20" s="497">
        <v>150000505</v>
      </c>
      <c r="B20" s="498" t="s">
        <v>1352</v>
      </c>
      <c r="C20" s="477" t="s">
        <v>112</v>
      </c>
      <c r="D20" s="499">
        <v>1</v>
      </c>
      <c r="E20" s="500">
        <v>1.7820282231431257</v>
      </c>
      <c r="F20" s="500"/>
      <c r="G20" s="500">
        <v>1.7820282231431257</v>
      </c>
    </row>
    <row r="21" spans="1:7" ht="17.100000000000001" customHeight="1" x14ac:dyDescent="0.3">
      <c r="A21" s="497">
        <v>150000506</v>
      </c>
      <c r="B21" s="498" t="s">
        <v>1351</v>
      </c>
      <c r="C21" s="477" t="s">
        <v>111</v>
      </c>
      <c r="D21" s="499">
        <v>1</v>
      </c>
      <c r="E21" s="500">
        <v>2.0530693369657347</v>
      </c>
      <c r="F21" s="500"/>
      <c r="G21" s="500">
        <v>2.0530693369657347</v>
      </c>
    </row>
    <row r="22" spans="1:7" ht="17.100000000000001" customHeight="1" x14ac:dyDescent="0.3">
      <c r="A22" s="497">
        <v>150000507</v>
      </c>
      <c r="B22" s="498" t="s">
        <v>1353</v>
      </c>
      <c r="C22" s="477" t="s">
        <v>113</v>
      </c>
      <c r="D22" s="499">
        <v>1</v>
      </c>
      <c r="E22" s="500">
        <v>1.4228946380189329</v>
      </c>
      <c r="F22" s="500"/>
      <c r="G22" s="500">
        <v>1.4228946380189329</v>
      </c>
    </row>
    <row r="23" spans="1:7" ht="17.100000000000001" customHeight="1" x14ac:dyDescent="0.3">
      <c r="A23" s="497">
        <v>150000508</v>
      </c>
      <c r="B23" s="498" t="s">
        <v>1354</v>
      </c>
      <c r="C23" s="477" t="s">
        <v>114</v>
      </c>
      <c r="D23" s="499">
        <v>1</v>
      </c>
      <c r="E23" s="500">
        <v>1.3155528924424846</v>
      </c>
      <c r="F23" s="500"/>
      <c r="G23" s="500">
        <v>1.3155528924424846</v>
      </c>
    </row>
    <row r="24" spans="1:7" ht="17.100000000000001" customHeight="1" x14ac:dyDescent="0.3">
      <c r="A24" s="497">
        <v>150000509</v>
      </c>
      <c r="B24" s="498" t="s">
        <v>1217</v>
      </c>
      <c r="C24" s="477" t="s">
        <v>52</v>
      </c>
      <c r="D24" s="499">
        <v>1</v>
      </c>
      <c r="E24" s="500">
        <v>1.5666531911539874</v>
      </c>
      <c r="F24" s="500"/>
      <c r="G24" s="500">
        <v>1.5666531911539874</v>
      </c>
    </row>
    <row r="25" spans="1:7" ht="17.100000000000001" customHeight="1" x14ac:dyDescent="0.3">
      <c r="A25" s="497">
        <v>150000510</v>
      </c>
      <c r="B25" s="498" t="s">
        <v>1218</v>
      </c>
      <c r="C25" s="477" t="s">
        <v>248</v>
      </c>
      <c r="D25" s="499">
        <v>5</v>
      </c>
      <c r="E25" s="500">
        <v>4.436472521918235</v>
      </c>
      <c r="F25" s="500">
        <v>4.436472521918235</v>
      </c>
      <c r="G25" s="500">
        <v>3.8105298396722849</v>
      </c>
    </row>
    <row r="26" spans="1:7" ht="17.100000000000001" customHeight="1" x14ac:dyDescent="0.3">
      <c r="A26" s="497">
        <v>150000511</v>
      </c>
      <c r="B26" s="498" t="s">
        <v>1219</v>
      </c>
      <c r="C26" s="477" t="s">
        <v>249</v>
      </c>
      <c r="D26" s="499">
        <v>5</v>
      </c>
      <c r="E26" s="500">
        <v>5.4029260836942266</v>
      </c>
      <c r="F26" s="500">
        <v>5.4029260836942266</v>
      </c>
      <c r="G26" s="500">
        <v>4.7934303155311877</v>
      </c>
    </row>
    <row r="27" spans="1:7" ht="17.100000000000001" customHeight="1" x14ac:dyDescent="0.3">
      <c r="A27" s="497">
        <v>150000512</v>
      </c>
      <c r="B27" s="498" t="s">
        <v>1220</v>
      </c>
      <c r="C27" s="477" t="s">
        <v>250</v>
      </c>
      <c r="D27" s="499">
        <v>5</v>
      </c>
      <c r="E27" s="500">
        <v>4.4879986430011209</v>
      </c>
      <c r="F27" s="500">
        <v>4.4879986430011209</v>
      </c>
      <c r="G27" s="500">
        <v>4.0043396248731922</v>
      </c>
    </row>
    <row r="28" spans="1:7" ht="17.100000000000001" customHeight="1" x14ac:dyDescent="0.3">
      <c r="A28" s="497">
        <v>150000513</v>
      </c>
      <c r="B28" s="498" t="s">
        <v>1221</v>
      </c>
      <c r="C28" s="477" t="s">
        <v>333</v>
      </c>
      <c r="D28" s="499">
        <v>6</v>
      </c>
      <c r="E28" s="500">
        <v>4.0880641528656323</v>
      </c>
      <c r="F28" s="500">
        <v>4.0880641528656323</v>
      </c>
      <c r="G28" s="500">
        <v>3.3317503467073935</v>
      </c>
    </row>
    <row r="29" spans="1:7" ht="17.100000000000001" customHeight="1" x14ac:dyDescent="0.3">
      <c r="A29" s="497">
        <v>150000514</v>
      </c>
      <c r="B29" s="498" t="s">
        <v>1223</v>
      </c>
      <c r="C29" s="477" t="s">
        <v>151</v>
      </c>
      <c r="D29" s="499">
        <v>2</v>
      </c>
      <c r="E29" s="500">
        <v>4.4249344228538501</v>
      </c>
      <c r="F29" s="500">
        <v>4.4249344228538501</v>
      </c>
      <c r="G29" s="500">
        <v>4.3493583605973685</v>
      </c>
    </row>
    <row r="30" spans="1:7" ht="17.100000000000001" customHeight="1" x14ac:dyDescent="0.3">
      <c r="A30" s="497">
        <v>150000515</v>
      </c>
      <c r="B30" s="498" t="s">
        <v>1224</v>
      </c>
      <c r="C30" s="477" t="s">
        <v>53</v>
      </c>
      <c r="D30" s="499">
        <v>1</v>
      </c>
      <c r="E30" s="500">
        <v>1.7545506160710569</v>
      </c>
      <c r="F30" s="500"/>
      <c r="G30" s="500">
        <v>1.7545506160710569</v>
      </c>
    </row>
    <row r="31" spans="1:7" ht="17.100000000000001" customHeight="1" x14ac:dyDescent="0.3">
      <c r="A31" s="497">
        <v>150000516</v>
      </c>
      <c r="B31" s="498" t="s">
        <v>1226</v>
      </c>
      <c r="C31" s="477" t="s">
        <v>55</v>
      </c>
      <c r="D31" s="499">
        <v>1</v>
      </c>
      <c r="E31" s="500">
        <v>1.4954204814940097</v>
      </c>
      <c r="F31" s="500"/>
      <c r="G31" s="500">
        <v>1.4954204814940097</v>
      </c>
    </row>
    <row r="32" spans="1:7" ht="17.100000000000001" customHeight="1" x14ac:dyDescent="0.3">
      <c r="A32" s="497">
        <v>150000517</v>
      </c>
      <c r="B32" s="498" t="s">
        <v>1227</v>
      </c>
      <c r="C32" s="477" t="s">
        <v>251</v>
      </c>
      <c r="D32" s="499">
        <v>5</v>
      </c>
      <c r="E32" s="500">
        <v>4.3713752884997348</v>
      </c>
      <c r="F32" s="500">
        <v>4.3713752884997348</v>
      </c>
      <c r="G32" s="500">
        <v>3.8446119887343126</v>
      </c>
    </row>
    <row r="33" spans="1:7" ht="17.100000000000001" customHeight="1" x14ac:dyDescent="0.3">
      <c r="A33" s="497">
        <v>150000518</v>
      </c>
      <c r="B33" s="498" t="s">
        <v>1228</v>
      </c>
      <c r="C33" s="477" t="s">
        <v>194</v>
      </c>
      <c r="D33" s="499">
        <v>3</v>
      </c>
      <c r="E33" s="500">
        <v>6.2120546099631921</v>
      </c>
      <c r="F33" s="500">
        <v>6.2120546099631921</v>
      </c>
      <c r="G33" s="500">
        <v>5.3868556514365888</v>
      </c>
    </row>
    <row r="34" spans="1:7" ht="17.100000000000001" customHeight="1" x14ac:dyDescent="0.3">
      <c r="A34" s="497">
        <v>150000519</v>
      </c>
      <c r="B34" s="498" t="s">
        <v>1229</v>
      </c>
      <c r="C34" s="477" t="s">
        <v>412</v>
      </c>
      <c r="D34" s="499">
        <v>10</v>
      </c>
      <c r="E34" s="500">
        <v>5.7581864649161858</v>
      </c>
      <c r="F34" s="500">
        <v>6.7581178773099033</v>
      </c>
      <c r="G34" s="500">
        <v>4.7370028337625154</v>
      </c>
    </row>
    <row r="35" spans="1:7" ht="17.100000000000001" customHeight="1" x14ac:dyDescent="0.3">
      <c r="A35" s="497">
        <v>150000521</v>
      </c>
      <c r="B35" s="498" t="s">
        <v>1230</v>
      </c>
      <c r="C35" s="477" t="s">
        <v>252</v>
      </c>
      <c r="D35" s="499">
        <v>5</v>
      </c>
      <c r="E35" s="500">
        <v>5.3086850710747431</v>
      </c>
      <c r="F35" s="500">
        <v>5.3086850710747431</v>
      </c>
      <c r="G35" s="500">
        <v>4.8066002419498535</v>
      </c>
    </row>
    <row r="36" spans="1:7" ht="17.100000000000001" customHeight="1" x14ac:dyDescent="0.3">
      <c r="A36" s="497">
        <v>150000522</v>
      </c>
      <c r="B36" s="498" t="s">
        <v>1231</v>
      </c>
      <c r="C36" s="477" t="s">
        <v>56</v>
      </c>
      <c r="D36" s="499">
        <v>1</v>
      </c>
      <c r="E36" s="500">
        <v>1.54589653157544</v>
      </c>
      <c r="F36" s="500"/>
      <c r="G36" s="500">
        <v>1.54589653157544</v>
      </c>
    </row>
    <row r="37" spans="1:7" ht="17.100000000000001" customHeight="1" x14ac:dyDescent="0.3">
      <c r="A37" s="497">
        <v>150000523</v>
      </c>
      <c r="B37" s="498" t="s">
        <v>1232</v>
      </c>
      <c r="C37" s="477" t="s">
        <v>57</v>
      </c>
      <c r="D37" s="499">
        <v>1</v>
      </c>
      <c r="E37" s="500">
        <v>1.5092530569042515</v>
      </c>
      <c r="F37" s="500"/>
      <c r="G37" s="500">
        <v>1.5092530569042515</v>
      </c>
    </row>
    <row r="38" spans="1:7" ht="17.100000000000001" customHeight="1" x14ac:dyDescent="0.3">
      <c r="A38" s="497">
        <v>150000524</v>
      </c>
      <c r="B38" s="498" t="s">
        <v>1233</v>
      </c>
      <c r="C38" s="477" t="s">
        <v>58</v>
      </c>
      <c r="D38" s="499">
        <v>1</v>
      </c>
      <c r="E38" s="500">
        <v>1.4772134280283631</v>
      </c>
      <c r="F38" s="500"/>
      <c r="G38" s="500">
        <v>1.4772134280283631</v>
      </c>
    </row>
    <row r="39" spans="1:7" ht="17.100000000000001" customHeight="1" x14ac:dyDescent="0.3">
      <c r="A39" s="497">
        <v>150000527</v>
      </c>
      <c r="B39" s="498" t="s">
        <v>1235</v>
      </c>
      <c r="C39" s="477" t="s">
        <v>60</v>
      </c>
      <c r="D39" s="499">
        <v>1</v>
      </c>
      <c r="E39" s="500">
        <v>1.7108473464346663</v>
      </c>
      <c r="F39" s="500"/>
      <c r="G39" s="500">
        <v>1.7108473464346663</v>
      </c>
    </row>
    <row r="40" spans="1:7" ht="17.100000000000001" customHeight="1" x14ac:dyDescent="0.3">
      <c r="A40" s="497">
        <v>150000529</v>
      </c>
      <c r="B40" s="498" t="s">
        <v>1237</v>
      </c>
      <c r="C40" s="477" t="s">
        <v>347</v>
      </c>
      <c r="D40" s="499">
        <v>9</v>
      </c>
      <c r="E40" s="500">
        <v>5.822074067045433</v>
      </c>
      <c r="F40" s="500">
        <v>7.4971048378928344</v>
      </c>
      <c r="G40" s="500">
        <v>4.760442269285809</v>
      </c>
    </row>
    <row r="41" spans="1:7" ht="17.100000000000001" customHeight="1" x14ac:dyDescent="0.3">
      <c r="A41" s="497">
        <v>150000530</v>
      </c>
      <c r="B41" s="498" t="s">
        <v>1238</v>
      </c>
      <c r="C41" s="477" t="s">
        <v>62</v>
      </c>
      <c r="D41" s="499">
        <v>1</v>
      </c>
      <c r="E41" s="500">
        <v>2.3048288414903602</v>
      </c>
      <c r="F41" s="500"/>
      <c r="G41" s="500">
        <v>2.3048288414903602</v>
      </c>
    </row>
    <row r="42" spans="1:7" ht="17.100000000000001" customHeight="1" x14ac:dyDescent="0.3">
      <c r="A42" s="497">
        <v>150000531</v>
      </c>
      <c r="B42" s="498" t="s">
        <v>1241</v>
      </c>
      <c r="C42" s="477" t="s">
        <v>348</v>
      </c>
      <c r="D42" s="499">
        <v>9</v>
      </c>
      <c r="E42" s="500">
        <v>5.4491718287396145</v>
      </c>
      <c r="F42" s="500">
        <v>6.84085517130515</v>
      </c>
      <c r="G42" s="500">
        <v>4.6050019566650464</v>
      </c>
    </row>
    <row r="43" spans="1:7" ht="17.100000000000001" customHeight="1" x14ac:dyDescent="0.3">
      <c r="A43" s="497">
        <v>150000532</v>
      </c>
      <c r="B43" s="498" t="s">
        <v>1242</v>
      </c>
      <c r="C43" s="477" t="s">
        <v>253</v>
      </c>
      <c r="D43" s="499">
        <v>5</v>
      </c>
      <c r="E43" s="500">
        <v>6.3802508227835402</v>
      </c>
      <c r="F43" s="500">
        <v>6.3802508227835402</v>
      </c>
      <c r="G43" s="500">
        <v>5.4732005689174654</v>
      </c>
    </row>
    <row r="44" spans="1:7" ht="17.100000000000001" customHeight="1" x14ac:dyDescent="0.3">
      <c r="A44" s="497">
        <v>150000533</v>
      </c>
      <c r="B44" s="498" t="s">
        <v>1243</v>
      </c>
      <c r="C44" s="477" t="s">
        <v>349</v>
      </c>
      <c r="D44" s="499">
        <v>9</v>
      </c>
      <c r="E44" s="500">
        <v>6.1644153124520153</v>
      </c>
      <c r="F44" s="500">
        <v>7.62598673902089</v>
      </c>
      <c r="G44" s="500">
        <v>5.2331751037908516</v>
      </c>
    </row>
    <row r="45" spans="1:7" ht="17.100000000000001" customHeight="1" x14ac:dyDescent="0.3">
      <c r="A45" s="497">
        <v>150000534</v>
      </c>
      <c r="B45" s="498" t="s">
        <v>1244</v>
      </c>
      <c r="C45" s="477" t="s">
        <v>254</v>
      </c>
      <c r="D45" s="499">
        <v>5</v>
      </c>
      <c r="E45" s="500">
        <v>6.4897474247438218</v>
      </c>
      <c r="F45" s="500">
        <v>6.4897474247438218</v>
      </c>
      <c r="G45" s="500">
        <v>5.6341950364621942</v>
      </c>
    </row>
    <row r="46" spans="1:7" ht="17.100000000000001" customHeight="1" x14ac:dyDescent="0.3">
      <c r="A46" s="497">
        <v>150000535</v>
      </c>
      <c r="B46" s="498" t="s">
        <v>1245</v>
      </c>
      <c r="C46" s="477" t="s">
        <v>350</v>
      </c>
      <c r="D46" s="499">
        <v>9</v>
      </c>
      <c r="E46" s="500">
        <v>5.9455573650150901</v>
      </c>
      <c r="F46" s="500">
        <v>7.5119009751263075</v>
      </c>
      <c r="G46" s="500">
        <v>5.0405269584626557</v>
      </c>
    </row>
    <row r="47" spans="1:7" ht="17.100000000000001" customHeight="1" x14ac:dyDescent="0.3">
      <c r="A47" s="497">
        <v>150000537</v>
      </c>
      <c r="B47" s="498" t="s">
        <v>1345</v>
      </c>
      <c r="C47" s="477" t="s">
        <v>105</v>
      </c>
      <c r="D47" s="499">
        <v>1</v>
      </c>
      <c r="E47" s="500">
        <v>0.543503175717583</v>
      </c>
      <c r="F47" s="500"/>
      <c r="G47" s="500">
        <v>0.543503175717583</v>
      </c>
    </row>
    <row r="48" spans="1:7" ht="17.100000000000001" customHeight="1" x14ac:dyDescent="0.3">
      <c r="A48" s="497">
        <v>150000538</v>
      </c>
      <c r="B48" s="498" t="s">
        <v>1222</v>
      </c>
      <c r="C48" s="477" t="s">
        <v>207</v>
      </c>
      <c r="D48" s="499">
        <v>4</v>
      </c>
      <c r="E48" s="500">
        <v>5.5532017714898343</v>
      </c>
      <c r="F48" s="500">
        <v>5.5532017714898343</v>
      </c>
      <c r="G48" s="500">
        <v>5.0544500086809743</v>
      </c>
    </row>
    <row r="49" spans="1:7" ht="17.100000000000001" customHeight="1" x14ac:dyDescent="0.3">
      <c r="A49" s="497">
        <v>150000539</v>
      </c>
      <c r="B49" s="498" t="s">
        <v>1225</v>
      </c>
      <c r="C49" s="477" t="s">
        <v>54</v>
      </c>
      <c r="D49" s="499">
        <v>1</v>
      </c>
      <c r="E49" s="500">
        <v>1.8365793789168912</v>
      </c>
      <c r="F49" s="500"/>
      <c r="G49" s="500">
        <v>1.8365793789168912</v>
      </c>
    </row>
    <row r="50" spans="1:7" ht="17.100000000000001" customHeight="1" x14ac:dyDescent="0.3">
      <c r="A50" s="497">
        <v>150000541</v>
      </c>
      <c r="B50" s="498" t="s">
        <v>1234</v>
      </c>
      <c r="C50" s="477" t="s">
        <v>59</v>
      </c>
      <c r="D50" s="499">
        <v>1</v>
      </c>
      <c r="E50" s="500">
        <v>2.0852554609653322</v>
      </c>
      <c r="F50" s="500"/>
      <c r="G50" s="500">
        <v>2.0852554609653322</v>
      </c>
    </row>
    <row r="51" spans="1:7" ht="17.100000000000001" customHeight="1" x14ac:dyDescent="0.3">
      <c r="A51" s="497">
        <v>150000542</v>
      </c>
      <c r="B51" s="498" t="s">
        <v>1236</v>
      </c>
      <c r="C51" s="477" t="s">
        <v>61</v>
      </c>
      <c r="D51" s="499">
        <v>1</v>
      </c>
      <c r="E51" s="500">
        <v>2.3182436627598815</v>
      </c>
      <c r="F51" s="500"/>
      <c r="G51" s="500">
        <v>2.3182436627598815</v>
      </c>
    </row>
    <row r="52" spans="1:7" ht="17.100000000000001" customHeight="1" x14ac:dyDescent="0.3">
      <c r="A52" s="497">
        <v>150000543</v>
      </c>
      <c r="B52" s="498" t="s">
        <v>1239</v>
      </c>
      <c r="C52" s="477" t="s">
        <v>63</v>
      </c>
      <c r="D52" s="499">
        <v>1</v>
      </c>
      <c r="E52" s="500">
        <v>1.796680369515375</v>
      </c>
      <c r="F52" s="500"/>
      <c r="G52" s="500">
        <v>1.796680369515375</v>
      </c>
    </row>
    <row r="53" spans="1:7" ht="17.100000000000001" customHeight="1" x14ac:dyDescent="0.3">
      <c r="A53" s="497">
        <v>150000544</v>
      </c>
      <c r="B53" s="498" t="s">
        <v>1240</v>
      </c>
      <c r="C53" s="477" t="s">
        <v>64</v>
      </c>
      <c r="D53" s="499">
        <v>1</v>
      </c>
      <c r="E53" s="500">
        <v>1.7732731263615662</v>
      </c>
      <c r="F53" s="500"/>
      <c r="G53" s="500">
        <v>1.7732731263615662</v>
      </c>
    </row>
    <row r="54" spans="1:7" ht="17.100000000000001" customHeight="1" x14ac:dyDescent="0.3">
      <c r="A54" s="497">
        <v>150000545</v>
      </c>
      <c r="B54" s="498" t="s">
        <v>1346</v>
      </c>
      <c r="C54" s="477" t="s">
        <v>106</v>
      </c>
      <c r="D54" s="499">
        <v>1</v>
      </c>
      <c r="E54" s="500">
        <v>1.7553880148170384</v>
      </c>
      <c r="F54" s="500"/>
      <c r="G54" s="500">
        <v>1.7553880148170384</v>
      </c>
    </row>
    <row r="55" spans="1:7" ht="17.100000000000001" customHeight="1" x14ac:dyDescent="0.3">
      <c r="A55" s="497">
        <v>150000546</v>
      </c>
      <c r="B55" s="498" t="s">
        <v>1347</v>
      </c>
      <c r="C55" s="477" t="s">
        <v>107</v>
      </c>
      <c r="D55" s="499">
        <v>1</v>
      </c>
      <c r="E55" s="500">
        <v>1.6192570833462641</v>
      </c>
      <c r="F55" s="500"/>
      <c r="G55" s="500">
        <v>1.6192570833462641</v>
      </c>
    </row>
    <row r="56" spans="1:7" ht="17.100000000000001" customHeight="1" x14ac:dyDescent="0.3">
      <c r="A56" s="497">
        <v>150000547</v>
      </c>
      <c r="B56" s="498" t="s">
        <v>1216</v>
      </c>
      <c r="C56" s="477" t="s">
        <v>247</v>
      </c>
      <c r="D56" s="499">
        <v>5</v>
      </c>
      <c r="E56" s="500">
        <v>5.9643898425231026</v>
      </c>
      <c r="F56" s="500">
        <v>5.9643898425231026</v>
      </c>
      <c r="G56" s="500">
        <v>5.2881823614970447</v>
      </c>
    </row>
    <row r="57" spans="1:7" ht="17.100000000000001" customHeight="1" x14ac:dyDescent="0.3">
      <c r="A57" s="497">
        <v>150000548</v>
      </c>
      <c r="B57" s="498" t="s">
        <v>1214</v>
      </c>
      <c r="C57" s="477" t="s">
        <v>246</v>
      </c>
      <c r="D57" s="499">
        <v>5</v>
      </c>
      <c r="E57" s="500">
        <v>6.36027604072597</v>
      </c>
      <c r="F57" s="500">
        <v>6.36027604072597</v>
      </c>
      <c r="G57" s="500">
        <v>5.516066245261352</v>
      </c>
    </row>
    <row r="58" spans="1:7" ht="17.100000000000001" customHeight="1" x14ac:dyDescent="0.3">
      <c r="A58" s="497">
        <v>150000549</v>
      </c>
      <c r="B58" s="498" t="s">
        <v>1215</v>
      </c>
      <c r="C58" s="477" t="s">
        <v>206</v>
      </c>
      <c r="D58" s="499">
        <v>4</v>
      </c>
      <c r="E58" s="500">
        <v>6.1477471658533833</v>
      </c>
      <c r="F58" s="500">
        <v>6.1477471658533833</v>
      </c>
      <c r="G58" s="500">
        <v>5.4746973002745358</v>
      </c>
    </row>
    <row r="59" spans="1:7" ht="17.100000000000001" customHeight="1" x14ac:dyDescent="0.3">
      <c r="A59" s="497">
        <v>150000552</v>
      </c>
      <c r="B59" s="498" t="s">
        <v>1305</v>
      </c>
      <c r="C59" s="477" t="s">
        <v>91</v>
      </c>
      <c r="D59" s="499">
        <v>1</v>
      </c>
      <c r="E59" s="500">
        <v>1.8089600308686467</v>
      </c>
      <c r="F59" s="500"/>
      <c r="G59" s="500">
        <v>1.8089600308686467</v>
      </c>
    </row>
    <row r="60" spans="1:7" ht="17.100000000000001" customHeight="1" x14ac:dyDescent="0.3">
      <c r="A60" s="497">
        <v>150000553</v>
      </c>
      <c r="B60" s="498" t="s">
        <v>1306</v>
      </c>
      <c r="C60" s="477" t="s">
        <v>259</v>
      </c>
      <c r="D60" s="499">
        <v>5</v>
      </c>
      <c r="E60" s="500">
        <v>4.6703907097448614</v>
      </c>
      <c r="F60" s="500">
        <v>4.6703907097448614</v>
      </c>
      <c r="G60" s="500">
        <v>4.098427216415967</v>
      </c>
    </row>
    <row r="61" spans="1:7" ht="17.100000000000001" customHeight="1" x14ac:dyDescent="0.3">
      <c r="A61" s="497">
        <v>150000555</v>
      </c>
      <c r="B61" s="498" t="s">
        <v>1302</v>
      </c>
      <c r="C61" s="477" t="s">
        <v>88</v>
      </c>
      <c r="D61" s="499">
        <v>1</v>
      </c>
      <c r="E61" s="500">
        <v>1.6928821717946567</v>
      </c>
      <c r="F61" s="500"/>
      <c r="G61" s="500">
        <v>1.6928821717946567</v>
      </c>
    </row>
    <row r="62" spans="1:7" ht="17.100000000000001" customHeight="1" x14ac:dyDescent="0.3">
      <c r="A62" s="497">
        <v>150000556</v>
      </c>
      <c r="B62" s="498" t="s">
        <v>1303</v>
      </c>
      <c r="C62" s="477" t="s">
        <v>89</v>
      </c>
      <c r="D62" s="499">
        <v>1</v>
      </c>
      <c r="E62" s="500">
        <v>1.6269001721267109</v>
      </c>
      <c r="F62" s="500"/>
      <c r="G62" s="500">
        <v>1.6269001721267109</v>
      </c>
    </row>
    <row r="63" spans="1:7" ht="17.100000000000001" customHeight="1" x14ac:dyDescent="0.3">
      <c r="A63" s="497">
        <v>150000557</v>
      </c>
      <c r="B63" s="498" t="s">
        <v>1304</v>
      </c>
      <c r="C63" s="477" t="s">
        <v>90</v>
      </c>
      <c r="D63" s="499">
        <v>1</v>
      </c>
      <c r="E63" s="500">
        <v>1.6692578273143692</v>
      </c>
      <c r="F63" s="500"/>
      <c r="G63" s="500">
        <v>1.6692578273143692</v>
      </c>
    </row>
    <row r="64" spans="1:7" ht="17.100000000000001" customHeight="1" x14ac:dyDescent="0.3">
      <c r="A64" s="497">
        <v>150000561</v>
      </c>
      <c r="B64" s="498" t="s">
        <v>1252</v>
      </c>
      <c r="C64" s="477" t="s">
        <v>71</v>
      </c>
      <c r="D64" s="499">
        <v>1</v>
      </c>
      <c r="E64" s="500">
        <v>1.7568396312442016</v>
      </c>
      <c r="F64" s="500"/>
      <c r="G64" s="500">
        <v>1.7568396312442016</v>
      </c>
    </row>
    <row r="65" spans="1:7" ht="17.100000000000001" customHeight="1" x14ac:dyDescent="0.3">
      <c r="A65" s="497">
        <v>150000562</v>
      </c>
      <c r="B65" s="498" t="s">
        <v>1254</v>
      </c>
      <c r="C65" s="477" t="s">
        <v>73</v>
      </c>
      <c r="D65" s="499">
        <v>1</v>
      </c>
      <c r="E65" s="500">
        <v>1.7977905583303428</v>
      </c>
      <c r="F65" s="500"/>
      <c r="G65" s="500">
        <v>1.7977905583303428</v>
      </c>
    </row>
    <row r="66" spans="1:7" ht="17.100000000000001" customHeight="1" x14ac:dyDescent="0.3">
      <c r="A66" s="497">
        <v>150000566</v>
      </c>
      <c r="B66" s="498" t="s">
        <v>1249</v>
      </c>
      <c r="C66" s="477" t="s">
        <v>68</v>
      </c>
      <c r="D66" s="499">
        <v>1</v>
      </c>
      <c r="E66" s="500">
        <v>1.8330828798819481</v>
      </c>
      <c r="F66" s="500"/>
      <c r="G66" s="500">
        <v>1.8330828798819481</v>
      </c>
    </row>
    <row r="67" spans="1:7" ht="17.100000000000001" customHeight="1" x14ac:dyDescent="0.3">
      <c r="A67" s="497">
        <v>150000567</v>
      </c>
      <c r="B67" s="498" t="s">
        <v>1251</v>
      </c>
      <c r="C67" s="477" t="s">
        <v>70</v>
      </c>
      <c r="D67" s="499">
        <v>1</v>
      </c>
      <c r="E67" s="500">
        <v>1.4519901994526354</v>
      </c>
      <c r="F67" s="500"/>
      <c r="G67" s="500">
        <v>1.4519901994526354</v>
      </c>
    </row>
    <row r="68" spans="1:7" ht="17.100000000000001" customHeight="1" x14ac:dyDescent="0.3">
      <c r="A68" s="497">
        <v>150000569</v>
      </c>
      <c r="B68" s="498" t="s">
        <v>1253</v>
      </c>
      <c r="C68" s="477" t="s">
        <v>72</v>
      </c>
      <c r="D68" s="499">
        <v>1</v>
      </c>
      <c r="E68" s="500">
        <v>1.9346308512029315</v>
      </c>
      <c r="F68" s="500"/>
      <c r="G68" s="500">
        <v>1.9346308512029315</v>
      </c>
    </row>
    <row r="69" spans="1:7" ht="17.100000000000001" customHeight="1" x14ac:dyDescent="0.3">
      <c r="A69" s="497">
        <v>150000570</v>
      </c>
      <c r="B69" s="498" t="s">
        <v>1255</v>
      </c>
      <c r="C69" s="477" t="s">
        <v>74</v>
      </c>
      <c r="D69" s="499">
        <v>1</v>
      </c>
      <c r="E69" s="500">
        <v>1.6570608792255355</v>
      </c>
      <c r="F69" s="500"/>
      <c r="G69" s="500">
        <v>1.6570608792255355</v>
      </c>
    </row>
    <row r="70" spans="1:7" ht="17.100000000000001" customHeight="1" x14ac:dyDescent="0.3">
      <c r="A70" s="497">
        <v>150000571</v>
      </c>
      <c r="B70" s="498" t="s">
        <v>1250</v>
      </c>
      <c r="C70" s="477" t="s">
        <v>69</v>
      </c>
      <c r="D70" s="499">
        <v>1</v>
      </c>
      <c r="E70" s="500">
        <v>2.0897396454588542</v>
      </c>
      <c r="F70" s="500"/>
      <c r="G70" s="500">
        <v>2.0897396454588542</v>
      </c>
    </row>
    <row r="71" spans="1:7" ht="17.100000000000001" customHeight="1" x14ac:dyDescent="0.3">
      <c r="A71" s="497">
        <v>150000572</v>
      </c>
      <c r="B71" s="498" t="s">
        <v>1256</v>
      </c>
      <c r="C71" s="477" t="s">
        <v>152</v>
      </c>
      <c r="D71" s="499">
        <v>2</v>
      </c>
      <c r="E71" s="500">
        <v>3.8783824144809778</v>
      </c>
      <c r="F71" s="500">
        <v>3.8783824144809778</v>
      </c>
      <c r="G71" s="500">
        <v>3.7935640062584599</v>
      </c>
    </row>
    <row r="72" spans="1:7" ht="17.100000000000001" customHeight="1" x14ac:dyDescent="0.3">
      <c r="A72" s="497">
        <v>150000573</v>
      </c>
      <c r="B72" s="498" t="s">
        <v>1257</v>
      </c>
      <c r="C72" s="477" t="s">
        <v>75</v>
      </c>
      <c r="D72" s="499">
        <v>1</v>
      </c>
      <c r="E72" s="500">
        <v>1.6187064647578502</v>
      </c>
      <c r="F72" s="500"/>
      <c r="G72" s="500">
        <v>1.6187064647578502</v>
      </c>
    </row>
    <row r="73" spans="1:7" ht="17.100000000000001" customHeight="1" x14ac:dyDescent="0.3">
      <c r="A73" s="497">
        <v>150000578</v>
      </c>
      <c r="B73" s="498" t="s">
        <v>1296</v>
      </c>
      <c r="C73" s="477" t="s">
        <v>83</v>
      </c>
      <c r="D73" s="499">
        <v>1</v>
      </c>
      <c r="E73" s="500">
        <v>1.6206727363332911</v>
      </c>
      <c r="F73" s="500"/>
      <c r="G73" s="500">
        <v>1.6206727363332911</v>
      </c>
    </row>
    <row r="74" spans="1:7" ht="17.100000000000001" customHeight="1" x14ac:dyDescent="0.3">
      <c r="A74" s="497">
        <v>150000580</v>
      </c>
      <c r="B74" s="498" t="s">
        <v>1297</v>
      </c>
      <c r="C74" s="477" t="s">
        <v>84</v>
      </c>
      <c r="D74" s="499">
        <v>1</v>
      </c>
      <c r="E74" s="500">
        <v>1.324307269953604</v>
      </c>
      <c r="F74" s="500"/>
      <c r="G74" s="500">
        <v>1.324307269953604</v>
      </c>
    </row>
    <row r="75" spans="1:7" ht="17.100000000000001" customHeight="1" x14ac:dyDescent="0.3">
      <c r="A75" s="497">
        <v>150000587</v>
      </c>
      <c r="B75" s="498" t="s">
        <v>1294</v>
      </c>
      <c r="C75" s="477" t="s">
        <v>82</v>
      </c>
      <c r="D75" s="499">
        <v>1</v>
      </c>
      <c r="E75" s="500">
        <v>1.6687528323821212</v>
      </c>
      <c r="F75" s="500"/>
      <c r="G75" s="500">
        <v>1.6687528323821212</v>
      </c>
    </row>
    <row r="76" spans="1:7" ht="17.100000000000001" customHeight="1" x14ac:dyDescent="0.3">
      <c r="A76" s="497">
        <v>150000590</v>
      </c>
      <c r="B76" s="498" t="s">
        <v>1295</v>
      </c>
      <c r="C76" s="477" t="s">
        <v>163</v>
      </c>
      <c r="D76" s="499">
        <v>2</v>
      </c>
      <c r="E76" s="500">
        <v>3.6793047036957969</v>
      </c>
      <c r="F76" s="500">
        <v>3.6793047036957969</v>
      </c>
      <c r="G76" s="500">
        <v>3.5831688454069908</v>
      </c>
    </row>
    <row r="77" spans="1:7" ht="17.100000000000001" customHeight="1" x14ac:dyDescent="0.3">
      <c r="A77" s="497">
        <v>150000591</v>
      </c>
      <c r="B77" s="498" t="s">
        <v>1420</v>
      </c>
      <c r="C77" s="477" t="s">
        <v>191</v>
      </c>
      <c r="D77" s="499">
        <v>2</v>
      </c>
      <c r="E77" s="500">
        <v>4.8167851364638761</v>
      </c>
      <c r="F77" s="500">
        <v>4.8167851364638761</v>
      </c>
      <c r="G77" s="500">
        <v>4.6942600319299839</v>
      </c>
    </row>
    <row r="78" spans="1:7" ht="17.100000000000001" customHeight="1" x14ac:dyDescent="0.3">
      <c r="A78" s="497">
        <v>150000592</v>
      </c>
      <c r="B78" s="498" t="s">
        <v>1263</v>
      </c>
      <c r="C78" s="477" t="s">
        <v>353</v>
      </c>
      <c r="D78" s="499">
        <v>9</v>
      </c>
      <c r="E78" s="500">
        <v>6.1471917140243795</v>
      </c>
      <c r="F78" s="500">
        <v>7.5380650430600795</v>
      </c>
      <c r="G78" s="500">
        <v>5.2374602260338383</v>
      </c>
    </row>
    <row r="79" spans="1:7" ht="17.100000000000001" customHeight="1" x14ac:dyDescent="0.3">
      <c r="A79" s="497">
        <v>150000593</v>
      </c>
      <c r="B79" s="498" t="s">
        <v>1266</v>
      </c>
      <c r="C79" s="477" t="s">
        <v>255</v>
      </c>
      <c r="D79" s="499">
        <v>5</v>
      </c>
      <c r="E79" s="500">
        <v>4.5347119380148131</v>
      </c>
      <c r="F79" s="500">
        <v>4.5347119380148131</v>
      </c>
      <c r="G79" s="500">
        <v>4.0693585040154279</v>
      </c>
    </row>
    <row r="80" spans="1:7" ht="17.100000000000001" customHeight="1" x14ac:dyDescent="0.3">
      <c r="A80" s="497">
        <v>150000594</v>
      </c>
      <c r="B80" s="498" t="s">
        <v>1267</v>
      </c>
      <c r="C80" s="477" t="s">
        <v>354</v>
      </c>
      <c r="D80" s="499">
        <v>9</v>
      </c>
      <c r="E80" s="500">
        <v>6.0576674010013409</v>
      </c>
      <c r="F80" s="500">
        <v>7.3922848837902277</v>
      </c>
      <c r="G80" s="500">
        <v>5.2078051804044563</v>
      </c>
    </row>
    <row r="81" spans="1:7" ht="17.100000000000001" customHeight="1" x14ac:dyDescent="0.3">
      <c r="A81" s="497">
        <v>150000597</v>
      </c>
      <c r="B81" s="498" t="s">
        <v>1261</v>
      </c>
      <c r="C81" s="477" t="s">
        <v>352</v>
      </c>
      <c r="D81" s="499">
        <v>9</v>
      </c>
      <c r="E81" s="500">
        <v>6.6294862560427266</v>
      </c>
      <c r="F81" s="500">
        <v>8.175610255673357</v>
      </c>
      <c r="G81" s="500">
        <v>5.7403322039736526</v>
      </c>
    </row>
    <row r="82" spans="1:7" ht="17.100000000000001" customHeight="1" x14ac:dyDescent="0.3">
      <c r="A82" s="497">
        <v>150000598</v>
      </c>
      <c r="B82" s="498" t="s">
        <v>1262</v>
      </c>
      <c r="C82" s="477" t="s">
        <v>76</v>
      </c>
      <c r="D82" s="499">
        <v>1</v>
      </c>
      <c r="E82" s="500">
        <v>1.684616771293028</v>
      </c>
      <c r="F82" s="500"/>
      <c r="G82" s="500">
        <v>1.684616771293028</v>
      </c>
    </row>
    <row r="83" spans="1:7" ht="17.100000000000001" customHeight="1" x14ac:dyDescent="0.3">
      <c r="A83" s="497">
        <v>150000599</v>
      </c>
      <c r="B83" s="498" t="s">
        <v>1264</v>
      </c>
      <c r="C83" s="477" t="s">
        <v>77</v>
      </c>
      <c r="D83" s="499">
        <v>1</v>
      </c>
      <c r="E83" s="500">
        <v>2.1170217763247021</v>
      </c>
      <c r="F83" s="500"/>
      <c r="G83" s="500">
        <v>2.1170217763247021</v>
      </c>
    </row>
    <row r="84" spans="1:7" ht="17.100000000000001" customHeight="1" x14ac:dyDescent="0.3">
      <c r="A84" s="497">
        <v>150000601</v>
      </c>
      <c r="B84" s="498" t="s">
        <v>1265</v>
      </c>
      <c r="C84" s="477" t="s">
        <v>78</v>
      </c>
      <c r="D84" s="499">
        <v>1</v>
      </c>
      <c r="E84" s="500">
        <v>1.8522332448924348</v>
      </c>
      <c r="F84" s="500"/>
      <c r="G84" s="500">
        <v>1.8522332448924348</v>
      </c>
    </row>
    <row r="85" spans="1:7" ht="17.100000000000001" customHeight="1" x14ac:dyDescent="0.3">
      <c r="A85" s="497">
        <v>150000603</v>
      </c>
      <c r="B85" s="498" t="s">
        <v>1274</v>
      </c>
      <c r="C85" s="477" t="s">
        <v>153</v>
      </c>
      <c r="D85" s="499">
        <v>2</v>
      </c>
      <c r="E85" s="500">
        <v>6.3456408334079217</v>
      </c>
      <c r="F85" s="500">
        <v>6.3456408334079217</v>
      </c>
      <c r="G85" s="500">
        <v>5.1515516438840621</v>
      </c>
    </row>
    <row r="86" spans="1:7" ht="17.100000000000001" customHeight="1" x14ac:dyDescent="0.3">
      <c r="A86" s="497">
        <v>150000604</v>
      </c>
      <c r="B86" s="498" t="s">
        <v>1276</v>
      </c>
      <c r="C86" s="477" t="s">
        <v>154</v>
      </c>
      <c r="D86" s="499">
        <v>2</v>
      </c>
      <c r="E86" s="500">
        <v>6.0302660374661228</v>
      </c>
      <c r="F86" s="500">
        <v>6.0302660374661228</v>
      </c>
      <c r="G86" s="500">
        <v>4.940238089916317</v>
      </c>
    </row>
    <row r="87" spans="1:7" ht="17.100000000000001" customHeight="1" x14ac:dyDescent="0.3">
      <c r="A87" s="497">
        <v>150000605</v>
      </c>
      <c r="B87" s="498" t="s">
        <v>1277</v>
      </c>
      <c r="C87" s="477" t="s">
        <v>155</v>
      </c>
      <c r="D87" s="499">
        <v>2</v>
      </c>
      <c r="E87" s="500">
        <v>6.6226300973245644</v>
      </c>
      <c r="F87" s="500">
        <v>6.6226300973245644</v>
      </c>
      <c r="G87" s="500">
        <v>5.535879983089635</v>
      </c>
    </row>
    <row r="88" spans="1:7" ht="17.100000000000001" customHeight="1" x14ac:dyDescent="0.3">
      <c r="A88" s="497">
        <v>150000606</v>
      </c>
      <c r="B88" s="498" t="s">
        <v>1278</v>
      </c>
      <c r="C88" s="477" t="s">
        <v>156</v>
      </c>
      <c r="D88" s="499">
        <v>2</v>
      </c>
      <c r="E88" s="500">
        <v>6.6057754514453189</v>
      </c>
      <c r="F88" s="500">
        <v>6.6057754514453189</v>
      </c>
      <c r="G88" s="500">
        <v>5.5369698990524654</v>
      </c>
    </row>
    <row r="89" spans="1:7" ht="17.100000000000001" customHeight="1" x14ac:dyDescent="0.3">
      <c r="A89" s="497">
        <v>150000607</v>
      </c>
      <c r="B89" s="498" t="s">
        <v>1279</v>
      </c>
      <c r="C89" s="477" t="s">
        <v>157</v>
      </c>
      <c r="D89" s="499">
        <v>2</v>
      </c>
      <c r="E89" s="500">
        <v>6.2785072280668155</v>
      </c>
      <c r="F89" s="500">
        <v>6.2785072280668155</v>
      </c>
      <c r="G89" s="500">
        <v>5.1737788490054317</v>
      </c>
    </row>
    <row r="90" spans="1:7" ht="17.100000000000001" customHeight="1" x14ac:dyDescent="0.3">
      <c r="A90" s="497">
        <v>150000608</v>
      </c>
      <c r="B90" s="498" t="s">
        <v>1280</v>
      </c>
      <c r="C90" s="477" t="s">
        <v>158</v>
      </c>
      <c r="D90" s="499">
        <v>2</v>
      </c>
      <c r="E90" s="500">
        <v>6.7645870028965929</v>
      </c>
      <c r="F90" s="500">
        <v>6.7645870028965929</v>
      </c>
      <c r="G90" s="500">
        <v>5.6372265545623286</v>
      </c>
    </row>
    <row r="91" spans="1:7" ht="17.100000000000001" customHeight="1" x14ac:dyDescent="0.3">
      <c r="A91" s="497">
        <v>150000609</v>
      </c>
      <c r="B91" s="498" t="s">
        <v>1281</v>
      </c>
      <c r="C91" s="477" t="s">
        <v>159</v>
      </c>
      <c r="D91" s="499">
        <v>2</v>
      </c>
      <c r="E91" s="500">
        <v>6.5630854893787074</v>
      </c>
      <c r="F91" s="500">
        <v>6.5630854893787074</v>
      </c>
      <c r="G91" s="500">
        <v>5.9156048061018733</v>
      </c>
    </row>
    <row r="92" spans="1:7" ht="17.100000000000001" customHeight="1" x14ac:dyDescent="0.3">
      <c r="A92" s="497">
        <v>150000610</v>
      </c>
      <c r="B92" s="498" t="s">
        <v>1282</v>
      </c>
      <c r="C92" s="477" t="s">
        <v>160</v>
      </c>
      <c r="D92" s="499">
        <v>2</v>
      </c>
      <c r="E92" s="500">
        <v>6.0751423572743111</v>
      </c>
      <c r="F92" s="500">
        <v>6.0751423572743111</v>
      </c>
      <c r="G92" s="500">
        <v>5.435399494773046</v>
      </c>
    </row>
    <row r="93" spans="1:7" ht="17.100000000000001" customHeight="1" x14ac:dyDescent="0.3">
      <c r="A93" s="497">
        <v>150000611</v>
      </c>
      <c r="B93" s="498" t="s">
        <v>1283</v>
      </c>
      <c r="C93" s="477" t="s">
        <v>195</v>
      </c>
      <c r="D93" s="499">
        <v>3</v>
      </c>
      <c r="E93" s="500">
        <v>5.7311449339674434</v>
      </c>
      <c r="F93" s="500">
        <v>5.7311449339674434</v>
      </c>
      <c r="G93" s="500">
        <v>5.0207430837945832</v>
      </c>
    </row>
    <row r="94" spans="1:7" ht="17.100000000000001" customHeight="1" x14ac:dyDescent="0.3">
      <c r="A94" s="497">
        <v>150000612</v>
      </c>
      <c r="B94" s="498" t="s">
        <v>1285</v>
      </c>
      <c r="C94" s="477" t="s">
        <v>161</v>
      </c>
      <c r="D94" s="499">
        <v>2</v>
      </c>
      <c r="E94" s="500">
        <v>6.4811721504626352</v>
      </c>
      <c r="F94" s="500">
        <v>6.4811721504626352</v>
      </c>
      <c r="G94" s="500">
        <v>5.8829514606088829</v>
      </c>
    </row>
    <row r="95" spans="1:7" ht="17.100000000000001" customHeight="1" x14ac:dyDescent="0.3">
      <c r="A95" s="497">
        <v>150000613</v>
      </c>
      <c r="B95" s="498" t="s">
        <v>1286</v>
      </c>
      <c r="C95" s="477" t="s">
        <v>210</v>
      </c>
      <c r="D95" s="499">
        <v>4</v>
      </c>
      <c r="E95" s="500">
        <v>5.866371037291259</v>
      </c>
      <c r="F95" s="500">
        <v>5.866371037291259</v>
      </c>
      <c r="G95" s="500">
        <v>5.1035829961136523</v>
      </c>
    </row>
    <row r="96" spans="1:7" ht="17.100000000000001" customHeight="1" x14ac:dyDescent="0.3">
      <c r="A96" s="497">
        <v>150000614</v>
      </c>
      <c r="B96" s="498" t="s">
        <v>1287</v>
      </c>
      <c r="C96" s="477" t="s">
        <v>162</v>
      </c>
      <c r="D96" s="499">
        <v>2</v>
      </c>
      <c r="E96" s="500">
        <v>5.8471042932241941</v>
      </c>
      <c r="F96" s="500">
        <v>5.8471042932241941</v>
      </c>
      <c r="G96" s="500">
        <v>5.1320407658629588</v>
      </c>
    </row>
    <row r="97" spans="1:7" ht="17.100000000000001" customHeight="1" x14ac:dyDescent="0.3">
      <c r="A97" s="497">
        <v>150000615</v>
      </c>
      <c r="B97" s="498" t="s">
        <v>1288</v>
      </c>
      <c r="C97" s="477" t="s">
        <v>256</v>
      </c>
      <c r="D97" s="499">
        <v>5</v>
      </c>
      <c r="E97" s="500">
        <v>6.184618749980368</v>
      </c>
      <c r="F97" s="500">
        <v>6.184618749980368</v>
      </c>
      <c r="G97" s="500">
        <v>5.6788324379905797</v>
      </c>
    </row>
    <row r="98" spans="1:7" ht="17.100000000000001" customHeight="1" x14ac:dyDescent="0.3">
      <c r="A98" s="497">
        <v>150000616</v>
      </c>
      <c r="B98" s="498" t="s">
        <v>1289</v>
      </c>
      <c r="C98" s="477" t="s">
        <v>257</v>
      </c>
      <c r="D98" s="499">
        <v>5</v>
      </c>
      <c r="E98" s="500">
        <v>4.9648754143195308</v>
      </c>
      <c r="F98" s="500">
        <v>4.9648754143195308</v>
      </c>
      <c r="G98" s="500">
        <v>4.5022507776612253</v>
      </c>
    </row>
    <row r="99" spans="1:7" ht="17.100000000000001" customHeight="1" x14ac:dyDescent="0.3">
      <c r="A99" s="497">
        <v>150000618</v>
      </c>
      <c r="B99" s="498" t="s">
        <v>1290</v>
      </c>
      <c r="C99" s="477" t="s">
        <v>416</v>
      </c>
      <c r="D99" s="499">
        <v>10</v>
      </c>
      <c r="E99" s="500">
        <v>5.7372100487444637</v>
      </c>
      <c r="F99" s="500">
        <v>6.6602222196741758</v>
      </c>
      <c r="G99" s="500">
        <v>4.6225127097030141</v>
      </c>
    </row>
    <row r="100" spans="1:7" ht="17.100000000000001" customHeight="1" x14ac:dyDescent="0.3">
      <c r="A100" s="497">
        <v>150000619</v>
      </c>
      <c r="B100" s="498" t="s">
        <v>1291</v>
      </c>
      <c r="C100" s="477" t="s">
        <v>359</v>
      </c>
      <c r="D100" s="499">
        <v>9</v>
      </c>
      <c r="E100" s="500">
        <v>5.7142649342403882</v>
      </c>
      <c r="F100" s="500">
        <v>6.8745531608894224</v>
      </c>
      <c r="G100" s="500">
        <v>4.8120846614703217</v>
      </c>
    </row>
    <row r="101" spans="1:7" ht="17.100000000000001" customHeight="1" x14ac:dyDescent="0.3">
      <c r="A101" s="497">
        <v>150000621</v>
      </c>
      <c r="B101" s="498" t="s">
        <v>1292</v>
      </c>
      <c r="C101" s="477" t="s">
        <v>80</v>
      </c>
      <c r="D101" s="499">
        <v>1</v>
      </c>
      <c r="E101" s="500">
        <v>1.7588275147206651</v>
      </c>
      <c r="F101" s="500"/>
      <c r="G101" s="500">
        <v>1.7588275147206651</v>
      </c>
    </row>
    <row r="102" spans="1:7" ht="17.100000000000001" customHeight="1" x14ac:dyDescent="0.3">
      <c r="A102" s="497">
        <v>150000622</v>
      </c>
      <c r="B102" s="498" t="s">
        <v>1293</v>
      </c>
      <c r="C102" s="477" t="s">
        <v>81</v>
      </c>
      <c r="D102" s="499">
        <v>1</v>
      </c>
      <c r="E102" s="500">
        <v>1.8142553542753523</v>
      </c>
      <c r="F102" s="500"/>
      <c r="G102" s="500">
        <v>1.8142553542753523</v>
      </c>
    </row>
    <row r="103" spans="1:7" ht="17.100000000000001" customHeight="1" x14ac:dyDescent="0.3">
      <c r="A103" s="497">
        <v>150000623</v>
      </c>
      <c r="B103" s="498" t="s">
        <v>1284</v>
      </c>
      <c r="C103" s="477" t="s">
        <v>209</v>
      </c>
      <c r="D103" s="499">
        <v>4</v>
      </c>
      <c r="E103" s="500">
        <v>5.7028305415081881</v>
      </c>
      <c r="F103" s="500">
        <v>5.7028305415081881</v>
      </c>
      <c r="G103" s="500">
        <v>5.0548843288208483</v>
      </c>
    </row>
    <row r="104" spans="1:7" ht="17.100000000000001" customHeight="1" x14ac:dyDescent="0.3">
      <c r="A104" s="497">
        <v>150000625</v>
      </c>
      <c r="B104" s="498" t="s">
        <v>1271</v>
      </c>
      <c r="C104" s="477" t="s">
        <v>415</v>
      </c>
      <c r="D104" s="499">
        <v>10</v>
      </c>
      <c r="E104" s="500">
        <v>6.0773222204467352</v>
      </c>
      <c r="F104" s="500">
        <v>7.3107802438272094</v>
      </c>
      <c r="G104" s="500">
        <v>5.1044215029353008</v>
      </c>
    </row>
    <row r="105" spans="1:7" ht="17.100000000000001" customHeight="1" x14ac:dyDescent="0.3">
      <c r="A105" s="497">
        <v>150000626</v>
      </c>
      <c r="B105" s="498" t="s">
        <v>1273</v>
      </c>
      <c r="C105" s="477" t="s">
        <v>358</v>
      </c>
      <c r="D105" s="499">
        <v>9</v>
      </c>
      <c r="E105" s="500">
        <v>5.9239491863961771</v>
      </c>
      <c r="F105" s="500">
        <v>7.1290165351185877</v>
      </c>
      <c r="G105" s="500">
        <v>4.9645502632445</v>
      </c>
    </row>
    <row r="106" spans="1:7" ht="17.100000000000001" customHeight="1" x14ac:dyDescent="0.3">
      <c r="A106" s="497">
        <v>150000627</v>
      </c>
      <c r="B106" s="498" t="s">
        <v>1269</v>
      </c>
      <c r="C106" s="477" t="s">
        <v>355</v>
      </c>
      <c r="D106" s="499">
        <v>9</v>
      </c>
      <c r="E106" s="500">
        <v>6.0277309476763064</v>
      </c>
      <c r="F106" s="500">
        <v>8.0145246455458583</v>
      </c>
      <c r="G106" s="500">
        <v>4.9030147260832395</v>
      </c>
    </row>
    <row r="107" spans="1:7" ht="17.100000000000001" customHeight="1" x14ac:dyDescent="0.3">
      <c r="A107" s="497">
        <v>150000628</v>
      </c>
      <c r="B107" s="498" t="s">
        <v>1270</v>
      </c>
      <c r="C107" s="477" t="s">
        <v>356</v>
      </c>
      <c r="D107" s="499">
        <v>9</v>
      </c>
      <c r="E107" s="500">
        <v>5.4027984175394712</v>
      </c>
      <c r="F107" s="500">
        <v>6.7452619071701587</v>
      </c>
      <c r="G107" s="500">
        <v>4.4755062204342035</v>
      </c>
    </row>
    <row r="108" spans="1:7" ht="17.100000000000001" customHeight="1" x14ac:dyDescent="0.3">
      <c r="A108" s="497">
        <v>150000629</v>
      </c>
      <c r="B108" s="498" t="s">
        <v>1272</v>
      </c>
      <c r="C108" s="477" t="s">
        <v>357</v>
      </c>
      <c r="D108" s="499">
        <v>9</v>
      </c>
      <c r="E108" s="500">
        <v>6.3798267896686252</v>
      </c>
      <c r="F108" s="500">
        <v>7.6950798582384534</v>
      </c>
      <c r="G108" s="500">
        <v>5.3385458810754143</v>
      </c>
    </row>
    <row r="109" spans="1:7" ht="17.100000000000001" customHeight="1" x14ac:dyDescent="0.3">
      <c r="A109" s="497">
        <v>150000634</v>
      </c>
      <c r="B109" s="498" t="s">
        <v>1299</v>
      </c>
      <c r="C109" s="477" t="s">
        <v>86</v>
      </c>
      <c r="D109" s="499">
        <v>1</v>
      </c>
      <c r="E109" s="500">
        <v>1.7682783738285588</v>
      </c>
      <c r="F109" s="500"/>
      <c r="G109" s="500">
        <v>1.7682783738285588</v>
      </c>
    </row>
    <row r="110" spans="1:7" ht="17.100000000000001" customHeight="1" x14ac:dyDescent="0.3">
      <c r="A110" s="497">
        <v>150000636</v>
      </c>
      <c r="B110" s="498" t="s">
        <v>1300</v>
      </c>
      <c r="C110" s="477" t="s">
        <v>258</v>
      </c>
      <c r="D110" s="499">
        <v>5</v>
      </c>
      <c r="E110" s="500">
        <v>5.3690295231826006</v>
      </c>
      <c r="F110" s="500">
        <v>5.3690295231826006</v>
      </c>
      <c r="G110" s="500">
        <v>4.7920728764902458</v>
      </c>
    </row>
    <row r="111" spans="1:7" ht="17.100000000000001" customHeight="1" x14ac:dyDescent="0.3">
      <c r="A111" s="497">
        <v>150000637</v>
      </c>
      <c r="B111" s="498" t="s">
        <v>1301</v>
      </c>
      <c r="C111" s="477" t="s">
        <v>87</v>
      </c>
      <c r="D111" s="499">
        <v>1</v>
      </c>
      <c r="E111" s="500">
        <v>1.7431164569797635</v>
      </c>
      <c r="F111" s="500"/>
      <c r="G111" s="500">
        <v>1.7431164569797635</v>
      </c>
    </row>
    <row r="112" spans="1:7" ht="17.100000000000001" customHeight="1" x14ac:dyDescent="0.3">
      <c r="A112" s="497">
        <v>150000638</v>
      </c>
      <c r="B112" s="498" t="s">
        <v>1513</v>
      </c>
      <c r="C112" s="477" t="s">
        <v>131</v>
      </c>
      <c r="D112" s="499">
        <v>1</v>
      </c>
      <c r="E112" s="500">
        <v>2.2118700155933562</v>
      </c>
      <c r="F112" s="500"/>
      <c r="G112" s="500">
        <v>2.2118700155933562</v>
      </c>
    </row>
    <row r="113" spans="1:7" ht="17.100000000000001" customHeight="1" x14ac:dyDescent="0.3">
      <c r="A113" s="497">
        <v>150000639</v>
      </c>
      <c r="B113" s="498" t="s">
        <v>1514</v>
      </c>
      <c r="C113" s="477" t="s">
        <v>132</v>
      </c>
      <c r="D113" s="499">
        <v>1</v>
      </c>
      <c r="E113" s="500">
        <v>1.6256358617467512</v>
      </c>
      <c r="F113" s="500"/>
      <c r="G113" s="500">
        <v>1.6256358617467512</v>
      </c>
    </row>
    <row r="114" spans="1:7" ht="17.100000000000001" customHeight="1" x14ac:dyDescent="0.3">
      <c r="A114" s="497">
        <v>150000643</v>
      </c>
      <c r="B114" s="498" t="s">
        <v>1247</v>
      </c>
      <c r="C114" s="477" t="s">
        <v>66</v>
      </c>
      <c r="D114" s="499">
        <v>1</v>
      </c>
      <c r="E114" s="500">
        <v>1.5806432733209343</v>
      </c>
      <c r="F114" s="500"/>
      <c r="G114" s="500">
        <v>1.5806432733209343</v>
      </c>
    </row>
    <row r="115" spans="1:7" ht="17.100000000000001" customHeight="1" x14ac:dyDescent="0.3">
      <c r="A115" s="497">
        <v>150000644</v>
      </c>
      <c r="B115" s="498" t="s">
        <v>1248</v>
      </c>
      <c r="C115" s="477" t="s">
        <v>67</v>
      </c>
      <c r="D115" s="499">
        <v>1</v>
      </c>
      <c r="E115" s="500">
        <v>1.7731766328010157</v>
      </c>
      <c r="F115" s="500"/>
      <c r="G115" s="500">
        <v>1.7731766328010157</v>
      </c>
    </row>
    <row r="116" spans="1:7" ht="17.100000000000001" customHeight="1" x14ac:dyDescent="0.3">
      <c r="A116" s="497">
        <v>150000645</v>
      </c>
      <c r="B116" s="498" t="s">
        <v>1246</v>
      </c>
      <c r="C116" s="477" t="s">
        <v>65</v>
      </c>
      <c r="D116" s="499">
        <v>1</v>
      </c>
      <c r="E116" s="500">
        <v>1.8265379679378997</v>
      </c>
      <c r="F116" s="500"/>
      <c r="G116" s="500">
        <v>1.8265379679378997</v>
      </c>
    </row>
    <row r="117" spans="1:7" ht="17.100000000000001" customHeight="1" x14ac:dyDescent="0.3">
      <c r="A117" s="497">
        <v>150000647</v>
      </c>
      <c r="B117" s="498" t="s">
        <v>1314</v>
      </c>
      <c r="C117" s="477" t="s">
        <v>96</v>
      </c>
      <c r="D117" s="499">
        <v>1</v>
      </c>
      <c r="E117" s="500">
        <v>1.5609098533985379</v>
      </c>
      <c r="F117" s="500"/>
      <c r="G117" s="500">
        <v>1.5609098533985379</v>
      </c>
    </row>
    <row r="118" spans="1:7" ht="17.100000000000001" customHeight="1" x14ac:dyDescent="0.3">
      <c r="A118" s="497">
        <v>150000648</v>
      </c>
      <c r="B118" s="498" t="s">
        <v>1313</v>
      </c>
      <c r="C118" s="477" t="s">
        <v>361</v>
      </c>
      <c r="D118" s="499">
        <v>9</v>
      </c>
      <c r="E118" s="500">
        <v>4.2390227110725087</v>
      </c>
      <c r="F118" s="500">
        <v>4.7721578758562746</v>
      </c>
      <c r="G118" s="500">
        <v>3.4077530996326342</v>
      </c>
    </row>
    <row r="119" spans="1:7" ht="17.100000000000001" customHeight="1" x14ac:dyDescent="0.3">
      <c r="A119" s="497">
        <v>150000658</v>
      </c>
      <c r="B119" s="498" t="s">
        <v>1258</v>
      </c>
      <c r="C119" s="477" t="s">
        <v>351</v>
      </c>
      <c r="D119" s="499">
        <v>9</v>
      </c>
      <c r="E119" s="500">
        <v>5.7342707965241306</v>
      </c>
      <c r="F119" s="500">
        <v>6.8233940530873998</v>
      </c>
      <c r="G119" s="500">
        <v>4.7961368545514738</v>
      </c>
    </row>
    <row r="120" spans="1:7" ht="17.100000000000001" customHeight="1" x14ac:dyDescent="0.3">
      <c r="A120" s="497">
        <v>150000659</v>
      </c>
      <c r="B120" s="498" t="s">
        <v>1259</v>
      </c>
      <c r="C120" s="477" t="s">
        <v>413</v>
      </c>
      <c r="D120" s="499">
        <v>10</v>
      </c>
      <c r="E120" s="500">
        <v>4.9300761577349173</v>
      </c>
      <c r="F120" s="500">
        <v>6.0963945000550783</v>
      </c>
      <c r="G120" s="500">
        <v>4.1099550521118413</v>
      </c>
    </row>
    <row r="121" spans="1:7" ht="17.100000000000001" customHeight="1" x14ac:dyDescent="0.3">
      <c r="A121" s="497">
        <v>150000660</v>
      </c>
      <c r="B121" s="498" t="s">
        <v>1260</v>
      </c>
      <c r="C121" s="477" t="s">
        <v>414</v>
      </c>
      <c r="D121" s="499">
        <v>10</v>
      </c>
      <c r="E121" s="500">
        <v>5.3167171664701067</v>
      </c>
      <c r="F121" s="500">
        <v>6.3418827730202789</v>
      </c>
      <c r="G121" s="500">
        <v>4.3583262556390219</v>
      </c>
    </row>
    <row r="122" spans="1:7" ht="17.100000000000001" customHeight="1" x14ac:dyDescent="0.3">
      <c r="A122" s="497">
        <v>150000670</v>
      </c>
      <c r="B122" s="498" t="s">
        <v>1482</v>
      </c>
      <c r="C122" s="477" t="s">
        <v>126</v>
      </c>
      <c r="D122" s="499">
        <v>1</v>
      </c>
      <c r="E122" s="500">
        <v>1.7872299068067135</v>
      </c>
      <c r="F122" s="500"/>
      <c r="G122" s="500">
        <v>1.7872299068067135</v>
      </c>
    </row>
    <row r="123" spans="1:7" ht="17.100000000000001" customHeight="1" x14ac:dyDescent="0.3">
      <c r="A123" s="497">
        <v>150000671</v>
      </c>
      <c r="B123" s="498" t="s">
        <v>1484</v>
      </c>
      <c r="C123" s="477" t="s">
        <v>127</v>
      </c>
      <c r="D123" s="499">
        <v>1</v>
      </c>
      <c r="E123" s="500">
        <v>1.9352210423766256</v>
      </c>
      <c r="F123" s="500"/>
      <c r="G123" s="500">
        <v>1.9352210423766256</v>
      </c>
    </row>
    <row r="124" spans="1:7" ht="17.100000000000001" customHeight="1" x14ac:dyDescent="0.3">
      <c r="A124" s="497">
        <v>150000672</v>
      </c>
      <c r="B124" s="498" t="s">
        <v>1480</v>
      </c>
      <c r="C124" s="477" t="s">
        <v>428</v>
      </c>
      <c r="D124" s="499"/>
      <c r="E124" s="500"/>
      <c r="F124" s="500"/>
      <c r="G124" s="500"/>
    </row>
    <row r="125" spans="1:7" ht="17.100000000000001" customHeight="1" x14ac:dyDescent="0.3">
      <c r="A125" s="497">
        <v>150000673</v>
      </c>
      <c r="B125" s="498" t="s">
        <v>1481</v>
      </c>
      <c r="C125" s="477" t="s">
        <v>182</v>
      </c>
      <c r="D125" s="499">
        <v>2</v>
      </c>
      <c r="E125" s="500">
        <v>6.4217042466165477</v>
      </c>
      <c r="F125" s="500">
        <v>6.4217042466165477</v>
      </c>
      <c r="G125" s="500">
        <v>5.5984128955008901</v>
      </c>
    </row>
    <row r="126" spans="1:7" ht="17.100000000000001" customHeight="1" x14ac:dyDescent="0.3">
      <c r="A126" s="497">
        <v>150000676</v>
      </c>
      <c r="B126" s="498" t="s">
        <v>1483</v>
      </c>
      <c r="C126" s="477" t="s">
        <v>385</v>
      </c>
      <c r="D126" s="499">
        <v>9</v>
      </c>
      <c r="E126" s="500">
        <v>5.8748293012241479</v>
      </c>
      <c r="F126" s="500">
        <v>7.2237288269659246</v>
      </c>
      <c r="G126" s="500">
        <v>5.0025819474508628</v>
      </c>
    </row>
    <row r="127" spans="1:7" ht="17.100000000000001" customHeight="1" x14ac:dyDescent="0.3">
      <c r="A127" s="497">
        <v>150000683</v>
      </c>
      <c r="B127" s="498" t="s">
        <v>1364</v>
      </c>
      <c r="C127" s="477" t="s">
        <v>115</v>
      </c>
      <c r="D127" s="499">
        <v>1</v>
      </c>
      <c r="E127" s="500">
        <v>1.8071956697600151</v>
      </c>
      <c r="F127" s="500"/>
      <c r="G127" s="500">
        <v>1.8071956697600151</v>
      </c>
    </row>
    <row r="128" spans="1:7" ht="17.100000000000001" customHeight="1" x14ac:dyDescent="0.3">
      <c r="A128" s="497">
        <v>150000686</v>
      </c>
      <c r="B128" s="498" t="s">
        <v>1315</v>
      </c>
      <c r="C128" s="477" t="s">
        <v>97</v>
      </c>
      <c r="D128" s="499">
        <v>1</v>
      </c>
      <c r="E128" s="500">
        <v>1.1691321519002329</v>
      </c>
      <c r="F128" s="500"/>
      <c r="G128" s="500">
        <v>1.1691321519002329</v>
      </c>
    </row>
    <row r="129" spans="1:7" ht="17.100000000000001" customHeight="1" x14ac:dyDescent="0.3">
      <c r="A129" s="497">
        <v>150000688</v>
      </c>
      <c r="B129" s="498" t="s">
        <v>1309</v>
      </c>
      <c r="C129" s="477" t="s">
        <v>92</v>
      </c>
      <c r="D129" s="499">
        <v>1</v>
      </c>
      <c r="E129" s="500">
        <v>1.6779577522296552</v>
      </c>
      <c r="F129" s="500"/>
      <c r="G129" s="500">
        <v>1.6779577522296552</v>
      </c>
    </row>
    <row r="130" spans="1:7" ht="17.100000000000001" customHeight="1" x14ac:dyDescent="0.3">
      <c r="A130" s="497">
        <v>150000689</v>
      </c>
      <c r="B130" s="498" t="s">
        <v>1310</v>
      </c>
      <c r="C130" s="477" t="s">
        <v>93</v>
      </c>
      <c r="D130" s="499">
        <v>1</v>
      </c>
      <c r="E130" s="500">
        <v>1.5000996711992209</v>
      </c>
      <c r="F130" s="500"/>
      <c r="G130" s="500">
        <v>1.5000996711992209</v>
      </c>
    </row>
    <row r="131" spans="1:7" ht="17.100000000000001" customHeight="1" x14ac:dyDescent="0.3">
      <c r="A131" s="497">
        <v>150000690</v>
      </c>
      <c r="B131" s="498" t="s">
        <v>1312</v>
      </c>
      <c r="C131" s="477" t="s">
        <v>95</v>
      </c>
      <c r="D131" s="499">
        <v>1</v>
      </c>
      <c r="E131" s="500">
        <v>1.5715703739586471</v>
      </c>
      <c r="F131" s="500"/>
      <c r="G131" s="500">
        <v>1.5715703739586471</v>
      </c>
    </row>
    <row r="132" spans="1:7" ht="17.100000000000001" customHeight="1" x14ac:dyDescent="0.3">
      <c r="A132" s="497">
        <v>150000693</v>
      </c>
      <c r="B132" s="498" t="s">
        <v>1311</v>
      </c>
      <c r="C132" s="477" t="s">
        <v>94</v>
      </c>
      <c r="D132" s="499">
        <v>1</v>
      </c>
      <c r="E132" s="500">
        <v>1.4584268088800576</v>
      </c>
      <c r="F132" s="500"/>
      <c r="G132" s="500">
        <v>1.4584268088800576</v>
      </c>
    </row>
    <row r="133" spans="1:7" ht="17.100000000000001" customHeight="1" x14ac:dyDescent="0.3">
      <c r="A133" s="497">
        <v>150000694</v>
      </c>
      <c r="B133" s="498" t="s">
        <v>1367</v>
      </c>
      <c r="C133" s="477" t="s">
        <v>371</v>
      </c>
      <c r="D133" s="499">
        <v>9</v>
      </c>
      <c r="E133" s="500">
        <v>5.7650516342765643</v>
      </c>
      <c r="F133" s="500">
        <v>7.5958284493054347</v>
      </c>
      <c r="G133" s="500">
        <v>4.8092176637448931</v>
      </c>
    </row>
    <row r="134" spans="1:7" ht="17.100000000000001" customHeight="1" x14ac:dyDescent="0.3">
      <c r="A134" s="497">
        <v>150000695</v>
      </c>
      <c r="B134" s="498" t="s">
        <v>1368</v>
      </c>
      <c r="C134" s="477" t="s">
        <v>372</v>
      </c>
      <c r="D134" s="499">
        <v>9</v>
      </c>
      <c r="E134" s="500">
        <v>6.0501823572175848</v>
      </c>
      <c r="F134" s="500">
        <v>7.9414138237659628</v>
      </c>
      <c r="G134" s="500">
        <v>5.0750474729442931</v>
      </c>
    </row>
    <row r="135" spans="1:7" ht="17.100000000000001" customHeight="1" x14ac:dyDescent="0.3">
      <c r="A135" s="497">
        <v>150000696</v>
      </c>
      <c r="B135" s="498" t="s">
        <v>1365</v>
      </c>
      <c r="C135" s="477" t="s">
        <v>370</v>
      </c>
      <c r="D135" s="499">
        <v>9</v>
      </c>
      <c r="E135" s="500">
        <v>6.3038884358153524</v>
      </c>
      <c r="F135" s="500">
        <v>7.9973209930616314</v>
      </c>
      <c r="G135" s="500">
        <v>5.3673448094976353</v>
      </c>
    </row>
    <row r="136" spans="1:7" ht="17.100000000000001" customHeight="1" x14ac:dyDescent="0.3">
      <c r="A136" s="497">
        <v>150000697</v>
      </c>
      <c r="B136" s="498" t="s">
        <v>1366</v>
      </c>
      <c r="C136" s="477" t="s">
        <v>265</v>
      </c>
      <c r="D136" s="499">
        <v>5</v>
      </c>
      <c r="E136" s="500">
        <v>6.1431822225819293</v>
      </c>
      <c r="F136" s="500">
        <v>6.1431822225819293</v>
      </c>
      <c r="G136" s="500">
        <v>5.4474483437758305</v>
      </c>
    </row>
    <row r="137" spans="1:7" ht="17.100000000000001" customHeight="1" x14ac:dyDescent="0.3">
      <c r="A137" s="497">
        <v>150000698</v>
      </c>
      <c r="B137" s="498" t="s">
        <v>1369</v>
      </c>
      <c r="C137" s="477" t="s">
        <v>120</v>
      </c>
      <c r="D137" s="499">
        <v>1</v>
      </c>
      <c r="E137" s="500">
        <v>1.6540824985067126</v>
      </c>
      <c r="F137" s="500"/>
      <c r="G137" s="500">
        <v>1.6540824985067126</v>
      </c>
    </row>
    <row r="138" spans="1:7" ht="17.100000000000001" customHeight="1" x14ac:dyDescent="0.3">
      <c r="A138" s="497">
        <v>150000699</v>
      </c>
      <c r="B138" s="498" t="s">
        <v>1370</v>
      </c>
      <c r="C138" s="477" t="s">
        <v>373</v>
      </c>
      <c r="D138" s="499">
        <v>9</v>
      </c>
      <c r="E138" s="500">
        <v>6.0879806508452941</v>
      </c>
      <c r="F138" s="500">
        <v>6.6600676014318809</v>
      </c>
      <c r="G138" s="500">
        <v>4.7380400447763327</v>
      </c>
    </row>
    <row r="139" spans="1:7" ht="17.100000000000001" customHeight="1" x14ac:dyDescent="0.3">
      <c r="A139" s="497">
        <v>150000702</v>
      </c>
      <c r="B139" s="498" t="s">
        <v>1171</v>
      </c>
      <c r="C139" s="477" t="s">
        <v>338</v>
      </c>
      <c r="D139" s="499">
        <v>9</v>
      </c>
      <c r="E139" s="500">
        <v>5.9482476944041096</v>
      </c>
      <c r="F139" s="500">
        <v>7.4855383352065115</v>
      </c>
      <c r="G139" s="500">
        <v>4.9623037621392525</v>
      </c>
    </row>
    <row r="140" spans="1:7" ht="17.100000000000001" customHeight="1" x14ac:dyDescent="0.3">
      <c r="A140" s="497">
        <v>150000703</v>
      </c>
      <c r="B140" s="498" t="s">
        <v>1172</v>
      </c>
      <c r="C140" s="477" t="s">
        <v>339</v>
      </c>
      <c r="D140" s="499">
        <v>9</v>
      </c>
      <c r="E140" s="500">
        <v>5.8452632836205494</v>
      </c>
      <c r="F140" s="500">
        <v>7.2555558792146861</v>
      </c>
      <c r="G140" s="500">
        <v>4.8749049911248123</v>
      </c>
    </row>
    <row r="141" spans="1:7" ht="17.100000000000001" customHeight="1" x14ac:dyDescent="0.3">
      <c r="A141" s="497">
        <v>150000705</v>
      </c>
      <c r="B141" s="498" t="s">
        <v>1415</v>
      </c>
      <c r="C141" s="477" t="s">
        <v>141</v>
      </c>
      <c r="D141" s="499">
        <v>1</v>
      </c>
      <c r="E141" s="500">
        <v>1.5179210977088418</v>
      </c>
      <c r="F141" s="500"/>
      <c r="G141" s="500">
        <v>1.5179210977088418</v>
      </c>
    </row>
    <row r="142" spans="1:7" ht="17.100000000000001" customHeight="1" x14ac:dyDescent="0.3">
      <c r="A142" s="497">
        <v>150000706</v>
      </c>
      <c r="B142" s="498" t="s">
        <v>1417</v>
      </c>
      <c r="C142" s="477" t="s">
        <v>143</v>
      </c>
      <c r="D142" s="499">
        <v>1</v>
      </c>
      <c r="E142" s="500">
        <v>1.5354979944367424</v>
      </c>
      <c r="F142" s="500"/>
      <c r="G142" s="500">
        <v>1.5354979944367424</v>
      </c>
    </row>
    <row r="143" spans="1:7" ht="17.100000000000001" customHeight="1" x14ac:dyDescent="0.3">
      <c r="A143" s="497">
        <v>150000707</v>
      </c>
      <c r="B143" s="498" t="s">
        <v>1418</v>
      </c>
      <c r="C143" s="477" t="s">
        <v>144</v>
      </c>
      <c r="D143" s="499">
        <v>1</v>
      </c>
      <c r="E143" s="500">
        <v>1.5240404811933463</v>
      </c>
      <c r="F143" s="500"/>
      <c r="G143" s="500">
        <v>1.5240404811933463</v>
      </c>
    </row>
    <row r="144" spans="1:7" ht="17.100000000000001" customHeight="1" x14ac:dyDescent="0.3">
      <c r="A144" s="497">
        <v>150000708</v>
      </c>
      <c r="B144" s="498" t="s">
        <v>1419</v>
      </c>
      <c r="C144" s="477" t="s">
        <v>145</v>
      </c>
      <c r="D144" s="499">
        <v>1</v>
      </c>
      <c r="E144" s="500">
        <v>1.5170005432818441</v>
      </c>
      <c r="F144" s="500"/>
      <c r="G144" s="500">
        <v>1.5170005432818441</v>
      </c>
    </row>
    <row r="145" spans="1:7" ht="17.100000000000001" customHeight="1" x14ac:dyDescent="0.3">
      <c r="A145" s="497">
        <v>150000709</v>
      </c>
      <c r="B145" s="498" t="s">
        <v>1416</v>
      </c>
      <c r="C145" s="477" t="s">
        <v>142</v>
      </c>
      <c r="D145" s="499">
        <v>1</v>
      </c>
      <c r="E145" s="500">
        <v>1.5293545563330364</v>
      </c>
      <c r="F145" s="500"/>
      <c r="G145" s="500">
        <v>1.5293545563330364</v>
      </c>
    </row>
    <row r="146" spans="1:7" ht="17.100000000000001" customHeight="1" x14ac:dyDescent="0.3">
      <c r="A146" s="497">
        <v>150000710</v>
      </c>
      <c r="B146" s="498" t="s">
        <v>1494</v>
      </c>
      <c r="C146" s="477" t="s">
        <v>278</v>
      </c>
      <c r="D146" s="499">
        <v>5</v>
      </c>
      <c r="E146" s="500">
        <v>5.2439480293555603</v>
      </c>
      <c r="F146" s="500">
        <v>5.2439480293555603</v>
      </c>
      <c r="G146" s="500">
        <v>4.6564001441959633</v>
      </c>
    </row>
    <row r="147" spans="1:7" ht="17.100000000000001" customHeight="1" x14ac:dyDescent="0.3">
      <c r="A147" s="497">
        <v>150000711</v>
      </c>
      <c r="B147" s="498" t="s">
        <v>1495</v>
      </c>
      <c r="C147" s="477" t="s">
        <v>279</v>
      </c>
      <c r="D147" s="499">
        <v>5</v>
      </c>
      <c r="E147" s="500">
        <v>5.5186451981587474</v>
      </c>
      <c r="F147" s="500">
        <v>5.5186451981587474</v>
      </c>
      <c r="G147" s="500">
        <v>4.9392914458008939</v>
      </c>
    </row>
    <row r="148" spans="1:7" ht="17.100000000000001" customHeight="1" x14ac:dyDescent="0.3">
      <c r="A148" s="497">
        <v>150000712</v>
      </c>
      <c r="B148" s="498" t="s">
        <v>1496</v>
      </c>
      <c r="C148" s="477" t="s">
        <v>280</v>
      </c>
      <c r="D148" s="499">
        <v>5</v>
      </c>
      <c r="E148" s="500">
        <v>5.6579725678770103</v>
      </c>
      <c r="F148" s="500">
        <v>5.6579725678770103</v>
      </c>
      <c r="G148" s="500">
        <v>5.0529896741435163</v>
      </c>
    </row>
    <row r="149" spans="1:7" ht="17.100000000000001" customHeight="1" x14ac:dyDescent="0.3">
      <c r="A149" s="497">
        <v>150000713</v>
      </c>
      <c r="B149" s="498" t="s">
        <v>1497</v>
      </c>
      <c r="C149" s="477" t="s">
        <v>281</v>
      </c>
      <c r="D149" s="499">
        <v>5</v>
      </c>
      <c r="E149" s="500">
        <v>5.3818515896628938</v>
      </c>
      <c r="F149" s="500">
        <v>5.3818515896628938</v>
      </c>
      <c r="G149" s="500">
        <v>4.7244378147372768</v>
      </c>
    </row>
    <row r="150" spans="1:7" ht="17.100000000000001" customHeight="1" x14ac:dyDescent="0.3">
      <c r="A150" s="497">
        <v>150000714</v>
      </c>
      <c r="B150" s="498" t="s">
        <v>1498</v>
      </c>
      <c r="C150" s="477" t="s">
        <v>282</v>
      </c>
      <c r="D150" s="499">
        <v>5</v>
      </c>
      <c r="E150" s="500">
        <v>6.0418213251025001</v>
      </c>
      <c r="F150" s="500">
        <v>6.0418213251025001</v>
      </c>
      <c r="G150" s="500">
        <v>5.360875588508736</v>
      </c>
    </row>
    <row r="151" spans="1:7" ht="17.100000000000001" customHeight="1" x14ac:dyDescent="0.3">
      <c r="A151" s="497">
        <v>150000715</v>
      </c>
      <c r="B151" s="498" t="s">
        <v>1499</v>
      </c>
      <c r="C151" s="477" t="s">
        <v>283</v>
      </c>
      <c r="D151" s="499">
        <v>5</v>
      </c>
      <c r="E151" s="500">
        <v>5.438579381905285</v>
      </c>
      <c r="F151" s="500">
        <v>5.438579381905285</v>
      </c>
      <c r="G151" s="500">
        <v>4.9063521981529528</v>
      </c>
    </row>
    <row r="152" spans="1:7" ht="17.100000000000001" customHeight="1" x14ac:dyDescent="0.3">
      <c r="A152" s="497">
        <v>150000716</v>
      </c>
      <c r="B152" s="498" t="s">
        <v>1501</v>
      </c>
      <c r="C152" s="477" t="s">
        <v>285</v>
      </c>
      <c r="D152" s="499">
        <v>5</v>
      </c>
      <c r="E152" s="500">
        <v>5.271166016720386</v>
      </c>
      <c r="F152" s="500">
        <v>5.271166016720386</v>
      </c>
      <c r="G152" s="500">
        <v>4.4423680694273306</v>
      </c>
    </row>
    <row r="153" spans="1:7" ht="17.100000000000001" customHeight="1" x14ac:dyDescent="0.3">
      <c r="A153" s="497">
        <v>150000717</v>
      </c>
      <c r="B153" s="498" t="s">
        <v>1502</v>
      </c>
      <c r="C153" s="477" t="s">
        <v>286</v>
      </c>
      <c r="D153" s="499">
        <v>5</v>
      </c>
      <c r="E153" s="500">
        <v>5.6199840461890558</v>
      </c>
      <c r="F153" s="500">
        <v>5.6199840461890558</v>
      </c>
      <c r="G153" s="500">
        <v>4.7731792545017298</v>
      </c>
    </row>
    <row r="154" spans="1:7" ht="17.100000000000001" customHeight="1" x14ac:dyDescent="0.3">
      <c r="A154" s="497">
        <v>150000718</v>
      </c>
      <c r="B154" s="498" t="s">
        <v>1503</v>
      </c>
      <c r="C154" s="477" t="s">
        <v>287</v>
      </c>
      <c r="D154" s="499">
        <v>5</v>
      </c>
      <c r="E154" s="500">
        <v>5.5671771059392858</v>
      </c>
      <c r="F154" s="500">
        <v>5.5671771059392858</v>
      </c>
      <c r="G154" s="500">
        <v>4.9547402969218979</v>
      </c>
    </row>
    <row r="155" spans="1:7" ht="17.100000000000001" customHeight="1" x14ac:dyDescent="0.3">
      <c r="A155" s="497">
        <v>150000719</v>
      </c>
      <c r="B155" s="498" t="s">
        <v>1500</v>
      </c>
      <c r="C155" s="477" t="s">
        <v>284</v>
      </c>
      <c r="D155" s="499">
        <v>5</v>
      </c>
      <c r="E155" s="500">
        <v>5.7645850492323483</v>
      </c>
      <c r="F155" s="500">
        <v>5.7645850492323483</v>
      </c>
      <c r="G155" s="500">
        <v>5.1547427731802626</v>
      </c>
    </row>
    <row r="156" spans="1:7" ht="17.100000000000001" customHeight="1" x14ac:dyDescent="0.3">
      <c r="A156" s="497">
        <v>150000720</v>
      </c>
      <c r="B156" s="498" t="s">
        <v>1504</v>
      </c>
      <c r="C156" s="477" t="s">
        <v>288</v>
      </c>
      <c r="D156" s="499">
        <v>5</v>
      </c>
      <c r="E156" s="500">
        <v>4.7885260108503545</v>
      </c>
      <c r="F156" s="500">
        <v>4.7885260108503545</v>
      </c>
      <c r="G156" s="500">
        <v>4.1946327537629511</v>
      </c>
    </row>
    <row r="157" spans="1:7" ht="17.100000000000001" customHeight="1" x14ac:dyDescent="0.3">
      <c r="A157" s="497">
        <v>150000721</v>
      </c>
      <c r="B157" s="498" t="s">
        <v>1489</v>
      </c>
      <c r="C157" s="477" t="s">
        <v>218</v>
      </c>
      <c r="D157" s="499">
        <v>4</v>
      </c>
      <c r="E157" s="500">
        <v>5.412183677476607</v>
      </c>
      <c r="F157" s="500">
        <v>5.412183677476607</v>
      </c>
      <c r="G157" s="500">
        <v>4.7493381917185538</v>
      </c>
    </row>
    <row r="158" spans="1:7" ht="17.100000000000001" customHeight="1" x14ac:dyDescent="0.3">
      <c r="A158" s="497">
        <v>150000722</v>
      </c>
      <c r="B158" s="498" t="s">
        <v>1490</v>
      </c>
      <c r="C158" s="477" t="s">
        <v>274</v>
      </c>
      <c r="D158" s="499">
        <v>5</v>
      </c>
      <c r="E158" s="500">
        <v>5.1633683075088053</v>
      </c>
      <c r="F158" s="500">
        <v>5.1633683075088053</v>
      </c>
      <c r="G158" s="500">
        <v>4.6558978922695511</v>
      </c>
    </row>
    <row r="159" spans="1:7" ht="17.100000000000001" customHeight="1" x14ac:dyDescent="0.3">
      <c r="A159" s="497">
        <v>150000723</v>
      </c>
      <c r="B159" s="498" t="s">
        <v>1491</v>
      </c>
      <c r="C159" s="477" t="s">
        <v>275</v>
      </c>
      <c r="D159" s="499">
        <v>5</v>
      </c>
      <c r="E159" s="500">
        <v>5.4232935634209927</v>
      </c>
      <c r="F159" s="500">
        <v>5.4232935634209927</v>
      </c>
      <c r="G159" s="500">
        <v>4.8748839818913812</v>
      </c>
    </row>
    <row r="160" spans="1:7" ht="17.100000000000001" customHeight="1" x14ac:dyDescent="0.3">
      <c r="A160" s="497">
        <v>150000724</v>
      </c>
      <c r="B160" s="498" t="s">
        <v>1492</v>
      </c>
      <c r="C160" s="477" t="s">
        <v>276</v>
      </c>
      <c r="D160" s="499">
        <v>5</v>
      </c>
      <c r="E160" s="500">
        <v>5.3773670925745289</v>
      </c>
      <c r="F160" s="500">
        <v>5.3773670925745289</v>
      </c>
      <c r="G160" s="500">
        <v>4.8367878208860198</v>
      </c>
    </row>
    <row r="161" spans="1:7" ht="17.100000000000001" customHeight="1" x14ac:dyDescent="0.3">
      <c r="A161" s="497">
        <v>150000725</v>
      </c>
      <c r="B161" s="498" t="s">
        <v>1493</v>
      </c>
      <c r="C161" s="477" t="s">
        <v>277</v>
      </c>
      <c r="D161" s="499">
        <v>5</v>
      </c>
      <c r="E161" s="500">
        <v>5.6579919666857323</v>
      </c>
      <c r="F161" s="500">
        <v>5.6579919666857323</v>
      </c>
      <c r="G161" s="500">
        <v>5.1170141560784481</v>
      </c>
    </row>
    <row r="162" spans="1:7" ht="17.100000000000001" customHeight="1" x14ac:dyDescent="0.3">
      <c r="A162" s="497">
        <v>150000726</v>
      </c>
      <c r="B162" s="498" t="s">
        <v>1485</v>
      </c>
      <c r="C162" s="477" t="s">
        <v>183</v>
      </c>
      <c r="D162" s="499">
        <v>2</v>
      </c>
      <c r="E162" s="500">
        <v>5.9990956689241246</v>
      </c>
      <c r="F162" s="500">
        <v>5.9990956689241246</v>
      </c>
      <c r="G162" s="500">
        <v>5.1469121147530057</v>
      </c>
    </row>
    <row r="163" spans="1:7" ht="17.100000000000001" customHeight="1" x14ac:dyDescent="0.3">
      <c r="A163" s="497">
        <v>150000727</v>
      </c>
      <c r="B163" s="498" t="s">
        <v>1486</v>
      </c>
      <c r="C163" s="477" t="s">
        <v>128</v>
      </c>
      <c r="D163" s="499">
        <v>1</v>
      </c>
      <c r="E163" s="500">
        <v>1.924900241016922</v>
      </c>
      <c r="F163" s="500"/>
      <c r="G163" s="500">
        <v>1.924900241016922</v>
      </c>
    </row>
    <row r="164" spans="1:7" ht="17.100000000000001" customHeight="1" x14ac:dyDescent="0.3">
      <c r="A164" s="497">
        <v>150000728</v>
      </c>
      <c r="B164" s="498" t="s">
        <v>1487</v>
      </c>
      <c r="C164" s="477" t="s">
        <v>184</v>
      </c>
      <c r="D164" s="499">
        <v>2</v>
      </c>
      <c r="E164" s="500">
        <v>5.8458989361671208</v>
      </c>
      <c r="F164" s="500">
        <v>5.8458989361671208</v>
      </c>
      <c r="G164" s="500">
        <v>4.5682773891497535</v>
      </c>
    </row>
    <row r="165" spans="1:7" ht="17.100000000000001" customHeight="1" x14ac:dyDescent="0.3">
      <c r="A165" s="497">
        <v>150000729</v>
      </c>
      <c r="B165" s="498" t="s">
        <v>1488</v>
      </c>
      <c r="C165" s="477" t="s">
        <v>273</v>
      </c>
      <c r="D165" s="499">
        <v>5</v>
      </c>
      <c r="E165" s="500">
        <v>5.0768975040353022</v>
      </c>
      <c r="F165" s="500">
        <v>5.0768975040353022</v>
      </c>
      <c r="G165" s="500">
        <v>4.4996697982394105</v>
      </c>
    </row>
    <row r="166" spans="1:7" ht="17.100000000000001" customHeight="1" x14ac:dyDescent="0.3">
      <c r="A166" s="501">
        <v>150000736</v>
      </c>
      <c r="B166" s="498" t="s">
        <v>1515</v>
      </c>
      <c r="C166" s="477" t="s">
        <v>219</v>
      </c>
      <c r="D166" s="499">
        <v>4</v>
      </c>
      <c r="E166" s="500">
        <v>4.804489651453598</v>
      </c>
      <c r="F166" s="500">
        <v>4.804489651453598</v>
      </c>
      <c r="G166" s="500">
        <v>4.0643608440068304</v>
      </c>
    </row>
    <row r="167" spans="1:7" ht="17.100000000000001" customHeight="1" x14ac:dyDescent="0.3">
      <c r="A167" s="497">
        <v>150000737</v>
      </c>
      <c r="B167" s="498" t="s">
        <v>1517</v>
      </c>
      <c r="C167" s="477" t="s">
        <v>221</v>
      </c>
      <c r="D167" s="499">
        <v>4</v>
      </c>
      <c r="E167" s="500">
        <v>5.1095284410893109</v>
      </c>
      <c r="F167" s="500">
        <v>5.1095284410893109</v>
      </c>
      <c r="G167" s="500">
        <v>4.4654726586412927</v>
      </c>
    </row>
    <row r="168" spans="1:7" ht="17.100000000000001" customHeight="1" x14ac:dyDescent="0.3">
      <c r="A168" s="497">
        <v>150000738</v>
      </c>
      <c r="B168" s="498" t="s">
        <v>1518</v>
      </c>
      <c r="C168" s="477" t="s">
        <v>289</v>
      </c>
      <c r="D168" s="499">
        <v>5</v>
      </c>
      <c r="E168" s="500">
        <v>5.2939561703431135</v>
      </c>
      <c r="F168" s="500">
        <v>5.2939561703431135</v>
      </c>
      <c r="G168" s="500">
        <v>4.7751456948794209</v>
      </c>
    </row>
    <row r="169" spans="1:7" ht="17.100000000000001" customHeight="1" x14ac:dyDescent="0.3">
      <c r="A169" s="497">
        <v>150000739</v>
      </c>
      <c r="B169" s="498" t="s">
        <v>1519</v>
      </c>
      <c r="C169" s="477" t="s">
        <v>222</v>
      </c>
      <c r="D169" s="499">
        <v>4</v>
      </c>
      <c r="E169" s="500">
        <v>5.0013359736375955</v>
      </c>
      <c r="F169" s="500">
        <v>5.0013359736375955</v>
      </c>
      <c r="G169" s="500">
        <v>4.3509291581916338</v>
      </c>
    </row>
    <row r="170" spans="1:7" ht="17.100000000000001" customHeight="1" x14ac:dyDescent="0.3">
      <c r="A170" s="497">
        <v>150000740</v>
      </c>
      <c r="B170" s="498" t="s">
        <v>1520</v>
      </c>
      <c r="C170" s="477" t="s">
        <v>197</v>
      </c>
      <c r="D170" s="499">
        <v>3</v>
      </c>
      <c r="E170" s="500">
        <v>5.8327960145512847</v>
      </c>
      <c r="F170" s="500">
        <v>5.8327960145512847</v>
      </c>
      <c r="G170" s="500">
        <v>4.8098673269430785</v>
      </c>
    </row>
    <row r="171" spans="1:7" ht="17.100000000000001" customHeight="1" x14ac:dyDescent="0.3">
      <c r="A171" s="497">
        <v>150000741</v>
      </c>
      <c r="B171" s="498" t="s">
        <v>1522</v>
      </c>
      <c r="C171" s="477" t="s">
        <v>224</v>
      </c>
      <c r="D171" s="499">
        <v>4</v>
      </c>
      <c r="E171" s="500">
        <v>5.4404260807513758</v>
      </c>
      <c r="F171" s="500">
        <v>5.4404260807513758</v>
      </c>
      <c r="G171" s="500">
        <v>4.6456589083713071</v>
      </c>
    </row>
    <row r="172" spans="1:7" ht="17.100000000000001" customHeight="1" x14ac:dyDescent="0.3">
      <c r="A172" s="497">
        <v>150000742</v>
      </c>
      <c r="B172" s="498" t="s">
        <v>1523</v>
      </c>
      <c r="C172" s="477" t="s">
        <v>290</v>
      </c>
      <c r="D172" s="499">
        <v>5</v>
      </c>
      <c r="E172" s="500">
        <v>5.0443858289526151</v>
      </c>
      <c r="F172" s="500">
        <v>5.0443858289526151</v>
      </c>
      <c r="G172" s="500">
        <v>4.502480217145993</v>
      </c>
    </row>
    <row r="173" spans="1:7" ht="17.100000000000001" customHeight="1" x14ac:dyDescent="0.3">
      <c r="A173" s="497">
        <v>150000743</v>
      </c>
      <c r="B173" s="498" t="s">
        <v>1516</v>
      </c>
      <c r="C173" s="477" t="s">
        <v>220</v>
      </c>
      <c r="D173" s="499">
        <v>4</v>
      </c>
      <c r="E173" s="500">
        <v>4.4179691940324739</v>
      </c>
      <c r="F173" s="500">
        <v>4.4179691940324739</v>
      </c>
      <c r="G173" s="500">
        <v>3.7450587753252771</v>
      </c>
    </row>
    <row r="174" spans="1:7" ht="17.100000000000001" customHeight="1" x14ac:dyDescent="0.3">
      <c r="A174" s="497">
        <v>150000744</v>
      </c>
      <c r="B174" s="498" t="s">
        <v>1521</v>
      </c>
      <c r="C174" s="477" t="s">
        <v>223</v>
      </c>
      <c r="D174" s="499">
        <v>4</v>
      </c>
      <c r="E174" s="500">
        <v>5.5829425561848733</v>
      </c>
      <c r="F174" s="500">
        <v>5.5829425561848733</v>
      </c>
      <c r="G174" s="500">
        <v>5.0687000046261232</v>
      </c>
    </row>
    <row r="175" spans="1:7" ht="17.100000000000001" customHeight="1" x14ac:dyDescent="0.3">
      <c r="A175" s="497">
        <v>150000745</v>
      </c>
      <c r="B175" s="498" t="s">
        <v>1524</v>
      </c>
      <c r="C175" s="477" t="s">
        <v>133</v>
      </c>
      <c r="D175" s="499">
        <v>1</v>
      </c>
      <c r="E175" s="500">
        <v>1.5500580569100968</v>
      </c>
      <c r="F175" s="500"/>
      <c r="G175" s="500">
        <v>1.5500580569100968</v>
      </c>
    </row>
    <row r="176" spans="1:7" ht="17.100000000000001" customHeight="1" x14ac:dyDescent="0.3">
      <c r="A176" s="497">
        <v>150000750</v>
      </c>
      <c r="B176" s="498" t="s">
        <v>1505</v>
      </c>
      <c r="C176" s="477" t="s">
        <v>129</v>
      </c>
      <c r="D176" s="499">
        <v>1</v>
      </c>
      <c r="E176" s="500">
        <v>1.9844166737057194</v>
      </c>
      <c r="F176" s="500"/>
      <c r="G176" s="500">
        <v>1.9844166737057194</v>
      </c>
    </row>
    <row r="177" spans="1:7" ht="17.100000000000001" customHeight="1" x14ac:dyDescent="0.3">
      <c r="A177" s="497">
        <v>150000751</v>
      </c>
      <c r="B177" s="498" t="s">
        <v>1506</v>
      </c>
      <c r="C177" s="477" t="s">
        <v>130</v>
      </c>
      <c r="D177" s="499">
        <v>1</v>
      </c>
      <c r="E177" s="500">
        <v>1.7706663792811317</v>
      </c>
      <c r="F177" s="500"/>
      <c r="G177" s="500">
        <v>1.7706663792811317</v>
      </c>
    </row>
    <row r="178" spans="1:7" ht="17.100000000000001" customHeight="1" x14ac:dyDescent="0.3">
      <c r="A178" s="497">
        <v>150000752</v>
      </c>
      <c r="B178" s="498" t="s">
        <v>1507</v>
      </c>
      <c r="C178" s="477" t="s">
        <v>386</v>
      </c>
      <c r="D178" s="499">
        <v>9</v>
      </c>
      <c r="E178" s="500">
        <v>6.1147289173784554</v>
      </c>
      <c r="F178" s="500">
        <v>7.6627541647294617</v>
      </c>
      <c r="G178" s="500">
        <v>4.8161420196182156</v>
      </c>
    </row>
    <row r="179" spans="1:7" ht="17.100000000000001" customHeight="1" x14ac:dyDescent="0.3">
      <c r="A179" s="497">
        <v>150000753</v>
      </c>
      <c r="B179" s="498" t="s">
        <v>1169</v>
      </c>
      <c r="C179" s="477" t="s">
        <v>239</v>
      </c>
      <c r="D179" s="499">
        <v>5</v>
      </c>
      <c r="E179" s="500">
        <v>5.65630394841358</v>
      </c>
      <c r="F179" s="500">
        <v>5.65630394841358</v>
      </c>
      <c r="G179" s="500">
        <v>4.8573719650353837</v>
      </c>
    </row>
    <row r="180" spans="1:7" ht="17.100000000000001" customHeight="1" x14ac:dyDescent="0.3">
      <c r="A180" s="497">
        <v>150000754</v>
      </c>
      <c r="B180" s="498" t="s">
        <v>1170</v>
      </c>
      <c r="C180" s="477" t="s">
        <v>240</v>
      </c>
      <c r="D180" s="499">
        <v>5</v>
      </c>
      <c r="E180" s="500">
        <v>6.1299571249096054</v>
      </c>
      <c r="F180" s="500">
        <v>6.1299571249096054</v>
      </c>
      <c r="G180" s="500">
        <v>5.5157034613044331</v>
      </c>
    </row>
    <row r="181" spans="1:7" ht="17.100000000000001" customHeight="1" x14ac:dyDescent="0.3">
      <c r="A181" s="497">
        <v>150000758</v>
      </c>
      <c r="B181" s="498" t="s">
        <v>1509</v>
      </c>
      <c r="C181" s="477" t="s">
        <v>388</v>
      </c>
      <c r="D181" s="499">
        <v>9</v>
      </c>
      <c r="E181" s="500">
        <v>5.6783670549528935</v>
      </c>
      <c r="F181" s="500">
        <v>7.4045391561487488</v>
      </c>
      <c r="G181" s="500">
        <v>4.7961480039910986</v>
      </c>
    </row>
    <row r="182" spans="1:7" ht="17.100000000000001" customHeight="1" x14ac:dyDescent="0.3">
      <c r="A182" s="497">
        <v>150000759</v>
      </c>
      <c r="B182" s="498" t="s">
        <v>1510</v>
      </c>
      <c r="C182" s="477" t="s">
        <v>389</v>
      </c>
      <c r="D182" s="499">
        <v>9</v>
      </c>
      <c r="E182" s="500">
        <v>5.7222200775467051</v>
      </c>
      <c r="F182" s="500">
        <v>7.6428375702846045</v>
      </c>
      <c r="G182" s="500">
        <v>5.1367542031353928</v>
      </c>
    </row>
    <row r="183" spans="1:7" ht="17.100000000000001" customHeight="1" x14ac:dyDescent="0.3">
      <c r="A183" s="497">
        <v>150000760</v>
      </c>
      <c r="B183" s="498" t="s">
        <v>1508</v>
      </c>
      <c r="C183" s="477" t="s">
        <v>387</v>
      </c>
      <c r="D183" s="499">
        <v>9</v>
      </c>
      <c r="E183" s="500">
        <v>5.7553237519541813</v>
      </c>
      <c r="F183" s="500">
        <v>6.975985510146641</v>
      </c>
      <c r="G183" s="500">
        <v>4.6123696798518656</v>
      </c>
    </row>
    <row r="184" spans="1:7" ht="17.100000000000001" customHeight="1" x14ac:dyDescent="0.3">
      <c r="A184" s="497">
        <v>150000761</v>
      </c>
      <c r="B184" s="498" t="s">
        <v>1511</v>
      </c>
      <c r="C184" s="477" t="s">
        <v>390</v>
      </c>
      <c r="D184" s="499">
        <v>9</v>
      </c>
      <c r="E184" s="500">
        <v>5.0613510014502827</v>
      </c>
      <c r="F184" s="500">
        <v>6.1907993480077117</v>
      </c>
      <c r="G184" s="500">
        <v>4.3181934991117972</v>
      </c>
    </row>
    <row r="185" spans="1:7" ht="17.100000000000001" customHeight="1" x14ac:dyDescent="0.3">
      <c r="A185" s="497">
        <v>150000762</v>
      </c>
      <c r="B185" s="498" t="s">
        <v>1512</v>
      </c>
      <c r="C185" s="477" t="s">
        <v>391</v>
      </c>
      <c r="D185" s="499">
        <v>9</v>
      </c>
      <c r="E185" s="500">
        <v>5.149648230635222</v>
      </c>
      <c r="F185" s="500">
        <v>5.9258935229594369</v>
      </c>
      <c r="G185" s="500">
        <v>4.3143303011559286</v>
      </c>
    </row>
    <row r="186" spans="1:7" ht="17.100000000000001" customHeight="1" x14ac:dyDescent="0.3">
      <c r="A186" s="497">
        <v>150000763</v>
      </c>
      <c r="B186" s="498" t="s">
        <v>1359</v>
      </c>
      <c r="C186" s="477" t="s">
        <v>117</v>
      </c>
      <c r="D186" s="499">
        <v>1</v>
      </c>
      <c r="E186" s="500">
        <v>1.6170674728926762</v>
      </c>
      <c r="F186" s="500"/>
      <c r="G186" s="500">
        <v>1.6170674728926762</v>
      </c>
    </row>
    <row r="187" spans="1:7" ht="17.100000000000001" customHeight="1" x14ac:dyDescent="0.3">
      <c r="A187" s="497">
        <v>150000764</v>
      </c>
      <c r="B187" s="498" t="s">
        <v>1360</v>
      </c>
      <c r="C187" s="477" t="s">
        <v>118</v>
      </c>
      <c r="D187" s="499">
        <v>1</v>
      </c>
      <c r="E187" s="500">
        <v>1.5107770497353641</v>
      </c>
      <c r="F187" s="500"/>
      <c r="G187" s="500">
        <v>1.5107770497353641</v>
      </c>
    </row>
    <row r="188" spans="1:7" ht="17.100000000000001" customHeight="1" x14ac:dyDescent="0.3">
      <c r="A188" s="497">
        <v>150000765</v>
      </c>
      <c r="B188" s="498" t="s">
        <v>1363</v>
      </c>
      <c r="C188" s="477" t="s">
        <v>264</v>
      </c>
      <c r="D188" s="499">
        <v>5</v>
      </c>
      <c r="E188" s="500">
        <v>5.4903847577795872</v>
      </c>
      <c r="F188" s="500">
        <v>5.4903847577795872</v>
      </c>
      <c r="G188" s="500">
        <v>4.9122524257158977</v>
      </c>
    </row>
    <row r="189" spans="1:7" ht="17.100000000000001" customHeight="1" x14ac:dyDescent="0.3">
      <c r="A189" s="497">
        <v>150000768</v>
      </c>
      <c r="B189" s="498" t="s">
        <v>1358</v>
      </c>
      <c r="C189" s="477" t="s">
        <v>116</v>
      </c>
      <c r="D189" s="499">
        <v>1</v>
      </c>
      <c r="E189" s="500">
        <v>1.945296198552116</v>
      </c>
      <c r="F189" s="500"/>
      <c r="G189" s="500">
        <v>1.945296198552116</v>
      </c>
    </row>
    <row r="190" spans="1:7" ht="17.100000000000001" customHeight="1" x14ac:dyDescent="0.3">
      <c r="A190" s="497">
        <v>150000770</v>
      </c>
      <c r="B190" s="498" t="s">
        <v>1361</v>
      </c>
      <c r="C190" s="477" t="s">
        <v>119</v>
      </c>
      <c r="D190" s="499">
        <v>1</v>
      </c>
      <c r="E190" s="500">
        <v>1.8163362842817203</v>
      </c>
      <c r="F190" s="500"/>
      <c r="G190" s="500">
        <v>1.8163362842817203</v>
      </c>
    </row>
    <row r="191" spans="1:7" ht="17.100000000000001" customHeight="1" x14ac:dyDescent="0.3">
      <c r="A191" s="497">
        <v>150000777</v>
      </c>
      <c r="B191" s="498" t="s">
        <v>1362</v>
      </c>
      <c r="C191" s="477" t="s">
        <v>168</v>
      </c>
      <c r="D191" s="499">
        <v>2</v>
      </c>
      <c r="E191" s="500">
        <v>4.6599149060805107</v>
      </c>
      <c r="F191" s="500">
        <v>4.6599149060805107</v>
      </c>
      <c r="G191" s="500">
        <v>3.9898510872216142</v>
      </c>
    </row>
    <row r="192" spans="1:7" ht="17.100000000000001" customHeight="1" x14ac:dyDescent="0.3">
      <c r="A192" s="497">
        <v>150000778</v>
      </c>
      <c r="B192" s="498" t="s">
        <v>1356</v>
      </c>
      <c r="C192" s="477" t="s">
        <v>214</v>
      </c>
      <c r="D192" s="499">
        <v>4</v>
      </c>
      <c r="E192" s="500">
        <v>5.3368116535638697</v>
      </c>
      <c r="F192" s="500">
        <v>5.3368116535638697</v>
      </c>
      <c r="G192" s="500">
        <v>4.8009832408318216</v>
      </c>
    </row>
    <row r="193" spans="1:7" ht="17.100000000000001" customHeight="1" x14ac:dyDescent="0.3">
      <c r="A193" s="497">
        <v>150000781</v>
      </c>
      <c r="B193" s="498" t="s">
        <v>1173</v>
      </c>
      <c r="C193" s="477" t="s">
        <v>33</v>
      </c>
      <c r="D193" s="499">
        <v>1</v>
      </c>
      <c r="E193" s="500">
        <v>1.6614874811389189</v>
      </c>
      <c r="F193" s="500"/>
      <c r="G193" s="500">
        <v>1.6614874811389189</v>
      </c>
    </row>
    <row r="194" spans="1:7" ht="17.100000000000001" customHeight="1" x14ac:dyDescent="0.3">
      <c r="A194" s="497">
        <v>150000795</v>
      </c>
      <c r="B194" s="498" t="s">
        <v>1527</v>
      </c>
      <c r="C194" s="477" t="s">
        <v>291</v>
      </c>
      <c r="D194" s="499">
        <v>5</v>
      </c>
      <c r="E194" s="500">
        <v>5.674494394366671</v>
      </c>
      <c r="F194" s="500">
        <v>5.674494394366671</v>
      </c>
      <c r="G194" s="500">
        <v>5.0270406300424497</v>
      </c>
    </row>
    <row r="195" spans="1:7" ht="17.100000000000001" customHeight="1" x14ac:dyDescent="0.3">
      <c r="A195" s="497">
        <v>150000796</v>
      </c>
      <c r="B195" s="498" t="s">
        <v>1316</v>
      </c>
      <c r="C195" s="477" t="s">
        <v>98</v>
      </c>
      <c r="D195" s="499">
        <v>1</v>
      </c>
      <c r="E195" s="500">
        <v>1.440168815243601</v>
      </c>
      <c r="F195" s="500"/>
      <c r="G195" s="500">
        <v>1.440168815243601</v>
      </c>
    </row>
    <row r="196" spans="1:7" ht="17.100000000000001" customHeight="1" x14ac:dyDescent="0.3">
      <c r="A196" s="497">
        <v>150000797</v>
      </c>
      <c r="B196" s="498" t="s">
        <v>1562</v>
      </c>
      <c r="C196" s="477" t="s">
        <v>231</v>
      </c>
      <c r="D196" s="499">
        <v>4</v>
      </c>
      <c r="E196" s="500">
        <v>5.7036347198296253</v>
      </c>
      <c r="F196" s="500">
        <v>5.7036347198296253</v>
      </c>
      <c r="G196" s="500">
        <v>4.5135526400458943</v>
      </c>
    </row>
    <row r="197" spans="1:7" ht="17.100000000000001" customHeight="1" x14ac:dyDescent="0.3">
      <c r="A197" s="497">
        <v>150000798</v>
      </c>
      <c r="B197" s="498" t="s">
        <v>1539</v>
      </c>
      <c r="C197" s="477" t="s">
        <v>225</v>
      </c>
      <c r="D197" s="499">
        <v>4</v>
      </c>
      <c r="E197" s="500">
        <v>5.2752042217648372</v>
      </c>
      <c r="F197" s="500">
        <v>5.2752042217648372</v>
      </c>
      <c r="G197" s="500">
        <v>4.3538781191186189</v>
      </c>
    </row>
    <row r="198" spans="1:7" ht="17.100000000000001" customHeight="1" x14ac:dyDescent="0.3">
      <c r="A198" s="497">
        <v>150000799</v>
      </c>
      <c r="B198" s="498" t="s">
        <v>1542</v>
      </c>
      <c r="C198" s="477" t="s">
        <v>292</v>
      </c>
      <c r="D198" s="499">
        <v>5</v>
      </c>
      <c r="E198" s="500">
        <v>3.7917691659095452</v>
      </c>
      <c r="F198" s="500">
        <v>3.7917691659095452</v>
      </c>
      <c r="G198" s="500">
        <v>3.1954646446723847</v>
      </c>
    </row>
    <row r="199" spans="1:7" ht="17.100000000000001" customHeight="1" x14ac:dyDescent="0.3">
      <c r="A199" s="497">
        <v>150000800</v>
      </c>
      <c r="B199" s="498" t="s">
        <v>1544</v>
      </c>
      <c r="C199" s="477" t="s">
        <v>226</v>
      </c>
      <c r="D199" s="499">
        <v>4</v>
      </c>
      <c r="E199" s="500">
        <v>4.8361515500994212</v>
      </c>
      <c r="F199" s="500">
        <v>4.8361515500994212</v>
      </c>
      <c r="G199" s="500">
        <v>4.1680281540345065</v>
      </c>
    </row>
    <row r="200" spans="1:7" ht="17.100000000000001" customHeight="1" x14ac:dyDescent="0.3">
      <c r="A200" s="497">
        <v>150000801</v>
      </c>
      <c r="B200" s="498" t="s">
        <v>1545</v>
      </c>
      <c r="C200" s="477" t="s">
        <v>294</v>
      </c>
      <c r="D200" s="499">
        <v>5</v>
      </c>
      <c r="E200" s="500">
        <v>4.8145216258326915</v>
      </c>
      <c r="F200" s="500">
        <v>4.8145216258326915</v>
      </c>
      <c r="G200" s="500">
        <v>4.2464994781914625</v>
      </c>
    </row>
    <row r="201" spans="1:7" ht="17.100000000000001" customHeight="1" x14ac:dyDescent="0.3">
      <c r="A201" s="497">
        <v>150000802</v>
      </c>
      <c r="B201" s="498" t="s">
        <v>1546</v>
      </c>
      <c r="C201" s="477" t="s">
        <v>295</v>
      </c>
      <c r="D201" s="499">
        <v>5</v>
      </c>
      <c r="E201" s="500">
        <v>5.1628425537870744</v>
      </c>
      <c r="F201" s="500">
        <v>5.1628425537870744</v>
      </c>
      <c r="G201" s="500">
        <v>4.6165674077947267</v>
      </c>
    </row>
    <row r="202" spans="1:7" ht="17.100000000000001" customHeight="1" x14ac:dyDescent="0.3">
      <c r="A202" s="497">
        <v>150000803</v>
      </c>
      <c r="B202" s="498" t="s">
        <v>1547</v>
      </c>
      <c r="C202" s="477" t="s">
        <v>227</v>
      </c>
      <c r="D202" s="499">
        <v>4</v>
      </c>
      <c r="E202" s="500">
        <v>4.0870949915294226</v>
      </c>
      <c r="F202" s="500">
        <v>4.0870949915294226</v>
      </c>
      <c r="G202" s="500">
        <v>3.2119647868117376</v>
      </c>
    </row>
    <row r="203" spans="1:7" ht="17.100000000000001" customHeight="1" x14ac:dyDescent="0.3">
      <c r="A203" s="497">
        <v>150000805</v>
      </c>
      <c r="B203" s="498" t="s">
        <v>1548</v>
      </c>
      <c r="C203" s="477" t="s">
        <v>296</v>
      </c>
      <c r="D203" s="499">
        <v>5</v>
      </c>
      <c r="E203" s="500">
        <v>4.4606305881309396</v>
      </c>
      <c r="F203" s="500">
        <v>4.4606305881309396</v>
      </c>
      <c r="G203" s="500">
        <v>3.8434720195423342</v>
      </c>
    </row>
    <row r="204" spans="1:7" ht="17.100000000000001" customHeight="1" x14ac:dyDescent="0.3">
      <c r="A204" s="497">
        <v>150000806</v>
      </c>
      <c r="B204" s="498" t="s">
        <v>1549</v>
      </c>
      <c r="C204" s="477" t="s">
        <v>228</v>
      </c>
      <c r="D204" s="499">
        <v>4</v>
      </c>
      <c r="E204" s="500">
        <v>4.903809189333252</v>
      </c>
      <c r="F204" s="500">
        <v>4.903809189333252</v>
      </c>
      <c r="G204" s="500">
        <v>4.1500698164682417</v>
      </c>
    </row>
    <row r="205" spans="1:7" ht="17.100000000000001" customHeight="1" x14ac:dyDescent="0.3">
      <c r="A205" s="497">
        <v>150000807</v>
      </c>
      <c r="B205" s="498" t="s">
        <v>1550</v>
      </c>
      <c r="C205" s="477" t="s">
        <v>187</v>
      </c>
      <c r="D205" s="499">
        <v>2</v>
      </c>
      <c r="E205" s="500">
        <v>5.732574189327484</v>
      </c>
      <c r="F205" s="500">
        <v>5.732574189327484</v>
      </c>
      <c r="G205" s="500">
        <v>4.5760266102731739</v>
      </c>
    </row>
    <row r="206" spans="1:7" ht="17.100000000000001" customHeight="1" x14ac:dyDescent="0.3">
      <c r="A206" s="497">
        <v>150000808</v>
      </c>
      <c r="B206" s="498" t="s">
        <v>1551</v>
      </c>
      <c r="C206" s="477" t="s">
        <v>297</v>
      </c>
      <c r="D206" s="499">
        <v>5</v>
      </c>
      <c r="E206" s="500">
        <v>4.7613040774596502</v>
      </c>
      <c r="F206" s="500">
        <v>4.7613040774596502</v>
      </c>
      <c r="G206" s="500">
        <v>4.2349150675195375</v>
      </c>
    </row>
    <row r="207" spans="1:7" ht="17.100000000000001" customHeight="1" x14ac:dyDescent="0.3">
      <c r="A207" s="497">
        <v>150000809</v>
      </c>
      <c r="B207" s="498" t="s">
        <v>1553</v>
      </c>
      <c r="C207" s="477" t="s">
        <v>299</v>
      </c>
      <c r="D207" s="499">
        <v>5</v>
      </c>
      <c r="E207" s="500">
        <v>5.1171917827416857</v>
      </c>
      <c r="F207" s="500">
        <v>5.1171917827416857</v>
      </c>
      <c r="G207" s="500">
        <v>4.6468125290441584</v>
      </c>
    </row>
    <row r="208" spans="1:7" ht="17.100000000000001" customHeight="1" x14ac:dyDescent="0.3">
      <c r="A208" s="497">
        <v>150000810</v>
      </c>
      <c r="B208" s="498" t="s">
        <v>1554</v>
      </c>
      <c r="C208" s="477" t="s">
        <v>300</v>
      </c>
      <c r="D208" s="499">
        <v>5</v>
      </c>
      <c r="E208" s="500">
        <v>4.712047123641339</v>
      </c>
      <c r="F208" s="500">
        <v>4.712047123641339</v>
      </c>
      <c r="G208" s="500">
        <v>4.1965383325561358</v>
      </c>
    </row>
    <row r="209" spans="1:7" ht="17.100000000000001" customHeight="1" x14ac:dyDescent="0.3">
      <c r="A209" s="497">
        <v>150000811</v>
      </c>
      <c r="B209" s="498" t="s">
        <v>1555</v>
      </c>
      <c r="C209" s="477" t="s">
        <v>301</v>
      </c>
      <c r="D209" s="499">
        <v>5</v>
      </c>
      <c r="E209" s="500">
        <v>5.7061555803966506</v>
      </c>
      <c r="F209" s="500">
        <v>5.7061555803966506</v>
      </c>
      <c r="G209" s="500">
        <v>5.1599262939453032</v>
      </c>
    </row>
    <row r="210" spans="1:7" ht="17.100000000000001" customHeight="1" x14ac:dyDescent="0.3">
      <c r="A210" s="497">
        <v>150000812</v>
      </c>
      <c r="B210" s="498" t="s">
        <v>1556</v>
      </c>
      <c r="C210" s="477" t="s">
        <v>302</v>
      </c>
      <c r="D210" s="499">
        <v>5</v>
      </c>
      <c r="E210" s="500">
        <v>4.716661081670888</v>
      </c>
      <c r="F210" s="500">
        <v>4.716661081670888</v>
      </c>
      <c r="G210" s="500">
        <v>4.1948833472676768</v>
      </c>
    </row>
    <row r="211" spans="1:7" ht="17.100000000000001" customHeight="1" x14ac:dyDescent="0.3">
      <c r="A211" s="497">
        <v>150000813</v>
      </c>
      <c r="B211" s="498" t="s">
        <v>1558</v>
      </c>
      <c r="C211" s="477" t="s">
        <v>188</v>
      </c>
      <c r="D211" s="499">
        <v>2</v>
      </c>
      <c r="E211" s="500">
        <v>4.7742846238930143</v>
      </c>
      <c r="F211" s="500">
        <v>4.7742846238930143</v>
      </c>
      <c r="G211" s="500">
        <v>4.0822833867114667</v>
      </c>
    </row>
    <row r="212" spans="1:7" ht="17.100000000000001" customHeight="1" x14ac:dyDescent="0.3">
      <c r="A212" s="497">
        <v>150000814</v>
      </c>
      <c r="B212" s="498" t="s">
        <v>1559</v>
      </c>
      <c r="C212" s="477" t="s">
        <v>304</v>
      </c>
      <c r="D212" s="499">
        <v>5</v>
      </c>
      <c r="E212" s="500">
        <v>4.8274624107530091</v>
      </c>
      <c r="F212" s="500">
        <v>4.8274624107530091</v>
      </c>
      <c r="G212" s="500">
        <v>4.3188564253450021</v>
      </c>
    </row>
    <row r="213" spans="1:7" ht="17.100000000000001" customHeight="1" x14ac:dyDescent="0.3">
      <c r="A213" s="497">
        <v>150000816</v>
      </c>
      <c r="B213" s="498" t="s">
        <v>1560</v>
      </c>
      <c r="C213" s="477" t="s">
        <v>229</v>
      </c>
      <c r="D213" s="499">
        <v>4</v>
      </c>
      <c r="E213" s="500">
        <v>5.5233537686495229</v>
      </c>
      <c r="F213" s="500">
        <v>5.5233537686495229</v>
      </c>
      <c r="G213" s="500">
        <v>4.8351805674947572</v>
      </c>
    </row>
    <row r="214" spans="1:7" ht="17.100000000000001" customHeight="1" x14ac:dyDescent="0.3">
      <c r="A214" s="497">
        <v>150000819</v>
      </c>
      <c r="B214" s="498" t="s">
        <v>1540</v>
      </c>
      <c r="C214" s="477" t="s">
        <v>423</v>
      </c>
      <c r="D214" s="499">
        <v>10</v>
      </c>
      <c r="E214" s="500">
        <v>5.5386908077964438</v>
      </c>
      <c r="F214" s="500">
        <v>6.7255476956885545</v>
      </c>
      <c r="G214" s="500">
        <v>4.5745983957241814</v>
      </c>
    </row>
    <row r="215" spans="1:7" ht="17.100000000000001" customHeight="1" x14ac:dyDescent="0.3">
      <c r="A215" s="497">
        <v>150000820</v>
      </c>
      <c r="B215" s="498" t="s">
        <v>1541</v>
      </c>
      <c r="C215" s="477" t="s">
        <v>394</v>
      </c>
      <c r="D215" s="499">
        <v>9</v>
      </c>
      <c r="E215" s="500">
        <v>6.6549573341133863</v>
      </c>
      <c r="F215" s="500">
        <v>8.03051213994625</v>
      </c>
      <c r="G215" s="500">
        <v>5.6622874178296785</v>
      </c>
    </row>
    <row r="216" spans="1:7" ht="17.100000000000001" customHeight="1" x14ac:dyDescent="0.3">
      <c r="A216" s="497">
        <v>150000827</v>
      </c>
      <c r="B216" s="498" t="s">
        <v>1552</v>
      </c>
      <c r="C216" s="477" t="s">
        <v>298</v>
      </c>
      <c r="D216" s="499">
        <v>5</v>
      </c>
      <c r="E216" s="500">
        <v>4.7125515217207568</v>
      </c>
      <c r="F216" s="500">
        <v>4.7125515217207568</v>
      </c>
      <c r="G216" s="500">
        <v>4.1051637053992236</v>
      </c>
    </row>
    <row r="217" spans="1:7" ht="17.100000000000001" customHeight="1" x14ac:dyDescent="0.3">
      <c r="A217" s="497">
        <v>150000828</v>
      </c>
      <c r="B217" s="498" t="s">
        <v>1557</v>
      </c>
      <c r="C217" s="477" t="s">
        <v>303</v>
      </c>
      <c r="D217" s="499">
        <v>5</v>
      </c>
      <c r="E217" s="500">
        <v>5.5923802251568073</v>
      </c>
      <c r="F217" s="500">
        <v>5.5923802251568073</v>
      </c>
      <c r="G217" s="500">
        <v>5.0369452414504492</v>
      </c>
    </row>
    <row r="218" spans="1:7" ht="17.100000000000001" customHeight="1" x14ac:dyDescent="0.3">
      <c r="A218" s="497">
        <v>150000829</v>
      </c>
      <c r="B218" s="498" t="s">
        <v>1561</v>
      </c>
      <c r="C218" s="477" t="s">
        <v>230</v>
      </c>
      <c r="D218" s="499">
        <v>4</v>
      </c>
      <c r="E218" s="500">
        <v>5.3654231187447206</v>
      </c>
      <c r="F218" s="500">
        <v>5.3654231187447206</v>
      </c>
      <c r="G218" s="500">
        <v>4.8258439438760563</v>
      </c>
    </row>
    <row r="219" spans="1:7" ht="17.100000000000001" customHeight="1" x14ac:dyDescent="0.3">
      <c r="A219" s="497">
        <v>150000830</v>
      </c>
      <c r="B219" s="498" t="s">
        <v>1543</v>
      </c>
      <c r="C219" s="477" t="s">
        <v>293</v>
      </c>
      <c r="D219" s="499">
        <v>5</v>
      </c>
      <c r="E219" s="500">
        <v>4.4507393775632353</v>
      </c>
      <c r="F219" s="500">
        <v>4.4507393775632353</v>
      </c>
      <c r="G219" s="500">
        <v>3.8401268147631495</v>
      </c>
    </row>
    <row r="220" spans="1:7" ht="17.100000000000001" customHeight="1" x14ac:dyDescent="0.3">
      <c r="A220" s="497">
        <v>150000832</v>
      </c>
      <c r="B220" s="498" t="s">
        <v>1528</v>
      </c>
      <c r="C220" s="477" t="s">
        <v>422</v>
      </c>
      <c r="D220" s="499">
        <v>10</v>
      </c>
      <c r="E220" s="500">
        <v>6.163043273014793</v>
      </c>
      <c r="F220" s="500">
        <v>7.3873026986706289</v>
      </c>
      <c r="G220" s="500">
        <v>5.0695039878876198</v>
      </c>
    </row>
    <row r="221" spans="1:7" ht="17.100000000000001" customHeight="1" x14ac:dyDescent="0.3">
      <c r="A221" s="497">
        <v>150000833</v>
      </c>
      <c r="B221" s="498" t="s">
        <v>1529</v>
      </c>
      <c r="C221" s="477" t="s">
        <v>392</v>
      </c>
      <c r="D221" s="499">
        <v>9</v>
      </c>
      <c r="E221" s="500">
        <v>5.3920382333823982</v>
      </c>
      <c r="F221" s="500">
        <v>6.7983711324661655</v>
      </c>
      <c r="G221" s="500">
        <v>4.5123446787150341</v>
      </c>
    </row>
    <row r="222" spans="1:7" ht="17.100000000000001" customHeight="1" x14ac:dyDescent="0.3">
      <c r="A222" s="497">
        <v>150000834</v>
      </c>
      <c r="B222" s="498" t="s">
        <v>1268</v>
      </c>
      <c r="C222" s="477" t="s">
        <v>79</v>
      </c>
      <c r="D222" s="499">
        <v>1</v>
      </c>
      <c r="E222" s="500">
        <v>1.7637527488085709</v>
      </c>
      <c r="F222" s="500"/>
      <c r="G222" s="500">
        <v>1.7637527488085709</v>
      </c>
    </row>
    <row r="223" spans="1:7" ht="17.100000000000001" customHeight="1" x14ac:dyDescent="0.3">
      <c r="A223" s="497">
        <v>150000835</v>
      </c>
      <c r="B223" s="498" t="s">
        <v>1536</v>
      </c>
      <c r="C223" s="477" t="s">
        <v>137</v>
      </c>
      <c r="D223" s="499">
        <v>1</v>
      </c>
      <c r="E223" s="500">
        <v>1.9248292779510208</v>
      </c>
      <c r="F223" s="500"/>
      <c r="G223" s="500">
        <v>1.9248292779510208</v>
      </c>
    </row>
    <row r="224" spans="1:7" ht="17.100000000000001" customHeight="1" x14ac:dyDescent="0.3">
      <c r="A224" s="497">
        <v>150000836</v>
      </c>
      <c r="B224" s="498" t="s">
        <v>1530</v>
      </c>
      <c r="C224" s="477" t="s">
        <v>198</v>
      </c>
      <c r="D224" s="499">
        <v>3</v>
      </c>
      <c r="E224" s="500">
        <v>7.0816261043675368</v>
      </c>
      <c r="F224" s="500">
        <v>7.0816261043675368</v>
      </c>
      <c r="G224" s="500">
        <v>6.3052884635276909</v>
      </c>
    </row>
    <row r="225" spans="1:7" ht="17.100000000000001" customHeight="1" x14ac:dyDescent="0.3">
      <c r="A225" s="497">
        <v>150000837</v>
      </c>
      <c r="B225" s="498" t="s">
        <v>1531</v>
      </c>
      <c r="C225" s="477" t="s">
        <v>199</v>
      </c>
      <c r="D225" s="499">
        <v>3</v>
      </c>
      <c r="E225" s="500">
        <v>5.6693432290313046</v>
      </c>
      <c r="F225" s="500">
        <v>5.6693432290313046</v>
      </c>
      <c r="G225" s="500">
        <v>4.8314762905949848</v>
      </c>
    </row>
    <row r="226" spans="1:7" ht="17.100000000000001" customHeight="1" x14ac:dyDescent="0.3">
      <c r="A226" s="497">
        <v>150000839</v>
      </c>
      <c r="B226" s="498" t="s">
        <v>1532</v>
      </c>
      <c r="C226" s="477" t="s">
        <v>135</v>
      </c>
      <c r="D226" s="499">
        <v>1</v>
      </c>
      <c r="E226" s="500">
        <v>2.4174996594691889</v>
      </c>
      <c r="F226" s="500"/>
      <c r="G226" s="500">
        <v>2.4174996594691889</v>
      </c>
    </row>
    <row r="227" spans="1:7" ht="17.100000000000001" customHeight="1" x14ac:dyDescent="0.3">
      <c r="A227" s="497">
        <v>150000840</v>
      </c>
      <c r="B227" s="498" t="s">
        <v>1533</v>
      </c>
      <c r="C227" s="477" t="s">
        <v>393</v>
      </c>
      <c r="D227" s="499">
        <v>9</v>
      </c>
      <c r="E227" s="500">
        <v>5.9691141416610618</v>
      </c>
      <c r="F227" s="500">
        <v>7.0807264587919336</v>
      </c>
      <c r="G227" s="500">
        <v>5.0847417551530754</v>
      </c>
    </row>
    <row r="228" spans="1:7" ht="17.100000000000001" customHeight="1" x14ac:dyDescent="0.3">
      <c r="A228" s="497">
        <v>150000841</v>
      </c>
      <c r="B228" s="498" t="s">
        <v>1534</v>
      </c>
      <c r="C228" s="477" t="s">
        <v>136</v>
      </c>
      <c r="D228" s="499">
        <v>1</v>
      </c>
      <c r="E228" s="500">
        <v>1.7513836521904724</v>
      </c>
      <c r="F228" s="500"/>
      <c r="G228" s="500">
        <v>1.7513836521904724</v>
      </c>
    </row>
    <row r="229" spans="1:7" ht="17.100000000000001" customHeight="1" x14ac:dyDescent="0.3">
      <c r="A229" s="497">
        <v>150000845</v>
      </c>
      <c r="B229" s="498" t="s">
        <v>1537</v>
      </c>
      <c r="C229" s="477" t="s">
        <v>138</v>
      </c>
      <c r="D229" s="499">
        <v>1</v>
      </c>
      <c r="E229" s="500">
        <v>1.8455457071186456</v>
      </c>
      <c r="F229" s="500"/>
      <c r="G229" s="500">
        <v>1.8455457071186456</v>
      </c>
    </row>
    <row r="230" spans="1:7" ht="17.100000000000001" customHeight="1" x14ac:dyDescent="0.3">
      <c r="A230" s="497">
        <v>150000846</v>
      </c>
      <c r="B230" s="498" t="s">
        <v>1538</v>
      </c>
      <c r="C230" s="477" t="s">
        <v>139</v>
      </c>
      <c r="D230" s="499">
        <v>1</v>
      </c>
      <c r="E230" s="500">
        <v>1.8559264279300138</v>
      </c>
      <c r="F230" s="500"/>
      <c r="G230" s="500">
        <v>1.8559264279300138</v>
      </c>
    </row>
    <row r="231" spans="1:7" ht="17.100000000000001" customHeight="1" x14ac:dyDescent="0.3">
      <c r="A231" s="497">
        <v>150000848</v>
      </c>
      <c r="B231" s="498" t="s">
        <v>1535</v>
      </c>
      <c r="C231" s="477" t="s">
        <v>186</v>
      </c>
      <c r="D231" s="499">
        <v>2</v>
      </c>
      <c r="E231" s="500">
        <v>6.4296295107265111</v>
      </c>
      <c r="F231" s="500">
        <v>6.4296295107265111</v>
      </c>
      <c r="G231" s="500">
        <v>5.5283194960805897</v>
      </c>
    </row>
    <row r="232" spans="1:7" ht="17.100000000000001" customHeight="1" x14ac:dyDescent="0.3">
      <c r="A232" s="497">
        <v>150000851</v>
      </c>
      <c r="B232" s="498" t="s">
        <v>1526</v>
      </c>
      <c r="C232" s="477" t="s">
        <v>134</v>
      </c>
      <c r="D232" s="499">
        <v>1</v>
      </c>
      <c r="E232" s="500">
        <v>1.40709386586791</v>
      </c>
      <c r="F232" s="500"/>
      <c r="G232" s="500">
        <v>1.40709386586791</v>
      </c>
    </row>
    <row r="233" spans="1:7" ht="17.100000000000001" customHeight="1" x14ac:dyDescent="0.3">
      <c r="A233" s="497">
        <v>150000861</v>
      </c>
      <c r="B233" s="498" t="s">
        <v>1421</v>
      </c>
      <c r="C233" s="477" t="s">
        <v>232</v>
      </c>
      <c r="D233" s="499">
        <v>4</v>
      </c>
      <c r="E233" s="500">
        <v>5.7206388233162944</v>
      </c>
      <c r="F233" s="500">
        <v>5.7206388233162944</v>
      </c>
      <c r="G233" s="500">
        <v>4.7473600296969378</v>
      </c>
    </row>
    <row r="234" spans="1:7" ht="17.100000000000001" customHeight="1" x14ac:dyDescent="0.3">
      <c r="A234" s="497">
        <v>150000862</v>
      </c>
      <c r="B234" s="498" t="s">
        <v>1423</v>
      </c>
      <c r="C234" s="477" t="s">
        <v>234</v>
      </c>
      <c r="D234" s="499">
        <v>4</v>
      </c>
      <c r="E234" s="500">
        <v>5.7042060920261077</v>
      </c>
      <c r="F234" s="500">
        <v>5.7042060920261077</v>
      </c>
      <c r="G234" s="500">
        <v>4.820415314860254</v>
      </c>
    </row>
    <row r="235" spans="1:7" ht="17.100000000000001" customHeight="1" x14ac:dyDescent="0.3">
      <c r="A235" s="497">
        <v>150000863</v>
      </c>
      <c r="B235" s="498" t="s">
        <v>1424</v>
      </c>
      <c r="C235" s="477" t="s">
        <v>235</v>
      </c>
      <c r="D235" s="499">
        <v>4</v>
      </c>
      <c r="E235" s="500">
        <v>6.5461162390413481</v>
      </c>
      <c r="F235" s="500">
        <v>6.5461162390413481</v>
      </c>
      <c r="G235" s="500">
        <v>5.2956631321030141</v>
      </c>
    </row>
    <row r="236" spans="1:7" ht="17.100000000000001" customHeight="1" x14ac:dyDescent="0.3">
      <c r="A236" s="497">
        <v>150000864</v>
      </c>
      <c r="B236" s="498" t="s">
        <v>1425</v>
      </c>
      <c r="C236" s="477" t="s">
        <v>200</v>
      </c>
      <c r="D236" s="499">
        <v>3</v>
      </c>
      <c r="E236" s="500">
        <v>6.0799727871404237</v>
      </c>
      <c r="F236" s="500">
        <v>6.0799727871404237</v>
      </c>
      <c r="G236" s="500">
        <v>4.7386799655169565</v>
      </c>
    </row>
    <row r="237" spans="1:7" ht="17.100000000000001" customHeight="1" x14ac:dyDescent="0.3">
      <c r="A237" s="497">
        <v>150000865</v>
      </c>
      <c r="B237" s="498" t="s">
        <v>1426</v>
      </c>
      <c r="C237" s="477" t="s">
        <v>305</v>
      </c>
      <c r="D237" s="499">
        <v>5</v>
      </c>
      <c r="E237" s="500">
        <v>5.2089896575112862</v>
      </c>
      <c r="F237" s="500">
        <v>5.2089896575112862</v>
      </c>
      <c r="G237" s="500">
        <v>4.3623531756012008</v>
      </c>
    </row>
    <row r="238" spans="1:7" ht="17.100000000000001" customHeight="1" x14ac:dyDescent="0.3">
      <c r="A238" s="497">
        <v>150000866</v>
      </c>
      <c r="B238" s="498" t="s">
        <v>1429</v>
      </c>
      <c r="C238" s="477" t="s">
        <v>308</v>
      </c>
      <c r="D238" s="499">
        <v>5</v>
      </c>
      <c r="E238" s="500">
        <v>5.1772511448632956</v>
      </c>
      <c r="F238" s="500">
        <v>5.1772511448632956</v>
      </c>
      <c r="G238" s="500">
        <v>4.527127533153835</v>
      </c>
    </row>
    <row r="239" spans="1:7" ht="17.100000000000001" customHeight="1" x14ac:dyDescent="0.3">
      <c r="A239" s="497">
        <v>150000867</v>
      </c>
      <c r="B239" s="498" t="s">
        <v>1430</v>
      </c>
      <c r="C239" s="477" t="s">
        <v>309</v>
      </c>
      <c r="D239" s="499">
        <v>5</v>
      </c>
      <c r="E239" s="500">
        <v>4.3275805873427178</v>
      </c>
      <c r="F239" s="500">
        <v>4.3275805873427178</v>
      </c>
      <c r="G239" s="500">
        <v>3.7072582943394874</v>
      </c>
    </row>
    <row r="240" spans="1:7" ht="17.100000000000001" customHeight="1" x14ac:dyDescent="0.3">
      <c r="A240" s="497">
        <v>150000868</v>
      </c>
      <c r="B240" s="498" t="s">
        <v>1431</v>
      </c>
      <c r="C240" s="477" t="s">
        <v>310</v>
      </c>
      <c r="D240" s="499">
        <v>5</v>
      </c>
      <c r="E240" s="500">
        <v>5.4740029818249178</v>
      </c>
      <c r="F240" s="500">
        <v>5.4740029818249178</v>
      </c>
      <c r="G240" s="500">
        <v>4.8677808051616198</v>
      </c>
    </row>
    <row r="241" spans="1:7" ht="17.100000000000001" customHeight="1" x14ac:dyDescent="0.3">
      <c r="A241" s="497">
        <v>150000869</v>
      </c>
      <c r="B241" s="498" t="s">
        <v>1432</v>
      </c>
      <c r="C241" s="477" t="s">
        <v>311</v>
      </c>
      <c r="D241" s="499">
        <v>5</v>
      </c>
      <c r="E241" s="500">
        <v>5.4989569093650967</v>
      </c>
      <c r="F241" s="500">
        <v>5.4989569093650967</v>
      </c>
      <c r="G241" s="500">
        <v>4.7254886619596475</v>
      </c>
    </row>
    <row r="242" spans="1:7" ht="17.100000000000001" customHeight="1" x14ac:dyDescent="0.3">
      <c r="A242" s="497">
        <v>150000871</v>
      </c>
      <c r="B242" s="498" t="s">
        <v>1434</v>
      </c>
      <c r="C242" s="477" t="s">
        <v>140</v>
      </c>
      <c r="D242" s="499">
        <v>1</v>
      </c>
      <c r="E242" s="500">
        <v>1.6887191271692688</v>
      </c>
      <c r="F242" s="500"/>
      <c r="G242" s="500">
        <v>1.6887191271692688</v>
      </c>
    </row>
    <row r="243" spans="1:7" ht="17.100000000000001" customHeight="1" x14ac:dyDescent="0.3">
      <c r="A243" s="497">
        <v>150000872</v>
      </c>
      <c r="B243" s="498" t="s">
        <v>1422</v>
      </c>
      <c r="C243" s="477" t="s">
        <v>233</v>
      </c>
      <c r="D243" s="499">
        <v>4</v>
      </c>
      <c r="E243" s="500">
        <v>6.2745301597153826</v>
      </c>
      <c r="F243" s="500">
        <v>6.2745301597153826</v>
      </c>
      <c r="G243" s="500">
        <v>5.5385040171360194</v>
      </c>
    </row>
    <row r="244" spans="1:7" ht="17.100000000000001" customHeight="1" x14ac:dyDescent="0.3">
      <c r="A244" s="497">
        <v>150000873</v>
      </c>
      <c r="B244" s="498" t="s">
        <v>1427</v>
      </c>
      <c r="C244" s="477" t="s">
        <v>306</v>
      </c>
      <c r="D244" s="499">
        <v>5</v>
      </c>
      <c r="E244" s="500">
        <v>5.3904882433774226</v>
      </c>
      <c r="F244" s="500">
        <v>5.3904882433774226</v>
      </c>
      <c r="G244" s="500">
        <v>4.8454663973447607</v>
      </c>
    </row>
    <row r="245" spans="1:7" ht="17.100000000000001" customHeight="1" x14ac:dyDescent="0.3">
      <c r="A245" s="497">
        <v>150000874</v>
      </c>
      <c r="B245" s="498" t="s">
        <v>1428</v>
      </c>
      <c r="C245" s="477" t="s">
        <v>307</v>
      </c>
      <c r="D245" s="499">
        <v>5</v>
      </c>
      <c r="E245" s="500">
        <v>6.1917479549284433</v>
      </c>
      <c r="F245" s="500">
        <v>6.1917479549284433</v>
      </c>
      <c r="G245" s="500">
        <v>5.2842236348845537</v>
      </c>
    </row>
    <row r="246" spans="1:7" ht="17.100000000000001" customHeight="1" x14ac:dyDescent="0.3">
      <c r="A246" s="497">
        <v>150000875</v>
      </c>
      <c r="B246" s="498" t="s">
        <v>1433</v>
      </c>
      <c r="C246" s="477" t="s">
        <v>312</v>
      </c>
      <c r="D246" s="499">
        <v>5</v>
      </c>
      <c r="E246" s="500">
        <v>5.0739162843374102</v>
      </c>
      <c r="F246" s="500">
        <v>5.0739162843374102</v>
      </c>
      <c r="G246" s="500">
        <v>4.5259470896596294</v>
      </c>
    </row>
    <row r="247" spans="1:7" ht="17.100000000000001" customHeight="1" x14ac:dyDescent="0.3">
      <c r="A247" s="497">
        <v>150000878</v>
      </c>
      <c r="B247" s="498" t="s">
        <v>1472</v>
      </c>
      <c r="C247" s="477" t="s">
        <v>236</v>
      </c>
      <c r="D247" s="499">
        <v>4</v>
      </c>
      <c r="E247" s="500">
        <v>5.7070139531473894</v>
      </c>
      <c r="F247" s="500">
        <v>5.7070139531473894</v>
      </c>
      <c r="G247" s="500">
        <v>4.3072006714946287</v>
      </c>
    </row>
    <row r="248" spans="1:7" ht="17.100000000000001" customHeight="1" x14ac:dyDescent="0.3">
      <c r="A248" s="497">
        <v>150000879</v>
      </c>
      <c r="B248" s="498" t="s">
        <v>1473</v>
      </c>
      <c r="C248" s="477" t="s">
        <v>329</v>
      </c>
      <c r="D248" s="499">
        <v>5</v>
      </c>
      <c r="E248" s="500">
        <v>4.3163709991757031</v>
      </c>
      <c r="F248" s="500">
        <v>4.3163709991757031</v>
      </c>
      <c r="G248" s="500">
        <v>3.7158463973119575</v>
      </c>
    </row>
    <row r="249" spans="1:7" ht="17.100000000000001" customHeight="1" x14ac:dyDescent="0.3">
      <c r="A249" s="497">
        <v>150000880</v>
      </c>
      <c r="B249" s="498" t="s">
        <v>1474</v>
      </c>
      <c r="C249" s="477" t="s">
        <v>237</v>
      </c>
      <c r="D249" s="499">
        <v>4</v>
      </c>
      <c r="E249" s="500">
        <v>5.4922818295720166</v>
      </c>
      <c r="F249" s="500">
        <v>5.4922818295720166</v>
      </c>
      <c r="G249" s="500">
        <v>4.4900775110277635</v>
      </c>
    </row>
    <row r="250" spans="1:7" ht="17.100000000000001" customHeight="1" x14ac:dyDescent="0.3">
      <c r="A250" s="497">
        <v>150000881</v>
      </c>
      <c r="B250" s="498" t="s">
        <v>1475</v>
      </c>
      <c r="C250" s="477" t="s">
        <v>411</v>
      </c>
      <c r="D250" s="499">
        <v>9</v>
      </c>
      <c r="E250" s="500">
        <v>6.0331237061610556</v>
      </c>
      <c r="F250" s="500">
        <v>7.3708661190956599</v>
      </c>
      <c r="G250" s="500">
        <v>4.8640086323768257</v>
      </c>
    </row>
    <row r="251" spans="1:7" ht="17.100000000000001" customHeight="1" x14ac:dyDescent="0.3">
      <c r="A251" s="497">
        <v>150000882</v>
      </c>
      <c r="B251" s="498" t="s">
        <v>1476</v>
      </c>
      <c r="C251" s="477" t="s">
        <v>330</v>
      </c>
      <c r="D251" s="499">
        <v>5</v>
      </c>
      <c r="E251" s="500">
        <v>4.7845064703142004</v>
      </c>
      <c r="F251" s="500">
        <v>4.7845064703142004</v>
      </c>
      <c r="G251" s="500">
        <v>4.1877423872422943</v>
      </c>
    </row>
    <row r="252" spans="1:7" ht="17.100000000000001" customHeight="1" x14ac:dyDescent="0.3">
      <c r="A252" s="497">
        <v>150000883</v>
      </c>
      <c r="B252" s="498" t="s">
        <v>1477</v>
      </c>
      <c r="C252" s="477" t="s">
        <v>331</v>
      </c>
      <c r="D252" s="499">
        <v>5</v>
      </c>
      <c r="E252" s="500">
        <v>4.9902955220122482</v>
      </c>
      <c r="F252" s="500">
        <v>4.9902955220122482</v>
      </c>
      <c r="G252" s="500">
        <v>4.5453637618351932</v>
      </c>
    </row>
    <row r="253" spans="1:7" ht="17.100000000000001" customHeight="1" x14ac:dyDescent="0.3">
      <c r="A253" s="497">
        <v>150000884</v>
      </c>
      <c r="B253" s="498" t="s">
        <v>1478</v>
      </c>
      <c r="C253" s="477" t="s">
        <v>332</v>
      </c>
      <c r="D253" s="499">
        <v>5</v>
      </c>
      <c r="E253" s="500">
        <v>4.7928717224484174</v>
      </c>
      <c r="F253" s="500">
        <v>4.7928717224484174</v>
      </c>
      <c r="G253" s="500">
        <v>3.9668603481678271</v>
      </c>
    </row>
    <row r="254" spans="1:7" ht="17.100000000000001" customHeight="1" x14ac:dyDescent="0.3">
      <c r="A254" s="497">
        <v>150000885</v>
      </c>
      <c r="B254" s="498" t="s">
        <v>1479</v>
      </c>
      <c r="C254" s="477" t="s">
        <v>238</v>
      </c>
      <c r="D254" s="499">
        <v>4</v>
      </c>
      <c r="E254" s="500">
        <v>5.7187957935822613</v>
      </c>
      <c r="F254" s="500">
        <v>5.7187957935822613</v>
      </c>
      <c r="G254" s="500">
        <v>5.0466959695985496</v>
      </c>
    </row>
    <row r="255" spans="1:7" ht="17.100000000000001" customHeight="1" x14ac:dyDescent="0.3">
      <c r="A255" s="497">
        <v>150000886</v>
      </c>
      <c r="B255" s="498" t="s">
        <v>1435</v>
      </c>
      <c r="C255" s="477" t="s">
        <v>396</v>
      </c>
      <c r="D255" s="499">
        <v>9</v>
      </c>
      <c r="E255" s="500">
        <v>6.5566543950479614</v>
      </c>
      <c r="F255" s="500">
        <v>8.0215613090101101</v>
      </c>
      <c r="G255" s="500">
        <v>5.6380448354316508</v>
      </c>
    </row>
    <row r="256" spans="1:7" ht="17.100000000000001" customHeight="1" x14ac:dyDescent="0.3">
      <c r="A256" s="497">
        <v>150000887</v>
      </c>
      <c r="B256" s="498" t="s">
        <v>1436</v>
      </c>
      <c r="C256" s="477" t="s">
        <v>397</v>
      </c>
      <c r="D256" s="499">
        <v>9</v>
      </c>
      <c r="E256" s="500">
        <v>5.2395745962922504</v>
      </c>
      <c r="F256" s="500">
        <v>7.0389830495256023</v>
      </c>
      <c r="G256" s="500">
        <v>4.40626019608266</v>
      </c>
    </row>
    <row r="257" spans="1:7" ht="17.100000000000001" customHeight="1" x14ac:dyDescent="0.3">
      <c r="A257" s="497">
        <v>150000888</v>
      </c>
      <c r="B257" s="498" t="s">
        <v>1437</v>
      </c>
      <c r="C257" s="477" t="s">
        <v>313</v>
      </c>
      <c r="D257" s="499">
        <v>5</v>
      </c>
      <c r="E257" s="500">
        <v>5.344014140206613</v>
      </c>
      <c r="F257" s="500">
        <v>5.344014140206613</v>
      </c>
      <c r="G257" s="500">
        <v>4.4089826950038677</v>
      </c>
    </row>
    <row r="258" spans="1:7" ht="17.100000000000001" customHeight="1" x14ac:dyDescent="0.3">
      <c r="A258" s="497">
        <v>150000889</v>
      </c>
      <c r="B258" s="498" t="s">
        <v>1438</v>
      </c>
      <c r="C258" s="477" t="s">
        <v>427</v>
      </c>
      <c r="D258" s="499">
        <v>16</v>
      </c>
      <c r="E258" s="500">
        <v>5.9076034224481102</v>
      </c>
      <c r="F258" s="500">
        <v>7.8217347072966099</v>
      </c>
      <c r="G258" s="500">
        <v>4.4481474417672597</v>
      </c>
    </row>
    <row r="259" spans="1:7" ht="17.100000000000001" customHeight="1" x14ac:dyDescent="0.3">
      <c r="A259" s="497">
        <v>150000890</v>
      </c>
      <c r="B259" s="498" t="s">
        <v>1439</v>
      </c>
      <c r="C259" s="477" t="s">
        <v>398</v>
      </c>
      <c r="D259" s="499">
        <v>9</v>
      </c>
      <c r="E259" s="500">
        <v>5.7748612903465926</v>
      </c>
      <c r="F259" s="500">
        <v>6.967979940489295</v>
      </c>
      <c r="G259" s="500">
        <v>4.7955675854231004</v>
      </c>
    </row>
    <row r="260" spans="1:7" ht="17.100000000000001" customHeight="1" x14ac:dyDescent="0.3">
      <c r="A260" s="497">
        <v>150000891</v>
      </c>
      <c r="B260" s="498" t="s">
        <v>1440</v>
      </c>
      <c r="C260" s="477" t="s">
        <v>189</v>
      </c>
      <c r="D260" s="499">
        <v>2</v>
      </c>
      <c r="E260" s="500">
        <v>3.2987477403459833</v>
      </c>
      <c r="F260" s="500">
        <v>3.2987477403459833</v>
      </c>
      <c r="G260" s="500">
        <v>3.2609420218085963</v>
      </c>
    </row>
    <row r="261" spans="1:7" ht="17.100000000000001" customHeight="1" x14ac:dyDescent="0.3">
      <c r="A261" s="497">
        <v>150000892</v>
      </c>
      <c r="B261" s="498" t="s">
        <v>1442</v>
      </c>
      <c r="C261" s="477" t="s">
        <v>400</v>
      </c>
      <c r="D261" s="499">
        <v>9</v>
      </c>
      <c r="E261" s="500">
        <v>5.8821644209143864</v>
      </c>
      <c r="F261" s="500">
        <v>7.6184247042062072</v>
      </c>
      <c r="G261" s="500">
        <v>4.9164996750464756</v>
      </c>
    </row>
    <row r="262" spans="1:7" ht="17.100000000000001" customHeight="1" x14ac:dyDescent="0.3">
      <c r="A262" s="497">
        <v>150000893</v>
      </c>
      <c r="B262" s="498" t="s">
        <v>1443</v>
      </c>
      <c r="C262" s="477" t="s">
        <v>314</v>
      </c>
      <c r="D262" s="499">
        <v>5</v>
      </c>
      <c r="E262" s="500">
        <v>6.165342607461052</v>
      </c>
      <c r="F262" s="500">
        <v>6.165342607461052</v>
      </c>
      <c r="G262" s="500">
        <v>5.4818204994810511</v>
      </c>
    </row>
    <row r="263" spans="1:7" ht="17.100000000000001" customHeight="1" x14ac:dyDescent="0.3">
      <c r="A263" s="497">
        <v>150000894</v>
      </c>
      <c r="B263" s="498" t="s">
        <v>1444</v>
      </c>
      <c r="C263" s="477" t="s">
        <v>315</v>
      </c>
      <c r="D263" s="499">
        <v>5</v>
      </c>
      <c r="E263" s="500">
        <v>5.5088308451767816</v>
      </c>
      <c r="F263" s="500">
        <v>5.5088308451767816</v>
      </c>
      <c r="G263" s="500">
        <v>4.7081085471236435</v>
      </c>
    </row>
    <row r="264" spans="1:7" ht="17.100000000000001" customHeight="1" x14ac:dyDescent="0.3">
      <c r="A264" s="497">
        <v>150000895</v>
      </c>
      <c r="B264" s="498" t="s">
        <v>1445</v>
      </c>
      <c r="C264" s="477" t="s">
        <v>316</v>
      </c>
      <c r="D264" s="499">
        <v>5</v>
      </c>
      <c r="E264" s="500">
        <v>5.8189593334713248</v>
      </c>
      <c r="F264" s="500">
        <v>5.8189593334713248</v>
      </c>
      <c r="G264" s="500">
        <v>5.1320772158934558</v>
      </c>
    </row>
    <row r="265" spans="1:7" ht="17.100000000000001" customHeight="1" x14ac:dyDescent="0.3">
      <c r="A265" s="497">
        <v>150000896</v>
      </c>
      <c r="B265" s="498" t="s">
        <v>1447</v>
      </c>
      <c r="C265" s="477" t="s">
        <v>317</v>
      </c>
      <c r="D265" s="499">
        <v>5</v>
      </c>
      <c r="E265" s="500">
        <v>6.2817820034721361</v>
      </c>
      <c r="F265" s="500">
        <v>6.2817820034721361</v>
      </c>
      <c r="G265" s="500">
        <v>5.580869867366494</v>
      </c>
    </row>
    <row r="266" spans="1:7" ht="17.100000000000001" customHeight="1" x14ac:dyDescent="0.3">
      <c r="A266" s="497">
        <v>150000898</v>
      </c>
      <c r="B266" s="498" t="s">
        <v>1448</v>
      </c>
      <c r="C266" s="477" t="s">
        <v>190</v>
      </c>
      <c r="D266" s="499">
        <v>2</v>
      </c>
      <c r="E266" s="500">
        <v>5.4696178033779219</v>
      </c>
      <c r="F266" s="500">
        <v>5.4696178033779219</v>
      </c>
      <c r="G266" s="500">
        <v>4.6881384371343771</v>
      </c>
    </row>
    <row r="267" spans="1:7" ht="17.100000000000001" customHeight="1" x14ac:dyDescent="0.3">
      <c r="A267" s="497">
        <v>150000899</v>
      </c>
      <c r="B267" s="498" t="s">
        <v>1449</v>
      </c>
      <c r="C267" s="477" t="s">
        <v>402</v>
      </c>
      <c r="D267" s="499">
        <v>9</v>
      </c>
      <c r="E267" s="500">
        <v>6.2296637976742595</v>
      </c>
      <c r="F267" s="500">
        <v>8.0908032830489489</v>
      </c>
      <c r="G267" s="500">
        <v>5.4072836861622067</v>
      </c>
    </row>
    <row r="268" spans="1:7" ht="17.100000000000001" customHeight="1" x14ac:dyDescent="0.3">
      <c r="A268" s="497">
        <v>150000900</v>
      </c>
      <c r="B268" s="498" t="s">
        <v>1450</v>
      </c>
      <c r="C268" s="477" t="s">
        <v>425</v>
      </c>
      <c r="D268" s="499">
        <v>14</v>
      </c>
      <c r="E268" s="500">
        <v>5.1806639281683786</v>
      </c>
      <c r="F268" s="500">
        <v>6.7321105722838386</v>
      </c>
      <c r="G268" s="500">
        <v>4.364488486649468</v>
      </c>
    </row>
    <row r="269" spans="1:7" ht="17.100000000000001" customHeight="1" x14ac:dyDescent="0.3">
      <c r="A269" s="497">
        <v>150000901</v>
      </c>
      <c r="B269" s="498" t="s">
        <v>1451</v>
      </c>
      <c r="C269" s="477" t="s">
        <v>424</v>
      </c>
      <c r="D269" s="499">
        <v>10</v>
      </c>
      <c r="E269" s="500">
        <v>5.374989922114926</v>
      </c>
      <c r="F269" s="500">
        <v>6.5807678963577816</v>
      </c>
      <c r="G269" s="500">
        <v>4.4043739097732315</v>
      </c>
    </row>
    <row r="270" spans="1:7" ht="17.100000000000001" customHeight="1" x14ac:dyDescent="0.3">
      <c r="A270" s="497">
        <v>150000902</v>
      </c>
      <c r="B270" s="498" t="s">
        <v>1452</v>
      </c>
      <c r="C270" s="477" t="s">
        <v>403</v>
      </c>
      <c r="D270" s="499">
        <v>9</v>
      </c>
      <c r="E270" s="500">
        <v>6.263815729270541</v>
      </c>
      <c r="F270" s="500">
        <v>7.5754373747045127</v>
      </c>
      <c r="G270" s="500">
        <v>4.8720094565163663</v>
      </c>
    </row>
    <row r="271" spans="1:7" ht="17.100000000000001" customHeight="1" x14ac:dyDescent="0.3">
      <c r="A271" s="497">
        <v>150000903</v>
      </c>
      <c r="B271" s="498" t="s">
        <v>1453</v>
      </c>
      <c r="C271" s="477" t="s">
        <v>404</v>
      </c>
      <c r="D271" s="499">
        <v>9</v>
      </c>
      <c r="E271" s="500">
        <v>6.0210613147364924</v>
      </c>
      <c r="F271" s="500">
        <v>7.4159370485171348</v>
      </c>
      <c r="G271" s="500">
        <v>4.902761195731947</v>
      </c>
    </row>
    <row r="272" spans="1:7" ht="17.100000000000001" customHeight="1" x14ac:dyDescent="0.3">
      <c r="A272" s="497">
        <v>150000904</v>
      </c>
      <c r="B272" s="498" t="s">
        <v>1454</v>
      </c>
      <c r="C272" s="477" t="s">
        <v>405</v>
      </c>
      <c r="D272" s="499">
        <v>9</v>
      </c>
      <c r="E272" s="500">
        <v>5.4974410792531181</v>
      </c>
      <c r="F272" s="500">
        <v>6.4004330780873575</v>
      </c>
      <c r="G272" s="500">
        <v>4.7058646823917085</v>
      </c>
    </row>
    <row r="273" spans="1:7" ht="17.100000000000001" customHeight="1" x14ac:dyDescent="0.3">
      <c r="A273" s="497">
        <v>150000905</v>
      </c>
      <c r="B273" s="498" t="s">
        <v>1455</v>
      </c>
      <c r="C273" s="477" t="s">
        <v>426</v>
      </c>
      <c r="D273" s="499">
        <v>14</v>
      </c>
      <c r="E273" s="500">
        <v>5.1778941873449247</v>
      </c>
      <c r="F273" s="500">
        <v>6.1836081891955024</v>
      </c>
      <c r="G273" s="500">
        <v>4.0581384682186332</v>
      </c>
    </row>
    <row r="274" spans="1:7" ht="17.100000000000001" customHeight="1" x14ac:dyDescent="0.3">
      <c r="A274" s="497">
        <v>150000906</v>
      </c>
      <c r="B274" s="498" t="s">
        <v>1456</v>
      </c>
      <c r="C274" s="477" t="s">
        <v>406</v>
      </c>
      <c r="D274" s="499">
        <v>9</v>
      </c>
      <c r="E274" s="500">
        <v>6.1892263626777879</v>
      </c>
      <c r="F274" s="500">
        <v>7.5756691616216321</v>
      </c>
      <c r="G274" s="500">
        <v>5.0288090620344281</v>
      </c>
    </row>
    <row r="275" spans="1:7" ht="17.100000000000001" customHeight="1" x14ac:dyDescent="0.3">
      <c r="A275" s="497">
        <v>150000907</v>
      </c>
      <c r="B275" s="498" t="s">
        <v>1457</v>
      </c>
      <c r="C275" s="477" t="s">
        <v>407</v>
      </c>
      <c r="D275" s="499">
        <v>9</v>
      </c>
      <c r="E275" s="500">
        <v>5.3860259371296442</v>
      </c>
      <c r="F275" s="500">
        <v>7.1563209055226125</v>
      </c>
      <c r="G275" s="500">
        <v>4.8064439073401326</v>
      </c>
    </row>
    <row r="276" spans="1:7" ht="17.100000000000001" customHeight="1" x14ac:dyDescent="0.3">
      <c r="A276" s="497">
        <v>150000908</v>
      </c>
      <c r="B276" s="498" t="s">
        <v>1458</v>
      </c>
      <c r="C276" s="477" t="s">
        <v>408</v>
      </c>
      <c r="D276" s="499">
        <v>9</v>
      </c>
      <c r="E276" s="500">
        <v>5.2437824865425959</v>
      </c>
      <c r="F276" s="500">
        <v>6.9989410142182269</v>
      </c>
      <c r="G276" s="500">
        <v>4.6037864559490425</v>
      </c>
    </row>
    <row r="277" spans="1:7" ht="17.100000000000001" customHeight="1" x14ac:dyDescent="0.3">
      <c r="A277" s="497">
        <v>150000909</v>
      </c>
      <c r="B277" s="498" t="s">
        <v>1459</v>
      </c>
      <c r="C277" s="477" t="s">
        <v>409</v>
      </c>
      <c r="D277" s="499">
        <v>9</v>
      </c>
      <c r="E277" s="500">
        <v>5.2080976301342128</v>
      </c>
      <c r="F277" s="500">
        <v>6.5253518145646332</v>
      </c>
      <c r="G277" s="500">
        <v>4.551304042874766</v>
      </c>
    </row>
    <row r="278" spans="1:7" ht="17.100000000000001" customHeight="1" x14ac:dyDescent="0.3">
      <c r="A278" s="497">
        <v>150000910</v>
      </c>
      <c r="B278" s="498" t="s">
        <v>1460</v>
      </c>
      <c r="C278" s="477" t="s">
        <v>410</v>
      </c>
      <c r="D278" s="499">
        <v>9</v>
      </c>
      <c r="E278" s="500">
        <v>5.2631576008344529</v>
      </c>
      <c r="F278" s="500">
        <v>6.404074630678072</v>
      </c>
      <c r="G278" s="500">
        <v>4.6865611955464042</v>
      </c>
    </row>
    <row r="279" spans="1:7" ht="17.100000000000001" customHeight="1" x14ac:dyDescent="0.3">
      <c r="A279" s="497">
        <v>150000911</v>
      </c>
      <c r="B279" s="498" t="s">
        <v>1461</v>
      </c>
      <c r="C279" s="477" t="s">
        <v>318</v>
      </c>
      <c r="D279" s="499">
        <v>5</v>
      </c>
      <c r="E279" s="500">
        <v>5.580107755872346</v>
      </c>
      <c r="F279" s="500">
        <v>5.580107755872346</v>
      </c>
      <c r="G279" s="500">
        <v>4.9377507063391226</v>
      </c>
    </row>
    <row r="280" spans="1:7" ht="17.100000000000001" customHeight="1" x14ac:dyDescent="0.3">
      <c r="A280" s="497">
        <v>150000912</v>
      </c>
      <c r="B280" s="498" t="s">
        <v>1462</v>
      </c>
      <c r="C280" s="477" t="s">
        <v>319</v>
      </c>
      <c r="D280" s="499">
        <v>5</v>
      </c>
      <c r="E280" s="500">
        <v>5.7663118305513743</v>
      </c>
      <c r="F280" s="500">
        <v>5.7663118305513743</v>
      </c>
      <c r="G280" s="500">
        <v>5.1495663880205864</v>
      </c>
    </row>
    <row r="281" spans="1:7" ht="17.100000000000001" customHeight="1" x14ac:dyDescent="0.3">
      <c r="A281" s="497">
        <v>150000913</v>
      </c>
      <c r="B281" s="498" t="s">
        <v>1463</v>
      </c>
      <c r="C281" s="477" t="s">
        <v>320</v>
      </c>
      <c r="D281" s="499">
        <v>5</v>
      </c>
      <c r="E281" s="500">
        <v>6.0966466025054391</v>
      </c>
      <c r="F281" s="500">
        <v>6.0966466025054391</v>
      </c>
      <c r="G281" s="500">
        <v>5.4299600760667888</v>
      </c>
    </row>
    <row r="282" spans="1:7" ht="17.100000000000001" customHeight="1" x14ac:dyDescent="0.3">
      <c r="A282" s="497">
        <v>150000914</v>
      </c>
      <c r="B282" s="498" t="s">
        <v>1464</v>
      </c>
      <c r="C282" s="477" t="s">
        <v>321</v>
      </c>
      <c r="D282" s="499">
        <v>5</v>
      </c>
      <c r="E282" s="500">
        <v>6.1136456425927124</v>
      </c>
      <c r="F282" s="500">
        <v>6.1136456425927124</v>
      </c>
      <c r="G282" s="500">
        <v>5.4404742435281017</v>
      </c>
    </row>
    <row r="283" spans="1:7" ht="17.100000000000001" customHeight="1" x14ac:dyDescent="0.3">
      <c r="A283" s="497">
        <v>150000915</v>
      </c>
      <c r="B283" s="498" t="s">
        <v>1465</v>
      </c>
      <c r="C283" s="477" t="s">
        <v>322</v>
      </c>
      <c r="D283" s="499">
        <v>5</v>
      </c>
      <c r="E283" s="500">
        <v>6.2843408309969666</v>
      </c>
      <c r="F283" s="500">
        <v>6.2843408309969666</v>
      </c>
      <c r="G283" s="500">
        <v>5.6363329424725261</v>
      </c>
    </row>
    <row r="284" spans="1:7" ht="17.100000000000001" customHeight="1" x14ac:dyDescent="0.3">
      <c r="A284" s="497">
        <v>150000916</v>
      </c>
      <c r="B284" s="498" t="s">
        <v>1466</v>
      </c>
      <c r="C284" s="477" t="s">
        <v>323</v>
      </c>
      <c r="D284" s="499">
        <v>5</v>
      </c>
      <c r="E284" s="500">
        <v>5.5906855284391614</v>
      </c>
      <c r="F284" s="500">
        <v>5.5906855284391614</v>
      </c>
      <c r="G284" s="500">
        <v>4.9113862438411564</v>
      </c>
    </row>
    <row r="285" spans="1:7" ht="17.100000000000001" customHeight="1" x14ac:dyDescent="0.3">
      <c r="A285" s="497">
        <v>150000917</v>
      </c>
      <c r="B285" s="498" t="s">
        <v>1467</v>
      </c>
      <c r="C285" s="477" t="s">
        <v>324</v>
      </c>
      <c r="D285" s="499">
        <v>5</v>
      </c>
      <c r="E285" s="500">
        <v>5.8258217005018338</v>
      </c>
      <c r="F285" s="500">
        <v>5.8258217005018338</v>
      </c>
      <c r="G285" s="500">
        <v>5.2027302836150042</v>
      </c>
    </row>
    <row r="286" spans="1:7" ht="17.100000000000001" customHeight="1" x14ac:dyDescent="0.3">
      <c r="A286" s="497">
        <v>150000918</v>
      </c>
      <c r="B286" s="498" t="s">
        <v>1468</v>
      </c>
      <c r="C286" s="477" t="s">
        <v>325</v>
      </c>
      <c r="D286" s="499">
        <v>5</v>
      </c>
      <c r="E286" s="500">
        <v>5.365435271005575</v>
      </c>
      <c r="F286" s="500">
        <v>5.365435271005575</v>
      </c>
      <c r="G286" s="500">
        <v>4.7751047071439183</v>
      </c>
    </row>
    <row r="287" spans="1:7" ht="17.100000000000001" customHeight="1" x14ac:dyDescent="0.3">
      <c r="A287" s="497">
        <v>150000919</v>
      </c>
      <c r="B287" s="498" t="s">
        <v>1469</v>
      </c>
      <c r="C287" s="477" t="s">
        <v>326</v>
      </c>
      <c r="D287" s="499">
        <v>5</v>
      </c>
      <c r="E287" s="500">
        <v>5.4337172846068142</v>
      </c>
      <c r="F287" s="500">
        <v>5.4337172846068142</v>
      </c>
      <c r="G287" s="500">
        <v>4.8415828141983965</v>
      </c>
    </row>
    <row r="288" spans="1:7" ht="17.100000000000001" customHeight="1" x14ac:dyDescent="0.3">
      <c r="A288" s="497">
        <v>150000920</v>
      </c>
      <c r="B288" s="498" t="s">
        <v>1470</v>
      </c>
      <c r="C288" s="477" t="s">
        <v>327</v>
      </c>
      <c r="D288" s="499">
        <v>5</v>
      </c>
      <c r="E288" s="500">
        <v>5.5996264193501846</v>
      </c>
      <c r="F288" s="500">
        <v>5.5996264193501846</v>
      </c>
      <c r="G288" s="500">
        <v>5.0142062075803944</v>
      </c>
    </row>
    <row r="289" spans="1:7" ht="17.100000000000001" customHeight="1" x14ac:dyDescent="0.3">
      <c r="A289" s="497">
        <v>150000921</v>
      </c>
      <c r="B289" s="498" t="s">
        <v>1471</v>
      </c>
      <c r="C289" s="477" t="s">
        <v>328</v>
      </c>
      <c r="D289" s="499">
        <v>5</v>
      </c>
      <c r="E289" s="500">
        <v>5.1933939812784011</v>
      </c>
      <c r="F289" s="500">
        <v>5.1933939812784011</v>
      </c>
      <c r="G289" s="500">
        <v>4.5927724053466585</v>
      </c>
    </row>
    <row r="290" spans="1:7" ht="17.100000000000001" customHeight="1" x14ac:dyDescent="0.3">
      <c r="A290" s="497">
        <v>150000922</v>
      </c>
      <c r="B290" s="498" t="s">
        <v>1446</v>
      </c>
      <c r="C290" s="477" t="s">
        <v>401</v>
      </c>
      <c r="D290" s="499">
        <v>9</v>
      </c>
      <c r="E290" s="500">
        <v>5.8433255881341406</v>
      </c>
      <c r="F290" s="500">
        <v>7.593242094691961</v>
      </c>
      <c r="G290" s="500">
        <v>4.9145443183519957</v>
      </c>
    </row>
    <row r="291" spans="1:7" ht="17.100000000000001" customHeight="1" x14ac:dyDescent="0.3">
      <c r="A291" s="497">
        <v>150000924</v>
      </c>
      <c r="B291" s="498" t="s">
        <v>1378</v>
      </c>
      <c r="C291" s="477" t="s">
        <v>174</v>
      </c>
      <c r="D291" s="499">
        <v>2</v>
      </c>
      <c r="E291" s="500">
        <v>6.6759927290331005</v>
      </c>
      <c r="F291" s="500">
        <v>6.6759927290331005</v>
      </c>
      <c r="G291" s="500">
        <v>6.0714082225956307</v>
      </c>
    </row>
    <row r="292" spans="1:7" ht="17.100000000000001" customHeight="1" x14ac:dyDescent="0.3">
      <c r="A292" s="497">
        <v>150000925</v>
      </c>
      <c r="B292" s="498" t="s">
        <v>1385</v>
      </c>
      <c r="C292" s="477" t="s">
        <v>176</v>
      </c>
      <c r="D292" s="499">
        <v>2</v>
      </c>
      <c r="E292" s="500">
        <v>6.7602509110912328</v>
      </c>
      <c r="F292" s="500">
        <v>6.7602509110912328</v>
      </c>
      <c r="G292" s="500">
        <v>6.1547841019014857</v>
      </c>
    </row>
    <row r="293" spans="1:7" ht="17.100000000000001" customHeight="1" x14ac:dyDescent="0.3">
      <c r="A293" s="497">
        <v>150000926</v>
      </c>
      <c r="B293" s="498" t="s">
        <v>1387</v>
      </c>
      <c r="C293" s="477" t="s">
        <v>177</v>
      </c>
      <c r="D293" s="499">
        <v>2</v>
      </c>
      <c r="E293" s="500">
        <v>6.6907072500777263</v>
      </c>
      <c r="F293" s="500">
        <v>6.6907072500777263</v>
      </c>
      <c r="G293" s="500">
        <v>5.9332380993136402</v>
      </c>
    </row>
    <row r="294" spans="1:7" ht="17.100000000000001" customHeight="1" x14ac:dyDescent="0.3">
      <c r="A294" s="497">
        <v>150000927</v>
      </c>
      <c r="B294" s="498" t="s">
        <v>1393</v>
      </c>
      <c r="C294" s="477" t="s">
        <v>178</v>
      </c>
      <c r="D294" s="499">
        <v>2</v>
      </c>
      <c r="E294" s="500">
        <v>6.2749403713151359</v>
      </c>
      <c r="F294" s="500">
        <v>6.2749403713151359</v>
      </c>
      <c r="G294" s="500">
        <v>4.8255448833660886</v>
      </c>
    </row>
    <row r="295" spans="1:7" ht="17.100000000000001" customHeight="1" x14ac:dyDescent="0.3">
      <c r="A295" s="497">
        <v>150000928</v>
      </c>
      <c r="B295" s="498" t="s">
        <v>1371</v>
      </c>
      <c r="C295" s="477" t="s">
        <v>169</v>
      </c>
      <c r="D295" s="499">
        <v>2</v>
      </c>
      <c r="E295" s="500">
        <v>6.6193110667870476</v>
      </c>
      <c r="F295" s="500">
        <v>6.6193110667870476</v>
      </c>
      <c r="G295" s="500">
        <v>5.4110289544240073</v>
      </c>
    </row>
    <row r="296" spans="1:7" ht="17.100000000000001" customHeight="1" x14ac:dyDescent="0.3">
      <c r="A296" s="497">
        <v>150000929</v>
      </c>
      <c r="B296" s="498" t="s">
        <v>1374</v>
      </c>
      <c r="C296" s="477" t="s">
        <v>1096</v>
      </c>
      <c r="D296" s="499">
        <v>2</v>
      </c>
      <c r="E296" s="500">
        <v>6.4864049415581411</v>
      </c>
      <c r="F296" s="500">
        <v>6.4864049415581411</v>
      </c>
      <c r="G296" s="500">
        <v>5.3130248116096013</v>
      </c>
    </row>
    <row r="297" spans="1:7" ht="17.100000000000001" customHeight="1" x14ac:dyDescent="0.3">
      <c r="A297" s="497">
        <v>150000930</v>
      </c>
      <c r="B297" s="498" t="s">
        <v>1375</v>
      </c>
      <c r="C297" s="477" t="s">
        <v>172</v>
      </c>
      <c r="D297" s="499">
        <v>2</v>
      </c>
      <c r="E297" s="500">
        <v>7.2629055045102007</v>
      </c>
      <c r="F297" s="500">
        <v>7.2629055045102007</v>
      </c>
      <c r="G297" s="500">
        <v>5.7225306602392569</v>
      </c>
    </row>
    <row r="298" spans="1:7" ht="17.100000000000001" customHeight="1" x14ac:dyDescent="0.3">
      <c r="A298" s="497">
        <v>150000931</v>
      </c>
      <c r="B298" s="498" t="s">
        <v>1376</v>
      </c>
      <c r="C298" s="477" t="s">
        <v>266</v>
      </c>
      <c r="D298" s="499">
        <v>5</v>
      </c>
      <c r="E298" s="500">
        <v>5.9322754752678852</v>
      </c>
      <c r="F298" s="500">
        <v>5.9322754752678852</v>
      </c>
      <c r="G298" s="500">
        <v>4.8176938471256321</v>
      </c>
    </row>
    <row r="299" spans="1:7" ht="17.100000000000001" customHeight="1" x14ac:dyDescent="0.3">
      <c r="A299" s="497">
        <v>150000932</v>
      </c>
      <c r="B299" s="498" t="s">
        <v>1377</v>
      </c>
      <c r="C299" s="477" t="s">
        <v>173</v>
      </c>
      <c r="D299" s="499">
        <v>2</v>
      </c>
      <c r="E299" s="500">
        <v>5.3779254637922085</v>
      </c>
      <c r="F299" s="500">
        <v>5.3779254637922085</v>
      </c>
      <c r="G299" s="500">
        <v>5.2997657462911807</v>
      </c>
    </row>
    <row r="300" spans="1:7" ht="17.100000000000001" customHeight="1" x14ac:dyDescent="0.3">
      <c r="A300" s="497">
        <v>150000933</v>
      </c>
      <c r="B300" s="498" t="s">
        <v>1379</v>
      </c>
      <c r="C300" s="477" t="s">
        <v>267</v>
      </c>
      <c r="D300" s="499">
        <v>5</v>
      </c>
      <c r="E300" s="500">
        <v>5.5279015960138524</v>
      </c>
      <c r="F300" s="500">
        <v>5.5279015960138524</v>
      </c>
      <c r="G300" s="500">
        <v>4.8087382599962156</v>
      </c>
    </row>
    <row r="301" spans="1:7" ht="17.100000000000001" customHeight="1" x14ac:dyDescent="0.3">
      <c r="A301" s="497">
        <v>150000934</v>
      </c>
      <c r="B301" s="498" t="s">
        <v>1380</v>
      </c>
      <c r="C301" s="477" t="s">
        <v>215</v>
      </c>
      <c r="D301" s="499">
        <v>4</v>
      </c>
      <c r="E301" s="500">
        <v>5.8489643168303616</v>
      </c>
      <c r="F301" s="500">
        <v>5.8489643168303616</v>
      </c>
      <c r="G301" s="500">
        <v>5.0890944801119566</v>
      </c>
    </row>
    <row r="302" spans="1:7" ht="17.100000000000001" customHeight="1" x14ac:dyDescent="0.3">
      <c r="A302" s="497">
        <v>150000935</v>
      </c>
      <c r="B302" s="498" t="s">
        <v>1381</v>
      </c>
      <c r="C302" s="477" t="s">
        <v>175</v>
      </c>
      <c r="D302" s="499">
        <v>2</v>
      </c>
      <c r="E302" s="500">
        <v>6.5412780168068663</v>
      </c>
      <c r="F302" s="500">
        <v>6.5412780168068663</v>
      </c>
      <c r="G302" s="500">
        <v>6.1423626080611413</v>
      </c>
    </row>
    <row r="303" spans="1:7" ht="17.100000000000001" customHeight="1" x14ac:dyDescent="0.3">
      <c r="A303" s="497">
        <v>150000936</v>
      </c>
      <c r="B303" s="498" t="s">
        <v>1382</v>
      </c>
      <c r="C303" s="477" t="s">
        <v>121</v>
      </c>
      <c r="D303" s="499">
        <v>1</v>
      </c>
      <c r="E303" s="500">
        <v>1.2874848774224199</v>
      </c>
      <c r="F303" s="500"/>
      <c r="G303" s="500">
        <v>1.2874848774224199</v>
      </c>
    </row>
    <row r="304" spans="1:7" ht="17.100000000000001" customHeight="1" x14ac:dyDescent="0.3">
      <c r="A304" s="497">
        <v>150000937</v>
      </c>
      <c r="B304" s="498" t="s">
        <v>1383</v>
      </c>
      <c r="C304" s="477" t="s">
        <v>374</v>
      </c>
      <c r="D304" s="499">
        <v>9</v>
      </c>
      <c r="E304" s="500">
        <v>5.8706639677490982</v>
      </c>
      <c r="F304" s="500">
        <v>7.1588742181482861</v>
      </c>
      <c r="G304" s="500">
        <v>5.0752130724542273</v>
      </c>
    </row>
    <row r="305" spans="1:7" ht="17.100000000000001" customHeight="1" x14ac:dyDescent="0.3">
      <c r="A305" s="497">
        <v>150000938</v>
      </c>
      <c r="B305" s="498" t="s">
        <v>1384</v>
      </c>
      <c r="C305" s="477" t="s">
        <v>375</v>
      </c>
      <c r="D305" s="499">
        <v>9</v>
      </c>
      <c r="E305" s="500">
        <v>5.8029918821323241</v>
      </c>
      <c r="F305" s="500">
        <v>6.785891222453202</v>
      </c>
      <c r="G305" s="500">
        <v>4.8876750678859526</v>
      </c>
    </row>
    <row r="306" spans="1:7" ht="17.100000000000001" customHeight="1" x14ac:dyDescent="0.3">
      <c r="A306" s="497">
        <v>150000939</v>
      </c>
      <c r="B306" s="498" t="s">
        <v>1386</v>
      </c>
      <c r="C306" s="477" t="s">
        <v>336</v>
      </c>
      <c r="D306" s="499">
        <v>8</v>
      </c>
      <c r="E306" s="500">
        <v>6.2849997864631355</v>
      </c>
      <c r="F306" s="500">
        <v>7.3295455383421553</v>
      </c>
      <c r="G306" s="500">
        <v>5.5503817432426166</v>
      </c>
    </row>
    <row r="307" spans="1:7" ht="17.100000000000001" customHeight="1" x14ac:dyDescent="0.3">
      <c r="A307" s="497">
        <v>150000940</v>
      </c>
      <c r="B307" s="498" t="s">
        <v>1388</v>
      </c>
      <c r="C307" s="477" t="s">
        <v>376</v>
      </c>
      <c r="D307" s="499">
        <v>9</v>
      </c>
      <c r="E307" s="500">
        <v>5.9786604375016941</v>
      </c>
      <c r="F307" s="500">
        <v>7.5749399607295995</v>
      </c>
      <c r="G307" s="500">
        <v>5.1698747787574808</v>
      </c>
    </row>
    <row r="308" spans="1:7" ht="17.100000000000001" customHeight="1" x14ac:dyDescent="0.3">
      <c r="A308" s="497">
        <v>150000941</v>
      </c>
      <c r="B308" s="498" t="s">
        <v>1389</v>
      </c>
      <c r="C308" s="477" t="s">
        <v>337</v>
      </c>
      <c r="D308" s="499">
        <v>8</v>
      </c>
      <c r="E308" s="500">
        <v>5.7183398893793296</v>
      </c>
      <c r="F308" s="500">
        <v>6.9982593610983361</v>
      </c>
      <c r="G308" s="500">
        <v>4.8271945726534469</v>
      </c>
    </row>
    <row r="309" spans="1:7" ht="17.100000000000001" customHeight="1" x14ac:dyDescent="0.3">
      <c r="A309" s="497">
        <v>150000943</v>
      </c>
      <c r="B309" s="498" t="s">
        <v>1397</v>
      </c>
      <c r="C309" s="477" t="s">
        <v>122</v>
      </c>
      <c r="D309" s="499">
        <v>1</v>
      </c>
      <c r="E309" s="500">
        <v>2.0572853504956119</v>
      </c>
      <c r="F309" s="500"/>
      <c r="G309" s="500">
        <v>2.0572853504956119</v>
      </c>
    </row>
    <row r="310" spans="1:7" ht="17.100000000000001" customHeight="1" x14ac:dyDescent="0.3">
      <c r="A310" s="497">
        <v>150000944</v>
      </c>
      <c r="B310" s="498" t="s">
        <v>1398</v>
      </c>
      <c r="C310" s="477" t="s">
        <v>123</v>
      </c>
      <c r="D310" s="499">
        <v>1</v>
      </c>
      <c r="E310" s="500">
        <v>2.301277428158182</v>
      </c>
      <c r="F310" s="500"/>
      <c r="G310" s="500">
        <v>2.301277428158182</v>
      </c>
    </row>
    <row r="311" spans="1:7" ht="17.100000000000001" customHeight="1" x14ac:dyDescent="0.3">
      <c r="A311" s="497">
        <v>150000945</v>
      </c>
      <c r="B311" s="498" t="s">
        <v>1399</v>
      </c>
      <c r="C311" s="477" t="s">
        <v>421</v>
      </c>
      <c r="D311" s="499">
        <v>10</v>
      </c>
      <c r="E311" s="500">
        <v>6.1638691886409589</v>
      </c>
      <c r="F311" s="500">
        <v>7.0827901464063849</v>
      </c>
      <c r="G311" s="500">
        <v>5.0421398789081495</v>
      </c>
    </row>
    <row r="312" spans="1:7" ht="17.100000000000001" customHeight="1" x14ac:dyDescent="0.3">
      <c r="A312" s="497">
        <v>150000946</v>
      </c>
      <c r="B312" s="498" t="s">
        <v>1400</v>
      </c>
      <c r="C312" s="477" t="s">
        <v>124</v>
      </c>
      <c r="D312" s="499">
        <v>1</v>
      </c>
      <c r="E312" s="500">
        <v>2.0081809217969679</v>
      </c>
      <c r="F312" s="500"/>
      <c r="G312" s="500">
        <v>2.0081809217969679</v>
      </c>
    </row>
    <row r="313" spans="1:7" ht="17.100000000000001" customHeight="1" x14ac:dyDescent="0.3">
      <c r="A313" s="497">
        <v>150000947</v>
      </c>
      <c r="B313" s="498" t="s">
        <v>1401</v>
      </c>
      <c r="C313" s="477" t="s">
        <v>268</v>
      </c>
      <c r="D313" s="499">
        <v>5</v>
      </c>
      <c r="E313" s="500">
        <v>5.8205260297486223</v>
      </c>
      <c r="F313" s="500">
        <v>5.8205260297486223</v>
      </c>
      <c r="G313" s="500">
        <v>5.2051000669991927</v>
      </c>
    </row>
    <row r="314" spans="1:7" ht="17.100000000000001" customHeight="1" x14ac:dyDescent="0.3">
      <c r="A314" s="497">
        <v>150000948</v>
      </c>
      <c r="B314" s="498" t="s">
        <v>1402</v>
      </c>
      <c r="C314" s="477" t="s">
        <v>383</v>
      </c>
      <c r="D314" s="499">
        <v>9</v>
      </c>
      <c r="E314" s="500">
        <v>5.7972584118578867</v>
      </c>
      <c r="F314" s="500">
        <v>7.5670710797245171</v>
      </c>
      <c r="G314" s="500">
        <v>4.7391552306308311</v>
      </c>
    </row>
    <row r="315" spans="1:7" ht="17.100000000000001" customHeight="1" x14ac:dyDescent="0.3">
      <c r="A315" s="497">
        <v>150000949</v>
      </c>
      <c r="B315" s="498" t="s">
        <v>1403</v>
      </c>
      <c r="C315" s="477" t="s">
        <v>384</v>
      </c>
      <c r="D315" s="499">
        <v>9</v>
      </c>
      <c r="E315" s="500">
        <v>5.8862007677600197</v>
      </c>
      <c r="F315" s="500">
        <v>7.7337608825549449</v>
      </c>
      <c r="G315" s="500">
        <v>4.8979731199421837</v>
      </c>
    </row>
    <row r="316" spans="1:7" ht="17.100000000000001" customHeight="1" x14ac:dyDescent="0.3">
      <c r="A316" s="497">
        <v>150000951</v>
      </c>
      <c r="B316" s="498" t="s">
        <v>1372</v>
      </c>
      <c r="C316" s="477" t="s">
        <v>170</v>
      </c>
      <c r="D316" s="499">
        <v>2</v>
      </c>
      <c r="E316" s="500">
        <v>1.8043309708955932</v>
      </c>
      <c r="F316" s="500">
        <v>1.8043309708955932</v>
      </c>
      <c r="G316" s="500">
        <v>1.8043309708955932</v>
      </c>
    </row>
    <row r="317" spans="1:7" ht="17.100000000000001" customHeight="1" x14ac:dyDescent="0.3">
      <c r="A317" s="497">
        <v>150000954</v>
      </c>
      <c r="B317" s="498" t="s">
        <v>1373</v>
      </c>
      <c r="C317" s="477" t="s">
        <v>171</v>
      </c>
      <c r="D317" s="499">
        <v>2</v>
      </c>
      <c r="E317" s="500">
        <v>4.2613214273511044</v>
      </c>
      <c r="F317" s="500">
        <v>4.2613214273511044</v>
      </c>
      <c r="G317" s="500">
        <v>4.1999855776374595</v>
      </c>
    </row>
    <row r="318" spans="1:7" ht="17.100000000000001" customHeight="1" x14ac:dyDescent="0.3">
      <c r="A318" s="497">
        <v>150000957</v>
      </c>
      <c r="B318" s="498" t="s">
        <v>1390</v>
      </c>
      <c r="C318" s="477" t="s">
        <v>377</v>
      </c>
      <c r="D318" s="499">
        <v>9</v>
      </c>
      <c r="E318" s="500">
        <v>5.809827008005727</v>
      </c>
      <c r="F318" s="500">
        <v>7.0076229544282311</v>
      </c>
      <c r="G318" s="500">
        <v>4.9476341243264237</v>
      </c>
    </row>
    <row r="319" spans="1:7" ht="17.100000000000001" customHeight="1" x14ac:dyDescent="0.3">
      <c r="A319" s="501">
        <v>150000958</v>
      </c>
      <c r="B319" s="498" t="s">
        <v>1394</v>
      </c>
      <c r="C319" s="477" t="s">
        <v>380</v>
      </c>
      <c r="D319" s="499">
        <v>9</v>
      </c>
      <c r="E319" s="500">
        <v>5.9416176560694929</v>
      </c>
      <c r="F319" s="500">
        <v>7.3617400284574916</v>
      </c>
      <c r="G319" s="500">
        <v>5.0772184690353361</v>
      </c>
    </row>
    <row r="320" spans="1:7" ht="17.100000000000001" customHeight="1" x14ac:dyDescent="0.3">
      <c r="A320" s="497">
        <v>150000960</v>
      </c>
      <c r="B320" s="498" t="s">
        <v>1391</v>
      </c>
      <c r="C320" s="477" t="s">
        <v>378</v>
      </c>
      <c r="D320" s="499">
        <v>9</v>
      </c>
      <c r="E320" s="500">
        <v>5.6836987719722512</v>
      </c>
      <c r="F320" s="500">
        <v>6.9432815822234044</v>
      </c>
      <c r="G320" s="500">
        <v>4.8203134468006077</v>
      </c>
    </row>
    <row r="321" spans="1:7" ht="17.100000000000001" customHeight="1" x14ac:dyDescent="0.3">
      <c r="A321" s="497">
        <v>150000961</v>
      </c>
      <c r="B321" s="498" t="s">
        <v>1395</v>
      </c>
      <c r="C321" s="477" t="s">
        <v>381</v>
      </c>
      <c r="D321" s="499">
        <v>9</v>
      </c>
      <c r="E321" s="500">
        <v>5.4419018691347851</v>
      </c>
      <c r="F321" s="500">
        <v>6.843691351662434</v>
      </c>
      <c r="G321" s="500">
        <v>4.5933468496019625</v>
      </c>
    </row>
    <row r="322" spans="1:7" ht="17.100000000000001" customHeight="1" x14ac:dyDescent="0.3">
      <c r="A322" s="497">
        <v>150000963</v>
      </c>
      <c r="B322" s="498" t="s">
        <v>1392</v>
      </c>
      <c r="C322" s="477" t="s">
        <v>379</v>
      </c>
      <c r="D322" s="499">
        <v>9</v>
      </c>
      <c r="E322" s="500">
        <v>6.1152942221564306</v>
      </c>
      <c r="F322" s="500">
        <v>7.4523967592929017</v>
      </c>
      <c r="G322" s="500">
        <v>5.2453065466542226</v>
      </c>
    </row>
    <row r="323" spans="1:7" ht="17.100000000000001" customHeight="1" x14ac:dyDescent="0.3">
      <c r="A323" s="497">
        <v>150000964</v>
      </c>
      <c r="B323" s="498" t="s">
        <v>1396</v>
      </c>
      <c r="C323" s="477" t="s">
        <v>382</v>
      </c>
      <c r="D323" s="499">
        <v>9</v>
      </c>
      <c r="E323" s="500">
        <v>5.7176837039105264</v>
      </c>
      <c r="F323" s="500">
        <v>7.1385903143758922</v>
      </c>
      <c r="G323" s="500">
        <v>4.8512977476068508</v>
      </c>
    </row>
    <row r="324" spans="1:7" ht="17.100000000000001" customHeight="1" x14ac:dyDescent="0.3">
      <c r="A324" s="497">
        <v>150000966</v>
      </c>
      <c r="B324" s="498" t="s">
        <v>1203</v>
      </c>
      <c r="C324" s="477" t="s">
        <v>204</v>
      </c>
      <c r="D324" s="499">
        <v>4</v>
      </c>
      <c r="E324" s="500">
        <v>6.4919833611606617</v>
      </c>
      <c r="F324" s="500">
        <v>6.4919833611606617</v>
      </c>
      <c r="G324" s="500">
        <v>5.6091247455764019</v>
      </c>
    </row>
    <row r="325" spans="1:7" ht="17.100000000000001" customHeight="1" x14ac:dyDescent="0.3">
      <c r="A325" s="497">
        <v>150000967</v>
      </c>
      <c r="B325" s="498" t="s">
        <v>1204</v>
      </c>
      <c r="C325" s="477" t="s">
        <v>205</v>
      </c>
      <c r="D325" s="499">
        <v>4</v>
      </c>
      <c r="E325" s="500">
        <v>6.3165607457523425</v>
      </c>
      <c r="F325" s="500">
        <v>6.3165607457523425</v>
      </c>
      <c r="G325" s="500">
        <v>5.606524644556921</v>
      </c>
    </row>
    <row r="326" spans="1:7" ht="17.100000000000001" customHeight="1" x14ac:dyDescent="0.3">
      <c r="A326" s="497">
        <v>150000968</v>
      </c>
      <c r="B326" s="498" t="s">
        <v>1205</v>
      </c>
      <c r="C326" s="477" t="s">
        <v>244</v>
      </c>
      <c r="D326" s="499">
        <v>5</v>
      </c>
      <c r="E326" s="500">
        <v>4.4768819785430631</v>
      </c>
      <c r="F326" s="500">
        <v>4.4768819785430631</v>
      </c>
      <c r="G326" s="500">
        <v>3.9123767778049143</v>
      </c>
    </row>
    <row r="327" spans="1:7" ht="17.100000000000001" customHeight="1" x14ac:dyDescent="0.3">
      <c r="A327" s="497">
        <v>150000969</v>
      </c>
      <c r="B327" s="498" t="s">
        <v>1181</v>
      </c>
      <c r="C327" s="477" t="s">
        <v>192</v>
      </c>
      <c r="D327" s="499">
        <v>3</v>
      </c>
      <c r="E327" s="500">
        <v>6.2252083390203738</v>
      </c>
      <c r="F327" s="500">
        <v>6.2252083390203738</v>
      </c>
      <c r="G327" s="500">
        <v>5.3892276703556599</v>
      </c>
    </row>
    <row r="328" spans="1:7" ht="17.100000000000001" customHeight="1" x14ac:dyDescent="0.3">
      <c r="A328" s="497">
        <v>150000970</v>
      </c>
      <c r="B328" s="498" t="s">
        <v>1183</v>
      </c>
      <c r="C328" s="477" t="s">
        <v>242</v>
      </c>
      <c r="D328" s="499">
        <v>5</v>
      </c>
      <c r="E328" s="500">
        <v>4.7575133213467931</v>
      </c>
      <c r="F328" s="500">
        <v>4.7575133213467931</v>
      </c>
      <c r="G328" s="500">
        <v>4.2813897154735692</v>
      </c>
    </row>
    <row r="329" spans="1:7" ht="17.100000000000001" customHeight="1" x14ac:dyDescent="0.3">
      <c r="A329" s="497">
        <v>150000971</v>
      </c>
      <c r="B329" s="498" t="s">
        <v>1184</v>
      </c>
      <c r="C329" s="477" t="s">
        <v>193</v>
      </c>
      <c r="D329" s="499">
        <v>3</v>
      </c>
      <c r="E329" s="500">
        <v>6.3478899867385463</v>
      </c>
      <c r="F329" s="500">
        <v>6.3478899867385463</v>
      </c>
      <c r="G329" s="500">
        <v>5.1376180195544219</v>
      </c>
    </row>
    <row r="330" spans="1:7" ht="17.100000000000001" customHeight="1" x14ac:dyDescent="0.3">
      <c r="A330" s="497">
        <v>150000972</v>
      </c>
      <c r="B330" s="498" t="s">
        <v>1196</v>
      </c>
      <c r="C330" s="477" t="s">
        <v>201</v>
      </c>
      <c r="D330" s="499">
        <v>4</v>
      </c>
      <c r="E330" s="500">
        <v>5.2441445196085343</v>
      </c>
      <c r="F330" s="500">
        <v>5.2441445196085343</v>
      </c>
      <c r="G330" s="500">
        <v>4.5218109909630009</v>
      </c>
    </row>
    <row r="331" spans="1:7" ht="17.100000000000001" customHeight="1" x14ac:dyDescent="0.3">
      <c r="A331" s="497">
        <v>150000973</v>
      </c>
      <c r="B331" s="498" t="s">
        <v>1197</v>
      </c>
      <c r="C331" s="477" t="s">
        <v>49</v>
      </c>
      <c r="D331" s="499">
        <v>1</v>
      </c>
      <c r="E331" s="500">
        <v>2.1344555881140197</v>
      </c>
      <c r="F331" s="500"/>
      <c r="G331" s="500">
        <v>2.1344555881140197</v>
      </c>
    </row>
    <row r="332" spans="1:7" ht="17.100000000000001" customHeight="1" x14ac:dyDescent="0.3">
      <c r="A332" s="497">
        <v>150000974</v>
      </c>
      <c r="B332" s="498" t="s">
        <v>1198</v>
      </c>
      <c r="C332" s="477" t="s">
        <v>202</v>
      </c>
      <c r="D332" s="499">
        <v>4</v>
      </c>
      <c r="E332" s="500">
        <v>6.4365451255800847</v>
      </c>
      <c r="F332" s="500">
        <v>6.4365451255800847</v>
      </c>
      <c r="G332" s="500">
        <v>5.2366527951354618</v>
      </c>
    </row>
    <row r="333" spans="1:7" ht="17.100000000000001" customHeight="1" x14ac:dyDescent="0.3">
      <c r="A333" s="497">
        <v>150000975</v>
      </c>
      <c r="B333" s="498" t="s">
        <v>1199</v>
      </c>
      <c r="C333" s="477" t="s">
        <v>203</v>
      </c>
      <c r="D333" s="499">
        <v>4</v>
      </c>
      <c r="E333" s="500">
        <v>5.2504992648654643</v>
      </c>
      <c r="F333" s="500">
        <v>5.2504992648654643</v>
      </c>
      <c r="G333" s="500">
        <v>4.3290859710518665</v>
      </c>
    </row>
    <row r="334" spans="1:7" ht="17.100000000000001" customHeight="1" x14ac:dyDescent="0.3">
      <c r="A334" s="497">
        <v>150000976</v>
      </c>
      <c r="B334" s="498" t="s">
        <v>1200</v>
      </c>
      <c r="C334" s="477" t="s">
        <v>149</v>
      </c>
      <c r="D334" s="499">
        <v>2</v>
      </c>
      <c r="E334" s="500">
        <v>6.0968567486052896</v>
      </c>
      <c r="F334" s="500">
        <v>6.0968567486052896</v>
      </c>
      <c r="G334" s="500">
        <v>5.1902077922694545</v>
      </c>
    </row>
    <row r="335" spans="1:7" ht="17.100000000000001" customHeight="1" x14ac:dyDescent="0.3">
      <c r="A335" s="497">
        <v>150000977</v>
      </c>
      <c r="B335" s="498" t="s">
        <v>1201</v>
      </c>
      <c r="C335" s="477" t="s">
        <v>150</v>
      </c>
      <c r="D335" s="499">
        <v>2</v>
      </c>
      <c r="E335" s="500">
        <v>6.5275952569415638</v>
      </c>
      <c r="F335" s="500">
        <v>6.5275952569415638</v>
      </c>
      <c r="G335" s="500">
        <v>5.4881508638699055</v>
      </c>
    </row>
    <row r="336" spans="1:7" ht="17.100000000000001" customHeight="1" x14ac:dyDescent="0.3">
      <c r="A336" s="497">
        <v>150000978</v>
      </c>
      <c r="B336" s="498" t="s">
        <v>1202</v>
      </c>
      <c r="C336" s="477" t="s">
        <v>243</v>
      </c>
      <c r="D336" s="499">
        <v>5</v>
      </c>
      <c r="E336" s="500">
        <v>4.7774743238734203</v>
      </c>
      <c r="F336" s="500">
        <v>4.7774743238734203</v>
      </c>
      <c r="G336" s="500">
        <v>4.2696882477374931</v>
      </c>
    </row>
    <row r="337" spans="1:7" ht="17.100000000000001" customHeight="1" x14ac:dyDescent="0.3">
      <c r="A337" s="497">
        <v>150000981</v>
      </c>
      <c r="B337" s="498" t="s">
        <v>1206</v>
      </c>
      <c r="C337" s="477" t="s">
        <v>342</v>
      </c>
      <c r="D337" s="499">
        <v>9</v>
      </c>
      <c r="E337" s="500">
        <v>6.0421169690571013</v>
      </c>
      <c r="F337" s="500">
        <v>7.3961234000275127</v>
      </c>
      <c r="G337" s="500">
        <v>5.0321242600402067</v>
      </c>
    </row>
    <row r="338" spans="1:7" ht="17.100000000000001" customHeight="1" x14ac:dyDescent="0.3">
      <c r="A338" s="497">
        <v>150000982</v>
      </c>
      <c r="B338" s="498" t="s">
        <v>1207</v>
      </c>
      <c r="C338" s="477" t="s">
        <v>343</v>
      </c>
      <c r="D338" s="499">
        <v>9</v>
      </c>
      <c r="E338" s="500">
        <v>5.9306016635307897</v>
      </c>
      <c r="F338" s="500">
        <v>7.7551963358194227</v>
      </c>
      <c r="G338" s="500">
        <v>4.7935738498184897</v>
      </c>
    </row>
    <row r="339" spans="1:7" ht="17.100000000000001" customHeight="1" x14ac:dyDescent="0.3">
      <c r="A339" s="497">
        <v>150000983</v>
      </c>
      <c r="B339" s="498" t="s">
        <v>1208</v>
      </c>
      <c r="C339" s="477" t="s">
        <v>344</v>
      </c>
      <c r="D339" s="499">
        <v>9</v>
      </c>
      <c r="E339" s="500">
        <v>5.5021858027701382</v>
      </c>
      <c r="F339" s="500">
        <v>7.3450029807116461</v>
      </c>
      <c r="G339" s="500">
        <v>4.2929902431640103</v>
      </c>
    </row>
    <row r="340" spans="1:7" ht="17.100000000000001" customHeight="1" x14ac:dyDescent="0.3">
      <c r="A340" s="497">
        <v>150000984</v>
      </c>
      <c r="B340" s="498" t="s">
        <v>1209</v>
      </c>
      <c r="C340" s="477" t="s">
        <v>345</v>
      </c>
      <c r="D340" s="499">
        <v>9</v>
      </c>
      <c r="E340" s="500">
        <v>5.5224091950364445</v>
      </c>
      <c r="F340" s="500">
        <v>6.4042584908005491</v>
      </c>
      <c r="G340" s="500">
        <v>4.7781747592983397</v>
      </c>
    </row>
    <row r="341" spans="1:7" ht="17.100000000000001" customHeight="1" x14ac:dyDescent="0.3">
      <c r="A341" s="497">
        <v>150000986</v>
      </c>
      <c r="B341" s="498" t="s">
        <v>1210</v>
      </c>
      <c r="C341" s="477" t="s">
        <v>346</v>
      </c>
      <c r="D341" s="499">
        <v>9</v>
      </c>
      <c r="E341" s="500">
        <v>5.8918966216855715</v>
      </c>
      <c r="F341" s="500">
        <v>6.5150228100437317</v>
      </c>
      <c r="G341" s="500">
        <v>5.1906796835539026</v>
      </c>
    </row>
    <row r="342" spans="1:7" ht="17.100000000000001" customHeight="1" x14ac:dyDescent="0.3">
      <c r="A342" s="497">
        <v>150000987</v>
      </c>
      <c r="B342" s="498" t="s">
        <v>1212</v>
      </c>
      <c r="C342" s="477" t="s">
        <v>50</v>
      </c>
      <c r="D342" s="499">
        <v>1</v>
      </c>
      <c r="E342" s="500">
        <v>0.34186296172848551</v>
      </c>
      <c r="F342" s="500"/>
      <c r="G342" s="500">
        <v>0.34186296172848551</v>
      </c>
    </row>
    <row r="343" spans="1:7" ht="17.100000000000001" customHeight="1" x14ac:dyDescent="0.3">
      <c r="A343" s="497">
        <v>150000988</v>
      </c>
      <c r="B343" s="498" t="s">
        <v>1213</v>
      </c>
      <c r="C343" s="477" t="s">
        <v>51</v>
      </c>
      <c r="D343" s="499">
        <v>1</v>
      </c>
      <c r="E343" s="500">
        <v>1.3434664307198401</v>
      </c>
      <c r="F343" s="500"/>
      <c r="G343" s="500">
        <v>1.3434664307198401</v>
      </c>
    </row>
    <row r="344" spans="1:7" ht="17.100000000000001" customHeight="1" x14ac:dyDescent="0.3">
      <c r="A344" s="497">
        <v>150000989</v>
      </c>
      <c r="B344" s="498" t="s">
        <v>1182</v>
      </c>
      <c r="C344" s="477" t="s">
        <v>37</v>
      </c>
      <c r="D344" s="499">
        <v>1</v>
      </c>
      <c r="E344" s="500">
        <v>1.3386677419003647</v>
      </c>
      <c r="F344" s="500"/>
      <c r="G344" s="500">
        <v>1.3386677419003647</v>
      </c>
    </row>
    <row r="345" spans="1:7" ht="17.100000000000001" customHeight="1" x14ac:dyDescent="0.3">
      <c r="A345" s="497">
        <v>150000991</v>
      </c>
      <c r="B345" s="498" t="s">
        <v>1185</v>
      </c>
      <c r="C345" s="477" t="s">
        <v>341</v>
      </c>
      <c r="D345" s="499">
        <v>9</v>
      </c>
      <c r="E345" s="500">
        <v>5.5669406455463317</v>
      </c>
      <c r="F345" s="500">
        <v>6.9086241200423295</v>
      </c>
      <c r="G345" s="500">
        <v>4.9320505683068916</v>
      </c>
    </row>
    <row r="346" spans="1:7" ht="17.100000000000001" customHeight="1" x14ac:dyDescent="0.3">
      <c r="A346" s="497">
        <v>150000992</v>
      </c>
      <c r="B346" s="498" t="s">
        <v>1186</v>
      </c>
      <c r="C346" s="477" t="s">
        <v>39</v>
      </c>
      <c r="D346" s="499">
        <v>1</v>
      </c>
      <c r="E346" s="500">
        <v>1.4415260545941542</v>
      </c>
      <c r="F346" s="500"/>
      <c r="G346" s="500">
        <v>1.4415260545941542</v>
      </c>
    </row>
    <row r="347" spans="1:7" ht="17.100000000000001" customHeight="1" x14ac:dyDescent="0.3">
      <c r="A347" s="497">
        <v>150000993</v>
      </c>
      <c r="B347" s="498" t="s">
        <v>1188</v>
      </c>
      <c r="C347" s="477" t="s">
        <v>41</v>
      </c>
      <c r="D347" s="499">
        <v>1</v>
      </c>
      <c r="E347" s="500">
        <v>1.4144370817680472</v>
      </c>
      <c r="F347" s="500"/>
      <c r="G347" s="500">
        <v>1.4144370817680472</v>
      </c>
    </row>
    <row r="348" spans="1:7" ht="17.100000000000001" customHeight="1" x14ac:dyDescent="0.3">
      <c r="A348" s="497">
        <v>150000994</v>
      </c>
      <c r="B348" s="498" t="s">
        <v>1191</v>
      </c>
      <c r="C348" s="477" t="s">
        <v>44</v>
      </c>
      <c r="D348" s="499">
        <v>1</v>
      </c>
      <c r="E348" s="500">
        <v>1.7554230957844135</v>
      </c>
      <c r="F348" s="500"/>
      <c r="G348" s="500">
        <v>1.7554230957844135</v>
      </c>
    </row>
    <row r="349" spans="1:7" ht="17.100000000000001" customHeight="1" x14ac:dyDescent="0.3">
      <c r="A349" s="497">
        <v>150000995</v>
      </c>
      <c r="B349" s="498" t="s">
        <v>1194</v>
      </c>
      <c r="C349" s="477" t="s">
        <v>47</v>
      </c>
      <c r="D349" s="499">
        <v>1</v>
      </c>
      <c r="E349" s="500">
        <v>1.9070205753112273</v>
      </c>
      <c r="F349" s="500"/>
      <c r="G349" s="500">
        <v>1.9070205753112273</v>
      </c>
    </row>
    <row r="350" spans="1:7" ht="17.100000000000001" customHeight="1" x14ac:dyDescent="0.3">
      <c r="A350" s="497">
        <v>150000996</v>
      </c>
      <c r="B350" s="498" t="s">
        <v>1211</v>
      </c>
      <c r="C350" s="477" t="s">
        <v>245</v>
      </c>
      <c r="D350" s="499">
        <v>5</v>
      </c>
      <c r="E350" s="500">
        <v>5.7910334285544476</v>
      </c>
      <c r="F350" s="500">
        <v>5.7910334285544476</v>
      </c>
      <c r="G350" s="500">
        <v>4.8512069893767888</v>
      </c>
    </row>
    <row r="351" spans="1:7" ht="17.100000000000001" customHeight="1" x14ac:dyDescent="0.3">
      <c r="A351" s="497">
        <v>150000999</v>
      </c>
      <c r="B351" s="498" t="s">
        <v>1187</v>
      </c>
      <c r="C351" s="477" t="s">
        <v>40</v>
      </c>
      <c r="D351" s="499">
        <v>1</v>
      </c>
      <c r="E351" s="500">
        <v>1.4062583882304156</v>
      </c>
      <c r="F351" s="500"/>
      <c r="G351" s="500">
        <v>1.4062583882304156</v>
      </c>
    </row>
    <row r="352" spans="1:7" ht="17.100000000000001" customHeight="1" x14ac:dyDescent="0.3">
      <c r="A352" s="497">
        <v>150001000</v>
      </c>
      <c r="B352" s="498" t="s">
        <v>1189</v>
      </c>
      <c r="C352" s="477" t="s">
        <v>42</v>
      </c>
      <c r="D352" s="499">
        <v>1</v>
      </c>
      <c r="E352" s="500">
        <v>1.7250643611717429</v>
      </c>
      <c r="F352" s="500"/>
      <c r="G352" s="500">
        <v>1.7250643611717429</v>
      </c>
    </row>
    <row r="353" spans="1:7" ht="17.100000000000001" customHeight="1" x14ac:dyDescent="0.3">
      <c r="A353" s="497">
        <v>150001001</v>
      </c>
      <c r="B353" s="498" t="s">
        <v>1192</v>
      </c>
      <c r="C353" s="477" t="s">
        <v>45</v>
      </c>
      <c r="D353" s="499">
        <v>1</v>
      </c>
      <c r="E353" s="500">
        <v>1.6367179255433204</v>
      </c>
      <c r="F353" s="500"/>
      <c r="G353" s="500">
        <v>1.6367179255433204</v>
      </c>
    </row>
    <row r="354" spans="1:7" ht="17.100000000000001" customHeight="1" x14ac:dyDescent="0.3">
      <c r="A354" s="497">
        <v>150001002</v>
      </c>
      <c r="B354" s="498" t="s">
        <v>1195</v>
      </c>
      <c r="C354" s="477" t="s">
        <v>48</v>
      </c>
      <c r="D354" s="499">
        <v>1</v>
      </c>
      <c r="E354" s="500">
        <v>1.8386945499976419</v>
      </c>
      <c r="F354" s="500"/>
      <c r="G354" s="500">
        <v>1.8386945499976419</v>
      </c>
    </row>
    <row r="355" spans="1:7" ht="17.100000000000001" customHeight="1" x14ac:dyDescent="0.3">
      <c r="A355" s="497">
        <v>150001004</v>
      </c>
      <c r="B355" s="498" t="s">
        <v>1190</v>
      </c>
      <c r="C355" s="477" t="s">
        <v>43</v>
      </c>
      <c r="D355" s="499">
        <v>1</v>
      </c>
      <c r="E355" s="500">
        <v>1.3881003482150942</v>
      </c>
      <c r="F355" s="500"/>
      <c r="G355" s="500">
        <v>1.3881003482150942</v>
      </c>
    </row>
    <row r="356" spans="1:7" ht="17.100000000000001" customHeight="1" x14ac:dyDescent="0.3">
      <c r="A356" s="497">
        <v>150001005</v>
      </c>
      <c r="B356" s="498" t="s">
        <v>1193</v>
      </c>
      <c r="C356" s="477" t="s">
        <v>46</v>
      </c>
      <c r="D356" s="499">
        <v>1</v>
      </c>
      <c r="E356" s="500">
        <v>1.6038103976968501</v>
      </c>
      <c r="F356" s="500"/>
      <c r="G356" s="500">
        <v>1.6038103976968501</v>
      </c>
    </row>
    <row r="357" spans="1:7" ht="17.100000000000001" customHeight="1" x14ac:dyDescent="0.3">
      <c r="A357" s="497">
        <v>150001007</v>
      </c>
      <c r="B357" s="498" t="s">
        <v>1326</v>
      </c>
      <c r="C357" s="477" t="s">
        <v>213</v>
      </c>
      <c r="D357" s="499">
        <v>4</v>
      </c>
      <c r="E357" s="500">
        <v>4.94877875343595</v>
      </c>
      <c r="F357" s="500">
        <v>4.94877875343595</v>
      </c>
      <c r="G357" s="500">
        <v>4.385060273977655</v>
      </c>
    </row>
    <row r="358" spans="1:7" ht="17.100000000000001" customHeight="1" x14ac:dyDescent="0.3">
      <c r="A358" s="497">
        <v>150001008</v>
      </c>
      <c r="B358" s="498" t="s">
        <v>1317</v>
      </c>
      <c r="C358" s="477" t="s">
        <v>211</v>
      </c>
      <c r="D358" s="499">
        <v>4</v>
      </c>
      <c r="E358" s="500">
        <v>5.9016042392444232</v>
      </c>
      <c r="F358" s="500">
        <v>5.9016042392444232</v>
      </c>
      <c r="G358" s="500">
        <v>5.2289228490920916</v>
      </c>
    </row>
    <row r="359" spans="1:7" ht="17.100000000000001" customHeight="1" x14ac:dyDescent="0.3">
      <c r="A359" s="497">
        <v>150001009</v>
      </c>
      <c r="B359" s="498" t="s">
        <v>1319</v>
      </c>
      <c r="C359" s="477" t="s">
        <v>212</v>
      </c>
      <c r="D359" s="499">
        <v>4</v>
      </c>
      <c r="E359" s="500">
        <v>5.0007609672117503</v>
      </c>
      <c r="F359" s="500">
        <v>5.0007609672117503</v>
      </c>
      <c r="G359" s="500">
        <v>4.4096566451578711</v>
      </c>
    </row>
    <row r="360" spans="1:7" ht="17.100000000000001" customHeight="1" x14ac:dyDescent="0.3">
      <c r="A360" s="497">
        <v>150001010</v>
      </c>
      <c r="B360" s="498" t="s">
        <v>1320</v>
      </c>
      <c r="C360" s="477" t="s">
        <v>164</v>
      </c>
      <c r="D360" s="499">
        <v>2</v>
      </c>
      <c r="E360" s="500">
        <v>6.0338954791067447</v>
      </c>
      <c r="F360" s="500">
        <v>6.0338954791067447</v>
      </c>
      <c r="G360" s="500">
        <v>5.1033195815048291</v>
      </c>
    </row>
    <row r="361" spans="1:7" ht="17.100000000000001" customHeight="1" x14ac:dyDescent="0.3">
      <c r="A361" s="497">
        <v>150001011</v>
      </c>
      <c r="B361" s="498" t="s">
        <v>1321</v>
      </c>
      <c r="C361" s="477" t="s">
        <v>165</v>
      </c>
      <c r="D361" s="499">
        <v>2</v>
      </c>
      <c r="E361" s="500">
        <v>6.0735229049139887</v>
      </c>
      <c r="F361" s="500">
        <v>6.0735229049139887</v>
      </c>
      <c r="G361" s="500">
        <v>5.2974938384425112</v>
      </c>
    </row>
    <row r="362" spans="1:7" ht="17.100000000000001" customHeight="1" x14ac:dyDescent="0.3">
      <c r="A362" s="497">
        <v>150001013</v>
      </c>
      <c r="B362" s="498" t="s">
        <v>1322</v>
      </c>
      <c r="C362" s="477" t="s">
        <v>260</v>
      </c>
      <c r="D362" s="499">
        <v>5</v>
      </c>
      <c r="E362" s="500">
        <v>4.9065532376532737</v>
      </c>
      <c r="F362" s="500">
        <v>4.9065532376532737</v>
      </c>
      <c r="G362" s="500">
        <v>4.1032899300370742</v>
      </c>
    </row>
    <row r="363" spans="1:7" ht="17.100000000000001" customHeight="1" x14ac:dyDescent="0.3">
      <c r="A363" s="497">
        <v>150001014</v>
      </c>
      <c r="B363" s="498" t="s">
        <v>1323</v>
      </c>
      <c r="C363" s="477" t="s">
        <v>166</v>
      </c>
      <c r="D363" s="499">
        <v>2</v>
      </c>
      <c r="E363" s="500">
        <v>5.3708735679172532</v>
      </c>
      <c r="F363" s="500">
        <v>5.3708735679172532</v>
      </c>
      <c r="G363" s="500">
        <v>4.6106554953044894</v>
      </c>
    </row>
    <row r="364" spans="1:7" ht="17.100000000000001" customHeight="1" x14ac:dyDescent="0.3">
      <c r="A364" s="497">
        <v>150001015</v>
      </c>
      <c r="B364" s="498" t="s">
        <v>1324</v>
      </c>
      <c r="C364" s="477" t="s">
        <v>99</v>
      </c>
      <c r="D364" s="499">
        <v>1</v>
      </c>
      <c r="E364" s="500">
        <v>1.2699987905552541</v>
      </c>
      <c r="F364" s="500"/>
      <c r="G364" s="500">
        <v>1.2699987905552541</v>
      </c>
    </row>
    <row r="365" spans="1:7" ht="17.100000000000001" customHeight="1" x14ac:dyDescent="0.3">
      <c r="A365" s="497">
        <v>150001016</v>
      </c>
      <c r="B365" s="498" t="s">
        <v>1325</v>
      </c>
      <c r="C365" s="477" t="s">
        <v>261</v>
      </c>
      <c r="D365" s="499">
        <v>5</v>
      </c>
      <c r="E365" s="500">
        <v>5.0208612816706939</v>
      </c>
      <c r="F365" s="500">
        <v>5.0208612816706939</v>
      </c>
      <c r="G365" s="500">
        <v>4.2913911110361864</v>
      </c>
    </row>
    <row r="366" spans="1:7" ht="17.100000000000001" customHeight="1" x14ac:dyDescent="0.3">
      <c r="A366" s="497">
        <v>150001018</v>
      </c>
      <c r="B366" s="498" t="s">
        <v>1327</v>
      </c>
      <c r="C366" s="477" t="s">
        <v>429</v>
      </c>
      <c r="D366" s="499">
        <v>5</v>
      </c>
      <c r="E366" s="500"/>
      <c r="F366" s="500"/>
      <c r="G366" s="500"/>
    </row>
    <row r="367" spans="1:7" ht="17.100000000000001" customHeight="1" x14ac:dyDescent="0.3">
      <c r="A367" s="497">
        <v>150001019</v>
      </c>
      <c r="B367" s="498" t="s">
        <v>1328</v>
      </c>
      <c r="C367" s="477" t="s">
        <v>419</v>
      </c>
      <c r="D367" s="499">
        <v>10</v>
      </c>
      <c r="E367" s="500">
        <v>5.8561150322212265</v>
      </c>
      <c r="F367" s="500">
        <v>7.0313988248854233</v>
      </c>
      <c r="G367" s="500">
        <v>4.8367636983827786</v>
      </c>
    </row>
    <row r="368" spans="1:7" ht="17.100000000000001" customHeight="1" x14ac:dyDescent="0.3">
      <c r="A368" s="497">
        <v>150001020</v>
      </c>
      <c r="B368" s="498" t="s">
        <v>1329</v>
      </c>
      <c r="C368" s="477" t="s">
        <v>100</v>
      </c>
      <c r="D368" s="499">
        <v>1</v>
      </c>
      <c r="E368" s="500">
        <v>1.581927671370402</v>
      </c>
      <c r="F368" s="500"/>
      <c r="G368" s="500">
        <v>1.581927671370402</v>
      </c>
    </row>
    <row r="369" spans="1:7" ht="17.100000000000001" customHeight="1" x14ac:dyDescent="0.3">
      <c r="A369" s="497">
        <v>150001021</v>
      </c>
      <c r="B369" s="498" t="s">
        <v>1330</v>
      </c>
      <c r="C369" s="477" t="s">
        <v>363</v>
      </c>
      <c r="D369" s="499">
        <v>9</v>
      </c>
      <c r="E369" s="500">
        <v>5.454300738822873</v>
      </c>
      <c r="F369" s="500">
        <v>7.0069922192172074</v>
      </c>
      <c r="G369" s="500">
        <v>4.676506445336793</v>
      </c>
    </row>
    <row r="370" spans="1:7" ht="17.100000000000001" customHeight="1" x14ac:dyDescent="0.3">
      <c r="A370" s="497">
        <v>150001022</v>
      </c>
      <c r="B370" s="498" t="s">
        <v>1332</v>
      </c>
      <c r="C370" s="477" t="s">
        <v>364</v>
      </c>
      <c r="D370" s="499">
        <v>9</v>
      </c>
      <c r="E370" s="500">
        <v>5.8725312662303164</v>
      </c>
      <c r="F370" s="500">
        <v>7.3537990358006748</v>
      </c>
      <c r="G370" s="500">
        <v>5.1404164974221018</v>
      </c>
    </row>
    <row r="371" spans="1:7" ht="17.100000000000001" customHeight="1" x14ac:dyDescent="0.3">
      <c r="A371" s="497">
        <v>150001023</v>
      </c>
      <c r="B371" s="498" t="s">
        <v>1333</v>
      </c>
      <c r="C371" s="477" t="s">
        <v>365</v>
      </c>
      <c r="D371" s="499">
        <v>9</v>
      </c>
      <c r="E371" s="500">
        <v>5.8139382288998096</v>
      </c>
      <c r="F371" s="500">
        <v>6.9834541852383785</v>
      </c>
      <c r="G371" s="500">
        <v>4.8096127611270356</v>
      </c>
    </row>
    <row r="372" spans="1:7" ht="17.100000000000001" customHeight="1" x14ac:dyDescent="0.3">
      <c r="A372" s="497">
        <v>150001024</v>
      </c>
      <c r="B372" s="498" t="s">
        <v>1334</v>
      </c>
      <c r="C372" s="477" t="s">
        <v>366</v>
      </c>
      <c r="D372" s="499">
        <v>9</v>
      </c>
      <c r="E372" s="500">
        <v>6.0411627952491722</v>
      </c>
      <c r="F372" s="500">
        <v>7.3946462589418207</v>
      </c>
      <c r="G372" s="500">
        <v>5.0439020557213281</v>
      </c>
    </row>
    <row r="373" spans="1:7" ht="17.100000000000001" customHeight="1" x14ac:dyDescent="0.3">
      <c r="A373" s="497">
        <v>150001025</v>
      </c>
      <c r="B373" s="498" t="s">
        <v>1335</v>
      </c>
      <c r="C373" s="477" t="s">
        <v>420</v>
      </c>
      <c r="D373" s="499">
        <v>10</v>
      </c>
      <c r="E373" s="500">
        <v>5.7690279049624094</v>
      </c>
      <c r="F373" s="500">
        <v>6.9079426600288008</v>
      </c>
      <c r="G373" s="500">
        <v>4.8471662313009372</v>
      </c>
    </row>
    <row r="374" spans="1:7" ht="17.100000000000001" customHeight="1" x14ac:dyDescent="0.3">
      <c r="A374" s="497">
        <v>150001026</v>
      </c>
      <c r="B374" s="498" t="s">
        <v>1336</v>
      </c>
      <c r="C374" s="477" t="s">
        <v>334</v>
      </c>
      <c r="D374" s="499">
        <v>8</v>
      </c>
      <c r="E374" s="500">
        <v>6.1519542693028075</v>
      </c>
      <c r="F374" s="500">
        <v>7.7151568376438355</v>
      </c>
      <c r="G374" s="500">
        <v>5.4054494663395838</v>
      </c>
    </row>
    <row r="375" spans="1:7" ht="17.100000000000001" customHeight="1" x14ac:dyDescent="0.3">
      <c r="A375" s="497">
        <v>150001027</v>
      </c>
      <c r="B375" s="498" t="s">
        <v>1337</v>
      </c>
      <c r="C375" s="477" t="s">
        <v>367</v>
      </c>
      <c r="D375" s="499">
        <v>9</v>
      </c>
      <c r="E375" s="500">
        <v>5.8523338005686236</v>
      </c>
      <c r="F375" s="500">
        <v>7.0700781193831848</v>
      </c>
      <c r="G375" s="500">
        <v>5.005275604704031</v>
      </c>
    </row>
    <row r="376" spans="1:7" ht="17.100000000000001" customHeight="1" x14ac:dyDescent="0.3">
      <c r="A376" s="497">
        <v>150001028</v>
      </c>
      <c r="B376" s="498" t="s">
        <v>1338</v>
      </c>
      <c r="C376" s="477" t="s">
        <v>101</v>
      </c>
      <c r="D376" s="499">
        <v>1</v>
      </c>
      <c r="E376" s="500">
        <v>2.3292843571470194</v>
      </c>
      <c r="F376" s="500"/>
      <c r="G376" s="500">
        <v>2.3292843571470194</v>
      </c>
    </row>
    <row r="377" spans="1:7" ht="17.100000000000001" customHeight="1" x14ac:dyDescent="0.3">
      <c r="A377" s="497">
        <v>150001029</v>
      </c>
      <c r="B377" s="498" t="s">
        <v>1340</v>
      </c>
      <c r="C377" s="477" t="s">
        <v>368</v>
      </c>
      <c r="D377" s="499">
        <v>9</v>
      </c>
      <c r="E377" s="500">
        <v>6.3200055743525345</v>
      </c>
      <c r="F377" s="500">
        <v>7.6075024938781581</v>
      </c>
      <c r="G377" s="500">
        <v>5.7199924102816881</v>
      </c>
    </row>
    <row r="378" spans="1:7" ht="17.100000000000001" customHeight="1" x14ac:dyDescent="0.3">
      <c r="A378" s="497">
        <v>150001030</v>
      </c>
      <c r="B378" s="498" t="s">
        <v>1341</v>
      </c>
      <c r="C378" s="477" t="s">
        <v>335</v>
      </c>
      <c r="D378" s="499">
        <v>8</v>
      </c>
      <c r="E378" s="500">
        <v>5.6436686827549165</v>
      </c>
      <c r="F378" s="500">
        <v>7.2435965931885855</v>
      </c>
      <c r="G378" s="500">
        <v>5.0131020224758327</v>
      </c>
    </row>
    <row r="379" spans="1:7" ht="17.100000000000001" customHeight="1" x14ac:dyDescent="0.3">
      <c r="A379" s="497">
        <v>150001031</v>
      </c>
      <c r="B379" s="498" t="s">
        <v>1342</v>
      </c>
      <c r="C379" s="477" t="s">
        <v>103</v>
      </c>
      <c r="D379" s="499">
        <v>1</v>
      </c>
      <c r="E379" s="500">
        <v>2.2050756335787618</v>
      </c>
      <c r="F379" s="500"/>
      <c r="G379" s="500">
        <v>2.2050756335787618</v>
      </c>
    </row>
    <row r="380" spans="1:7" ht="17.100000000000001" customHeight="1" x14ac:dyDescent="0.3">
      <c r="A380" s="497">
        <v>150001032</v>
      </c>
      <c r="B380" s="498" t="s">
        <v>1344</v>
      </c>
      <c r="C380" s="477" t="s">
        <v>369</v>
      </c>
      <c r="D380" s="499">
        <v>9</v>
      </c>
      <c r="E380" s="500">
        <v>6.321812078880054</v>
      </c>
      <c r="F380" s="500">
        <v>8.2220993330953238</v>
      </c>
      <c r="G380" s="500">
        <v>5.2760407988167168</v>
      </c>
    </row>
    <row r="381" spans="1:7" ht="17.100000000000001" customHeight="1" x14ac:dyDescent="0.3">
      <c r="A381" s="497">
        <v>150001033</v>
      </c>
      <c r="B381" s="498" t="s">
        <v>1318</v>
      </c>
      <c r="C381" s="477" t="s">
        <v>362</v>
      </c>
      <c r="D381" s="499">
        <v>9</v>
      </c>
      <c r="E381" s="500">
        <v>6.1951520626011511</v>
      </c>
      <c r="F381" s="500">
        <v>7.5825658751556722</v>
      </c>
      <c r="G381" s="500">
        <v>4.9562478843693736</v>
      </c>
    </row>
    <row r="382" spans="1:7" ht="17.100000000000001" customHeight="1" x14ac:dyDescent="0.3">
      <c r="A382" s="497">
        <v>150001035</v>
      </c>
      <c r="B382" s="498" t="s">
        <v>1331</v>
      </c>
      <c r="C382" s="477" t="s">
        <v>262</v>
      </c>
      <c r="D382" s="499">
        <v>5</v>
      </c>
      <c r="E382" s="500">
        <v>6.2707229469166439</v>
      </c>
      <c r="F382" s="500">
        <v>6.2707229469166439</v>
      </c>
      <c r="G382" s="500">
        <v>5.6248499255027671</v>
      </c>
    </row>
    <row r="383" spans="1:7" ht="17.100000000000001" customHeight="1" x14ac:dyDescent="0.3">
      <c r="A383" s="497">
        <v>150001036</v>
      </c>
      <c r="B383" s="498" t="s">
        <v>1339</v>
      </c>
      <c r="C383" s="477" t="s">
        <v>102</v>
      </c>
      <c r="D383" s="499">
        <v>1</v>
      </c>
      <c r="E383" s="500">
        <v>1.8650399843337748</v>
      </c>
      <c r="F383" s="500"/>
      <c r="G383" s="500">
        <v>1.8650399843337748</v>
      </c>
    </row>
    <row r="384" spans="1:7" ht="17.100000000000001" customHeight="1" x14ac:dyDescent="0.3">
      <c r="A384" s="497">
        <v>150001037</v>
      </c>
      <c r="B384" s="498" t="s">
        <v>1343</v>
      </c>
      <c r="C384" s="477" t="s">
        <v>104</v>
      </c>
      <c r="D384" s="499">
        <v>1</v>
      </c>
      <c r="E384" s="500">
        <v>2.0799687734351764</v>
      </c>
      <c r="F384" s="500"/>
      <c r="G384" s="500">
        <v>2.0799687734351764</v>
      </c>
    </row>
    <row r="385" spans="1:7" ht="17.100000000000001" customHeight="1" x14ac:dyDescent="0.3">
      <c r="A385" s="497">
        <v>150001040</v>
      </c>
      <c r="B385" s="498" t="s">
        <v>1408</v>
      </c>
      <c r="C385" s="477" t="s">
        <v>216</v>
      </c>
      <c r="D385" s="499">
        <v>4</v>
      </c>
      <c r="E385" s="500">
        <v>5.4584264701558043</v>
      </c>
      <c r="F385" s="500">
        <v>5.4584264701558043</v>
      </c>
      <c r="G385" s="500">
        <v>4.6143457503492114</v>
      </c>
    </row>
    <row r="386" spans="1:7" ht="17.100000000000001" customHeight="1" x14ac:dyDescent="0.3">
      <c r="A386" s="497">
        <v>150001041</v>
      </c>
      <c r="B386" s="498" t="s">
        <v>1412</v>
      </c>
      <c r="C386" s="477" t="s">
        <v>196</v>
      </c>
      <c r="D386" s="499">
        <v>3</v>
      </c>
      <c r="E386" s="500">
        <v>5.5425740958296386</v>
      </c>
      <c r="F386" s="500">
        <v>5.5425740958296386</v>
      </c>
      <c r="G386" s="500">
        <v>4.6944804630737345</v>
      </c>
    </row>
    <row r="387" spans="1:7" ht="17.100000000000001" customHeight="1" x14ac:dyDescent="0.3">
      <c r="A387" s="497">
        <v>150001042</v>
      </c>
      <c r="B387" s="498" t="s">
        <v>1413</v>
      </c>
      <c r="C387" s="477" t="s">
        <v>181</v>
      </c>
      <c r="D387" s="499">
        <v>2</v>
      </c>
      <c r="E387" s="500">
        <v>6.4085588488890757</v>
      </c>
      <c r="F387" s="500">
        <v>6.4085588488890757</v>
      </c>
      <c r="G387" s="500">
        <v>5.3301031982827869</v>
      </c>
    </row>
    <row r="388" spans="1:7" ht="17.100000000000001" customHeight="1" x14ac:dyDescent="0.3">
      <c r="A388" s="497">
        <v>150001043</v>
      </c>
      <c r="B388" s="498" t="s">
        <v>1414</v>
      </c>
      <c r="C388" s="477" t="s">
        <v>217</v>
      </c>
      <c r="D388" s="499">
        <v>4</v>
      </c>
      <c r="E388" s="500">
        <v>5.615974057354018</v>
      </c>
      <c r="F388" s="500">
        <v>5.615974057354018</v>
      </c>
      <c r="G388" s="500">
        <v>5.0380969556443516</v>
      </c>
    </row>
    <row r="389" spans="1:7" ht="17.100000000000001" customHeight="1" x14ac:dyDescent="0.3">
      <c r="A389" s="497">
        <v>150001044</v>
      </c>
      <c r="B389" s="498" t="s">
        <v>1404</v>
      </c>
      <c r="C389" s="477" t="s">
        <v>269</v>
      </c>
      <c r="D389" s="499">
        <v>5</v>
      </c>
      <c r="E389" s="500">
        <v>4.3348059431117818</v>
      </c>
      <c r="F389" s="500">
        <v>4.3348059431117818</v>
      </c>
      <c r="G389" s="500">
        <v>3.8683241544870275</v>
      </c>
    </row>
    <row r="390" spans="1:7" ht="17.100000000000001" customHeight="1" x14ac:dyDescent="0.3">
      <c r="A390" s="497">
        <v>150001045</v>
      </c>
      <c r="B390" s="498" t="s">
        <v>1406</v>
      </c>
      <c r="C390" s="477" t="s">
        <v>271</v>
      </c>
      <c r="D390" s="499">
        <v>5</v>
      </c>
      <c r="E390" s="500">
        <v>4.9278371046074234</v>
      </c>
      <c r="F390" s="500">
        <v>4.9278371046074234</v>
      </c>
      <c r="G390" s="500">
        <v>4.4113507681397683</v>
      </c>
    </row>
    <row r="391" spans="1:7" ht="17.100000000000001" customHeight="1" x14ac:dyDescent="0.3">
      <c r="A391" s="497">
        <v>150001046</v>
      </c>
      <c r="B391" s="498" t="s">
        <v>1407</v>
      </c>
      <c r="C391" s="477" t="s">
        <v>272</v>
      </c>
      <c r="D391" s="499">
        <v>5</v>
      </c>
      <c r="E391" s="500">
        <v>4.6448983654265206</v>
      </c>
      <c r="F391" s="500">
        <v>4.6448983654265206</v>
      </c>
      <c r="G391" s="500">
        <v>4.1839873461391299</v>
      </c>
    </row>
    <row r="392" spans="1:7" ht="17.100000000000001" customHeight="1" x14ac:dyDescent="0.3">
      <c r="A392" s="497">
        <v>150001047</v>
      </c>
      <c r="B392" s="498" t="s">
        <v>1409</v>
      </c>
      <c r="C392" s="477" t="s">
        <v>179</v>
      </c>
      <c r="D392" s="499">
        <v>2</v>
      </c>
      <c r="E392" s="500">
        <v>4.4604448610865148</v>
      </c>
      <c r="F392" s="500">
        <v>4.4604448610865148</v>
      </c>
      <c r="G392" s="500">
        <v>4.4276807929863091</v>
      </c>
    </row>
    <row r="393" spans="1:7" ht="17.100000000000001" customHeight="1" x14ac:dyDescent="0.3">
      <c r="A393" s="497">
        <v>150001048</v>
      </c>
      <c r="B393" s="498" t="s">
        <v>1410</v>
      </c>
      <c r="C393" s="477" t="s">
        <v>125</v>
      </c>
      <c r="D393" s="499">
        <v>1</v>
      </c>
      <c r="E393" s="500">
        <v>2.2469760757547279</v>
      </c>
      <c r="F393" s="500"/>
      <c r="G393" s="500">
        <v>2.2469760757547279</v>
      </c>
    </row>
    <row r="394" spans="1:7" ht="17.100000000000001" customHeight="1" x14ac:dyDescent="0.3">
      <c r="A394" s="497">
        <v>150001049</v>
      </c>
      <c r="B394" s="498" t="s">
        <v>1411</v>
      </c>
      <c r="C394" s="477" t="s">
        <v>180</v>
      </c>
      <c r="D394" s="499">
        <v>2</v>
      </c>
      <c r="E394" s="500">
        <v>5.7256110785667111</v>
      </c>
      <c r="F394" s="500">
        <v>5.7256110785667111</v>
      </c>
      <c r="G394" s="500">
        <v>4.859066662679175</v>
      </c>
    </row>
    <row r="395" spans="1:7" ht="17.100000000000001" customHeight="1" x14ac:dyDescent="0.3">
      <c r="A395" s="497">
        <v>150001050</v>
      </c>
      <c r="B395" s="498" t="s">
        <v>1405</v>
      </c>
      <c r="C395" s="477" t="s">
        <v>270</v>
      </c>
      <c r="D395" s="499">
        <v>5</v>
      </c>
      <c r="E395" s="500">
        <v>4.7754037248512429</v>
      </c>
      <c r="F395" s="500">
        <v>4.7754037248512429</v>
      </c>
      <c r="G395" s="500">
        <v>4.3313456255871632</v>
      </c>
    </row>
    <row r="396" spans="1:7" ht="17.100000000000001" customHeight="1" x14ac:dyDescent="0.3">
      <c r="A396" s="497">
        <v>150001053</v>
      </c>
      <c r="B396" s="498" t="s">
        <v>1168</v>
      </c>
      <c r="C396" s="477" t="s">
        <v>146</v>
      </c>
      <c r="D396" s="499">
        <v>2</v>
      </c>
      <c r="E396" s="500">
        <v>5.7005824203229967</v>
      </c>
      <c r="F396" s="500">
        <v>5.7005824203229967</v>
      </c>
      <c r="G396" s="500">
        <v>5.1294110528349899</v>
      </c>
    </row>
    <row r="397" spans="1:7" ht="17.100000000000001" customHeight="1" x14ac:dyDescent="0.3">
      <c r="A397" s="497">
        <v>150001054</v>
      </c>
      <c r="B397" s="498" t="s">
        <v>1298</v>
      </c>
      <c r="C397" s="477" t="s">
        <v>85</v>
      </c>
      <c r="D397" s="499">
        <v>1</v>
      </c>
      <c r="E397" s="500">
        <v>1.4503202773270134</v>
      </c>
      <c r="F397" s="500"/>
      <c r="G397" s="500">
        <v>1.4503202773270134</v>
      </c>
    </row>
    <row r="398" spans="1:7" ht="17.100000000000001" customHeight="1" x14ac:dyDescent="0.3">
      <c r="A398" s="497">
        <v>150001071</v>
      </c>
      <c r="B398" s="498" t="s">
        <v>1357</v>
      </c>
      <c r="C398" s="477" t="s">
        <v>167</v>
      </c>
      <c r="D398" s="499">
        <v>2</v>
      </c>
      <c r="E398" s="500">
        <v>3.6780811131855971</v>
      </c>
      <c r="F398" s="500">
        <v>3.6780811131855971</v>
      </c>
      <c r="G398" s="500">
        <v>3.6218949365235571</v>
      </c>
    </row>
    <row r="399" spans="1:7" ht="17.100000000000001" customHeight="1" x14ac:dyDescent="0.3">
      <c r="A399" s="497">
        <v>150001094</v>
      </c>
      <c r="B399" s="498" t="s">
        <v>1525</v>
      </c>
      <c r="C399" s="477" t="s">
        <v>185</v>
      </c>
      <c r="D399" s="499">
        <v>2</v>
      </c>
      <c r="E399" s="500">
        <v>2.4698805922598757</v>
      </c>
      <c r="F399" s="500">
        <v>2.4698805922598757</v>
      </c>
      <c r="G399" s="500">
        <v>2.391290120978494</v>
      </c>
    </row>
    <row r="400" spans="1:7" ht="17.100000000000001" customHeight="1" x14ac:dyDescent="0.3">
      <c r="A400" s="497">
        <v>150001561</v>
      </c>
      <c r="B400" s="498" t="s">
        <v>1441</v>
      </c>
      <c r="C400" s="477" t="s">
        <v>399</v>
      </c>
      <c r="D400" s="499">
        <v>9</v>
      </c>
      <c r="E400" s="500">
        <v>4.6285575368843217</v>
      </c>
      <c r="F400" s="500">
        <v>5.2575302079328505</v>
      </c>
      <c r="G400" s="500">
        <v>3.7346500935356937</v>
      </c>
    </row>
    <row r="401" spans="1:7" ht="17.100000000000001" customHeight="1" x14ac:dyDescent="0.3">
      <c r="A401" s="497">
        <v>150001562</v>
      </c>
      <c r="B401" s="498" t="s">
        <v>1275</v>
      </c>
      <c r="C401" s="477" t="s">
        <v>208</v>
      </c>
      <c r="D401" s="499">
        <v>4</v>
      </c>
      <c r="E401" s="500">
        <v>5.1751876602087608</v>
      </c>
      <c r="F401" s="500">
        <v>5.1751876602087608</v>
      </c>
      <c r="G401" s="500">
        <v>4.7652041874748914</v>
      </c>
    </row>
    <row r="402" spans="1:7" ht="17.100000000000001" customHeight="1" x14ac:dyDescent="0.3">
      <c r="A402" s="502"/>
      <c r="B402" s="503" t="s">
        <v>1563</v>
      </c>
      <c r="C402" s="504"/>
      <c r="D402" s="504"/>
      <c r="E402" s="505">
        <v>5.2800193965106246</v>
      </c>
      <c r="F402" s="505">
        <v>7.1592094690006567</v>
      </c>
      <c r="G402" s="505">
        <v>4.4657661253855281</v>
      </c>
    </row>
    <row r="405" spans="1:7" ht="18" x14ac:dyDescent="0.3">
      <c r="A405" s="506"/>
      <c r="B405" s="507">
        <v>44335</v>
      </c>
      <c r="C405" s="508"/>
      <c r="D405" s="508"/>
      <c r="E405" s="509"/>
      <c r="F405" s="509"/>
      <c r="G405" s="509"/>
    </row>
    <row r="406" spans="1:7" ht="18" x14ac:dyDescent="0.3">
      <c r="A406" s="510"/>
      <c r="C406" s="508"/>
      <c r="D406" s="508"/>
      <c r="E406" s="509"/>
      <c r="F406" s="509"/>
      <c r="G406" s="509"/>
    </row>
    <row r="415" spans="1:7" x14ac:dyDescent="0.3">
      <c r="A415" s="4"/>
      <c r="E415" s="471"/>
      <c r="F415" s="471"/>
      <c r="G415" s="471"/>
    </row>
  </sheetData>
  <autoFilter ref="A5:G5" xr:uid="{00000000-0009-0000-0000-00000C000000}"/>
  <sortState xmlns:xlrd2="http://schemas.microsoft.com/office/spreadsheetml/2017/richdata2" ref="A7:G401">
    <sortCondition ref="A7:A401"/>
  </sortState>
  <mergeCells count="6">
    <mergeCell ref="A2:G2"/>
    <mergeCell ref="A4:A5"/>
    <mergeCell ref="B4:B5"/>
    <mergeCell ref="C4:C5"/>
    <mergeCell ref="D4:D5"/>
    <mergeCell ref="E4:G4"/>
  </mergeCells>
  <pageMargins left="0.70866141732283472" right="0.11811023622047245" top="0.15748031496062992" bottom="0.15748031496062992" header="0.31496062992125984" footer="0.31496062992125984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2:B407"/>
  <sheetViews>
    <sheetView workbookViewId="0">
      <selection activeCell="U29" sqref="U29"/>
    </sheetView>
  </sheetViews>
  <sheetFormatPr defaultRowHeight="14.4" x14ac:dyDescent="0.3"/>
  <cols>
    <col min="1" max="1" width="34.44140625" style="1" customWidth="1"/>
    <col min="2" max="2" width="22.88671875" style="8" customWidth="1"/>
  </cols>
  <sheetData>
    <row r="2" spans="1:2" x14ac:dyDescent="0.3">
      <c r="A2" s="4" t="s">
        <v>1099</v>
      </c>
    </row>
    <row r="5" spans="1:2" ht="15" thickBot="1" x14ac:dyDescent="0.35">
      <c r="B5" s="322" t="s">
        <v>1097</v>
      </c>
    </row>
    <row r="6" spans="1:2" x14ac:dyDescent="0.3">
      <c r="A6" s="1212" t="s">
        <v>1</v>
      </c>
      <c r="B6" s="1240" t="s">
        <v>1098</v>
      </c>
    </row>
    <row r="7" spans="1:2" x14ac:dyDescent="0.3">
      <c r="A7" s="1213"/>
      <c r="B7" s="1241"/>
    </row>
    <row r="8" spans="1:2" ht="55.95" customHeight="1" thickBot="1" x14ac:dyDescent="0.35">
      <c r="A8" s="1214"/>
      <c r="B8" s="1242"/>
    </row>
    <row r="9" spans="1:2" x14ac:dyDescent="0.3">
      <c r="A9" s="86" t="s">
        <v>146</v>
      </c>
      <c r="B9" s="323">
        <v>-1294.7781160952381</v>
      </c>
    </row>
    <row r="10" spans="1:2" x14ac:dyDescent="0.3">
      <c r="A10" s="45" t="s">
        <v>239</v>
      </c>
      <c r="B10" s="323">
        <v>70765.657991191052</v>
      </c>
    </row>
    <row r="11" spans="1:2" x14ac:dyDescent="0.3">
      <c r="A11" s="45" t="s">
        <v>240</v>
      </c>
      <c r="B11" s="323">
        <v>-12458.738520082312</v>
      </c>
    </row>
    <row r="12" spans="1:2" x14ac:dyDescent="0.3">
      <c r="A12" s="45" t="s">
        <v>338</v>
      </c>
      <c r="B12" s="323">
        <v>106971.17398295092</v>
      </c>
    </row>
    <row r="13" spans="1:2" x14ac:dyDescent="0.3">
      <c r="A13" s="45" t="s">
        <v>339</v>
      </c>
      <c r="B13" s="323">
        <v>4167.4546463684637</v>
      </c>
    </row>
    <row r="14" spans="1:2" x14ac:dyDescent="0.3">
      <c r="A14" s="45" t="s">
        <v>33</v>
      </c>
      <c r="B14" s="323">
        <v>-5087.9980893170741</v>
      </c>
    </row>
    <row r="15" spans="1:2" x14ac:dyDescent="0.3">
      <c r="A15" s="45" t="s">
        <v>34</v>
      </c>
      <c r="B15" s="323">
        <v>-2696.6859839767171</v>
      </c>
    </row>
    <row r="16" spans="1:2" x14ac:dyDescent="0.3">
      <c r="A16" s="45" t="s">
        <v>35</v>
      </c>
      <c r="B16" s="323">
        <v>-1475.5621906743368</v>
      </c>
    </row>
    <row r="17" spans="1:2" x14ac:dyDescent="0.3">
      <c r="A17" s="45" t="s">
        <v>36</v>
      </c>
      <c r="B17" s="323">
        <v>860.38289379885782</v>
      </c>
    </row>
    <row r="18" spans="1:2" x14ac:dyDescent="0.3">
      <c r="A18" s="45" t="s">
        <v>340</v>
      </c>
      <c r="B18" s="323">
        <v>3926.1674043306666</v>
      </c>
    </row>
    <row r="19" spans="1:2" x14ac:dyDescent="0.3">
      <c r="A19" s="45" t="s">
        <v>147</v>
      </c>
      <c r="B19" s="323">
        <v>2636.1991623067479</v>
      </c>
    </row>
    <row r="20" spans="1:2" x14ac:dyDescent="0.3">
      <c r="A20" s="45" t="s">
        <v>148</v>
      </c>
      <c r="B20" s="323">
        <v>30156.473284759355</v>
      </c>
    </row>
    <row r="21" spans="1:2" x14ac:dyDescent="0.3">
      <c r="A21" s="45" t="s">
        <v>241</v>
      </c>
      <c r="B21" s="323">
        <v>-58084.109815016913</v>
      </c>
    </row>
    <row r="22" spans="1:2" x14ac:dyDescent="0.3">
      <c r="A22" s="45" t="s">
        <v>192</v>
      </c>
      <c r="B22" s="323">
        <v>-331.38096688206861</v>
      </c>
    </row>
    <row r="23" spans="1:2" x14ac:dyDescent="0.3">
      <c r="A23" s="45" t="s">
        <v>37</v>
      </c>
      <c r="B23" s="323">
        <v>-1850.5525597112535</v>
      </c>
    </row>
    <row r="24" spans="1:2" x14ac:dyDescent="0.3">
      <c r="A24" s="45" t="s">
        <v>38</v>
      </c>
      <c r="B24" s="323">
        <v>1237.1889017815415</v>
      </c>
    </row>
    <row r="25" spans="1:2" x14ac:dyDescent="0.3">
      <c r="A25" s="45" t="s">
        <v>242</v>
      </c>
      <c r="B25" s="323">
        <v>66221.607901605355</v>
      </c>
    </row>
    <row r="26" spans="1:2" x14ac:dyDescent="0.3">
      <c r="A26" s="45" t="s">
        <v>193</v>
      </c>
      <c r="B26" s="323">
        <v>11272.948186680871</v>
      </c>
    </row>
    <row r="27" spans="1:2" x14ac:dyDescent="0.3">
      <c r="A27" s="45" t="s">
        <v>341</v>
      </c>
      <c r="B27" s="323">
        <v>6346.1492217753585</v>
      </c>
    </row>
    <row r="28" spans="1:2" x14ac:dyDescent="0.3">
      <c r="A28" s="45" t="s">
        <v>39</v>
      </c>
      <c r="B28" s="323">
        <v>-2907.9407554146833</v>
      </c>
    </row>
    <row r="29" spans="1:2" x14ac:dyDescent="0.3">
      <c r="A29" s="45" t="s">
        <v>40</v>
      </c>
      <c r="B29" s="323">
        <v>-2267.7228341369082</v>
      </c>
    </row>
    <row r="30" spans="1:2" x14ac:dyDescent="0.3">
      <c r="A30" s="45" t="s">
        <v>41</v>
      </c>
      <c r="B30" s="323">
        <v>-2387.3976071398392</v>
      </c>
    </row>
    <row r="31" spans="1:2" x14ac:dyDescent="0.3">
      <c r="A31" s="45" t="s">
        <v>42</v>
      </c>
      <c r="B31" s="323">
        <v>1451.8620019371083</v>
      </c>
    </row>
    <row r="32" spans="1:2" x14ac:dyDescent="0.3">
      <c r="A32" s="45" t="s">
        <v>43</v>
      </c>
      <c r="B32" s="323">
        <v>-1599.0278946254953</v>
      </c>
    </row>
    <row r="33" spans="1:2" x14ac:dyDescent="0.3">
      <c r="A33" s="45" t="s">
        <v>44</v>
      </c>
      <c r="B33" s="323">
        <v>976.99267456387247</v>
      </c>
    </row>
    <row r="34" spans="1:2" x14ac:dyDescent="0.3">
      <c r="A34" s="45" t="s">
        <v>45</v>
      </c>
      <c r="B34" s="323">
        <v>-2187.6466705988223</v>
      </c>
    </row>
    <row r="35" spans="1:2" x14ac:dyDescent="0.3">
      <c r="A35" s="45" t="s">
        <v>46</v>
      </c>
      <c r="B35" s="323">
        <v>-3487.2238220562722</v>
      </c>
    </row>
    <row r="36" spans="1:2" x14ac:dyDescent="0.3">
      <c r="A36" s="45" t="s">
        <v>47</v>
      </c>
      <c r="B36" s="323">
        <v>1681.325314312021</v>
      </c>
    </row>
    <row r="37" spans="1:2" x14ac:dyDescent="0.3">
      <c r="A37" s="45" t="s">
        <v>48</v>
      </c>
      <c r="B37" s="323">
        <v>2144.5791071716749</v>
      </c>
    </row>
    <row r="38" spans="1:2" x14ac:dyDescent="0.3">
      <c r="A38" s="45" t="s">
        <v>201</v>
      </c>
      <c r="B38" s="323">
        <v>34834.357033863977</v>
      </c>
    </row>
    <row r="39" spans="1:2" x14ac:dyDescent="0.3">
      <c r="A39" s="45" t="s">
        <v>49</v>
      </c>
      <c r="B39" s="323">
        <v>-3784.7789511934047</v>
      </c>
    </row>
    <row r="40" spans="1:2" x14ac:dyDescent="0.3">
      <c r="A40" s="45" t="s">
        <v>202</v>
      </c>
      <c r="B40" s="323">
        <v>-65624.389894819673</v>
      </c>
    </row>
    <row r="41" spans="1:2" x14ac:dyDescent="0.3">
      <c r="A41" s="45" t="s">
        <v>203</v>
      </c>
      <c r="B41" s="323">
        <v>5604.0790203478209</v>
      </c>
    </row>
    <row r="42" spans="1:2" x14ac:dyDescent="0.3">
      <c r="A42" s="45" t="s">
        <v>149</v>
      </c>
      <c r="B42" s="323">
        <v>28347.360366821929</v>
      </c>
    </row>
    <row r="43" spans="1:2" x14ac:dyDescent="0.3">
      <c r="A43" s="45" t="s">
        <v>150</v>
      </c>
      <c r="B43" s="323">
        <v>-11404.467976235966</v>
      </c>
    </row>
    <row r="44" spans="1:2" x14ac:dyDescent="0.3">
      <c r="A44" s="45" t="s">
        <v>243</v>
      </c>
      <c r="B44" s="323">
        <v>6090.5345122223725</v>
      </c>
    </row>
    <row r="45" spans="1:2" x14ac:dyDescent="0.3">
      <c r="A45" s="45" t="s">
        <v>204</v>
      </c>
      <c r="B45" s="323">
        <v>22228.251574694288</v>
      </c>
    </row>
    <row r="46" spans="1:2" x14ac:dyDescent="0.3">
      <c r="A46" s="45" t="s">
        <v>205</v>
      </c>
      <c r="B46" s="323">
        <v>36374.876936041328</v>
      </c>
    </row>
    <row r="47" spans="1:2" x14ac:dyDescent="0.3">
      <c r="A47" s="45" t="s">
        <v>244</v>
      </c>
      <c r="B47" s="323">
        <v>33421.601431468618</v>
      </c>
    </row>
    <row r="48" spans="1:2" x14ac:dyDescent="0.3">
      <c r="A48" s="45" t="s">
        <v>342</v>
      </c>
      <c r="B48" s="323">
        <v>4608.9233473622462</v>
      </c>
    </row>
    <row r="49" spans="1:2" x14ac:dyDescent="0.3">
      <c r="A49" s="45" t="s">
        <v>343</v>
      </c>
      <c r="B49" s="323">
        <v>117370.17201331639</v>
      </c>
    </row>
    <row r="50" spans="1:2" x14ac:dyDescent="0.3">
      <c r="A50" s="45" t="s">
        <v>344</v>
      </c>
      <c r="B50" s="323">
        <v>11760.990816564701</v>
      </c>
    </row>
    <row r="51" spans="1:2" x14ac:dyDescent="0.3">
      <c r="A51" s="45" t="s">
        <v>345</v>
      </c>
      <c r="B51" s="323">
        <v>137035.84395361683</v>
      </c>
    </row>
    <row r="52" spans="1:2" x14ac:dyDescent="0.3">
      <c r="A52" s="45" t="s">
        <v>346</v>
      </c>
      <c r="B52" s="323">
        <v>74323.141585556616</v>
      </c>
    </row>
    <row r="53" spans="1:2" x14ac:dyDescent="0.3">
      <c r="A53" s="45" t="s">
        <v>245</v>
      </c>
      <c r="B53" s="323">
        <v>-14083.282266845734</v>
      </c>
    </row>
    <row r="54" spans="1:2" x14ac:dyDescent="0.3">
      <c r="A54" s="45" t="s">
        <v>50</v>
      </c>
      <c r="B54" s="323">
        <v>567.32436976125905</v>
      </c>
    </row>
    <row r="55" spans="1:2" x14ac:dyDescent="0.3">
      <c r="A55" s="45" t="s">
        <v>51</v>
      </c>
      <c r="B55" s="323">
        <v>-2434.7371685742719</v>
      </c>
    </row>
    <row r="56" spans="1:2" x14ac:dyDescent="0.3">
      <c r="A56" s="45" t="s">
        <v>246</v>
      </c>
      <c r="B56" s="323">
        <v>-10707.956478210799</v>
      </c>
    </row>
    <row r="57" spans="1:2" x14ac:dyDescent="0.3">
      <c r="A57" s="45" t="s">
        <v>206</v>
      </c>
      <c r="B57" s="323">
        <v>-7717.5163333766923</v>
      </c>
    </row>
    <row r="58" spans="1:2" x14ac:dyDescent="0.3">
      <c r="A58" s="45" t="s">
        <v>247</v>
      </c>
      <c r="B58" s="323">
        <v>-91931.535221700033</v>
      </c>
    </row>
    <row r="59" spans="1:2" x14ac:dyDescent="0.3">
      <c r="A59" s="45" t="s">
        <v>52</v>
      </c>
      <c r="B59" s="323">
        <v>14077.17625510994</v>
      </c>
    </row>
    <row r="60" spans="1:2" x14ac:dyDescent="0.3">
      <c r="A60" s="45" t="s">
        <v>248</v>
      </c>
      <c r="B60" s="323">
        <v>47957.958840315645</v>
      </c>
    </row>
    <row r="61" spans="1:2" x14ac:dyDescent="0.3">
      <c r="A61" s="45" t="s">
        <v>249</v>
      </c>
      <c r="B61" s="323">
        <v>40855.166099704998</v>
      </c>
    </row>
    <row r="62" spans="1:2" x14ac:dyDescent="0.3">
      <c r="A62" s="45" t="s">
        <v>250</v>
      </c>
      <c r="B62" s="323">
        <v>-10726.366032897477</v>
      </c>
    </row>
    <row r="63" spans="1:2" x14ac:dyDescent="0.3">
      <c r="A63" s="45" t="s">
        <v>333</v>
      </c>
      <c r="B63" s="323">
        <v>-94341.763982441043</v>
      </c>
    </row>
    <row r="64" spans="1:2" x14ac:dyDescent="0.3">
      <c r="A64" s="45" t="s">
        <v>207</v>
      </c>
      <c r="B64" s="323">
        <v>5266.3262268242543</v>
      </c>
    </row>
    <row r="65" spans="1:2" x14ac:dyDescent="0.3">
      <c r="A65" s="45" t="s">
        <v>151</v>
      </c>
      <c r="B65" s="323">
        <v>-10109.896153647082</v>
      </c>
    </row>
    <row r="66" spans="1:2" x14ac:dyDescent="0.3">
      <c r="A66" s="45" t="s">
        <v>53</v>
      </c>
      <c r="B66" s="323">
        <v>788.67207169215089</v>
      </c>
    </row>
    <row r="67" spans="1:2" x14ac:dyDescent="0.3">
      <c r="A67" s="45" t="s">
        <v>54</v>
      </c>
      <c r="B67" s="323">
        <v>11576.474067544979</v>
      </c>
    </row>
    <row r="68" spans="1:2" x14ac:dyDescent="0.3">
      <c r="A68" s="45" t="s">
        <v>55</v>
      </c>
      <c r="B68" s="323">
        <v>2284.2993403399068</v>
      </c>
    </row>
    <row r="69" spans="1:2" x14ac:dyDescent="0.3">
      <c r="A69" s="45" t="s">
        <v>251</v>
      </c>
      <c r="B69" s="323">
        <v>-10802.374074971569</v>
      </c>
    </row>
    <row r="70" spans="1:2" x14ac:dyDescent="0.3">
      <c r="A70" s="45" t="s">
        <v>194</v>
      </c>
      <c r="B70" s="323">
        <v>-7799.5291839591873</v>
      </c>
    </row>
    <row r="71" spans="1:2" x14ac:dyDescent="0.3">
      <c r="A71" s="45" t="s">
        <v>412</v>
      </c>
      <c r="B71" s="323">
        <v>99932.858860255204</v>
      </c>
    </row>
    <row r="72" spans="1:2" x14ac:dyDescent="0.3">
      <c r="A72" s="45" t="s">
        <v>252</v>
      </c>
      <c r="B72" s="323">
        <v>50687.291460770408</v>
      </c>
    </row>
    <row r="73" spans="1:2" x14ac:dyDescent="0.3">
      <c r="A73" s="45" t="s">
        <v>56</v>
      </c>
      <c r="B73" s="323">
        <v>8991.6911668920038</v>
      </c>
    </row>
    <row r="74" spans="1:2" x14ac:dyDescent="0.3">
      <c r="A74" s="45" t="s">
        <v>57</v>
      </c>
      <c r="B74" s="323">
        <v>-2228.9267708978959</v>
      </c>
    </row>
    <row r="75" spans="1:2" x14ac:dyDescent="0.3">
      <c r="A75" s="45" t="s">
        <v>58</v>
      </c>
      <c r="B75" s="323">
        <v>-2949.5689641668255</v>
      </c>
    </row>
    <row r="76" spans="1:2" x14ac:dyDescent="0.3">
      <c r="A76" s="45" t="s">
        <v>59</v>
      </c>
      <c r="B76" s="323">
        <v>1101.9380971271444</v>
      </c>
    </row>
    <row r="77" spans="1:2" x14ac:dyDescent="0.3">
      <c r="A77" s="45" t="s">
        <v>60</v>
      </c>
      <c r="B77" s="323">
        <v>12612.541525079872</v>
      </c>
    </row>
    <row r="78" spans="1:2" x14ac:dyDescent="0.3">
      <c r="A78" s="45" t="s">
        <v>61</v>
      </c>
      <c r="B78" s="323">
        <v>43.879565225434362</v>
      </c>
    </row>
    <row r="79" spans="1:2" x14ac:dyDescent="0.3">
      <c r="A79" s="45" t="s">
        <v>347</v>
      </c>
      <c r="B79" s="323">
        <v>-96481.790225276374</v>
      </c>
    </row>
    <row r="80" spans="1:2" x14ac:dyDescent="0.3">
      <c r="A80" s="45" t="s">
        <v>62</v>
      </c>
      <c r="B80" s="323">
        <v>9038.4033948822489</v>
      </c>
    </row>
    <row r="81" spans="1:2" x14ac:dyDescent="0.3">
      <c r="A81" s="45" t="s">
        <v>63</v>
      </c>
      <c r="B81" s="323">
        <v>-2667.6434656711035</v>
      </c>
    </row>
    <row r="82" spans="1:2" x14ac:dyDescent="0.3">
      <c r="A82" s="45" t="s">
        <v>64</v>
      </c>
      <c r="B82" s="323">
        <v>8190.5549237277919</v>
      </c>
    </row>
    <row r="83" spans="1:2" x14ac:dyDescent="0.3">
      <c r="A83" s="45" t="s">
        <v>348</v>
      </c>
      <c r="B83" s="323">
        <v>35860.440366492199</v>
      </c>
    </row>
    <row r="84" spans="1:2" x14ac:dyDescent="0.3">
      <c r="A84" s="45" t="s">
        <v>253</v>
      </c>
      <c r="B84" s="323">
        <v>-5747.2983849585107</v>
      </c>
    </row>
    <row r="85" spans="1:2" x14ac:dyDescent="0.3">
      <c r="A85" s="45" t="s">
        <v>349</v>
      </c>
      <c r="B85" s="323">
        <v>1691.5575787764974</v>
      </c>
    </row>
    <row r="86" spans="1:2" x14ac:dyDescent="0.3">
      <c r="A86" s="45" t="s">
        <v>254</v>
      </c>
      <c r="B86" s="323">
        <v>-29577.942140916053</v>
      </c>
    </row>
    <row r="87" spans="1:2" x14ac:dyDescent="0.3">
      <c r="A87" s="45" t="s">
        <v>350</v>
      </c>
      <c r="B87" s="323">
        <v>-104018.84284774943</v>
      </c>
    </row>
    <row r="88" spans="1:2" x14ac:dyDescent="0.3">
      <c r="A88" s="45" t="s">
        <v>65</v>
      </c>
      <c r="B88" s="323">
        <v>-3045.5105661455627</v>
      </c>
    </row>
    <row r="89" spans="1:2" x14ac:dyDescent="0.3">
      <c r="A89" s="45" t="s">
        <v>66</v>
      </c>
      <c r="B89" s="323">
        <v>-3723.5932951564982</v>
      </c>
    </row>
    <row r="90" spans="1:2" x14ac:dyDescent="0.3">
      <c r="A90" s="45" t="s">
        <v>67</v>
      </c>
      <c r="B90" s="323">
        <v>-3227.8538419198303</v>
      </c>
    </row>
    <row r="91" spans="1:2" x14ac:dyDescent="0.3">
      <c r="A91" s="45" t="s">
        <v>68</v>
      </c>
      <c r="B91" s="323">
        <v>-7955.5276058532618</v>
      </c>
    </row>
    <row r="92" spans="1:2" x14ac:dyDescent="0.3">
      <c r="A92" s="45" t="s">
        <v>69</v>
      </c>
      <c r="B92" s="323">
        <v>-6653.9749797658187</v>
      </c>
    </row>
    <row r="93" spans="1:2" x14ac:dyDescent="0.3">
      <c r="A93" s="45" t="s">
        <v>70</v>
      </c>
      <c r="B93" s="323">
        <v>-1954.1982637225587</v>
      </c>
    </row>
    <row r="94" spans="1:2" x14ac:dyDescent="0.3">
      <c r="A94" s="45" t="s">
        <v>71</v>
      </c>
      <c r="B94" s="323">
        <v>9145.2614267538611</v>
      </c>
    </row>
    <row r="95" spans="1:2" x14ac:dyDescent="0.3">
      <c r="A95" s="45" t="s">
        <v>72</v>
      </c>
      <c r="B95" s="323">
        <v>1855.5859891862092</v>
      </c>
    </row>
    <row r="96" spans="1:2" x14ac:dyDescent="0.3">
      <c r="A96" s="45" t="s">
        <v>73</v>
      </c>
      <c r="B96" s="323">
        <v>-4284.6208840441459</v>
      </c>
    </row>
    <row r="97" spans="1:2" x14ac:dyDescent="0.3">
      <c r="A97" s="45" t="s">
        <v>74</v>
      </c>
      <c r="B97" s="323">
        <v>-4806.1570024641051</v>
      </c>
    </row>
    <row r="98" spans="1:2" x14ac:dyDescent="0.3">
      <c r="A98" s="45" t="s">
        <v>152</v>
      </c>
      <c r="B98" s="323">
        <v>-9098.1943295403707</v>
      </c>
    </row>
    <row r="99" spans="1:2" x14ac:dyDescent="0.3">
      <c r="A99" s="45" t="s">
        <v>75</v>
      </c>
      <c r="B99" s="323">
        <v>-2627.5246810463191</v>
      </c>
    </row>
    <row r="100" spans="1:2" x14ac:dyDescent="0.3">
      <c r="A100" s="45" t="s">
        <v>351</v>
      </c>
      <c r="B100" s="323">
        <v>-39663.895867009996</v>
      </c>
    </row>
    <row r="101" spans="1:2" x14ac:dyDescent="0.3">
      <c r="A101" s="45" t="s">
        <v>413</v>
      </c>
      <c r="B101" s="323">
        <v>-36921.60542397805</v>
      </c>
    </row>
    <row r="102" spans="1:2" x14ac:dyDescent="0.3">
      <c r="A102" s="45" t="s">
        <v>414</v>
      </c>
      <c r="B102" s="323">
        <v>-82346.743000407936</v>
      </c>
    </row>
    <row r="103" spans="1:2" x14ac:dyDescent="0.3">
      <c r="A103" s="45" t="s">
        <v>352</v>
      </c>
      <c r="B103" s="323">
        <v>115732.69864237808</v>
      </c>
    </row>
    <row r="104" spans="1:2" x14ac:dyDescent="0.3">
      <c r="A104" s="45" t="s">
        <v>76</v>
      </c>
      <c r="B104" s="323">
        <v>13184.221399404743</v>
      </c>
    </row>
    <row r="105" spans="1:2" x14ac:dyDescent="0.3">
      <c r="A105" s="45" t="s">
        <v>353</v>
      </c>
      <c r="B105" s="323">
        <v>-31606.226489901077</v>
      </c>
    </row>
    <row r="106" spans="1:2" x14ac:dyDescent="0.3">
      <c r="A106" s="45" t="s">
        <v>77</v>
      </c>
      <c r="B106" s="323">
        <v>10947.050698946452</v>
      </c>
    </row>
    <row r="107" spans="1:2" x14ac:dyDescent="0.3">
      <c r="A107" s="45" t="s">
        <v>78</v>
      </c>
      <c r="B107" s="323">
        <v>-1641.4945762849543</v>
      </c>
    </row>
    <row r="108" spans="1:2" x14ac:dyDescent="0.3">
      <c r="A108" s="45" t="s">
        <v>255</v>
      </c>
      <c r="B108" s="323">
        <v>-28144.565345749743</v>
      </c>
    </row>
    <row r="109" spans="1:2" x14ac:dyDescent="0.3">
      <c r="A109" s="45" t="s">
        <v>354</v>
      </c>
      <c r="B109" s="323">
        <v>-36139.291279823927</v>
      </c>
    </row>
    <row r="110" spans="1:2" x14ac:dyDescent="0.3">
      <c r="A110" s="45" t="s">
        <v>79</v>
      </c>
      <c r="B110" s="323">
        <v>-3836.8354156020819</v>
      </c>
    </row>
    <row r="111" spans="1:2" x14ac:dyDescent="0.3">
      <c r="A111" s="45" t="s">
        <v>355</v>
      </c>
      <c r="B111" s="323">
        <v>46523.255263857915</v>
      </c>
    </row>
    <row r="112" spans="1:2" x14ac:dyDescent="0.3">
      <c r="A112" s="45" t="s">
        <v>356</v>
      </c>
      <c r="B112" s="323">
        <v>-22299.040364477587</v>
      </c>
    </row>
    <row r="113" spans="1:2" x14ac:dyDescent="0.3">
      <c r="A113" s="45" t="s">
        <v>415</v>
      </c>
      <c r="B113" s="323">
        <v>3769.1082019246096</v>
      </c>
    </row>
    <row r="114" spans="1:2" x14ac:dyDescent="0.3">
      <c r="A114" s="45" t="s">
        <v>357</v>
      </c>
      <c r="B114" s="323">
        <v>154568.33927222478</v>
      </c>
    </row>
    <row r="115" spans="1:2" x14ac:dyDescent="0.3">
      <c r="A115" s="45" t="s">
        <v>358</v>
      </c>
      <c r="B115" s="323">
        <v>100923.6471259032</v>
      </c>
    </row>
    <row r="116" spans="1:2" x14ac:dyDescent="0.3">
      <c r="A116" s="45" t="s">
        <v>153</v>
      </c>
      <c r="B116" s="323">
        <v>11165.449763891069</v>
      </c>
    </row>
    <row r="117" spans="1:2" x14ac:dyDescent="0.3">
      <c r="A117" s="45" t="s">
        <v>208</v>
      </c>
      <c r="B117" s="323">
        <v>-53893.476723613421</v>
      </c>
    </row>
    <row r="118" spans="1:2" x14ac:dyDescent="0.3">
      <c r="A118" s="45" t="s">
        <v>154</v>
      </c>
      <c r="B118" s="323">
        <v>39862.890906519424</v>
      </c>
    </row>
    <row r="119" spans="1:2" x14ac:dyDescent="0.3">
      <c r="A119" s="45" t="s">
        <v>155</v>
      </c>
      <c r="B119" s="323">
        <v>11355.641462485753</v>
      </c>
    </row>
    <row r="120" spans="1:2" x14ac:dyDescent="0.3">
      <c r="A120" s="45" t="s">
        <v>156</v>
      </c>
      <c r="B120" s="323">
        <v>24420.781062481678</v>
      </c>
    </row>
    <row r="121" spans="1:2" x14ac:dyDescent="0.3">
      <c r="A121" s="45" t="s">
        <v>157</v>
      </c>
      <c r="B121" s="323">
        <v>-27526.641597485319</v>
      </c>
    </row>
    <row r="122" spans="1:2" x14ac:dyDescent="0.3">
      <c r="A122" s="45" t="s">
        <v>158</v>
      </c>
      <c r="B122" s="323">
        <v>9324.8791507767473</v>
      </c>
    </row>
    <row r="123" spans="1:2" x14ac:dyDescent="0.3">
      <c r="A123" s="45" t="s">
        <v>159</v>
      </c>
      <c r="B123" s="323">
        <v>15807.349394978424</v>
      </c>
    </row>
    <row r="124" spans="1:2" x14ac:dyDescent="0.3">
      <c r="A124" s="45" t="s">
        <v>160</v>
      </c>
      <c r="B124" s="323">
        <v>-6981.5426316935518</v>
      </c>
    </row>
    <row r="125" spans="1:2" x14ac:dyDescent="0.3">
      <c r="A125" s="45" t="s">
        <v>195</v>
      </c>
      <c r="B125" s="323">
        <v>21863.897444827697</v>
      </c>
    </row>
    <row r="126" spans="1:2" x14ac:dyDescent="0.3">
      <c r="A126" s="45" t="s">
        <v>209</v>
      </c>
      <c r="B126" s="323">
        <v>-18832.941522536657</v>
      </c>
    </row>
    <row r="127" spans="1:2" x14ac:dyDescent="0.3">
      <c r="A127" s="45" t="s">
        <v>161</v>
      </c>
      <c r="B127" s="323">
        <v>-11465.05995684687</v>
      </c>
    </row>
    <row r="128" spans="1:2" x14ac:dyDescent="0.3">
      <c r="A128" s="45" t="s">
        <v>210</v>
      </c>
      <c r="B128" s="323">
        <v>669.39150002536189</v>
      </c>
    </row>
    <row r="129" spans="1:2" x14ac:dyDescent="0.3">
      <c r="A129" s="45" t="s">
        <v>162</v>
      </c>
      <c r="B129" s="323">
        <v>-2635.2194954105944</v>
      </c>
    </row>
    <row r="130" spans="1:2" x14ac:dyDescent="0.3">
      <c r="A130" s="45" t="s">
        <v>256</v>
      </c>
      <c r="B130" s="323">
        <v>31902.929956793047</v>
      </c>
    </row>
    <row r="131" spans="1:2" x14ac:dyDescent="0.3">
      <c r="A131" s="45" t="s">
        <v>257</v>
      </c>
      <c r="B131" s="323">
        <v>-9380.2160402195041</v>
      </c>
    </row>
    <row r="132" spans="1:2" x14ac:dyDescent="0.3">
      <c r="A132" s="45" t="s">
        <v>416</v>
      </c>
      <c r="B132" s="323">
        <v>43109.722701595907</v>
      </c>
    </row>
    <row r="133" spans="1:2" x14ac:dyDescent="0.3">
      <c r="A133" s="45" t="s">
        <v>359</v>
      </c>
      <c r="B133" s="323">
        <v>194026.20734971677</v>
      </c>
    </row>
    <row r="134" spans="1:2" x14ac:dyDescent="0.3">
      <c r="A134" s="45" t="s">
        <v>360</v>
      </c>
      <c r="B134" s="323">
        <v>44757.477207376724</v>
      </c>
    </row>
    <row r="135" spans="1:2" x14ac:dyDescent="0.3">
      <c r="A135" s="45" t="s">
        <v>80</v>
      </c>
      <c r="B135" s="323">
        <v>-3241.8667499600892</v>
      </c>
    </row>
    <row r="136" spans="1:2" x14ac:dyDescent="0.3">
      <c r="A136" s="45" t="s">
        <v>81</v>
      </c>
      <c r="B136" s="323">
        <v>-3147.7519151978822</v>
      </c>
    </row>
    <row r="137" spans="1:2" x14ac:dyDescent="0.3">
      <c r="A137" s="45" t="s">
        <v>82</v>
      </c>
      <c r="B137" s="323">
        <v>-2749.4970457068794</v>
      </c>
    </row>
    <row r="138" spans="1:2" x14ac:dyDescent="0.3">
      <c r="A138" s="45" t="s">
        <v>163</v>
      </c>
      <c r="B138" s="323">
        <v>4271.7316161271056</v>
      </c>
    </row>
    <row r="139" spans="1:2" x14ac:dyDescent="0.3">
      <c r="A139" s="45" t="s">
        <v>83</v>
      </c>
      <c r="B139" s="323">
        <v>-433.18569893676442</v>
      </c>
    </row>
    <row r="140" spans="1:2" x14ac:dyDescent="0.3">
      <c r="A140" s="45" t="s">
        <v>84</v>
      </c>
      <c r="B140" s="323">
        <v>-2720.2985376798238</v>
      </c>
    </row>
    <row r="141" spans="1:2" x14ac:dyDescent="0.3">
      <c r="A141" s="45" t="s">
        <v>85</v>
      </c>
      <c r="B141" s="323">
        <v>-695.3364582452964</v>
      </c>
    </row>
    <row r="142" spans="1:2" x14ac:dyDescent="0.3">
      <c r="A142" s="45" t="s">
        <v>86</v>
      </c>
      <c r="B142" s="323">
        <v>-5126.1490954868359</v>
      </c>
    </row>
    <row r="143" spans="1:2" x14ac:dyDescent="0.3">
      <c r="A143" s="45" t="s">
        <v>258</v>
      </c>
      <c r="B143" s="323">
        <v>-23810.221326833103</v>
      </c>
    </row>
    <row r="144" spans="1:2" x14ac:dyDescent="0.3">
      <c r="A144" s="45" t="s">
        <v>87</v>
      </c>
      <c r="B144" s="323">
        <v>-4208.3082171047099</v>
      </c>
    </row>
    <row r="145" spans="1:2" x14ac:dyDescent="0.3">
      <c r="A145" s="45" t="s">
        <v>88</v>
      </c>
      <c r="B145" s="323">
        <v>-4463.1812077707009</v>
      </c>
    </row>
    <row r="146" spans="1:2" x14ac:dyDescent="0.3">
      <c r="A146" s="45" t="s">
        <v>89</v>
      </c>
      <c r="B146" s="323">
        <v>-3977.1505538676424</v>
      </c>
    </row>
    <row r="147" spans="1:2" x14ac:dyDescent="0.3">
      <c r="A147" s="45" t="s">
        <v>90</v>
      </c>
      <c r="B147" s="323">
        <v>-2654.8199733524402</v>
      </c>
    </row>
    <row r="148" spans="1:2" x14ac:dyDescent="0.3">
      <c r="A148" s="45" t="s">
        <v>91</v>
      </c>
      <c r="B148" s="323">
        <v>-2561.8430342082775</v>
      </c>
    </row>
    <row r="149" spans="1:2" x14ac:dyDescent="0.3">
      <c r="A149" s="45" t="s">
        <v>259</v>
      </c>
      <c r="B149" s="323">
        <v>47915.998302098043</v>
      </c>
    </row>
    <row r="150" spans="1:2" x14ac:dyDescent="0.3">
      <c r="A150" s="45" t="s">
        <v>417</v>
      </c>
      <c r="B150" s="323">
        <v>-120165.79187529894</v>
      </c>
    </row>
    <row r="151" spans="1:2" x14ac:dyDescent="0.3">
      <c r="A151" s="45" t="s">
        <v>418</v>
      </c>
      <c r="B151" s="323">
        <v>-16613.26344249821</v>
      </c>
    </row>
    <row r="152" spans="1:2" x14ac:dyDescent="0.3">
      <c r="A152" s="45" t="s">
        <v>92</v>
      </c>
      <c r="B152" s="323">
        <v>-5527.855054942469</v>
      </c>
    </row>
    <row r="153" spans="1:2" x14ac:dyDescent="0.3">
      <c r="A153" s="45" t="s">
        <v>93</v>
      </c>
      <c r="B153" s="323">
        <v>-2861.5210927587432</v>
      </c>
    </row>
    <row r="154" spans="1:2" x14ac:dyDescent="0.3">
      <c r="A154" s="45" t="s">
        <v>94</v>
      </c>
      <c r="B154" s="323">
        <v>-2603.569270267084</v>
      </c>
    </row>
    <row r="155" spans="1:2" x14ac:dyDescent="0.3">
      <c r="A155" s="45" t="s">
        <v>95</v>
      </c>
      <c r="B155" s="323">
        <v>-2816.5099424327359</v>
      </c>
    </row>
    <row r="156" spans="1:2" x14ac:dyDescent="0.3">
      <c r="A156" s="45" t="s">
        <v>361</v>
      </c>
      <c r="B156" s="323">
        <v>-30740.102413359447</v>
      </c>
    </row>
    <row r="157" spans="1:2" x14ac:dyDescent="0.3">
      <c r="A157" s="45" t="s">
        <v>96</v>
      </c>
      <c r="B157" s="323">
        <v>1399.6461790112796</v>
      </c>
    </row>
    <row r="158" spans="1:2" x14ac:dyDescent="0.3">
      <c r="A158" s="45" t="s">
        <v>97</v>
      </c>
      <c r="B158" s="323">
        <v>-882.31038002638059</v>
      </c>
    </row>
    <row r="159" spans="1:2" x14ac:dyDescent="0.3">
      <c r="A159" s="45" t="s">
        <v>98</v>
      </c>
      <c r="B159" s="323">
        <v>-306.36276734271399</v>
      </c>
    </row>
    <row r="160" spans="1:2" x14ac:dyDescent="0.3">
      <c r="A160" s="45" t="s">
        <v>211</v>
      </c>
      <c r="B160" s="323">
        <v>-15532.775413154919</v>
      </c>
    </row>
    <row r="161" spans="1:2" x14ac:dyDescent="0.3">
      <c r="A161" s="45" t="s">
        <v>362</v>
      </c>
      <c r="B161" s="323">
        <v>-31978.134733191691</v>
      </c>
    </row>
    <row r="162" spans="1:2" x14ac:dyDescent="0.3">
      <c r="A162" s="45" t="s">
        <v>212</v>
      </c>
      <c r="B162" s="323">
        <v>17028.179363848605</v>
      </c>
    </row>
    <row r="163" spans="1:2" x14ac:dyDescent="0.3">
      <c r="A163" s="45" t="s">
        <v>164</v>
      </c>
      <c r="B163" s="323">
        <v>15440.620681751672</v>
      </c>
    </row>
    <row r="164" spans="1:2" x14ac:dyDescent="0.3">
      <c r="A164" s="45" t="s">
        <v>165</v>
      </c>
      <c r="B164" s="323">
        <v>-6336.0187503572824</v>
      </c>
    </row>
    <row r="165" spans="1:2" x14ac:dyDescent="0.3">
      <c r="A165" s="45" t="s">
        <v>260</v>
      </c>
      <c r="B165" s="323">
        <v>-32947.733814622618</v>
      </c>
    </row>
    <row r="166" spans="1:2" x14ac:dyDescent="0.3">
      <c r="A166" s="45" t="s">
        <v>166</v>
      </c>
      <c r="B166" s="323">
        <v>1965.2538635713154</v>
      </c>
    </row>
    <row r="167" spans="1:2" x14ac:dyDescent="0.3">
      <c r="A167" s="45" t="s">
        <v>99</v>
      </c>
      <c r="B167" s="323">
        <v>235.17343434867962</v>
      </c>
    </row>
    <row r="168" spans="1:2" x14ac:dyDescent="0.3">
      <c r="A168" s="45" t="s">
        <v>261</v>
      </c>
      <c r="B168" s="323">
        <v>41587.971575961121</v>
      </c>
    </row>
    <row r="169" spans="1:2" x14ac:dyDescent="0.3">
      <c r="A169" s="45" t="s">
        <v>213</v>
      </c>
      <c r="B169" s="323">
        <v>-13454.819526009393</v>
      </c>
    </row>
    <row r="170" spans="1:2" x14ac:dyDescent="0.3">
      <c r="A170" s="47" t="s">
        <v>429</v>
      </c>
      <c r="B170" s="323">
        <v>-83774.612579423949</v>
      </c>
    </row>
    <row r="171" spans="1:2" x14ac:dyDescent="0.3">
      <c r="A171" s="45" t="s">
        <v>419</v>
      </c>
      <c r="B171" s="323">
        <v>-88875.094183951529</v>
      </c>
    </row>
    <row r="172" spans="1:2" x14ac:dyDescent="0.3">
      <c r="A172" s="45" t="s">
        <v>100</v>
      </c>
      <c r="B172" s="323">
        <v>-6156.2102914276584</v>
      </c>
    </row>
    <row r="173" spans="1:2" x14ac:dyDescent="0.3">
      <c r="A173" s="45" t="s">
        <v>363</v>
      </c>
      <c r="B173" s="323">
        <v>12788.756639393454</v>
      </c>
    </row>
    <row r="174" spans="1:2" x14ac:dyDescent="0.3">
      <c r="A174" s="45" t="s">
        <v>262</v>
      </c>
      <c r="B174" s="323">
        <v>-24830.220981961342</v>
      </c>
    </row>
    <row r="175" spans="1:2" x14ac:dyDescent="0.3">
      <c r="A175" s="45" t="s">
        <v>364</v>
      </c>
      <c r="B175" s="323">
        <v>66686.170487617899</v>
      </c>
    </row>
    <row r="176" spans="1:2" x14ac:dyDescent="0.3">
      <c r="A176" s="45" t="s">
        <v>365</v>
      </c>
      <c r="B176" s="323">
        <v>-30755.780692639593</v>
      </c>
    </row>
    <row r="177" spans="1:2" x14ac:dyDescent="0.3">
      <c r="A177" s="45" t="s">
        <v>366</v>
      </c>
      <c r="B177" s="323">
        <v>-6386.2796844294062</v>
      </c>
    </row>
    <row r="178" spans="1:2" x14ac:dyDescent="0.3">
      <c r="A178" s="45" t="s">
        <v>420</v>
      </c>
      <c r="B178" s="323">
        <v>-23593.273924216468</v>
      </c>
    </row>
    <row r="179" spans="1:2" x14ac:dyDescent="0.3">
      <c r="A179" s="45" t="s">
        <v>334</v>
      </c>
      <c r="B179" s="323">
        <v>130460.11697759054</v>
      </c>
    </row>
    <row r="180" spans="1:2" x14ac:dyDescent="0.3">
      <c r="A180" s="45" t="s">
        <v>367</v>
      </c>
      <c r="B180" s="323">
        <v>-57240.662401787456</v>
      </c>
    </row>
    <row r="181" spans="1:2" x14ac:dyDescent="0.3">
      <c r="A181" s="45" t="s">
        <v>101</v>
      </c>
      <c r="B181" s="323">
        <v>-2738.2197123146307</v>
      </c>
    </row>
    <row r="182" spans="1:2" x14ac:dyDescent="0.3">
      <c r="A182" s="45" t="s">
        <v>102</v>
      </c>
      <c r="B182" s="323">
        <v>-4741.2084674956714</v>
      </c>
    </row>
    <row r="183" spans="1:2" x14ac:dyDescent="0.3">
      <c r="A183" s="45" t="s">
        <v>368</v>
      </c>
      <c r="B183" s="323">
        <v>44644.067483023609</v>
      </c>
    </row>
    <row r="184" spans="1:2" x14ac:dyDescent="0.3">
      <c r="A184" s="45" t="s">
        <v>335</v>
      </c>
      <c r="B184" s="323">
        <v>-30045.16564011258</v>
      </c>
    </row>
    <row r="185" spans="1:2" x14ac:dyDescent="0.3">
      <c r="A185" s="45" t="s">
        <v>103</v>
      </c>
      <c r="B185" s="323">
        <v>-4172.3516543104688</v>
      </c>
    </row>
    <row r="186" spans="1:2" x14ac:dyDescent="0.3">
      <c r="A186" s="45" t="s">
        <v>104</v>
      </c>
      <c r="B186" s="323">
        <v>-2122.8046687430401</v>
      </c>
    </row>
    <row r="187" spans="1:2" x14ac:dyDescent="0.3">
      <c r="A187" s="45" t="s">
        <v>369</v>
      </c>
      <c r="B187" s="323">
        <v>-20727.175093138696</v>
      </c>
    </row>
    <row r="188" spans="1:2" x14ac:dyDescent="0.3">
      <c r="A188" s="45" t="s">
        <v>105</v>
      </c>
      <c r="B188" s="323">
        <v>318.2139187341719</v>
      </c>
    </row>
    <row r="189" spans="1:2" x14ac:dyDescent="0.3">
      <c r="A189" s="45" t="s">
        <v>106</v>
      </c>
      <c r="B189" s="323">
        <v>-1658.6998276536203</v>
      </c>
    </row>
    <row r="190" spans="1:2" x14ac:dyDescent="0.3">
      <c r="A190" s="45" t="s">
        <v>107</v>
      </c>
      <c r="B190" s="323">
        <v>-1938.1549684243882</v>
      </c>
    </row>
    <row r="191" spans="1:2" x14ac:dyDescent="0.3">
      <c r="A191" s="45" t="s">
        <v>108</v>
      </c>
      <c r="B191" s="323">
        <v>-3030.1088997514253</v>
      </c>
    </row>
    <row r="192" spans="1:2" x14ac:dyDescent="0.3">
      <c r="A192" s="45" t="s">
        <v>109</v>
      </c>
      <c r="B192" s="323">
        <v>-1975.8513665932501</v>
      </c>
    </row>
    <row r="193" spans="1:2" x14ac:dyDescent="0.3">
      <c r="A193" s="45" t="s">
        <v>110</v>
      </c>
      <c r="B193" s="323">
        <v>-3872.0116419982305</v>
      </c>
    </row>
    <row r="194" spans="1:2" x14ac:dyDescent="0.3">
      <c r="A194" s="45" t="s">
        <v>111</v>
      </c>
      <c r="B194" s="323">
        <v>-2755.9274156818419</v>
      </c>
    </row>
    <row r="195" spans="1:2" x14ac:dyDescent="0.3">
      <c r="A195" s="45" t="s">
        <v>112</v>
      </c>
      <c r="B195" s="323">
        <v>-4452.3236299815062</v>
      </c>
    </row>
    <row r="196" spans="1:2" x14ac:dyDescent="0.3">
      <c r="A196" s="45" t="s">
        <v>113</v>
      </c>
      <c r="B196" s="323">
        <v>-6072.7130631141845</v>
      </c>
    </row>
    <row r="197" spans="1:2" x14ac:dyDescent="0.3">
      <c r="A197" s="45" t="s">
        <v>114</v>
      </c>
      <c r="B197" s="323">
        <v>-2410.8731290972491</v>
      </c>
    </row>
    <row r="198" spans="1:2" x14ac:dyDescent="0.3">
      <c r="A198" s="45" t="s">
        <v>263</v>
      </c>
      <c r="B198" s="323">
        <v>46361.075761034939</v>
      </c>
    </row>
    <row r="199" spans="1:2" x14ac:dyDescent="0.3">
      <c r="A199" s="45" t="s">
        <v>214</v>
      </c>
      <c r="B199" s="323">
        <v>-34951.882915740869</v>
      </c>
    </row>
    <row r="200" spans="1:2" x14ac:dyDescent="0.3">
      <c r="A200" s="45" t="s">
        <v>167</v>
      </c>
      <c r="B200" s="323">
        <v>16354.436143371624</v>
      </c>
    </row>
    <row r="201" spans="1:2" x14ac:dyDescent="0.3">
      <c r="A201" s="45" t="s">
        <v>116</v>
      </c>
      <c r="B201" s="323">
        <v>-751.68908938980007</v>
      </c>
    </row>
    <row r="202" spans="1:2" x14ac:dyDescent="0.3">
      <c r="A202" s="45" t="s">
        <v>117</v>
      </c>
      <c r="B202" s="323">
        <v>-750.68960490687391</v>
      </c>
    </row>
    <row r="203" spans="1:2" x14ac:dyDescent="0.3">
      <c r="A203" s="45" t="s">
        <v>118</v>
      </c>
      <c r="B203" s="323">
        <v>-3848.8922741026954</v>
      </c>
    </row>
    <row r="204" spans="1:2" x14ac:dyDescent="0.3">
      <c r="A204" s="45" t="s">
        <v>119</v>
      </c>
      <c r="B204" s="323">
        <v>-3843.710387977148</v>
      </c>
    </row>
    <row r="205" spans="1:2" x14ac:dyDescent="0.3">
      <c r="A205" s="45" t="s">
        <v>168</v>
      </c>
      <c r="B205" s="323">
        <v>-11544.928649293954</v>
      </c>
    </row>
    <row r="206" spans="1:2" x14ac:dyDescent="0.3">
      <c r="A206" s="45" t="s">
        <v>264</v>
      </c>
      <c r="B206" s="323">
        <v>67395.53605099651</v>
      </c>
    </row>
    <row r="207" spans="1:2" x14ac:dyDescent="0.3">
      <c r="A207" s="45" t="s">
        <v>115</v>
      </c>
      <c r="B207" s="323">
        <v>1186.2412012826871</v>
      </c>
    </row>
    <row r="208" spans="1:2" x14ac:dyDescent="0.3">
      <c r="A208" s="45" t="s">
        <v>370</v>
      </c>
      <c r="B208" s="323">
        <v>133456.23992386635</v>
      </c>
    </row>
    <row r="209" spans="1:2" x14ac:dyDescent="0.3">
      <c r="A209" s="45" t="s">
        <v>265</v>
      </c>
      <c r="B209" s="323">
        <v>-61925.65418756556</v>
      </c>
    </row>
    <row r="210" spans="1:2" x14ac:dyDescent="0.3">
      <c r="A210" s="45" t="s">
        <v>371</v>
      </c>
      <c r="B210" s="323">
        <v>51940.821438521823</v>
      </c>
    </row>
    <row r="211" spans="1:2" x14ac:dyDescent="0.3">
      <c r="A211" s="45" t="s">
        <v>372</v>
      </c>
      <c r="B211" s="323">
        <v>17714.843340028601</v>
      </c>
    </row>
    <row r="212" spans="1:2" x14ac:dyDescent="0.3">
      <c r="A212" s="45" t="s">
        <v>120</v>
      </c>
      <c r="B212" s="323">
        <v>-4333.1027136260427</v>
      </c>
    </row>
    <row r="213" spans="1:2" x14ac:dyDescent="0.3">
      <c r="A213" s="45" t="s">
        <v>373</v>
      </c>
      <c r="B213" s="323">
        <v>265409.97742095322</v>
      </c>
    </row>
    <row r="214" spans="1:2" x14ac:dyDescent="0.3">
      <c r="A214" s="45" t="s">
        <v>169</v>
      </c>
      <c r="B214" s="323">
        <v>12519.330665178199</v>
      </c>
    </row>
    <row r="215" spans="1:2" x14ac:dyDescent="0.3">
      <c r="A215" s="45" t="s">
        <v>170</v>
      </c>
      <c r="B215" s="323">
        <v>-3411.1458211325034</v>
      </c>
    </row>
    <row r="216" spans="1:2" x14ac:dyDescent="0.3">
      <c r="A216" s="45" t="s">
        <v>171</v>
      </c>
      <c r="B216" s="323">
        <v>19157.226925994913</v>
      </c>
    </row>
    <row r="217" spans="1:2" x14ac:dyDescent="0.3">
      <c r="A217" s="45" t="s">
        <v>1096</v>
      </c>
      <c r="B217" s="323">
        <v>-15748.877708276832</v>
      </c>
    </row>
    <row r="218" spans="1:2" x14ac:dyDescent="0.3">
      <c r="A218" s="45" t="s">
        <v>172</v>
      </c>
      <c r="B218" s="323">
        <v>14410.658148795988</v>
      </c>
    </row>
    <row r="219" spans="1:2" x14ac:dyDescent="0.3">
      <c r="A219" s="45" t="s">
        <v>266</v>
      </c>
      <c r="B219" s="323">
        <v>-11182.179157154122</v>
      </c>
    </row>
    <row r="220" spans="1:2" x14ac:dyDescent="0.3">
      <c r="A220" s="45" t="s">
        <v>173</v>
      </c>
      <c r="B220" s="323">
        <v>4247.2683031774986</v>
      </c>
    </row>
    <row r="221" spans="1:2" x14ac:dyDescent="0.3">
      <c r="A221" s="45" t="s">
        <v>174</v>
      </c>
      <c r="B221" s="323">
        <v>-4949.3814879538277</v>
      </c>
    </row>
    <row r="222" spans="1:2" x14ac:dyDescent="0.3">
      <c r="A222" s="45" t="s">
        <v>267</v>
      </c>
      <c r="B222" s="323">
        <v>-25572.44261937651</v>
      </c>
    </row>
    <row r="223" spans="1:2" x14ac:dyDescent="0.3">
      <c r="A223" s="45" t="s">
        <v>215</v>
      </c>
      <c r="B223" s="323">
        <v>18784.907743289765</v>
      </c>
    </row>
    <row r="224" spans="1:2" x14ac:dyDescent="0.3">
      <c r="A224" s="45" t="s">
        <v>175</v>
      </c>
      <c r="B224" s="323">
        <v>-10158.593182874807</v>
      </c>
    </row>
    <row r="225" spans="1:2" x14ac:dyDescent="0.3">
      <c r="A225" s="45" t="s">
        <v>121</v>
      </c>
      <c r="B225" s="323">
        <v>5189.8062626816172</v>
      </c>
    </row>
    <row r="226" spans="1:2" x14ac:dyDescent="0.3">
      <c r="A226" s="45" t="s">
        <v>374</v>
      </c>
      <c r="B226" s="323">
        <v>80027.142170770894</v>
      </c>
    </row>
    <row r="227" spans="1:2" x14ac:dyDescent="0.3">
      <c r="A227" s="45" t="s">
        <v>375</v>
      </c>
      <c r="B227" s="323">
        <v>-41405.43206028155</v>
      </c>
    </row>
    <row r="228" spans="1:2" x14ac:dyDescent="0.3">
      <c r="A228" s="45" t="s">
        <v>176</v>
      </c>
      <c r="B228" s="323">
        <v>2295.5803981330628</v>
      </c>
    </row>
    <row r="229" spans="1:2" x14ac:dyDescent="0.3">
      <c r="A229" s="45" t="s">
        <v>336</v>
      </c>
      <c r="B229" s="323">
        <v>27727.664647060574</v>
      </c>
    </row>
    <row r="230" spans="1:2" x14ac:dyDescent="0.3">
      <c r="A230" s="45" t="s">
        <v>177</v>
      </c>
      <c r="B230" s="323">
        <v>24458.151028254884</v>
      </c>
    </row>
    <row r="231" spans="1:2" x14ac:dyDescent="0.3">
      <c r="A231" s="45" t="s">
        <v>376</v>
      </c>
      <c r="B231" s="323">
        <v>16309.246749088619</v>
      </c>
    </row>
    <row r="232" spans="1:2" x14ac:dyDescent="0.3">
      <c r="A232" s="45" t="s">
        <v>337</v>
      </c>
      <c r="B232" s="323">
        <v>35436.402843070216</v>
      </c>
    </row>
    <row r="233" spans="1:2" x14ac:dyDescent="0.3">
      <c r="A233" s="45" t="s">
        <v>377</v>
      </c>
      <c r="B233" s="323">
        <v>8390.7022111580591</v>
      </c>
    </row>
    <row r="234" spans="1:2" x14ac:dyDescent="0.3">
      <c r="A234" s="45" t="s">
        <v>378</v>
      </c>
      <c r="B234" s="323">
        <v>-78258.809867363583</v>
      </c>
    </row>
    <row r="235" spans="1:2" x14ac:dyDescent="0.3">
      <c r="A235" s="45" t="s">
        <v>379</v>
      </c>
      <c r="B235" s="323">
        <v>-29188.612644238929</v>
      </c>
    </row>
    <row r="236" spans="1:2" x14ac:dyDescent="0.3">
      <c r="A236" s="45" t="s">
        <v>178</v>
      </c>
      <c r="B236" s="323">
        <v>-20482.390117137627</v>
      </c>
    </row>
    <row r="237" spans="1:2" x14ac:dyDescent="0.3">
      <c r="A237" s="45" t="s">
        <v>380</v>
      </c>
      <c r="B237" s="323">
        <v>-1411.147026562885</v>
      </c>
    </row>
    <row r="238" spans="1:2" x14ac:dyDescent="0.3">
      <c r="A238" s="45" t="s">
        <v>381</v>
      </c>
      <c r="B238" s="323">
        <v>-37394.015702555102</v>
      </c>
    </row>
    <row r="239" spans="1:2" x14ac:dyDescent="0.3">
      <c r="A239" s="45" t="s">
        <v>382</v>
      </c>
      <c r="B239" s="323">
        <v>-81577.915368777816</v>
      </c>
    </row>
    <row r="240" spans="1:2" x14ac:dyDescent="0.3">
      <c r="A240" s="45" t="s">
        <v>122</v>
      </c>
      <c r="B240" s="323">
        <v>1740.9054203588269</v>
      </c>
    </row>
    <row r="241" spans="1:2" x14ac:dyDescent="0.3">
      <c r="A241" s="45" t="s">
        <v>123</v>
      </c>
      <c r="B241" s="323">
        <v>11537.929251423064</v>
      </c>
    </row>
    <row r="242" spans="1:2" x14ac:dyDescent="0.3">
      <c r="A242" s="45" t="s">
        <v>421</v>
      </c>
      <c r="B242" s="323">
        <v>28611.539147811491</v>
      </c>
    </row>
    <row r="243" spans="1:2" x14ac:dyDescent="0.3">
      <c r="A243" s="45" t="s">
        <v>124</v>
      </c>
      <c r="B243" s="323">
        <v>-2894.916857352438</v>
      </c>
    </row>
    <row r="244" spans="1:2" x14ac:dyDescent="0.3">
      <c r="A244" s="45" t="s">
        <v>268</v>
      </c>
      <c r="B244" s="323">
        <v>2338.5299649703393</v>
      </c>
    </row>
    <row r="245" spans="1:2" x14ac:dyDescent="0.3">
      <c r="A245" s="45" t="s">
        <v>383</v>
      </c>
      <c r="B245" s="323">
        <v>-7758.3008314594408</v>
      </c>
    </row>
    <row r="246" spans="1:2" x14ac:dyDescent="0.3">
      <c r="A246" s="45" t="s">
        <v>384</v>
      </c>
      <c r="B246" s="323">
        <v>-72098.553029169852</v>
      </c>
    </row>
    <row r="247" spans="1:2" x14ac:dyDescent="0.3">
      <c r="A247" s="45" t="s">
        <v>269</v>
      </c>
      <c r="B247" s="323">
        <v>52148.584140836552</v>
      </c>
    </row>
    <row r="248" spans="1:2" x14ac:dyDescent="0.3">
      <c r="A248" s="45" t="s">
        <v>270</v>
      </c>
      <c r="B248" s="323">
        <v>-34750.228771861191</v>
      </c>
    </row>
    <row r="249" spans="1:2" x14ac:dyDescent="0.3">
      <c r="A249" s="45" t="s">
        <v>271</v>
      </c>
      <c r="B249" s="323">
        <v>-43695.113962520263</v>
      </c>
    </row>
    <row r="250" spans="1:2" x14ac:dyDescent="0.3">
      <c r="A250" s="45" t="s">
        <v>272</v>
      </c>
      <c r="B250" s="323">
        <v>-7005.9873227057087</v>
      </c>
    </row>
    <row r="251" spans="1:2" x14ac:dyDescent="0.3">
      <c r="A251" s="45" t="s">
        <v>216</v>
      </c>
      <c r="B251" s="323">
        <v>50829.550216587384</v>
      </c>
    </row>
    <row r="252" spans="1:2" x14ac:dyDescent="0.3">
      <c r="A252" s="45" t="s">
        <v>179</v>
      </c>
      <c r="B252" s="323">
        <v>34127.542691991577</v>
      </c>
    </row>
    <row r="253" spans="1:2" x14ac:dyDescent="0.3">
      <c r="A253" s="45" t="s">
        <v>125</v>
      </c>
      <c r="B253" s="323">
        <v>-1619.8985893769766</v>
      </c>
    </row>
    <row r="254" spans="1:2" x14ac:dyDescent="0.3">
      <c r="A254" s="45" t="s">
        <v>180</v>
      </c>
      <c r="B254" s="323">
        <v>7730.3728397101495</v>
      </c>
    </row>
    <row r="255" spans="1:2" x14ac:dyDescent="0.3">
      <c r="A255" s="45" t="s">
        <v>196</v>
      </c>
      <c r="B255" s="323">
        <v>4776.0840431174965</v>
      </c>
    </row>
    <row r="256" spans="1:2" x14ac:dyDescent="0.3">
      <c r="A256" s="45" t="s">
        <v>181</v>
      </c>
      <c r="B256" s="323">
        <v>5459.0582198445354</v>
      </c>
    </row>
    <row r="257" spans="1:2" x14ac:dyDescent="0.3">
      <c r="A257" s="45" t="s">
        <v>217</v>
      </c>
      <c r="B257" s="323">
        <v>18979.613316855881</v>
      </c>
    </row>
    <row r="258" spans="1:2" x14ac:dyDescent="0.3">
      <c r="A258" s="47" t="s">
        <v>428</v>
      </c>
      <c r="B258" s="323">
        <v>32463.42058370763</v>
      </c>
    </row>
    <row r="259" spans="1:2" x14ac:dyDescent="0.3">
      <c r="A259" s="45" t="s">
        <v>182</v>
      </c>
      <c r="B259" s="323">
        <v>-4168.5669994463215</v>
      </c>
    </row>
    <row r="260" spans="1:2" x14ac:dyDescent="0.3">
      <c r="A260" s="45" t="s">
        <v>126</v>
      </c>
      <c r="B260" s="323">
        <v>-4947.8152477619496</v>
      </c>
    </row>
    <row r="261" spans="1:2" x14ac:dyDescent="0.3">
      <c r="A261" s="45" t="s">
        <v>385</v>
      </c>
      <c r="B261" s="323">
        <v>54841.834993527722</v>
      </c>
    </row>
    <row r="262" spans="1:2" x14ac:dyDescent="0.3">
      <c r="A262" s="45" t="s">
        <v>127</v>
      </c>
      <c r="B262" s="323">
        <v>-6134.0028454945559</v>
      </c>
    </row>
    <row r="263" spans="1:2" x14ac:dyDescent="0.3">
      <c r="A263" s="45" t="s">
        <v>183</v>
      </c>
      <c r="B263" s="323">
        <v>-2375.6894417913409</v>
      </c>
    </row>
    <row r="264" spans="1:2" x14ac:dyDescent="0.3">
      <c r="A264" s="45" t="s">
        <v>128</v>
      </c>
      <c r="B264" s="323">
        <v>-3949.7897459897258</v>
      </c>
    </row>
    <row r="265" spans="1:2" x14ac:dyDescent="0.3">
      <c r="A265" s="45" t="s">
        <v>184</v>
      </c>
      <c r="B265" s="323">
        <v>-5904.3263651682146</v>
      </c>
    </row>
    <row r="266" spans="1:2" x14ac:dyDescent="0.3">
      <c r="A266" s="45" t="s">
        <v>273</v>
      </c>
      <c r="B266" s="323">
        <v>10452.663635201618</v>
      </c>
    </row>
    <row r="267" spans="1:2" x14ac:dyDescent="0.3">
      <c r="A267" s="45" t="s">
        <v>218</v>
      </c>
      <c r="B267" s="323">
        <v>30640.981388067754</v>
      </c>
    </row>
    <row r="268" spans="1:2" x14ac:dyDescent="0.3">
      <c r="A268" s="45" t="s">
        <v>274</v>
      </c>
      <c r="B268" s="323">
        <v>1867.3567453412397</v>
      </c>
    </row>
    <row r="269" spans="1:2" x14ac:dyDescent="0.3">
      <c r="A269" s="45" t="s">
        <v>275</v>
      </c>
      <c r="B269" s="323">
        <v>-72247.761618738266</v>
      </c>
    </row>
    <row r="270" spans="1:2" x14ac:dyDescent="0.3">
      <c r="A270" s="45" t="s">
        <v>276</v>
      </c>
      <c r="B270" s="323">
        <v>-68837.15054738136</v>
      </c>
    </row>
    <row r="271" spans="1:2" x14ac:dyDescent="0.3">
      <c r="A271" s="45" t="s">
        <v>277</v>
      </c>
      <c r="B271" s="323">
        <v>-13168.337453942588</v>
      </c>
    </row>
    <row r="272" spans="1:2" x14ac:dyDescent="0.3">
      <c r="A272" s="45" t="s">
        <v>278</v>
      </c>
      <c r="B272" s="323">
        <v>2145.8479075563137</v>
      </c>
    </row>
    <row r="273" spans="1:2" x14ac:dyDescent="0.3">
      <c r="A273" s="45" t="s">
        <v>279</v>
      </c>
      <c r="B273" s="323">
        <v>5578.8841651014882</v>
      </c>
    </row>
    <row r="274" spans="1:2" x14ac:dyDescent="0.3">
      <c r="A274" s="45" t="s">
        <v>280</v>
      </c>
      <c r="B274" s="323">
        <v>17494.958382704157</v>
      </c>
    </row>
    <row r="275" spans="1:2" x14ac:dyDescent="0.3">
      <c r="A275" s="45" t="s">
        <v>281</v>
      </c>
      <c r="B275" s="323">
        <v>9711.5393007118655</v>
      </c>
    </row>
    <row r="276" spans="1:2" x14ac:dyDescent="0.3">
      <c r="A276" s="45" t="s">
        <v>282</v>
      </c>
      <c r="B276" s="323">
        <v>114342.50110686746</v>
      </c>
    </row>
    <row r="277" spans="1:2" x14ac:dyDescent="0.3">
      <c r="A277" s="45" t="s">
        <v>283</v>
      </c>
      <c r="B277" s="323">
        <v>41819.653571427552</v>
      </c>
    </row>
    <row r="278" spans="1:2" x14ac:dyDescent="0.3">
      <c r="A278" s="45" t="s">
        <v>284</v>
      </c>
      <c r="B278" s="323">
        <v>-41428.637249539257</v>
      </c>
    </row>
    <row r="279" spans="1:2" x14ac:dyDescent="0.3">
      <c r="A279" s="45" t="s">
        <v>285</v>
      </c>
      <c r="B279" s="323">
        <v>-37786.5010035823</v>
      </c>
    </row>
    <row r="280" spans="1:2" x14ac:dyDescent="0.3">
      <c r="A280" s="45" t="s">
        <v>286</v>
      </c>
      <c r="B280" s="323">
        <v>-10383.833201603564</v>
      </c>
    </row>
    <row r="281" spans="1:2" x14ac:dyDescent="0.3">
      <c r="A281" s="45" t="s">
        <v>287</v>
      </c>
      <c r="B281" s="323">
        <v>-60164.347097913596</v>
      </c>
    </row>
    <row r="282" spans="1:2" x14ac:dyDescent="0.3">
      <c r="A282" s="45" t="s">
        <v>288</v>
      </c>
      <c r="B282" s="323">
        <v>27780.038529262911</v>
      </c>
    </row>
    <row r="283" spans="1:2" x14ac:dyDescent="0.3">
      <c r="A283" s="45" t="s">
        <v>129</v>
      </c>
      <c r="B283" s="323">
        <v>-6165.3695332093321</v>
      </c>
    </row>
    <row r="284" spans="1:2" x14ac:dyDescent="0.3">
      <c r="A284" s="45" t="s">
        <v>130</v>
      </c>
      <c r="B284" s="323">
        <v>-2240.0830915776205</v>
      </c>
    </row>
    <row r="285" spans="1:2" x14ac:dyDescent="0.3">
      <c r="A285" s="45" t="s">
        <v>386</v>
      </c>
      <c r="B285" s="323">
        <v>1096.9421258767943</v>
      </c>
    </row>
    <row r="286" spans="1:2" x14ac:dyDescent="0.3">
      <c r="A286" s="45" t="s">
        <v>387</v>
      </c>
      <c r="B286" s="323">
        <v>78093.355183338164</v>
      </c>
    </row>
    <row r="287" spans="1:2" x14ac:dyDescent="0.3">
      <c r="A287" s="45" t="s">
        <v>388</v>
      </c>
      <c r="B287" s="323">
        <v>-26220.010742889863</v>
      </c>
    </row>
    <row r="288" spans="1:2" x14ac:dyDescent="0.3">
      <c r="A288" s="45" t="s">
        <v>389</v>
      </c>
      <c r="B288" s="323">
        <v>10377.051541261346</v>
      </c>
    </row>
    <row r="289" spans="1:2" x14ac:dyDescent="0.3">
      <c r="A289" s="45" t="s">
        <v>390</v>
      </c>
      <c r="B289" s="323">
        <v>38212.834533103101</v>
      </c>
    </row>
    <row r="290" spans="1:2" x14ac:dyDescent="0.3">
      <c r="A290" s="45" t="s">
        <v>391</v>
      </c>
      <c r="B290" s="323">
        <v>22378.704082453598</v>
      </c>
    </row>
    <row r="291" spans="1:2" x14ac:dyDescent="0.3">
      <c r="A291" s="45" t="s">
        <v>131</v>
      </c>
      <c r="B291" s="323">
        <v>-2960.994432469477</v>
      </c>
    </row>
    <row r="292" spans="1:2" x14ac:dyDescent="0.3">
      <c r="A292" s="45" t="s">
        <v>132</v>
      </c>
      <c r="B292" s="323">
        <v>-3586.2045114305602</v>
      </c>
    </row>
    <row r="293" spans="1:2" x14ac:dyDescent="0.3">
      <c r="A293" s="45" t="s">
        <v>219</v>
      </c>
      <c r="B293" s="323">
        <v>-22881.500736182821</v>
      </c>
    </row>
    <row r="294" spans="1:2" x14ac:dyDescent="0.3">
      <c r="A294" s="45" t="s">
        <v>220</v>
      </c>
      <c r="B294" s="323">
        <v>52472.556944864373</v>
      </c>
    </row>
    <row r="295" spans="1:2" x14ac:dyDescent="0.3">
      <c r="A295" s="45" t="s">
        <v>221</v>
      </c>
      <c r="B295" s="323">
        <v>8593.6641475588694</v>
      </c>
    </row>
    <row r="296" spans="1:2" x14ac:dyDescent="0.3">
      <c r="A296" s="45" t="s">
        <v>289</v>
      </c>
      <c r="B296" s="323">
        <v>50227.294595843763</v>
      </c>
    </row>
    <row r="297" spans="1:2" x14ac:dyDescent="0.3">
      <c r="A297" s="45" t="s">
        <v>222</v>
      </c>
      <c r="B297" s="323">
        <v>9042.6997269288768</v>
      </c>
    </row>
    <row r="298" spans="1:2" x14ac:dyDescent="0.3">
      <c r="A298" s="45" t="s">
        <v>197</v>
      </c>
      <c r="B298" s="323">
        <v>-14517.263011535473</v>
      </c>
    </row>
    <row r="299" spans="1:2" x14ac:dyDescent="0.3">
      <c r="A299" s="45" t="s">
        <v>223</v>
      </c>
      <c r="B299" s="323">
        <v>-3882.6457384639834</v>
      </c>
    </row>
    <row r="300" spans="1:2" x14ac:dyDescent="0.3">
      <c r="A300" s="45" t="s">
        <v>224</v>
      </c>
      <c r="B300" s="323">
        <v>4348.9079702763011</v>
      </c>
    </row>
    <row r="301" spans="1:2" x14ac:dyDescent="0.3">
      <c r="A301" s="45" t="s">
        <v>290</v>
      </c>
      <c r="B301" s="323">
        <v>28456.784616263754</v>
      </c>
    </row>
    <row r="302" spans="1:2" x14ac:dyDescent="0.3">
      <c r="A302" s="45" t="s">
        <v>133</v>
      </c>
      <c r="B302" s="323">
        <v>-4311.1669132401412</v>
      </c>
    </row>
    <row r="303" spans="1:2" ht="22.8" x14ac:dyDescent="0.3">
      <c r="A303" s="45" t="s">
        <v>185</v>
      </c>
      <c r="B303" s="323">
        <v>2323.4134986025747</v>
      </c>
    </row>
    <row r="304" spans="1:2" x14ac:dyDescent="0.3">
      <c r="A304" s="45" t="s">
        <v>134</v>
      </c>
      <c r="B304" s="323">
        <v>-2838.0166205772493</v>
      </c>
    </row>
    <row r="305" spans="1:2" x14ac:dyDescent="0.3">
      <c r="A305" s="45" t="s">
        <v>291</v>
      </c>
      <c r="B305" s="323">
        <v>3476.8640158891449</v>
      </c>
    </row>
    <row r="306" spans="1:2" x14ac:dyDescent="0.3">
      <c r="A306" s="45" t="s">
        <v>422</v>
      </c>
      <c r="B306" s="323">
        <v>-11302.01251298553</v>
      </c>
    </row>
    <row r="307" spans="1:2" x14ac:dyDescent="0.3">
      <c r="A307" s="45" t="s">
        <v>392</v>
      </c>
      <c r="B307" s="323">
        <v>-35057.635144168147</v>
      </c>
    </row>
    <row r="308" spans="1:2" x14ac:dyDescent="0.3">
      <c r="A308" s="45" t="s">
        <v>198</v>
      </c>
      <c r="B308" s="323">
        <v>29408.749391087338</v>
      </c>
    </row>
    <row r="309" spans="1:2" x14ac:dyDescent="0.3">
      <c r="A309" s="45" t="s">
        <v>199</v>
      </c>
      <c r="B309" s="323">
        <v>7118.9615361380338</v>
      </c>
    </row>
    <row r="310" spans="1:2" x14ac:dyDescent="0.3">
      <c r="A310" s="45" t="s">
        <v>135</v>
      </c>
      <c r="B310" s="323">
        <v>443.27605877095971</v>
      </c>
    </row>
    <row r="311" spans="1:2" x14ac:dyDescent="0.3">
      <c r="A311" s="45" t="s">
        <v>393</v>
      </c>
      <c r="B311" s="323">
        <v>-58237.573978822569</v>
      </c>
    </row>
    <row r="312" spans="1:2" x14ac:dyDescent="0.3">
      <c r="A312" s="45" t="s">
        <v>136</v>
      </c>
      <c r="B312" s="323">
        <v>-541.9247094401112</v>
      </c>
    </row>
    <row r="313" spans="1:2" x14ac:dyDescent="0.3">
      <c r="A313" s="45" t="s">
        <v>186</v>
      </c>
      <c r="B313" s="323">
        <v>-13331.883083443001</v>
      </c>
    </row>
    <row r="314" spans="1:2" x14ac:dyDescent="0.3">
      <c r="A314" s="45" t="s">
        <v>137</v>
      </c>
      <c r="B314" s="323">
        <v>5307.1986957772187</v>
      </c>
    </row>
    <row r="315" spans="1:2" x14ac:dyDescent="0.3">
      <c r="A315" s="45" t="s">
        <v>138</v>
      </c>
      <c r="B315" s="323">
        <v>1342.5193145253124</v>
      </c>
    </row>
    <row r="316" spans="1:2" x14ac:dyDescent="0.3">
      <c r="A316" s="45" t="s">
        <v>139</v>
      </c>
      <c r="B316" s="323">
        <v>-2750.6936039083589</v>
      </c>
    </row>
    <row r="317" spans="1:2" x14ac:dyDescent="0.3">
      <c r="A317" s="45" t="s">
        <v>225</v>
      </c>
      <c r="B317" s="323">
        <v>10402.659418976555</v>
      </c>
    </row>
    <row r="318" spans="1:2" x14ac:dyDescent="0.3">
      <c r="A318" s="45" t="s">
        <v>423</v>
      </c>
      <c r="B318" s="323">
        <v>20705.925892333817</v>
      </c>
    </row>
    <row r="319" spans="1:2" x14ac:dyDescent="0.3">
      <c r="A319" s="45" t="s">
        <v>394</v>
      </c>
      <c r="B319" s="323">
        <v>89504.622343863462</v>
      </c>
    </row>
    <row r="320" spans="1:2" x14ac:dyDescent="0.3">
      <c r="A320" s="45" t="s">
        <v>292</v>
      </c>
      <c r="B320" s="323">
        <v>-11110.469403238385</v>
      </c>
    </row>
    <row r="321" spans="1:2" x14ac:dyDescent="0.3">
      <c r="A321" s="45" t="s">
        <v>395</v>
      </c>
      <c r="B321" s="323">
        <v>-16120.280951409157</v>
      </c>
    </row>
    <row r="322" spans="1:2" x14ac:dyDescent="0.3">
      <c r="A322" s="45" t="s">
        <v>293</v>
      </c>
      <c r="B322" s="323">
        <v>-12855.651827720547</v>
      </c>
    </row>
    <row r="323" spans="1:2" x14ac:dyDescent="0.3">
      <c r="A323" s="45" t="s">
        <v>226</v>
      </c>
      <c r="B323" s="323">
        <v>22834.504421620135</v>
      </c>
    </row>
    <row r="324" spans="1:2" x14ac:dyDescent="0.3">
      <c r="A324" s="45" t="s">
        <v>294</v>
      </c>
      <c r="B324" s="323">
        <v>5080.5746685007907</v>
      </c>
    </row>
    <row r="325" spans="1:2" x14ac:dyDescent="0.3">
      <c r="A325" s="45" t="s">
        <v>295</v>
      </c>
      <c r="B325" s="323">
        <v>52844.694053223597</v>
      </c>
    </row>
    <row r="326" spans="1:2" x14ac:dyDescent="0.3">
      <c r="A326" s="45" t="s">
        <v>227</v>
      </c>
      <c r="B326" s="323">
        <v>-23001.325936764824</v>
      </c>
    </row>
    <row r="327" spans="1:2" x14ac:dyDescent="0.3">
      <c r="A327" s="45" t="s">
        <v>296</v>
      </c>
      <c r="B327" s="323">
        <v>-26118.897809876944</v>
      </c>
    </row>
    <row r="328" spans="1:2" x14ac:dyDescent="0.3">
      <c r="A328" s="45" t="s">
        <v>228</v>
      </c>
      <c r="B328" s="323">
        <v>-25177.338500332342</v>
      </c>
    </row>
    <row r="329" spans="1:2" x14ac:dyDescent="0.3">
      <c r="A329" s="45" t="s">
        <v>187</v>
      </c>
      <c r="B329" s="323">
        <v>5234.0015507983298</v>
      </c>
    </row>
    <row r="330" spans="1:2" x14ac:dyDescent="0.3">
      <c r="A330" s="45" t="s">
        <v>297</v>
      </c>
      <c r="B330" s="323">
        <v>4390.4545830315983</v>
      </c>
    </row>
    <row r="331" spans="1:2" x14ac:dyDescent="0.3">
      <c r="A331" s="45" t="s">
        <v>298</v>
      </c>
      <c r="B331" s="323">
        <v>-21049.867983573888</v>
      </c>
    </row>
    <row r="332" spans="1:2" x14ac:dyDescent="0.3">
      <c r="A332" s="45" t="s">
        <v>299</v>
      </c>
      <c r="B332" s="323">
        <v>50249.812913279915</v>
      </c>
    </row>
    <row r="333" spans="1:2" x14ac:dyDescent="0.3">
      <c r="A333" s="45" t="s">
        <v>300</v>
      </c>
      <c r="B333" s="323">
        <v>20319.661246878495</v>
      </c>
    </row>
    <row r="334" spans="1:2" x14ac:dyDescent="0.3">
      <c r="A334" s="45" t="s">
        <v>301</v>
      </c>
      <c r="B334" s="323">
        <v>-23065.847281157294</v>
      </c>
    </row>
    <row r="335" spans="1:2" x14ac:dyDescent="0.3">
      <c r="A335" s="45" t="s">
        <v>302</v>
      </c>
      <c r="B335" s="323">
        <v>29678.87265234864</v>
      </c>
    </row>
    <row r="336" spans="1:2" x14ac:dyDescent="0.3">
      <c r="A336" s="45" t="s">
        <v>303</v>
      </c>
      <c r="B336" s="323">
        <v>-55307.903528451796</v>
      </c>
    </row>
    <row r="337" spans="1:2" x14ac:dyDescent="0.3">
      <c r="A337" s="45" t="s">
        <v>188</v>
      </c>
      <c r="B337" s="323">
        <v>-1126.6484421175778</v>
      </c>
    </row>
    <row r="338" spans="1:2" x14ac:dyDescent="0.3">
      <c r="A338" s="45" t="s">
        <v>304</v>
      </c>
      <c r="B338" s="323">
        <v>5108.9661389292196</v>
      </c>
    </row>
    <row r="339" spans="1:2" x14ac:dyDescent="0.3">
      <c r="A339" s="45" t="s">
        <v>229</v>
      </c>
      <c r="B339" s="323">
        <v>-33061.310431170161</v>
      </c>
    </row>
    <row r="340" spans="1:2" x14ac:dyDescent="0.3">
      <c r="A340" s="45" t="s">
        <v>230</v>
      </c>
      <c r="B340" s="323">
        <v>44893.347001396847</v>
      </c>
    </row>
    <row r="341" spans="1:2" x14ac:dyDescent="0.3">
      <c r="A341" s="45" t="s">
        <v>231</v>
      </c>
      <c r="B341" s="323">
        <v>48351.041566588261</v>
      </c>
    </row>
    <row r="342" spans="1:2" x14ac:dyDescent="0.3">
      <c r="A342" s="45" t="s">
        <v>141</v>
      </c>
      <c r="B342" s="323">
        <v>-2568.0338416763848</v>
      </c>
    </row>
    <row r="343" spans="1:2" x14ac:dyDescent="0.3">
      <c r="A343" s="45" t="s">
        <v>142</v>
      </c>
      <c r="B343" s="323">
        <v>-2932.2139368340559</v>
      </c>
    </row>
    <row r="344" spans="1:2" x14ac:dyDescent="0.3">
      <c r="A344" s="45" t="s">
        <v>143</v>
      </c>
      <c r="B344" s="323">
        <v>2151.0544705569459</v>
      </c>
    </row>
    <row r="345" spans="1:2" x14ac:dyDescent="0.3">
      <c r="A345" s="45" t="s">
        <v>144</v>
      </c>
      <c r="B345" s="323">
        <v>-4982.4488735435079</v>
      </c>
    </row>
    <row r="346" spans="1:2" x14ac:dyDescent="0.3">
      <c r="A346" s="45" t="s">
        <v>145</v>
      </c>
      <c r="B346" s="323">
        <v>-1684.9861657746908</v>
      </c>
    </row>
    <row r="347" spans="1:2" x14ac:dyDescent="0.3">
      <c r="A347" s="45" t="s">
        <v>191</v>
      </c>
      <c r="B347" s="323">
        <v>-5025.5966773732907</v>
      </c>
    </row>
    <row r="348" spans="1:2" x14ac:dyDescent="0.3">
      <c r="A348" s="45" t="s">
        <v>232</v>
      </c>
      <c r="B348" s="323">
        <v>-15658.266024667464</v>
      </c>
    </row>
    <row r="349" spans="1:2" x14ac:dyDescent="0.3">
      <c r="A349" s="45" t="s">
        <v>233</v>
      </c>
      <c r="B349" s="323">
        <v>-3521.8226127372577</v>
      </c>
    </row>
    <row r="350" spans="1:2" x14ac:dyDescent="0.3">
      <c r="A350" s="45" t="s">
        <v>234</v>
      </c>
      <c r="B350" s="323">
        <v>308215.72267989028</v>
      </c>
    </row>
    <row r="351" spans="1:2" x14ac:dyDescent="0.3">
      <c r="A351" s="45" t="s">
        <v>235</v>
      </c>
      <c r="B351" s="323">
        <v>-32155.243716401848</v>
      </c>
    </row>
    <row r="352" spans="1:2" x14ac:dyDescent="0.3">
      <c r="A352" s="45" t="s">
        <v>200</v>
      </c>
      <c r="B352" s="323">
        <v>25032.335112737663</v>
      </c>
    </row>
    <row r="353" spans="1:2" x14ac:dyDescent="0.3">
      <c r="A353" s="45" t="s">
        <v>305</v>
      </c>
      <c r="B353" s="323">
        <v>126053.74307665952</v>
      </c>
    </row>
    <row r="354" spans="1:2" x14ac:dyDescent="0.3">
      <c r="A354" s="45" t="s">
        <v>306</v>
      </c>
      <c r="B354" s="323">
        <v>48081.118220302917</v>
      </c>
    </row>
    <row r="355" spans="1:2" x14ac:dyDescent="0.3">
      <c r="A355" s="45" t="s">
        <v>307</v>
      </c>
      <c r="B355" s="323">
        <v>40635.619076161507</v>
      </c>
    </row>
    <row r="356" spans="1:2" x14ac:dyDescent="0.3">
      <c r="A356" s="45" t="s">
        <v>308</v>
      </c>
      <c r="B356" s="323">
        <v>6874.8404744491181</v>
      </c>
    </row>
    <row r="357" spans="1:2" x14ac:dyDescent="0.3">
      <c r="A357" s="45" t="s">
        <v>309</v>
      </c>
      <c r="B357" s="323">
        <v>4906.7124347014797</v>
      </c>
    </row>
    <row r="358" spans="1:2" x14ac:dyDescent="0.3">
      <c r="A358" s="45" t="s">
        <v>310</v>
      </c>
      <c r="B358" s="323">
        <v>31674.92382384144</v>
      </c>
    </row>
    <row r="359" spans="1:2" x14ac:dyDescent="0.3">
      <c r="A359" s="45" t="s">
        <v>311</v>
      </c>
      <c r="B359" s="323">
        <v>-23838.599498017607</v>
      </c>
    </row>
    <row r="360" spans="1:2" x14ac:dyDescent="0.3">
      <c r="A360" s="45" t="s">
        <v>312</v>
      </c>
      <c r="B360" s="323">
        <v>60833.880763089488</v>
      </c>
    </row>
    <row r="361" spans="1:2" x14ac:dyDescent="0.3">
      <c r="A361" s="45" t="s">
        <v>140</v>
      </c>
      <c r="B361" s="323">
        <v>-1523.8775594804542</v>
      </c>
    </row>
    <row r="362" spans="1:2" x14ac:dyDescent="0.3">
      <c r="A362" s="45" t="s">
        <v>396</v>
      </c>
      <c r="B362" s="323">
        <v>133435.38974346415</v>
      </c>
    </row>
    <row r="363" spans="1:2" x14ac:dyDescent="0.3">
      <c r="A363" s="45" t="s">
        <v>397</v>
      </c>
      <c r="B363" s="323">
        <v>132772.71366927735</v>
      </c>
    </row>
    <row r="364" spans="1:2" x14ac:dyDescent="0.3">
      <c r="A364" s="45" t="s">
        <v>313</v>
      </c>
      <c r="B364" s="323">
        <v>15222.898904278198</v>
      </c>
    </row>
    <row r="365" spans="1:2" x14ac:dyDescent="0.3">
      <c r="A365" s="45" t="s">
        <v>427</v>
      </c>
      <c r="B365" s="323">
        <v>88228.744153200401</v>
      </c>
    </row>
    <row r="366" spans="1:2" x14ac:dyDescent="0.3">
      <c r="A366" s="45" t="s">
        <v>398</v>
      </c>
      <c r="B366" s="323">
        <v>50387.063084631409</v>
      </c>
    </row>
    <row r="367" spans="1:2" x14ac:dyDescent="0.3">
      <c r="A367" s="45" t="s">
        <v>189</v>
      </c>
      <c r="B367" s="323">
        <v>-2130.5902725902251</v>
      </c>
    </row>
    <row r="368" spans="1:2" x14ac:dyDescent="0.3">
      <c r="A368" s="45" t="s">
        <v>399</v>
      </c>
      <c r="B368" s="323">
        <v>-45080.252862166562</v>
      </c>
    </row>
    <row r="369" spans="1:2" x14ac:dyDescent="0.3">
      <c r="A369" s="45" t="s">
        <v>400</v>
      </c>
      <c r="B369" s="323">
        <v>29075.809991979419</v>
      </c>
    </row>
    <row r="370" spans="1:2" x14ac:dyDescent="0.3">
      <c r="A370" s="45" t="s">
        <v>314</v>
      </c>
      <c r="B370" s="323">
        <v>-37343.294753472066</v>
      </c>
    </row>
    <row r="371" spans="1:2" x14ac:dyDescent="0.3">
      <c r="A371" s="45" t="s">
        <v>315</v>
      </c>
      <c r="B371" s="323">
        <v>-75722.472544723016</v>
      </c>
    </row>
    <row r="372" spans="1:2" x14ac:dyDescent="0.3">
      <c r="A372" s="45" t="s">
        <v>316</v>
      </c>
      <c r="B372" s="323">
        <v>-41135.654855199849</v>
      </c>
    </row>
    <row r="373" spans="1:2" x14ac:dyDescent="0.3">
      <c r="A373" s="45" t="s">
        <v>401</v>
      </c>
      <c r="B373" s="323">
        <v>2116.3833129715458</v>
      </c>
    </row>
    <row r="374" spans="1:2" x14ac:dyDescent="0.3">
      <c r="A374" s="45" t="s">
        <v>317</v>
      </c>
      <c r="B374" s="323">
        <v>-62945.037998928514</v>
      </c>
    </row>
    <row r="375" spans="1:2" x14ac:dyDescent="0.3">
      <c r="A375" s="45" t="s">
        <v>190</v>
      </c>
      <c r="B375" s="323">
        <v>-10825.53275336403</v>
      </c>
    </row>
    <row r="376" spans="1:2" x14ac:dyDescent="0.3">
      <c r="A376" s="45" t="s">
        <v>402</v>
      </c>
      <c r="B376" s="323">
        <v>94880.460033200419</v>
      </c>
    </row>
    <row r="377" spans="1:2" x14ac:dyDescent="0.3">
      <c r="A377" s="45" t="s">
        <v>425</v>
      </c>
      <c r="B377" s="323">
        <v>66132.56586033295</v>
      </c>
    </row>
    <row r="378" spans="1:2" x14ac:dyDescent="0.3">
      <c r="A378" s="45" t="s">
        <v>424</v>
      </c>
      <c r="B378" s="323">
        <v>30307.749913706211</v>
      </c>
    </row>
    <row r="379" spans="1:2" x14ac:dyDescent="0.3">
      <c r="A379" s="45" t="s">
        <v>403</v>
      </c>
      <c r="B379" s="323">
        <v>175602.45510154823</v>
      </c>
    </row>
    <row r="380" spans="1:2" x14ac:dyDescent="0.3">
      <c r="A380" s="45" t="s">
        <v>404</v>
      </c>
      <c r="B380" s="323">
        <v>42027.180929808004</v>
      </c>
    </row>
    <row r="381" spans="1:2" x14ac:dyDescent="0.3">
      <c r="A381" s="45" t="s">
        <v>405</v>
      </c>
      <c r="B381" s="323">
        <v>-66997.143920662042</v>
      </c>
    </row>
    <row r="382" spans="1:2" x14ac:dyDescent="0.3">
      <c r="A382" s="45" t="s">
        <v>426</v>
      </c>
      <c r="B382" s="323">
        <v>102582.89116188695</v>
      </c>
    </row>
    <row r="383" spans="1:2" x14ac:dyDescent="0.3">
      <c r="A383" s="45" t="s">
        <v>406</v>
      </c>
      <c r="B383" s="323">
        <v>98053.129628535302</v>
      </c>
    </row>
    <row r="384" spans="1:2" x14ac:dyDescent="0.3">
      <c r="A384" s="45" t="s">
        <v>407</v>
      </c>
      <c r="B384" s="323">
        <v>63859.543497020451</v>
      </c>
    </row>
    <row r="385" spans="1:2" x14ac:dyDescent="0.3">
      <c r="A385" s="45" t="s">
        <v>408</v>
      </c>
      <c r="B385" s="323">
        <v>105301.50172932954</v>
      </c>
    </row>
    <row r="386" spans="1:2" x14ac:dyDescent="0.3">
      <c r="A386" s="45" t="s">
        <v>409</v>
      </c>
      <c r="B386" s="323">
        <v>1168.3082463747305</v>
      </c>
    </row>
    <row r="387" spans="1:2" x14ac:dyDescent="0.3">
      <c r="A387" s="45" t="s">
        <v>410</v>
      </c>
      <c r="B387" s="323">
        <v>32743.408685609094</v>
      </c>
    </row>
    <row r="388" spans="1:2" x14ac:dyDescent="0.3">
      <c r="A388" s="45" t="s">
        <v>318</v>
      </c>
      <c r="B388" s="323">
        <v>-106488.28604405263</v>
      </c>
    </row>
    <row r="389" spans="1:2" x14ac:dyDescent="0.3">
      <c r="A389" s="45" t="s">
        <v>319</v>
      </c>
      <c r="B389" s="323">
        <v>21644.404204050279</v>
      </c>
    </row>
    <row r="390" spans="1:2" x14ac:dyDescent="0.3">
      <c r="A390" s="45" t="s">
        <v>320</v>
      </c>
      <c r="B390" s="323">
        <v>-44408.093998915181</v>
      </c>
    </row>
    <row r="391" spans="1:2" x14ac:dyDescent="0.3">
      <c r="A391" s="45" t="s">
        <v>321</v>
      </c>
      <c r="B391" s="323">
        <v>-28534.099539050432</v>
      </c>
    </row>
    <row r="392" spans="1:2" x14ac:dyDescent="0.3">
      <c r="A392" s="45" t="s">
        <v>322</v>
      </c>
      <c r="B392" s="323">
        <v>28714.196773694704</v>
      </c>
    </row>
    <row r="393" spans="1:2" x14ac:dyDescent="0.3">
      <c r="A393" s="45" t="s">
        <v>323</v>
      </c>
      <c r="B393" s="323">
        <v>55172.539682145871</v>
      </c>
    </row>
    <row r="394" spans="1:2" x14ac:dyDescent="0.3">
      <c r="A394" s="45" t="s">
        <v>324</v>
      </c>
      <c r="B394" s="323">
        <v>-19145.383589734403</v>
      </c>
    </row>
    <row r="395" spans="1:2" x14ac:dyDescent="0.3">
      <c r="A395" s="45" t="s">
        <v>325</v>
      </c>
      <c r="B395" s="323">
        <v>-98411.674257270817</v>
      </c>
    </row>
    <row r="396" spans="1:2" x14ac:dyDescent="0.3">
      <c r="A396" s="45" t="s">
        <v>326</v>
      </c>
      <c r="B396" s="323">
        <v>-47218.359814074851</v>
      </c>
    </row>
    <row r="397" spans="1:2" x14ac:dyDescent="0.3">
      <c r="A397" s="45" t="s">
        <v>327</v>
      </c>
      <c r="B397" s="323">
        <v>-23621.97066906144</v>
      </c>
    </row>
    <row r="398" spans="1:2" x14ac:dyDescent="0.3">
      <c r="A398" s="45" t="s">
        <v>328</v>
      </c>
      <c r="B398" s="323">
        <v>40787.896529030288</v>
      </c>
    </row>
    <row r="399" spans="1:2" x14ac:dyDescent="0.3">
      <c r="A399" s="45" t="s">
        <v>236</v>
      </c>
      <c r="B399" s="323">
        <v>-1509.638307116983</v>
      </c>
    </row>
    <row r="400" spans="1:2" x14ac:dyDescent="0.3">
      <c r="A400" s="45" t="s">
        <v>329</v>
      </c>
      <c r="B400" s="323">
        <v>-798.86251403194728</v>
      </c>
    </row>
    <row r="401" spans="1:2" x14ac:dyDescent="0.3">
      <c r="A401" s="45" t="s">
        <v>237</v>
      </c>
      <c r="B401" s="323">
        <v>61590.972898895336</v>
      </c>
    </row>
    <row r="402" spans="1:2" x14ac:dyDescent="0.3">
      <c r="A402" s="45" t="s">
        <v>411</v>
      </c>
      <c r="B402" s="323">
        <v>141842.27286980243</v>
      </c>
    </row>
    <row r="403" spans="1:2" x14ac:dyDescent="0.3">
      <c r="A403" s="45" t="s">
        <v>330</v>
      </c>
      <c r="B403" s="323">
        <v>-60441.367778229287</v>
      </c>
    </row>
    <row r="404" spans="1:2" x14ac:dyDescent="0.3">
      <c r="A404" s="45" t="s">
        <v>331</v>
      </c>
      <c r="B404" s="323">
        <v>-2908.0650749366323</v>
      </c>
    </row>
    <row r="405" spans="1:2" x14ac:dyDescent="0.3">
      <c r="A405" s="45" t="s">
        <v>332</v>
      </c>
      <c r="B405" s="323">
        <v>19403.071290685206</v>
      </c>
    </row>
    <row r="406" spans="1:2" ht="15" thickBot="1" x14ac:dyDescent="0.35">
      <c r="A406" s="49" t="s">
        <v>238</v>
      </c>
      <c r="B406" s="323">
        <v>9628.4814482895308</v>
      </c>
    </row>
    <row r="407" spans="1:2" ht="15" thickBot="1" x14ac:dyDescent="0.35">
      <c r="A407" s="52" t="s">
        <v>824</v>
      </c>
      <c r="B407" s="324">
        <f>SUM(B9:B406)</f>
        <v>2746434.0173520907</v>
      </c>
    </row>
  </sheetData>
  <autoFilter ref="A8:B8" xr:uid="{00000000-0009-0000-0000-00000D000000}"/>
  <mergeCells count="2">
    <mergeCell ref="A6:A8"/>
    <mergeCell ref="B6:B8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BDA9C-A39F-4BB9-8310-9E17359DD55F}">
  <sheetPr codeName="Лист10"/>
  <dimension ref="A1"/>
  <sheetViews>
    <sheetView zoomScaleNormal="100" workbookViewId="0">
      <selection activeCell="V21" sqref="V21"/>
    </sheetView>
  </sheetViews>
  <sheetFormatPr defaultRowHeight="14.4" x14ac:dyDescent="0.3"/>
  <sheetData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/>
  <dimension ref="A1:N379"/>
  <sheetViews>
    <sheetView topLeftCell="F1" workbookViewId="0">
      <selection activeCell="N7" sqref="N7"/>
    </sheetView>
  </sheetViews>
  <sheetFormatPr defaultColWidth="8.88671875" defaultRowHeight="13.8" x14ac:dyDescent="0.3"/>
  <cols>
    <col min="1" max="1" width="8.88671875" style="1" customWidth="1"/>
    <col min="2" max="2" width="34.44140625" style="1" customWidth="1"/>
    <col min="3" max="3" width="6.109375" style="153" customWidth="1"/>
    <col min="4" max="4" width="11.33203125" style="341" customWidth="1"/>
    <col min="5" max="7" width="8.109375" style="341" customWidth="1"/>
    <col min="8" max="10" width="8.109375" style="342" customWidth="1"/>
    <col min="11" max="11" width="8.109375" style="299" customWidth="1"/>
    <col min="12" max="12" width="11.5546875" style="345" customWidth="1"/>
    <col min="13" max="13" width="11" style="1" customWidth="1"/>
    <col min="14" max="14" width="12.109375" style="1" customWidth="1"/>
    <col min="15" max="16384" width="8.88671875" style="1"/>
  </cols>
  <sheetData>
    <row r="1" spans="1:14" x14ac:dyDescent="0.3">
      <c r="A1" s="1" t="s">
        <v>0</v>
      </c>
    </row>
    <row r="3" spans="1:14" ht="15.6" x14ac:dyDescent="0.3">
      <c r="A3" s="6" t="s">
        <v>1083</v>
      </c>
      <c r="I3" s="572">
        <f>місяць!A2</f>
        <v>2023</v>
      </c>
      <c r="J3" s="573">
        <v>2022</v>
      </c>
    </row>
    <row r="5" spans="1:14" ht="15" thickBot="1" x14ac:dyDescent="0.35">
      <c r="C5" s="347"/>
      <c r="L5" s="1402" t="s">
        <v>1702</v>
      </c>
      <c r="M5" s="1403"/>
    </row>
    <row r="6" spans="1:14" ht="28.5" customHeight="1" x14ac:dyDescent="0.3">
      <c r="A6" s="1212" t="s">
        <v>821</v>
      </c>
      <c r="B6" s="1215" t="s">
        <v>1</v>
      </c>
      <c r="C6" s="1404" t="s">
        <v>2</v>
      </c>
      <c r="D6" s="1406" t="s">
        <v>1110</v>
      </c>
      <c r="E6" s="1407"/>
      <c r="F6" s="1407"/>
      <c r="G6" s="1408"/>
      <c r="H6" s="1409" t="s">
        <v>1113</v>
      </c>
      <c r="I6" s="1410"/>
      <c r="J6" s="1410"/>
      <c r="K6" s="1411"/>
      <c r="L6" s="1412" t="s">
        <v>1114</v>
      </c>
      <c r="M6" s="1400" t="s">
        <v>1115</v>
      </c>
    </row>
    <row r="7" spans="1:14" ht="29.7" customHeight="1" thickBot="1" x14ac:dyDescent="0.35">
      <c r="A7" s="1214"/>
      <c r="B7" s="1217"/>
      <c r="C7" s="1405"/>
      <c r="D7" s="356" t="s">
        <v>439</v>
      </c>
      <c r="E7" s="351" t="s">
        <v>440</v>
      </c>
      <c r="F7" s="351" t="s">
        <v>1111</v>
      </c>
      <c r="G7" s="357" t="s">
        <v>1112</v>
      </c>
      <c r="H7" s="353" t="s">
        <v>439</v>
      </c>
      <c r="I7" s="352" t="s">
        <v>440</v>
      </c>
      <c r="J7" s="352" t="s">
        <v>1111</v>
      </c>
      <c r="K7" s="362" t="s">
        <v>1112</v>
      </c>
      <c r="L7" s="1413"/>
      <c r="M7" s="1401"/>
    </row>
    <row r="8" spans="1:14" ht="20.100000000000001" customHeight="1" x14ac:dyDescent="0.3">
      <c r="A8" s="367" t="s">
        <v>457</v>
      </c>
      <c r="B8" s="348" t="s">
        <v>146</v>
      </c>
      <c r="C8" s="368">
        <v>2</v>
      </c>
      <c r="D8" s="358">
        <f>'побудинковий звіт'!CU9</f>
        <v>25502.125515556952</v>
      </c>
      <c r="E8" s="349">
        <f>'побудинковий звіт'!CV9</f>
        <v>26179.885483044876</v>
      </c>
      <c r="F8" s="349">
        <f>E8-D8</f>
        <v>677.75996748792386</v>
      </c>
      <c r="G8" s="359">
        <f>E8/D8</f>
        <v>1.0265766069998548</v>
      </c>
      <c r="H8" s="354">
        <f>('побудинковий звіт'!AS9+'побудинковий звіт'!BQ9)*1.2</f>
        <v>9223.551893164502</v>
      </c>
      <c r="I8" s="350">
        <f>('побудинковий звіт'!AT9+'побудинковий звіт'!BR9)*1.2</f>
        <v>644.4</v>
      </c>
      <c r="J8" s="350">
        <f>I8-H8</f>
        <v>-8579.1518931645023</v>
      </c>
      <c r="K8" s="363">
        <f>I8/H8</f>
        <v>6.9864625630562074E-2</v>
      </c>
      <c r="L8" s="365">
        <f>'побудинковий звіт'!DE9</f>
        <v>239.35000000000036</v>
      </c>
      <c r="M8" s="372">
        <f>'побудинковий звіт'!DA9*-1</f>
        <v>-22131.961307982205</v>
      </c>
    </row>
    <row r="9" spans="1:14" ht="20.100000000000001" customHeight="1" x14ac:dyDescent="0.3">
      <c r="A9" s="369" t="s">
        <v>458</v>
      </c>
      <c r="B9" s="308" t="s">
        <v>239</v>
      </c>
      <c r="C9" s="370">
        <v>5</v>
      </c>
      <c r="D9" s="360">
        <f>'побудинковий звіт'!CU10</f>
        <v>122609.13065175517</v>
      </c>
      <c r="E9" s="344">
        <f>'побудинковий звіт'!CV10</f>
        <v>100734.88086366911</v>
      </c>
      <c r="F9" s="344">
        <f t="shared" ref="F9:F64" si="0">E9-D9</f>
        <v>-21874.249788086061</v>
      </c>
      <c r="G9" s="361">
        <f t="shared" ref="G9:G64" si="1">E9/D9</f>
        <v>0.82159363114468897</v>
      </c>
      <c r="H9" s="355">
        <f>('побудинковий звіт'!AS10+'побудинковий звіт'!BQ10)*1.2</f>
        <v>39402.59283632884</v>
      </c>
      <c r="I9" s="343">
        <f>('побудинковий звіт'!AT10+'побудинковий звіт'!BR10)*1.2</f>
        <v>10843.199999999999</v>
      </c>
      <c r="J9" s="343">
        <f t="shared" ref="J9:J64" si="2">I9-H9</f>
        <v>-28559.392836328843</v>
      </c>
      <c r="K9" s="364">
        <f t="shared" ref="K9:K64" si="3">I9/H9</f>
        <v>0.27519001211520944</v>
      </c>
      <c r="L9" s="366">
        <f>'побудинковий звіт'!DE10</f>
        <v>13720.07</v>
      </c>
      <c r="M9" s="373">
        <f>'побудинковий звіт'!DA10*-1</f>
        <v>-15851.067426333102</v>
      </c>
    </row>
    <row r="10" spans="1:14" ht="20.100000000000001" customHeight="1" x14ac:dyDescent="0.3">
      <c r="A10" s="369" t="s">
        <v>459</v>
      </c>
      <c r="B10" s="308" t="s">
        <v>240</v>
      </c>
      <c r="C10" s="370">
        <v>5</v>
      </c>
      <c r="D10" s="360">
        <f>'побудинковий звіт'!CU11</f>
        <v>196931.65770476774</v>
      </c>
      <c r="E10" s="344">
        <f>'побудинковий звіт'!CV11</f>
        <v>238152.0237857294</v>
      </c>
      <c r="F10" s="344">
        <f t="shared" si="0"/>
        <v>41220.366080961656</v>
      </c>
      <c r="G10" s="361">
        <f t="shared" si="1"/>
        <v>1.2093130508389749</v>
      </c>
      <c r="H10" s="355">
        <f>('побудинковий звіт'!AS11+'побудинковий звіт'!BQ11)*1.2</f>
        <v>68639.542353531011</v>
      </c>
      <c r="I10" s="343">
        <f>('побудинковий звіт'!AT11+'побудинковий звіт'!BR11)*1.2</f>
        <v>93729.724254380068</v>
      </c>
      <c r="J10" s="343">
        <f t="shared" si="2"/>
        <v>25090.181900849057</v>
      </c>
      <c r="K10" s="364">
        <f t="shared" si="3"/>
        <v>1.3655353902510154</v>
      </c>
      <c r="L10" s="366">
        <f>'побудинковий звіт'!DE11</f>
        <v>46842.75</v>
      </c>
      <c r="M10" s="373">
        <f>'побудинковий звіт'!DA11*-1</f>
        <v>-96725.094136022948</v>
      </c>
    </row>
    <row r="11" spans="1:14" ht="20.100000000000001" customHeight="1" x14ac:dyDescent="0.3">
      <c r="A11" s="369" t="s">
        <v>460</v>
      </c>
      <c r="B11" s="308" t="s">
        <v>338</v>
      </c>
      <c r="C11" s="370">
        <v>9</v>
      </c>
      <c r="D11" s="360">
        <f>'побудинковий звіт'!CU12</f>
        <v>528531.05519890587</v>
      </c>
      <c r="E11" s="344">
        <f>'побудинковий звіт'!CV12</f>
        <v>754346.03665708192</v>
      </c>
      <c r="F11" s="344">
        <f t="shared" si="0"/>
        <v>225814.98145817604</v>
      </c>
      <c r="G11" s="361">
        <f t="shared" si="1"/>
        <v>1.4272501667346558</v>
      </c>
      <c r="H11" s="355">
        <f>('побудинковий звіт'!AS12+'побудинковий звіт'!BQ12)*1.2</f>
        <v>178251.61299973575</v>
      </c>
      <c r="I11" s="343">
        <f>('побудинковий звіт'!AT12+'побудинковий звіт'!BR12)*1.2</f>
        <v>425194.8</v>
      </c>
      <c r="J11" s="343">
        <f t="shared" si="2"/>
        <v>246943.18700026424</v>
      </c>
      <c r="K11" s="364">
        <f t="shared" si="3"/>
        <v>2.3853629868731137</v>
      </c>
      <c r="L11" s="366">
        <f>'побудинковий звіт'!DE12</f>
        <v>62407.9</v>
      </c>
      <c r="M11" s="374">
        <f>'побудинковий звіт'!DA12*-1</f>
        <v>-175393.91089384642</v>
      </c>
      <c r="N11" s="154"/>
    </row>
    <row r="12" spans="1:14" ht="20.100000000000001" customHeight="1" x14ac:dyDescent="0.3">
      <c r="A12" s="369" t="s">
        <v>461</v>
      </c>
      <c r="B12" s="308" t="s">
        <v>339</v>
      </c>
      <c r="C12" s="370">
        <v>9</v>
      </c>
      <c r="D12" s="360">
        <f>'побудинковий звіт'!CU13</f>
        <v>524736.52868791169</v>
      </c>
      <c r="E12" s="344">
        <f>'побудинковий звіт'!CV13</f>
        <v>811091.84661245788</v>
      </c>
      <c r="F12" s="344">
        <f t="shared" si="0"/>
        <v>286355.31792454619</v>
      </c>
      <c r="G12" s="361">
        <f t="shared" si="1"/>
        <v>1.5457125667248082</v>
      </c>
      <c r="H12" s="355">
        <f>('побудинковий звіт'!AS13+'побудинковий звіт'!BQ13)*1.2</f>
        <v>178347.33033034758</v>
      </c>
      <c r="I12" s="343">
        <f>('побудинковий звіт'!AT13+'побудинковий звіт'!BR13)*1.2</f>
        <v>477409.99581594544</v>
      </c>
      <c r="J12" s="343">
        <f t="shared" si="2"/>
        <v>299062.66548559786</v>
      </c>
      <c r="K12" s="364">
        <f t="shared" si="3"/>
        <v>2.6768552965253405</v>
      </c>
      <c r="L12" s="366">
        <f>'побудинковий звіт'!DE13</f>
        <v>81970.290000000008</v>
      </c>
      <c r="M12" s="373">
        <f>'побудинковий звіт'!DA13*-1</f>
        <v>-40170.983496376575</v>
      </c>
    </row>
    <row r="13" spans="1:14" ht="20.100000000000001" customHeight="1" x14ac:dyDescent="0.3">
      <c r="A13" s="369" t="s">
        <v>462</v>
      </c>
      <c r="B13" s="308" t="s">
        <v>33</v>
      </c>
      <c r="C13" s="370">
        <v>1</v>
      </c>
      <c r="D13" s="360">
        <f>'побудинковий звіт'!CU14</f>
        <v>5023.5749716808878</v>
      </c>
      <c r="E13" s="344">
        <f>'побудинковий звіт'!CV14</f>
        <v>416.84639485810601</v>
      </c>
      <c r="F13" s="344">
        <f t="shared" si="0"/>
        <v>-4606.7285768227821</v>
      </c>
      <c r="G13" s="361">
        <f t="shared" si="1"/>
        <v>8.2978037992459633E-2</v>
      </c>
      <c r="H13" s="355">
        <f>('побудинковий звіт'!AS14+'побудинковий звіт'!BQ14)*1.2</f>
        <v>4512.1854445183171</v>
      </c>
      <c r="I13" s="343">
        <f>('побудинковий звіт'!AT14+'побудинковий звіт'!BR14)*1.2</f>
        <v>0</v>
      </c>
      <c r="J13" s="343">
        <f t="shared" si="2"/>
        <v>-4512.1854445183171</v>
      </c>
      <c r="K13" s="364">
        <f t="shared" si="3"/>
        <v>0</v>
      </c>
      <c r="L13" s="366">
        <f>'побудинковий звіт'!DE14</f>
        <v>2780.16</v>
      </c>
      <c r="M13" s="373">
        <f>'побудинковий звіт'!DA14*-1</f>
        <v>13186.362423184084</v>
      </c>
    </row>
    <row r="14" spans="1:14" ht="20.100000000000001" customHeight="1" x14ac:dyDescent="0.3">
      <c r="A14" s="369" t="s">
        <v>463</v>
      </c>
      <c r="B14" s="308" t="s">
        <v>340</v>
      </c>
      <c r="C14" s="370">
        <v>9</v>
      </c>
      <c r="D14" s="360">
        <f>'побудинковий звіт'!CU15</f>
        <v>393174.97209518607</v>
      </c>
      <c r="E14" s="344">
        <f>'побудинковий звіт'!CV15</f>
        <v>502711.71729578439</v>
      </c>
      <c r="F14" s="344">
        <f t="shared" si="0"/>
        <v>109536.74520059832</v>
      </c>
      <c r="G14" s="361">
        <f t="shared" si="1"/>
        <v>1.2785954167349185</v>
      </c>
      <c r="H14" s="355">
        <f>('побудинковий звіт'!AS15+'побудинковий звіт'!BQ15)*1.2</f>
        <v>80725.519124799466</v>
      </c>
      <c r="I14" s="343">
        <f>('побудинковий звіт'!AT15+'побудинковий звіт'!BR15)*1.2</f>
        <v>171554.95934311431</v>
      </c>
      <c r="J14" s="343">
        <f t="shared" si="2"/>
        <v>90829.440218314849</v>
      </c>
      <c r="K14" s="364">
        <f t="shared" si="3"/>
        <v>2.1251639035965195</v>
      </c>
      <c r="L14" s="366">
        <f>'побудинковий звіт'!DE15</f>
        <v>50068.609999999993</v>
      </c>
      <c r="M14" s="373">
        <f>'побудинковий звіт'!DA15*-1</f>
        <v>-37059.265037846286</v>
      </c>
    </row>
    <row r="15" spans="1:14" ht="20.100000000000001" customHeight="1" x14ac:dyDescent="0.3">
      <c r="A15" s="369" t="s">
        <v>464</v>
      </c>
      <c r="B15" s="308" t="s">
        <v>147</v>
      </c>
      <c r="C15" s="370">
        <v>2</v>
      </c>
      <c r="D15" s="360">
        <f>'побудинковий звіт'!CU16</f>
        <v>30921.173929984485</v>
      </c>
      <c r="E15" s="344">
        <f>'побудинковий звіт'!CV16</f>
        <v>30705.46900258775</v>
      </c>
      <c r="F15" s="344">
        <f t="shared" si="0"/>
        <v>-215.704927396735</v>
      </c>
      <c r="G15" s="361">
        <f t="shared" si="1"/>
        <v>0.993024038224255</v>
      </c>
      <c r="H15" s="355">
        <f>('побудинковий звіт'!AS16+'побудинковий звіт'!BQ16)*1.2</f>
        <v>8045.6371271485841</v>
      </c>
      <c r="I15" s="343">
        <f>('побудинковий звіт'!AT16+'побудинковий звіт'!BR16)*1.2</f>
        <v>4442.7609458678562</v>
      </c>
      <c r="J15" s="343">
        <f t="shared" si="2"/>
        <v>-3602.8761812807279</v>
      </c>
      <c r="K15" s="364">
        <f t="shared" si="3"/>
        <v>0.55219504380536166</v>
      </c>
      <c r="L15" s="366">
        <f>'побудинковий звіт'!DE16</f>
        <v>20049.920000000002</v>
      </c>
      <c r="M15" s="373">
        <f>'побудинковий звіт'!DA16*-1</f>
        <v>4788.7387059627836</v>
      </c>
    </row>
    <row r="16" spans="1:14" ht="20.100000000000001" customHeight="1" x14ac:dyDescent="0.3">
      <c r="A16" s="369" t="s">
        <v>465</v>
      </c>
      <c r="B16" s="308" t="s">
        <v>148</v>
      </c>
      <c r="C16" s="370">
        <v>2</v>
      </c>
      <c r="D16" s="360">
        <f>'побудинковий звіт'!CU17</f>
        <v>30170.70928380487</v>
      </c>
      <c r="E16" s="344">
        <f>'побудинковий звіт'!CV17</f>
        <v>31620.464000227279</v>
      </c>
      <c r="F16" s="344">
        <f t="shared" si="0"/>
        <v>1449.7547164224088</v>
      </c>
      <c r="G16" s="361">
        <f t="shared" si="1"/>
        <v>1.0480517280115988</v>
      </c>
      <c r="H16" s="355">
        <f>('побудинковий звіт'!AS17+'побудинковий звіт'!BQ17)*1.2</f>
        <v>7816.6776416632656</v>
      </c>
      <c r="I16" s="343">
        <f>('побудинковий звіт'!AT17+'побудинковий звіт'!BR17)*1.2</f>
        <v>4837.5609458678564</v>
      </c>
      <c r="J16" s="343">
        <f t="shared" si="2"/>
        <v>-2979.1166957954092</v>
      </c>
      <c r="K16" s="364">
        <f t="shared" si="3"/>
        <v>0.61887686401232989</v>
      </c>
      <c r="L16" s="366">
        <f>'побудинковий звіт'!DE17</f>
        <v>19203.23</v>
      </c>
      <c r="M16" s="373">
        <f>'побудинковий звіт'!DA17*-1</f>
        <v>6919.3206964819447</v>
      </c>
    </row>
    <row r="17" spans="1:13" ht="20.100000000000001" customHeight="1" x14ac:dyDescent="0.3">
      <c r="A17" s="369" t="s">
        <v>466</v>
      </c>
      <c r="B17" s="308" t="s">
        <v>241</v>
      </c>
      <c r="C17" s="370">
        <v>5</v>
      </c>
      <c r="D17" s="360">
        <f>'побудинковий звіт'!CU18</f>
        <v>345457.97805555636</v>
      </c>
      <c r="E17" s="344">
        <f>'побудинковий звіт'!CV18</f>
        <v>305017.62144452211</v>
      </c>
      <c r="F17" s="344">
        <f t="shared" si="0"/>
        <v>-40440.356611034251</v>
      </c>
      <c r="G17" s="361">
        <f t="shared" si="1"/>
        <v>0.88293697300419371</v>
      </c>
      <c r="H17" s="355">
        <f>('побудинковий звіт'!AS18+'побудинковий звіт'!BQ18)*1.2</f>
        <v>68685.726248902312</v>
      </c>
      <c r="I17" s="343">
        <f>('побудинковий звіт'!AT18+'побудинковий звіт'!BR18)*1.2</f>
        <v>11934.047196179965</v>
      </c>
      <c r="J17" s="343">
        <f t="shared" si="2"/>
        <v>-56751.679052722349</v>
      </c>
      <c r="K17" s="364">
        <f t="shared" si="3"/>
        <v>0.17374857700322688</v>
      </c>
      <c r="L17" s="366">
        <f>'побудинковий звіт'!DE18</f>
        <v>32720.629999999997</v>
      </c>
      <c r="M17" s="373">
        <f>'побудинковий звіт'!DA18*-1</f>
        <v>-86948.884768970558</v>
      </c>
    </row>
    <row r="18" spans="1:13" ht="20.100000000000001" customHeight="1" x14ac:dyDescent="0.3">
      <c r="A18" s="369" t="s">
        <v>467</v>
      </c>
      <c r="B18" s="308" t="s">
        <v>192</v>
      </c>
      <c r="C18" s="370">
        <v>3</v>
      </c>
      <c r="D18" s="360">
        <f>'побудинковий звіт'!CU19</f>
        <v>55377.556416867454</v>
      </c>
      <c r="E18" s="344">
        <f>'побудинковий звіт'!CV19</f>
        <v>63943.61735941314</v>
      </c>
      <c r="F18" s="344">
        <f t="shared" si="0"/>
        <v>8566.060942545686</v>
      </c>
      <c r="G18" s="361">
        <f t="shared" si="1"/>
        <v>1.1546847043604211</v>
      </c>
      <c r="H18" s="355">
        <f>('побудинковий звіт'!AS19+'побудинковий звіт'!BQ19)*1.2</f>
        <v>14366.694715272797</v>
      </c>
      <c r="I18" s="343">
        <f>('побудинковий звіт'!AT19+'побудинковий звіт'!BR19)*1.2</f>
        <v>16456.8</v>
      </c>
      <c r="J18" s="343">
        <f t="shared" si="2"/>
        <v>2090.1052847272022</v>
      </c>
      <c r="K18" s="364">
        <f t="shared" si="3"/>
        <v>1.1454826824227897</v>
      </c>
      <c r="L18" s="366">
        <f>'побудинковий звіт'!DE19</f>
        <v>1118.54</v>
      </c>
      <c r="M18" s="373">
        <f>'побудинковий звіт'!DA19*-1</f>
        <v>-6462.3361921331816</v>
      </c>
    </row>
    <row r="19" spans="1:13" ht="20.100000000000001" customHeight="1" x14ac:dyDescent="0.3">
      <c r="A19" s="369" t="s">
        <v>468</v>
      </c>
      <c r="B19" s="308" t="s">
        <v>37</v>
      </c>
      <c r="C19" s="370">
        <v>1</v>
      </c>
      <c r="D19" s="360">
        <f>'побудинковий звіт'!CU20</f>
        <v>4026.3468827897291</v>
      </c>
      <c r="E19" s="344">
        <f>'побудинковий звіт'!CV20</f>
        <v>1627.2411228077754</v>
      </c>
      <c r="F19" s="344">
        <f t="shared" si="0"/>
        <v>-2399.1057599819537</v>
      </c>
      <c r="G19" s="361">
        <f t="shared" si="1"/>
        <v>0.40414826893412403</v>
      </c>
      <c r="H19" s="355">
        <f>('побудинковий звіт'!AS20+'побудинковий звіт'!BQ20)*1.2</f>
        <v>3343.2866454333912</v>
      </c>
      <c r="I19" s="343">
        <f>('побудинковий звіт'!AT20+'побудинковий звіт'!BR20)*1.2</f>
        <v>846</v>
      </c>
      <c r="J19" s="343">
        <f t="shared" si="2"/>
        <v>-2497.2866454333912</v>
      </c>
      <c r="K19" s="364">
        <f t="shared" si="3"/>
        <v>0.25304441100064057</v>
      </c>
      <c r="L19" s="366">
        <f>'побудинковий звіт'!DE20</f>
        <v>62.919999999999959</v>
      </c>
      <c r="M19" s="373">
        <f>'побудинковий звіт'!DA20*-1</f>
        <v>5069.6812890638439</v>
      </c>
    </row>
    <row r="20" spans="1:13" ht="20.100000000000001" customHeight="1" x14ac:dyDescent="0.3">
      <c r="A20" s="369" t="s">
        <v>469</v>
      </c>
      <c r="B20" s="308" t="s">
        <v>242</v>
      </c>
      <c r="C20" s="370">
        <v>5</v>
      </c>
      <c r="D20" s="360">
        <f>'побудинковий звіт'!CU21</f>
        <v>158316.55760432017</v>
      </c>
      <c r="E20" s="344">
        <f>'побудинковий звіт'!CV21</f>
        <v>129782.41506021499</v>
      </c>
      <c r="F20" s="344">
        <f t="shared" si="0"/>
        <v>-28534.142544105183</v>
      </c>
      <c r="G20" s="361">
        <f t="shared" si="1"/>
        <v>0.81976526665378591</v>
      </c>
      <c r="H20" s="355">
        <f>('побудинковий звіт'!AS21+'побудинковий звіт'!BQ21)*1.2</f>
        <v>45119.5356537392</v>
      </c>
      <c r="I20" s="343">
        <f>('побудинковий звіт'!AT21+'побудинковий звіт'!BR21)*1.2</f>
        <v>2871.6</v>
      </c>
      <c r="J20" s="343">
        <f t="shared" si="2"/>
        <v>-42247.935653739201</v>
      </c>
      <c r="K20" s="364">
        <f t="shared" si="3"/>
        <v>6.3644272007529437E-2</v>
      </c>
      <c r="L20" s="366">
        <f>'побудинковий звіт'!DE21</f>
        <v>23759.67</v>
      </c>
      <c r="M20" s="373">
        <f>'побудинковий звіт'!DA21*-1</f>
        <v>-528.01358384905325</v>
      </c>
    </row>
    <row r="21" spans="1:13" ht="20.100000000000001" customHeight="1" x14ac:dyDescent="0.3">
      <c r="A21" s="369" t="s">
        <v>470</v>
      </c>
      <c r="B21" s="308" t="s">
        <v>193</v>
      </c>
      <c r="C21" s="370">
        <v>3</v>
      </c>
      <c r="D21" s="360">
        <f>'побудинковий звіт'!CU22</f>
        <v>105469.96161456597</v>
      </c>
      <c r="E21" s="344">
        <f>'побудинковий звіт'!CV22</f>
        <v>132488.67270924477</v>
      </c>
      <c r="F21" s="344">
        <f t="shared" si="0"/>
        <v>27018.711094678802</v>
      </c>
      <c r="G21" s="361">
        <f t="shared" si="1"/>
        <v>1.2561744659907734</v>
      </c>
      <c r="H21" s="355">
        <f>('побудинковий звіт'!AS22+'побудинковий звіт'!BQ22)*1.2</f>
        <v>31414.664737115243</v>
      </c>
      <c r="I21" s="343">
        <f>('побудинковий звіт'!AT22+'побудинковий звіт'!BR22)*1.2</f>
        <v>56784.152928092983</v>
      </c>
      <c r="J21" s="343">
        <f t="shared" si="2"/>
        <v>25369.48819097774</v>
      </c>
      <c r="K21" s="364">
        <f t="shared" si="3"/>
        <v>1.8075683252797743</v>
      </c>
      <c r="L21" s="366">
        <f>'побудинковий звіт'!DE22</f>
        <v>14816.810000000001</v>
      </c>
      <c r="M21" s="373">
        <f>'побудинковий звіт'!DA22*-1</f>
        <v>16759.027063479574</v>
      </c>
    </row>
    <row r="22" spans="1:13" ht="20.100000000000001" customHeight="1" x14ac:dyDescent="0.3">
      <c r="A22" s="369" t="s">
        <v>471</v>
      </c>
      <c r="B22" s="308" t="s">
        <v>341</v>
      </c>
      <c r="C22" s="370">
        <v>9</v>
      </c>
      <c r="D22" s="360">
        <f>'побудинковий звіт'!CU23</f>
        <v>339708.09798597789</v>
      </c>
      <c r="E22" s="344">
        <f>'побудинковий звіт'!CV23</f>
        <v>390382.1225218302</v>
      </c>
      <c r="F22" s="344">
        <f t="shared" si="0"/>
        <v>50674.02453585231</v>
      </c>
      <c r="G22" s="361">
        <f t="shared" si="1"/>
        <v>1.149169315763394</v>
      </c>
      <c r="H22" s="355">
        <f>('побудинковий звіт'!AS23+'побудинковий звіт'!BQ23)*1.2</f>
        <v>110035.29418439223</v>
      </c>
      <c r="I22" s="343">
        <f>('побудинковий звіт'!AT23+'побудинковий звіт'!BR23)*1.2</f>
        <v>146538</v>
      </c>
      <c r="J22" s="343">
        <f t="shared" si="2"/>
        <v>36502.705815607769</v>
      </c>
      <c r="K22" s="364">
        <f t="shared" si="3"/>
        <v>1.3317363404730682</v>
      </c>
      <c r="L22" s="366">
        <f>'побудинковий звіт'!DE23</f>
        <v>34624.06</v>
      </c>
      <c r="M22" s="373">
        <f>'побудинковий звіт'!DA23*-1</f>
        <v>-72211.405341371748</v>
      </c>
    </row>
    <row r="23" spans="1:13" ht="20.100000000000001" customHeight="1" x14ac:dyDescent="0.3">
      <c r="A23" s="369" t="s">
        <v>472</v>
      </c>
      <c r="B23" s="308" t="s">
        <v>39</v>
      </c>
      <c r="C23" s="370">
        <v>1</v>
      </c>
      <c r="D23" s="360">
        <f>'побудинковий звіт'!CU24</f>
        <v>4445.2444423036113</v>
      </c>
      <c r="E23" s="344">
        <f>'побудинковий звіт'!CV24</f>
        <v>4131.7632511266593</v>
      </c>
      <c r="F23" s="344">
        <f t="shared" si="0"/>
        <v>-313.48119117695205</v>
      </c>
      <c r="G23" s="361">
        <f t="shared" si="1"/>
        <v>0.92947942565459907</v>
      </c>
      <c r="H23" s="355">
        <f>('побудинковий звіт'!AS24+'побудинковий звіт'!BQ24)*1.2</f>
        <v>3676.046966232162</v>
      </c>
      <c r="I23" s="343">
        <f>('побудинковий звіт'!AT24+'побудинковий звіт'!BR24)*1.2</f>
        <v>2674.7999999999997</v>
      </c>
      <c r="J23" s="343">
        <f t="shared" si="2"/>
        <v>-1001.2469662321623</v>
      </c>
      <c r="K23" s="364">
        <f t="shared" si="3"/>
        <v>0.72762944123687012</v>
      </c>
      <c r="L23" s="366">
        <f>'побудинковий звіт'!DE24</f>
        <v>2277.92</v>
      </c>
      <c r="M23" s="373">
        <f>'побудинковий звіт'!DA24*-1</f>
        <v>3927.4213500858928</v>
      </c>
    </row>
    <row r="24" spans="1:13" ht="20.100000000000001" customHeight="1" x14ac:dyDescent="0.3">
      <c r="A24" s="369" t="s">
        <v>473</v>
      </c>
      <c r="B24" s="308" t="s">
        <v>40</v>
      </c>
      <c r="C24" s="370">
        <v>1</v>
      </c>
      <c r="D24" s="360">
        <f>'побудинковий звіт'!CU25</f>
        <v>4964.4384795145088</v>
      </c>
      <c r="E24" s="344">
        <f>'побудинковий звіт'!CV25</f>
        <v>4006.5838451064478</v>
      </c>
      <c r="F24" s="344">
        <f t="shared" si="0"/>
        <v>-957.85463440806097</v>
      </c>
      <c r="G24" s="361">
        <f t="shared" si="1"/>
        <v>0.8070568024237591</v>
      </c>
      <c r="H24" s="355">
        <f>('побудинковий звіт'!AS25+'побудинковий звіт'!BQ25)*1.2</f>
        <v>4137.8161776329853</v>
      </c>
      <c r="I24" s="343">
        <f>('побудинковий звіт'!AT25+'побудинковий звіт'!BR25)*1.2</f>
        <v>0</v>
      </c>
      <c r="J24" s="343">
        <f t="shared" si="2"/>
        <v>-4137.8161776329853</v>
      </c>
      <c r="K24" s="364">
        <f t="shared" si="3"/>
        <v>0</v>
      </c>
      <c r="L24" s="366">
        <f>'побудинковий звіт'!DE25</f>
        <v>191.05</v>
      </c>
      <c r="M24" s="373">
        <f>'побудинковий звіт'!DA25*-1</f>
        <v>6067.3898584126855</v>
      </c>
    </row>
    <row r="25" spans="1:13" ht="20.100000000000001" customHeight="1" x14ac:dyDescent="0.3">
      <c r="A25" s="369" t="s">
        <v>474</v>
      </c>
      <c r="B25" s="308" t="s">
        <v>41</v>
      </c>
      <c r="C25" s="370">
        <v>1</v>
      </c>
      <c r="D25" s="360">
        <f>'побудинковий звіт'!CU26</f>
        <v>4989.9668003891848</v>
      </c>
      <c r="E25" s="344">
        <f>'побудинковий звіт'!CV26</f>
        <v>2600.8404899306256</v>
      </c>
      <c r="F25" s="344">
        <f t="shared" si="0"/>
        <v>-2389.1263104585591</v>
      </c>
      <c r="G25" s="361">
        <f t="shared" si="1"/>
        <v>0.52121398677998765</v>
      </c>
      <c r="H25" s="355">
        <f>('побудинковий звіт'!AS26+'побудинковий звіт'!BQ26)*1.2</f>
        <v>4107.127207170498</v>
      </c>
      <c r="I25" s="343">
        <f>('побудинковий звіт'!AT26+'побудинковий звіт'!BR26)*1.2</f>
        <v>879.6</v>
      </c>
      <c r="J25" s="343">
        <f t="shared" si="2"/>
        <v>-3227.5272071704981</v>
      </c>
      <c r="K25" s="364">
        <f t="shared" si="3"/>
        <v>0.21416429431850453</v>
      </c>
      <c r="L25" s="366">
        <f>'побудинковий звіт'!DE26</f>
        <v>0</v>
      </c>
      <c r="M25" s="373">
        <f>'побудинковий звіт'!DA26*-1</f>
        <v>8272.9077785962654</v>
      </c>
    </row>
    <row r="26" spans="1:13" ht="20.100000000000001" customHeight="1" x14ac:dyDescent="0.3">
      <c r="A26" s="369" t="s">
        <v>475</v>
      </c>
      <c r="B26" s="308" t="s">
        <v>42</v>
      </c>
      <c r="C26" s="370">
        <v>1</v>
      </c>
      <c r="D26" s="360">
        <f>'побудинковий звіт'!CU27</f>
        <v>4688.8735038011664</v>
      </c>
      <c r="E26" s="344">
        <f>'побудинковий звіт'!CV27</f>
        <v>2444.308335596716</v>
      </c>
      <c r="F26" s="344">
        <f t="shared" si="0"/>
        <v>-2244.5651682044504</v>
      </c>
      <c r="G26" s="361">
        <f t="shared" si="1"/>
        <v>0.52129969674276111</v>
      </c>
      <c r="H26" s="355">
        <f>('побудинковий звіт'!AS27+'побудинковий звіт'!BQ27)*1.2</f>
        <v>3960.8912060195676</v>
      </c>
      <c r="I26" s="343">
        <f>('побудинковий звіт'!AT27+'побудинковий звіт'!BR27)*1.2</f>
        <v>0</v>
      </c>
      <c r="J26" s="343">
        <f t="shared" si="2"/>
        <v>-3960.8912060195676</v>
      </c>
      <c r="K26" s="364">
        <f t="shared" si="3"/>
        <v>0</v>
      </c>
      <c r="L26" s="366">
        <f>'побудинковий звіт'!DE27</f>
        <v>1631.73</v>
      </c>
      <c r="M26" s="373">
        <f>'побудинковий звіт'!DA27*-1</f>
        <v>7941.2921909433717</v>
      </c>
    </row>
    <row r="27" spans="1:13" ht="20.100000000000001" customHeight="1" x14ac:dyDescent="0.3">
      <c r="A27" s="369" t="s">
        <v>476</v>
      </c>
      <c r="B27" s="308" t="s">
        <v>43</v>
      </c>
      <c r="C27" s="370">
        <v>1</v>
      </c>
      <c r="D27" s="360">
        <f>'побудинковий звіт'!CU28</f>
        <v>5130.4188870029875</v>
      </c>
      <c r="E27" s="344">
        <f>'побудинковий звіт'!CV28</f>
        <v>11351.666114888621</v>
      </c>
      <c r="F27" s="344">
        <f t="shared" si="0"/>
        <v>6221.2472278856339</v>
      </c>
      <c r="G27" s="361">
        <f t="shared" si="1"/>
        <v>2.2126197421512828</v>
      </c>
      <c r="H27" s="355">
        <f>('побудинковий звіт'!AS28+'побудинковий звіт'!BQ28)*1.2</f>
        <v>4333.1127652629566</v>
      </c>
      <c r="I27" s="343">
        <f>('побудинковий звіт'!AT28+'побудинковий звіт'!BR28)*1.2</f>
        <v>10051.199999999999</v>
      </c>
      <c r="J27" s="343">
        <f t="shared" si="2"/>
        <v>5718.0872347370423</v>
      </c>
      <c r="K27" s="364">
        <f t="shared" si="3"/>
        <v>2.3196257620103817</v>
      </c>
      <c r="L27" s="366">
        <f>'побудинковий звіт'!DE28</f>
        <v>14.859999999999957</v>
      </c>
      <c r="M27" s="373">
        <f>'побудинковий звіт'!DA28*-1</f>
        <v>-1548.1248340959455</v>
      </c>
    </row>
    <row r="28" spans="1:13" ht="20.100000000000001" customHeight="1" x14ac:dyDescent="0.3">
      <c r="A28" s="369" t="s">
        <v>477</v>
      </c>
      <c r="B28" s="308" t="s">
        <v>44</v>
      </c>
      <c r="C28" s="370">
        <v>1</v>
      </c>
      <c r="D28" s="360">
        <f>'побудинковий звіт'!CU29</f>
        <v>5053.5120081441692</v>
      </c>
      <c r="E28" s="344">
        <f>'побудинковий звіт'!CV29</f>
        <v>7523.7176947173193</v>
      </c>
      <c r="F28" s="344">
        <f t="shared" si="0"/>
        <v>2470.2056865731502</v>
      </c>
      <c r="G28" s="361">
        <f t="shared" si="1"/>
        <v>1.488809699589553</v>
      </c>
      <c r="H28" s="355">
        <f>('побудинковий звіт'!AS29+'побудинковий звіт'!BQ29)*1.2</f>
        <v>3807.5890493879824</v>
      </c>
      <c r="I28" s="343">
        <f>('побудинковий звіт'!AT29+'побудинковий звіт'!BR29)*1.2</f>
        <v>5259.5999999999995</v>
      </c>
      <c r="J28" s="343">
        <f t="shared" si="2"/>
        <v>1452.010950612017</v>
      </c>
      <c r="K28" s="364">
        <f t="shared" si="3"/>
        <v>1.381346550738034</v>
      </c>
      <c r="L28" s="366">
        <f>'побудинковий звіт'!DE29</f>
        <v>-115.09000000000003</v>
      </c>
      <c r="M28" s="373">
        <f>'побудинковий звіт'!DA29*-1</f>
        <v>3306.6059654087303</v>
      </c>
    </row>
    <row r="29" spans="1:13" ht="20.100000000000001" customHeight="1" x14ac:dyDescent="0.3">
      <c r="A29" s="369" t="s">
        <v>478</v>
      </c>
      <c r="B29" s="308" t="s">
        <v>47</v>
      </c>
      <c r="C29" s="370">
        <v>1</v>
      </c>
      <c r="D29" s="360">
        <f>'побудинковий звіт'!CU30</f>
        <v>3057.2452021147078</v>
      </c>
      <c r="E29" s="344">
        <f>'побудинковий звіт'!CV30</f>
        <v>748.87248778419109</v>
      </c>
      <c r="F29" s="344">
        <f t="shared" si="0"/>
        <v>-2308.3727143305168</v>
      </c>
      <c r="G29" s="361">
        <f t="shared" si="1"/>
        <v>0.24495009012237332</v>
      </c>
      <c r="H29" s="355">
        <f>('побудинковий звіт'!AS30+'побудинковий звіт'!BQ30)*1.2</f>
        <v>2495.4154306820997</v>
      </c>
      <c r="I29" s="343">
        <f>('побудинковий звіт'!AT30+'побудинковий звіт'!BR30)*1.2</f>
        <v>0</v>
      </c>
      <c r="J29" s="343">
        <f t="shared" si="2"/>
        <v>-2495.4154306820997</v>
      </c>
      <c r="K29" s="364">
        <f t="shared" si="3"/>
        <v>0</v>
      </c>
      <c r="L29" s="366">
        <f>'побудинковий звіт'!DE30</f>
        <v>-49.95999999999998</v>
      </c>
      <c r="M29" s="373">
        <f>'побудинковий звіт'!DA30*-1</f>
        <v>6479.7225429480768</v>
      </c>
    </row>
    <row r="30" spans="1:13" ht="20.100000000000001" customHeight="1" x14ac:dyDescent="0.3">
      <c r="A30" s="369" t="s">
        <v>479</v>
      </c>
      <c r="B30" s="308" t="s">
        <v>48</v>
      </c>
      <c r="C30" s="370">
        <v>1</v>
      </c>
      <c r="D30" s="360">
        <f>'побудинковий звіт'!CU31</f>
        <v>4948.8688044229229</v>
      </c>
      <c r="E30" s="344">
        <f>'побудинковий звіт'!CV31</f>
        <v>2762.7471495154941</v>
      </c>
      <c r="F30" s="344">
        <f t="shared" si="0"/>
        <v>-2186.1216549074288</v>
      </c>
      <c r="G30" s="361">
        <f t="shared" si="1"/>
        <v>0.5582583128989721</v>
      </c>
      <c r="H30" s="355">
        <f>('побудинковий звіт'!AS31+'побудинковий звіт'!BQ31)*1.2</f>
        <v>3842.7558751620145</v>
      </c>
      <c r="I30" s="343">
        <f>('побудинковий звіт'!AT31+'побудинковий звіт'!BR31)*1.2</f>
        <v>553.19999999999993</v>
      </c>
      <c r="J30" s="343">
        <f t="shared" si="2"/>
        <v>-3289.5558751620147</v>
      </c>
      <c r="K30" s="364">
        <f t="shared" si="3"/>
        <v>0.14395918397409943</v>
      </c>
      <c r="L30" s="366">
        <f>'побудинковий звіт'!DE31</f>
        <v>3.2900000000000205</v>
      </c>
      <c r="M30" s="373">
        <f>'побудинковий звіт'!DA31*-1</f>
        <v>-2737.9284484154123</v>
      </c>
    </row>
    <row r="31" spans="1:13" ht="20.100000000000001" customHeight="1" x14ac:dyDescent="0.3">
      <c r="A31" s="369" t="s">
        <v>480</v>
      </c>
      <c r="B31" s="308" t="s">
        <v>201</v>
      </c>
      <c r="C31" s="370">
        <v>4</v>
      </c>
      <c r="D31" s="360">
        <f>'побудинковий звіт'!CU32</f>
        <v>131082.05831692551</v>
      </c>
      <c r="E31" s="344">
        <f>'побудинковий звіт'!CV32</f>
        <v>122657.61864953979</v>
      </c>
      <c r="F31" s="344">
        <f t="shared" si="0"/>
        <v>-8424.4396673857264</v>
      </c>
      <c r="G31" s="361">
        <f t="shared" si="1"/>
        <v>0.93573155796030139</v>
      </c>
      <c r="H31" s="355">
        <f>('побудинковий звіт'!AS32+'побудинковий звіт'!BQ32)*1.2</f>
        <v>29940.131942999527</v>
      </c>
      <c r="I31" s="343">
        <f>('побудинковий звіт'!AT32+'побудинковий звіт'!BR32)*1.2</f>
        <v>16131.999365810758</v>
      </c>
      <c r="J31" s="343">
        <f t="shared" si="2"/>
        <v>-13808.13257718877</v>
      </c>
      <c r="K31" s="364">
        <f t="shared" si="3"/>
        <v>0.53880855957893237</v>
      </c>
      <c r="L31" s="366">
        <f>'побудинковий звіт'!DE32</f>
        <v>13111.5</v>
      </c>
      <c r="M31" s="373">
        <f>'побудинковий звіт'!DA32*-1</f>
        <v>-15991.487497965616</v>
      </c>
    </row>
    <row r="32" spans="1:13" ht="20.100000000000001" customHeight="1" x14ac:dyDescent="0.3">
      <c r="A32" s="369" t="s">
        <v>481</v>
      </c>
      <c r="B32" s="308" t="s">
        <v>202</v>
      </c>
      <c r="C32" s="370">
        <v>4</v>
      </c>
      <c r="D32" s="360">
        <f>'побудинковий звіт'!CU33</f>
        <v>170417.86101188447</v>
      </c>
      <c r="E32" s="344">
        <f>'побудинковий звіт'!CV33</f>
        <v>142285.44649694354</v>
      </c>
      <c r="F32" s="344">
        <f t="shared" si="0"/>
        <v>-28132.414514940931</v>
      </c>
      <c r="G32" s="361">
        <f t="shared" si="1"/>
        <v>0.83492097396423104</v>
      </c>
      <c r="H32" s="355">
        <f>('побудинковий звіт'!AS33+'побудинковий звіт'!BQ33)*1.2</f>
        <v>38290.840848647254</v>
      </c>
      <c r="I32" s="343">
        <f>('побудинковий звіт'!AT33+'побудинковий звіт'!BR33)*1.2</f>
        <v>2452.7999999999997</v>
      </c>
      <c r="J32" s="343">
        <f t="shared" si="2"/>
        <v>-35838.040848647252</v>
      </c>
      <c r="K32" s="364">
        <f t="shared" si="3"/>
        <v>6.4057094219874058E-2</v>
      </c>
      <c r="L32" s="366">
        <f>'побудинковий звіт'!DE33</f>
        <v>24666.379999999997</v>
      </c>
      <c r="M32" s="373">
        <f>'побудинковий звіт'!DA33*-1</f>
        <v>-17022.798714565404</v>
      </c>
    </row>
    <row r="33" spans="1:13" ht="20.100000000000001" customHeight="1" x14ac:dyDescent="0.3">
      <c r="A33" s="369" t="s">
        <v>482</v>
      </c>
      <c r="B33" s="308" t="s">
        <v>203</v>
      </c>
      <c r="C33" s="370">
        <v>4</v>
      </c>
      <c r="D33" s="360">
        <f>'побудинковий звіт'!CU34</f>
        <v>200946.47643254552</v>
      </c>
      <c r="E33" s="344">
        <f>'побудинковий звіт'!CV34</f>
        <v>212479.66878227494</v>
      </c>
      <c r="F33" s="344">
        <f t="shared" si="0"/>
        <v>11533.192349729419</v>
      </c>
      <c r="G33" s="361">
        <f t="shared" si="1"/>
        <v>1.0573943497516411</v>
      </c>
      <c r="H33" s="355">
        <f>('побудинковий звіт'!AS34+'побудинковий звіт'!BQ34)*1.2</f>
        <v>40359.634874873533</v>
      </c>
      <c r="I33" s="343">
        <f>('побудинковий звіт'!AT34+'побудинковий звіт'!BR34)*1.2</f>
        <v>45244.787263632366</v>
      </c>
      <c r="J33" s="343">
        <f t="shared" si="2"/>
        <v>4885.1523887588337</v>
      </c>
      <c r="K33" s="364">
        <f t="shared" si="3"/>
        <v>1.1210405496458085</v>
      </c>
      <c r="L33" s="366">
        <f>'побудинковий звіт'!DE34</f>
        <v>39620.03</v>
      </c>
      <c r="M33" s="373">
        <f>'побудинковий звіт'!DA34*-1</f>
        <v>-27683.403773617916</v>
      </c>
    </row>
    <row r="34" spans="1:13" ht="20.100000000000001" customHeight="1" x14ac:dyDescent="0.3">
      <c r="A34" s="369" t="s">
        <v>483</v>
      </c>
      <c r="B34" s="308" t="s">
        <v>149</v>
      </c>
      <c r="C34" s="370">
        <v>2</v>
      </c>
      <c r="D34" s="360">
        <f>'побудинковий звіт'!CU35</f>
        <v>64897.645479503604</v>
      </c>
      <c r="E34" s="344">
        <f>'побудинковий звіт'!CV35</f>
        <v>56468.697556877385</v>
      </c>
      <c r="F34" s="344">
        <f t="shared" si="0"/>
        <v>-8428.9479226262192</v>
      </c>
      <c r="G34" s="361">
        <f t="shared" si="1"/>
        <v>0.87011935702215415</v>
      </c>
      <c r="H34" s="355">
        <f>('побудинковий звіт'!AS35+'побудинковий звіт'!BQ35)*1.2</f>
        <v>15625.002487385809</v>
      </c>
      <c r="I34" s="343">
        <f>('побудинковий звіт'!AT35+'побудинковий звіт'!BR35)*1.2</f>
        <v>1915.1999999999998</v>
      </c>
      <c r="J34" s="343">
        <f t="shared" si="2"/>
        <v>-13709.802487385808</v>
      </c>
      <c r="K34" s="364">
        <f t="shared" si="3"/>
        <v>0.12257278048730912</v>
      </c>
      <c r="L34" s="366">
        <f>'побудинковий звіт'!DE35</f>
        <v>18887.810000000001</v>
      </c>
      <c r="M34" s="373">
        <f>'побудинковий звіт'!DA35*-1</f>
        <v>43051.180493947875</v>
      </c>
    </row>
    <row r="35" spans="1:13" ht="20.100000000000001" customHeight="1" x14ac:dyDescent="0.3">
      <c r="A35" s="369" t="s">
        <v>484</v>
      </c>
      <c r="B35" s="308" t="s">
        <v>150</v>
      </c>
      <c r="C35" s="370">
        <v>2</v>
      </c>
      <c r="D35" s="360">
        <f>'побудинковий звіт'!CU36</f>
        <v>68037.975448535959</v>
      </c>
      <c r="E35" s="344">
        <f>'побудинковий звіт'!CV36</f>
        <v>55129.508880878762</v>
      </c>
      <c r="F35" s="344">
        <f t="shared" si="0"/>
        <v>-12908.466567657197</v>
      </c>
      <c r="G35" s="361">
        <f t="shared" si="1"/>
        <v>0.81027556327831673</v>
      </c>
      <c r="H35" s="355">
        <f>('побудинковий звіт'!AS36+'побудинковий звіт'!BQ36)*1.2</f>
        <v>18916.782490987327</v>
      </c>
      <c r="I35" s="343">
        <f>('побудинковий звіт'!AT36+'побудинковий звіт'!BR36)*1.2</f>
        <v>2964</v>
      </c>
      <c r="J35" s="343">
        <f t="shared" si="2"/>
        <v>-15952.782490987327</v>
      </c>
      <c r="K35" s="364">
        <f t="shared" si="3"/>
        <v>0.15668626529972327</v>
      </c>
      <c r="L35" s="366">
        <f>'побудинковий звіт'!DE36</f>
        <v>191.85999999999967</v>
      </c>
      <c r="M35" s="373">
        <f>'побудинковий звіт'!DA36*-1</f>
        <v>17643.115657700248</v>
      </c>
    </row>
    <row r="36" spans="1:13" ht="20.100000000000001" customHeight="1" x14ac:dyDescent="0.3">
      <c r="A36" s="369" t="s">
        <v>485</v>
      </c>
      <c r="B36" s="308" t="s">
        <v>243</v>
      </c>
      <c r="C36" s="370">
        <v>5</v>
      </c>
      <c r="D36" s="360">
        <f>'побудинковий звіт'!CU37</f>
        <v>103111.51268814557</v>
      </c>
      <c r="E36" s="344">
        <f>'побудинковий звіт'!CV37</f>
        <v>105184.62620718767</v>
      </c>
      <c r="F36" s="344">
        <f t="shared" si="0"/>
        <v>2073.1135190421046</v>
      </c>
      <c r="G36" s="361">
        <f t="shared" si="1"/>
        <v>1.020105548497888</v>
      </c>
      <c r="H36" s="355">
        <f>('побудинковий звіт'!AS37+'побудинковий звіт'!BQ37)*1.2</f>
        <v>32211.979358975979</v>
      </c>
      <c r="I36" s="343">
        <f>('побудинковий звіт'!AT37+'побудинковий звіт'!BR37)*1.2</f>
        <v>32438.399999999998</v>
      </c>
      <c r="J36" s="343">
        <f t="shared" si="2"/>
        <v>226.42064102401855</v>
      </c>
      <c r="K36" s="364">
        <f t="shared" si="3"/>
        <v>1.0070290818984065</v>
      </c>
      <c r="L36" s="366">
        <f>'побудинковий звіт'!DE37</f>
        <v>26725</v>
      </c>
      <c r="M36" s="373">
        <f>'побудинковий звіт'!DA37*-1</f>
        <v>7327.6605830935441</v>
      </c>
    </row>
    <row r="37" spans="1:13" ht="20.100000000000001" customHeight="1" x14ac:dyDescent="0.3">
      <c r="A37" s="369" t="s">
        <v>486</v>
      </c>
      <c r="B37" s="308" t="s">
        <v>204</v>
      </c>
      <c r="C37" s="370">
        <v>4</v>
      </c>
      <c r="D37" s="360">
        <f>'побудинковий звіт'!CU38</f>
        <v>86669.590710031131</v>
      </c>
      <c r="E37" s="344">
        <f>'побудинковий звіт'!CV38</f>
        <v>85012.230713899407</v>
      </c>
      <c r="F37" s="344">
        <f t="shared" si="0"/>
        <v>-1657.3599961317232</v>
      </c>
      <c r="G37" s="361">
        <f t="shared" si="1"/>
        <v>0.98087726061062497</v>
      </c>
      <c r="H37" s="355">
        <f>('побудинковий звіт'!AS38+'побудинковий звіт'!BQ38)*1.2</f>
        <v>19644.232772813662</v>
      </c>
      <c r="I37" s="343">
        <f>('побудинковий звіт'!AT38+'побудинковий звіт'!BR38)*1.2</f>
        <v>10617.6</v>
      </c>
      <c r="J37" s="343">
        <f t="shared" si="2"/>
        <v>-9026.6327728136621</v>
      </c>
      <c r="K37" s="364">
        <f t="shared" si="3"/>
        <v>0.54049451168660889</v>
      </c>
      <c r="L37" s="366">
        <f>'побудинковий звіт'!DE38</f>
        <v>46732.13</v>
      </c>
      <c r="M37" s="373">
        <f>'побудинковий звіт'!DA38*-1</f>
        <v>4547.3489265399585</v>
      </c>
    </row>
    <row r="38" spans="1:13" ht="20.100000000000001" customHeight="1" x14ac:dyDescent="0.3">
      <c r="A38" s="369" t="s">
        <v>487</v>
      </c>
      <c r="B38" s="308" t="s">
        <v>205</v>
      </c>
      <c r="C38" s="370">
        <v>4</v>
      </c>
      <c r="D38" s="360">
        <f>'побудинковий звіт'!CU39</f>
        <v>108214.09555540225</v>
      </c>
      <c r="E38" s="344">
        <f>'побудинковий звіт'!CV39</f>
        <v>107826.31293834941</v>
      </c>
      <c r="F38" s="344">
        <f t="shared" si="0"/>
        <v>-387.7826170528424</v>
      </c>
      <c r="G38" s="361">
        <f t="shared" si="1"/>
        <v>0.99641652397441782</v>
      </c>
      <c r="H38" s="355">
        <f>('побудинковий звіт'!AS39+'побудинковий звіт'!BQ39)*1.2</f>
        <v>20038.804141902241</v>
      </c>
      <c r="I38" s="343">
        <f>('побудинковий звіт'!AT39+'побудинковий звіт'!BR39)*1.2</f>
        <v>10393.164225293105</v>
      </c>
      <c r="J38" s="343">
        <f t="shared" si="2"/>
        <v>-9645.639916609136</v>
      </c>
      <c r="K38" s="364">
        <f t="shared" si="3"/>
        <v>0.51865191913126329</v>
      </c>
      <c r="L38" s="366">
        <f>'побудинковий звіт'!DE39</f>
        <v>3584.05</v>
      </c>
      <c r="M38" s="373">
        <f>'побудинковий звіт'!DA39*-1</f>
        <v>-41865.894195558772</v>
      </c>
    </row>
    <row r="39" spans="1:13" ht="20.100000000000001" customHeight="1" x14ac:dyDescent="0.3">
      <c r="A39" s="369" t="s">
        <v>488</v>
      </c>
      <c r="B39" s="308" t="s">
        <v>244</v>
      </c>
      <c r="C39" s="370">
        <v>5</v>
      </c>
      <c r="D39" s="360">
        <f>'побудинковий звіт'!CU40</f>
        <v>111327.08447403391</v>
      </c>
      <c r="E39" s="344">
        <f>'побудинковий звіт'!CV40</f>
        <v>102653.06652085106</v>
      </c>
      <c r="F39" s="344">
        <f t="shared" si="0"/>
        <v>-8674.0179531828471</v>
      </c>
      <c r="G39" s="361">
        <f t="shared" si="1"/>
        <v>0.9220852859466917</v>
      </c>
      <c r="H39" s="355">
        <f>('побудинковий звіт'!AS40+'побудинковий звіт'!BQ40)*1.2</f>
        <v>22028.613874418141</v>
      </c>
      <c r="I39" s="343">
        <f>('побудинковий звіт'!AT40+'побудинковий звіт'!BR40)*1.2</f>
        <v>4556.1330344906009</v>
      </c>
      <c r="J39" s="343">
        <f t="shared" si="2"/>
        <v>-17472.480839927539</v>
      </c>
      <c r="K39" s="364">
        <f t="shared" si="3"/>
        <v>0.20682794934190774</v>
      </c>
      <c r="L39" s="366">
        <f>'побудинковий звіт'!DE40</f>
        <v>1484.5299999999997</v>
      </c>
      <c r="M39" s="373">
        <f>'побудинковий звіт'!DA40*-1</f>
        <v>-29529.757318460855</v>
      </c>
    </row>
    <row r="40" spans="1:13" ht="20.100000000000001" customHeight="1" x14ac:dyDescent="0.3">
      <c r="A40" s="369" t="s">
        <v>489</v>
      </c>
      <c r="B40" s="308" t="s">
        <v>342</v>
      </c>
      <c r="C40" s="370">
        <v>9</v>
      </c>
      <c r="D40" s="360">
        <f>'побудинковий звіт'!CU41</f>
        <v>188353.16405234006</v>
      </c>
      <c r="E40" s="344">
        <f>'побудинковий звіт'!CV41</f>
        <v>174856.83837602506</v>
      </c>
      <c r="F40" s="344">
        <f t="shared" si="0"/>
        <v>-13496.325676314998</v>
      </c>
      <c r="G40" s="361">
        <f t="shared" si="1"/>
        <v>0.92834563866118758</v>
      </c>
      <c r="H40" s="355">
        <f>('побудинковий звіт'!AS41+'побудинковий звіт'!BQ41)*1.2</f>
        <v>50084.834022023635</v>
      </c>
      <c r="I40" s="343">
        <f>('побудинковий звіт'!AT41+'побудинковий звіт'!BR41)*1.2</f>
        <v>30115.592407287477</v>
      </c>
      <c r="J40" s="343">
        <f t="shared" si="2"/>
        <v>-19969.241614736158</v>
      </c>
      <c r="K40" s="364">
        <f t="shared" si="3"/>
        <v>0.60129164836694571</v>
      </c>
      <c r="L40" s="366">
        <f>'побудинковий звіт'!DE41</f>
        <v>39940.949999999997</v>
      </c>
      <c r="M40" s="373">
        <f>'побудинковий звіт'!DA41*-1</f>
        <v>23629.815281354291</v>
      </c>
    </row>
    <row r="41" spans="1:13" ht="20.100000000000001" customHeight="1" x14ac:dyDescent="0.3">
      <c r="A41" s="369" t="s">
        <v>490</v>
      </c>
      <c r="B41" s="308" t="s">
        <v>343</v>
      </c>
      <c r="C41" s="370">
        <v>9</v>
      </c>
      <c r="D41" s="360">
        <f>'побудинковий звіт'!CU42</f>
        <v>536198.98896779586</v>
      </c>
      <c r="E41" s="344">
        <f>'побудинковий звіт'!CV42</f>
        <v>671358.84762589319</v>
      </c>
      <c r="F41" s="344">
        <f t="shared" si="0"/>
        <v>135159.85865809734</v>
      </c>
      <c r="G41" s="361">
        <f t="shared" si="1"/>
        <v>1.2520703347805362</v>
      </c>
      <c r="H41" s="355">
        <f>('побудинковий звіт'!AS42+'побудинковий звіт'!BQ42)*1.2</f>
        <v>145409.95100556544</v>
      </c>
      <c r="I41" s="343">
        <f>('побудинковий звіт'!AT42+'побудинковий звіт'!BR42)*1.2</f>
        <v>305860.38009623508</v>
      </c>
      <c r="J41" s="343">
        <f t="shared" si="2"/>
        <v>160450.42909066964</v>
      </c>
      <c r="K41" s="364">
        <f t="shared" si="3"/>
        <v>2.1034349986441336</v>
      </c>
      <c r="L41" s="366">
        <f>'побудинковий звіт'!DE42</f>
        <v>121275.78</v>
      </c>
      <c r="M41" s="374">
        <f>'побудинковий звіт'!DA42*-1</f>
        <v>-41088.273456424082</v>
      </c>
    </row>
    <row r="42" spans="1:13" ht="20.100000000000001" customHeight="1" x14ac:dyDescent="0.3">
      <c r="A42" s="369" t="s">
        <v>491</v>
      </c>
      <c r="B42" s="308" t="s">
        <v>344</v>
      </c>
      <c r="C42" s="370">
        <v>9</v>
      </c>
      <c r="D42" s="360">
        <f>'побудинковий звіт'!CU43</f>
        <v>327067.62733618001</v>
      </c>
      <c r="E42" s="344">
        <f>'побудинковий звіт'!CV43</f>
        <v>355324.86207538639</v>
      </c>
      <c r="F42" s="344">
        <f t="shared" si="0"/>
        <v>28257.234739206382</v>
      </c>
      <c r="G42" s="361">
        <f t="shared" si="1"/>
        <v>1.086395694276896</v>
      </c>
      <c r="H42" s="355">
        <f>('побудинковий звіт'!AS43+'побудинковий звіт'!BQ43)*1.2</f>
        <v>91639.820568595358</v>
      </c>
      <c r="I42" s="343">
        <f>('побудинковий звіт'!AT43+'побудинковий звіт'!BR43)*1.2</f>
        <v>125090.4</v>
      </c>
      <c r="J42" s="343">
        <f t="shared" si="2"/>
        <v>33450.579431404636</v>
      </c>
      <c r="K42" s="364">
        <f t="shared" si="3"/>
        <v>1.3650223147956275</v>
      </c>
      <c r="L42" s="366">
        <f>'побудинковий звіт'!DE43</f>
        <v>22261.280000000002</v>
      </c>
      <c r="M42" s="373">
        <f>'побудинковий звіт'!DA43*-1</f>
        <v>15372.360878930966</v>
      </c>
    </row>
    <row r="43" spans="1:13" ht="20.100000000000001" customHeight="1" x14ac:dyDescent="0.3">
      <c r="A43" s="369" t="s">
        <v>492</v>
      </c>
      <c r="B43" s="308" t="s">
        <v>345</v>
      </c>
      <c r="C43" s="370">
        <v>9</v>
      </c>
      <c r="D43" s="360">
        <f>'побудинковий звіт'!CU44</f>
        <v>722684.13353169861</v>
      </c>
      <c r="E43" s="344">
        <f>'побудинковий звіт'!CV44</f>
        <v>826527.72511929215</v>
      </c>
      <c r="F43" s="344">
        <f t="shared" si="0"/>
        <v>103843.59158759355</v>
      </c>
      <c r="G43" s="361">
        <f t="shared" si="1"/>
        <v>1.1436915337827029</v>
      </c>
      <c r="H43" s="355">
        <f>('побудинковий звіт'!AS44+'побудинковий звіт'!BQ44)*1.2</f>
        <v>228916.97568864288</v>
      </c>
      <c r="I43" s="343">
        <f>('побудинковий звіт'!AT44+'побудинковий звіт'!BR44)*1.2</f>
        <v>349554</v>
      </c>
      <c r="J43" s="343">
        <f t="shared" si="2"/>
        <v>120637.02431135712</v>
      </c>
      <c r="K43" s="364">
        <f t="shared" si="3"/>
        <v>1.526990293963342</v>
      </c>
      <c r="L43" s="366">
        <f>'побудинковий звіт'!DE44</f>
        <v>51913.759999999995</v>
      </c>
      <c r="M43" s="374">
        <f>'побудинковий звіт'!DA44*-1</f>
        <v>197286.40325085376</v>
      </c>
    </row>
    <row r="44" spans="1:13" ht="20.100000000000001" customHeight="1" x14ac:dyDescent="0.3">
      <c r="A44" s="369" t="s">
        <v>493</v>
      </c>
      <c r="B44" s="308" t="s">
        <v>346</v>
      </c>
      <c r="C44" s="370">
        <v>9</v>
      </c>
      <c r="D44" s="360">
        <f>'побудинковий звіт'!CU45</f>
        <v>501595.22088355524</v>
      </c>
      <c r="E44" s="344">
        <f>'побудинковий звіт'!CV45</f>
        <v>425469.7398056825</v>
      </c>
      <c r="F44" s="344">
        <f t="shared" si="0"/>
        <v>-76125.481077872741</v>
      </c>
      <c r="G44" s="361">
        <f t="shared" si="1"/>
        <v>0.84823324085150087</v>
      </c>
      <c r="H44" s="355">
        <f>('побудинковий звіт'!AS45+'побудинковий звіт'!BQ45)*1.2</f>
        <v>175225.5661002078</v>
      </c>
      <c r="I44" s="343">
        <f>('побудинковий звіт'!AT45+'побудинковий звіт'!BR45)*1.2</f>
        <v>77256.493876819644</v>
      </c>
      <c r="J44" s="343">
        <f t="shared" si="2"/>
        <v>-97969.072223388153</v>
      </c>
      <c r="K44" s="364">
        <f t="shared" si="3"/>
        <v>0.44089738498911907</v>
      </c>
      <c r="L44" s="366">
        <f>'побудинковий звіт'!DE45</f>
        <v>37082.269999999997</v>
      </c>
      <c r="M44" s="373">
        <f>'побудинковий звіт'!DA45*-1</f>
        <v>66568.030331974194</v>
      </c>
    </row>
    <row r="45" spans="1:13" ht="20.100000000000001" customHeight="1" x14ac:dyDescent="0.3">
      <c r="A45" s="369" t="s">
        <v>494</v>
      </c>
      <c r="B45" s="308" t="s">
        <v>245</v>
      </c>
      <c r="C45" s="370">
        <v>5</v>
      </c>
      <c r="D45" s="360">
        <f>'побудинковий звіт'!CU46</f>
        <v>237429.22479519094</v>
      </c>
      <c r="E45" s="344">
        <f>'побудинковий звіт'!CV46</f>
        <v>238590.79490725455</v>
      </c>
      <c r="F45" s="344">
        <f t="shared" si="0"/>
        <v>1161.5701120636077</v>
      </c>
      <c r="G45" s="361">
        <f t="shared" si="1"/>
        <v>1.0048922794279667</v>
      </c>
      <c r="H45" s="355">
        <f>('побудинковий звіт'!AS46+'побудинковий звіт'!BQ46)*1.2</f>
        <v>61569.323820727077</v>
      </c>
      <c r="I45" s="343">
        <f>('побудинковий звіт'!AT46+'побудинковий звіт'!BR46)*1.2</f>
        <v>42862.808533619529</v>
      </c>
      <c r="J45" s="343">
        <f t="shared" si="2"/>
        <v>-18706.515287107548</v>
      </c>
      <c r="K45" s="364">
        <f t="shared" si="3"/>
        <v>0.69617150024944607</v>
      </c>
      <c r="L45" s="366">
        <f>'побудинковий звіт'!DE46</f>
        <v>44562.47</v>
      </c>
      <c r="M45" s="373">
        <f>'побудинковий звіт'!DA46*-1</f>
        <v>-11289.232986060211</v>
      </c>
    </row>
    <row r="46" spans="1:13" ht="20.100000000000001" customHeight="1" x14ac:dyDescent="0.3">
      <c r="A46" s="369" t="s">
        <v>495</v>
      </c>
      <c r="B46" s="308" t="s">
        <v>50</v>
      </c>
      <c r="C46" s="370">
        <v>1</v>
      </c>
      <c r="D46" s="360">
        <f>'побудинковий звіт'!CU47</f>
        <v>969.48439321868671</v>
      </c>
      <c r="E46" s="344">
        <f>'побудинковий звіт'!CV47</f>
        <v>1493.1701983450337</v>
      </c>
      <c r="F46" s="344">
        <f t="shared" si="0"/>
        <v>523.68580512634696</v>
      </c>
      <c r="G46" s="361">
        <f t="shared" si="1"/>
        <v>1.5401694021991534</v>
      </c>
      <c r="H46" s="355">
        <f>('побудинковий звіт'!AS47+'побудинковий звіт'!BQ47)*1.2</f>
        <v>86.644799999999989</v>
      </c>
      <c r="I46" s="343">
        <f>('побудинковий звіт'!AT47+'побудинковий звіт'!BR47)*1.2</f>
        <v>423.59999999999997</v>
      </c>
      <c r="J46" s="343">
        <f t="shared" si="2"/>
        <v>336.95519999999999</v>
      </c>
      <c r="K46" s="364">
        <f t="shared" si="3"/>
        <v>4.8889258212841398</v>
      </c>
      <c r="L46" s="366">
        <f>'побудинковий звіт'!DE47</f>
        <v>-168.36</v>
      </c>
      <c r="M46" s="373">
        <f>'побудинковий звіт'!DA47*-1</f>
        <v>-175.80788027433431</v>
      </c>
    </row>
    <row r="47" spans="1:13" ht="20.100000000000001" customHeight="1" x14ac:dyDescent="0.3">
      <c r="A47" s="369" t="s">
        <v>496</v>
      </c>
      <c r="B47" s="308" t="s">
        <v>51</v>
      </c>
      <c r="C47" s="370">
        <v>1</v>
      </c>
      <c r="D47" s="360">
        <f>'побудинковий звіт'!CU48</f>
        <v>5091.2790277933136</v>
      </c>
      <c r="E47" s="344">
        <f>'побудинковий звіт'!CV48</f>
        <v>934.7480738681702</v>
      </c>
      <c r="F47" s="344">
        <f t="shared" si="0"/>
        <v>-4156.530953925143</v>
      </c>
      <c r="G47" s="361">
        <f t="shared" si="1"/>
        <v>0.18359788743955627</v>
      </c>
      <c r="H47" s="355">
        <f>('побудинковий звіт'!AS48+'побудинковий звіт'!BQ48)*1.2</f>
        <v>4408.2187904369757</v>
      </c>
      <c r="I47" s="343">
        <f>('побудинковий звіт'!AT48+'побудинковий звіт'!BR48)*1.2</f>
        <v>0</v>
      </c>
      <c r="J47" s="343">
        <f t="shared" si="2"/>
        <v>-4408.2187904369757</v>
      </c>
      <c r="K47" s="364">
        <f t="shared" si="3"/>
        <v>0</v>
      </c>
      <c r="L47" s="366">
        <f>'побудинковий звіт'!DE48</f>
        <v>14.110000000000014</v>
      </c>
      <c r="M47" s="373">
        <f>'побудинковий звіт'!DA48*-1</f>
        <v>2920.3613759209015</v>
      </c>
    </row>
    <row r="48" spans="1:13" ht="20.100000000000001" customHeight="1" x14ac:dyDescent="0.3">
      <c r="A48" s="369" t="s">
        <v>497</v>
      </c>
      <c r="B48" s="308" t="s">
        <v>246</v>
      </c>
      <c r="C48" s="370">
        <v>5</v>
      </c>
      <c r="D48" s="360">
        <f>'побудинковий звіт'!CU49</f>
        <v>159181.35430383772</v>
      </c>
      <c r="E48" s="344">
        <f>'побудинковий звіт'!CV49</f>
        <v>190080.22553533775</v>
      </c>
      <c r="F48" s="344">
        <f t="shared" si="0"/>
        <v>30898.87123150003</v>
      </c>
      <c r="G48" s="361">
        <f t="shared" si="1"/>
        <v>1.1941111216614086</v>
      </c>
      <c r="H48" s="355">
        <f>('побудинковий звіт'!AS49+'побудинковий звіт'!BQ49)*1.2</f>
        <v>43984.087883016946</v>
      </c>
      <c r="I48" s="343">
        <f>('побудинковий звіт'!AT49+'побудинковий звіт'!BR49)*1.2</f>
        <v>76992</v>
      </c>
      <c r="J48" s="343">
        <f t="shared" si="2"/>
        <v>33007.912116983054</v>
      </c>
      <c r="K48" s="364">
        <f t="shared" si="3"/>
        <v>1.7504512132836114</v>
      </c>
      <c r="L48" s="366">
        <f>'побудинковий звіт'!DE49</f>
        <v>5249.9599999999991</v>
      </c>
      <c r="M48" s="373">
        <f>'побудинковий звіт'!DA49*-1</f>
        <v>-22462.454319811208</v>
      </c>
    </row>
    <row r="49" spans="1:13" ht="20.100000000000001" customHeight="1" x14ac:dyDescent="0.3">
      <c r="A49" s="369" t="s">
        <v>498</v>
      </c>
      <c r="B49" s="308" t="s">
        <v>206</v>
      </c>
      <c r="C49" s="370">
        <v>4</v>
      </c>
      <c r="D49" s="360">
        <f>'побудинковий звіт'!CU50</f>
        <v>86544.541862471044</v>
      </c>
      <c r="E49" s="344">
        <f>'побудинковий звіт'!CV50</f>
        <v>97590.310050660322</v>
      </c>
      <c r="F49" s="344">
        <f t="shared" si="0"/>
        <v>11045.768188189279</v>
      </c>
      <c r="G49" s="361">
        <f t="shared" si="1"/>
        <v>1.1276310204026758</v>
      </c>
      <c r="H49" s="355">
        <f>('побудинковий звіт'!AS50+'побудинковий звіт'!BQ50)*1.2</f>
        <v>21790.904205622122</v>
      </c>
      <c r="I49" s="343">
        <f>('побудинковий звіт'!AT50+'побудинковий звіт'!BR50)*1.2</f>
        <v>27022.799999999999</v>
      </c>
      <c r="J49" s="343">
        <f t="shared" si="2"/>
        <v>5231.8957943778769</v>
      </c>
      <c r="K49" s="364">
        <f t="shared" si="3"/>
        <v>1.2400953969146462</v>
      </c>
      <c r="L49" s="366">
        <f>'побудинковий звіт'!DE50</f>
        <v>35925.22</v>
      </c>
      <c r="M49" s="373">
        <f>'побудинковий звіт'!DA50*-1</f>
        <v>-68680.54762967593</v>
      </c>
    </row>
    <row r="50" spans="1:13" ht="20.100000000000001" customHeight="1" x14ac:dyDescent="0.3">
      <c r="A50" s="369" t="s">
        <v>499</v>
      </c>
      <c r="B50" s="308" t="s">
        <v>247</v>
      </c>
      <c r="C50" s="370">
        <v>5</v>
      </c>
      <c r="D50" s="360">
        <f>'побудинковий звіт'!CU51</f>
        <v>186981.91745171565</v>
      </c>
      <c r="E50" s="344">
        <f>'побудинковий звіт'!CV51</f>
        <v>107886.31508831072</v>
      </c>
      <c r="F50" s="344">
        <f t="shared" si="0"/>
        <v>-79095.602363404934</v>
      </c>
      <c r="G50" s="361">
        <f t="shared" si="1"/>
        <v>0.57698795989815543</v>
      </c>
      <c r="H50" s="355">
        <f>('побудинковий звіт'!AS51+'побудинковий звіт'!BQ51)*1.2</f>
        <v>79268.636785337541</v>
      </c>
      <c r="I50" s="343">
        <f>('побудинковий звіт'!AT51+'побудинковий звіт'!BR51)*1.2</f>
        <v>5654.4</v>
      </c>
      <c r="J50" s="343">
        <f t="shared" si="2"/>
        <v>-73614.236785337547</v>
      </c>
      <c r="K50" s="364">
        <f t="shared" si="3"/>
        <v>7.1332121117615888E-2</v>
      </c>
      <c r="L50" s="366">
        <f>'побудинковий звіт'!DE51</f>
        <v>33666.340000000004</v>
      </c>
      <c r="M50" s="374">
        <f>'побудинковий звіт'!DA51*-1</f>
        <v>-1325.2433768480696</v>
      </c>
    </row>
    <row r="51" spans="1:13" ht="20.100000000000001" customHeight="1" x14ac:dyDescent="0.3">
      <c r="A51" s="369" t="s">
        <v>500</v>
      </c>
      <c r="B51" s="308" t="s">
        <v>52</v>
      </c>
      <c r="C51" s="370">
        <v>1</v>
      </c>
      <c r="D51" s="360">
        <f>'побудинковий звіт'!CU52</f>
        <v>4581.6581520031159</v>
      </c>
      <c r="E51" s="344">
        <f>'побудинковий звіт'!CV52</f>
        <v>545.67709301903324</v>
      </c>
      <c r="F51" s="344">
        <f t="shared" si="0"/>
        <v>-4035.9810589840827</v>
      </c>
      <c r="G51" s="361">
        <f t="shared" si="1"/>
        <v>0.1191003507715785</v>
      </c>
      <c r="H51" s="355">
        <f>('побудинковий звіт'!AS52+'побудинковий звіт'!BQ52)*1.2</f>
        <v>3899.8054491196881</v>
      </c>
      <c r="I51" s="343">
        <f>('побудинковий звіт'!AT52+'побудинковий звіт'!BR52)*1.2</f>
        <v>0</v>
      </c>
      <c r="J51" s="343">
        <f t="shared" si="2"/>
        <v>-3899.8054491196881</v>
      </c>
      <c r="K51" s="364">
        <f t="shared" si="3"/>
        <v>0</v>
      </c>
      <c r="L51" s="366">
        <f>'побудинковий звіт'!DE52</f>
        <v>3532.75</v>
      </c>
      <c r="M51" s="373">
        <f>'побудинковий звіт'!DA52*-1</f>
        <v>-3381.5683516676263</v>
      </c>
    </row>
    <row r="52" spans="1:13" ht="20.100000000000001" customHeight="1" x14ac:dyDescent="0.3">
      <c r="A52" s="369" t="s">
        <v>501</v>
      </c>
      <c r="B52" s="308" t="s">
        <v>248</v>
      </c>
      <c r="C52" s="370">
        <v>5</v>
      </c>
      <c r="D52" s="360">
        <f>'побудинковий звіт'!CU53</f>
        <v>145823.7682709877</v>
      </c>
      <c r="E52" s="344">
        <f>'побудинковий звіт'!CV53</f>
        <v>128543.33248771809</v>
      </c>
      <c r="F52" s="344">
        <f t="shared" si="0"/>
        <v>-17280.435783269611</v>
      </c>
      <c r="G52" s="361">
        <f t="shared" si="1"/>
        <v>0.8814978107604724</v>
      </c>
      <c r="H52" s="355">
        <f>('побудинковий звіт'!AS53+'побудинковий звіт'!BQ53)*1.2</f>
        <v>35247.299053265764</v>
      </c>
      <c r="I52" s="343">
        <f>('побудинковий звіт'!AT53+'побудинковий звіт'!BR53)*1.2</f>
        <v>9104.6752367899717</v>
      </c>
      <c r="J52" s="343">
        <f t="shared" si="2"/>
        <v>-26142.623816475792</v>
      </c>
      <c r="K52" s="364">
        <f t="shared" si="3"/>
        <v>0.25830845146548603</v>
      </c>
      <c r="L52" s="366">
        <f>'побудинковий звіт'!DE53</f>
        <v>121479.9</v>
      </c>
      <c r="M52" s="373">
        <f>'побудинковий звіт'!DA53*-1</f>
        <v>28146.718529818198</v>
      </c>
    </row>
    <row r="53" spans="1:13" ht="20.100000000000001" customHeight="1" x14ac:dyDescent="0.3">
      <c r="A53" s="369" t="s">
        <v>502</v>
      </c>
      <c r="B53" s="308" t="s">
        <v>249</v>
      </c>
      <c r="C53" s="370">
        <v>5</v>
      </c>
      <c r="D53" s="360">
        <f>'побудинковий звіт'!CU54</f>
        <v>201677.9191472877</v>
      </c>
      <c r="E53" s="344">
        <f>'побудинковий звіт'!CV54</f>
        <v>238767.18696900096</v>
      </c>
      <c r="F53" s="344">
        <f t="shared" si="0"/>
        <v>37089.267821713263</v>
      </c>
      <c r="G53" s="361">
        <f t="shared" si="1"/>
        <v>1.1839034633961418</v>
      </c>
      <c r="H53" s="355">
        <f>('побудинковий звіт'!AS54+'побудинковий звіт'!BQ54)*1.2</f>
        <v>45375.647610184045</v>
      </c>
      <c r="I53" s="343">
        <f>('побудинковий звіт'!AT54+'побудинковий звіт'!BR54)*1.2</f>
        <v>72837.599999999991</v>
      </c>
      <c r="J53" s="343">
        <f t="shared" si="2"/>
        <v>27461.952389815946</v>
      </c>
      <c r="K53" s="364">
        <f t="shared" si="3"/>
        <v>1.6052134533866669</v>
      </c>
      <c r="L53" s="366">
        <f>'побудинковий звіт'!DE54</f>
        <v>28852.749999999996</v>
      </c>
      <c r="M53" s="373">
        <f>'побудинковий звіт'!DA54*-1</f>
        <v>-18624.800673710968</v>
      </c>
    </row>
    <row r="54" spans="1:13" ht="20.100000000000001" customHeight="1" x14ac:dyDescent="0.3">
      <c r="A54" s="369" t="s">
        <v>503</v>
      </c>
      <c r="B54" s="308" t="s">
        <v>250</v>
      </c>
      <c r="C54" s="370">
        <v>5</v>
      </c>
      <c r="D54" s="360">
        <f>'побудинковий звіт'!CU55</f>
        <v>95263.659603237786</v>
      </c>
      <c r="E54" s="344">
        <f>'побудинковий звіт'!CV55</f>
        <v>77070.875082488506</v>
      </c>
      <c r="F54" s="344">
        <f t="shared" si="0"/>
        <v>-18192.784520749279</v>
      </c>
      <c r="G54" s="361">
        <f t="shared" si="1"/>
        <v>0.8090270246123219</v>
      </c>
      <c r="H54" s="355">
        <f>('побудинковий звіт'!AS55+'побудинковий звіт'!BQ55)*1.2</f>
        <v>28112.258767110357</v>
      </c>
      <c r="I54" s="343">
        <f>('побудинковий звіт'!AT55+'побудинковий звіт'!BR55)*1.2</f>
        <v>5174.4085336195303</v>
      </c>
      <c r="J54" s="343">
        <f t="shared" si="2"/>
        <v>-22937.850233490826</v>
      </c>
      <c r="K54" s="364">
        <f t="shared" si="3"/>
        <v>0.1840623543090488</v>
      </c>
      <c r="L54" s="366">
        <f>'побудинковий звіт'!DE55</f>
        <v>28957.93</v>
      </c>
      <c r="M54" s="373">
        <f>'побудинковий звіт'!DA55*-1</f>
        <v>4970.1145010815908</v>
      </c>
    </row>
    <row r="55" spans="1:13" ht="20.100000000000001" customHeight="1" x14ac:dyDescent="0.3">
      <c r="A55" s="369" t="s">
        <v>504</v>
      </c>
      <c r="B55" s="308" t="s">
        <v>333</v>
      </c>
      <c r="C55" s="370">
        <v>6</v>
      </c>
      <c r="D55" s="360">
        <f>'побудинковий звіт'!CU56</f>
        <v>160610.52660498419</v>
      </c>
      <c r="E55" s="344">
        <f>'побудинковий звіт'!CV56</f>
        <v>183428.68930668116</v>
      </c>
      <c r="F55" s="344">
        <f t="shared" si="0"/>
        <v>22818.162701696972</v>
      </c>
      <c r="G55" s="361">
        <f t="shared" si="1"/>
        <v>1.1420714020682929</v>
      </c>
      <c r="H55" s="355">
        <f>('побудинковий звіт'!AS56+'побудинковий звіт'!BQ56)*1.2</f>
        <v>66746.10648784737</v>
      </c>
      <c r="I55" s="343">
        <f>('побудинковий звіт'!AT56+'побудинковий звіт'!BR56)*1.2</f>
        <v>80010</v>
      </c>
      <c r="J55" s="343">
        <f t="shared" si="2"/>
        <v>13263.89351215263</v>
      </c>
      <c r="K55" s="364">
        <f t="shared" si="3"/>
        <v>1.1987216065489545</v>
      </c>
      <c r="L55" s="366">
        <f>'побудинковий звіт'!DE56</f>
        <v>40243.839999999997</v>
      </c>
      <c r="M55" s="374">
        <f>'побудинковий звіт'!DA56*-1</f>
        <v>23038.095386083856</v>
      </c>
    </row>
    <row r="56" spans="1:13" ht="20.100000000000001" customHeight="1" x14ac:dyDescent="0.3">
      <c r="A56" s="369" t="s">
        <v>505</v>
      </c>
      <c r="B56" s="308" t="s">
        <v>207</v>
      </c>
      <c r="C56" s="370">
        <v>4</v>
      </c>
      <c r="D56" s="360">
        <f>'побудинковий звіт'!CU57</f>
        <v>97911.832354200189</v>
      </c>
      <c r="E56" s="344">
        <f>'побудинковий звіт'!CV57</f>
        <v>93736.235123639359</v>
      </c>
      <c r="F56" s="344">
        <f t="shared" si="0"/>
        <v>-4175.5972305608302</v>
      </c>
      <c r="G56" s="361">
        <f t="shared" si="1"/>
        <v>0.95735349722130181</v>
      </c>
      <c r="H56" s="355">
        <f>('побудинковий звіт'!AS57+'побудинковий звіт'!BQ57)*1.2</f>
        <v>22304.31490529278</v>
      </c>
      <c r="I56" s="343">
        <f>('побудинковий звіт'!AT57+'побудинковий звіт'!BR57)*1.2</f>
        <v>8176.7999999999993</v>
      </c>
      <c r="J56" s="343">
        <f t="shared" si="2"/>
        <v>-14127.514905292781</v>
      </c>
      <c r="K56" s="364">
        <f t="shared" si="3"/>
        <v>0.36660171068781211</v>
      </c>
      <c r="L56" s="366">
        <f>'побудинковий звіт'!DE57</f>
        <v>2558.7399999999998</v>
      </c>
      <c r="M56" s="373">
        <f>'побудинковий звіт'!DA57*-1</f>
        <v>-72671.16483682851</v>
      </c>
    </row>
    <row r="57" spans="1:13" ht="20.100000000000001" customHeight="1" x14ac:dyDescent="0.3">
      <c r="A57" s="369" t="s">
        <v>506</v>
      </c>
      <c r="B57" s="308" t="s">
        <v>151</v>
      </c>
      <c r="C57" s="370">
        <v>2</v>
      </c>
      <c r="D57" s="360">
        <f>'побудинковий звіт'!CU58</f>
        <v>13261.72464465164</v>
      </c>
      <c r="E57" s="344">
        <f>'побудинковий звіт'!CV58</f>
        <v>5627.818095151616</v>
      </c>
      <c r="F57" s="344">
        <f t="shared" si="0"/>
        <v>-7633.9065495000241</v>
      </c>
      <c r="G57" s="361">
        <f t="shared" si="1"/>
        <v>0.42436547628224774</v>
      </c>
      <c r="H57" s="355">
        <f>('побудинковий звіт'!AS58+'побудинковий звіт'!BQ58)*1.2</f>
        <v>7051.5772373408481</v>
      </c>
      <c r="I57" s="343">
        <f>('побудинковий звіт'!AT58+'побудинковий звіт'!BR58)*1.2</f>
        <v>0</v>
      </c>
      <c r="J57" s="343">
        <f t="shared" si="2"/>
        <v>-7051.5772373408481</v>
      </c>
      <c r="K57" s="364">
        <f t="shared" si="3"/>
        <v>0</v>
      </c>
      <c r="L57" s="366">
        <f>'побудинковий звіт'!DE58</f>
        <v>1493.37</v>
      </c>
      <c r="M57" s="373">
        <f>'побудинковий звіт'!DA58*-1</f>
        <v>24206.098014274572</v>
      </c>
    </row>
    <row r="58" spans="1:13" ht="20.100000000000001" customHeight="1" x14ac:dyDescent="0.3">
      <c r="A58" s="369" t="s">
        <v>507</v>
      </c>
      <c r="B58" s="308" t="s">
        <v>53</v>
      </c>
      <c r="C58" s="370">
        <v>1</v>
      </c>
      <c r="D58" s="360">
        <f>'побудинковий звіт'!CU59</f>
        <v>4120.5407248841448</v>
      </c>
      <c r="E58" s="344">
        <f>'побудинковий звіт'!CV59</f>
        <v>2829.2180565804883</v>
      </c>
      <c r="F58" s="344">
        <f t="shared" si="0"/>
        <v>-1291.3226683036564</v>
      </c>
      <c r="G58" s="361">
        <f t="shared" si="1"/>
        <v>0.68661329798167114</v>
      </c>
      <c r="H58" s="355">
        <f>('побудинковий звіт'!AS59+'побудинковий звіт'!BQ59)*1.2</f>
        <v>3237.701131665458</v>
      </c>
      <c r="I58" s="343">
        <f>('побудинковий звіт'!AT59+'побудинковий звіт'!BR59)*1.2</f>
        <v>1712.3999999999999</v>
      </c>
      <c r="J58" s="343">
        <f t="shared" si="2"/>
        <v>-1525.3011316654581</v>
      </c>
      <c r="K58" s="364">
        <f t="shared" si="3"/>
        <v>0.52889378307723833</v>
      </c>
      <c r="L58" s="366">
        <f>'побудинковий звіт'!DE59</f>
        <v>67.029999999999973</v>
      </c>
      <c r="M58" s="373">
        <f>'побудинковий звіт'!DA59*-1</f>
        <v>4198.7401337671254</v>
      </c>
    </row>
    <row r="59" spans="1:13" ht="20.100000000000001" customHeight="1" x14ac:dyDescent="0.3">
      <c r="A59" s="369" t="s">
        <v>508</v>
      </c>
      <c r="B59" s="308" t="s">
        <v>54</v>
      </c>
      <c r="C59" s="370">
        <v>1</v>
      </c>
      <c r="D59" s="360">
        <f>'побудинковий звіт'!CU60</f>
        <v>1801.818754574464</v>
      </c>
      <c r="E59" s="344">
        <f>'побудинковий звіт'!CV60</f>
        <v>572.59673964592014</v>
      </c>
      <c r="F59" s="344">
        <f t="shared" si="0"/>
        <v>-1229.222014928544</v>
      </c>
      <c r="G59" s="361">
        <f t="shared" si="1"/>
        <v>0.31778820050141526</v>
      </c>
      <c r="H59" s="355">
        <f>('побудинковий звіт'!AS60+'побудинковий звіт'!BQ60)*1.2</f>
        <v>1374.755164417639</v>
      </c>
      <c r="I59" s="343">
        <f>('побудинковий звіт'!AT60+'побудинковий звіт'!BR60)*1.2</f>
        <v>0</v>
      </c>
      <c r="J59" s="343">
        <f t="shared" si="2"/>
        <v>-1374.755164417639</v>
      </c>
      <c r="K59" s="364">
        <f t="shared" si="3"/>
        <v>0</v>
      </c>
      <c r="L59" s="366">
        <f>'побудинковий звіт'!DE60</f>
        <v>0</v>
      </c>
      <c r="M59" s="373">
        <f>'побудинковий звіт'!DA60*-1</f>
        <v>-8699.6282566232239</v>
      </c>
    </row>
    <row r="60" spans="1:13" ht="20.100000000000001" customHeight="1" x14ac:dyDescent="0.3">
      <c r="A60" s="369" t="s">
        <v>509</v>
      </c>
      <c r="B60" s="308" t="s">
        <v>251</v>
      </c>
      <c r="C60" s="370">
        <v>5</v>
      </c>
      <c r="D60" s="360">
        <f>'побудинковий звіт'!CU61</f>
        <v>93817.037625094817</v>
      </c>
      <c r="E60" s="344">
        <f>'побудинковий звіт'!CV61</f>
        <v>69891.117685055928</v>
      </c>
      <c r="F60" s="344">
        <f t="shared" si="0"/>
        <v>-23925.91994003889</v>
      </c>
      <c r="G60" s="361">
        <f t="shared" si="1"/>
        <v>0.74497254927564438</v>
      </c>
      <c r="H60" s="355">
        <f>('побудинковий звіт'!AS61+'побудинковий звіт'!BQ61)*1.2</f>
        <v>32639.392270886445</v>
      </c>
      <c r="I60" s="343">
        <f>('побудинковий звіт'!AT61+'побудинковий звіт'!BR61)*1.2</f>
        <v>3030.1163869999132</v>
      </c>
      <c r="J60" s="343">
        <f t="shared" si="2"/>
        <v>-29609.27588388653</v>
      </c>
      <c r="K60" s="364">
        <f t="shared" si="3"/>
        <v>9.2836176661987194E-2</v>
      </c>
      <c r="L60" s="366">
        <f>'побудинковий звіт'!DE61</f>
        <v>2965.0600000000004</v>
      </c>
      <c r="M60" s="373">
        <f>'побудинковий звіт'!DA61*-1</f>
        <v>-82006.759574489784</v>
      </c>
    </row>
    <row r="61" spans="1:13" ht="20.100000000000001" customHeight="1" x14ac:dyDescent="0.3">
      <c r="A61" s="369" t="s">
        <v>510</v>
      </c>
      <c r="B61" s="308" t="s">
        <v>194</v>
      </c>
      <c r="C61" s="370">
        <v>3</v>
      </c>
      <c r="D61" s="360">
        <f>'побудинковий звіт'!CU62</f>
        <v>62539.871866926544</v>
      </c>
      <c r="E61" s="344">
        <f>'побудинковий звіт'!CV62</f>
        <v>55368.56724642613</v>
      </c>
      <c r="F61" s="344">
        <f t="shared" si="0"/>
        <v>-7171.3046205004139</v>
      </c>
      <c r="G61" s="361">
        <f t="shared" si="1"/>
        <v>0.88533227833022032</v>
      </c>
      <c r="H61" s="355">
        <f>('побудинковий звіт'!AS62+'побудинковий звіт'!BQ62)*1.2</f>
        <v>15045.522558102761</v>
      </c>
      <c r="I61" s="343">
        <f>('побудинковий звіт'!AT62+'побудинковий звіт'!BR62)*1.2</f>
        <v>352.17956020358656</v>
      </c>
      <c r="J61" s="343">
        <f t="shared" si="2"/>
        <v>-14693.342997899173</v>
      </c>
      <c r="K61" s="364">
        <f t="shared" si="3"/>
        <v>2.340759909425149E-2</v>
      </c>
      <c r="L61" s="366">
        <f>'побудинковий звіт'!DE62</f>
        <v>2171.83</v>
      </c>
      <c r="M61" s="373">
        <f>'побудинковий звіт'!DA62*-1</f>
        <v>-48795.328273454172</v>
      </c>
    </row>
    <row r="62" spans="1:13" ht="20.100000000000001" customHeight="1" x14ac:dyDescent="0.3">
      <c r="A62" s="369" t="s">
        <v>511</v>
      </c>
      <c r="B62" s="308" t="s">
        <v>412</v>
      </c>
      <c r="C62" s="370">
        <v>10</v>
      </c>
      <c r="D62" s="360">
        <f>'побудинковий звіт'!CU63</f>
        <v>213621.70092489332</v>
      </c>
      <c r="E62" s="344">
        <f>'побудинковий звіт'!CV63</f>
        <v>182260.7646560297</v>
      </c>
      <c r="F62" s="344">
        <f t="shared" si="0"/>
        <v>-31360.936268863617</v>
      </c>
      <c r="G62" s="361">
        <f t="shared" si="1"/>
        <v>0.85319405222838418</v>
      </c>
      <c r="H62" s="355">
        <f>('побудинковий звіт'!AS63+'побудинковий звіт'!BQ63)*1.2</f>
        <v>51713.492227837523</v>
      </c>
      <c r="I62" s="343">
        <f>('побудинковий звіт'!AT63+'побудинковий звіт'!BR63)*1.2</f>
        <v>7730.2990893891829</v>
      </c>
      <c r="J62" s="343">
        <f t="shared" si="2"/>
        <v>-43983.19313844834</v>
      </c>
      <c r="K62" s="364">
        <f t="shared" si="3"/>
        <v>0.14948321523774294</v>
      </c>
      <c r="L62" s="366">
        <f>'побудинковий звіт'!DE63</f>
        <v>13351.080000000002</v>
      </c>
      <c r="M62" s="373">
        <f>'побудинковий звіт'!DA63*-1</f>
        <v>11138.938256668625</v>
      </c>
    </row>
    <row r="63" spans="1:13" ht="20.100000000000001" customHeight="1" x14ac:dyDescent="0.3">
      <c r="A63" s="369" t="s">
        <v>512</v>
      </c>
      <c r="B63" s="308" t="s">
        <v>252</v>
      </c>
      <c r="C63" s="370">
        <v>5</v>
      </c>
      <c r="D63" s="360">
        <f>'побудинковий звіт'!CU64</f>
        <v>114442.230768622</v>
      </c>
      <c r="E63" s="344">
        <f>'побудинковий звіт'!CV64</f>
        <v>98690.372966008741</v>
      </c>
      <c r="F63" s="344">
        <f t="shared" si="0"/>
        <v>-15751.85780261326</v>
      </c>
      <c r="G63" s="361">
        <f t="shared" si="1"/>
        <v>0.86235974520227432</v>
      </c>
      <c r="H63" s="355">
        <f>('побудинковий звіт'!AS64+'побудинковий звіт'!BQ64)*1.2</f>
        <v>31975.561573442475</v>
      </c>
      <c r="I63" s="343">
        <f>('побудинковий звіт'!AT64+'побудинковий звіт'!BR64)*1.2</f>
        <v>6741.5999999999995</v>
      </c>
      <c r="J63" s="343">
        <f t="shared" si="2"/>
        <v>-25233.961573442477</v>
      </c>
      <c r="K63" s="364">
        <f t="shared" si="3"/>
        <v>0.21083601564012192</v>
      </c>
      <c r="L63" s="366">
        <f>'побудинковий звіт'!DE64</f>
        <v>4864.9499999999989</v>
      </c>
      <c r="M63" s="373">
        <f>'побудинковий звіт'!DA64*-1</f>
        <v>16619.91020784781</v>
      </c>
    </row>
    <row r="64" spans="1:13" ht="20.100000000000001" customHeight="1" x14ac:dyDescent="0.3">
      <c r="A64" s="369" t="s">
        <v>513</v>
      </c>
      <c r="B64" s="308" t="s">
        <v>56</v>
      </c>
      <c r="C64" s="370">
        <v>1</v>
      </c>
      <c r="D64" s="360" t="e">
        <f>'побудинковий звіт'!#REF!</f>
        <v>#REF!</v>
      </c>
      <c r="E64" s="344" t="e">
        <f>'побудинковий звіт'!#REF!</f>
        <v>#REF!</v>
      </c>
      <c r="F64" s="344" t="e">
        <f t="shared" si="0"/>
        <v>#REF!</v>
      </c>
      <c r="G64" s="361" t="e">
        <f t="shared" si="1"/>
        <v>#REF!</v>
      </c>
      <c r="H64" s="355" t="e">
        <f>('побудинковий звіт'!#REF!+'побудинковий звіт'!#REF!)*1.2</f>
        <v>#REF!</v>
      </c>
      <c r="I64" s="343" t="e">
        <f>('побудинковий звіт'!#REF!+'побудинковий звіт'!#REF!)*1.2</f>
        <v>#REF!</v>
      </c>
      <c r="J64" s="343" t="e">
        <f t="shared" si="2"/>
        <v>#REF!</v>
      </c>
      <c r="K64" s="364" t="e">
        <f t="shared" si="3"/>
        <v>#REF!</v>
      </c>
      <c r="L64" s="366" t="e">
        <f>'побудинковий звіт'!#REF!</f>
        <v>#REF!</v>
      </c>
      <c r="M64" s="373" t="e">
        <f>'побудинковий звіт'!#REF!*-1</f>
        <v>#REF!</v>
      </c>
    </row>
    <row r="65" spans="1:13" ht="20.100000000000001" customHeight="1" x14ac:dyDescent="0.3">
      <c r="A65" s="369" t="s">
        <v>514</v>
      </c>
      <c r="B65" s="308" t="s">
        <v>57</v>
      </c>
      <c r="C65" s="370">
        <v>1</v>
      </c>
      <c r="D65" s="360">
        <f>'побудинковий звіт'!CU65</f>
        <v>5313.1597371056605</v>
      </c>
      <c r="E65" s="344">
        <f>'побудинковий звіт'!CV65</f>
        <v>419.66323067993358</v>
      </c>
      <c r="F65" s="344">
        <f t="shared" ref="F65:F116" si="4">E65-D65</f>
        <v>-4893.4965064257267</v>
      </c>
      <c r="G65" s="361">
        <f t="shared" ref="G65:G116" si="5">E65/D65</f>
        <v>7.8985622764006114E-2</v>
      </c>
      <c r="H65" s="355">
        <f>('побудинковий звіт'!AS65+'побудинковий звіт'!BQ65)*1.2</f>
        <v>4858.5912685167086</v>
      </c>
      <c r="I65" s="343">
        <f>('побудинковий звіт'!AT65+'побудинковий звіт'!BR65)*1.2</f>
        <v>0</v>
      </c>
      <c r="J65" s="343">
        <f t="shared" ref="J65:J116" si="6">I65-H65</f>
        <v>-4858.5912685167086</v>
      </c>
      <c r="K65" s="364">
        <f t="shared" ref="K65:K116" si="7">I65/H65</f>
        <v>0</v>
      </c>
      <c r="L65" s="366">
        <f>'побудинковий звіт'!DE65</f>
        <v>2741.04</v>
      </c>
      <c r="M65" s="373">
        <f>'побудинковий звіт'!DA65*-1</f>
        <v>-20225.438938186417</v>
      </c>
    </row>
    <row r="66" spans="1:13" ht="20.100000000000001" customHeight="1" x14ac:dyDescent="0.3">
      <c r="A66" s="369" t="s">
        <v>515</v>
      </c>
      <c r="B66" s="308" t="s">
        <v>60</v>
      </c>
      <c r="C66" s="370">
        <v>1</v>
      </c>
      <c r="D66" s="360">
        <f>'побудинковий звіт'!CU66</f>
        <v>5936.5591106374459</v>
      </c>
      <c r="E66" s="344">
        <f>'побудинковий звіт'!CV66</f>
        <v>525.41418548162892</v>
      </c>
      <c r="F66" s="344">
        <f t="shared" si="4"/>
        <v>-5411.144925155817</v>
      </c>
      <c r="G66" s="361">
        <f t="shared" si="5"/>
        <v>8.8504835156136746E-2</v>
      </c>
      <c r="H66" s="355">
        <f>('побудинковий звіт'!AS66+'побудинковий звіт'!BQ66)*1.2</f>
        <v>5254.7064077540172</v>
      </c>
      <c r="I66" s="343">
        <f>('побудинковий звіт'!AT66+'побудинковий звіт'!BR66)*1.2</f>
        <v>0</v>
      </c>
      <c r="J66" s="343">
        <f t="shared" si="6"/>
        <v>-5254.7064077540172</v>
      </c>
      <c r="K66" s="364">
        <f t="shared" si="7"/>
        <v>0</v>
      </c>
      <c r="L66" s="366">
        <f>'побудинковий звіт'!DE66</f>
        <v>2588.9300000000003</v>
      </c>
      <c r="M66" s="373">
        <f>'побудинковий звіт'!DA66*-1</f>
        <v>5729.8050846850947</v>
      </c>
    </row>
    <row r="67" spans="1:13" ht="20.100000000000001" customHeight="1" x14ac:dyDescent="0.3">
      <c r="A67" s="369" t="s">
        <v>516</v>
      </c>
      <c r="B67" s="308" t="s">
        <v>347</v>
      </c>
      <c r="C67" s="370">
        <v>9</v>
      </c>
      <c r="D67" s="360">
        <f>'побудинковий звіт'!CU67</f>
        <v>725391.06906773313</v>
      </c>
      <c r="E67" s="344">
        <f>'побудинковий звіт'!CV67</f>
        <v>679986.06487360888</v>
      </c>
      <c r="F67" s="344">
        <f t="shared" si="4"/>
        <v>-45405.004194124253</v>
      </c>
      <c r="G67" s="361">
        <f t="shared" si="5"/>
        <v>0.93740617147040639</v>
      </c>
      <c r="H67" s="355">
        <f>('побудинковий звіт'!AS67+'побудинковий звіт'!BQ67)*1.2</f>
        <v>207547.78421411573</v>
      </c>
      <c r="I67" s="343">
        <f>('побудинковий звіт'!AT67+'побудинковий звіт'!BR67)*1.2</f>
        <v>113885.23023814465</v>
      </c>
      <c r="J67" s="343">
        <f t="shared" si="6"/>
        <v>-93662.553975971081</v>
      </c>
      <c r="K67" s="364">
        <f t="shared" si="7"/>
        <v>0.54871812132022313</v>
      </c>
      <c r="L67" s="366">
        <f>'побудинковий звіт'!DE67</f>
        <v>67363.19</v>
      </c>
      <c r="M67" s="373">
        <f>'побудинковий звіт'!DA67*-1</f>
        <v>-56558.327575675037</v>
      </c>
    </row>
    <row r="68" spans="1:13" ht="20.100000000000001" customHeight="1" x14ac:dyDescent="0.3">
      <c r="A68" s="369" t="s">
        <v>517</v>
      </c>
      <c r="B68" s="308" t="s">
        <v>62</v>
      </c>
      <c r="C68" s="370">
        <v>1</v>
      </c>
      <c r="D68" s="360">
        <f>'побудинковий звіт'!CU68</f>
        <v>4765.8800753329851</v>
      </c>
      <c r="E68" s="344">
        <f>'побудинковий звіт'!CV68</f>
        <v>1092.5820588836259</v>
      </c>
      <c r="F68" s="344">
        <f t="shared" si="4"/>
        <v>-3673.2980164493592</v>
      </c>
      <c r="G68" s="361">
        <f t="shared" si="5"/>
        <v>0.22925085012914195</v>
      </c>
      <c r="H68" s="355">
        <f>('побудинковий звіт'!AS68+'побудинковий звіт'!BQ68)*1.2</f>
        <v>3913.5641967287002</v>
      </c>
      <c r="I68" s="343">
        <f>('побудинковий звіт'!AT68+'побудинковий звіт'!BR68)*1.2</f>
        <v>0</v>
      </c>
      <c r="J68" s="343">
        <f t="shared" si="6"/>
        <v>-3913.5641967287002</v>
      </c>
      <c r="K68" s="364">
        <f t="shared" si="7"/>
        <v>0</v>
      </c>
      <c r="L68" s="366">
        <f>'побудинковий звіт'!DE68</f>
        <v>3078.06</v>
      </c>
      <c r="M68" s="373">
        <f>'побудинковий звіт'!DA68*-1</f>
        <v>9274.143213332638</v>
      </c>
    </row>
    <row r="69" spans="1:13" ht="20.100000000000001" customHeight="1" x14ac:dyDescent="0.3">
      <c r="A69" s="369" t="s">
        <v>518</v>
      </c>
      <c r="B69" s="308" t="s">
        <v>64</v>
      </c>
      <c r="C69" s="370">
        <v>1</v>
      </c>
      <c r="D69" s="360">
        <f>'побудинковий звіт'!CU69</f>
        <v>2842.0795685371072</v>
      </c>
      <c r="E69" s="344">
        <f>'побудинковий звіт'!CV69</f>
        <v>282.39893664912597</v>
      </c>
      <c r="F69" s="344">
        <f t="shared" si="4"/>
        <v>-2559.6806318879812</v>
      </c>
      <c r="G69" s="361">
        <f t="shared" si="5"/>
        <v>9.9363487136457651E-2</v>
      </c>
      <c r="H69" s="355">
        <f>('побудинковий звіт'!AS69+'побудинковий звіт'!BQ69)*1.2</f>
        <v>2444.3321585217741</v>
      </c>
      <c r="I69" s="343">
        <f>('побудинковий звіт'!AT69+'побудинковий звіт'!BR69)*1.2</f>
        <v>0</v>
      </c>
      <c r="J69" s="343">
        <f t="shared" si="6"/>
        <v>-2444.3321585217741</v>
      </c>
      <c r="K69" s="364">
        <f t="shared" si="7"/>
        <v>0</v>
      </c>
      <c r="L69" s="366">
        <f>'побудинковий звіт'!DE69</f>
        <v>4033.82</v>
      </c>
      <c r="M69" s="373">
        <f>'побудинковий звіт'!DA69*-1</f>
        <v>7817.0562622933958</v>
      </c>
    </row>
    <row r="70" spans="1:13" ht="20.100000000000001" customHeight="1" x14ac:dyDescent="0.3">
      <c r="A70" s="369" t="s">
        <v>519</v>
      </c>
      <c r="B70" s="308" t="s">
        <v>348</v>
      </c>
      <c r="C70" s="370">
        <v>9</v>
      </c>
      <c r="D70" s="360">
        <f>'побудинковий звіт'!CU70</f>
        <v>600290.65910593851</v>
      </c>
      <c r="E70" s="344">
        <f>'побудинковий звіт'!CV70</f>
        <v>657996.31714093033</v>
      </c>
      <c r="F70" s="344">
        <f t="shared" si="4"/>
        <v>57705.658034991822</v>
      </c>
      <c r="G70" s="361">
        <f t="shared" si="5"/>
        <v>1.0961295285202963</v>
      </c>
      <c r="H70" s="355">
        <f>('побудинковий звіт'!AS70+'побудинковий звіт'!BQ70)*1.2</f>
        <v>165104.38722426526</v>
      </c>
      <c r="I70" s="343">
        <f>('побудинковий звіт'!AT70+'побудинковий звіт'!BR70)*1.2</f>
        <v>242175.4872855416</v>
      </c>
      <c r="J70" s="343">
        <f t="shared" si="6"/>
        <v>77071.100061276346</v>
      </c>
      <c r="K70" s="364">
        <f t="shared" si="7"/>
        <v>1.4668022537559151</v>
      </c>
      <c r="L70" s="366">
        <f>'побудинковий звіт'!DE70</f>
        <v>58925.37</v>
      </c>
      <c r="M70" s="373">
        <f>'побудинковий звіт'!DA70*-1</f>
        <v>-26635.504936484402</v>
      </c>
    </row>
    <row r="71" spans="1:13" ht="20.100000000000001" customHeight="1" x14ac:dyDescent="0.3">
      <c r="A71" s="369" t="s">
        <v>520</v>
      </c>
      <c r="B71" s="308" t="s">
        <v>253</v>
      </c>
      <c r="C71" s="370">
        <v>5</v>
      </c>
      <c r="D71" s="360">
        <f>'побудинковий звіт'!CU71</f>
        <v>190631.94139348861</v>
      </c>
      <c r="E71" s="344">
        <f>'побудинковий звіт'!CV71</f>
        <v>174068.80656034598</v>
      </c>
      <c r="F71" s="344">
        <f t="shared" si="4"/>
        <v>-16563.134833142627</v>
      </c>
      <c r="G71" s="361">
        <f t="shared" si="5"/>
        <v>0.91311458766002807</v>
      </c>
      <c r="H71" s="355">
        <f>('побудинковий звіт'!AS71+'побудинковий звіт'!BQ71)*1.2</f>
        <v>37650.551574165045</v>
      </c>
      <c r="I71" s="343">
        <f>('побудинковий звіт'!AT71+'побудинковий звіт'!BR71)*1.2</f>
        <v>36776.400000000001</v>
      </c>
      <c r="J71" s="343">
        <f t="shared" si="6"/>
        <v>-874.15157416504371</v>
      </c>
      <c r="K71" s="364">
        <f t="shared" si="7"/>
        <v>0.97678250284213985</v>
      </c>
      <c r="L71" s="366">
        <f>'побудинковий звіт'!DE71</f>
        <v>36850.15</v>
      </c>
      <c r="M71" s="373">
        <f>'побудинковий звіт'!DA71*-1</f>
        <v>32905.612915709164</v>
      </c>
    </row>
    <row r="72" spans="1:13" ht="20.100000000000001" customHeight="1" x14ac:dyDescent="0.3">
      <c r="A72" s="369" t="s">
        <v>521</v>
      </c>
      <c r="B72" s="308" t="s">
        <v>349</v>
      </c>
      <c r="C72" s="370">
        <v>9</v>
      </c>
      <c r="D72" s="360">
        <f>'побудинковий звіт'!CU72</f>
        <v>998468.538279003</v>
      </c>
      <c r="E72" s="344">
        <f>'побудинковий звіт'!CV72</f>
        <v>883446.72582871257</v>
      </c>
      <c r="F72" s="344">
        <f t="shared" si="4"/>
        <v>-115021.81245029042</v>
      </c>
      <c r="G72" s="361">
        <f t="shared" si="5"/>
        <v>0.88480176586380355</v>
      </c>
      <c r="H72" s="355">
        <f>('побудинковий звіт'!AS72+'побудинковий звіт'!BQ72)*1.2</f>
        <v>245373.88110241992</v>
      </c>
      <c r="I72" s="343">
        <f>('побудинковий звіт'!AT72+'побудинковий звіт'!BR72)*1.2</f>
        <v>65330.411009471594</v>
      </c>
      <c r="J72" s="343">
        <f t="shared" si="6"/>
        <v>-180043.47009294832</v>
      </c>
      <c r="K72" s="364">
        <f t="shared" si="7"/>
        <v>0.26624843164216999</v>
      </c>
      <c r="L72" s="366">
        <f>'побудинковий звіт'!DE72</f>
        <v>173325.37</v>
      </c>
      <c r="M72" s="373">
        <f>'побудинковий звіт'!DA72*-1</f>
        <v>22971.220460311015</v>
      </c>
    </row>
    <row r="73" spans="1:13" ht="20.100000000000001" customHeight="1" x14ac:dyDescent="0.3">
      <c r="A73" s="369" t="s">
        <v>522</v>
      </c>
      <c r="B73" s="308" t="s">
        <v>254</v>
      </c>
      <c r="C73" s="370">
        <v>5</v>
      </c>
      <c r="D73" s="360">
        <f>'побудинковий звіт'!CU73</f>
        <v>189454.81482069794</v>
      </c>
      <c r="E73" s="344">
        <f>'побудинковий звіт'!CV73</f>
        <v>294686.51314437925</v>
      </c>
      <c r="F73" s="344">
        <f t="shared" si="4"/>
        <v>105231.69832368131</v>
      </c>
      <c r="G73" s="361">
        <f t="shared" si="5"/>
        <v>1.5554448348186543</v>
      </c>
      <c r="H73" s="355">
        <f>('побудинковий звіт'!AS73+'побудинковий звіт'!BQ73)*1.2</f>
        <v>62546.809226039768</v>
      </c>
      <c r="I73" s="343">
        <f>('побудинковий звіт'!AT73+'побудинковий звіт'!BR73)*1.2</f>
        <v>161020.79999999999</v>
      </c>
      <c r="J73" s="343">
        <f t="shared" si="6"/>
        <v>98473.99077396022</v>
      </c>
      <c r="K73" s="364">
        <f t="shared" si="7"/>
        <v>2.5744047057313852</v>
      </c>
      <c r="L73" s="366">
        <f>'побудинковий звіт'!DE73</f>
        <v>4020.2899999999991</v>
      </c>
      <c r="M73" s="373">
        <f>'побудинковий звіт'!DA73*-1</f>
        <v>-94826.859639184462</v>
      </c>
    </row>
    <row r="74" spans="1:13" ht="20.100000000000001" customHeight="1" x14ac:dyDescent="0.3">
      <c r="A74" s="369" t="s">
        <v>523</v>
      </c>
      <c r="B74" s="308" t="s">
        <v>350</v>
      </c>
      <c r="C74" s="370">
        <v>9</v>
      </c>
      <c r="D74" s="360">
        <f>'побудинковий звіт'!CU74</f>
        <v>1001111.8574809639</v>
      </c>
      <c r="E74" s="344">
        <f>'побудинковий звіт'!CV74</f>
        <v>1052429.1582112226</v>
      </c>
      <c r="F74" s="344">
        <f t="shared" si="4"/>
        <v>51317.300730258692</v>
      </c>
      <c r="G74" s="361">
        <f t="shared" si="5"/>
        <v>1.0512603065749169</v>
      </c>
      <c r="H74" s="355">
        <f>('побудинковий звіт'!AS74+'побудинковий звіт'!BQ74)*1.2</f>
        <v>260610.03298167622</v>
      </c>
      <c r="I74" s="343">
        <f>('побудинковий звіт'!AT74+'побудинковий звіт'!BR74)*1.2</f>
        <v>287239.69276845461</v>
      </c>
      <c r="J74" s="343">
        <f t="shared" si="6"/>
        <v>26629.659786778386</v>
      </c>
      <c r="K74" s="364">
        <f t="shared" si="7"/>
        <v>1.1021820207077397</v>
      </c>
      <c r="L74" s="366">
        <f>'побудинковий звіт'!DE74</f>
        <v>238440.19999999998</v>
      </c>
      <c r="M74" s="373">
        <f>'побудинковий звіт'!DA74*-1</f>
        <v>-46718.634953614572</v>
      </c>
    </row>
    <row r="75" spans="1:13" ht="20.100000000000001" customHeight="1" x14ac:dyDescent="0.3">
      <c r="A75" s="369" t="s">
        <v>524</v>
      </c>
      <c r="B75" s="308" t="s">
        <v>65</v>
      </c>
      <c r="C75" s="370">
        <v>1</v>
      </c>
      <c r="D75" s="360">
        <f>'побудинковий звіт'!CU75</f>
        <v>4664.4201112266364</v>
      </c>
      <c r="E75" s="344">
        <f>'побудинковий звіт'!CV75</f>
        <v>6421.6090254584888</v>
      </c>
      <c r="F75" s="344">
        <f t="shared" si="4"/>
        <v>1757.1889142318523</v>
      </c>
      <c r="G75" s="361">
        <f t="shared" si="5"/>
        <v>1.3767218372981742</v>
      </c>
      <c r="H75" s="355">
        <f>('побудинковий звіт'!AS75+'побудинковий звіт'!BQ75)*1.2</f>
        <v>4096.2095254904461</v>
      </c>
      <c r="I75" s="343">
        <f>('побудинковий звіт'!AT75+'побудинковий звіт'!BR75)*1.2</f>
        <v>6044.4</v>
      </c>
      <c r="J75" s="343">
        <f t="shared" si="6"/>
        <v>1948.1904745095535</v>
      </c>
      <c r="K75" s="364">
        <f t="shared" si="7"/>
        <v>1.4756081109587023</v>
      </c>
      <c r="L75" s="366">
        <f>'побудинковий звіт'!DE75</f>
        <v>-275.76</v>
      </c>
      <c r="M75" s="373">
        <f>'побудинковий звіт'!DA75*-1</f>
        <v>-126.0781682432339</v>
      </c>
    </row>
    <row r="76" spans="1:13" ht="20.100000000000001" customHeight="1" x14ac:dyDescent="0.3">
      <c r="A76" s="369" t="s">
        <v>525</v>
      </c>
      <c r="B76" s="308" t="s">
        <v>66</v>
      </c>
      <c r="C76" s="370">
        <v>1</v>
      </c>
      <c r="D76" s="360">
        <f>'побудинковий звіт'!CU76</f>
        <v>3935.1210907863569</v>
      </c>
      <c r="E76" s="344">
        <f>'побудинковий звіт'!CV76</f>
        <v>405.90816282637581</v>
      </c>
      <c r="F76" s="344">
        <f t="shared" si="4"/>
        <v>-3529.2129279599812</v>
      </c>
      <c r="G76" s="361">
        <f t="shared" si="5"/>
        <v>0.10315010731861951</v>
      </c>
      <c r="H76" s="355">
        <f>('побудинковий звіт'!AS76+'побудинковий звіт'!BQ76)*1.2</f>
        <v>3480.5526221974051</v>
      </c>
      <c r="I76" s="343">
        <f>('побудинковий звіт'!AT76+'побудинковий звіт'!BR76)*1.2</f>
        <v>0</v>
      </c>
      <c r="J76" s="343">
        <f t="shared" si="6"/>
        <v>-3480.5526221974051</v>
      </c>
      <c r="K76" s="364">
        <f t="shared" si="7"/>
        <v>0</v>
      </c>
      <c r="L76" s="366">
        <f>'побудинковий звіт'!DE76</f>
        <v>-1325.03</v>
      </c>
      <c r="M76" s="373">
        <f>'побудинковий звіт'!DA76*-1</f>
        <v>9973.9241581750612</v>
      </c>
    </row>
    <row r="77" spans="1:13" ht="20.100000000000001" customHeight="1" x14ac:dyDescent="0.3">
      <c r="A77" s="369" t="s">
        <v>526</v>
      </c>
      <c r="B77" s="308" t="s">
        <v>67</v>
      </c>
      <c r="C77" s="370">
        <v>1</v>
      </c>
      <c r="D77" s="360">
        <f>'побудинковий звіт'!CU77</f>
        <v>4456.9875870717433</v>
      </c>
      <c r="E77" s="344">
        <f>'побудинковий звіт'!CV77</f>
        <v>957.53786751153484</v>
      </c>
      <c r="F77" s="344">
        <f t="shared" si="4"/>
        <v>-3499.4497195602085</v>
      </c>
      <c r="G77" s="361">
        <f t="shared" si="5"/>
        <v>0.21483969807074124</v>
      </c>
      <c r="H77" s="355">
        <f>('побудинковий звіт'!AS77+'побудинковий звіт'!BQ77)*1.2</f>
        <v>3679.1391184827921</v>
      </c>
      <c r="I77" s="343">
        <f>('побудинковий звіт'!AT77+'побудинковий звіт'!BR77)*1.2</f>
        <v>0</v>
      </c>
      <c r="J77" s="343">
        <f t="shared" si="6"/>
        <v>-3679.1391184827921</v>
      </c>
      <c r="K77" s="364">
        <f t="shared" si="7"/>
        <v>0</v>
      </c>
      <c r="L77" s="366">
        <f>'побудинковий звіт'!DE77</f>
        <v>0</v>
      </c>
      <c r="M77" s="373">
        <f>'побудинковий звіт'!DA77*-1</f>
        <v>7395.8573848682609</v>
      </c>
    </row>
    <row r="78" spans="1:13" ht="20.100000000000001" customHeight="1" x14ac:dyDescent="0.3">
      <c r="A78" s="369" t="s">
        <v>527</v>
      </c>
      <c r="B78" s="308" t="s">
        <v>68</v>
      </c>
      <c r="C78" s="370">
        <v>1</v>
      </c>
      <c r="D78" s="360">
        <f>'побудинковий звіт'!CU78</f>
        <v>8536.9794723986379</v>
      </c>
      <c r="E78" s="344">
        <f>'побудинковий звіт'!CV78</f>
        <v>672.49978068116559</v>
      </c>
      <c r="F78" s="344">
        <f t="shared" si="4"/>
        <v>-7864.4796917174726</v>
      </c>
      <c r="G78" s="361">
        <f t="shared" si="5"/>
        <v>7.877490895409324E-2</v>
      </c>
      <c r="H78" s="355">
        <f>('побудинковий звіт'!AS78+'побудинковий звіт'!BQ78)*1.2</f>
        <v>7741.4846523679735</v>
      </c>
      <c r="I78" s="343">
        <f>('побудинковий звіт'!AT78+'побудинковий звіт'!BR78)*1.2</f>
        <v>0</v>
      </c>
      <c r="J78" s="343">
        <f t="shared" si="6"/>
        <v>-7741.4846523679735</v>
      </c>
      <c r="K78" s="364">
        <f t="shared" si="7"/>
        <v>0</v>
      </c>
      <c r="L78" s="366">
        <f>'побудинковий звіт'!DE78</f>
        <v>1193.06</v>
      </c>
      <c r="M78" s="373">
        <f>'побудинковий звіт'!DA78*-1</f>
        <v>22319.927694081976</v>
      </c>
    </row>
    <row r="79" spans="1:13" ht="20.100000000000001" customHeight="1" x14ac:dyDescent="0.3">
      <c r="A79" s="369" t="s">
        <v>528</v>
      </c>
      <c r="B79" s="308" t="s">
        <v>71</v>
      </c>
      <c r="C79" s="370">
        <v>1</v>
      </c>
      <c r="D79" s="360" t="e">
        <f>'побудинковий звіт'!#REF!</f>
        <v>#REF!</v>
      </c>
      <c r="E79" s="344" t="e">
        <f>'побудинковий звіт'!#REF!</f>
        <v>#REF!</v>
      </c>
      <c r="F79" s="344" t="e">
        <f t="shared" si="4"/>
        <v>#REF!</v>
      </c>
      <c r="G79" s="361" t="e">
        <f t="shared" si="5"/>
        <v>#REF!</v>
      </c>
      <c r="H79" s="355" t="e">
        <f>('побудинковий звіт'!#REF!+'побудинковий звіт'!#REF!)*1.2</f>
        <v>#REF!</v>
      </c>
      <c r="I79" s="343" t="e">
        <f>('побудинковий звіт'!#REF!+'побудинковий звіт'!#REF!)*1.2</f>
        <v>#REF!</v>
      </c>
      <c r="J79" s="343" t="e">
        <f t="shared" si="6"/>
        <v>#REF!</v>
      </c>
      <c r="K79" s="364" t="e">
        <f t="shared" si="7"/>
        <v>#REF!</v>
      </c>
      <c r="L79" s="366" t="e">
        <f>'побудинковий звіт'!#REF!</f>
        <v>#REF!</v>
      </c>
      <c r="M79" s="373" t="e">
        <f>'побудинковий звіт'!#REF!*-1</f>
        <v>#REF!</v>
      </c>
    </row>
    <row r="80" spans="1:13" ht="20.100000000000001" customHeight="1" x14ac:dyDescent="0.3">
      <c r="A80" s="369" t="s">
        <v>529</v>
      </c>
      <c r="B80" s="308" t="s">
        <v>72</v>
      </c>
      <c r="C80" s="370">
        <v>1</v>
      </c>
      <c r="D80" s="360">
        <f>'побудинковий звіт'!CU79</f>
        <v>5617.4818174042157</v>
      </c>
      <c r="E80" s="344">
        <f>'побудинковий звіт'!CV79</f>
        <v>1979.2858064965608</v>
      </c>
      <c r="F80" s="344">
        <f t="shared" si="4"/>
        <v>-3638.1960109076549</v>
      </c>
      <c r="G80" s="361">
        <f t="shared" si="5"/>
        <v>0.35234396315521493</v>
      </c>
      <c r="H80" s="355">
        <f>('побудинковий звіт'!AS79+'побудинковий звіт'!BQ79)*1.2</f>
        <v>4505.5466881816883</v>
      </c>
      <c r="I80" s="343">
        <f>('побудинковий звіт'!AT79+'побудинковий звіт'!BR79)*1.2</f>
        <v>0</v>
      </c>
      <c r="J80" s="343">
        <f t="shared" si="6"/>
        <v>-4505.5466881816883</v>
      </c>
      <c r="K80" s="364">
        <f t="shared" si="7"/>
        <v>0</v>
      </c>
      <c r="L80" s="366">
        <f>'побудинковий звіт'!DE79</f>
        <v>-1.0799999999999841</v>
      </c>
      <c r="M80" s="373">
        <f>'побудинковий звіт'!DA79*-1</f>
        <v>-10915.637832537859</v>
      </c>
    </row>
    <row r="81" spans="1:13" ht="20.100000000000001" customHeight="1" x14ac:dyDescent="0.3">
      <c r="A81" s="369" t="s">
        <v>530</v>
      </c>
      <c r="B81" s="308" t="s">
        <v>74</v>
      </c>
      <c r="C81" s="370">
        <v>1</v>
      </c>
      <c r="D81" s="360">
        <f>'побудинковий звіт'!CU80</f>
        <v>5486.245658282709</v>
      </c>
      <c r="E81" s="344">
        <f>'побудинковий звіт'!CV80</f>
        <v>4766.4035700917148</v>
      </c>
      <c r="F81" s="344">
        <f t="shared" si="4"/>
        <v>-719.84208819099422</v>
      </c>
      <c r="G81" s="361">
        <f t="shared" si="5"/>
        <v>0.86879149549123225</v>
      </c>
      <c r="H81" s="355">
        <f>('побудинковий звіт'!AS80+'побудинковий звіт'!BQ80)*1.2</f>
        <v>3424.989601484594</v>
      </c>
      <c r="I81" s="343">
        <f>('побудинковий звіт'!AT80+'побудинковий звіт'!BR80)*1.2</f>
        <v>687.6</v>
      </c>
      <c r="J81" s="343">
        <f t="shared" si="6"/>
        <v>-2737.3896014845941</v>
      </c>
      <c r="K81" s="364">
        <f t="shared" si="7"/>
        <v>0.20075973360676871</v>
      </c>
      <c r="L81" s="366">
        <f>'побудинковий звіт'!DE80</f>
        <v>-12.519999999999982</v>
      </c>
      <c r="M81" s="373">
        <f>'побудинковий звіт'!DA80*-1</f>
        <v>4965.1057262874565</v>
      </c>
    </row>
    <row r="82" spans="1:13" ht="20.100000000000001" customHeight="1" x14ac:dyDescent="0.3">
      <c r="A82" s="369" t="s">
        <v>531</v>
      </c>
      <c r="B82" s="308" t="s">
        <v>152</v>
      </c>
      <c r="C82" s="370">
        <v>2</v>
      </c>
      <c r="D82" s="360">
        <f>'побудинковий звіт'!CU81</f>
        <v>7791.5756759992473</v>
      </c>
      <c r="E82" s="344">
        <f>'побудинковий звіт'!CV81</f>
        <v>6260.4232635487733</v>
      </c>
      <c r="F82" s="344">
        <f t="shared" si="4"/>
        <v>-1531.152412450474</v>
      </c>
      <c r="G82" s="361">
        <f t="shared" si="5"/>
        <v>0.80348616555609487</v>
      </c>
      <c r="H82" s="355">
        <f>('побудинковий звіт'!AS81+'побудинковий звіт'!BQ81)*1.2</f>
        <v>4388.6838161519427</v>
      </c>
      <c r="I82" s="343">
        <f>('побудинковий звіт'!AT81+'побудинковий звіт'!BR81)*1.2</f>
        <v>0</v>
      </c>
      <c r="J82" s="343">
        <f t="shared" si="6"/>
        <v>-4388.6838161519427</v>
      </c>
      <c r="K82" s="364">
        <f t="shared" si="7"/>
        <v>0</v>
      </c>
      <c r="L82" s="366">
        <f>'побудинковий звіт'!DE81</f>
        <v>8660.23</v>
      </c>
      <c r="M82" s="373">
        <f>'побудинковий звіт'!DA81*-1</f>
        <v>13044.462069091642</v>
      </c>
    </row>
    <row r="83" spans="1:13" ht="20.100000000000001" customHeight="1" x14ac:dyDescent="0.3">
      <c r="A83" s="369" t="s">
        <v>532</v>
      </c>
      <c r="B83" s="308" t="s">
        <v>75</v>
      </c>
      <c r="C83" s="370">
        <v>1</v>
      </c>
      <c r="D83" s="360">
        <f>'побудинковий звіт'!CU82</f>
        <v>2872.927610426811</v>
      </c>
      <c r="E83" s="344">
        <f>'побудинковий звіт'!CV82</f>
        <v>3175.0341632367436</v>
      </c>
      <c r="F83" s="344">
        <f t="shared" si="4"/>
        <v>302.10655280993251</v>
      </c>
      <c r="G83" s="361">
        <f t="shared" si="5"/>
        <v>1.1051563400739675</v>
      </c>
      <c r="H83" s="355">
        <f>('побудинковий звіт'!AS82+'побудинковий звіт'!BQ82)*1.2</f>
        <v>1871.6157621692462</v>
      </c>
      <c r="I83" s="343">
        <f>('побудинковий звіт'!AT82+'побудинковий звіт'!BR82)*1.2</f>
        <v>0</v>
      </c>
      <c r="J83" s="343">
        <f t="shared" si="6"/>
        <v>-1871.6157621692462</v>
      </c>
      <c r="K83" s="364">
        <f t="shared" si="7"/>
        <v>0</v>
      </c>
      <c r="L83" s="366">
        <f>'побудинковий звіт'!DE82</f>
        <v>0</v>
      </c>
      <c r="M83" s="373">
        <f>'побудинковий звіт'!DA82*-1</f>
        <v>2220.4548233404189</v>
      </c>
    </row>
    <row r="84" spans="1:13" ht="20.100000000000001" customHeight="1" x14ac:dyDescent="0.3">
      <c r="A84" s="369" t="s">
        <v>533</v>
      </c>
      <c r="B84" s="308" t="s">
        <v>351</v>
      </c>
      <c r="C84" s="370">
        <v>9</v>
      </c>
      <c r="D84" s="360">
        <f>'побудинковий звіт'!CU83</f>
        <v>402081.21589575458</v>
      </c>
      <c r="E84" s="344">
        <f>'побудинковий звіт'!CV83</f>
        <v>364728.31878962513</v>
      </c>
      <c r="F84" s="344">
        <f t="shared" si="4"/>
        <v>-37352.897106129443</v>
      </c>
      <c r="G84" s="361">
        <f t="shared" si="5"/>
        <v>0.90710111383115766</v>
      </c>
      <c r="H84" s="355">
        <f>('побудинковий звіт'!AS83+'побудинковий звіт'!BQ83)*1.2</f>
        <v>142505.3195635555</v>
      </c>
      <c r="I84" s="343">
        <f>('побудинковий звіт'!AT83+'побудинковий звіт'!BR83)*1.2</f>
        <v>123465.73683084683</v>
      </c>
      <c r="J84" s="343">
        <f t="shared" si="6"/>
        <v>-19039.582732708674</v>
      </c>
      <c r="K84" s="364">
        <f t="shared" si="7"/>
        <v>0.86639388065638301</v>
      </c>
      <c r="L84" s="366">
        <f>'побудинковий звіт'!DE83</f>
        <v>59616.229999999996</v>
      </c>
      <c r="M84" s="373">
        <f>'побудинковий звіт'!DA83*-1</f>
        <v>-74194.618542699347</v>
      </c>
    </row>
    <row r="85" spans="1:13" ht="20.100000000000001" customHeight="1" x14ac:dyDescent="0.3">
      <c r="A85" s="369" t="s">
        <v>534</v>
      </c>
      <c r="B85" s="308" t="s">
        <v>413</v>
      </c>
      <c r="C85" s="370">
        <v>10</v>
      </c>
      <c r="D85" s="360">
        <f>'побудинковий звіт'!CU84</f>
        <v>183747.86383984718</v>
      </c>
      <c r="E85" s="344">
        <f>'побудинковий звіт'!CV84</f>
        <v>274373.37010723044</v>
      </c>
      <c r="F85" s="344">
        <f t="shared" si="4"/>
        <v>90625.506267383258</v>
      </c>
      <c r="G85" s="361">
        <f t="shared" si="5"/>
        <v>1.4932057678034916</v>
      </c>
      <c r="H85" s="355">
        <f>('побудинковий звіт'!AS84+'побудинковий звіт'!BQ84)*1.2</f>
        <v>63022.988901377161</v>
      </c>
      <c r="I85" s="343">
        <f>('побудинковий звіт'!AT84+'побудинковий звіт'!BR84)*1.2</f>
        <v>159920.4</v>
      </c>
      <c r="J85" s="343">
        <f t="shared" si="6"/>
        <v>96897.411098622833</v>
      </c>
      <c r="K85" s="364">
        <f t="shared" si="7"/>
        <v>2.5374931082728365</v>
      </c>
      <c r="L85" s="366">
        <f>'побудинковий звіт'!DE84</f>
        <v>58753.36</v>
      </c>
      <c r="M85" s="373">
        <f>'побудинковий звіт'!DA84*-1</f>
        <v>-101893.39229565405</v>
      </c>
    </row>
    <row r="86" spans="1:13" ht="20.100000000000001" customHeight="1" x14ac:dyDescent="0.3">
      <c r="A86" s="369" t="s">
        <v>535</v>
      </c>
      <c r="B86" s="308" t="s">
        <v>414</v>
      </c>
      <c r="C86" s="370">
        <v>10</v>
      </c>
      <c r="D86" s="360">
        <f>'побудинковий звіт'!CU85</f>
        <v>349723.64429163694</v>
      </c>
      <c r="E86" s="344">
        <f>'побудинковий звіт'!CV85</f>
        <v>294761.32707084087</v>
      </c>
      <c r="F86" s="344">
        <f t="shared" si="4"/>
        <v>-54962.317220796074</v>
      </c>
      <c r="G86" s="361">
        <f t="shared" si="5"/>
        <v>0.8428407168977039</v>
      </c>
      <c r="H86" s="355">
        <f>('побудинковий звіт'!AS85+'побудинковий звіт'!BQ85)*1.2</f>
        <v>117644.17827679442</v>
      </c>
      <c r="I86" s="343">
        <f>('побудинковий звіт'!AT85+'побудинковий звіт'!BR85)*1.2</f>
        <v>83848.800000000003</v>
      </c>
      <c r="J86" s="343">
        <f t="shared" si="6"/>
        <v>-33795.378276794421</v>
      </c>
      <c r="K86" s="364">
        <f t="shared" si="7"/>
        <v>0.71273225099774751</v>
      </c>
      <c r="L86" s="366">
        <f>'побудинковий звіт'!DE85</f>
        <v>40922.740000000005</v>
      </c>
      <c r="M86" s="373">
        <f>'побудинковий звіт'!DA85*-1</f>
        <v>-121525.39679439904</v>
      </c>
    </row>
    <row r="87" spans="1:13" ht="20.100000000000001" customHeight="1" x14ac:dyDescent="0.3">
      <c r="A87" s="369" t="s">
        <v>536</v>
      </c>
      <c r="B87" s="308" t="s">
        <v>352</v>
      </c>
      <c r="C87" s="370">
        <v>9</v>
      </c>
      <c r="D87" s="360">
        <f>'побудинковий звіт'!CU86</f>
        <v>447519.26107336563</v>
      </c>
      <c r="E87" s="344">
        <f>'побудинковий звіт'!CV86</f>
        <v>587045.95081999328</v>
      </c>
      <c r="F87" s="344">
        <f t="shared" si="4"/>
        <v>139526.68974662764</v>
      </c>
      <c r="G87" s="361">
        <f t="shared" si="5"/>
        <v>1.3117780660702196</v>
      </c>
      <c r="H87" s="355">
        <f>('побудинковий звіт'!AS86+'побудинковий звіт'!BQ86)*1.2</f>
        <v>114560.08460016188</v>
      </c>
      <c r="I87" s="343">
        <f>('побудинковий звіт'!AT86+'побудинковий звіт'!BR86)*1.2</f>
        <v>232722.67055078005</v>
      </c>
      <c r="J87" s="343">
        <f t="shared" si="6"/>
        <v>118162.58595061817</v>
      </c>
      <c r="K87" s="364">
        <f t="shared" si="7"/>
        <v>2.0314463921969836</v>
      </c>
      <c r="L87" s="366">
        <f>'побудинковий звіт'!DE86</f>
        <v>62435.80999999999</v>
      </c>
      <c r="M87" s="374">
        <f>'побудинковий звіт'!DA86*-1</f>
        <v>100717.88859378063</v>
      </c>
    </row>
    <row r="88" spans="1:13" ht="20.100000000000001" customHeight="1" x14ac:dyDescent="0.3">
      <c r="A88" s="369" t="s">
        <v>537</v>
      </c>
      <c r="B88" s="308" t="s">
        <v>76</v>
      </c>
      <c r="C88" s="370">
        <v>1</v>
      </c>
      <c r="D88" s="360">
        <f>'побудинковий звіт'!CU87</f>
        <v>5000.6518895224626</v>
      </c>
      <c r="E88" s="344">
        <f>'побудинковий звіт'!CV87</f>
        <v>2053.2673835075107</v>
      </c>
      <c r="F88" s="344">
        <f t="shared" si="4"/>
        <v>-2947.384506014952</v>
      </c>
      <c r="G88" s="361">
        <f t="shared" si="5"/>
        <v>0.41059994354127849</v>
      </c>
      <c r="H88" s="355">
        <f>('побудинковий звіт'!AS87+'побудинковий звіт'!BQ87)*1.2</f>
        <v>3277.4598106384378</v>
      </c>
      <c r="I88" s="343">
        <f>('побудинковий звіт'!AT87+'побудинковий звіт'!BR87)*1.2</f>
        <v>0</v>
      </c>
      <c r="J88" s="343">
        <f t="shared" si="6"/>
        <v>-3277.4598106384378</v>
      </c>
      <c r="K88" s="364">
        <f t="shared" si="7"/>
        <v>0</v>
      </c>
      <c r="L88" s="366">
        <f>'побудинковий звіт'!DE87</f>
        <v>1334.5</v>
      </c>
      <c r="M88" s="373">
        <f>'побудинковий звіт'!DA87*-1</f>
        <v>-1331.3832214195454</v>
      </c>
    </row>
    <row r="89" spans="1:13" ht="20.100000000000001" customHeight="1" x14ac:dyDescent="0.3">
      <c r="A89" s="369" t="s">
        <v>538</v>
      </c>
      <c r="B89" s="308" t="s">
        <v>353</v>
      </c>
      <c r="C89" s="370">
        <v>9</v>
      </c>
      <c r="D89" s="360">
        <f>'побудинковий звіт'!CU88</f>
        <v>840230.12547851703</v>
      </c>
      <c r="E89" s="344">
        <f>'побудинковий звіт'!CV88</f>
        <v>796389.76516184048</v>
      </c>
      <c r="F89" s="344">
        <f t="shared" si="4"/>
        <v>-43840.360316676553</v>
      </c>
      <c r="G89" s="361">
        <f t="shared" si="5"/>
        <v>0.94782338910818131</v>
      </c>
      <c r="H89" s="355">
        <f>('побудинковий звіт'!AS88+'побудинковий звіт'!BQ88)*1.2</f>
        <v>226187.00130414069</v>
      </c>
      <c r="I89" s="343">
        <f>('побудинковий звіт'!AT88+'побудинковий звіт'!BR88)*1.2</f>
        <v>155097.60433759048</v>
      </c>
      <c r="J89" s="343">
        <f t="shared" si="6"/>
        <v>-71089.396966550208</v>
      </c>
      <c r="K89" s="364">
        <f t="shared" si="7"/>
        <v>0.68570520606106633</v>
      </c>
      <c r="L89" s="366">
        <f>'побудинковий звіт'!DE88</f>
        <v>89591.21</v>
      </c>
      <c r="M89" s="373">
        <f>'побудинковий звіт'!DA88*-1</f>
        <v>56232.094851788781</v>
      </c>
    </row>
    <row r="90" spans="1:13" ht="20.100000000000001" customHeight="1" x14ac:dyDescent="0.3">
      <c r="A90" s="369" t="s">
        <v>539</v>
      </c>
      <c r="B90" s="308" t="s">
        <v>77</v>
      </c>
      <c r="C90" s="370">
        <v>1</v>
      </c>
      <c r="D90" s="360">
        <f>'побудинковий звіт'!CU89</f>
        <v>6206.0751546345982</v>
      </c>
      <c r="E90" s="344">
        <f>'побудинковий звіт'!CV89</f>
        <v>5246.164161111421</v>
      </c>
      <c r="F90" s="344">
        <f t="shared" si="4"/>
        <v>-959.91099352317724</v>
      </c>
      <c r="G90" s="361">
        <f t="shared" si="5"/>
        <v>0.84532720445605125</v>
      </c>
      <c r="H90" s="355">
        <f>('побудинковий звіт'!AS89+'побудинковий звіт'!BQ89)*1.2</f>
        <v>3573.58967591802</v>
      </c>
      <c r="I90" s="343">
        <f>('побудинковий звіт'!AT89+'побудинковий звіт'!BR89)*1.2</f>
        <v>0</v>
      </c>
      <c r="J90" s="343">
        <f t="shared" si="6"/>
        <v>-3573.58967591802</v>
      </c>
      <c r="K90" s="364">
        <f t="shared" si="7"/>
        <v>0</v>
      </c>
      <c r="L90" s="366">
        <f>'побудинковий звіт'!DE89</f>
        <v>146.90000000000009</v>
      </c>
      <c r="M90" s="373">
        <f>'побудинковий звіт'!DA89*-1</f>
        <v>1884.4057294592271</v>
      </c>
    </row>
    <row r="91" spans="1:13" ht="20.100000000000001" customHeight="1" x14ac:dyDescent="0.3">
      <c r="A91" s="369" t="s">
        <v>540</v>
      </c>
      <c r="B91" s="308" t="s">
        <v>255</v>
      </c>
      <c r="C91" s="370">
        <v>5</v>
      </c>
      <c r="D91" s="360">
        <f>'побудинковий звіт'!CU90</f>
        <v>100665.77668466896</v>
      </c>
      <c r="E91" s="344">
        <f>'побудинковий звіт'!CV90</f>
        <v>87113.054570577471</v>
      </c>
      <c r="F91" s="344">
        <f t="shared" si="4"/>
        <v>-13552.722114091492</v>
      </c>
      <c r="G91" s="361">
        <f t="shared" si="5"/>
        <v>0.86536911986935949</v>
      </c>
      <c r="H91" s="355">
        <f>('побудинковий звіт'!AS90+'побудинковий звіт'!BQ90)*1.2</f>
        <v>24415.451373010546</v>
      </c>
      <c r="I91" s="343">
        <f>('побудинковий звіт'!AT90+'побудинковий звіт'!BR90)*1.2</f>
        <v>7827.354657634467</v>
      </c>
      <c r="J91" s="343">
        <f t="shared" si="6"/>
        <v>-16588.096715376079</v>
      </c>
      <c r="K91" s="364">
        <f t="shared" si="7"/>
        <v>0.32059020896443557</v>
      </c>
      <c r="L91" s="366">
        <f>'побудинковий звіт'!DE90</f>
        <v>9233.7800000000007</v>
      </c>
      <c r="M91" s="373">
        <f>'побудинковий звіт'!DA90*-1</f>
        <v>-45324.016641158807</v>
      </c>
    </row>
    <row r="92" spans="1:13" ht="20.100000000000001" customHeight="1" x14ac:dyDescent="0.3">
      <c r="A92" s="369" t="s">
        <v>541</v>
      </c>
      <c r="B92" s="308" t="s">
        <v>354</v>
      </c>
      <c r="C92" s="370">
        <v>9</v>
      </c>
      <c r="D92" s="360">
        <f>'побудинковий звіт'!CU91</f>
        <v>784291.61624947318</v>
      </c>
      <c r="E92" s="344">
        <f>'побудинковий звіт'!CV91</f>
        <v>603723.78728636948</v>
      </c>
      <c r="F92" s="344">
        <f t="shared" si="4"/>
        <v>-180567.8289631037</v>
      </c>
      <c r="G92" s="361">
        <f t="shared" si="5"/>
        <v>0.76976952804036169</v>
      </c>
      <c r="H92" s="355">
        <f>('побудинковий звіт'!AS91+'побудинковий звіт'!BQ91)*1.2</f>
        <v>206735.82394000236</v>
      </c>
      <c r="I92" s="343">
        <f>('побудинковий звіт'!AT91+'побудинковий звіт'!BR91)*1.2</f>
        <v>49433.771704515209</v>
      </c>
      <c r="J92" s="343">
        <f t="shared" si="6"/>
        <v>-157302.05223548715</v>
      </c>
      <c r="K92" s="364">
        <f t="shared" si="7"/>
        <v>0.23911565379622635</v>
      </c>
      <c r="L92" s="366">
        <f>'побудинковий звіт'!DE91</f>
        <v>54984.31</v>
      </c>
      <c r="M92" s="373">
        <f>'побудинковий звіт'!DA91*-1</f>
        <v>37444.844383878692</v>
      </c>
    </row>
    <row r="93" spans="1:13" ht="20.100000000000001" customHeight="1" x14ac:dyDescent="0.3">
      <c r="A93" s="369" t="s">
        <v>542</v>
      </c>
      <c r="B93" s="308" t="s">
        <v>355</v>
      </c>
      <c r="C93" s="370">
        <v>9</v>
      </c>
      <c r="D93" s="360">
        <f>'побудинковий звіт'!CU92</f>
        <v>344203.31164390891</v>
      </c>
      <c r="E93" s="344">
        <f>'побудинковий звіт'!CV92</f>
        <v>269362.72092401271</v>
      </c>
      <c r="F93" s="344">
        <f t="shared" si="4"/>
        <v>-74840.590719896194</v>
      </c>
      <c r="G93" s="361">
        <f t="shared" si="5"/>
        <v>0.78256865001542586</v>
      </c>
      <c r="H93" s="355">
        <f>('побудинковий звіт'!AS92+'побудинковий звіт'!BQ92)*1.2</f>
        <v>80101.42899089375</v>
      </c>
      <c r="I93" s="343">
        <f>('побудинковий звіт'!AT92+'побудинковий звіт'!BR92)*1.2</f>
        <v>49304.650905570248</v>
      </c>
      <c r="J93" s="343">
        <f t="shared" si="6"/>
        <v>-30796.778085323502</v>
      </c>
      <c r="K93" s="364">
        <f t="shared" si="7"/>
        <v>0.61552773186075616</v>
      </c>
      <c r="L93" s="366">
        <f>'побудинковий звіт'!DE92</f>
        <v>77761.58</v>
      </c>
      <c r="M93" s="373">
        <f>'побудинковий звіт'!DA92*-1</f>
        <v>71004.461368239907</v>
      </c>
    </row>
    <row r="94" spans="1:13" ht="20.100000000000001" customHeight="1" x14ac:dyDescent="0.3">
      <c r="A94" s="369" t="s">
        <v>543</v>
      </c>
      <c r="B94" s="308" t="s">
        <v>356</v>
      </c>
      <c r="C94" s="370">
        <v>9</v>
      </c>
      <c r="D94" s="360">
        <f>'побудинковий звіт'!CU93</f>
        <v>361356.13479987258</v>
      </c>
      <c r="E94" s="344">
        <f>'побудинковий звіт'!CV93</f>
        <v>494590.95129811659</v>
      </c>
      <c r="F94" s="344">
        <f t="shared" si="4"/>
        <v>133234.81649824401</v>
      </c>
      <c r="G94" s="361">
        <f t="shared" si="5"/>
        <v>1.3687077751482828</v>
      </c>
      <c r="H94" s="355">
        <f>('побудинковий звіт'!AS93+'побудинковий звіт'!BQ93)*1.2</f>
        <v>91002.099057551823</v>
      </c>
      <c r="I94" s="343">
        <f>('побудинковий звіт'!AT93+'побудинковий звіт'!BR93)*1.2</f>
        <v>251528.8266068981</v>
      </c>
      <c r="J94" s="343">
        <f t="shared" si="6"/>
        <v>160526.72754934628</v>
      </c>
      <c r="K94" s="364">
        <f t="shared" si="7"/>
        <v>2.7639892838936109</v>
      </c>
      <c r="L94" s="366">
        <f>'побудинковий звіт'!DE93</f>
        <v>41893.689999999995</v>
      </c>
      <c r="M94" s="373">
        <f>'побудинковий звіт'!DA93*-1</f>
        <v>-94249.364086059155</v>
      </c>
    </row>
    <row r="95" spans="1:13" ht="20.100000000000001" customHeight="1" x14ac:dyDescent="0.3">
      <c r="A95" s="369" t="s">
        <v>544</v>
      </c>
      <c r="B95" s="308" t="s">
        <v>415</v>
      </c>
      <c r="C95" s="370">
        <v>10</v>
      </c>
      <c r="D95" s="360">
        <f>'побудинковий звіт'!CU94</f>
        <v>412599.24620557745</v>
      </c>
      <c r="E95" s="344">
        <f>'побудинковий звіт'!CV94</f>
        <v>334098.49880121386</v>
      </c>
      <c r="F95" s="344">
        <f t="shared" si="4"/>
        <v>-78500.747404363588</v>
      </c>
      <c r="G95" s="361">
        <f t="shared" si="5"/>
        <v>0.80974093354196142</v>
      </c>
      <c r="H95" s="355">
        <f>('побудинковий звіт'!AS94+'побудинковий звіт'!BQ94)*1.2</f>
        <v>94176.683837137462</v>
      </c>
      <c r="I95" s="343">
        <f>('побудинковий звіт'!AT94+'побудинковий звіт'!BR94)*1.2</f>
        <v>45419.015897571699</v>
      </c>
      <c r="J95" s="343">
        <f t="shared" si="6"/>
        <v>-48757.667939565763</v>
      </c>
      <c r="K95" s="364">
        <f t="shared" si="7"/>
        <v>0.48227452960773343</v>
      </c>
      <c r="L95" s="366">
        <f>'побудинковий звіт'!DE94</f>
        <v>33671.53</v>
      </c>
      <c r="M95" s="373">
        <f>'побудинковий звіт'!DA94*-1</f>
        <v>84787.378935065775</v>
      </c>
    </row>
    <row r="96" spans="1:13" ht="20.100000000000001" customHeight="1" x14ac:dyDescent="0.3">
      <c r="A96" s="369" t="s">
        <v>545</v>
      </c>
      <c r="B96" s="308" t="s">
        <v>357</v>
      </c>
      <c r="C96" s="370">
        <v>9</v>
      </c>
      <c r="D96" s="360">
        <f>'побудинковий звіт'!CU95</f>
        <v>852677.53692326962</v>
      </c>
      <c r="E96" s="344">
        <f>'побудинковий звіт'!CV95</f>
        <v>790238.88018839445</v>
      </c>
      <c r="F96" s="344">
        <f t="shared" si="4"/>
        <v>-62438.656734875171</v>
      </c>
      <c r="G96" s="361">
        <f t="shared" si="5"/>
        <v>0.9267734236788111</v>
      </c>
      <c r="H96" s="355">
        <f>('побудинковий звіт'!AS95+'побудинковий звіт'!BQ95)*1.2</f>
        <v>237650.13209950202</v>
      </c>
      <c r="I96" s="343">
        <f>('побудинковий звіт'!AT95+'побудинковий звіт'!BR95)*1.2</f>
        <v>163118.05311075639</v>
      </c>
      <c r="J96" s="343">
        <f t="shared" si="6"/>
        <v>-74532.078988745634</v>
      </c>
      <c r="K96" s="364">
        <f t="shared" si="7"/>
        <v>0.68637897092546241</v>
      </c>
      <c r="L96" s="366">
        <f>'побудинковий звіт'!DE95</f>
        <v>116321.20999999999</v>
      </c>
      <c r="M96" s="374">
        <f>'побудинковий звіт'!DA95*-1</f>
        <v>49517.035008973646</v>
      </c>
    </row>
    <row r="97" spans="1:13" ht="20.100000000000001" customHeight="1" x14ac:dyDescent="0.3">
      <c r="A97" s="369" t="s">
        <v>546</v>
      </c>
      <c r="B97" s="308" t="s">
        <v>358</v>
      </c>
      <c r="C97" s="370">
        <v>9</v>
      </c>
      <c r="D97" s="360">
        <f>'побудинковий звіт'!CU96</f>
        <v>621746.32684752834</v>
      </c>
      <c r="E97" s="344">
        <f>'побудинковий звіт'!CV96</f>
        <v>546824.29577560432</v>
      </c>
      <c r="F97" s="344">
        <f t="shared" si="4"/>
        <v>-74922.031071924022</v>
      </c>
      <c r="G97" s="361">
        <f t="shared" si="5"/>
        <v>0.87949742871533321</v>
      </c>
      <c r="H97" s="355">
        <f>('побудинковий звіт'!AS96+'побудинковий звіт'!BQ96)*1.2</f>
        <v>164246.88917268286</v>
      </c>
      <c r="I97" s="343">
        <f>('побудинковий звіт'!AT96+'побудинковий звіт'!BR96)*1.2</f>
        <v>90651.327533805335</v>
      </c>
      <c r="J97" s="343">
        <f t="shared" si="6"/>
        <v>-73595.561638877523</v>
      </c>
      <c r="K97" s="364">
        <f t="shared" si="7"/>
        <v>0.55192112307526275</v>
      </c>
      <c r="L97" s="366">
        <f>'побудинковий звіт'!DE96</f>
        <v>129769.81</v>
      </c>
      <c r="M97" s="373">
        <f>'побудинковий звіт'!DA96*-1</f>
        <v>98323.282561915737</v>
      </c>
    </row>
    <row r="98" spans="1:13" ht="20.100000000000001" customHeight="1" x14ac:dyDescent="0.3">
      <c r="A98" s="369" t="s">
        <v>547</v>
      </c>
      <c r="B98" s="308" t="s">
        <v>153</v>
      </c>
      <c r="C98" s="370">
        <v>2</v>
      </c>
      <c r="D98" s="360">
        <f>'побудинковий звіт'!CU97</f>
        <v>34927.606475010318</v>
      </c>
      <c r="E98" s="344">
        <f>'побудинковий звіт'!CV97</f>
        <v>55206.094892670066</v>
      </c>
      <c r="F98" s="344">
        <f t="shared" si="4"/>
        <v>20278.488417659748</v>
      </c>
      <c r="G98" s="361">
        <f t="shared" si="5"/>
        <v>1.5805862601025471</v>
      </c>
      <c r="H98" s="355">
        <f>('побудинковий звіт'!AS97+'побудинковий звіт'!BQ97)*1.2</f>
        <v>10114.015320788827</v>
      </c>
      <c r="I98" s="343">
        <f>('побудинковий звіт'!AT97+'побудинковий звіт'!BR97)*1.2</f>
        <v>24036</v>
      </c>
      <c r="J98" s="343">
        <f t="shared" si="6"/>
        <v>13921.984679211173</v>
      </c>
      <c r="K98" s="364">
        <f t="shared" si="7"/>
        <v>2.3765042110026533</v>
      </c>
      <c r="L98" s="366">
        <f>'побудинковий звіт'!DE97</f>
        <v>15329.099999999999</v>
      </c>
      <c r="M98" s="373">
        <f>'побудинковий звіт'!DA97*-1</f>
        <v>-25405.171801724864</v>
      </c>
    </row>
    <row r="99" spans="1:13" ht="20.100000000000001" customHeight="1" x14ac:dyDescent="0.3">
      <c r="A99" s="369" t="s">
        <v>548</v>
      </c>
      <c r="B99" s="308" t="s">
        <v>208</v>
      </c>
      <c r="C99" s="370">
        <v>4</v>
      </c>
      <c r="D99" s="360">
        <f>'побудинковий звіт'!CU98</f>
        <v>148427.44131901991</v>
      </c>
      <c r="E99" s="344">
        <f>'побудинковий звіт'!CV98</f>
        <v>191743.46659250816</v>
      </c>
      <c r="F99" s="344">
        <f t="shared" si="4"/>
        <v>43316.025273488252</v>
      </c>
      <c r="G99" s="361">
        <f t="shared" si="5"/>
        <v>1.2918329985921384</v>
      </c>
      <c r="H99" s="355">
        <f>('побудинковий звіт'!AS98+'побудинковий звіт'!BQ98)*1.2</f>
        <v>62896.84753898043</v>
      </c>
      <c r="I99" s="343">
        <f>('побудинковий звіт'!AT98+'побудинковий звіт'!BR98)*1.2</f>
        <v>101906.4</v>
      </c>
      <c r="J99" s="343">
        <f t="shared" si="6"/>
        <v>39009.552461019564</v>
      </c>
      <c r="K99" s="364">
        <f t="shared" si="7"/>
        <v>1.6202147482327047</v>
      </c>
      <c r="L99" s="366">
        <f>'побудинковий звіт'!DE98</f>
        <v>-97.979999999999563</v>
      </c>
      <c r="M99" s="373">
        <f>'побудинковий звіт'!DA98*-1</f>
        <v>107941.28323284417</v>
      </c>
    </row>
    <row r="100" spans="1:13" ht="20.100000000000001" customHeight="1" x14ac:dyDescent="0.3">
      <c r="A100" s="369" t="s">
        <v>549</v>
      </c>
      <c r="B100" s="308" t="s">
        <v>154</v>
      </c>
      <c r="C100" s="370">
        <v>2</v>
      </c>
      <c r="D100" s="360">
        <f>'побудинковий звіт'!CU99</f>
        <v>31870.409641520611</v>
      </c>
      <c r="E100" s="344">
        <f>'побудинковий звіт'!CV99</f>
        <v>48306.121252855461</v>
      </c>
      <c r="F100" s="344">
        <f t="shared" si="4"/>
        <v>16435.711611334849</v>
      </c>
      <c r="G100" s="361">
        <f t="shared" si="5"/>
        <v>1.515704435437268</v>
      </c>
      <c r="H100" s="355">
        <f>('побудинковий звіт'!AS99+'побудинковий звіт'!BQ99)*1.2</f>
        <v>7024.3233974811592</v>
      </c>
      <c r="I100" s="343">
        <f>('побудинковий звіт'!AT99+'побудинковий звіт'!BR99)*1.2</f>
        <v>20810.399999999998</v>
      </c>
      <c r="J100" s="343">
        <f t="shared" si="6"/>
        <v>13786.076602518839</v>
      </c>
      <c r="K100" s="364">
        <f t="shared" si="7"/>
        <v>2.9626198599373095</v>
      </c>
      <c r="L100" s="366">
        <f>'побудинковий звіт'!DE99</f>
        <v>16388.259999999998</v>
      </c>
      <c r="M100" s="373">
        <f>'побудинковий звіт'!DA99*-1</f>
        <v>-66331.503393820341</v>
      </c>
    </row>
    <row r="101" spans="1:13" ht="20.100000000000001" customHeight="1" x14ac:dyDescent="0.3">
      <c r="A101" s="369" t="s">
        <v>550</v>
      </c>
      <c r="B101" s="308" t="s">
        <v>155</v>
      </c>
      <c r="C101" s="370">
        <v>2</v>
      </c>
      <c r="D101" s="360">
        <f>'побудинковий звіт'!CU100</f>
        <v>28648.436783669938</v>
      </c>
      <c r="E101" s="344">
        <f>'побудинковий звіт'!CV100</f>
        <v>45741.077747460316</v>
      </c>
      <c r="F101" s="344">
        <f t="shared" si="4"/>
        <v>17092.640963790378</v>
      </c>
      <c r="G101" s="361">
        <f t="shared" si="5"/>
        <v>1.5966343327163126</v>
      </c>
      <c r="H101" s="355">
        <f>('побудинковий звіт'!AS100+'побудинковий звіт'!BQ100)*1.2</f>
        <v>8487.0988467231673</v>
      </c>
      <c r="I101" s="343">
        <f>('побудинковий звіт'!AT100+'побудинковий звіт'!BR100)*1.2</f>
        <v>23058</v>
      </c>
      <c r="J101" s="343">
        <f t="shared" si="6"/>
        <v>14570.901153276833</v>
      </c>
      <c r="K101" s="364">
        <f t="shared" si="7"/>
        <v>2.7168294391790422</v>
      </c>
      <c r="L101" s="366">
        <f>'побудинковий звіт'!DE100</f>
        <v>29982.880000000001</v>
      </c>
      <c r="M101" s="373">
        <f>'побудинковий звіт'!DA100*-1</f>
        <v>-34474.527765993844</v>
      </c>
    </row>
    <row r="102" spans="1:13" ht="20.100000000000001" customHeight="1" x14ac:dyDescent="0.3">
      <c r="A102" s="369" t="s">
        <v>551</v>
      </c>
      <c r="B102" s="308" t="s">
        <v>156</v>
      </c>
      <c r="C102" s="370">
        <v>2</v>
      </c>
      <c r="D102" s="360">
        <f>'побудинковий звіт'!CU101</f>
        <v>58829.165101181352</v>
      </c>
      <c r="E102" s="344">
        <f>'побудинковий звіт'!CV101</f>
        <v>60449.804076463668</v>
      </c>
      <c r="F102" s="344">
        <f t="shared" si="4"/>
        <v>1620.6389752823161</v>
      </c>
      <c r="G102" s="361">
        <f t="shared" si="5"/>
        <v>1.0275482232748834</v>
      </c>
      <c r="H102" s="355">
        <f>('побудинковий звіт'!AS101+'побудинковий звіт'!BQ101)*1.2</f>
        <v>18727.856961897785</v>
      </c>
      <c r="I102" s="343">
        <f>('побудинковий звіт'!AT101+'побудинковий звіт'!BR101)*1.2</f>
        <v>17758.8</v>
      </c>
      <c r="J102" s="343">
        <f t="shared" si="6"/>
        <v>-969.0569618977861</v>
      </c>
      <c r="K102" s="364">
        <f t="shared" si="7"/>
        <v>0.94825585416049729</v>
      </c>
      <c r="L102" s="366">
        <f>'побудинковий звіт'!DE101</f>
        <v>16721.11</v>
      </c>
      <c r="M102" s="373">
        <f>'побудинковий звіт'!DA101*-1</f>
        <v>8443.9531494818912</v>
      </c>
    </row>
    <row r="103" spans="1:13" ht="20.100000000000001" customHeight="1" x14ac:dyDescent="0.3">
      <c r="A103" s="369" t="s">
        <v>552</v>
      </c>
      <c r="B103" s="308" t="s">
        <v>157</v>
      </c>
      <c r="C103" s="370">
        <v>2</v>
      </c>
      <c r="D103" s="360">
        <f>'побудинковий звіт'!CU102</f>
        <v>69296.55027458939</v>
      </c>
      <c r="E103" s="344">
        <f>'побудинковий звіт'!CV102</f>
        <v>57743.866610398203</v>
      </c>
      <c r="F103" s="344">
        <f t="shared" si="4"/>
        <v>-11552.683664191187</v>
      </c>
      <c r="G103" s="361">
        <f t="shared" si="5"/>
        <v>0.8332863090815722</v>
      </c>
      <c r="H103" s="355">
        <f>('побудинковий звіт'!AS102+'побудинковий звіт'!BQ102)*1.2</f>
        <v>16217.44592946316</v>
      </c>
      <c r="I103" s="343">
        <f>('побудинковий звіт'!AT102+'побудинковий звіт'!BR102)*1.2</f>
        <v>1980</v>
      </c>
      <c r="J103" s="343">
        <f t="shared" si="6"/>
        <v>-14237.44592946316</v>
      </c>
      <c r="K103" s="364">
        <f t="shared" si="7"/>
        <v>0.12209074157619487</v>
      </c>
      <c r="L103" s="366">
        <f>'побудинковий звіт'!DE102</f>
        <v>4972.5399999999991</v>
      </c>
      <c r="M103" s="373">
        <f>'побудинковий звіт'!DA102*-1</f>
        <v>11729.871099745691</v>
      </c>
    </row>
    <row r="104" spans="1:13" ht="20.100000000000001" customHeight="1" x14ac:dyDescent="0.3">
      <c r="A104" s="369" t="s">
        <v>553</v>
      </c>
      <c r="B104" s="308" t="s">
        <v>158</v>
      </c>
      <c r="C104" s="370">
        <v>2</v>
      </c>
      <c r="D104" s="360">
        <f>'побудинковий звіт'!CU103</f>
        <v>46805.099799421259</v>
      </c>
      <c r="E104" s="344">
        <f>'побудинковий звіт'!CV103</f>
        <v>38255.711619744958</v>
      </c>
      <c r="F104" s="344">
        <f t="shared" si="4"/>
        <v>-8549.3881796763017</v>
      </c>
      <c r="G104" s="361">
        <f t="shared" si="5"/>
        <v>0.81734066979209785</v>
      </c>
      <c r="H104" s="355">
        <f>('побудинковий звіт'!AS103+'побудинковий звіт'!BQ103)*1.2</f>
        <v>12478.119599197735</v>
      </c>
      <c r="I104" s="343">
        <f>('побудинковий звіт'!AT103+'побудинковий звіт'!BR103)*1.2</f>
        <v>1291.2</v>
      </c>
      <c r="J104" s="343">
        <f t="shared" si="6"/>
        <v>-11186.919599197734</v>
      </c>
      <c r="K104" s="364">
        <f t="shared" si="7"/>
        <v>0.10347712968571131</v>
      </c>
      <c r="L104" s="366">
        <f>'побудинковий звіт'!DE103</f>
        <v>20847.05</v>
      </c>
      <c r="M104" s="373">
        <f>'побудинковий звіт'!DA103*-1</f>
        <v>42310.394946886823</v>
      </c>
    </row>
    <row r="105" spans="1:13" ht="20.100000000000001" customHeight="1" x14ac:dyDescent="0.3">
      <c r="A105" s="369" t="s">
        <v>554</v>
      </c>
      <c r="B105" s="308" t="s">
        <v>159</v>
      </c>
      <c r="C105" s="370">
        <v>2</v>
      </c>
      <c r="D105" s="360">
        <f>'побудинковий звіт'!CU104</f>
        <v>34897.862503019664</v>
      </c>
      <c r="E105" s="344">
        <f>'побудинковий звіт'!CV104</f>
        <v>36149.452681612762</v>
      </c>
      <c r="F105" s="344">
        <f t="shared" si="4"/>
        <v>1251.5901785930982</v>
      </c>
      <c r="G105" s="361">
        <f t="shared" si="5"/>
        <v>1.0358643793293874</v>
      </c>
      <c r="H105" s="355">
        <f>('побудинковий звіт'!AS104+'побудинковий звіт'!BQ104)*1.2</f>
        <v>10913.530971977525</v>
      </c>
      <c r="I105" s="343">
        <f>('побудинковий звіт'!AT104+'побудинковий звіт'!BR104)*1.2</f>
        <v>6445.2</v>
      </c>
      <c r="J105" s="343">
        <f t="shared" si="6"/>
        <v>-4468.3309719775252</v>
      </c>
      <c r="K105" s="364">
        <f t="shared" si="7"/>
        <v>0.5905696347542535</v>
      </c>
      <c r="L105" s="366">
        <f>'побудинковий звіт'!DE104</f>
        <v>12866.07</v>
      </c>
      <c r="M105" s="373">
        <f>'побудинковий звіт'!DA104*-1</f>
        <v>-13082.537597230021</v>
      </c>
    </row>
    <row r="106" spans="1:13" ht="20.100000000000001" customHeight="1" x14ac:dyDescent="0.3">
      <c r="A106" s="369" t="s">
        <v>555</v>
      </c>
      <c r="B106" s="308" t="s">
        <v>160</v>
      </c>
      <c r="C106" s="370">
        <v>2</v>
      </c>
      <c r="D106" s="360">
        <f>'побудинковий звіт'!CU105</f>
        <v>33797.94319816686</v>
      </c>
      <c r="E106" s="344">
        <f>'побудинковий звіт'!CV105</f>
        <v>56695.948608190702</v>
      </c>
      <c r="F106" s="344">
        <f t="shared" si="4"/>
        <v>22898.005410023841</v>
      </c>
      <c r="G106" s="361">
        <f t="shared" si="5"/>
        <v>1.6774970084944634</v>
      </c>
      <c r="H106" s="355">
        <f>('побудинковий звіт'!AS105+'побудинковий звіт'!BQ105)*1.2</f>
        <v>10414.184575188705</v>
      </c>
      <c r="I106" s="343">
        <f>('побудинковий звіт'!AT105+'побудинковий звіт'!BR105)*1.2</f>
        <v>27746.399999999998</v>
      </c>
      <c r="J106" s="343">
        <f t="shared" si="6"/>
        <v>17332.215424811293</v>
      </c>
      <c r="K106" s="364">
        <f t="shared" si="7"/>
        <v>2.6642892489253995</v>
      </c>
      <c r="L106" s="366">
        <f>'побудинковий звіт'!DE105</f>
        <v>7012.8</v>
      </c>
      <c r="M106" s="373">
        <f>'побудинковий звіт'!DA105*-1</f>
        <v>-32729.783903731695</v>
      </c>
    </row>
    <row r="107" spans="1:13" ht="20.100000000000001" customHeight="1" x14ac:dyDescent="0.3">
      <c r="A107" s="369" t="s">
        <v>556</v>
      </c>
      <c r="B107" s="308" t="s">
        <v>195</v>
      </c>
      <c r="C107" s="370">
        <v>3</v>
      </c>
      <c r="D107" s="360">
        <f>'побудинковий звіт'!CU106</f>
        <v>75736.700232018062</v>
      </c>
      <c r="E107" s="344">
        <f>'побудинковий звіт'!CV106</f>
        <v>70880.511826716465</v>
      </c>
      <c r="F107" s="344">
        <f t="shared" si="4"/>
        <v>-4856.1884053015965</v>
      </c>
      <c r="G107" s="361">
        <f t="shared" si="5"/>
        <v>0.93588064451679642</v>
      </c>
      <c r="H107" s="355">
        <f>('побудинковий звіт'!AS106+'побудинковий звіт'!BQ106)*1.2</f>
        <v>17389.799218585882</v>
      </c>
      <c r="I107" s="343">
        <f>('побудинковий звіт'!AT106+'побудинковий звіт'!BR106)*1.2</f>
        <v>6626.4</v>
      </c>
      <c r="J107" s="343">
        <f t="shared" si="6"/>
        <v>-10763.399218585882</v>
      </c>
      <c r="K107" s="364">
        <f t="shared" si="7"/>
        <v>0.38105097803071991</v>
      </c>
      <c r="L107" s="366">
        <f>'побудинковий звіт'!DE106</f>
        <v>4468.76</v>
      </c>
      <c r="M107" s="373">
        <f>'побудинковий звіт'!DA106*-1</f>
        <v>-15473.544576400389</v>
      </c>
    </row>
    <row r="108" spans="1:13" ht="20.100000000000001" customHeight="1" x14ac:dyDescent="0.3">
      <c r="A108" s="369" t="s">
        <v>557</v>
      </c>
      <c r="B108" s="308" t="s">
        <v>209</v>
      </c>
      <c r="C108" s="370">
        <v>4</v>
      </c>
      <c r="D108" s="360">
        <f>'побудинковий звіт'!CU107</f>
        <v>98575.671096207749</v>
      </c>
      <c r="E108" s="344">
        <f>'побудинковий звіт'!CV107</f>
        <v>164821.37308795552</v>
      </c>
      <c r="F108" s="344">
        <f t="shared" si="4"/>
        <v>66245.701991747774</v>
      </c>
      <c r="G108" s="361">
        <f t="shared" si="5"/>
        <v>1.6720289220967453</v>
      </c>
      <c r="H108" s="355">
        <f>('побудинковий звіт'!AS107+'побудинковий звіт'!BQ107)*1.2</f>
        <v>26868.471599912886</v>
      </c>
      <c r="I108" s="343">
        <f>('побудинковий звіт'!AT107+'побудинковий звіт'!BR107)*1.2</f>
        <v>84344.4</v>
      </c>
      <c r="J108" s="343">
        <f t="shared" si="6"/>
        <v>57475.928400087112</v>
      </c>
      <c r="K108" s="364">
        <f t="shared" si="7"/>
        <v>3.139158834783645</v>
      </c>
      <c r="L108" s="366">
        <f>'побудинковий звіт'!DE107</f>
        <v>471.13000000000102</v>
      </c>
      <c r="M108" s="373">
        <f>'побудинковий звіт'!DA107*-1</f>
        <v>-58646.890652083603</v>
      </c>
    </row>
    <row r="109" spans="1:13" ht="20.100000000000001" customHeight="1" x14ac:dyDescent="0.3">
      <c r="A109" s="369" t="s">
        <v>558</v>
      </c>
      <c r="B109" s="308" t="s">
        <v>161</v>
      </c>
      <c r="C109" s="370">
        <v>2</v>
      </c>
      <c r="D109" s="360">
        <f>'побудинковий звіт'!CU108</f>
        <v>38792.148542493043</v>
      </c>
      <c r="E109" s="344">
        <f>'побудинковий звіт'!CV108</f>
        <v>26081.021865868603</v>
      </c>
      <c r="F109" s="344">
        <f t="shared" si="4"/>
        <v>-12711.126676624441</v>
      </c>
      <c r="G109" s="361">
        <f t="shared" si="5"/>
        <v>0.67232733544777412</v>
      </c>
      <c r="H109" s="355">
        <f>('побудинковий звіт'!AS108+'побудинковий звіт'!BQ108)*1.2</f>
        <v>13953.810885547549</v>
      </c>
      <c r="I109" s="343">
        <f>('побудинковий звіт'!AT108+'побудинковий звіт'!BR108)*1.2</f>
        <v>340.8</v>
      </c>
      <c r="J109" s="343">
        <f t="shared" si="6"/>
        <v>-13613.01088554755</v>
      </c>
      <c r="K109" s="364">
        <f t="shared" si="7"/>
        <v>2.4423435489797165E-2</v>
      </c>
      <c r="L109" s="366">
        <f>'побудинковий звіт'!DE108</f>
        <v>393.40999999999985</v>
      </c>
      <c r="M109" s="373">
        <f>'побудинковий звіт'!DA108*-1</f>
        <v>-14679.601441295152</v>
      </c>
    </row>
    <row r="110" spans="1:13" ht="20.100000000000001" customHeight="1" x14ac:dyDescent="0.3">
      <c r="A110" s="369" t="s">
        <v>559</v>
      </c>
      <c r="B110" s="308" t="s">
        <v>210</v>
      </c>
      <c r="C110" s="370">
        <v>4</v>
      </c>
      <c r="D110" s="360">
        <f>'побудинковий звіт'!CU109</f>
        <v>99900.231387896041</v>
      </c>
      <c r="E110" s="344">
        <f>'побудинковий звіт'!CV109</f>
        <v>83713.071532677626</v>
      </c>
      <c r="F110" s="344">
        <f t="shared" si="4"/>
        <v>-16187.159855218415</v>
      </c>
      <c r="G110" s="361">
        <f t="shared" si="5"/>
        <v>0.83796674311627617</v>
      </c>
      <c r="H110" s="355">
        <f>('побудинковий звіт'!AS109+'побудинковий звіт'!BQ109)*1.2</f>
        <v>22180.301926212622</v>
      </c>
      <c r="I110" s="343">
        <f>('побудинковий звіт'!AT109+'побудинковий звіт'!BR109)*1.2</f>
        <v>492</v>
      </c>
      <c r="J110" s="343">
        <f t="shared" si="6"/>
        <v>-21688.301926212622</v>
      </c>
      <c r="K110" s="364">
        <f t="shared" si="7"/>
        <v>2.2181844126231469E-2</v>
      </c>
      <c r="L110" s="366">
        <f>'побудинковий звіт'!DE109</f>
        <v>13789.36</v>
      </c>
      <c r="M110" s="373">
        <f>'побудинковий звіт'!DA109*-1</f>
        <v>-17837.158569431322</v>
      </c>
    </row>
    <row r="111" spans="1:13" ht="20.100000000000001" customHeight="1" x14ac:dyDescent="0.3">
      <c r="A111" s="369" t="s">
        <v>560</v>
      </c>
      <c r="B111" s="308" t="s">
        <v>162</v>
      </c>
      <c r="C111" s="370">
        <v>2</v>
      </c>
      <c r="D111" s="360">
        <f>'побудинковий звіт'!CU110</f>
        <v>42872.680025517802</v>
      </c>
      <c r="E111" s="344">
        <f>'побудинковий звіт'!CV110</f>
        <v>31891.86712001585</v>
      </c>
      <c r="F111" s="344">
        <f t="shared" si="4"/>
        <v>-10980.812905501953</v>
      </c>
      <c r="G111" s="361">
        <f t="shared" si="5"/>
        <v>0.74387388661109644</v>
      </c>
      <c r="H111" s="355">
        <f>('побудинковий звіт'!AS110+'побудинковий звіт'!BQ110)*1.2</f>
        <v>13591.679733795707</v>
      </c>
      <c r="I111" s="343">
        <f>('побудинковий звіт'!AT110+'побудинковий звіт'!BR110)*1.2</f>
        <v>1230.2391746420715</v>
      </c>
      <c r="J111" s="343">
        <f t="shared" si="6"/>
        <v>-12361.440559153636</v>
      </c>
      <c r="K111" s="364">
        <f t="shared" si="7"/>
        <v>9.0514137968030706E-2</v>
      </c>
      <c r="L111" s="366">
        <f>'побудинковий звіт'!DE110</f>
        <v>920.67000000000007</v>
      </c>
      <c r="M111" s="373">
        <f>'побудинковий звіт'!DA110*-1</f>
        <v>-18513.603297004007</v>
      </c>
    </row>
    <row r="112" spans="1:13" ht="20.100000000000001" customHeight="1" x14ac:dyDescent="0.3">
      <c r="A112" s="369" t="s">
        <v>561</v>
      </c>
      <c r="B112" s="308" t="s">
        <v>256</v>
      </c>
      <c r="C112" s="370">
        <v>5</v>
      </c>
      <c r="D112" s="360">
        <f>'побудинковий звіт'!CU111</f>
        <v>194896.40998721385</v>
      </c>
      <c r="E112" s="344">
        <f>'побудинковий звіт'!CV111</f>
        <v>256782.11376058692</v>
      </c>
      <c r="F112" s="344">
        <f t="shared" si="4"/>
        <v>61885.703773373069</v>
      </c>
      <c r="G112" s="361">
        <f t="shared" si="5"/>
        <v>1.3175312658526295</v>
      </c>
      <c r="H112" s="355">
        <f>('побудинковий звіт'!AS111+'побудинковий звіт'!BQ111)*1.2</f>
        <v>32382.087771161121</v>
      </c>
      <c r="I112" s="343">
        <f>('побудинковий звіт'!AT111+'побудинковий звіт'!BR111)*1.2</f>
        <v>79573.402270630831</v>
      </c>
      <c r="J112" s="343">
        <f t="shared" si="6"/>
        <v>47191.314499469707</v>
      </c>
      <c r="K112" s="364">
        <f t="shared" si="7"/>
        <v>2.4573277310889572</v>
      </c>
      <c r="L112" s="366">
        <f>'побудинковий звіт'!DE111</f>
        <v>57075.76</v>
      </c>
      <c r="M112" s="373">
        <f>'побудинковий звіт'!DA111*-1</f>
        <v>13691.812068809828</v>
      </c>
    </row>
    <row r="113" spans="1:13" ht="20.100000000000001" customHeight="1" x14ac:dyDescent="0.3">
      <c r="A113" s="369" t="s">
        <v>562</v>
      </c>
      <c r="B113" s="308" t="s">
        <v>257</v>
      </c>
      <c r="C113" s="370">
        <v>5</v>
      </c>
      <c r="D113" s="360">
        <f>'побудинковий звіт'!CU112</f>
        <v>105389.70247125563</v>
      </c>
      <c r="E113" s="344">
        <f>'побудинковий звіт'!CV112</f>
        <v>87292.705505178077</v>
      </c>
      <c r="F113" s="344">
        <f t="shared" si="4"/>
        <v>-18096.996966077553</v>
      </c>
      <c r="G113" s="361">
        <f t="shared" si="5"/>
        <v>0.82828496008883412</v>
      </c>
      <c r="H113" s="355">
        <f>('побудинковий звіт'!AS112+'побудинковий звіт'!BQ112)*1.2</f>
        <v>29323.364059404212</v>
      </c>
      <c r="I113" s="343">
        <f>('побудинковий звіт'!AT112+'побудинковий звіт'!BR112)*1.2</f>
        <v>5308.4532137962406</v>
      </c>
      <c r="J113" s="343">
        <f t="shared" si="6"/>
        <v>-24014.91084560797</v>
      </c>
      <c r="K113" s="364">
        <f t="shared" si="7"/>
        <v>0.18103152158948085</v>
      </c>
      <c r="L113" s="366">
        <f>'побудинковий звіт'!DE112</f>
        <v>34701.270000000004</v>
      </c>
      <c r="M113" s="373">
        <f>'побудинковий звіт'!DA112*-1</f>
        <v>5311.5760233568471</v>
      </c>
    </row>
    <row r="114" spans="1:13" ht="20.100000000000001" customHeight="1" x14ac:dyDescent="0.3">
      <c r="A114" s="369" t="s">
        <v>563</v>
      </c>
      <c r="B114" s="308" t="s">
        <v>416</v>
      </c>
      <c r="C114" s="370">
        <v>10</v>
      </c>
      <c r="D114" s="360">
        <f>'побудинковий звіт'!CU113</f>
        <v>213119.81096538863</v>
      </c>
      <c r="E114" s="344">
        <f>'побудинковий звіт'!CV113</f>
        <v>308000.71261291159</v>
      </c>
      <c r="F114" s="344">
        <f t="shared" si="4"/>
        <v>94880.901647522958</v>
      </c>
      <c r="G114" s="361">
        <f t="shared" si="5"/>
        <v>1.4451998207849948</v>
      </c>
      <c r="H114" s="355">
        <f>('побудинковий звіт'!AS113+'побудинковий звіт'!BQ113)*1.2</f>
        <v>51771.665219076851</v>
      </c>
      <c r="I114" s="343">
        <f>('побудинковий звіт'!AT113+'побудинковий звіт'!BR113)*1.2</f>
        <v>137048.4</v>
      </c>
      <c r="J114" s="343">
        <f t="shared" si="6"/>
        <v>85276.734780923143</v>
      </c>
      <c r="K114" s="364">
        <f t="shared" si="7"/>
        <v>2.6471700189682199</v>
      </c>
      <c r="L114" s="366">
        <f>'побудинковий звіт'!DE113</f>
        <v>7068.91</v>
      </c>
      <c r="M114" s="373">
        <f>'побудинковий звіт'!DA113*-1</f>
        <v>3117.9264191175753</v>
      </c>
    </row>
    <row r="115" spans="1:13" ht="20.100000000000001" customHeight="1" x14ac:dyDescent="0.3">
      <c r="A115" s="369" t="s">
        <v>564</v>
      </c>
      <c r="B115" s="308" t="s">
        <v>359</v>
      </c>
      <c r="C115" s="370">
        <v>9</v>
      </c>
      <c r="D115" s="360">
        <f>'побудинковий звіт'!CU114</f>
        <v>339375.39991741348</v>
      </c>
      <c r="E115" s="344">
        <f>'побудинковий звіт'!CV114</f>
        <v>286238.94211270101</v>
      </c>
      <c r="F115" s="344">
        <f t="shared" si="4"/>
        <v>-53136.457804712467</v>
      </c>
      <c r="G115" s="361">
        <f t="shared" si="5"/>
        <v>0.84342866979267461</v>
      </c>
      <c r="H115" s="355">
        <f>('побудинковий звіт'!AS114+'побудинковий звіт'!BQ114)*1.2</f>
        <v>87984.000296979168</v>
      </c>
      <c r="I115" s="343">
        <f>('побудинковий звіт'!AT114+'побудинковий звіт'!BR114)*1.2</f>
        <v>27457.319587321039</v>
      </c>
      <c r="J115" s="343">
        <f t="shared" si="6"/>
        <v>-60526.680709658132</v>
      </c>
      <c r="K115" s="364">
        <f t="shared" si="7"/>
        <v>0.31207173457267495</v>
      </c>
      <c r="L115" s="366">
        <f>'побудинковий звіт'!DE114</f>
        <v>27536.69</v>
      </c>
      <c r="M115" s="374">
        <f>'побудинковий звіт'!DA114*-1</f>
        <v>116216.665798633</v>
      </c>
    </row>
    <row r="116" spans="1:13" ht="20.100000000000001" customHeight="1" x14ac:dyDescent="0.3">
      <c r="A116" s="369" t="s">
        <v>565</v>
      </c>
      <c r="B116" s="308" t="s">
        <v>80</v>
      </c>
      <c r="C116" s="370">
        <v>1</v>
      </c>
      <c r="D116" s="360">
        <f>'побудинковий звіт'!CU115</f>
        <v>2678.9087960799038</v>
      </c>
      <c r="E116" s="344">
        <f>'побудинковий звіт'!CV115</f>
        <v>557.06172020038309</v>
      </c>
      <c r="F116" s="344">
        <f t="shared" si="4"/>
        <v>-2121.8470758795206</v>
      </c>
      <c r="G116" s="361">
        <f t="shared" si="5"/>
        <v>0.20794351827712151</v>
      </c>
      <c r="H116" s="355">
        <f>('побудинковий звіт'!AS115+'побудинковий звіт'!BQ115)*1.2</f>
        <v>2108.2831413978943</v>
      </c>
      <c r="I116" s="343">
        <f>('побудинковий звіт'!AT115+'побудинковий звіт'!BR115)*1.2</f>
        <v>0</v>
      </c>
      <c r="J116" s="343">
        <f t="shared" si="6"/>
        <v>-2108.2831413978943</v>
      </c>
      <c r="K116" s="364">
        <f t="shared" si="7"/>
        <v>0</v>
      </c>
      <c r="L116" s="366">
        <f>'побудинковий звіт'!DE115</f>
        <v>-52.41</v>
      </c>
      <c r="M116" s="373">
        <f>'побудинковий звіт'!DA115*-1</f>
        <v>6150.163714147131</v>
      </c>
    </row>
    <row r="117" spans="1:13" ht="20.100000000000001" customHeight="1" x14ac:dyDescent="0.3">
      <c r="A117" s="369" t="s">
        <v>566</v>
      </c>
      <c r="B117" s="308" t="s">
        <v>163</v>
      </c>
      <c r="C117" s="370">
        <v>2</v>
      </c>
      <c r="D117" s="360">
        <f>'побудинковий звіт'!CU116</f>
        <v>16088.432860453227</v>
      </c>
      <c r="E117" s="344">
        <f>'побудинковий звіт'!CV116</f>
        <v>11320.194344001293</v>
      </c>
      <c r="F117" s="344">
        <f t="shared" ref="F117:F178" si="8">E117-D117</f>
        <v>-4768.2385164519346</v>
      </c>
      <c r="G117" s="361">
        <f t="shared" ref="G117:G178" si="9">E117/D117</f>
        <v>0.7036231833261597</v>
      </c>
      <c r="H117" s="355">
        <f>('побудинковий звіт'!AS116+'побудинковий звіт'!BQ116)*1.2</f>
        <v>6936.9892326407644</v>
      </c>
      <c r="I117" s="343">
        <f>('побудинковий звіт'!AT116+'побудинковий звіт'!BR116)*1.2</f>
        <v>0</v>
      </c>
      <c r="J117" s="343">
        <f t="shared" ref="J117:J178" si="10">I117-H117</f>
        <v>-6936.9892326407644</v>
      </c>
      <c r="K117" s="364">
        <f t="shared" ref="K117:K178" si="11">I117/H117</f>
        <v>0</v>
      </c>
      <c r="L117" s="366">
        <f>'побудинковий звіт'!DE116</f>
        <v>185.07999999999993</v>
      </c>
      <c r="M117" s="373">
        <f>'побудинковий звіт'!DA116*-1</f>
        <v>16690.310877466385</v>
      </c>
    </row>
    <row r="118" spans="1:13" ht="20.100000000000001" customHeight="1" x14ac:dyDescent="0.3">
      <c r="A118" s="369" t="s">
        <v>567</v>
      </c>
      <c r="B118" s="308" t="s">
        <v>83</v>
      </c>
      <c r="C118" s="370">
        <v>1</v>
      </c>
      <c r="D118" s="360">
        <f>'побудинковий звіт'!CU117</f>
        <v>3329.1651775910468</v>
      </c>
      <c r="E118" s="344">
        <f>'побудинковий звіт'!CV117</f>
        <v>874.46178706949979</v>
      </c>
      <c r="F118" s="344">
        <f t="shared" si="8"/>
        <v>-2454.7033905215471</v>
      </c>
      <c r="G118" s="361">
        <f t="shared" si="9"/>
        <v>0.26266698719414466</v>
      </c>
      <c r="H118" s="355">
        <f>('побудинковий звіт'!AS117+'побудинковий звіт'!BQ117)*1.2</f>
        <v>2987.0312916764233</v>
      </c>
      <c r="I118" s="343">
        <f>('побудинковий звіт'!AT117+'побудинковий звіт'!BR117)*1.2</f>
        <v>0</v>
      </c>
      <c r="J118" s="343">
        <f t="shared" si="10"/>
        <v>-2987.0312916764233</v>
      </c>
      <c r="K118" s="364">
        <f t="shared" si="11"/>
        <v>0</v>
      </c>
      <c r="L118" s="366">
        <f>'побудинковий звіт'!DE117</f>
        <v>0</v>
      </c>
      <c r="M118" s="373">
        <f>'побудинковий звіт'!DA117*-1</f>
        <v>7586.0473826786774</v>
      </c>
    </row>
    <row r="119" spans="1:13" ht="20.100000000000001" customHeight="1" x14ac:dyDescent="0.3">
      <c r="A119" s="369" t="s">
        <v>568</v>
      </c>
      <c r="B119" s="308" t="s">
        <v>84</v>
      </c>
      <c r="C119" s="370">
        <v>1</v>
      </c>
      <c r="D119" s="360">
        <f>'побудинковий звіт'!CU118</f>
        <v>2920.9696350352283</v>
      </c>
      <c r="E119" s="344">
        <f>'побудинковий звіт'!CV118</f>
        <v>789.92159399009824</v>
      </c>
      <c r="F119" s="344">
        <f t="shared" si="8"/>
        <v>-2131.04804104513</v>
      </c>
      <c r="G119" s="361">
        <f t="shared" si="9"/>
        <v>0.27043129258020221</v>
      </c>
      <c r="H119" s="355">
        <f>('побудинковий звіт'!AS118+'побудинковий звіт'!BQ118)*1.2</f>
        <v>2520.8071560740755</v>
      </c>
      <c r="I119" s="343">
        <f>('побудинковий звіт'!AT118+'побудинковий звіт'!BR118)*1.2</f>
        <v>0</v>
      </c>
      <c r="J119" s="343">
        <f t="shared" si="10"/>
        <v>-2520.8071560740755</v>
      </c>
      <c r="K119" s="364">
        <f t="shared" si="11"/>
        <v>0</v>
      </c>
      <c r="L119" s="366">
        <f>'побудинковий звіт'!DE118</f>
        <v>83.56</v>
      </c>
      <c r="M119" s="373">
        <f>'побудинковий звіт'!DA118*-1</f>
        <v>5908.1407554812831</v>
      </c>
    </row>
    <row r="120" spans="1:13" ht="20.100000000000001" customHeight="1" x14ac:dyDescent="0.3">
      <c r="A120" s="369" t="s">
        <v>569</v>
      </c>
      <c r="B120" s="308" t="s">
        <v>85</v>
      </c>
      <c r="C120" s="370">
        <v>1</v>
      </c>
      <c r="D120" s="360">
        <f>'побудинковий звіт'!CU119</f>
        <v>3321.1626877482599</v>
      </c>
      <c r="E120" s="344">
        <f>'побудинковий звіт'!CV119</f>
        <v>706.06193188326745</v>
      </c>
      <c r="F120" s="344">
        <f t="shared" si="8"/>
        <v>-2615.1007558649926</v>
      </c>
      <c r="G120" s="361">
        <f t="shared" si="9"/>
        <v>0.21259480437014536</v>
      </c>
      <c r="H120" s="355">
        <f>('побудинковий звіт'!AS119+'побудинковий звіт'!BQ119)*1.2</f>
        <v>2721.8246201612124</v>
      </c>
      <c r="I120" s="343">
        <f>('побудинковий звіт'!AT119+'побудинковий звіт'!BR119)*1.2</f>
        <v>0</v>
      </c>
      <c r="J120" s="343">
        <f t="shared" si="10"/>
        <v>-2721.8246201612124</v>
      </c>
      <c r="K120" s="364">
        <f t="shared" si="11"/>
        <v>0</v>
      </c>
      <c r="L120" s="366">
        <f>'побудинковий звіт'!DE119</f>
        <v>272.64999999999998</v>
      </c>
      <c r="M120" s="373">
        <f>'побудинковий звіт'!DA119*-1</f>
        <v>6501.5439523683726</v>
      </c>
    </row>
    <row r="121" spans="1:13" ht="20.100000000000001" customHeight="1" x14ac:dyDescent="0.3">
      <c r="A121" s="369" t="s">
        <v>570</v>
      </c>
      <c r="B121" s="308" t="s">
        <v>86</v>
      </c>
      <c r="C121" s="370">
        <v>1</v>
      </c>
      <c r="D121" s="360">
        <f>'побудинковий звіт'!CU120</f>
        <v>4064.7975652827799</v>
      </c>
      <c r="E121" s="344">
        <f>'побудинковий звіт'!CV120</f>
        <v>2989.668104319232</v>
      </c>
      <c r="F121" s="344">
        <f t="shared" si="8"/>
        <v>-1075.1294609635479</v>
      </c>
      <c r="G121" s="361">
        <f t="shared" si="9"/>
        <v>0.73550233592290759</v>
      </c>
      <c r="H121" s="355">
        <f>('побудинковий звіт'!AS120+'побудинковий звіт'!BQ120)*1.2</f>
        <v>3323.1049676434582</v>
      </c>
      <c r="I121" s="343">
        <f>('побудинковий звіт'!AT120+'побудинковий звіт'!BR120)*1.2</f>
        <v>1950</v>
      </c>
      <c r="J121" s="343">
        <f t="shared" si="10"/>
        <v>-1373.1049676434582</v>
      </c>
      <c r="K121" s="364">
        <f t="shared" si="11"/>
        <v>0.58680060334742301</v>
      </c>
      <c r="L121" s="366">
        <f>'побудинковий звіт'!DE120</f>
        <v>2005.4</v>
      </c>
      <c r="M121" s="373">
        <f>'побудинковий звіт'!DA120*-1</f>
        <v>4078.7268312180745</v>
      </c>
    </row>
    <row r="122" spans="1:13" ht="20.100000000000001" customHeight="1" x14ac:dyDescent="0.3">
      <c r="A122" s="369" t="s">
        <v>571</v>
      </c>
      <c r="B122" s="308" t="s">
        <v>258</v>
      </c>
      <c r="C122" s="370">
        <v>5</v>
      </c>
      <c r="D122" s="360">
        <f>'побудинковий звіт'!CU121</f>
        <v>200599.57599674474</v>
      </c>
      <c r="E122" s="344">
        <f>'побудинковий звіт'!CV121</f>
        <v>302211.0341029269</v>
      </c>
      <c r="F122" s="344">
        <f t="shared" si="8"/>
        <v>101611.45810618217</v>
      </c>
      <c r="G122" s="361">
        <f t="shared" si="9"/>
        <v>1.5065387481568311</v>
      </c>
      <c r="H122" s="355">
        <f>('побудинковий звіт'!AS121+'побудинковий звіт'!BQ121)*1.2</f>
        <v>58661.687654121204</v>
      </c>
      <c r="I122" s="343">
        <f>('побудинковий звіт'!AT121+'побудинковий звіт'!BR121)*1.2</f>
        <v>158122.79999999999</v>
      </c>
      <c r="J122" s="343">
        <f t="shared" si="10"/>
        <v>99461.112345878792</v>
      </c>
      <c r="K122" s="364">
        <f t="shared" si="11"/>
        <v>2.695503766143204</v>
      </c>
      <c r="L122" s="366">
        <f>'побудинковий звіт'!DE121</f>
        <v>21044.190000000002</v>
      </c>
      <c r="M122" s="373">
        <f>'побудинковий звіт'!DA121*-1</f>
        <v>-49899.681220075508</v>
      </c>
    </row>
    <row r="123" spans="1:13" ht="20.100000000000001" customHeight="1" x14ac:dyDescent="0.3">
      <c r="A123" s="369" t="s">
        <v>572</v>
      </c>
      <c r="B123" s="308" t="s">
        <v>88</v>
      </c>
      <c r="C123" s="370">
        <v>1</v>
      </c>
      <c r="D123" s="360" t="e">
        <f>'побудинковий звіт'!#REF!</f>
        <v>#REF!</v>
      </c>
      <c r="E123" s="344" t="e">
        <f>'побудинковий звіт'!#REF!</f>
        <v>#REF!</v>
      </c>
      <c r="F123" s="344" t="e">
        <f t="shared" si="8"/>
        <v>#REF!</v>
      </c>
      <c r="G123" s="361" t="e">
        <f t="shared" si="9"/>
        <v>#REF!</v>
      </c>
      <c r="H123" s="355" t="e">
        <f>('побудинковий звіт'!#REF!+'побудинковий звіт'!#REF!)*1.2</f>
        <v>#REF!</v>
      </c>
      <c r="I123" s="343" t="e">
        <f>('побудинковий звіт'!#REF!+'побудинковий звіт'!#REF!)*1.2</f>
        <v>#REF!</v>
      </c>
      <c r="J123" s="343" t="e">
        <f t="shared" si="10"/>
        <v>#REF!</v>
      </c>
      <c r="K123" s="364" t="e">
        <f t="shared" si="11"/>
        <v>#REF!</v>
      </c>
      <c r="L123" s="366" t="e">
        <f>'побудинковий звіт'!#REF!</f>
        <v>#REF!</v>
      </c>
      <c r="M123" s="373" t="e">
        <f>'побудинковий звіт'!#REF!*-1</f>
        <v>#REF!</v>
      </c>
    </row>
    <row r="124" spans="1:13" ht="20.100000000000001" customHeight="1" x14ac:dyDescent="0.3">
      <c r="A124" s="369" t="s">
        <v>573</v>
      </c>
      <c r="B124" s="308" t="s">
        <v>89</v>
      </c>
      <c r="C124" s="370">
        <v>1</v>
      </c>
      <c r="D124" s="360">
        <f>'побудинковий звіт'!CU122</f>
        <v>3464.5831177738396</v>
      </c>
      <c r="E124" s="344">
        <f>'побудинковий звіт'!CV122</f>
        <v>292.57577174834984</v>
      </c>
      <c r="F124" s="344">
        <f t="shared" si="8"/>
        <v>-3172.0073460254898</v>
      </c>
      <c r="G124" s="361">
        <f t="shared" si="9"/>
        <v>8.4447612253085086E-2</v>
      </c>
      <c r="H124" s="355">
        <f>('побудинковий звіт'!AS122+'побудинковий звіт'!BQ122)*1.2</f>
        <v>3066.8357077585065</v>
      </c>
      <c r="I124" s="343">
        <f>('побудинковий звіт'!AT122+'побудинковий звіт'!BR122)*1.2</f>
        <v>0</v>
      </c>
      <c r="J124" s="343">
        <f t="shared" si="10"/>
        <v>-3066.8357077585065</v>
      </c>
      <c r="K124" s="364">
        <f t="shared" si="11"/>
        <v>0</v>
      </c>
      <c r="L124" s="366">
        <f>'побудинковий звіт'!DE122</f>
        <v>23.920000000000016</v>
      </c>
      <c r="M124" s="373">
        <f>'побудинковий звіт'!DA122*-1</f>
        <v>9163.3031970041302</v>
      </c>
    </row>
    <row r="125" spans="1:13" ht="20.100000000000001" customHeight="1" x14ac:dyDescent="0.3">
      <c r="A125" s="369" t="s">
        <v>574</v>
      </c>
      <c r="B125" s="308" t="s">
        <v>90</v>
      </c>
      <c r="C125" s="370">
        <v>1</v>
      </c>
      <c r="D125" s="360">
        <f>'побудинковий звіт'!CU123</f>
        <v>2164.1436772946286</v>
      </c>
      <c r="E125" s="344">
        <f>'побудинковий звіт'!CV123</f>
        <v>176.43374236325079</v>
      </c>
      <c r="F125" s="344">
        <f t="shared" si="8"/>
        <v>-1987.7099349313778</v>
      </c>
      <c r="G125" s="361">
        <f t="shared" si="9"/>
        <v>8.1525891378805587E-2</v>
      </c>
      <c r="H125" s="355">
        <f>('побудинковий звіт'!AS123+'побудинковий звіт'!BQ123)*1.2</f>
        <v>1993.6805015737718</v>
      </c>
      <c r="I125" s="343">
        <f>('побудинковий звіт'!AT123+'побудинковий звіт'!BR123)*1.2</f>
        <v>0</v>
      </c>
      <c r="J125" s="343">
        <f t="shared" si="10"/>
        <v>-1993.6805015737718</v>
      </c>
      <c r="K125" s="364">
        <f t="shared" si="11"/>
        <v>0</v>
      </c>
      <c r="L125" s="366">
        <f>'побудинковий звіт'!DE123</f>
        <v>143.29999999999998</v>
      </c>
      <c r="M125" s="373">
        <f>'побудинковий звіт'!DA123*-1</f>
        <v>5879.5499101772511</v>
      </c>
    </row>
    <row r="126" spans="1:13" ht="20.100000000000001" customHeight="1" x14ac:dyDescent="0.3">
      <c r="A126" s="369" t="s">
        <v>575</v>
      </c>
      <c r="B126" s="308" t="s">
        <v>91</v>
      </c>
      <c r="C126" s="370">
        <v>1</v>
      </c>
      <c r="D126" s="360">
        <f>'побудинковий звіт'!CU124</f>
        <v>2122.0424791380101</v>
      </c>
      <c r="E126" s="344">
        <f>'побудинковий звіт'!CV124</f>
        <v>168.05374883267646</v>
      </c>
      <c r="F126" s="344">
        <f t="shared" si="8"/>
        <v>-1953.9887303053335</v>
      </c>
      <c r="G126" s="361">
        <f t="shared" si="9"/>
        <v>7.9194337759412425E-2</v>
      </c>
      <c r="H126" s="355">
        <f>('побудинковий звіт'!AS124+'побудинковий звіт'!BQ124)*1.2</f>
        <v>1894.7582448435344</v>
      </c>
      <c r="I126" s="343">
        <f>('побудинковий звіт'!AT124+'побудинковий звіт'!BR124)*1.2</f>
        <v>0</v>
      </c>
      <c r="J126" s="343">
        <f t="shared" si="10"/>
        <v>-1894.7582448435344</v>
      </c>
      <c r="K126" s="364">
        <f t="shared" si="11"/>
        <v>0</v>
      </c>
      <c r="L126" s="366">
        <f>'побудинковий звіт'!DE124</f>
        <v>936.07999999999993</v>
      </c>
      <c r="M126" s="373">
        <f>'побудинковий звіт'!DA124*-1</f>
        <v>5725.1960958329819</v>
      </c>
    </row>
    <row r="127" spans="1:13" ht="20.100000000000001" customHeight="1" x14ac:dyDescent="0.3">
      <c r="A127" s="369" t="s">
        <v>576</v>
      </c>
      <c r="B127" s="308" t="s">
        <v>259</v>
      </c>
      <c r="C127" s="370">
        <v>5</v>
      </c>
      <c r="D127" s="360">
        <f>'побудинковий звіт'!CU125</f>
        <v>183680.5785881702</v>
      </c>
      <c r="E127" s="344">
        <f>'побудинковий звіт'!CV125</f>
        <v>136148.41621088656</v>
      </c>
      <c r="F127" s="344">
        <f t="shared" si="8"/>
        <v>-47532.162377283646</v>
      </c>
      <c r="G127" s="361">
        <f t="shared" si="9"/>
        <v>0.74122379871278932</v>
      </c>
      <c r="H127" s="355">
        <f>('побудинковий звіт'!AS125+'побудинковий звіт'!BQ125)*1.2</f>
        <v>60386.963164189023</v>
      </c>
      <c r="I127" s="343">
        <f>('побудинковий звіт'!AT125+'побудинковий звіт'!BR125)*1.2</f>
        <v>10243.822022993732</v>
      </c>
      <c r="J127" s="343">
        <f t="shared" si="10"/>
        <v>-50143.141141195287</v>
      </c>
      <c r="K127" s="364">
        <f t="shared" si="11"/>
        <v>0.16963631695042042</v>
      </c>
      <c r="L127" s="366">
        <f>'побудинковий звіт'!DE125</f>
        <v>24030.39</v>
      </c>
      <c r="M127" s="373">
        <f>'побудинковий звіт'!DA125*-1</f>
        <v>4541.8258938119616</v>
      </c>
    </row>
    <row r="128" spans="1:13" ht="20.100000000000001" customHeight="1" x14ac:dyDescent="0.3">
      <c r="A128" s="369" t="s">
        <v>577</v>
      </c>
      <c r="B128" s="308" t="s">
        <v>417</v>
      </c>
      <c r="C128" s="370">
        <v>10</v>
      </c>
      <c r="D128" s="360">
        <f>'побудинковий звіт'!CU126</f>
        <v>599780.56105727307</v>
      </c>
      <c r="E128" s="344">
        <f>'побудинковий звіт'!CV126</f>
        <v>675887.71379618498</v>
      </c>
      <c r="F128" s="344">
        <f t="shared" si="8"/>
        <v>76107.152738911915</v>
      </c>
      <c r="G128" s="361">
        <f t="shared" si="9"/>
        <v>1.1268916628520818</v>
      </c>
      <c r="H128" s="355">
        <f>('побудинковий звіт'!AS126+'побудинковий звіт'!BQ126)*1.2</f>
        <v>137799.44732584534</v>
      </c>
      <c r="I128" s="343">
        <f>('побудинковий звіт'!AT126+'побудинковий звіт'!BR126)*1.2</f>
        <v>239442.19661300839</v>
      </c>
      <c r="J128" s="343">
        <f t="shared" si="10"/>
        <v>101642.74928716305</v>
      </c>
      <c r="K128" s="364">
        <f t="shared" si="11"/>
        <v>1.7376136208065849</v>
      </c>
      <c r="L128" s="366">
        <f>'побудинковий звіт'!DE126</f>
        <v>123154.72</v>
      </c>
      <c r="M128" s="373">
        <f>'побудинковий звіт'!DA126*-1</f>
        <v>-95077.707930330798</v>
      </c>
    </row>
    <row r="129" spans="1:13" ht="20.100000000000001" customHeight="1" x14ac:dyDescent="0.3">
      <c r="A129" s="369" t="s">
        <v>578</v>
      </c>
      <c r="B129" s="308" t="s">
        <v>418</v>
      </c>
      <c r="C129" s="370">
        <v>10</v>
      </c>
      <c r="D129" s="360">
        <f>'побудинковий звіт'!CU127</f>
        <v>662341.82186789415</v>
      </c>
      <c r="E129" s="344">
        <f>'побудинковий звіт'!CV127</f>
        <v>801354.77453663235</v>
      </c>
      <c r="F129" s="344">
        <f t="shared" si="8"/>
        <v>139012.9526687382</v>
      </c>
      <c r="G129" s="361">
        <f t="shared" si="9"/>
        <v>1.2098809830197688</v>
      </c>
      <c r="H129" s="355">
        <f>('побудинковий звіт'!AS127+'побудинковий звіт'!BQ127)*1.2</f>
        <v>171940.04168267405</v>
      </c>
      <c r="I129" s="343">
        <f>('побудинковий звіт'!AT127+'побудинковий звіт'!BR127)*1.2</f>
        <v>301911.59999999998</v>
      </c>
      <c r="J129" s="343">
        <f t="shared" si="10"/>
        <v>129971.55831732592</v>
      </c>
      <c r="K129" s="364">
        <f t="shared" si="11"/>
        <v>1.7559121019477035</v>
      </c>
      <c r="L129" s="366">
        <f>'побудинковий звіт'!DE127</f>
        <v>82049.94</v>
      </c>
      <c r="M129" s="373">
        <f>'побудинковий звіт'!DA127*-1</f>
        <v>5445.2362602190115</v>
      </c>
    </row>
    <row r="130" spans="1:13" ht="20.100000000000001" customHeight="1" x14ac:dyDescent="0.3">
      <c r="A130" s="369" t="s">
        <v>579</v>
      </c>
      <c r="B130" s="308" t="s">
        <v>92</v>
      </c>
      <c r="C130" s="370">
        <v>1</v>
      </c>
      <c r="D130" s="360">
        <f>'побудинковий звіт'!CU128</f>
        <v>4782.9235160106764</v>
      </c>
      <c r="E130" s="344">
        <f>'побудинковий звіт'!CV128</f>
        <v>1591.9463193395054</v>
      </c>
      <c r="F130" s="344">
        <f t="shared" si="8"/>
        <v>-3190.977196671171</v>
      </c>
      <c r="G130" s="361">
        <f t="shared" si="9"/>
        <v>0.33283959361058535</v>
      </c>
      <c r="H130" s="355">
        <f>('побудинковий звіт'!AS128+'побудинковий звіт'!BQ128)*1.2</f>
        <v>4098.6557441814284</v>
      </c>
      <c r="I130" s="343">
        <f>('побудинковий звіт'!AT128+'побудинковий звіт'!BR128)*1.2</f>
        <v>0</v>
      </c>
      <c r="J130" s="343">
        <f t="shared" si="10"/>
        <v>-4098.6557441814284</v>
      </c>
      <c r="K130" s="364">
        <f t="shared" si="11"/>
        <v>0</v>
      </c>
      <c r="L130" s="366">
        <f>'побудинковий звіт'!DE128</f>
        <v>212.5</v>
      </c>
      <c r="M130" s="373">
        <f>'побудинковий звіт'!DA128*-1</f>
        <v>8666.2335778946363</v>
      </c>
    </row>
    <row r="131" spans="1:13" ht="20.100000000000001" customHeight="1" x14ac:dyDescent="0.3">
      <c r="A131" s="369" t="s">
        <v>580</v>
      </c>
      <c r="B131" s="308" t="s">
        <v>93</v>
      </c>
      <c r="C131" s="370">
        <v>1</v>
      </c>
      <c r="D131" s="360">
        <f>'побудинковий звіт'!CU129</f>
        <v>3317.4887167555057</v>
      </c>
      <c r="E131" s="344">
        <f>'побудинковий звіт'!CV129</f>
        <v>1037.6066286038679</v>
      </c>
      <c r="F131" s="344">
        <f t="shared" si="8"/>
        <v>-2279.8820881516376</v>
      </c>
      <c r="G131" s="361">
        <f t="shared" si="9"/>
        <v>0.31276869861328244</v>
      </c>
      <c r="H131" s="355">
        <f>('побудинковий звіт'!AS129+'побудинковий звіт'!BQ129)*1.2</f>
        <v>2748.0705965464063</v>
      </c>
      <c r="I131" s="343">
        <f>('побудинковий звіт'!AT129+'побудинковий звіт'!BR129)*1.2</f>
        <v>0</v>
      </c>
      <c r="J131" s="343">
        <f t="shared" si="10"/>
        <v>-2748.0705965464063</v>
      </c>
      <c r="K131" s="364">
        <f t="shared" si="11"/>
        <v>0</v>
      </c>
      <c r="L131" s="366">
        <f>'побудинковий звіт'!DE129</f>
        <v>1270.48</v>
      </c>
      <c r="M131" s="373">
        <f>'побудинковий звіт'!DA129*-1</f>
        <v>6850.4848546352696</v>
      </c>
    </row>
    <row r="132" spans="1:13" ht="20.100000000000001" customHeight="1" x14ac:dyDescent="0.3">
      <c r="A132" s="369" t="s">
        <v>581</v>
      </c>
      <c r="B132" s="308" t="s">
        <v>95</v>
      </c>
      <c r="C132" s="370">
        <v>1</v>
      </c>
      <c r="D132" s="360">
        <f>'побудинковий звіт'!CU130</f>
        <v>2679.8418016742853</v>
      </c>
      <c r="E132" s="344">
        <f>'побудинковий звіт'!CV130</f>
        <v>203.16592172578291</v>
      </c>
      <c r="F132" s="344">
        <f t="shared" si="8"/>
        <v>-2476.6758799485024</v>
      </c>
      <c r="G132" s="361">
        <f t="shared" si="9"/>
        <v>7.5812654910767829E-2</v>
      </c>
      <c r="H132" s="355">
        <f>('побудинковий звіт'!AS130+'побудинковий звіт'!BQ130)*1.2</f>
        <v>2225.2733330853334</v>
      </c>
      <c r="I132" s="343">
        <f>('побудинковий звіт'!AT130+'побудинковий звіт'!BR130)*1.2</f>
        <v>0</v>
      </c>
      <c r="J132" s="343">
        <f t="shared" si="10"/>
        <v>-2225.2733330853334</v>
      </c>
      <c r="K132" s="364">
        <f t="shared" si="11"/>
        <v>0</v>
      </c>
      <c r="L132" s="366">
        <f>'побудинковий звіт'!DE130</f>
        <v>53.519999999999982</v>
      </c>
      <c r="M132" s="373">
        <f>'побудинковий звіт'!DA130*-1</f>
        <v>6033.4576811071383</v>
      </c>
    </row>
    <row r="133" spans="1:13" ht="20.100000000000001" customHeight="1" x14ac:dyDescent="0.3">
      <c r="A133" s="369" t="s">
        <v>582</v>
      </c>
      <c r="B133" s="308" t="s">
        <v>361</v>
      </c>
      <c r="C133" s="370">
        <v>9</v>
      </c>
      <c r="D133" s="360">
        <f>'побудинковий звіт'!CU131</f>
        <v>213256.56764355971</v>
      </c>
      <c r="E133" s="344">
        <f>'побудинковий звіт'!CV131</f>
        <v>224834.87221509169</v>
      </c>
      <c r="F133" s="344">
        <f t="shared" si="8"/>
        <v>11578.304571531975</v>
      </c>
      <c r="G133" s="361">
        <f t="shared" si="9"/>
        <v>1.054292839369356</v>
      </c>
      <c r="H133" s="355">
        <f>('побудинковий звіт'!AS131+'побудинковий звіт'!BQ131)*1.2</f>
        <v>64729.710902248742</v>
      </c>
      <c r="I133" s="343">
        <f>('побудинковий звіт'!AT131+'побудинковий звіт'!BR131)*1.2</f>
        <v>73444.800000000003</v>
      </c>
      <c r="J133" s="343">
        <f t="shared" si="10"/>
        <v>8715.0890977512609</v>
      </c>
      <c r="K133" s="364">
        <f t="shared" si="11"/>
        <v>1.1346381588342378</v>
      </c>
      <c r="L133" s="366">
        <f>'побудинковий звіт'!DE131</f>
        <v>9252.4200000000019</v>
      </c>
      <c r="M133" s="373">
        <f>'побудинковий звіт'!DA131*-1</f>
        <v>-8396.1531028750651</v>
      </c>
    </row>
    <row r="134" spans="1:13" ht="20.100000000000001" customHeight="1" x14ac:dyDescent="0.3">
      <c r="A134" s="369" t="s">
        <v>583</v>
      </c>
      <c r="B134" s="308" t="s">
        <v>96</v>
      </c>
      <c r="C134" s="370">
        <v>1</v>
      </c>
      <c r="D134" s="360" t="e">
        <f>'побудинковий звіт'!#REF!</f>
        <v>#REF!</v>
      </c>
      <c r="E134" s="344" t="e">
        <f>'побудинковий звіт'!#REF!</f>
        <v>#REF!</v>
      </c>
      <c r="F134" s="344" t="e">
        <f t="shared" si="8"/>
        <v>#REF!</v>
      </c>
      <c r="G134" s="361" t="e">
        <f t="shared" si="9"/>
        <v>#REF!</v>
      </c>
      <c r="H134" s="355" t="e">
        <f>('побудинковий звіт'!#REF!+'побудинковий звіт'!#REF!)*1.2</f>
        <v>#REF!</v>
      </c>
      <c r="I134" s="343" t="e">
        <f>('побудинковий звіт'!#REF!+'побудинковий звіт'!#REF!)*1.2</f>
        <v>#REF!</v>
      </c>
      <c r="J134" s="343" t="e">
        <f t="shared" si="10"/>
        <v>#REF!</v>
      </c>
      <c r="K134" s="364" t="e">
        <f t="shared" si="11"/>
        <v>#REF!</v>
      </c>
      <c r="L134" s="366" t="e">
        <f>'побудинковий звіт'!#REF!</f>
        <v>#REF!</v>
      </c>
      <c r="M134" s="373" t="e">
        <f>'побудинковий звіт'!#REF!*-1</f>
        <v>#REF!</v>
      </c>
    </row>
    <row r="135" spans="1:13" ht="20.100000000000001" customHeight="1" x14ac:dyDescent="0.3">
      <c r="A135" s="369" t="s">
        <v>584</v>
      </c>
      <c r="B135" s="308" t="s">
        <v>97</v>
      </c>
      <c r="C135" s="370">
        <v>1</v>
      </c>
      <c r="D135" s="360">
        <f>'побудинковий звіт'!CU132</f>
        <v>2955.8411699218832</v>
      </c>
      <c r="E135" s="344">
        <f>'побудинковий звіт'!CV132</f>
        <v>463.76329590993004</v>
      </c>
      <c r="F135" s="344">
        <f t="shared" si="8"/>
        <v>-2492.0778740119531</v>
      </c>
      <c r="G135" s="361">
        <f t="shared" si="9"/>
        <v>0.15689723136314065</v>
      </c>
      <c r="H135" s="355">
        <f>('побудинковий звіт'!AS132+'побудинковий звіт'!BQ132)*1.2</f>
        <v>2614.9148184801693</v>
      </c>
      <c r="I135" s="343">
        <f>('побудинковий звіт'!AT132+'побудинковий звіт'!BR132)*1.2</f>
        <v>0</v>
      </c>
      <c r="J135" s="343">
        <f t="shared" si="10"/>
        <v>-2614.9148184801693</v>
      </c>
      <c r="K135" s="364">
        <f t="shared" si="11"/>
        <v>0</v>
      </c>
      <c r="L135" s="366">
        <f>'побудинковий звіт'!DE132</f>
        <v>0</v>
      </c>
      <c r="M135" s="373">
        <f>'побудинковий звіт'!DA132*-1</f>
        <v>5712.4389192670787</v>
      </c>
    </row>
    <row r="136" spans="1:13" ht="20.100000000000001" customHeight="1" x14ac:dyDescent="0.3">
      <c r="A136" s="369" t="s">
        <v>585</v>
      </c>
      <c r="B136" s="308" t="s">
        <v>98</v>
      </c>
      <c r="C136" s="370">
        <v>1</v>
      </c>
      <c r="D136" s="360">
        <f>'побудинковий звіт'!CU133</f>
        <v>3073.1508201045212</v>
      </c>
      <c r="E136" s="344">
        <f>'побудинковий звіт'!CV133</f>
        <v>17760.651280008016</v>
      </c>
      <c r="F136" s="344">
        <f t="shared" si="8"/>
        <v>14687.500459903495</v>
      </c>
      <c r="G136" s="361">
        <f t="shared" si="9"/>
        <v>5.7792969885558554</v>
      </c>
      <c r="H136" s="355">
        <f>('побудинковий звіт'!AS133+'побудинковий звіт'!BQ133)*1.2</f>
        <v>2785.5992322440929</v>
      </c>
      <c r="I136" s="343">
        <f>('побудинковий звіт'!AT133+'побудинковий звіт'!BR133)*1.2</f>
        <v>16975.2</v>
      </c>
      <c r="J136" s="343">
        <f t="shared" si="10"/>
        <v>14189.600767755908</v>
      </c>
      <c r="K136" s="364">
        <f t="shared" si="11"/>
        <v>6.0939132246689676</v>
      </c>
      <c r="L136" s="366">
        <f>'побудинковий звіт'!DE133</f>
        <v>-218.14</v>
      </c>
      <c r="M136" s="373">
        <f>'побудинковий звіт'!DA133*-1</f>
        <v>-12208.548887130744</v>
      </c>
    </row>
    <row r="137" spans="1:13" ht="20.100000000000001" customHeight="1" x14ac:dyDescent="0.3">
      <c r="A137" s="369" t="s">
        <v>586</v>
      </c>
      <c r="B137" s="308" t="s">
        <v>211</v>
      </c>
      <c r="C137" s="370">
        <v>4</v>
      </c>
      <c r="D137" s="360">
        <f>'побудинковий звіт'!CU134</f>
        <v>103292.40892101968</v>
      </c>
      <c r="E137" s="344">
        <f>'побудинковий звіт'!CV134</f>
        <v>132707.81289557042</v>
      </c>
      <c r="F137" s="344">
        <f t="shared" si="8"/>
        <v>29415.403974550733</v>
      </c>
      <c r="G137" s="361">
        <f t="shared" si="9"/>
        <v>1.2847779839953446</v>
      </c>
      <c r="H137" s="355">
        <f>('побудинковий звіт'!AS134+'побудинковий звіт'!BQ134)*1.2</f>
        <v>21821.960476946191</v>
      </c>
      <c r="I137" s="343">
        <f>('побудинковий звіт'!AT134+'побудинковий звіт'!BR134)*1.2</f>
        <v>33470.517679711833</v>
      </c>
      <c r="J137" s="343">
        <f t="shared" si="10"/>
        <v>11648.557202765642</v>
      </c>
      <c r="K137" s="364">
        <f t="shared" si="11"/>
        <v>1.5337997571332675</v>
      </c>
      <c r="L137" s="366">
        <f>'побудинковий звіт'!DE134</f>
        <v>18606.43</v>
      </c>
      <c r="M137" s="373">
        <f>'побудинковий звіт'!DA134*-1</f>
        <v>-79749.556656484201</v>
      </c>
    </row>
    <row r="138" spans="1:13" ht="20.100000000000001" customHeight="1" x14ac:dyDescent="0.3">
      <c r="A138" s="369" t="s">
        <v>587</v>
      </c>
      <c r="B138" s="308" t="s">
        <v>362</v>
      </c>
      <c r="C138" s="370">
        <v>9</v>
      </c>
      <c r="D138" s="360">
        <f>'побудинковий звіт'!CU135</f>
        <v>349976.95730753685</v>
      </c>
      <c r="E138" s="344">
        <f>'побудинковий звіт'!CV135</f>
        <v>302314.04472076573</v>
      </c>
      <c r="F138" s="344">
        <f t="shared" si="8"/>
        <v>-47662.912586771126</v>
      </c>
      <c r="G138" s="361">
        <f t="shared" si="9"/>
        <v>0.86381128359577086</v>
      </c>
      <c r="H138" s="355">
        <f>('побудинковий звіт'!AS135+'побудинковий звіт'!BQ135)*1.2</f>
        <v>96541.230011393331</v>
      </c>
      <c r="I138" s="343">
        <f>('побудинковий звіт'!AT135+'побудинковий звіт'!BR135)*1.2</f>
        <v>45091.093902389417</v>
      </c>
      <c r="J138" s="343">
        <f t="shared" si="10"/>
        <v>-51450.136109003914</v>
      </c>
      <c r="K138" s="364">
        <f t="shared" si="11"/>
        <v>0.46706566611040673</v>
      </c>
      <c r="L138" s="366">
        <f>'побудинковий звіт'!DE135</f>
        <v>21443.79</v>
      </c>
      <c r="M138" s="373">
        <f>'побудинковий звіт'!DA135*-1</f>
        <v>119442.13923792233</v>
      </c>
    </row>
    <row r="139" spans="1:13" ht="20.100000000000001" customHeight="1" x14ac:dyDescent="0.3">
      <c r="A139" s="369" t="s">
        <v>588</v>
      </c>
      <c r="B139" s="308" t="s">
        <v>212</v>
      </c>
      <c r="C139" s="370">
        <v>4</v>
      </c>
      <c r="D139" s="360">
        <f>'побудинковий звіт'!CU136</f>
        <v>86351.146050762865</v>
      </c>
      <c r="E139" s="344">
        <f>'побудинковий звіт'!CV136</f>
        <v>66790.071594225243</v>
      </c>
      <c r="F139" s="344">
        <f t="shared" si="8"/>
        <v>-19561.074456537623</v>
      </c>
      <c r="G139" s="361">
        <f t="shared" si="9"/>
        <v>0.77347058665511703</v>
      </c>
      <c r="H139" s="355">
        <f>('побудинковий звіт'!AS136+'побудинковий звіт'!BQ136)*1.2</f>
        <v>26278.645587441992</v>
      </c>
      <c r="I139" s="343">
        <f>('побудинковий звіт'!AT136+'побудинковий звіт'!BR136)*1.2</f>
        <v>276</v>
      </c>
      <c r="J139" s="343">
        <f t="shared" si="10"/>
        <v>-26002.645587441992</v>
      </c>
      <c r="K139" s="364">
        <f t="shared" si="11"/>
        <v>1.0502824397155939E-2</v>
      </c>
      <c r="L139" s="366">
        <f>'побудинковий звіт'!DE136</f>
        <v>2257.5800000000008</v>
      </c>
      <c r="M139" s="373">
        <f>'побудинковий звіт'!DA136*-1</f>
        <v>64731.813368703741</v>
      </c>
    </row>
    <row r="140" spans="1:13" ht="20.100000000000001" customHeight="1" x14ac:dyDescent="0.3">
      <c r="A140" s="369" t="s">
        <v>589</v>
      </c>
      <c r="B140" s="308" t="s">
        <v>164</v>
      </c>
      <c r="C140" s="370">
        <v>2</v>
      </c>
      <c r="D140" s="360">
        <f>'побудинковий звіт'!CU137</f>
        <v>51621.496103582489</v>
      </c>
      <c r="E140" s="344">
        <f>'побудинковий звіт'!CV137</f>
        <v>47169.636668011088</v>
      </c>
      <c r="F140" s="344">
        <f t="shared" si="8"/>
        <v>-4451.8594355714013</v>
      </c>
      <c r="G140" s="361">
        <f t="shared" si="9"/>
        <v>0.9137595813449807</v>
      </c>
      <c r="H140" s="355">
        <f>('побудинковий звіт'!AS137+'побудинковий звіт'!BQ137)*1.2</f>
        <v>13465.184216988711</v>
      </c>
      <c r="I140" s="343">
        <f>('побудинковий звіт'!AT137+'побудинковий звіт'!BR137)*1.2</f>
        <v>6815.9999999999991</v>
      </c>
      <c r="J140" s="343">
        <f t="shared" si="10"/>
        <v>-6649.1842169887123</v>
      </c>
      <c r="K140" s="364">
        <f t="shared" si="11"/>
        <v>0.5061943372004083</v>
      </c>
      <c r="L140" s="366">
        <f>'побудинковий звіт'!DE137</f>
        <v>268.84999999999991</v>
      </c>
      <c r="M140" s="373">
        <f>'побудинковий звіт'!DA137*-1</f>
        <v>-30299.848042111582</v>
      </c>
    </row>
    <row r="141" spans="1:13" ht="20.100000000000001" customHeight="1" x14ac:dyDescent="0.3">
      <c r="A141" s="369" t="s">
        <v>590</v>
      </c>
      <c r="B141" s="308" t="s">
        <v>165</v>
      </c>
      <c r="C141" s="370">
        <v>2</v>
      </c>
      <c r="D141" s="360">
        <f>'побудинковий звіт'!CU138</f>
        <v>30821.914037857503</v>
      </c>
      <c r="E141" s="344">
        <f>'побудинковий звіт'!CV138</f>
        <v>30385.177678207605</v>
      </c>
      <c r="F141" s="344">
        <f t="shared" si="8"/>
        <v>-436.73635964989808</v>
      </c>
      <c r="G141" s="361">
        <f t="shared" si="9"/>
        <v>0.98583032970913265</v>
      </c>
      <c r="H141" s="355">
        <f>('побудинковий звіт'!AS138+'побудинковий звіт'!BQ138)*1.2</f>
        <v>8665.522961606368</v>
      </c>
      <c r="I141" s="343">
        <f>('побудинковий звіт'!AT138+'побудинковий звіт'!BR138)*1.2</f>
        <v>1869.6</v>
      </c>
      <c r="J141" s="343">
        <f t="shared" si="10"/>
        <v>-6795.9229616063676</v>
      </c>
      <c r="K141" s="364">
        <f t="shared" si="11"/>
        <v>0.21575154878516686</v>
      </c>
      <c r="L141" s="366">
        <f>'побудинковий звіт'!DE138</f>
        <v>4661.1200000000008</v>
      </c>
      <c r="M141" s="373">
        <f>'побудинковий звіт'!DA138*-1</f>
        <v>-4984.260387162607</v>
      </c>
    </row>
    <row r="142" spans="1:13" ht="20.100000000000001" customHeight="1" x14ac:dyDescent="0.3">
      <c r="A142" s="369" t="s">
        <v>591</v>
      </c>
      <c r="B142" s="308" t="s">
        <v>260</v>
      </c>
      <c r="C142" s="370">
        <v>5</v>
      </c>
      <c r="D142" s="360">
        <f>'побудинковий звіт'!CU139</f>
        <v>192502.42071137653</v>
      </c>
      <c r="E142" s="344">
        <f>'побудинковий звіт'!CV139</f>
        <v>166793.20003539731</v>
      </c>
      <c r="F142" s="344">
        <f t="shared" si="8"/>
        <v>-25709.220675979217</v>
      </c>
      <c r="G142" s="361">
        <f t="shared" si="9"/>
        <v>0.86644728631996959</v>
      </c>
      <c r="H142" s="355">
        <f>('побудинковий звіт'!AS139+'побудинковий звіт'!BQ139)*1.2</f>
        <v>49247.005402046823</v>
      </c>
      <c r="I142" s="343">
        <f>('побудинковий звіт'!AT139+'побудинковий звіт'!BR139)*1.2</f>
        <v>18056.399999999998</v>
      </c>
      <c r="J142" s="343">
        <f t="shared" si="10"/>
        <v>-31190.605402046825</v>
      </c>
      <c r="K142" s="364">
        <f t="shared" si="11"/>
        <v>0.3666497049432681</v>
      </c>
      <c r="L142" s="366">
        <f>'побудинковий звіт'!DE139</f>
        <v>45129.15</v>
      </c>
      <c r="M142" s="373">
        <f>'побудинковий звіт'!DA139*-1</f>
        <v>58257.826746669409</v>
      </c>
    </row>
    <row r="143" spans="1:13" ht="20.100000000000001" customHeight="1" x14ac:dyDescent="0.3">
      <c r="A143" s="369" t="s">
        <v>592</v>
      </c>
      <c r="B143" s="308" t="s">
        <v>166</v>
      </c>
      <c r="C143" s="370">
        <v>2</v>
      </c>
      <c r="D143" s="360">
        <f>'побудинковий звіт'!CU140</f>
        <v>21334.681774762812</v>
      </c>
      <c r="E143" s="344">
        <f>'побудинковий звіт'!CV140</f>
        <v>20426.20297515568</v>
      </c>
      <c r="F143" s="344">
        <f t="shared" si="8"/>
        <v>-908.4787996071318</v>
      </c>
      <c r="G143" s="361">
        <f t="shared" si="9"/>
        <v>0.95741774781558786</v>
      </c>
      <c r="H143" s="355">
        <f>('побудинковий звіт'!AS140+'побудинковий звіт'!BQ140)*1.2</f>
        <v>6568.5039959471314</v>
      </c>
      <c r="I143" s="343">
        <f>('побудинковий звіт'!AT140+'побудинковий звіт'!BR140)*1.2</f>
        <v>3601.0328102451022</v>
      </c>
      <c r="J143" s="343">
        <f t="shared" si="10"/>
        <v>-2967.4711857020293</v>
      </c>
      <c r="K143" s="364">
        <f t="shared" si="11"/>
        <v>0.54822723902839898</v>
      </c>
      <c r="L143" s="366">
        <f>'побудинковий звіт'!DE140</f>
        <v>-1105.75</v>
      </c>
      <c r="M143" s="373">
        <f>'побудинковий звіт'!DA140*-1</f>
        <v>20414.486005721981</v>
      </c>
    </row>
    <row r="144" spans="1:13" ht="20.100000000000001" customHeight="1" x14ac:dyDescent="0.3">
      <c r="A144" s="369" t="s">
        <v>593</v>
      </c>
      <c r="B144" s="308" t="s">
        <v>99</v>
      </c>
      <c r="C144" s="370">
        <v>1</v>
      </c>
      <c r="D144" s="360">
        <f>'побудинковий звіт'!CU141</f>
        <v>5201.1142586995875</v>
      </c>
      <c r="E144" s="344">
        <f>'побудинковий звіт'!CV141</f>
        <v>2080.7134927770198</v>
      </c>
      <c r="F144" s="344">
        <f t="shared" si="8"/>
        <v>-3120.4007659225676</v>
      </c>
      <c r="G144" s="361">
        <f t="shared" si="9"/>
        <v>0.40005148690912468</v>
      </c>
      <c r="H144" s="355">
        <f>('побудинковий звіт'!AS141+'побудинковий звіт'!BQ141)*1.2</f>
        <v>4017.6853023082122</v>
      </c>
      <c r="I144" s="343">
        <f>('побудинковий звіт'!AT141+'побудинковий звіт'!BR141)*1.2</f>
        <v>0</v>
      </c>
      <c r="J144" s="343">
        <f t="shared" si="10"/>
        <v>-4017.6853023082122</v>
      </c>
      <c r="K144" s="364">
        <f t="shared" si="11"/>
        <v>0</v>
      </c>
      <c r="L144" s="366">
        <f>'побудинковий звіт'!DE141</f>
        <v>-50.599999999999994</v>
      </c>
      <c r="M144" s="373">
        <f>'побудинковий звіт'!DA141*-1</f>
        <v>7517.1734753493138</v>
      </c>
    </row>
    <row r="145" spans="1:13" ht="20.100000000000001" customHeight="1" x14ac:dyDescent="0.3">
      <c r="A145" s="369" t="s">
        <v>594</v>
      </c>
      <c r="B145" s="308" t="s">
        <v>261</v>
      </c>
      <c r="C145" s="370">
        <v>5</v>
      </c>
      <c r="D145" s="360">
        <f>'побудинковий звіт'!CU142</f>
        <v>185075.08635569277</v>
      </c>
      <c r="E145" s="344">
        <f>'побудинковий звіт'!CV142</f>
        <v>171244.9616404408</v>
      </c>
      <c r="F145" s="344">
        <f t="shared" si="8"/>
        <v>-13830.124715251965</v>
      </c>
      <c r="G145" s="361">
        <f t="shared" si="9"/>
        <v>0.92527289875919838</v>
      </c>
      <c r="H145" s="355">
        <f>('побудинковий звіт'!AS142+'побудинковий звіт'!BQ142)*1.2</f>
        <v>56741.680107529064</v>
      </c>
      <c r="I145" s="343">
        <f>('побудинковий звіт'!AT142+'побудинковий звіт'!BR142)*1.2</f>
        <v>29080.844935107776</v>
      </c>
      <c r="J145" s="343">
        <f t="shared" si="10"/>
        <v>-27660.835172421288</v>
      </c>
      <c r="K145" s="364">
        <f t="shared" si="11"/>
        <v>0.51251293370231088</v>
      </c>
      <c r="L145" s="366">
        <f>'побудинковий звіт'!DE142</f>
        <v>41684.61</v>
      </c>
      <c r="M145" s="373">
        <f>'побудинковий звіт'!DA142*-1</f>
        <v>6594.3437594899224</v>
      </c>
    </row>
    <row r="146" spans="1:13" ht="20.100000000000001" customHeight="1" x14ac:dyDescent="0.3">
      <c r="A146" s="369" t="s">
        <v>595</v>
      </c>
      <c r="B146" s="308" t="s">
        <v>213</v>
      </c>
      <c r="C146" s="370">
        <v>4</v>
      </c>
      <c r="D146" s="360">
        <f>'побудинковий звіт'!CU143</f>
        <v>119411.27483796196</v>
      </c>
      <c r="E146" s="344">
        <f>'побудинковий звіт'!CV143</f>
        <v>91820.975735232656</v>
      </c>
      <c r="F146" s="344">
        <f t="shared" si="8"/>
        <v>-27590.299102729303</v>
      </c>
      <c r="G146" s="361">
        <f t="shared" si="9"/>
        <v>0.76894728625777897</v>
      </c>
      <c r="H146" s="355">
        <f>('побудинковий звіт'!AS143+'побудинковий звіт'!BQ143)*1.2</f>
        <v>37309.960077070231</v>
      </c>
      <c r="I146" s="343">
        <f>('побудинковий звіт'!AT143+'побудинковий звіт'!BR143)*1.2</f>
        <v>5985.3732909132195</v>
      </c>
      <c r="J146" s="343">
        <f t="shared" si="10"/>
        <v>-31324.586786157011</v>
      </c>
      <c r="K146" s="364">
        <f t="shared" si="11"/>
        <v>0.1604229347485065</v>
      </c>
      <c r="L146" s="366">
        <f>'побудинковий звіт'!DE143</f>
        <v>8861.27</v>
      </c>
      <c r="M146" s="373">
        <f>'побудинковий звіт'!DA143*-1</f>
        <v>21389.854361227768</v>
      </c>
    </row>
    <row r="147" spans="1:13" ht="20.100000000000001" customHeight="1" x14ac:dyDescent="0.3">
      <c r="A147" s="369" t="s">
        <v>823</v>
      </c>
      <c r="B147" s="309" t="s">
        <v>429</v>
      </c>
      <c r="C147" s="371">
        <v>5</v>
      </c>
      <c r="D147" s="360">
        <f>'побудинковий звіт'!CU144</f>
        <v>169718.20998552002</v>
      </c>
      <c r="E147" s="344">
        <f>'побудинковий звіт'!CV144</f>
        <v>123093.56314035074</v>
      </c>
      <c r="F147" s="344">
        <f t="shared" si="8"/>
        <v>-46624.646845169278</v>
      </c>
      <c r="G147" s="361">
        <f t="shared" si="9"/>
        <v>0.72528200215435223</v>
      </c>
      <c r="H147" s="355">
        <f>('побудинковий звіт'!AS144+'побудинковий звіт'!BQ144)*1.2</f>
        <v>51830.009175830179</v>
      </c>
      <c r="I147" s="343">
        <f>('побудинковий звіт'!AT144+'побудинковий звіт'!BR144)*1.2</f>
        <v>697.68912583695737</v>
      </c>
      <c r="J147" s="343">
        <f t="shared" si="10"/>
        <v>-51132.320049993221</v>
      </c>
      <c r="K147" s="364">
        <f t="shared" si="11"/>
        <v>1.34611036527138E-2</v>
      </c>
      <c r="L147" s="366">
        <f>'побудинковий звіт'!DE144</f>
        <v>7393.85</v>
      </c>
      <c r="M147" s="373">
        <f>'побудинковий звіт'!DA144*-1</f>
        <v>-152385.39516977634</v>
      </c>
    </row>
    <row r="148" spans="1:13" ht="20.100000000000001" customHeight="1" x14ac:dyDescent="0.3">
      <c r="A148" s="369" t="s">
        <v>596</v>
      </c>
      <c r="B148" s="308" t="s">
        <v>419</v>
      </c>
      <c r="C148" s="370">
        <v>10</v>
      </c>
      <c r="D148" s="360">
        <f>'побудинковий звіт'!CU145</f>
        <v>560894.78433947382</v>
      </c>
      <c r="E148" s="344">
        <f>'побудинковий звіт'!CV145</f>
        <v>526584.94142996636</v>
      </c>
      <c r="F148" s="344">
        <f t="shared" si="8"/>
        <v>-34309.842909507453</v>
      </c>
      <c r="G148" s="361">
        <f t="shared" si="9"/>
        <v>0.93883016232730399</v>
      </c>
      <c r="H148" s="355">
        <f>('побудинковий звіт'!AS145+'побудинковий звіт'!BQ145)*1.2</f>
        <v>136223.02055703066</v>
      </c>
      <c r="I148" s="343">
        <f>('побудинковий звіт'!AT145+'побудинковий звіт'!BR145)*1.2</f>
        <v>85215.583288382608</v>
      </c>
      <c r="J148" s="343">
        <f t="shared" si="10"/>
        <v>-51007.437268648049</v>
      </c>
      <c r="K148" s="364">
        <f t="shared" si="11"/>
        <v>0.62555934334686514</v>
      </c>
      <c r="L148" s="366">
        <f>'побудинковий звіт'!DE145</f>
        <v>98947.28</v>
      </c>
      <c r="M148" s="374">
        <f>'побудинковий звіт'!DA145*-1</f>
        <v>39477.166443228954</v>
      </c>
    </row>
    <row r="149" spans="1:13" ht="20.100000000000001" customHeight="1" x14ac:dyDescent="0.3">
      <c r="A149" s="369" t="s">
        <v>597</v>
      </c>
      <c r="B149" s="308" t="s">
        <v>100</v>
      </c>
      <c r="C149" s="370">
        <v>1</v>
      </c>
      <c r="D149" s="360">
        <f>'побудинковий звіт'!CU146</f>
        <v>5994.1811074783918</v>
      </c>
      <c r="E149" s="344">
        <f>'побудинковий звіт'!CV146</f>
        <v>5966.6851835486432</v>
      </c>
      <c r="F149" s="344">
        <f t="shared" si="8"/>
        <v>-27.495923929748642</v>
      </c>
      <c r="G149" s="361">
        <f t="shared" si="9"/>
        <v>0.99541289736884253</v>
      </c>
      <c r="H149" s="355">
        <f>('побудинковий звіт'!AS146+'побудинковий звіт'!BQ146)*1.2</f>
        <v>4336.1063658237053</v>
      </c>
      <c r="I149" s="343">
        <f>('побудинковий звіт'!AT146+'побудинковий звіт'!BR146)*1.2</f>
        <v>3120</v>
      </c>
      <c r="J149" s="343">
        <f t="shared" si="10"/>
        <v>-1216.1063658237053</v>
      </c>
      <c r="K149" s="364">
        <f t="shared" si="11"/>
        <v>0.7195395446456746</v>
      </c>
      <c r="L149" s="366">
        <f>'побудинковий звіт'!DE146</f>
        <v>46.669999999999959</v>
      </c>
      <c r="M149" s="373">
        <f>'побудинковий звіт'!DA146*-1</f>
        <v>7329.9891792520821</v>
      </c>
    </row>
    <row r="150" spans="1:13" ht="20.100000000000001" customHeight="1" x14ac:dyDescent="0.3">
      <c r="A150" s="369" t="s">
        <v>598</v>
      </c>
      <c r="B150" s="308" t="s">
        <v>363</v>
      </c>
      <c r="C150" s="370">
        <v>9</v>
      </c>
      <c r="D150" s="360">
        <f>'побудинковий звіт'!CU147</f>
        <v>936942.19601927302</v>
      </c>
      <c r="E150" s="344">
        <f>'побудинковий звіт'!CV147</f>
        <v>982496.66289986344</v>
      </c>
      <c r="F150" s="344">
        <f t="shared" si="8"/>
        <v>45554.466880590422</v>
      </c>
      <c r="G150" s="361">
        <f t="shared" si="9"/>
        <v>1.0486203600116792</v>
      </c>
      <c r="H150" s="355">
        <f>('побудинковий звіт'!AS147+'побудинковий звіт'!BQ147)*1.2</f>
        <v>262538.60098240292</v>
      </c>
      <c r="I150" s="343">
        <f>('побудинковий звіт'!AT147+'побудинковий звіт'!BR147)*1.2</f>
        <v>289796.82667939959</v>
      </c>
      <c r="J150" s="343">
        <f t="shared" si="10"/>
        <v>27258.225696996669</v>
      </c>
      <c r="K150" s="364">
        <f t="shared" si="11"/>
        <v>1.1038255921034015</v>
      </c>
      <c r="L150" s="366">
        <f>'побудинковий звіт'!DE147</f>
        <v>104099.65000000001</v>
      </c>
      <c r="M150" s="373">
        <f>'побудинковий звіт'!DA147*-1</f>
        <v>-8015.2845519765106</v>
      </c>
    </row>
    <row r="151" spans="1:13" ht="20.100000000000001" customHeight="1" x14ac:dyDescent="0.3">
      <c r="A151" s="369" t="s">
        <v>599</v>
      </c>
      <c r="B151" s="308" t="s">
        <v>262</v>
      </c>
      <c r="C151" s="370">
        <v>5</v>
      </c>
      <c r="D151" s="360">
        <f>'побудинковий звіт'!CU148</f>
        <v>209701.97161029428</v>
      </c>
      <c r="E151" s="344">
        <f>'побудинковий звіт'!CV148</f>
        <v>289509.93984755786</v>
      </c>
      <c r="F151" s="344">
        <f t="shared" si="8"/>
        <v>79807.968237263587</v>
      </c>
      <c r="G151" s="361">
        <f t="shared" si="9"/>
        <v>1.3805780538180967</v>
      </c>
      <c r="H151" s="355">
        <f>('побудинковий звіт'!AS148+'побудинковий звіт'!BQ148)*1.2</f>
        <v>57346.673495874558</v>
      </c>
      <c r="I151" s="343">
        <f>('побудинковий звіт'!AT148+'побудинковий звіт'!BR148)*1.2</f>
        <v>101445.59999999999</v>
      </c>
      <c r="J151" s="343">
        <f t="shared" si="10"/>
        <v>44098.926504125433</v>
      </c>
      <c r="K151" s="364">
        <f t="shared" si="11"/>
        <v>1.7689883966381739</v>
      </c>
      <c r="L151" s="366">
        <f>'побудинковий звіт'!DE148</f>
        <v>18110.91</v>
      </c>
      <c r="M151" s="373">
        <f>'побудинковий звіт'!DA148*-1</f>
        <v>-25822.068791189013</v>
      </c>
    </row>
    <row r="152" spans="1:13" ht="20.100000000000001" customHeight="1" x14ac:dyDescent="0.3">
      <c r="A152" s="369" t="s">
        <v>600</v>
      </c>
      <c r="B152" s="308" t="s">
        <v>364</v>
      </c>
      <c r="C152" s="370">
        <v>9</v>
      </c>
      <c r="D152" s="360">
        <f>'побудинковий звіт'!CU149</f>
        <v>320804.55963990354</v>
      </c>
      <c r="E152" s="344">
        <f>'побудинковий звіт'!CV149</f>
        <v>360915.62876924925</v>
      </c>
      <c r="F152" s="344">
        <f t="shared" si="8"/>
        <v>40111.069129345706</v>
      </c>
      <c r="G152" s="361">
        <f t="shared" si="9"/>
        <v>1.1250327276344498</v>
      </c>
      <c r="H152" s="355">
        <f>('побудинковий звіт'!AS149+'побудинковий звіт'!BQ149)*1.2</f>
        <v>88490.537255052652</v>
      </c>
      <c r="I152" s="343">
        <f>('побудинковий звіт'!AT149+'побудинковий звіт'!BR149)*1.2</f>
        <v>153136.09126073716</v>
      </c>
      <c r="J152" s="343">
        <f t="shared" si="10"/>
        <v>64645.554005684506</v>
      </c>
      <c r="K152" s="364">
        <f t="shared" si="11"/>
        <v>1.7305363489811263</v>
      </c>
      <c r="L152" s="366">
        <f>'побудинковий звіт'!DE149</f>
        <v>12164.400000000001</v>
      </c>
      <c r="M152" s="373">
        <f>'побудинковий звіт'!DA149*-1</f>
        <v>18134.658520217017</v>
      </c>
    </row>
    <row r="153" spans="1:13" ht="20.100000000000001" customHeight="1" x14ac:dyDescent="0.3">
      <c r="A153" s="369" t="s">
        <v>601</v>
      </c>
      <c r="B153" s="308" t="s">
        <v>365</v>
      </c>
      <c r="C153" s="370">
        <v>9</v>
      </c>
      <c r="D153" s="360">
        <f>'побудинковий звіт'!CU150</f>
        <v>305465.39682816638</v>
      </c>
      <c r="E153" s="344">
        <f>'побудинковий звіт'!CV150</f>
        <v>233662.11078827578</v>
      </c>
      <c r="F153" s="344">
        <f t="shared" si="8"/>
        <v>-71803.286039890605</v>
      </c>
      <c r="G153" s="361">
        <f t="shared" si="9"/>
        <v>0.76493806897452887</v>
      </c>
      <c r="H153" s="355">
        <f>('побудинковий звіт'!AS150+'побудинковий звіт'!BQ150)*1.2</f>
        <v>82126.601029275582</v>
      </c>
      <c r="I153" s="343">
        <f>('побудинковий звіт'!AT150+'побудинковий звіт'!BR150)*1.2</f>
        <v>8959.2385372011304</v>
      </c>
      <c r="J153" s="343">
        <f t="shared" si="10"/>
        <v>-73167.362492074448</v>
      </c>
      <c r="K153" s="364">
        <f t="shared" si="11"/>
        <v>0.10909057996942355</v>
      </c>
      <c r="L153" s="366">
        <f>'побудинковий звіт'!DE150</f>
        <v>57675.399999999994</v>
      </c>
      <c r="M153" s="373">
        <f>'побудинковий звіт'!DA150*-1</f>
        <v>12835.461290896361</v>
      </c>
    </row>
    <row r="154" spans="1:13" ht="20.100000000000001" customHeight="1" x14ac:dyDescent="0.3">
      <c r="A154" s="369" t="s">
        <v>602</v>
      </c>
      <c r="B154" s="308" t="s">
        <v>366</v>
      </c>
      <c r="C154" s="370">
        <v>9</v>
      </c>
      <c r="D154" s="360">
        <f>'побудинковий звіт'!CU151</f>
        <v>367988.65269766614</v>
      </c>
      <c r="E154" s="344">
        <f>'побудинковий звіт'!CV151</f>
        <v>425085.82096492447</v>
      </c>
      <c r="F154" s="344">
        <f t="shared" si="8"/>
        <v>57097.168267258327</v>
      </c>
      <c r="G154" s="361">
        <f t="shared" si="9"/>
        <v>1.1551601329244479</v>
      </c>
      <c r="H154" s="355">
        <f>('побудинковий звіт'!AS151+'побудинковий звіт'!BQ151)*1.2</f>
        <v>87533.389076892374</v>
      </c>
      <c r="I154" s="343">
        <f>('побудинковий звіт'!AT151+'побудинковий звіт'!BR151)*1.2</f>
        <v>147643.20000000001</v>
      </c>
      <c r="J154" s="343">
        <f t="shared" si="10"/>
        <v>60109.810923107638</v>
      </c>
      <c r="K154" s="364">
        <f t="shared" si="11"/>
        <v>1.6867072274592851</v>
      </c>
      <c r="L154" s="366">
        <f>'побудинковий звіт'!DE151</f>
        <v>20197.22</v>
      </c>
      <c r="M154" s="373">
        <f>'побудинковий звіт'!DA151*-1</f>
        <v>-39150.951072866381</v>
      </c>
    </row>
    <row r="155" spans="1:13" ht="20.100000000000001" customHeight="1" x14ac:dyDescent="0.3">
      <c r="A155" s="369" t="s">
        <v>603</v>
      </c>
      <c r="B155" s="308" t="s">
        <v>420</v>
      </c>
      <c r="C155" s="370">
        <v>10</v>
      </c>
      <c r="D155" s="360">
        <f>'побудинковий звіт'!CU152</f>
        <v>416771.33140880131</v>
      </c>
      <c r="E155" s="344">
        <f>'побудинковий звіт'!CV152</f>
        <v>473699.99309051258</v>
      </c>
      <c r="F155" s="344">
        <f t="shared" si="8"/>
        <v>56928.661681711266</v>
      </c>
      <c r="G155" s="361">
        <f t="shared" si="9"/>
        <v>1.1365944761346152</v>
      </c>
      <c r="H155" s="355">
        <f>('побудинковий звіт'!AS152+'побудинковий звіт'!BQ152)*1.2</f>
        <v>102901.36161156728</v>
      </c>
      <c r="I155" s="343">
        <f>('побудинковий звіт'!AT152+'побудинковий звіт'!BR152)*1.2</f>
        <v>142387.19999999998</v>
      </c>
      <c r="J155" s="343">
        <f t="shared" si="10"/>
        <v>39485.838388432705</v>
      </c>
      <c r="K155" s="364">
        <f t="shared" si="11"/>
        <v>1.3837251302609979</v>
      </c>
      <c r="L155" s="366">
        <f>'побудинковий звіт'!DE152</f>
        <v>11858.43</v>
      </c>
      <c r="M155" s="373">
        <f>'побудинковий звіт'!DA152*-1</f>
        <v>12673.537321607284</v>
      </c>
    </row>
    <row r="156" spans="1:13" ht="20.100000000000001" customHeight="1" x14ac:dyDescent="0.3">
      <c r="A156" s="369" t="s">
        <v>604</v>
      </c>
      <c r="B156" s="308" t="s">
        <v>334</v>
      </c>
      <c r="C156" s="370">
        <v>8</v>
      </c>
      <c r="D156" s="360">
        <f>'побудинковий звіт'!CU153</f>
        <v>627057.54622390156</v>
      </c>
      <c r="E156" s="344">
        <f>'побудинковий звіт'!CV153</f>
        <v>691496.11225963652</v>
      </c>
      <c r="F156" s="344">
        <f t="shared" si="8"/>
        <v>64438.566035734955</v>
      </c>
      <c r="G156" s="361">
        <f t="shared" si="9"/>
        <v>1.1027634009410774</v>
      </c>
      <c r="H156" s="355">
        <f>('побудинковий звіт'!AS153+'побудинковий звіт'!BQ153)*1.2</f>
        <v>175182.93075005521</v>
      </c>
      <c r="I156" s="343">
        <f>('побудинковий звіт'!AT153+'побудинковий звіт'!BR153)*1.2</f>
        <v>212637.6</v>
      </c>
      <c r="J156" s="343">
        <f t="shared" si="10"/>
        <v>37454.669249944796</v>
      </c>
      <c r="K156" s="364">
        <f t="shared" si="11"/>
        <v>1.2138031889841128</v>
      </c>
      <c r="L156" s="366">
        <f>'побудинковий звіт'!DE153</f>
        <v>56818.76</v>
      </c>
      <c r="M156" s="374">
        <f>'побудинковий звіт'!DA153*-1</f>
        <v>105176.79353526994</v>
      </c>
    </row>
    <row r="157" spans="1:13" ht="20.100000000000001" customHeight="1" x14ac:dyDescent="0.3">
      <c r="A157" s="369" t="s">
        <v>605</v>
      </c>
      <c r="B157" s="308" t="s">
        <v>367</v>
      </c>
      <c r="C157" s="370">
        <v>9</v>
      </c>
      <c r="D157" s="360">
        <f>'побудинковий звіт'!CU154</f>
        <v>839822.99473884061</v>
      </c>
      <c r="E157" s="344">
        <f>'побудинковий звіт'!CV154</f>
        <v>784759.38548844715</v>
      </c>
      <c r="F157" s="344">
        <f t="shared" si="8"/>
        <v>-55063.609250393463</v>
      </c>
      <c r="G157" s="361">
        <f t="shared" si="9"/>
        <v>0.93443426817871711</v>
      </c>
      <c r="H157" s="355">
        <f>('побудинковий звіт'!AS154+'побудинковий звіт'!BQ154)*1.2</f>
        <v>242003.81047772261</v>
      </c>
      <c r="I157" s="343">
        <f>('побудинковий звіт'!AT154+'побудинковий звіт'!BR154)*1.2</f>
        <v>176287.76805011416</v>
      </c>
      <c r="J157" s="343">
        <f t="shared" si="10"/>
        <v>-65716.042427608452</v>
      </c>
      <c r="K157" s="364">
        <f t="shared" si="11"/>
        <v>0.72845038143042851</v>
      </c>
      <c r="L157" s="366">
        <f>'побудинковий звіт'!DE154</f>
        <v>153116.21000000002</v>
      </c>
      <c r="M157" s="373">
        <f>'побудинковий звіт'!DA154*-1</f>
        <v>88265.870574432454</v>
      </c>
    </row>
    <row r="158" spans="1:13" ht="20.100000000000001" customHeight="1" x14ac:dyDescent="0.3">
      <c r="A158" s="369" t="s">
        <v>606</v>
      </c>
      <c r="B158" s="308" t="s">
        <v>101</v>
      </c>
      <c r="C158" s="370">
        <v>1</v>
      </c>
      <c r="D158" s="360">
        <f>'побудинковий звіт'!CU155</f>
        <v>3078.8272040140305</v>
      </c>
      <c r="E158" s="344">
        <f>'побудинковий звіт'!CV155</f>
        <v>1947.2247264248872</v>
      </c>
      <c r="F158" s="344">
        <f t="shared" si="8"/>
        <v>-1131.6024775891433</v>
      </c>
      <c r="G158" s="361">
        <f t="shared" si="9"/>
        <v>0.63245664579232863</v>
      </c>
      <c r="H158" s="355">
        <f>('побудинковий звіт'!AS155+'побудинковий звіт'!BQ155)*1.2</f>
        <v>2536.3101950006026</v>
      </c>
      <c r="I158" s="343">
        <f>('побудинковий звіт'!AT155+'побудинковий звіт'!BR155)*1.2</f>
        <v>0</v>
      </c>
      <c r="J158" s="343">
        <f t="shared" si="10"/>
        <v>-2536.3101950006026</v>
      </c>
      <c r="K158" s="364">
        <f t="shared" si="11"/>
        <v>0</v>
      </c>
      <c r="L158" s="366">
        <f>'побудинковий звіт'!DE155</f>
        <v>1124.5500000000002</v>
      </c>
      <c r="M158" s="373">
        <f>'побудинковий звіт'!DA155*-1</f>
        <v>1439.057310553665</v>
      </c>
    </row>
    <row r="159" spans="1:13" ht="20.100000000000001" customHeight="1" x14ac:dyDescent="0.3">
      <c r="A159" s="369" t="s">
        <v>607</v>
      </c>
      <c r="B159" s="308" t="s">
        <v>102</v>
      </c>
      <c r="C159" s="370">
        <v>1</v>
      </c>
      <c r="D159" s="360">
        <f>'побудинковий звіт'!CU156</f>
        <v>4615.8374948857763</v>
      </c>
      <c r="E159" s="344">
        <f>'побудинковий звіт'!CV156</f>
        <v>2281.1042731765115</v>
      </c>
      <c r="F159" s="344">
        <f t="shared" si="8"/>
        <v>-2334.7332217092649</v>
      </c>
      <c r="G159" s="361">
        <f t="shared" si="9"/>
        <v>0.49419076726680988</v>
      </c>
      <c r="H159" s="355">
        <f>('побудинковий звіт'!AS156+'побудинковий звіт'!BQ156)*1.2</f>
        <v>3183.2356858162007</v>
      </c>
      <c r="I159" s="343">
        <f>('побудинковий звіт'!AT156+'побудинковий звіт'!BR156)*1.2</f>
        <v>0</v>
      </c>
      <c r="J159" s="343">
        <f t="shared" si="10"/>
        <v>-3183.2356858162007</v>
      </c>
      <c r="K159" s="364">
        <f t="shared" si="11"/>
        <v>0</v>
      </c>
      <c r="L159" s="366">
        <f>'побудинковий звіт'!DE156</f>
        <v>0</v>
      </c>
      <c r="M159" s="373">
        <f>'побудинковий звіт'!DA156*-1</f>
        <v>8234.7957460977268</v>
      </c>
    </row>
    <row r="160" spans="1:13" ht="20.100000000000001" customHeight="1" x14ac:dyDescent="0.3">
      <c r="A160" s="369" t="s">
        <v>608</v>
      </c>
      <c r="B160" s="308" t="s">
        <v>368</v>
      </c>
      <c r="C160" s="370">
        <v>9</v>
      </c>
      <c r="D160" s="360">
        <f>'побудинковий звіт'!CU157</f>
        <v>647346.50042889372</v>
      </c>
      <c r="E160" s="344">
        <f>'побудинковий звіт'!CV157</f>
        <v>681764.54842280422</v>
      </c>
      <c r="F160" s="344">
        <f t="shared" si="8"/>
        <v>34418.047993910499</v>
      </c>
      <c r="G160" s="361">
        <f t="shared" si="9"/>
        <v>1.0531678907217497</v>
      </c>
      <c r="H160" s="355">
        <f>('побудинковий звіт'!AS157+'побудинковий звіт'!BQ157)*1.2</f>
        <v>170256.33000066192</v>
      </c>
      <c r="I160" s="343">
        <f>('побудинковий звіт'!AT157+'побудинковий звіт'!BR157)*1.2</f>
        <v>189813.6</v>
      </c>
      <c r="J160" s="343">
        <f t="shared" si="10"/>
        <v>19557.269999338081</v>
      </c>
      <c r="K160" s="364">
        <f t="shared" si="11"/>
        <v>1.1148695616736368</v>
      </c>
      <c r="L160" s="366">
        <f>'побудинковий звіт'!DE157</f>
        <v>67746.94</v>
      </c>
      <c r="M160" s="373">
        <f>'побудинковий звіт'!DA157*-1</f>
        <v>760.65421834344306</v>
      </c>
    </row>
    <row r="161" spans="1:13" ht="20.100000000000001" customHeight="1" x14ac:dyDescent="0.3">
      <c r="A161" s="369" t="s">
        <v>609</v>
      </c>
      <c r="B161" s="308" t="s">
        <v>335</v>
      </c>
      <c r="C161" s="370">
        <v>8</v>
      </c>
      <c r="D161" s="360">
        <f>'побудинковий звіт'!CU158</f>
        <v>511073.18288368476</v>
      </c>
      <c r="E161" s="344">
        <f>'побудинковий звіт'!CV158</f>
        <v>399216.16584044986</v>
      </c>
      <c r="F161" s="344">
        <f t="shared" si="8"/>
        <v>-111857.0170432349</v>
      </c>
      <c r="G161" s="361">
        <f t="shared" si="9"/>
        <v>0.78113307293469858</v>
      </c>
      <c r="H161" s="355">
        <f>('побудинковий звіт'!AS158+'побудинковий звіт'!BQ158)*1.2</f>
        <v>143547.10017572218</v>
      </c>
      <c r="I161" s="343">
        <f>('побудинковий звіт'!AT158+'побудинковий звіт'!BR158)*1.2</f>
        <v>21676.155570364816</v>
      </c>
      <c r="J161" s="343">
        <f t="shared" si="10"/>
        <v>-121870.94460535736</v>
      </c>
      <c r="K161" s="364">
        <f t="shared" si="11"/>
        <v>0.15100378582242413</v>
      </c>
      <c r="L161" s="366">
        <f>'побудинковий звіт'!DE158</f>
        <v>22143.480000000003</v>
      </c>
      <c r="M161" s="373">
        <f>'побудинковий звіт'!DA158*-1</f>
        <v>-15711.448066805431</v>
      </c>
    </row>
    <row r="162" spans="1:13" ht="20.100000000000001" customHeight="1" x14ac:dyDescent="0.3">
      <c r="A162" s="369" t="s">
        <v>610</v>
      </c>
      <c r="B162" s="308" t="s">
        <v>103</v>
      </c>
      <c r="C162" s="370">
        <v>1</v>
      </c>
      <c r="D162" s="360">
        <f>'побудинковий звіт'!CU159</f>
        <v>4048.8986848908407</v>
      </c>
      <c r="E162" s="344">
        <f>'побудинковий звіт'!CV159</f>
        <v>3565.7262947828849</v>
      </c>
      <c r="F162" s="344">
        <f t="shared" si="8"/>
        <v>-483.17239010795583</v>
      </c>
      <c r="G162" s="361">
        <f t="shared" si="9"/>
        <v>0.88066572475349991</v>
      </c>
      <c r="H162" s="355">
        <f>('побудинковий звіт'!AS159+'побудинковий звіт'!BQ159)*1.2</f>
        <v>2444.0223983910432</v>
      </c>
      <c r="I162" s="343">
        <f>('побудинковий звіт'!AT159+'побудинковий звіт'!BR159)*1.2</f>
        <v>0</v>
      </c>
      <c r="J162" s="343">
        <f t="shared" si="10"/>
        <v>-2444.0223983910432</v>
      </c>
      <c r="K162" s="364">
        <f t="shared" si="11"/>
        <v>0</v>
      </c>
      <c r="L162" s="366">
        <f>'побудинковий звіт'!DE159</f>
        <v>110.80000000000001</v>
      </c>
      <c r="M162" s="373">
        <f>'побудинковий звіт'!DA159*-1</f>
        <v>359.82541350412066</v>
      </c>
    </row>
    <row r="163" spans="1:13" ht="20.100000000000001" customHeight="1" x14ac:dyDescent="0.3">
      <c r="A163" s="369" t="s">
        <v>611</v>
      </c>
      <c r="B163" s="308" t="s">
        <v>104</v>
      </c>
      <c r="C163" s="370">
        <v>1</v>
      </c>
      <c r="D163" s="360">
        <f>'побудинковий звіт'!CU160</f>
        <v>3873.5418465281241</v>
      </c>
      <c r="E163" s="344">
        <f>'побудинковий звіт'!CV160</f>
        <v>3596.411423402727</v>
      </c>
      <c r="F163" s="344">
        <f t="shared" si="8"/>
        <v>-277.1304231253971</v>
      </c>
      <c r="G163" s="361">
        <f t="shared" si="9"/>
        <v>0.92845554944145225</v>
      </c>
      <c r="H163" s="355">
        <f>('побудинковий звіт'!AS160+'побудинковий звіт'!BQ160)*1.2</f>
        <v>2327.2979203113109</v>
      </c>
      <c r="I163" s="343">
        <f>('побудинковий звіт'!AT160+'побудинковий звіт'!BR160)*1.2</f>
        <v>0</v>
      </c>
      <c r="J163" s="343">
        <f t="shared" si="10"/>
        <v>-2327.2979203113109</v>
      </c>
      <c r="K163" s="364">
        <f t="shared" si="11"/>
        <v>0</v>
      </c>
      <c r="L163" s="366">
        <f>'побудинковий звіт'!DE160</f>
        <v>0</v>
      </c>
      <c r="M163" s="373">
        <f>'побудинковий звіт'!DA160*-1</f>
        <v>4642.6193952481135</v>
      </c>
    </row>
    <row r="164" spans="1:13" ht="20.100000000000001" customHeight="1" x14ac:dyDescent="0.3">
      <c r="A164" s="369" t="s">
        <v>612</v>
      </c>
      <c r="B164" s="308" t="s">
        <v>369</v>
      </c>
      <c r="C164" s="370">
        <v>9</v>
      </c>
      <c r="D164" s="360">
        <f>'побудинковий звіт'!CU161</f>
        <v>563113.54179975577</v>
      </c>
      <c r="E164" s="344">
        <f>'побудинковий звіт'!CV161</f>
        <v>526572.13049560564</v>
      </c>
      <c r="F164" s="344">
        <f t="shared" si="8"/>
        <v>-36541.411304150126</v>
      </c>
      <c r="G164" s="361">
        <f t="shared" si="9"/>
        <v>0.93510827108266503</v>
      </c>
      <c r="H164" s="355">
        <f>('побудинковий звіт'!AS161+'побудинковий звіт'!BQ161)*1.2</f>
        <v>137273.61445603467</v>
      </c>
      <c r="I164" s="343">
        <f>('побудинковий звіт'!AT161+'побудинковий звіт'!BR161)*1.2</f>
        <v>120274.79999999999</v>
      </c>
      <c r="J164" s="343">
        <f t="shared" si="10"/>
        <v>-16998.814456034685</v>
      </c>
      <c r="K164" s="364">
        <f t="shared" si="11"/>
        <v>0.87616837712480444</v>
      </c>
      <c r="L164" s="366">
        <f>'побудинковий звіт'!DE161</f>
        <v>19927.599999999999</v>
      </c>
      <c r="M164" s="373">
        <f>'побудинковий звіт'!DA161*-1</f>
        <v>82245.963823036029</v>
      </c>
    </row>
    <row r="165" spans="1:13" ht="20.100000000000001" customHeight="1" x14ac:dyDescent="0.3">
      <c r="A165" s="369" t="s">
        <v>613</v>
      </c>
      <c r="B165" s="308" t="s">
        <v>105</v>
      </c>
      <c r="C165" s="370">
        <v>1</v>
      </c>
      <c r="D165" s="360">
        <f>'побудинковий звіт'!CU162</f>
        <v>706.3367271625707</v>
      </c>
      <c r="E165" s="344">
        <f>'побудинковий звіт'!CV162</f>
        <v>1095.1588875516659</v>
      </c>
      <c r="F165" s="344">
        <f t="shared" si="8"/>
        <v>388.82216038909519</v>
      </c>
      <c r="G165" s="361">
        <f t="shared" si="9"/>
        <v>1.5504770535591925</v>
      </c>
      <c r="H165" s="355">
        <f>('побудинковий звіт'!AS162+'побудинковий звіт'!BQ162)*1.2</f>
        <v>194.94720000000001</v>
      </c>
      <c r="I165" s="343">
        <f>('побудинковий звіт'!AT162+'побудинковий звіт'!BR162)*1.2</f>
        <v>922.8</v>
      </c>
      <c r="J165" s="343">
        <f t="shared" si="10"/>
        <v>727.85279999999989</v>
      </c>
      <c r="K165" s="364">
        <f t="shared" si="11"/>
        <v>4.7335894026690299</v>
      </c>
      <c r="L165" s="366">
        <f>'побудинковий звіт'!DE162</f>
        <v>0</v>
      </c>
      <c r="M165" s="373">
        <f>'побудинковий звіт'!DA162*-1</f>
        <v>505.0813869180007</v>
      </c>
    </row>
    <row r="166" spans="1:13" ht="20.100000000000001" customHeight="1" x14ac:dyDescent="0.3">
      <c r="A166" s="369" t="s">
        <v>614</v>
      </c>
      <c r="B166" s="308" t="s">
        <v>106</v>
      </c>
      <c r="C166" s="370">
        <v>1</v>
      </c>
      <c r="D166" s="360">
        <f>'побудинковий звіт'!CU163</f>
        <v>833.80930703809315</v>
      </c>
      <c r="E166" s="344">
        <f>'побудинковий звіт'!CV163</f>
        <v>78.003260086229048</v>
      </c>
      <c r="F166" s="344">
        <f t="shared" si="8"/>
        <v>-755.80604695186412</v>
      </c>
      <c r="G166" s="361">
        <f t="shared" si="9"/>
        <v>9.3550479021776392E-2</v>
      </c>
      <c r="H166" s="355">
        <f>('побудинковий звіт'!AS163+'побудинковий звіт'!BQ163)*1.2</f>
        <v>620.7303373870219</v>
      </c>
      <c r="I166" s="343">
        <f>('побудинковий звіт'!AT163+'побудинковий звіт'!BR163)*1.2</f>
        <v>0</v>
      </c>
      <c r="J166" s="343">
        <f t="shared" si="10"/>
        <v>-620.7303373870219</v>
      </c>
      <c r="K166" s="364">
        <f t="shared" si="11"/>
        <v>0</v>
      </c>
      <c r="L166" s="366">
        <f>'побудинковий звіт'!DE163</f>
        <v>0</v>
      </c>
      <c r="M166" s="373">
        <f>'побудинковий звіт'!DA163*-1</f>
        <v>3730.0424435814061</v>
      </c>
    </row>
    <row r="167" spans="1:13" ht="20.100000000000001" customHeight="1" x14ac:dyDescent="0.3">
      <c r="A167" s="369" t="s">
        <v>615</v>
      </c>
      <c r="B167" s="308" t="s">
        <v>107</v>
      </c>
      <c r="C167" s="370">
        <v>1</v>
      </c>
      <c r="D167" s="360">
        <f>'побудинковий звіт'!CU164</f>
        <v>1063.0422752168224</v>
      </c>
      <c r="E167" s="344">
        <f>'побудинковий звіт'!CV164</f>
        <v>107.80871630865133</v>
      </c>
      <c r="F167" s="344">
        <f t="shared" si="8"/>
        <v>-955.23355890817106</v>
      </c>
      <c r="G167" s="361">
        <f t="shared" si="9"/>
        <v>0.10141526712722899</v>
      </c>
      <c r="H167" s="355">
        <f>('побудинковий звіт'!AS164+'побудинковий звіт'!BQ164)*1.2</f>
        <v>849.96330556575128</v>
      </c>
      <c r="I167" s="343">
        <f>('побудинковий звіт'!AT164+'побудинковий звіт'!BR164)*1.2</f>
        <v>0</v>
      </c>
      <c r="J167" s="343">
        <f t="shared" si="10"/>
        <v>-849.96330556575128</v>
      </c>
      <c r="K167" s="364">
        <f t="shared" si="11"/>
        <v>0</v>
      </c>
      <c r="L167" s="366">
        <f>'побудинковий звіт'!DE164</f>
        <v>0</v>
      </c>
      <c r="M167" s="373">
        <f>'побудинковий звіт'!DA164*-1</f>
        <v>4799.0765918096913</v>
      </c>
    </row>
    <row r="168" spans="1:13" ht="20.100000000000001" customHeight="1" x14ac:dyDescent="0.3">
      <c r="A168" s="369" t="s">
        <v>616</v>
      </c>
      <c r="B168" s="308" t="s">
        <v>108</v>
      </c>
      <c r="C168" s="370">
        <v>1</v>
      </c>
      <c r="D168" s="360">
        <f>'побудинковий звіт'!CU165</f>
        <v>2717.3987742582685</v>
      </c>
      <c r="E168" s="344">
        <f>'побудинковий звіт'!CV165</f>
        <v>283.22973848742885</v>
      </c>
      <c r="F168" s="344">
        <f t="shared" si="8"/>
        <v>-2434.1690357708399</v>
      </c>
      <c r="G168" s="361">
        <f t="shared" si="9"/>
        <v>0.10422825724749885</v>
      </c>
      <c r="H168" s="355">
        <f>('побудинковий звіт'!AS165+'побудинковий звіт'!BQ165)*1.2</f>
        <v>2376.4724228165546</v>
      </c>
      <c r="I168" s="343">
        <f>('побудинковий звіт'!AT165+'побудинковий звіт'!BR165)*1.2</f>
        <v>0</v>
      </c>
      <c r="J168" s="343">
        <f t="shared" si="10"/>
        <v>-2376.4724228165546</v>
      </c>
      <c r="K168" s="364">
        <f t="shared" si="11"/>
        <v>0</v>
      </c>
      <c r="L168" s="366">
        <f>'побудинковий звіт'!DE165</f>
        <v>-1.2200000000000273</v>
      </c>
      <c r="M168" s="373">
        <f>'побудинковий звіт'!DA165*-1</f>
        <v>6501.6802018649969</v>
      </c>
    </row>
    <row r="169" spans="1:13" ht="20.100000000000001" customHeight="1" x14ac:dyDescent="0.3">
      <c r="A169" s="369" t="s">
        <v>617</v>
      </c>
      <c r="B169" s="308" t="s">
        <v>109</v>
      </c>
      <c r="C169" s="370">
        <v>1</v>
      </c>
      <c r="D169" s="360">
        <f>'побудинковий звіт'!CU166</f>
        <v>3992.5467266863193</v>
      </c>
      <c r="E169" s="344">
        <f>'побудинковий звіт'!CV166</f>
        <v>401.87215187167504</v>
      </c>
      <c r="F169" s="344">
        <f t="shared" si="8"/>
        <v>-3590.6745748146441</v>
      </c>
      <c r="G169" s="361">
        <f t="shared" si="9"/>
        <v>0.10065559137618799</v>
      </c>
      <c r="H169" s="355">
        <f>('побудинковий звіт'!AS166+'побудинковий звіт'!BQ166)*1.2</f>
        <v>3537.6217686017403</v>
      </c>
      <c r="I169" s="343">
        <f>('побудинковий звіт'!AT166+'побудинковий звіт'!BR166)*1.2</f>
        <v>0</v>
      </c>
      <c r="J169" s="343">
        <f t="shared" si="10"/>
        <v>-3537.6217686017403</v>
      </c>
      <c r="K169" s="364">
        <f t="shared" si="11"/>
        <v>0</v>
      </c>
      <c r="L169" s="366">
        <f>'побудинковий звіт'!DE166</f>
        <v>-28.279999999999973</v>
      </c>
      <c r="M169" s="373">
        <f>'побудинковий звіт'!DA166*-1</f>
        <v>6268.7947953295698</v>
      </c>
    </row>
    <row r="170" spans="1:13" ht="20.100000000000001" customHeight="1" x14ac:dyDescent="0.3">
      <c r="A170" s="369" t="s">
        <v>618</v>
      </c>
      <c r="B170" s="308" t="s">
        <v>110</v>
      </c>
      <c r="C170" s="370">
        <v>1</v>
      </c>
      <c r="D170" s="360">
        <f>'побудинковий звіт'!CU167</f>
        <v>3477.9435018660365</v>
      </c>
      <c r="E170" s="344">
        <f>'побудинковий звіт'!CV167</f>
        <v>449.29672883497801</v>
      </c>
      <c r="F170" s="344">
        <f t="shared" si="8"/>
        <v>-3028.6467730310587</v>
      </c>
      <c r="G170" s="361">
        <f t="shared" si="9"/>
        <v>0.12918459675780095</v>
      </c>
      <c r="H170" s="355">
        <f>('побудинковий звіт'!AS167+'побудинковий звіт'!BQ167)*1.2</f>
        <v>3193.8382089979414</v>
      </c>
      <c r="I170" s="343">
        <f>('побудинковий звіт'!AT167+'побудинковий звіт'!BR167)*1.2</f>
        <v>0</v>
      </c>
      <c r="J170" s="343">
        <f t="shared" si="10"/>
        <v>-3193.8382089979414</v>
      </c>
      <c r="K170" s="364">
        <f t="shared" si="11"/>
        <v>0</v>
      </c>
      <c r="L170" s="366">
        <f>'побудинковий звіт'!DE167</f>
        <v>965.28</v>
      </c>
      <c r="M170" s="373">
        <f>'побудинковий звіт'!DA167*-1</f>
        <v>9210.9964744761019</v>
      </c>
    </row>
    <row r="171" spans="1:13" ht="20.100000000000001" customHeight="1" x14ac:dyDescent="0.3">
      <c r="A171" s="369" t="s">
        <v>619</v>
      </c>
      <c r="B171" s="308" t="s">
        <v>111</v>
      </c>
      <c r="C171" s="370">
        <v>1</v>
      </c>
      <c r="D171" s="360">
        <f>'побудинковий звіт'!CU168</f>
        <v>2461.2796109887745</v>
      </c>
      <c r="E171" s="344">
        <f>'побудинковий звіт'!CV168</f>
        <v>197.92608529484332</v>
      </c>
      <c r="F171" s="344">
        <f t="shared" si="8"/>
        <v>-2263.3535256939313</v>
      </c>
      <c r="G171" s="361">
        <f t="shared" si="9"/>
        <v>8.0415928532122399E-2</v>
      </c>
      <c r="H171" s="355">
        <f>('побудинковий звіт'!AS168+'побудинковий звіт'!BQ168)*1.2</f>
        <v>2063.5322009734418</v>
      </c>
      <c r="I171" s="343">
        <f>('побудинковий звіт'!AT168+'побудинковий звіт'!BR168)*1.2</f>
        <v>0</v>
      </c>
      <c r="J171" s="343">
        <f t="shared" si="10"/>
        <v>-2063.5322009734418</v>
      </c>
      <c r="K171" s="364">
        <f t="shared" si="11"/>
        <v>0</v>
      </c>
      <c r="L171" s="366">
        <f>'побудинковий звіт'!DE168</f>
        <v>-326.5</v>
      </c>
      <c r="M171" s="373">
        <f>'побудинковий звіт'!DA168*-1</f>
        <v>6858.8152368940509</v>
      </c>
    </row>
    <row r="172" spans="1:13" ht="20.100000000000001" customHeight="1" x14ac:dyDescent="0.3">
      <c r="A172" s="369" t="s">
        <v>620</v>
      </c>
      <c r="B172" s="308" t="s">
        <v>112</v>
      </c>
      <c r="C172" s="370">
        <v>1</v>
      </c>
      <c r="D172" s="360">
        <f>'побудинковий звіт'!CU169</f>
        <v>3759.8883087787794</v>
      </c>
      <c r="E172" s="344">
        <f>'побудинковий звіт'!CV169</f>
        <v>263.13919494977279</v>
      </c>
      <c r="F172" s="344">
        <f t="shared" si="8"/>
        <v>-3496.7491138290065</v>
      </c>
      <c r="G172" s="361">
        <f t="shared" si="9"/>
        <v>6.9985907383307622E-2</v>
      </c>
      <c r="H172" s="355">
        <f>('побудинковий звіт'!AS169+'побудинковий звіт'!BQ169)*1.2</f>
        <v>3248.4987816162084</v>
      </c>
      <c r="I172" s="343">
        <f>('побудинковий звіт'!AT169+'побудинковий звіт'!BR169)*1.2</f>
        <v>0</v>
      </c>
      <c r="J172" s="343">
        <f t="shared" si="10"/>
        <v>-3248.4987816162084</v>
      </c>
      <c r="K172" s="364">
        <f t="shared" si="11"/>
        <v>0</v>
      </c>
      <c r="L172" s="366">
        <f>'побудинковий звіт'!DE169</f>
        <v>72.519999999999982</v>
      </c>
      <c r="M172" s="373">
        <f>'побудинковий звіт'!DA169*-1</f>
        <v>8847.8463458587539</v>
      </c>
    </row>
    <row r="173" spans="1:13" ht="20.100000000000001" customHeight="1" x14ac:dyDescent="0.3">
      <c r="A173" s="369" t="s">
        <v>621</v>
      </c>
      <c r="B173" s="308" t="s">
        <v>113</v>
      </c>
      <c r="C173" s="370">
        <v>1</v>
      </c>
      <c r="D173" s="360">
        <f>'побудинковий звіт'!CU170</f>
        <v>5492.2344837640048</v>
      </c>
      <c r="E173" s="344">
        <f>'побудинковий звіт'!CV170</f>
        <v>472.77824743985201</v>
      </c>
      <c r="F173" s="344">
        <f t="shared" si="8"/>
        <v>-5019.456236324153</v>
      </c>
      <c r="G173" s="361">
        <f t="shared" si="9"/>
        <v>8.6081220464542488E-2</v>
      </c>
      <c r="H173" s="355">
        <f>('побудинковий звіт'!AS170+'побудинковий звіт'!BQ170)*1.2</f>
        <v>5037.666015175053</v>
      </c>
      <c r="I173" s="343">
        <f>('побудинковий звіт'!AT170+'побудинковий звіт'!BR170)*1.2</f>
        <v>0</v>
      </c>
      <c r="J173" s="343">
        <f t="shared" si="10"/>
        <v>-5037.666015175053</v>
      </c>
      <c r="K173" s="364">
        <f t="shared" si="11"/>
        <v>0</v>
      </c>
      <c r="L173" s="366">
        <f>'побудинковий звіт'!DE170</f>
        <v>295.13</v>
      </c>
      <c r="M173" s="373">
        <f>'побудинковий звіт'!DA170*-1</f>
        <v>13645.968036433042</v>
      </c>
    </row>
    <row r="174" spans="1:13" ht="20.100000000000001" customHeight="1" x14ac:dyDescent="0.3">
      <c r="A174" s="369" t="s">
        <v>622</v>
      </c>
      <c r="B174" s="308" t="s">
        <v>114</v>
      </c>
      <c r="C174" s="370">
        <v>1</v>
      </c>
      <c r="D174" s="360">
        <f>'побудинковий звіт'!CU171</f>
        <v>2337.9620964616884</v>
      </c>
      <c r="E174" s="344">
        <f>'побудинковий звіт'!CV171</f>
        <v>211.29451545044006</v>
      </c>
      <c r="F174" s="344">
        <f t="shared" si="8"/>
        <v>-2126.6675810112483</v>
      </c>
      <c r="G174" s="361">
        <f t="shared" si="9"/>
        <v>9.037550941061738E-2</v>
      </c>
      <c r="H174" s="355">
        <f>('побудинковий звіт'!AS171+'побудинковий звіт'!BQ171)*1.2</f>
        <v>2110.6778621672124</v>
      </c>
      <c r="I174" s="343">
        <f>('побудинковий звіт'!AT171+'побудинковий звіт'!BR171)*1.2</f>
        <v>0</v>
      </c>
      <c r="J174" s="343">
        <f t="shared" si="10"/>
        <v>-2110.6778621672124</v>
      </c>
      <c r="K174" s="364">
        <f t="shared" si="11"/>
        <v>0</v>
      </c>
      <c r="L174" s="366">
        <f>'побудинковий звіт'!DE171</f>
        <v>334.15</v>
      </c>
      <c r="M174" s="373">
        <f>'побудинковий звіт'!DA171*-1</f>
        <v>5481.2088224081099</v>
      </c>
    </row>
    <row r="175" spans="1:13" ht="20.100000000000001" customHeight="1" x14ac:dyDescent="0.3">
      <c r="A175" s="369" t="s">
        <v>623</v>
      </c>
      <c r="B175" s="308" t="s">
        <v>263</v>
      </c>
      <c r="C175" s="370">
        <v>5</v>
      </c>
      <c r="D175" s="360">
        <f>'побудинковий звіт'!CU172</f>
        <v>274153.05056031799</v>
      </c>
      <c r="E175" s="344">
        <f>'побудинковий звіт'!CV172</f>
        <v>243697.01212890365</v>
      </c>
      <c r="F175" s="344">
        <f t="shared" si="8"/>
        <v>-30456.038431414345</v>
      </c>
      <c r="G175" s="361">
        <f t="shared" si="9"/>
        <v>0.88890862834038198</v>
      </c>
      <c r="H175" s="355">
        <f>('побудинковий звіт'!AS172+'побудинковий звіт'!BQ172)*1.2</f>
        <v>90369.89500982457</v>
      </c>
      <c r="I175" s="343">
        <f>('побудинковий звіт'!AT172+'побудинковий звіт'!BR172)*1.2</f>
        <v>54750</v>
      </c>
      <c r="J175" s="343">
        <f t="shared" si="10"/>
        <v>-35619.89500982457</v>
      </c>
      <c r="K175" s="364">
        <f t="shared" si="11"/>
        <v>0.6058433507535651</v>
      </c>
      <c r="L175" s="366">
        <f>'побудинковий звіт'!DE172</f>
        <v>62846.81</v>
      </c>
      <c r="M175" s="373">
        <f>'побудинковий звіт'!DA172*-1</f>
        <v>-78912.896501531155</v>
      </c>
    </row>
    <row r="176" spans="1:13" ht="20.100000000000001" customHeight="1" x14ac:dyDescent="0.3">
      <c r="A176" s="369" t="s">
        <v>624</v>
      </c>
      <c r="B176" s="308" t="s">
        <v>214</v>
      </c>
      <c r="C176" s="370">
        <v>4</v>
      </c>
      <c r="D176" s="360">
        <f>'побудинковий звіт'!CU173</f>
        <v>129698.71962639477</v>
      </c>
      <c r="E176" s="344">
        <f>'побудинковий звіт'!CV173</f>
        <v>165918.00155547468</v>
      </c>
      <c r="F176" s="344">
        <f t="shared" si="8"/>
        <v>36219.281929079909</v>
      </c>
      <c r="G176" s="361">
        <f t="shared" si="9"/>
        <v>1.2792570507512473</v>
      </c>
      <c r="H176" s="355">
        <f>('побудинковий звіт'!AS173+'побудинковий звіт'!BQ173)*1.2</f>
        <v>38112.209694298617</v>
      </c>
      <c r="I176" s="343">
        <f>('побудинковий звіт'!AT173+'побудинковий звіт'!BR173)*1.2</f>
        <v>70874.399999999994</v>
      </c>
      <c r="J176" s="343">
        <f t="shared" si="10"/>
        <v>32762.190305701377</v>
      </c>
      <c r="K176" s="364">
        <f t="shared" si="11"/>
        <v>1.8596245289499029</v>
      </c>
      <c r="L176" s="366">
        <f>'побудинковий звіт'!DE173</f>
        <v>63597.599999999999</v>
      </c>
      <c r="M176" s="373">
        <f>'побудинковий звіт'!DA173*-1</f>
        <v>-1952.5898689121022</v>
      </c>
    </row>
    <row r="177" spans="1:13" ht="20.100000000000001" customHeight="1" x14ac:dyDescent="0.3">
      <c r="A177" s="369" t="s">
        <v>625</v>
      </c>
      <c r="B177" s="308" t="s">
        <v>167</v>
      </c>
      <c r="C177" s="370">
        <v>2</v>
      </c>
      <c r="D177" s="360">
        <f>'побудинковий звіт'!CU174</f>
        <v>16255.88645370055</v>
      </c>
      <c r="E177" s="344">
        <f>'побудинковий звіт'!CV174</f>
        <v>10633.776921074921</v>
      </c>
      <c r="F177" s="344">
        <f t="shared" si="8"/>
        <v>-5622.1095326256291</v>
      </c>
      <c r="G177" s="361">
        <f t="shared" si="9"/>
        <v>0.65414931085804973</v>
      </c>
      <c r="H177" s="355">
        <f>('побудинковий звіт'!AS174+'побудинковий звіт'!BQ174)*1.2</f>
        <v>7518.6040078781707</v>
      </c>
      <c r="I177" s="343">
        <f>('побудинковий звіт'!AT174+'побудинковий звіт'!BR174)*1.2</f>
        <v>3465.6</v>
      </c>
      <c r="J177" s="343">
        <f t="shared" si="10"/>
        <v>-4053.0040078781708</v>
      </c>
      <c r="K177" s="364">
        <f t="shared" si="11"/>
        <v>0.46093663083847247</v>
      </c>
      <c r="L177" s="366">
        <f>'побудинковий звіт'!DE174</f>
        <v>26.369999999999891</v>
      </c>
      <c r="M177" s="373">
        <f>'побудинковий звіт'!DA174*-1</f>
        <v>2518.3952210132575</v>
      </c>
    </row>
    <row r="178" spans="1:13" ht="20.100000000000001" customHeight="1" x14ac:dyDescent="0.3">
      <c r="A178" s="369" t="s">
        <v>626</v>
      </c>
      <c r="B178" s="308" t="s">
        <v>116</v>
      </c>
      <c r="C178" s="370">
        <v>1</v>
      </c>
      <c r="D178" s="360">
        <f>'побудинковий звіт'!CU175</f>
        <v>2743.7300865489747</v>
      </c>
      <c r="E178" s="344">
        <f>'побудинковий звіт'!CV175</f>
        <v>212.08827436151398</v>
      </c>
      <c r="F178" s="344">
        <f t="shared" si="8"/>
        <v>-2531.6418121874608</v>
      </c>
      <c r="G178" s="361">
        <f t="shared" si="9"/>
        <v>7.7299248713008667E-2</v>
      </c>
      <c r="H178" s="355">
        <f>('побудинковий звіт'!AS175+'побудинковий звіт'!BQ175)*1.2</f>
        <v>2516.4458522544987</v>
      </c>
      <c r="I178" s="343">
        <f>('побудинковий звіт'!AT175+'побудинковий звіт'!BR175)*1.2</f>
        <v>0</v>
      </c>
      <c r="J178" s="343">
        <f t="shared" si="10"/>
        <v>-2516.4458522544987</v>
      </c>
      <c r="K178" s="364">
        <f t="shared" si="11"/>
        <v>0</v>
      </c>
      <c r="L178" s="366">
        <f>'побудинковий звіт'!DE175</f>
        <v>0</v>
      </c>
      <c r="M178" s="373">
        <f>'побудинковий звіт'!DA175*-1</f>
        <v>89.158216270938738</v>
      </c>
    </row>
    <row r="179" spans="1:13" ht="20.100000000000001" customHeight="1" x14ac:dyDescent="0.3">
      <c r="A179" s="369" t="s">
        <v>627</v>
      </c>
      <c r="B179" s="308" t="s">
        <v>117</v>
      </c>
      <c r="C179" s="370">
        <v>1</v>
      </c>
      <c r="D179" s="360">
        <f>'побудинковий звіт'!CU176</f>
        <v>3460.6821546706087</v>
      </c>
      <c r="E179" s="344">
        <f>'побудинковий звіт'!CV176</f>
        <v>915.60887967108692</v>
      </c>
      <c r="F179" s="344">
        <f t="shared" ref="F179:F237" si="12">E179-D179</f>
        <v>-2545.0732749995218</v>
      </c>
      <c r="G179" s="361">
        <f t="shared" ref="G179:G237" si="13">E179/D179</f>
        <v>0.26457468173879017</v>
      </c>
      <c r="H179" s="355">
        <f>('побудинковий звіт'!AS176+'побудинковий звіт'!BQ176)*1.2</f>
        <v>2889.4527327521437</v>
      </c>
      <c r="I179" s="343">
        <f>('побудинковий звіт'!AT176+'побудинковий звіт'!BR176)*1.2</f>
        <v>0</v>
      </c>
      <c r="J179" s="343">
        <f t="shared" ref="J179:J237" si="14">I179-H179</f>
        <v>-2889.4527327521437</v>
      </c>
      <c r="K179" s="364">
        <f t="shared" ref="K179:K237" si="15">I179/H179</f>
        <v>0</v>
      </c>
      <c r="L179" s="366">
        <f>'побудинковий звіт'!DE176</f>
        <v>1110.0500000000002</v>
      </c>
      <c r="M179" s="373">
        <f>'побудинковий звіт'!DA176*-1</f>
        <v>7843.2015658036862</v>
      </c>
    </row>
    <row r="180" spans="1:13" ht="20.100000000000001" customHeight="1" x14ac:dyDescent="0.3">
      <c r="A180" s="369" t="s">
        <v>628</v>
      </c>
      <c r="B180" s="308" t="s">
        <v>118</v>
      </c>
      <c r="C180" s="370">
        <v>1</v>
      </c>
      <c r="D180" s="360">
        <f>'побудинковий звіт'!CU177</f>
        <v>4050.3564221197848</v>
      </c>
      <c r="E180" s="344">
        <f>'побудинковий звіт'!CV177</f>
        <v>2352.7241367634711</v>
      </c>
      <c r="F180" s="344">
        <f t="shared" si="12"/>
        <v>-1697.6322853563138</v>
      </c>
      <c r="G180" s="361">
        <f t="shared" si="13"/>
        <v>0.5808684203480925</v>
      </c>
      <c r="H180" s="355">
        <f>('побудинковий звіт'!AS177+'побудинковий звіт'!BQ177)*1.2</f>
        <v>3736.3311818737429</v>
      </c>
      <c r="I180" s="343">
        <f>('побудинковий звіт'!AT177+'побудинковий звіт'!BR177)*1.2</f>
        <v>0</v>
      </c>
      <c r="J180" s="343">
        <f t="shared" si="14"/>
        <v>-3736.3311818737429</v>
      </c>
      <c r="K180" s="364">
        <f t="shared" si="15"/>
        <v>0</v>
      </c>
      <c r="L180" s="366">
        <f>'побудинковий звіт'!DE177</f>
        <v>87.479999999999961</v>
      </c>
      <c r="M180" s="373">
        <f>'побудинковий звіт'!DA177*-1</f>
        <v>3753.3372934842155</v>
      </c>
    </row>
    <row r="181" spans="1:13" ht="20.100000000000001" customHeight="1" x14ac:dyDescent="0.3">
      <c r="A181" s="369" t="s">
        <v>629</v>
      </c>
      <c r="B181" s="308" t="s">
        <v>119</v>
      </c>
      <c r="C181" s="370">
        <v>1</v>
      </c>
      <c r="D181" s="360">
        <f>'побудинковий звіт'!CU178</f>
        <v>3102.982381226112</v>
      </c>
      <c r="E181" s="344">
        <f>'побудинковий звіт'!CV178</f>
        <v>233.20585805856126</v>
      </c>
      <c r="F181" s="344">
        <f t="shared" si="12"/>
        <v>-2869.7765231675507</v>
      </c>
      <c r="G181" s="361">
        <f t="shared" si="13"/>
        <v>7.5155392266975207E-2</v>
      </c>
      <c r="H181" s="355">
        <f>('побудинковий звіт'!AS178+'побудинковий звіт'!BQ178)*1.2</f>
        <v>2818.8770883580169</v>
      </c>
      <c r="I181" s="343">
        <f>('побудинковий звіт'!AT178+'побудинковий звіт'!BR178)*1.2</f>
        <v>0</v>
      </c>
      <c r="J181" s="343">
        <f t="shared" si="14"/>
        <v>-2818.8770883580169</v>
      </c>
      <c r="K181" s="364">
        <f t="shared" si="15"/>
        <v>0</v>
      </c>
      <c r="L181" s="366">
        <f>'побудинковий звіт'!DE178</f>
        <v>-16.75</v>
      </c>
      <c r="M181" s="373">
        <f>'побудинковий звіт'!DA178*-1</f>
        <v>8597.527434517855</v>
      </c>
    </row>
    <row r="182" spans="1:13" ht="20.100000000000001" customHeight="1" x14ac:dyDescent="0.3">
      <c r="A182" s="369" t="s">
        <v>630</v>
      </c>
      <c r="B182" s="308" t="s">
        <v>168</v>
      </c>
      <c r="C182" s="370">
        <v>2</v>
      </c>
      <c r="D182" s="360">
        <f>'побудинковий звіт'!CU179</f>
        <v>21651.387878892299</v>
      </c>
      <c r="E182" s="344">
        <f>'побудинковий звіт'!CV179</f>
        <v>15436.505010807772</v>
      </c>
      <c r="F182" s="344">
        <f t="shared" si="12"/>
        <v>-6214.8828680845272</v>
      </c>
      <c r="G182" s="361">
        <f t="shared" si="13"/>
        <v>0.71295683663108966</v>
      </c>
      <c r="H182" s="355">
        <f>('побудинковий звіт'!AS179+'побудинковий звіт'!BQ179)*1.2</f>
        <v>6399.9259301456477</v>
      </c>
      <c r="I182" s="343">
        <f>('побудинковий звіт'!AT179+'побудинковий звіт'!BR179)*1.2</f>
        <v>876</v>
      </c>
      <c r="J182" s="343">
        <f t="shared" si="14"/>
        <v>-5523.9259301456477</v>
      </c>
      <c r="K182" s="364">
        <f t="shared" si="15"/>
        <v>0.13687658412947667</v>
      </c>
      <c r="L182" s="366">
        <f>'побудинковий звіт'!DE179</f>
        <v>478.22000000000025</v>
      </c>
      <c r="M182" s="373">
        <f>'побудинковий звіт'!DA179*-1</f>
        <v>4301.5309781462674</v>
      </c>
    </row>
    <row r="183" spans="1:13" ht="20.100000000000001" customHeight="1" x14ac:dyDescent="0.3">
      <c r="A183" s="369" t="s">
        <v>631</v>
      </c>
      <c r="B183" s="308" t="s">
        <v>264</v>
      </c>
      <c r="C183" s="370">
        <v>5</v>
      </c>
      <c r="D183" s="360">
        <f>'побудинковий звіт'!CU180</f>
        <v>283869.20626334212</v>
      </c>
      <c r="E183" s="344">
        <f>'побудинковий звіт'!CV180</f>
        <v>215645.89808489676</v>
      </c>
      <c r="F183" s="344">
        <f t="shared" si="12"/>
        <v>-68223.308178445353</v>
      </c>
      <c r="G183" s="361">
        <f t="shared" si="13"/>
        <v>0.75966640032397392</v>
      </c>
      <c r="H183" s="355">
        <f>('побудинковий звіт'!AS180+'побудинковий звіт'!BQ180)*1.2</f>
        <v>83538.43128854876</v>
      </c>
      <c r="I183" s="343">
        <f>('побудинковий звіт'!AT180+'побудинковий звіт'!BR180)*1.2</f>
        <v>7854.203687376189</v>
      </c>
      <c r="J183" s="343">
        <f t="shared" si="14"/>
        <v>-75684.227601172577</v>
      </c>
      <c r="K183" s="364">
        <f t="shared" si="15"/>
        <v>9.4019046877324153E-2</v>
      </c>
      <c r="L183" s="366">
        <f>'побудинковий звіт'!DE180</f>
        <v>64011.12</v>
      </c>
      <c r="M183" s="373">
        <f>'побудинковий звіт'!DA180*-1</f>
        <v>47897.508217598515</v>
      </c>
    </row>
    <row r="184" spans="1:13" ht="20.100000000000001" customHeight="1" x14ac:dyDescent="0.3">
      <c r="A184" s="369" t="s">
        <v>632</v>
      </c>
      <c r="B184" s="308" t="s">
        <v>370</v>
      </c>
      <c r="C184" s="370">
        <v>9</v>
      </c>
      <c r="D184" s="360">
        <f>'побудинковий звіт'!CU181</f>
        <v>585005.19514246681</v>
      </c>
      <c r="E184" s="344">
        <f>'побудинковий звіт'!CV181</f>
        <v>610273.71568920172</v>
      </c>
      <c r="F184" s="344">
        <f t="shared" si="12"/>
        <v>25268.520546734915</v>
      </c>
      <c r="G184" s="361">
        <f t="shared" si="13"/>
        <v>1.0431936686315773</v>
      </c>
      <c r="H184" s="355">
        <f>('побудинковий звіт'!AS181+'побудинковий звіт'!BQ181)*1.2</f>
        <v>214204.70108165187</v>
      </c>
      <c r="I184" s="343">
        <f>('побудинковий звіт'!AT181+'побудинковий звіт'!BR181)*1.2</f>
        <v>218782.86251893884</v>
      </c>
      <c r="J184" s="343">
        <f t="shared" si="14"/>
        <v>4578.1614372869662</v>
      </c>
      <c r="K184" s="364">
        <f t="shared" si="15"/>
        <v>1.0213728336220866</v>
      </c>
      <c r="L184" s="366">
        <f>'побудинковий звіт'!DE181</f>
        <v>98172.52</v>
      </c>
      <c r="M184" s="374">
        <f>'побудинковий звіт'!DA181*-1</f>
        <v>133686.16560005653</v>
      </c>
    </row>
    <row r="185" spans="1:13" ht="20.100000000000001" customHeight="1" x14ac:dyDescent="0.3">
      <c r="A185" s="369" t="s">
        <v>633</v>
      </c>
      <c r="B185" s="308" t="s">
        <v>265</v>
      </c>
      <c r="C185" s="370">
        <v>5</v>
      </c>
      <c r="D185" s="360">
        <f>'побудинковий звіт'!CU182</f>
        <v>192671.25683921811</v>
      </c>
      <c r="E185" s="344">
        <f>'побудинковий звіт'!CV182</f>
        <v>323697.22784613475</v>
      </c>
      <c r="F185" s="344">
        <f t="shared" si="12"/>
        <v>131025.97100691663</v>
      </c>
      <c r="G185" s="361">
        <f t="shared" si="13"/>
        <v>1.6800493916757717</v>
      </c>
      <c r="H185" s="355">
        <f>('побудинковий звіт'!AS182+'побудинковий звіт'!BQ182)*1.2</f>
        <v>70407.005018722484</v>
      </c>
      <c r="I185" s="343">
        <f>('побудинковий звіт'!AT182+'побудинковий звіт'!BR182)*1.2</f>
        <v>200002.8</v>
      </c>
      <c r="J185" s="343">
        <f t="shared" si="14"/>
        <v>129595.7949812775</v>
      </c>
      <c r="K185" s="364">
        <f t="shared" si="15"/>
        <v>2.8406662085230816</v>
      </c>
      <c r="L185" s="366">
        <f>'побудинковий звіт'!DE182</f>
        <v>24220.079999999998</v>
      </c>
      <c r="M185" s="373">
        <f>'побудинковий звіт'!DA182*-1</f>
        <v>-71620.437041679077</v>
      </c>
    </row>
    <row r="186" spans="1:13" ht="20.100000000000001" customHeight="1" x14ac:dyDescent="0.3">
      <c r="A186" s="369" t="s">
        <v>634</v>
      </c>
      <c r="B186" s="308" t="s">
        <v>371</v>
      </c>
      <c r="C186" s="370">
        <v>9</v>
      </c>
      <c r="D186" s="360">
        <f>'побудинковий звіт'!CU183</f>
        <v>539007.49328740174</v>
      </c>
      <c r="E186" s="344">
        <f>'побудинковий звіт'!CV183</f>
        <v>382551.7136872008</v>
      </c>
      <c r="F186" s="344">
        <f t="shared" si="12"/>
        <v>-156455.77960020094</v>
      </c>
      <c r="G186" s="361">
        <f t="shared" si="13"/>
        <v>0.70973357226264411</v>
      </c>
      <c r="H186" s="355">
        <f>('побудинковий звіт'!AS183+'побудинковий звіт'!BQ183)*1.2</f>
        <v>208877.91213599654</v>
      </c>
      <c r="I186" s="343">
        <f>('побудинковий звіт'!AT183+'побудинковий звіт'!BR183)*1.2</f>
        <v>38862.044045987466</v>
      </c>
      <c r="J186" s="343">
        <f t="shared" si="14"/>
        <v>-170015.86809000908</v>
      </c>
      <c r="K186" s="364">
        <f t="shared" si="15"/>
        <v>0.18605147690620877</v>
      </c>
      <c r="L186" s="366">
        <f>'побудинковий звіт'!DE183</f>
        <v>118773.09</v>
      </c>
      <c r="M186" s="373">
        <f>'побудинковий звіт'!DA183*-1</f>
        <v>54511.176696460752</v>
      </c>
    </row>
    <row r="187" spans="1:13" ht="20.100000000000001" customHeight="1" x14ac:dyDescent="0.3">
      <c r="A187" s="369" t="s">
        <v>635</v>
      </c>
      <c r="B187" s="308" t="s">
        <v>372</v>
      </c>
      <c r="C187" s="370">
        <v>9</v>
      </c>
      <c r="D187" s="360">
        <f>'побудинковий звіт'!CU184</f>
        <v>570719.06341043836</v>
      </c>
      <c r="E187" s="344">
        <f>'побудинковий звіт'!CV184</f>
        <v>664877.44030865864</v>
      </c>
      <c r="F187" s="344">
        <f t="shared" si="12"/>
        <v>94158.376898220275</v>
      </c>
      <c r="G187" s="361">
        <f t="shared" si="13"/>
        <v>1.1649820076721449</v>
      </c>
      <c r="H187" s="355">
        <f>('побудинковий звіт'!AS184+'побудинковий звіт'!BQ184)*1.2</f>
        <v>203363.67363076561</v>
      </c>
      <c r="I187" s="343">
        <f>('побудинковий звіт'!AT184+'побудинковий звіт'!BR184)*1.2</f>
        <v>292834.2939763079</v>
      </c>
      <c r="J187" s="343">
        <f t="shared" si="14"/>
        <v>89470.620345542295</v>
      </c>
      <c r="K187" s="364">
        <f t="shared" si="15"/>
        <v>1.4399537968024141</v>
      </c>
      <c r="L187" s="366">
        <f>'побудинковий звіт'!DE184</f>
        <v>87589.75</v>
      </c>
      <c r="M187" s="373">
        <f>'побудинковий звіт'!DA184*-1</f>
        <v>81570.380669539358</v>
      </c>
    </row>
    <row r="188" spans="1:13" ht="20.100000000000001" customHeight="1" x14ac:dyDescent="0.3">
      <c r="A188" s="369" t="s">
        <v>636</v>
      </c>
      <c r="B188" s="308" t="s">
        <v>373</v>
      </c>
      <c r="C188" s="370">
        <v>9</v>
      </c>
      <c r="D188" s="360">
        <f>'побудинковий звіт'!CU185</f>
        <v>326859.54905499477</v>
      </c>
      <c r="E188" s="344">
        <f>'побудинковий звіт'!CV185</f>
        <v>375475.54822477675</v>
      </c>
      <c r="F188" s="344">
        <f t="shared" si="12"/>
        <v>48615.999169781979</v>
      </c>
      <c r="G188" s="361">
        <f t="shared" si="13"/>
        <v>1.1487366647550574</v>
      </c>
      <c r="H188" s="355">
        <f>('побудинковий звіт'!AS185+'побудинковий звіт'!BQ185)*1.2</f>
        <v>78963.814828886665</v>
      </c>
      <c r="I188" s="343">
        <f>('побудинковий звіт'!AT185+'побудинковий звіт'!BR185)*1.2</f>
        <v>133113.74145009153</v>
      </c>
      <c r="J188" s="343">
        <f t="shared" si="14"/>
        <v>54149.926621204868</v>
      </c>
      <c r="K188" s="364">
        <f t="shared" si="15"/>
        <v>1.6857562130014476</v>
      </c>
      <c r="L188" s="366">
        <f>'побудинковий звіт'!DE185</f>
        <v>51795.71</v>
      </c>
      <c r="M188" s="374">
        <f>'побудинковий звіт'!DA185*-1</f>
        <v>-89741.835256835824</v>
      </c>
    </row>
    <row r="189" spans="1:13" ht="20.100000000000001" customHeight="1" x14ac:dyDescent="0.3">
      <c r="A189" s="369" t="s">
        <v>637</v>
      </c>
      <c r="B189" s="308" t="s">
        <v>169</v>
      </c>
      <c r="C189" s="370">
        <v>2</v>
      </c>
      <c r="D189" s="360">
        <f>'побудинковий звіт'!CU186</f>
        <v>34007.031233738169</v>
      </c>
      <c r="E189" s="344">
        <f>'побудинковий звіт'!CV186</f>
        <v>33849.596155413805</v>
      </c>
      <c r="F189" s="344">
        <f t="shared" si="12"/>
        <v>-157.43507832436444</v>
      </c>
      <c r="G189" s="361">
        <f t="shared" si="13"/>
        <v>0.99537051390219045</v>
      </c>
      <c r="H189" s="355">
        <f>('побудинковий звіт'!AS186+'побудинковий звіт'!BQ186)*1.2</f>
        <v>9579.4223457140033</v>
      </c>
      <c r="I189" s="343">
        <f>('побудинковий звіт'!AT186+'побудинковий звіт'!BR186)*1.2</f>
        <v>6972</v>
      </c>
      <c r="J189" s="343">
        <f t="shared" si="14"/>
        <v>-2607.4223457140033</v>
      </c>
      <c r="K189" s="364">
        <f t="shared" si="15"/>
        <v>0.72781006498991996</v>
      </c>
      <c r="L189" s="366">
        <f>'побудинковий звіт'!DE186</f>
        <v>0</v>
      </c>
      <c r="M189" s="373">
        <f>'побудинковий звіт'!DA186*-1</f>
        <v>9853.6465082451177</v>
      </c>
    </row>
    <row r="190" spans="1:13" ht="20.100000000000001" customHeight="1" x14ac:dyDescent="0.3">
      <c r="A190" s="369" t="s">
        <v>638</v>
      </c>
      <c r="B190" s="308" t="s">
        <v>170</v>
      </c>
      <c r="C190" s="370">
        <v>1</v>
      </c>
      <c r="D190" s="360">
        <f>'побудинковий звіт'!CU187</f>
        <v>11685.727528969082</v>
      </c>
      <c r="E190" s="344">
        <f>'побудинковий звіт'!CV187</f>
        <v>35356.650293883278</v>
      </c>
      <c r="F190" s="344">
        <f t="shared" si="12"/>
        <v>23670.922764914198</v>
      </c>
      <c r="G190" s="361">
        <f t="shared" si="13"/>
        <v>3.0256267918478885</v>
      </c>
      <c r="H190" s="355">
        <f>('побудинковий звіт'!AS187+'побудинковий звіт'!BQ187)*1.2</f>
        <v>6273.4985818321084</v>
      </c>
      <c r="I190" s="343">
        <f>('побудинковий звіт'!AT187+'побудинковий звіт'!BR187)*1.2</f>
        <v>31281.599999999999</v>
      </c>
      <c r="J190" s="343">
        <f t="shared" si="14"/>
        <v>25008.101418167891</v>
      </c>
      <c r="K190" s="364">
        <f t="shared" si="15"/>
        <v>4.9863086110500943</v>
      </c>
      <c r="L190" s="366">
        <f>'побудинковий звіт'!DE187</f>
        <v>2705.93</v>
      </c>
      <c r="M190" s="373">
        <f>'побудинковий звіт'!DA187*-1</f>
        <v>-234408.72707736443</v>
      </c>
    </row>
    <row r="191" spans="1:13" ht="20.100000000000001" customHeight="1" x14ac:dyDescent="0.3">
      <c r="A191" s="369" t="s">
        <v>639</v>
      </c>
      <c r="B191" s="308" t="s">
        <v>171</v>
      </c>
      <c r="C191" s="370">
        <v>2</v>
      </c>
      <c r="D191" s="360">
        <f>'побудинковий звіт'!CU188</f>
        <v>17902.039972573693</v>
      </c>
      <c r="E191" s="344">
        <f>'побудинковий звіт'!CV188</f>
        <v>6014.7328095943813</v>
      </c>
      <c r="F191" s="344">
        <f t="shared" si="12"/>
        <v>-11887.307162979312</v>
      </c>
      <c r="G191" s="361">
        <f t="shared" si="13"/>
        <v>0.33598030273695512</v>
      </c>
      <c r="H191" s="355">
        <f>('побудинковий звіт'!AS188+'побудинковий звіт'!BQ188)*1.2</f>
        <v>10395.995677421699</v>
      </c>
      <c r="I191" s="343">
        <f>('побудинковий звіт'!AT188+'побудинковий звіт'!BR188)*1.2</f>
        <v>0</v>
      </c>
      <c r="J191" s="343">
        <f t="shared" si="14"/>
        <v>-10395.995677421699</v>
      </c>
      <c r="K191" s="364">
        <f t="shared" si="15"/>
        <v>0</v>
      </c>
      <c r="L191" s="366">
        <f>'побудинковий звіт'!DE188</f>
        <v>3159.92</v>
      </c>
      <c r="M191" s="373">
        <f>'побудинковий звіт'!DA188*-1</f>
        <v>41841.312670210813</v>
      </c>
    </row>
    <row r="192" spans="1:13" ht="20.100000000000001" customHeight="1" x14ac:dyDescent="0.3">
      <c r="A192" s="369" t="s">
        <v>1108</v>
      </c>
      <c r="B192" s="308" t="s">
        <v>1096</v>
      </c>
      <c r="C192" s="370">
        <v>2</v>
      </c>
      <c r="D192" s="360">
        <f>'побудинковий звіт'!CU189</f>
        <v>33560.589912384181</v>
      </c>
      <c r="E192" s="344">
        <f>'побудинковий звіт'!CV189</f>
        <v>42147.675107217547</v>
      </c>
      <c r="F192" s="344">
        <f t="shared" si="12"/>
        <v>8587.0851948333657</v>
      </c>
      <c r="G192" s="361">
        <f t="shared" si="13"/>
        <v>1.2558681244057825</v>
      </c>
      <c r="H192" s="355">
        <f>('побудинковий звіт'!AS189+'побудинковий звіт'!BQ189)*1.2</f>
        <v>11442.866034056256</v>
      </c>
      <c r="I192" s="343">
        <f>('побудинковий звіт'!AT189+'побудинковий звіт'!BR189)*1.2</f>
        <v>14895.617697554851</v>
      </c>
      <c r="J192" s="343">
        <f t="shared" si="14"/>
        <v>3452.751663498595</v>
      </c>
      <c r="K192" s="364">
        <f t="shared" si="15"/>
        <v>1.3017383628561687</v>
      </c>
      <c r="L192" s="366">
        <f>'побудинковий звіт'!DE189</f>
        <v>29226.17</v>
      </c>
      <c r="M192" s="373">
        <f>'побудинковий звіт'!DA189*-1</f>
        <v>-19927.523420331661</v>
      </c>
    </row>
    <row r="193" spans="1:13" ht="20.100000000000001" customHeight="1" x14ac:dyDescent="0.3">
      <c r="A193" s="369" t="s">
        <v>640</v>
      </c>
      <c r="B193" s="308" t="s">
        <v>172</v>
      </c>
      <c r="C193" s="370">
        <v>2</v>
      </c>
      <c r="D193" s="360">
        <f>'побудинковий звіт'!CU190</f>
        <v>26286.878970091835</v>
      </c>
      <c r="E193" s="344">
        <f>'побудинковий звіт'!CV190</f>
        <v>31158.284618495589</v>
      </c>
      <c r="F193" s="344">
        <f t="shared" si="12"/>
        <v>4871.4056484037537</v>
      </c>
      <c r="G193" s="361">
        <f t="shared" si="13"/>
        <v>1.1853170037396317</v>
      </c>
      <c r="H193" s="355">
        <f>('побудинковий звіт'!AS190+'побудинковий звіт'!BQ190)*1.2</f>
        <v>6052.4591541483069</v>
      </c>
      <c r="I193" s="343">
        <f>('побудинковий звіт'!AT190+'побудинковий звіт'!BR190)*1.2</f>
        <v>8412</v>
      </c>
      <c r="J193" s="343">
        <f t="shared" si="14"/>
        <v>2359.5408458516931</v>
      </c>
      <c r="K193" s="364">
        <f t="shared" si="15"/>
        <v>1.3898482890602382</v>
      </c>
      <c r="L193" s="366">
        <f>'побудинковий звіт'!DE190</f>
        <v>-649.29999999999995</v>
      </c>
      <c r="M193" s="373">
        <f>'побудинковий звіт'!DA190*-1</f>
        <v>-15879.094102723666</v>
      </c>
    </row>
    <row r="194" spans="1:13" ht="20.100000000000001" customHeight="1" x14ac:dyDescent="0.3">
      <c r="A194" s="369" t="s">
        <v>641</v>
      </c>
      <c r="B194" s="308" t="s">
        <v>266</v>
      </c>
      <c r="C194" s="370">
        <v>5</v>
      </c>
      <c r="D194" s="360">
        <f>'побудинковий звіт'!CU191</f>
        <v>160992.63733641978</v>
      </c>
      <c r="E194" s="344">
        <f>'побудинковий звіт'!CV191</f>
        <v>138558.07452327877</v>
      </c>
      <c r="F194" s="344">
        <f t="shared" si="12"/>
        <v>-22434.562813141005</v>
      </c>
      <c r="G194" s="361">
        <f t="shared" si="13"/>
        <v>0.86064851670042275</v>
      </c>
      <c r="H194" s="355">
        <f>('побудинковий звіт'!AS191+'побудинковий звіт'!BQ191)*1.2</f>
        <v>35922.7376628356</v>
      </c>
      <c r="I194" s="343">
        <f>('побудинковий звіт'!AT191+'побудинковий звіт'!BR191)*1.2</f>
        <v>3786</v>
      </c>
      <c r="J194" s="343">
        <f t="shared" si="14"/>
        <v>-32136.7376628356</v>
      </c>
      <c r="K194" s="364">
        <f t="shared" si="15"/>
        <v>0.10539285829311562</v>
      </c>
      <c r="L194" s="366">
        <f>'побудинковий звіт'!DE191</f>
        <v>12092.019999999999</v>
      </c>
      <c r="M194" s="373">
        <f>'побудинковий звіт'!DA191*-1</f>
        <v>-27272.527523848148</v>
      </c>
    </row>
    <row r="195" spans="1:13" ht="20.100000000000001" customHeight="1" x14ac:dyDescent="0.3">
      <c r="A195" s="369" t="s">
        <v>642</v>
      </c>
      <c r="B195" s="308" t="s">
        <v>173</v>
      </c>
      <c r="C195" s="370">
        <v>2</v>
      </c>
      <c r="D195" s="360">
        <f>'побудинковий звіт'!CU192</f>
        <v>22526.88463237336</v>
      </c>
      <c r="E195" s="344">
        <f>'побудинковий звіт'!CV192</f>
        <v>18537.479582381853</v>
      </c>
      <c r="F195" s="344">
        <f t="shared" si="12"/>
        <v>-3989.4050499915065</v>
      </c>
      <c r="G195" s="361">
        <f t="shared" si="13"/>
        <v>0.82290471518381481</v>
      </c>
      <c r="H195" s="355">
        <f>('побудинковий звіт'!AS192+'побудинковий звіт'!BQ192)*1.2</f>
        <v>4267.5739309911733</v>
      </c>
      <c r="I195" s="343">
        <f>('побудинковий звіт'!AT192+'побудинковий звіт'!BR192)*1.2</f>
        <v>0</v>
      </c>
      <c r="J195" s="343">
        <f t="shared" si="14"/>
        <v>-4267.5739309911733</v>
      </c>
      <c r="K195" s="364">
        <f t="shared" si="15"/>
        <v>0</v>
      </c>
      <c r="L195" s="366">
        <f>'побудинковий звіт'!DE192</f>
        <v>0</v>
      </c>
      <c r="M195" s="373">
        <f>'побудинковий звіт'!DA192*-1</f>
        <v>6936.6814700044752</v>
      </c>
    </row>
    <row r="196" spans="1:13" ht="20.100000000000001" customHeight="1" x14ac:dyDescent="0.3">
      <c r="A196" s="369" t="s">
        <v>643</v>
      </c>
      <c r="B196" s="308" t="s">
        <v>174</v>
      </c>
      <c r="C196" s="370">
        <v>2</v>
      </c>
      <c r="D196" s="360">
        <f>'побудинковий звіт'!CU193</f>
        <v>37439.169634024285</v>
      </c>
      <c r="E196" s="344">
        <f>'побудинковий звіт'!CV193</f>
        <v>39658.654135215918</v>
      </c>
      <c r="F196" s="344">
        <f t="shared" si="12"/>
        <v>2219.4845011916332</v>
      </c>
      <c r="G196" s="361">
        <f t="shared" si="13"/>
        <v>1.0592824179298728</v>
      </c>
      <c r="H196" s="355">
        <f>('побудинковий звіт'!AS193+'побудинковий звіт'!BQ193)*1.2</f>
        <v>8859.2795264089709</v>
      </c>
      <c r="I196" s="343">
        <f>('побудинковий звіт'!AT193+'побудинковий звіт'!BR193)*1.2</f>
        <v>2179.1999999999998</v>
      </c>
      <c r="J196" s="343">
        <f t="shared" si="14"/>
        <v>-6680.0795264089711</v>
      </c>
      <c r="K196" s="364">
        <f t="shared" si="15"/>
        <v>0.24597937038829601</v>
      </c>
      <c r="L196" s="366">
        <f>'побудинковий звіт'!DE193</f>
        <v>422.58999999999969</v>
      </c>
      <c r="M196" s="373">
        <f>'побудинковий звіт'!DA193*-1</f>
        <v>-34069.302458866623</v>
      </c>
    </row>
    <row r="197" spans="1:13" ht="20.100000000000001" customHeight="1" x14ac:dyDescent="0.3">
      <c r="A197" s="369" t="s">
        <v>644</v>
      </c>
      <c r="B197" s="308" t="s">
        <v>267</v>
      </c>
      <c r="C197" s="370">
        <v>5</v>
      </c>
      <c r="D197" s="360">
        <f>'побудинковий звіт'!CU194</f>
        <v>304757.40996345738</v>
      </c>
      <c r="E197" s="344">
        <f>'побудинковий звіт'!CV194</f>
        <v>264052.72973329487</v>
      </c>
      <c r="F197" s="344">
        <f t="shared" si="12"/>
        <v>-40704.680230162514</v>
      </c>
      <c r="G197" s="361">
        <f t="shared" si="13"/>
        <v>0.86643579811548044</v>
      </c>
      <c r="H197" s="355">
        <f>('побудинковий звіт'!AS194+'побудинковий звіт'!BQ194)*1.2</f>
        <v>79364.498265581729</v>
      </c>
      <c r="I197" s="343">
        <f>('побудинковий звіт'!AT194+'побудинковий звіт'!BR194)*1.2</f>
        <v>21474</v>
      </c>
      <c r="J197" s="343">
        <f t="shared" si="14"/>
        <v>-57890.498265581729</v>
      </c>
      <c r="K197" s="364">
        <f t="shared" si="15"/>
        <v>0.27057438110602539</v>
      </c>
      <c r="L197" s="366">
        <f>'побудинковий звіт'!DE194</f>
        <v>22311.98</v>
      </c>
      <c r="M197" s="373">
        <f>'побудинковий звіт'!DA194*-1</f>
        <v>35376.055500932649</v>
      </c>
    </row>
    <row r="198" spans="1:13" ht="20.100000000000001" customHeight="1" x14ac:dyDescent="0.3">
      <c r="A198" s="369" t="s">
        <v>645</v>
      </c>
      <c r="B198" s="308" t="s">
        <v>215</v>
      </c>
      <c r="C198" s="370">
        <v>4</v>
      </c>
      <c r="D198" s="360">
        <f>'побудинковий звіт'!CU195</f>
        <v>135661.96256282702</v>
      </c>
      <c r="E198" s="344">
        <f>'побудинковий звіт'!CV195</f>
        <v>113086.77593654541</v>
      </c>
      <c r="F198" s="344">
        <f t="shared" si="12"/>
        <v>-22575.186626281604</v>
      </c>
      <c r="G198" s="361">
        <f t="shared" si="13"/>
        <v>0.83359236296005446</v>
      </c>
      <c r="H198" s="355">
        <f>('побудинковий звіт'!AS195+'побудинковий звіт'!BQ195)*1.2</f>
        <v>26911.313071345914</v>
      </c>
      <c r="I198" s="343">
        <f>('побудинковий звіт'!AT195+'побудинковий звіт'!BR195)*1.2</f>
        <v>1782</v>
      </c>
      <c r="J198" s="343">
        <f t="shared" si="14"/>
        <v>-25129.313071345914</v>
      </c>
      <c r="K198" s="364">
        <f t="shared" si="15"/>
        <v>6.6217504707988484E-2</v>
      </c>
      <c r="L198" s="366">
        <f>'побудинковий звіт'!DE195</f>
        <v>78021.09</v>
      </c>
      <c r="M198" s="373">
        <f>'побудинковий звіт'!DA195*-1</f>
        <v>24851.378106178483</v>
      </c>
    </row>
    <row r="199" spans="1:13" ht="20.100000000000001" customHeight="1" x14ac:dyDescent="0.3">
      <c r="A199" s="369" t="s">
        <v>646</v>
      </c>
      <c r="B199" s="308" t="s">
        <v>175</v>
      </c>
      <c r="C199" s="370">
        <v>2</v>
      </c>
      <c r="D199" s="360">
        <f>'побудинковий звіт'!CU196</f>
        <v>22465.365220921503</v>
      </c>
      <c r="E199" s="344">
        <f>'побудинковий звіт'!CV196</f>
        <v>15653.819737915244</v>
      </c>
      <c r="F199" s="344">
        <f t="shared" si="12"/>
        <v>-6811.545483006259</v>
      </c>
      <c r="G199" s="361">
        <f t="shared" si="13"/>
        <v>0.69679791910692745</v>
      </c>
      <c r="H199" s="355">
        <f>('побудинковий звіт'!AS196+'побудинковий звіт'!BQ196)*1.2</f>
        <v>6537.6836150927838</v>
      </c>
      <c r="I199" s="343">
        <f>('побудинковий звіт'!AT196+'побудинковий звіт'!BR196)*1.2</f>
        <v>0</v>
      </c>
      <c r="J199" s="343">
        <f t="shared" si="14"/>
        <v>-6537.6836150927838</v>
      </c>
      <c r="K199" s="364">
        <f t="shared" si="15"/>
        <v>0</v>
      </c>
      <c r="L199" s="366">
        <f>'побудинковий звіт'!DE196</f>
        <v>2466.0200000000004</v>
      </c>
      <c r="M199" s="373">
        <f>'побудинковий звіт'!DA196*-1</f>
        <v>-1878.6981107617876</v>
      </c>
    </row>
    <row r="200" spans="1:13" ht="20.100000000000001" customHeight="1" x14ac:dyDescent="0.3">
      <c r="A200" s="369" t="s">
        <v>647</v>
      </c>
      <c r="B200" s="308" t="s">
        <v>121</v>
      </c>
      <c r="C200" s="370">
        <v>1</v>
      </c>
      <c r="D200" s="360" t="e">
        <f>'побудинковий звіт'!#REF!</f>
        <v>#REF!</v>
      </c>
      <c r="E200" s="344" t="e">
        <f>'побудинковий звіт'!#REF!</f>
        <v>#REF!</v>
      </c>
      <c r="F200" s="344" t="e">
        <f t="shared" si="12"/>
        <v>#REF!</v>
      </c>
      <c r="G200" s="361" t="e">
        <f t="shared" si="13"/>
        <v>#REF!</v>
      </c>
      <c r="H200" s="355" t="e">
        <f>('побудинковий звіт'!#REF!+'побудинковий звіт'!#REF!)*1.2</f>
        <v>#REF!</v>
      </c>
      <c r="I200" s="343" t="e">
        <f>('побудинковий звіт'!#REF!+'побудинковий звіт'!#REF!)*1.2</f>
        <v>#REF!</v>
      </c>
      <c r="J200" s="343" t="e">
        <f t="shared" si="14"/>
        <v>#REF!</v>
      </c>
      <c r="K200" s="364" t="e">
        <f t="shared" si="15"/>
        <v>#REF!</v>
      </c>
      <c r="L200" s="366" t="e">
        <f>'побудинковий звіт'!#REF!</f>
        <v>#REF!</v>
      </c>
      <c r="M200" s="373" t="e">
        <f>'побудинковий звіт'!#REF!*-1</f>
        <v>#REF!</v>
      </c>
    </row>
    <row r="201" spans="1:13" ht="20.100000000000001" customHeight="1" x14ac:dyDescent="0.3">
      <c r="A201" s="369" t="s">
        <v>648</v>
      </c>
      <c r="B201" s="308" t="s">
        <v>374</v>
      </c>
      <c r="C201" s="370">
        <v>9</v>
      </c>
      <c r="D201" s="360">
        <f>'побудинковий звіт'!CU197</f>
        <v>316537.49139889207</v>
      </c>
      <c r="E201" s="344">
        <f>'побудинковий звіт'!CV197</f>
        <v>321582.19076476886</v>
      </c>
      <c r="F201" s="344">
        <f t="shared" si="12"/>
        <v>5044.6993658767897</v>
      </c>
      <c r="G201" s="361">
        <f t="shared" si="13"/>
        <v>1.015937130681053</v>
      </c>
      <c r="H201" s="355">
        <f>('побудинковий звіт'!AS197+'побудинковий звіт'!BQ197)*1.2</f>
        <v>81255.727855784178</v>
      </c>
      <c r="I201" s="343">
        <f>('побудинковий звіт'!AT197+'побудинковий звіт'!BR197)*1.2</f>
        <v>82915.199999999997</v>
      </c>
      <c r="J201" s="343">
        <f t="shared" si="14"/>
        <v>1659.4721442158188</v>
      </c>
      <c r="K201" s="364">
        <f t="shared" si="15"/>
        <v>1.0204228328021516</v>
      </c>
      <c r="L201" s="366">
        <f>'побудинковий звіт'!DE197</f>
        <v>74814.8</v>
      </c>
      <c r="M201" s="373">
        <f>'побудинковий звіт'!DA197*-1</f>
        <v>27415.161732033754</v>
      </c>
    </row>
    <row r="202" spans="1:13" ht="20.100000000000001" customHeight="1" x14ac:dyDescent="0.3">
      <c r="A202" s="369" t="s">
        <v>649</v>
      </c>
      <c r="B202" s="308" t="s">
        <v>375</v>
      </c>
      <c r="C202" s="370">
        <v>9</v>
      </c>
      <c r="D202" s="360">
        <f>'побудинковий звіт'!CU198</f>
        <v>1205068.4400948221</v>
      </c>
      <c r="E202" s="344">
        <f>'побудинковий звіт'!CV198</f>
        <v>1107331.4322119211</v>
      </c>
      <c r="F202" s="344">
        <f t="shared" si="12"/>
        <v>-97737.007882901002</v>
      </c>
      <c r="G202" s="361">
        <f t="shared" si="13"/>
        <v>0.91889505638766</v>
      </c>
      <c r="H202" s="355">
        <f>('побудинковий звіт'!AS198+'побудинковий звіт'!BQ198)*1.2</f>
        <v>304867.73669287999</v>
      </c>
      <c r="I202" s="343">
        <f>('побудинковий звіт'!AT198+'побудинковий звіт'!BR198)*1.2</f>
        <v>189142.25238347321</v>
      </c>
      <c r="J202" s="343">
        <f t="shared" si="14"/>
        <v>-115725.48430940678</v>
      </c>
      <c r="K202" s="364">
        <f t="shared" si="15"/>
        <v>0.62040757226473198</v>
      </c>
      <c r="L202" s="366">
        <f>'побудинковий звіт'!DE198</f>
        <v>165055.53</v>
      </c>
      <c r="M202" s="373">
        <f>'побудинковий звіт'!DA198*-1</f>
        <v>-106195.79612576641</v>
      </c>
    </row>
    <row r="203" spans="1:13" ht="20.100000000000001" customHeight="1" x14ac:dyDescent="0.3">
      <c r="A203" s="369" t="s">
        <v>650</v>
      </c>
      <c r="B203" s="308" t="s">
        <v>176</v>
      </c>
      <c r="C203" s="370">
        <v>2</v>
      </c>
      <c r="D203" s="360">
        <f>'побудинковий звіт'!CU199</f>
        <v>37138.002153541689</v>
      </c>
      <c r="E203" s="344">
        <f>'побудинковий звіт'!CV199</f>
        <v>57946.22419716599</v>
      </c>
      <c r="F203" s="344">
        <f t="shared" si="12"/>
        <v>20808.222043624301</v>
      </c>
      <c r="G203" s="361">
        <f t="shared" si="13"/>
        <v>1.5602945995208821</v>
      </c>
      <c r="H203" s="355">
        <f>('побудинковий звіт'!AS199+'побудинковий звіт'!BQ199)*1.2</f>
        <v>10396.480623695232</v>
      </c>
      <c r="I203" s="343">
        <f>('побудинковий звіт'!AT199+'побудинковий звіт'!BR199)*1.2</f>
        <v>27835.959248160321</v>
      </c>
      <c r="J203" s="343">
        <f t="shared" si="14"/>
        <v>17439.47862446509</v>
      </c>
      <c r="K203" s="364">
        <f t="shared" si="15"/>
        <v>2.6774405931866738</v>
      </c>
      <c r="L203" s="366">
        <f>'побудинковий звіт'!DE199</f>
        <v>10097.869999999999</v>
      </c>
      <c r="M203" s="373">
        <f>'побудинковий звіт'!DA199*-1</f>
        <v>-651.10941260193795</v>
      </c>
    </row>
    <row r="204" spans="1:13" ht="20.100000000000001" customHeight="1" x14ac:dyDescent="0.3">
      <c r="A204" s="369" t="s">
        <v>651</v>
      </c>
      <c r="B204" s="308" t="s">
        <v>336</v>
      </c>
      <c r="C204" s="370">
        <v>8</v>
      </c>
      <c r="D204" s="360">
        <f>'побудинковий звіт'!CU200</f>
        <v>433079.03774930822</v>
      </c>
      <c r="E204" s="344">
        <f>'побудинковий звіт'!CV200</f>
        <v>400223.9453556416</v>
      </c>
      <c r="F204" s="344">
        <f t="shared" si="12"/>
        <v>-32855.092393666622</v>
      </c>
      <c r="G204" s="361">
        <f t="shared" si="13"/>
        <v>0.9241360363124177</v>
      </c>
      <c r="H204" s="355">
        <f>('побудинковий звіт'!AS200+'побудинковий звіт'!BQ200)*1.2</f>
        <v>110166.95568512788</v>
      </c>
      <c r="I204" s="343">
        <f>('побудинковий звіт'!AT200+'побудинковий звіт'!BR200)*1.2</f>
        <v>79311.599999999991</v>
      </c>
      <c r="J204" s="343">
        <f t="shared" si="14"/>
        <v>-30855.355685127884</v>
      </c>
      <c r="K204" s="364">
        <f t="shared" si="15"/>
        <v>0.71992186320082507</v>
      </c>
      <c r="L204" s="366">
        <f>'побудинковий звіт'!DE200</f>
        <v>36865.089999999997</v>
      </c>
      <c r="M204" s="373">
        <f>'побудинковий звіт'!DA200*-1</f>
        <v>-131.21655699037728</v>
      </c>
    </row>
    <row r="205" spans="1:13" ht="20.100000000000001" customHeight="1" x14ac:dyDescent="0.3">
      <c r="A205" s="369" t="s">
        <v>652</v>
      </c>
      <c r="B205" s="308" t="s">
        <v>177</v>
      </c>
      <c r="C205" s="370">
        <v>2</v>
      </c>
      <c r="D205" s="360">
        <f>'побудинковий звіт'!CU201</f>
        <v>31382.301562853339</v>
      </c>
      <c r="E205" s="344">
        <f>'побудинковий звіт'!CV201</f>
        <v>91549.234322982709</v>
      </c>
      <c r="F205" s="344">
        <f t="shared" si="12"/>
        <v>60166.93276012937</v>
      </c>
      <c r="G205" s="361">
        <f t="shared" si="13"/>
        <v>2.9172249887289299</v>
      </c>
      <c r="H205" s="355">
        <f>('побудинковий звіт'!AS201+'побудинковий звіт'!BQ201)*1.2</f>
        <v>9669.927336109</v>
      </c>
      <c r="I205" s="343">
        <f>('побудинковий звіт'!AT201+'побудинковий звіт'!BR201)*1.2</f>
        <v>65226</v>
      </c>
      <c r="J205" s="343">
        <f t="shared" si="14"/>
        <v>55556.072663890998</v>
      </c>
      <c r="K205" s="364">
        <f t="shared" si="15"/>
        <v>6.7452419995376856</v>
      </c>
      <c r="L205" s="366">
        <f>'побудинковий звіт'!DE201</f>
        <v>1597.74</v>
      </c>
      <c r="M205" s="373">
        <f>'побудинковий звіт'!DA201*-1</f>
        <v>-31257.472456787895</v>
      </c>
    </row>
    <row r="206" spans="1:13" ht="20.100000000000001" customHeight="1" x14ac:dyDescent="0.3">
      <c r="A206" s="369" t="s">
        <v>653</v>
      </c>
      <c r="B206" s="308" t="s">
        <v>376</v>
      </c>
      <c r="C206" s="370">
        <v>9</v>
      </c>
      <c r="D206" s="360">
        <f>'побудинковий звіт'!CU202</f>
        <v>643162.12351396552</v>
      </c>
      <c r="E206" s="344">
        <f>'побудинковий звіт'!CV202</f>
        <v>687496.75407359155</v>
      </c>
      <c r="F206" s="344">
        <f t="shared" si="12"/>
        <v>44334.630559626035</v>
      </c>
      <c r="G206" s="361">
        <f t="shared" si="13"/>
        <v>1.0689322784081257</v>
      </c>
      <c r="H206" s="355">
        <f>('побудинковий звіт'!AS202+'побудинковий звіт'!BQ202)*1.2</f>
        <v>156788.15685684539</v>
      </c>
      <c r="I206" s="343">
        <f>('побудинковий звіт'!AT202+'побудинковий звіт'!BR202)*1.2</f>
        <v>272196</v>
      </c>
      <c r="J206" s="343">
        <f t="shared" si="14"/>
        <v>115407.84314315461</v>
      </c>
      <c r="K206" s="364">
        <f t="shared" si="15"/>
        <v>1.7360750037295682</v>
      </c>
      <c r="L206" s="366">
        <f>'побудинковий звіт'!DE202</f>
        <v>72360.319999999992</v>
      </c>
      <c r="M206" s="373">
        <f>'побудинковий звіт'!DA202*-1</f>
        <v>38869.127685835498</v>
      </c>
    </row>
    <row r="207" spans="1:13" ht="20.100000000000001" customHeight="1" x14ac:dyDescent="0.3">
      <c r="A207" s="369" t="s">
        <v>654</v>
      </c>
      <c r="B207" s="308" t="s">
        <v>337</v>
      </c>
      <c r="C207" s="370">
        <v>8</v>
      </c>
      <c r="D207" s="360">
        <f>'побудинковий звіт'!CU203</f>
        <v>490674.76628776494</v>
      </c>
      <c r="E207" s="344">
        <f>'побудинковий звіт'!CV203</f>
        <v>559893.29543662269</v>
      </c>
      <c r="F207" s="344">
        <f t="shared" si="12"/>
        <v>69218.52914885775</v>
      </c>
      <c r="G207" s="361">
        <f t="shared" si="13"/>
        <v>1.1410680432428499</v>
      </c>
      <c r="H207" s="355">
        <f>('побудинковий звіт'!AS203+'побудинковий звіт'!BQ203)*1.2</f>
        <v>145109.09165641156</v>
      </c>
      <c r="I207" s="343">
        <f>('побудинковий звіт'!AT203+'побудинковий звіт'!BR203)*1.2</f>
        <v>197135.80406914084</v>
      </c>
      <c r="J207" s="343">
        <f t="shared" si="14"/>
        <v>52026.712412729277</v>
      </c>
      <c r="K207" s="364">
        <f t="shared" si="15"/>
        <v>1.3585351670170869</v>
      </c>
      <c r="L207" s="366">
        <f>'побудинковий звіт'!DE203</f>
        <v>52299.850000000006</v>
      </c>
      <c r="M207" s="373">
        <f>'побудинковий звіт'!DA203*-1</f>
        <v>-113062.35737090081</v>
      </c>
    </row>
    <row r="208" spans="1:13" ht="20.100000000000001" customHeight="1" x14ac:dyDescent="0.3">
      <c r="A208" s="369" t="s">
        <v>655</v>
      </c>
      <c r="B208" s="308" t="s">
        <v>377</v>
      </c>
      <c r="C208" s="370">
        <v>9</v>
      </c>
      <c r="D208" s="360">
        <f>'побудинковий звіт'!CU204</f>
        <v>175953.2322041232</v>
      </c>
      <c r="E208" s="344">
        <f>'побудинковий звіт'!CV204</f>
        <v>178583.51426248535</v>
      </c>
      <c r="F208" s="344">
        <f t="shared" si="12"/>
        <v>2630.2820583621506</v>
      </c>
      <c r="G208" s="361">
        <f t="shared" si="13"/>
        <v>1.0149487566975226</v>
      </c>
      <c r="H208" s="355">
        <f>('побудинковий звіт'!AS204+'побудинковий звіт'!BQ204)*1.2</f>
        <v>43060.475217443418</v>
      </c>
      <c r="I208" s="343">
        <f>('побудинковий звіт'!AT204+'побудинковий звіт'!BR204)*1.2</f>
        <v>43738.799014193784</v>
      </c>
      <c r="J208" s="343">
        <f t="shared" si="14"/>
        <v>678.32379675036645</v>
      </c>
      <c r="K208" s="364">
        <f t="shared" si="15"/>
        <v>1.0157528172488812</v>
      </c>
      <c r="L208" s="366">
        <f>'побудинковий звіт'!DE204</f>
        <v>28783.280000000002</v>
      </c>
      <c r="M208" s="373">
        <f>'побудинковий звіт'!DA204*-1</f>
        <v>49685.753976890017</v>
      </c>
    </row>
    <row r="209" spans="1:13" ht="20.100000000000001" customHeight="1" x14ac:dyDescent="0.3">
      <c r="A209" s="369" t="s">
        <v>656</v>
      </c>
      <c r="B209" s="308" t="s">
        <v>378</v>
      </c>
      <c r="C209" s="370">
        <v>9</v>
      </c>
      <c r="D209" s="360">
        <f>'побудинковий звіт'!CU205</f>
        <v>347313.47765604936</v>
      </c>
      <c r="E209" s="344">
        <f>'побудинковий звіт'!CV205</f>
        <v>370441.65968901751</v>
      </c>
      <c r="F209" s="344">
        <f t="shared" si="12"/>
        <v>23128.18203296815</v>
      </c>
      <c r="G209" s="361">
        <f t="shared" si="13"/>
        <v>1.0665916629238108</v>
      </c>
      <c r="H209" s="355">
        <f>('побудинковий звіт'!AS205+'побудинковий звіт'!BQ205)*1.2</f>
        <v>79178.759084362173</v>
      </c>
      <c r="I209" s="343">
        <f>('побудинковий звіт'!AT205+'побудинковий звіт'!BR205)*1.2</f>
        <v>88424.569471563402</v>
      </c>
      <c r="J209" s="343">
        <f t="shared" si="14"/>
        <v>9245.8103872012289</v>
      </c>
      <c r="K209" s="364">
        <f t="shared" si="15"/>
        <v>1.116771347443702</v>
      </c>
      <c r="L209" s="366">
        <f>'побудинковий звіт'!DE205</f>
        <v>30059.579999999998</v>
      </c>
      <c r="M209" s="373">
        <f>'побудинковий звіт'!DA205*-1</f>
        <v>-52028.984944659955</v>
      </c>
    </row>
    <row r="210" spans="1:13" ht="20.100000000000001" customHeight="1" x14ac:dyDescent="0.3">
      <c r="A210" s="369" t="s">
        <v>657</v>
      </c>
      <c r="B210" s="308" t="s">
        <v>379</v>
      </c>
      <c r="C210" s="370">
        <v>9</v>
      </c>
      <c r="D210" s="360">
        <f>'побудинковий звіт'!CU206</f>
        <v>184875.8907009566</v>
      </c>
      <c r="E210" s="344">
        <f>'побудинковий звіт'!CV206</f>
        <v>189562.97597621256</v>
      </c>
      <c r="F210" s="344">
        <f t="shared" si="12"/>
        <v>4687.0852752559585</v>
      </c>
      <c r="G210" s="361">
        <f t="shared" si="13"/>
        <v>1.025352604157767</v>
      </c>
      <c r="H210" s="355">
        <f>('побудинковий звіт'!AS206+'побудинковий звіт'!BQ206)*1.2</f>
        <v>45840.618224908176</v>
      </c>
      <c r="I210" s="343">
        <f>('побудинковий звіт'!AT206+'побудинковий звіт'!BR206)*1.2</f>
        <v>38546.133034490602</v>
      </c>
      <c r="J210" s="343">
        <f t="shared" si="14"/>
        <v>-7294.4851904175739</v>
      </c>
      <c r="K210" s="364">
        <f t="shared" si="15"/>
        <v>0.84087288800014459</v>
      </c>
      <c r="L210" s="366">
        <f>'побудинковий звіт'!DE206</f>
        <v>20780.740000000005</v>
      </c>
      <c r="M210" s="373">
        <f>'побудинковий звіт'!DA206*-1</f>
        <v>35705.357816570191</v>
      </c>
    </row>
    <row r="211" spans="1:13" ht="20.100000000000001" customHeight="1" x14ac:dyDescent="0.3">
      <c r="A211" s="369" t="s">
        <v>658</v>
      </c>
      <c r="B211" s="308" t="s">
        <v>178</v>
      </c>
      <c r="C211" s="370">
        <v>2</v>
      </c>
      <c r="D211" s="360">
        <f>'побудинковий звіт'!CU207</f>
        <v>41562.067427488146</v>
      </c>
      <c r="E211" s="344">
        <f>'побудинковий звіт'!CV207</f>
        <v>51614.100548389593</v>
      </c>
      <c r="F211" s="344">
        <f t="shared" si="12"/>
        <v>10052.033120901448</v>
      </c>
      <c r="G211" s="361">
        <f t="shared" si="13"/>
        <v>1.2418559456513771</v>
      </c>
      <c r="H211" s="355">
        <f>('побудинковий звіт'!AS207+'побудинковий звіт'!BQ207)*1.2</f>
        <v>11886.60208418919</v>
      </c>
      <c r="I211" s="343">
        <f>('побудинковий звіт'!AT207+'побудинковий звіт'!BR207)*1.2</f>
        <v>11650.8</v>
      </c>
      <c r="J211" s="343">
        <f t="shared" si="14"/>
        <v>-235.80208418919028</v>
      </c>
      <c r="K211" s="364">
        <f t="shared" si="15"/>
        <v>0.9801623641037972</v>
      </c>
      <c r="L211" s="366">
        <f>'побудинковий звіт'!DE207</f>
        <v>3185.88</v>
      </c>
      <c r="M211" s="373">
        <f>'побудинковий звіт'!DA207*-1</f>
        <v>-535.25636878030491</v>
      </c>
    </row>
    <row r="212" spans="1:13" ht="20.100000000000001" customHeight="1" x14ac:dyDescent="0.3">
      <c r="A212" s="369" t="s">
        <v>659</v>
      </c>
      <c r="B212" s="308" t="s">
        <v>380</v>
      </c>
      <c r="C212" s="370">
        <v>9</v>
      </c>
      <c r="D212" s="360">
        <f>'побудинковий звіт'!CU208</f>
        <v>180134.07876066721</v>
      </c>
      <c r="E212" s="344">
        <f>'побудинковий звіт'!CV208</f>
        <v>177838.93903522048</v>
      </c>
      <c r="F212" s="344">
        <f t="shared" si="12"/>
        <v>-2295.1397254467302</v>
      </c>
      <c r="G212" s="361">
        <f t="shared" si="13"/>
        <v>0.98725871450178992</v>
      </c>
      <c r="H212" s="355">
        <f>('побудинковий звіт'!AS208+'побудинковий звіт'!BQ208)*1.2</f>
        <v>43230.338250945468</v>
      </c>
      <c r="I212" s="343">
        <f>('побудинковий звіт'!AT208+'побудинковий звіт'!BR208)*1.2</f>
        <v>36609.762002800097</v>
      </c>
      <c r="J212" s="343">
        <f t="shared" si="14"/>
        <v>-6620.5762481453712</v>
      </c>
      <c r="K212" s="364">
        <f t="shared" si="15"/>
        <v>0.84685347105743325</v>
      </c>
      <c r="L212" s="366">
        <f>'побудинковий звіт'!DE208</f>
        <v>39903.479999999996</v>
      </c>
      <c r="M212" s="373">
        <f>'побудинковий звіт'!DA208*-1</f>
        <v>98350.692291661748</v>
      </c>
    </row>
    <row r="213" spans="1:13" ht="20.100000000000001" customHeight="1" x14ac:dyDescent="0.3">
      <c r="A213" s="369" t="s">
        <v>660</v>
      </c>
      <c r="B213" s="308" t="s">
        <v>381</v>
      </c>
      <c r="C213" s="370">
        <v>9</v>
      </c>
      <c r="D213" s="360">
        <f>'побудинковий звіт'!CU209</f>
        <v>340678.22043915762</v>
      </c>
      <c r="E213" s="344">
        <f>'побудинковий звіт'!CV209</f>
        <v>313220.87013876892</v>
      </c>
      <c r="F213" s="344">
        <f t="shared" si="12"/>
        <v>-27457.350300388702</v>
      </c>
      <c r="G213" s="361">
        <f t="shared" si="13"/>
        <v>0.91940385779579836</v>
      </c>
      <c r="H213" s="355">
        <f>('побудинковий звіт'!AS209+'побудинковий звіт'!BQ209)*1.2</f>
        <v>78247.119583186271</v>
      </c>
      <c r="I213" s="343">
        <f>('побудинковий звіт'!AT209+'побудинковий звіт'!BR209)*1.2</f>
        <v>37416.847317311622</v>
      </c>
      <c r="J213" s="343">
        <f t="shared" si="14"/>
        <v>-40830.27226587465</v>
      </c>
      <c r="K213" s="364">
        <f t="shared" si="15"/>
        <v>0.47818817506161271</v>
      </c>
      <c r="L213" s="366">
        <f>'побудинковий звіт'!DE209</f>
        <v>49784.36</v>
      </c>
      <c r="M213" s="373">
        <f>'побудинковий звіт'!DA209*-1</f>
        <v>114381.07936275256</v>
      </c>
    </row>
    <row r="214" spans="1:13" ht="20.100000000000001" customHeight="1" x14ac:dyDescent="0.3">
      <c r="A214" s="369" t="s">
        <v>661</v>
      </c>
      <c r="B214" s="308" t="s">
        <v>382</v>
      </c>
      <c r="C214" s="370">
        <v>9</v>
      </c>
      <c r="D214" s="360">
        <f>'побудинковий звіт'!CU210</f>
        <v>174274.08719828312</v>
      </c>
      <c r="E214" s="344">
        <f>'побудинковий звіт'!CV210</f>
        <v>141491.30321017993</v>
      </c>
      <c r="F214" s="344">
        <f t="shared" si="12"/>
        <v>-32782.783988103183</v>
      </c>
      <c r="G214" s="361">
        <f t="shared" si="13"/>
        <v>0.81188950970775109</v>
      </c>
      <c r="H214" s="355">
        <f>('побудинковий звіт'!AS210+'побудинковий звіт'!BQ210)*1.2</f>
        <v>37425.879440969591</v>
      </c>
      <c r="I214" s="343">
        <f>('побудинковий звіт'!AT210+'побудинковий звіт'!BR210)*1.2</f>
        <v>2108.2785081141533</v>
      </c>
      <c r="J214" s="343">
        <f t="shared" si="14"/>
        <v>-35317.600932855436</v>
      </c>
      <c r="K214" s="364">
        <f t="shared" si="15"/>
        <v>5.633210333612762E-2</v>
      </c>
      <c r="L214" s="366">
        <f>'побудинковий звіт'!DE210</f>
        <v>3867.99</v>
      </c>
      <c r="M214" s="373">
        <f>'побудинковий звіт'!DA210*-1</f>
        <v>-40097.848401479947</v>
      </c>
    </row>
    <row r="215" spans="1:13" ht="20.100000000000001" customHeight="1" x14ac:dyDescent="0.3">
      <c r="A215" s="369" t="s">
        <v>662</v>
      </c>
      <c r="B215" s="308" t="s">
        <v>122</v>
      </c>
      <c r="C215" s="370">
        <v>1</v>
      </c>
      <c r="D215" s="360">
        <f>'побудинковий звіт'!CU211</f>
        <v>2553.8714695807594</v>
      </c>
      <c r="E215" s="344">
        <f>'побудинковий звіт'!CV211</f>
        <v>1448.9389914888427</v>
      </c>
      <c r="F215" s="344">
        <f t="shared" si="12"/>
        <v>-1104.9324780919167</v>
      </c>
      <c r="G215" s="361">
        <f t="shared" si="13"/>
        <v>0.56735000517731571</v>
      </c>
      <c r="H215" s="355">
        <f>('побудинковий звіт'!AS211+'побудинковий звіт'!BQ211)*1.2</f>
        <v>1892.5736280755411</v>
      </c>
      <c r="I215" s="343">
        <f>('побудинковий звіт'!AT211+'побудинковий звіт'!BR211)*1.2</f>
        <v>0</v>
      </c>
      <c r="J215" s="343">
        <f t="shared" si="14"/>
        <v>-1892.5736280755411</v>
      </c>
      <c r="K215" s="364">
        <f t="shared" si="15"/>
        <v>0</v>
      </c>
      <c r="L215" s="366">
        <f>'побудинковий звіт'!DE211</f>
        <v>0</v>
      </c>
      <c r="M215" s="373">
        <f>'побудинковий звіт'!DA211*-1</f>
        <v>-1753.343309274527</v>
      </c>
    </row>
    <row r="216" spans="1:13" ht="20.100000000000001" customHeight="1" x14ac:dyDescent="0.3">
      <c r="A216" s="369" t="s">
        <v>663</v>
      </c>
      <c r="B216" s="308" t="s">
        <v>123</v>
      </c>
      <c r="C216" s="370">
        <v>1</v>
      </c>
      <c r="D216" s="360">
        <f>'побудинковий звіт'!CU212</f>
        <v>3828.0559701500229</v>
      </c>
      <c r="E216" s="344">
        <f>'побудинковий звіт'!CV212</f>
        <v>2784.2479046692729</v>
      </c>
      <c r="F216" s="344">
        <f t="shared" si="12"/>
        <v>-1043.80806548075</v>
      </c>
      <c r="G216" s="361">
        <f t="shared" si="13"/>
        <v>0.72732685372940287</v>
      </c>
      <c r="H216" s="355">
        <f>('побудинковий звіт'!AS212+'побудинковий звіт'!BQ212)*1.2</f>
        <v>2110.1413337394429</v>
      </c>
      <c r="I216" s="343">
        <f>('побудинковий звіт'!AT212+'побудинковий звіт'!BR212)*1.2</f>
        <v>0</v>
      </c>
      <c r="J216" s="343">
        <f t="shared" si="14"/>
        <v>-2110.1413337394429</v>
      </c>
      <c r="K216" s="364">
        <f t="shared" si="15"/>
        <v>0</v>
      </c>
      <c r="L216" s="366">
        <f>'побудинковий звіт'!DE212</f>
        <v>477.06</v>
      </c>
      <c r="M216" s="373">
        <f>'побудинковий звіт'!DA212*-1</f>
        <v>-15755.315599486141</v>
      </c>
    </row>
    <row r="217" spans="1:13" ht="20.100000000000001" customHeight="1" x14ac:dyDescent="0.3">
      <c r="A217" s="369" t="s">
        <v>664</v>
      </c>
      <c r="B217" s="308" t="s">
        <v>421</v>
      </c>
      <c r="C217" s="370">
        <v>10</v>
      </c>
      <c r="D217" s="360">
        <f>'побудинковий звіт'!CU213</f>
        <v>556387.48068048805</v>
      </c>
      <c r="E217" s="344">
        <f>'побудинковий звіт'!CV213</f>
        <v>574856.70277087321</v>
      </c>
      <c r="F217" s="344">
        <f t="shared" si="12"/>
        <v>18469.222090385156</v>
      </c>
      <c r="G217" s="361">
        <f t="shared" si="13"/>
        <v>1.0331948915669282</v>
      </c>
      <c r="H217" s="355">
        <f>('побудинковий звіт'!AS213+'побудинковий звіт'!BQ213)*1.2</f>
        <v>136776.98106580443</v>
      </c>
      <c r="I217" s="343">
        <f>('побудинковий звіт'!AT213+'побудинковий звіт'!BR213)*1.2</f>
        <v>149042.4</v>
      </c>
      <c r="J217" s="343">
        <f t="shared" si="14"/>
        <v>12265.418934195564</v>
      </c>
      <c r="K217" s="364">
        <f t="shared" si="15"/>
        <v>1.0896745844119382</v>
      </c>
      <c r="L217" s="366">
        <f>'побудинковий звіт'!DE213</f>
        <v>50721.48</v>
      </c>
      <c r="M217" s="373">
        <f>'побудинковий звіт'!DA213*-1</f>
        <v>58861.409125833248</v>
      </c>
    </row>
    <row r="218" spans="1:13" ht="20.100000000000001" customHeight="1" x14ac:dyDescent="0.3">
      <c r="A218" s="369" t="s">
        <v>665</v>
      </c>
      <c r="B218" s="308" t="s">
        <v>268</v>
      </c>
      <c r="C218" s="370">
        <v>5</v>
      </c>
      <c r="D218" s="360">
        <f>'побудинковий звіт'!CU214</f>
        <v>217341.7679656877</v>
      </c>
      <c r="E218" s="344">
        <f>'побудинковий звіт'!CV214</f>
        <v>173542.08400570074</v>
      </c>
      <c r="F218" s="344">
        <f t="shared" si="12"/>
        <v>-43799.683959986956</v>
      </c>
      <c r="G218" s="361">
        <f t="shared" si="13"/>
        <v>0.79847553293621076</v>
      </c>
      <c r="H218" s="355">
        <f>('побудинковий звіт'!AS214+'побудинковий звіт'!BQ214)*1.2</f>
        <v>67643.603224667851</v>
      </c>
      <c r="I218" s="343">
        <f>('побудинковий звіт'!AT214+'побудинковий звіт'!BR214)*1.2</f>
        <v>20594.585706122929</v>
      </c>
      <c r="J218" s="343">
        <f t="shared" si="14"/>
        <v>-47049.017518544919</v>
      </c>
      <c r="K218" s="364">
        <f t="shared" si="15"/>
        <v>0.30445725426129611</v>
      </c>
      <c r="L218" s="366">
        <f>'побудинковий звіт'!DE214</f>
        <v>39876.350000000006</v>
      </c>
      <c r="M218" s="373">
        <f>'побудинковий звіт'!DA214*-1</f>
        <v>82717.74740060253</v>
      </c>
    </row>
    <row r="219" spans="1:13" ht="20.100000000000001" customHeight="1" x14ac:dyDescent="0.3">
      <c r="A219" s="369" t="s">
        <v>666</v>
      </c>
      <c r="B219" s="308" t="s">
        <v>383</v>
      </c>
      <c r="C219" s="370">
        <v>9</v>
      </c>
      <c r="D219" s="360">
        <f>'побудинковий звіт'!CU215</f>
        <v>571525.89973078703</v>
      </c>
      <c r="E219" s="344">
        <f>'побудинковий звіт'!CV215</f>
        <v>535927.92165848229</v>
      </c>
      <c r="F219" s="344">
        <f t="shared" si="12"/>
        <v>-35597.978072304744</v>
      </c>
      <c r="G219" s="361">
        <f t="shared" si="13"/>
        <v>0.93771414718200363</v>
      </c>
      <c r="H219" s="355">
        <f>('побудинковий звіт'!AS215+'побудинковий звіт'!BQ215)*1.2</f>
        <v>137008.69983468097</v>
      </c>
      <c r="I219" s="343">
        <f>('побудинковий звіт'!AT215+'побудинковий звіт'!BR215)*1.2</f>
        <v>107446.39466451631</v>
      </c>
      <c r="J219" s="343">
        <f t="shared" si="14"/>
        <v>-29562.305170164662</v>
      </c>
      <c r="K219" s="364">
        <f t="shared" si="15"/>
        <v>0.78423045247611667</v>
      </c>
      <c r="L219" s="366">
        <f>'побудинковий звіт'!DE215</f>
        <v>26471.920000000006</v>
      </c>
      <c r="M219" s="373">
        <f>'побудинковий звіт'!DA215*-1</f>
        <v>23070.1979403328</v>
      </c>
    </row>
    <row r="220" spans="1:13" ht="20.100000000000001" customHeight="1" x14ac:dyDescent="0.3">
      <c r="A220" s="369" t="s">
        <v>667</v>
      </c>
      <c r="B220" s="308" t="s">
        <v>384</v>
      </c>
      <c r="C220" s="370">
        <v>9</v>
      </c>
      <c r="D220" s="360">
        <f>'побудинковий звіт'!CU216</f>
        <v>828814.4896729273</v>
      </c>
      <c r="E220" s="344">
        <f>'побудинковий звіт'!CV216</f>
        <v>734026.70845024439</v>
      </c>
      <c r="F220" s="344">
        <f t="shared" si="12"/>
        <v>-94787.781222682912</v>
      </c>
      <c r="G220" s="361">
        <f t="shared" si="13"/>
        <v>0.88563450277022937</v>
      </c>
      <c r="H220" s="355">
        <f>('побудинковий звіт'!AS216+'побудинковий звіт'!BQ216)*1.2</f>
        <v>212445.44624777848</v>
      </c>
      <c r="I220" s="343">
        <f>('побудинковий звіт'!AT216+'побудинковий звіт'!BR216)*1.2</f>
        <v>103286.56246663816</v>
      </c>
      <c r="J220" s="343">
        <f t="shared" si="14"/>
        <v>-109158.88378114032</v>
      </c>
      <c r="K220" s="364">
        <f t="shared" si="15"/>
        <v>0.48617922525942692</v>
      </c>
      <c r="L220" s="366">
        <f>'побудинковий звіт'!DE216</f>
        <v>150991</v>
      </c>
      <c r="M220" s="373">
        <f>'побудинковий звіт'!DA216*-1</f>
        <v>-189266.17364754761</v>
      </c>
    </row>
    <row r="221" spans="1:13" ht="20.100000000000001" customHeight="1" x14ac:dyDescent="0.3">
      <c r="A221" s="369" t="s">
        <v>668</v>
      </c>
      <c r="B221" s="308" t="s">
        <v>269</v>
      </c>
      <c r="C221" s="370">
        <v>5</v>
      </c>
      <c r="D221" s="360">
        <f>'побудинковий звіт'!CU217</f>
        <v>177253.96144312804</v>
      </c>
      <c r="E221" s="344">
        <f>'побудинковий звіт'!CV217</f>
        <v>144042.09914009002</v>
      </c>
      <c r="F221" s="344">
        <f t="shared" si="12"/>
        <v>-33211.862303038011</v>
      </c>
      <c r="G221" s="361">
        <f t="shared" si="13"/>
        <v>0.8126311985772231</v>
      </c>
      <c r="H221" s="355">
        <f>('побудинковий звіт'!AS217+'побудинковий звіт'!BQ217)*1.2</f>
        <v>50345.816415469511</v>
      </c>
      <c r="I221" s="343">
        <f>('побудинковий звіт'!AT217+'побудинковий звіт'!BR217)*1.2</f>
        <v>4005.6</v>
      </c>
      <c r="J221" s="343">
        <f t="shared" si="14"/>
        <v>-46340.216415469513</v>
      </c>
      <c r="K221" s="364">
        <f t="shared" si="15"/>
        <v>7.9561724989113874E-2</v>
      </c>
      <c r="L221" s="366">
        <f>'побудинковий звіт'!DE217</f>
        <v>19664.18</v>
      </c>
      <c r="M221" s="373">
        <f>'побудинковий звіт'!DA217*-1</f>
        <v>19763.45146133229</v>
      </c>
    </row>
    <row r="222" spans="1:13" ht="20.100000000000001" customHeight="1" x14ac:dyDescent="0.3">
      <c r="A222" s="369" t="s">
        <v>669</v>
      </c>
      <c r="B222" s="308" t="s">
        <v>270</v>
      </c>
      <c r="C222" s="370">
        <v>5</v>
      </c>
      <c r="D222" s="360">
        <f>'побудинковий звіт'!CU218</f>
        <v>194525.38853128324</v>
      </c>
      <c r="E222" s="344">
        <f>'побудинковий звіт'!CV218</f>
        <v>151434.21641605865</v>
      </c>
      <c r="F222" s="344">
        <f t="shared" si="12"/>
        <v>-43091.172115224588</v>
      </c>
      <c r="G222" s="361">
        <f t="shared" si="13"/>
        <v>0.77848047270038101</v>
      </c>
      <c r="H222" s="355">
        <f>('побудинковий звіт'!AS218+'побудинковий звіт'!BQ218)*1.2</f>
        <v>75899.000239559202</v>
      </c>
      <c r="I222" s="343">
        <f>('побудинковий звіт'!AT218+'побудинковий звіт'!BR218)*1.2</f>
        <v>31512</v>
      </c>
      <c r="J222" s="343">
        <f t="shared" si="14"/>
        <v>-44387.000239559202</v>
      </c>
      <c r="K222" s="364">
        <f t="shared" si="15"/>
        <v>0.4151833344383854</v>
      </c>
      <c r="L222" s="366">
        <f>'побудинковий звіт'!DE218</f>
        <v>19874.400000000001</v>
      </c>
      <c r="M222" s="373">
        <f>'побудинковий звіт'!DA218*-1</f>
        <v>-64777.653585699518</v>
      </c>
    </row>
    <row r="223" spans="1:13" ht="20.100000000000001" customHeight="1" x14ac:dyDescent="0.3">
      <c r="A223" s="369" t="s">
        <v>670</v>
      </c>
      <c r="B223" s="308" t="s">
        <v>271</v>
      </c>
      <c r="C223" s="370">
        <v>5</v>
      </c>
      <c r="D223" s="360">
        <f>'побудинковий звіт'!CU219</f>
        <v>203068.58579301869</v>
      </c>
      <c r="E223" s="344">
        <f>'побудинковий звіт'!CV219</f>
        <v>186235.9789817188</v>
      </c>
      <c r="F223" s="344">
        <f t="shared" si="12"/>
        <v>-16832.606811299891</v>
      </c>
      <c r="G223" s="361">
        <f t="shared" si="13"/>
        <v>0.91710876034535038</v>
      </c>
      <c r="H223" s="355">
        <f>('побудинковий звіт'!AS219+'побудинковий звіт'!BQ219)*1.2</f>
        <v>77115.937362740689</v>
      </c>
      <c r="I223" s="343">
        <f>('побудинковий звіт'!AT219+'побудинковий звіт'!BR219)*1.2</f>
        <v>56012.400000000009</v>
      </c>
      <c r="J223" s="343">
        <f t="shared" si="14"/>
        <v>-21103.537362740681</v>
      </c>
      <c r="K223" s="364">
        <f t="shared" si="15"/>
        <v>0.72634013040037226</v>
      </c>
      <c r="L223" s="366">
        <f>'побудинковий звіт'!DE219</f>
        <v>28981.07</v>
      </c>
      <c r="M223" s="373">
        <f>'побудинковий звіт'!DA219*-1</f>
        <v>22837.241728369889</v>
      </c>
    </row>
    <row r="224" spans="1:13" ht="20.100000000000001" customHeight="1" x14ac:dyDescent="0.3">
      <c r="A224" s="369" t="s">
        <v>671</v>
      </c>
      <c r="B224" s="308" t="s">
        <v>272</v>
      </c>
      <c r="C224" s="370">
        <v>5</v>
      </c>
      <c r="D224" s="360">
        <f>'побудинковий звіт'!CU220</f>
        <v>145390.90713210928</v>
      </c>
      <c r="E224" s="344">
        <f>'побудинковий звіт'!CV220</f>
        <v>109422.28373560634</v>
      </c>
      <c r="F224" s="344">
        <f t="shared" si="12"/>
        <v>-35968.623396502939</v>
      </c>
      <c r="G224" s="361">
        <f t="shared" si="13"/>
        <v>0.75260747658847682</v>
      </c>
      <c r="H224" s="355">
        <f>('побудинковий звіт'!AS220+'побудинковий звіт'!BQ220)*1.2</f>
        <v>44062.023417653181</v>
      </c>
      <c r="I224" s="343">
        <f>('побудинковий звіт'!AT220+'побудинковий звіт'!BR220)*1.2</f>
        <v>7004.4</v>
      </c>
      <c r="J224" s="343">
        <f t="shared" si="14"/>
        <v>-37057.62341765318</v>
      </c>
      <c r="K224" s="364">
        <f t="shared" si="15"/>
        <v>0.15896682577663307</v>
      </c>
      <c r="L224" s="366">
        <f>'побудинковий звіт'!DE220</f>
        <v>33339.08</v>
      </c>
      <c r="M224" s="373">
        <f>'побудинковий звіт'!DA220*-1</f>
        <v>-4322.8825475924896</v>
      </c>
    </row>
    <row r="225" spans="1:13" ht="20.100000000000001" customHeight="1" x14ac:dyDescent="0.3">
      <c r="A225" s="369" t="s">
        <v>672</v>
      </c>
      <c r="B225" s="308" t="s">
        <v>216</v>
      </c>
      <c r="C225" s="370">
        <v>4</v>
      </c>
      <c r="D225" s="360">
        <f>'побудинковий звіт'!CU221</f>
        <v>156326.46957906333</v>
      </c>
      <c r="E225" s="344">
        <f>'побудинковий звіт'!CV221</f>
        <v>102372.94073044507</v>
      </c>
      <c r="F225" s="344">
        <f t="shared" si="12"/>
        <v>-53953.528848618254</v>
      </c>
      <c r="G225" s="361">
        <f t="shared" si="13"/>
        <v>0.65486632562036562</v>
      </c>
      <c r="H225" s="355">
        <f>('побудинковий звіт'!AS221+'побудинковий звіт'!BQ221)*1.2</f>
        <v>58478.769866559916</v>
      </c>
      <c r="I225" s="343">
        <f>('побудинковий звіт'!AT221+'побудинковий звіт'!BR221)*1.2</f>
        <v>5149.2</v>
      </c>
      <c r="J225" s="343">
        <f t="shared" si="14"/>
        <v>-53329.569866559919</v>
      </c>
      <c r="K225" s="364">
        <f t="shared" si="15"/>
        <v>8.8052467788733046E-2</v>
      </c>
      <c r="L225" s="366">
        <f>'побудинковий звіт'!DE221</f>
        <v>21049.81</v>
      </c>
      <c r="M225" s="374">
        <f>'побудинковий звіт'!DA221*-1</f>
        <v>35500.955267070516</v>
      </c>
    </row>
    <row r="226" spans="1:13" ht="20.100000000000001" customHeight="1" x14ac:dyDescent="0.3">
      <c r="A226" s="369" t="s">
        <v>673</v>
      </c>
      <c r="B226" s="308" t="s">
        <v>179</v>
      </c>
      <c r="C226" s="370">
        <v>2</v>
      </c>
      <c r="D226" s="360">
        <f>'побудинковий звіт'!CU222</f>
        <v>40375.698688978315</v>
      </c>
      <c r="E226" s="344">
        <f>'побудинковий звіт'!CV222</f>
        <v>169047.87088939571</v>
      </c>
      <c r="F226" s="344">
        <f t="shared" si="12"/>
        <v>128672.17220041739</v>
      </c>
      <c r="G226" s="361">
        <f t="shared" si="13"/>
        <v>4.1868717168612637</v>
      </c>
      <c r="H226" s="355">
        <f>('побудинковий звіт'!AS222+'побудинковий звіт'!BQ222)*1.2</f>
        <v>13802.679872653836</v>
      </c>
      <c r="I226" s="343">
        <f>('побудинковий звіт'!AT222+'побудинковий звіт'!BR222)*1.2</f>
        <v>146372.4</v>
      </c>
      <c r="J226" s="343">
        <f t="shared" si="14"/>
        <v>132569.72012734617</v>
      </c>
      <c r="K226" s="364">
        <f t="shared" si="15"/>
        <v>10.604636298925987</v>
      </c>
      <c r="L226" s="366">
        <f>'побудинковий звіт'!DE222</f>
        <v>15742.95</v>
      </c>
      <c r="M226" s="373">
        <f>'побудинковий звіт'!DA222*-1</f>
        <v>-98825.184634404752</v>
      </c>
    </row>
    <row r="227" spans="1:13" ht="20.100000000000001" customHeight="1" x14ac:dyDescent="0.3">
      <c r="A227" s="369" t="s">
        <v>674</v>
      </c>
      <c r="B227" s="308" t="s">
        <v>125</v>
      </c>
      <c r="C227" s="370">
        <v>1</v>
      </c>
      <c r="D227" s="360">
        <f>'побудинковий звіт'!CU223</f>
        <v>1698.713913270574</v>
      </c>
      <c r="E227" s="344">
        <f>'побудинковий звіт'!CV223</f>
        <v>220.96638655526144</v>
      </c>
      <c r="F227" s="344">
        <f t="shared" si="12"/>
        <v>-1477.7475267153127</v>
      </c>
      <c r="G227" s="361">
        <f t="shared" si="13"/>
        <v>0.13007863468300535</v>
      </c>
      <c r="H227" s="355">
        <f>('побудинковий звіт'!AS223+'побудинковий звіт'!BQ223)*1.2</f>
        <v>1357.7875618288601</v>
      </c>
      <c r="I227" s="343">
        <f>('побудинковий звіт'!AT223+'побудинковий звіт'!BR223)*1.2</f>
        <v>0</v>
      </c>
      <c r="J227" s="343">
        <f t="shared" si="14"/>
        <v>-1357.7875618288601</v>
      </c>
      <c r="K227" s="364">
        <f t="shared" si="15"/>
        <v>0</v>
      </c>
      <c r="L227" s="366">
        <f>'побудинковий звіт'!DE223</f>
        <v>0</v>
      </c>
      <c r="M227" s="373">
        <f>'побудинковий звіт'!DA223*-1</f>
        <v>4105.8884474801762</v>
      </c>
    </row>
    <row r="228" spans="1:13" ht="20.100000000000001" customHeight="1" x14ac:dyDescent="0.3">
      <c r="A228" s="369" t="s">
        <v>675</v>
      </c>
      <c r="B228" s="308" t="s">
        <v>180</v>
      </c>
      <c r="C228" s="370">
        <v>2</v>
      </c>
      <c r="D228" s="360">
        <f>'побудинковий звіт'!CU224</f>
        <v>17431.050367588501</v>
      </c>
      <c r="E228" s="344">
        <f>'побудинковий звіт'!CV224</f>
        <v>16029.423910446938</v>
      </c>
      <c r="F228" s="344">
        <f t="shared" si="12"/>
        <v>-1401.6264571415632</v>
      </c>
      <c r="G228" s="361">
        <f t="shared" si="13"/>
        <v>0.91959024685352508</v>
      </c>
      <c r="H228" s="355">
        <f>('побудинковий звіт'!AS224+'побудинковий звіт'!BQ224)*1.2</f>
        <v>5061.905227324748</v>
      </c>
      <c r="I228" s="343">
        <f>('побудинковий звіт'!AT224+'побудинковий звіт'!BR224)*1.2</f>
        <v>0</v>
      </c>
      <c r="J228" s="343">
        <f t="shared" si="14"/>
        <v>-5061.905227324748</v>
      </c>
      <c r="K228" s="364">
        <f t="shared" si="15"/>
        <v>0</v>
      </c>
      <c r="L228" s="366">
        <f>'побудинковий звіт'!DE224</f>
        <v>2000</v>
      </c>
      <c r="M228" s="373">
        <f>'побудинковий звіт'!DA224*-1</f>
        <v>-6591.1561415320703</v>
      </c>
    </row>
    <row r="229" spans="1:13" ht="20.100000000000001" customHeight="1" x14ac:dyDescent="0.3">
      <c r="A229" s="369" t="s">
        <v>676</v>
      </c>
      <c r="B229" s="308" t="s">
        <v>196</v>
      </c>
      <c r="C229" s="370">
        <v>3</v>
      </c>
      <c r="D229" s="360">
        <f>'побудинковий звіт'!CU225</f>
        <v>39999.648734783324</v>
      </c>
      <c r="E229" s="344">
        <f>'побудинковий звіт'!CV225</f>
        <v>29861.08098817441</v>
      </c>
      <c r="F229" s="344">
        <f t="shared" si="12"/>
        <v>-10138.567746608915</v>
      </c>
      <c r="G229" s="361">
        <f t="shared" si="13"/>
        <v>0.74653358048635787</v>
      </c>
      <c r="H229" s="355">
        <f>('побудинковий звіт'!AS225+'побудинковий звіт'!BQ225)*1.2</f>
        <v>11612.788902249562</v>
      </c>
      <c r="I229" s="343">
        <f>('побудинковий звіт'!AT225+'побудинковий звіт'!BR225)*1.2</f>
        <v>0</v>
      </c>
      <c r="J229" s="343">
        <f t="shared" si="14"/>
        <v>-11612.788902249562</v>
      </c>
      <c r="K229" s="364">
        <f t="shared" si="15"/>
        <v>0</v>
      </c>
      <c r="L229" s="366">
        <f>'побудинковий звіт'!DE225</f>
        <v>1288.1000000000004</v>
      </c>
      <c r="M229" s="373">
        <f>'побудинковий звіт'!DA225*-1</f>
        <v>18953.676228574033</v>
      </c>
    </row>
    <row r="230" spans="1:13" ht="20.100000000000001" customHeight="1" x14ac:dyDescent="0.3">
      <c r="A230" s="369" t="s">
        <v>677</v>
      </c>
      <c r="B230" s="308" t="s">
        <v>181</v>
      </c>
      <c r="C230" s="370">
        <v>2</v>
      </c>
      <c r="D230" s="360">
        <f>'побудинковий звіт'!CU226</f>
        <v>32845.145812326278</v>
      </c>
      <c r="E230" s="344">
        <f>'побудинковий звіт'!CV226</f>
        <v>31174.987166193321</v>
      </c>
      <c r="F230" s="344">
        <f t="shared" si="12"/>
        <v>-1670.1586461329571</v>
      </c>
      <c r="G230" s="361">
        <f t="shared" si="13"/>
        <v>0.94915051814121731</v>
      </c>
      <c r="H230" s="355">
        <f>('побудинковий звіт'!AS226+'побудинковий звіт'!BQ226)*1.2</f>
        <v>7582.033081205459</v>
      </c>
      <c r="I230" s="343">
        <f>('побудинковий звіт'!AT226+'побудинковий звіт'!BR226)*1.2</f>
        <v>0</v>
      </c>
      <c r="J230" s="343">
        <f t="shared" si="14"/>
        <v>-7582.033081205459</v>
      </c>
      <c r="K230" s="364">
        <f t="shared" si="15"/>
        <v>0</v>
      </c>
      <c r="L230" s="366">
        <f>'побудинковий звіт'!DE226</f>
        <v>14699.530000000002</v>
      </c>
      <c r="M230" s="373">
        <f>'побудинковий звіт'!DA226*-1</f>
        <v>-86874.695784060576</v>
      </c>
    </row>
    <row r="231" spans="1:13" ht="20.100000000000001" customHeight="1" x14ac:dyDescent="0.3">
      <c r="A231" s="369" t="s">
        <v>678</v>
      </c>
      <c r="B231" s="308" t="s">
        <v>217</v>
      </c>
      <c r="C231" s="370">
        <v>4</v>
      </c>
      <c r="D231" s="360">
        <f>'побудинковий звіт'!CU227</f>
        <v>86402.884067203049</v>
      </c>
      <c r="E231" s="344">
        <f>'побудинковий звіт'!CV227</f>
        <v>80206.443068222754</v>
      </c>
      <c r="F231" s="344">
        <f t="shared" si="12"/>
        <v>-6196.4409989802953</v>
      </c>
      <c r="G231" s="361">
        <f t="shared" si="13"/>
        <v>0.92828432678056461</v>
      </c>
      <c r="H231" s="355">
        <f>('побудинковий звіт'!AS227+'побудинковий звіт'!BQ227)*1.2</f>
        <v>18430.275984653133</v>
      </c>
      <c r="I231" s="343">
        <f>('побудинковий звіт'!AT227+'побудинковий звіт'!BR227)*1.2</f>
        <v>6848.9296870290609</v>
      </c>
      <c r="J231" s="343">
        <f t="shared" si="14"/>
        <v>-11581.346297624073</v>
      </c>
      <c r="K231" s="364">
        <f t="shared" si="15"/>
        <v>0.37161297490781775</v>
      </c>
      <c r="L231" s="366">
        <f>'побудинковий звіт'!DE227</f>
        <v>7243.0499999999993</v>
      </c>
      <c r="M231" s="373">
        <f>'побудинковий звіт'!DA227*-1</f>
        <v>-77168.780577529324</v>
      </c>
    </row>
    <row r="232" spans="1:13" ht="20.100000000000001" customHeight="1" x14ac:dyDescent="0.3">
      <c r="A232" s="369"/>
      <c r="B232" s="309" t="s">
        <v>428</v>
      </c>
      <c r="C232" s="371">
        <v>5</v>
      </c>
      <c r="D232" s="360">
        <f>'побудинковий звіт'!CU228</f>
        <v>189647.07249544378</v>
      </c>
      <c r="E232" s="344">
        <f>'побудинковий звіт'!CV228</f>
        <v>147774.39455799118</v>
      </c>
      <c r="F232" s="344">
        <f t="shared" si="12"/>
        <v>-41872.677937452594</v>
      </c>
      <c r="G232" s="361">
        <f t="shared" si="13"/>
        <v>0.77920735929916041</v>
      </c>
      <c r="H232" s="355">
        <f>('побудинковий звіт'!AS228+'побудинковий звіт'!BQ228)*1.2</f>
        <v>64786.88222472732</v>
      </c>
      <c r="I232" s="343">
        <f>('побудинковий звіт'!AT228+'побудинковий звіт'!BR228)*1.2</f>
        <v>8805.7204028911165</v>
      </c>
      <c r="J232" s="343">
        <f t="shared" si="14"/>
        <v>-55981.161821836205</v>
      </c>
      <c r="K232" s="364">
        <f t="shared" si="15"/>
        <v>0.13591826154477646</v>
      </c>
      <c r="L232" s="366">
        <f>'побудинковий звіт'!DE228</f>
        <v>11423.07</v>
      </c>
      <c r="M232" s="373">
        <f>'побудинковий звіт'!DA228*-1</f>
        <v>52394.473541512787</v>
      </c>
    </row>
    <row r="233" spans="1:13" ht="20.100000000000001" customHeight="1" x14ac:dyDescent="0.3">
      <c r="A233" s="369" t="s">
        <v>679</v>
      </c>
      <c r="B233" s="308" t="s">
        <v>182</v>
      </c>
      <c r="C233" s="370">
        <v>2</v>
      </c>
      <c r="D233" s="360">
        <f>'побудинковий звіт'!CU229</f>
        <v>45803.517304241541</v>
      </c>
      <c r="E233" s="344">
        <f>'побудинковий звіт'!CV229</f>
        <v>36759.825106341908</v>
      </c>
      <c r="F233" s="344">
        <f t="shared" si="12"/>
        <v>-9043.6921978996324</v>
      </c>
      <c r="G233" s="361">
        <f t="shared" si="13"/>
        <v>0.80255463488036194</v>
      </c>
      <c r="H233" s="355">
        <f>('побудинковий звіт'!AS229+'побудинковий звіт'!BQ229)*1.2</f>
        <v>13234.88762041187</v>
      </c>
      <c r="I233" s="343">
        <f>('побудинковий звіт'!AT229+'побудинковий звіт'!BR229)*1.2</f>
        <v>2998.7999999999997</v>
      </c>
      <c r="J233" s="343">
        <f t="shared" si="14"/>
        <v>-10236.08762041187</v>
      </c>
      <c r="K233" s="364">
        <f t="shared" si="15"/>
        <v>0.2265829590706171</v>
      </c>
      <c r="L233" s="366">
        <f>'побудинковий звіт'!DE229</f>
        <v>34440.800000000003</v>
      </c>
      <c r="M233" s="373">
        <f>'побудинковий звіт'!DA229*-1</f>
        <v>481.47190240466989</v>
      </c>
    </row>
    <row r="234" spans="1:13" ht="20.100000000000001" customHeight="1" x14ac:dyDescent="0.3">
      <c r="A234" s="369" t="s">
        <v>680</v>
      </c>
      <c r="B234" s="308" t="s">
        <v>385</v>
      </c>
      <c r="C234" s="370">
        <v>9</v>
      </c>
      <c r="D234" s="360">
        <f>'побудинковий звіт'!CU230</f>
        <v>347776.32936142804</v>
      </c>
      <c r="E234" s="344">
        <f>'побудинковий звіт'!CV230</f>
        <v>325219.5733102127</v>
      </c>
      <c r="F234" s="344">
        <f t="shared" si="12"/>
        <v>-22556.756051215343</v>
      </c>
      <c r="G234" s="361">
        <f t="shared" si="13"/>
        <v>0.93514004793646222</v>
      </c>
      <c r="H234" s="355">
        <f>('побудинковий звіт'!AS230+'побудинковий звіт'!BQ230)*1.2</f>
        <v>85446.063671567812</v>
      </c>
      <c r="I234" s="343">
        <f>('побудинковий звіт'!AT230+'побудинковий звіт'!BR230)*1.2</f>
        <v>6219.5999999999995</v>
      </c>
      <c r="J234" s="343">
        <f t="shared" si="14"/>
        <v>-79226.463671567806</v>
      </c>
      <c r="K234" s="364">
        <f t="shared" si="15"/>
        <v>7.2789777934142236E-2</v>
      </c>
      <c r="L234" s="366">
        <f>'побудинковий звіт'!DE230</f>
        <v>102133.76000000001</v>
      </c>
      <c r="M234" s="373">
        <f>'побудинковий звіт'!DA230*-1</f>
        <v>68289.770092544626</v>
      </c>
    </row>
    <row r="235" spans="1:13" ht="20.100000000000001" customHeight="1" x14ac:dyDescent="0.3">
      <c r="A235" s="369" t="s">
        <v>681</v>
      </c>
      <c r="B235" s="308" t="s">
        <v>127</v>
      </c>
      <c r="C235" s="370">
        <v>1</v>
      </c>
      <c r="D235" s="360">
        <f>'побудинковий звіт'!CU231</f>
        <v>5255.4120997112595</v>
      </c>
      <c r="E235" s="344">
        <f>'побудинковий звіт'!CV231</f>
        <v>1812.6183215146675</v>
      </c>
      <c r="F235" s="344">
        <f t="shared" si="12"/>
        <v>-3442.793778196592</v>
      </c>
      <c r="G235" s="361">
        <f t="shared" si="13"/>
        <v>0.34490507825528194</v>
      </c>
      <c r="H235" s="355">
        <f>('побудинковий звіт'!AS231+'побудинковий звіт'!BQ231)*1.2</f>
        <v>3941.8863129170181</v>
      </c>
      <c r="I235" s="343">
        <f>('побудинковий звіт'!AT231+'побудинковий звіт'!BR231)*1.2</f>
        <v>0</v>
      </c>
      <c r="J235" s="343">
        <f t="shared" si="14"/>
        <v>-3941.8863129170181</v>
      </c>
      <c r="K235" s="364">
        <f t="shared" si="15"/>
        <v>0</v>
      </c>
      <c r="L235" s="366">
        <f>'побудинковий звіт'!DE231</f>
        <v>38.509999999999991</v>
      </c>
      <c r="M235" s="373">
        <f>'побудинковий звіт'!DA231*-1</f>
        <v>11423.523590073883</v>
      </c>
    </row>
    <row r="236" spans="1:13" ht="20.100000000000001" customHeight="1" x14ac:dyDescent="0.3">
      <c r="A236" s="369" t="s">
        <v>682</v>
      </c>
      <c r="B236" s="308" t="s">
        <v>183</v>
      </c>
      <c r="C236" s="370">
        <v>2</v>
      </c>
      <c r="D236" s="360">
        <f>'побудинковий звіт'!CU232</f>
        <v>29493.953946698573</v>
      </c>
      <c r="E236" s="344">
        <f>'побудинковий звіт'!CV232</f>
        <v>31666.480538122927</v>
      </c>
      <c r="F236" s="344">
        <f t="shared" si="12"/>
        <v>2172.5265914243537</v>
      </c>
      <c r="G236" s="361">
        <f t="shared" si="13"/>
        <v>1.0736600659019995</v>
      </c>
      <c r="H236" s="355">
        <f>('побудинковий звіт'!AS232+'побудинковий звіт'!BQ232)*1.2</f>
        <v>8061.9661111474015</v>
      </c>
      <c r="I236" s="343">
        <f>('побудинковий звіт'!AT232+'побудинковий звіт'!BR232)*1.2</f>
        <v>7118.4</v>
      </c>
      <c r="J236" s="343">
        <f t="shared" si="14"/>
        <v>-943.5661111474019</v>
      </c>
      <c r="K236" s="364">
        <f t="shared" si="15"/>
        <v>0.88296079416127549</v>
      </c>
      <c r="L236" s="366">
        <f>'побудинковий звіт'!DE232</f>
        <v>7423.8899999999994</v>
      </c>
      <c r="M236" s="373">
        <f>'побудинковий звіт'!DA232*-1</f>
        <v>-7810.5218187307746</v>
      </c>
    </row>
    <row r="237" spans="1:13" ht="20.100000000000001" customHeight="1" x14ac:dyDescent="0.3">
      <c r="A237" s="369" t="s">
        <v>683</v>
      </c>
      <c r="B237" s="308" t="s">
        <v>184</v>
      </c>
      <c r="C237" s="370">
        <v>2</v>
      </c>
      <c r="D237" s="360">
        <f>'побудинковий звіт'!CU233</f>
        <v>29880.193398709362</v>
      </c>
      <c r="E237" s="344">
        <f>'побудинковий звіт'!CV233</f>
        <v>25469.572439168143</v>
      </c>
      <c r="F237" s="344">
        <f t="shared" si="12"/>
        <v>-4410.6209595412183</v>
      </c>
      <c r="G237" s="361">
        <f t="shared" si="13"/>
        <v>0.8523898121846919</v>
      </c>
      <c r="H237" s="355">
        <f>('побудинковий звіт'!AS233+'побудинковий звіт'!BQ233)*1.2</f>
        <v>6244.1764747601601</v>
      </c>
      <c r="I237" s="343">
        <f>('побудинковий звіт'!AT233+'побудинковий звіт'!BR233)*1.2</f>
        <v>840</v>
      </c>
      <c r="J237" s="343">
        <f t="shared" si="14"/>
        <v>-5404.1764747601601</v>
      </c>
      <c r="K237" s="364">
        <f t="shared" si="15"/>
        <v>0.13452534587954043</v>
      </c>
      <c r="L237" s="366">
        <f>'побудинковий звіт'!DE233</f>
        <v>8047.5399999999991</v>
      </c>
      <c r="M237" s="373">
        <f>'побудинковий звіт'!DA233*-1</f>
        <v>-21926.462152782875</v>
      </c>
    </row>
    <row r="238" spans="1:13" ht="20.100000000000001" customHeight="1" x14ac:dyDescent="0.3">
      <c r="A238" s="369" t="s">
        <v>684</v>
      </c>
      <c r="B238" s="308" t="s">
        <v>273</v>
      </c>
      <c r="C238" s="370">
        <v>5</v>
      </c>
      <c r="D238" s="360">
        <f>'побудинковий звіт'!CU234</f>
        <v>121996.39647982425</v>
      </c>
      <c r="E238" s="344">
        <f>'побудинковий звіт'!CV234</f>
        <v>107560.02989238279</v>
      </c>
      <c r="F238" s="344">
        <f t="shared" ref="F238:F298" si="16">E238-D238</f>
        <v>-14436.366587441458</v>
      </c>
      <c r="G238" s="361">
        <f t="shared" ref="G238:G298" si="17">E238/D238</f>
        <v>0.88166563108420226</v>
      </c>
      <c r="H238" s="355">
        <f>('побудинковий звіт'!AS234+'побудинковий звіт'!BQ234)*1.2</f>
        <v>40914.975123651806</v>
      </c>
      <c r="I238" s="343">
        <f>('побудинковий звіт'!AT234+'побудинковий звіт'!BR234)*1.2</f>
        <v>20653.2</v>
      </c>
      <c r="J238" s="343">
        <f t="shared" ref="J238:J298" si="18">I238-H238</f>
        <v>-20261.775123651805</v>
      </c>
      <c r="K238" s="364">
        <f t="shared" ref="K238:K298" si="19">I238/H238</f>
        <v>0.50478339379610093</v>
      </c>
      <c r="L238" s="366">
        <f>'побудинковий звіт'!DE234</f>
        <v>20739.509999999998</v>
      </c>
      <c r="M238" s="373">
        <f>'побудинковий звіт'!DA234*-1</f>
        <v>-8572.5611958592344</v>
      </c>
    </row>
    <row r="239" spans="1:13" ht="20.100000000000001" customHeight="1" x14ac:dyDescent="0.3">
      <c r="A239" s="369" t="s">
        <v>685</v>
      </c>
      <c r="B239" s="308" t="s">
        <v>218</v>
      </c>
      <c r="C239" s="370">
        <v>4</v>
      </c>
      <c r="D239" s="360">
        <f>'побудинковий звіт'!CU235</f>
        <v>176368.44185940214</v>
      </c>
      <c r="E239" s="344">
        <f>'побудинковий звіт'!CV235</f>
        <v>150596.35945326844</v>
      </c>
      <c r="F239" s="344">
        <f t="shared" si="16"/>
        <v>-25772.082406133704</v>
      </c>
      <c r="G239" s="361">
        <f t="shared" si="17"/>
        <v>0.85387361744297341</v>
      </c>
      <c r="H239" s="355">
        <f>('побудинковий звіт'!AS235+'побудинковий звіт'!BQ235)*1.2</f>
        <v>45576.429027614511</v>
      </c>
      <c r="I239" s="343">
        <f>('побудинковий звіт'!AT235+'побудинковий звіт'!BR235)*1.2</f>
        <v>4182.4645824645513</v>
      </c>
      <c r="J239" s="343">
        <f t="shared" si="18"/>
        <v>-41393.964445149963</v>
      </c>
      <c r="K239" s="364">
        <f t="shared" si="19"/>
        <v>9.1768150153458017E-2</v>
      </c>
      <c r="L239" s="366">
        <f>'побудинковий звіт'!DE235</f>
        <v>30983.22</v>
      </c>
      <c r="M239" s="373">
        <f>'побудинковий звіт'!DA235*-1</f>
        <v>-101004.92772774451</v>
      </c>
    </row>
    <row r="240" spans="1:13" ht="20.100000000000001" customHeight="1" x14ac:dyDescent="0.3">
      <c r="A240" s="369" t="s">
        <v>686</v>
      </c>
      <c r="B240" s="308" t="s">
        <v>274</v>
      </c>
      <c r="C240" s="370">
        <v>5</v>
      </c>
      <c r="D240" s="360">
        <f>'побудинковий звіт'!CU236</f>
        <v>214124.38241449618</v>
      </c>
      <c r="E240" s="344">
        <f>'побудинковий звіт'!CV236</f>
        <v>171571.01076272043</v>
      </c>
      <c r="F240" s="344">
        <f t="shared" si="16"/>
        <v>-42553.371651775757</v>
      </c>
      <c r="G240" s="361">
        <f t="shared" si="17"/>
        <v>0.80126797718252329</v>
      </c>
      <c r="H240" s="355">
        <f>('побудинковий звіт'!AS236+'побудинковий звіт'!BQ236)*1.2</f>
        <v>79577.426357333796</v>
      </c>
      <c r="I240" s="343">
        <f>('побудинковий звіт'!AT236+'побудинковий звіт'!BR236)*1.2</f>
        <v>37462.799999999996</v>
      </c>
      <c r="J240" s="343">
        <f t="shared" si="18"/>
        <v>-42114.6263573338</v>
      </c>
      <c r="K240" s="364">
        <f t="shared" si="19"/>
        <v>0.4707716963825565</v>
      </c>
      <c r="L240" s="366">
        <f>'побудинковий звіт'!DE236</f>
        <v>56593.59</v>
      </c>
      <c r="M240" s="373">
        <f>'побудинковий звіт'!DA236*-1</f>
        <v>4963.5850274602199</v>
      </c>
    </row>
    <row r="241" spans="1:13" ht="20.100000000000001" customHeight="1" x14ac:dyDescent="0.3">
      <c r="A241" s="369" t="s">
        <v>687</v>
      </c>
      <c r="B241" s="308" t="s">
        <v>275</v>
      </c>
      <c r="C241" s="370">
        <v>5</v>
      </c>
      <c r="D241" s="360">
        <f>'побудинковий звіт'!CU237</f>
        <v>224804.16403411867</v>
      </c>
      <c r="E241" s="344">
        <f>'побудинковий звіт'!CV237</f>
        <v>222404.06015680142</v>
      </c>
      <c r="F241" s="344">
        <f t="shared" si="16"/>
        <v>-2400.1038773172477</v>
      </c>
      <c r="G241" s="361">
        <f t="shared" si="17"/>
        <v>0.98932357909103064</v>
      </c>
      <c r="H241" s="355">
        <f>('побудинковий звіт'!AS237+'побудинковий звіт'!BQ237)*1.2</f>
        <v>79733.909454347304</v>
      </c>
      <c r="I241" s="343">
        <f>('побудинковий звіт'!AT237+'побудинковий звіт'!BR237)*1.2</f>
        <v>59741.192403444242</v>
      </c>
      <c r="J241" s="343">
        <f t="shared" si="18"/>
        <v>-19992.717050903062</v>
      </c>
      <c r="K241" s="364">
        <f t="shared" si="19"/>
        <v>0.74925703270137334</v>
      </c>
      <c r="L241" s="366">
        <f>'побудинковий звіт'!DE237</f>
        <v>39064.369999999995</v>
      </c>
      <c r="M241" s="373">
        <f>'побудинковий звіт'!DA237*-1</f>
        <v>-61237.402805268117</v>
      </c>
    </row>
    <row r="242" spans="1:13" ht="20.100000000000001" customHeight="1" x14ac:dyDescent="0.3">
      <c r="A242" s="369" t="s">
        <v>688</v>
      </c>
      <c r="B242" s="308" t="s">
        <v>276</v>
      </c>
      <c r="C242" s="370">
        <v>5</v>
      </c>
      <c r="D242" s="360">
        <f>'побудинковий звіт'!CU238</f>
        <v>219040.13475833295</v>
      </c>
      <c r="E242" s="344">
        <f>'побудинковий звіт'!CV238</f>
        <v>188274.81177764703</v>
      </c>
      <c r="F242" s="344">
        <f t="shared" si="16"/>
        <v>-30765.322980685916</v>
      </c>
      <c r="G242" s="361">
        <f t="shared" si="17"/>
        <v>0.85954481348986889</v>
      </c>
      <c r="H242" s="355">
        <f>('побудинковий звіт'!AS238+'побудинковий звіт'!BQ238)*1.2</f>
        <v>73466.907960944925</v>
      </c>
      <c r="I242" s="343">
        <f>('побудинковий звіт'!AT238+'побудинковий звіт'!BR238)*1.2</f>
        <v>28482.336276509912</v>
      </c>
      <c r="J242" s="343">
        <f t="shared" si="18"/>
        <v>-44984.57168443501</v>
      </c>
      <c r="K242" s="364">
        <f t="shared" si="19"/>
        <v>0.38768932934609346</v>
      </c>
      <c r="L242" s="366">
        <f>'побудинковий звіт'!DE238</f>
        <v>64563.780000000006</v>
      </c>
      <c r="M242" s="373">
        <f>'побудинковий звіт'!DA238*-1</f>
        <v>-61853.396939961211</v>
      </c>
    </row>
    <row r="243" spans="1:13" ht="20.100000000000001" customHeight="1" x14ac:dyDescent="0.3">
      <c r="A243" s="369" t="s">
        <v>689</v>
      </c>
      <c r="B243" s="308" t="s">
        <v>277</v>
      </c>
      <c r="C243" s="370">
        <v>5</v>
      </c>
      <c r="D243" s="360">
        <f>'побудинковий звіт'!CU239</f>
        <v>235001.40680607865</v>
      </c>
      <c r="E243" s="344">
        <f>'побудинковий звіт'!CV239</f>
        <v>174281.22819091752</v>
      </c>
      <c r="F243" s="344">
        <f t="shared" si="16"/>
        <v>-60720.17861516113</v>
      </c>
      <c r="G243" s="361">
        <f t="shared" si="17"/>
        <v>0.74161780799351995</v>
      </c>
      <c r="H243" s="355">
        <f>('побудинковий звіт'!AS239+'побудинковий звіт'!BQ239)*1.2</f>
        <v>79484.073151823832</v>
      </c>
      <c r="I243" s="343">
        <f>('побудинковий звіт'!AT239+'побудинковий звіт'!BR239)*1.2</f>
        <v>7443.6000000000022</v>
      </c>
      <c r="J243" s="343">
        <f t="shared" si="18"/>
        <v>-72040.473151823826</v>
      </c>
      <c r="K243" s="364">
        <f t="shared" si="19"/>
        <v>9.3648950095723701E-2</v>
      </c>
      <c r="L243" s="366">
        <f>'побудинковий звіт'!DE239</f>
        <v>77358.75</v>
      </c>
      <c r="M243" s="373">
        <f>'побудинковий звіт'!DA239*-1</f>
        <v>12342.710511008299</v>
      </c>
    </row>
    <row r="244" spans="1:13" ht="20.100000000000001" customHeight="1" x14ac:dyDescent="0.3">
      <c r="A244" s="369" t="s">
        <v>690</v>
      </c>
      <c r="B244" s="308" t="s">
        <v>278</v>
      </c>
      <c r="C244" s="370">
        <v>5</v>
      </c>
      <c r="D244" s="360">
        <f>'побудинковий звіт'!CU240</f>
        <v>276504.95662194618</v>
      </c>
      <c r="E244" s="344">
        <f>'побудинковий звіт'!CV240</f>
        <v>222436.95763307714</v>
      </c>
      <c r="F244" s="344">
        <f t="shared" si="16"/>
        <v>-54067.998988869047</v>
      </c>
      <c r="G244" s="361">
        <f t="shared" si="17"/>
        <v>0.80445920518237224</v>
      </c>
      <c r="H244" s="355">
        <f>('побудинковий звіт'!AS240+'побудинковий звіт'!BQ240)*1.2</f>
        <v>86181.18879719211</v>
      </c>
      <c r="I244" s="343">
        <f>('побудинковий звіт'!AT240+'побудинковий звіт'!BR240)*1.2</f>
        <v>16265.575794860459</v>
      </c>
      <c r="J244" s="343">
        <f t="shared" si="18"/>
        <v>-69915.613002331651</v>
      </c>
      <c r="K244" s="364">
        <f t="shared" si="19"/>
        <v>0.18873696246100533</v>
      </c>
      <c r="L244" s="366">
        <f>'побудинковий звіт'!DE240</f>
        <v>51811.619999999995</v>
      </c>
      <c r="M244" s="373">
        <f>'побудинковий звіт'!DA240*-1</f>
        <v>-8810.5695010569616</v>
      </c>
    </row>
    <row r="245" spans="1:13" ht="20.100000000000001" customHeight="1" x14ac:dyDescent="0.3">
      <c r="A245" s="369" t="s">
        <v>691</v>
      </c>
      <c r="B245" s="308" t="s">
        <v>279</v>
      </c>
      <c r="C245" s="370">
        <v>5</v>
      </c>
      <c r="D245" s="360">
        <f>'побудинковий звіт'!CU241</f>
        <v>291233.02740908391</v>
      </c>
      <c r="E245" s="344">
        <f>'побудинковий звіт'!CV241</f>
        <v>348963.7963359197</v>
      </c>
      <c r="F245" s="344">
        <f t="shared" si="16"/>
        <v>57730.768926835794</v>
      </c>
      <c r="G245" s="361">
        <f t="shared" si="17"/>
        <v>1.1982287841472856</v>
      </c>
      <c r="H245" s="355">
        <f>('побудинковий звіт'!AS241+'побудинковий звіт'!BQ241)*1.2</f>
        <v>97896.251368998375</v>
      </c>
      <c r="I245" s="343">
        <f>('побудинковий звіт'!AT241+'побудинковий звіт'!BR241)*1.2</f>
        <v>149248.80000000002</v>
      </c>
      <c r="J245" s="343">
        <f t="shared" si="18"/>
        <v>51352.548631001642</v>
      </c>
      <c r="K245" s="364">
        <f t="shared" si="19"/>
        <v>1.5245609296870777</v>
      </c>
      <c r="L245" s="366">
        <f>'побудинковий звіт'!DE241</f>
        <v>131317.54</v>
      </c>
      <c r="M245" s="373">
        <f>'побудинковий звіт'!DA241*-1</f>
        <v>-62430.013679441385</v>
      </c>
    </row>
    <row r="246" spans="1:13" ht="20.100000000000001" customHeight="1" x14ac:dyDescent="0.3">
      <c r="A246" s="369" t="s">
        <v>692</v>
      </c>
      <c r="B246" s="308" t="s">
        <v>280</v>
      </c>
      <c r="C246" s="370">
        <v>5</v>
      </c>
      <c r="D246" s="360">
        <f>'побудинковий звіт'!CU242</f>
        <v>207497.57613985799</v>
      </c>
      <c r="E246" s="344">
        <f>'побудинковий звіт'!CV242</f>
        <v>182473.82171654206</v>
      </c>
      <c r="F246" s="344">
        <f t="shared" si="16"/>
        <v>-25023.754423315928</v>
      </c>
      <c r="G246" s="361">
        <f t="shared" si="17"/>
        <v>0.87940218440696694</v>
      </c>
      <c r="H246" s="355">
        <f>('побудинковий звіт'!AS242+'побудинковий звіт'!BQ242)*1.2</f>
        <v>58537.650411691982</v>
      </c>
      <c r="I246" s="343">
        <f>('побудинковий звіт'!AT242+'побудинковий звіт'!BR242)*1.2</f>
        <v>19792.8</v>
      </c>
      <c r="J246" s="343">
        <f t="shared" si="18"/>
        <v>-38744.850411691979</v>
      </c>
      <c r="K246" s="364">
        <f t="shared" si="19"/>
        <v>0.33812084804904802</v>
      </c>
      <c r="L246" s="366">
        <f>'побудинковий звіт'!DE242</f>
        <v>28588.78</v>
      </c>
      <c r="M246" s="373">
        <f>'побудинковий звіт'!DA242*-1</f>
        <v>-61317.017510517617</v>
      </c>
    </row>
    <row r="247" spans="1:13" ht="20.100000000000001" customHeight="1" x14ac:dyDescent="0.3">
      <c r="A247" s="369" t="s">
        <v>693</v>
      </c>
      <c r="B247" s="308" t="s">
        <v>281</v>
      </c>
      <c r="C247" s="370">
        <v>5</v>
      </c>
      <c r="D247" s="360">
        <f>'побудинковий звіт'!CU243</f>
        <v>380719.5282495211</v>
      </c>
      <c r="E247" s="344">
        <f>'побудинковий звіт'!CV243</f>
        <v>339121.64152357506</v>
      </c>
      <c r="F247" s="344">
        <f t="shared" si="16"/>
        <v>-41597.886725946038</v>
      </c>
      <c r="G247" s="361">
        <f t="shared" si="17"/>
        <v>0.89073876268652274</v>
      </c>
      <c r="H247" s="355">
        <f>('побудинковий звіт'!AS243+'побудинковий звіт'!BQ243)*1.2</f>
        <v>132269.38068284973</v>
      </c>
      <c r="I247" s="343">
        <f>('побудинковий звіт'!AT243+'побудинковий звіт'!BR243)*1.2</f>
        <v>68155.709502390717</v>
      </c>
      <c r="J247" s="343">
        <f t="shared" si="18"/>
        <v>-64113.671180459016</v>
      </c>
      <c r="K247" s="364">
        <f t="shared" si="19"/>
        <v>0.5152795692437071</v>
      </c>
      <c r="L247" s="366">
        <f>'побудинковий звіт'!DE243</f>
        <v>61674.98</v>
      </c>
      <c r="M247" s="373">
        <f>'побудинковий звіт'!DA243*-1</f>
        <v>-46213.551863997956</v>
      </c>
    </row>
    <row r="248" spans="1:13" ht="20.100000000000001" customHeight="1" x14ac:dyDescent="0.3">
      <c r="A248" s="369" t="s">
        <v>694</v>
      </c>
      <c r="B248" s="308" t="s">
        <v>282</v>
      </c>
      <c r="C248" s="370">
        <v>5</v>
      </c>
      <c r="D248" s="360">
        <f>'побудинковий звіт'!CU244</f>
        <v>196735.91839551413</v>
      </c>
      <c r="E248" s="344">
        <f>'побудинковий звіт'!CV244</f>
        <v>174051.20638398113</v>
      </c>
      <c r="F248" s="344">
        <f t="shared" si="16"/>
        <v>-22684.712011533004</v>
      </c>
      <c r="G248" s="361">
        <f t="shared" si="17"/>
        <v>0.88469460891260288</v>
      </c>
      <c r="H248" s="355">
        <f>('побудинковий звіт'!AS244+'побудинковий звіт'!BQ244)*1.2</f>
        <v>65412.350838322825</v>
      </c>
      <c r="I248" s="343">
        <f>('побудинковий звіт'!AT244+'побудинковий звіт'!BR244)*1.2</f>
        <v>22381.200000000001</v>
      </c>
      <c r="J248" s="343">
        <f t="shared" si="18"/>
        <v>-43031.150838322821</v>
      </c>
      <c r="K248" s="364">
        <f t="shared" si="19"/>
        <v>0.34215556715456913</v>
      </c>
      <c r="L248" s="366">
        <f>'побудинковий звіт'!DE244</f>
        <v>28143.81</v>
      </c>
      <c r="M248" s="374">
        <f>'побудинковий звіт'!DA244*-1</f>
        <v>-27046.253917913928</v>
      </c>
    </row>
    <row r="249" spans="1:13" ht="20.100000000000001" customHeight="1" x14ac:dyDescent="0.3">
      <c r="A249" s="369" t="s">
        <v>695</v>
      </c>
      <c r="B249" s="308" t="s">
        <v>283</v>
      </c>
      <c r="C249" s="370">
        <v>5</v>
      </c>
      <c r="D249" s="360">
        <f>'побудинковий звіт'!CU245</f>
        <v>288536.58466726769</v>
      </c>
      <c r="E249" s="344">
        <f>'побудинковий звіт'!CV245</f>
        <v>234476.64271753212</v>
      </c>
      <c r="F249" s="344">
        <f t="shared" si="16"/>
        <v>-54059.94194973557</v>
      </c>
      <c r="G249" s="361">
        <f t="shared" si="17"/>
        <v>0.81264094460646652</v>
      </c>
      <c r="H249" s="355">
        <f>('побудинковий звіт'!AS245+'побудинковий звіт'!BQ245)*1.2</f>
        <v>96891.700072410909</v>
      </c>
      <c r="I249" s="343">
        <f>('побудинковий звіт'!AT245+'побудинковий звіт'!BR245)*1.2</f>
        <v>19528.8</v>
      </c>
      <c r="J249" s="343">
        <f t="shared" si="18"/>
        <v>-77362.900072410906</v>
      </c>
      <c r="K249" s="364">
        <f t="shared" si="19"/>
        <v>0.20155286763887281</v>
      </c>
      <c r="L249" s="366">
        <f>'побудинковий звіт'!DE245</f>
        <v>28860.390000000003</v>
      </c>
      <c r="M249" s="373">
        <f>'побудинковий звіт'!DA245*-1</f>
        <v>-2336.3284897900157</v>
      </c>
    </row>
    <row r="250" spans="1:13" ht="20.100000000000001" customHeight="1" x14ac:dyDescent="0.3">
      <c r="A250" s="369" t="s">
        <v>696</v>
      </c>
      <c r="B250" s="308" t="s">
        <v>284</v>
      </c>
      <c r="C250" s="370">
        <v>5</v>
      </c>
      <c r="D250" s="360">
        <f>'побудинковий звіт'!CU246</f>
        <v>411467.91238115024</v>
      </c>
      <c r="E250" s="344">
        <f>'побудинковий звіт'!CV246</f>
        <v>396165.70108538476</v>
      </c>
      <c r="F250" s="344">
        <f t="shared" si="16"/>
        <v>-15302.211295765475</v>
      </c>
      <c r="G250" s="361">
        <f t="shared" si="17"/>
        <v>0.96281068137923043</v>
      </c>
      <c r="H250" s="355">
        <f>('побудинковий звіт'!AS246+'побудинковий звіт'!BQ246)*1.2</f>
        <v>115075.95279825259</v>
      </c>
      <c r="I250" s="343">
        <f>('побудинковий звіт'!AT246+'побудинковий звіт'!BR246)*1.2</f>
        <v>76041.599999999991</v>
      </c>
      <c r="J250" s="343">
        <f t="shared" si="18"/>
        <v>-39034.352798252599</v>
      </c>
      <c r="K250" s="364">
        <f t="shared" si="19"/>
        <v>0.66079487634843781</v>
      </c>
      <c r="L250" s="366">
        <f>'побудинковий звіт'!DE246</f>
        <v>111757.98999999999</v>
      </c>
      <c r="M250" s="373">
        <f>'побудинковий звіт'!DA246*-1</f>
        <v>-70725.990562722276</v>
      </c>
    </row>
    <row r="251" spans="1:13" ht="20.100000000000001" customHeight="1" x14ac:dyDescent="0.3">
      <c r="A251" s="369" t="s">
        <v>697</v>
      </c>
      <c r="B251" s="308" t="s">
        <v>285</v>
      </c>
      <c r="C251" s="370">
        <v>5</v>
      </c>
      <c r="D251" s="360">
        <f>'побудинковий звіт'!CU247</f>
        <v>186444.99921400091</v>
      </c>
      <c r="E251" s="344">
        <f>'побудинковий звіт'!CV247</f>
        <v>268659.28153608763</v>
      </c>
      <c r="F251" s="344">
        <f t="shared" si="16"/>
        <v>82214.282322086714</v>
      </c>
      <c r="G251" s="361">
        <f t="shared" si="17"/>
        <v>1.44095729394019</v>
      </c>
      <c r="H251" s="355">
        <f>('побудинковий звіт'!AS247+'побудинковий звіт'!BQ247)*1.2</f>
        <v>66292.061610556426</v>
      </c>
      <c r="I251" s="343">
        <f>('побудинковий звіт'!AT247+'побудинковий звіт'!BR247)*1.2</f>
        <v>137337.60000000001</v>
      </c>
      <c r="J251" s="343">
        <f t="shared" si="18"/>
        <v>71045.53838944358</v>
      </c>
      <c r="K251" s="364">
        <f t="shared" si="19"/>
        <v>2.0717050678980575</v>
      </c>
      <c r="L251" s="366">
        <f>'побудинковий звіт'!DE247</f>
        <v>11125.29</v>
      </c>
      <c r="M251" s="373">
        <f>'побудинковий звіт'!DA247*-1</f>
        <v>-50772.742265081964</v>
      </c>
    </row>
    <row r="252" spans="1:13" ht="20.100000000000001" customHeight="1" x14ac:dyDescent="0.3">
      <c r="A252" s="369" t="s">
        <v>698</v>
      </c>
      <c r="B252" s="308" t="s">
        <v>286</v>
      </c>
      <c r="C252" s="370">
        <v>5</v>
      </c>
      <c r="D252" s="360">
        <f>'побудинковий звіт'!CU248</f>
        <v>197789.66276636702</v>
      </c>
      <c r="E252" s="344">
        <f>'побудинковий звіт'!CV248</f>
        <v>153859.46543228001</v>
      </c>
      <c r="F252" s="344">
        <f t="shared" si="16"/>
        <v>-43930.197334087017</v>
      </c>
      <c r="G252" s="361">
        <f t="shared" si="17"/>
        <v>0.77789437162862141</v>
      </c>
      <c r="H252" s="355">
        <f>('побудинковий звіт'!AS248+'побудинковий звіт'!BQ248)*1.2</f>
        <v>61414.216251258564</v>
      </c>
      <c r="I252" s="343">
        <f>('побудинковий звіт'!AT248+'побудинковий звіт'!BR248)*1.2</f>
        <v>10527.6</v>
      </c>
      <c r="J252" s="343">
        <f t="shared" si="18"/>
        <v>-50886.616251258565</v>
      </c>
      <c r="K252" s="364">
        <f t="shared" si="19"/>
        <v>0.17141959374567867</v>
      </c>
      <c r="L252" s="366">
        <f>'побудинковий звіт'!DE248</f>
        <v>8253.4299999999985</v>
      </c>
      <c r="M252" s="373">
        <f>'побудинковий звіт'!DA248*-1</f>
        <v>29257.089770656734</v>
      </c>
    </row>
    <row r="253" spans="1:13" ht="20.100000000000001" customHeight="1" x14ac:dyDescent="0.3">
      <c r="A253" s="369" t="s">
        <v>699</v>
      </c>
      <c r="B253" s="308" t="s">
        <v>287</v>
      </c>
      <c r="C253" s="370">
        <v>5</v>
      </c>
      <c r="D253" s="360">
        <f>'побудинковий звіт'!CU249</f>
        <v>283550.64560376015</v>
      </c>
      <c r="E253" s="344">
        <f>'побудинковий звіт'!CV249</f>
        <v>217505.51145907491</v>
      </c>
      <c r="F253" s="344">
        <f t="shared" si="16"/>
        <v>-66045.134144685231</v>
      </c>
      <c r="G253" s="361">
        <f t="shared" si="17"/>
        <v>0.76707817397468336</v>
      </c>
      <c r="H253" s="355">
        <f>('побудинковий звіт'!AS249+'побудинковий звіт'!BQ249)*1.2</f>
        <v>89082.592404282288</v>
      </c>
      <c r="I253" s="343">
        <f>('побудинковий звіт'!AT249+'побудинковий звіт'!BR249)*1.2</f>
        <v>11670.926362609489</v>
      </c>
      <c r="J253" s="343">
        <f t="shared" si="18"/>
        <v>-77411.666041672797</v>
      </c>
      <c r="K253" s="364">
        <f t="shared" si="19"/>
        <v>0.13101242394971496</v>
      </c>
      <c r="L253" s="366">
        <f>'побудинковий звіт'!DE249</f>
        <v>10829.89</v>
      </c>
      <c r="M253" s="373">
        <f>'побудинковий звіт'!DA249*-1</f>
        <v>-60105.413157633157</v>
      </c>
    </row>
    <row r="254" spans="1:13" ht="20.100000000000001" customHeight="1" x14ac:dyDescent="0.3">
      <c r="A254" s="369" t="s">
        <v>700</v>
      </c>
      <c r="B254" s="308" t="s">
        <v>288</v>
      </c>
      <c r="C254" s="370">
        <v>5</v>
      </c>
      <c r="D254" s="360">
        <f>'побудинковий звіт'!CU250</f>
        <v>200164.41249664064</v>
      </c>
      <c r="E254" s="344">
        <f>'побудинковий звіт'!CV250</f>
        <v>180651.58297744155</v>
      </c>
      <c r="F254" s="344">
        <f t="shared" si="16"/>
        <v>-19512.829519199091</v>
      </c>
      <c r="G254" s="361">
        <f t="shared" si="17"/>
        <v>0.90251599035104912</v>
      </c>
      <c r="H254" s="355">
        <f>('побудинковий звіт'!AS250+'побудинковий звіт'!BQ250)*1.2</f>
        <v>48070.160600785683</v>
      </c>
      <c r="I254" s="343">
        <f>('побудинковий звіт'!AT250+'побудинковий звіт'!BR250)*1.2</f>
        <v>19585.2</v>
      </c>
      <c r="J254" s="343">
        <f t="shared" si="18"/>
        <v>-28484.960600785682</v>
      </c>
      <c r="K254" s="364">
        <f t="shared" si="19"/>
        <v>0.40742946882686076</v>
      </c>
      <c r="L254" s="366">
        <f>'побудинковий звіт'!DE250</f>
        <v>18296.73</v>
      </c>
      <c r="M254" s="373">
        <f>'побудинковий звіт'!DA250*-1</f>
        <v>-17221.57893415778</v>
      </c>
    </row>
    <row r="255" spans="1:13" ht="20.100000000000001" customHeight="1" x14ac:dyDescent="0.3">
      <c r="A255" s="369" t="s">
        <v>701</v>
      </c>
      <c r="B255" s="308" t="s">
        <v>129</v>
      </c>
      <c r="C255" s="370">
        <v>1</v>
      </c>
      <c r="D255" s="360">
        <f>'побудинковий звіт'!CU251</f>
        <v>6284.8090175085636</v>
      </c>
      <c r="E255" s="344">
        <f>'побудинковий звіт'!CV251</f>
        <v>5964.8675912376666</v>
      </c>
      <c r="F255" s="344">
        <f t="shared" si="16"/>
        <v>-319.94142627089695</v>
      </c>
      <c r="G255" s="361">
        <f t="shared" si="17"/>
        <v>0.94909289600056479</v>
      </c>
      <c r="H255" s="355">
        <f>('побудинковий звіт'!AS251+'побудинковий звіт'!BQ251)*1.2</f>
        <v>4684.1591016639513</v>
      </c>
      <c r="I255" s="343">
        <f>('побудинковий звіт'!AT251+'побудинковий звіт'!BR251)*1.2</f>
        <v>3094.7999999999997</v>
      </c>
      <c r="J255" s="343">
        <f t="shared" si="18"/>
        <v>-1589.3591016639516</v>
      </c>
      <c r="K255" s="364">
        <f t="shared" si="19"/>
        <v>0.66069489375385126</v>
      </c>
      <c r="L255" s="366">
        <f>'побудинковий звіт'!DE251</f>
        <v>1102.44</v>
      </c>
      <c r="M255" s="373">
        <f>'побудинковий звіт'!DA251*-1</f>
        <v>3767.0533836610443</v>
      </c>
    </row>
    <row r="256" spans="1:13" ht="20.100000000000001" customHeight="1" x14ac:dyDescent="0.3">
      <c r="A256" s="369" t="s">
        <v>702</v>
      </c>
      <c r="B256" s="308" t="s">
        <v>130</v>
      </c>
      <c r="C256" s="370">
        <v>1</v>
      </c>
      <c r="D256" s="360">
        <f>'побудинковий звіт'!CU252</f>
        <v>3058.4554641927875</v>
      </c>
      <c r="E256" s="344">
        <f>'побудинковий звіт'!CV252</f>
        <v>2024.1738401527111</v>
      </c>
      <c r="F256" s="344">
        <f t="shared" si="16"/>
        <v>-1034.2816240400764</v>
      </c>
      <c r="G256" s="361">
        <f t="shared" si="17"/>
        <v>0.66182877725405997</v>
      </c>
      <c r="H256" s="355">
        <f>('побудинковий звіт'!AS252+'побудинковий звіт'!BQ252)*1.2</f>
        <v>2175.4682760823298</v>
      </c>
      <c r="I256" s="343">
        <f>('побудинковий звіт'!AT252+'побудинковий звіт'!BR252)*1.2</f>
        <v>0</v>
      </c>
      <c r="J256" s="343">
        <f t="shared" si="18"/>
        <v>-2175.4682760823298</v>
      </c>
      <c r="K256" s="364">
        <f t="shared" si="19"/>
        <v>0</v>
      </c>
      <c r="L256" s="366">
        <f>'побудинковий звіт'!DE252</f>
        <v>-783.94</v>
      </c>
      <c r="M256" s="373">
        <f>'побудинковий звіт'!DA252*-1</f>
        <v>-496.04908716558066</v>
      </c>
    </row>
    <row r="257" spans="1:13" ht="20.100000000000001" customHeight="1" x14ac:dyDescent="0.3">
      <c r="A257" s="369" t="s">
        <v>703</v>
      </c>
      <c r="B257" s="308" t="s">
        <v>386</v>
      </c>
      <c r="C257" s="370">
        <v>9</v>
      </c>
      <c r="D257" s="360">
        <f>'побудинковий звіт'!CU253</f>
        <v>347257.31586427451</v>
      </c>
      <c r="E257" s="344">
        <f>'побудинковий звіт'!CV253</f>
        <v>355680.50318142085</v>
      </c>
      <c r="F257" s="344">
        <f t="shared" si="16"/>
        <v>8423.1873171463376</v>
      </c>
      <c r="G257" s="361">
        <f t="shared" si="17"/>
        <v>1.0242563278938623</v>
      </c>
      <c r="H257" s="355">
        <f>('побудинковий звіт'!AS253+'побудинковий звіт'!BQ253)*1.2</f>
        <v>97652.030679362811</v>
      </c>
      <c r="I257" s="343">
        <f>('побудинковий звіт'!AT253+'побудинковий звіт'!BR253)*1.2</f>
        <v>143659.19999999998</v>
      </c>
      <c r="J257" s="343">
        <f t="shared" si="18"/>
        <v>46007.169320637171</v>
      </c>
      <c r="K257" s="364">
        <f t="shared" si="19"/>
        <v>1.4711337695751578</v>
      </c>
      <c r="L257" s="366">
        <f>'побудинковий звіт'!DE253</f>
        <v>25501.870000000003</v>
      </c>
      <c r="M257" s="373">
        <f>'побудинковий звіт'!DA253*-1</f>
        <v>43920.457270731014</v>
      </c>
    </row>
    <row r="258" spans="1:13" ht="20.100000000000001" customHeight="1" x14ac:dyDescent="0.3">
      <c r="A258" s="369" t="s">
        <v>704</v>
      </c>
      <c r="B258" s="308" t="s">
        <v>387</v>
      </c>
      <c r="C258" s="370">
        <v>9</v>
      </c>
      <c r="D258" s="360">
        <f>'побудинковий звіт'!CU254</f>
        <v>908789.74202943826</v>
      </c>
      <c r="E258" s="344">
        <f>'побудинковий звіт'!CV254</f>
        <v>727655.22205303807</v>
      </c>
      <c r="F258" s="344">
        <f t="shared" si="16"/>
        <v>-181134.51997640019</v>
      </c>
      <c r="G258" s="361">
        <f t="shared" si="17"/>
        <v>0.80068599853261468</v>
      </c>
      <c r="H258" s="355">
        <f>('побудинковий звіт'!AS254+'побудинковий звіт'!BQ254)*1.2</f>
        <v>260150.20913498237</v>
      </c>
      <c r="I258" s="343">
        <f>('побудинковий звіт'!AT254+'побудинковий звіт'!BR254)*1.2</f>
        <v>43966.794961444837</v>
      </c>
      <c r="J258" s="343">
        <f t="shared" si="18"/>
        <v>-216183.41417353755</v>
      </c>
      <c r="K258" s="364">
        <f t="shared" si="19"/>
        <v>0.16900541847587786</v>
      </c>
      <c r="L258" s="366">
        <f>'побудинковий звіт'!DE254</f>
        <v>173679.47</v>
      </c>
      <c r="M258" s="373">
        <f>'побудинковий звіт'!DA254*-1</f>
        <v>-47693.137105898611</v>
      </c>
    </row>
    <row r="259" spans="1:13" ht="20.100000000000001" customHeight="1" x14ac:dyDescent="0.3">
      <c r="A259" s="369" t="s">
        <v>705</v>
      </c>
      <c r="B259" s="308" t="s">
        <v>388</v>
      </c>
      <c r="C259" s="370">
        <v>9</v>
      </c>
      <c r="D259" s="360">
        <f>'побудинковий звіт'!CU255</f>
        <v>1133730.159593907</v>
      </c>
      <c r="E259" s="344">
        <f>'побудинковий звіт'!CV255</f>
        <v>900679.28665660706</v>
      </c>
      <c r="F259" s="344">
        <f t="shared" si="16"/>
        <v>-233050.87293729989</v>
      </c>
      <c r="G259" s="361">
        <f t="shared" si="17"/>
        <v>0.79443885216851173</v>
      </c>
      <c r="H259" s="355">
        <f>('побудинковий звіт'!AS255+'побудинковий звіт'!BQ255)*1.2</f>
        <v>316393.1311318893</v>
      </c>
      <c r="I259" s="343">
        <f>('побудинковий звіт'!AT255+'побудинковий звіт'!BR255)*1.2</f>
        <v>50193.599999999926</v>
      </c>
      <c r="J259" s="343">
        <f t="shared" si="18"/>
        <v>-266199.53113188938</v>
      </c>
      <c r="K259" s="364">
        <f t="shared" si="19"/>
        <v>0.15864314064099133</v>
      </c>
      <c r="L259" s="366">
        <f>'побудинковий звіт'!DE255</f>
        <v>172320.42000000004</v>
      </c>
      <c r="M259" s="373">
        <f>'побудинковий звіт'!DA255*-1</f>
        <v>196354.10037210345</v>
      </c>
    </row>
    <row r="260" spans="1:13" ht="20.100000000000001" customHeight="1" x14ac:dyDescent="0.3">
      <c r="A260" s="369" t="s">
        <v>706</v>
      </c>
      <c r="B260" s="308" t="s">
        <v>389</v>
      </c>
      <c r="C260" s="370">
        <v>9</v>
      </c>
      <c r="D260" s="360">
        <f>'побудинковий звіт'!CU256</f>
        <v>500068.89669178124</v>
      </c>
      <c r="E260" s="344">
        <f>'побудинковий звіт'!CV256</f>
        <v>398261.94881416799</v>
      </c>
      <c r="F260" s="344">
        <f t="shared" si="16"/>
        <v>-101806.94787761325</v>
      </c>
      <c r="G260" s="361">
        <f t="shared" si="17"/>
        <v>0.7964141570269222</v>
      </c>
      <c r="H260" s="355">
        <f>('побудинковий звіт'!AS256+'побудинковий звіт'!BQ256)*1.2</f>
        <v>135511.70208883868</v>
      </c>
      <c r="I260" s="343">
        <f>('побудинковий звіт'!AT256+'побудинковий звіт'!BR256)*1.2</f>
        <v>24879.599999999999</v>
      </c>
      <c r="J260" s="343">
        <f t="shared" si="18"/>
        <v>-110632.10208883867</v>
      </c>
      <c r="K260" s="364">
        <f t="shared" si="19"/>
        <v>0.18359742824047362</v>
      </c>
      <c r="L260" s="366">
        <f>'побудинковий звіт'!DE256</f>
        <v>124494.34</v>
      </c>
      <c r="M260" s="373">
        <f>'побудинковий звіт'!DA256*-1</f>
        <v>100307.63223628691</v>
      </c>
    </row>
    <row r="261" spans="1:13" ht="20.100000000000001" customHeight="1" x14ac:dyDescent="0.3">
      <c r="A261" s="369" t="s">
        <v>707</v>
      </c>
      <c r="B261" s="308" t="s">
        <v>390</v>
      </c>
      <c r="C261" s="370">
        <v>9</v>
      </c>
      <c r="D261" s="360">
        <f>'побудинковий звіт'!CU257</f>
        <v>490404.79437889112</v>
      </c>
      <c r="E261" s="344">
        <f>'побудинковий звіт'!CV257</f>
        <v>475492.72891090129</v>
      </c>
      <c r="F261" s="344">
        <f t="shared" si="16"/>
        <v>-14912.065467989829</v>
      </c>
      <c r="G261" s="361">
        <f t="shared" si="17"/>
        <v>0.96959233343777496</v>
      </c>
      <c r="H261" s="355">
        <f>('побудинковий звіт'!AS257+'побудинковий звіт'!BQ257)*1.2</f>
        <v>112594.5225290869</v>
      </c>
      <c r="I261" s="343">
        <f>('побудинковий звіт'!AT257+'побудинковий звіт'!BR257)*1.2</f>
        <v>83601.82216032756</v>
      </c>
      <c r="J261" s="343">
        <f t="shared" si="18"/>
        <v>-28992.700368759339</v>
      </c>
      <c r="K261" s="364">
        <f t="shared" si="19"/>
        <v>0.74250345649567839</v>
      </c>
      <c r="L261" s="366">
        <f>'побудинковий звіт'!DE257</f>
        <v>31190.989999999991</v>
      </c>
      <c r="M261" s="373">
        <f>'побудинковий звіт'!DA257*-1</f>
        <v>-119597.87974552668</v>
      </c>
    </row>
    <row r="262" spans="1:13" ht="20.100000000000001" customHeight="1" x14ac:dyDescent="0.3">
      <c r="A262" s="369" t="s">
        <v>708</v>
      </c>
      <c r="B262" s="308" t="s">
        <v>391</v>
      </c>
      <c r="C262" s="370">
        <v>9</v>
      </c>
      <c r="D262" s="360">
        <f>'побудинковий звіт'!CU258</f>
        <v>193068.54994417727</v>
      </c>
      <c r="E262" s="344">
        <f>'побудинковий звіт'!CV258</f>
        <v>168618.48063495621</v>
      </c>
      <c r="F262" s="344">
        <f t="shared" si="16"/>
        <v>-24450.069309221057</v>
      </c>
      <c r="G262" s="361">
        <f t="shared" si="17"/>
        <v>0.87336068294763491</v>
      </c>
      <c r="H262" s="355">
        <f>('побудинковий звіт'!AS258+'побудинковий звіт'!BQ258)*1.2</f>
        <v>45335.160958729815</v>
      </c>
      <c r="I262" s="343">
        <f>('побудинковий звіт'!AT258+'побудинковий звіт'!BR258)*1.2</f>
        <v>10291.199999999999</v>
      </c>
      <c r="J262" s="343">
        <f t="shared" si="18"/>
        <v>-35043.960958729818</v>
      </c>
      <c r="K262" s="364">
        <f t="shared" si="19"/>
        <v>0.22700261303513267</v>
      </c>
      <c r="L262" s="366">
        <f>'побудинковий звіт'!DE258</f>
        <v>30985.93</v>
      </c>
      <c r="M262" s="373">
        <f>'побудинковий звіт'!DA258*-1</f>
        <v>92487.671957116298</v>
      </c>
    </row>
    <row r="263" spans="1:13" ht="20.100000000000001" customHeight="1" x14ac:dyDescent="0.3">
      <c r="A263" s="369" t="s">
        <v>709</v>
      </c>
      <c r="B263" s="308" t="s">
        <v>219</v>
      </c>
      <c r="C263" s="370">
        <v>4</v>
      </c>
      <c r="D263" s="360">
        <f>'побудинковий звіт'!CU259</f>
        <v>158457.46774389697</v>
      </c>
      <c r="E263" s="344">
        <f>'побудинковий звіт'!CV259</f>
        <v>156221.2862235824</v>
      </c>
      <c r="F263" s="344">
        <f t="shared" si="16"/>
        <v>-2236.181520314567</v>
      </c>
      <c r="G263" s="361">
        <f t="shared" si="17"/>
        <v>0.98588781234388556</v>
      </c>
      <c r="H263" s="355">
        <f>('побудинковий звіт'!AS259+'побудинковий звіт'!BQ259)*1.2</f>
        <v>49805.586243738406</v>
      </c>
      <c r="I263" s="343">
        <f>('побудинковий звіт'!AT259+'побудинковий звіт'!BR259)*1.2</f>
        <v>39675.982284951468</v>
      </c>
      <c r="J263" s="343">
        <f t="shared" si="18"/>
        <v>-10129.603958786938</v>
      </c>
      <c r="K263" s="364">
        <f t="shared" si="19"/>
        <v>0.7966171122007335</v>
      </c>
      <c r="L263" s="366">
        <f>'побудинковий звіт'!DE259</f>
        <v>13542.99</v>
      </c>
      <c r="M263" s="373">
        <f>'побудинковий звіт'!DA259*-1</f>
        <v>-91314.88842890432</v>
      </c>
    </row>
    <row r="264" spans="1:13" ht="20.100000000000001" customHeight="1" x14ac:dyDescent="0.3">
      <c r="A264" s="369" t="s">
        <v>710</v>
      </c>
      <c r="B264" s="308" t="s">
        <v>220</v>
      </c>
      <c r="C264" s="370">
        <v>4</v>
      </c>
      <c r="D264" s="360">
        <f>'побудинковий звіт'!CU260</f>
        <v>114672.61207064499</v>
      </c>
      <c r="E264" s="344">
        <f>'побудинковий звіт'!CV260</f>
        <v>411147.13140073628</v>
      </c>
      <c r="F264" s="344">
        <f t="shared" si="16"/>
        <v>296474.51933009131</v>
      </c>
      <c r="G264" s="361">
        <f t="shared" si="17"/>
        <v>3.5853995472558502</v>
      </c>
      <c r="H264" s="355">
        <f>('побудинковий звіт'!AS260+'побудинковий звіт'!BQ260)*1.2</f>
        <v>35394.227196313703</v>
      </c>
      <c r="I264" s="343">
        <f>('побудинковий звіт'!AT260+'побудинковий звіт'!BR260)*1.2</f>
        <v>317562.37432203436</v>
      </c>
      <c r="J264" s="343">
        <f t="shared" si="18"/>
        <v>282168.14712572063</v>
      </c>
      <c r="K264" s="364">
        <f t="shared" si="19"/>
        <v>8.9721516607970564</v>
      </c>
      <c r="L264" s="366">
        <f>'побудинковий звіт'!DE260</f>
        <v>42487.700000000004</v>
      </c>
      <c r="M264" s="373">
        <f>'побудинковий звіт'!DA260*-1</f>
        <v>-237944.03362666184</v>
      </c>
    </row>
    <row r="265" spans="1:13" ht="20.100000000000001" customHeight="1" x14ac:dyDescent="0.3">
      <c r="A265" s="369" t="s">
        <v>711</v>
      </c>
      <c r="B265" s="308" t="s">
        <v>221</v>
      </c>
      <c r="C265" s="370">
        <v>4</v>
      </c>
      <c r="D265" s="360">
        <f>'побудинковий звіт'!CU261</f>
        <v>153443.68354877157</v>
      </c>
      <c r="E265" s="344">
        <f>'побудинковий звіт'!CV261</f>
        <v>242521.10143756607</v>
      </c>
      <c r="F265" s="344">
        <f t="shared" si="16"/>
        <v>89077.417888794502</v>
      </c>
      <c r="G265" s="361">
        <f t="shared" si="17"/>
        <v>1.5805218946042934</v>
      </c>
      <c r="H265" s="355">
        <f>('побудинковий звіт'!AS261+'побудинковий звіт'!BQ261)*1.2</f>
        <v>54236.630701940303</v>
      </c>
      <c r="I265" s="343">
        <f>('побудинковий звіт'!AT261+'побудинковий звіт'!BR261)*1.2</f>
        <v>139462.83552984172</v>
      </c>
      <c r="J265" s="343">
        <f t="shared" si="18"/>
        <v>85226.204827901413</v>
      </c>
      <c r="K265" s="364">
        <f t="shared" si="19"/>
        <v>2.5713771988578276</v>
      </c>
      <c r="L265" s="366">
        <f>'побудинковий звіт'!DE261</f>
        <v>41656.629999999997</v>
      </c>
      <c r="M265" s="373">
        <f>'побудинковий звіт'!DA261*-1</f>
        <v>-33828.502009892363</v>
      </c>
    </row>
    <row r="266" spans="1:13" ht="20.100000000000001" customHeight="1" x14ac:dyDescent="0.3">
      <c r="A266" s="369" t="s">
        <v>712</v>
      </c>
      <c r="B266" s="308" t="s">
        <v>289</v>
      </c>
      <c r="C266" s="370">
        <v>5</v>
      </c>
      <c r="D266" s="360">
        <f>'побудинковий звіт'!CU262</f>
        <v>220057.9365456372</v>
      </c>
      <c r="E266" s="344">
        <f>'побудинковий звіт'!CV262</f>
        <v>193934.21544299202</v>
      </c>
      <c r="F266" s="344">
        <f t="shared" si="16"/>
        <v>-26123.721102645184</v>
      </c>
      <c r="G266" s="361">
        <f t="shared" si="17"/>
        <v>0.88128707597316103</v>
      </c>
      <c r="H266" s="355">
        <f>('побудинковий звіт'!AS262+'побудинковий звіт'!BQ262)*1.2</f>
        <v>78886.35206977911</v>
      </c>
      <c r="I266" s="343">
        <f>('побудинковий звіт'!AT262+'побудинковий звіт'!BR262)*1.2</f>
        <v>49226.400000000001</v>
      </c>
      <c r="J266" s="343">
        <f t="shared" si="18"/>
        <v>-29659.952069779109</v>
      </c>
      <c r="K266" s="364">
        <f t="shared" si="19"/>
        <v>0.62401668613674355</v>
      </c>
      <c r="L266" s="366">
        <f>'побудинковий звіт'!DE262</f>
        <v>28761.129999999997</v>
      </c>
      <c r="M266" s="373">
        <f>'побудинковий звіт'!DA262*-1</f>
        <v>-9441.8365576505312</v>
      </c>
    </row>
    <row r="267" spans="1:13" ht="20.100000000000001" customHeight="1" x14ac:dyDescent="0.3">
      <c r="A267" s="369" t="s">
        <v>713</v>
      </c>
      <c r="B267" s="308" t="s">
        <v>222</v>
      </c>
      <c r="C267" s="370">
        <v>4</v>
      </c>
      <c r="D267" s="360">
        <f>'побудинковий звіт'!CU263</f>
        <v>210428.29430827175</v>
      </c>
      <c r="E267" s="344">
        <f>'побудинковий звіт'!CV263</f>
        <v>501669.76733155671</v>
      </c>
      <c r="F267" s="344">
        <f t="shared" si="16"/>
        <v>291241.47302328493</v>
      </c>
      <c r="G267" s="361">
        <f t="shared" si="17"/>
        <v>2.3840414093583067</v>
      </c>
      <c r="H267" s="355">
        <f>('побудинковий звіт'!AS263+'побудинковий звіт'!BQ263)*1.2</f>
        <v>64869.142622812527</v>
      </c>
      <c r="I267" s="343">
        <f>('побудинковий звіт'!AT263+'побудинковий звіт'!BR263)*1.2</f>
        <v>339412.29560001055</v>
      </c>
      <c r="J267" s="343">
        <f t="shared" si="18"/>
        <v>274543.15297719801</v>
      </c>
      <c r="K267" s="364">
        <f t="shared" si="19"/>
        <v>5.2322611626540825</v>
      </c>
      <c r="L267" s="366">
        <f>'побудинковий звіт'!DE263</f>
        <v>34581.22</v>
      </c>
      <c r="M267" s="373">
        <f>'побудинковий звіт'!DA263*-1</f>
        <v>-295472.44986497285</v>
      </c>
    </row>
    <row r="268" spans="1:13" ht="20.100000000000001" customHeight="1" x14ac:dyDescent="0.3">
      <c r="A268" s="369" t="s">
        <v>714</v>
      </c>
      <c r="B268" s="308" t="s">
        <v>197</v>
      </c>
      <c r="C268" s="370">
        <v>3</v>
      </c>
      <c r="D268" s="360">
        <f>'побудинковий звіт'!CU264</f>
        <v>91737.576072243144</v>
      </c>
      <c r="E268" s="344">
        <f>'побудинковий звіт'!CV264</f>
        <v>79824.727493197439</v>
      </c>
      <c r="F268" s="344">
        <f t="shared" si="16"/>
        <v>-11912.848579045705</v>
      </c>
      <c r="G268" s="361">
        <f t="shared" si="17"/>
        <v>0.87014210436883177</v>
      </c>
      <c r="H268" s="355">
        <f>('побудинковий звіт'!AS264+'побудинковий звіт'!BQ264)*1.2</f>
        <v>24512.944401671379</v>
      </c>
      <c r="I268" s="343">
        <f>('побудинковий звіт'!AT264+'побудинковий звіт'!BR264)*1.2</f>
        <v>5810.4000000000005</v>
      </c>
      <c r="J268" s="343">
        <f t="shared" si="18"/>
        <v>-18702.544401671377</v>
      </c>
      <c r="K268" s="364">
        <f t="shared" si="19"/>
        <v>0.23703394846372788</v>
      </c>
      <c r="L268" s="366">
        <f>'побудинковий звіт'!DE264</f>
        <v>9088.02</v>
      </c>
      <c r="M268" s="373">
        <f>'побудинковий звіт'!DA264*-1</f>
        <v>-20355.190695855639</v>
      </c>
    </row>
    <row r="269" spans="1:13" ht="20.100000000000001" customHeight="1" x14ac:dyDescent="0.3">
      <c r="A269" s="369" t="s">
        <v>715</v>
      </c>
      <c r="B269" s="308" t="s">
        <v>223</v>
      </c>
      <c r="C269" s="370">
        <v>4</v>
      </c>
      <c r="D269" s="360">
        <f>'побудинковий звіт'!CU265</f>
        <v>98329.507686140758</v>
      </c>
      <c r="E269" s="344">
        <f>'побудинковий звіт'!CV265</f>
        <v>85264.758711140443</v>
      </c>
      <c r="F269" s="344">
        <f t="shared" si="16"/>
        <v>-13064.748975000315</v>
      </c>
      <c r="G269" s="361">
        <f t="shared" si="17"/>
        <v>0.8671329768404632</v>
      </c>
      <c r="H269" s="355">
        <f>('побудинковий звіт'!AS265+'побудинковий звіт'!BQ265)*1.2</f>
        <v>22589.926344186653</v>
      </c>
      <c r="I269" s="343">
        <f>('побудинковий звіт'!AT265+'побудинковий звіт'!BR265)*1.2</f>
        <v>2906.4</v>
      </c>
      <c r="J269" s="343">
        <f t="shared" si="18"/>
        <v>-19683.526344186652</v>
      </c>
      <c r="K269" s="364">
        <f t="shared" si="19"/>
        <v>0.12865911803860042</v>
      </c>
      <c r="L269" s="366">
        <f>'побудинковий звіт'!DE265</f>
        <v>16485.809999999998</v>
      </c>
      <c r="M269" s="373">
        <f>'побудинковий звіт'!DA265*-1</f>
        <v>43905.846138135013</v>
      </c>
    </row>
    <row r="270" spans="1:13" ht="20.100000000000001" customHeight="1" x14ac:dyDescent="0.3">
      <c r="A270" s="369" t="s">
        <v>716</v>
      </c>
      <c r="B270" s="308" t="s">
        <v>224</v>
      </c>
      <c r="C270" s="370">
        <v>4</v>
      </c>
      <c r="D270" s="360">
        <f>'побудинковий звіт'!CU266</f>
        <v>162253.30035973192</v>
      </c>
      <c r="E270" s="344">
        <f>'побудинковий звіт'!CV266</f>
        <v>130724.46668752731</v>
      </c>
      <c r="F270" s="344">
        <f t="shared" si="16"/>
        <v>-31528.833672204608</v>
      </c>
      <c r="G270" s="361">
        <f t="shared" si="17"/>
        <v>0.80568140307591896</v>
      </c>
      <c r="H270" s="355">
        <f>('побудинковий звіт'!AS266+'побудинковий звіт'!BQ266)*1.2</f>
        <v>47154.022742263864</v>
      </c>
      <c r="I270" s="343">
        <f>('побудинковий звіт'!AT266+'побудинковий звіт'!BR266)*1.2</f>
        <v>4674</v>
      </c>
      <c r="J270" s="343">
        <f t="shared" si="18"/>
        <v>-42480.022742263864</v>
      </c>
      <c r="K270" s="364">
        <f t="shared" si="19"/>
        <v>9.9121977896717645E-2</v>
      </c>
      <c r="L270" s="366">
        <f>'побудинковий звіт'!DE266</f>
        <v>12650.519999999999</v>
      </c>
      <c r="M270" s="373">
        <f>'побудинковий звіт'!DA266*-1</f>
        <v>34302.510310177429</v>
      </c>
    </row>
    <row r="271" spans="1:13" ht="20.100000000000001" customHeight="1" x14ac:dyDescent="0.3">
      <c r="A271" s="369" t="s">
        <v>717</v>
      </c>
      <c r="B271" s="308" t="s">
        <v>290</v>
      </c>
      <c r="C271" s="370">
        <v>5</v>
      </c>
      <c r="D271" s="360">
        <f>'побудинковий звіт'!CU267</f>
        <v>109863.44494410242</v>
      </c>
      <c r="E271" s="344">
        <f>'побудинковий звіт'!CV267</f>
        <v>86326.861227817339</v>
      </c>
      <c r="F271" s="344">
        <f t="shared" si="16"/>
        <v>-23536.58371628508</v>
      </c>
      <c r="G271" s="361">
        <f t="shared" si="17"/>
        <v>0.78576510386816745</v>
      </c>
      <c r="H271" s="355">
        <f>('побудинковий звіт'!AS267+'побудинковий звіт'!BQ267)*1.2</f>
        <v>31679.708291367533</v>
      </c>
      <c r="I271" s="343">
        <f>('побудинковий звіт'!AT267+'побудинковий звіт'!BR267)*1.2</f>
        <v>4576.8</v>
      </c>
      <c r="J271" s="343">
        <f t="shared" si="18"/>
        <v>-27102.908291367534</v>
      </c>
      <c r="K271" s="364">
        <f t="shared" si="19"/>
        <v>0.14447102725523334</v>
      </c>
      <c r="L271" s="366">
        <f>'побудинковий звіт'!DE267</f>
        <v>21581.739999999998</v>
      </c>
      <c r="M271" s="373">
        <f>'побудинковий звіт'!DA267*-1</f>
        <v>41948.58695790841</v>
      </c>
    </row>
    <row r="272" spans="1:13" ht="20.100000000000001" customHeight="1" x14ac:dyDescent="0.3">
      <c r="A272" s="369" t="s">
        <v>718</v>
      </c>
      <c r="B272" s="308" t="s">
        <v>133</v>
      </c>
      <c r="C272" s="370">
        <v>1</v>
      </c>
      <c r="D272" s="360">
        <f>'побудинковий звіт'!CU268</f>
        <v>4995.8749237153115</v>
      </c>
      <c r="E272" s="344">
        <f>'побудинковий звіт'!CV268</f>
        <v>4806.4024516253476</v>
      </c>
      <c r="F272" s="344">
        <f t="shared" si="16"/>
        <v>-189.47247208996396</v>
      </c>
      <c r="G272" s="361">
        <f t="shared" si="17"/>
        <v>0.96207421623176714</v>
      </c>
      <c r="H272" s="355">
        <f>('побудинковий звіт'!AS268+'побудинковий звіт'!BQ268)*1.2</f>
        <v>3255.2855467642457</v>
      </c>
      <c r="I272" s="343">
        <f>('побудинковий звіт'!AT268+'побудинковий звіт'!BR268)*1.2</f>
        <v>655.19999999999993</v>
      </c>
      <c r="J272" s="343">
        <f t="shared" si="18"/>
        <v>-2600.0855467642459</v>
      </c>
      <c r="K272" s="364">
        <f t="shared" si="19"/>
        <v>0.2012726658192148</v>
      </c>
      <c r="L272" s="366">
        <f>'побудинковий звіт'!DE268</f>
        <v>1952.3100000000002</v>
      </c>
      <c r="M272" s="373">
        <f>'побудинковий звіт'!DA268*-1</f>
        <v>5373.0822216086817</v>
      </c>
    </row>
    <row r="273" spans="1:13" ht="20.100000000000001" customHeight="1" x14ac:dyDescent="0.3">
      <c r="A273" s="369" t="s">
        <v>719</v>
      </c>
      <c r="B273" s="308" t="s">
        <v>185</v>
      </c>
      <c r="C273" s="370">
        <v>1</v>
      </c>
      <c r="D273" s="360">
        <f>'побудинковий звіт'!CU269</f>
        <v>8816.3893765467656</v>
      </c>
      <c r="E273" s="344">
        <f>'побудинковий звіт'!CV269</f>
        <v>49438.982748276983</v>
      </c>
      <c r="F273" s="344">
        <f t="shared" si="16"/>
        <v>40622.593371730218</v>
      </c>
      <c r="G273" s="361">
        <f t="shared" si="17"/>
        <v>5.6076224219172834</v>
      </c>
      <c r="H273" s="355">
        <f>('побудинковий звіт'!AS269+'побудинковий звіт'!BQ269)*1.2</f>
        <v>6263.0554718658705</v>
      </c>
      <c r="I273" s="343">
        <f>('побудинковий звіт'!AT269+'побудинковий звіт'!BR269)*1.2</f>
        <v>47350.799999999996</v>
      </c>
      <c r="J273" s="343">
        <f t="shared" si="18"/>
        <v>41087.744528134128</v>
      </c>
      <c r="K273" s="364">
        <f t="shared" si="19"/>
        <v>7.5603354006209029</v>
      </c>
      <c r="L273" s="366">
        <f>'побудинковий звіт'!DE269</f>
        <v>0</v>
      </c>
      <c r="M273" s="373">
        <f>'побудинковий звіт'!DA269*-1</f>
        <v>-30555.690885501179</v>
      </c>
    </row>
    <row r="274" spans="1:13" ht="20.100000000000001" customHeight="1" x14ac:dyDescent="0.3">
      <c r="A274" s="369" t="s">
        <v>720</v>
      </c>
      <c r="B274" s="308" t="s">
        <v>134</v>
      </c>
      <c r="C274" s="370">
        <v>1</v>
      </c>
      <c r="D274" s="360" t="e">
        <f>'побудинковий звіт'!#REF!</f>
        <v>#REF!</v>
      </c>
      <c r="E274" s="344" t="e">
        <f>'побудинковий звіт'!#REF!</f>
        <v>#REF!</v>
      </c>
      <c r="F274" s="344" t="e">
        <f t="shared" si="16"/>
        <v>#REF!</v>
      </c>
      <c r="G274" s="361" t="e">
        <f t="shared" si="17"/>
        <v>#REF!</v>
      </c>
      <c r="H274" s="355" t="e">
        <f>('побудинковий звіт'!#REF!+'побудинковий звіт'!#REF!)*1.2</f>
        <v>#REF!</v>
      </c>
      <c r="I274" s="343" t="e">
        <f>('побудинковий звіт'!#REF!+'побудинковий звіт'!#REF!)*1.2</f>
        <v>#REF!</v>
      </c>
      <c r="J274" s="343" t="e">
        <f t="shared" si="18"/>
        <v>#REF!</v>
      </c>
      <c r="K274" s="364" t="e">
        <f t="shared" si="19"/>
        <v>#REF!</v>
      </c>
      <c r="L274" s="366" t="e">
        <f>'побудинковий звіт'!#REF!</f>
        <v>#REF!</v>
      </c>
      <c r="M274" s="373" t="e">
        <f>'побудинковий звіт'!#REF!*-1</f>
        <v>#REF!</v>
      </c>
    </row>
    <row r="275" spans="1:13" ht="20.100000000000001" customHeight="1" x14ac:dyDescent="0.3">
      <c r="A275" s="369" t="s">
        <v>721</v>
      </c>
      <c r="B275" s="308" t="s">
        <v>291</v>
      </c>
      <c r="C275" s="370">
        <v>5</v>
      </c>
      <c r="D275" s="360">
        <f>'побудинковий звіт'!CU270</f>
        <v>188091.78475074473</v>
      </c>
      <c r="E275" s="344">
        <f>'побудинковий звіт'!CV270</f>
        <v>221723.99883357208</v>
      </c>
      <c r="F275" s="344">
        <f t="shared" si="16"/>
        <v>33632.214082827355</v>
      </c>
      <c r="G275" s="361">
        <f t="shared" si="17"/>
        <v>1.1788074589615707</v>
      </c>
      <c r="H275" s="355">
        <f>('побудинковий звіт'!AS270+'побудинковий звіт'!BQ270)*1.2</f>
        <v>51656.033942776638</v>
      </c>
      <c r="I275" s="343">
        <f>('побудинковий звіт'!AT270+'побудинковий звіт'!BR270)*1.2</f>
        <v>86305.2</v>
      </c>
      <c r="J275" s="343">
        <f t="shared" si="18"/>
        <v>34649.16605722336</v>
      </c>
      <c r="K275" s="364">
        <f t="shared" si="19"/>
        <v>1.6707670607388656</v>
      </c>
      <c r="L275" s="366">
        <f>'побудинковий звіт'!DE270</f>
        <v>33105.5</v>
      </c>
      <c r="M275" s="373">
        <f>'побудинковий звіт'!DA270*-1</f>
        <v>-255042.1713054101</v>
      </c>
    </row>
    <row r="276" spans="1:13" ht="20.100000000000001" customHeight="1" x14ac:dyDescent="0.3">
      <c r="A276" s="369" t="s">
        <v>722</v>
      </c>
      <c r="B276" s="308" t="s">
        <v>422</v>
      </c>
      <c r="C276" s="370">
        <v>10</v>
      </c>
      <c r="D276" s="360">
        <f>'побудинковий звіт'!CU271</f>
        <v>380171.48927499709</v>
      </c>
      <c r="E276" s="344">
        <f>'побудинковий звіт'!CV271</f>
        <v>355838.07458233176</v>
      </c>
      <c r="F276" s="344">
        <f t="shared" si="16"/>
        <v>-24333.414692665334</v>
      </c>
      <c r="G276" s="361">
        <f t="shared" si="17"/>
        <v>0.93599358347710349</v>
      </c>
      <c r="H276" s="355">
        <f>('побудинковий звіт'!AS271+'побудинковий звіт'!BQ271)*1.2</f>
        <v>82074.305392162234</v>
      </c>
      <c r="I276" s="343">
        <f>('побудинковий звіт'!AT271+'побудинковий звіт'!BR271)*1.2</f>
        <v>16816.520229344813</v>
      </c>
      <c r="J276" s="343">
        <f t="shared" si="18"/>
        <v>-65257.785162817425</v>
      </c>
      <c r="K276" s="364">
        <f t="shared" si="19"/>
        <v>0.20489384770292218</v>
      </c>
      <c r="L276" s="366">
        <f>'побудинковий звіт'!DE271</f>
        <v>27628.460000000003</v>
      </c>
      <c r="M276" s="373">
        <f>'побудинковий звіт'!DA271*-1</f>
        <v>20988.66463600831</v>
      </c>
    </row>
    <row r="277" spans="1:13" ht="20.100000000000001" customHeight="1" x14ac:dyDescent="0.3">
      <c r="A277" s="369" t="s">
        <v>723</v>
      </c>
      <c r="B277" s="308" t="s">
        <v>392</v>
      </c>
      <c r="C277" s="370">
        <v>9</v>
      </c>
      <c r="D277" s="360">
        <f>'побудинковий звіт'!CU272</f>
        <v>374379.14588736522</v>
      </c>
      <c r="E277" s="344">
        <f>'побудинковий звіт'!CV272</f>
        <v>335775.14397569333</v>
      </c>
      <c r="F277" s="344">
        <f t="shared" si="16"/>
        <v>-38604.00191167189</v>
      </c>
      <c r="G277" s="361">
        <f t="shared" si="17"/>
        <v>0.89688527703600729</v>
      </c>
      <c r="H277" s="355">
        <f>('побудинковий звіт'!AS272+'побудинковий звіт'!BQ272)*1.2</f>
        <v>89307.402347252821</v>
      </c>
      <c r="I277" s="343">
        <f>('побудинковий звіт'!AT272+'побудинковий звіт'!BR272)*1.2</f>
        <v>44698.144130424451</v>
      </c>
      <c r="J277" s="343">
        <f t="shared" si="18"/>
        <v>-44609.25821682837</v>
      </c>
      <c r="K277" s="364">
        <f t="shared" si="19"/>
        <v>0.50049764023619492</v>
      </c>
      <c r="L277" s="366">
        <f>'побудинковий звіт'!DE272</f>
        <v>30622.559999999998</v>
      </c>
      <c r="M277" s="373">
        <f>'побудинковий звіт'!DA272*-1</f>
        <v>-460228.20592087775</v>
      </c>
    </row>
    <row r="278" spans="1:13" ht="20.100000000000001" customHeight="1" x14ac:dyDescent="0.3">
      <c r="A278" s="369" t="s">
        <v>724</v>
      </c>
      <c r="B278" s="308" t="s">
        <v>198</v>
      </c>
      <c r="C278" s="370">
        <v>3</v>
      </c>
      <c r="D278" s="360">
        <f>'побудинковий звіт'!CU273</f>
        <v>132828.86888275284</v>
      </c>
      <c r="E278" s="344">
        <f>'побудинковий звіт'!CV273</f>
        <v>107381.34326432932</v>
      </c>
      <c r="F278" s="344">
        <f t="shared" si="16"/>
        <v>-25447.525618423519</v>
      </c>
      <c r="G278" s="361">
        <f t="shared" si="17"/>
        <v>0.80841871324760073</v>
      </c>
      <c r="H278" s="355">
        <f>('побудинковий звіт'!AS273+'побудинковий звіт'!BQ273)*1.2</f>
        <v>38047.463089603327</v>
      </c>
      <c r="I278" s="343">
        <f>('побудинковий звіт'!AT273+'побудинковий звіт'!BR273)*1.2</f>
        <v>11871.6</v>
      </c>
      <c r="J278" s="343">
        <f t="shared" si="18"/>
        <v>-26175.863089603328</v>
      </c>
      <c r="K278" s="364">
        <f t="shared" si="19"/>
        <v>0.31202080338554761</v>
      </c>
      <c r="L278" s="366">
        <f>'побудинковий звіт'!DE273</f>
        <v>21804.319999999996</v>
      </c>
      <c r="M278" s="373">
        <f>'побудинковий звіт'!DA273*-1</f>
        <v>11544.050348202796</v>
      </c>
    </row>
    <row r="279" spans="1:13" ht="20.100000000000001" customHeight="1" x14ac:dyDescent="0.3">
      <c r="A279" s="369" t="s">
        <v>725</v>
      </c>
      <c r="B279" s="308" t="s">
        <v>199</v>
      </c>
      <c r="C279" s="370">
        <v>3</v>
      </c>
      <c r="D279" s="360">
        <f>'побудинковий звіт'!CU274</f>
        <v>41870.308836735006</v>
      </c>
      <c r="E279" s="344">
        <f>'побудинковий звіт'!CV274</f>
        <v>39259.057789311039</v>
      </c>
      <c r="F279" s="344">
        <f t="shared" si="16"/>
        <v>-2611.251047423968</v>
      </c>
      <c r="G279" s="361">
        <f t="shared" si="17"/>
        <v>0.93763477939448636</v>
      </c>
      <c r="H279" s="355">
        <f>('побудинковий звіт'!AS274+'побудинковий звіт'!BQ274)*1.2</f>
        <v>8549.5678317980437</v>
      </c>
      <c r="I279" s="343">
        <f>('побудинковий звіт'!AT274+'побудинковий звіт'!BR274)*1.2</f>
        <v>796.8</v>
      </c>
      <c r="J279" s="343">
        <f t="shared" si="18"/>
        <v>-7752.7678317980435</v>
      </c>
      <c r="K279" s="364">
        <f t="shared" si="19"/>
        <v>9.3197693225673423E-2</v>
      </c>
      <c r="L279" s="366">
        <f>'побудинковий звіт'!DE274</f>
        <v>248.31999999999971</v>
      </c>
      <c r="M279" s="373">
        <f>'побудинковий звіт'!DA274*-1</f>
        <v>-18768.030425491481</v>
      </c>
    </row>
    <row r="280" spans="1:13" ht="20.100000000000001" customHeight="1" x14ac:dyDescent="0.3">
      <c r="A280" s="369" t="s">
        <v>726</v>
      </c>
      <c r="B280" s="308" t="s">
        <v>135</v>
      </c>
      <c r="C280" s="370">
        <v>1</v>
      </c>
      <c r="D280" s="360">
        <f>'побудинковий звіт'!CU275</f>
        <v>3664.1196809136941</v>
      </c>
      <c r="E280" s="344">
        <f>'побудинковий звіт'!CV275</f>
        <v>1775.9650601583717</v>
      </c>
      <c r="F280" s="344">
        <f t="shared" si="16"/>
        <v>-1888.1546207553224</v>
      </c>
      <c r="G280" s="361">
        <f t="shared" si="17"/>
        <v>0.48469078927998133</v>
      </c>
      <c r="H280" s="355">
        <f>('побудинковий звіт'!AS275+'побудинковий звіт'!BQ275)*1.2</f>
        <v>2865.6060247007531</v>
      </c>
      <c r="I280" s="343">
        <f>('побудинковий звіт'!AT275+'побудинковий звіт'!BR275)*1.2</f>
        <v>0</v>
      </c>
      <c r="J280" s="343">
        <f t="shared" si="18"/>
        <v>-2865.6060247007531</v>
      </c>
      <c r="K280" s="364">
        <f t="shared" si="19"/>
        <v>0</v>
      </c>
      <c r="L280" s="366">
        <f>'побудинковий звіт'!DE275</f>
        <v>-7308.8</v>
      </c>
      <c r="M280" s="373">
        <f>'побудинковий звіт'!DA275*-1</f>
        <v>6067.7723957774051</v>
      </c>
    </row>
    <row r="281" spans="1:13" ht="20.100000000000001" customHeight="1" x14ac:dyDescent="0.3">
      <c r="A281" s="369" t="s">
        <v>727</v>
      </c>
      <c r="B281" s="308" t="s">
        <v>393</v>
      </c>
      <c r="C281" s="370">
        <v>9</v>
      </c>
      <c r="D281" s="360">
        <f>'побудинковий звіт'!CU276</f>
        <v>343549.39333286212</v>
      </c>
      <c r="E281" s="344">
        <f>'побудинковий звіт'!CV276</f>
        <v>392101.39887461398</v>
      </c>
      <c r="F281" s="344">
        <f t="shared" si="16"/>
        <v>48552.00554175186</v>
      </c>
      <c r="G281" s="361">
        <f t="shared" si="17"/>
        <v>1.1413246726205399</v>
      </c>
      <c r="H281" s="355">
        <f>('побудинковий звіт'!AS276+'побудинковий звіт'!BQ276)*1.2</f>
        <v>80962.892761261246</v>
      </c>
      <c r="I281" s="343">
        <f>('побудинковий звіт'!AT276+'побудинковий звіт'!BR276)*1.2</f>
        <v>152271.08336263563</v>
      </c>
      <c r="J281" s="343">
        <f t="shared" si="18"/>
        <v>71308.190601374386</v>
      </c>
      <c r="K281" s="364">
        <f t="shared" si="19"/>
        <v>1.8807515167676123</v>
      </c>
      <c r="L281" s="366">
        <f>'побудинковий звіт'!DE276</f>
        <v>17367.839999999997</v>
      </c>
      <c r="M281" s="373">
        <f>'побудинковий звіт'!DA276*-1</f>
        <v>-81944.726071784447</v>
      </c>
    </row>
    <row r="282" spans="1:13" ht="20.100000000000001" customHeight="1" x14ac:dyDescent="0.3">
      <c r="A282" s="369" t="s">
        <v>728</v>
      </c>
      <c r="B282" s="308" t="s">
        <v>136</v>
      </c>
      <c r="C282" s="370">
        <v>1</v>
      </c>
      <c r="D282" s="360">
        <f>'побудинковий звіт'!CU277</f>
        <v>3569.71674842527</v>
      </c>
      <c r="E282" s="344">
        <f>'побудинковий звіт'!CV277</f>
        <v>2615.1044037045003</v>
      </c>
      <c r="F282" s="344">
        <f t="shared" si="16"/>
        <v>-954.61234472076967</v>
      </c>
      <c r="G282" s="361">
        <f t="shared" si="17"/>
        <v>0.73258036645571856</v>
      </c>
      <c r="H282" s="355">
        <f>('побудинковий звіт'!AS277+'побудинковий звіт'!BQ277)*1.2</f>
        <v>2309.9931840223717</v>
      </c>
      <c r="I282" s="343">
        <f>('побудинковий звіт'!AT277+'побудинковий звіт'!BR277)*1.2</f>
        <v>0</v>
      </c>
      <c r="J282" s="343">
        <f t="shared" si="18"/>
        <v>-2309.9931840223717</v>
      </c>
      <c r="K282" s="364">
        <f t="shared" si="19"/>
        <v>0</v>
      </c>
      <c r="L282" s="366">
        <f>'побудинковий звіт'!DE277</f>
        <v>1.999999999998181E-2</v>
      </c>
      <c r="M282" s="373">
        <f>'побудинковий звіт'!DA277*-1</f>
        <v>4562.9428411521621</v>
      </c>
    </row>
    <row r="283" spans="1:13" ht="20.100000000000001" customHeight="1" x14ac:dyDescent="0.3">
      <c r="A283" s="369" t="s">
        <v>729</v>
      </c>
      <c r="B283" s="308" t="s">
        <v>186</v>
      </c>
      <c r="C283" s="370">
        <v>2</v>
      </c>
      <c r="D283" s="360">
        <f>'побудинковий звіт'!CU278</f>
        <v>19855.202697951896</v>
      </c>
      <c r="E283" s="344">
        <f>'побудинковий звіт'!CV278</f>
        <v>15660.625867812605</v>
      </c>
      <c r="F283" s="344">
        <f t="shared" si="16"/>
        <v>-4194.5768301392909</v>
      </c>
      <c r="G283" s="361">
        <f t="shared" si="17"/>
        <v>0.7887416767308062</v>
      </c>
      <c r="H283" s="355">
        <f>('побудинковий звіт'!AS278+'побудинковий звіт'!BQ278)*1.2</f>
        <v>5356.7019186606994</v>
      </c>
      <c r="I283" s="343">
        <f>('побудинковий звіт'!AT278+'побудинковий звіт'!BR278)*1.2</f>
        <v>0</v>
      </c>
      <c r="J283" s="343">
        <f t="shared" si="18"/>
        <v>-5356.7019186606994</v>
      </c>
      <c r="K283" s="364">
        <f t="shared" si="19"/>
        <v>0</v>
      </c>
      <c r="L283" s="366">
        <f>'побудинковий звіт'!DE278</f>
        <v>8992.41</v>
      </c>
      <c r="M283" s="373">
        <f>'побудинковий звіт'!DA278*-1</f>
        <v>22082.748321894011</v>
      </c>
    </row>
    <row r="284" spans="1:13" ht="20.100000000000001" customHeight="1" x14ac:dyDescent="0.3">
      <c r="A284" s="369" t="s">
        <v>730</v>
      </c>
      <c r="B284" s="308" t="s">
        <v>137</v>
      </c>
      <c r="C284" s="370">
        <v>1</v>
      </c>
      <c r="D284" s="360" t="e">
        <f>'побудинковий звіт'!#REF!</f>
        <v>#REF!</v>
      </c>
      <c r="E284" s="344" t="e">
        <f>'побудинковий звіт'!#REF!</f>
        <v>#REF!</v>
      </c>
      <c r="F284" s="344" t="e">
        <f t="shared" si="16"/>
        <v>#REF!</v>
      </c>
      <c r="G284" s="361" t="e">
        <f t="shared" si="17"/>
        <v>#REF!</v>
      </c>
      <c r="H284" s="355" t="e">
        <f>('побудинковий звіт'!#REF!+'побудинковий звіт'!#REF!)*1.2</f>
        <v>#REF!</v>
      </c>
      <c r="I284" s="343" t="e">
        <f>('побудинковий звіт'!#REF!+'побудинковий звіт'!#REF!)*1.2</f>
        <v>#REF!</v>
      </c>
      <c r="J284" s="343" t="e">
        <f t="shared" si="18"/>
        <v>#REF!</v>
      </c>
      <c r="K284" s="364" t="e">
        <f t="shared" si="19"/>
        <v>#REF!</v>
      </c>
      <c r="L284" s="366" t="e">
        <f>'побудинковий звіт'!#REF!</f>
        <v>#REF!</v>
      </c>
      <c r="M284" s="373" t="e">
        <f>'побудинковий звіт'!#REF!*-1</f>
        <v>#REF!</v>
      </c>
    </row>
    <row r="285" spans="1:13" ht="20.100000000000001" customHeight="1" x14ac:dyDescent="0.3">
      <c r="A285" s="369" t="s">
        <v>731</v>
      </c>
      <c r="B285" s="308" t="s">
        <v>138</v>
      </c>
      <c r="C285" s="370">
        <v>1</v>
      </c>
      <c r="D285" s="360">
        <f>'побудинковий звіт'!CU279</f>
        <v>5462.0950801123154</v>
      </c>
      <c r="E285" s="344">
        <f>'побудинковий звіт'!CV279</f>
        <v>381.41805547037848</v>
      </c>
      <c r="F285" s="344">
        <f t="shared" si="16"/>
        <v>-5080.6770246419364</v>
      </c>
      <c r="G285" s="361">
        <f t="shared" si="17"/>
        <v>6.9829991949267839E-2</v>
      </c>
      <c r="H285" s="355">
        <f>('побудинковий звіт'!AS279+'побудинковий звіт'!BQ279)*1.2</f>
        <v>5007.5266115233635</v>
      </c>
      <c r="I285" s="343">
        <f>('побудинковий звіт'!AT279+'побудинковий звіт'!BR279)*1.2</f>
        <v>0</v>
      </c>
      <c r="J285" s="343">
        <f t="shared" si="18"/>
        <v>-5007.5266115233635</v>
      </c>
      <c r="K285" s="364">
        <f t="shared" si="19"/>
        <v>0</v>
      </c>
      <c r="L285" s="366">
        <f>'побудинковий звіт'!DE279</f>
        <v>500.33</v>
      </c>
      <c r="M285" s="373">
        <f>'побудинковий звіт'!DA279*-1</f>
        <v>15433.177207732184</v>
      </c>
    </row>
    <row r="286" spans="1:13" ht="20.100000000000001" customHeight="1" x14ac:dyDescent="0.3">
      <c r="A286" s="369" t="s">
        <v>732</v>
      </c>
      <c r="B286" s="308" t="s">
        <v>139</v>
      </c>
      <c r="C286" s="370">
        <v>1</v>
      </c>
      <c r="D286" s="360" t="e">
        <f>'побудинковий звіт'!#REF!</f>
        <v>#REF!</v>
      </c>
      <c r="E286" s="344" t="e">
        <f>'побудинковий звіт'!#REF!</f>
        <v>#REF!</v>
      </c>
      <c r="F286" s="344" t="e">
        <f t="shared" si="16"/>
        <v>#REF!</v>
      </c>
      <c r="G286" s="361" t="e">
        <f t="shared" si="17"/>
        <v>#REF!</v>
      </c>
      <c r="H286" s="355" t="e">
        <f>('побудинковий звіт'!#REF!+'побудинковий звіт'!#REF!)*1.2</f>
        <v>#REF!</v>
      </c>
      <c r="I286" s="343" t="e">
        <f>('побудинковий звіт'!#REF!+'побудинковий звіт'!#REF!)*1.2</f>
        <v>#REF!</v>
      </c>
      <c r="J286" s="343" t="e">
        <f t="shared" si="18"/>
        <v>#REF!</v>
      </c>
      <c r="K286" s="364" t="e">
        <f t="shared" si="19"/>
        <v>#REF!</v>
      </c>
      <c r="L286" s="366" t="e">
        <f>'побудинковий звіт'!#REF!</f>
        <v>#REF!</v>
      </c>
      <c r="M286" s="373" t="e">
        <f>'побудинковий звіт'!#REF!*-1</f>
        <v>#REF!</v>
      </c>
    </row>
    <row r="287" spans="1:13" ht="20.100000000000001" customHeight="1" x14ac:dyDescent="0.3">
      <c r="A287" s="369" t="s">
        <v>733</v>
      </c>
      <c r="B287" s="308" t="s">
        <v>225</v>
      </c>
      <c r="C287" s="370">
        <v>4</v>
      </c>
      <c r="D287" s="360">
        <f>'побудинковий звіт'!CU280</f>
        <v>77922.651737594395</v>
      </c>
      <c r="E287" s="344">
        <f>'побудинковий звіт'!CV280</f>
        <v>73479.959612346283</v>
      </c>
      <c r="F287" s="344">
        <f t="shared" si="16"/>
        <v>-4442.6921252481116</v>
      </c>
      <c r="G287" s="361">
        <f t="shared" si="17"/>
        <v>0.94298587090941233</v>
      </c>
      <c r="H287" s="355">
        <f>('побудинковий звіт'!AS280+'побудинковий звіт'!BQ280)*1.2</f>
        <v>22358.054034487202</v>
      </c>
      <c r="I287" s="343">
        <f>('побудинковий звіт'!AT280+'побудинковий звіт'!BR280)*1.2</f>
        <v>12804</v>
      </c>
      <c r="J287" s="343">
        <f t="shared" si="18"/>
        <v>-9554.0540344872024</v>
      </c>
      <c r="K287" s="364">
        <f t="shared" si="19"/>
        <v>0.57267953553783724</v>
      </c>
      <c r="L287" s="366">
        <f>'побудинковий звіт'!DE280</f>
        <v>21254.440000000002</v>
      </c>
      <c r="M287" s="373">
        <f>'побудинковий звіт'!DA280*-1</f>
        <v>-84653.930414272356</v>
      </c>
    </row>
    <row r="288" spans="1:13" ht="20.100000000000001" customHeight="1" x14ac:dyDescent="0.3">
      <c r="A288" s="369" t="s">
        <v>734</v>
      </c>
      <c r="B288" s="308" t="s">
        <v>423</v>
      </c>
      <c r="C288" s="370">
        <v>10</v>
      </c>
      <c r="D288" s="360">
        <f>'побудинковий звіт'!CU281</f>
        <v>525272.27838272601</v>
      </c>
      <c r="E288" s="344">
        <f>'побудинковий звіт'!CV281</f>
        <v>472148.58027702413</v>
      </c>
      <c r="F288" s="344">
        <f t="shared" si="16"/>
        <v>-53123.698105701886</v>
      </c>
      <c r="G288" s="361">
        <f t="shared" si="17"/>
        <v>0.89886445507981927</v>
      </c>
      <c r="H288" s="355">
        <f>('побудинковий звіт'!AS281+'побудинковий звіт'!BQ281)*1.2</f>
        <v>180352.26521307317</v>
      </c>
      <c r="I288" s="343">
        <f>('побудинковий звіт'!AT281+'побудинковий звіт'!BR281)*1.2</f>
        <v>127657.2</v>
      </c>
      <c r="J288" s="343">
        <f t="shared" si="18"/>
        <v>-52695.065213073176</v>
      </c>
      <c r="K288" s="364">
        <f t="shared" si="19"/>
        <v>0.70782143960976729</v>
      </c>
      <c r="L288" s="366">
        <f>'побудинковий звіт'!DE281</f>
        <v>14421.440000000002</v>
      </c>
      <c r="M288" s="373">
        <f>'побудинковий звіт'!DA281*-1</f>
        <v>-59324.954683557895</v>
      </c>
    </row>
    <row r="289" spans="1:13" ht="20.100000000000001" customHeight="1" x14ac:dyDescent="0.3">
      <c r="A289" s="369" t="s">
        <v>735</v>
      </c>
      <c r="B289" s="308" t="s">
        <v>394</v>
      </c>
      <c r="C289" s="370">
        <v>9</v>
      </c>
      <c r="D289" s="360">
        <f>'побудинковий звіт'!CU282</f>
        <v>389662.81529240118</v>
      </c>
      <c r="E289" s="344">
        <f>'побудинковий звіт'!CV282</f>
        <v>440891.56664234202</v>
      </c>
      <c r="F289" s="344">
        <f t="shared" si="16"/>
        <v>51228.751349940838</v>
      </c>
      <c r="G289" s="361">
        <f t="shared" si="17"/>
        <v>1.1314694380358028</v>
      </c>
      <c r="H289" s="355">
        <f>('побудинковий звіт'!AS282+'побудинковий звіт'!BQ282)*1.2</f>
        <v>119977.91281482654</v>
      </c>
      <c r="I289" s="343">
        <f>('побудинковий звіт'!AT282+'побудинковий звіт'!BR282)*1.2</f>
        <v>174446.4</v>
      </c>
      <c r="J289" s="343">
        <f t="shared" si="18"/>
        <v>54468.48718517345</v>
      </c>
      <c r="K289" s="364">
        <f t="shared" si="19"/>
        <v>1.4539876207818343</v>
      </c>
      <c r="L289" s="366">
        <f>'побудинковий звіт'!DE282</f>
        <v>5515.3499999999985</v>
      </c>
      <c r="M289" s="373">
        <f>'побудинковий звіт'!DA282*-1</f>
        <v>40432.775942755601</v>
      </c>
    </row>
    <row r="290" spans="1:13" ht="20.100000000000001" customHeight="1" x14ac:dyDescent="0.3">
      <c r="A290" s="369" t="s">
        <v>736</v>
      </c>
      <c r="B290" s="308" t="s">
        <v>292</v>
      </c>
      <c r="C290" s="370">
        <v>5</v>
      </c>
      <c r="D290" s="360">
        <f>'побудинковий звіт'!CU283</f>
        <v>90050.531129314477</v>
      </c>
      <c r="E290" s="344">
        <f>'побудинковий звіт'!CV283</f>
        <v>75283.122271338099</v>
      </c>
      <c r="F290" s="344">
        <f t="shared" si="16"/>
        <v>-14767.408857976377</v>
      </c>
      <c r="G290" s="361">
        <f t="shared" si="17"/>
        <v>0.83600975282677603</v>
      </c>
      <c r="H290" s="355">
        <f>('побудинковий звіт'!AS283+'побудинковий звіт'!BQ283)*1.2</f>
        <v>26206.765566540929</v>
      </c>
      <c r="I290" s="343">
        <f>('побудинковий звіт'!AT283+'побудинковий звіт'!BR283)*1.2</f>
        <v>5194.5552769521073</v>
      </c>
      <c r="J290" s="343">
        <f t="shared" si="18"/>
        <v>-21012.210289588824</v>
      </c>
      <c r="K290" s="364">
        <f t="shared" si="19"/>
        <v>0.19821428416119283</v>
      </c>
      <c r="L290" s="366">
        <f>'побудинковий звіт'!DE283</f>
        <v>16470.64</v>
      </c>
      <c r="M290" s="373">
        <f>'побудинковий звіт'!DA283*-1</f>
        <v>21860.001255864656</v>
      </c>
    </row>
    <row r="291" spans="1:13" ht="20.100000000000001" customHeight="1" x14ac:dyDescent="0.3">
      <c r="A291" s="369" t="s">
        <v>737</v>
      </c>
      <c r="B291" s="308" t="s">
        <v>293</v>
      </c>
      <c r="C291" s="370">
        <v>5</v>
      </c>
      <c r="D291" s="360">
        <f>'побудинковий звіт'!CU284</f>
        <v>295727.39173441369</v>
      </c>
      <c r="E291" s="344">
        <f>'побудинковий звіт'!CV284</f>
        <v>243673.05557751207</v>
      </c>
      <c r="F291" s="344">
        <f t="shared" si="16"/>
        <v>-52054.336156901612</v>
      </c>
      <c r="G291" s="361">
        <f t="shared" si="17"/>
        <v>0.82397864515827313</v>
      </c>
      <c r="H291" s="355">
        <f>('побудинковий звіт'!AS284+'побудинковий звіт'!BQ284)*1.2</f>
        <v>101049.20292817254</v>
      </c>
      <c r="I291" s="343">
        <f>('побудинковий звіт'!AT284+'побудинковий звіт'!BR284)*1.2</f>
        <v>39625.340904204808</v>
      </c>
      <c r="J291" s="343">
        <f t="shared" si="18"/>
        <v>-61423.862023967733</v>
      </c>
      <c r="K291" s="364">
        <f t="shared" si="19"/>
        <v>0.39213907439102869</v>
      </c>
      <c r="L291" s="366">
        <f>'побудинковий звіт'!DE284</f>
        <v>13851.039999999997</v>
      </c>
      <c r="M291" s="373">
        <f>'побудинковий звіт'!DA284*-1</f>
        <v>104193.17944057002</v>
      </c>
    </row>
    <row r="292" spans="1:13" ht="20.100000000000001" customHeight="1" x14ac:dyDescent="0.3">
      <c r="A292" s="369" t="s">
        <v>738</v>
      </c>
      <c r="B292" s="308" t="s">
        <v>226</v>
      </c>
      <c r="C292" s="370">
        <v>4</v>
      </c>
      <c r="D292" s="360">
        <f>'побудинковий звіт'!CU285</f>
        <v>83065.548437254474</v>
      </c>
      <c r="E292" s="344">
        <f>'побудинковий звіт'!CV285</f>
        <v>63922.183728468379</v>
      </c>
      <c r="F292" s="344">
        <f t="shared" si="16"/>
        <v>-19143.364708786095</v>
      </c>
      <c r="G292" s="361">
        <f t="shared" si="17"/>
        <v>0.76953905597521588</v>
      </c>
      <c r="H292" s="355">
        <f>('побудинковий звіт'!AS285+'побудинковий звіт'!BQ285)*1.2</f>
        <v>23359.334386775969</v>
      </c>
      <c r="I292" s="343">
        <f>('побудинковий звіт'!AT285+'побудинковий звіт'!BR285)*1.2</f>
        <v>991.19999999999993</v>
      </c>
      <c r="J292" s="343">
        <f t="shared" si="18"/>
        <v>-22368.134386775968</v>
      </c>
      <c r="K292" s="364">
        <f t="shared" si="19"/>
        <v>4.2432715915104648E-2</v>
      </c>
      <c r="L292" s="366">
        <f>'побудинковий звіт'!DE285</f>
        <v>5498.1599999999989</v>
      </c>
      <c r="M292" s="373">
        <f>'побудинковий звіт'!DA285*-1</f>
        <v>59346.233788135687</v>
      </c>
    </row>
    <row r="293" spans="1:13" ht="20.100000000000001" customHeight="1" x14ac:dyDescent="0.3">
      <c r="A293" s="369" t="s">
        <v>739</v>
      </c>
      <c r="B293" s="308" t="s">
        <v>294</v>
      </c>
      <c r="C293" s="370">
        <v>5</v>
      </c>
      <c r="D293" s="360">
        <f>'побудинковий звіт'!CU286</f>
        <v>240312.09515437725</v>
      </c>
      <c r="E293" s="344">
        <f>'побудинковий звіт'!CV286</f>
        <v>189369.127601958</v>
      </c>
      <c r="F293" s="344">
        <f t="shared" si="16"/>
        <v>-50942.967552419257</v>
      </c>
      <c r="G293" s="361">
        <f t="shared" si="17"/>
        <v>0.78801330195347286</v>
      </c>
      <c r="H293" s="355">
        <f>('побудинковий звіт'!AS286+'побудинковий звіт'!BQ286)*1.2</f>
        <v>76083.491208274485</v>
      </c>
      <c r="I293" s="343">
        <f>('побудинковий звіт'!AT286+'побудинковий звіт'!BR286)*1.2</f>
        <v>18169.34394713373</v>
      </c>
      <c r="J293" s="343">
        <f t="shared" si="18"/>
        <v>-57914.147261140752</v>
      </c>
      <c r="K293" s="364">
        <f t="shared" si="19"/>
        <v>0.23880796817533154</v>
      </c>
      <c r="L293" s="366">
        <f>'побудинковий звіт'!DE286</f>
        <v>41520.240000000005</v>
      </c>
      <c r="M293" s="373">
        <f>'побудинковий звіт'!DA286*-1</f>
        <v>-84710.488938872179</v>
      </c>
    </row>
    <row r="294" spans="1:13" ht="20.100000000000001" customHeight="1" x14ac:dyDescent="0.3">
      <c r="A294" s="369" t="s">
        <v>740</v>
      </c>
      <c r="B294" s="308" t="s">
        <v>295</v>
      </c>
      <c r="C294" s="370">
        <v>5</v>
      </c>
      <c r="D294" s="360">
        <f>'побудинковий звіт'!CU287</f>
        <v>198476.18886374726</v>
      </c>
      <c r="E294" s="344">
        <f>'побудинковий звіт'!CV287</f>
        <v>242264.54721309032</v>
      </c>
      <c r="F294" s="344">
        <f t="shared" si="16"/>
        <v>43788.358349343063</v>
      </c>
      <c r="G294" s="361">
        <f t="shared" si="17"/>
        <v>1.2206227286004747</v>
      </c>
      <c r="H294" s="355">
        <f>('побудинковий звіт'!AS287+'побудинковий звіт'!BQ287)*1.2</f>
        <v>58218.731189098333</v>
      </c>
      <c r="I294" s="343">
        <f>('побудинковий звіт'!AT287+'побудинковий звіт'!BR287)*1.2</f>
        <v>90372</v>
      </c>
      <c r="J294" s="343">
        <f t="shared" si="18"/>
        <v>32153.268810901667</v>
      </c>
      <c r="K294" s="364">
        <f t="shared" si="19"/>
        <v>1.5522839154028572</v>
      </c>
      <c r="L294" s="366">
        <f>'побудинковий звіт'!DE287</f>
        <v>23817.75</v>
      </c>
      <c r="M294" s="373">
        <f>'побудинковий звіт'!DA287*-1</f>
        <v>299.51420156293898</v>
      </c>
    </row>
    <row r="295" spans="1:13" ht="20.100000000000001" customHeight="1" x14ac:dyDescent="0.3">
      <c r="A295" s="369" t="s">
        <v>741</v>
      </c>
      <c r="B295" s="308" t="s">
        <v>227</v>
      </c>
      <c r="C295" s="370">
        <v>4</v>
      </c>
      <c r="D295" s="360">
        <f>'побудинковий звіт'!CU288</f>
        <v>73877.304830434601</v>
      </c>
      <c r="E295" s="344">
        <f>'побудинковий звіт'!CV288</f>
        <v>56639.293849828566</v>
      </c>
      <c r="F295" s="344">
        <f t="shared" si="16"/>
        <v>-17238.010980606035</v>
      </c>
      <c r="G295" s="361">
        <f t="shared" si="17"/>
        <v>0.76666702960846722</v>
      </c>
      <c r="H295" s="355">
        <f>('побудинковий звіт'!AS288+'побудинковий звіт'!BQ288)*1.2</f>
        <v>20639.70709537802</v>
      </c>
      <c r="I295" s="343">
        <f>('побудинковий звіт'!AT288+'побудинковий звіт'!BR288)*1.2</f>
        <v>5079.5999999999995</v>
      </c>
      <c r="J295" s="343">
        <f t="shared" si="18"/>
        <v>-15560.107095378022</v>
      </c>
      <c r="K295" s="364">
        <f t="shared" si="19"/>
        <v>0.24610814371186043</v>
      </c>
      <c r="L295" s="366">
        <f>'побудинковий звіт'!DE288</f>
        <v>28974.06</v>
      </c>
      <c r="M295" s="373">
        <f>'побудинковий звіт'!DA288*-1</f>
        <v>-35844.612257369852</v>
      </c>
    </row>
    <row r="296" spans="1:13" ht="20.100000000000001" customHeight="1" x14ac:dyDescent="0.3">
      <c r="A296" s="369" t="s">
        <v>742</v>
      </c>
      <c r="B296" s="308" t="s">
        <v>296</v>
      </c>
      <c r="C296" s="370">
        <v>5</v>
      </c>
      <c r="D296" s="360">
        <f>'побудинковий звіт'!CU289</f>
        <v>183561.26059200414</v>
      </c>
      <c r="E296" s="344">
        <f>'побудинковий звіт'!CV289</f>
        <v>374803.04321701743</v>
      </c>
      <c r="F296" s="344">
        <f t="shared" si="16"/>
        <v>191241.78262501329</v>
      </c>
      <c r="G296" s="361">
        <f t="shared" si="17"/>
        <v>2.0418417372393209</v>
      </c>
      <c r="H296" s="355">
        <f>('побудинковий звіт'!AS289+'побудинковий звіт'!BQ289)*1.2</f>
        <v>57298.383066358052</v>
      </c>
      <c r="I296" s="343">
        <f>('побудинковий звіт'!AT289+'побудинковий звіт'!BR289)*1.2</f>
        <v>240786.46239780722</v>
      </c>
      <c r="J296" s="343">
        <f t="shared" si="18"/>
        <v>183488.07933144917</v>
      </c>
      <c r="K296" s="364">
        <f t="shared" si="19"/>
        <v>4.2023256069713009</v>
      </c>
      <c r="L296" s="366">
        <f>'побудинковий звіт'!DE289</f>
        <v>18386.48</v>
      </c>
      <c r="M296" s="373">
        <f>'побудинковий звіт'!DA289*-1</f>
        <v>-142339.17552695348</v>
      </c>
    </row>
    <row r="297" spans="1:13" ht="20.100000000000001" customHeight="1" x14ac:dyDescent="0.3">
      <c r="A297" s="369" t="s">
        <v>743</v>
      </c>
      <c r="B297" s="308" t="s">
        <v>228</v>
      </c>
      <c r="C297" s="370">
        <v>4</v>
      </c>
      <c r="D297" s="360">
        <f>'побудинковий звіт'!CU290</f>
        <v>150024.87646308355</v>
      </c>
      <c r="E297" s="344">
        <f>'побудинковий звіт'!CV290</f>
        <v>251067.41843432322</v>
      </c>
      <c r="F297" s="344">
        <f t="shared" si="16"/>
        <v>101042.54197123967</v>
      </c>
      <c r="G297" s="361">
        <f t="shared" si="17"/>
        <v>1.6735052502849626</v>
      </c>
      <c r="H297" s="355">
        <f>('побудинковий звіт'!AS290+'побудинковий звіт'!BQ290)*1.2</f>
        <v>43644.818712088883</v>
      </c>
      <c r="I297" s="343">
        <f>('побудинковий звіт'!AT290+'побудинковий звіт'!BR290)*1.2</f>
        <v>147231.6</v>
      </c>
      <c r="J297" s="343">
        <f t="shared" si="18"/>
        <v>103586.78128791112</v>
      </c>
      <c r="K297" s="364">
        <f t="shared" si="19"/>
        <v>3.3734038620080078</v>
      </c>
      <c r="L297" s="366">
        <f>'побудинковий звіт'!DE290</f>
        <v>26981.799999999996</v>
      </c>
      <c r="M297" s="373">
        <f>'побудинковий звіт'!DA290*-1</f>
        <v>-112674.83791887749</v>
      </c>
    </row>
    <row r="298" spans="1:13" ht="20.100000000000001" customHeight="1" x14ac:dyDescent="0.3">
      <c r="A298" s="369" t="s">
        <v>744</v>
      </c>
      <c r="B298" s="308" t="s">
        <v>187</v>
      </c>
      <c r="C298" s="370">
        <v>2</v>
      </c>
      <c r="D298" s="360">
        <f>'побудинковий звіт'!CU291</f>
        <v>18741.588890661089</v>
      </c>
      <c r="E298" s="344">
        <f>'побудинковий звіт'!CV291</f>
        <v>15413.425188820231</v>
      </c>
      <c r="F298" s="344">
        <f t="shared" si="16"/>
        <v>-3328.1637018408583</v>
      </c>
      <c r="G298" s="361">
        <f t="shared" si="17"/>
        <v>0.82241827407177426</v>
      </c>
      <c r="H298" s="355">
        <f>('побудинковий звіт'!AS291+'побудинковий звіт'!BQ291)*1.2</f>
        <v>5249.60786526416</v>
      </c>
      <c r="I298" s="343">
        <f>('побудинковий звіт'!AT291+'побудинковий звіт'!BR291)*1.2</f>
        <v>1264.8</v>
      </c>
      <c r="J298" s="343">
        <f t="shared" si="18"/>
        <v>-3984.8078652641598</v>
      </c>
      <c r="K298" s="364">
        <f t="shared" si="19"/>
        <v>0.24093228150791704</v>
      </c>
      <c r="L298" s="366">
        <f>'побудинковий звіт'!DE291</f>
        <v>7546.57</v>
      </c>
      <c r="M298" s="373">
        <f>'побудинковий звіт'!DA291*-1</f>
        <v>19622.229050857815</v>
      </c>
    </row>
    <row r="299" spans="1:13" ht="20.100000000000001" customHeight="1" x14ac:dyDescent="0.3">
      <c r="A299" s="369" t="s">
        <v>745</v>
      </c>
      <c r="B299" s="308" t="s">
        <v>297</v>
      </c>
      <c r="C299" s="370">
        <v>5</v>
      </c>
      <c r="D299" s="360">
        <f>'побудинковий звіт'!CU292</f>
        <v>108059.69965362393</v>
      </c>
      <c r="E299" s="344">
        <f>'побудинковий звіт'!CV292</f>
        <v>92247.880592477639</v>
      </c>
      <c r="F299" s="344">
        <f t="shared" ref="F299:F361" si="20">E299-D299</f>
        <v>-15811.819061146292</v>
      </c>
      <c r="G299" s="361">
        <f t="shared" ref="G299:G361" si="21">E299/D299</f>
        <v>0.85367515260703375</v>
      </c>
      <c r="H299" s="355">
        <f>('побудинковий звіт'!AS292+'побудинковий звіт'!BQ292)*1.2</f>
        <v>21678.764583449331</v>
      </c>
      <c r="I299" s="343">
        <f>('побудинковий звіт'!AT292+'побудинковий звіт'!BR292)*1.2</f>
        <v>5379.5999999999995</v>
      </c>
      <c r="J299" s="343">
        <f t="shared" ref="J299:J361" si="22">I299-H299</f>
        <v>-16299.164583449332</v>
      </c>
      <c r="K299" s="364">
        <f t="shared" ref="K299:K361" si="23">I299/H299</f>
        <v>0.24815067202247582</v>
      </c>
      <c r="L299" s="366">
        <f>'побудинковий звіт'!DE292</f>
        <v>8510.4599999999991</v>
      </c>
      <c r="M299" s="373">
        <f>'побудинковий звіт'!DA292*-1</f>
        <v>9147.1497244479779</v>
      </c>
    </row>
    <row r="300" spans="1:13" ht="20.100000000000001" customHeight="1" x14ac:dyDescent="0.3">
      <c r="A300" s="369" t="s">
        <v>746</v>
      </c>
      <c r="B300" s="308" t="s">
        <v>298</v>
      </c>
      <c r="C300" s="370">
        <v>5</v>
      </c>
      <c r="D300" s="360">
        <f>'побудинковий звіт'!CU293</f>
        <v>233274.8921308796</v>
      </c>
      <c r="E300" s="344">
        <f>'побудинковий звіт'!CV293</f>
        <v>203196.60292748315</v>
      </c>
      <c r="F300" s="344">
        <f t="shared" si="20"/>
        <v>-30078.289203396445</v>
      </c>
      <c r="G300" s="361">
        <f t="shared" si="21"/>
        <v>0.87106075185099252</v>
      </c>
      <c r="H300" s="355">
        <f>('побудинковий звіт'!AS293+'побудинковий звіт'!BQ293)*1.2</f>
        <v>69469.58474849601</v>
      </c>
      <c r="I300" s="343">
        <f>('побудинковий звіт'!AT293+'побудинковий звіт'!BR293)*1.2</f>
        <v>30581.362258083973</v>
      </c>
      <c r="J300" s="343">
        <f t="shared" si="22"/>
        <v>-38888.222490412038</v>
      </c>
      <c r="K300" s="364">
        <f t="shared" si="23"/>
        <v>0.44021225071085585</v>
      </c>
      <c r="L300" s="366">
        <f>'побудинковий звіт'!DE293</f>
        <v>65278.85</v>
      </c>
      <c r="M300" s="373">
        <f>'побудинковий звіт'!DA293*-1</f>
        <v>37660.402993743941</v>
      </c>
    </row>
    <row r="301" spans="1:13" ht="20.100000000000001" customHeight="1" x14ac:dyDescent="0.3">
      <c r="A301" s="369" t="s">
        <v>747</v>
      </c>
      <c r="B301" s="308" t="s">
        <v>299</v>
      </c>
      <c r="C301" s="370">
        <v>5</v>
      </c>
      <c r="D301" s="360">
        <f>'побудинковий звіт'!CU294</f>
        <v>148924.11404203862</v>
      </c>
      <c r="E301" s="344">
        <f>'побудинковий звіт'!CV294</f>
        <v>113275.53093816595</v>
      </c>
      <c r="F301" s="344">
        <f t="shared" si="20"/>
        <v>-35648.583103872676</v>
      </c>
      <c r="G301" s="361">
        <f t="shared" si="21"/>
        <v>0.76062585073489364</v>
      </c>
      <c r="H301" s="355">
        <f>('побудинковий звіт'!AS294+'побудинковий звіт'!BQ294)*1.2</f>
        <v>51234.986909081817</v>
      </c>
      <c r="I301" s="343">
        <f>('побудинковий звіт'!AT294+'побудинковий звіт'!BR294)*1.2</f>
        <v>12547.199999999999</v>
      </c>
      <c r="J301" s="343">
        <f t="shared" si="22"/>
        <v>-38687.78690908182</v>
      </c>
      <c r="K301" s="364">
        <f t="shared" si="23"/>
        <v>0.2448951538187259</v>
      </c>
      <c r="L301" s="366">
        <f>'побудинковий звіт'!DE294</f>
        <v>16634.509999999998</v>
      </c>
      <c r="M301" s="373">
        <f>'побудинковий звіт'!DA294*-1</f>
        <v>59447.297171977931</v>
      </c>
    </row>
    <row r="302" spans="1:13" ht="20.100000000000001" customHeight="1" x14ac:dyDescent="0.3">
      <c r="A302" s="369" t="s">
        <v>748</v>
      </c>
      <c r="B302" s="308" t="s">
        <v>300</v>
      </c>
      <c r="C302" s="370">
        <v>5</v>
      </c>
      <c r="D302" s="360">
        <f>'побудинковий звіт'!CU295</f>
        <v>159619.23798832842</v>
      </c>
      <c r="E302" s="344">
        <f>'побудинковий звіт'!CV295</f>
        <v>131686.79431103461</v>
      </c>
      <c r="F302" s="344">
        <f t="shared" si="20"/>
        <v>-27932.443677293806</v>
      </c>
      <c r="G302" s="361">
        <f t="shared" si="21"/>
        <v>0.82500578232721378</v>
      </c>
      <c r="H302" s="355">
        <f>('побудинковий звіт'!AS295+'побудинковий звіт'!BQ295)*1.2</f>
        <v>48739.908352857034</v>
      </c>
      <c r="I302" s="343">
        <f>('побудинковий звіт'!AT295+'побудинковий звіт'!BR295)*1.2</f>
        <v>2833.3423396331982</v>
      </c>
      <c r="J302" s="343">
        <f t="shared" si="22"/>
        <v>-45906.566013223834</v>
      </c>
      <c r="K302" s="364">
        <f t="shared" si="23"/>
        <v>5.8131876636307082E-2</v>
      </c>
      <c r="L302" s="366">
        <f>'побудинковий звіт'!DE295</f>
        <v>38746.93</v>
      </c>
      <c r="M302" s="373">
        <f>'побудинковий звіт'!DA295*-1</f>
        <v>45483.822627628739</v>
      </c>
    </row>
    <row r="303" spans="1:13" ht="20.100000000000001" customHeight="1" x14ac:dyDescent="0.3">
      <c r="A303" s="369" t="s">
        <v>749</v>
      </c>
      <c r="B303" s="308" t="s">
        <v>301</v>
      </c>
      <c r="C303" s="370">
        <v>5</v>
      </c>
      <c r="D303" s="360">
        <f>'побудинковий звіт'!CU296</f>
        <v>176267.97031273568</v>
      </c>
      <c r="E303" s="344">
        <f>'побудинковий звіт'!CV296</f>
        <v>139656.28126057895</v>
      </c>
      <c r="F303" s="344">
        <f t="shared" si="20"/>
        <v>-36611.689052156726</v>
      </c>
      <c r="G303" s="361">
        <f t="shared" si="21"/>
        <v>0.79229528207989208</v>
      </c>
      <c r="H303" s="355">
        <f>('побудинковий звіт'!AS296+'побудинковий звіт'!BQ296)*1.2</f>
        <v>53833.355517891636</v>
      </c>
      <c r="I303" s="343">
        <f>('побудинковий звіт'!AT296+'побудинковий звіт'!BR296)*1.2</f>
        <v>9336.0440459874662</v>
      </c>
      <c r="J303" s="343">
        <f t="shared" si="22"/>
        <v>-44497.31147190417</v>
      </c>
      <c r="K303" s="364">
        <f t="shared" si="23"/>
        <v>0.17342489533063959</v>
      </c>
      <c r="L303" s="366">
        <f>'побудинковий звіт'!DE296</f>
        <v>30145.370000000003</v>
      </c>
      <c r="M303" s="373">
        <f>'побудинковий звіт'!DA296*-1</f>
        <v>-25605.52143517782</v>
      </c>
    </row>
    <row r="304" spans="1:13" ht="20.100000000000001" customHeight="1" x14ac:dyDescent="0.3">
      <c r="A304" s="369" t="s">
        <v>750</v>
      </c>
      <c r="B304" s="308" t="s">
        <v>302</v>
      </c>
      <c r="C304" s="370">
        <v>5</v>
      </c>
      <c r="D304" s="360">
        <f>'побудинковий звіт'!CU297</f>
        <v>154358.25041030848</v>
      </c>
      <c r="E304" s="344">
        <f>'побудинковий звіт'!CV297</f>
        <v>131256.43956119186</v>
      </c>
      <c r="F304" s="344">
        <f t="shared" si="20"/>
        <v>-23101.81084911662</v>
      </c>
      <c r="G304" s="361">
        <f t="shared" si="21"/>
        <v>0.85033640386757181</v>
      </c>
      <c r="H304" s="355">
        <f>('побудинковий звіт'!AS297+'побудинковий звіт'!BQ297)*1.2</f>
        <v>38937.133117058249</v>
      </c>
      <c r="I304" s="343">
        <f>('побудинковий звіт'!AT297+'побудинковий звіт'!BR297)*1.2</f>
        <v>2959.2</v>
      </c>
      <c r="J304" s="343">
        <f t="shared" si="22"/>
        <v>-35977.933117058252</v>
      </c>
      <c r="K304" s="364">
        <f t="shared" si="23"/>
        <v>7.5999431984466848E-2</v>
      </c>
      <c r="L304" s="366">
        <f>'побудинковий звіт'!DE297</f>
        <v>55173.08</v>
      </c>
      <c r="M304" s="373">
        <f>'побудинковий звіт'!DA297*-1</f>
        <v>-16699.675938753018</v>
      </c>
    </row>
    <row r="305" spans="1:13" ht="20.100000000000001" customHeight="1" x14ac:dyDescent="0.3">
      <c r="A305" s="369" t="s">
        <v>751</v>
      </c>
      <c r="B305" s="308" t="s">
        <v>303</v>
      </c>
      <c r="C305" s="370">
        <v>5</v>
      </c>
      <c r="D305" s="360">
        <f>'побудинковий звіт'!CU298</f>
        <v>170766.29084704694</v>
      </c>
      <c r="E305" s="344">
        <f>'побудинковий звіт'!CV298</f>
        <v>146634.78584693591</v>
      </c>
      <c r="F305" s="344">
        <f t="shared" si="20"/>
        <v>-24131.505000111036</v>
      </c>
      <c r="G305" s="361">
        <f t="shared" si="21"/>
        <v>0.85868695232289549</v>
      </c>
      <c r="H305" s="355">
        <f>('побудинковий звіт'!AS298+'побудинковий звіт'!BQ298)*1.2</f>
        <v>55201.3437654683</v>
      </c>
      <c r="I305" s="343">
        <f>('побудинковий звіт'!AT298+'побудинковий звіт'!BR298)*1.2</f>
        <v>29649.599999999999</v>
      </c>
      <c r="J305" s="343">
        <f t="shared" si="22"/>
        <v>-25551.743765468302</v>
      </c>
      <c r="K305" s="364">
        <f t="shared" si="23"/>
        <v>0.53711735942463734</v>
      </c>
      <c r="L305" s="366">
        <f>'побудинковий звіт'!DE298</f>
        <v>32927.159999999996</v>
      </c>
      <c r="M305" s="373">
        <f>'побудинковий звіт'!DA298*-1</f>
        <v>64047.302291752501</v>
      </c>
    </row>
    <row r="306" spans="1:13" ht="20.100000000000001" customHeight="1" x14ac:dyDescent="0.3">
      <c r="A306" s="369" t="s">
        <v>752</v>
      </c>
      <c r="B306" s="308" t="s">
        <v>188</v>
      </c>
      <c r="C306" s="370">
        <v>2</v>
      </c>
      <c r="D306" s="360">
        <f>'побудинковий звіт'!CU299</f>
        <v>21070.823055360735</v>
      </c>
      <c r="E306" s="344">
        <f>'побудинковий звіт'!CV299</f>
        <v>22100.450994775099</v>
      </c>
      <c r="F306" s="344">
        <f t="shared" si="20"/>
        <v>1029.6279394143639</v>
      </c>
      <c r="G306" s="361">
        <f t="shared" si="21"/>
        <v>1.0488651030246496</v>
      </c>
      <c r="H306" s="355">
        <f>('побудинковий звіт'!AS299+'побудинковий звіт'!BQ299)*1.2</f>
        <v>6810.2807955181015</v>
      </c>
      <c r="I306" s="343">
        <f>('побудинковий звіт'!AT299+'побудинковий звіт'!BR299)*1.2</f>
        <v>207.6</v>
      </c>
      <c r="J306" s="343">
        <f t="shared" si="22"/>
        <v>-6602.6807955181011</v>
      </c>
      <c r="K306" s="364">
        <f t="shared" si="23"/>
        <v>3.0483324584299542E-2</v>
      </c>
      <c r="L306" s="366">
        <f>'побудинковий звіт'!DE299</f>
        <v>5759.54</v>
      </c>
      <c r="M306" s="373">
        <f>'побудинковий звіт'!DA299*-1</f>
        <v>-33599.976994759025</v>
      </c>
    </row>
    <row r="307" spans="1:13" ht="20.100000000000001" customHeight="1" x14ac:dyDescent="0.3">
      <c r="A307" s="369" t="s">
        <v>753</v>
      </c>
      <c r="B307" s="308" t="s">
        <v>304</v>
      </c>
      <c r="C307" s="370">
        <v>5</v>
      </c>
      <c r="D307" s="360">
        <f>'побудинковий звіт'!CU300</f>
        <v>183278.11001334948</v>
      </c>
      <c r="E307" s="344">
        <f>'побудинковий звіт'!CV300</f>
        <v>193771.16905275345</v>
      </c>
      <c r="F307" s="344">
        <f t="shared" si="20"/>
        <v>10493.059039403975</v>
      </c>
      <c r="G307" s="361">
        <f t="shared" si="21"/>
        <v>1.0572521128608303</v>
      </c>
      <c r="H307" s="355">
        <f>('побудинковий звіт'!AS300+'побудинковий звіт'!BQ300)*1.2</f>
        <v>46135.456909723216</v>
      </c>
      <c r="I307" s="343">
        <f>('побудинковий звіт'!AT300+'побудинковий звіт'!BR300)*1.2</f>
        <v>48138.079820694351</v>
      </c>
      <c r="J307" s="343">
        <f t="shared" si="22"/>
        <v>2002.6229109711348</v>
      </c>
      <c r="K307" s="364">
        <f t="shared" si="23"/>
        <v>1.0434074580618073</v>
      </c>
      <c r="L307" s="366">
        <f>'побудинковий звіт'!DE300</f>
        <v>28683.93</v>
      </c>
      <c r="M307" s="373">
        <f>'побудинковий звіт'!DA300*-1</f>
        <v>-23193.56885789282</v>
      </c>
    </row>
    <row r="308" spans="1:13" ht="20.100000000000001" customHeight="1" x14ac:dyDescent="0.3">
      <c r="A308" s="369" t="s">
        <v>754</v>
      </c>
      <c r="B308" s="308" t="s">
        <v>229</v>
      </c>
      <c r="C308" s="370">
        <v>4</v>
      </c>
      <c r="D308" s="360">
        <f>'побудинковий звіт'!CU301</f>
        <v>157779.17168351187</v>
      </c>
      <c r="E308" s="344">
        <f>'побудинковий звіт'!CV301</f>
        <v>134907.79444194032</v>
      </c>
      <c r="F308" s="344">
        <f t="shared" si="20"/>
        <v>-22871.37724157155</v>
      </c>
      <c r="G308" s="361">
        <f t="shared" si="21"/>
        <v>0.8550418474280681</v>
      </c>
      <c r="H308" s="355">
        <f>('побудинковий звіт'!AS301+'побудинковий звіт'!BQ301)*1.2</f>
        <v>37925.44233062159</v>
      </c>
      <c r="I308" s="343">
        <f>('побудинковий звіт'!AT301+'побудинковий звіт'!BR301)*1.2</f>
        <v>1921.4619230930439</v>
      </c>
      <c r="J308" s="343">
        <f t="shared" si="22"/>
        <v>-36003.98040752855</v>
      </c>
      <c r="K308" s="364">
        <f t="shared" si="23"/>
        <v>5.0664192821862637E-2</v>
      </c>
      <c r="L308" s="366">
        <f>'побудинковий звіт'!DE301</f>
        <v>4253.130000000001</v>
      </c>
      <c r="M308" s="373">
        <f>'побудинковий звіт'!DA301*-1</f>
        <v>-55557.054624563505</v>
      </c>
    </row>
    <row r="309" spans="1:13" ht="20.100000000000001" customHeight="1" x14ac:dyDescent="0.3">
      <c r="A309" s="369" t="s">
        <v>755</v>
      </c>
      <c r="B309" s="308" t="s">
        <v>230</v>
      </c>
      <c r="C309" s="370">
        <v>4</v>
      </c>
      <c r="D309" s="360">
        <f>'побудинковий звіт'!CU302</f>
        <v>163734.74073817392</v>
      </c>
      <c r="E309" s="344">
        <f>'побудинковий звіт'!CV302</f>
        <v>151028.27633060259</v>
      </c>
      <c r="F309" s="344">
        <f t="shared" si="20"/>
        <v>-12706.46440757133</v>
      </c>
      <c r="G309" s="361">
        <f t="shared" si="21"/>
        <v>0.92239603916501711</v>
      </c>
      <c r="H309" s="355">
        <f>('побудинковий звіт'!AS302+'побудинковий звіт'!BQ302)*1.2</f>
        <v>41218.6841951397</v>
      </c>
      <c r="I309" s="343">
        <f>('побудинковий звіт'!AT302+'побудинковий звіт'!BR302)*1.2</f>
        <v>15459.390548147345</v>
      </c>
      <c r="J309" s="343">
        <f t="shared" si="22"/>
        <v>-25759.293646992355</v>
      </c>
      <c r="K309" s="364">
        <f t="shared" si="23"/>
        <v>0.37505783724096264</v>
      </c>
      <c r="L309" s="366">
        <f>'побудинковий звіт'!DE302</f>
        <v>33179.149999999994</v>
      </c>
      <c r="M309" s="373">
        <f>'побудинковий звіт'!DA302*-1</f>
        <v>56003.331122989395</v>
      </c>
    </row>
    <row r="310" spans="1:13" ht="20.100000000000001" customHeight="1" x14ac:dyDescent="0.3">
      <c r="A310" s="369" t="s">
        <v>756</v>
      </c>
      <c r="B310" s="308" t="s">
        <v>231</v>
      </c>
      <c r="C310" s="370">
        <v>4</v>
      </c>
      <c r="D310" s="360">
        <f>'побудинковий звіт'!CU303</f>
        <v>320863.09589518909</v>
      </c>
      <c r="E310" s="344">
        <f>'побудинковий звіт'!CV303</f>
        <v>270007.33526420558</v>
      </c>
      <c r="F310" s="344">
        <f t="shared" si="20"/>
        <v>-50855.76063098351</v>
      </c>
      <c r="G310" s="361">
        <f t="shared" si="21"/>
        <v>0.84150324147094901</v>
      </c>
      <c r="H310" s="355">
        <f>('побудинковий звіт'!AS303+'побудинковий звіт'!BQ303)*1.2</f>
        <v>119010.26801108473</v>
      </c>
      <c r="I310" s="343">
        <f>('побудинковий звіт'!AT303+'побудинковий звіт'!BR303)*1.2</f>
        <v>36858.71357918407</v>
      </c>
      <c r="J310" s="343">
        <f t="shared" si="22"/>
        <v>-82151.554431900659</v>
      </c>
      <c r="K310" s="364">
        <f t="shared" si="23"/>
        <v>0.30971036529176638</v>
      </c>
      <c r="L310" s="366">
        <f>'побудинковий звіт'!DE303</f>
        <v>74994.39</v>
      </c>
      <c r="M310" s="373">
        <f>'побудинковий звіт'!DA303*-1</f>
        <v>44793.061483315149</v>
      </c>
    </row>
    <row r="311" spans="1:13" ht="20.100000000000001" customHeight="1" x14ac:dyDescent="0.3">
      <c r="A311" s="369" t="s">
        <v>757</v>
      </c>
      <c r="B311" s="308" t="s">
        <v>142</v>
      </c>
      <c r="C311" s="370">
        <v>1</v>
      </c>
      <c r="D311" s="360">
        <f>'побудинковий звіт'!CU304</f>
        <v>3600.6228442369593</v>
      </c>
      <c r="E311" s="344">
        <f>'побудинковий звіт'!CV304</f>
        <v>1850.5669725634921</v>
      </c>
      <c r="F311" s="344">
        <f t="shared" si="20"/>
        <v>-1750.0558716734672</v>
      </c>
      <c r="G311" s="361">
        <f t="shared" si="21"/>
        <v>0.51395746031147083</v>
      </c>
      <c r="H311" s="355">
        <f>('побудинковий звіт'!AS304+'побудинковий звіт'!BQ304)*1.2</f>
        <v>2916.3550724077113</v>
      </c>
      <c r="I311" s="343">
        <f>('побудинковий звіт'!AT304+'побудинковий звіт'!BR304)*1.2</f>
        <v>1032</v>
      </c>
      <c r="J311" s="343">
        <f t="shared" si="22"/>
        <v>-1884.3550724077113</v>
      </c>
      <c r="K311" s="364">
        <f t="shared" si="23"/>
        <v>0.35386637579353186</v>
      </c>
      <c r="L311" s="366">
        <f>'побудинковий звіт'!DE304</f>
        <v>0</v>
      </c>
      <c r="M311" s="373">
        <f>'побудинковий звіт'!DA304*-1</f>
        <v>4992.1998373138413</v>
      </c>
    </row>
    <row r="312" spans="1:13" ht="20.100000000000001" customHeight="1" x14ac:dyDescent="0.3">
      <c r="A312" s="369" t="s">
        <v>758</v>
      </c>
      <c r="B312" s="308" t="s">
        <v>143</v>
      </c>
      <c r="C312" s="370">
        <v>1</v>
      </c>
      <c r="D312" s="360">
        <f>'побудинковий звіт'!CU305</f>
        <v>4374.0570381231009</v>
      </c>
      <c r="E312" s="344">
        <f>'побудинковий звіт'!CV305</f>
        <v>1653.0773519423828</v>
      </c>
      <c r="F312" s="344">
        <f t="shared" si="20"/>
        <v>-2720.9796861807181</v>
      </c>
      <c r="G312" s="361">
        <f t="shared" si="21"/>
        <v>0.37792770819735699</v>
      </c>
      <c r="H312" s="355">
        <f>('побудинковий звіт'!AS305+'побудинковий звіт'!BQ305)*1.2</f>
        <v>3548.6422707144879</v>
      </c>
      <c r="I312" s="343">
        <f>('побудинковий звіт'!AT305+'побудинковий звіт'!BR305)*1.2</f>
        <v>644.4</v>
      </c>
      <c r="J312" s="343">
        <f t="shared" si="22"/>
        <v>-2904.2422707144879</v>
      </c>
      <c r="K312" s="364">
        <f t="shared" si="23"/>
        <v>0.18159057770290712</v>
      </c>
      <c r="L312" s="366">
        <f>'побудинковий звіт'!DE305</f>
        <v>523.16999999999996</v>
      </c>
      <c r="M312" s="373">
        <f>'побудинковий звіт'!DA305*-1</f>
        <v>8312.0700811298921</v>
      </c>
    </row>
    <row r="313" spans="1:13" ht="20.100000000000001" customHeight="1" x14ac:dyDescent="0.3">
      <c r="A313" s="369" t="s">
        <v>759</v>
      </c>
      <c r="B313" s="308" t="s">
        <v>144</v>
      </c>
      <c r="C313" s="370">
        <v>1</v>
      </c>
      <c r="D313" s="360">
        <f>'побудинковий звіт'!CU306</f>
        <v>5818.4148400056638</v>
      </c>
      <c r="E313" s="344">
        <f>'побудинковий звіт'!CV306</f>
        <v>1463.5351961090844</v>
      </c>
      <c r="F313" s="344">
        <f t="shared" si="20"/>
        <v>-4354.8796438965792</v>
      </c>
      <c r="G313" s="361">
        <f t="shared" si="21"/>
        <v>0.25153503769553492</v>
      </c>
      <c r="H313" s="355">
        <f>('побудинковий звіт'!AS306+'побудинковий звіт'!BQ306)*1.2</f>
        <v>4618.5311703586594</v>
      </c>
      <c r="I313" s="343">
        <f>('побудинковий звіт'!AT306+'побудинковий звіт'!BR306)*1.2</f>
        <v>0</v>
      </c>
      <c r="J313" s="343">
        <f t="shared" si="22"/>
        <v>-4618.5311703586594</v>
      </c>
      <c r="K313" s="364">
        <f t="shared" si="23"/>
        <v>0</v>
      </c>
      <c r="L313" s="366">
        <f>'побудинковий звіт'!DE306</f>
        <v>238.2</v>
      </c>
      <c r="M313" s="373">
        <f>'побудинковий звіт'!DA306*-1</f>
        <v>12133.739764388083</v>
      </c>
    </row>
    <row r="314" spans="1:13" ht="20.100000000000001" customHeight="1" x14ac:dyDescent="0.3">
      <c r="A314" s="369" t="s">
        <v>760</v>
      </c>
      <c r="B314" s="308" t="s">
        <v>145</v>
      </c>
      <c r="C314" s="370">
        <v>1</v>
      </c>
      <c r="D314" s="360">
        <f>'побудинковий звіт'!CU307</f>
        <v>4287.2655353939963</v>
      </c>
      <c r="E314" s="344">
        <f>'побудинковий звіт'!CV307</f>
        <v>1536.0959658718696</v>
      </c>
      <c r="F314" s="344">
        <f t="shared" si="20"/>
        <v>-2751.1695695221269</v>
      </c>
      <c r="G314" s="361">
        <f t="shared" si="21"/>
        <v>0.358292705033187</v>
      </c>
      <c r="H314" s="355">
        <f>('побудинковий звіт'!AS307+'побудинковий звіт'!BQ307)*1.2</f>
        <v>3518.6718265590021</v>
      </c>
      <c r="I314" s="343">
        <f>('побудинковий звіт'!AT307+'побудинковий звіт'!BR307)*1.2</f>
        <v>697.19999999999993</v>
      </c>
      <c r="J314" s="343">
        <f t="shared" si="22"/>
        <v>-2821.4718265590022</v>
      </c>
      <c r="K314" s="364">
        <f t="shared" si="23"/>
        <v>0.19814294551072398</v>
      </c>
      <c r="L314" s="366">
        <f>'побудинковий звіт'!DE307</f>
        <v>527.01</v>
      </c>
      <c r="M314" s="373">
        <f>'побудинковий звіт'!DA307*-1</f>
        <v>8758.0707935106002</v>
      </c>
    </row>
    <row r="315" spans="1:13" ht="20.100000000000001" customHeight="1" x14ac:dyDescent="0.3">
      <c r="A315" s="369" t="s">
        <v>761</v>
      </c>
      <c r="B315" s="308" t="s">
        <v>191</v>
      </c>
      <c r="C315" s="370">
        <v>2</v>
      </c>
      <c r="D315" s="360">
        <f>'побудинковий звіт'!CU308</f>
        <v>8577.7309710148711</v>
      </c>
      <c r="E315" s="344">
        <f>'побудинковий звіт'!CV308</f>
        <v>16326.818358693279</v>
      </c>
      <c r="F315" s="344">
        <f t="shared" si="20"/>
        <v>7749.087387678408</v>
      </c>
      <c r="G315" s="361">
        <f t="shared" si="21"/>
        <v>1.9033959463013537</v>
      </c>
      <c r="H315" s="355">
        <f>('побудинковий звіт'!AS308+'побудинковий звіт'!BQ308)*1.2</f>
        <v>4941.3026294241145</v>
      </c>
      <c r="I315" s="343">
        <f>('побудинковий звіт'!AT308+'побудинковий звіт'!BR308)*1.2</f>
        <v>12583.716</v>
      </c>
      <c r="J315" s="343">
        <f t="shared" si="22"/>
        <v>7642.4133705758859</v>
      </c>
      <c r="K315" s="364">
        <f t="shared" si="23"/>
        <v>2.5466394074039083</v>
      </c>
      <c r="L315" s="366">
        <f>'побудинковий звіт'!DE308</f>
        <v>359.33999999999992</v>
      </c>
      <c r="M315" s="373">
        <f>'побудинковий звіт'!DA308*-1</f>
        <v>-10585.966720954957</v>
      </c>
    </row>
    <row r="316" spans="1:13" ht="20.100000000000001" customHeight="1" x14ac:dyDescent="0.3">
      <c r="A316" s="369" t="s">
        <v>762</v>
      </c>
      <c r="B316" s="308" t="s">
        <v>232</v>
      </c>
      <c r="C316" s="370">
        <v>4</v>
      </c>
      <c r="D316" s="360">
        <f>'побудинковий звіт'!CU309</f>
        <v>220774.97600456921</v>
      </c>
      <c r="E316" s="344">
        <f>'побудинковий звіт'!CV309</f>
        <v>193790.23097069524</v>
      </c>
      <c r="F316" s="344">
        <f t="shared" si="20"/>
        <v>-26984.745033873973</v>
      </c>
      <c r="G316" s="361">
        <f t="shared" si="21"/>
        <v>0.8777726283919266</v>
      </c>
      <c r="H316" s="355">
        <f>('побудинковий звіт'!AS309+'побудинковий звіт'!BQ309)*1.2</f>
        <v>57924.320158846123</v>
      </c>
      <c r="I316" s="343">
        <f>('побудинковий звіт'!AT309+'побудинковий звіт'!BR309)*1.2</f>
        <v>15209.908362615242</v>
      </c>
      <c r="J316" s="343">
        <f t="shared" si="22"/>
        <v>-42714.411796230881</v>
      </c>
      <c r="K316" s="364">
        <f t="shared" si="23"/>
        <v>0.26258242342603316</v>
      </c>
      <c r="L316" s="366">
        <f>'побудинковий звіт'!DE309</f>
        <v>43497.740000000005</v>
      </c>
      <c r="M316" s="373">
        <f>'побудинковий звіт'!DA309*-1</f>
        <v>12878.214470680688</v>
      </c>
    </row>
    <row r="317" spans="1:13" ht="20.100000000000001" customHeight="1" x14ac:dyDescent="0.3">
      <c r="A317" s="369" t="s">
        <v>763</v>
      </c>
      <c r="B317" s="308" t="s">
        <v>233</v>
      </c>
      <c r="C317" s="370">
        <v>4</v>
      </c>
      <c r="D317" s="360">
        <f>'побудинковий звіт'!CU310</f>
        <v>88077.620715972313</v>
      </c>
      <c r="E317" s="344">
        <f>'побудинковий звіт'!CV310</f>
        <v>80826.781074206141</v>
      </c>
      <c r="F317" s="344">
        <f t="shared" si="20"/>
        <v>-7250.8396417661716</v>
      </c>
      <c r="G317" s="361">
        <f t="shared" si="21"/>
        <v>0.91767670853475636</v>
      </c>
      <c r="H317" s="355">
        <f>('побудинковий звіт'!AS310+'побудинковий звіт'!BQ310)*1.2</f>
        <v>21795.695219790363</v>
      </c>
      <c r="I317" s="343">
        <f>('побудинковий звіт'!AT310+'побудинковий звіт'!BR310)*1.2</f>
        <v>6975.5999999999995</v>
      </c>
      <c r="J317" s="343">
        <f t="shared" si="22"/>
        <v>-14820.095219790364</v>
      </c>
      <c r="K317" s="364">
        <f t="shared" si="23"/>
        <v>0.32004484966674501</v>
      </c>
      <c r="L317" s="366">
        <f>'побудинковий звіт'!DE310</f>
        <v>13048.3</v>
      </c>
      <c r="M317" s="373">
        <f>'побудинковий звіт'!DA310*-1</f>
        <v>9269.9528957294915</v>
      </c>
    </row>
    <row r="318" spans="1:13" ht="20.100000000000001" customHeight="1" x14ac:dyDescent="0.3">
      <c r="A318" s="369" t="s">
        <v>764</v>
      </c>
      <c r="B318" s="308" t="s">
        <v>234</v>
      </c>
      <c r="C318" s="370">
        <v>4</v>
      </c>
      <c r="D318" s="360">
        <f>'побудинковий звіт'!CU311</f>
        <v>289559.94949890283</v>
      </c>
      <c r="E318" s="344">
        <f>'побудинковий звіт'!CV311</f>
        <v>279684.96737334022</v>
      </c>
      <c r="F318" s="344">
        <f t="shared" si="20"/>
        <v>-9874.9821255626157</v>
      </c>
      <c r="G318" s="361">
        <f t="shared" si="21"/>
        <v>0.96589658845205717</v>
      </c>
      <c r="H318" s="355">
        <f>('побудинковий звіт'!AS311+'побудинковий звіт'!BQ311)*1.2</f>
        <v>62229.812556407771</v>
      </c>
      <c r="I318" s="343">
        <f>('побудинковий звіт'!AT311+'побудинковий звіт'!BR311)*1.2</f>
        <v>22728.786381570128</v>
      </c>
      <c r="J318" s="343">
        <f t="shared" si="22"/>
        <v>-39501.026174837643</v>
      </c>
      <c r="K318" s="364">
        <f t="shared" si="23"/>
        <v>0.36523951218666745</v>
      </c>
      <c r="L318" s="366">
        <f>'побудинковий звіт'!DE311</f>
        <v>65017.83</v>
      </c>
      <c r="M318" s="374">
        <f>'побудинковий звіт'!DA311*-1</f>
        <v>77425.670733235471</v>
      </c>
    </row>
    <row r="319" spans="1:13" ht="20.100000000000001" customHeight="1" x14ac:dyDescent="0.3">
      <c r="A319" s="369" t="s">
        <v>765</v>
      </c>
      <c r="B319" s="308" t="s">
        <v>235</v>
      </c>
      <c r="C319" s="370">
        <v>4</v>
      </c>
      <c r="D319" s="360">
        <f>'побудинковий звіт'!CU312</f>
        <v>241726.00646912394</v>
      </c>
      <c r="E319" s="344">
        <f>'побудинковий звіт'!CV312</f>
        <v>235021.87408032999</v>
      </c>
      <c r="F319" s="344">
        <f t="shared" si="20"/>
        <v>-6704.1323887939507</v>
      </c>
      <c r="G319" s="361">
        <f t="shared" si="21"/>
        <v>0.9722655725516639</v>
      </c>
      <c r="H319" s="355">
        <f>('побудинковий звіт'!AS312+'побудинковий звіт'!BQ312)*1.2</f>
        <v>60013.124091573678</v>
      </c>
      <c r="I319" s="343">
        <f>('побудинковий звіт'!AT312+'побудинковий звіт'!BR312)*1.2</f>
        <v>51333.333034490599</v>
      </c>
      <c r="J319" s="343">
        <f t="shared" si="22"/>
        <v>-8679.7910570830791</v>
      </c>
      <c r="K319" s="364">
        <f t="shared" si="23"/>
        <v>0.85536845167669262</v>
      </c>
      <c r="L319" s="366">
        <f>'побудинковий звіт'!DE312</f>
        <v>57796.310000000005</v>
      </c>
      <c r="M319" s="373">
        <f>'побудинковий звіт'!DA312*-1</f>
        <v>-56998.311400624589</v>
      </c>
    </row>
    <row r="320" spans="1:13" ht="20.100000000000001" customHeight="1" x14ac:dyDescent="0.3">
      <c r="A320" s="369" t="s">
        <v>766</v>
      </c>
      <c r="B320" s="308" t="s">
        <v>200</v>
      </c>
      <c r="C320" s="370">
        <v>3</v>
      </c>
      <c r="D320" s="360">
        <f>'побудинковий звіт'!CU313</f>
        <v>267880.57888726657</v>
      </c>
      <c r="E320" s="344">
        <f>'побудинковий звіт'!CV313</f>
        <v>295343.48643924267</v>
      </c>
      <c r="F320" s="344">
        <f t="shared" si="20"/>
        <v>27462.907551976095</v>
      </c>
      <c r="G320" s="361">
        <f t="shared" si="21"/>
        <v>1.1025192183250188</v>
      </c>
      <c r="H320" s="355">
        <f>('побудинковий звіт'!AS313+'побудинковий звіт'!BQ313)*1.2</f>
        <v>64813.656309348975</v>
      </c>
      <c r="I320" s="343">
        <f>('побудинковий звіт'!AT313+'побудинковий звіт'!BR313)*1.2</f>
        <v>71829.514819063232</v>
      </c>
      <c r="J320" s="343">
        <f t="shared" si="22"/>
        <v>7015.8585097142568</v>
      </c>
      <c r="K320" s="364">
        <f t="shared" si="23"/>
        <v>1.108246608958894</v>
      </c>
      <c r="L320" s="366">
        <f>'побудинковий звіт'!DE313</f>
        <v>84806.8</v>
      </c>
      <c r="M320" s="373">
        <f>'побудинковий звіт'!DA313*-1</f>
        <v>-92214.786178120383</v>
      </c>
    </row>
    <row r="321" spans="1:13" ht="20.100000000000001" customHeight="1" x14ac:dyDescent="0.3">
      <c r="A321" s="369" t="s">
        <v>767</v>
      </c>
      <c r="B321" s="308" t="s">
        <v>305</v>
      </c>
      <c r="C321" s="370">
        <v>5</v>
      </c>
      <c r="D321" s="360">
        <f>'побудинковий звіт'!CU314</f>
        <v>530964.62923406844</v>
      </c>
      <c r="E321" s="344">
        <f>'побудинковий звіт'!CV314</f>
        <v>417258.77065207425</v>
      </c>
      <c r="F321" s="344">
        <f t="shared" si="20"/>
        <v>-113705.85858199419</v>
      </c>
      <c r="G321" s="361">
        <f t="shared" si="21"/>
        <v>0.78585040825409003</v>
      </c>
      <c r="H321" s="355">
        <f>('побудинковий звіт'!AS314+'побудинковий звіт'!BQ314)*1.2</f>
        <v>155778.723840188</v>
      </c>
      <c r="I321" s="343">
        <f>('побудинковий звіт'!AT314+'побудинковий звіт'!BR314)*1.2</f>
        <v>35538.503399621382</v>
      </c>
      <c r="J321" s="343">
        <f t="shared" si="22"/>
        <v>-120240.22044056663</v>
      </c>
      <c r="K321" s="364">
        <f t="shared" si="23"/>
        <v>0.22813451364565046</v>
      </c>
      <c r="L321" s="366">
        <f>'побудинковий звіт'!DE314</f>
        <v>111564.64000000001</v>
      </c>
      <c r="M321" s="374">
        <f>'побудинковий звіт'!DA314*-1</f>
        <v>-127590.19871138106</v>
      </c>
    </row>
    <row r="322" spans="1:13" ht="20.100000000000001" customHeight="1" x14ac:dyDescent="0.3">
      <c r="A322" s="369" t="s">
        <v>768</v>
      </c>
      <c r="B322" s="308" t="s">
        <v>306</v>
      </c>
      <c r="C322" s="370">
        <v>5</v>
      </c>
      <c r="D322" s="360">
        <f>'побудинковий звіт'!CU315</f>
        <v>164583.92211778177</v>
      </c>
      <c r="E322" s="344">
        <f>'побудинковий звіт'!CV315</f>
        <v>127446.18489715131</v>
      </c>
      <c r="F322" s="344">
        <f t="shared" si="20"/>
        <v>-37137.737220630457</v>
      </c>
      <c r="G322" s="361">
        <f t="shared" si="21"/>
        <v>0.77435379627146417</v>
      </c>
      <c r="H322" s="355">
        <f>('побудинковий звіт'!AS315+'побудинковий звіт'!BQ315)*1.2</f>
        <v>41126.911767300538</v>
      </c>
      <c r="I322" s="343">
        <f>('побудинковий звіт'!AT315+'побудинковий звіт'!BR315)*1.2</f>
        <v>1629.6</v>
      </c>
      <c r="J322" s="343">
        <f t="shared" si="22"/>
        <v>-39497.31176730054</v>
      </c>
      <c r="K322" s="364">
        <f t="shared" si="23"/>
        <v>3.9623689938607869E-2</v>
      </c>
      <c r="L322" s="366">
        <f>'побудинковий звіт'!DE315</f>
        <v>2887.4700000000012</v>
      </c>
      <c r="M322" s="373">
        <f>'побудинковий звіт'!DA315*-1</f>
        <v>-47443.626239387464</v>
      </c>
    </row>
    <row r="323" spans="1:13" ht="20.100000000000001" customHeight="1" x14ac:dyDescent="0.3">
      <c r="A323" s="369" t="s">
        <v>769</v>
      </c>
      <c r="B323" s="308" t="s">
        <v>307</v>
      </c>
      <c r="C323" s="370">
        <v>5</v>
      </c>
      <c r="D323" s="360">
        <f>'побудинковий звіт'!CU316</f>
        <v>184239.66733737764</v>
      </c>
      <c r="E323" s="344">
        <f>'побудинковий звіт'!CV316</f>
        <v>169817.15892784219</v>
      </c>
      <c r="F323" s="344">
        <f t="shared" si="20"/>
        <v>-14422.508409535454</v>
      </c>
      <c r="G323" s="361">
        <f t="shared" si="21"/>
        <v>0.92171876655028306</v>
      </c>
      <c r="H323" s="355">
        <f>('побудинковий звіт'!AS316+'побудинковий звіт'!BQ316)*1.2</f>
        <v>44366.05809638495</v>
      </c>
      <c r="I323" s="343">
        <f>('побудинковий звіт'!AT316+'побудинковий звіт'!BR316)*1.2</f>
        <v>22964.399999999998</v>
      </c>
      <c r="J323" s="343">
        <f t="shared" si="22"/>
        <v>-21401.658096384952</v>
      </c>
      <c r="K323" s="364">
        <f t="shared" si="23"/>
        <v>0.51761190841228222</v>
      </c>
      <c r="L323" s="366">
        <f>'побудинковий звіт'!DE316</f>
        <v>27227.07</v>
      </c>
      <c r="M323" s="373">
        <f>'побудинковий звіт'!DA316*-1</f>
        <v>-130788.28113161575</v>
      </c>
    </row>
    <row r="324" spans="1:13" ht="20.100000000000001" customHeight="1" x14ac:dyDescent="0.3">
      <c r="A324" s="369" t="s">
        <v>770</v>
      </c>
      <c r="B324" s="308" t="s">
        <v>308</v>
      </c>
      <c r="C324" s="370">
        <v>5</v>
      </c>
      <c r="D324" s="360">
        <f>'побудинковий звіт'!CU317</f>
        <v>297043.5361362492</v>
      </c>
      <c r="E324" s="344">
        <f>'побудинковий звіт'!CV317</f>
        <v>256012.35105096499</v>
      </c>
      <c r="F324" s="344">
        <f t="shared" si="20"/>
        <v>-41031.185085284204</v>
      </c>
      <c r="G324" s="361">
        <f t="shared" si="21"/>
        <v>0.86186810991078477</v>
      </c>
      <c r="H324" s="355">
        <f>('побудинковий звіт'!AS317+'побудинковий звіт'!BQ317)*1.2</f>
        <v>83260.021884113186</v>
      </c>
      <c r="I324" s="343">
        <f>('побудинковий звіт'!AT317+'побудинковий звіт'!BR317)*1.2</f>
        <v>58786.818792219201</v>
      </c>
      <c r="J324" s="343">
        <f t="shared" si="22"/>
        <v>-24473.203091893985</v>
      </c>
      <c r="K324" s="364">
        <f t="shared" si="23"/>
        <v>0.70606297550633113</v>
      </c>
      <c r="L324" s="366">
        <f>'побудинковий звіт'!DE317</f>
        <v>69873.989999999991</v>
      </c>
      <c r="M324" s="373">
        <f>'побудинковий звіт'!DA317*-1</f>
        <v>26173.35525080323</v>
      </c>
    </row>
    <row r="325" spans="1:13" ht="20.100000000000001" customHeight="1" x14ac:dyDescent="0.3">
      <c r="A325" s="369" t="s">
        <v>771</v>
      </c>
      <c r="B325" s="308" t="s">
        <v>309</v>
      </c>
      <c r="C325" s="370">
        <v>5</v>
      </c>
      <c r="D325" s="360">
        <f>'побудинковий звіт'!CU318</f>
        <v>136576.3221664181</v>
      </c>
      <c r="E325" s="344">
        <f>'побудинковий звіт'!CV318</f>
        <v>208693.20339351729</v>
      </c>
      <c r="F325" s="344">
        <f t="shared" si="20"/>
        <v>72116.881227099191</v>
      </c>
      <c r="G325" s="361">
        <f t="shared" si="21"/>
        <v>1.5280335572312809</v>
      </c>
      <c r="H325" s="355">
        <f>('побудинковий звіт'!AS318+'побудинковий звіт'!BQ318)*1.2</f>
        <v>35583.786531889476</v>
      </c>
      <c r="I325" s="343">
        <f>('побудинковий звіт'!AT318+'побудинковий звіт'!BR318)*1.2</f>
        <v>106538.4</v>
      </c>
      <c r="J325" s="343">
        <f t="shared" si="22"/>
        <v>70954.613468110518</v>
      </c>
      <c r="K325" s="364">
        <f t="shared" si="23"/>
        <v>2.9940152632301347</v>
      </c>
      <c r="L325" s="366">
        <f>'побудинковий звіт'!DE318</f>
        <v>12024.410000000002</v>
      </c>
      <c r="M325" s="373">
        <f>'побудинковий звіт'!DA318*-1</f>
        <v>-19874.003764369205</v>
      </c>
    </row>
    <row r="326" spans="1:13" ht="20.100000000000001" customHeight="1" x14ac:dyDescent="0.3">
      <c r="A326" s="369" t="s">
        <v>772</v>
      </c>
      <c r="B326" s="308" t="s">
        <v>310</v>
      </c>
      <c r="C326" s="370">
        <v>5</v>
      </c>
      <c r="D326" s="360">
        <f>'побудинковий звіт'!CU319</f>
        <v>211480.98319633413</v>
      </c>
      <c r="E326" s="344">
        <f>'побудинковий звіт'!CV319</f>
        <v>249296.61264323833</v>
      </c>
      <c r="F326" s="344">
        <f t="shared" si="20"/>
        <v>37815.629446904204</v>
      </c>
      <c r="G326" s="361">
        <f t="shared" si="21"/>
        <v>1.1788133801694927</v>
      </c>
      <c r="H326" s="355">
        <f>('побудинковий звіт'!AS319+'побудинковий звіт'!BQ319)*1.2</f>
        <v>44061.246307531714</v>
      </c>
      <c r="I326" s="343">
        <f>('побудинковий звіт'!AT319+'побудинковий звіт'!BR319)*1.2</f>
        <v>71159.023443568571</v>
      </c>
      <c r="J326" s="343">
        <f t="shared" si="22"/>
        <v>27097.777136036857</v>
      </c>
      <c r="K326" s="364">
        <f t="shared" si="23"/>
        <v>1.6150025114338364</v>
      </c>
      <c r="L326" s="366">
        <f>'побудинковий звіт'!DE319</f>
        <v>16389.590000000004</v>
      </c>
      <c r="M326" s="373">
        <f>'побудинковий звіт'!DA319*-1</f>
        <v>-5467.4541307349864</v>
      </c>
    </row>
    <row r="327" spans="1:13" ht="20.100000000000001" customHeight="1" x14ac:dyDescent="0.3">
      <c r="A327" s="369" t="s">
        <v>773</v>
      </c>
      <c r="B327" s="308" t="s">
        <v>311</v>
      </c>
      <c r="C327" s="370">
        <v>5</v>
      </c>
      <c r="D327" s="360">
        <f>'побудинковий звіт'!CU320</f>
        <v>351824.31183651864</v>
      </c>
      <c r="E327" s="344">
        <f>'побудинковий звіт'!CV320</f>
        <v>472151.52986415185</v>
      </c>
      <c r="F327" s="344">
        <f t="shared" si="20"/>
        <v>120327.21802763321</v>
      </c>
      <c r="G327" s="361">
        <f t="shared" si="21"/>
        <v>1.3420093892873024</v>
      </c>
      <c r="H327" s="355">
        <f>('побудинковий звіт'!AS320+'побудинковий звіт'!BQ320)*1.2</f>
        <v>118829.43035763409</v>
      </c>
      <c r="I327" s="343">
        <f>('побудинковий звіт'!AT320+'побудинковий звіт'!BR320)*1.2</f>
        <v>238071.64609370541</v>
      </c>
      <c r="J327" s="343">
        <f t="shared" si="22"/>
        <v>119242.21573607132</v>
      </c>
      <c r="K327" s="364">
        <f t="shared" si="23"/>
        <v>2.0034737638411197</v>
      </c>
      <c r="L327" s="366">
        <f>'побудинковий звіт'!DE320</f>
        <v>27452.55</v>
      </c>
      <c r="M327" s="373">
        <f>'побудинковий звіт'!DA320*-1</f>
        <v>-72152.66358146217</v>
      </c>
    </row>
    <row r="328" spans="1:13" ht="20.100000000000001" customHeight="1" x14ac:dyDescent="0.3">
      <c r="A328" s="369" t="s">
        <v>774</v>
      </c>
      <c r="B328" s="308" t="s">
        <v>312</v>
      </c>
      <c r="C328" s="370">
        <v>5</v>
      </c>
      <c r="D328" s="360">
        <f>'побудинковий звіт'!CU321</f>
        <v>190427.06280782082</v>
      </c>
      <c r="E328" s="344">
        <f>'побудинковий звіт'!CV321</f>
        <v>157115.38950067133</v>
      </c>
      <c r="F328" s="344">
        <f t="shared" si="20"/>
        <v>-33311.673307149496</v>
      </c>
      <c r="G328" s="361">
        <f t="shared" si="21"/>
        <v>0.82506859678465094</v>
      </c>
      <c r="H328" s="355">
        <f>('побудинковий звіт'!AS321+'побудинковий звіт'!BQ321)*1.2</f>
        <v>54379.080800548538</v>
      </c>
      <c r="I328" s="343">
        <f>('побудинковий звіт'!AT321+'побудинковий звіт'!BR321)*1.2</f>
        <v>23873.013937283507</v>
      </c>
      <c r="J328" s="343">
        <f t="shared" si="22"/>
        <v>-30506.06686326503</v>
      </c>
      <c r="K328" s="364">
        <f t="shared" si="23"/>
        <v>0.43901098705299729</v>
      </c>
      <c r="L328" s="366">
        <f>'побудинковий звіт'!DE321</f>
        <v>21856.400000000001</v>
      </c>
      <c r="M328" s="373">
        <f>'побудинковий звіт'!DA321*-1</f>
        <v>7770.0347366048154</v>
      </c>
    </row>
    <row r="329" spans="1:13" ht="20.100000000000001" customHeight="1" x14ac:dyDescent="0.3">
      <c r="A329" s="369" t="s">
        <v>775</v>
      </c>
      <c r="B329" s="308" t="s">
        <v>140</v>
      </c>
      <c r="C329" s="370">
        <v>1</v>
      </c>
      <c r="D329" s="360">
        <f>'побудинковий звіт'!CU322</f>
        <v>3016.9585030949911</v>
      </c>
      <c r="E329" s="344">
        <f>'побудинковий звіт'!CV322</f>
        <v>242.7924362279586</v>
      </c>
      <c r="F329" s="344">
        <f t="shared" si="20"/>
        <v>-2774.1660668670324</v>
      </c>
      <c r="G329" s="361">
        <f t="shared" si="21"/>
        <v>8.0475895170214112E-2</v>
      </c>
      <c r="H329" s="355">
        <f>('побудинковий звіт'!AS322+'побудинковий звіт'!BQ322)*1.2</f>
        <v>2676.0321516532767</v>
      </c>
      <c r="I329" s="343">
        <f>('побудинковий звіт'!AT322+'побудинковий звіт'!BR322)*1.2</f>
        <v>0</v>
      </c>
      <c r="J329" s="343">
        <f t="shared" si="22"/>
        <v>-2676.0321516532767</v>
      </c>
      <c r="K329" s="364">
        <f t="shared" si="23"/>
        <v>0</v>
      </c>
      <c r="L329" s="366">
        <f>'побудинковий звіт'!DE322</f>
        <v>-83.5</v>
      </c>
      <c r="M329" s="373">
        <f>'побудинковий звіт'!DA322*-1</f>
        <v>7168.7863620074813</v>
      </c>
    </row>
    <row r="330" spans="1:13" ht="20.100000000000001" customHeight="1" x14ac:dyDescent="0.3">
      <c r="A330" s="369" t="s">
        <v>776</v>
      </c>
      <c r="B330" s="308" t="s">
        <v>396</v>
      </c>
      <c r="C330" s="370">
        <v>9</v>
      </c>
      <c r="D330" s="360">
        <f>'побудинковий звіт'!CU323</f>
        <v>202311.20504833886</v>
      </c>
      <c r="E330" s="344">
        <f>'побудинковий звіт'!CV323</f>
        <v>198846.11029477601</v>
      </c>
      <c r="F330" s="344">
        <f t="shared" si="20"/>
        <v>-3465.0947535628511</v>
      </c>
      <c r="G330" s="361">
        <f t="shared" si="21"/>
        <v>0.98287245260224254</v>
      </c>
      <c r="H330" s="355">
        <f>('побудинковий звіт'!AS323+'побудинковий звіт'!BQ323)*1.2</f>
        <v>40726.535762797568</v>
      </c>
      <c r="I330" s="343">
        <f>('побудинковий звіт'!AT323+'побудинковий звіт'!BR323)*1.2</f>
        <v>29398.673395127149</v>
      </c>
      <c r="J330" s="343">
        <f t="shared" si="22"/>
        <v>-11327.862367670419</v>
      </c>
      <c r="K330" s="364">
        <f t="shared" si="23"/>
        <v>0.72185548916689179</v>
      </c>
      <c r="L330" s="366">
        <f>'побудинковий звіт'!DE323</f>
        <v>89493.17</v>
      </c>
      <c r="M330" s="374">
        <f>'побудинковий звіт'!DA323*-1</f>
        <v>-105121.15850828406</v>
      </c>
    </row>
    <row r="331" spans="1:13" ht="20.100000000000001" customHeight="1" x14ac:dyDescent="0.3">
      <c r="A331" s="369" t="s">
        <v>777</v>
      </c>
      <c r="B331" s="308" t="s">
        <v>397</v>
      </c>
      <c r="C331" s="370">
        <v>9</v>
      </c>
      <c r="D331" s="360">
        <f>'побудинковий звіт'!CU324</f>
        <v>515335.6389137748</v>
      </c>
      <c r="E331" s="344">
        <f>'побудинковий звіт'!CV324</f>
        <v>448413.08182682405</v>
      </c>
      <c r="F331" s="344">
        <f t="shared" si="20"/>
        <v>-66922.55708695075</v>
      </c>
      <c r="G331" s="361">
        <f t="shared" si="21"/>
        <v>0.87013792170863591</v>
      </c>
      <c r="H331" s="355">
        <f>('побудинковий звіт'!AS324+'побудинковий звіт'!BQ324)*1.2</f>
        <v>118672.34538076635</v>
      </c>
      <c r="I331" s="343">
        <f>('побудинковий звіт'!AT324+'побудинковий звіт'!BR324)*1.2</f>
        <v>42307.291127081386</v>
      </c>
      <c r="J331" s="343">
        <f t="shared" si="22"/>
        <v>-76365.054253684968</v>
      </c>
      <c r="K331" s="364">
        <f t="shared" si="23"/>
        <v>0.35650505592803661</v>
      </c>
      <c r="L331" s="366">
        <f>'побудинковий звіт'!DE324</f>
        <v>98236.04</v>
      </c>
      <c r="M331" s="374">
        <f>'побудинковий звіт'!DA324*-1</f>
        <v>-12416.295913641312</v>
      </c>
    </row>
    <row r="332" spans="1:13" ht="20.100000000000001" customHeight="1" x14ac:dyDescent="0.3">
      <c r="A332" s="369" t="s">
        <v>778</v>
      </c>
      <c r="B332" s="308" t="s">
        <v>313</v>
      </c>
      <c r="C332" s="370">
        <v>5</v>
      </c>
      <c r="D332" s="360">
        <f>'побудинковий звіт'!CU325</f>
        <v>203497.57225502704</v>
      </c>
      <c r="E332" s="344">
        <f>'побудинковий звіт'!CV325</f>
        <v>167973.57146823482</v>
      </c>
      <c r="F332" s="344">
        <f t="shared" si="20"/>
        <v>-35524.000786792225</v>
      </c>
      <c r="G332" s="361">
        <f t="shared" si="21"/>
        <v>0.82543280299052968</v>
      </c>
      <c r="H332" s="355">
        <f>('побудинковий звіт'!AS325+'побудинковий звіт'!BQ325)*1.2</f>
        <v>48800.421197810756</v>
      </c>
      <c r="I332" s="343">
        <f>('побудинковий звіт'!AT325+'побудинковий звіт'!BR325)*1.2</f>
        <v>8950.7999999999993</v>
      </c>
      <c r="J332" s="343">
        <f t="shared" si="22"/>
        <v>-39849.62119781076</v>
      </c>
      <c r="K332" s="364">
        <f t="shared" si="23"/>
        <v>0.18341644970067478</v>
      </c>
      <c r="L332" s="366">
        <f>'побудинковий звіт'!DE325</f>
        <v>26786.080000000002</v>
      </c>
      <c r="M332" s="373">
        <f>'побудинковий звіт'!DA325*-1</f>
        <v>19264.386299297919</v>
      </c>
    </row>
    <row r="333" spans="1:13" ht="20.100000000000001" customHeight="1" x14ac:dyDescent="0.3">
      <c r="A333" s="369" t="s">
        <v>779</v>
      </c>
      <c r="B333" s="308" t="s">
        <v>427</v>
      </c>
      <c r="C333" s="370">
        <v>16</v>
      </c>
      <c r="D333" s="360">
        <f>'побудинковий звіт'!CU326</f>
        <v>448068.99247230071</v>
      </c>
      <c r="E333" s="344">
        <f>'побудинковий звіт'!CV326</f>
        <v>381479.15690643259</v>
      </c>
      <c r="F333" s="344">
        <f t="shared" si="20"/>
        <v>-66589.835565868125</v>
      </c>
      <c r="G333" s="361">
        <f t="shared" si="21"/>
        <v>0.85138486107140154</v>
      </c>
      <c r="H333" s="355">
        <f>('побудинковий звіт'!AS326+'побудинковий звіт'!BQ326)*1.2</f>
        <v>103654.34872885964</v>
      </c>
      <c r="I333" s="343">
        <f>('побудинковий звіт'!AT326+'побудинковий звіт'!BR326)*1.2</f>
        <v>32467.199999999997</v>
      </c>
      <c r="J333" s="343">
        <f t="shared" si="22"/>
        <v>-71187.14872885964</v>
      </c>
      <c r="K333" s="364">
        <f t="shared" si="23"/>
        <v>0.31322564270726461</v>
      </c>
      <c r="L333" s="366">
        <f>'побудинковий звіт'!DE326</f>
        <v>37969.380000000005</v>
      </c>
      <c r="M333" s="373">
        <f>'побудинковий звіт'!DA326*-1</f>
        <v>147823.08651345116</v>
      </c>
    </row>
    <row r="334" spans="1:13" ht="20.100000000000001" customHeight="1" x14ac:dyDescent="0.3">
      <c r="A334" s="369" t="s">
        <v>780</v>
      </c>
      <c r="B334" s="308" t="s">
        <v>398</v>
      </c>
      <c r="C334" s="370">
        <v>9</v>
      </c>
      <c r="D334" s="360">
        <f>'побудинковий звіт'!CU327</f>
        <v>674918.69996558363</v>
      </c>
      <c r="E334" s="344">
        <f>'побудинковий звіт'!CV327</f>
        <v>644710.74493821</v>
      </c>
      <c r="F334" s="344">
        <f t="shared" si="20"/>
        <v>-30207.955027373624</v>
      </c>
      <c r="G334" s="361">
        <f t="shared" si="21"/>
        <v>0.95524208318881365</v>
      </c>
      <c r="H334" s="355">
        <f>('побудинковий звіт'!AS327+'побудинковий звіт'!BQ327)*1.2</f>
        <v>153165.20600799107</v>
      </c>
      <c r="I334" s="343">
        <f>('побудинковий звіт'!AT327+'побудинковий звіт'!BR327)*1.2</f>
        <v>66712.490467640091</v>
      </c>
      <c r="J334" s="343">
        <f t="shared" si="22"/>
        <v>-86452.715540350982</v>
      </c>
      <c r="K334" s="364">
        <f t="shared" si="23"/>
        <v>0.43555904246398824</v>
      </c>
      <c r="L334" s="366">
        <f>'побудинковий звіт'!DE327</f>
        <v>91432.31</v>
      </c>
      <c r="M334" s="373">
        <f>'побудинковий звіт'!DA327*-1</f>
        <v>-94425.308227262052</v>
      </c>
    </row>
    <row r="335" spans="1:13" ht="20.100000000000001" customHeight="1" x14ac:dyDescent="0.3">
      <c r="A335" s="369" t="s">
        <v>781</v>
      </c>
      <c r="B335" s="308" t="s">
        <v>189</v>
      </c>
      <c r="C335" s="370">
        <v>2</v>
      </c>
      <c r="D335" s="360">
        <f>'побудинковий звіт'!CU328</f>
        <v>11448.509753717421</v>
      </c>
      <c r="E335" s="344">
        <f>'побудинковий звіт'!CV328</f>
        <v>9562.6641387040017</v>
      </c>
      <c r="F335" s="344">
        <f t="shared" si="20"/>
        <v>-1885.8456150134189</v>
      </c>
      <c r="G335" s="361">
        <f t="shared" si="21"/>
        <v>0.8352758869423097</v>
      </c>
      <c r="H335" s="355">
        <f>('побудинковий звіт'!AS328+'побудинковий звіт'!BQ328)*1.2</f>
        <v>3226.2132218672455</v>
      </c>
      <c r="I335" s="343">
        <f>('побудинковий звіт'!AT328+'побудинковий звіт'!BR328)*1.2</f>
        <v>0</v>
      </c>
      <c r="J335" s="343">
        <f t="shared" si="22"/>
        <v>-3226.2132218672455</v>
      </c>
      <c r="K335" s="364">
        <f t="shared" si="23"/>
        <v>0</v>
      </c>
      <c r="L335" s="366">
        <f>'побудинковий звіт'!DE328</f>
        <v>17228.8</v>
      </c>
      <c r="M335" s="373">
        <f>'побудинковий звіт'!DA328*-1</f>
        <v>15696.449210292718</v>
      </c>
    </row>
    <row r="336" spans="1:13" ht="20.100000000000001" customHeight="1" x14ac:dyDescent="0.3">
      <c r="A336" s="369" t="s">
        <v>782</v>
      </c>
      <c r="B336" s="308" t="s">
        <v>399</v>
      </c>
      <c r="C336" s="370">
        <v>9</v>
      </c>
      <c r="D336" s="360">
        <f>'побудинковий звіт'!CU329</f>
        <v>217164.49594931703</v>
      </c>
      <c r="E336" s="344">
        <f>'побудинковий звіт'!CV329</f>
        <v>255951.85702313422</v>
      </c>
      <c r="F336" s="344">
        <f t="shared" si="20"/>
        <v>38787.361073817185</v>
      </c>
      <c r="G336" s="361">
        <f t="shared" si="21"/>
        <v>1.178608206209129</v>
      </c>
      <c r="H336" s="355">
        <f>('побудинковий звіт'!AS329+'побудинковий звіт'!BQ329)*1.2</f>
        <v>52870.232109075194</v>
      </c>
      <c r="I336" s="343">
        <f>('побудинковий звіт'!AT329+'побудинковий звіт'!BR329)*1.2</f>
        <v>82329.608528825425</v>
      </c>
      <c r="J336" s="343">
        <f t="shared" si="22"/>
        <v>29459.376419750231</v>
      </c>
      <c r="K336" s="364">
        <f t="shared" si="23"/>
        <v>1.5572015715568142</v>
      </c>
      <c r="L336" s="366">
        <f>'побудинковий звіт'!DE329</f>
        <v>44715.06</v>
      </c>
      <c r="M336" s="373">
        <f>'побудинковий звіт'!DA329*-1</f>
        <v>106345.99236770382</v>
      </c>
    </row>
    <row r="337" spans="1:13" ht="20.100000000000001" customHeight="1" x14ac:dyDescent="0.3">
      <c r="A337" s="369" t="s">
        <v>783</v>
      </c>
      <c r="B337" s="308" t="s">
        <v>400</v>
      </c>
      <c r="C337" s="370">
        <v>9</v>
      </c>
      <c r="D337" s="360">
        <f>'побудинковий звіт'!CU330</f>
        <v>367925.1822058523</v>
      </c>
      <c r="E337" s="344">
        <f>'побудинковий звіт'!CV330</f>
        <v>342454.12862714293</v>
      </c>
      <c r="F337" s="344">
        <f t="shared" si="20"/>
        <v>-25471.053578709369</v>
      </c>
      <c r="G337" s="361">
        <f t="shared" si="21"/>
        <v>0.93077110561989629</v>
      </c>
      <c r="H337" s="355">
        <f>('побудинковий звіт'!AS330+'побудинковий звіт'!BQ330)*1.2</f>
        <v>85911.80944636208</v>
      </c>
      <c r="I337" s="343">
        <f>('побудинковий звіт'!AT330+'побудинковий звіт'!BR330)*1.2</f>
        <v>53953.682050055439</v>
      </c>
      <c r="J337" s="343">
        <f t="shared" si="22"/>
        <v>-31958.127396306641</v>
      </c>
      <c r="K337" s="364">
        <f t="shared" si="23"/>
        <v>0.62801240478750153</v>
      </c>
      <c r="L337" s="366">
        <f>'побудинковий звіт'!DE330</f>
        <v>43264.560000000005</v>
      </c>
      <c r="M337" s="373">
        <f>'побудинковий звіт'!DA330*-1</f>
        <v>-47692.282939842378</v>
      </c>
    </row>
    <row r="338" spans="1:13" ht="20.100000000000001" customHeight="1" x14ac:dyDescent="0.3">
      <c r="A338" s="369" t="s">
        <v>784</v>
      </c>
      <c r="B338" s="308" t="s">
        <v>314</v>
      </c>
      <c r="C338" s="370">
        <v>5</v>
      </c>
      <c r="D338" s="360">
        <f>'побудинковий звіт'!CU331</f>
        <v>193704.49556767064</v>
      </c>
      <c r="E338" s="344">
        <f>'побудинковий звіт'!CV331</f>
        <v>245370.45904217425</v>
      </c>
      <c r="F338" s="344">
        <f t="shared" si="20"/>
        <v>51665.963474503602</v>
      </c>
      <c r="G338" s="361">
        <f t="shared" si="21"/>
        <v>1.2667256809042622</v>
      </c>
      <c r="H338" s="355">
        <f>('побудинковий звіт'!AS331+'побудинковий звіт'!BQ331)*1.2</f>
        <v>73322.214904253226</v>
      </c>
      <c r="I338" s="343">
        <f>('побудинковий звіт'!AT331+'побудинковий звіт'!BR331)*1.2</f>
        <v>146999.40748373244</v>
      </c>
      <c r="J338" s="343">
        <f t="shared" si="22"/>
        <v>73677.192579479219</v>
      </c>
      <c r="K338" s="364">
        <f t="shared" si="23"/>
        <v>2.0048413386814561</v>
      </c>
      <c r="L338" s="366">
        <f>'побудинковий звіт'!DE331</f>
        <v>14759.11</v>
      </c>
      <c r="M338" s="373">
        <f>'побудинковий звіт'!DA331*-1</f>
        <v>57392.322089609763</v>
      </c>
    </row>
    <row r="339" spans="1:13" ht="20.100000000000001" customHeight="1" x14ac:dyDescent="0.3">
      <c r="A339" s="369" t="s">
        <v>785</v>
      </c>
      <c r="B339" s="308" t="s">
        <v>315</v>
      </c>
      <c r="C339" s="370">
        <v>5</v>
      </c>
      <c r="D339" s="360">
        <f>'побудинковий звіт'!CU332</f>
        <v>260279.93072724977</v>
      </c>
      <c r="E339" s="344">
        <f>'побудинковий звіт'!CV332</f>
        <v>388165.37648903002</v>
      </c>
      <c r="F339" s="344">
        <f t="shared" si="20"/>
        <v>127885.44576178025</v>
      </c>
      <c r="G339" s="361">
        <f t="shared" si="21"/>
        <v>1.4913380966579126</v>
      </c>
      <c r="H339" s="355">
        <f>('побудинковий звіт'!AS332+'побудинковий звіт'!BQ332)*1.2</f>
        <v>82746.774951881103</v>
      </c>
      <c r="I339" s="343">
        <f>('побудинковий звіт'!AT332+'побудинковий звіт'!BR332)*1.2</f>
        <v>206217.60000000001</v>
      </c>
      <c r="J339" s="343">
        <f t="shared" si="22"/>
        <v>123470.8250481189</v>
      </c>
      <c r="K339" s="364">
        <f t="shared" si="23"/>
        <v>2.4921527167665403</v>
      </c>
      <c r="L339" s="366">
        <f>'побудинковий звіт'!DE332</f>
        <v>39988.159999999996</v>
      </c>
      <c r="M339" s="373">
        <f>'побудинковий звіт'!DA332*-1</f>
        <v>-78557.032284928224</v>
      </c>
    </row>
    <row r="340" spans="1:13" ht="20.100000000000001" customHeight="1" x14ac:dyDescent="0.3">
      <c r="A340" s="369" t="s">
        <v>786</v>
      </c>
      <c r="B340" s="308" t="s">
        <v>316</v>
      </c>
      <c r="C340" s="370">
        <v>5</v>
      </c>
      <c r="D340" s="360">
        <f>'побудинковий звіт'!CU333</f>
        <v>182309.65847746618</v>
      </c>
      <c r="E340" s="344">
        <f>'побудинковий звіт'!CV333</f>
        <v>276498.85885419534</v>
      </c>
      <c r="F340" s="344">
        <f t="shared" si="20"/>
        <v>94189.200376729161</v>
      </c>
      <c r="G340" s="361">
        <f t="shared" si="21"/>
        <v>1.5166440503664875</v>
      </c>
      <c r="H340" s="355">
        <f>('побудинковий звіт'!AS333+'побудинковий звіт'!BQ333)*1.2</f>
        <v>62120.06788713875</v>
      </c>
      <c r="I340" s="343">
        <f>('побудинковий звіт'!AT333+'побудинковий звіт'!BR333)*1.2</f>
        <v>153630.70642581617</v>
      </c>
      <c r="J340" s="343">
        <f t="shared" si="22"/>
        <v>91510.63853867742</v>
      </c>
      <c r="K340" s="364">
        <f t="shared" si="23"/>
        <v>2.4731252178432288</v>
      </c>
      <c r="L340" s="366">
        <f>'побудинковий звіт'!DE333</f>
        <v>24128.68</v>
      </c>
      <c r="M340" s="373">
        <f>'побудинковий звіт'!DA333*-1</f>
        <v>-13695.634693575455</v>
      </c>
    </row>
    <row r="341" spans="1:13" ht="20.100000000000001" customHeight="1" x14ac:dyDescent="0.3">
      <c r="A341" s="369" t="s">
        <v>787</v>
      </c>
      <c r="B341" s="308" t="s">
        <v>401</v>
      </c>
      <c r="C341" s="370">
        <v>9</v>
      </c>
      <c r="D341" s="360">
        <f>'побудинковий звіт'!CU334</f>
        <v>372774.83482545224</v>
      </c>
      <c r="E341" s="344">
        <f>'побудинковий звіт'!CV334</f>
        <v>567056.64043750113</v>
      </c>
      <c r="F341" s="344">
        <f t="shared" si="20"/>
        <v>194281.80561204889</v>
      </c>
      <c r="G341" s="361">
        <f t="shared" si="21"/>
        <v>1.5211773635498202</v>
      </c>
      <c r="H341" s="355">
        <f>('побудинковий звіт'!AS334+'побудинковий звіт'!BQ334)*1.2</f>
        <v>89919.769641067876</v>
      </c>
      <c r="I341" s="343">
        <f>('побудинковий звіт'!AT334+'побудинковий звіт'!BR334)*1.2</f>
        <v>275668.8</v>
      </c>
      <c r="J341" s="343">
        <f t="shared" si="22"/>
        <v>185749.0303589321</v>
      </c>
      <c r="K341" s="364">
        <f t="shared" si="23"/>
        <v>3.0657195975966713</v>
      </c>
      <c r="L341" s="366">
        <f>'побудинковий звіт'!DE334</f>
        <v>19231.219999999998</v>
      </c>
      <c r="M341" s="373">
        <f>'побудинковий звіт'!DA334*-1</f>
        <v>-66621.01429276928</v>
      </c>
    </row>
    <row r="342" spans="1:13" ht="20.100000000000001" customHeight="1" x14ac:dyDescent="0.3">
      <c r="A342" s="369" t="s">
        <v>788</v>
      </c>
      <c r="B342" s="308" t="s">
        <v>317</v>
      </c>
      <c r="C342" s="370">
        <v>5</v>
      </c>
      <c r="D342" s="360">
        <f>'побудинковий звіт'!CU335</f>
        <v>194702.93580018982</v>
      </c>
      <c r="E342" s="344">
        <f>'побудинковий звіт'!CV335</f>
        <v>168341.78104629795</v>
      </c>
      <c r="F342" s="344">
        <f t="shared" si="20"/>
        <v>-26361.154753891868</v>
      </c>
      <c r="G342" s="361">
        <f t="shared" si="21"/>
        <v>0.86460833450942676</v>
      </c>
      <c r="H342" s="355">
        <f>('побудинковий звіт'!AS335+'побудинковий звіт'!BQ335)*1.2</f>
        <v>62501.891773101714</v>
      </c>
      <c r="I342" s="343">
        <f>('побудинковий звіт'!AT335+'побудинковий звіт'!BR335)*1.2</f>
        <v>33831.411667786968</v>
      </c>
      <c r="J342" s="343">
        <f t="shared" si="22"/>
        <v>-28670.480105314746</v>
      </c>
      <c r="K342" s="364">
        <f t="shared" si="23"/>
        <v>0.54128620283372986</v>
      </c>
      <c r="L342" s="366">
        <f>'побудинковий звіт'!DE335</f>
        <v>47958.38</v>
      </c>
      <c r="M342" s="373">
        <f>'побудинковий звіт'!DA335*-1</f>
        <v>-47393.598795055965</v>
      </c>
    </row>
    <row r="343" spans="1:13" ht="20.100000000000001" customHeight="1" x14ac:dyDescent="0.3">
      <c r="A343" s="369" t="s">
        <v>789</v>
      </c>
      <c r="B343" s="308" t="s">
        <v>190</v>
      </c>
      <c r="C343" s="370">
        <v>2</v>
      </c>
      <c r="D343" s="360">
        <f>'побудинковий звіт'!CU336</f>
        <v>30986.478779696597</v>
      </c>
      <c r="E343" s="344">
        <f>'побудинковий звіт'!CV336</f>
        <v>54900.978132922617</v>
      </c>
      <c r="F343" s="344">
        <f t="shared" si="20"/>
        <v>23914.49935322602</v>
      </c>
      <c r="G343" s="361">
        <f t="shared" si="21"/>
        <v>1.7717720856006272</v>
      </c>
      <c r="H343" s="355">
        <f>('побудинковий звіт'!AS336+'побудинковий звіт'!BQ336)*1.2</f>
        <v>9855.1444425166574</v>
      </c>
      <c r="I343" s="343">
        <f>('побудинковий звіт'!AT336+'побудинковий звіт'!BR336)*1.2</f>
        <v>33307.199999999997</v>
      </c>
      <c r="J343" s="343">
        <f t="shared" si="22"/>
        <v>23452.055557483342</v>
      </c>
      <c r="K343" s="364">
        <f t="shared" si="23"/>
        <v>3.3796764922396725</v>
      </c>
      <c r="L343" s="366">
        <f>'побудинковий звіт'!DE336</f>
        <v>-345.67999999999984</v>
      </c>
      <c r="M343" s="373">
        <f>'побудинковий звіт'!DA336*-1</f>
        <v>-988.73740175970306</v>
      </c>
    </row>
    <row r="344" spans="1:13" ht="20.100000000000001" customHeight="1" x14ac:dyDescent="0.3">
      <c r="A344" s="369" t="s">
        <v>790</v>
      </c>
      <c r="B344" s="308" t="s">
        <v>402</v>
      </c>
      <c r="C344" s="370">
        <v>9</v>
      </c>
      <c r="D344" s="360">
        <f>'побудинковий звіт'!CU337</f>
        <v>579770.04911493382</v>
      </c>
      <c r="E344" s="344">
        <f>'побудинковий звіт'!CV337</f>
        <v>566478.26121662906</v>
      </c>
      <c r="F344" s="344">
        <f t="shared" si="20"/>
        <v>-13291.787898304756</v>
      </c>
      <c r="G344" s="361">
        <f t="shared" si="21"/>
        <v>0.97707403492368095</v>
      </c>
      <c r="H344" s="355">
        <f>('побудинковий звіт'!AS337+'побудинковий звіт'!BQ337)*1.2</f>
        <v>133177.4388744813</v>
      </c>
      <c r="I344" s="343">
        <f>('побудинковий звіт'!AT337+'побудинковий звіт'!BR337)*1.2</f>
        <v>144417.93322641621</v>
      </c>
      <c r="J344" s="343">
        <f t="shared" si="22"/>
        <v>11240.494351934904</v>
      </c>
      <c r="K344" s="364">
        <f t="shared" si="23"/>
        <v>1.084402391628277</v>
      </c>
      <c r="L344" s="366">
        <f>'побудинковий звіт'!DE337</f>
        <v>72703.86</v>
      </c>
      <c r="M344" s="373">
        <f>'побудинковий звіт'!DA337*-1</f>
        <v>202143.21672722517</v>
      </c>
    </row>
    <row r="345" spans="1:13" ht="20.100000000000001" customHeight="1" x14ac:dyDescent="0.3">
      <c r="A345" s="369" t="s">
        <v>791</v>
      </c>
      <c r="B345" s="308" t="s">
        <v>425</v>
      </c>
      <c r="C345" s="370">
        <v>14</v>
      </c>
      <c r="D345" s="360">
        <f>'побудинковий звіт'!CU338</f>
        <v>330632.46757197246</v>
      </c>
      <c r="E345" s="344">
        <f>'побудинковий звіт'!CV338</f>
        <v>256415.4449865983</v>
      </c>
      <c r="F345" s="344">
        <f t="shared" si="20"/>
        <v>-74217.022585374158</v>
      </c>
      <c r="G345" s="361">
        <f t="shared" si="21"/>
        <v>0.77553014339337834</v>
      </c>
      <c r="H345" s="355">
        <f>('побудинковий звіт'!AS338+'побудинковий звіт'!BQ338)*1.2</f>
        <v>90808.256981455052</v>
      </c>
      <c r="I345" s="343">
        <f>('побудинковий звіт'!AT338+'побудинковий звіт'!BR338)*1.2</f>
        <v>14688.476103774401</v>
      </c>
      <c r="J345" s="343">
        <f t="shared" si="22"/>
        <v>-76119.780877680649</v>
      </c>
      <c r="K345" s="364">
        <f t="shared" si="23"/>
        <v>0.16175264884529272</v>
      </c>
      <c r="L345" s="366">
        <f>'побудинковий звіт'!DE338</f>
        <v>40082.409999999996</v>
      </c>
      <c r="M345" s="373">
        <f>'побудинковий звіт'!DA338*-1</f>
        <v>38181.628685324249</v>
      </c>
    </row>
    <row r="346" spans="1:13" ht="20.100000000000001" customHeight="1" x14ac:dyDescent="0.3">
      <c r="A346" s="369" t="s">
        <v>792</v>
      </c>
      <c r="B346" s="308" t="s">
        <v>424</v>
      </c>
      <c r="C346" s="370">
        <v>10</v>
      </c>
      <c r="D346" s="360">
        <f>'побудинковий звіт'!CU339</f>
        <v>740557.94152018323</v>
      </c>
      <c r="E346" s="344">
        <f>'побудинковий звіт'!CV339</f>
        <v>625047.31823152013</v>
      </c>
      <c r="F346" s="344">
        <f t="shared" si="20"/>
        <v>-115510.6232886631</v>
      </c>
      <c r="G346" s="361">
        <f t="shared" si="21"/>
        <v>0.84402216651468454</v>
      </c>
      <c r="H346" s="355">
        <f>('побудинковий звіт'!AS339+'побудинковий звіт'!BQ339)*1.2</f>
        <v>201957.47850098598</v>
      </c>
      <c r="I346" s="343">
        <f>('побудинковий звіт'!AT339+'побудинковий звіт'!BR339)*1.2</f>
        <v>68073.599999999991</v>
      </c>
      <c r="J346" s="343">
        <f t="shared" si="22"/>
        <v>-133883.87850098597</v>
      </c>
      <c r="K346" s="364">
        <f t="shared" si="23"/>
        <v>0.3370689736536181</v>
      </c>
      <c r="L346" s="366">
        <f>'побудинковий звіт'!DE339</f>
        <v>133888.31999999998</v>
      </c>
      <c r="M346" s="373">
        <f>'побудинковий звіт'!DA339*-1</f>
        <v>-36467.735505969176</v>
      </c>
    </row>
    <row r="347" spans="1:13" ht="20.100000000000001" customHeight="1" x14ac:dyDescent="0.3">
      <c r="A347" s="369" t="s">
        <v>793</v>
      </c>
      <c r="B347" s="308" t="s">
        <v>403</v>
      </c>
      <c r="C347" s="370">
        <v>9</v>
      </c>
      <c r="D347" s="360">
        <f>'побудинковий звіт'!CU340</f>
        <v>310620.94637508312</v>
      </c>
      <c r="E347" s="344">
        <f>'побудинковий звіт'!CV340</f>
        <v>255381.95590805984</v>
      </c>
      <c r="F347" s="344">
        <f t="shared" si="20"/>
        <v>-55238.990467023279</v>
      </c>
      <c r="G347" s="361">
        <f t="shared" si="21"/>
        <v>0.822165919228381</v>
      </c>
      <c r="H347" s="355">
        <f>('побудинковий звіт'!AS340+'побудинковий звіт'!BQ340)*1.2</f>
        <v>93442.335930477304</v>
      </c>
      <c r="I347" s="343">
        <f>('побудинковий звіт'!AT340+'побудинковий звіт'!BR340)*1.2</f>
        <v>24070.799999999999</v>
      </c>
      <c r="J347" s="343">
        <f t="shared" si="22"/>
        <v>-69371.535930477301</v>
      </c>
      <c r="K347" s="364">
        <f t="shared" si="23"/>
        <v>0.25760058072509112</v>
      </c>
      <c r="L347" s="366">
        <f>'побудинковий звіт'!DE340</f>
        <v>54053.94</v>
      </c>
      <c r="M347" s="374">
        <f>'побудинковий звіт'!DA340*-1</f>
        <v>154319.50621881321</v>
      </c>
    </row>
    <row r="348" spans="1:13" ht="20.100000000000001" customHeight="1" x14ac:dyDescent="0.3">
      <c r="A348" s="369" t="s">
        <v>794</v>
      </c>
      <c r="B348" s="308" t="s">
        <v>404</v>
      </c>
      <c r="C348" s="370">
        <v>9</v>
      </c>
      <c r="D348" s="360">
        <f>'побудинковий звіт'!CU341</f>
        <v>350636.82333241467</v>
      </c>
      <c r="E348" s="344">
        <f>'побудинковий звіт'!CV341</f>
        <v>433556.26030924707</v>
      </c>
      <c r="F348" s="344">
        <f t="shared" si="20"/>
        <v>82919.436976832396</v>
      </c>
      <c r="G348" s="361">
        <f t="shared" si="21"/>
        <v>1.2364823984793583</v>
      </c>
      <c r="H348" s="355">
        <f>('побудинковий звіт'!AS341+'побудинковий звіт'!BQ341)*1.2</f>
        <v>101489.11038490395</v>
      </c>
      <c r="I348" s="343">
        <f>('побудинковий звіт'!AT341+'побудинковий звіт'!BR341)*1.2</f>
        <v>215650.8</v>
      </c>
      <c r="J348" s="343">
        <f t="shared" si="22"/>
        <v>114161.68961509604</v>
      </c>
      <c r="K348" s="364">
        <f t="shared" si="23"/>
        <v>2.1248663938636425</v>
      </c>
      <c r="L348" s="366">
        <f>'побудинковий звіт'!DE341</f>
        <v>31988.020000000004</v>
      </c>
      <c r="M348" s="373">
        <f>'побудинковий звіт'!DA341*-1</f>
        <v>78058.376991354569</v>
      </c>
    </row>
    <row r="349" spans="1:13" ht="20.100000000000001" customHeight="1" x14ac:dyDescent="0.3">
      <c r="A349" s="369" t="s">
        <v>795</v>
      </c>
      <c r="B349" s="308" t="s">
        <v>405</v>
      </c>
      <c r="C349" s="370">
        <v>9</v>
      </c>
      <c r="D349" s="360">
        <f>'побудинковий звіт'!CU342</f>
        <v>327223.03110635985</v>
      </c>
      <c r="E349" s="344">
        <f>'побудинковий звіт'!CV342</f>
        <v>360099.92784280179</v>
      </c>
      <c r="F349" s="344">
        <f t="shared" si="20"/>
        <v>32876.896736441937</v>
      </c>
      <c r="G349" s="361">
        <f t="shared" si="21"/>
        <v>1.100472441152089</v>
      </c>
      <c r="H349" s="355">
        <f>('побудинковий звіт'!AS342+'побудинковий звіт'!BQ342)*1.2</f>
        <v>97501.679876716604</v>
      </c>
      <c r="I349" s="343">
        <f>('побудинковий звіт'!AT342+'побудинковий звіт'!BR342)*1.2</f>
        <v>175226.4</v>
      </c>
      <c r="J349" s="343">
        <f t="shared" si="22"/>
        <v>77724.72012328339</v>
      </c>
      <c r="K349" s="364">
        <f t="shared" si="23"/>
        <v>1.7971628819273713</v>
      </c>
      <c r="L349" s="366">
        <f>'побудинковий звіт'!DE342</f>
        <v>19180.829999999998</v>
      </c>
      <c r="M349" s="373">
        <f>'побудинковий звіт'!DA342*-1</f>
        <v>20980.072952728849</v>
      </c>
    </row>
    <row r="350" spans="1:13" ht="20.100000000000001" customHeight="1" x14ac:dyDescent="0.3">
      <c r="A350" s="369" t="s">
        <v>796</v>
      </c>
      <c r="B350" s="308" t="s">
        <v>426</v>
      </c>
      <c r="C350" s="370">
        <v>14</v>
      </c>
      <c r="D350" s="360">
        <f>'побудинковий звіт'!CU343</f>
        <v>373729.28352469997</v>
      </c>
      <c r="E350" s="344">
        <f>'побудинковий звіт'!CV343</f>
        <v>291809.49049964419</v>
      </c>
      <c r="F350" s="344">
        <f t="shared" si="20"/>
        <v>-81919.793025055784</v>
      </c>
      <c r="G350" s="361">
        <f t="shared" si="21"/>
        <v>0.78080445756763495</v>
      </c>
      <c r="H350" s="355">
        <f>('побудинковий звіт'!AS343+'побудинковий звіт'!BQ343)*1.2</f>
        <v>106119.1706420698</v>
      </c>
      <c r="I350" s="343">
        <f>('побудинковий звіт'!AT343+'побудинковий звіт'!BR343)*1.2</f>
        <v>28896</v>
      </c>
      <c r="J350" s="343">
        <f t="shared" si="22"/>
        <v>-77223.170642069803</v>
      </c>
      <c r="K350" s="364">
        <f t="shared" si="23"/>
        <v>0.27229764259526251</v>
      </c>
      <c r="L350" s="366">
        <f>'побудинковий звіт'!DE343</f>
        <v>39597.930000000008</v>
      </c>
      <c r="M350" s="373">
        <f>'побудинковий звіт'!DA343*-1</f>
        <v>145160.64296946669</v>
      </c>
    </row>
    <row r="351" spans="1:13" ht="20.100000000000001" customHeight="1" x14ac:dyDescent="0.3">
      <c r="A351" s="369" t="s">
        <v>797</v>
      </c>
      <c r="B351" s="308" t="s">
        <v>406</v>
      </c>
      <c r="C351" s="370">
        <v>9</v>
      </c>
      <c r="D351" s="360">
        <f>'побудинковий звіт'!CU344</f>
        <v>345401.82981306862</v>
      </c>
      <c r="E351" s="344">
        <f>'побудинковий звіт'!CV344</f>
        <v>367407.72137917002</v>
      </c>
      <c r="F351" s="344">
        <f t="shared" si="20"/>
        <v>22005.891566101403</v>
      </c>
      <c r="G351" s="361">
        <f t="shared" si="21"/>
        <v>1.0637109872232322</v>
      </c>
      <c r="H351" s="355">
        <f>('побудинковий звіт'!AS344+'побудинковий звіт'!BQ344)*1.2</f>
        <v>106633.43449742493</v>
      </c>
      <c r="I351" s="343">
        <f>('побудинковий звіт'!AT344+'побудинковий звіт'!BR344)*1.2</f>
        <v>119203.2</v>
      </c>
      <c r="J351" s="343">
        <f t="shared" si="22"/>
        <v>12569.765502575072</v>
      </c>
      <c r="K351" s="364">
        <f t="shared" si="23"/>
        <v>1.1178782767507935</v>
      </c>
      <c r="L351" s="366">
        <f>'побудинковий звіт'!DE344</f>
        <v>11896.099999999999</v>
      </c>
      <c r="M351" s="373">
        <f>'побудинковий звіт'!DA344*-1</f>
        <v>-40162.492904018225</v>
      </c>
    </row>
    <row r="352" spans="1:13" ht="20.100000000000001" customHeight="1" x14ac:dyDescent="0.3">
      <c r="A352" s="369" t="s">
        <v>798</v>
      </c>
      <c r="B352" s="308" t="s">
        <v>407</v>
      </c>
      <c r="C352" s="370">
        <v>9</v>
      </c>
      <c r="D352" s="360">
        <f>'побудинковий звіт'!CU345</f>
        <v>519236.16713331721</v>
      </c>
      <c r="E352" s="344">
        <f>'побудинковий звіт'!CV345</f>
        <v>511773.59129668586</v>
      </c>
      <c r="F352" s="344">
        <f t="shared" si="20"/>
        <v>-7462.575836631353</v>
      </c>
      <c r="G352" s="361">
        <f t="shared" si="21"/>
        <v>0.98562778113506244</v>
      </c>
      <c r="H352" s="355">
        <f>('побудинковий звіт'!AS345+'побудинковий звіт'!BQ345)*1.2</f>
        <v>163945.75715332391</v>
      </c>
      <c r="I352" s="343">
        <f>('побудинковий звіт'!AT345+'побудинковий звіт'!BR345)*1.2</f>
        <v>135580.30130614829</v>
      </c>
      <c r="J352" s="343">
        <f t="shared" si="22"/>
        <v>-28365.455847175617</v>
      </c>
      <c r="K352" s="364">
        <f t="shared" si="23"/>
        <v>0.82698267805340075</v>
      </c>
      <c r="L352" s="366">
        <f>'побудинковий звіт'!DE345</f>
        <v>6706.6300000000047</v>
      </c>
      <c r="M352" s="373">
        <f>'побудинковий звіт'!DA345*-1</f>
        <v>1222.0602073735463</v>
      </c>
    </row>
    <row r="353" spans="1:13" ht="20.100000000000001" customHeight="1" x14ac:dyDescent="0.3">
      <c r="A353" s="369" t="s">
        <v>799</v>
      </c>
      <c r="B353" s="308" t="s">
        <v>408</v>
      </c>
      <c r="C353" s="370">
        <v>9</v>
      </c>
      <c r="D353" s="360">
        <f>'побудинковий звіт'!CU346</f>
        <v>508538.1146651301</v>
      </c>
      <c r="E353" s="344">
        <f>'побудинковий звіт'!CV346</f>
        <v>411454.48724982905</v>
      </c>
      <c r="F353" s="344">
        <f t="shared" si="20"/>
        <v>-97083.627415301045</v>
      </c>
      <c r="G353" s="361">
        <f t="shared" si="21"/>
        <v>0.80909272163556478</v>
      </c>
      <c r="H353" s="355">
        <f>('побудинковий звіт'!AS346+'побудинковий звіт'!BQ346)*1.2</f>
        <v>161433.42959500023</v>
      </c>
      <c r="I353" s="343">
        <f>('побудинковий звіт'!AT346+'побудинковий звіт'!BR346)*1.2</f>
        <v>49625.259304322157</v>
      </c>
      <c r="J353" s="343">
        <f t="shared" si="22"/>
        <v>-111808.17029067807</v>
      </c>
      <c r="K353" s="364">
        <f t="shared" si="23"/>
        <v>0.30740385946591514</v>
      </c>
      <c r="L353" s="366">
        <f>'побудинковий звіт'!DE346</f>
        <v>36714.39</v>
      </c>
      <c r="M353" s="374">
        <f>'побудинковий звіт'!DA346*-1</f>
        <v>-92148.967531340837</v>
      </c>
    </row>
    <row r="354" spans="1:13" ht="20.100000000000001" customHeight="1" x14ac:dyDescent="0.3">
      <c r="A354" s="369" t="s">
        <v>800</v>
      </c>
      <c r="B354" s="308" t="s">
        <v>409</v>
      </c>
      <c r="C354" s="370">
        <v>9</v>
      </c>
      <c r="D354" s="360">
        <f>'побудинковий звіт'!CU347</f>
        <v>477964.64848210529</v>
      </c>
      <c r="E354" s="344">
        <f>'побудинковий звіт'!CV347</f>
        <v>388735.31601411855</v>
      </c>
      <c r="F354" s="344">
        <f t="shared" si="20"/>
        <v>-89229.332467986736</v>
      </c>
      <c r="G354" s="361">
        <f t="shared" si="21"/>
        <v>0.81331394957481373</v>
      </c>
      <c r="H354" s="355">
        <f>('побудинковий звіт'!AS347+'побудинковий звіт'!BQ347)*1.2</f>
        <v>161065.18062333841</v>
      </c>
      <c r="I354" s="343">
        <f>('побудинковий звіт'!AT347+'побудинковий звіт'!BR347)*1.2</f>
        <v>58615.920769146287</v>
      </c>
      <c r="J354" s="343">
        <f t="shared" si="22"/>
        <v>-102449.25985419212</v>
      </c>
      <c r="K354" s="364">
        <f t="shared" si="23"/>
        <v>0.36392670682947609</v>
      </c>
      <c r="L354" s="366">
        <f>'побудинковий звіт'!DE347</f>
        <v>81688</v>
      </c>
      <c r="M354" s="373">
        <f>'побудинковий звіт'!DA347*-1</f>
        <v>25964.798169893031</v>
      </c>
    </row>
    <row r="355" spans="1:13" ht="20.100000000000001" customHeight="1" x14ac:dyDescent="0.3">
      <c r="A355" s="369" t="s">
        <v>801</v>
      </c>
      <c r="B355" s="308" t="s">
        <v>410</v>
      </c>
      <c r="C355" s="370">
        <v>9</v>
      </c>
      <c r="D355" s="360">
        <f>'побудинковий звіт'!CU348</f>
        <v>470470.70715001883</v>
      </c>
      <c r="E355" s="344">
        <f>'побудинковий звіт'!CV348</f>
        <v>541759.41990779748</v>
      </c>
      <c r="F355" s="344">
        <f t="shared" si="20"/>
        <v>71288.712757778645</v>
      </c>
      <c r="G355" s="361">
        <f t="shared" si="21"/>
        <v>1.1515263579099875</v>
      </c>
      <c r="H355" s="355">
        <f>('побудинковий звіт'!AS348+'побудинковий звіт'!BQ348)*1.2</f>
        <v>161566.04871956276</v>
      </c>
      <c r="I355" s="343">
        <f>('побудинковий звіт'!AT348+'побудинковий звіт'!BR348)*1.2</f>
        <v>204846.39362708971</v>
      </c>
      <c r="J355" s="343">
        <f t="shared" si="22"/>
        <v>43280.344907526945</v>
      </c>
      <c r="K355" s="364">
        <f t="shared" si="23"/>
        <v>1.2678801966782671</v>
      </c>
      <c r="L355" s="366">
        <f>'побудинковий звіт'!DE348</f>
        <v>51414.97</v>
      </c>
      <c r="M355" s="373">
        <f>'побудинковий звіт'!DA348*-1</f>
        <v>-32800.226787958614</v>
      </c>
    </row>
    <row r="356" spans="1:13" ht="20.100000000000001" customHeight="1" x14ac:dyDescent="0.3">
      <c r="A356" s="369" t="s">
        <v>802</v>
      </c>
      <c r="B356" s="308" t="s">
        <v>318</v>
      </c>
      <c r="C356" s="370">
        <v>5</v>
      </c>
      <c r="D356" s="360">
        <f>'побудинковий звіт'!CU349</f>
        <v>375039.52193760371</v>
      </c>
      <c r="E356" s="344">
        <f>'побудинковий звіт'!CV349</f>
        <v>391464.42005134973</v>
      </c>
      <c r="F356" s="344">
        <f t="shared" si="20"/>
        <v>16424.898113746021</v>
      </c>
      <c r="G356" s="361">
        <f t="shared" si="21"/>
        <v>1.0437951126560967</v>
      </c>
      <c r="H356" s="355">
        <f>('побудинковий звіт'!AS349+'побудинковий звіт'!BQ349)*1.2</f>
        <v>133556.92996322329</v>
      </c>
      <c r="I356" s="343">
        <f>('побудинковий звіт'!AT349+'побудинковий звіт'!BR349)*1.2</f>
        <v>144162.29697565179</v>
      </c>
      <c r="J356" s="343">
        <f t="shared" si="22"/>
        <v>10605.367012428498</v>
      </c>
      <c r="K356" s="364">
        <f t="shared" si="23"/>
        <v>1.0794070889121876</v>
      </c>
      <c r="L356" s="366">
        <f>'побудинковий звіт'!DE349</f>
        <v>47358.69</v>
      </c>
      <c r="M356" s="374">
        <f>'побудинковий звіт'!DA349*-1</f>
        <v>-37566.00484701094</v>
      </c>
    </row>
    <row r="357" spans="1:13" ht="20.100000000000001" customHeight="1" x14ac:dyDescent="0.3">
      <c r="A357" s="369" t="s">
        <v>803</v>
      </c>
      <c r="B357" s="308" t="s">
        <v>319</v>
      </c>
      <c r="C357" s="370">
        <v>5</v>
      </c>
      <c r="D357" s="360">
        <f>'побудинковий звіт'!CU350</f>
        <v>294412.7249054272</v>
      </c>
      <c r="E357" s="344">
        <f>'побудинковий звіт'!CV350</f>
        <v>258254.19993431662</v>
      </c>
      <c r="F357" s="344">
        <f t="shared" si="20"/>
        <v>-36158.524971110572</v>
      </c>
      <c r="G357" s="361">
        <f t="shared" si="21"/>
        <v>0.87718423182039562</v>
      </c>
      <c r="H357" s="355">
        <f>('побудинковий звіт'!AS350+'побудинковий звіт'!BQ350)*1.2</f>
        <v>106496.97130852188</v>
      </c>
      <c r="I357" s="343">
        <f>('побудинковий звіт'!AT350+'побудинковий звіт'!BR350)*1.2</f>
        <v>55205.368946531315</v>
      </c>
      <c r="J357" s="343">
        <f t="shared" si="22"/>
        <v>-51291.602361990568</v>
      </c>
      <c r="K357" s="364">
        <f t="shared" si="23"/>
        <v>0.51837501356354332</v>
      </c>
      <c r="L357" s="366">
        <f>'побудинковий звіт'!DE350</f>
        <v>37115.789999999994</v>
      </c>
      <c r="M357" s="373">
        <f>'побудинковий звіт'!DA350*-1</f>
        <v>-41215.246821285444</v>
      </c>
    </row>
    <row r="358" spans="1:13" ht="20.100000000000001" customHeight="1" x14ac:dyDescent="0.3">
      <c r="A358" s="369" t="s">
        <v>804</v>
      </c>
      <c r="B358" s="308" t="s">
        <v>320</v>
      </c>
      <c r="C358" s="370">
        <v>5</v>
      </c>
      <c r="D358" s="360">
        <f>'побудинковий звіт'!CU351</f>
        <v>194241.60640202489</v>
      </c>
      <c r="E358" s="344">
        <f>'побудинковий звіт'!CV351</f>
        <v>206458.07029613151</v>
      </c>
      <c r="F358" s="344">
        <f t="shared" si="20"/>
        <v>12216.463894106622</v>
      </c>
      <c r="G358" s="361">
        <f t="shared" si="21"/>
        <v>1.0628931366476759</v>
      </c>
      <c r="H358" s="355">
        <f>('побудинковий звіт'!AS351+'побудинковий звіт'!BQ351)*1.2</f>
        <v>70148.214545613781</v>
      </c>
      <c r="I358" s="343">
        <f>('побудинковий звіт'!AT351+'побудинковий звіт'!BR351)*1.2</f>
        <v>62575.24624160456</v>
      </c>
      <c r="J358" s="343">
        <f t="shared" si="22"/>
        <v>-7572.9683040092204</v>
      </c>
      <c r="K358" s="364">
        <f t="shared" si="23"/>
        <v>0.89204332065950287</v>
      </c>
      <c r="L358" s="366">
        <f>'побудинковий звіт'!DE351</f>
        <v>21544.480000000003</v>
      </c>
      <c r="M358" s="373">
        <f>'побудинковий звіт'!DA351*-1</f>
        <v>-63435.274897842079</v>
      </c>
    </row>
    <row r="359" spans="1:13" ht="20.100000000000001" customHeight="1" x14ac:dyDescent="0.3">
      <c r="A359" s="369" t="s">
        <v>805</v>
      </c>
      <c r="B359" s="308" t="s">
        <v>321</v>
      </c>
      <c r="C359" s="370">
        <v>5</v>
      </c>
      <c r="D359" s="360">
        <f>'побудинковий звіт'!CU352</f>
        <v>193002.55266895829</v>
      </c>
      <c r="E359" s="344">
        <f>'побудинковий звіт'!CV352</f>
        <v>206788.88436495667</v>
      </c>
      <c r="F359" s="344">
        <f t="shared" si="20"/>
        <v>13786.331695998379</v>
      </c>
      <c r="G359" s="361">
        <f t="shared" si="21"/>
        <v>1.0714308256826268</v>
      </c>
      <c r="H359" s="355">
        <f>('побудинковий звіт'!AS352+'побудинковий звіт'!BQ352)*1.2</f>
        <v>70409.343934805423</v>
      </c>
      <c r="I359" s="343">
        <f>('побудинковий звіт'!AT352+'побудинковий звіт'!BR352)*1.2</f>
        <v>59306.231328136331</v>
      </c>
      <c r="J359" s="343">
        <f t="shared" si="22"/>
        <v>-11103.112606669092</v>
      </c>
      <c r="K359" s="364">
        <f t="shared" si="23"/>
        <v>0.84230626240531559</v>
      </c>
      <c r="L359" s="366">
        <f>'побудинковий звіт'!DE352</f>
        <v>12077.16</v>
      </c>
      <c r="M359" s="373">
        <f>'побудинковий звіт'!DA352*-1</f>
        <v>-11882.034646395219</v>
      </c>
    </row>
    <row r="360" spans="1:13" ht="20.100000000000001" customHeight="1" x14ac:dyDescent="0.3">
      <c r="A360" s="369" t="s">
        <v>806</v>
      </c>
      <c r="B360" s="308" t="s">
        <v>322</v>
      </c>
      <c r="C360" s="370">
        <v>5</v>
      </c>
      <c r="D360" s="360">
        <f>'побудинковий звіт'!CU353</f>
        <v>202828.94865596565</v>
      </c>
      <c r="E360" s="344">
        <f>'побудинковий звіт'!CV353</f>
        <v>201768.1845635506</v>
      </c>
      <c r="F360" s="344">
        <f t="shared" si="20"/>
        <v>-1060.7640924150473</v>
      </c>
      <c r="G360" s="361">
        <f t="shared" si="21"/>
        <v>0.99477015436186922</v>
      </c>
      <c r="H360" s="355">
        <f>('побудинковий звіт'!AS353+'побудинковий звіт'!BQ353)*1.2</f>
        <v>67597.211971025972</v>
      </c>
      <c r="I360" s="343">
        <f>('побудинковий звіт'!AT353+'побудинковий звіт'!BR353)*1.2</f>
        <v>55639.867958600757</v>
      </c>
      <c r="J360" s="343">
        <f t="shared" si="22"/>
        <v>-11957.344012425216</v>
      </c>
      <c r="K360" s="364">
        <f t="shared" si="23"/>
        <v>0.82310891730933422</v>
      </c>
      <c r="L360" s="366">
        <f>'побудинковий звіт'!DE353</f>
        <v>22779.67</v>
      </c>
      <c r="M360" s="373">
        <f>'побудинковий звіт'!DA353*-1</f>
        <v>-20455.780630001529</v>
      </c>
    </row>
    <row r="361" spans="1:13" ht="20.100000000000001" customHeight="1" x14ac:dyDescent="0.3">
      <c r="A361" s="369" t="s">
        <v>807</v>
      </c>
      <c r="B361" s="308" t="s">
        <v>323</v>
      </c>
      <c r="C361" s="370">
        <v>5</v>
      </c>
      <c r="D361" s="360">
        <f>'побудинковий звіт'!CU354</f>
        <v>369572.38661448401</v>
      </c>
      <c r="E361" s="344">
        <f>'побудинковий звіт'!CV354</f>
        <v>354960.20330805617</v>
      </c>
      <c r="F361" s="344">
        <f t="shared" si="20"/>
        <v>-14612.183306427847</v>
      </c>
      <c r="G361" s="361">
        <f t="shared" si="21"/>
        <v>0.96046191805539194</v>
      </c>
      <c r="H361" s="355">
        <f>('побудинковий звіт'!AS354+'побудинковий звіт'!BQ354)*1.2</f>
        <v>136008.58371460371</v>
      </c>
      <c r="I361" s="343">
        <f>('побудинковий звіт'!AT354+'побудинковий звіт'!BR354)*1.2</f>
        <v>93000.101460040372</v>
      </c>
      <c r="J361" s="343">
        <f t="shared" si="22"/>
        <v>-43008.482254563336</v>
      </c>
      <c r="K361" s="364">
        <f t="shared" si="23"/>
        <v>0.6837811182211041</v>
      </c>
      <c r="L361" s="366">
        <f>'побудинковий звіт'!DE354</f>
        <v>56755.58</v>
      </c>
      <c r="M361" s="373">
        <f>'побудинковий звіт'!DA354*-1</f>
        <v>-75343.045775358885</v>
      </c>
    </row>
    <row r="362" spans="1:13" ht="20.100000000000001" customHeight="1" x14ac:dyDescent="0.3">
      <c r="A362" s="369" t="s">
        <v>808</v>
      </c>
      <c r="B362" s="308" t="s">
        <v>324</v>
      </c>
      <c r="C362" s="370">
        <v>5</v>
      </c>
      <c r="D362" s="360">
        <f>'побудинковий звіт'!CU355</f>
        <v>295985.03279521025</v>
      </c>
      <c r="E362" s="344">
        <f>'побудинковий звіт'!CV355</f>
        <v>376709.06680560979</v>
      </c>
      <c r="F362" s="344">
        <f t="shared" ref="F362:F375" si="24">E362-D362</f>
        <v>80724.03401039954</v>
      </c>
      <c r="G362" s="361">
        <f t="shared" ref="G362:G373" si="25">E362/D362</f>
        <v>1.2727301216823754</v>
      </c>
      <c r="H362" s="355">
        <f>('побудинковий звіт'!AS355+'побудинковий звіт'!BQ355)*1.2</f>
        <v>99863.444207902547</v>
      </c>
      <c r="I362" s="343">
        <f>('побудинковий звіт'!AT355+'побудинковий звіт'!BR355)*1.2</f>
        <v>158755.19999999998</v>
      </c>
      <c r="J362" s="343">
        <f t="shared" ref="J362:J375" si="26">I362-H362</f>
        <v>58891.755792097436</v>
      </c>
      <c r="K362" s="364">
        <f t="shared" ref="K362:K374" si="27">I362/H362</f>
        <v>1.5897228586417724</v>
      </c>
      <c r="L362" s="366">
        <f>'побудинковий звіт'!DE355</f>
        <v>108912.24999999999</v>
      </c>
      <c r="M362" s="373">
        <f>'побудинковий звіт'!DA355*-1</f>
        <v>5114.8550672412093</v>
      </c>
    </row>
    <row r="363" spans="1:13" ht="20.100000000000001" customHeight="1" x14ac:dyDescent="0.3">
      <c r="A363" s="369" t="s">
        <v>809</v>
      </c>
      <c r="B363" s="308" t="s">
        <v>325</v>
      </c>
      <c r="C363" s="370">
        <v>5</v>
      </c>
      <c r="D363" s="360">
        <f>'побудинковий звіт'!CU356</f>
        <v>282335.66093112662</v>
      </c>
      <c r="E363" s="344">
        <f>'побудинковий звіт'!CV356</f>
        <v>488029.273111052</v>
      </c>
      <c r="F363" s="344">
        <f t="shared" si="24"/>
        <v>205693.61217992537</v>
      </c>
      <c r="G363" s="361">
        <f t="shared" si="25"/>
        <v>1.7285427972561447</v>
      </c>
      <c r="H363" s="355">
        <f>('побудинковий звіт'!AS356+'побудинковий звіт'!BQ356)*1.2</f>
        <v>91246.224625903676</v>
      </c>
      <c r="I363" s="343">
        <f>('побудинковий звіт'!AT356+'побудинковий звіт'!BR356)*1.2</f>
        <v>288658.22321039182</v>
      </c>
      <c r="J363" s="343">
        <f t="shared" si="26"/>
        <v>197411.99858448814</v>
      </c>
      <c r="K363" s="364">
        <f t="shared" si="27"/>
        <v>3.1635086754969732</v>
      </c>
      <c r="L363" s="366">
        <f>'побудинковий звіт'!DE356</f>
        <v>65680.33</v>
      </c>
      <c r="M363" s="374">
        <f>'побудинковий звіт'!DA356*-1</f>
        <v>-287919.61123931676</v>
      </c>
    </row>
    <row r="364" spans="1:13" ht="20.100000000000001" customHeight="1" x14ac:dyDescent="0.3">
      <c r="A364" s="369" t="s">
        <v>810</v>
      </c>
      <c r="B364" s="308" t="s">
        <v>326</v>
      </c>
      <c r="C364" s="370">
        <v>5</v>
      </c>
      <c r="D364" s="360">
        <f>'побудинковий звіт'!CU357</f>
        <v>283590.36255558778</v>
      </c>
      <c r="E364" s="344">
        <f>'побудинковий звіт'!CV357</f>
        <v>306552.44429514685</v>
      </c>
      <c r="F364" s="344">
        <f t="shared" si="24"/>
        <v>22962.081739559071</v>
      </c>
      <c r="G364" s="361">
        <f t="shared" si="25"/>
        <v>1.0809691892652318</v>
      </c>
      <c r="H364" s="355">
        <f>('побудинковий звіт'!AS357+'побудинковий звіт'!BQ357)*1.2</f>
        <v>90986.347728967681</v>
      </c>
      <c r="I364" s="343">
        <f>('побудинковий звіт'!AT357+'побудинковий звіт'!BR357)*1.2</f>
        <v>107287.93722259565</v>
      </c>
      <c r="J364" s="343">
        <f t="shared" si="26"/>
        <v>16301.589493627966</v>
      </c>
      <c r="K364" s="364">
        <f t="shared" si="27"/>
        <v>1.1791652253389435</v>
      </c>
      <c r="L364" s="366">
        <f>'побудинковий звіт'!DE357</f>
        <v>40481.979999999996</v>
      </c>
      <c r="M364" s="373">
        <f>'побудинковий звіт'!DA357*-1</f>
        <v>19310.550725845489</v>
      </c>
    </row>
    <row r="365" spans="1:13" ht="20.100000000000001" customHeight="1" x14ac:dyDescent="0.3">
      <c r="A365" s="369" t="s">
        <v>811</v>
      </c>
      <c r="B365" s="308" t="s">
        <v>327</v>
      </c>
      <c r="C365" s="370">
        <v>5</v>
      </c>
      <c r="D365" s="360">
        <f>'побудинковий звіт'!CU358</f>
        <v>299995.04456984549</v>
      </c>
      <c r="E365" s="344">
        <f>'побудинковий звіт'!CV358</f>
        <v>301134.5885572111</v>
      </c>
      <c r="F365" s="344">
        <f t="shared" si="24"/>
        <v>1139.5439873656142</v>
      </c>
      <c r="G365" s="361">
        <f t="shared" si="25"/>
        <v>1.0037985427025955</v>
      </c>
      <c r="H365" s="355">
        <f>('побудинковий звіт'!AS358+'побудинковий звіт'!BQ358)*1.2</f>
        <v>106681.68933806567</v>
      </c>
      <c r="I365" s="343">
        <f>('побудинковий звіт'!AT358+'побудинковий звіт'!BR358)*1.2</f>
        <v>89677.681599548538</v>
      </c>
      <c r="J365" s="343">
        <f t="shared" si="26"/>
        <v>-17004.007738517132</v>
      </c>
      <c r="K365" s="364">
        <f t="shared" si="27"/>
        <v>0.84060987556512345</v>
      </c>
      <c r="L365" s="366">
        <f>'побудинковий звіт'!DE358</f>
        <v>45686.819999999992</v>
      </c>
      <c r="M365" s="373">
        <f>'побудинковий звіт'!DA358*-1</f>
        <v>21499.491086150021</v>
      </c>
    </row>
    <row r="366" spans="1:13" ht="20.100000000000001" customHeight="1" x14ac:dyDescent="0.3">
      <c r="A366" s="369" t="s">
        <v>812</v>
      </c>
      <c r="B366" s="308" t="s">
        <v>328</v>
      </c>
      <c r="C366" s="370">
        <v>5</v>
      </c>
      <c r="D366" s="360">
        <f>'побудинковий звіт'!CU359</f>
        <v>366149.95300518873</v>
      </c>
      <c r="E366" s="344">
        <f>'побудинковий звіт'!CV359</f>
        <v>327377.72781536123</v>
      </c>
      <c r="F366" s="344">
        <f t="shared" si="24"/>
        <v>-38772.225189827499</v>
      </c>
      <c r="G366" s="361">
        <f t="shared" si="25"/>
        <v>0.89410834312116361</v>
      </c>
      <c r="H366" s="355">
        <f>('побудинковий звіт'!AS359+'побудинковий звіт'!BQ359)*1.2</f>
        <v>103489.63103897456</v>
      </c>
      <c r="I366" s="343">
        <f>('побудинковий звіт'!AT359+'побудинковий звіт'!BR359)*1.2</f>
        <v>51053.791181535657</v>
      </c>
      <c r="J366" s="343">
        <f t="shared" si="26"/>
        <v>-52435.839857438907</v>
      </c>
      <c r="K366" s="364">
        <f t="shared" si="27"/>
        <v>0.49332276740177589</v>
      </c>
      <c r="L366" s="366">
        <f>'побудинковий звіт'!DE359</f>
        <v>40633.520000000004</v>
      </c>
      <c r="M366" s="373">
        <f>'побудинковий звіт'!DA359*-1</f>
        <v>48754.060752959718</v>
      </c>
    </row>
    <row r="367" spans="1:13" ht="20.100000000000001" customHeight="1" x14ac:dyDescent="0.3">
      <c r="A367" s="369" t="s">
        <v>813</v>
      </c>
      <c r="B367" s="308" t="s">
        <v>236</v>
      </c>
      <c r="C367" s="370">
        <v>4</v>
      </c>
      <c r="D367" s="360">
        <f>'побудинковий звіт'!CU360</f>
        <v>148479.3656376579</v>
      </c>
      <c r="E367" s="344">
        <f>'побудинковий звіт'!CV360</f>
        <v>132440.83465186085</v>
      </c>
      <c r="F367" s="344">
        <f t="shared" si="24"/>
        <v>-16038.530985797057</v>
      </c>
      <c r="G367" s="361">
        <f t="shared" si="25"/>
        <v>0.89198141494666172</v>
      </c>
      <c r="H367" s="355">
        <f>('побудинковий звіт'!AS360+'побудинковий звіт'!BQ360)*1.2</f>
        <v>32801.311709731199</v>
      </c>
      <c r="I367" s="343">
        <f>('побудинковий звіт'!AT360+'побудинковий звіт'!BR360)*1.2</f>
        <v>9458.3430141507124</v>
      </c>
      <c r="J367" s="343">
        <f t="shared" si="26"/>
        <v>-23342.968695580486</v>
      </c>
      <c r="K367" s="364">
        <f t="shared" si="27"/>
        <v>0.28835258473351527</v>
      </c>
      <c r="L367" s="366">
        <f>'побудинковий звіт'!DE360</f>
        <v>26298.83</v>
      </c>
      <c r="M367" s="373">
        <f>'побудинковий звіт'!DA360*-1</f>
        <v>-41767.145419065448</v>
      </c>
    </row>
    <row r="368" spans="1:13" ht="20.100000000000001" customHeight="1" x14ac:dyDescent="0.3">
      <c r="A368" s="369" t="s">
        <v>814</v>
      </c>
      <c r="B368" s="308" t="s">
        <v>329</v>
      </c>
      <c r="C368" s="370">
        <v>5</v>
      </c>
      <c r="D368" s="360">
        <f>'побудинковий звіт'!CU361</f>
        <v>224177.93328618494</v>
      </c>
      <c r="E368" s="344">
        <f>'побудинковий звіт'!CV361</f>
        <v>228520.8491118415</v>
      </c>
      <c r="F368" s="344">
        <f t="shared" si="24"/>
        <v>4342.915825656557</v>
      </c>
      <c r="G368" s="361">
        <f t="shared" si="25"/>
        <v>1.0193726285276812</v>
      </c>
      <c r="H368" s="355">
        <f>('побудинковий звіт'!AS361+'побудинковий звіт'!BQ361)*1.2</f>
        <v>63202.204765957598</v>
      </c>
      <c r="I368" s="343">
        <f>('побудинковий звіт'!AT361+'побудинковий звіт'!BR361)*1.2</f>
        <v>52458</v>
      </c>
      <c r="J368" s="343">
        <f t="shared" si="26"/>
        <v>-10744.204765957598</v>
      </c>
      <c r="K368" s="364">
        <f t="shared" si="27"/>
        <v>0.83000269047979924</v>
      </c>
      <c r="L368" s="366">
        <f>'побудинковий звіт'!DE361</f>
        <v>15533.980000000001</v>
      </c>
      <c r="M368" s="373">
        <f>'побудинковий звіт'!DA361*-1</f>
        <v>-339769.25051250996</v>
      </c>
    </row>
    <row r="369" spans="1:13" ht="20.100000000000001" customHeight="1" x14ac:dyDescent="0.3">
      <c r="A369" s="369" t="s">
        <v>815</v>
      </c>
      <c r="B369" s="308" t="s">
        <v>237</v>
      </c>
      <c r="C369" s="370">
        <v>4</v>
      </c>
      <c r="D369" s="360">
        <f>'побудинковий звіт'!CU362</f>
        <v>167142.18138084692</v>
      </c>
      <c r="E369" s="344">
        <f>'побудинковий звіт'!CV362</f>
        <v>144955.90322508165</v>
      </c>
      <c r="F369" s="344">
        <f t="shared" si="24"/>
        <v>-22186.278155765263</v>
      </c>
      <c r="G369" s="361">
        <f t="shared" si="25"/>
        <v>0.8672610470171378</v>
      </c>
      <c r="H369" s="355">
        <f>('побудинковий звіт'!AS362+'побудинковий звіт'!BQ362)*1.2</f>
        <v>44599.612208025283</v>
      </c>
      <c r="I369" s="343">
        <f>('побудинковий звіт'!AT362+'побудинковий звіт'!BR362)*1.2</f>
        <v>15699.83670768991</v>
      </c>
      <c r="J369" s="343">
        <f t="shared" si="26"/>
        <v>-28899.775500335374</v>
      </c>
      <c r="K369" s="364">
        <f t="shared" si="27"/>
        <v>0.35201733670825219</v>
      </c>
      <c r="L369" s="366">
        <f>'побудинковий звіт'!DE362</f>
        <v>3655.1399999999994</v>
      </c>
      <c r="M369" s="373">
        <f>'побудинковий звіт'!DA362*-1</f>
        <v>96237.440379695967</v>
      </c>
    </row>
    <row r="370" spans="1:13" ht="20.100000000000001" customHeight="1" x14ac:dyDescent="0.3">
      <c r="A370" s="369" t="s">
        <v>816</v>
      </c>
      <c r="B370" s="308" t="s">
        <v>411</v>
      </c>
      <c r="C370" s="370">
        <v>9</v>
      </c>
      <c r="D370" s="360">
        <f>'побудинковий звіт'!CU363</f>
        <v>197916.59631794199</v>
      </c>
      <c r="E370" s="344">
        <f>'побудинковий звіт'!CV363</f>
        <v>173519.99111418752</v>
      </c>
      <c r="F370" s="344">
        <f t="shared" si="24"/>
        <v>-24396.605203754472</v>
      </c>
      <c r="G370" s="361">
        <f t="shared" si="25"/>
        <v>0.87673289831357704</v>
      </c>
      <c r="H370" s="355">
        <f>('побудинковий звіт'!AS363+'побудинковий звіт'!BQ363)*1.2</f>
        <v>39462.390138370218</v>
      </c>
      <c r="I370" s="343">
        <f>('побудинковий звіт'!AT363+'побудинковий звіт'!BR363)*1.2</f>
        <v>11674.8</v>
      </c>
      <c r="J370" s="343">
        <f t="shared" si="26"/>
        <v>-27787.590138370218</v>
      </c>
      <c r="K370" s="364">
        <f t="shared" si="27"/>
        <v>0.29584624649099284</v>
      </c>
      <c r="L370" s="366">
        <f>'побудинковий звіт'!DE363</f>
        <v>6407.7900000000009</v>
      </c>
      <c r="M370" s="374">
        <f>'побудинковий звіт'!DA363*-1</f>
        <v>55446.209881416609</v>
      </c>
    </row>
    <row r="371" spans="1:13" ht="20.100000000000001" customHeight="1" x14ac:dyDescent="0.3">
      <c r="A371" s="369" t="s">
        <v>817</v>
      </c>
      <c r="B371" s="308" t="s">
        <v>330</v>
      </c>
      <c r="C371" s="370">
        <v>5</v>
      </c>
      <c r="D371" s="360">
        <f>'побудинковий звіт'!CU364</f>
        <v>159889.67760566258</v>
      </c>
      <c r="E371" s="344">
        <f>'побудинковий звіт'!CV364</f>
        <v>154811.83382032972</v>
      </c>
      <c r="F371" s="344">
        <f t="shared" si="24"/>
        <v>-5077.8437853328651</v>
      </c>
      <c r="G371" s="361">
        <f t="shared" si="25"/>
        <v>0.96824157843474801</v>
      </c>
      <c r="H371" s="355">
        <f>('побудинковий звіт'!AS364+'побудинковий звіт'!BQ364)*1.2</f>
        <v>47177.982013131579</v>
      </c>
      <c r="I371" s="343">
        <f>('побудинковий звіт'!AT364+'побудинковий звіт'!BR364)*1.2</f>
        <v>37562.889917435612</v>
      </c>
      <c r="J371" s="343">
        <f t="shared" si="26"/>
        <v>-9615.0920956959671</v>
      </c>
      <c r="K371" s="364">
        <f t="shared" si="27"/>
        <v>0.79619535034330868</v>
      </c>
      <c r="L371" s="366">
        <f>'побудинковий звіт'!DE364</f>
        <v>24143.910000000003</v>
      </c>
      <c r="M371" s="373">
        <f>'побудинковий звіт'!DA364*-1</f>
        <v>-87.023162094063082</v>
      </c>
    </row>
    <row r="372" spans="1:13" ht="20.100000000000001" customHeight="1" x14ac:dyDescent="0.3">
      <c r="A372" s="369" t="s">
        <v>818</v>
      </c>
      <c r="B372" s="308" t="s">
        <v>331</v>
      </c>
      <c r="C372" s="370">
        <v>5</v>
      </c>
      <c r="D372" s="360">
        <f>'побудинковий звіт'!CU365</f>
        <v>108726.21045923955</v>
      </c>
      <c r="E372" s="344">
        <f>'побудинковий звіт'!CV365</f>
        <v>84907.242876329881</v>
      </c>
      <c r="F372" s="344">
        <f t="shared" si="24"/>
        <v>-23818.967582909667</v>
      </c>
      <c r="G372" s="361">
        <f t="shared" si="25"/>
        <v>0.78092708756883256</v>
      </c>
      <c r="H372" s="355">
        <f>('побудинковий звіт'!AS365+'побудинковий звіт'!BQ365)*1.2</f>
        <v>29574.985515233802</v>
      </c>
      <c r="I372" s="343">
        <f>('побудинковий звіт'!AT365+'побудинковий звіт'!BR365)*1.2</f>
        <v>1383.3767164011774</v>
      </c>
      <c r="J372" s="343">
        <f t="shared" si="26"/>
        <v>-28191.608798832625</v>
      </c>
      <c r="K372" s="364">
        <f t="shared" si="27"/>
        <v>4.6775228873353558E-2</v>
      </c>
      <c r="L372" s="366">
        <f>'побудинковий звіт'!DE365</f>
        <v>6698.4</v>
      </c>
      <c r="M372" s="373">
        <f>'побудинковий звіт'!DA365*-1</f>
        <v>-15631.454794297926</v>
      </c>
    </row>
    <row r="373" spans="1:13" ht="20.100000000000001" customHeight="1" x14ac:dyDescent="0.3">
      <c r="A373" s="369" t="s">
        <v>819</v>
      </c>
      <c r="B373" s="308" t="s">
        <v>332</v>
      </c>
      <c r="C373" s="370">
        <v>5</v>
      </c>
      <c r="D373" s="360">
        <f>'побудинковий звіт'!CU366</f>
        <v>187191.06296780164</v>
      </c>
      <c r="E373" s="344">
        <f>'побудинковий звіт'!CV366</f>
        <v>138559.64632708934</v>
      </c>
      <c r="F373" s="344">
        <f t="shared" si="24"/>
        <v>-48631.416640712298</v>
      </c>
      <c r="G373" s="361">
        <f t="shared" si="25"/>
        <v>0.74020438866209504</v>
      </c>
      <c r="H373" s="355">
        <f>('побудинковий звіт'!AS366+'побудинковий звіт'!BQ366)*1.2</f>
        <v>61813.098598012337</v>
      </c>
      <c r="I373" s="343">
        <f>('побудинковий звіт'!AT366+'побудинковий звіт'!BR366)*1.2</f>
        <v>5599.2</v>
      </c>
      <c r="J373" s="343">
        <f t="shared" si="26"/>
        <v>-56213.89859801234</v>
      </c>
      <c r="K373" s="364">
        <f t="shared" si="27"/>
        <v>9.0582742606274191E-2</v>
      </c>
      <c r="L373" s="366">
        <f>'побудинковий звіт'!DE366</f>
        <v>13881.38</v>
      </c>
      <c r="M373" s="373">
        <f>'побудинковий звіт'!DA366*-1</f>
        <v>32216.669069925465</v>
      </c>
    </row>
    <row r="374" spans="1:13" ht="20.100000000000001" customHeight="1" thickBot="1" x14ac:dyDescent="0.35">
      <c r="A374" s="375" t="s">
        <v>820</v>
      </c>
      <c r="B374" s="376" t="s">
        <v>238</v>
      </c>
      <c r="C374" s="377">
        <v>4</v>
      </c>
      <c r="D374" s="378">
        <f>'побудинковий звіт'!CU367</f>
        <v>99702.569926478056</v>
      </c>
      <c r="E374" s="379">
        <f>'побудинковий звіт'!CV367</f>
        <v>78497.62502966664</v>
      </c>
      <c r="F374" s="379">
        <f t="shared" si="24"/>
        <v>-21204.944896811416</v>
      </c>
      <c r="G374" s="380">
        <f>E374/D374</f>
        <v>0.78731797071581788</v>
      </c>
      <c r="H374" s="381">
        <f>('побудинковий звіт'!AS367+'побудинковий звіт'!BQ367)*1.2</f>
        <v>28257.461982752124</v>
      </c>
      <c r="I374" s="382">
        <f>('побудинковий звіт'!AT367+'побудинковий звіт'!BR367)*1.2</f>
        <v>2037.6</v>
      </c>
      <c r="J374" s="382">
        <f t="shared" si="26"/>
        <v>-26219.861982752125</v>
      </c>
      <c r="K374" s="383">
        <f t="shared" si="27"/>
        <v>7.2108386848178954E-2</v>
      </c>
      <c r="L374" s="384">
        <f>'побудинковий звіт'!DE367</f>
        <v>-19.799999999999272</v>
      </c>
      <c r="M374" s="385">
        <f>'побудинковий звіт'!DA367*-1</f>
        <v>45229.884610456706</v>
      </c>
    </row>
    <row r="375" spans="1:13" ht="20.100000000000001" customHeight="1" thickBot="1" x14ac:dyDescent="0.35">
      <c r="A375" s="51"/>
      <c r="B375" s="52" t="s">
        <v>824</v>
      </c>
      <c r="C375" s="386"/>
      <c r="D375" s="387" t="e">
        <f>SUM(D8:D374)</f>
        <v>#REF!</v>
      </c>
      <c r="E375" s="388" t="e">
        <f>SUM(E8:E374)</f>
        <v>#REF!</v>
      </c>
      <c r="F375" s="388" t="e">
        <f t="shared" si="24"/>
        <v>#REF!</v>
      </c>
      <c r="G375" s="389" t="e">
        <f>E375/D375</f>
        <v>#REF!</v>
      </c>
      <c r="H375" s="390" t="e">
        <f>SUM(H8:H374)</f>
        <v>#REF!</v>
      </c>
      <c r="I375" s="391" t="e">
        <f>SUM(I8:I374)</f>
        <v>#REF!</v>
      </c>
      <c r="J375" s="391" t="e">
        <f t="shared" si="26"/>
        <v>#REF!</v>
      </c>
      <c r="K375" s="392" t="e">
        <f>I375/H375</f>
        <v>#REF!</v>
      </c>
      <c r="L375" s="393" t="e">
        <f>SUM(L8:L374)</f>
        <v>#REF!</v>
      </c>
      <c r="M375" s="394" t="e">
        <f>SUM(M8:M374)</f>
        <v>#REF!</v>
      </c>
    </row>
    <row r="378" spans="1:13" x14ac:dyDescent="0.3">
      <c r="B378" s="1" t="s">
        <v>1116</v>
      </c>
    </row>
    <row r="379" spans="1:13" x14ac:dyDescent="0.3">
      <c r="B379" s="346"/>
    </row>
  </sheetData>
  <autoFilter ref="A7:M375" xr:uid="{00000000-0009-0000-0000-00000E000000}"/>
  <mergeCells count="8">
    <mergeCell ref="M6:M7"/>
    <mergeCell ref="L5:M5"/>
    <mergeCell ref="A6:A7"/>
    <mergeCell ref="B6:B7"/>
    <mergeCell ref="C6:C7"/>
    <mergeCell ref="D6:G6"/>
    <mergeCell ref="H6:K6"/>
    <mergeCell ref="L6:L7"/>
  </mergeCells>
  <pageMargins left="0.11811023622047245" right="0.11811023622047245" top="0.15748031496062992" bottom="0.15748031496062992" header="0.31496062992125984" footer="0.31496062992125984"/>
  <pageSetup paperSize="9" scale="7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1">
    <tabColor rgb="FFFF0066"/>
  </sheetPr>
  <dimension ref="A1:AT375"/>
  <sheetViews>
    <sheetView tabSelected="1" zoomScale="90" zoomScaleNormal="90" workbookViewId="0">
      <selection activeCell="K8" sqref="K8"/>
    </sheetView>
  </sheetViews>
  <sheetFormatPr defaultColWidth="8.88671875" defaultRowHeight="13.8" x14ac:dyDescent="0.3"/>
  <cols>
    <col min="1" max="1" width="7.33203125" style="1" customWidth="1"/>
    <col min="2" max="2" width="55.88671875" style="1" customWidth="1"/>
    <col min="3" max="3" width="14.5546875" style="8" customWidth="1"/>
    <col min="4" max="4" width="14.44140625" style="1" customWidth="1"/>
    <col min="5" max="5" width="13.5546875" style="1" customWidth="1"/>
    <col min="6" max="6" width="14.109375" style="1" customWidth="1"/>
    <col min="7" max="7" width="8.88671875" style="1"/>
    <col min="8" max="8" width="13.5546875" style="1" customWidth="1"/>
    <col min="9" max="9" width="13.6640625" style="1" customWidth="1"/>
    <col min="10" max="16384" width="8.88671875" style="1"/>
  </cols>
  <sheetData>
    <row r="1" spans="1:9" ht="20.399999999999999" x14ac:dyDescent="0.3">
      <c r="A1" s="1" t="s">
        <v>0</v>
      </c>
      <c r="C1" s="935" t="s">
        <v>1785</v>
      </c>
      <c r="E1" s="265"/>
      <c r="H1" s="936" t="s">
        <v>1109</v>
      </c>
    </row>
    <row r="3" spans="1:9" ht="17.399999999999999" x14ac:dyDescent="0.3">
      <c r="A3" s="6" t="s">
        <v>1084</v>
      </c>
      <c r="E3" s="1093">
        <f>місяць!A2</f>
        <v>2023</v>
      </c>
      <c r="F3" s="1094" t="s">
        <v>1814</v>
      </c>
      <c r="I3" s="937"/>
    </row>
    <row r="4" spans="1:9" ht="14.4" thickBot="1" x14ac:dyDescent="0.35"/>
    <row r="5" spans="1:9" ht="17.850000000000001" customHeight="1" x14ac:dyDescent="0.3">
      <c r="A5" s="1103" t="s">
        <v>827</v>
      </c>
      <c r="B5" s="1127" t="s">
        <v>828</v>
      </c>
      <c r="C5" s="1129" t="s">
        <v>1051</v>
      </c>
      <c r="D5" s="1129"/>
      <c r="E5" s="1129"/>
      <c r="F5" s="1130"/>
      <c r="I5" s="937">
        <v>45292</v>
      </c>
    </row>
    <row r="6" spans="1:9" ht="30.15" customHeight="1" thickBot="1" x14ac:dyDescent="0.35">
      <c r="A6" s="1104"/>
      <c r="B6" s="1128"/>
      <c r="C6" s="938" t="s">
        <v>870</v>
      </c>
      <c r="D6" s="939" t="s">
        <v>946</v>
      </c>
      <c r="E6" s="940" t="s">
        <v>441</v>
      </c>
      <c r="F6" s="932" t="s">
        <v>871</v>
      </c>
      <c r="H6" s="33">
        <f>C41*12</f>
        <v>3435493.9333286211</v>
      </c>
    </row>
    <row r="7" spans="1:9" ht="16.649999999999999" customHeight="1" x14ac:dyDescent="0.3">
      <c r="A7" s="266"/>
      <c r="B7" s="941" t="s">
        <v>829</v>
      </c>
      <c r="C7" s="942">
        <f>VLOOKUP($C$1,'побудинковий звіт'!$C$9:$DG$373,3,FALSE)</f>
        <v>1504.4</v>
      </c>
      <c r="D7" s="943"/>
      <c r="E7" s="943"/>
      <c r="F7" s="133"/>
    </row>
    <row r="8" spans="1:9" ht="15" customHeight="1" x14ac:dyDescent="0.3">
      <c r="A8" s="267" t="s">
        <v>830</v>
      </c>
      <c r="B8" s="7" t="s">
        <v>831</v>
      </c>
      <c r="C8" s="5"/>
      <c r="D8" s="3"/>
      <c r="E8" s="3"/>
      <c r="F8" s="134"/>
    </row>
    <row r="9" spans="1:9" ht="15" customHeight="1" x14ac:dyDescent="0.3">
      <c r="A9" s="268" t="s">
        <v>832</v>
      </c>
      <c r="B9" s="944" t="s">
        <v>6</v>
      </c>
      <c r="C9" s="9">
        <f>C10+C11+C12+C13+C14+C15+C16+C17</f>
        <v>51072.20131327401</v>
      </c>
      <c r="D9" s="9">
        <f>D10+D11+D12+D13+D14+D15+D16+D17</f>
        <v>42993.365353876623</v>
      </c>
      <c r="E9" s="9">
        <f>D9-C9</f>
        <v>-8078.8359593973873</v>
      </c>
      <c r="F9" s="269">
        <f>D9/C9</f>
        <v>0.84181539562310503</v>
      </c>
      <c r="G9" s="33"/>
    </row>
    <row r="10" spans="1:9" ht="15" customHeight="1" x14ac:dyDescent="0.3">
      <c r="A10" s="270" t="s">
        <v>833</v>
      </c>
      <c r="B10" s="945" t="s">
        <v>23</v>
      </c>
      <c r="C10" s="271">
        <f>VLOOKUP($C$1,'побудинковий звіт'!$C$9:$DG$373,7,FALSE)</f>
        <v>15763.311855159316</v>
      </c>
      <c r="D10" s="271">
        <f>VLOOKUP($C$1,'побудинковий звіт'!$C$9:$DG$373,8,FALSE)</f>
        <v>13316.409418681225</v>
      </c>
      <c r="E10" s="5">
        <f t="shared" ref="E10:E22" si="0">D10-C10</f>
        <v>-2446.9024364780907</v>
      </c>
      <c r="F10" s="272">
        <f t="shared" ref="F10:F16" si="1">IF(D10=0,0,D10/C10)</f>
        <v>0.84477231314324208</v>
      </c>
      <c r="G10" s="33"/>
    </row>
    <row r="11" spans="1:9" ht="15" customHeight="1" x14ac:dyDescent="0.3">
      <c r="A11" s="270" t="s">
        <v>834</v>
      </c>
      <c r="B11" s="945" t="s">
        <v>24</v>
      </c>
      <c r="C11" s="271">
        <f>VLOOKUP($C$1,'побудинковий звіт'!$C$9:$DG$373,10,FALSE)</f>
        <v>2445.3154780972104</v>
      </c>
      <c r="D11" s="271">
        <f>VLOOKUP($C$1,'побудинковий звіт'!$C$9:$DG$373,11,FALSE)</f>
        <v>2367.7089006386987</v>
      </c>
      <c r="E11" s="5">
        <f t="shared" si="0"/>
        <v>-77.606577458511765</v>
      </c>
      <c r="F11" s="272">
        <f t="shared" si="1"/>
        <v>0.9682631635248552</v>
      </c>
      <c r="G11" s="33"/>
    </row>
    <row r="12" spans="1:9" ht="15" customHeight="1" x14ac:dyDescent="0.3">
      <c r="A12" s="270" t="s">
        <v>835</v>
      </c>
      <c r="B12" s="945" t="s">
        <v>25</v>
      </c>
      <c r="C12" s="271">
        <f>VLOOKUP($C$1,'побудинковий звіт'!$C$9:$DG$373,13,FALSE)</f>
        <v>5950.9199999999992</v>
      </c>
      <c r="D12" s="271">
        <f>VLOOKUP($C$1,'побудинковий звіт'!$C$9:$DG$373,14,FALSE)</f>
        <v>4677.8068406451621</v>
      </c>
      <c r="E12" s="5">
        <f t="shared" si="0"/>
        <v>-1273.1131593548371</v>
      </c>
      <c r="F12" s="272">
        <f t="shared" si="1"/>
        <v>0.78606448089457814</v>
      </c>
      <c r="G12" s="33"/>
    </row>
    <row r="13" spans="1:9" ht="15" customHeight="1" x14ac:dyDescent="0.3">
      <c r="A13" s="270" t="s">
        <v>836</v>
      </c>
      <c r="B13" s="945" t="s">
        <v>26</v>
      </c>
      <c r="C13" s="271">
        <f>VLOOKUP($C$1,'побудинковий звіт'!$C$9:$DG$373,16,FALSE)</f>
        <v>1328.4000000000003</v>
      </c>
      <c r="D13" s="271">
        <f>VLOOKUP($C$1,'побудинковий звіт'!$C$9:$DG$373,17,FALSE)</f>
        <v>1044.0990854838712</v>
      </c>
      <c r="E13" s="5">
        <f t="shared" si="0"/>
        <v>-284.30091451612907</v>
      </c>
      <c r="F13" s="272">
        <f t="shared" si="1"/>
        <v>0.78598244917485016</v>
      </c>
      <c r="G13" s="33"/>
    </row>
    <row r="14" spans="1:9" ht="15" customHeight="1" x14ac:dyDescent="0.3">
      <c r="A14" s="270" t="s">
        <v>837</v>
      </c>
      <c r="B14" s="945" t="s">
        <v>27</v>
      </c>
      <c r="C14" s="271">
        <f>VLOOKUP($C$1,'побудинковий звіт'!$C$9:$DG$373,19,FALSE)</f>
        <v>780.05784393801946</v>
      </c>
      <c r="D14" s="271">
        <f>VLOOKUP($C$1,'побудинковий звіт'!$C$9:$DG$373,20,FALSE)</f>
        <v>316.27324177385123</v>
      </c>
      <c r="E14" s="5">
        <f t="shared" si="0"/>
        <v>-463.78460216416823</v>
      </c>
      <c r="F14" s="272">
        <f t="shared" si="1"/>
        <v>0.40544844748587788</v>
      </c>
      <c r="G14" s="33"/>
    </row>
    <row r="15" spans="1:9" ht="15" customHeight="1" x14ac:dyDescent="0.3">
      <c r="A15" s="270" t="s">
        <v>838</v>
      </c>
      <c r="B15" s="945" t="s">
        <v>28</v>
      </c>
      <c r="C15" s="271">
        <f>VLOOKUP($C$1,'побудинковий звіт'!$C$9:$DG$373,22,FALSE)</f>
        <v>6774.8959264327068</v>
      </c>
      <c r="D15" s="271">
        <f>VLOOKUP($C$1,'побудинковий звіт'!$C$9:$DG$373,23,FALSE)</f>
        <v>4653.8962925710093</v>
      </c>
      <c r="E15" s="5">
        <f t="shared" si="0"/>
        <v>-2120.9996338616975</v>
      </c>
      <c r="F15" s="272">
        <f t="shared" si="1"/>
        <v>0.68693251425656943</v>
      </c>
      <c r="G15" s="33"/>
    </row>
    <row r="16" spans="1:9" ht="15" customHeight="1" x14ac:dyDescent="0.3">
      <c r="A16" s="270" t="s">
        <v>839</v>
      </c>
      <c r="B16" s="945" t="s">
        <v>29</v>
      </c>
      <c r="C16" s="271">
        <f>VLOOKUP($C$1,'побудинковий звіт'!$C$9:$DG$373,25,FALSE)</f>
        <v>0</v>
      </c>
      <c r="D16" s="271">
        <f>VLOOKUP($C$1,'побудинковий звіт'!$C$9:$DG$373,26,FALSE)</f>
        <v>0</v>
      </c>
      <c r="E16" s="5">
        <f t="shared" si="0"/>
        <v>0</v>
      </c>
      <c r="F16" s="272">
        <f t="shared" si="1"/>
        <v>0</v>
      </c>
      <c r="G16" s="33"/>
    </row>
    <row r="17" spans="1:8" ht="15" customHeight="1" x14ac:dyDescent="0.3">
      <c r="A17" s="270" t="s">
        <v>840</v>
      </c>
      <c r="B17" s="946" t="s">
        <v>30</v>
      </c>
      <c r="C17" s="271">
        <f>VLOOKUP($C$1,'побудинковий звіт'!$C$9:$DG$373,28,FALSE)</f>
        <v>18029.300209646761</v>
      </c>
      <c r="D17" s="271">
        <f>VLOOKUP($C$1,'побудинковий звіт'!$C$9:$DG$373,29,FALSE)</f>
        <v>16617.1715740828</v>
      </c>
      <c r="E17" s="5">
        <f t="shared" si="0"/>
        <v>-1412.1286355639604</v>
      </c>
      <c r="F17" s="272">
        <f>D17/C17</f>
        <v>0.92167590427007329</v>
      </c>
      <c r="G17" s="33"/>
    </row>
    <row r="18" spans="1:8" ht="15" customHeight="1" x14ac:dyDescent="0.3">
      <c r="A18" s="267" t="s">
        <v>841</v>
      </c>
      <c r="B18" s="947" t="s">
        <v>7</v>
      </c>
      <c r="C18" s="948">
        <f>VLOOKUP($C$1,'побудинковий звіт'!$C$9:$DG$373,34,FALSE)</f>
        <v>34487.04013897651</v>
      </c>
      <c r="D18" s="948">
        <f>VLOOKUP($C$1,'побудинковий звіт'!$C$9:$DG$373,35,FALSE)</f>
        <v>34183.700302611556</v>
      </c>
      <c r="E18" s="9">
        <f t="shared" si="0"/>
        <v>-303.33983636495395</v>
      </c>
      <c r="F18" s="269">
        <f>IF(D18=0,0,D18/C18)</f>
        <v>0.99120423686281722</v>
      </c>
      <c r="G18" s="33"/>
    </row>
    <row r="19" spans="1:8" ht="15" customHeight="1" x14ac:dyDescent="0.3">
      <c r="A19" s="267" t="s">
        <v>842</v>
      </c>
      <c r="B19" s="947" t="s">
        <v>8</v>
      </c>
      <c r="C19" s="948">
        <f>VLOOKUP($C$1,'побудинковий звіт'!$C$9:$DG$373,37,FALSE)</f>
        <v>0</v>
      </c>
      <c r="D19" s="948">
        <f>VLOOKUP($C$1,'побудинковий звіт'!$C$9:$DG$373,38,FALSE)</f>
        <v>1948.4374651447733</v>
      </c>
      <c r="E19" s="9">
        <f t="shared" si="0"/>
        <v>1948.4374651447733</v>
      </c>
      <c r="F19" s="269"/>
      <c r="G19" s="33"/>
    </row>
    <row r="20" spans="1:8" ht="15" customHeight="1" x14ac:dyDescent="0.3">
      <c r="A20" s="267" t="s">
        <v>843</v>
      </c>
      <c r="B20" s="944" t="s">
        <v>9</v>
      </c>
      <c r="C20" s="948">
        <f>VLOOKUP($C$1,'побудинковий звіт'!$C$9:$DG$373,40,FALSE)</f>
        <v>3409.2635144171381</v>
      </c>
      <c r="D20" s="948">
        <f>VLOOKUP($C$1,'побудинковий звіт'!$C$9:$DG$373,41,FALSE)</f>
        <v>3385.2956288823812</v>
      </c>
      <c r="E20" s="9">
        <f t="shared" si="0"/>
        <v>-23.967885534756988</v>
      </c>
      <c r="F20" s="272">
        <f>IF(D20=0,0,D20/C20)</f>
        <v>0.99296977618966642</v>
      </c>
      <c r="G20" s="33"/>
    </row>
    <row r="21" spans="1:8" s="953" customFormat="1" ht="28.5" customHeight="1" x14ac:dyDescent="0.3">
      <c r="A21" s="949" t="s">
        <v>844</v>
      </c>
      <c r="B21" s="950" t="s">
        <v>1052</v>
      </c>
      <c r="C21" s="951">
        <v>0</v>
      </c>
      <c r="D21" s="951">
        <v>0</v>
      </c>
      <c r="E21" s="951">
        <f t="shared" si="0"/>
        <v>0</v>
      </c>
      <c r="F21" s="952"/>
      <c r="G21" s="33"/>
    </row>
    <row r="22" spans="1:8" ht="58.2" customHeight="1" x14ac:dyDescent="0.3">
      <c r="A22" s="267" t="s">
        <v>845</v>
      </c>
      <c r="B22" s="944" t="s">
        <v>1053</v>
      </c>
      <c r="C22" s="948">
        <f>VLOOKUP($C$1,'побудинковий звіт'!$C$9:$DG$373,43,FALSE)</f>
        <v>60388.055510335369</v>
      </c>
      <c r="D22" s="948">
        <f>VLOOKUP($C$1,'побудинковий звіт'!$C$9:$DG$373,44,FALSE)</f>
        <v>123573.56946886303</v>
      </c>
      <c r="E22" s="9">
        <f t="shared" si="0"/>
        <v>63185.513958527663</v>
      </c>
      <c r="F22" s="269">
        <f>D22/C22</f>
        <v>2.046324698229661</v>
      </c>
      <c r="G22" s="33"/>
      <c r="H22" s="1">
        <f>(D22+D23)*1.2</f>
        <v>152271.08336263563</v>
      </c>
    </row>
    <row r="23" spans="1:8" ht="18.75" customHeight="1" x14ac:dyDescent="0.3">
      <c r="A23" s="267" t="s">
        <v>847</v>
      </c>
      <c r="B23" s="944" t="s">
        <v>1834</v>
      </c>
      <c r="C23" s="9">
        <f>C24+C25+C26+C27+C28+C29+C30</f>
        <v>7081.0217907156775</v>
      </c>
      <c r="D23" s="9">
        <f>D24+D25+D26+D27+D28+D29+D30</f>
        <v>3319</v>
      </c>
      <c r="E23" s="9">
        <f t="shared" ref="E23:E42" si="2">D23-C23</f>
        <v>-3762.0217907156775</v>
      </c>
      <c r="F23" s="269">
        <f t="shared" ref="F23:F36" si="3">IF(D23=0,0,D23/C23)</f>
        <v>0.46871766506236795</v>
      </c>
      <c r="G23" s="33"/>
    </row>
    <row r="24" spans="1:8" ht="15" customHeight="1" x14ac:dyDescent="0.3">
      <c r="A24" s="270" t="s">
        <v>848</v>
      </c>
      <c r="B24" s="945" t="s">
        <v>23</v>
      </c>
      <c r="C24" s="271">
        <f>VLOOKUP($C$1,'побудинковий звіт'!$C$9:$DG$373,46,FALSE)</f>
        <v>1240.5837293449365</v>
      </c>
      <c r="D24" s="271">
        <f>VLOOKUP($C$1,'побудинковий звіт'!$C$9:$DG$373,47,FALSE)</f>
        <v>1301</v>
      </c>
      <c r="E24" s="5">
        <f t="shared" si="2"/>
        <v>60.416270655063499</v>
      </c>
      <c r="F24" s="272">
        <f t="shared" si="3"/>
        <v>1.0486998734756621</v>
      </c>
      <c r="G24" s="33"/>
    </row>
    <row r="25" spans="1:8" ht="15" customHeight="1" x14ac:dyDescent="0.3">
      <c r="A25" s="270" t="s">
        <v>849</v>
      </c>
      <c r="B25" s="945" t="s">
        <v>24</v>
      </c>
      <c r="C25" s="271">
        <f>VLOOKUP($C$1,'побудинковий звіт'!$C$9:$DG$373,49,FALSE)</f>
        <v>1498.3557380609514</v>
      </c>
      <c r="D25" s="271">
        <f>VLOOKUP($C$1,'побудинковий звіт'!$C$9:$DG$373,50,FALSE)</f>
        <v>0</v>
      </c>
      <c r="E25" s="5">
        <f t="shared" si="2"/>
        <v>-1498.3557380609514</v>
      </c>
      <c r="F25" s="272">
        <f t="shared" si="3"/>
        <v>0</v>
      </c>
      <c r="G25" s="33"/>
    </row>
    <row r="26" spans="1:8" ht="15" customHeight="1" x14ac:dyDescent="0.3">
      <c r="A26" s="270" t="s">
        <v>850</v>
      </c>
      <c r="B26" s="945" t="s">
        <v>25</v>
      </c>
      <c r="C26" s="271">
        <f>VLOOKUP($C$1,'побудинковий звіт'!$C$9:$DG$373,52,FALSE)</f>
        <v>1874.1393256250351</v>
      </c>
      <c r="D26" s="271">
        <f>VLOOKUP($C$1,'побудинковий звіт'!$C$9:$DG$373,53,FALSE)</f>
        <v>0</v>
      </c>
      <c r="E26" s="5">
        <f t="shared" si="2"/>
        <v>-1874.1393256250351</v>
      </c>
      <c r="F26" s="272">
        <f t="shared" si="3"/>
        <v>0</v>
      </c>
      <c r="G26" s="33"/>
    </row>
    <row r="27" spans="1:8" ht="15" customHeight="1" x14ac:dyDescent="0.3">
      <c r="A27" s="270" t="s">
        <v>851</v>
      </c>
      <c r="B27" s="945" t="s">
        <v>26</v>
      </c>
      <c r="C27" s="271">
        <f>VLOOKUP($C$1,'побудинковий звіт'!$C$9:$DG$373,55,FALSE)</f>
        <v>694.43415276689484</v>
      </c>
      <c r="D27" s="271">
        <f>VLOOKUP($C$1,'побудинковий звіт'!$C$9:$DG$373,56,FALSE)</f>
        <v>0</v>
      </c>
      <c r="E27" s="5">
        <f t="shared" si="2"/>
        <v>-694.43415276689484</v>
      </c>
      <c r="F27" s="272">
        <f t="shared" si="3"/>
        <v>0</v>
      </c>
      <c r="G27" s="33"/>
    </row>
    <row r="28" spans="1:8" ht="15" customHeight="1" x14ac:dyDescent="0.3">
      <c r="A28" s="270" t="s">
        <v>852</v>
      </c>
      <c r="B28" s="945" t="s">
        <v>27</v>
      </c>
      <c r="C28" s="271">
        <f>VLOOKUP($C$1,'побудинковий звіт'!$C$9:$DG$373,58,FALSE)</f>
        <v>395.76741189229665</v>
      </c>
      <c r="D28" s="271">
        <f>VLOOKUP($C$1,'побудинковий звіт'!$C$9:$DG$373,59,FALSE)</f>
        <v>1044</v>
      </c>
      <c r="E28" s="5">
        <f t="shared" si="2"/>
        <v>648.23258810770335</v>
      </c>
      <c r="F28" s="272"/>
      <c r="G28" s="33"/>
    </row>
    <row r="29" spans="1:8" ht="15" customHeight="1" x14ac:dyDescent="0.3">
      <c r="A29" s="270" t="s">
        <v>853</v>
      </c>
      <c r="B29" s="945" t="s">
        <v>28</v>
      </c>
      <c r="C29" s="271">
        <f>VLOOKUP($C$1,'побудинковий звіт'!$C$9:$DG$373,61,FALSE)</f>
        <v>763.74000887404327</v>
      </c>
      <c r="D29" s="271">
        <f>VLOOKUP($C$1,'побудинковий звіт'!$C$9:$DG$373,62,FALSE)</f>
        <v>974</v>
      </c>
      <c r="E29" s="5">
        <f t="shared" si="2"/>
        <v>210.25999112595673</v>
      </c>
      <c r="F29" s="272">
        <f t="shared" si="3"/>
        <v>1.2753030988070615</v>
      </c>
      <c r="G29" s="33"/>
    </row>
    <row r="30" spans="1:8" ht="15" customHeight="1" x14ac:dyDescent="0.3">
      <c r="A30" s="270" t="s">
        <v>854</v>
      </c>
      <c r="B30" s="945" t="s">
        <v>29</v>
      </c>
      <c r="C30" s="271">
        <f>VLOOKUP($C$1,'побудинковий звіт'!$C$9:$DG$373,64,FALSE)</f>
        <v>614.00142415151981</v>
      </c>
      <c r="D30" s="271">
        <f>VLOOKUP($C$1,'побудинковий звіт'!$C$9:$DG$373,65,FALSE)</f>
        <v>0</v>
      </c>
      <c r="E30" s="5">
        <f t="shared" si="2"/>
        <v>-614.00142415151981</v>
      </c>
      <c r="F30" s="272">
        <f t="shared" si="3"/>
        <v>0</v>
      </c>
      <c r="G30" s="33"/>
    </row>
    <row r="31" spans="1:8" x14ac:dyDescent="0.3">
      <c r="A31" s="267" t="s">
        <v>855</v>
      </c>
      <c r="B31" s="950" t="s">
        <v>1052</v>
      </c>
      <c r="C31" s="951">
        <v>0</v>
      </c>
      <c r="D31" s="951">
        <v>0</v>
      </c>
      <c r="E31" s="954">
        <f t="shared" si="2"/>
        <v>0</v>
      </c>
      <c r="F31" s="272">
        <f t="shared" si="3"/>
        <v>0</v>
      </c>
      <c r="G31" s="33"/>
    </row>
    <row r="32" spans="1:8" ht="15" customHeight="1" x14ac:dyDescent="0.3">
      <c r="A32" s="267" t="s">
        <v>856</v>
      </c>
      <c r="B32" s="944" t="s">
        <v>14</v>
      </c>
      <c r="C32" s="948">
        <f>VLOOKUP($C$1,'побудинковий звіт'!$C$9:$DG$373,70,FALSE)</f>
        <v>63830.114963281565</v>
      </c>
      <c r="D32" s="948">
        <f>VLOOKUP($C$1,'побудинковий звіт'!$C$9:$DG$373,71,FALSE)</f>
        <v>63231.853184696047</v>
      </c>
      <c r="E32" s="9">
        <f t="shared" si="2"/>
        <v>-598.26177858551819</v>
      </c>
      <c r="F32" s="272">
        <f t="shared" si="3"/>
        <v>0.9906272802590177</v>
      </c>
      <c r="G32" s="33"/>
    </row>
    <row r="33" spans="1:9" ht="15" customHeight="1" x14ac:dyDescent="0.3">
      <c r="A33" s="267" t="s">
        <v>857</v>
      </c>
      <c r="B33" s="944" t="s">
        <v>15</v>
      </c>
      <c r="C33" s="948">
        <f>VLOOKUP($C$1,'побудинковий звіт'!$C$9:$DG$373,73,FALSE)</f>
        <v>36380.577854186486</v>
      </c>
      <c r="D33" s="948">
        <f>VLOOKUP($C$1,'побудинковий звіт'!$C$9:$DG$373,74,FALSE)</f>
        <v>30087.162316420006</v>
      </c>
      <c r="E33" s="9">
        <f t="shared" si="2"/>
        <v>-6293.4155377664792</v>
      </c>
      <c r="F33" s="272">
        <f t="shared" si="3"/>
        <v>0.82701166641743529</v>
      </c>
      <c r="G33" s="33"/>
    </row>
    <row r="34" spans="1:9" ht="37.35" customHeight="1" x14ac:dyDescent="0.3">
      <c r="A34" s="267" t="s">
        <v>858</v>
      </c>
      <c r="B34" s="944" t="s">
        <v>16</v>
      </c>
      <c r="C34" s="948">
        <f>VLOOKUP($C$1,'побудинковий звіт'!$C$9:$DG$373,76,FALSE)</f>
        <v>12724.226431708059</v>
      </c>
      <c r="D34" s="948">
        <f>VLOOKUP($C$1,'побудинковий звіт'!$C$9:$DG$373,77,FALSE)</f>
        <v>12397.455233311304</v>
      </c>
      <c r="E34" s="9">
        <f t="shared" si="2"/>
        <v>-326.7711983967547</v>
      </c>
      <c r="F34" s="272">
        <f t="shared" si="3"/>
        <v>0.97431897332615369</v>
      </c>
      <c r="G34" s="33"/>
    </row>
    <row r="35" spans="1:9" ht="15" customHeight="1" x14ac:dyDescent="0.3">
      <c r="A35" s="267" t="s">
        <v>859</v>
      </c>
      <c r="B35" s="944" t="s">
        <v>17</v>
      </c>
      <c r="C35" s="948">
        <f>VLOOKUP($C$1,'побудинковий звіт'!$C$9:$DG$373,79,FALSE)</f>
        <v>1964.8053571715398</v>
      </c>
      <c r="D35" s="948">
        <f>VLOOKUP($C$1,'побудинковий звіт'!$C$9:$DG$373,80,FALSE)</f>
        <v>1947.5243385644903</v>
      </c>
      <c r="E35" s="9">
        <f t="shared" si="2"/>
        <v>-17.281018607049418</v>
      </c>
      <c r="F35" s="272">
        <f t="shared" si="3"/>
        <v>0.99120471727951387</v>
      </c>
      <c r="G35" s="33"/>
    </row>
    <row r="36" spans="1:9" ht="15" customHeight="1" x14ac:dyDescent="0.3">
      <c r="A36" s="267" t="s">
        <v>860</v>
      </c>
      <c r="B36" s="944" t="s">
        <v>18</v>
      </c>
      <c r="C36" s="948">
        <f>VLOOKUP($C$1,'побудинковий звіт'!$C$9:$DG$373,82,FALSE)</f>
        <v>241.87944737907213</v>
      </c>
      <c r="D36" s="948">
        <f>VLOOKUP($C$1,'побудинковий звіт'!$C$9:$DG$373,83,FALSE)</f>
        <v>0</v>
      </c>
      <c r="E36" s="9">
        <f t="shared" si="2"/>
        <v>-241.87944737907213</v>
      </c>
      <c r="F36" s="272">
        <f t="shared" si="3"/>
        <v>0</v>
      </c>
      <c r="G36" s="33"/>
    </row>
    <row r="37" spans="1:9" ht="34.950000000000003" customHeight="1" x14ac:dyDescent="0.3">
      <c r="A37" s="267" t="s">
        <v>861</v>
      </c>
      <c r="B37" s="944" t="s">
        <v>862</v>
      </c>
      <c r="C37" s="948">
        <f>C38+C39</f>
        <v>14711.974789273019</v>
      </c>
      <c r="D37" s="9">
        <f>D38+D39</f>
        <v>9683.8024364748162</v>
      </c>
      <c r="E37" s="9">
        <f t="shared" si="2"/>
        <v>-5028.1723527982031</v>
      </c>
      <c r="F37" s="269">
        <f>D37/C37</f>
        <v>0.65822587213346728</v>
      </c>
      <c r="G37" s="33"/>
    </row>
    <row r="38" spans="1:9" ht="15" customHeight="1" x14ac:dyDescent="0.3">
      <c r="A38" s="273" t="s">
        <v>863</v>
      </c>
      <c r="B38" s="955" t="s">
        <v>31</v>
      </c>
      <c r="C38" s="271">
        <f>VLOOKUP($C$1,'побудинковий звіт'!$C$9:$DG$373,85,FALSE)</f>
        <v>8460.3213800908452</v>
      </c>
      <c r="D38" s="271">
        <f>VLOOKUP($C$1,'побудинковий звіт'!$C$9:$DG$373,86,FALSE)</f>
        <v>3273.8946847972757</v>
      </c>
      <c r="E38" s="5">
        <f t="shared" si="2"/>
        <v>-5186.4266952935695</v>
      </c>
      <c r="F38" s="272">
        <f>D38/C38</f>
        <v>0.38697048701974029</v>
      </c>
      <c r="G38" s="33"/>
    </row>
    <row r="39" spans="1:9" ht="15" customHeight="1" x14ac:dyDescent="0.3">
      <c r="A39" s="273" t="s">
        <v>864</v>
      </c>
      <c r="B39" s="955" t="s">
        <v>32</v>
      </c>
      <c r="C39" s="271">
        <f>VLOOKUP($C$1,'побудинковий звіт'!$C$9:$DG$373,88,FALSE)</f>
        <v>6251.653409182175</v>
      </c>
      <c r="D39" s="271">
        <f>VLOOKUP($C$1,'побудинковий звіт'!$C$9:$DG$373,89,FALSE)</f>
        <v>6409.9077516775396</v>
      </c>
      <c r="E39" s="5">
        <f t="shared" si="2"/>
        <v>158.25434249536465</v>
      </c>
      <c r="F39" s="272">
        <f>IF(D39=0,0,D39/C39)</f>
        <v>1.0253139980957562</v>
      </c>
      <c r="G39" s="33"/>
    </row>
    <row r="40" spans="1:9" ht="15" customHeight="1" x14ac:dyDescent="0.3">
      <c r="A40" s="267" t="s">
        <v>865</v>
      </c>
      <c r="B40" s="956" t="s">
        <v>20</v>
      </c>
      <c r="C40" s="271">
        <f>VLOOKUP($C$1,'побудинковий звіт'!$C$9:$DX$373,126,FALSE)</f>
        <v>0</v>
      </c>
      <c r="D40" s="5">
        <v>0</v>
      </c>
      <c r="E40" s="5"/>
      <c r="F40" s="272"/>
      <c r="G40" s="33"/>
    </row>
    <row r="41" spans="1:9" ht="15" customHeight="1" thickBot="1" x14ac:dyDescent="0.35">
      <c r="A41" s="957" t="s">
        <v>866</v>
      </c>
      <c r="B41" s="958" t="s">
        <v>21</v>
      </c>
      <c r="C41" s="63">
        <f>C9+C18+C19+C20+C21+C22+C23+C31+C32+C33+C34+C35+C36+C37+C40</f>
        <v>286291.16111071844</v>
      </c>
      <c r="D41" s="63">
        <f>D9+D18+D19+D20+D21+D22+D23+D31+D32+D33+D34+D35+D36+D37</f>
        <v>326751.16572884499</v>
      </c>
      <c r="E41" s="63">
        <f t="shared" si="2"/>
        <v>40460.00461812655</v>
      </c>
      <c r="F41" s="959">
        <f>D41/C41</f>
        <v>1.1413246726205399</v>
      </c>
      <c r="G41" s="33"/>
    </row>
    <row r="42" spans="1:9" ht="15" customHeight="1" thickBot="1" x14ac:dyDescent="0.35">
      <c r="A42" s="960" t="s">
        <v>867</v>
      </c>
      <c r="B42" s="961" t="s">
        <v>22</v>
      </c>
      <c r="C42" s="67">
        <f>C41*1.2</f>
        <v>343549.39333286212</v>
      </c>
      <c r="D42" s="67">
        <f>D41*1.2</f>
        <v>392101.39887461398</v>
      </c>
      <c r="E42" s="67">
        <f t="shared" si="2"/>
        <v>48552.00554175186</v>
      </c>
      <c r="F42" s="962">
        <f>D42/C42</f>
        <v>1.1413246726205399</v>
      </c>
      <c r="H42" s="271">
        <f>VLOOKUP($C$1,'побудинковий звіт'!$C$9:$DG$373,97,FALSE)</f>
        <v>343549.39333286212</v>
      </c>
      <c r="I42" s="271">
        <f>VLOOKUP($C$1,'побудинковий звіт'!$C$9:$DG$373,98,FALSE)</f>
        <v>392101.39887461398</v>
      </c>
    </row>
    <row r="44" spans="1:9" ht="14.4" hidden="1" x14ac:dyDescent="0.3">
      <c r="A44" s="1133" t="s">
        <v>1719</v>
      </c>
      <c r="B44" s="1134"/>
      <c r="C44" s="963">
        <f>I5</f>
        <v>45292</v>
      </c>
      <c r="D44" s="964">
        <f>VLOOKUP($C$1,'побудинковий звіт'!$C$9:$DG$373,107,FALSE)</f>
        <v>17367.839999999997</v>
      </c>
      <c r="E44" s="1139">
        <f>D44+D45</f>
        <v>17367.839999999997</v>
      </c>
      <c r="H44" s="271">
        <f>VLOOKUP($C$1,'побудинковий звіт'!$C$9:$DG$373,97,FALSE)</f>
        <v>343549.39333286212</v>
      </c>
      <c r="I44" s="271">
        <f>VLOOKUP($C$1,'побудинковий звіт'!$C$9:$DG$373,98,FALSE)</f>
        <v>392101.39887461398</v>
      </c>
    </row>
    <row r="45" spans="1:9" ht="15" hidden="1" thickBot="1" x14ac:dyDescent="0.35">
      <c r="A45" s="1137" t="s">
        <v>1682</v>
      </c>
      <c r="B45" s="1138"/>
      <c r="C45" s="965">
        <f>I5</f>
        <v>45292</v>
      </c>
      <c r="D45" s="966">
        <f>VLOOKUP($C$1,'побудинковий звіт'!$C$9:$DG$373,108,FALSE)</f>
        <v>0</v>
      </c>
      <c r="E45" s="1140"/>
    </row>
    <row r="46" spans="1:9" ht="21.9" hidden="1" customHeight="1" thickBot="1" x14ac:dyDescent="0.35">
      <c r="A46" s="1135" t="s">
        <v>1707</v>
      </c>
      <c r="B46" s="1136"/>
      <c r="C46" s="967">
        <f>C44</f>
        <v>45292</v>
      </c>
      <c r="D46" s="968">
        <f>VLOOKUP($C$1,'побудинковий звіт'!$C$9:$DG$373,103,FALSE)*-1</f>
        <v>-81944.726071784447</v>
      </c>
      <c r="E46" s="969"/>
    </row>
    <row r="47" spans="1:9" ht="29.4" hidden="1" thickBot="1" x14ac:dyDescent="0.35">
      <c r="A47" s="970"/>
      <c r="B47" s="971" t="s">
        <v>1708</v>
      </c>
      <c r="C47" s="967"/>
      <c r="D47" s="972">
        <f>VLOOKUP($C$1,'побудинковий звіт'!$C$9:$DW$373,125,FALSE)</f>
        <v>236</v>
      </c>
      <c r="E47" s="969"/>
    </row>
    <row r="48" spans="1:9" ht="14.4" x14ac:dyDescent="0.3">
      <c r="A48" s="973"/>
      <c r="B48" s="974"/>
      <c r="C48" s="975"/>
      <c r="D48" s="976"/>
      <c r="E48" s="977"/>
    </row>
    <row r="49" spans="2:7" ht="18.600000000000001" customHeight="1" x14ac:dyDescent="0.3">
      <c r="B49" s="274" t="s">
        <v>1054</v>
      </c>
      <c r="C49" s="1131" t="s">
        <v>1055</v>
      </c>
      <c r="D49" s="1132"/>
      <c r="E49" s="978" t="s">
        <v>1056</v>
      </c>
    </row>
    <row r="50" spans="2:7" x14ac:dyDescent="0.3">
      <c r="B50" s="979" t="s">
        <v>1057</v>
      </c>
      <c r="C50" s="979" t="s">
        <v>939</v>
      </c>
      <c r="D50" s="21">
        <f>'ПР будинок'!C6</f>
        <v>152.5</v>
      </c>
      <c r="E50" s="21">
        <f>'ПР будинок'!D6</f>
        <v>53564</v>
      </c>
      <c r="F50" s="980"/>
    </row>
    <row r="51" spans="2:7" x14ac:dyDescent="0.3">
      <c r="B51" s="979" t="s">
        <v>1058</v>
      </c>
      <c r="C51" s="979" t="s">
        <v>935</v>
      </c>
      <c r="D51" s="21">
        <f>'ПР будинок'!C7</f>
        <v>0</v>
      </c>
      <c r="E51" s="21">
        <f>'ПР будинок'!D7</f>
        <v>0</v>
      </c>
      <c r="F51" s="980"/>
    </row>
    <row r="52" spans="2:7" x14ac:dyDescent="0.3">
      <c r="B52" s="979" t="s">
        <v>1059</v>
      </c>
      <c r="C52" s="979" t="s">
        <v>937</v>
      </c>
      <c r="D52" s="21">
        <f>'ПР будинок'!C8</f>
        <v>0</v>
      </c>
      <c r="E52" s="21">
        <f>'ПР будинок'!D8</f>
        <v>0</v>
      </c>
      <c r="F52" s="980"/>
    </row>
    <row r="53" spans="2:7" x14ac:dyDescent="0.3">
      <c r="B53" s="979" t="s">
        <v>1060</v>
      </c>
      <c r="C53" s="979" t="s">
        <v>935</v>
      </c>
      <c r="D53" s="21">
        <f>'ПР будинок'!C9</f>
        <v>2</v>
      </c>
      <c r="E53" s="21">
        <f>'ПР будинок'!D9</f>
        <v>29430</v>
      </c>
      <c r="F53" s="980"/>
    </row>
    <row r="54" spans="2:7" x14ac:dyDescent="0.3">
      <c r="B54" s="979" t="s">
        <v>1061</v>
      </c>
      <c r="C54" s="979"/>
      <c r="D54" s="21"/>
      <c r="E54" s="21">
        <f>'ПР будинок'!D10</f>
        <v>0</v>
      </c>
      <c r="F54" s="980"/>
    </row>
    <row r="55" spans="2:7" x14ac:dyDescent="0.3">
      <c r="B55" s="979" t="s">
        <v>938</v>
      </c>
      <c r="C55" s="979" t="s">
        <v>939</v>
      </c>
      <c r="D55" s="21">
        <f>'ПР будинок'!C11</f>
        <v>10</v>
      </c>
      <c r="E55" s="21">
        <f>'ПР будинок'!D11</f>
        <v>1425.5694688630438</v>
      </c>
      <c r="F55" s="980"/>
    </row>
    <row r="56" spans="2:7" x14ac:dyDescent="0.3">
      <c r="B56" s="979" t="s">
        <v>1062</v>
      </c>
      <c r="C56" s="979"/>
      <c r="D56" s="21"/>
      <c r="E56" s="21">
        <f>'ПР будинок'!D12</f>
        <v>17213</v>
      </c>
    </row>
    <row r="57" spans="2:7" x14ac:dyDescent="0.3">
      <c r="B57" s="979" t="s">
        <v>928</v>
      </c>
      <c r="C57" s="979"/>
      <c r="D57" s="21"/>
      <c r="E57" s="21">
        <f>'ПР будинок'!D13</f>
        <v>0</v>
      </c>
    </row>
    <row r="58" spans="2:7" x14ac:dyDescent="0.3">
      <c r="B58" s="979" t="s">
        <v>1063</v>
      </c>
      <c r="C58" s="979"/>
      <c r="D58" s="21"/>
      <c r="E58" s="21">
        <f>'ПР будинок'!D14</f>
        <v>7862</v>
      </c>
    </row>
    <row r="59" spans="2:7" x14ac:dyDescent="0.3">
      <c r="B59" s="979" t="s">
        <v>1815</v>
      </c>
      <c r="C59" s="979"/>
      <c r="D59" s="21"/>
      <c r="E59" s="21">
        <f>'ПР будинок'!D15</f>
        <v>7736</v>
      </c>
    </row>
    <row r="60" spans="2:7" x14ac:dyDescent="0.3">
      <c r="B60" s="979" t="s">
        <v>1846</v>
      </c>
      <c r="C60" s="979"/>
      <c r="D60" s="21"/>
      <c r="E60" s="21">
        <f>'ПР будинок'!D16</f>
        <v>6343</v>
      </c>
    </row>
    <row r="61" spans="2:7" x14ac:dyDescent="0.3">
      <c r="B61" s="274" t="s">
        <v>1064</v>
      </c>
      <c r="C61" s="274"/>
      <c r="D61" s="274"/>
      <c r="E61" s="275">
        <f>SUM(E50:E60)</f>
        <v>123573.56946886305</v>
      </c>
      <c r="G61" s="33"/>
    </row>
    <row r="63" spans="2:7" ht="15.6" x14ac:dyDescent="0.3">
      <c r="F63" s="6"/>
    </row>
    <row r="64" spans="2:7" ht="15" hidden="1" customHeight="1" x14ac:dyDescent="0.3">
      <c r="B64" s="981" t="s">
        <v>1712</v>
      </c>
      <c r="C64" s="982"/>
      <c r="D64" s="981"/>
      <c r="E64" s="6"/>
      <c r="F64" s="6"/>
    </row>
    <row r="65" spans="2:6" ht="15" hidden="1" customHeight="1" x14ac:dyDescent="0.3">
      <c r="B65" s="981" t="s">
        <v>1713</v>
      </c>
      <c r="C65" s="948">
        <f>VLOOKUP($C$1,'побудинковий звіт'!$C$9:$EE$373,133,FALSE)</f>
        <v>-55287</v>
      </c>
      <c r="D65" s="983" t="str">
        <f>IF(C65&gt;0,"перевиконано!!!","недовиконано")</f>
        <v>недовиконано</v>
      </c>
      <c r="E65" s="6"/>
      <c r="F65" s="6"/>
    </row>
    <row r="66" spans="2:6" ht="15" hidden="1" customHeight="1" x14ac:dyDescent="0.3">
      <c r="B66" s="984" t="s">
        <v>1714</v>
      </c>
      <c r="C66" s="985"/>
      <c r="D66" s="984"/>
      <c r="E66" s="6"/>
      <c r="F66" s="6"/>
    </row>
    <row r="67" spans="2:6" ht="15.6" x14ac:dyDescent="0.3">
      <c r="B67" s="6" t="s">
        <v>873</v>
      </c>
      <c r="C67" s="10"/>
      <c r="D67" s="6" t="s">
        <v>1847</v>
      </c>
    </row>
    <row r="68" spans="2:6" ht="15.6" x14ac:dyDescent="0.3">
      <c r="B68" s="6"/>
      <c r="C68" s="10"/>
      <c r="D68" s="6"/>
    </row>
    <row r="70" spans="2:6" ht="15.6" x14ac:dyDescent="0.3">
      <c r="B70" s="6" t="s">
        <v>874</v>
      </c>
      <c r="C70" s="10"/>
      <c r="D70" s="6" t="s">
        <v>1641</v>
      </c>
    </row>
    <row r="78" spans="2:6" ht="25.2" hidden="1" customHeight="1" x14ac:dyDescent="0.3">
      <c r="B78" s="31" t="s">
        <v>1831</v>
      </c>
      <c r="C78" s="495" t="s">
        <v>1832</v>
      </c>
      <c r="D78" s="310" t="s">
        <v>1833</v>
      </c>
      <c r="E78" s="6"/>
    </row>
    <row r="79" spans="2:6" ht="15" hidden="1" customHeight="1" x14ac:dyDescent="0.3">
      <c r="B79" s="1095">
        <v>2023</v>
      </c>
      <c r="C79" s="1096"/>
      <c r="D79" s="1101">
        <f>D80+D83+D95+D98+D101+D106+D109</f>
        <v>84537.859062995994</v>
      </c>
      <c r="E79" s="104"/>
    </row>
    <row r="80" spans="2:6" hidden="1" x14ac:dyDescent="0.3">
      <c r="B80" s="1097" t="s">
        <v>1816</v>
      </c>
      <c r="C80" s="1098"/>
      <c r="D80" s="106">
        <v>54046.439594921801</v>
      </c>
      <c r="E80" s="104"/>
    </row>
    <row r="81" spans="2:4" hidden="1" x14ac:dyDescent="0.3">
      <c r="B81" s="1099" t="s">
        <v>1817</v>
      </c>
      <c r="C81" s="1100"/>
      <c r="D81" s="30"/>
    </row>
    <row r="82" spans="2:4" hidden="1" x14ac:dyDescent="0.3">
      <c r="B82" s="1099" t="s">
        <v>1835</v>
      </c>
      <c r="C82" s="1100"/>
      <c r="D82" s="30">
        <v>54046.439594921801</v>
      </c>
    </row>
    <row r="83" spans="2:4" hidden="1" x14ac:dyDescent="0.3">
      <c r="B83" s="1097" t="s">
        <v>1818</v>
      </c>
      <c r="C83" s="1098"/>
      <c r="D83" s="106">
        <f>D85+D87+D89+D92+D94</f>
        <v>12016.242086437367</v>
      </c>
    </row>
    <row r="84" spans="2:4" hidden="1" x14ac:dyDescent="0.3">
      <c r="B84" s="1099" t="s">
        <v>1819</v>
      </c>
      <c r="C84" s="1100"/>
      <c r="D84" s="30"/>
    </row>
    <row r="85" spans="2:4" hidden="1" x14ac:dyDescent="0.3">
      <c r="B85" s="1099" t="s">
        <v>1836</v>
      </c>
      <c r="C85" s="1100"/>
      <c r="D85" s="30">
        <v>628.32313565439074</v>
      </c>
    </row>
    <row r="86" spans="2:4" hidden="1" x14ac:dyDescent="0.3">
      <c r="B86" s="1099" t="s">
        <v>1820</v>
      </c>
      <c r="C86" s="1100"/>
      <c r="D86" s="30"/>
    </row>
    <row r="87" spans="2:4" ht="27.6" hidden="1" x14ac:dyDescent="0.3">
      <c r="B87" s="1102" t="s">
        <v>1837</v>
      </c>
      <c r="C87" s="1100">
        <v>13</v>
      </c>
      <c r="D87" s="1125">
        <v>5644</v>
      </c>
    </row>
    <row r="88" spans="2:4" ht="18.600000000000001" hidden="1" customHeight="1" x14ac:dyDescent="0.3">
      <c r="B88" s="1102" t="s">
        <v>1838</v>
      </c>
      <c r="C88" s="1100">
        <v>27</v>
      </c>
      <c r="D88" s="1126"/>
    </row>
    <row r="89" spans="2:4" hidden="1" x14ac:dyDescent="0.3">
      <c r="B89" s="1099" t="s">
        <v>1839</v>
      </c>
      <c r="C89" s="1100">
        <v>2</v>
      </c>
      <c r="D89" s="1125">
        <v>4875</v>
      </c>
    </row>
    <row r="90" spans="2:4" ht="27.6" hidden="1" x14ac:dyDescent="0.3">
      <c r="B90" s="1102" t="s">
        <v>1840</v>
      </c>
      <c r="C90" s="1100">
        <v>8</v>
      </c>
      <c r="D90" s="1126"/>
    </row>
    <row r="91" spans="2:4" hidden="1" x14ac:dyDescent="0.3">
      <c r="B91" s="1099" t="s">
        <v>1821</v>
      </c>
      <c r="C91" s="1100"/>
      <c r="D91" s="30"/>
    </row>
    <row r="92" spans="2:4" hidden="1" x14ac:dyDescent="0.3">
      <c r="B92" s="1099" t="s">
        <v>1842</v>
      </c>
      <c r="C92" s="1100">
        <v>3</v>
      </c>
      <c r="D92" s="30">
        <v>437.04414244073968</v>
      </c>
    </row>
    <row r="93" spans="2:4" hidden="1" x14ac:dyDescent="0.3">
      <c r="B93" s="1099" t="s">
        <v>1822</v>
      </c>
      <c r="C93" s="1100"/>
      <c r="D93" s="30"/>
    </row>
    <row r="94" spans="2:4" hidden="1" x14ac:dyDescent="0.3">
      <c r="B94" s="1099" t="s">
        <v>1841</v>
      </c>
      <c r="C94" s="1100">
        <v>3</v>
      </c>
      <c r="D94" s="30">
        <v>431.87480834223629</v>
      </c>
    </row>
    <row r="95" spans="2:4" hidden="1" x14ac:dyDescent="0.3">
      <c r="B95" s="1097" t="s">
        <v>1823</v>
      </c>
      <c r="C95" s="1098">
        <v>23.5</v>
      </c>
      <c r="D95" s="106">
        <v>11671.060673550282</v>
      </c>
    </row>
    <row r="96" spans="2:4" hidden="1" x14ac:dyDescent="0.3">
      <c r="B96" s="1099" t="s">
        <v>1824</v>
      </c>
      <c r="C96" s="1100"/>
      <c r="D96" s="30"/>
    </row>
    <row r="97" spans="2:4" hidden="1" x14ac:dyDescent="0.3">
      <c r="B97" s="1099" t="s">
        <v>939</v>
      </c>
      <c r="C97" s="1100">
        <v>23.5</v>
      </c>
      <c r="D97" s="30">
        <v>11671.060673550282</v>
      </c>
    </row>
    <row r="98" spans="2:4" hidden="1" x14ac:dyDescent="0.3">
      <c r="B98" s="1097" t="s">
        <v>1825</v>
      </c>
      <c r="C98" s="1098">
        <v>26.1</v>
      </c>
      <c r="D98" s="106">
        <v>3063.3831491383389</v>
      </c>
    </row>
    <row r="99" spans="2:4" hidden="1" x14ac:dyDescent="0.3">
      <c r="B99" s="1099" t="s">
        <v>1824</v>
      </c>
      <c r="C99" s="1100"/>
      <c r="D99" s="30"/>
    </row>
    <row r="100" spans="2:4" hidden="1" x14ac:dyDescent="0.3">
      <c r="B100" s="1099" t="s">
        <v>939</v>
      </c>
      <c r="C100" s="1100">
        <v>26.1</v>
      </c>
      <c r="D100" s="30">
        <v>3063.3831491383389</v>
      </c>
    </row>
    <row r="101" spans="2:4" hidden="1" x14ac:dyDescent="0.3">
      <c r="B101" s="1097" t="s">
        <v>1843</v>
      </c>
      <c r="C101" s="418">
        <v>0.78</v>
      </c>
      <c r="D101" s="106">
        <v>1809.2427528272447</v>
      </c>
    </row>
    <row r="102" spans="2:4" hidden="1" x14ac:dyDescent="0.3">
      <c r="B102" s="1099" t="s">
        <v>1819</v>
      </c>
      <c r="C102" s="107"/>
      <c r="D102" s="30"/>
    </row>
    <row r="103" spans="2:4" hidden="1" x14ac:dyDescent="0.3">
      <c r="B103" s="1099" t="s">
        <v>1826</v>
      </c>
      <c r="C103" s="107">
        <v>0.4</v>
      </c>
      <c r="D103" s="30">
        <v>1004.6020825385006</v>
      </c>
    </row>
    <row r="104" spans="2:4" hidden="1" x14ac:dyDescent="0.3">
      <c r="B104" s="1099" t="s">
        <v>1817</v>
      </c>
      <c r="C104" s="107"/>
      <c r="D104" s="30"/>
    </row>
    <row r="105" spans="2:4" hidden="1" x14ac:dyDescent="0.3">
      <c r="B105" s="1099" t="s">
        <v>1826</v>
      </c>
      <c r="C105" s="107">
        <v>0.38</v>
      </c>
      <c r="D105" s="30">
        <v>804.64067028874399</v>
      </c>
    </row>
    <row r="106" spans="2:4" hidden="1" x14ac:dyDescent="0.3">
      <c r="B106" s="1097" t="s">
        <v>1827</v>
      </c>
      <c r="C106" s="1098">
        <v>1</v>
      </c>
      <c r="D106" s="106">
        <v>1687.7101165003212</v>
      </c>
    </row>
    <row r="107" spans="2:4" hidden="1" x14ac:dyDescent="0.3">
      <c r="B107" s="1099" t="s">
        <v>1828</v>
      </c>
      <c r="C107" s="1100"/>
      <c r="D107" s="30"/>
    </row>
    <row r="108" spans="2:4" hidden="1" x14ac:dyDescent="0.3">
      <c r="B108" s="1099" t="s">
        <v>1844</v>
      </c>
      <c r="C108" s="1100">
        <v>1</v>
      </c>
      <c r="D108" s="30">
        <v>1687.7101165003212</v>
      </c>
    </row>
    <row r="109" spans="2:4" hidden="1" x14ac:dyDescent="0.3">
      <c r="B109" s="1097" t="s">
        <v>1829</v>
      </c>
      <c r="C109" s="1098">
        <v>1</v>
      </c>
      <c r="D109" s="106">
        <v>243.78068962064404</v>
      </c>
    </row>
    <row r="110" spans="2:4" hidden="1" x14ac:dyDescent="0.3">
      <c r="B110" s="1099" t="s">
        <v>1830</v>
      </c>
      <c r="C110" s="1100"/>
      <c r="D110" s="30"/>
    </row>
    <row r="111" spans="2:4" hidden="1" x14ac:dyDescent="0.3">
      <c r="B111" s="1099" t="s">
        <v>1845</v>
      </c>
      <c r="C111" s="1100">
        <v>1</v>
      </c>
      <c r="D111" s="30">
        <v>243.78068962064404</v>
      </c>
    </row>
    <row r="375" spans="45:46" x14ac:dyDescent="0.3">
      <c r="AS375" s="1">
        <v>209.13</v>
      </c>
      <c r="AT375" s="1">
        <v>1.99</v>
      </c>
    </row>
  </sheetData>
  <mergeCells count="10">
    <mergeCell ref="D87:D88"/>
    <mergeCell ref="D89:D90"/>
    <mergeCell ref="A5:A6"/>
    <mergeCell ref="B5:B6"/>
    <mergeCell ref="C5:F5"/>
    <mergeCell ref="C49:D49"/>
    <mergeCell ref="A44:B44"/>
    <mergeCell ref="A46:B46"/>
    <mergeCell ref="A45:B45"/>
    <mergeCell ref="E44:E45"/>
  </mergeCells>
  <pageMargins left="0.70866141732283472" right="0.11811023622047245" top="0.15748031496062992" bottom="0.19685039370078741" header="0.31496062992125984" footer="0.31496062992125984"/>
  <pageSetup paperSize="9" scale="75" orientation="portrait" verticalDpi="4294967295" r:id="rId1"/>
  <drawing r:id="rId2"/>
  <legacyDrawing r:id="rId3"/>
  <controls>
    <mc:AlternateContent xmlns:mc="http://schemas.openxmlformats.org/markup-compatibility/2006">
      <mc:Choice Requires="x14">
        <control shapeId="9217" r:id="rId4" name="ComboBox1">
          <controlPr autoLine="0" autoPict="0" linkedCell="C1" listFillRange="'побудинковий звіт'!C9:DG373" r:id="rId5">
            <anchor moveWithCells="1">
              <from>
                <xdr:col>7</xdr:col>
                <xdr:colOff>38100</xdr:colOff>
                <xdr:row>1</xdr:row>
                <xdr:rowOff>99060</xdr:rowOff>
              </from>
              <to>
                <xdr:col>11</xdr:col>
                <xdr:colOff>289560</xdr:colOff>
                <xdr:row>3</xdr:row>
                <xdr:rowOff>30480</xdr:rowOff>
              </to>
            </anchor>
          </controlPr>
        </control>
      </mc:Choice>
      <mc:Fallback>
        <control shapeId="9217" r:id="rId4" name="ComboBox1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4">
    <tabColor theme="5" tint="-0.499984740745262"/>
  </sheetPr>
  <dimension ref="A1:AP403"/>
  <sheetViews>
    <sheetView workbookViewId="0">
      <pane xSplit="2" ySplit="4" topLeftCell="AI295" activePane="bottomRight" state="frozen"/>
      <selection pane="topRight" activeCell="C1" sqref="C1"/>
      <selection pane="bottomLeft" activeCell="A5" sqref="A5"/>
      <selection pane="bottomRight" activeCell="AL299" sqref="AL299:AO299"/>
    </sheetView>
  </sheetViews>
  <sheetFormatPr defaultColWidth="8.88671875" defaultRowHeight="14.4" x14ac:dyDescent="0.3"/>
  <cols>
    <col min="1" max="1" width="9.6640625" style="469" customWidth="1"/>
    <col min="2" max="2" width="39.109375" style="200" customWidth="1"/>
    <col min="3" max="3" width="13.5546875" style="488" customWidth="1"/>
    <col min="4" max="4" width="10.6640625" style="488" customWidth="1"/>
    <col min="5" max="5" width="11.33203125" style="488" customWidth="1"/>
    <col min="6" max="6" width="13" style="488" customWidth="1"/>
    <col min="7" max="7" width="11.88671875" style="482" customWidth="1"/>
    <col min="8" max="9" width="12.5546875" style="482" customWidth="1"/>
    <col min="10" max="10" width="11" style="482" customWidth="1"/>
    <col min="11" max="11" width="10.6640625" style="482" customWidth="1"/>
    <col min="12" max="12" width="11.33203125" style="482" customWidth="1"/>
    <col min="13" max="13" width="11" style="482" customWidth="1"/>
    <col min="14" max="14" width="11.5546875" style="482" customWidth="1"/>
    <col min="15" max="15" width="11" style="482" customWidth="1"/>
    <col min="16" max="16" width="11.44140625" style="482" customWidth="1"/>
    <col min="17" max="17" width="13.88671875" style="482" customWidth="1"/>
    <col min="18" max="18" width="14.109375" style="482" customWidth="1"/>
    <col min="19" max="19" width="11.33203125" style="482" customWidth="1"/>
    <col min="20" max="20" width="11.88671875" style="482" customWidth="1"/>
    <col min="21" max="21" width="11.5546875" style="482" customWidth="1"/>
    <col min="22" max="22" width="10.5546875" style="482" customWidth="1"/>
    <col min="23" max="23" width="9.88671875" style="482" customWidth="1"/>
    <col min="24" max="25" width="10.5546875" style="482" customWidth="1"/>
    <col min="26" max="26" width="11.33203125" style="482" customWidth="1"/>
    <col min="27" max="27" width="13.33203125" style="482" customWidth="1"/>
    <col min="28" max="28" width="13" style="482" customWidth="1"/>
    <col min="29" max="29" width="11.88671875" style="482" customWidth="1"/>
    <col min="30" max="30" width="9.88671875" style="482" customWidth="1"/>
    <col min="31" max="31" width="11.6640625" style="482" customWidth="1"/>
    <col min="32" max="32" width="11.44140625" style="482" customWidth="1"/>
    <col min="33" max="33" width="13" style="482" customWidth="1"/>
    <col min="34" max="36" width="22.109375" style="471" customWidth="1"/>
    <col min="37" max="37" width="20.109375" style="471" customWidth="1"/>
    <col min="38" max="38" width="18.44140625" style="482" customWidth="1"/>
    <col min="39" max="40" width="14.109375" style="482" customWidth="1"/>
    <col min="41" max="41" width="15" style="471" customWidth="1"/>
    <col min="42" max="42" width="14.33203125" style="471" customWidth="1"/>
    <col min="43" max="16384" width="8.88671875" style="471"/>
  </cols>
  <sheetData>
    <row r="1" spans="1:42" x14ac:dyDescent="0.3">
      <c r="A1" s="469">
        <v>1</v>
      </c>
      <c r="B1" s="470">
        <f>A1+1</f>
        <v>2</v>
      </c>
      <c r="C1" s="470">
        <f t="shared" ref="C1:AG1" si="0">B1+1</f>
        <v>3</v>
      </c>
      <c r="D1" s="470">
        <f t="shared" si="0"/>
        <v>4</v>
      </c>
      <c r="E1" s="470">
        <f t="shared" si="0"/>
        <v>5</v>
      </c>
      <c r="F1" s="470">
        <f t="shared" si="0"/>
        <v>6</v>
      </c>
      <c r="G1" s="470">
        <f t="shared" si="0"/>
        <v>7</v>
      </c>
      <c r="H1" s="470">
        <f t="shared" si="0"/>
        <v>8</v>
      </c>
      <c r="I1" s="470">
        <f t="shared" si="0"/>
        <v>9</v>
      </c>
      <c r="J1" s="470">
        <f t="shared" si="0"/>
        <v>10</v>
      </c>
      <c r="K1" s="470">
        <f t="shared" si="0"/>
        <v>11</v>
      </c>
      <c r="L1" s="470">
        <f t="shared" si="0"/>
        <v>12</v>
      </c>
      <c r="M1" s="470">
        <f t="shared" si="0"/>
        <v>13</v>
      </c>
      <c r="N1" s="470">
        <f t="shared" si="0"/>
        <v>14</v>
      </c>
      <c r="O1" s="470">
        <f t="shared" si="0"/>
        <v>15</v>
      </c>
      <c r="P1" s="470">
        <f t="shared" si="0"/>
        <v>16</v>
      </c>
      <c r="Q1" s="470">
        <f t="shared" si="0"/>
        <v>17</v>
      </c>
      <c r="R1" s="470">
        <f t="shared" si="0"/>
        <v>18</v>
      </c>
      <c r="S1" s="470">
        <f t="shared" si="0"/>
        <v>19</v>
      </c>
      <c r="T1" s="470">
        <f t="shared" si="0"/>
        <v>20</v>
      </c>
      <c r="U1" s="470">
        <f t="shared" si="0"/>
        <v>21</v>
      </c>
      <c r="V1" s="470">
        <f t="shared" si="0"/>
        <v>22</v>
      </c>
      <c r="W1" s="470">
        <f t="shared" si="0"/>
        <v>23</v>
      </c>
      <c r="X1" s="470">
        <f t="shared" si="0"/>
        <v>24</v>
      </c>
      <c r="Y1" s="470">
        <f t="shared" si="0"/>
        <v>25</v>
      </c>
      <c r="Z1" s="470">
        <f t="shared" si="0"/>
        <v>26</v>
      </c>
      <c r="AA1" s="470">
        <f t="shared" si="0"/>
        <v>27</v>
      </c>
      <c r="AB1" s="470">
        <f t="shared" si="0"/>
        <v>28</v>
      </c>
      <c r="AC1" s="470">
        <f t="shared" si="0"/>
        <v>29</v>
      </c>
      <c r="AD1" s="470">
        <f t="shared" si="0"/>
        <v>30</v>
      </c>
      <c r="AE1" s="470">
        <f t="shared" si="0"/>
        <v>31</v>
      </c>
      <c r="AF1" s="470">
        <f t="shared" si="0"/>
        <v>32</v>
      </c>
      <c r="AG1" s="470">
        <f t="shared" si="0"/>
        <v>33</v>
      </c>
      <c r="AH1" s="470">
        <f>AG1+1</f>
        <v>34</v>
      </c>
      <c r="AI1" s="470">
        <f>AH1+1</f>
        <v>35</v>
      </c>
      <c r="AJ1" s="469"/>
      <c r="AK1" s="469"/>
      <c r="AL1" s="470"/>
      <c r="AM1" s="470"/>
      <c r="AN1" s="470"/>
    </row>
    <row r="2" spans="1:42" ht="15.6" x14ac:dyDescent="0.3">
      <c r="B2" s="472" t="s">
        <v>1129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  <c r="AB2" s="469"/>
      <c r="AC2" s="469"/>
      <c r="AD2" s="469"/>
      <c r="AE2" s="469"/>
      <c r="AF2" s="469"/>
      <c r="AG2" s="469"/>
      <c r="AL2" s="469"/>
      <c r="AM2" s="469"/>
      <c r="AN2" s="469"/>
    </row>
    <row r="3" spans="1:42" ht="15.6" x14ac:dyDescent="0.3">
      <c r="B3" s="472" t="s">
        <v>1130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  <c r="AE3" s="469"/>
      <c r="AF3" s="469"/>
      <c r="AG3" s="469"/>
      <c r="AL3" s="1414" t="s">
        <v>1594</v>
      </c>
      <c r="AM3" s="1415"/>
      <c r="AN3" s="1416" t="s">
        <v>1595</v>
      </c>
      <c r="AO3" s="1417"/>
    </row>
    <row r="4" spans="1:42" ht="64.5" customHeight="1" x14ac:dyDescent="0.3">
      <c r="A4" s="473" t="s">
        <v>1127</v>
      </c>
      <c r="B4" s="474"/>
      <c r="C4" s="475" t="s">
        <v>1131</v>
      </c>
      <c r="D4" s="475" t="s">
        <v>1132</v>
      </c>
      <c r="E4" s="475" t="s">
        <v>1133</v>
      </c>
      <c r="F4" s="475" t="s">
        <v>1134</v>
      </c>
      <c r="G4" s="475" t="s">
        <v>1135</v>
      </c>
      <c r="H4" s="475" t="s">
        <v>1136</v>
      </c>
      <c r="I4" s="475" t="s">
        <v>1137</v>
      </c>
      <c r="J4" s="475" t="s">
        <v>1138</v>
      </c>
      <c r="K4" s="475" t="s">
        <v>1139</v>
      </c>
      <c r="L4" s="475" t="s">
        <v>1140</v>
      </c>
      <c r="M4" s="588" t="s">
        <v>1141</v>
      </c>
      <c r="N4" s="475" t="s">
        <v>1142</v>
      </c>
      <c r="O4" s="475" t="s">
        <v>1143</v>
      </c>
      <c r="P4" s="475" t="s">
        <v>1144</v>
      </c>
      <c r="Q4" s="475" t="s">
        <v>1145</v>
      </c>
      <c r="R4" s="588" t="s">
        <v>1146</v>
      </c>
      <c r="S4" s="475" t="s">
        <v>1147</v>
      </c>
      <c r="T4" s="475" t="s">
        <v>1148</v>
      </c>
      <c r="U4" s="475" t="s">
        <v>1149</v>
      </c>
      <c r="V4" s="475" t="s">
        <v>1150</v>
      </c>
      <c r="W4" s="475" t="s">
        <v>1151</v>
      </c>
      <c r="X4" s="475" t="s">
        <v>1152</v>
      </c>
      <c r="Y4" s="475" t="s">
        <v>1153</v>
      </c>
      <c r="Z4" s="475" t="s">
        <v>14</v>
      </c>
      <c r="AA4" s="475" t="s">
        <v>1154</v>
      </c>
      <c r="AB4" s="475" t="s">
        <v>1155</v>
      </c>
      <c r="AC4" s="475" t="s">
        <v>959</v>
      </c>
      <c r="AD4" s="475" t="s">
        <v>962</v>
      </c>
      <c r="AE4" s="475" t="s">
        <v>964</v>
      </c>
      <c r="AF4" s="475" t="s">
        <v>1156</v>
      </c>
      <c r="AG4" s="475" t="s">
        <v>1157</v>
      </c>
      <c r="AH4" s="699"/>
      <c r="AL4" s="584" t="s">
        <v>1141</v>
      </c>
      <c r="AM4" s="584" t="s">
        <v>1146</v>
      </c>
      <c r="AN4" s="583" t="s">
        <v>1141</v>
      </c>
      <c r="AO4" s="583" t="s">
        <v>1146</v>
      </c>
    </row>
    <row r="5" spans="1:42" x14ac:dyDescent="0.3">
      <c r="A5" s="476">
        <v>150000488</v>
      </c>
      <c r="B5" s="477" t="s">
        <v>34</v>
      </c>
      <c r="C5" s="478">
        <v>317.88</v>
      </c>
      <c r="D5" s="483"/>
      <c r="E5" s="480"/>
      <c r="F5" s="480">
        <v>317.88</v>
      </c>
      <c r="G5" s="481">
        <v>0</v>
      </c>
      <c r="H5" s="481">
        <v>0</v>
      </c>
      <c r="I5" s="481">
        <v>0</v>
      </c>
      <c r="J5" s="481">
        <v>0</v>
      </c>
      <c r="K5" s="481">
        <v>0</v>
      </c>
      <c r="L5" s="481">
        <v>0</v>
      </c>
      <c r="M5" s="587">
        <f>AN5</f>
        <v>0</v>
      </c>
      <c r="N5" s="481">
        <v>0</v>
      </c>
      <c r="O5" s="481">
        <v>0</v>
      </c>
      <c r="P5" s="481">
        <v>0</v>
      </c>
      <c r="Q5" s="481">
        <v>43.404975299292282</v>
      </c>
      <c r="R5" s="587">
        <f>AO5</f>
        <v>391.38874418022226</v>
      </c>
      <c r="S5" s="481">
        <v>0</v>
      </c>
      <c r="T5" s="481">
        <v>0</v>
      </c>
      <c r="U5" s="481">
        <v>0</v>
      </c>
      <c r="V5" s="481">
        <v>0</v>
      </c>
      <c r="W5" s="481">
        <v>0</v>
      </c>
      <c r="X5" s="481">
        <v>0</v>
      </c>
      <c r="Y5" s="481">
        <v>0</v>
      </c>
      <c r="Z5" s="481">
        <v>0</v>
      </c>
      <c r="AA5" s="481">
        <v>0</v>
      </c>
      <c r="AB5" s="481">
        <v>0</v>
      </c>
      <c r="AC5" s="481">
        <v>0</v>
      </c>
      <c r="AD5" s="481">
        <v>0</v>
      </c>
      <c r="AE5" s="481">
        <v>0</v>
      </c>
      <c r="AF5" s="481">
        <v>0</v>
      </c>
      <c r="AG5" s="481">
        <v>0</v>
      </c>
      <c r="AH5" s="700">
        <f>SUM(G5:AG5)-AG5</f>
        <v>434.79371947951455</v>
      </c>
      <c r="AI5" s="482">
        <f>G5+H5+I5+J5+K5+L5+M5+N5+O5+P5+Q5+R5+S5+T5+U5+V5+W5+X5+Y5+Z5+AA5+AB5+AC5+AD5+AE5+AF5+AG5</f>
        <v>434.79371947951455</v>
      </c>
      <c r="AJ5" s="482"/>
      <c r="AK5" s="482"/>
      <c r="AL5" s="585">
        <v>16.23</v>
      </c>
      <c r="AM5" s="585">
        <v>375.15874418022224</v>
      </c>
      <c r="AN5" s="581">
        <v>0</v>
      </c>
      <c r="AO5" s="581">
        <f>AL5+AM5</f>
        <v>391.38874418022226</v>
      </c>
      <c r="AP5" s="471">
        <f>AO5*12</f>
        <v>4696.6649301626676</v>
      </c>
    </row>
    <row r="6" spans="1:42" x14ac:dyDescent="0.3">
      <c r="A6" s="476">
        <v>150000490</v>
      </c>
      <c r="B6" s="477" t="s">
        <v>36</v>
      </c>
      <c r="C6" s="478">
        <v>147.5</v>
      </c>
      <c r="D6" s="483"/>
      <c r="E6" s="480"/>
      <c r="F6" s="480">
        <v>147.5</v>
      </c>
      <c r="G6" s="481">
        <v>0</v>
      </c>
      <c r="H6" s="481">
        <v>0</v>
      </c>
      <c r="I6" s="481">
        <v>0</v>
      </c>
      <c r="J6" s="481">
        <v>0</v>
      </c>
      <c r="K6" s="481">
        <v>0</v>
      </c>
      <c r="L6" s="481">
        <v>0</v>
      </c>
      <c r="M6" s="587">
        <f t="shared" ref="M6:M69" si="1">AN6</f>
        <v>0</v>
      </c>
      <c r="N6" s="481">
        <v>0</v>
      </c>
      <c r="O6" s="481">
        <v>0</v>
      </c>
      <c r="P6" s="481">
        <v>0</v>
      </c>
      <c r="Q6" s="481">
        <v>23.675441072341243</v>
      </c>
      <c r="R6" s="587">
        <f t="shared" ref="R6:R69" si="2">AO6</f>
        <v>205.59467459013297</v>
      </c>
      <c r="S6" s="481">
        <v>0</v>
      </c>
      <c r="T6" s="481">
        <v>0</v>
      </c>
      <c r="U6" s="481">
        <v>0</v>
      </c>
      <c r="V6" s="481">
        <v>0</v>
      </c>
      <c r="W6" s="481">
        <v>0</v>
      </c>
      <c r="X6" s="481">
        <v>0</v>
      </c>
      <c r="Y6" s="481">
        <v>0</v>
      </c>
      <c r="Z6" s="481">
        <v>0</v>
      </c>
      <c r="AA6" s="481">
        <v>0</v>
      </c>
      <c r="AB6" s="481">
        <v>0</v>
      </c>
      <c r="AC6" s="481">
        <v>0</v>
      </c>
      <c r="AD6" s="481">
        <v>0</v>
      </c>
      <c r="AE6" s="481">
        <v>0</v>
      </c>
      <c r="AF6" s="481">
        <v>0</v>
      </c>
      <c r="AG6" s="481">
        <v>5.5024827758993808</v>
      </c>
      <c r="AH6" s="700">
        <f t="shared" ref="AH6:AH69" si="3">SUM(G6:AG6)-AG6</f>
        <v>229.27011566247421</v>
      </c>
      <c r="AI6" s="482">
        <f t="shared" ref="AI6:AI69" si="4">G6+H6+I6+J6+K6+L6+M6+N6+O6+P6+Q6+R6+S6+T6+U6+V6+W6+X6+Y6+Z6+AA6+AB6+AC6+AD6+AE6+AF6+AG6</f>
        <v>234.77259843837359</v>
      </c>
      <c r="AJ6" s="482"/>
      <c r="AK6" s="482"/>
      <c r="AL6" s="585">
        <v>27.19</v>
      </c>
      <c r="AM6" s="585">
        <v>178.40467459013297</v>
      </c>
      <c r="AN6" s="581">
        <v>0</v>
      </c>
      <c r="AO6" s="581">
        <f t="shared" ref="AO6:AO69" si="5">AL6+AM6</f>
        <v>205.59467459013297</v>
      </c>
    </row>
    <row r="7" spans="1:42" x14ac:dyDescent="0.3">
      <c r="A7" s="476">
        <v>150000492</v>
      </c>
      <c r="B7" s="477" t="s">
        <v>35</v>
      </c>
      <c r="C7" s="478">
        <v>95.5</v>
      </c>
      <c r="D7" s="483"/>
      <c r="E7" s="480"/>
      <c r="F7" s="480">
        <v>95.5</v>
      </c>
      <c r="G7" s="481">
        <v>0</v>
      </c>
      <c r="H7" s="481">
        <v>0</v>
      </c>
      <c r="I7" s="481">
        <v>0</v>
      </c>
      <c r="J7" s="481">
        <v>0</v>
      </c>
      <c r="K7" s="481">
        <v>0</v>
      </c>
      <c r="L7" s="481">
        <v>0</v>
      </c>
      <c r="M7" s="587">
        <f t="shared" si="1"/>
        <v>0</v>
      </c>
      <c r="N7" s="481">
        <v>0</v>
      </c>
      <c r="O7" s="481">
        <v>0</v>
      </c>
      <c r="P7" s="481">
        <v>0</v>
      </c>
      <c r="Q7" s="481">
        <v>15.783627381560828</v>
      </c>
      <c r="R7" s="587">
        <f t="shared" si="2"/>
        <v>102.50100462638399</v>
      </c>
      <c r="S7" s="481">
        <v>0</v>
      </c>
      <c r="T7" s="481">
        <v>0</v>
      </c>
      <c r="U7" s="481">
        <v>0</v>
      </c>
      <c r="V7" s="481">
        <v>0</v>
      </c>
      <c r="W7" s="481">
        <v>0</v>
      </c>
      <c r="X7" s="481">
        <v>0</v>
      </c>
      <c r="Y7" s="481">
        <v>0</v>
      </c>
      <c r="Z7" s="481">
        <v>0</v>
      </c>
      <c r="AA7" s="481">
        <v>0</v>
      </c>
      <c r="AB7" s="481">
        <v>0</v>
      </c>
      <c r="AC7" s="481">
        <v>0</v>
      </c>
      <c r="AD7" s="481">
        <v>0</v>
      </c>
      <c r="AE7" s="481">
        <v>0</v>
      </c>
      <c r="AF7" s="481">
        <v>0</v>
      </c>
      <c r="AG7" s="481">
        <v>3.5485389602383446</v>
      </c>
      <c r="AH7" s="700">
        <f t="shared" si="3"/>
        <v>118.28463200794482</v>
      </c>
      <c r="AI7" s="482">
        <f t="shared" si="4"/>
        <v>121.83317096818317</v>
      </c>
      <c r="AJ7" s="482"/>
      <c r="AK7" s="482"/>
      <c r="AL7" s="585">
        <v>13.08</v>
      </c>
      <c r="AM7" s="585">
        <v>89.42100462638399</v>
      </c>
      <c r="AN7" s="581">
        <v>0</v>
      </c>
      <c r="AO7" s="581">
        <f t="shared" si="5"/>
        <v>102.50100462638399</v>
      </c>
    </row>
    <row r="8" spans="1:42" x14ac:dyDescent="0.3">
      <c r="A8" s="476">
        <v>150000493</v>
      </c>
      <c r="B8" s="477" t="s">
        <v>417</v>
      </c>
      <c r="C8" s="478">
        <v>7111.44</v>
      </c>
      <c r="D8" s="479">
        <v>625.84</v>
      </c>
      <c r="E8" s="480"/>
      <c r="F8" s="480">
        <v>7111.44</v>
      </c>
      <c r="G8" s="481">
        <v>2116.5436173391959</v>
      </c>
      <c r="H8" s="481">
        <v>326.6498902175353</v>
      </c>
      <c r="I8" s="481">
        <v>895.47</v>
      </c>
      <c r="J8" s="481">
        <v>183.48</v>
      </c>
      <c r="K8" s="481">
        <v>104.17501397504415</v>
      </c>
      <c r="L8" s="481">
        <v>888.66892270016626</v>
      </c>
      <c r="M8" s="587">
        <f t="shared" si="1"/>
        <v>0</v>
      </c>
      <c r="N8" s="481">
        <v>2533.9432832073689</v>
      </c>
      <c r="O8" s="481">
        <v>5329.8152942054612</v>
      </c>
      <c r="P8" s="481">
        <v>0</v>
      </c>
      <c r="Q8" s="481">
        <v>473.50882144682487</v>
      </c>
      <c r="R8" s="587">
        <f t="shared" si="2"/>
        <v>8725.5786860152748</v>
      </c>
      <c r="S8" s="481">
        <v>164.23132790213461</v>
      </c>
      <c r="T8" s="481">
        <v>196.09002638093841</v>
      </c>
      <c r="U8" s="481">
        <v>186.00163838043824</v>
      </c>
      <c r="V8" s="481">
        <v>94.738670085966547</v>
      </c>
      <c r="W8" s="481">
        <v>52.842011746104383</v>
      </c>
      <c r="X8" s="481">
        <v>110.03914981587937</v>
      </c>
      <c r="Y8" s="481">
        <v>39.884553968079764</v>
      </c>
      <c r="Z8" s="481">
        <v>8438.0785839047421</v>
      </c>
      <c r="AA8" s="481">
        <v>6266.7929653589836</v>
      </c>
      <c r="AB8" s="481">
        <v>1514.7888609176264</v>
      </c>
      <c r="AC8" s="481">
        <v>148.34084358286131</v>
      </c>
      <c r="AD8" s="481">
        <v>18.261656880465878</v>
      </c>
      <c r="AE8" s="481">
        <v>1495.8422204106048</v>
      </c>
      <c r="AF8" s="481">
        <v>1347.6618127578336</v>
      </c>
      <c r="AG8" s="481">
        <v>1249.5428355359859</v>
      </c>
      <c r="AH8" s="700">
        <f t="shared" si="3"/>
        <v>41651.427851199536</v>
      </c>
      <c r="AI8" s="482">
        <f t="shared" si="4"/>
        <v>42900.97068673552</v>
      </c>
      <c r="AJ8" s="482"/>
      <c r="AK8" s="482"/>
      <c r="AL8" s="585">
        <v>75.709999999999994</v>
      </c>
      <c r="AM8" s="585">
        <v>8649.8686860152757</v>
      </c>
      <c r="AN8" s="581">
        <v>0</v>
      </c>
      <c r="AO8" s="581">
        <f t="shared" si="5"/>
        <v>8725.5786860152748</v>
      </c>
    </row>
    <row r="9" spans="1:42" x14ac:dyDescent="0.3">
      <c r="A9" s="476">
        <v>150000494</v>
      </c>
      <c r="B9" s="477" t="s">
        <v>418</v>
      </c>
      <c r="C9" s="478">
        <v>9469.1</v>
      </c>
      <c r="D9" s="479">
        <v>988.9</v>
      </c>
      <c r="E9" s="480"/>
      <c r="F9" s="480">
        <v>9469.1</v>
      </c>
      <c r="G9" s="481">
        <v>2388.3671585350194</v>
      </c>
      <c r="H9" s="481">
        <v>359.78561360247426</v>
      </c>
      <c r="I9" s="481">
        <v>1227.21</v>
      </c>
      <c r="J9" s="481">
        <v>250.57</v>
      </c>
      <c r="K9" s="481">
        <v>104.17501397504415</v>
      </c>
      <c r="L9" s="481">
        <v>926.03009420891181</v>
      </c>
      <c r="M9" s="587">
        <f t="shared" si="1"/>
        <v>0</v>
      </c>
      <c r="N9" s="481">
        <v>3374.0230309218528</v>
      </c>
      <c r="O9" s="481">
        <v>3947.0804045084597</v>
      </c>
      <c r="P9" s="481">
        <v>0</v>
      </c>
      <c r="Q9" s="481">
        <v>493.23835567377591</v>
      </c>
      <c r="R9" s="587">
        <f t="shared" si="2"/>
        <v>10865.217292206107</v>
      </c>
      <c r="S9" s="481">
        <v>184.73705865593774</v>
      </c>
      <c r="T9" s="481">
        <v>237.59557919486434</v>
      </c>
      <c r="U9" s="481">
        <v>327.93801930392357</v>
      </c>
      <c r="V9" s="481">
        <v>119.2437268388957</v>
      </c>
      <c r="W9" s="481">
        <v>52.842011746104383</v>
      </c>
      <c r="X9" s="481">
        <v>111.82229407913007</v>
      </c>
      <c r="Y9" s="481">
        <v>40.884690382960294</v>
      </c>
      <c r="Z9" s="481">
        <v>8793.7241057558385</v>
      </c>
      <c r="AA9" s="481">
        <v>6619.2015578700602</v>
      </c>
      <c r="AB9" s="481">
        <v>2163.9840870251805</v>
      </c>
      <c r="AC9" s="481">
        <v>107.06424401353902</v>
      </c>
      <c r="AD9" s="481">
        <v>13.180257312272797</v>
      </c>
      <c r="AE9" s="481">
        <v>1636.2236592395459</v>
      </c>
      <c r="AF9" s="481">
        <v>1651.8215968872059</v>
      </c>
      <c r="AG9" s="481">
        <v>0</v>
      </c>
      <c r="AH9" s="700">
        <f t="shared" si="3"/>
        <v>45995.959851937107</v>
      </c>
      <c r="AI9" s="482">
        <f t="shared" si="4"/>
        <v>45995.959851937107</v>
      </c>
      <c r="AJ9" s="482"/>
      <c r="AK9" s="482"/>
      <c r="AL9" s="585">
        <v>95.76</v>
      </c>
      <c r="AM9" s="585">
        <v>10769.457292206107</v>
      </c>
      <c r="AN9" s="581">
        <v>0</v>
      </c>
      <c r="AO9" s="581">
        <f t="shared" si="5"/>
        <v>10865.217292206107</v>
      </c>
    </row>
    <row r="10" spans="1:42" x14ac:dyDescent="0.3">
      <c r="A10" s="476">
        <v>150000495</v>
      </c>
      <c r="B10" s="477" t="s">
        <v>147</v>
      </c>
      <c r="C10" s="478">
        <v>409.93</v>
      </c>
      <c r="D10" s="479"/>
      <c r="E10" s="480"/>
      <c r="F10" s="480">
        <v>409.93</v>
      </c>
      <c r="G10" s="481">
        <v>87.936386356460375</v>
      </c>
      <c r="H10" s="481">
        <v>35.433591992216755</v>
      </c>
      <c r="I10" s="481">
        <v>54.68</v>
      </c>
      <c r="J10" s="481">
        <v>0</v>
      </c>
      <c r="K10" s="481">
        <v>0</v>
      </c>
      <c r="L10" s="481">
        <v>49.445704714693939</v>
      </c>
      <c r="M10" s="587">
        <f t="shared" si="1"/>
        <v>0</v>
      </c>
      <c r="N10" s="481">
        <v>146.06596836719382</v>
      </c>
      <c r="O10" s="481">
        <v>0</v>
      </c>
      <c r="P10" s="481">
        <v>0</v>
      </c>
      <c r="Q10" s="481">
        <v>94.701764289364974</v>
      </c>
      <c r="R10" s="587">
        <f t="shared" si="2"/>
        <v>439.6186090118303</v>
      </c>
      <c r="S10" s="481">
        <v>33.848154149861578</v>
      </c>
      <c r="T10" s="481">
        <v>45.667834559974651</v>
      </c>
      <c r="U10" s="481">
        <v>15.751031814435738</v>
      </c>
      <c r="V10" s="481">
        <v>0</v>
      </c>
      <c r="W10" s="481">
        <v>0</v>
      </c>
      <c r="X10" s="481">
        <v>9.8856385409863776</v>
      </c>
      <c r="Y10" s="481">
        <v>13.953532419340904</v>
      </c>
      <c r="Z10" s="481">
        <v>550.98616970915373</v>
      </c>
      <c r="AA10" s="481">
        <v>309.96189896446617</v>
      </c>
      <c r="AB10" s="481">
        <v>150.18189671421203</v>
      </c>
      <c r="AC10" s="481">
        <v>0</v>
      </c>
      <c r="AD10" s="481">
        <v>0</v>
      </c>
      <c r="AE10" s="481">
        <v>109.18556353362079</v>
      </c>
      <c r="AF10" s="481">
        <v>0</v>
      </c>
      <c r="AG10" s="481">
        <v>0</v>
      </c>
      <c r="AH10" s="700">
        <f t="shared" si="3"/>
        <v>2147.3037451378123</v>
      </c>
      <c r="AI10" s="482">
        <f t="shared" si="4"/>
        <v>2147.3037451378123</v>
      </c>
      <c r="AJ10" s="482"/>
      <c r="AK10" s="482"/>
      <c r="AL10" s="585">
        <v>8.69</v>
      </c>
      <c r="AM10" s="585">
        <v>430.9286090118303</v>
      </c>
      <c r="AN10" s="581">
        <v>0</v>
      </c>
      <c r="AO10" s="581">
        <f t="shared" si="5"/>
        <v>439.6186090118303</v>
      </c>
    </row>
    <row r="11" spans="1:42" x14ac:dyDescent="0.3">
      <c r="A11" s="476">
        <v>150000496</v>
      </c>
      <c r="B11" s="477" t="s">
        <v>148</v>
      </c>
      <c r="C11" s="478">
        <v>403.93</v>
      </c>
      <c r="D11" s="479"/>
      <c r="E11" s="480"/>
      <c r="F11" s="480">
        <v>403.93</v>
      </c>
      <c r="G11" s="481">
        <v>87.936386356460375</v>
      </c>
      <c r="H11" s="481">
        <v>35.433591992216755</v>
      </c>
      <c r="I11" s="481">
        <v>53.58</v>
      </c>
      <c r="J11" s="481">
        <v>0</v>
      </c>
      <c r="K11" s="481">
        <v>0</v>
      </c>
      <c r="L11" s="481">
        <v>49.445704714693939</v>
      </c>
      <c r="M11" s="587">
        <f t="shared" si="1"/>
        <v>0</v>
      </c>
      <c r="N11" s="481">
        <v>143.9280526005918</v>
      </c>
      <c r="O11" s="481">
        <v>0</v>
      </c>
      <c r="P11" s="481">
        <v>0</v>
      </c>
      <c r="Q11" s="481">
        <v>94.701764289364974</v>
      </c>
      <c r="R11" s="587">
        <f t="shared" si="2"/>
        <v>424.49500057467833</v>
      </c>
      <c r="S11" s="481">
        <v>33.848154149861578</v>
      </c>
      <c r="T11" s="481">
        <v>45.667834559974651</v>
      </c>
      <c r="U11" s="481">
        <v>15.308054786734004</v>
      </c>
      <c r="V11" s="481">
        <v>0</v>
      </c>
      <c r="W11" s="481">
        <v>0</v>
      </c>
      <c r="X11" s="481">
        <v>9.8856385409863776</v>
      </c>
      <c r="Y11" s="481">
        <v>13.62015361438073</v>
      </c>
      <c r="Z11" s="481">
        <v>444.23377564574372</v>
      </c>
      <c r="AA11" s="481">
        <v>315.94024077905516</v>
      </c>
      <c r="AB11" s="481">
        <v>172.74420939209418</v>
      </c>
      <c r="AC11" s="481">
        <v>0</v>
      </c>
      <c r="AD11" s="481">
        <v>0</v>
      </c>
      <c r="AE11" s="481">
        <v>154.41958271183509</v>
      </c>
      <c r="AF11" s="481">
        <v>0</v>
      </c>
      <c r="AG11" s="481">
        <v>62.855644341260145</v>
      </c>
      <c r="AH11" s="700">
        <f t="shared" si="3"/>
        <v>2095.1881447086716</v>
      </c>
      <c r="AI11" s="482">
        <f t="shared" si="4"/>
        <v>2158.043789049932</v>
      </c>
      <c r="AJ11" s="482"/>
      <c r="AK11" s="482"/>
      <c r="AL11" s="585">
        <v>50.66</v>
      </c>
      <c r="AM11" s="585">
        <v>373.83500057467836</v>
      </c>
      <c r="AN11" s="581">
        <v>0</v>
      </c>
      <c r="AO11" s="581">
        <f t="shared" si="5"/>
        <v>424.49500057467833</v>
      </c>
    </row>
    <row r="12" spans="1:42" x14ac:dyDescent="0.3">
      <c r="A12" s="476">
        <v>150000497</v>
      </c>
      <c r="B12" s="477" t="s">
        <v>340</v>
      </c>
      <c r="C12" s="478">
        <v>4099.3</v>
      </c>
      <c r="D12" s="479">
        <v>274</v>
      </c>
      <c r="E12" s="480">
        <v>64.099999999999994</v>
      </c>
      <c r="F12" s="480">
        <v>4163.4000000000005</v>
      </c>
      <c r="G12" s="481">
        <v>1269.7567522537161</v>
      </c>
      <c r="H12" s="481">
        <v>190.14085989056986</v>
      </c>
      <c r="I12" s="481">
        <v>552.59</v>
      </c>
      <c r="J12" s="481">
        <v>109.94</v>
      </c>
      <c r="K12" s="481">
        <v>65.004820328168279</v>
      </c>
      <c r="L12" s="481">
        <v>461.450249376182</v>
      </c>
      <c r="M12" s="587">
        <f t="shared" si="1"/>
        <v>0</v>
      </c>
      <c r="N12" s="481">
        <v>1483.4997504451364</v>
      </c>
      <c r="O12" s="481">
        <v>4800.7555319648973</v>
      </c>
      <c r="P12" s="481">
        <v>0</v>
      </c>
      <c r="Q12" s="481">
        <v>280.15938602270472</v>
      </c>
      <c r="R12" s="587">
        <f t="shared" si="2"/>
        <v>5112.8535552926178</v>
      </c>
      <c r="S12" s="481">
        <v>94.889741545992408</v>
      </c>
      <c r="T12" s="481">
        <v>114.23699709593653</v>
      </c>
      <c r="U12" s="481">
        <v>112.40640487719344</v>
      </c>
      <c r="V12" s="481">
        <v>52.715942671092179</v>
      </c>
      <c r="W12" s="481">
        <v>32.980617657691397</v>
      </c>
      <c r="X12" s="481">
        <v>58.924411006931976</v>
      </c>
      <c r="Y12" s="481">
        <v>26.931157963619381</v>
      </c>
      <c r="Z12" s="481">
        <v>5679.5293955073657</v>
      </c>
      <c r="AA12" s="481">
        <v>3372.777689077689</v>
      </c>
      <c r="AB12" s="481">
        <v>1078.52966897335</v>
      </c>
      <c r="AC12" s="481">
        <v>141.67383937688999</v>
      </c>
      <c r="AD12" s="481">
        <v>17.440908256624716</v>
      </c>
      <c r="AE12" s="481">
        <v>1070.0185226294839</v>
      </c>
      <c r="AF12" s="481">
        <v>1124.6113043962941</v>
      </c>
      <c r="AG12" s="481">
        <v>491.46871511898257</v>
      </c>
      <c r="AH12" s="700">
        <f t="shared" si="3"/>
        <v>27303.817506610147</v>
      </c>
      <c r="AI12" s="482">
        <f t="shared" si="4"/>
        <v>27795.286221729129</v>
      </c>
      <c r="AJ12" s="482"/>
      <c r="AK12" s="482"/>
      <c r="AL12" s="585">
        <v>81.96</v>
      </c>
      <c r="AM12" s="585">
        <v>5030.8935552926177</v>
      </c>
      <c r="AN12" s="581">
        <v>0</v>
      </c>
      <c r="AO12" s="581">
        <f t="shared" si="5"/>
        <v>5112.8535552926178</v>
      </c>
    </row>
    <row r="13" spans="1:42" x14ac:dyDescent="0.3">
      <c r="A13" s="476">
        <v>150000498</v>
      </c>
      <c r="B13" s="477" t="s">
        <v>241</v>
      </c>
      <c r="C13" s="478">
        <v>4845</v>
      </c>
      <c r="D13" s="479"/>
      <c r="E13" s="480">
        <v>45.7</v>
      </c>
      <c r="F13" s="480">
        <v>4890.7</v>
      </c>
      <c r="G13" s="481">
        <v>1369.7465020558896</v>
      </c>
      <c r="H13" s="481">
        <v>284.57813999629974</v>
      </c>
      <c r="I13" s="481">
        <v>640.35</v>
      </c>
      <c r="J13" s="481">
        <v>0</v>
      </c>
      <c r="K13" s="481">
        <v>0</v>
      </c>
      <c r="L13" s="481">
        <v>1179.6338317248897</v>
      </c>
      <c r="M13" s="587">
        <f t="shared" si="1"/>
        <v>0</v>
      </c>
      <c r="N13" s="481">
        <v>1742.6507732867435</v>
      </c>
      <c r="O13" s="481">
        <v>0</v>
      </c>
      <c r="P13" s="481">
        <v>0</v>
      </c>
      <c r="Q13" s="481">
        <v>1302.1492589787686</v>
      </c>
      <c r="R13" s="587">
        <f t="shared" si="2"/>
        <v>3700.3864410321107</v>
      </c>
      <c r="S13" s="481">
        <v>236.27878257228377</v>
      </c>
      <c r="T13" s="481">
        <v>366.77519552996273</v>
      </c>
      <c r="U13" s="481">
        <v>220.67083291668632</v>
      </c>
      <c r="V13" s="481">
        <v>0</v>
      </c>
      <c r="W13" s="481">
        <v>0</v>
      </c>
      <c r="X13" s="481">
        <v>165.60413228623474</v>
      </c>
      <c r="Y13" s="481">
        <v>80.126716280937799</v>
      </c>
      <c r="Z13" s="481">
        <v>6350.1647578899692</v>
      </c>
      <c r="AA13" s="481">
        <v>2164.4560628308082</v>
      </c>
      <c r="AB13" s="481">
        <v>3154.5620493944452</v>
      </c>
      <c r="AC13" s="481">
        <v>150.86548120497542</v>
      </c>
      <c r="AD13" s="481">
        <v>18.572455072582201</v>
      </c>
      <c r="AE13" s="481">
        <v>862.56595191560427</v>
      </c>
      <c r="AF13" s="481">
        <v>0</v>
      </c>
      <c r="AG13" s="481">
        <v>1295.4674177083361</v>
      </c>
      <c r="AH13" s="700">
        <f t="shared" si="3"/>
        <v>23990.137364969189</v>
      </c>
      <c r="AI13" s="482">
        <f t="shared" si="4"/>
        <v>25285.604782677525</v>
      </c>
      <c r="AJ13" s="482"/>
      <c r="AK13" s="482"/>
      <c r="AL13" s="585">
        <v>104.86</v>
      </c>
      <c r="AM13" s="585">
        <v>3595.5264410321106</v>
      </c>
      <c r="AN13" s="581">
        <v>0</v>
      </c>
      <c r="AO13" s="581">
        <f t="shared" si="5"/>
        <v>3700.3864410321107</v>
      </c>
    </row>
    <row r="14" spans="1:42" x14ac:dyDescent="0.3">
      <c r="A14" s="476">
        <v>150000501</v>
      </c>
      <c r="B14" s="477" t="s">
        <v>263</v>
      </c>
      <c r="C14" s="478">
        <v>4489.03</v>
      </c>
      <c r="D14" s="479"/>
      <c r="E14" s="480">
        <v>40.6</v>
      </c>
      <c r="F14" s="480">
        <v>4529.63</v>
      </c>
      <c r="G14" s="481">
        <v>1389.6813200161339</v>
      </c>
      <c r="H14" s="481">
        <v>287.73441720974813</v>
      </c>
      <c r="I14" s="481">
        <v>498.01</v>
      </c>
      <c r="J14" s="481">
        <v>0</v>
      </c>
      <c r="K14" s="481">
        <v>0</v>
      </c>
      <c r="L14" s="481">
        <v>1089.3359290578553</v>
      </c>
      <c r="M14" s="587">
        <f t="shared" si="1"/>
        <v>0</v>
      </c>
      <c r="N14" s="481">
        <v>1613.9945656455789</v>
      </c>
      <c r="O14" s="481">
        <v>0</v>
      </c>
      <c r="P14" s="481">
        <v>0</v>
      </c>
      <c r="Q14" s="481">
        <v>1171.9343330808915</v>
      </c>
      <c r="R14" s="587">
        <f t="shared" si="2"/>
        <v>5212.2261433279282</v>
      </c>
      <c r="S14" s="481">
        <v>227.36054208153843</v>
      </c>
      <c r="T14" s="481">
        <v>370.84425625657047</v>
      </c>
      <c r="U14" s="481">
        <v>305.41775636604615</v>
      </c>
      <c r="V14" s="481">
        <v>0</v>
      </c>
      <c r="W14" s="481">
        <v>0</v>
      </c>
      <c r="X14" s="481">
        <v>159.83845542795581</v>
      </c>
      <c r="Y14" s="481">
        <v>0</v>
      </c>
      <c r="Z14" s="481">
        <v>2681.3951788806385</v>
      </c>
      <c r="AA14" s="481">
        <v>2099.6663257367036</v>
      </c>
      <c r="AB14" s="481">
        <v>1060.2471991575962</v>
      </c>
      <c r="AC14" s="481">
        <v>221.13864686129787</v>
      </c>
      <c r="AD14" s="481">
        <v>27.223507662849173</v>
      </c>
      <c r="AE14" s="481">
        <v>622.35771214163844</v>
      </c>
      <c r="AF14" s="481">
        <v>0</v>
      </c>
      <c r="AG14" s="481">
        <v>913.84350186772656</v>
      </c>
      <c r="AH14" s="700">
        <f t="shared" si="3"/>
        <v>19038.40628891097</v>
      </c>
      <c r="AI14" s="482">
        <f t="shared" si="4"/>
        <v>19952.249790778696</v>
      </c>
      <c r="AJ14" s="482"/>
      <c r="AK14" s="482"/>
      <c r="AL14" s="585">
        <v>108.27</v>
      </c>
      <c r="AM14" s="585">
        <v>5103.9561433279277</v>
      </c>
      <c r="AN14" s="581">
        <v>0</v>
      </c>
      <c r="AO14" s="581">
        <f t="shared" si="5"/>
        <v>5212.2261433279282</v>
      </c>
    </row>
    <row r="15" spans="1:42" x14ac:dyDescent="0.3">
      <c r="A15" s="476">
        <v>150000502</v>
      </c>
      <c r="B15" s="477" t="s">
        <v>108</v>
      </c>
      <c r="C15" s="478">
        <v>137.30000000000001</v>
      </c>
      <c r="D15" s="483"/>
      <c r="E15" s="480"/>
      <c r="F15" s="480">
        <v>137.30000000000001</v>
      </c>
      <c r="G15" s="481">
        <v>0</v>
      </c>
      <c r="H15" s="481">
        <v>0</v>
      </c>
      <c r="I15" s="481">
        <v>0</v>
      </c>
      <c r="J15" s="481">
        <v>0</v>
      </c>
      <c r="K15" s="481">
        <v>0</v>
      </c>
      <c r="L15" s="481">
        <v>0</v>
      </c>
      <c r="M15" s="587">
        <f t="shared" si="1"/>
        <v>0</v>
      </c>
      <c r="N15" s="481">
        <v>0</v>
      </c>
      <c r="O15" s="481">
        <v>0</v>
      </c>
      <c r="P15" s="481">
        <v>0</v>
      </c>
      <c r="Q15" s="481">
        <v>23.675441072341243</v>
      </c>
      <c r="R15" s="587">
        <f t="shared" si="2"/>
        <v>165.0328071400385</v>
      </c>
      <c r="S15" s="481">
        <v>0</v>
      </c>
      <c r="T15" s="481">
        <v>0</v>
      </c>
      <c r="U15" s="481">
        <v>0</v>
      </c>
      <c r="V15" s="481">
        <v>0</v>
      </c>
      <c r="W15" s="481">
        <v>0</v>
      </c>
      <c r="X15" s="481">
        <v>0</v>
      </c>
      <c r="Y15" s="481">
        <v>0</v>
      </c>
      <c r="Z15" s="481">
        <v>0</v>
      </c>
      <c r="AA15" s="481">
        <v>0</v>
      </c>
      <c r="AB15" s="481">
        <v>0</v>
      </c>
      <c r="AC15" s="481">
        <v>0</v>
      </c>
      <c r="AD15" s="481">
        <v>0</v>
      </c>
      <c r="AE15" s="481">
        <v>0</v>
      </c>
      <c r="AF15" s="481">
        <v>0</v>
      </c>
      <c r="AG15" s="481">
        <v>5.6612474463713927</v>
      </c>
      <c r="AH15" s="700">
        <f t="shared" si="3"/>
        <v>188.70824821237974</v>
      </c>
      <c r="AI15" s="482">
        <f t="shared" si="4"/>
        <v>194.36949565875113</v>
      </c>
      <c r="AJ15" s="482"/>
      <c r="AK15" s="482"/>
      <c r="AL15" s="585">
        <v>33.74</v>
      </c>
      <c r="AM15" s="585">
        <v>131.29280714003849</v>
      </c>
      <c r="AN15" s="581">
        <v>0</v>
      </c>
      <c r="AO15" s="581">
        <f t="shared" si="5"/>
        <v>165.0328071400385</v>
      </c>
    </row>
    <row r="16" spans="1:42" x14ac:dyDescent="0.3">
      <c r="A16" s="476">
        <v>150000503</v>
      </c>
      <c r="B16" s="477" t="s">
        <v>109</v>
      </c>
      <c r="C16" s="478">
        <v>211.6</v>
      </c>
      <c r="D16" s="483"/>
      <c r="E16" s="480"/>
      <c r="F16" s="480">
        <v>211.6</v>
      </c>
      <c r="G16" s="481">
        <v>2.4756214974128523E-2</v>
      </c>
      <c r="H16" s="481">
        <v>0</v>
      </c>
      <c r="I16" s="481">
        <v>0</v>
      </c>
      <c r="J16" s="481">
        <v>0</v>
      </c>
      <c r="K16" s="481">
        <v>0</v>
      </c>
      <c r="L16" s="481">
        <v>0</v>
      </c>
      <c r="M16" s="587">
        <f t="shared" si="1"/>
        <v>0</v>
      </c>
      <c r="N16" s="481">
        <v>0</v>
      </c>
      <c r="O16" s="481">
        <v>0</v>
      </c>
      <c r="P16" s="481">
        <v>0</v>
      </c>
      <c r="Q16" s="481">
        <v>31.567254763121657</v>
      </c>
      <c r="R16" s="587">
        <f t="shared" si="2"/>
        <v>245.66694134801821</v>
      </c>
      <c r="S16" s="481">
        <v>1.2370271027029324E-3</v>
      </c>
      <c r="T16" s="481">
        <v>0</v>
      </c>
      <c r="U16" s="481">
        <v>0</v>
      </c>
      <c r="V16" s="481">
        <v>0</v>
      </c>
      <c r="W16" s="481">
        <v>0</v>
      </c>
      <c r="X16" s="481">
        <v>0</v>
      </c>
      <c r="Y16" s="481">
        <v>0</v>
      </c>
      <c r="Z16" s="481">
        <v>0</v>
      </c>
      <c r="AA16" s="481">
        <v>0</v>
      </c>
      <c r="AB16" s="481">
        <v>0</v>
      </c>
      <c r="AC16" s="481">
        <v>0</v>
      </c>
      <c r="AD16" s="481">
        <v>0</v>
      </c>
      <c r="AE16" s="481">
        <v>0</v>
      </c>
      <c r="AF16" s="481">
        <v>0</v>
      </c>
      <c r="AG16" s="481">
        <v>8.3178056805965017</v>
      </c>
      <c r="AH16" s="700">
        <f t="shared" si="3"/>
        <v>277.26018935321673</v>
      </c>
      <c r="AI16" s="482">
        <f t="shared" si="4"/>
        <v>285.57799503381324</v>
      </c>
      <c r="AJ16" s="482"/>
      <c r="AK16" s="482"/>
      <c r="AL16" s="585">
        <v>31.86</v>
      </c>
      <c r="AM16" s="585">
        <v>213.8069413480182</v>
      </c>
      <c r="AN16" s="581">
        <v>0</v>
      </c>
      <c r="AO16" s="581">
        <f t="shared" si="5"/>
        <v>245.66694134801821</v>
      </c>
    </row>
    <row r="17" spans="1:41" x14ac:dyDescent="0.3">
      <c r="A17" s="476">
        <v>150000504</v>
      </c>
      <c r="B17" s="477" t="s">
        <v>110</v>
      </c>
      <c r="C17" s="478">
        <v>180.6</v>
      </c>
      <c r="D17" s="483"/>
      <c r="E17" s="480"/>
      <c r="F17" s="480">
        <v>180.6</v>
      </c>
      <c r="G17" s="481">
        <v>0</v>
      </c>
      <c r="H17" s="481">
        <v>0</v>
      </c>
      <c r="I17" s="481">
        <v>0</v>
      </c>
      <c r="J17" s="481">
        <v>0</v>
      </c>
      <c r="K17" s="481">
        <v>0</v>
      </c>
      <c r="L17" s="481">
        <v>0</v>
      </c>
      <c r="M17" s="587">
        <f t="shared" si="1"/>
        <v>0</v>
      </c>
      <c r="N17" s="481">
        <v>0</v>
      </c>
      <c r="O17" s="481">
        <v>0</v>
      </c>
      <c r="P17" s="481">
        <v>0</v>
      </c>
      <c r="Q17" s="481">
        <v>19.729534226951035</v>
      </c>
      <c r="R17" s="587">
        <f t="shared" si="2"/>
        <v>221.79432006930151</v>
      </c>
      <c r="S17" s="481">
        <v>0</v>
      </c>
      <c r="T17" s="481">
        <v>0</v>
      </c>
      <c r="U17" s="481">
        <v>0</v>
      </c>
      <c r="V17" s="481">
        <v>0</v>
      </c>
      <c r="W17" s="481">
        <v>0</v>
      </c>
      <c r="X17" s="481">
        <v>0</v>
      </c>
      <c r="Y17" s="481">
        <v>0</v>
      </c>
      <c r="Z17" s="481">
        <v>0</v>
      </c>
      <c r="AA17" s="481">
        <v>0</v>
      </c>
      <c r="AB17" s="481">
        <v>0</v>
      </c>
      <c r="AC17" s="481">
        <v>0</v>
      </c>
      <c r="AD17" s="481">
        <v>0</v>
      </c>
      <c r="AE17" s="481">
        <v>0</v>
      </c>
      <c r="AF17" s="481">
        <v>0</v>
      </c>
      <c r="AG17" s="481">
        <v>7.2457156288875755</v>
      </c>
      <c r="AH17" s="700">
        <f t="shared" si="3"/>
        <v>241.52385429625255</v>
      </c>
      <c r="AI17" s="482">
        <f t="shared" si="4"/>
        <v>248.76956992514013</v>
      </c>
      <c r="AJ17" s="482"/>
      <c r="AK17" s="482"/>
      <c r="AL17" s="585">
        <v>48.15</v>
      </c>
      <c r="AM17" s="585">
        <v>173.6443200693015</v>
      </c>
      <c r="AN17" s="581">
        <v>0</v>
      </c>
      <c r="AO17" s="581">
        <f t="shared" si="5"/>
        <v>221.79432006930151</v>
      </c>
    </row>
    <row r="18" spans="1:41" x14ac:dyDescent="0.3">
      <c r="A18" s="476">
        <v>150000505</v>
      </c>
      <c r="B18" s="477" t="s">
        <v>112</v>
      </c>
      <c r="C18" s="478">
        <v>180.22</v>
      </c>
      <c r="D18" s="483"/>
      <c r="E18" s="480"/>
      <c r="F18" s="480">
        <v>180.22</v>
      </c>
      <c r="G18" s="481">
        <v>0</v>
      </c>
      <c r="H18" s="481">
        <v>0</v>
      </c>
      <c r="I18" s="481">
        <v>0</v>
      </c>
      <c r="J18" s="481">
        <v>0</v>
      </c>
      <c r="K18" s="481">
        <v>0</v>
      </c>
      <c r="L18" s="481">
        <v>0</v>
      </c>
      <c r="M18" s="587">
        <f t="shared" si="1"/>
        <v>0</v>
      </c>
      <c r="N18" s="481">
        <v>0</v>
      </c>
      <c r="O18" s="481">
        <v>0</v>
      </c>
      <c r="P18" s="481">
        <v>0</v>
      </c>
      <c r="Q18" s="481">
        <v>35.513161608511865</v>
      </c>
      <c r="R18" s="587">
        <f t="shared" si="2"/>
        <v>225.59019316779228</v>
      </c>
      <c r="S18" s="481">
        <v>0</v>
      </c>
      <c r="T18" s="481">
        <v>0</v>
      </c>
      <c r="U18" s="481">
        <v>0</v>
      </c>
      <c r="V18" s="481">
        <v>0</v>
      </c>
      <c r="W18" s="481">
        <v>0</v>
      </c>
      <c r="X18" s="481">
        <v>0</v>
      </c>
      <c r="Y18" s="481">
        <v>0</v>
      </c>
      <c r="Z18" s="481">
        <v>0</v>
      </c>
      <c r="AA18" s="481">
        <v>0</v>
      </c>
      <c r="AB18" s="481">
        <v>0</v>
      </c>
      <c r="AC18" s="481">
        <v>0</v>
      </c>
      <c r="AD18" s="481">
        <v>0</v>
      </c>
      <c r="AE18" s="481">
        <v>0</v>
      </c>
      <c r="AF18" s="481">
        <v>0</v>
      </c>
      <c r="AG18" s="481">
        <v>7.833100643289125</v>
      </c>
      <c r="AH18" s="700">
        <f t="shared" si="3"/>
        <v>261.10335477630417</v>
      </c>
      <c r="AI18" s="482">
        <f t="shared" si="4"/>
        <v>268.9364554195933</v>
      </c>
      <c r="AJ18" s="482"/>
      <c r="AK18" s="482"/>
      <c r="AL18" s="585">
        <v>32.880000000000003</v>
      </c>
      <c r="AM18" s="585">
        <v>192.71019316779228</v>
      </c>
      <c r="AN18" s="581">
        <v>0</v>
      </c>
      <c r="AO18" s="581">
        <f t="shared" si="5"/>
        <v>225.59019316779228</v>
      </c>
    </row>
    <row r="19" spans="1:41" x14ac:dyDescent="0.3">
      <c r="A19" s="476">
        <v>150000506</v>
      </c>
      <c r="B19" s="477" t="s">
        <v>111</v>
      </c>
      <c r="C19" s="478">
        <v>102.4</v>
      </c>
      <c r="D19" s="483"/>
      <c r="E19" s="480"/>
      <c r="F19" s="480">
        <v>102.4</v>
      </c>
      <c r="G19" s="481">
        <v>0</v>
      </c>
      <c r="H19" s="481">
        <v>0</v>
      </c>
      <c r="I19" s="481">
        <v>0</v>
      </c>
      <c r="J19" s="481">
        <v>0</v>
      </c>
      <c r="K19" s="481">
        <v>0</v>
      </c>
      <c r="L19" s="481">
        <v>0</v>
      </c>
      <c r="M19" s="587">
        <f t="shared" si="1"/>
        <v>0</v>
      </c>
      <c r="N19" s="481">
        <v>0</v>
      </c>
      <c r="O19" s="481">
        <v>0</v>
      </c>
      <c r="P19" s="481">
        <v>0</v>
      </c>
      <c r="Q19" s="481">
        <v>27.621347917731452</v>
      </c>
      <c r="R19" s="587">
        <f t="shared" si="2"/>
        <v>143.3008472898224</v>
      </c>
      <c r="S19" s="481">
        <v>0</v>
      </c>
      <c r="T19" s="481">
        <v>0</v>
      </c>
      <c r="U19" s="481">
        <v>0</v>
      </c>
      <c r="V19" s="481">
        <v>0</v>
      </c>
      <c r="W19" s="481">
        <v>0</v>
      </c>
      <c r="X19" s="481">
        <v>0</v>
      </c>
      <c r="Y19" s="481">
        <v>0</v>
      </c>
      <c r="Z19" s="481">
        <v>0</v>
      </c>
      <c r="AA19" s="481">
        <v>0</v>
      </c>
      <c r="AB19" s="481">
        <v>0</v>
      </c>
      <c r="AC19" s="481">
        <v>0</v>
      </c>
      <c r="AD19" s="481">
        <v>0</v>
      </c>
      <c r="AE19" s="481">
        <v>0</v>
      </c>
      <c r="AF19" s="481">
        <v>0</v>
      </c>
      <c r="AG19" s="481">
        <v>5.1276658562266153</v>
      </c>
      <c r="AH19" s="700">
        <f t="shared" si="3"/>
        <v>170.92219520755384</v>
      </c>
      <c r="AI19" s="482">
        <f t="shared" si="4"/>
        <v>176.04986106378047</v>
      </c>
      <c r="AJ19" s="482"/>
      <c r="AK19" s="482"/>
      <c r="AL19" s="585">
        <v>31.87</v>
      </c>
      <c r="AM19" s="585">
        <v>111.4308472898224</v>
      </c>
      <c r="AN19" s="581">
        <v>0</v>
      </c>
      <c r="AO19" s="581">
        <f t="shared" si="5"/>
        <v>143.3008472898224</v>
      </c>
    </row>
    <row r="20" spans="1:41" x14ac:dyDescent="0.3">
      <c r="A20" s="476">
        <v>150000507</v>
      </c>
      <c r="B20" s="477" t="s">
        <v>113</v>
      </c>
      <c r="C20" s="478">
        <v>278.3</v>
      </c>
      <c r="D20" s="483"/>
      <c r="E20" s="480">
        <v>51.4</v>
      </c>
      <c r="F20" s="480">
        <v>329.7</v>
      </c>
      <c r="G20" s="481">
        <v>0</v>
      </c>
      <c r="H20" s="481">
        <v>0</v>
      </c>
      <c r="I20" s="481">
        <v>0</v>
      </c>
      <c r="J20" s="481">
        <v>0</v>
      </c>
      <c r="K20" s="481">
        <v>0</v>
      </c>
      <c r="L20" s="481">
        <v>0</v>
      </c>
      <c r="M20" s="587">
        <f t="shared" si="1"/>
        <v>0</v>
      </c>
      <c r="N20" s="481">
        <v>0</v>
      </c>
      <c r="O20" s="481">
        <v>0</v>
      </c>
      <c r="P20" s="481">
        <v>0</v>
      </c>
      <c r="Q20" s="481">
        <v>31.567254763121657</v>
      </c>
      <c r="R20" s="587">
        <f t="shared" si="2"/>
        <v>349.83791772048988</v>
      </c>
      <c r="S20" s="481">
        <v>0</v>
      </c>
      <c r="T20" s="481">
        <v>0</v>
      </c>
      <c r="U20" s="481">
        <v>0</v>
      </c>
      <c r="V20" s="481">
        <v>0</v>
      </c>
      <c r="W20" s="481">
        <v>0</v>
      </c>
      <c r="X20" s="481">
        <v>0</v>
      </c>
      <c r="Y20" s="481">
        <v>0</v>
      </c>
      <c r="Z20" s="481">
        <v>0</v>
      </c>
      <c r="AA20" s="481">
        <v>0</v>
      </c>
      <c r="AB20" s="481">
        <v>0</v>
      </c>
      <c r="AC20" s="481">
        <v>0</v>
      </c>
      <c r="AD20" s="481">
        <v>0</v>
      </c>
      <c r="AE20" s="481">
        <v>0</v>
      </c>
      <c r="AF20" s="481">
        <v>0</v>
      </c>
      <c r="AG20" s="481">
        <v>11.442155174508345</v>
      </c>
      <c r="AH20" s="700">
        <f t="shared" si="3"/>
        <v>381.40517248361152</v>
      </c>
      <c r="AI20" s="482">
        <f t="shared" si="4"/>
        <v>392.84732765811987</v>
      </c>
      <c r="AJ20" s="482"/>
      <c r="AK20" s="482"/>
      <c r="AL20" s="585">
        <v>63.19</v>
      </c>
      <c r="AM20" s="585">
        <v>286.64791772048989</v>
      </c>
      <c r="AN20" s="581">
        <v>0</v>
      </c>
      <c r="AO20" s="581">
        <f t="shared" si="5"/>
        <v>349.83791772048988</v>
      </c>
    </row>
    <row r="21" spans="1:41" x14ac:dyDescent="0.3">
      <c r="A21" s="476">
        <v>150000508</v>
      </c>
      <c r="B21" s="477" t="s">
        <v>114</v>
      </c>
      <c r="C21" s="478">
        <v>151.80000000000001</v>
      </c>
      <c r="D21" s="483"/>
      <c r="E21" s="480"/>
      <c r="F21" s="480">
        <v>151.80000000000001</v>
      </c>
      <c r="G21" s="481">
        <v>0</v>
      </c>
      <c r="H21" s="481">
        <v>0</v>
      </c>
      <c r="I21" s="481">
        <v>0</v>
      </c>
      <c r="J21" s="481">
        <v>0</v>
      </c>
      <c r="K21" s="481">
        <v>0</v>
      </c>
      <c r="L21" s="481">
        <v>0</v>
      </c>
      <c r="M21" s="587">
        <f t="shared" si="1"/>
        <v>0</v>
      </c>
      <c r="N21" s="481">
        <v>0</v>
      </c>
      <c r="O21" s="481">
        <v>0</v>
      </c>
      <c r="P21" s="481">
        <v>0</v>
      </c>
      <c r="Q21" s="481">
        <v>15.783627381560828</v>
      </c>
      <c r="R21" s="587">
        <f t="shared" si="2"/>
        <v>146.57485153938975</v>
      </c>
      <c r="S21" s="481">
        <v>0</v>
      </c>
      <c r="T21" s="481">
        <v>0</v>
      </c>
      <c r="U21" s="481">
        <v>0</v>
      </c>
      <c r="V21" s="481">
        <v>0</v>
      </c>
      <c r="W21" s="481">
        <v>0</v>
      </c>
      <c r="X21" s="481">
        <v>0</v>
      </c>
      <c r="Y21" s="481">
        <v>0</v>
      </c>
      <c r="Z21" s="481">
        <v>0</v>
      </c>
      <c r="AA21" s="481">
        <v>0</v>
      </c>
      <c r="AB21" s="481">
        <v>0</v>
      </c>
      <c r="AC21" s="481">
        <v>0</v>
      </c>
      <c r="AD21" s="481">
        <v>0</v>
      </c>
      <c r="AE21" s="481">
        <v>0</v>
      </c>
      <c r="AF21" s="481">
        <v>0</v>
      </c>
      <c r="AG21" s="481">
        <v>4.8707543676285177</v>
      </c>
      <c r="AH21" s="700">
        <f t="shared" si="3"/>
        <v>162.35847892095057</v>
      </c>
      <c r="AI21" s="482">
        <f t="shared" si="4"/>
        <v>167.22923328857908</v>
      </c>
      <c r="AJ21" s="482"/>
      <c r="AK21" s="482"/>
      <c r="AL21" s="585">
        <v>19.34</v>
      </c>
      <c r="AM21" s="585">
        <v>127.23485153938975</v>
      </c>
      <c r="AN21" s="581">
        <v>0</v>
      </c>
      <c r="AO21" s="581">
        <f t="shared" si="5"/>
        <v>146.57485153938975</v>
      </c>
    </row>
    <row r="22" spans="1:41" x14ac:dyDescent="0.3">
      <c r="A22" s="476">
        <v>150000509</v>
      </c>
      <c r="B22" s="477" t="s">
        <v>52</v>
      </c>
      <c r="C22" s="478">
        <v>249.8</v>
      </c>
      <c r="D22" s="483"/>
      <c r="E22" s="480"/>
      <c r="F22" s="480">
        <v>249.8</v>
      </c>
      <c r="G22" s="481">
        <v>0</v>
      </c>
      <c r="H22" s="481">
        <v>0</v>
      </c>
      <c r="I22" s="481">
        <v>0</v>
      </c>
      <c r="J22" s="481">
        <v>0</v>
      </c>
      <c r="K22" s="481">
        <v>0</v>
      </c>
      <c r="L22" s="481">
        <v>0</v>
      </c>
      <c r="M22" s="587">
        <f t="shared" si="1"/>
        <v>0</v>
      </c>
      <c r="N22" s="481">
        <v>0</v>
      </c>
      <c r="O22" s="481">
        <v>0</v>
      </c>
      <c r="P22" s="481">
        <v>0</v>
      </c>
      <c r="Q22" s="481">
        <v>47.350882144682487</v>
      </c>
      <c r="R22" s="587">
        <f t="shared" si="2"/>
        <v>270.81982285553391</v>
      </c>
      <c r="S22" s="481">
        <v>0</v>
      </c>
      <c r="T22" s="481">
        <v>0</v>
      </c>
      <c r="U22" s="481">
        <v>0</v>
      </c>
      <c r="V22" s="481">
        <v>0</v>
      </c>
      <c r="W22" s="481">
        <v>0</v>
      </c>
      <c r="X22" s="481">
        <v>0</v>
      </c>
      <c r="Y22" s="481">
        <v>0</v>
      </c>
      <c r="Z22" s="481">
        <v>0</v>
      </c>
      <c r="AA22" s="481">
        <v>0</v>
      </c>
      <c r="AB22" s="481">
        <v>0</v>
      </c>
      <c r="AC22" s="481">
        <v>0</v>
      </c>
      <c r="AD22" s="481">
        <v>0</v>
      </c>
      <c r="AE22" s="481">
        <v>0</v>
      </c>
      <c r="AF22" s="481">
        <v>0</v>
      </c>
      <c r="AG22" s="481">
        <v>9.5451211500064908</v>
      </c>
      <c r="AH22" s="700">
        <f t="shared" si="3"/>
        <v>318.1707050002164</v>
      </c>
      <c r="AI22" s="482">
        <f t="shared" si="4"/>
        <v>327.71582615022288</v>
      </c>
      <c r="AJ22" s="482"/>
      <c r="AK22" s="482"/>
      <c r="AL22" s="585">
        <v>27.19</v>
      </c>
      <c r="AM22" s="585">
        <v>243.62982285553389</v>
      </c>
      <c r="AN22" s="581">
        <v>0</v>
      </c>
      <c r="AO22" s="581">
        <f t="shared" si="5"/>
        <v>270.81982285553391</v>
      </c>
    </row>
    <row r="23" spans="1:41" x14ac:dyDescent="0.3">
      <c r="A23" s="476">
        <v>150000510</v>
      </c>
      <c r="B23" s="477" t="s">
        <v>248</v>
      </c>
      <c r="C23" s="478">
        <v>2796.95</v>
      </c>
      <c r="D23" s="479"/>
      <c r="E23" s="480">
        <v>92.11</v>
      </c>
      <c r="F23" s="480">
        <v>2889.06</v>
      </c>
      <c r="G23" s="481">
        <v>552.08594737976443</v>
      </c>
      <c r="H23" s="481">
        <v>103.14449876320194</v>
      </c>
      <c r="I23" s="481">
        <v>358.35</v>
      </c>
      <c r="J23" s="481">
        <v>0</v>
      </c>
      <c r="K23" s="481">
        <v>0</v>
      </c>
      <c r="L23" s="481">
        <v>443.99101743387916</v>
      </c>
      <c r="M23" s="587">
        <f t="shared" si="1"/>
        <v>0</v>
      </c>
      <c r="N23" s="481">
        <v>1029.4278207765349</v>
      </c>
      <c r="O23" s="481">
        <v>0</v>
      </c>
      <c r="P23" s="481">
        <v>0</v>
      </c>
      <c r="Q23" s="481">
        <v>114.43129851631601</v>
      </c>
      <c r="R23" s="587">
        <f t="shared" si="2"/>
        <v>1984.3593443818027</v>
      </c>
      <c r="S23" s="481">
        <v>99.650552224093673</v>
      </c>
      <c r="T23" s="481">
        <v>132.93444295331673</v>
      </c>
      <c r="U23" s="481">
        <v>169.54804091581531</v>
      </c>
      <c r="V23" s="481">
        <v>0</v>
      </c>
      <c r="W23" s="481">
        <v>0</v>
      </c>
      <c r="X23" s="481">
        <v>61.236720446205524</v>
      </c>
      <c r="Y23" s="481">
        <v>0</v>
      </c>
      <c r="Z23" s="481">
        <v>2500.1592267194928</v>
      </c>
      <c r="AA23" s="481">
        <v>1389.4685596093739</v>
      </c>
      <c r="AB23" s="481">
        <v>946.09507071561768</v>
      </c>
      <c r="AC23" s="481">
        <v>0</v>
      </c>
      <c r="AD23" s="481">
        <v>0</v>
      </c>
      <c r="AE23" s="481">
        <v>241.76803353873177</v>
      </c>
      <c r="AF23" s="481">
        <v>0</v>
      </c>
      <c r="AG23" s="481">
        <v>607.59903446244869</v>
      </c>
      <c r="AH23" s="700">
        <f t="shared" si="3"/>
        <v>10126.650574374145</v>
      </c>
      <c r="AI23" s="482">
        <f t="shared" si="4"/>
        <v>10734.249608836593</v>
      </c>
      <c r="AJ23" s="482"/>
      <c r="AK23" s="482"/>
      <c r="AL23" s="585">
        <v>49.39</v>
      </c>
      <c r="AM23" s="585">
        <v>1934.9693443818026</v>
      </c>
      <c r="AN23" s="581">
        <v>0</v>
      </c>
      <c r="AO23" s="581">
        <f t="shared" si="5"/>
        <v>1984.3593443818027</v>
      </c>
    </row>
    <row r="24" spans="1:41" x14ac:dyDescent="0.3">
      <c r="A24" s="476">
        <v>150000511</v>
      </c>
      <c r="B24" s="477" t="s">
        <v>249</v>
      </c>
      <c r="C24" s="478">
        <v>3219.5</v>
      </c>
      <c r="D24" s="479"/>
      <c r="E24" s="480"/>
      <c r="F24" s="480">
        <v>3219.5</v>
      </c>
      <c r="G24" s="481">
        <v>1005.2935292911754</v>
      </c>
      <c r="H24" s="481">
        <v>190.36011026335626</v>
      </c>
      <c r="I24" s="481">
        <v>403.96</v>
      </c>
      <c r="J24" s="481">
        <v>0</v>
      </c>
      <c r="K24" s="481">
        <v>0</v>
      </c>
      <c r="L24" s="481">
        <v>621.64213222131195</v>
      </c>
      <c r="M24" s="587">
        <f t="shared" si="1"/>
        <v>0</v>
      </c>
      <c r="N24" s="481">
        <v>1147.1699684291964</v>
      </c>
      <c r="O24" s="481">
        <v>0</v>
      </c>
      <c r="P24" s="481">
        <v>0</v>
      </c>
      <c r="Q24" s="481">
        <v>947.01764289364974</v>
      </c>
      <c r="R24" s="587">
        <f t="shared" si="2"/>
        <v>2476.4167683798369</v>
      </c>
      <c r="S24" s="481">
        <v>159.0451346721687</v>
      </c>
      <c r="T24" s="481">
        <v>245.36814207708687</v>
      </c>
      <c r="U24" s="481">
        <v>182.94222494346428</v>
      </c>
      <c r="V24" s="481">
        <v>0</v>
      </c>
      <c r="W24" s="481">
        <v>0</v>
      </c>
      <c r="X24" s="481">
        <v>87.314369523557232</v>
      </c>
      <c r="Y24" s="481">
        <v>0</v>
      </c>
      <c r="Z24" s="481">
        <v>3060.7544445300941</v>
      </c>
      <c r="AA24" s="481">
        <v>1579.9288450892941</v>
      </c>
      <c r="AB24" s="481">
        <v>1340.8834738523237</v>
      </c>
      <c r="AC24" s="481">
        <v>164.29753379641758</v>
      </c>
      <c r="AD24" s="481">
        <v>20.226022152968074</v>
      </c>
      <c r="AE24" s="481">
        <v>372.79070977907668</v>
      </c>
      <c r="AF24" s="481">
        <v>0</v>
      </c>
      <c r="AG24" s="481">
        <v>588.22726417958904</v>
      </c>
      <c r="AH24" s="700">
        <f t="shared" si="3"/>
        <v>14005.411051894978</v>
      </c>
      <c r="AI24" s="482">
        <f t="shared" si="4"/>
        <v>14593.638316074568</v>
      </c>
      <c r="AJ24" s="482"/>
      <c r="AK24" s="482"/>
      <c r="AL24" s="585">
        <v>163.36000000000001</v>
      </c>
      <c r="AM24" s="585">
        <v>2313.0567683798367</v>
      </c>
      <c r="AN24" s="581">
        <v>0</v>
      </c>
      <c r="AO24" s="581">
        <f t="shared" si="5"/>
        <v>2476.4167683798369</v>
      </c>
    </row>
    <row r="25" spans="1:41" x14ac:dyDescent="0.3">
      <c r="A25" s="476">
        <v>150000512</v>
      </c>
      <c r="B25" s="477" t="s">
        <v>250</v>
      </c>
      <c r="C25" s="478">
        <v>1738.1</v>
      </c>
      <c r="D25" s="479"/>
      <c r="E25" s="480">
        <v>133.6</v>
      </c>
      <c r="F25" s="480">
        <v>1871.6999999999998</v>
      </c>
      <c r="G25" s="481">
        <v>449.88922942766817</v>
      </c>
      <c r="H25" s="481">
        <v>97.473144835936864</v>
      </c>
      <c r="I25" s="481">
        <v>195.16</v>
      </c>
      <c r="J25" s="481">
        <v>0</v>
      </c>
      <c r="K25" s="481">
        <v>0</v>
      </c>
      <c r="L25" s="481">
        <v>274.23953147654481</v>
      </c>
      <c r="M25" s="587">
        <f t="shared" si="1"/>
        <v>0</v>
      </c>
      <c r="N25" s="481">
        <v>666.92282339149767</v>
      </c>
      <c r="O25" s="481">
        <v>0</v>
      </c>
      <c r="P25" s="481">
        <v>0</v>
      </c>
      <c r="Q25" s="481">
        <v>437.99565983831303</v>
      </c>
      <c r="R25" s="587">
        <f t="shared" si="2"/>
        <v>1601.5351139335014</v>
      </c>
      <c r="S25" s="481">
        <v>70.595674441481407</v>
      </c>
      <c r="T25" s="481">
        <v>125.6314726853437</v>
      </c>
      <c r="U25" s="481">
        <v>119.45823316845545</v>
      </c>
      <c r="V25" s="481">
        <v>0</v>
      </c>
      <c r="W25" s="481">
        <v>0</v>
      </c>
      <c r="X25" s="481">
        <v>35.019697931659508</v>
      </c>
      <c r="Y25" s="481">
        <v>0</v>
      </c>
      <c r="Z25" s="481">
        <v>925.17043655218492</v>
      </c>
      <c r="AA25" s="481">
        <v>667.18074556202612</v>
      </c>
      <c r="AB25" s="481">
        <v>540.11222957386553</v>
      </c>
      <c r="AC25" s="481">
        <v>43.482593608062778</v>
      </c>
      <c r="AD25" s="481">
        <v>5.3529708040228803</v>
      </c>
      <c r="AE25" s="481">
        <v>360.31235966094863</v>
      </c>
      <c r="AF25" s="481">
        <v>0</v>
      </c>
      <c r="AG25" s="481">
        <v>396.93191501349077</v>
      </c>
      <c r="AH25" s="700">
        <f t="shared" si="3"/>
        <v>6615.531916891513</v>
      </c>
      <c r="AI25" s="482">
        <f t="shared" si="4"/>
        <v>7012.4638319050036</v>
      </c>
      <c r="AJ25" s="482"/>
      <c r="AK25" s="482"/>
      <c r="AL25" s="585">
        <v>65.67</v>
      </c>
      <c r="AM25" s="585">
        <v>1535.8651139335013</v>
      </c>
      <c r="AN25" s="581">
        <v>0</v>
      </c>
      <c r="AO25" s="581">
        <f t="shared" si="5"/>
        <v>1601.5351139335014</v>
      </c>
    </row>
    <row r="26" spans="1:41" x14ac:dyDescent="0.3">
      <c r="A26" s="476">
        <v>150000513</v>
      </c>
      <c r="B26" s="477" t="s">
        <v>333</v>
      </c>
      <c r="C26" s="478">
        <v>2148</v>
      </c>
      <c r="D26" s="479"/>
      <c r="E26" s="480">
        <v>1482</v>
      </c>
      <c r="F26" s="480">
        <v>3630</v>
      </c>
      <c r="G26" s="481">
        <v>673.383001135158</v>
      </c>
      <c r="H26" s="481">
        <v>134.80561864333092</v>
      </c>
      <c r="I26" s="481">
        <v>462.95</v>
      </c>
      <c r="J26" s="481">
        <v>97.06</v>
      </c>
      <c r="K26" s="481">
        <v>33.993560156560171</v>
      </c>
      <c r="L26" s="481">
        <v>332.75343360137714</v>
      </c>
      <c r="M26" s="587">
        <f t="shared" si="1"/>
        <v>0</v>
      </c>
      <c r="N26" s="481">
        <v>1293.4390387942174</v>
      </c>
      <c r="O26" s="481">
        <v>0</v>
      </c>
      <c r="P26" s="481">
        <v>0</v>
      </c>
      <c r="Q26" s="481">
        <v>102.59357798014538</v>
      </c>
      <c r="R26" s="587">
        <f t="shared" si="2"/>
        <v>3966.4619061528742</v>
      </c>
      <c r="S26" s="481">
        <v>127.18333563388848</v>
      </c>
      <c r="T26" s="481">
        <v>173.75147446923006</v>
      </c>
      <c r="U26" s="481">
        <v>214.32563800043778</v>
      </c>
      <c r="V26" s="481">
        <v>82.057717972193146</v>
      </c>
      <c r="W26" s="481">
        <v>34.489628303940485</v>
      </c>
      <c r="X26" s="481">
        <v>36.876583345726203</v>
      </c>
      <c r="Y26" s="481">
        <v>0</v>
      </c>
      <c r="Z26" s="481">
        <v>1142.3042498986165</v>
      </c>
      <c r="AA26" s="481">
        <v>1320.7821590470717</v>
      </c>
      <c r="AB26" s="481">
        <v>718.40509192891216</v>
      </c>
      <c r="AC26" s="481">
        <v>0</v>
      </c>
      <c r="AD26" s="481">
        <v>0</v>
      </c>
      <c r="AE26" s="481">
        <v>205.89277694911348</v>
      </c>
      <c r="AF26" s="481">
        <v>0</v>
      </c>
      <c r="AG26" s="481">
        <v>334.60526376038382</v>
      </c>
      <c r="AH26" s="700">
        <f t="shared" si="3"/>
        <v>11153.508792012793</v>
      </c>
      <c r="AI26" s="482">
        <f t="shared" si="4"/>
        <v>11488.114055773178</v>
      </c>
      <c r="AJ26" s="482"/>
      <c r="AK26" s="482"/>
      <c r="AL26" s="585">
        <v>10.61</v>
      </c>
      <c r="AM26" s="585">
        <v>3955.8519061528741</v>
      </c>
      <c r="AN26" s="581">
        <v>0</v>
      </c>
      <c r="AO26" s="581">
        <f t="shared" si="5"/>
        <v>3966.4619061528742</v>
      </c>
    </row>
    <row r="27" spans="1:41" x14ac:dyDescent="0.3">
      <c r="A27" s="476">
        <v>150000514</v>
      </c>
      <c r="B27" s="477" t="s">
        <v>151</v>
      </c>
      <c r="C27" s="478">
        <v>253.5</v>
      </c>
      <c r="D27" s="479"/>
      <c r="E27" s="480"/>
      <c r="F27" s="480">
        <v>253.5</v>
      </c>
      <c r="G27" s="481">
        <v>121.30744746162766</v>
      </c>
      <c r="H27" s="481">
        <v>23.869142200078286</v>
      </c>
      <c r="I27" s="481">
        <v>32.04</v>
      </c>
      <c r="J27" s="481">
        <v>0</v>
      </c>
      <c r="K27" s="481">
        <v>0</v>
      </c>
      <c r="L27" s="481">
        <v>80.359004089472322</v>
      </c>
      <c r="M27" s="587">
        <f t="shared" si="1"/>
        <v>0</v>
      </c>
      <c r="N27" s="481">
        <v>90.326941138935027</v>
      </c>
      <c r="O27" s="481">
        <v>0</v>
      </c>
      <c r="P27" s="481">
        <v>0</v>
      </c>
      <c r="Q27" s="481">
        <v>47.350882144682487</v>
      </c>
      <c r="R27" s="587">
        <f t="shared" si="2"/>
        <v>420.40279608352751</v>
      </c>
      <c r="S27" s="481">
        <v>25.897230972721005</v>
      </c>
      <c r="T27" s="481">
        <v>30.775406552125418</v>
      </c>
      <c r="U27" s="481">
        <v>6.0518306708320306</v>
      </c>
      <c r="V27" s="481">
        <v>0</v>
      </c>
      <c r="W27" s="481">
        <v>0</v>
      </c>
      <c r="X27" s="481">
        <v>6.5655994250196654</v>
      </c>
      <c r="Y27" s="481">
        <v>0</v>
      </c>
      <c r="Z27" s="481">
        <v>0</v>
      </c>
      <c r="AA27" s="481">
        <v>15.72950064205101</v>
      </c>
      <c r="AB27" s="481">
        <v>0</v>
      </c>
      <c r="AC27" s="481">
        <v>0</v>
      </c>
      <c r="AD27" s="481">
        <v>0</v>
      </c>
      <c r="AE27" s="481">
        <v>20.277318941958143</v>
      </c>
      <c r="AF27" s="481">
        <v>0</v>
      </c>
      <c r="AG27" s="481">
        <v>16.577155805814545</v>
      </c>
      <c r="AH27" s="700">
        <f t="shared" si="3"/>
        <v>920.95310032303041</v>
      </c>
      <c r="AI27" s="482">
        <f t="shared" si="4"/>
        <v>937.53025612884494</v>
      </c>
      <c r="AJ27" s="482"/>
      <c r="AK27" s="482"/>
      <c r="AL27" s="585">
        <v>25.61</v>
      </c>
      <c r="AM27" s="585">
        <v>394.79279608352749</v>
      </c>
      <c r="AN27" s="581">
        <v>0</v>
      </c>
      <c r="AO27" s="581">
        <f t="shared" si="5"/>
        <v>420.40279608352751</v>
      </c>
    </row>
    <row r="28" spans="1:41" x14ac:dyDescent="0.3">
      <c r="A28" s="476">
        <v>150000515</v>
      </c>
      <c r="B28" s="477" t="s">
        <v>53</v>
      </c>
      <c r="C28" s="478">
        <v>200.6</v>
      </c>
      <c r="D28" s="483"/>
      <c r="E28" s="480"/>
      <c r="F28" s="480">
        <v>200.6</v>
      </c>
      <c r="G28" s="481">
        <v>0</v>
      </c>
      <c r="H28" s="481">
        <v>0</v>
      </c>
      <c r="I28" s="481">
        <v>0</v>
      </c>
      <c r="J28" s="481">
        <v>0</v>
      </c>
      <c r="K28" s="481">
        <v>0</v>
      </c>
      <c r="L28" s="481">
        <v>0</v>
      </c>
      <c r="M28" s="587">
        <f t="shared" si="1"/>
        <v>0</v>
      </c>
      <c r="N28" s="481">
        <v>0</v>
      </c>
      <c r="O28" s="481">
        <v>0</v>
      </c>
      <c r="P28" s="481">
        <v>0</v>
      </c>
      <c r="Q28" s="481">
        <v>47.350882144682487</v>
      </c>
      <c r="R28" s="587">
        <f t="shared" si="2"/>
        <v>224.84035636565682</v>
      </c>
      <c r="S28" s="481">
        <v>0</v>
      </c>
      <c r="T28" s="481">
        <v>0</v>
      </c>
      <c r="U28" s="481">
        <v>0</v>
      </c>
      <c r="V28" s="481">
        <v>0</v>
      </c>
      <c r="W28" s="481">
        <v>0</v>
      </c>
      <c r="X28" s="481">
        <v>0</v>
      </c>
      <c r="Y28" s="481">
        <v>0</v>
      </c>
      <c r="Z28" s="481">
        <v>13.957422939948543</v>
      </c>
      <c r="AA28" s="481">
        <v>0</v>
      </c>
      <c r="AB28" s="481">
        <v>0</v>
      </c>
      <c r="AC28" s="481">
        <v>0</v>
      </c>
      <c r="AD28" s="481">
        <v>0</v>
      </c>
      <c r="AE28" s="481">
        <v>0</v>
      </c>
      <c r="AF28" s="481">
        <v>0</v>
      </c>
      <c r="AG28" s="481">
        <v>8.5844598435086343</v>
      </c>
      <c r="AH28" s="700">
        <f t="shared" si="3"/>
        <v>286.14866145028782</v>
      </c>
      <c r="AI28" s="482">
        <f t="shared" si="4"/>
        <v>294.73312129379644</v>
      </c>
      <c r="AJ28" s="482"/>
      <c r="AK28" s="482"/>
      <c r="AL28" s="585">
        <v>27.19</v>
      </c>
      <c r="AM28" s="585">
        <v>197.65035636565682</v>
      </c>
      <c r="AN28" s="581">
        <v>0</v>
      </c>
      <c r="AO28" s="581">
        <f t="shared" si="5"/>
        <v>224.84035636565682</v>
      </c>
    </row>
    <row r="29" spans="1:41" x14ac:dyDescent="0.3">
      <c r="A29" s="476">
        <v>150000516</v>
      </c>
      <c r="B29" s="477" t="s">
        <v>55</v>
      </c>
      <c r="C29" s="478">
        <v>323.10000000000002</v>
      </c>
      <c r="D29" s="483"/>
      <c r="E29" s="480"/>
      <c r="F29" s="480">
        <v>323.10000000000002</v>
      </c>
      <c r="G29" s="481">
        <v>0</v>
      </c>
      <c r="H29" s="481">
        <v>0</v>
      </c>
      <c r="I29" s="481">
        <v>0</v>
      </c>
      <c r="J29" s="481">
        <v>0</v>
      </c>
      <c r="K29" s="481">
        <v>0</v>
      </c>
      <c r="L29" s="481">
        <v>0</v>
      </c>
      <c r="M29" s="587">
        <f t="shared" si="1"/>
        <v>0</v>
      </c>
      <c r="N29" s="481">
        <v>0</v>
      </c>
      <c r="O29" s="481">
        <v>0</v>
      </c>
      <c r="P29" s="481">
        <v>0</v>
      </c>
      <c r="Q29" s="481">
        <v>47.350882144682487</v>
      </c>
      <c r="R29" s="587">
        <f t="shared" si="2"/>
        <v>340.68514462375822</v>
      </c>
      <c r="S29" s="481">
        <v>0</v>
      </c>
      <c r="T29" s="481">
        <v>0</v>
      </c>
      <c r="U29" s="481">
        <v>0</v>
      </c>
      <c r="V29" s="481">
        <v>0</v>
      </c>
      <c r="W29" s="481">
        <v>0</v>
      </c>
      <c r="X29" s="481">
        <v>0</v>
      </c>
      <c r="Y29" s="481">
        <v>0</v>
      </c>
      <c r="Z29" s="481">
        <v>4.7854021508395022</v>
      </c>
      <c r="AA29" s="481">
        <v>0</v>
      </c>
      <c r="AB29" s="481">
        <v>0</v>
      </c>
      <c r="AC29" s="481">
        <v>0</v>
      </c>
      <c r="AD29" s="481">
        <v>0</v>
      </c>
      <c r="AE29" s="481">
        <v>0</v>
      </c>
      <c r="AF29" s="481">
        <v>0</v>
      </c>
      <c r="AG29" s="481">
        <v>11.784642867578405</v>
      </c>
      <c r="AH29" s="700">
        <f t="shared" si="3"/>
        <v>392.82142891928021</v>
      </c>
      <c r="AI29" s="482">
        <f t="shared" si="4"/>
        <v>404.60607178685859</v>
      </c>
      <c r="AJ29" s="482"/>
      <c r="AK29" s="482"/>
      <c r="AL29" s="585">
        <v>13.595000000000001</v>
      </c>
      <c r="AM29" s="585">
        <v>327.09014462375819</v>
      </c>
      <c r="AN29" s="581">
        <v>0</v>
      </c>
      <c r="AO29" s="581">
        <f t="shared" si="5"/>
        <v>340.68514462375822</v>
      </c>
    </row>
    <row r="30" spans="1:41" x14ac:dyDescent="0.3">
      <c r="A30" s="476">
        <v>150000517</v>
      </c>
      <c r="B30" s="477" t="s">
        <v>251</v>
      </c>
      <c r="C30" s="478">
        <v>1531.9</v>
      </c>
      <c r="D30" s="479"/>
      <c r="E30" s="480">
        <v>362.9</v>
      </c>
      <c r="F30" s="480">
        <v>1894.8000000000002</v>
      </c>
      <c r="G30" s="481">
        <v>521.46592903883209</v>
      </c>
      <c r="H30" s="481">
        <v>97.201922685568604</v>
      </c>
      <c r="I30" s="481">
        <v>199.57</v>
      </c>
      <c r="J30" s="481">
        <v>0</v>
      </c>
      <c r="K30" s="481">
        <v>0</v>
      </c>
      <c r="L30" s="481">
        <v>258.32549793556751</v>
      </c>
      <c r="M30" s="587">
        <f t="shared" si="1"/>
        <v>0</v>
      </c>
      <c r="N30" s="481">
        <v>675.15379909291551</v>
      </c>
      <c r="O30" s="481">
        <v>0</v>
      </c>
      <c r="P30" s="481">
        <v>0</v>
      </c>
      <c r="Q30" s="481">
        <v>390.64477769363054</v>
      </c>
      <c r="R30" s="587">
        <f t="shared" si="2"/>
        <v>1899.0689091950751</v>
      </c>
      <c r="S30" s="481">
        <v>86.488316039639756</v>
      </c>
      <c r="T30" s="481">
        <v>125.2915763456533</v>
      </c>
      <c r="U30" s="481">
        <v>122.91287177498243</v>
      </c>
      <c r="V30" s="481">
        <v>0</v>
      </c>
      <c r="W30" s="481">
        <v>0</v>
      </c>
      <c r="X30" s="481">
        <v>32.862789900653013</v>
      </c>
      <c r="Y30" s="481">
        <v>0</v>
      </c>
      <c r="Z30" s="481">
        <v>777.81037583363582</v>
      </c>
      <c r="AA30" s="481">
        <v>649.71714888136125</v>
      </c>
      <c r="AB30" s="481">
        <v>435.2303155772392</v>
      </c>
      <c r="AC30" s="481">
        <v>0</v>
      </c>
      <c r="AD30" s="481">
        <v>0</v>
      </c>
      <c r="AE30" s="481">
        <v>243.32782730349774</v>
      </c>
      <c r="AF30" s="481">
        <v>0</v>
      </c>
      <c r="AG30" s="481">
        <v>273.63302640652654</v>
      </c>
      <c r="AH30" s="700">
        <f t="shared" si="3"/>
        <v>6515.0720572982509</v>
      </c>
      <c r="AI30" s="482">
        <f t="shared" si="4"/>
        <v>6788.7050837047773</v>
      </c>
      <c r="AJ30" s="482"/>
      <c r="AK30" s="482"/>
      <c r="AL30" s="585">
        <v>65.67</v>
      </c>
      <c r="AM30" s="585">
        <v>1833.398909195075</v>
      </c>
      <c r="AN30" s="581">
        <v>0</v>
      </c>
      <c r="AO30" s="581">
        <f t="shared" si="5"/>
        <v>1899.0689091950751</v>
      </c>
    </row>
    <row r="31" spans="1:41" x14ac:dyDescent="0.3">
      <c r="A31" s="476">
        <v>150000518</v>
      </c>
      <c r="B31" s="477" t="s">
        <v>194</v>
      </c>
      <c r="C31" s="478">
        <v>783.2</v>
      </c>
      <c r="D31" s="479"/>
      <c r="E31" s="480">
        <v>64.3</v>
      </c>
      <c r="F31" s="480">
        <v>847.5</v>
      </c>
      <c r="G31" s="481">
        <v>299.89100792351235</v>
      </c>
      <c r="H31" s="481">
        <v>66.502828204174264</v>
      </c>
      <c r="I31" s="481">
        <v>94.83</v>
      </c>
      <c r="J31" s="481">
        <v>0</v>
      </c>
      <c r="K31" s="481">
        <v>0</v>
      </c>
      <c r="L31" s="481">
        <v>195.60886926572039</v>
      </c>
      <c r="M31" s="587">
        <f t="shared" si="1"/>
        <v>0</v>
      </c>
      <c r="N31" s="481">
        <v>301.98060203253425</v>
      </c>
      <c r="O31" s="481">
        <v>0</v>
      </c>
      <c r="P31" s="481">
        <v>0</v>
      </c>
      <c r="Q31" s="481">
        <v>201.24124911490057</v>
      </c>
      <c r="R31" s="587">
        <f t="shared" si="2"/>
        <v>841.69579230166221</v>
      </c>
      <c r="S31" s="481">
        <v>52.751571377579829</v>
      </c>
      <c r="T31" s="481">
        <v>85.727353298251955</v>
      </c>
      <c r="U31" s="481">
        <v>43.763816489504663</v>
      </c>
      <c r="V31" s="481">
        <v>0</v>
      </c>
      <c r="W31" s="481">
        <v>0</v>
      </c>
      <c r="X31" s="481">
        <v>20.889421956804203</v>
      </c>
      <c r="Y31" s="481">
        <v>0</v>
      </c>
      <c r="Z31" s="481">
        <v>1085.4606943177671</v>
      </c>
      <c r="AA31" s="481">
        <v>538.57985359836323</v>
      </c>
      <c r="AB31" s="481">
        <v>283.17477635167285</v>
      </c>
      <c r="AC31" s="481">
        <v>68.140704752206616</v>
      </c>
      <c r="AD31" s="481">
        <v>8.3885337289648305</v>
      </c>
      <c r="AE31" s="481">
        <v>154.41958271183509</v>
      </c>
      <c r="AF31" s="481">
        <v>0</v>
      </c>
      <c r="AG31" s="481">
        <v>0</v>
      </c>
      <c r="AH31" s="700">
        <f t="shared" si="3"/>
        <v>4343.0466574254542</v>
      </c>
      <c r="AI31" s="482">
        <f t="shared" si="4"/>
        <v>4343.0466574254542</v>
      </c>
      <c r="AJ31" s="482"/>
      <c r="AK31" s="482"/>
      <c r="AL31" s="585">
        <v>65.67</v>
      </c>
      <c r="AM31" s="585">
        <v>776.02579230166225</v>
      </c>
      <c r="AN31" s="581">
        <v>0</v>
      </c>
      <c r="AO31" s="581">
        <f t="shared" si="5"/>
        <v>841.69579230166221</v>
      </c>
    </row>
    <row r="32" spans="1:41" x14ac:dyDescent="0.3">
      <c r="A32" s="476">
        <v>150000519</v>
      </c>
      <c r="B32" s="477" t="s">
        <v>412</v>
      </c>
      <c r="C32" s="478">
        <v>2635.5</v>
      </c>
      <c r="D32" s="479">
        <v>208.7</v>
      </c>
      <c r="E32" s="480">
        <v>60.9</v>
      </c>
      <c r="F32" s="480">
        <v>2696.4</v>
      </c>
      <c r="G32" s="481">
        <v>684.02394515790309</v>
      </c>
      <c r="H32" s="481">
        <v>107.50926299671069</v>
      </c>
      <c r="I32" s="481">
        <v>336.46</v>
      </c>
      <c r="J32" s="481">
        <v>72.95</v>
      </c>
      <c r="K32" s="481">
        <v>34.733108401837384</v>
      </c>
      <c r="L32" s="481">
        <v>288.2766707778494</v>
      </c>
      <c r="M32" s="587">
        <f t="shared" si="1"/>
        <v>0</v>
      </c>
      <c r="N32" s="481">
        <v>960.77934551094438</v>
      </c>
      <c r="O32" s="481">
        <v>1776.6050980684868</v>
      </c>
      <c r="P32" s="481">
        <v>0</v>
      </c>
      <c r="Q32" s="481">
        <v>153.89036697021808</v>
      </c>
      <c r="R32" s="587">
        <f t="shared" si="2"/>
        <v>3277.840393191816</v>
      </c>
      <c r="S32" s="481">
        <v>53.363609128295316</v>
      </c>
      <c r="T32" s="481">
        <v>71.204425992837912</v>
      </c>
      <c r="U32" s="481">
        <v>76.221300316253789</v>
      </c>
      <c r="V32" s="481">
        <v>43.192884385986233</v>
      </c>
      <c r="W32" s="481">
        <v>17.609972466285939</v>
      </c>
      <c r="X32" s="481">
        <v>51.78215256279816</v>
      </c>
      <c r="Y32" s="481">
        <v>0</v>
      </c>
      <c r="Z32" s="481">
        <v>2937.9558656487293</v>
      </c>
      <c r="AA32" s="481">
        <v>2231.6164675833311</v>
      </c>
      <c r="AB32" s="481">
        <v>540.99602175629514</v>
      </c>
      <c r="AC32" s="481">
        <v>70.346698790947116</v>
      </c>
      <c r="AD32" s="481">
        <v>8.6601049647946269</v>
      </c>
      <c r="AE32" s="481">
        <v>803.29378885449592</v>
      </c>
      <c r="AF32" s="481">
        <v>235.52885847966769</v>
      </c>
      <c r="AG32" s="481">
        <v>89.009042052038893</v>
      </c>
      <c r="AH32" s="700">
        <f t="shared" si="3"/>
        <v>14834.840342006482</v>
      </c>
      <c r="AI32" s="482">
        <f t="shared" si="4"/>
        <v>14923.849384058522</v>
      </c>
      <c r="AJ32" s="482"/>
      <c r="AK32" s="482"/>
      <c r="AL32" s="585">
        <v>25.58</v>
      </c>
      <c r="AM32" s="585">
        <v>3252.2603931918161</v>
      </c>
      <c r="AN32" s="581">
        <v>0</v>
      </c>
      <c r="AO32" s="581">
        <f t="shared" si="5"/>
        <v>3277.840393191816</v>
      </c>
    </row>
    <row r="33" spans="1:41" x14ac:dyDescent="0.3">
      <c r="A33" s="476">
        <v>150000521</v>
      </c>
      <c r="B33" s="477" t="s">
        <v>252</v>
      </c>
      <c r="C33" s="478">
        <v>1556.6</v>
      </c>
      <c r="D33" s="479"/>
      <c r="E33" s="480">
        <v>304.60000000000002</v>
      </c>
      <c r="F33" s="480">
        <v>1861.1999999999998</v>
      </c>
      <c r="G33" s="481">
        <v>455.38445668944701</v>
      </c>
      <c r="H33" s="481">
        <v>97.201922685568604</v>
      </c>
      <c r="I33" s="481">
        <v>221.33</v>
      </c>
      <c r="J33" s="481">
        <v>0</v>
      </c>
      <c r="K33" s="481">
        <v>0</v>
      </c>
      <c r="L33" s="481">
        <v>282.20066292940618</v>
      </c>
      <c r="M33" s="587">
        <f t="shared" si="1"/>
        <v>0</v>
      </c>
      <c r="N33" s="481">
        <v>663.18147079994412</v>
      </c>
      <c r="O33" s="481">
        <v>0</v>
      </c>
      <c r="P33" s="481">
        <v>0</v>
      </c>
      <c r="Q33" s="481">
        <v>268.32166548653413</v>
      </c>
      <c r="R33" s="587">
        <f t="shared" si="2"/>
        <v>1890.7921822260794</v>
      </c>
      <c r="S33" s="481">
        <v>74.981910665014013</v>
      </c>
      <c r="T33" s="481">
        <v>125.2915763456533</v>
      </c>
      <c r="U33" s="481">
        <v>94.61227527461206</v>
      </c>
      <c r="V33" s="481">
        <v>0</v>
      </c>
      <c r="W33" s="481">
        <v>0</v>
      </c>
      <c r="X33" s="481">
        <v>34.847164755479909</v>
      </c>
      <c r="Y33" s="481">
        <v>0</v>
      </c>
      <c r="Z33" s="481">
        <v>2126.3692662057556</v>
      </c>
      <c r="AA33" s="481">
        <v>638.51735703905422</v>
      </c>
      <c r="AB33" s="481">
        <v>527.50284262163484</v>
      </c>
      <c r="AC33" s="481">
        <v>65.934710713466103</v>
      </c>
      <c r="AD33" s="481">
        <v>8.1169624931350324</v>
      </c>
      <c r="AE33" s="481">
        <v>372.79070977907668</v>
      </c>
      <c r="AF33" s="481">
        <v>0</v>
      </c>
      <c r="AG33" s="481">
        <v>190.73705128103666</v>
      </c>
      <c r="AH33" s="700">
        <f t="shared" si="3"/>
        <v>7947.3771367098616</v>
      </c>
      <c r="AI33" s="482">
        <f t="shared" si="4"/>
        <v>8138.1141879908982</v>
      </c>
      <c r="AJ33" s="482"/>
      <c r="AK33" s="482"/>
      <c r="AL33" s="585">
        <v>65.72</v>
      </c>
      <c r="AM33" s="585">
        <v>1825.0721822260793</v>
      </c>
      <c r="AN33" s="581">
        <v>0</v>
      </c>
      <c r="AO33" s="581">
        <f t="shared" si="5"/>
        <v>1890.7921822260794</v>
      </c>
    </row>
    <row r="34" spans="1:41" x14ac:dyDescent="0.3">
      <c r="A34" s="476">
        <v>150000522</v>
      </c>
      <c r="B34" s="477" t="s">
        <v>56</v>
      </c>
      <c r="C34" s="478">
        <v>269.89999999999998</v>
      </c>
      <c r="D34" s="483"/>
      <c r="E34" s="480"/>
      <c r="F34" s="480">
        <v>269.89999999999998</v>
      </c>
      <c r="G34" s="481">
        <v>0</v>
      </c>
      <c r="H34" s="481">
        <v>0</v>
      </c>
      <c r="I34" s="481">
        <v>0</v>
      </c>
      <c r="J34" s="481">
        <v>0</v>
      </c>
      <c r="K34" s="481">
        <v>0</v>
      </c>
      <c r="L34" s="481">
        <v>0</v>
      </c>
      <c r="M34" s="587">
        <f t="shared" si="1"/>
        <v>0</v>
      </c>
      <c r="N34" s="481">
        <v>0</v>
      </c>
      <c r="O34" s="481">
        <v>0</v>
      </c>
      <c r="P34" s="481">
        <v>0</v>
      </c>
      <c r="Q34" s="481">
        <v>23.675441072341243</v>
      </c>
      <c r="R34" s="587">
        <f t="shared" si="2"/>
        <v>315.54201736035083</v>
      </c>
      <c r="S34" s="481">
        <v>0</v>
      </c>
      <c r="T34" s="481">
        <v>0</v>
      </c>
      <c r="U34" s="481">
        <v>0</v>
      </c>
      <c r="V34" s="481">
        <v>0</v>
      </c>
      <c r="W34" s="481">
        <v>0</v>
      </c>
      <c r="X34" s="481">
        <v>0</v>
      </c>
      <c r="Y34" s="481">
        <v>0</v>
      </c>
      <c r="Z34" s="481">
        <v>0</v>
      </c>
      <c r="AA34" s="481">
        <v>0</v>
      </c>
      <c r="AB34" s="481">
        <v>0</v>
      </c>
      <c r="AC34" s="481">
        <v>0</v>
      </c>
      <c r="AD34" s="481">
        <v>0</v>
      </c>
      <c r="AE34" s="481">
        <v>0</v>
      </c>
      <c r="AF34" s="481">
        <v>0</v>
      </c>
      <c r="AG34" s="481">
        <v>10.176523752980764</v>
      </c>
      <c r="AH34" s="700">
        <f t="shared" si="3"/>
        <v>339.21745843269207</v>
      </c>
      <c r="AI34" s="482">
        <f t="shared" si="4"/>
        <v>349.39398218567283</v>
      </c>
      <c r="AJ34" s="482"/>
      <c r="AK34" s="482"/>
      <c r="AL34" s="585">
        <v>27.19</v>
      </c>
      <c r="AM34" s="585">
        <v>288.35201736035083</v>
      </c>
      <c r="AN34" s="581">
        <v>0</v>
      </c>
      <c r="AO34" s="581">
        <f t="shared" si="5"/>
        <v>315.54201736035083</v>
      </c>
    </row>
    <row r="35" spans="1:41" x14ac:dyDescent="0.3">
      <c r="A35" s="476">
        <v>150000523</v>
      </c>
      <c r="B35" s="477" t="s">
        <v>57</v>
      </c>
      <c r="C35" s="478">
        <v>300.7</v>
      </c>
      <c r="D35" s="483"/>
      <c r="E35" s="480"/>
      <c r="F35" s="480">
        <v>300.7</v>
      </c>
      <c r="G35" s="481">
        <v>0</v>
      </c>
      <c r="H35" s="481">
        <v>0</v>
      </c>
      <c r="I35" s="481">
        <v>0</v>
      </c>
      <c r="J35" s="481">
        <v>0</v>
      </c>
      <c r="K35" s="481">
        <v>0</v>
      </c>
      <c r="L35" s="481">
        <v>0</v>
      </c>
      <c r="M35" s="587">
        <f t="shared" si="1"/>
        <v>0</v>
      </c>
      <c r="N35" s="481">
        <v>0</v>
      </c>
      <c r="O35" s="481">
        <v>0</v>
      </c>
      <c r="P35" s="481">
        <v>0</v>
      </c>
      <c r="Q35" s="481">
        <v>31.567254763121657</v>
      </c>
      <c r="R35" s="587">
        <f t="shared" si="2"/>
        <v>337.40217142477138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1">
        <v>0</v>
      </c>
      <c r="Y35" s="481">
        <v>0</v>
      </c>
      <c r="Z35" s="481">
        <v>0</v>
      </c>
      <c r="AA35" s="481">
        <v>0</v>
      </c>
      <c r="AB35" s="481">
        <v>0</v>
      </c>
      <c r="AC35" s="481">
        <v>0</v>
      </c>
      <c r="AD35" s="481">
        <v>0</v>
      </c>
      <c r="AE35" s="481">
        <v>0</v>
      </c>
      <c r="AF35" s="481">
        <v>0</v>
      </c>
      <c r="AG35" s="481">
        <v>11.069082785636791</v>
      </c>
      <c r="AH35" s="700">
        <f t="shared" si="3"/>
        <v>368.96942618789302</v>
      </c>
      <c r="AI35" s="482">
        <f t="shared" si="4"/>
        <v>380.03850897352982</v>
      </c>
      <c r="AJ35" s="482"/>
      <c r="AK35" s="482"/>
      <c r="AL35" s="585">
        <v>50.66</v>
      </c>
      <c r="AM35" s="585">
        <v>286.74217142477136</v>
      </c>
      <c r="AN35" s="581">
        <v>0</v>
      </c>
      <c r="AO35" s="581">
        <f t="shared" si="5"/>
        <v>337.40217142477138</v>
      </c>
    </row>
    <row r="36" spans="1:41" x14ac:dyDescent="0.3">
      <c r="A36" s="476">
        <v>150000524</v>
      </c>
      <c r="B36" s="477" t="s">
        <v>58</v>
      </c>
      <c r="C36" s="478">
        <v>214.7</v>
      </c>
      <c r="D36" s="483"/>
      <c r="E36" s="480">
        <v>0</v>
      </c>
      <c r="F36" s="480">
        <v>214.7</v>
      </c>
      <c r="G36" s="481">
        <v>0</v>
      </c>
      <c r="H36" s="481">
        <v>0</v>
      </c>
      <c r="I36" s="481">
        <v>0</v>
      </c>
      <c r="J36" s="481">
        <v>0</v>
      </c>
      <c r="K36" s="481">
        <v>0</v>
      </c>
      <c r="L36" s="481">
        <v>0</v>
      </c>
      <c r="M36" s="587">
        <f t="shared" si="1"/>
        <v>0</v>
      </c>
      <c r="N36" s="481">
        <v>0</v>
      </c>
      <c r="O36" s="481">
        <v>0</v>
      </c>
      <c r="P36" s="481">
        <v>0</v>
      </c>
      <c r="Q36" s="481">
        <v>39.45906845390207</v>
      </c>
      <c r="R36" s="587">
        <f t="shared" si="2"/>
        <v>223.5241181113463</v>
      </c>
      <c r="S36" s="481">
        <v>0</v>
      </c>
      <c r="T36" s="481">
        <v>0</v>
      </c>
      <c r="U36" s="481">
        <v>0</v>
      </c>
      <c r="V36" s="481">
        <v>0</v>
      </c>
      <c r="W36" s="481">
        <v>0</v>
      </c>
      <c r="X36" s="481">
        <v>0</v>
      </c>
      <c r="Y36" s="481">
        <v>0</v>
      </c>
      <c r="Z36" s="481">
        <v>0</v>
      </c>
      <c r="AA36" s="481">
        <v>0</v>
      </c>
      <c r="AB36" s="481">
        <v>0</v>
      </c>
      <c r="AC36" s="481">
        <v>0</v>
      </c>
      <c r="AD36" s="481">
        <v>0</v>
      </c>
      <c r="AE36" s="481">
        <v>0</v>
      </c>
      <c r="AF36" s="481">
        <v>0</v>
      </c>
      <c r="AG36" s="481">
        <v>1.5778991193914902</v>
      </c>
      <c r="AH36" s="700">
        <f t="shared" si="3"/>
        <v>262.98318656524839</v>
      </c>
      <c r="AI36" s="482">
        <f t="shared" si="4"/>
        <v>264.56108568463986</v>
      </c>
      <c r="AJ36" s="482"/>
      <c r="AK36" s="482"/>
      <c r="AL36" s="585">
        <v>13.595000000000001</v>
      </c>
      <c r="AM36" s="585">
        <v>209.9291181113463</v>
      </c>
      <c r="AN36" s="581">
        <v>0</v>
      </c>
      <c r="AO36" s="581">
        <f t="shared" si="5"/>
        <v>223.5241181113463</v>
      </c>
    </row>
    <row r="37" spans="1:41" x14ac:dyDescent="0.3">
      <c r="A37" s="476">
        <v>150000527</v>
      </c>
      <c r="B37" s="477" t="s">
        <v>60</v>
      </c>
      <c r="C37" s="478">
        <v>293.5</v>
      </c>
      <c r="D37" s="483"/>
      <c r="E37" s="480"/>
      <c r="F37" s="480">
        <v>293.5</v>
      </c>
      <c r="G37" s="481">
        <v>0</v>
      </c>
      <c r="H37" s="481">
        <v>0</v>
      </c>
      <c r="I37" s="481">
        <v>0</v>
      </c>
      <c r="J37" s="481">
        <v>0</v>
      </c>
      <c r="K37" s="481">
        <v>0</v>
      </c>
      <c r="L37" s="481">
        <v>0</v>
      </c>
      <c r="M37" s="587">
        <f t="shared" si="1"/>
        <v>0</v>
      </c>
      <c r="N37" s="481">
        <v>0</v>
      </c>
      <c r="O37" s="481">
        <v>0</v>
      </c>
      <c r="P37" s="481">
        <v>0</v>
      </c>
      <c r="Q37" s="481">
        <v>47.350882144682487</v>
      </c>
      <c r="R37" s="587">
        <f t="shared" si="2"/>
        <v>364.91016720514</v>
      </c>
      <c r="S37" s="481">
        <v>0</v>
      </c>
      <c r="T37" s="481">
        <v>0</v>
      </c>
      <c r="U37" s="481">
        <v>0</v>
      </c>
      <c r="V37" s="481">
        <v>0</v>
      </c>
      <c r="W37" s="481">
        <v>0</v>
      </c>
      <c r="X37" s="481">
        <v>0</v>
      </c>
      <c r="Y37" s="481">
        <v>0</v>
      </c>
      <c r="Z37" s="576">
        <f>77.7627849511419*0</f>
        <v>0</v>
      </c>
      <c r="AA37" s="481">
        <v>0</v>
      </c>
      <c r="AB37" s="481">
        <v>0</v>
      </c>
      <c r="AC37" s="481">
        <v>0</v>
      </c>
      <c r="AD37" s="481">
        <v>0</v>
      </c>
      <c r="AE37" s="481">
        <v>0</v>
      </c>
      <c r="AF37" s="481">
        <v>0</v>
      </c>
      <c r="AG37" s="481">
        <v>7.4206950174173576</v>
      </c>
      <c r="AH37" s="700">
        <f t="shared" si="3"/>
        <v>412.26104934982249</v>
      </c>
      <c r="AI37" s="482">
        <f t="shared" si="4"/>
        <v>419.68174436723984</v>
      </c>
      <c r="AJ37" s="482" t="s">
        <v>1591</v>
      </c>
      <c r="AK37" s="482"/>
      <c r="AL37" s="585">
        <v>27.19</v>
      </c>
      <c r="AM37" s="585">
        <v>337.72016720514</v>
      </c>
      <c r="AN37" s="581">
        <v>0</v>
      </c>
      <c r="AO37" s="581">
        <f t="shared" si="5"/>
        <v>364.91016720514</v>
      </c>
    </row>
    <row r="38" spans="1:41" x14ac:dyDescent="0.3">
      <c r="A38" s="476">
        <v>150000529</v>
      </c>
      <c r="B38" s="477" t="s">
        <v>347</v>
      </c>
      <c r="C38" s="478">
        <v>8443.0499999999993</v>
      </c>
      <c r="D38" s="479">
        <v>979.2</v>
      </c>
      <c r="E38" s="480"/>
      <c r="F38" s="480">
        <v>8443.0499999999993</v>
      </c>
      <c r="G38" s="481">
        <v>1173.8487630057289</v>
      </c>
      <c r="H38" s="481">
        <v>196.20433859534396</v>
      </c>
      <c r="I38" s="481">
        <v>1062.27</v>
      </c>
      <c r="J38" s="481">
        <v>230.76</v>
      </c>
      <c r="K38" s="481">
        <v>192.08062007918898</v>
      </c>
      <c r="L38" s="481">
        <v>1659.1844172519468</v>
      </c>
      <c r="M38" s="587">
        <f t="shared" si="1"/>
        <v>0</v>
      </c>
      <c r="N38" s="481">
        <v>3008.4216188681862</v>
      </c>
      <c r="O38" s="481">
        <v>8753.7185872433329</v>
      </c>
      <c r="P38" s="481">
        <v>131.53517990591092</v>
      </c>
      <c r="Q38" s="481">
        <v>552.42695835462905</v>
      </c>
      <c r="R38" s="587">
        <f t="shared" si="2"/>
        <v>13947.35890152289</v>
      </c>
      <c r="S38" s="481">
        <v>39.83418414043642</v>
      </c>
      <c r="T38" s="481">
        <v>53.63388201544052</v>
      </c>
      <c r="U38" s="481">
        <v>109.78690332871349</v>
      </c>
      <c r="V38" s="481">
        <v>45.16819652124186</v>
      </c>
      <c r="W38" s="481">
        <v>38.977966500563689</v>
      </c>
      <c r="X38" s="481">
        <v>61.909424468835716</v>
      </c>
      <c r="Y38" s="481">
        <v>116.37111192658503</v>
      </c>
      <c r="Z38" s="481">
        <v>8191.3643951937993</v>
      </c>
      <c r="AA38" s="481">
        <v>7323.0476716294079</v>
      </c>
      <c r="AB38" s="481">
        <v>324.59761305377708</v>
      </c>
      <c r="AC38" s="481">
        <v>354.30715366659945</v>
      </c>
      <c r="AD38" s="481">
        <v>43.617357932441223</v>
      </c>
      <c r="AE38" s="481">
        <v>1435.0102635847304</v>
      </c>
      <c r="AF38" s="481">
        <v>1328.9442875806417</v>
      </c>
      <c r="AG38" s="481">
        <v>1208.9851151128887</v>
      </c>
      <c r="AH38" s="700">
        <f t="shared" si="3"/>
        <v>50374.379796370362</v>
      </c>
      <c r="AI38" s="482">
        <f t="shared" si="4"/>
        <v>51583.364911483251</v>
      </c>
      <c r="AJ38" s="482"/>
      <c r="AK38" s="482"/>
      <c r="AL38" s="585">
        <v>111.02</v>
      </c>
      <c r="AM38" s="585">
        <v>13836.33890152289</v>
      </c>
      <c r="AN38" s="581">
        <v>0</v>
      </c>
      <c r="AO38" s="581">
        <f t="shared" si="5"/>
        <v>13947.35890152289</v>
      </c>
    </row>
    <row r="39" spans="1:41" x14ac:dyDescent="0.3">
      <c r="A39" s="476">
        <v>150000530</v>
      </c>
      <c r="B39" s="477" t="s">
        <v>62</v>
      </c>
      <c r="C39" s="478">
        <v>174.9</v>
      </c>
      <c r="D39" s="483"/>
      <c r="E39" s="480"/>
      <c r="F39" s="480">
        <v>174.9</v>
      </c>
      <c r="G39" s="481">
        <v>0</v>
      </c>
      <c r="H39" s="481">
        <v>0</v>
      </c>
      <c r="I39" s="481">
        <v>0</v>
      </c>
      <c r="J39" s="481">
        <v>0</v>
      </c>
      <c r="K39" s="481">
        <v>0</v>
      </c>
      <c r="L39" s="481">
        <v>0</v>
      </c>
      <c r="M39" s="587">
        <f t="shared" si="1"/>
        <v>0</v>
      </c>
      <c r="N39" s="481">
        <v>0</v>
      </c>
      <c r="O39" s="481">
        <v>0</v>
      </c>
      <c r="P39" s="481">
        <v>0</v>
      </c>
      <c r="Q39" s="481">
        <v>59.188602680853108</v>
      </c>
      <c r="R39" s="587">
        <f t="shared" si="2"/>
        <v>271.775291439493</v>
      </c>
      <c r="S39" s="481">
        <v>0</v>
      </c>
      <c r="T39" s="481">
        <v>0</v>
      </c>
      <c r="U39" s="481">
        <v>0</v>
      </c>
      <c r="V39" s="481">
        <v>0</v>
      </c>
      <c r="W39" s="481">
        <v>0</v>
      </c>
      <c r="X39" s="481">
        <v>0</v>
      </c>
      <c r="Y39" s="481">
        <v>0</v>
      </c>
      <c r="Z39" s="576">
        <f>61.8114444483436*0</f>
        <v>0</v>
      </c>
      <c r="AA39" s="481">
        <v>0</v>
      </c>
      <c r="AB39" s="481">
        <v>0</v>
      </c>
      <c r="AC39" s="481">
        <v>0</v>
      </c>
      <c r="AD39" s="481">
        <v>0</v>
      </c>
      <c r="AE39" s="481">
        <v>0</v>
      </c>
      <c r="AF39" s="481">
        <v>0</v>
      </c>
      <c r="AG39" s="481">
        <v>5.9573580942364135</v>
      </c>
      <c r="AH39" s="700">
        <f t="shared" si="3"/>
        <v>330.96389412034614</v>
      </c>
      <c r="AI39" s="482">
        <f t="shared" si="4"/>
        <v>336.92125221458258</v>
      </c>
      <c r="AJ39" s="482" t="s">
        <v>1591</v>
      </c>
      <c r="AK39" s="482"/>
      <c r="AL39" s="585">
        <v>31.87</v>
      </c>
      <c r="AM39" s="585">
        <v>239.905291439493</v>
      </c>
      <c r="AN39" s="581">
        <v>0</v>
      </c>
      <c r="AO39" s="581">
        <f t="shared" si="5"/>
        <v>271.775291439493</v>
      </c>
    </row>
    <row r="40" spans="1:41" x14ac:dyDescent="0.3">
      <c r="A40" s="476">
        <v>150000531</v>
      </c>
      <c r="B40" s="477" t="s">
        <v>348</v>
      </c>
      <c r="C40" s="478">
        <v>7614.5</v>
      </c>
      <c r="D40" s="479">
        <v>765.25</v>
      </c>
      <c r="E40" s="480"/>
      <c r="F40" s="480">
        <v>7614.5</v>
      </c>
      <c r="G40" s="481">
        <v>1599.2870582418554</v>
      </c>
      <c r="H40" s="481">
        <v>263.66878374500334</v>
      </c>
      <c r="I40" s="481">
        <v>950.47</v>
      </c>
      <c r="J40" s="481">
        <v>205.6</v>
      </c>
      <c r="K40" s="481">
        <v>288.12093011878341</v>
      </c>
      <c r="L40" s="481">
        <v>1313.5017417835231</v>
      </c>
      <c r="M40" s="587">
        <f t="shared" si="1"/>
        <v>0</v>
      </c>
      <c r="N40" s="481">
        <v>2713.1932674651703</v>
      </c>
      <c r="O40" s="481">
        <v>5470.2524399545728</v>
      </c>
      <c r="P40" s="481">
        <v>263.07035981182185</v>
      </c>
      <c r="Q40" s="481">
        <v>461.67110091065427</v>
      </c>
      <c r="R40" s="587">
        <f t="shared" si="2"/>
        <v>10489.436647707178</v>
      </c>
      <c r="S40" s="481">
        <v>130.73436117350818</v>
      </c>
      <c r="T40" s="481">
        <v>175.65387450922373</v>
      </c>
      <c r="U40" s="481">
        <v>241.85458620861681</v>
      </c>
      <c r="V40" s="481">
        <v>92.819346361517901</v>
      </c>
      <c r="W40" s="481">
        <v>146.1613169921593</v>
      </c>
      <c r="X40" s="481">
        <v>117.91086604202961</v>
      </c>
      <c r="Y40" s="481">
        <v>71.011447135298681</v>
      </c>
      <c r="Z40" s="481">
        <v>6894.7834152665209</v>
      </c>
      <c r="AA40" s="481">
        <v>5251.5780154508138</v>
      </c>
      <c r="AB40" s="481">
        <v>865.59363481007222</v>
      </c>
      <c r="AC40" s="481">
        <v>228.59000450326579</v>
      </c>
      <c r="AD40" s="481">
        <v>28.140814948318706</v>
      </c>
      <c r="AE40" s="481">
        <v>1369.4989254645577</v>
      </c>
      <c r="AF40" s="481">
        <v>2054.2483881968365</v>
      </c>
      <c r="AG40" s="481">
        <v>1000.4844318432312</v>
      </c>
      <c r="AH40" s="700">
        <f t="shared" si="3"/>
        <v>41686.851326801298</v>
      </c>
      <c r="AI40" s="482">
        <f t="shared" si="4"/>
        <v>42687.335758644527</v>
      </c>
      <c r="AJ40" s="482"/>
      <c r="AK40" s="482"/>
      <c r="AL40" s="585">
        <v>73.260000000000005</v>
      </c>
      <c r="AM40" s="585">
        <v>10416.176647707178</v>
      </c>
      <c r="AN40" s="581">
        <v>0</v>
      </c>
      <c r="AO40" s="581">
        <f t="shared" si="5"/>
        <v>10489.436647707178</v>
      </c>
    </row>
    <row r="41" spans="1:41" x14ac:dyDescent="0.3">
      <c r="A41" s="476">
        <v>150000532</v>
      </c>
      <c r="B41" s="477" t="s">
        <v>253</v>
      </c>
      <c r="C41" s="478">
        <v>2489.87</v>
      </c>
      <c r="D41" s="479"/>
      <c r="E41" s="480"/>
      <c r="F41" s="480">
        <v>2489.87</v>
      </c>
      <c r="G41" s="481">
        <v>672.19664483154997</v>
      </c>
      <c r="H41" s="481">
        <v>143.11687306274865</v>
      </c>
      <c r="I41" s="481">
        <v>319.27999999999997</v>
      </c>
      <c r="J41" s="481">
        <v>66.63</v>
      </c>
      <c r="K41" s="481">
        <v>44.322556752048527</v>
      </c>
      <c r="L41" s="481">
        <v>447.84856380015026</v>
      </c>
      <c r="M41" s="587">
        <f t="shared" si="1"/>
        <v>0</v>
      </c>
      <c r="N41" s="481">
        <v>887.18872163155868</v>
      </c>
      <c r="O41" s="481">
        <v>0</v>
      </c>
      <c r="P41" s="481">
        <v>0</v>
      </c>
      <c r="Q41" s="481">
        <v>177.56580804255933</v>
      </c>
      <c r="R41" s="587">
        <f t="shared" si="2"/>
        <v>2049.1410313269002</v>
      </c>
      <c r="S41" s="481">
        <v>121.04738785439493</v>
      </c>
      <c r="T41" s="481">
        <v>170.64873003859248</v>
      </c>
      <c r="U41" s="481">
        <v>48.99671904578414</v>
      </c>
      <c r="V41" s="481">
        <v>57.377306866395919</v>
      </c>
      <c r="W41" s="481">
        <v>44.980177589529568</v>
      </c>
      <c r="X41" s="481">
        <v>61.284913654107179</v>
      </c>
      <c r="Y41" s="481">
        <v>61.145370719090117</v>
      </c>
      <c r="Z41" s="481">
        <v>4406.3237682497611</v>
      </c>
      <c r="AA41" s="481">
        <v>1882.0310129946033</v>
      </c>
      <c r="AB41" s="481">
        <v>1038.7123617720865</v>
      </c>
      <c r="AC41" s="481">
        <v>123.92784288746641</v>
      </c>
      <c r="AD41" s="481">
        <v>15.256268537282796</v>
      </c>
      <c r="AE41" s="481">
        <v>399.30720378009892</v>
      </c>
      <c r="AF41" s="481">
        <v>0</v>
      </c>
      <c r="AG41" s="481">
        <v>0</v>
      </c>
      <c r="AH41" s="700">
        <f t="shared" si="3"/>
        <v>13238.32926343671</v>
      </c>
      <c r="AI41" s="482">
        <f t="shared" si="4"/>
        <v>13238.32926343671</v>
      </c>
      <c r="AJ41" s="482"/>
      <c r="AK41" s="482"/>
      <c r="AL41" s="585">
        <v>73.260000000000005</v>
      </c>
      <c r="AM41" s="585">
        <v>1975.8810313269</v>
      </c>
      <c r="AN41" s="581">
        <v>0</v>
      </c>
      <c r="AO41" s="581">
        <f t="shared" si="5"/>
        <v>2049.1410313269002</v>
      </c>
    </row>
    <row r="42" spans="1:41" x14ac:dyDescent="0.3">
      <c r="A42" s="476">
        <v>150000533</v>
      </c>
      <c r="B42" s="477" t="s">
        <v>349</v>
      </c>
      <c r="C42" s="478">
        <v>11377.55</v>
      </c>
      <c r="D42" s="479">
        <v>1296.7</v>
      </c>
      <c r="E42" s="480"/>
      <c r="F42" s="480">
        <v>11377.55</v>
      </c>
      <c r="G42" s="481">
        <v>2608.606522619149</v>
      </c>
      <c r="H42" s="481">
        <v>444.36299926879889</v>
      </c>
      <c r="I42" s="481">
        <v>1439.12</v>
      </c>
      <c r="J42" s="481">
        <v>312.35000000000002</v>
      </c>
      <c r="K42" s="481">
        <v>480.20150935264746</v>
      </c>
      <c r="L42" s="481">
        <v>2427.6074791488263</v>
      </c>
      <c r="M42" s="587">
        <f t="shared" si="1"/>
        <v>0</v>
      </c>
      <c r="N42" s="481">
        <v>4054.0405883837875</v>
      </c>
      <c r="O42" s="481">
        <v>10562.967940531566</v>
      </c>
      <c r="P42" s="481">
        <v>131.53517990591092</v>
      </c>
      <c r="Q42" s="481">
        <v>718.15504586101781</v>
      </c>
      <c r="R42" s="587">
        <f t="shared" si="2"/>
        <v>16355.611113642753</v>
      </c>
      <c r="S42" s="481">
        <v>86.324481105329667</v>
      </c>
      <c r="T42" s="481">
        <v>118.37314891177445</v>
      </c>
      <c r="U42" s="481">
        <v>92.323172835290876</v>
      </c>
      <c r="V42" s="481">
        <v>57.664965605098686</v>
      </c>
      <c r="W42" s="481">
        <v>97.437639220398921</v>
      </c>
      <c r="X42" s="481">
        <v>117.69617415465216</v>
      </c>
      <c r="Y42" s="481">
        <v>114.42215885942146</v>
      </c>
      <c r="Z42" s="481">
        <v>14667.334773475257</v>
      </c>
      <c r="AA42" s="481">
        <v>8656.2353235725677</v>
      </c>
      <c r="AB42" s="481">
        <v>1622.9880652688855</v>
      </c>
      <c r="AC42" s="481">
        <v>264.13101957186274</v>
      </c>
      <c r="AD42" s="481">
        <v>32.516129303354319</v>
      </c>
      <c r="AE42" s="481">
        <v>2533.1050739800021</v>
      </c>
      <c r="AF42" s="481">
        <v>1342.9824314635357</v>
      </c>
      <c r="AG42" s="481">
        <v>1664.1142304650052</v>
      </c>
      <c r="AH42" s="700">
        <f t="shared" si="3"/>
        <v>69338.092936041896</v>
      </c>
      <c r="AI42" s="482">
        <f t="shared" si="4"/>
        <v>71002.207166506894</v>
      </c>
      <c r="AJ42" s="482"/>
      <c r="AK42" s="482"/>
      <c r="AL42" s="585">
        <v>10.61</v>
      </c>
      <c r="AM42" s="585">
        <v>16345.001113642753</v>
      </c>
      <c r="AN42" s="581">
        <v>0</v>
      </c>
      <c r="AO42" s="581">
        <f t="shared" si="5"/>
        <v>16355.611113642753</v>
      </c>
    </row>
    <row r="43" spans="1:41" x14ac:dyDescent="0.3">
      <c r="A43" s="476">
        <v>150000534</v>
      </c>
      <c r="B43" s="477" t="s">
        <v>254</v>
      </c>
      <c r="C43" s="478">
        <v>2481.4</v>
      </c>
      <c r="D43" s="479"/>
      <c r="E43" s="480"/>
      <c r="F43" s="480">
        <v>2481.4</v>
      </c>
      <c r="G43" s="481">
        <v>672.24596166301012</v>
      </c>
      <c r="H43" s="481">
        <v>143.11687306274865</v>
      </c>
      <c r="I43" s="481">
        <v>319.98</v>
      </c>
      <c r="J43" s="481">
        <v>67.790000000000006</v>
      </c>
      <c r="K43" s="481">
        <v>44.322556752048527</v>
      </c>
      <c r="L43" s="481">
        <v>447.84856380015026</v>
      </c>
      <c r="M43" s="587">
        <f t="shared" si="1"/>
        <v>0</v>
      </c>
      <c r="N43" s="481">
        <v>884.17069720770564</v>
      </c>
      <c r="O43" s="481">
        <v>0</v>
      </c>
      <c r="P43" s="481">
        <v>0</v>
      </c>
      <c r="Q43" s="481">
        <v>177.56580804255933</v>
      </c>
      <c r="R43" s="587">
        <f t="shared" si="2"/>
        <v>3698.9135532513933</v>
      </c>
      <c r="S43" s="481">
        <v>128.5912850176822</v>
      </c>
      <c r="T43" s="481">
        <v>170.64873003859248</v>
      </c>
      <c r="U43" s="481">
        <v>119.10558709089396</v>
      </c>
      <c r="V43" s="481">
        <v>58.85880111369633</v>
      </c>
      <c r="W43" s="481">
        <v>44.980177589529568</v>
      </c>
      <c r="X43" s="481">
        <v>61.284913654107179</v>
      </c>
      <c r="Y43" s="481">
        <v>61.145370719090117</v>
      </c>
      <c r="Z43" s="481">
        <v>3618.5711587836836</v>
      </c>
      <c r="AA43" s="481">
        <v>1734.4507322565619</v>
      </c>
      <c r="AB43" s="481">
        <v>147.15091791771226</v>
      </c>
      <c r="AC43" s="481">
        <v>132.43317545905478</v>
      </c>
      <c r="AD43" s="481">
        <v>16.303326524315459</v>
      </c>
      <c r="AE43" s="481">
        <v>407.10617260392888</v>
      </c>
      <c r="AF43" s="481">
        <v>0</v>
      </c>
      <c r="AG43" s="481">
        <v>315.75802470116315</v>
      </c>
      <c r="AH43" s="700">
        <f t="shared" si="3"/>
        <v>13156.584362548465</v>
      </c>
      <c r="AI43" s="482">
        <f t="shared" si="4"/>
        <v>13472.342387249628</v>
      </c>
      <c r="AJ43" s="482"/>
      <c r="AK43" s="482"/>
      <c r="AL43" s="585">
        <v>56.92</v>
      </c>
      <c r="AM43" s="585">
        <v>3641.9935532513932</v>
      </c>
      <c r="AN43" s="581">
        <v>0</v>
      </c>
      <c r="AO43" s="581">
        <f t="shared" si="5"/>
        <v>3698.9135532513933</v>
      </c>
    </row>
    <row r="44" spans="1:41" x14ac:dyDescent="0.3">
      <c r="A44" s="476">
        <v>150000535</v>
      </c>
      <c r="B44" s="477" t="s">
        <v>350</v>
      </c>
      <c r="C44" s="478">
        <v>11363.16</v>
      </c>
      <c r="D44" s="479">
        <v>1267.95</v>
      </c>
      <c r="E44" s="480">
        <v>93.29</v>
      </c>
      <c r="F44" s="480">
        <v>11456.45</v>
      </c>
      <c r="G44" s="481">
        <v>2618.209750786622</v>
      </c>
      <c r="H44" s="481">
        <v>444.36299926879889</v>
      </c>
      <c r="I44" s="481">
        <v>1384.39</v>
      </c>
      <c r="J44" s="481">
        <v>313.17</v>
      </c>
      <c r="K44" s="481">
        <v>480.20150935264746</v>
      </c>
      <c r="L44" s="481">
        <v>2427.6074791488263</v>
      </c>
      <c r="M44" s="587">
        <f t="shared" si="1"/>
        <v>0</v>
      </c>
      <c r="N44" s="481">
        <v>4082.1541807146041</v>
      </c>
      <c r="O44" s="481">
        <v>11954.214847630574</v>
      </c>
      <c r="P44" s="481">
        <v>0</v>
      </c>
      <c r="Q44" s="481">
        <v>726.04685955179809</v>
      </c>
      <c r="R44" s="587">
        <f t="shared" si="2"/>
        <v>16441.5963968744</v>
      </c>
      <c r="S44" s="481">
        <v>216.10669270435505</v>
      </c>
      <c r="T44" s="481">
        <v>295.93287227943603</v>
      </c>
      <c r="U44" s="481">
        <v>345.13591598592677</v>
      </c>
      <c r="V44" s="481">
        <v>144.94143385251968</v>
      </c>
      <c r="W44" s="481">
        <v>243.59409805099727</v>
      </c>
      <c r="X44" s="481">
        <v>294.24043538663039</v>
      </c>
      <c r="Y44" s="481">
        <v>116.37111192658503</v>
      </c>
      <c r="Z44" s="481">
        <v>12203.3235909737</v>
      </c>
      <c r="AA44" s="481">
        <v>8527.3675908129007</v>
      </c>
      <c r="AB44" s="481">
        <v>2272.1832913764401</v>
      </c>
      <c r="AC44" s="481">
        <v>189.37233270343464</v>
      </c>
      <c r="AD44" s="481">
        <v>23.312881866900099</v>
      </c>
      <c r="AE44" s="481">
        <v>2620.4535248068992</v>
      </c>
      <c r="AF44" s="481">
        <v>1157.3669734563805</v>
      </c>
      <c r="AG44" s="481">
        <v>417.12994061706831</v>
      </c>
      <c r="AH44" s="700">
        <f t="shared" si="3"/>
        <v>69521.656769511377</v>
      </c>
      <c r="AI44" s="482">
        <f t="shared" si="4"/>
        <v>69938.78671012845</v>
      </c>
      <c r="AJ44" s="482"/>
      <c r="AK44" s="482"/>
      <c r="AL44" s="585">
        <v>144.61000000000001</v>
      </c>
      <c r="AM44" s="585">
        <v>16296.986396874399</v>
      </c>
      <c r="AN44" s="581">
        <v>0</v>
      </c>
      <c r="AO44" s="581">
        <f t="shared" si="5"/>
        <v>16441.5963968744</v>
      </c>
    </row>
    <row r="45" spans="1:41" x14ac:dyDescent="0.3">
      <c r="A45" s="476">
        <v>150000537</v>
      </c>
      <c r="B45" s="477" t="s">
        <v>105</v>
      </c>
      <c r="C45" s="478">
        <v>108.3</v>
      </c>
      <c r="D45" s="483"/>
      <c r="E45" s="480"/>
      <c r="F45" s="480">
        <v>108.3</v>
      </c>
      <c r="G45" s="481">
        <v>0</v>
      </c>
      <c r="H45" s="481">
        <v>0</v>
      </c>
      <c r="I45" s="481">
        <v>0</v>
      </c>
      <c r="J45" s="481">
        <v>0</v>
      </c>
      <c r="K45" s="481">
        <v>0</v>
      </c>
      <c r="L45" s="481">
        <v>0</v>
      </c>
      <c r="M45" s="587">
        <f t="shared" si="1"/>
        <v>0</v>
      </c>
      <c r="N45" s="481">
        <v>0</v>
      </c>
      <c r="O45" s="481">
        <v>0</v>
      </c>
      <c r="P45" s="481">
        <v>0</v>
      </c>
      <c r="Q45" s="481">
        <v>35.513161608511865</v>
      </c>
      <c r="R45" s="587">
        <f t="shared" si="2"/>
        <v>13.537999999999998</v>
      </c>
      <c r="S45" s="481">
        <v>0</v>
      </c>
      <c r="T45" s="481">
        <v>0</v>
      </c>
      <c r="U45" s="481">
        <v>0</v>
      </c>
      <c r="V45" s="481">
        <v>0</v>
      </c>
      <c r="W45" s="481">
        <v>0</v>
      </c>
      <c r="X45" s="481">
        <v>0</v>
      </c>
      <c r="Y45" s="481">
        <v>0</v>
      </c>
      <c r="Z45" s="481">
        <v>0</v>
      </c>
      <c r="AA45" s="481">
        <v>0</v>
      </c>
      <c r="AB45" s="481">
        <v>0</v>
      </c>
      <c r="AC45" s="481">
        <v>0</v>
      </c>
      <c r="AD45" s="481">
        <v>0</v>
      </c>
      <c r="AE45" s="481">
        <v>0</v>
      </c>
      <c r="AF45" s="481">
        <v>0</v>
      </c>
      <c r="AG45" s="481">
        <v>0</v>
      </c>
      <c r="AH45" s="700">
        <f t="shared" si="3"/>
        <v>49.051161608511862</v>
      </c>
      <c r="AI45" s="482">
        <f t="shared" si="4"/>
        <v>49.051161608511862</v>
      </c>
      <c r="AJ45" s="482"/>
      <c r="AK45" s="482"/>
      <c r="AL45" s="585">
        <v>13.537999999999998</v>
      </c>
      <c r="AM45" s="585">
        <v>0</v>
      </c>
      <c r="AN45" s="581">
        <v>0</v>
      </c>
      <c r="AO45" s="581">
        <f t="shared" si="5"/>
        <v>13.537999999999998</v>
      </c>
    </row>
    <row r="46" spans="1:41" x14ac:dyDescent="0.3">
      <c r="A46" s="476">
        <v>150000538</v>
      </c>
      <c r="B46" s="477" t="s">
        <v>207</v>
      </c>
      <c r="C46" s="478">
        <v>1469.3</v>
      </c>
      <c r="D46" s="479"/>
      <c r="E46" s="480"/>
      <c r="F46" s="480">
        <v>1469.3</v>
      </c>
      <c r="G46" s="481">
        <v>389.45588571813454</v>
      </c>
      <c r="H46" s="481">
        <v>59.573997187988233</v>
      </c>
      <c r="I46" s="481">
        <v>168.01</v>
      </c>
      <c r="J46" s="481">
        <v>0</v>
      </c>
      <c r="K46" s="481">
        <v>0</v>
      </c>
      <c r="L46" s="481">
        <v>247.47965229655924</v>
      </c>
      <c r="M46" s="587">
        <f t="shared" si="1"/>
        <v>0</v>
      </c>
      <c r="N46" s="481">
        <v>523.53993931138939</v>
      </c>
      <c r="O46" s="481">
        <v>0</v>
      </c>
      <c r="P46" s="481">
        <v>0</v>
      </c>
      <c r="Q46" s="481">
        <v>505.07607620994651</v>
      </c>
      <c r="R46" s="587">
        <f t="shared" si="2"/>
        <v>1286.0909241779768</v>
      </c>
      <c r="S46" s="481">
        <v>62.285310400733074</v>
      </c>
      <c r="T46" s="481">
        <v>76.807407836933493</v>
      </c>
      <c r="U46" s="481">
        <v>93.699044819561607</v>
      </c>
      <c r="V46" s="481">
        <v>0</v>
      </c>
      <c r="W46" s="481">
        <v>0</v>
      </c>
      <c r="X46" s="481">
        <v>30.028070076793693</v>
      </c>
      <c r="Y46" s="481">
        <v>0</v>
      </c>
      <c r="Z46" s="481">
        <v>1820.2176449355422</v>
      </c>
      <c r="AA46" s="481">
        <v>610.67997091254824</v>
      </c>
      <c r="AB46" s="481">
        <v>515.22641257307612</v>
      </c>
      <c r="AC46" s="481">
        <v>81.474713164149193</v>
      </c>
      <c r="AD46" s="481">
        <v>10.030030976647154</v>
      </c>
      <c r="AE46" s="481">
        <v>319.75772177703232</v>
      </c>
      <c r="AF46" s="481">
        <v>0</v>
      </c>
      <c r="AG46" s="481">
        <v>0</v>
      </c>
      <c r="AH46" s="700">
        <f t="shared" si="3"/>
        <v>6799.4328023750113</v>
      </c>
      <c r="AI46" s="482">
        <f t="shared" si="4"/>
        <v>6799.4328023750113</v>
      </c>
      <c r="AJ46" s="482"/>
      <c r="AK46" s="482"/>
      <c r="AL46" s="585">
        <v>65.67</v>
      </c>
      <c r="AM46" s="585">
        <v>1220.4209241779768</v>
      </c>
      <c r="AN46" s="581">
        <v>0</v>
      </c>
      <c r="AO46" s="581">
        <f t="shared" si="5"/>
        <v>1286.0909241779768</v>
      </c>
    </row>
    <row r="47" spans="1:41" x14ac:dyDescent="0.3">
      <c r="A47" s="476">
        <v>150000539</v>
      </c>
      <c r="B47" s="477" t="s">
        <v>54</v>
      </c>
      <c r="C47" s="478">
        <v>83.8</v>
      </c>
      <c r="D47" s="483"/>
      <c r="E47" s="480"/>
      <c r="F47" s="480">
        <v>83.8</v>
      </c>
      <c r="G47" s="481">
        <v>0</v>
      </c>
      <c r="H47" s="481">
        <v>0</v>
      </c>
      <c r="I47" s="481">
        <v>0</v>
      </c>
      <c r="J47" s="481">
        <v>0</v>
      </c>
      <c r="K47" s="481">
        <v>0</v>
      </c>
      <c r="L47" s="481">
        <v>0</v>
      </c>
      <c r="M47" s="587">
        <f t="shared" si="1"/>
        <v>0</v>
      </c>
      <c r="N47" s="481">
        <v>0</v>
      </c>
      <c r="O47" s="481">
        <v>0</v>
      </c>
      <c r="P47" s="481">
        <v>0</v>
      </c>
      <c r="Q47" s="481">
        <v>23.675441072341243</v>
      </c>
      <c r="R47" s="587">
        <f t="shared" si="2"/>
        <v>95.469108640113816</v>
      </c>
      <c r="S47" s="481">
        <v>0</v>
      </c>
      <c r="T47" s="481">
        <v>0</v>
      </c>
      <c r="U47" s="481">
        <v>0</v>
      </c>
      <c r="V47" s="481">
        <v>0</v>
      </c>
      <c r="W47" s="481">
        <v>0</v>
      </c>
      <c r="X47" s="481">
        <v>0</v>
      </c>
      <c r="Y47" s="481">
        <v>0</v>
      </c>
      <c r="Z47" s="481">
        <v>5.9817526885493768</v>
      </c>
      <c r="AA47" s="481">
        <v>0</v>
      </c>
      <c r="AB47" s="481">
        <v>0</v>
      </c>
      <c r="AC47" s="481">
        <v>0</v>
      </c>
      <c r="AD47" s="481">
        <v>0</v>
      </c>
      <c r="AE47" s="481">
        <v>0</v>
      </c>
      <c r="AF47" s="481">
        <v>0</v>
      </c>
      <c r="AG47" s="481">
        <v>3.7537890720301337</v>
      </c>
      <c r="AH47" s="700">
        <f t="shared" si="3"/>
        <v>125.12630240100445</v>
      </c>
      <c r="AI47" s="482">
        <f t="shared" si="4"/>
        <v>128.88009147303458</v>
      </c>
      <c r="AJ47" s="482"/>
      <c r="AK47" s="482"/>
      <c r="AL47" s="585">
        <v>13.74</v>
      </c>
      <c r="AM47" s="585">
        <v>81.729108640113822</v>
      </c>
      <c r="AN47" s="581">
        <v>0</v>
      </c>
      <c r="AO47" s="581">
        <f t="shared" si="5"/>
        <v>95.469108640113816</v>
      </c>
    </row>
    <row r="48" spans="1:41" x14ac:dyDescent="0.3">
      <c r="A48" s="476">
        <v>150000541</v>
      </c>
      <c r="B48" s="477" t="s">
        <v>59</v>
      </c>
      <c r="C48" s="478">
        <v>150.19999999999999</v>
      </c>
      <c r="D48" s="483"/>
      <c r="E48" s="480"/>
      <c r="F48" s="480">
        <v>150.19999999999999</v>
      </c>
      <c r="G48" s="481">
        <v>0</v>
      </c>
      <c r="H48" s="481">
        <v>0</v>
      </c>
      <c r="I48" s="481">
        <v>0</v>
      </c>
      <c r="J48" s="481">
        <v>0</v>
      </c>
      <c r="K48" s="481">
        <v>0</v>
      </c>
      <c r="L48" s="481">
        <v>0</v>
      </c>
      <c r="M48" s="587">
        <f t="shared" si="1"/>
        <v>0</v>
      </c>
      <c r="N48" s="481">
        <v>0</v>
      </c>
      <c r="O48" s="481">
        <v>0</v>
      </c>
      <c r="P48" s="481">
        <v>0</v>
      </c>
      <c r="Q48" s="481">
        <v>19.729534226951035</v>
      </c>
      <c r="R48" s="587">
        <f t="shared" si="2"/>
        <v>237.41805097188001</v>
      </c>
      <c r="S48" s="481">
        <v>0</v>
      </c>
      <c r="T48" s="481">
        <v>0</v>
      </c>
      <c r="U48" s="481">
        <v>0</v>
      </c>
      <c r="V48" s="481">
        <v>0</v>
      </c>
      <c r="W48" s="481">
        <v>0</v>
      </c>
      <c r="X48" s="481">
        <v>0</v>
      </c>
      <c r="Y48" s="481">
        <v>0</v>
      </c>
      <c r="Z48" s="576">
        <f>31.9026810055967*0</f>
        <v>0</v>
      </c>
      <c r="AA48" s="481">
        <v>0</v>
      </c>
      <c r="AB48" s="481">
        <v>0</v>
      </c>
      <c r="AC48" s="481">
        <v>0</v>
      </c>
      <c r="AD48" s="481">
        <v>0</v>
      </c>
      <c r="AE48" s="481">
        <v>0</v>
      </c>
      <c r="AF48" s="481">
        <v>0</v>
      </c>
      <c r="AG48" s="481">
        <v>4.6286507916796964</v>
      </c>
      <c r="AH48" s="700">
        <f t="shared" si="3"/>
        <v>257.14758519883105</v>
      </c>
      <c r="AI48" s="482">
        <f t="shared" si="4"/>
        <v>261.77623599051077</v>
      </c>
      <c r="AJ48" s="482" t="s">
        <v>1591</v>
      </c>
      <c r="AK48" s="482"/>
      <c r="AL48" s="585">
        <v>25.61</v>
      </c>
      <c r="AM48" s="585">
        <v>211.80805097187999</v>
      </c>
      <c r="AN48" s="581">
        <v>0</v>
      </c>
      <c r="AO48" s="581">
        <f t="shared" si="5"/>
        <v>237.41805097188001</v>
      </c>
    </row>
    <row r="49" spans="1:41" x14ac:dyDescent="0.3">
      <c r="A49" s="476">
        <v>150000542</v>
      </c>
      <c r="B49" s="477" t="s">
        <v>61</v>
      </c>
      <c r="C49" s="478">
        <v>164.7</v>
      </c>
      <c r="D49" s="483"/>
      <c r="E49" s="480"/>
      <c r="F49" s="480">
        <v>164.7</v>
      </c>
      <c r="G49" s="481">
        <v>0</v>
      </c>
      <c r="H49" s="481">
        <v>0</v>
      </c>
      <c r="I49" s="481">
        <v>0</v>
      </c>
      <c r="J49" s="481">
        <v>0</v>
      </c>
      <c r="K49" s="481">
        <v>0</v>
      </c>
      <c r="L49" s="481">
        <v>0</v>
      </c>
      <c r="M49" s="587">
        <f t="shared" si="1"/>
        <v>0</v>
      </c>
      <c r="N49" s="481">
        <v>0</v>
      </c>
      <c r="O49" s="481">
        <v>0</v>
      </c>
      <c r="P49" s="481">
        <v>0</v>
      </c>
      <c r="Q49" s="481">
        <v>31.567254763121657</v>
      </c>
      <c r="R49" s="587">
        <f t="shared" si="2"/>
        <v>281.909267268061</v>
      </c>
      <c r="S49" s="481">
        <v>0</v>
      </c>
      <c r="T49" s="481">
        <v>0</v>
      </c>
      <c r="U49" s="481">
        <v>0</v>
      </c>
      <c r="V49" s="481">
        <v>0</v>
      </c>
      <c r="W49" s="481">
        <v>0</v>
      </c>
      <c r="X49" s="481">
        <v>0</v>
      </c>
      <c r="Y49" s="481">
        <v>0</v>
      </c>
      <c r="Z49" s="576">
        <f>41.8722688198456*0</f>
        <v>0</v>
      </c>
      <c r="AA49" s="481">
        <v>0</v>
      </c>
      <c r="AB49" s="481">
        <v>0</v>
      </c>
      <c r="AC49" s="481">
        <v>0</v>
      </c>
      <c r="AD49" s="481">
        <v>0</v>
      </c>
      <c r="AE49" s="481">
        <v>0</v>
      </c>
      <c r="AF49" s="481">
        <v>0</v>
      </c>
      <c r="AG49" s="481">
        <v>5.6425822353185087</v>
      </c>
      <c r="AH49" s="700">
        <f t="shared" si="3"/>
        <v>313.47652203118264</v>
      </c>
      <c r="AI49" s="482">
        <f t="shared" si="4"/>
        <v>319.11910426650115</v>
      </c>
      <c r="AJ49" s="482" t="s">
        <v>1591</v>
      </c>
      <c r="AK49" s="482"/>
      <c r="AL49" s="585">
        <v>27.19</v>
      </c>
      <c r="AM49" s="585">
        <v>254.719267268061</v>
      </c>
      <c r="AN49" s="581">
        <v>0</v>
      </c>
      <c r="AO49" s="581">
        <f t="shared" si="5"/>
        <v>281.909267268061</v>
      </c>
    </row>
    <row r="50" spans="1:41" x14ac:dyDescent="0.3">
      <c r="A50" s="476">
        <v>150000543</v>
      </c>
      <c r="B50" s="477" t="s">
        <v>63</v>
      </c>
      <c r="C50" s="478">
        <v>121.2</v>
      </c>
      <c r="D50" s="483"/>
      <c r="E50" s="480"/>
      <c r="F50" s="480">
        <v>121.2</v>
      </c>
      <c r="G50" s="481">
        <v>0</v>
      </c>
      <c r="H50" s="481">
        <v>0</v>
      </c>
      <c r="I50" s="481">
        <v>0</v>
      </c>
      <c r="J50" s="481">
        <v>0</v>
      </c>
      <c r="K50" s="481">
        <v>0</v>
      </c>
      <c r="L50" s="481">
        <v>0</v>
      </c>
      <c r="M50" s="587">
        <f t="shared" si="1"/>
        <v>0</v>
      </c>
      <c r="N50" s="481">
        <v>0</v>
      </c>
      <c r="O50" s="481">
        <v>0</v>
      </c>
      <c r="P50" s="481">
        <v>0</v>
      </c>
      <c r="Q50" s="481">
        <v>27.621347917731452</v>
      </c>
      <c r="R50" s="587">
        <f t="shared" si="2"/>
        <v>149.41722505967601</v>
      </c>
      <c r="S50" s="481">
        <v>0</v>
      </c>
      <c r="T50" s="481">
        <v>0</v>
      </c>
      <c r="U50" s="481">
        <v>0</v>
      </c>
      <c r="V50" s="481">
        <v>0</v>
      </c>
      <c r="W50" s="481">
        <v>0</v>
      </c>
      <c r="X50" s="481">
        <v>0</v>
      </c>
      <c r="Y50" s="481">
        <v>0</v>
      </c>
      <c r="Z50" s="576">
        <f>19.9391756284979*0</f>
        <v>0</v>
      </c>
      <c r="AA50" s="481">
        <v>0</v>
      </c>
      <c r="AB50" s="481">
        <v>0</v>
      </c>
      <c r="AC50" s="481">
        <v>0</v>
      </c>
      <c r="AD50" s="481">
        <v>0</v>
      </c>
      <c r="AE50" s="481">
        <v>0</v>
      </c>
      <c r="AF50" s="481">
        <v>0</v>
      </c>
      <c r="AG50" s="481">
        <v>5.3111624581771579</v>
      </c>
      <c r="AH50" s="700">
        <f t="shared" si="3"/>
        <v>177.03857297740745</v>
      </c>
      <c r="AI50" s="482">
        <f t="shared" si="4"/>
        <v>182.34973543558462</v>
      </c>
      <c r="AJ50" s="482" t="s">
        <v>1591</v>
      </c>
      <c r="AK50" s="482"/>
      <c r="AL50" s="585">
        <v>19.34</v>
      </c>
      <c r="AM50" s="585">
        <v>130.07722505967601</v>
      </c>
      <c r="AN50" s="581">
        <v>0</v>
      </c>
      <c r="AO50" s="581">
        <f t="shared" si="5"/>
        <v>149.41722505967601</v>
      </c>
    </row>
    <row r="51" spans="1:41" x14ac:dyDescent="0.3">
      <c r="A51" s="476">
        <v>150000544</v>
      </c>
      <c r="B51" s="477" t="s">
        <v>64</v>
      </c>
      <c r="C51" s="478">
        <v>136.9</v>
      </c>
      <c r="D51" s="483"/>
      <c r="E51" s="480"/>
      <c r="F51" s="480">
        <v>136.9</v>
      </c>
      <c r="G51" s="481">
        <v>0</v>
      </c>
      <c r="H51" s="481">
        <v>0</v>
      </c>
      <c r="I51" s="481">
        <v>0</v>
      </c>
      <c r="J51" s="481">
        <v>0</v>
      </c>
      <c r="K51" s="481">
        <v>0</v>
      </c>
      <c r="L51" s="481">
        <v>0</v>
      </c>
      <c r="M51" s="587">
        <f t="shared" si="1"/>
        <v>0</v>
      </c>
      <c r="N51" s="481">
        <v>0</v>
      </c>
      <c r="O51" s="481">
        <v>0</v>
      </c>
      <c r="P51" s="481">
        <v>0</v>
      </c>
      <c r="Q51" s="481">
        <v>27.621347917731452</v>
      </c>
      <c r="R51" s="587">
        <f t="shared" si="2"/>
        <v>169.74528878623431</v>
      </c>
      <c r="S51" s="481">
        <v>0</v>
      </c>
      <c r="T51" s="481">
        <v>0</v>
      </c>
      <c r="U51" s="481">
        <v>0</v>
      </c>
      <c r="V51" s="481">
        <v>0</v>
      </c>
      <c r="W51" s="481">
        <v>0</v>
      </c>
      <c r="X51" s="481">
        <v>0</v>
      </c>
      <c r="Y51" s="481">
        <v>0</v>
      </c>
      <c r="Z51" s="576">
        <f>45.8601039455452*0</f>
        <v>0</v>
      </c>
      <c r="AA51" s="481">
        <v>0</v>
      </c>
      <c r="AB51" s="481">
        <v>0</v>
      </c>
      <c r="AC51" s="481">
        <v>0</v>
      </c>
      <c r="AD51" s="481">
        <v>0</v>
      </c>
      <c r="AE51" s="481">
        <v>0</v>
      </c>
      <c r="AF51" s="481">
        <v>0</v>
      </c>
      <c r="AG51" s="481">
        <v>5.9210022194853273</v>
      </c>
      <c r="AH51" s="700">
        <f t="shared" si="3"/>
        <v>197.36663670396575</v>
      </c>
      <c r="AI51" s="482">
        <f t="shared" si="4"/>
        <v>203.28763892345108</v>
      </c>
      <c r="AJ51" s="482" t="s">
        <v>1591</v>
      </c>
      <c r="AK51" s="482"/>
      <c r="AL51" s="585">
        <v>25.61</v>
      </c>
      <c r="AM51" s="585">
        <v>144.1352887862343</v>
      </c>
      <c r="AN51" s="581">
        <v>0</v>
      </c>
      <c r="AO51" s="581">
        <f t="shared" si="5"/>
        <v>169.74528878623431</v>
      </c>
    </row>
    <row r="52" spans="1:41" x14ac:dyDescent="0.3">
      <c r="A52" s="476">
        <v>150000545</v>
      </c>
      <c r="B52" s="477" t="s">
        <v>106</v>
      </c>
      <c r="C52" s="478">
        <v>95</v>
      </c>
      <c r="D52" s="483"/>
      <c r="E52" s="480"/>
      <c r="F52" s="480">
        <v>95</v>
      </c>
      <c r="G52" s="481">
        <v>0</v>
      </c>
      <c r="H52" s="481">
        <v>0</v>
      </c>
      <c r="I52" s="481">
        <v>0</v>
      </c>
      <c r="J52" s="481">
        <v>0</v>
      </c>
      <c r="K52" s="481">
        <v>0</v>
      </c>
      <c r="L52" s="481">
        <v>0</v>
      </c>
      <c r="M52" s="587">
        <f t="shared" si="1"/>
        <v>0</v>
      </c>
      <c r="N52" s="481">
        <v>0</v>
      </c>
      <c r="O52" s="481">
        <v>0</v>
      </c>
      <c r="P52" s="481">
        <v>0</v>
      </c>
      <c r="Q52" s="481">
        <v>35.513161608511865</v>
      </c>
      <c r="R52" s="587">
        <f t="shared" si="2"/>
        <v>103.45505623117033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700">
        <f t="shared" si="3"/>
        <v>138.96821783968221</v>
      </c>
      <c r="AI52" s="482">
        <f t="shared" si="4"/>
        <v>138.96821783968221</v>
      </c>
      <c r="AJ52" s="482"/>
      <c r="AK52" s="482"/>
      <c r="AL52" s="585">
        <v>15.935</v>
      </c>
      <c r="AM52" s="585">
        <v>87.520056231170329</v>
      </c>
      <c r="AN52" s="581">
        <v>0</v>
      </c>
      <c r="AO52" s="581">
        <f t="shared" si="5"/>
        <v>103.45505623117033</v>
      </c>
    </row>
    <row r="53" spans="1:41" x14ac:dyDescent="0.3">
      <c r="A53" s="476">
        <v>150000546</v>
      </c>
      <c r="B53" s="477" t="s">
        <v>107</v>
      </c>
      <c r="C53" s="478">
        <v>131.30000000000001</v>
      </c>
      <c r="D53" s="483"/>
      <c r="E53" s="480"/>
      <c r="F53" s="480">
        <v>131.30000000000001</v>
      </c>
      <c r="G53" s="481">
        <v>0</v>
      </c>
      <c r="H53" s="481">
        <v>0</v>
      </c>
      <c r="I53" s="481">
        <v>0</v>
      </c>
      <c r="J53" s="481">
        <v>0</v>
      </c>
      <c r="K53" s="481">
        <v>0</v>
      </c>
      <c r="L53" s="481">
        <v>0</v>
      </c>
      <c r="M53" s="587">
        <f t="shared" si="1"/>
        <v>0</v>
      </c>
      <c r="N53" s="481">
        <v>0</v>
      </c>
      <c r="O53" s="481">
        <v>0</v>
      </c>
      <c r="P53" s="481">
        <v>0</v>
      </c>
      <c r="Q53" s="481">
        <v>35.513161608511865</v>
      </c>
      <c r="R53" s="587">
        <f t="shared" si="2"/>
        <v>141.66055092762522</v>
      </c>
      <c r="S53" s="481">
        <v>0</v>
      </c>
      <c r="T53" s="481">
        <v>0</v>
      </c>
      <c r="U53" s="481">
        <v>0</v>
      </c>
      <c r="V53" s="481">
        <v>0</v>
      </c>
      <c r="W53" s="481">
        <v>0</v>
      </c>
      <c r="X53" s="481">
        <v>0</v>
      </c>
      <c r="Y53" s="481">
        <v>0</v>
      </c>
      <c r="Z53" s="481">
        <v>0</v>
      </c>
      <c r="AA53" s="481">
        <v>0</v>
      </c>
      <c r="AB53" s="481">
        <v>0</v>
      </c>
      <c r="AC53" s="481">
        <v>0</v>
      </c>
      <c r="AD53" s="481">
        <v>0</v>
      </c>
      <c r="AE53" s="481">
        <v>0</v>
      </c>
      <c r="AF53" s="481">
        <v>0</v>
      </c>
      <c r="AG53" s="481">
        <v>0</v>
      </c>
      <c r="AH53" s="700">
        <f t="shared" si="3"/>
        <v>177.17371253613709</v>
      </c>
      <c r="AI53" s="482">
        <f t="shared" si="4"/>
        <v>177.17371253613709</v>
      </c>
      <c r="AJ53" s="482"/>
      <c r="AK53" s="482"/>
      <c r="AL53" s="585">
        <v>10.9</v>
      </c>
      <c r="AM53" s="585">
        <v>130.76055092762522</v>
      </c>
      <c r="AN53" s="581">
        <v>0</v>
      </c>
      <c r="AO53" s="581">
        <f t="shared" si="5"/>
        <v>141.66055092762522</v>
      </c>
    </row>
    <row r="54" spans="1:41" x14ac:dyDescent="0.3">
      <c r="A54" s="476">
        <v>150000547</v>
      </c>
      <c r="B54" s="477" t="s">
        <v>247</v>
      </c>
      <c r="C54" s="478">
        <v>2743.1</v>
      </c>
      <c r="D54" s="479"/>
      <c r="E54" s="480"/>
      <c r="F54" s="480">
        <v>2743.1</v>
      </c>
      <c r="G54" s="481">
        <v>887.23863130663483</v>
      </c>
      <c r="H54" s="481">
        <v>167.35415557246759</v>
      </c>
      <c r="I54" s="481">
        <v>343.96</v>
      </c>
      <c r="J54" s="481">
        <v>74.48</v>
      </c>
      <c r="K54" s="481">
        <v>59.112908977718426</v>
      </c>
      <c r="L54" s="481">
        <v>626.15007640538784</v>
      </c>
      <c r="M54" s="587">
        <f t="shared" si="1"/>
        <v>0</v>
      </c>
      <c r="N54" s="481">
        <v>977.41945656099665</v>
      </c>
      <c r="O54" s="481">
        <v>0</v>
      </c>
      <c r="P54" s="481">
        <v>0</v>
      </c>
      <c r="Q54" s="481">
        <v>236.75441072341243</v>
      </c>
      <c r="R54" s="587">
        <f t="shared" si="2"/>
        <v>4788.1838688634007</v>
      </c>
      <c r="S54" s="481">
        <v>148.48715468790544</v>
      </c>
      <c r="T54" s="481">
        <v>215.71437418210596</v>
      </c>
      <c r="U54" s="481">
        <v>112.6289509225978</v>
      </c>
      <c r="V54" s="481">
        <v>67.008273276759709</v>
      </c>
      <c r="W54" s="481">
        <v>59.973570119372766</v>
      </c>
      <c r="X54" s="481">
        <v>92.84294984290716</v>
      </c>
      <c r="Y54" s="481">
        <v>19.927301531169658</v>
      </c>
      <c r="Z54" s="481">
        <v>1319.2685518413582</v>
      </c>
      <c r="AA54" s="481">
        <v>1472.1466200020459</v>
      </c>
      <c r="AB54" s="481">
        <v>649.19522610755416</v>
      </c>
      <c r="AC54" s="481">
        <v>121.69733780385103</v>
      </c>
      <c r="AD54" s="481">
        <v>14.981679843277114</v>
      </c>
      <c r="AE54" s="481">
        <v>530.32988002044374</v>
      </c>
      <c r="AF54" s="481">
        <v>0</v>
      </c>
      <c r="AG54" s="481">
        <v>779.09132271548197</v>
      </c>
      <c r="AH54" s="700">
        <f t="shared" si="3"/>
        <v>12984.855378591366</v>
      </c>
      <c r="AI54" s="482">
        <f t="shared" si="4"/>
        <v>13763.946701306848</v>
      </c>
      <c r="AJ54" s="482"/>
      <c r="AK54" s="482"/>
      <c r="AL54" s="585">
        <v>75.709999999999994</v>
      </c>
      <c r="AM54" s="585">
        <v>4712.4738688634006</v>
      </c>
      <c r="AN54" s="581">
        <v>0</v>
      </c>
      <c r="AO54" s="581">
        <f t="shared" si="5"/>
        <v>4788.1838688634007</v>
      </c>
    </row>
    <row r="55" spans="1:41" x14ac:dyDescent="0.3">
      <c r="A55" s="476">
        <v>150000548</v>
      </c>
      <c r="B55" s="477" t="s">
        <v>246</v>
      </c>
      <c r="C55" s="478">
        <v>2189.9</v>
      </c>
      <c r="D55" s="479"/>
      <c r="E55" s="480"/>
      <c r="F55" s="480">
        <v>2189.9</v>
      </c>
      <c r="G55" s="481">
        <v>639.31812253145858</v>
      </c>
      <c r="H55" s="481">
        <v>147.23439961375757</v>
      </c>
      <c r="I55" s="481">
        <v>276.48</v>
      </c>
      <c r="J55" s="481">
        <v>54.24</v>
      </c>
      <c r="K55" s="481">
        <v>44.322556752048527</v>
      </c>
      <c r="L55" s="481">
        <v>483.85055155952909</v>
      </c>
      <c r="M55" s="587">
        <f t="shared" si="1"/>
        <v>0</v>
      </c>
      <c r="N55" s="481">
        <v>780.30362288029119</v>
      </c>
      <c r="O55" s="481">
        <v>0</v>
      </c>
      <c r="P55" s="481">
        <v>0</v>
      </c>
      <c r="Q55" s="481">
        <v>118.37720536170622</v>
      </c>
      <c r="R55" s="587">
        <f t="shared" si="2"/>
        <v>2438.451426998141</v>
      </c>
      <c r="S55" s="481">
        <v>120.48800102301557</v>
      </c>
      <c r="T55" s="481">
        <v>175.83146161726015</v>
      </c>
      <c r="U55" s="481">
        <v>96.631979953753728</v>
      </c>
      <c r="V55" s="481">
        <v>53.772048920633878</v>
      </c>
      <c r="W55" s="481">
        <v>44.980177589529568</v>
      </c>
      <c r="X55" s="481">
        <v>65.1232632172904</v>
      </c>
      <c r="Y55" s="481">
        <v>59.172188112108344</v>
      </c>
      <c r="Z55" s="481">
        <v>3174.1836621311222</v>
      </c>
      <c r="AA55" s="481">
        <v>1467.2500246729903</v>
      </c>
      <c r="AB55" s="481">
        <v>411.15697653478429</v>
      </c>
      <c r="AC55" s="481">
        <v>50.590796621782175</v>
      </c>
      <c r="AD55" s="481">
        <v>6.2280336750300025</v>
      </c>
      <c r="AE55" s="481">
        <v>346.2742157780545</v>
      </c>
      <c r="AF55" s="481">
        <v>0</v>
      </c>
      <c r="AG55" s="481">
        <v>663.25564293265734</v>
      </c>
      <c r="AH55" s="700">
        <f t="shared" si="3"/>
        <v>11054.260715544287</v>
      </c>
      <c r="AI55" s="482">
        <f t="shared" si="4"/>
        <v>11717.516358476945</v>
      </c>
      <c r="AJ55" s="482"/>
      <c r="AK55" s="482"/>
      <c r="AL55" s="585">
        <v>38.130000000000003</v>
      </c>
      <c r="AM55" s="585">
        <v>2400.3214269981409</v>
      </c>
      <c r="AN55" s="581">
        <v>0</v>
      </c>
      <c r="AO55" s="581">
        <f t="shared" si="5"/>
        <v>2438.451426998141</v>
      </c>
    </row>
    <row r="56" spans="1:41" x14ac:dyDescent="0.3">
      <c r="A56" s="476">
        <v>150000549</v>
      </c>
      <c r="B56" s="477" t="s">
        <v>206</v>
      </c>
      <c r="C56" s="478">
        <v>1173.1199999999999</v>
      </c>
      <c r="D56" s="479"/>
      <c r="E56" s="480"/>
      <c r="F56" s="480">
        <v>1173.1199999999999</v>
      </c>
      <c r="G56" s="481">
        <v>462.18222513798099</v>
      </c>
      <c r="H56" s="481">
        <v>113.23099573388458</v>
      </c>
      <c r="I56" s="481">
        <v>141.65</v>
      </c>
      <c r="J56" s="481">
        <v>27.73</v>
      </c>
      <c r="K56" s="481">
        <v>0</v>
      </c>
      <c r="L56" s="481">
        <v>237.67204954042666</v>
      </c>
      <c r="M56" s="587">
        <f t="shared" si="1"/>
        <v>0</v>
      </c>
      <c r="N56" s="481">
        <v>418.00529068602543</v>
      </c>
      <c r="O56" s="481">
        <v>0</v>
      </c>
      <c r="P56" s="481">
        <v>0</v>
      </c>
      <c r="Q56" s="481">
        <v>142.05264643404746</v>
      </c>
      <c r="R56" s="587">
        <f t="shared" si="2"/>
        <v>1174.0776080583862</v>
      </c>
      <c r="S56" s="481">
        <v>67.804320685652442</v>
      </c>
      <c r="T56" s="481">
        <v>132.42225554457045</v>
      </c>
      <c r="U56" s="481">
        <v>39.306365333160741</v>
      </c>
      <c r="V56" s="481">
        <v>40.427519598448129</v>
      </c>
      <c r="W56" s="481">
        <v>0</v>
      </c>
      <c r="X56" s="481">
        <v>31.954630512739072</v>
      </c>
      <c r="Y56" s="481">
        <v>27.264536768579557</v>
      </c>
      <c r="Z56" s="481">
        <v>1541.9252128449548</v>
      </c>
      <c r="AA56" s="481">
        <v>657.9735485898816</v>
      </c>
      <c r="AB56" s="481">
        <v>562.6358626265469</v>
      </c>
      <c r="AC56" s="481">
        <v>49.879976320410236</v>
      </c>
      <c r="AD56" s="481">
        <v>6.140527387929291</v>
      </c>
      <c r="AE56" s="481">
        <v>135.70205753464296</v>
      </c>
      <c r="AF56" s="481">
        <v>0</v>
      </c>
      <c r="AG56" s="481">
        <v>0</v>
      </c>
      <c r="AH56" s="700">
        <f t="shared" si="3"/>
        <v>6010.0376293382669</v>
      </c>
      <c r="AI56" s="482">
        <f t="shared" si="4"/>
        <v>6010.0376293382669</v>
      </c>
      <c r="AJ56" s="482"/>
      <c r="AK56" s="482"/>
      <c r="AL56" s="585">
        <v>16.850000000000001</v>
      </c>
      <c r="AM56" s="585">
        <v>1157.2276080583863</v>
      </c>
      <c r="AN56" s="581">
        <v>0</v>
      </c>
      <c r="AO56" s="581">
        <f t="shared" si="5"/>
        <v>1174.0776080583862</v>
      </c>
    </row>
    <row r="57" spans="1:41" x14ac:dyDescent="0.3">
      <c r="A57" s="476">
        <v>150000552</v>
      </c>
      <c r="B57" s="477" t="s">
        <v>91</v>
      </c>
      <c r="C57" s="478">
        <v>100.2</v>
      </c>
      <c r="D57" s="483"/>
      <c r="E57" s="480"/>
      <c r="F57" s="480">
        <v>100.2</v>
      </c>
      <c r="G57" s="481">
        <v>0</v>
      </c>
      <c r="H57" s="481">
        <v>0</v>
      </c>
      <c r="I57" s="481">
        <v>0</v>
      </c>
      <c r="J57" s="481">
        <v>0</v>
      </c>
      <c r="K57" s="481">
        <v>0</v>
      </c>
      <c r="L57" s="481">
        <v>0</v>
      </c>
      <c r="M57" s="587">
        <f t="shared" si="1"/>
        <v>0</v>
      </c>
      <c r="N57" s="481">
        <v>0</v>
      </c>
      <c r="O57" s="481">
        <v>0</v>
      </c>
      <c r="P57" s="481">
        <v>0</v>
      </c>
      <c r="Q57" s="481">
        <v>15.783627381560828</v>
      </c>
      <c r="R57" s="587">
        <f t="shared" si="2"/>
        <v>131.58043366968988</v>
      </c>
      <c r="S57" s="481">
        <v>0</v>
      </c>
      <c r="T57" s="481">
        <v>0</v>
      </c>
      <c r="U57" s="481">
        <v>0</v>
      </c>
      <c r="V57" s="481">
        <v>0</v>
      </c>
      <c r="W57" s="481">
        <v>0</v>
      </c>
      <c r="X57" s="481">
        <v>0</v>
      </c>
      <c r="Y57" s="481">
        <v>0</v>
      </c>
      <c r="Z57" s="481">
        <v>0</v>
      </c>
      <c r="AA57" s="481">
        <v>0</v>
      </c>
      <c r="AB57" s="481">
        <v>0</v>
      </c>
      <c r="AC57" s="481">
        <v>0</v>
      </c>
      <c r="AD57" s="481">
        <v>0</v>
      </c>
      <c r="AE57" s="481">
        <v>0</v>
      </c>
      <c r="AF57" s="481">
        <v>0</v>
      </c>
      <c r="AG57" s="481">
        <v>4.4209218315375223</v>
      </c>
      <c r="AH57" s="700">
        <f t="shared" si="3"/>
        <v>147.3640610512507</v>
      </c>
      <c r="AI57" s="482">
        <f t="shared" si="4"/>
        <v>151.78498288278823</v>
      </c>
      <c r="AJ57" s="482"/>
      <c r="AK57" s="482"/>
      <c r="AL57" s="585">
        <v>19.34</v>
      </c>
      <c r="AM57" s="585">
        <v>112.24043366968989</v>
      </c>
      <c r="AN57" s="581">
        <v>0</v>
      </c>
      <c r="AO57" s="581">
        <f t="shared" si="5"/>
        <v>131.58043366968988</v>
      </c>
    </row>
    <row r="58" spans="1:41" x14ac:dyDescent="0.3">
      <c r="A58" s="476">
        <v>150000553</v>
      </c>
      <c r="B58" s="477" t="s">
        <v>259</v>
      </c>
      <c r="C58" s="478">
        <v>3077.05</v>
      </c>
      <c r="D58" s="479"/>
      <c r="E58" s="480">
        <v>303</v>
      </c>
      <c r="F58" s="480">
        <v>3380.05</v>
      </c>
      <c r="G58" s="481">
        <v>946.08633552043841</v>
      </c>
      <c r="H58" s="481">
        <v>190.21187385170123</v>
      </c>
      <c r="I58" s="481">
        <v>373.94</v>
      </c>
      <c r="J58" s="481">
        <v>0</v>
      </c>
      <c r="K58" s="481">
        <v>0</v>
      </c>
      <c r="L58" s="481">
        <v>627.64020266867192</v>
      </c>
      <c r="M58" s="587">
        <f t="shared" si="1"/>
        <v>0</v>
      </c>
      <c r="N58" s="481">
        <v>1204.377031150522</v>
      </c>
      <c r="O58" s="481">
        <v>0</v>
      </c>
      <c r="P58" s="481">
        <v>0</v>
      </c>
      <c r="Q58" s="481">
        <v>804.96499645960228</v>
      </c>
      <c r="R58" s="587">
        <f t="shared" si="2"/>
        <v>3513.6397752811472</v>
      </c>
      <c r="S58" s="481">
        <v>155.34649275455396</v>
      </c>
      <c r="T58" s="481">
        <v>245.15933385811405</v>
      </c>
      <c r="U58" s="481">
        <v>149.48381101013752</v>
      </c>
      <c r="V58" s="481">
        <v>0</v>
      </c>
      <c r="W58" s="481">
        <v>0</v>
      </c>
      <c r="X58" s="481">
        <v>129.90969572028581</v>
      </c>
      <c r="Y58" s="481">
        <v>0</v>
      </c>
      <c r="Z58" s="481">
        <v>2046.7378276120469</v>
      </c>
      <c r="AA58" s="481">
        <v>1437.8760352513671</v>
      </c>
      <c r="AB58" s="481">
        <v>434.7884194860244</v>
      </c>
      <c r="AC58" s="481">
        <v>142.53172594751132</v>
      </c>
      <c r="AD58" s="481">
        <v>17.546519292780751</v>
      </c>
      <c r="AE58" s="481">
        <v>335.35565942469236</v>
      </c>
      <c r="AF58" s="481">
        <v>0</v>
      </c>
      <c r="AG58" s="481">
        <v>306.1342976469503</v>
      </c>
      <c r="AH58" s="700">
        <f t="shared" si="3"/>
        <v>12755.595735289597</v>
      </c>
      <c r="AI58" s="482">
        <f t="shared" si="4"/>
        <v>13061.730032936546</v>
      </c>
      <c r="AJ58" s="482"/>
      <c r="AK58" s="482"/>
      <c r="AL58" s="585">
        <v>99.5</v>
      </c>
      <c r="AM58" s="585">
        <v>3414.1397752811472</v>
      </c>
      <c r="AN58" s="581">
        <v>0</v>
      </c>
      <c r="AO58" s="581">
        <f t="shared" si="5"/>
        <v>3513.6397752811472</v>
      </c>
    </row>
    <row r="59" spans="1:41" x14ac:dyDescent="0.3">
      <c r="A59" s="476">
        <v>150000555</v>
      </c>
      <c r="B59" s="477" t="s">
        <v>88</v>
      </c>
      <c r="C59" s="478">
        <v>175.5</v>
      </c>
      <c r="D59" s="483"/>
      <c r="E59" s="480"/>
      <c r="F59" s="480">
        <v>175.5</v>
      </c>
      <c r="G59" s="481">
        <v>0</v>
      </c>
      <c r="H59" s="481">
        <v>0</v>
      </c>
      <c r="I59" s="481">
        <v>0</v>
      </c>
      <c r="J59" s="481">
        <v>0</v>
      </c>
      <c r="K59" s="481">
        <v>0</v>
      </c>
      <c r="L59" s="481">
        <v>0</v>
      </c>
      <c r="M59" s="587">
        <f t="shared" si="1"/>
        <v>0</v>
      </c>
      <c r="N59" s="481">
        <v>0</v>
      </c>
      <c r="O59" s="481">
        <v>0</v>
      </c>
      <c r="P59" s="481">
        <v>0</v>
      </c>
      <c r="Q59" s="481">
        <v>23.675441072341243</v>
      </c>
      <c r="R59" s="587">
        <f t="shared" si="2"/>
        <v>223.90857655262732</v>
      </c>
      <c r="S59" s="481">
        <v>0</v>
      </c>
      <c r="T59" s="481">
        <v>0</v>
      </c>
      <c r="U59" s="481">
        <v>0</v>
      </c>
      <c r="V59" s="481">
        <v>0</v>
      </c>
      <c r="W59" s="481">
        <v>0</v>
      </c>
      <c r="X59" s="481">
        <v>0</v>
      </c>
      <c r="Y59" s="481">
        <v>0</v>
      </c>
      <c r="Z59" s="481">
        <v>0</v>
      </c>
      <c r="AA59" s="481">
        <v>0</v>
      </c>
      <c r="AB59" s="481">
        <v>0</v>
      </c>
      <c r="AC59" s="481">
        <v>0</v>
      </c>
      <c r="AD59" s="481">
        <v>0</v>
      </c>
      <c r="AE59" s="481">
        <v>0</v>
      </c>
      <c r="AF59" s="481">
        <v>0</v>
      </c>
      <c r="AG59" s="481">
        <v>0</v>
      </c>
      <c r="AH59" s="700">
        <f t="shared" si="3"/>
        <v>247.58401762496857</v>
      </c>
      <c r="AI59" s="482">
        <f t="shared" si="4"/>
        <v>247.58401762496857</v>
      </c>
      <c r="AJ59" s="482"/>
      <c r="AK59" s="482"/>
      <c r="AL59" s="585">
        <v>35.619999999999997</v>
      </c>
      <c r="AM59" s="585">
        <v>188.28857655262732</v>
      </c>
      <c r="AN59" s="581">
        <v>0</v>
      </c>
      <c r="AO59" s="581">
        <f t="shared" si="5"/>
        <v>223.90857655262732</v>
      </c>
    </row>
    <row r="60" spans="1:41" x14ac:dyDescent="0.3">
      <c r="A60" s="476">
        <v>150000556</v>
      </c>
      <c r="B60" s="477" t="s">
        <v>89</v>
      </c>
      <c r="C60" s="478">
        <v>181.9</v>
      </c>
      <c r="D60" s="483"/>
      <c r="E60" s="480"/>
      <c r="F60" s="480">
        <v>181.9</v>
      </c>
      <c r="G60" s="481">
        <v>0</v>
      </c>
      <c r="H60" s="481">
        <v>0</v>
      </c>
      <c r="I60" s="481">
        <v>0</v>
      </c>
      <c r="J60" s="481">
        <v>0</v>
      </c>
      <c r="K60" s="481">
        <v>0</v>
      </c>
      <c r="L60" s="481">
        <v>0</v>
      </c>
      <c r="M60" s="587">
        <f t="shared" si="1"/>
        <v>0</v>
      </c>
      <c r="N60" s="481">
        <v>0</v>
      </c>
      <c r="O60" s="481">
        <v>0</v>
      </c>
      <c r="P60" s="481">
        <v>0</v>
      </c>
      <c r="Q60" s="481">
        <v>27.621347917731452</v>
      </c>
      <c r="R60" s="587">
        <f t="shared" si="2"/>
        <v>212.97470192767403</v>
      </c>
      <c r="S60" s="481">
        <v>0</v>
      </c>
      <c r="T60" s="481">
        <v>0</v>
      </c>
      <c r="U60" s="481">
        <v>0</v>
      </c>
      <c r="V60" s="481">
        <v>0</v>
      </c>
      <c r="W60" s="481">
        <v>0</v>
      </c>
      <c r="X60" s="481">
        <v>0</v>
      </c>
      <c r="Y60" s="481">
        <v>0</v>
      </c>
      <c r="Z60" s="481">
        <v>0</v>
      </c>
      <c r="AA60" s="481">
        <v>0</v>
      </c>
      <c r="AB60" s="481">
        <v>0</v>
      </c>
      <c r="AC60" s="481">
        <v>0</v>
      </c>
      <c r="AD60" s="481">
        <v>0</v>
      </c>
      <c r="AE60" s="481">
        <v>0</v>
      </c>
      <c r="AF60" s="481">
        <v>0</v>
      </c>
      <c r="AG60" s="481">
        <v>7.2178814953621639</v>
      </c>
      <c r="AH60" s="700">
        <f t="shared" si="3"/>
        <v>240.59604984540545</v>
      </c>
      <c r="AI60" s="482">
        <f t="shared" si="4"/>
        <v>247.81393134076762</v>
      </c>
      <c r="AJ60" s="482"/>
      <c r="AK60" s="482"/>
      <c r="AL60" s="585">
        <v>40.49</v>
      </c>
      <c r="AM60" s="585">
        <v>172.48470192767402</v>
      </c>
      <c r="AN60" s="581">
        <v>0</v>
      </c>
      <c r="AO60" s="581">
        <f t="shared" si="5"/>
        <v>212.97470192767403</v>
      </c>
    </row>
    <row r="61" spans="1:41" x14ac:dyDescent="0.3">
      <c r="A61" s="476">
        <v>150000557</v>
      </c>
      <c r="B61" s="477" t="s">
        <v>90</v>
      </c>
      <c r="C61" s="478">
        <v>110.2</v>
      </c>
      <c r="D61" s="483"/>
      <c r="E61" s="480"/>
      <c r="F61" s="480">
        <v>110.2</v>
      </c>
      <c r="G61" s="481">
        <v>0</v>
      </c>
      <c r="H61" s="481">
        <v>0</v>
      </c>
      <c r="I61" s="481">
        <v>0</v>
      </c>
      <c r="J61" s="481">
        <v>0</v>
      </c>
      <c r="K61" s="481">
        <v>0</v>
      </c>
      <c r="L61" s="481">
        <v>0</v>
      </c>
      <c r="M61" s="587">
        <f t="shared" si="1"/>
        <v>0</v>
      </c>
      <c r="N61" s="481">
        <v>0</v>
      </c>
      <c r="O61" s="481">
        <v>0</v>
      </c>
      <c r="P61" s="481">
        <v>0</v>
      </c>
      <c r="Q61" s="481">
        <v>11.837720536170622</v>
      </c>
      <c r="R61" s="587">
        <f t="shared" si="2"/>
        <v>138.45003483151197</v>
      </c>
      <c r="S61" s="481">
        <v>0</v>
      </c>
      <c r="T61" s="481">
        <v>0</v>
      </c>
      <c r="U61" s="481">
        <v>0</v>
      </c>
      <c r="V61" s="481">
        <v>0</v>
      </c>
      <c r="W61" s="481">
        <v>0</v>
      </c>
      <c r="X61" s="481">
        <v>0</v>
      </c>
      <c r="Y61" s="481">
        <v>0</v>
      </c>
      <c r="Z61" s="481">
        <v>0</v>
      </c>
      <c r="AA61" s="481">
        <v>0</v>
      </c>
      <c r="AB61" s="481">
        <v>0</v>
      </c>
      <c r="AC61" s="481">
        <v>0</v>
      </c>
      <c r="AD61" s="481">
        <v>0</v>
      </c>
      <c r="AE61" s="481">
        <v>0</v>
      </c>
      <c r="AF61" s="481">
        <v>0</v>
      </c>
      <c r="AG61" s="481">
        <v>3.6069061288243818</v>
      </c>
      <c r="AH61" s="700">
        <f t="shared" si="3"/>
        <v>150.28775536768259</v>
      </c>
      <c r="AI61" s="482">
        <f t="shared" si="4"/>
        <v>153.89466149650698</v>
      </c>
      <c r="AJ61" s="482"/>
      <c r="AK61" s="482"/>
      <c r="AL61" s="585">
        <v>25.31</v>
      </c>
      <c r="AM61" s="585">
        <v>113.14003483151197</v>
      </c>
      <c r="AN61" s="581">
        <v>0</v>
      </c>
      <c r="AO61" s="581">
        <f t="shared" si="5"/>
        <v>138.45003483151197</v>
      </c>
    </row>
    <row r="62" spans="1:41" x14ac:dyDescent="0.3">
      <c r="A62" s="476">
        <v>150000561</v>
      </c>
      <c r="B62" s="477" t="s">
        <v>71</v>
      </c>
      <c r="C62" s="478">
        <v>128.1</v>
      </c>
      <c r="D62" s="483"/>
      <c r="E62" s="480"/>
      <c r="F62" s="480">
        <v>128.1</v>
      </c>
      <c r="G62" s="481">
        <v>0</v>
      </c>
      <c r="H62" s="481">
        <v>0</v>
      </c>
      <c r="I62" s="481">
        <v>0</v>
      </c>
      <c r="J62" s="481">
        <v>0</v>
      </c>
      <c r="K62" s="481">
        <v>0</v>
      </c>
      <c r="L62" s="481">
        <v>0</v>
      </c>
      <c r="M62" s="587">
        <f t="shared" si="1"/>
        <v>0</v>
      </c>
      <c r="N62" s="481">
        <v>0</v>
      </c>
      <c r="O62" s="481">
        <v>0</v>
      </c>
      <c r="P62" s="481">
        <v>0</v>
      </c>
      <c r="Q62" s="481">
        <v>39.45906845390207</v>
      </c>
      <c r="R62" s="587">
        <f t="shared" si="2"/>
        <v>114.78849404052102</v>
      </c>
      <c r="S62" s="481">
        <v>0</v>
      </c>
      <c r="T62" s="481">
        <v>0</v>
      </c>
      <c r="U62" s="481">
        <v>0</v>
      </c>
      <c r="V62" s="481">
        <v>0</v>
      </c>
      <c r="W62" s="481">
        <v>0</v>
      </c>
      <c r="X62" s="481">
        <v>0</v>
      </c>
      <c r="Y62" s="481">
        <v>0</v>
      </c>
      <c r="Z62" s="481">
        <v>16.748907527938258</v>
      </c>
      <c r="AA62" s="481">
        <v>0</v>
      </c>
      <c r="AB62" s="481">
        <v>13.774594642977101</v>
      </c>
      <c r="AC62" s="481">
        <v>0</v>
      </c>
      <c r="AD62" s="481">
        <v>0</v>
      </c>
      <c r="AE62" s="481">
        <v>0</v>
      </c>
      <c r="AF62" s="481">
        <v>0</v>
      </c>
      <c r="AG62" s="481">
        <v>3.3258791639760918</v>
      </c>
      <c r="AH62" s="700">
        <f t="shared" si="3"/>
        <v>184.77106466533843</v>
      </c>
      <c r="AI62" s="482">
        <f t="shared" si="4"/>
        <v>188.09694382931451</v>
      </c>
      <c r="AJ62" s="482"/>
      <c r="AK62" s="482"/>
      <c r="AL62" s="585">
        <v>16.41</v>
      </c>
      <c r="AM62" s="585">
        <v>98.378494040521019</v>
      </c>
      <c r="AN62" s="581">
        <v>0</v>
      </c>
      <c r="AO62" s="581">
        <f t="shared" si="5"/>
        <v>114.78849404052102</v>
      </c>
    </row>
    <row r="63" spans="1:41" x14ac:dyDescent="0.3">
      <c r="A63" s="476">
        <v>150000562</v>
      </c>
      <c r="B63" s="477" t="s">
        <v>73</v>
      </c>
      <c r="C63" s="478">
        <v>266.68</v>
      </c>
      <c r="D63" s="483"/>
      <c r="E63" s="480">
        <v>58.4</v>
      </c>
      <c r="F63" s="480">
        <v>325.08</v>
      </c>
      <c r="G63" s="481">
        <v>0</v>
      </c>
      <c r="H63" s="481">
        <v>0</v>
      </c>
      <c r="I63" s="481">
        <v>0</v>
      </c>
      <c r="J63" s="481">
        <v>0</v>
      </c>
      <c r="K63" s="481">
        <v>0</v>
      </c>
      <c r="L63" s="481">
        <v>0</v>
      </c>
      <c r="M63" s="587">
        <f t="shared" si="1"/>
        <v>0</v>
      </c>
      <c r="N63" s="481">
        <v>0</v>
      </c>
      <c r="O63" s="481">
        <v>0</v>
      </c>
      <c r="P63" s="481">
        <v>0</v>
      </c>
      <c r="Q63" s="481">
        <v>67.080416371633532</v>
      </c>
      <c r="R63" s="587">
        <f t="shared" si="2"/>
        <v>321.02347647785717</v>
      </c>
      <c r="S63" s="481">
        <v>0</v>
      </c>
      <c r="T63" s="481">
        <v>0</v>
      </c>
      <c r="U63" s="481">
        <v>0</v>
      </c>
      <c r="V63" s="481">
        <v>0</v>
      </c>
      <c r="W63" s="481">
        <v>0</v>
      </c>
      <c r="X63" s="481">
        <v>0</v>
      </c>
      <c r="Y63" s="481">
        <v>0</v>
      </c>
      <c r="Z63" s="481">
        <v>91.720207891090439</v>
      </c>
      <c r="AA63" s="481">
        <v>0</v>
      </c>
      <c r="AB63" s="481">
        <v>0</v>
      </c>
      <c r="AC63" s="481">
        <v>0</v>
      </c>
      <c r="AD63" s="481">
        <v>0</v>
      </c>
      <c r="AE63" s="481">
        <v>0</v>
      </c>
      <c r="AF63" s="481">
        <v>0</v>
      </c>
      <c r="AG63" s="481">
        <v>8.6368338133304601</v>
      </c>
      <c r="AH63" s="700">
        <f t="shared" si="3"/>
        <v>479.82410074058112</v>
      </c>
      <c r="AI63" s="482">
        <f t="shared" si="4"/>
        <v>488.46093455391156</v>
      </c>
      <c r="AJ63" s="482"/>
      <c r="AK63" s="482"/>
      <c r="AL63" s="585">
        <v>37.5</v>
      </c>
      <c r="AM63" s="585">
        <v>283.52347647785717</v>
      </c>
      <c r="AN63" s="581">
        <v>0</v>
      </c>
      <c r="AO63" s="581">
        <f t="shared" si="5"/>
        <v>321.02347647785717</v>
      </c>
    </row>
    <row r="64" spans="1:41" x14ac:dyDescent="0.3">
      <c r="A64" s="476">
        <v>150000566</v>
      </c>
      <c r="B64" s="477" t="s">
        <v>68</v>
      </c>
      <c r="C64" s="478">
        <v>397.8</v>
      </c>
      <c r="D64" s="483"/>
      <c r="E64" s="480"/>
      <c r="F64" s="480">
        <v>397.8</v>
      </c>
      <c r="G64" s="481">
        <v>0</v>
      </c>
      <c r="H64" s="481">
        <v>0</v>
      </c>
      <c r="I64" s="481">
        <v>0</v>
      </c>
      <c r="J64" s="481">
        <v>0</v>
      </c>
      <c r="K64" s="481">
        <v>0</v>
      </c>
      <c r="L64" s="481">
        <v>0</v>
      </c>
      <c r="M64" s="587">
        <f t="shared" si="1"/>
        <v>0</v>
      </c>
      <c r="N64" s="481">
        <v>0</v>
      </c>
      <c r="O64" s="481">
        <v>0</v>
      </c>
      <c r="P64" s="481">
        <v>0</v>
      </c>
      <c r="Q64" s="481">
        <v>55.242695835462904</v>
      </c>
      <c r="R64" s="587">
        <f t="shared" si="2"/>
        <v>537.60310085888705</v>
      </c>
      <c r="S64" s="481">
        <v>0</v>
      </c>
      <c r="T64" s="481">
        <v>0</v>
      </c>
      <c r="U64" s="481">
        <v>0</v>
      </c>
      <c r="V64" s="481">
        <v>0</v>
      </c>
      <c r="W64" s="481">
        <v>0</v>
      </c>
      <c r="X64" s="481">
        <v>0</v>
      </c>
      <c r="Y64" s="481">
        <v>0</v>
      </c>
      <c r="Z64" s="576">
        <f>71.7810322625925*0</f>
        <v>0</v>
      </c>
      <c r="AA64" s="481">
        <v>0</v>
      </c>
      <c r="AB64" s="481">
        <v>0</v>
      </c>
      <c r="AC64" s="481">
        <v>0</v>
      </c>
      <c r="AD64" s="481">
        <v>0</v>
      </c>
      <c r="AE64" s="481">
        <v>0</v>
      </c>
      <c r="AF64" s="481">
        <v>0</v>
      </c>
      <c r="AG64" s="481">
        <v>17.785374868708271</v>
      </c>
      <c r="AH64" s="700">
        <f t="shared" si="3"/>
        <v>592.84579669434993</v>
      </c>
      <c r="AI64" s="482">
        <f t="shared" si="4"/>
        <v>610.63117156305816</v>
      </c>
      <c r="AJ64" s="482" t="s">
        <v>1591</v>
      </c>
      <c r="AK64" s="482"/>
      <c r="AL64" s="585">
        <v>24.22</v>
      </c>
      <c r="AM64" s="585">
        <v>513.38310085888702</v>
      </c>
      <c r="AN64" s="581">
        <v>0</v>
      </c>
      <c r="AO64" s="581">
        <f t="shared" si="5"/>
        <v>537.60310085888705</v>
      </c>
    </row>
    <row r="65" spans="1:41" x14ac:dyDescent="0.3">
      <c r="A65" s="476">
        <v>150000567</v>
      </c>
      <c r="B65" s="477" t="s">
        <v>70</v>
      </c>
      <c r="C65" s="478">
        <v>134</v>
      </c>
      <c r="D65" s="483"/>
      <c r="E65" s="480"/>
      <c r="F65" s="480">
        <v>134</v>
      </c>
      <c r="G65" s="481">
        <v>0</v>
      </c>
      <c r="H65" s="481">
        <v>0</v>
      </c>
      <c r="I65" s="481">
        <v>0</v>
      </c>
      <c r="J65" s="481">
        <v>0</v>
      </c>
      <c r="K65" s="481">
        <v>0</v>
      </c>
      <c r="L65" s="481">
        <v>0</v>
      </c>
      <c r="M65" s="587">
        <f t="shared" si="1"/>
        <v>0</v>
      </c>
      <c r="N65" s="481">
        <v>0</v>
      </c>
      <c r="O65" s="481">
        <v>0</v>
      </c>
      <c r="P65" s="481">
        <v>0</v>
      </c>
      <c r="Q65" s="481">
        <v>23.675441072341243</v>
      </c>
      <c r="R65" s="587">
        <f t="shared" si="2"/>
        <v>136.85861270284198</v>
      </c>
      <c r="S65" s="481">
        <v>0</v>
      </c>
      <c r="T65" s="481">
        <v>0</v>
      </c>
      <c r="U65" s="481">
        <v>0</v>
      </c>
      <c r="V65" s="481">
        <v>0</v>
      </c>
      <c r="W65" s="481">
        <v>0</v>
      </c>
      <c r="X65" s="481">
        <v>0</v>
      </c>
      <c r="Y65" s="481">
        <v>0</v>
      </c>
      <c r="Z65" s="576">
        <f>35.8905161312963*0</f>
        <v>0</v>
      </c>
      <c r="AA65" s="481">
        <v>0</v>
      </c>
      <c r="AB65" s="481">
        <v>0</v>
      </c>
      <c r="AC65" s="481">
        <v>0</v>
      </c>
      <c r="AD65" s="481">
        <v>0</v>
      </c>
      <c r="AE65" s="481">
        <v>0</v>
      </c>
      <c r="AF65" s="481">
        <v>0</v>
      </c>
      <c r="AG65" s="481">
        <v>1.9264028388777539</v>
      </c>
      <c r="AH65" s="700">
        <f t="shared" si="3"/>
        <v>160.53405377518322</v>
      </c>
      <c r="AI65" s="482">
        <f t="shared" si="4"/>
        <v>162.46045661406097</v>
      </c>
      <c r="AJ65" s="482" t="s">
        <v>1591</v>
      </c>
      <c r="AK65" s="482"/>
      <c r="AL65" s="585">
        <v>25.61</v>
      </c>
      <c r="AM65" s="585">
        <v>111.248612702842</v>
      </c>
      <c r="AN65" s="581">
        <v>0</v>
      </c>
      <c r="AO65" s="581">
        <f t="shared" si="5"/>
        <v>136.85861270284198</v>
      </c>
    </row>
    <row r="66" spans="1:41" x14ac:dyDescent="0.3">
      <c r="A66" s="476">
        <v>150000569</v>
      </c>
      <c r="B66" s="477" t="s">
        <v>72</v>
      </c>
      <c r="C66" s="478">
        <v>245.6</v>
      </c>
      <c r="D66" s="483"/>
      <c r="E66" s="480"/>
      <c r="F66" s="480">
        <v>245.6</v>
      </c>
      <c r="G66" s="481">
        <v>0</v>
      </c>
      <c r="H66" s="481">
        <v>0</v>
      </c>
      <c r="I66" s="481">
        <v>0</v>
      </c>
      <c r="J66" s="481">
        <v>0</v>
      </c>
      <c r="K66" s="481">
        <v>0</v>
      </c>
      <c r="L66" s="481">
        <v>0</v>
      </c>
      <c r="M66" s="587">
        <f t="shared" si="1"/>
        <v>0</v>
      </c>
      <c r="N66" s="481">
        <v>0</v>
      </c>
      <c r="O66" s="481">
        <v>0</v>
      </c>
      <c r="P66" s="481">
        <v>0</v>
      </c>
      <c r="Q66" s="481">
        <v>51.296788990072692</v>
      </c>
      <c r="R66" s="587">
        <f t="shared" si="2"/>
        <v>312.88518667928395</v>
      </c>
      <c r="S66" s="481">
        <v>0</v>
      </c>
      <c r="T66" s="481">
        <v>0</v>
      </c>
      <c r="U66" s="481">
        <v>0</v>
      </c>
      <c r="V66" s="481">
        <v>0</v>
      </c>
      <c r="W66" s="481">
        <v>0</v>
      </c>
      <c r="X66" s="481">
        <v>0</v>
      </c>
      <c r="Y66" s="481">
        <v>0</v>
      </c>
      <c r="Z66" s="481">
        <v>25.920928317047299</v>
      </c>
      <c r="AA66" s="481">
        <v>0</v>
      </c>
      <c r="AB66" s="481">
        <v>0</v>
      </c>
      <c r="AC66" s="481">
        <v>0</v>
      </c>
      <c r="AD66" s="481">
        <v>0</v>
      </c>
      <c r="AE66" s="481">
        <v>0</v>
      </c>
      <c r="AF66" s="481">
        <v>0</v>
      </c>
      <c r="AG66" s="481">
        <v>7.0218522717552707</v>
      </c>
      <c r="AH66" s="700">
        <f t="shared" si="3"/>
        <v>390.10290398640393</v>
      </c>
      <c r="AI66" s="482">
        <f t="shared" si="4"/>
        <v>397.12475625815921</v>
      </c>
      <c r="AJ66" s="482"/>
      <c r="AK66" s="482"/>
      <c r="AL66" s="585">
        <v>33.74</v>
      </c>
      <c r="AM66" s="585">
        <v>279.14518667928394</v>
      </c>
      <c r="AN66" s="581">
        <v>0</v>
      </c>
      <c r="AO66" s="581">
        <f t="shared" si="5"/>
        <v>312.88518667928395</v>
      </c>
    </row>
    <row r="67" spans="1:41" x14ac:dyDescent="0.3">
      <c r="A67" s="476">
        <v>150000570</v>
      </c>
      <c r="B67" s="477" t="s">
        <v>74</v>
      </c>
      <c r="C67" s="478">
        <v>282.8</v>
      </c>
      <c r="D67" s="483"/>
      <c r="E67" s="480"/>
      <c r="F67" s="480">
        <v>282.8</v>
      </c>
      <c r="G67" s="481">
        <v>0</v>
      </c>
      <c r="H67" s="481">
        <v>0</v>
      </c>
      <c r="I67" s="481">
        <v>0</v>
      </c>
      <c r="J67" s="481">
        <v>0</v>
      </c>
      <c r="K67" s="481">
        <v>0</v>
      </c>
      <c r="L67" s="481">
        <v>0</v>
      </c>
      <c r="M67" s="587">
        <f t="shared" si="1"/>
        <v>0</v>
      </c>
      <c r="N67" s="481">
        <v>0</v>
      </c>
      <c r="O67" s="481">
        <v>0</v>
      </c>
      <c r="P67" s="481">
        <v>0</v>
      </c>
      <c r="Q67" s="481">
        <v>39.45906845390207</v>
      </c>
      <c r="R67" s="587">
        <f t="shared" si="2"/>
        <v>237.84650010309687</v>
      </c>
      <c r="S67" s="481">
        <v>0</v>
      </c>
      <c r="T67" s="481">
        <v>0</v>
      </c>
      <c r="U67" s="481">
        <v>0</v>
      </c>
      <c r="V67" s="481">
        <v>0</v>
      </c>
      <c r="W67" s="481">
        <v>0</v>
      </c>
      <c r="X67" s="481">
        <v>0</v>
      </c>
      <c r="Y67" s="481">
        <v>0</v>
      </c>
      <c r="Z67" s="481">
        <v>103.68371326818919</v>
      </c>
      <c r="AA67" s="481">
        <v>0</v>
      </c>
      <c r="AB67" s="481">
        <v>0</v>
      </c>
      <c r="AC67" s="481">
        <v>0</v>
      </c>
      <c r="AD67" s="481">
        <v>0</v>
      </c>
      <c r="AE67" s="481">
        <v>0</v>
      </c>
      <c r="AF67" s="481">
        <v>0</v>
      </c>
      <c r="AG67" s="481">
        <v>11.429678454755646</v>
      </c>
      <c r="AH67" s="700">
        <f t="shared" si="3"/>
        <v>380.98928182518819</v>
      </c>
      <c r="AI67" s="482">
        <f t="shared" si="4"/>
        <v>392.4189602799438</v>
      </c>
      <c r="AJ67" s="482"/>
      <c r="AK67" s="482"/>
      <c r="AL67" s="585">
        <v>17.18</v>
      </c>
      <c r="AM67" s="585">
        <v>220.66650010309687</v>
      </c>
      <c r="AN67" s="581">
        <v>0</v>
      </c>
      <c r="AO67" s="581">
        <f t="shared" si="5"/>
        <v>237.84650010309687</v>
      </c>
    </row>
    <row r="68" spans="1:41" x14ac:dyDescent="0.3">
      <c r="A68" s="476">
        <v>150000571</v>
      </c>
      <c r="B68" s="477" t="s">
        <v>69</v>
      </c>
      <c r="C68" s="478">
        <v>238.6</v>
      </c>
      <c r="D68" s="483"/>
      <c r="E68" s="480"/>
      <c r="F68" s="480">
        <v>238.6</v>
      </c>
      <c r="G68" s="481">
        <v>0</v>
      </c>
      <c r="H68" s="481">
        <v>0</v>
      </c>
      <c r="I68" s="481">
        <v>0</v>
      </c>
      <c r="J68" s="481">
        <v>0</v>
      </c>
      <c r="K68" s="481">
        <v>0</v>
      </c>
      <c r="L68" s="481">
        <v>0</v>
      </c>
      <c r="M68" s="587">
        <f t="shared" si="1"/>
        <v>0</v>
      </c>
      <c r="N68" s="481">
        <v>0</v>
      </c>
      <c r="O68" s="481">
        <v>0</v>
      </c>
      <c r="P68" s="481">
        <v>0</v>
      </c>
      <c r="Q68" s="481">
        <v>59.188602680853108</v>
      </c>
      <c r="R68" s="587">
        <f t="shared" si="2"/>
        <v>346.18644307499596</v>
      </c>
      <c r="S68" s="481">
        <v>0</v>
      </c>
      <c r="T68" s="481">
        <v>0</v>
      </c>
      <c r="U68" s="481">
        <v>0</v>
      </c>
      <c r="V68" s="481">
        <v>0</v>
      </c>
      <c r="W68" s="481">
        <v>0</v>
      </c>
      <c r="X68" s="481">
        <v>0</v>
      </c>
      <c r="Y68" s="481">
        <v>0</v>
      </c>
      <c r="Z68" s="576">
        <f>109.665465956739*0</f>
        <v>0</v>
      </c>
      <c r="AA68" s="481">
        <v>0</v>
      </c>
      <c r="AB68" s="481">
        <v>0</v>
      </c>
      <c r="AC68" s="481">
        <v>0</v>
      </c>
      <c r="AD68" s="481">
        <v>0</v>
      </c>
      <c r="AE68" s="481">
        <v>0</v>
      </c>
      <c r="AF68" s="481">
        <v>0</v>
      </c>
      <c r="AG68" s="481">
        <v>12.161265351377624</v>
      </c>
      <c r="AH68" s="700">
        <f t="shared" si="3"/>
        <v>405.3750457558491</v>
      </c>
      <c r="AI68" s="482">
        <f t="shared" si="4"/>
        <v>417.53631110722671</v>
      </c>
      <c r="AJ68" s="482" t="s">
        <v>1591</v>
      </c>
      <c r="AK68" s="482"/>
      <c r="AL68" s="585">
        <v>21.22</v>
      </c>
      <c r="AM68" s="585">
        <v>324.96644307499599</v>
      </c>
      <c r="AN68" s="581">
        <v>0</v>
      </c>
      <c r="AO68" s="581">
        <f t="shared" si="5"/>
        <v>346.18644307499596</v>
      </c>
    </row>
    <row r="69" spans="1:41" x14ac:dyDescent="0.3">
      <c r="A69" s="476">
        <v>150000572</v>
      </c>
      <c r="B69" s="477" t="s">
        <v>152</v>
      </c>
      <c r="C69" s="478">
        <v>171.6</v>
      </c>
      <c r="D69" s="479"/>
      <c r="E69" s="480"/>
      <c r="F69" s="480">
        <v>171.6</v>
      </c>
      <c r="G69" s="481">
        <v>90.028235945316339</v>
      </c>
      <c r="H69" s="481">
        <v>16.890871816457281</v>
      </c>
      <c r="I69" s="481">
        <v>0</v>
      </c>
      <c r="J69" s="481">
        <v>0</v>
      </c>
      <c r="K69" s="481">
        <v>0</v>
      </c>
      <c r="L69" s="481">
        <v>2.421008240106258</v>
      </c>
      <c r="M69" s="587">
        <f t="shared" si="1"/>
        <v>0</v>
      </c>
      <c r="N69" s="481">
        <v>61.14439092481755</v>
      </c>
      <c r="O69" s="481">
        <v>0</v>
      </c>
      <c r="P69" s="481">
        <v>0</v>
      </c>
      <c r="Q69" s="481">
        <v>39.45906845390207</v>
      </c>
      <c r="R69" s="587">
        <f t="shared" si="2"/>
        <v>261.18969800863181</v>
      </c>
      <c r="S69" s="481">
        <v>16.856310403077803</v>
      </c>
      <c r="T69" s="481">
        <v>21.777822683201602</v>
      </c>
      <c r="U69" s="481">
        <v>0</v>
      </c>
      <c r="V69" s="481">
        <v>0</v>
      </c>
      <c r="W69" s="481">
        <v>0</v>
      </c>
      <c r="X69" s="481">
        <v>0</v>
      </c>
      <c r="Y69" s="481">
        <v>4.9458783600848655</v>
      </c>
      <c r="Z69" s="481">
        <v>7.9756702513991691</v>
      </c>
      <c r="AA69" s="481">
        <v>11.833202317873237</v>
      </c>
      <c r="AB69" s="481">
        <v>6.5593307823700489</v>
      </c>
      <c r="AC69" s="481">
        <v>0</v>
      </c>
      <c r="AD69" s="481">
        <v>0</v>
      </c>
      <c r="AE69" s="481">
        <v>1.5597937647660113E-4</v>
      </c>
      <c r="AF69" s="481">
        <v>0</v>
      </c>
      <c r="AG69" s="481">
        <v>16.232449324998434</v>
      </c>
      <c r="AH69" s="700">
        <f t="shared" si="3"/>
        <v>541.08164416661441</v>
      </c>
      <c r="AI69" s="482">
        <f t="shared" si="4"/>
        <v>557.31409349161288</v>
      </c>
      <c r="AJ69" s="482"/>
      <c r="AK69" s="482"/>
      <c r="AL69" s="585">
        <v>8.69</v>
      </c>
      <c r="AM69" s="585">
        <v>252.49969800863181</v>
      </c>
      <c r="AN69" s="581">
        <v>0</v>
      </c>
      <c r="AO69" s="581">
        <f t="shared" si="5"/>
        <v>261.18969800863181</v>
      </c>
    </row>
    <row r="70" spans="1:41" x14ac:dyDescent="0.3">
      <c r="A70" s="476">
        <v>150000573</v>
      </c>
      <c r="B70" s="477" t="s">
        <v>75</v>
      </c>
      <c r="C70" s="478">
        <v>151.6</v>
      </c>
      <c r="D70" s="483"/>
      <c r="E70" s="480"/>
      <c r="F70" s="480">
        <v>151.6</v>
      </c>
      <c r="G70" s="481">
        <v>0</v>
      </c>
      <c r="H70" s="481">
        <v>0</v>
      </c>
      <c r="I70" s="481">
        <v>0</v>
      </c>
      <c r="J70" s="481">
        <v>0</v>
      </c>
      <c r="K70" s="481">
        <v>0</v>
      </c>
      <c r="L70" s="481">
        <v>0</v>
      </c>
      <c r="M70" s="587">
        <f t="shared" ref="M70:M133" si="6">AN70</f>
        <v>0</v>
      </c>
      <c r="N70" s="481">
        <v>0</v>
      </c>
      <c r="O70" s="481">
        <v>0</v>
      </c>
      <c r="P70" s="481">
        <v>0</v>
      </c>
      <c r="Q70" s="481">
        <v>23.675441072341243</v>
      </c>
      <c r="R70" s="587">
        <f t="shared" ref="R70:R133" si="7">AO70</f>
        <v>129.97331681730873</v>
      </c>
      <c r="S70" s="481">
        <v>0</v>
      </c>
      <c r="T70" s="481">
        <v>0</v>
      </c>
      <c r="U70" s="481">
        <v>0</v>
      </c>
      <c r="V70" s="481">
        <v>0</v>
      </c>
      <c r="W70" s="481">
        <v>0</v>
      </c>
      <c r="X70" s="481">
        <v>0</v>
      </c>
      <c r="Y70" s="481">
        <v>0</v>
      </c>
      <c r="Z70" s="481">
        <v>45.86010394554522</v>
      </c>
      <c r="AA70" s="481">
        <v>0</v>
      </c>
      <c r="AB70" s="481">
        <v>0</v>
      </c>
      <c r="AC70" s="481">
        <v>0</v>
      </c>
      <c r="AD70" s="481">
        <v>0</v>
      </c>
      <c r="AE70" s="481">
        <v>0</v>
      </c>
      <c r="AF70" s="481">
        <v>0</v>
      </c>
      <c r="AG70" s="481">
        <v>5.9852658550558564</v>
      </c>
      <c r="AH70" s="700">
        <f t="shared" ref="AH70:AH133" si="8">SUM(G70:AG70)-AG70</f>
        <v>199.50886183519521</v>
      </c>
      <c r="AI70" s="482">
        <f t="shared" ref="AI70:AI133" si="9">G70+H70+I70+J70+K70+L70+M70+N70+O70+P70+Q70+R70+S70+T70+U70+V70+W70+X70+Y70+Z70+AA70+AB70+AC70+AD70+AE70+AF70+AG70</f>
        <v>205.49412769025105</v>
      </c>
      <c r="AJ70" s="482"/>
      <c r="AK70" s="482"/>
      <c r="AL70" s="585">
        <v>19.34</v>
      </c>
      <c r="AM70" s="585">
        <v>110.63331681730872</v>
      </c>
      <c r="AN70" s="581">
        <v>0</v>
      </c>
      <c r="AO70" s="581">
        <f t="shared" ref="AO70:AO133" si="10">AL70+AM70</f>
        <v>129.97331681730873</v>
      </c>
    </row>
    <row r="71" spans="1:41" x14ac:dyDescent="0.3">
      <c r="A71" s="476">
        <v>150000578</v>
      </c>
      <c r="B71" s="477" t="s">
        <v>83</v>
      </c>
      <c r="C71" s="478">
        <v>173.75</v>
      </c>
      <c r="D71" s="483"/>
      <c r="E71" s="480"/>
      <c r="F71" s="480">
        <v>173.75</v>
      </c>
      <c r="G71" s="481">
        <v>0</v>
      </c>
      <c r="H71" s="481">
        <v>0</v>
      </c>
      <c r="I71" s="481">
        <v>0</v>
      </c>
      <c r="J71" s="481">
        <v>0</v>
      </c>
      <c r="K71" s="481">
        <v>0</v>
      </c>
      <c r="L71" s="481">
        <v>0</v>
      </c>
      <c r="M71" s="587">
        <f t="shared" si="6"/>
        <v>0</v>
      </c>
      <c r="N71" s="481">
        <v>0</v>
      </c>
      <c r="O71" s="481">
        <v>0</v>
      </c>
      <c r="P71" s="481">
        <v>0</v>
      </c>
      <c r="Q71" s="481">
        <v>15.783627381560828</v>
      </c>
      <c r="R71" s="587">
        <f t="shared" si="7"/>
        <v>207.43272858864046</v>
      </c>
      <c r="S71" s="481">
        <v>0</v>
      </c>
      <c r="T71" s="481">
        <v>0</v>
      </c>
      <c r="U71" s="481">
        <v>0</v>
      </c>
      <c r="V71" s="481">
        <v>0</v>
      </c>
      <c r="W71" s="481">
        <v>0</v>
      </c>
      <c r="X71" s="481">
        <v>0</v>
      </c>
      <c r="Y71" s="481">
        <v>0</v>
      </c>
      <c r="Z71" s="481">
        <v>7.9756702513991691</v>
      </c>
      <c r="AA71" s="481">
        <v>0</v>
      </c>
      <c r="AB71" s="481">
        <v>0</v>
      </c>
      <c r="AC71" s="481">
        <v>0</v>
      </c>
      <c r="AD71" s="481">
        <v>0</v>
      </c>
      <c r="AE71" s="481">
        <v>0</v>
      </c>
      <c r="AF71" s="481">
        <v>0</v>
      </c>
      <c r="AG71" s="481">
        <v>4.1614564719888083</v>
      </c>
      <c r="AH71" s="700">
        <f t="shared" si="8"/>
        <v>231.19202622160046</v>
      </c>
      <c r="AI71" s="482">
        <f t="shared" si="9"/>
        <v>235.35348269358926</v>
      </c>
      <c r="AJ71" s="482"/>
      <c r="AK71" s="482"/>
      <c r="AL71" s="585">
        <v>33.74</v>
      </c>
      <c r="AM71" s="585">
        <v>173.69272858864045</v>
      </c>
      <c r="AN71" s="581">
        <v>0</v>
      </c>
      <c r="AO71" s="581">
        <f t="shared" si="10"/>
        <v>207.43272858864046</v>
      </c>
    </row>
    <row r="72" spans="1:41" x14ac:dyDescent="0.3">
      <c r="A72" s="476">
        <v>150000580</v>
      </c>
      <c r="B72" s="477" t="s">
        <v>84</v>
      </c>
      <c r="C72" s="478">
        <v>188.4</v>
      </c>
      <c r="D72" s="483"/>
      <c r="E72" s="480"/>
      <c r="F72" s="480">
        <v>188.4</v>
      </c>
      <c r="G72" s="481">
        <v>0</v>
      </c>
      <c r="H72" s="481">
        <v>0</v>
      </c>
      <c r="I72" s="481">
        <v>0</v>
      </c>
      <c r="J72" s="481">
        <v>0</v>
      </c>
      <c r="K72" s="481">
        <v>0</v>
      </c>
      <c r="L72" s="481">
        <v>0</v>
      </c>
      <c r="M72" s="587">
        <f t="shared" si="6"/>
        <v>0</v>
      </c>
      <c r="N72" s="481">
        <v>0</v>
      </c>
      <c r="O72" s="481">
        <v>0</v>
      </c>
      <c r="P72" s="481">
        <v>0</v>
      </c>
      <c r="Q72" s="481">
        <v>11.837720536170622</v>
      </c>
      <c r="R72" s="587">
        <f t="shared" si="7"/>
        <v>175.05605250514412</v>
      </c>
      <c r="S72" s="481">
        <v>0</v>
      </c>
      <c r="T72" s="481">
        <v>0</v>
      </c>
      <c r="U72" s="481">
        <v>0</v>
      </c>
      <c r="V72" s="481">
        <v>0</v>
      </c>
      <c r="W72" s="481">
        <v>0</v>
      </c>
      <c r="X72" s="481">
        <v>0</v>
      </c>
      <c r="Y72" s="481">
        <v>0</v>
      </c>
      <c r="Z72" s="481">
        <v>15.951340502798338</v>
      </c>
      <c r="AA72" s="481">
        <v>0</v>
      </c>
      <c r="AB72" s="481">
        <v>0</v>
      </c>
      <c r="AC72" s="481">
        <v>0</v>
      </c>
      <c r="AD72" s="481">
        <v>0</v>
      </c>
      <c r="AE72" s="481">
        <v>0</v>
      </c>
      <c r="AF72" s="481">
        <v>0</v>
      </c>
      <c r="AG72" s="481">
        <v>6.0853534063233914</v>
      </c>
      <c r="AH72" s="700">
        <f t="shared" si="8"/>
        <v>202.84511354411308</v>
      </c>
      <c r="AI72" s="482">
        <f t="shared" si="9"/>
        <v>208.93046695043645</v>
      </c>
      <c r="AJ72" s="482"/>
      <c r="AK72" s="482"/>
      <c r="AL72" s="585">
        <v>13.08</v>
      </c>
      <c r="AM72" s="585">
        <v>161.97605250514411</v>
      </c>
      <c r="AN72" s="581">
        <v>0</v>
      </c>
      <c r="AO72" s="581">
        <f t="shared" si="10"/>
        <v>175.05605250514412</v>
      </c>
    </row>
    <row r="73" spans="1:41" x14ac:dyDescent="0.3">
      <c r="A73" s="476">
        <v>150000587</v>
      </c>
      <c r="B73" s="477" t="s">
        <v>82</v>
      </c>
      <c r="C73" s="478">
        <v>121</v>
      </c>
      <c r="D73" s="483"/>
      <c r="E73" s="480"/>
      <c r="F73" s="480">
        <v>121</v>
      </c>
      <c r="G73" s="481">
        <v>0</v>
      </c>
      <c r="H73" s="481">
        <v>0</v>
      </c>
      <c r="I73" s="481">
        <v>0</v>
      </c>
      <c r="J73" s="481">
        <v>0</v>
      </c>
      <c r="K73" s="481">
        <v>0</v>
      </c>
      <c r="L73" s="481">
        <v>0</v>
      </c>
      <c r="M73" s="587">
        <f t="shared" si="6"/>
        <v>0</v>
      </c>
      <c r="N73" s="481">
        <v>0</v>
      </c>
      <c r="O73" s="481">
        <v>0</v>
      </c>
      <c r="P73" s="481">
        <v>0</v>
      </c>
      <c r="Q73" s="481">
        <v>11.837720536170622</v>
      </c>
      <c r="R73" s="587">
        <f t="shared" si="7"/>
        <v>140.36063808529701</v>
      </c>
      <c r="S73" s="481">
        <v>0</v>
      </c>
      <c r="T73" s="481">
        <v>0</v>
      </c>
      <c r="U73" s="481">
        <v>0</v>
      </c>
      <c r="V73" s="481">
        <v>0</v>
      </c>
      <c r="W73" s="481">
        <v>0</v>
      </c>
      <c r="X73" s="481">
        <v>0</v>
      </c>
      <c r="Y73" s="481">
        <v>0</v>
      </c>
      <c r="Z73" s="481">
        <v>11.963505377098754</v>
      </c>
      <c r="AA73" s="481">
        <v>0</v>
      </c>
      <c r="AB73" s="481">
        <v>0</v>
      </c>
      <c r="AC73" s="481">
        <v>0</v>
      </c>
      <c r="AD73" s="481">
        <v>0</v>
      </c>
      <c r="AE73" s="481">
        <v>0</v>
      </c>
      <c r="AF73" s="481">
        <v>0</v>
      </c>
      <c r="AG73" s="481">
        <v>4.9248559199569923</v>
      </c>
      <c r="AH73" s="700">
        <f t="shared" si="8"/>
        <v>164.16186399856639</v>
      </c>
      <c r="AI73" s="482">
        <f t="shared" si="9"/>
        <v>169.08671991852339</v>
      </c>
      <c r="AJ73" s="482"/>
      <c r="AK73" s="482"/>
      <c r="AL73" s="585">
        <v>16.96</v>
      </c>
      <c r="AM73" s="585">
        <v>123.400638085297</v>
      </c>
      <c r="AN73" s="581">
        <v>0</v>
      </c>
      <c r="AO73" s="581">
        <f t="shared" si="10"/>
        <v>140.36063808529701</v>
      </c>
    </row>
    <row r="74" spans="1:41" x14ac:dyDescent="0.3">
      <c r="A74" s="476">
        <v>150000590</v>
      </c>
      <c r="B74" s="477" t="s">
        <v>163</v>
      </c>
      <c r="C74" s="478">
        <v>373.5</v>
      </c>
      <c r="D74" s="479"/>
      <c r="E74" s="480"/>
      <c r="F74" s="480">
        <v>373.5</v>
      </c>
      <c r="G74" s="481">
        <v>174.85429576924872</v>
      </c>
      <c r="H74" s="481">
        <v>34.989863045050427</v>
      </c>
      <c r="I74" s="481">
        <v>0</v>
      </c>
      <c r="J74" s="481">
        <v>0</v>
      </c>
      <c r="K74" s="481">
        <v>0</v>
      </c>
      <c r="L74" s="481">
        <v>56.201712178453114</v>
      </c>
      <c r="M74" s="587">
        <f t="shared" si="6"/>
        <v>0</v>
      </c>
      <c r="N74" s="481">
        <v>133.08525647097528</v>
      </c>
      <c r="O74" s="481">
        <v>0</v>
      </c>
      <c r="P74" s="481">
        <v>0</v>
      </c>
      <c r="Q74" s="481">
        <v>126.26901905248663</v>
      </c>
      <c r="R74" s="587">
        <f t="shared" si="7"/>
        <v>396.36369947291575</v>
      </c>
      <c r="S74" s="481">
        <v>32.641676890027298</v>
      </c>
      <c r="T74" s="481">
        <v>45.119130001311447</v>
      </c>
      <c r="U74" s="481">
        <v>0</v>
      </c>
      <c r="V74" s="481">
        <v>0</v>
      </c>
      <c r="W74" s="481">
        <v>0</v>
      </c>
      <c r="X74" s="481">
        <v>7.6108570135763136</v>
      </c>
      <c r="Y74" s="481">
        <v>0</v>
      </c>
      <c r="Z74" s="481">
        <v>27.914845879897086</v>
      </c>
      <c r="AA74" s="481">
        <v>29.192474041356938</v>
      </c>
      <c r="AB74" s="481">
        <v>22.957657738295161</v>
      </c>
      <c r="AC74" s="481">
        <v>25.36893144551577</v>
      </c>
      <c r="AD74" s="481">
        <v>3.1230692120426613</v>
      </c>
      <c r="AE74" s="481">
        <v>1.5597937647660114</v>
      </c>
      <c r="AF74" s="481">
        <v>0</v>
      </c>
      <c r="AG74" s="481">
        <v>33.517568459277562</v>
      </c>
      <c r="AH74" s="700">
        <f t="shared" si="8"/>
        <v>1117.2522819759188</v>
      </c>
      <c r="AI74" s="482">
        <f t="shared" si="9"/>
        <v>1150.7698504351963</v>
      </c>
      <c r="AJ74" s="482"/>
      <c r="AK74" s="482"/>
      <c r="AL74" s="585">
        <v>35.04</v>
      </c>
      <c r="AM74" s="585">
        <v>361.32369947291573</v>
      </c>
      <c r="AN74" s="581">
        <v>0</v>
      </c>
      <c r="AO74" s="581">
        <f t="shared" si="10"/>
        <v>396.36369947291575</v>
      </c>
    </row>
    <row r="75" spans="1:41" x14ac:dyDescent="0.3">
      <c r="A75" s="476">
        <v>150000591</v>
      </c>
      <c r="B75" s="477" t="s">
        <v>191</v>
      </c>
      <c r="C75" s="478">
        <v>148.4</v>
      </c>
      <c r="D75" s="479"/>
      <c r="E75" s="480"/>
      <c r="F75" s="480">
        <v>148.4</v>
      </c>
      <c r="G75" s="481">
        <v>79.025160948322622</v>
      </c>
      <c r="H75" s="481">
        <v>13.635756713463941</v>
      </c>
      <c r="I75" s="481">
        <v>20.64</v>
      </c>
      <c r="J75" s="481">
        <v>6.22</v>
      </c>
      <c r="K75" s="481">
        <v>0</v>
      </c>
      <c r="L75" s="481">
        <v>39.836383757211344</v>
      </c>
      <c r="M75" s="587">
        <f t="shared" si="6"/>
        <v>0</v>
      </c>
      <c r="N75" s="481">
        <v>52.877783293956441</v>
      </c>
      <c r="O75" s="481">
        <v>0</v>
      </c>
      <c r="P75" s="481">
        <v>0</v>
      </c>
      <c r="Q75" s="481">
        <v>15.783627381560828</v>
      </c>
      <c r="R75" s="587">
        <f t="shared" si="7"/>
        <v>288.70103503381648</v>
      </c>
      <c r="S75" s="481">
        <v>17.250686106685936</v>
      </c>
      <c r="T75" s="481">
        <v>17.553362605408829</v>
      </c>
      <c r="U75" s="481">
        <v>5.731808052984241</v>
      </c>
      <c r="V75" s="481">
        <v>8.9784139052537455</v>
      </c>
      <c r="W75" s="481">
        <v>0</v>
      </c>
      <c r="X75" s="481">
        <v>4.9307102280809767</v>
      </c>
      <c r="Y75" s="481">
        <v>0</v>
      </c>
      <c r="Z75" s="481">
        <v>0</v>
      </c>
      <c r="AA75" s="481">
        <v>15.152271260691339</v>
      </c>
      <c r="AB75" s="481">
        <v>0</v>
      </c>
      <c r="AC75" s="481">
        <v>0</v>
      </c>
      <c r="AD75" s="481">
        <v>0</v>
      </c>
      <c r="AE75" s="481">
        <v>9.3587625885960666</v>
      </c>
      <c r="AF75" s="481">
        <v>0</v>
      </c>
      <c r="AG75" s="481">
        <v>0</v>
      </c>
      <c r="AH75" s="700">
        <f t="shared" si="8"/>
        <v>595.67576187603277</v>
      </c>
      <c r="AI75" s="482">
        <f t="shared" si="9"/>
        <v>595.67576187603277</v>
      </c>
      <c r="AJ75" s="482"/>
      <c r="AK75" s="482"/>
      <c r="AL75" s="585">
        <v>16.829999999999998</v>
      </c>
      <c r="AM75" s="585">
        <v>271.8710350338165</v>
      </c>
      <c r="AN75" s="581">
        <v>0</v>
      </c>
      <c r="AO75" s="581">
        <f t="shared" si="10"/>
        <v>288.70103503381648</v>
      </c>
    </row>
    <row r="76" spans="1:41" x14ac:dyDescent="0.3">
      <c r="A76" s="476">
        <v>150000592</v>
      </c>
      <c r="B76" s="477" t="s">
        <v>353</v>
      </c>
      <c r="C76" s="478">
        <v>9698.4</v>
      </c>
      <c r="D76" s="479">
        <v>1110</v>
      </c>
      <c r="E76" s="480">
        <v>39.4</v>
      </c>
      <c r="F76" s="480">
        <v>9737.7999999999993</v>
      </c>
      <c r="G76" s="481">
        <v>2065.1941610670465</v>
      </c>
      <c r="H76" s="481">
        <v>343.38819601789294</v>
      </c>
      <c r="I76" s="481">
        <v>1258.05</v>
      </c>
      <c r="J76" s="481">
        <v>261.92</v>
      </c>
      <c r="K76" s="481">
        <v>384.16119931305292</v>
      </c>
      <c r="L76" s="481">
        <v>1803.5884696215116</v>
      </c>
      <c r="M76" s="587">
        <f t="shared" si="6"/>
        <v>0</v>
      </c>
      <c r="N76" s="481">
        <v>3469.7660253361792</v>
      </c>
      <c r="O76" s="481">
        <v>6303.0486137312137</v>
      </c>
      <c r="P76" s="481">
        <v>526.14071962364369</v>
      </c>
      <c r="Q76" s="481">
        <v>591.88602680853114</v>
      </c>
      <c r="R76" s="587">
        <f t="shared" si="7"/>
        <v>14882.870985224588</v>
      </c>
      <c r="S76" s="481">
        <v>101.03495302517592</v>
      </c>
      <c r="T76" s="481">
        <v>137.36446270309173</v>
      </c>
      <c r="U76" s="481">
        <v>170.59280779378611</v>
      </c>
      <c r="V76" s="481">
        <v>71.041347984537339</v>
      </c>
      <c r="W76" s="481">
        <v>116.92661838614831</v>
      </c>
      <c r="X76" s="481">
        <v>133.90819147261246</v>
      </c>
      <c r="Y76" s="481">
        <v>93.691279530941856</v>
      </c>
      <c r="Z76" s="481">
        <v>10779.973857151257</v>
      </c>
      <c r="AA76" s="481">
        <v>7173.1218399410254</v>
      </c>
      <c r="AB76" s="481">
        <v>2596.7809044302167</v>
      </c>
      <c r="AC76" s="481">
        <v>248.54199503142988</v>
      </c>
      <c r="AD76" s="481">
        <v>30.597025903490422</v>
      </c>
      <c r="AE76" s="481">
        <v>1923.2257119564918</v>
      </c>
      <c r="AF76" s="481">
        <v>2882.498877287589</v>
      </c>
      <c r="AG76" s="481">
        <v>1750.4794280802435</v>
      </c>
      <c r="AH76" s="700">
        <f t="shared" si="8"/>
        <v>58349.314269341456</v>
      </c>
      <c r="AI76" s="482">
        <f t="shared" si="9"/>
        <v>60099.793697421701</v>
      </c>
      <c r="AJ76" s="482"/>
      <c r="AK76" s="482"/>
      <c r="AL76" s="585">
        <v>71.59</v>
      </c>
      <c r="AM76" s="585">
        <v>14811.280985224588</v>
      </c>
      <c r="AN76" s="581">
        <v>0</v>
      </c>
      <c r="AO76" s="581">
        <f t="shared" si="10"/>
        <v>14882.870985224588</v>
      </c>
    </row>
    <row r="77" spans="1:41" x14ac:dyDescent="0.3">
      <c r="A77" s="476">
        <v>150000593</v>
      </c>
      <c r="B77" s="477" t="s">
        <v>255</v>
      </c>
      <c r="C77" s="478">
        <v>1780.57</v>
      </c>
      <c r="D77" s="479"/>
      <c r="E77" s="480">
        <v>118.5</v>
      </c>
      <c r="F77" s="480">
        <v>1899.07</v>
      </c>
      <c r="G77" s="481">
        <v>516.61753032764591</v>
      </c>
      <c r="H77" s="481">
        <v>97.57198272548186</v>
      </c>
      <c r="I77" s="481">
        <v>234.24</v>
      </c>
      <c r="J77" s="481">
        <v>0</v>
      </c>
      <c r="K77" s="481">
        <v>0</v>
      </c>
      <c r="L77" s="481">
        <v>262.64902868423172</v>
      </c>
      <c r="M77" s="587">
        <f t="shared" si="6"/>
        <v>0</v>
      </c>
      <c r="N77" s="481">
        <v>676.67528248014719</v>
      </c>
      <c r="O77" s="481">
        <v>0</v>
      </c>
      <c r="P77" s="481">
        <v>0</v>
      </c>
      <c r="Q77" s="481">
        <v>449.83338037448362</v>
      </c>
      <c r="R77" s="587">
        <f t="shared" si="7"/>
        <v>1364.5515365810741</v>
      </c>
      <c r="S77" s="481">
        <v>93.026044717577292</v>
      </c>
      <c r="T77" s="481">
        <v>125.76260165138621</v>
      </c>
      <c r="U77" s="481">
        <v>37.647844460903009</v>
      </c>
      <c r="V77" s="481">
        <v>0</v>
      </c>
      <c r="W77" s="481">
        <v>0</v>
      </c>
      <c r="X77" s="481">
        <v>35.089393768434277</v>
      </c>
      <c r="Y77" s="481">
        <v>39.440035279691216</v>
      </c>
      <c r="Z77" s="481">
        <v>1426.1583625068365</v>
      </c>
      <c r="AA77" s="481">
        <v>676.9561797191875</v>
      </c>
      <c r="AB77" s="481">
        <v>747.00066330370021</v>
      </c>
      <c r="AC77" s="481">
        <v>58.336286802248821</v>
      </c>
      <c r="AD77" s="481">
        <v>7.1815504586101779</v>
      </c>
      <c r="AE77" s="481">
        <v>141.94123259370701</v>
      </c>
      <c r="AF77" s="481">
        <v>0</v>
      </c>
      <c r="AG77" s="481">
        <v>167.77629447444829</v>
      </c>
      <c r="AH77" s="700">
        <f t="shared" si="8"/>
        <v>6990.6789364353463</v>
      </c>
      <c r="AI77" s="482">
        <f t="shared" si="9"/>
        <v>7158.4552309097944</v>
      </c>
      <c r="AJ77" s="482"/>
      <c r="AK77" s="482"/>
      <c r="AL77" s="585">
        <v>65.67</v>
      </c>
      <c r="AM77" s="585">
        <v>1298.881536581074</v>
      </c>
      <c r="AN77" s="581">
        <v>0</v>
      </c>
      <c r="AO77" s="581">
        <f t="shared" si="10"/>
        <v>1364.5515365810741</v>
      </c>
    </row>
    <row r="78" spans="1:41" x14ac:dyDescent="0.3">
      <c r="A78" s="476">
        <v>150000594</v>
      </c>
      <c r="B78" s="477" t="s">
        <v>354</v>
      </c>
      <c r="C78" s="478">
        <v>9162.5499999999993</v>
      </c>
      <c r="D78" s="479">
        <v>1004.05</v>
      </c>
      <c r="E78" s="480">
        <v>115.1</v>
      </c>
      <c r="F78" s="480">
        <v>9277.65</v>
      </c>
      <c r="G78" s="481">
        <v>2041.1619019538723</v>
      </c>
      <c r="H78" s="481">
        <v>343.38819601789294</v>
      </c>
      <c r="I78" s="481">
        <v>1171.58</v>
      </c>
      <c r="J78" s="481">
        <v>249.72</v>
      </c>
      <c r="K78" s="481">
        <v>384.16119931305292</v>
      </c>
      <c r="L78" s="481">
        <v>1803.5884696215116</v>
      </c>
      <c r="M78" s="587">
        <f t="shared" si="6"/>
        <v>0</v>
      </c>
      <c r="N78" s="481">
        <v>3305.8057020025267</v>
      </c>
      <c r="O78" s="481">
        <v>7642.0201469424937</v>
      </c>
      <c r="P78" s="481">
        <v>0</v>
      </c>
      <c r="Q78" s="481">
        <v>572.15649258157998</v>
      </c>
      <c r="R78" s="587">
        <f t="shared" si="7"/>
        <v>13785.333279440416</v>
      </c>
      <c r="S78" s="481">
        <v>67.068426524629018</v>
      </c>
      <c r="T78" s="481">
        <v>91.576308468727831</v>
      </c>
      <c r="U78" s="481">
        <v>106.39336735901357</v>
      </c>
      <c r="V78" s="481">
        <v>45.368572381708539</v>
      </c>
      <c r="W78" s="481">
        <v>77.95107892409888</v>
      </c>
      <c r="X78" s="481">
        <v>89.272127648408315</v>
      </c>
      <c r="Y78" s="481">
        <v>93.691279530941856</v>
      </c>
      <c r="Z78" s="481">
        <v>10523.815556535994</v>
      </c>
      <c r="AA78" s="481">
        <v>6330.8171457967337</v>
      </c>
      <c r="AB78" s="481">
        <v>1298.3904522151083</v>
      </c>
      <c r="AC78" s="481">
        <v>215.89328325807043</v>
      </c>
      <c r="AD78" s="481">
        <v>26.577771613209428</v>
      </c>
      <c r="AE78" s="481">
        <v>2988.5648532916775</v>
      </c>
      <c r="AF78" s="481">
        <v>1210.3999614584247</v>
      </c>
      <c r="AG78" s="481">
        <v>1633.9408671864026</v>
      </c>
      <c r="AH78" s="700">
        <f t="shared" si="8"/>
        <v>54464.695572880082</v>
      </c>
      <c r="AI78" s="482">
        <f t="shared" si="9"/>
        <v>56098.636440066482</v>
      </c>
      <c r="AJ78" s="482"/>
      <c r="AK78" s="482"/>
      <c r="AL78" s="585">
        <v>71.59</v>
      </c>
      <c r="AM78" s="585">
        <v>13713.743279440416</v>
      </c>
      <c r="AN78" s="581">
        <v>0</v>
      </c>
      <c r="AO78" s="581">
        <f t="shared" si="10"/>
        <v>13785.333279440416</v>
      </c>
    </row>
    <row r="79" spans="1:41" x14ac:dyDescent="0.3">
      <c r="A79" s="476">
        <v>150000597</v>
      </c>
      <c r="B79" s="477" t="s">
        <v>352</v>
      </c>
      <c r="C79" s="478">
        <v>4715.25</v>
      </c>
      <c r="D79" s="479">
        <v>571.65</v>
      </c>
      <c r="E79" s="480"/>
      <c r="F79" s="480">
        <v>4715.25</v>
      </c>
      <c r="G79" s="481">
        <v>1076.9451624704657</v>
      </c>
      <c r="H79" s="481">
        <v>181.95169261271644</v>
      </c>
      <c r="I79" s="481">
        <v>600.26</v>
      </c>
      <c r="J79" s="481">
        <v>130.46</v>
      </c>
      <c r="K79" s="481">
        <v>65.004820328168279</v>
      </c>
      <c r="L79" s="481">
        <v>864.26942762575766</v>
      </c>
      <c r="M79" s="587">
        <f t="shared" si="6"/>
        <v>0</v>
      </c>
      <c r="N79" s="481">
        <v>1680.1345530783565</v>
      </c>
      <c r="O79" s="481">
        <v>4753.0815496832274</v>
      </c>
      <c r="P79" s="481">
        <v>0</v>
      </c>
      <c r="Q79" s="481">
        <v>291.99710655887532</v>
      </c>
      <c r="R79" s="587">
        <f t="shared" si="7"/>
        <v>7702.525538804387</v>
      </c>
      <c r="S79" s="481">
        <v>36.13386334429407</v>
      </c>
      <c r="T79" s="481">
        <v>48.430140069725375</v>
      </c>
      <c r="U79" s="481">
        <v>39.492510287000435</v>
      </c>
      <c r="V79" s="481">
        <v>27.181285898511838</v>
      </c>
      <c r="W79" s="481">
        <v>13.192247063076561</v>
      </c>
      <c r="X79" s="481">
        <v>41.525105838156655</v>
      </c>
      <c r="Y79" s="481">
        <v>47.080739261645796</v>
      </c>
      <c r="Z79" s="481">
        <v>5965.2047498640241</v>
      </c>
      <c r="AA79" s="481">
        <v>3459.2274290583327</v>
      </c>
      <c r="AB79" s="481">
        <v>1298.3904522151083</v>
      </c>
      <c r="AC79" s="481">
        <v>165.00835409778955</v>
      </c>
      <c r="AD79" s="481">
        <v>20.31352844006879</v>
      </c>
      <c r="AE79" s="481">
        <v>2037.0906567844104</v>
      </c>
      <c r="AF79" s="481">
        <v>532.82555004406936</v>
      </c>
      <c r="AG79" s="481">
        <v>372.93271756113808</v>
      </c>
      <c r="AH79" s="700">
        <f t="shared" si="8"/>
        <v>31077.726463428171</v>
      </c>
      <c r="AI79" s="482">
        <f t="shared" si="9"/>
        <v>31450.659180989311</v>
      </c>
      <c r="AJ79" s="482"/>
      <c r="AK79" s="482"/>
      <c r="AL79" s="585">
        <v>62.45</v>
      </c>
      <c r="AM79" s="585">
        <v>7640.0755388043872</v>
      </c>
      <c r="AN79" s="581">
        <v>0</v>
      </c>
      <c r="AO79" s="581">
        <f t="shared" si="10"/>
        <v>7702.525538804387</v>
      </c>
    </row>
    <row r="80" spans="1:41" x14ac:dyDescent="0.3">
      <c r="A80" s="476">
        <v>150000598</v>
      </c>
      <c r="B80" s="477" t="s">
        <v>76</v>
      </c>
      <c r="C80" s="478">
        <v>258.5</v>
      </c>
      <c r="D80" s="483"/>
      <c r="E80" s="480"/>
      <c r="F80" s="480">
        <v>258.5</v>
      </c>
      <c r="G80" s="481">
        <v>12.497707558992142</v>
      </c>
      <c r="H80" s="481">
        <v>0</v>
      </c>
      <c r="I80" s="481">
        <v>0</v>
      </c>
      <c r="J80" s="481">
        <v>0</v>
      </c>
      <c r="K80" s="481">
        <v>0</v>
      </c>
      <c r="L80" s="481">
        <v>0</v>
      </c>
      <c r="M80" s="587">
        <f t="shared" si="6"/>
        <v>0</v>
      </c>
      <c r="N80" s="481">
        <v>0</v>
      </c>
      <c r="O80" s="481">
        <v>0</v>
      </c>
      <c r="P80" s="481">
        <v>0</v>
      </c>
      <c r="Q80" s="481">
        <v>47.350882144682487</v>
      </c>
      <c r="R80" s="587">
        <f t="shared" si="7"/>
        <v>225.50947099527485</v>
      </c>
      <c r="S80" s="481">
        <v>2.0919047435055638</v>
      </c>
      <c r="T80" s="481">
        <v>0</v>
      </c>
      <c r="U80" s="481">
        <v>0</v>
      </c>
      <c r="V80" s="481">
        <v>0</v>
      </c>
      <c r="W80" s="481">
        <v>0</v>
      </c>
      <c r="X80" s="481">
        <v>0</v>
      </c>
      <c r="Y80" s="481">
        <v>0</v>
      </c>
      <c r="Z80" s="481">
        <v>59.817526885493763</v>
      </c>
      <c r="AA80" s="481">
        <v>0</v>
      </c>
      <c r="AB80" s="481">
        <v>0</v>
      </c>
      <c r="AC80" s="481">
        <v>0</v>
      </c>
      <c r="AD80" s="481">
        <v>0</v>
      </c>
      <c r="AE80" s="481">
        <v>0</v>
      </c>
      <c r="AF80" s="481">
        <v>0</v>
      </c>
      <c r="AG80" s="481">
        <v>18.752444585709235</v>
      </c>
      <c r="AH80" s="700">
        <f t="shared" si="8"/>
        <v>347.26749232794879</v>
      </c>
      <c r="AI80" s="482">
        <f t="shared" si="9"/>
        <v>366.019936913658</v>
      </c>
      <c r="AJ80" s="482"/>
      <c r="AK80" s="482"/>
      <c r="AL80" s="585">
        <v>44.4</v>
      </c>
      <c r="AM80" s="585">
        <v>181.10947099527485</v>
      </c>
      <c r="AN80" s="581">
        <v>0</v>
      </c>
      <c r="AO80" s="581">
        <f t="shared" si="10"/>
        <v>225.50947099527485</v>
      </c>
    </row>
    <row r="81" spans="1:41" x14ac:dyDescent="0.3">
      <c r="A81" s="476">
        <v>150000599</v>
      </c>
      <c r="B81" s="477" t="s">
        <v>77</v>
      </c>
      <c r="C81" s="478">
        <v>250.4</v>
      </c>
      <c r="D81" s="483"/>
      <c r="E81" s="480"/>
      <c r="F81" s="480">
        <v>250.4</v>
      </c>
      <c r="G81" s="481">
        <v>0</v>
      </c>
      <c r="H81" s="481">
        <v>0</v>
      </c>
      <c r="I81" s="481">
        <v>0</v>
      </c>
      <c r="J81" s="481">
        <v>0</v>
      </c>
      <c r="K81" s="481">
        <v>0</v>
      </c>
      <c r="L81" s="481">
        <v>0</v>
      </c>
      <c r="M81" s="587">
        <f t="shared" si="6"/>
        <v>0</v>
      </c>
      <c r="N81" s="481">
        <v>0</v>
      </c>
      <c r="O81" s="481">
        <v>0</v>
      </c>
      <c r="P81" s="481">
        <v>0</v>
      </c>
      <c r="Q81" s="481">
        <v>59.188602680853108</v>
      </c>
      <c r="R81" s="587">
        <f t="shared" si="7"/>
        <v>248.16594971652913</v>
      </c>
      <c r="S81" s="481">
        <v>0</v>
      </c>
      <c r="T81" s="481">
        <v>0</v>
      </c>
      <c r="U81" s="481">
        <v>0</v>
      </c>
      <c r="V81" s="481">
        <v>0</v>
      </c>
      <c r="W81" s="481">
        <v>0</v>
      </c>
      <c r="X81" s="481">
        <v>0</v>
      </c>
      <c r="Y81" s="481">
        <v>0</v>
      </c>
      <c r="Z81" s="481">
        <v>123.62288889668712</v>
      </c>
      <c r="AA81" s="481">
        <v>0</v>
      </c>
      <c r="AB81" s="481">
        <v>0</v>
      </c>
      <c r="AC81" s="481">
        <v>0</v>
      </c>
      <c r="AD81" s="481">
        <v>0</v>
      </c>
      <c r="AE81" s="481">
        <v>0</v>
      </c>
      <c r="AF81" s="481">
        <v>0</v>
      </c>
      <c r="AG81" s="481">
        <v>12.929323238822082</v>
      </c>
      <c r="AH81" s="700">
        <f t="shared" si="8"/>
        <v>430.97744129406937</v>
      </c>
      <c r="AI81" s="482">
        <f t="shared" si="9"/>
        <v>443.90676453289143</v>
      </c>
      <c r="AJ81" s="482"/>
      <c r="AK81" s="482"/>
      <c r="AL81" s="585">
        <v>44.4</v>
      </c>
      <c r="AM81" s="585">
        <v>203.76594971652912</v>
      </c>
      <c r="AN81" s="581">
        <v>0</v>
      </c>
      <c r="AO81" s="581">
        <f t="shared" si="10"/>
        <v>248.16594971652913</v>
      </c>
    </row>
    <row r="82" spans="1:41" x14ac:dyDescent="0.3">
      <c r="A82" s="476">
        <v>150000601</v>
      </c>
      <c r="B82" s="477" t="s">
        <v>78</v>
      </c>
      <c r="C82" s="478">
        <v>232.7</v>
      </c>
      <c r="D82" s="483"/>
      <c r="E82" s="480"/>
      <c r="F82" s="480">
        <v>232.7</v>
      </c>
      <c r="G82" s="481">
        <v>0</v>
      </c>
      <c r="H82" s="481">
        <v>0</v>
      </c>
      <c r="I82" s="481">
        <v>0</v>
      </c>
      <c r="J82" s="481">
        <v>0</v>
      </c>
      <c r="K82" s="481">
        <v>0</v>
      </c>
      <c r="L82" s="481">
        <v>0</v>
      </c>
      <c r="M82" s="587">
        <f t="shared" si="6"/>
        <v>0</v>
      </c>
      <c r="N82" s="481">
        <v>0</v>
      </c>
      <c r="O82" s="481">
        <v>0</v>
      </c>
      <c r="P82" s="481">
        <v>0</v>
      </c>
      <c r="Q82" s="481">
        <v>51.296788990072692</v>
      </c>
      <c r="R82" s="587">
        <f t="shared" si="7"/>
        <v>203.41360383579536</v>
      </c>
      <c r="S82" s="481">
        <v>0</v>
      </c>
      <c r="T82" s="481">
        <v>0</v>
      </c>
      <c r="U82" s="481">
        <v>0</v>
      </c>
      <c r="V82" s="481">
        <v>0</v>
      </c>
      <c r="W82" s="481">
        <v>0</v>
      </c>
      <c r="X82" s="481">
        <v>0</v>
      </c>
      <c r="Y82" s="481">
        <v>0</v>
      </c>
      <c r="Z82" s="481">
        <v>95.708043016790043</v>
      </c>
      <c r="AA82" s="481">
        <v>0</v>
      </c>
      <c r="AB82" s="481">
        <v>0</v>
      </c>
      <c r="AC82" s="481">
        <v>0</v>
      </c>
      <c r="AD82" s="481">
        <v>0</v>
      </c>
      <c r="AE82" s="481">
        <v>0</v>
      </c>
      <c r="AF82" s="481">
        <v>0</v>
      </c>
      <c r="AG82" s="481">
        <v>10.512553075279746</v>
      </c>
      <c r="AH82" s="700">
        <f t="shared" si="8"/>
        <v>350.41843584265808</v>
      </c>
      <c r="AI82" s="482">
        <f t="shared" si="9"/>
        <v>360.93098891793784</v>
      </c>
      <c r="AJ82" s="482"/>
      <c r="AK82" s="482"/>
      <c r="AL82" s="585">
        <v>25.61</v>
      </c>
      <c r="AM82" s="585">
        <v>177.80360383579537</v>
      </c>
      <c r="AN82" s="581">
        <v>0</v>
      </c>
      <c r="AO82" s="581">
        <f t="shared" si="10"/>
        <v>203.41360383579536</v>
      </c>
    </row>
    <row r="83" spans="1:41" x14ac:dyDescent="0.3">
      <c r="A83" s="476">
        <v>150000603</v>
      </c>
      <c r="B83" s="477" t="s">
        <v>153</v>
      </c>
      <c r="C83" s="478">
        <v>311.60000000000002</v>
      </c>
      <c r="D83" s="479"/>
      <c r="E83" s="480">
        <v>195.3</v>
      </c>
      <c r="F83" s="480">
        <v>506.90000000000003</v>
      </c>
      <c r="G83" s="481">
        <v>165.03055257391065</v>
      </c>
      <c r="H83" s="481">
        <v>29.170354396780219</v>
      </c>
      <c r="I83" s="481">
        <v>59.78</v>
      </c>
      <c r="J83" s="481">
        <v>0</v>
      </c>
      <c r="K83" s="481">
        <v>0</v>
      </c>
      <c r="L83" s="481">
        <v>80.799114932376455</v>
      </c>
      <c r="M83" s="587">
        <f t="shared" si="6"/>
        <v>0</v>
      </c>
      <c r="N83" s="481">
        <v>180.6182503484267</v>
      </c>
      <c r="O83" s="481">
        <v>0</v>
      </c>
      <c r="P83" s="481">
        <v>0</v>
      </c>
      <c r="Q83" s="481">
        <v>59.188602680853108</v>
      </c>
      <c r="R83" s="587">
        <f t="shared" si="7"/>
        <v>602.43700384366969</v>
      </c>
      <c r="S83" s="481">
        <v>32.78582383606674</v>
      </c>
      <c r="T83" s="481">
        <v>37.583121974547481</v>
      </c>
      <c r="U83" s="481">
        <v>22.922071685666602</v>
      </c>
      <c r="V83" s="481">
        <v>0</v>
      </c>
      <c r="W83" s="481">
        <v>0</v>
      </c>
      <c r="X83" s="481">
        <v>6.6341537148290231</v>
      </c>
      <c r="Y83" s="481">
        <v>0</v>
      </c>
      <c r="Z83" s="481">
        <v>722.20018908879911</v>
      </c>
      <c r="AA83" s="481">
        <v>302.50259467937792</v>
      </c>
      <c r="AB83" s="481">
        <v>80.202168262520701</v>
      </c>
      <c r="AC83" s="481">
        <v>0</v>
      </c>
      <c r="AD83" s="481">
        <v>0</v>
      </c>
      <c r="AE83" s="481">
        <v>43.674225413448312</v>
      </c>
      <c r="AF83" s="481">
        <v>0</v>
      </c>
      <c r="AG83" s="481">
        <v>72.765846822938201</v>
      </c>
      <c r="AH83" s="700">
        <f t="shared" si="8"/>
        <v>2425.5282274312731</v>
      </c>
      <c r="AI83" s="482">
        <f t="shared" si="9"/>
        <v>2498.2940742542114</v>
      </c>
      <c r="AJ83" s="482"/>
      <c r="AK83" s="482"/>
      <c r="AL83" s="585">
        <v>33.119999999999997</v>
      </c>
      <c r="AM83" s="585">
        <v>569.31700384366968</v>
      </c>
      <c r="AN83" s="581">
        <v>0</v>
      </c>
      <c r="AO83" s="581">
        <f t="shared" si="10"/>
        <v>602.43700384366969</v>
      </c>
    </row>
    <row r="84" spans="1:41" x14ac:dyDescent="0.3">
      <c r="A84" s="476">
        <v>150000604</v>
      </c>
      <c r="B84" s="477" t="s">
        <v>154</v>
      </c>
      <c r="C84" s="478">
        <v>387.5</v>
      </c>
      <c r="D84" s="479"/>
      <c r="E84" s="480">
        <v>64.599999999999994</v>
      </c>
      <c r="F84" s="480">
        <v>452.1</v>
      </c>
      <c r="G84" s="481">
        <v>163.68065976243776</v>
      </c>
      <c r="H84" s="481">
        <v>28.776064817048876</v>
      </c>
      <c r="I84" s="481">
        <v>53.84</v>
      </c>
      <c r="J84" s="481">
        <v>0</v>
      </c>
      <c r="K84" s="481">
        <v>0</v>
      </c>
      <c r="L84" s="481">
        <v>80.652473812105683</v>
      </c>
      <c r="M84" s="587">
        <f t="shared" si="6"/>
        <v>0</v>
      </c>
      <c r="N84" s="481">
        <v>161.09195301346165</v>
      </c>
      <c r="O84" s="481">
        <v>0</v>
      </c>
      <c r="P84" s="481">
        <v>0</v>
      </c>
      <c r="Q84" s="481">
        <v>82.864043753194352</v>
      </c>
      <c r="R84" s="587">
        <f t="shared" si="7"/>
        <v>394.52071338898384</v>
      </c>
      <c r="S84" s="481">
        <v>30.823549995773117</v>
      </c>
      <c r="T84" s="481">
        <v>37.11209666881458</v>
      </c>
      <c r="U84" s="481">
        <v>18.740653605102914</v>
      </c>
      <c r="V84" s="481">
        <v>0</v>
      </c>
      <c r="W84" s="481">
        <v>0</v>
      </c>
      <c r="X84" s="481">
        <v>6.603222277517153</v>
      </c>
      <c r="Y84" s="481">
        <v>0</v>
      </c>
      <c r="Z84" s="481">
        <v>715.41635711639412</v>
      </c>
      <c r="AA84" s="481">
        <v>351.98819139629154</v>
      </c>
      <c r="AB84" s="481">
        <v>82.433530870840372</v>
      </c>
      <c r="AC84" s="481">
        <v>0</v>
      </c>
      <c r="AD84" s="481">
        <v>0</v>
      </c>
      <c r="AE84" s="481">
        <v>4.6793812942980333</v>
      </c>
      <c r="AF84" s="481">
        <v>0</v>
      </c>
      <c r="AG84" s="481">
        <v>0</v>
      </c>
      <c r="AH84" s="700">
        <f t="shared" si="8"/>
        <v>2213.2228917722641</v>
      </c>
      <c r="AI84" s="482">
        <f t="shared" si="9"/>
        <v>2213.2228917722641</v>
      </c>
      <c r="AJ84" s="482"/>
      <c r="AK84" s="482"/>
      <c r="AL84" s="585">
        <v>31.23</v>
      </c>
      <c r="AM84" s="585">
        <v>363.29071338898382</v>
      </c>
      <c r="AN84" s="581">
        <v>0</v>
      </c>
      <c r="AO84" s="581">
        <f t="shared" si="10"/>
        <v>394.52071338898384</v>
      </c>
    </row>
    <row r="85" spans="1:41" x14ac:dyDescent="0.3">
      <c r="A85" s="476">
        <v>150000605</v>
      </c>
      <c r="B85" s="477" t="s">
        <v>155</v>
      </c>
      <c r="C85" s="478">
        <v>321.10000000000002</v>
      </c>
      <c r="D85" s="479"/>
      <c r="E85" s="480">
        <v>57.9</v>
      </c>
      <c r="F85" s="480">
        <v>379</v>
      </c>
      <c r="G85" s="481">
        <v>84.473522700737661</v>
      </c>
      <c r="H85" s="481">
        <v>34.077277013750802</v>
      </c>
      <c r="I85" s="481">
        <v>44.18</v>
      </c>
      <c r="J85" s="481">
        <v>0</v>
      </c>
      <c r="K85" s="481">
        <v>0</v>
      </c>
      <c r="L85" s="481">
        <v>35.431778307452454</v>
      </c>
      <c r="M85" s="587">
        <f t="shared" si="6"/>
        <v>0</v>
      </c>
      <c r="N85" s="481">
        <v>135.04501259036044</v>
      </c>
      <c r="O85" s="481">
        <v>0</v>
      </c>
      <c r="P85" s="481">
        <v>0</v>
      </c>
      <c r="Q85" s="481">
        <v>94.701764289364974</v>
      </c>
      <c r="R85" s="587">
        <f t="shared" si="7"/>
        <v>495.7540686387224</v>
      </c>
      <c r="S85" s="481">
        <v>31.312457875762227</v>
      </c>
      <c r="T85" s="481">
        <v>43.91977124591169</v>
      </c>
      <c r="U85" s="481">
        <v>13.464853947341089</v>
      </c>
      <c r="V85" s="481">
        <v>0</v>
      </c>
      <c r="W85" s="481">
        <v>0</v>
      </c>
      <c r="X85" s="481">
        <v>4.9307126480382886</v>
      </c>
      <c r="Y85" s="481">
        <v>0</v>
      </c>
      <c r="Z85" s="481">
        <v>541.09738690963354</v>
      </c>
      <c r="AA85" s="481">
        <v>283.70362738279346</v>
      </c>
      <c r="AB85" s="481">
        <v>81.317849566680508</v>
      </c>
      <c r="AC85" s="481">
        <v>25.491486669890243</v>
      </c>
      <c r="AD85" s="481">
        <v>3.1381565029220946</v>
      </c>
      <c r="AE85" s="481">
        <v>37.435050354384266</v>
      </c>
      <c r="AF85" s="481">
        <v>0</v>
      </c>
      <c r="AG85" s="481">
        <v>59.684243299312385</v>
      </c>
      <c r="AH85" s="700">
        <f t="shared" si="8"/>
        <v>1989.4747766437461</v>
      </c>
      <c r="AI85" s="482">
        <f t="shared" si="9"/>
        <v>2049.1590199430584</v>
      </c>
      <c r="AJ85" s="482"/>
      <c r="AK85" s="482"/>
      <c r="AL85" s="585">
        <v>55.65</v>
      </c>
      <c r="AM85" s="585">
        <v>440.10406863872242</v>
      </c>
      <c r="AN85" s="581">
        <v>0</v>
      </c>
      <c r="AO85" s="581">
        <f t="shared" si="10"/>
        <v>495.7540686387224</v>
      </c>
    </row>
    <row r="86" spans="1:41" x14ac:dyDescent="0.3">
      <c r="A86" s="476">
        <v>150000606</v>
      </c>
      <c r="B86" s="477" t="s">
        <v>156</v>
      </c>
      <c r="C86" s="478">
        <v>685.8</v>
      </c>
      <c r="D86" s="479"/>
      <c r="E86" s="480">
        <v>80.5</v>
      </c>
      <c r="F86" s="480">
        <v>766.3</v>
      </c>
      <c r="G86" s="481">
        <v>173.28292556576969</v>
      </c>
      <c r="H86" s="481">
        <v>61.324601746185543</v>
      </c>
      <c r="I86" s="481">
        <v>86.07</v>
      </c>
      <c r="J86" s="481">
        <v>0</v>
      </c>
      <c r="K86" s="481">
        <v>0</v>
      </c>
      <c r="L86" s="481">
        <v>70.067347106616538</v>
      </c>
      <c r="M86" s="587">
        <f t="shared" si="6"/>
        <v>0</v>
      </c>
      <c r="N86" s="481">
        <v>273.04747532452035</v>
      </c>
      <c r="O86" s="481">
        <v>0</v>
      </c>
      <c r="P86" s="481">
        <v>0</v>
      </c>
      <c r="Q86" s="481">
        <v>165.7280875063887</v>
      </c>
      <c r="R86" s="587">
        <f t="shared" si="7"/>
        <v>1109.7031713414362</v>
      </c>
      <c r="S86" s="481">
        <v>64.915344776360584</v>
      </c>
      <c r="T86" s="481">
        <v>79.050766841872388</v>
      </c>
      <c r="U86" s="481">
        <v>32.059977814750283</v>
      </c>
      <c r="V86" s="481">
        <v>0</v>
      </c>
      <c r="W86" s="481">
        <v>0</v>
      </c>
      <c r="X86" s="481">
        <v>14.816361579593538</v>
      </c>
      <c r="Y86" s="481">
        <v>0</v>
      </c>
      <c r="Z86" s="481">
        <v>984.86492451866877</v>
      </c>
      <c r="AA86" s="481">
        <v>601.79544156898123</v>
      </c>
      <c r="AB86" s="481">
        <v>256.32711082774159</v>
      </c>
      <c r="AC86" s="481">
        <v>0</v>
      </c>
      <c r="AD86" s="481">
        <v>0</v>
      </c>
      <c r="AE86" s="481">
        <v>112.30515106315282</v>
      </c>
      <c r="AF86" s="481">
        <v>0</v>
      </c>
      <c r="AG86" s="481">
        <v>73.536456376476693</v>
      </c>
      <c r="AH86" s="700">
        <f t="shared" si="8"/>
        <v>4085.3586875820388</v>
      </c>
      <c r="AI86" s="482">
        <f t="shared" si="9"/>
        <v>4158.8951439585153</v>
      </c>
      <c r="AJ86" s="482"/>
      <c r="AK86" s="482"/>
      <c r="AL86" s="585">
        <v>81.98</v>
      </c>
      <c r="AM86" s="585">
        <v>1027.7231713414362</v>
      </c>
      <c r="AN86" s="581">
        <v>0</v>
      </c>
      <c r="AO86" s="581">
        <f t="shared" si="10"/>
        <v>1109.7031713414362</v>
      </c>
    </row>
    <row r="87" spans="1:41" x14ac:dyDescent="0.3">
      <c r="A87" s="476">
        <v>150000607</v>
      </c>
      <c r="B87" s="477" t="s">
        <v>157</v>
      </c>
      <c r="C87" s="478">
        <v>699</v>
      </c>
      <c r="D87" s="479"/>
      <c r="E87" s="480">
        <v>295.8</v>
      </c>
      <c r="F87" s="480">
        <v>994.8</v>
      </c>
      <c r="G87" s="481">
        <v>362.29829357635538</v>
      </c>
      <c r="H87" s="481">
        <v>73.60408432650847</v>
      </c>
      <c r="I87" s="481">
        <v>112.86</v>
      </c>
      <c r="J87" s="481">
        <v>0</v>
      </c>
      <c r="K87" s="481">
        <v>0</v>
      </c>
      <c r="L87" s="481">
        <v>140.13469421323308</v>
      </c>
      <c r="M87" s="587">
        <f t="shared" si="6"/>
        <v>0</v>
      </c>
      <c r="N87" s="481">
        <v>354.46643410261362</v>
      </c>
      <c r="O87" s="481">
        <v>0</v>
      </c>
      <c r="P87" s="481">
        <v>0</v>
      </c>
      <c r="Q87" s="481">
        <v>153.89036697021808</v>
      </c>
      <c r="R87" s="587">
        <f t="shared" si="7"/>
        <v>896.65577812922993</v>
      </c>
      <c r="S87" s="481">
        <v>68.436997775912687</v>
      </c>
      <c r="T87" s="481">
        <v>94.856066133218263</v>
      </c>
      <c r="U87" s="481">
        <v>51.446319261431483</v>
      </c>
      <c r="V87" s="481">
        <v>0</v>
      </c>
      <c r="W87" s="481">
        <v>0</v>
      </c>
      <c r="X87" s="481">
        <v>14.816361579593538</v>
      </c>
      <c r="Y87" s="481">
        <v>0</v>
      </c>
      <c r="Z87" s="481">
        <v>1514.7991169273319</v>
      </c>
      <c r="AA87" s="481">
        <v>627.80905444220093</v>
      </c>
      <c r="AB87" s="481">
        <v>216.07639287496895</v>
      </c>
      <c r="AC87" s="481">
        <v>47.796537506044203</v>
      </c>
      <c r="AD87" s="481">
        <v>5.8840434429789266</v>
      </c>
      <c r="AE87" s="481">
        <v>76.429894473534546</v>
      </c>
      <c r="AF87" s="481">
        <v>0</v>
      </c>
      <c r="AG87" s="481">
        <v>144.36781307206124</v>
      </c>
      <c r="AH87" s="700">
        <f t="shared" si="8"/>
        <v>4812.260435735373</v>
      </c>
      <c r="AI87" s="482">
        <f t="shared" si="9"/>
        <v>4956.6282488074339</v>
      </c>
      <c r="AJ87" s="482"/>
      <c r="AK87" s="482"/>
      <c r="AL87" s="585">
        <v>78.2</v>
      </c>
      <c r="AM87" s="585">
        <v>818.45577812922988</v>
      </c>
      <c r="AN87" s="581">
        <v>0</v>
      </c>
      <c r="AO87" s="581">
        <f t="shared" si="10"/>
        <v>896.65577812922993</v>
      </c>
    </row>
    <row r="88" spans="1:41" x14ac:dyDescent="0.3">
      <c r="A88" s="476">
        <v>150000608</v>
      </c>
      <c r="B88" s="477" t="s">
        <v>158</v>
      </c>
      <c r="C88" s="478">
        <v>468.01</v>
      </c>
      <c r="D88" s="479"/>
      <c r="E88" s="480">
        <v>130.30000000000001</v>
      </c>
      <c r="F88" s="480">
        <v>598.30999999999995</v>
      </c>
      <c r="G88" s="481">
        <v>273.32201649938668</v>
      </c>
      <c r="H88" s="481">
        <v>61.595864741878735</v>
      </c>
      <c r="I88" s="481">
        <v>68.790000000000006</v>
      </c>
      <c r="J88" s="481">
        <v>0</v>
      </c>
      <c r="K88" s="481">
        <v>0</v>
      </c>
      <c r="L88" s="481">
        <v>100.59813170203689</v>
      </c>
      <c r="M88" s="587">
        <f t="shared" si="6"/>
        <v>0</v>
      </c>
      <c r="N88" s="481">
        <v>213.18939705260831</v>
      </c>
      <c r="O88" s="481">
        <v>0</v>
      </c>
      <c r="P88" s="481">
        <v>0</v>
      </c>
      <c r="Q88" s="481">
        <v>102.59357798014538</v>
      </c>
      <c r="R88" s="587">
        <f t="shared" si="7"/>
        <v>705.38967858858553</v>
      </c>
      <c r="S88" s="481">
        <v>52.368240658970002</v>
      </c>
      <c r="T88" s="481">
        <v>79.390663181562786</v>
      </c>
      <c r="U88" s="481">
        <v>19.501850291599844</v>
      </c>
      <c r="V88" s="481">
        <v>0</v>
      </c>
      <c r="W88" s="481">
        <v>0</v>
      </c>
      <c r="X88" s="481">
        <v>9.885650556902343</v>
      </c>
      <c r="Y88" s="481">
        <v>0</v>
      </c>
      <c r="Z88" s="481">
        <v>714.40278161327171</v>
      </c>
      <c r="AA88" s="481">
        <v>439.67996952076584</v>
      </c>
      <c r="AB88" s="481">
        <v>250.17598687593909</v>
      </c>
      <c r="AC88" s="481">
        <v>39.217671799831145</v>
      </c>
      <c r="AD88" s="481">
        <v>4.8279330814186068</v>
      </c>
      <c r="AE88" s="481">
        <v>115.42473859268483</v>
      </c>
      <c r="AF88" s="481">
        <v>0</v>
      </c>
      <c r="AG88" s="481">
        <v>0</v>
      </c>
      <c r="AH88" s="700">
        <f t="shared" si="8"/>
        <v>3250.3541527375878</v>
      </c>
      <c r="AI88" s="482">
        <f t="shared" si="9"/>
        <v>3250.3541527375878</v>
      </c>
      <c r="AJ88" s="482"/>
      <c r="AK88" s="482"/>
      <c r="AL88" s="585">
        <v>51.77</v>
      </c>
      <c r="AM88" s="585">
        <v>653.61967858858554</v>
      </c>
      <c r="AN88" s="581">
        <v>0</v>
      </c>
      <c r="AO88" s="581">
        <f t="shared" si="10"/>
        <v>705.38967858858553</v>
      </c>
    </row>
    <row r="89" spans="1:41" x14ac:dyDescent="0.3">
      <c r="A89" s="476">
        <v>150000609</v>
      </c>
      <c r="B89" s="477" t="s">
        <v>159</v>
      </c>
      <c r="C89" s="478">
        <v>349.9</v>
      </c>
      <c r="D89" s="479"/>
      <c r="E89" s="480">
        <v>115.7</v>
      </c>
      <c r="F89" s="480">
        <v>465.59999999999997</v>
      </c>
      <c r="G89" s="481">
        <v>174.06775607513674</v>
      </c>
      <c r="H89" s="481">
        <v>59.154538625964953</v>
      </c>
      <c r="I89" s="481">
        <v>56.04</v>
      </c>
      <c r="J89" s="481">
        <v>0</v>
      </c>
      <c r="K89" s="481">
        <v>0</v>
      </c>
      <c r="L89" s="481">
        <v>100.59813170203689</v>
      </c>
      <c r="M89" s="587">
        <f t="shared" si="6"/>
        <v>0</v>
      </c>
      <c r="N89" s="481">
        <v>165.90226348831615</v>
      </c>
      <c r="O89" s="481">
        <v>0</v>
      </c>
      <c r="P89" s="481">
        <v>0</v>
      </c>
      <c r="Q89" s="481">
        <v>71.02632321702373</v>
      </c>
      <c r="R89" s="587">
        <f t="shared" si="7"/>
        <v>615.9227695790031</v>
      </c>
      <c r="S89" s="481">
        <v>37.189627316625085</v>
      </c>
      <c r="T89" s="481">
        <v>76.234473738452195</v>
      </c>
      <c r="U89" s="481">
        <v>18.651574085234429</v>
      </c>
      <c r="V89" s="481">
        <v>0</v>
      </c>
      <c r="W89" s="481">
        <v>0</v>
      </c>
      <c r="X89" s="481">
        <v>9.885650556902343</v>
      </c>
      <c r="Y89" s="481">
        <v>0</v>
      </c>
      <c r="Z89" s="481">
        <v>648.3763655509008</v>
      </c>
      <c r="AA89" s="481">
        <v>184.1898301451742</v>
      </c>
      <c r="AB89" s="481">
        <v>137.68250361127696</v>
      </c>
      <c r="AC89" s="481">
        <v>15.196847822434568</v>
      </c>
      <c r="AD89" s="481">
        <v>1.8708240690497104</v>
      </c>
      <c r="AE89" s="481">
        <v>51.473194237278371</v>
      </c>
      <c r="AF89" s="481">
        <v>0</v>
      </c>
      <c r="AG89" s="481">
        <v>72.703880214624292</v>
      </c>
      <c r="AH89" s="700">
        <f t="shared" si="8"/>
        <v>2423.4626738208099</v>
      </c>
      <c r="AI89" s="482">
        <f t="shared" si="9"/>
        <v>2496.1665540354343</v>
      </c>
      <c r="AJ89" s="482"/>
      <c r="AK89" s="482"/>
      <c r="AL89" s="585">
        <v>50.66</v>
      </c>
      <c r="AM89" s="585">
        <v>565.26276957900313</v>
      </c>
      <c r="AN89" s="581">
        <v>0</v>
      </c>
      <c r="AO89" s="581">
        <f t="shared" si="10"/>
        <v>615.9227695790031</v>
      </c>
    </row>
    <row r="90" spans="1:41" x14ac:dyDescent="0.3">
      <c r="A90" s="476">
        <v>150000610</v>
      </c>
      <c r="B90" s="477" t="s">
        <v>160</v>
      </c>
      <c r="C90" s="478">
        <v>475.2</v>
      </c>
      <c r="D90" s="479"/>
      <c r="E90" s="480"/>
      <c r="F90" s="480">
        <v>475.2</v>
      </c>
      <c r="G90" s="481">
        <v>79.579873904562376</v>
      </c>
      <c r="H90" s="481">
        <v>49.340611701373895</v>
      </c>
      <c r="I90" s="481">
        <v>55.63</v>
      </c>
      <c r="J90" s="481">
        <v>0</v>
      </c>
      <c r="K90" s="481">
        <v>0</v>
      </c>
      <c r="L90" s="481">
        <v>49.445704714693939</v>
      </c>
      <c r="M90" s="587">
        <f t="shared" si="6"/>
        <v>0</v>
      </c>
      <c r="N90" s="481">
        <v>169.32292871487937</v>
      </c>
      <c r="O90" s="481">
        <v>0</v>
      </c>
      <c r="P90" s="481">
        <v>0</v>
      </c>
      <c r="Q90" s="481">
        <v>94.701764289364974</v>
      </c>
      <c r="R90" s="587">
        <f t="shared" si="7"/>
        <v>579.79495236215951</v>
      </c>
      <c r="S90" s="481">
        <v>51.50061610868876</v>
      </c>
      <c r="T90" s="481">
        <v>63.585363890216911</v>
      </c>
      <c r="U90" s="481">
        <v>18.440691263830832</v>
      </c>
      <c r="V90" s="481">
        <v>0</v>
      </c>
      <c r="W90" s="481">
        <v>0</v>
      </c>
      <c r="X90" s="481">
        <v>9.8856385409863776</v>
      </c>
      <c r="Y90" s="481">
        <v>0</v>
      </c>
      <c r="Z90" s="481">
        <v>641.29432693118133</v>
      </c>
      <c r="AA90" s="481">
        <v>247.1591937078058</v>
      </c>
      <c r="AB90" s="481">
        <v>212.44102239558745</v>
      </c>
      <c r="AC90" s="481">
        <v>0</v>
      </c>
      <c r="AD90" s="481">
        <v>0</v>
      </c>
      <c r="AE90" s="481">
        <v>24.956700236256182</v>
      </c>
      <c r="AF90" s="481">
        <v>0</v>
      </c>
      <c r="AG90" s="481">
        <v>70.412381662847622</v>
      </c>
      <c r="AH90" s="700">
        <f t="shared" si="8"/>
        <v>2347.0793887615873</v>
      </c>
      <c r="AI90" s="482">
        <f t="shared" si="9"/>
        <v>2417.4917704244349</v>
      </c>
      <c r="AJ90" s="482"/>
      <c r="AK90" s="482"/>
      <c r="AL90" s="585">
        <v>8.6999999999999993</v>
      </c>
      <c r="AM90" s="585">
        <v>571.09495236215946</v>
      </c>
      <c r="AN90" s="581">
        <v>0</v>
      </c>
      <c r="AO90" s="581">
        <f t="shared" si="10"/>
        <v>579.79495236215951</v>
      </c>
    </row>
    <row r="91" spans="1:41" x14ac:dyDescent="0.3">
      <c r="A91" s="476">
        <v>150000611</v>
      </c>
      <c r="B91" s="477" t="s">
        <v>195</v>
      </c>
      <c r="C91" s="478">
        <v>1053.5</v>
      </c>
      <c r="D91" s="479"/>
      <c r="E91" s="480">
        <v>54.5</v>
      </c>
      <c r="F91" s="480">
        <v>1108</v>
      </c>
      <c r="G91" s="481">
        <v>380.33715997975645</v>
      </c>
      <c r="H91" s="481">
        <v>81.396062006559148</v>
      </c>
      <c r="I91" s="481">
        <v>111.41</v>
      </c>
      <c r="J91" s="481">
        <v>0</v>
      </c>
      <c r="K91" s="481">
        <v>0</v>
      </c>
      <c r="L91" s="481">
        <v>176.16825939994283</v>
      </c>
      <c r="M91" s="587">
        <f t="shared" si="6"/>
        <v>0</v>
      </c>
      <c r="N91" s="481">
        <v>394.80177823250494</v>
      </c>
      <c r="O91" s="481">
        <v>0</v>
      </c>
      <c r="P91" s="481">
        <v>0</v>
      </c>
      <c r="Q91" s="481">
        <v>284.10529286809492</v>
      </c>
      <c r="R91" s="587">
        <f t="shared" si="7"/>
        <v>954.54472261950491</v>
      </c>
      <c r="S91" s="481">
        <v>64.048627957001514</v>
      </c>
      <c r="T91" s="481">
        <v>104.89765025168121</v>
      </c>
      <c r="U91" s="481">
        <v>66.175846957186351</v>
      </c>
      <c r="V91" s="481">
        <v>0</v>
      </c>
      <c r="W91" s="481">
        <v>0</v>
      </c>
      <c r="X91" s="481">
        <v>17.958097949756905</v>
      </c>
      <c r="Y91" s="481">
        <v>0</v>
      </c>
      <c r="Z91" s="481">
        <v>1316.2012927874073</v>
      </c>
      <c r="AA91" s="481">
        <v>623.67362429758998</v>
      </c>
      <c r="AB91" s="481">
        <v>489.53205331675224</v>
      </c>
      <c r="AC91" s="481">
        <v>21.569719489907129</v>
      </c>
      <c r="AD91" s="481">
        <v>2.6553631947802336</v>
      </c>
      <c r="AE91" s="481">
        <v>170.01752035949522</v>
      </c>
      <c r="AF91" s="481">
        <v>0</v>
      </c>
      <c r="AG91" s="481">
        <v>0</v>
      </c>
      <c r="AH91" s="700">
        <f t="shared" si="8"/>
        <v>5259.4930716679219</v>
      </c>
      <c r="AI91" s="482">
        <f t="shared" si="9"/>
        <v>5259.4930716679219</v>
      </c>
      <c r="AJ91" s="482"/>
      <c r="AK91" s="482"/>
      <c r="AL91" s="585">
        <v>65.69</v>
      </c>
      <c r="AM91" s="585">
        <v>888.85472261950486</v>
      </c>
      <c r="AN91" s="581">
        <v>0</v>
      </c>
      <c r="AO91" s="581">
        <f t="shared" si="10"/>
        <v>954.54472261950491</v>
      </c>
    </row>
    <row r="92" spans="1:41" x14ac:dyDescent="0.3">
      <c r="A92" s="476">
        <v>150000612</v>
      </c>
      <c r="B92" s="477" t="s">
        <v>161</v>
      </c>
      <c r="C92" s="478">
        <v>498.78</v>
      </c>
      <c r="D92" s="479"/>
      <c r="E92" s="480"/>
      <c r="F92" s="480">
        <v>498.78</v>
      </c>
      <c r="G92" s="481">
        <v>150.04467232154892</v>
      </c>
      <c r="H92" s="481">
        <v>57.502690266662768</v>
      </c>
      <c r="I92" s="481">
        <v>56.76</v>
      </c>
      <c r="J92" s="481">
        <v>0</v>
      </c>
      <c r="K92" s="481">
        <v>0</v>
      </c>
      <c r="L92" s="481">
        <v>100.59813170203689</v>
      </c>
      <c r="M92" s="587">
        <f t="shared" si="6"/>
        <v>0</v>
      </c>
      <c r="N92" s="481">
        <v>177.72493767762526</v>
      </c>
      <c r="O92" s="481">
        <v>0</v>
      </c>
      <c r="P92" s="481">
        <v>0</v>
      </c>
      <c r="Q92" s="481">
        <v>94.701764289364974</v>
      </c>
      <c r="R92" s="587">
        <f t="shared" si="7"/>
        <v>837.78659879736028</v>
      </c>
      <c r="S92" s="481">
        <v>33.396892982465303</v>
      </c>
      <c r="T92" s="481">
        <v>74.12224369955581</v>
      </c>
      <c r="U92" s="481">
        <v>13.823258793407316</v>
      </c>
      <c r="V92" s="481">
        <v>0</v>
      </c>
      <c r="W92" s="481">
        <v>0</v>
      </c>
      <c r="X92" s="481">
        <v>9.885650556902343</v>
      </c>
      <c r="Y92" s="481">
        <v>0</v>
      </c>
      <c r="Z92" s="481">
        <v>605.24412256800827</v>
      </c>
      <c r="AA92" s="481">
        <v>248.65042973771207</v>
      </c>
      <c r="AB92" s="481">
        <v>164.38114924780018</v>
      </c>
      <c r="AC92" s="481">
        <v>31.129026991115971</v>
      </c>
      <c r="AD92" s="481">
        <v>3.8321718833760188</v>
      </c>
      <c r="AE92" s="481">
        <v>34.315462824852247</v>
      </c>
      <c r="AF92" s="481">
        <v>0</v>
      </c>
      <c r="AG92" s="481">
        <v>0</v>
      </c>
      <c r="AH92" s="700">
        <f t="shared" si="8"/>
        <v>2693.8992043397943</v>
      </c>
      <c r="AI92" s="482">
        <f t="shared" si="9"/>
        <v>2693.8992043397943</v>
      </c>
      <c r="AJ92" s="482"/>
      <c r="AK92" s="482"/>
      <c r="AL92" s="585">
        <v>45.52</v>
      </c>
      <c r="AM92" s="585">
        <v>792.2665987973603</v>
      </c>
      <c r="AN92" s="581">
        <v>0</v>
      </c>
      <c r="AO92" s="581">
        <f t="shared" si="10"/>
        <v>837.78659879736028</v>
      </c>
    </row>
    <row r="93" spans="1:41" x14ac:dyDescent="0.3">
      <c r="A93" s="476">
        <v>150000613</v>
      </c>
      <c r="B93" s="477" t="s">
        <v>210</v>
      </c>
      <c r="C93" s="478">
        <v>1269.7</v>
      </c>
      <c r="D93" s="479"/>
      <c r="E93" s="480">
        <v>212.52</v>
      </c>
      <c r="F93" s="480">
        <v>1482.22</v>
      </c>
      <c r="G93" s="481">
        <v>428.62720028189216</v>
      </c>
      <c r="H93" s="481">
        <v>77.57415052703638</v>
      </c>
      <c r="I93" s="481">
        <v>180.32</v>
      </c>
      <c r="J93" s="481">
        <v>0</v>
      </c>
      <c r="K93" s="481">
        <v>0</v>
      </c>
      <c r="L93" s="481">
        <v>249.75725628803283</v>
      </c>
      <c r="M93" s="587">
        <f t="shared" si="6"/>
        <v>0</v>
      </c>
      <c r="N93" s="481">
        <v>528.14358459547248</v>
      </c>
      <c r="O93" s="481">
        <v>0</v>
      </c>
      <c r="P93" s="481">
        <v>0</v>
      </c>
      <c r="Q93" s="481">
        <v>331.45617501277741</v>
      </c>
      <c r="R93" s="587">
        <f t="shared" si="7"/>
        <v>1254.8385038847728</v>
      </c>
      <c r="S93" s="481">
        <v>73.17678565268487</v>
      </c>
      <c r="T93" s="481">
        <v>99.99339749450769</v>
      </c>
      <c r="U93" s="481">
        <v>82.261984003453094</v>
      </c>
      <c r="V93" s="481">
        <v>0</v>
      </c>
      <c r="W93" s="481">
        <v>0</v>
      </c>
      <c r="X93" s="481">
        <v>30.028073840457441</v>
      </c>
      <c r="Y93" s="481">
        <v>0</v>
      </c>
      <c r="Z93" s="481">
        <v>2099.6981268393201</v>
      </c>
      <c r="AA93" s="481">
        <v>787.40811047415218</v>
      </c>
      <c r="AB93" s="481">
        <v>485.03170313666521</v>
      </c>
      <c r="AC93" s="481">
        <v>27.697480708630746</v>
      </c>
      <c r="AD93" s="481">
        <v>3.4097277387518909</v>
      </c>
      <c r="AE93" s="481">
        <v>198.09380812528343</v>
      </c>
      <c r="AF93" s="481">
        <v>0</v>
      </c>
      <c r="AG93" s="481">
        <v>208.12548205811675</v>
      </c>
      <c r="AH93" s="700">
        <f t="shared" si="8"/>
        <v>6937.5160686038907</v>
      </c>
      <c r="AI93" s="482">
        <f t="shared" si="9"/>
        <v>7145.6415506620078</v>
      </c>
      <c r="AJ93" s="482"/>
      <c r="AK93" s="482"/>
      <c r="AL93" s="585">
        <v>65.69</v>
      </c>
      <c r="AM93" s="585">
        <v>1189.1485038847727</v>
      </c>
      <c r="AN93" s="581">
        <v>0</v>
      </c>
      <c r="AO93" s="581">
        <f t="shared" si="10"/>
        <v>1254.8385038847728</v>
      </c>
    </row>
    <row r="94" spans="1:41" x14ac:dyDescent="0.3">
      <c r="A94" s="476">
        <v>150000614</v>
      </c>
      <c r="B94" s="477" t="s">
        <v>162</v>
      </c>
      <c r="C94" s="478">
        <v>626.29999999999995</v>
      </c>
      <c r="D94" s="479"/>
      <c r="E94" s="480"/>
      <c r="F94" s="480">
        <v>626.29999999999995</v>
      </c>
      <c r="G94" s="481">
        <v>130.44300541376688</v>
      </c>
      <c r="H94" s="481">
        <v>45.691207018649202</v>
      </c>
      <c r="I94" s="481">
        <v>70.430000000000007</v>
      </c>
      <c r="J94" s="481">
        <v>0</v>
      </c>
      <c r="K94" s="481">
        <v>0</v>
      </c>
      <c r="L94" s="481">
        <v>74.376126877540273</v>
      </c>
      <c r="M94" s="587">
        <f t="shared" si="6"/>
        <v>0</v>
      </c>
      <c r="N94" s="481">
        <v>223.1627741038067</v>
      </c>
      <c r="O94" s="481">
        <v>0</v>
      </c>
      <c r="P94" s="481">
        <v>0</v>
      </c>
      <c r="Q94" s="481">
        <v>142.05264643404746</v>
      </c>
      <c r="R94" s="587">
        <f t="shared" si="7"/>
        <v>795.31402396476858</v>
      </c>
      <c r="S94" s="481">
        <v>47.400116796147813</v>
      </c>
      <c r="T94" s="481">
        <v>58.889878506691225</v>
      </c>
      <c r="U94" s="481">
        <v>24.844068318529949</v>
      </c>
      <c r="V94" s="481">
        <v>0</v>
      </c>
      <c r="W94" s="481">
        <v>0</v>
      </c>
      <c r="X94" s="481">
        <v>17.418560594119956</v>
      </c>
      <c r="Y94" s="481">
        <v>0</v>
      </c>
      <c r="Z94" s="481">
        <v>708.83465264029519</v>
      </c>
      <c r="AA94" s="481">
        <v>364.10104649296062</v>
      </c>
      <c r="AB94" s="481">
        <v>157.32680669773984</v>
      </c>
      <c r="AC94" s="481">
        <v>0</v>
      </c>
      <c r="AD94" s="481">
        <v>0</v>
      </c>
      <c r="AE94" s="481">
        <v>116.98453235745086</v>
      </c>
      <c r="AF94" s="481">
        <v>0</v>
      </c>
      <c r="AG94" s="481">
        <v>89.318083386495445</v>
      </c>
      <c r="AH94" s="700">
        <f t="shared" si="8"/>
        <v>2977.2694462165146</v>
      </c>
      <c r="AI94" s="482">
        <f t="shared" si="9"/>
        <v>3066.5875296030099</v>
      </c>
      <c r="AJ94" s="482"/>
      <c r="AK94" s="482"/>
      <c r="AL94" s="585">
        <v>57.53</v>
      </c>
      <c r="AM94" s="585">
        <v>737.78402396476861</v>
      </c>
      <c r="AN94" s="581">
        <v>0</v>
      </c>
      <c r="AO94" s="581">
        <f t="shared" si="10"/>
        <v>795.31402396476858</v>
      </c>
    </row>
    <row r="95" spans="1:41" x14ac:dyDescent="0.3">
      <c r="A95" s="476">
        <v>150000615</v>
      </c>
      <c r="B95" s="477" t="s">
        <v>256</v>
      </c>
      <c r="C95" s="478">
        <v>2504.61</v>
      </c>
      <c r="D95" s="479"/>
      <c r="E95" s="480">
        <v>132.30000000000001</v>
      </c>
      <c r="F95" s="480">
        <v>2636.9100000000003</v>
      </c>
      <c r="G95" s="481">
        <v>760.76886864248161</v>
      </c>
      <c r="H95" s="481">
        <v>143.9287423195556</v>
      </c>
      <c r="I95" s="481">
        <v>306.92</v>
      </c>
      <c r="J95" s="481">
        <v>0</v>
      </c>
      <c r="K95" s="481">
        <v>0</v>
      </c>
      <c r="L95" s="481">
        <v>420.19872966094709</v>
      </c>
      <c r="M95" s="587">
        <f t="shared" si="6"/>
        <v>0</v>
      </c>
      <c r="N95" s="481">
        <v>939.58191068508552</v>
      </c>
      <c r="O95" s="481">
        <v>0</v>
      </c>
      <c r="P95" s="481">
        <v>0</v>
      </c>
      <c r="Q95" s="481">
        <v>698.42551163406665</v>
      </c>
      <c r="R95" s="587">
        <f t="shared" si="7"/>
        <v>1730.0691533992642</v>
      </c>
      <c r="S95" s="481">
        <v>122.21452165745661</v>
      </c>
      <c r="T95" s="481">
        <v>185.4877130339687</v>
      </c>
      <c r="U95" s="481">
        <v>156.83336142253489</v>
      </c>
      <c r="V95" s="481">
        <v>0</v>
      </c>
      <c r="W95" s="481">
        <v>0</v>
      </c>
      <c r="X95" s="481">
        <v>54.151345706297761</v>
      </c>
      <c r="Y95" s="481">
        <v>0</v>
      </c>
      <c r="Z95" s="481">
        <v>4786.8054412020801</v>
      </c>
      <c r="AA95" s="481">
        <v>1055.6645457272866</v>
      </c>
      <c r="AB95" s="481">
        <v>1873.8437880693391</v>
      </c>
      <c r="AC95" s="481">
        <v>63.973827123474557</v>
      </c>
      <c r="AD95" s="481">
        <v>7.8755658390641026</v>
      </c>
      <c r="AE95" s="481">
        <v>227.72988965583764</v>
      </c>
      <c r="AF95" s="481">
        <v>0</v>
      </c>
      <c r="AG95" s="481">
        <v>0</v>
      </c>
      <c r="AH95" s="700">
        <f t="shared" si="8"/>
        <v>13534.472915778737</v>
      </c>
      <c r="AI95" s="482">
        <f t="shared" si="9"/>
        <v>13534.472915778737</v>
      </c>
      <c r="AJ95" s="482"/>
      <c r="AK95" s="482"/>
      <c r="AL95" s="585">
        <v>98.36</v>
      </c>
      <c r="AM95" s="585">
        <v>1631.7091533992643</v>
      </c>
      <c r="AN95" s="581">
        <v>0</v>
      </c>
      <c r="AO95" s="581">
        <f t="shared" si="10"/>
        <v>1730.0691533992642</v>
      </c>
    </row>
    <row r="96" spans="1:41" x14ac:dyDescent="0.3">
      <c r="A96" s="476">
        <v>150000616</v>
      </c>
      <c r="B96" s="477" t="s">
        <v>257</v>
      </c>
      <c r="C96" s="478">
        <v>1804.3</v>
      </c>
      <c r="D96" s="479"/>
      <c r="E96" s="480">
        <v>0</v>
      </c>
      <c r="F96" s="480">
        <v>1804.3</v>
      </c>
      <c r="G96" s="481">
        <v>514.15064379987871</v>
      </c>
      <c r="H96" s="481">
        <v>97.201922685568604</v>
      </c>
      <c r="I96" s="481">
        <v>205.46</v>
      </c>
      <c r="J96" s="481">
        <v>0</v>
      </c>
      <c r="K96" s="481">
        <v>0</v>
      </c>
      <c r="L96" s="481">
        <v>275.39228264931091</v>
      </c>
      <c r="M96" s="587">
        <f t="shared" si="6"/>
        <v>0</v>
      </c>
      <c r="N96" s="481">
        <v>642.90690294666842</v>
      </c>
      <c r="O96" s="481">
        <v>0</v>
      </c>
      <c r="P96" s="481">
        <v>0</v>
      </c>
      <c r="Q96" s="481">
        <v>437.99565983831303</v>
      </c>
      <c r="R96" s="587">
        <f t="shared" si="7"/>
        <v>1670.9787167215679</v>
      </c>
      <c r="S96" s="481">
        <v>84.895212195252199</v>
      </c>
      <c r="T96" s="481">
        <v>125.2915763456533</v>
      </c>
      <c r="U96" s="481">
        <v>120.33204869918764</v>
      </c>
      <c r="V96" s="481">
        <v>0</v>
      </c>
      <c r="W96" s="481">
        <v>0</v>
      </c>
      <c r="X96" s="481">
        <v>34.847172385853952</v>
      </c>
      <c r="Y96" s="481">
        <v>0</v>
      </c>
      <c r="Z96" s="481">
        <v>1727.5408570503052</v>
      </c>
      <c r="AA96" s="481">
        <v>681.95558163609553</v>
      </c>
      <c r="AB96" s="481">
        <v>565.54101044781169</v>
      </c>
      <c r="AC96" s="481">
        <v>51.473194237278378</v>
      </c>
      <c r="AD96" s="481">
        <v>6.3366621693619214</v>
      </c>
      <c r="AE96" s="481">
        <v>76.429894473534546</v>
      </c>
      <c r="AF96" s="481">
        <v>0</v>
      </c>
      <c r="AG96" s="481">
        <v>175.64950411875941</v>
      </c>
      <c r="AH96" s="700">
        <f t="shared" si="8"/>
        <v>7318.7293382816406</v>
      </c>
      <c r="AI96" s="482">
        <f t="shared" si="9"/>
        <v>7494.3788424003997</v>
      </c>
      <c r="AJ96" s="482"/>
      <c r="AK96" s="482"/>
      <c r="AL96" s="585">
        <v>82.05</v>
      </c>
      <c r="AM96" s="585">
        <v>1588.928716721568</v>
      </c>
      <c r="AN96" s="581">
        <v>0</v>
      </c>
      <c r="AO96" s="581">
        <f t="shared" si="10"/>
        <v>1670.9787167215679</v>
      </c>
    </row>
    <row r="97" spans="1:41" x14ac:dyDescent="0.3">
      <c r="A97" s="476">
        <v>150000618</v>
      </c>
      <c r="B97" s="477" t="s">
        <v>416</v>
      </c>
      <c r="C97" s="478">
        <v>2744.2</v>
      </c>
      <c r="D97" s="479">
        <v>271.5</v>
      </c>
      <c r="E97" s="480"/>
      <c r="F97" s="480">
        <v>2744.2</v>
      </c>
      <c r="G97" s="481">
        <v>680.92240145229243</v>
      </c>
      <c r="H97" s="481">
        <v>106.32541396971786</v>
      </c>
      <c r="I97" s="481">
        <v>340.12</v>
      </c>
      <c r="J97" s="481">
        <v>70</v>
      </c>
      <c r="K97" s="481">
        <v>34.733108401837384</v>
      </c>
      <c r="L97" s="481">
        <v>306.74730476456324</v>
      </c>
      <c r="M97" s="587">
        <f t="shared" si="6"/>
        <v>0</v>
      </c>
      <c r="N97" s="481">
        <v>977.81140778487361</v>
      </c>
      <c r="O97" s="481">
        <v>1488.5668966363748</v>
      </c>
      <c r="P97" s="481">
        <v>0</v>
      </c>
      <c r="Q97" s="481">
        <v>157.83627381560828</v>
      </c>
      <c r="R97" s="587">
        <f t="shared" si="7"/>
        <v>3293.9648144085854</v>
      </c>
      <c r="S97" s="481">
        <v>52.636998233877371</v>
      </c>
      <c r="T97" s="481">
        <v>70.422683675383809</v>
      </c>
      <c r="U97" s="481">
        <v>86.26499651943341</v>
      </c>
      <c r="V97" s="481">
        <v>31.015276135174716</v>
      </c>
      <c r="W97" s="481">
        <v>17.609972466285939</v>
      </c>
      <c r="X97" s="481">
        <v>43.339787663818534</v>
      </c>
      <c r="Y97" s="481">
        <v>0</v>
      </c>
      <c r="Z97" s="481">
        <v>3238.0037693648146</v>
      </c>
      <c r="AA97" s="481">
        <v>2511.4552034462617</v>
      </c>
      <c r="AB97" s="481">
        <v>320.26964487972674</v>
      </c>
      <c r="AC97" s="481">
        <v>52.943856929772046</v>
      </c>
      <c r="AD97" s="481">
        <v>6.5177096599151199</v>
      </c>
      <c r="AE97" s="481">
        <v>527.21029249091168</v>
      </c>
      <c r="AF97" s="481">
        <v>385.26905989720478</v>
      </c>
      <c r="AG97" s="481">
        <v>266.39976370673583</v>
      </c>
      <c r="AH97" s="700">
        <f t="shared" si="8"/>
        <v>14799.986872596433</v>
      </c>
      <c r="AI97" s="482">
        <f t="shared" si="9"/>
        <v>15066.386636303168</v>
      </c>
      <c r="AJ97" s="482"/>
      <c r="AK97" s="482"/>
      <c r="AL97" s="585">
        <v>25.61</v>
      </c>
      <c r="AM97" s="585">
        <v>3268.3548144085853</v>
      </c>
      <c r="AN97" s="581">
        <v>0</v>
      </c>
      <c r="AO97" s="581">
        <f t="shared" si="10"/>
        <v>3293.9648144085854</v>
      </c>
    </row>
    <row r="98" spans="1:41" x14ac:dyDescent="0.3">
      <c r="A98" s="476">
        <v>150000619</v>
      </c>
      <c r="B98" s="477" t="s">
        <v>359</v>
      </c>
      <c r="C98" s="478">
        <v>4254.1000000000004</v>
      </c>
      <c r="D98" s="479">
        <v>465</v>
      </c>
      <c r="E98" s="480"/>
      <c r="F98" s="480">
        <v>4254.1000000000004</v>
      </c>
      <c r="G98" s="481">
        <v>1311.254182694169</v>
      </c>
      <c r="H98" s="481">
        <v>199.92765725727142</v>
      </c>
      <c r="I98" s="481">
        <v>517.94000000000005</v>
      </c>
      <c r="J98" s="481">
        <v>115.69</v>
      </c>
      <c r="K98" s="481">
        <v>65.004820328168279</v>
      </c>
      <c r="L98" s="481">
        <v>567.89014415680219</v>
      </c>
      <c r="M98" s="587">
        <f t="shared" si="6"/>
        <v>0</v>
      </c>
      <c r="N98" s="481">
        <v>1515.8179104502703</v>
      </c>
      <c r="O98" s="481">
        <v>3069.8746739721232</v>
      </c>
      <c r="P98" s="481">
        <v>0</v>
      </c>
      <c r="Q98" s="481">
        <v>284.10529286809492</v>
      </c>
      <c r="R98" s="587">
        <f t="shared" si="7"/>
        <v>5559.2679735272959</v>
      </c>
      <c r="S98" s="481">
        <v>104.34178770313731</v>
      </c>
      <c r="T98" s="481">
        <v>132.66832458043814</v>
      </c>
      <c r="U98" s="481">
        <v>137.02384284704263</v>
      </c>
      <c r="V98" s="481">
        <v>57.183779780945919</v>
      </c>
      <c r="W98" s="481">
        <v>32.980617657691397</v>
      </c>
      <c r="X98" s="481">
        <v>86.533694527001416</v>
      </c>
      <c r="Y98" s="481">
        <v>0</v>
      </c>
      <c r="Z98" s="481">
        <v>4207.1137254140649</v>
      </c>
      <c r="AA98" s="481">
        <v>3151.0386686298348</v>
      </c>
      <c r="AB98" s="481">
        <v>746.57451002368725</v>
      </c>
      <c r="AC98" s="481">
        <v>68.630925649704508</v>
      </c>
      <c r="AD98" s="481">
        <v>8.4488828924825619</v>
      </c>
      <c r="AE98" s="481">
        <v>1088.7360478066757</v>
      </c>
      <c r="AF98" s="481">
        <v>539.68864260903979</v>
      </c>
      <c r="AG98" s="481">
        <v>424.21924989676683</v>
      </c>
      <c r="AH98" s="700">
        <f t="shared" si="8"/>
        <v>23567.736105375938</v>
      </c>
      <c r="AI98" s="482">
        <f t="shared" si="9"/>
        <v>23991.955355272705</v>
      </c>
      <c r="AJ98" s="482"/>
      <c r="AK98" s="482"/>
      <c r="AL98" s="585">
        <v>50.66</v>
      </c>
      <c r="AM98" s="585">
        <v>5508.6079735272961</v>
      </c>
      <c r="AN98" s="581">
        <v>0</v>
      </c>
      <c r="AO98" s="581">
        <f t="shared" si="10"/>
        <v>5559.2679735272959</v>
      </c>
    </row>
    <row r="99" spans="1:41" x14ac:dyDescent="0.3">
      <c r="A99" s="476">
        <v>150000621</v>
      </c>
      <c r="B99" s="477" t="s">
        <v>80</v>
      </c>
      <c r="C99" s="478">
        <v>130.1</v>
      </c>
      <c r="D99" s="483"/>
      <c r="E99" s="480"/>
      <c r="F99" s="480">
        <v>130.1</v>
      </c>
      <c r="G99" s="481">
        <v>0</v>
      </c>
      <c r="H99" s="481">
        <v>0</v>
      </c>
      <c r="I99" s="481">
        <v>0</v>
      </c>
      <c r="J99" s="481">
        <v>0</v>
      </c>
      <c r="K99" s="481">
        <v>0</v>
      </c>
      <c r="L99" s="481">
        <v>0</v>
      </c>
      <c r="M99" s="587">
        <f t="shared" si="6"/>
        <v>0</v>
      </c>
      <c r="N99" s="481">
        <v>0</v>
      </c>
      <c r="O99" s="481">
        <v>0</v>
      </c>
      <c r="P99" s="481">
        <v>0</v>
      </c>
      <c r="Q99" s="481">
        <v>23.675441072341243</v>
      </c>
      <c r="R99" s="587">
        <f t="shared" si="7"/>
        <v>146.40855148596486</v>
      </c>
      <c r="S99" s="481">
        <v>0</v>
      </c>
      <c r="T99" s="481">
        <v>0</v>
      </c>
      <c r="U99" s="481">
        <v>0</v>
      </c>
      <c r="V99" s="481">
        <v>0</v>
      </c>
      <c r="W99" s="481">
        <v>0</v>
      </c>
      <c r="X99" s="481">
        <v>0</v>
      </c>
      <c r="Y99" s="481">
        <v>0</v>
      </c>
      <c r="Z99" s="481">
        <v>15.951340502798338</v>
      </c>
      <c r="AA99" s="481">
        <v>0</v>
      </c>
      <c r="AB99" s="481">
        <v>0</v>
      </c>
      <c r="AC99" s="481">
        <v>0</v>
      </c>
      <c r="AD99" s="481">
        <v>0</v>
      </c>
      <c r="AE99" s="481">
        <v>0</v>
      </c>
      <c r="AF99" s="481">
        <v>0</v>
      </c>
      <c r="AG99" s="481">
        <v>5.5810599918331345</v>
      </c>
      <c r="AH99" s="700">
        <f t="shared" si="8"/>
        <v>186.03533306110444</v>
      </c>
      <c r="AI99" s="482">
        <f t="shared" si="9"/>
        <v>191.61639305293758</v>
      </c>
      <c r="AJ99" s="482"/>
      <c r="AK99" s="482"/>
      <c r="AL99" s="585">
        <v>19.34</v>
      </c>
      <c r="AM99" s="585">
        <v>127.06855148596487</v>
      </c>
      <c r="AN99" s="581">
        <v>0</v>
      </c>
      <c r="AO99" s="581">
        <f t="shared" si="10"/>
        <v>146.40855148596486</v>
      </c>
    </row>
    <row r="100" spans="1:41" x14ac:dyDescent="0.3">
      <c r="A100" s="476">
        <v>150000622</v>
      </c>
      <c r="B100" s="477" t="s">
        <v>81</v>
      </c>
      <c r="C100" s="478">
        <v>132.69999999999999</v>
      </c>
      <c r="D100" s="483"/>
      <c r="E100" s="480"/>
      <c r="F100" s="480">
        <v>132.69999999999999</v>
      </c>
      <c r="G100" s="481">
        <v>0</v>
      </c>
      <c r="H100" s="481">
        <v>0</v>
      </c>
      <c r="I100" s="481">
        <v>0</v>
      </c>
      <c r="J100" s="481">
        <v>0</v>
      </c>
      <c r="K100" s="481">
        <v>0</v>
      </c>
      <c r="L100" s="481">
        <v>0</v>
      </c>
      <c r="M100" s="587">
        <f t="shared" si="6"/>
        <v>0</v>
      </c>
      <c r="N100" s="481">
        <v>0</v>
      </c>
      <c r="O100" s="481">
        <v>0</v>
      </c>
      <c r="P100" s="481">
        <v>0</v>
      </c>
      <c r="Q100" s="481">
        <v>31.567254763121657</v>
      </c>
      <c r="R100" s="587">
        <f t="shared" si="7"/>
        <v>136.49272452441869</v>
      </c>
      <c r="S100" s="481">
        <v>0</v>
      </c>
      <c r="T100" s="481">
        <v>0</v>
      </c>
      <c r="U100" s="481">
        <v>0</v>
      </c>
      <c r="V100" s="481">
        <v>0</v>
      </c>
      <c r="W100" s="481">
        <v>0</v>
      </c>
      <c r="X100" s="481">
        <v>0</v>
      </c>
      <c r="Y100" s="481">
        <v>0</v>
      </c>
      <c r="Z100" s="481">
        <v>23.927010754197507</v>
      </c>
      <c r="AA100" s="481">
        <v>0</v>
      </c>
      <c r="AB100" s="481">
        <v>0</v>
      </c>
      <c r="AC100" s="481">
        <v>0</v>
      </c>
      <c r="AD100" s="481">
        <v>0</v>
      </c>
      <c r="AE100" s="481">
        <v>0</v>
      </c>
      <c r="AF100" s="481">
        <v>0</v>
      </c>
      <c r="AG100" s="481">
        <v>10.367297462253843</v>
      </c>
      <c r="AH100" s="700">
        <f t="shared" si="8"/>
        <v>191.98699004173787</v>
      </c>
      <c r="AI100" s="482">
        <f t="shared" si="9"/>
        <v>202.35428750399171</v>
      </c>
      <c r="AJ100" s="482"/>
      <c r="AK100" s="482"/>
      <c r="AL100" s="585">
        <v>8.6999999999999993</v>
      </c>
      <c r="AM100" s="585">
        <v>127.79272452441869</v>
      </c>
      <c r="AN100" s="581">
        <v>0</v>
      </c>
      <c r="AO100" s="581">
        <f t="shared" si="10"/>
        <v>136.49272452441869</v>
      </c>
    </row>
    <row r="101" spans="1:41" x14ac:dyDescent="0.3">
      <c r="A101" s="476">
        <v>150000623</v>
      </c>
      <c r="B101" s="477" t="s">
        <v>209</v>
      </c>
      <c r="C101" s="478">
        <v>1379.8</v>
      </c>
      <c r="D101" s="479"/>
      <c r="E101" s="480">
        <v>92.8</v>
      </c>
      <c r="F101" s="480">
        <v>1472.6</v>
      </c>
      <c r="G101" s="481">
        <v>445.66610170028343</v>
      </c>
      <c r="H101" s="481">
        <v>77.96848095209269</v>
      </c>
      <c r="I101" s="481">
        <v>177.45</v>
      </c>
      <c r="J101" s="481">
        <v>0</v>
      </c>
      <c r="K101" s="481">
        <v>0</v>
      </c>
      <c r="L101" s="481">
        <v>244.44010390858983</v>
      </c>
      <c r="M101" s="587">
        <f t="shared" si="6"/>
        <v>0</v>
      </c>
      <c r="N101" s="481">
        <v>524.71579298302049</v>
      </c>
      <c r="O101" s="481">
        <v>0</v>
      </c>
      <c r="P101" s="481">
        <v>0</v>
      </c>
      <c r="Q101" s="481">
        <v>355.13161608511865</v>
      </c>
      <c r="R101" s="587">
        <f t="shared" si="7"/>
        <v>1577.1457640618739</v>
      </c>
      <c r="S101" s="481">
        <v>74.638014796919734</v>
      </c>
      <c r="T101" s="481">
        <v>100.48865234005868</v>
      </c>
      <c r="U101" s="481">
        <v>83.35095844830397</v>
      </c>
      <c r="V101" s="481">
        <v>0</v>
      </c>
      <c r="W101" s="481">
        <v>0</v>
      </c>
      <c r="X101" s="481">
        <v>30.242693680127168</v>
      </c>
      <c r="Y101" s="481">
        <v>0</v>
      </c>
      <c r="Z101" s="481">
        <v>1498.6960994492724</v>
      </c>
      <c r="AA101" s="481">
        <v>734.01985571920488</v>
      </c>
      <c r="AB101" s="481">
        <v>634.48136218399156</v>
      </c>
      <c r="AC101" s="481">
        <v>30.638806093618079</v>
      </c>
      <c r="AD101" s="481">
        <v>3.7718227198582861</v>
      </c>
      <c r="AE101" s="481">
        <v>252.68658989209382</v>
      </c>
      <c r="AF101" s="481">
        <v>0</v>
      </c>
      <c r="AG101" s="481">
        <v>123.21958887025968</v>
      </c>
      <c r="AH101" s="700">
        <f t="shared" si="8"/>
        <v>6845.5327150144276</v>
      </c>
      <c r="AI101" s="482">
        <f t="shared" si="9"/>
        <v>6968.7523038846875</v>
      </c>
      <c r="AJ101" s="482"/>
      <c r="AK101" s="482"/>
      <c r="AL101" s="585">
        <v>65.67</v>
      </c>
      <c r="AM101" s="585">
        <v>1511.4757640618739</v>
      </c>
      <c r="AN101" s="581">
        <v>0</v>
      </c>
      <c r="AO101" s="581">
        <f t="shared" si="10"/>
        <v>1577.1457640618739</v>
      </c>
    </row>
    <row r="102" spans="1:41" x14ac:dyDescent="0.3">
      <c r="A102" s="476">
        <v>150000625</v>
      </c>
      <c r="B102" s="477" t="s">
        <v>415</v>
      </c>
      <c r="C102" s="478">
        <v>4786.05</v>
      </c>
      <c r="D102" s="479">
        <v>340.9</v>
      </c>
      <c r="E102" s="480">
        <v>64.599999999999994</v>
      </c>
      <c r="F102" s="480">
        <v>4850.6500000000005</v>
      </c>
      <c r="G102" s="481">
        <v>1428.8909516204126</v>
      </c>
      <c r="H102" s="481">
        <v>220.47042532127531</v>
      </c>
      <c r="I102" s="481">
        <v>656.16</v>
      </c>
      <c r="J102" s="481">
        <v>126.06</v>
      </c>
      <c r="K102" s="481">
        <v>69.441905573206768</v>
      </c>
      <c r="L102" s="481">
        <v>601.501535581334</v>
      </c>
      <c r="M102" s="587">
        <f t="shared" si="6"/>
        <v>0</v>
      </c>
      <c r="N102" s="481">
        <v>1728.3801855446754</v>
      </c>
      <c r="O102" s="481">
        <v>3553.2101961369735</v>
      </c>
      <c r="P102" s="481">
        <v>0</v>
      </c>
      <c r="Q102" s="481">
        <v>311.72664078582642</v>
      </c>
      <c r="R102" s="587">
        <f t="shared" si="7"/>
        <v>5984.0340313029101</v>
      </c>
      <c r="S102" s="481">
        <v>112.32027171131804</v>
      </c>
      <c r="T102" s="481">
        <v>133.63672181485069</v>
      </c>
      <c r="U102" s="481">
        <v>124.87352522650177</v>
      </c>
      <c r="V102" s="481">
        <v>58.382551877163472</v>
      </c>
      <c r="W102" s="481">
        <v>35.232039279818451</v>
      </c>
      <c r="X102" s="481">
        <v>64.637189513920404</v>
      </c>
      <c r="Y102" s="481">
        <v>26.931157963619381</v>
      </c>
      <c r="Z102" s="481">
        <v>6306.8994819567788</v>
      </c>
      <c r="AA102" s="481">
        <v>3822.9486691671618</v>
      </c>
      <c r="AB102" s="481">
        <v>865.59363481007222</v>
      </c>
      <c r="AC102" s="481">
        <v>64.415025931222658</v>
      </c>
      <c r="AD102" s="481">
        <v>7.9298800862300611</v>
      </c>
      <c r="AE102" s="481">
        <v>1400.694800759878</v>
      </c>
      <c r="AF102" s="481">
        <v>948.35460897773487</v>
      </c>
      <c r="AG102" s="481">
        <v>515.74905775697198</v>
      </c>
      <c r="AH102" s="700">
        <f t="shared" si="8"/>
        <v>28652.725430942883</v>
      </c>
      <c r="AI102" s="482">
        <f t="shared" si="9"/>
        <v>29168.474488699856</v>
      </c>
      <c r="AJ102" s="482"/>
      <c r="AK102" s="482"/>
      <c r="AL102" s="585">
        <v>50.66</v>
      </c>
      <c r="AM102" s="585">
        <v>5933.3740313029102</v>
      </c>
      <c r="AN102" s="581">
        <v>0</v>
      </c>
      <c r="AO102" s="581">
        <f t="shared" si="10"/>
        <v>5984.0340313029101</v>
      </c>
    </row>
    <row r="103" spans="1:41" x14ac:dyDescent="0.3">
      <c r="A103" s="476">
        <v>150000626</v>
      </c>
      <c r="B103" s="477" t="s">
        <v>358</v>
      </c>
      <c r="C103" s="478">
        <v>7507.43</v>
      </c>
      <c r="D103" s="479">
        <v>772.75</v>
      </c>
      <c r="E103" s="480"/>
      <c r="F103" s="480">
        <v>7507.43</v>
      </c>
      <c r="G103" s="481">
        <v>1635.5039119117437</v>
      </c>
      <c r="H103" s="481">
        <v>328.81852375138266</v>
      </c>
      <c r="I103" s="481">
        <v>1041.6400000000001</v>
      </c>
      <c r="J103" s="481">
        <v>193.61</v>
      </c>
      <c r="K103" s="481">
        <v>192.08062007918898</v>
      </c>
      <c r="L103" s="481">
        <v>1461.2456375251063</v>
      </c>
      <c r="M103" s="587">
        <f t="shared" si="6"/>
        <v>0</v>
      </c>
      <c r="N103" s="481">
        <v>2675.0421606101577</v>
      </c>
      <c r="O103" s="481">
        <v>4964.0659391358995</v>
      </c>
      <c r="P103" s="481">
        <v>526.14071962364369</v>
      </c>
      <c r="Q103" s="481">
        <v>564.26467889079959</v>
      </c>
      <c r="R103" s="587">
        <f t="shared" si="7"/>
        <v>10421.895946852026</v>
      </c>
      <c r="S103" s="481">
        <v>134.8386285665128</v>
      </c>
      <c r="T103" s="481">
        <v>205.12644202695014</v>
      </c>
      <c r="U103" s="481">
        <v>230.50207294495644</v>
      </c>
      <c r="V103" s="481">
        <v>92.454226601088408</v>
      </c>
      <c r="W103" s="481">
        <v>97.444916251409211</v>
      </c>
      <c r="X103" s="481">
        <v>160.26562450566868</v>
      </c>
      <c r="Y103" s="481">
        <v>63.506112576590589</v>
      </c>
      <c r="Z103" s="481">
        <v>8793.4686869997568</v>
      </c>
      <c r="AA103" s="481">
        <v>5913.4813281088609</v>
      </c>
      <c r="AB103" s="481">
        <v>1081.9920435125903</v>
      </c>
      <c r="AC103" s="481">
        <v>165.69466335428658</v>
      </c>
      <c r="AD103" s="481">
        <v>20.398017268993613</v>
      </c>
      <c r="AE103" s="481">
        <v>1040.3824410989293</v>
      </c>
      <c r="AF103" s="481">
        <v>1172.9649111040405</v>
      </c>
      <c r="AG103" s="481">
        <v>777.18290855941029</v>
      </c>
      <c r="AH103" s="700">
        <f t="shared" si="8"/>
        <v>43176.828253300569</v>
      </c>
      <c r="AI103" s="482">
        <f t="shared" si="9"/>
        <v>43954.011161859977</v>
      </c>
      <c r="AJ103" s="482"/>
      <c r="AK103" s="482"/>
      <c r="AL103" s="585">
        <v>155.84</v>
      </c>
      <c r="AM103" s="585">
        <v>10266.055946852026</v>
      </c>
      <c r="AN103" s="581">
        <v>0</v>
      </c>
      <c r="AO103" s="581">
        <f t="shared" si="10"/>
        <v>10421.895946852026</v>
      </c>
    </row>
    <row r="104" spans="1:41" x14ac:dyDescent="0.3">
      <c r="A104" s="476">
        <v>150000627</v>
      </c>
      <c r="B104" s="477" t="s">
        <v>355</v>
      </c>
      <c r="C104" s="478">
        <v>3714.05</v>
      </c>
      <c r="D104" s="479">
        <v>340.25</v>
      </c>
      <c r="E104" s="480">
        <v>63.3</v>
      </c>
      <c r="F104" s="480">
        <v>3777.3500000000004</v>
      </c>
      <c r="G104" s="481">
        <v>825.71974965832271</v>
      </c>
      <c r="H104" s="481">
        <v>165.28583035986341</v>
      </c>
      <c r="I104" s="481">
        <v>525.55999999999995</v>
      </c>
      <c r="J104" s="481">
        <v>96.21</v>
      </c>
      <c r="K104" s="481">
        <v>65.004820328168279</v>
      </c>
      <c r="L104" s="481">
        <v>670.93813833624267</v>
      </c>
      <c r="M104" s="587">
        <f t="shared" si="6"/>
        <v>0</v>
      </c>
      <c r="N104" s="481">
        <v>1345.9426868290186</v>
      </c>
      <c r="O104" s="481">
        <v>4800.7555319648973</v>
      </c>
      <c r="P104" s="481">
        <v>0</v>
      </c>
      <c r="Q104" s="481">
        <v>280.15938602270472</v>
      </c>
      <c r="R104" s="587">
        <f t="shared" si="7"/>
        <v>5104.4068265633086</v>
      </c>
      <c r="S104" s="481">
        <v>68.918875258101465</v>
      </c>
      <c r="T104" s="481">
        <v>98.143327095968175</v>
      </c>
      <c r="U104" s="481">
        <v>106.85158842153281</v>
      </c>
      <c r="V104" s="481">
        <v>47.005876051883021</v>
      </c>
      <c r="W104" s="481">
        <v>32.980617657691397</v>
      </c>
      <c r="X104" s="481">
        <v>71.717715476797508</v>
      </c>
      <c r="Y104" s="481">
        <v>32.574408953449151</v>
      </c>
      <c r="Z104" s="481">
        <v>3524.5508679024674</v>
      </c>
      <c r="AA104" s="481">
        <v>3396.1400673233584</v>
      </c>
      <c r="AB104" s="481">
        <v>627.55538523730206</v>
      </c>
      <c r="AC104" s="481">
        <v>101.18159324356435</v>
      </c>
      <c r="AD104" s="481">
        <v>12.456067350060005</v>
      </c>
      <c r="AE104" s="481">
        <v>1254.0741868718731</v>
      </c>
      <c r="AF104" s="481">
        <v>648.87420614266057</v>
      </c>
      <c r="AG104" s="481">
        <v>717.09023259147705</v>
      </c>
      <c r="AH104" s="700">
        <f t="shared" si="8"/>
        <v>23903.007753049231</v>
      </c>
      <c r="AI104" s="482">
        <f t="shared" si="9"/>
        <v>24620.097985640707</v>
      </c>
      <c r="AJ104" s="482"/>
      <c r="AK104" s="482"/>
      <c r="AL104" s="585">
        <v>65.67</v>
      </c>
      <c r="AM104" s="585">
        <v>5038.7368265633086</v>
      </c>
      <c r="AN104" s="581">
        <v>0</v>
      </c>
      <c r="AO104" s="581">
        <f t="shared" si="10"/>
        <v>5104.4068265633086</v>
      </c>
    </row>
    <row r="105" spans="1:41" x14ac:dyDescent="0.3">
      <c r="A105" s="476">
        <v>150000628</v>
      </c>
      <c r="B105" s="477" t="s">
        <v>356</v>
      </c>
      <c r="C105" s="478">
        <v>4509.26</v>
      </c>
      <c r="D105" s="479">
        <v>368.4</v>
      </c>
      <c r="E105" s="480">
        <v>143.69999999999999</v>
      </c>
      <c r="F105" s="480">
        <v>4652.96</v>
      </c>
      <c r="G105" s="481">
        <v>1310.0405380911873</v>
      </c>
      <c r="H105" s="481">
        <v>201.63131401285563</v>
      </c>
      <c r="I105" s="481">
        <v>608.72</v>
      </c>
      <c r="J105" s="481">
        <v>117.76</v>
      </c>
      <c r="K105" s="481">
        <v>65.004820328168279</v>
      </c>
      <c r="L105" s="481">
        <v>549.02987457649465</v>
      </c>
      <c r="M105" s="587">
        <f t="shared" si="6"/>
        <v>0</v>
      </c>
      <c r="N105" s="481">
        <v>1657.9394242280832</v>
      </c>
      <c r="O105" s="481">
        <v>3456.5475482576176</v>
      </c>
      <c r="P105" s="481">
        <v>0</v>
      </c>
      <c r="Q105" s="481">
        <v>276.21347917731453</v>
      </c>
      <c r="R105" s="587">
        <f t="shared" si="7"/>
        <v>5787.9059200809916</v>
      </c>
      <c r="S105" s="481">
        <v>102.21010856618543</v>
      </c>
      <c r="T105" s="481">
        <v>123.50596291920525</v>
      </c>
      <c r="U105" s="481">
        <v>121.11838351689461</v>
      </c>
      <c r="V105" s="481">
        <v>56.104620871358016</v>
      </c>
      <c r="W105" s="481">
        <v>32.980617657691397</v>
      </c>
      <c r="X105" s="481">
        <v>62.856810959251952</v>
      </c>
      <c r="Y105" s="481">
        <v>32.907787758409334</v>
      </c>
      <c r="Z105" s="481">
        <v>4655.9862387066159</v>
      </c>
      <c r="AA105" s="481">
        <v>3433.0062501797202</v>
      </c>
      <c r="AB105" s="481">
        <v>497.71634001579156</v>
      </c>
      <c r="AC105" s="481">
        <v>87.430897068748564</v>
      </c>
      <c r="AD105" s="481">
        <v>10.763273313387607</v>
      </c>
      <c r="AE105" s="481">
        <v>739.34224449908925</v>
      </c>
      <c r="AF105" s="481">
        <v>1107.4535729838678</v>
      </c>
      <c r="AG105" s="481">
        <v>451.69516849984069</v>
      </c>
      <c r="AH105" s="700">
        <f t="shared" si="8"/>
        <v>25094.176027768932</v>
      </c>
      <c r="AI105" s="482">
        <f t="shared" si="9"/>
        <v>25545.871196268774</v>
      </c>
      <c r="AJ105" s="482"/>
      <c r="AK105" s="482"/>
      <c r="AL105" s="585">
        <v>58.8</v>
      </c>
      <c r="AM105" s="585">
        <v>5729.1059200809914</v>
      </c>
      <c r="AN105" s="581">
        <v>0</v>
      </c>
      <c r="AO105" s="581">
        <f t="shared" si="10"/>
        <v>5787.9059200809916</v>
      </c>
    </row>
    <row r="106" spans="1:41" x14ac:dyDescent="0.3">
      <c r="A106" s="476">
        <v>150000629</v>
      </c>
      <c r="B106" s="477" t="s">
        <v>357</v>
      </c>
      <c r="C106" s="478">
        <v>9553.74</v>
      </c>
      <c r="D106" s="479">
        <v>1060.24</v>
      </c>
      <c r="E106" s="480"/>
      <c r="F106" s="480">
        <v>9553.74</v>
      </c>
      <c r="G106" s="481">
        <v>2011.8428180808876</v>
      </c>
      <c r="H106" s="481">
        <v>333.57435078395179</v>
      </c>
      <c r="I106" s="481">
        <v>1132.3</v>
      </c>
      <c r="J106" s="481">
        <v>246.38</v>
      </c>
      <c r="K106" s="481">
        <v>384.16119931305292</v>
      </c>
      <c r="L106" s="481">
        <v>1629.3323475640004</v>
      </c>
      <c r="M106" s="587">
        <f t="shared" si="6"/>
        <v>0</v>
      </c>
      <c r="N106" s="481">
        <v>3404.1818960027181</v>
      </c>
      <c r="O106" s="481">
        <v>6913.0950965152351</v>
      </c>
      <c r="P106" s="481">
        <v>0</v>
      </c>
      <c r="Q106" s="481">
        <v>603.72374734470168</v>
      </c>
      <c r="R106" s="587">
        <f t="shared" si="7"/>
        <v>15194.538962850302</v>
      </c>
      <c r="S106" s="481">
        <v>161.66804270236327</v>
      </c>
      <c r="T106" s="481">
        <v>222.61623667036437</v>
      </c>
      <c r="U106" s="481">
        <v>353.84838667705782</v>
      </c>
      <c r="V106" s="481">
        <v>129.77303219156963</v>
      </c>
      <c r="W106" s="481">
        <v>194.87769731024719</v>
      </c>
      <c r="X106" s="481">
        <v>152.94289157412265</v>
      </c>
      <c r="Y106" s="481">
        <v>93.216145822728791</v>
      </c>
      <c r="Z106" s="481">
        <v>11340.792378265131</v>
      </c>
      <c r="AA106" s="481">
        <v>8167.5920095757865</v>
      </c>
      <c r="AB106" s="481">
        <v>2596.7809044302167</v>
      </c>
      <c r="AC106" s="481">
        <v>161.28267527680558</v>
      </c>
      <c r="AD106" s="481">
        <v>19.85487479733402</v>
      </c>
      <c r="AE106" s="481">
        <v>1506.7607767639668</v>
      </c>
      <c r="AF106" s="481">
        <v>2258.5813713811845</v>
      </c>
      <c r="AG106" s="481">
        <v>1065.8469211540871</v>
      </c>
      <c r="AH106" s="700">
        <f t="shared" si="8"/>
        <v>59213.717841893733</v>
      </c>
      <c r="AI106" s="482">
        <f t="shared" si="9"/>
        <v>60279.56476304782</v>
      </c>
      <c r="AJ106" s="482"/>
      <c r="AK106" s="482"/>
      <c r="AL106" s="585">
        <v>107.03</v>
      </c>
      <c r="AM106" s="585">
        <v>15087.508962850301</v>
      </c>
      <c r="AN106" s="581">
        <v>0</v>
      </c>
      <c r="AO106" s="581">
        <f t="shared" si="10"/>
        <v>15194.538962850302</v>
      </c>
    </row>
    <row r="107" spans="1:41" x14ac:dyDescent="0.3">
      <c r="A107" s="476">
        <v>150000634</v>
      </c>
      <c r="B107" s="477" t="s">
        <v>86</v>
      </c>
      <c r="C107" s="478">
        <v>196.35</v>
      </c>
      <c r="D107" s="483"/>
      <c r="E107" s="480"/>
      <c r="F107" s="480">
        <v>196.35</v>
      </c>
      <c r="G107" s="481">
        <v>0</v>
      </c>
      <c r="H107" s="481">
        <v>0</v>
      </c>
      <c r="I107" s="481">
        <v>0</v>
      </c>
      <c r="J107" s="481">
        <v>0</v>
      </c>
      <c r="K107" s="481">
        <v>0</v>
      </c>
      <c r="L107" s="481">
        <v>0</v>
      </c>
      <c r="M107" s="587">
        <f t="shared" si="6"/>
        <v>0</v>
      </c>
      <c r="N107" s="481">
        <v>0</v>
      </c>
      <c r="O107" s="481">
        <v>0</v>
      </c>
      <c r="P107" s="481">
        <v>0</v>
      </c>
      <c r="Q107" s="481">
        <v>31.567254763121657</v>
      </c>
      <c r="R107" s="587">
        <f t="shared" si="7"/>
        <v>230.77117830857355</v>
      </c>
      <c r="S107" s="481">
        <v>0</v>
      </c>
      <c r="T107" s="481">
        <v>0</v>
      </c>
      <c r="U107" s="481">
        <v>0</v>
      </c>
      <c r="V107" s="481">
        <v>0</v>
      </c>
      <c r="W107" s="481">
        <v>0</v>
      </c>
      <c r="X107" s="481">
        <v>0</v>
      </c>
      <c r="Y107" s="481">
        <v>0</v>
      </c>
      <c r="Z107" s="481">
        <v>19.939175628497924</v>
      </c>
      <c r="AA107" s="481">
        <v>0</v>
      </c>
      <c r="AB107" s="481">
        <v>0</v>
      </c>
      <c r="AC107" s="481">
        <v>0</v>
      </c>
      <c r="AD107" s="481">
        <v>0</v>
      </c>
      <c r="AE107" s="481">
        <v>0</v>
      </c>
      <c r="AF107" s="481">
        <v>0</v>
      </c>
      <c r="AG107" s="481">
        <v>8.4683282610057926</v>
      </c>
      <c r="AH107" s="700">
        <f t="shared" si="8"/>
        <v>282.27760870019313</v>
      </c>
      <c r="AI107" s="482">
        <f t="shared" si="9"/>
        <v>290.74593696119894</v>
      </c>
      <c r="AJ107" s="482"/>
      <c r="AK107" s="482"/>
      <c r="AL107" s="585">
        <v>29.44</v>
      </c>
      <c r="AM107" s="585">
        <v>201.33117830857356</v>
      </c>
      <c r="AN107" s="581">
        <v>0</v>
      </c>
      <c r="AO107" s="581">
        <f t="shared" si="10"/>
        <v>230.77117830857355</v>
      </c>
    </row>
    <row r="108" spans="1:41" x14ac:dyDescent="0.3">
      <c r="A108" s="476">
        <v>150000636</v>
      </c>
      <c r="B108" s="477" t="s">
        <v>258</v>
      </c>
      <c r="C108" s="478">
        <v>3175.8</v>
      </c>
      <c r="D108" s="479"/>
      <c r="E108" s="480"/>
      <c r="F108" s="480">
        <v>3175.8</v>
      </c>
      <c r="G108" s="481">
        <v>915.2063014222266</v>
      </c>
      <c r="H108" s="481">
        <v>186.11869937648527</v>
      </c>
      <c r="I108" s="481">
        <v>390.81</v>
      </c>
      <c r="J108" s="481">
        <v>0</v>
      </c>
      <c r="K108" s="481">
        <v>59.112908977718426</v>
      </c>
      <c r="L108" s="481">
        <v>574.31299380998314</v>
      </c>
      <c r="M108" s="587">
        <f t="shared" si="6"/>
        <v>0</v>
      </c>
      <c r="N108" s="481">
        <v>1131.5988152624452</v>
      </c>
      <c r="O108" s="481">
        <v>0</v>
      </c>
      <c r="P108" s="481">
        <v>0</v>
      </c>
      <c r="Q108" s="481">
        <v>828.64043753194358</v>
      </c>
      <c r="R108" s="587">
        <f t="shared" si="7"/>
        <v>3369.5276476464655</v>
      </c>
      <c r="S108" s="481">
        <v>146.70885044320073</v>
      </c>
      <c r="T108" s="481">
        <v>239.8909143761071</v>
      </c>
      <c r="U108" s="481">
        <v>149.43943954810544</v>
      </c>
      <c r="V108" s="481">
        <v>0</v>
      </c>
      <c r="W108" s="481">
        <v>59.973570119372766</v>
      </c>
      <c r="X108" s="481">
        <v>108.18788718072186</v>
      </c>
      <c r="Y108" s="481">
        <v>0</v>
      </c>
      <c r="Z108" s="481">
        <v>2962.5285359280679</v>
      </c>
      <c r="AA108" s="481">
        <v>1496.9762406581542</v>
      </c>
      <c r="AB108" s="481">
        <v>523.33938504802018</v>
      </c>
      <c r="AC108" s="481">
        <v>154.56664898108448</v>
      </c>
      <c r="AD108" s="481">
        <v>19.028091257141082</v>
      </c>
      <c r="AE108" s="481">
        <v>614.55874331780842</v>
      </c>
      <c r="AF108" s="481">
        <v>0</v>
      </c>
      <c r="AG108" s="481">
        <v>334.33262666124125</v>
      </c>
      <c r="AH108" s="700">
        <f t="shared" si="8"/>
        <v>13930.526110885054</v>
      </c>
      <c r="AI108" s="482">
        <f t="shared" si="9"/>
        <v>14264.858737546296</v>
      </c>
      <c r="AJ108" s="482"/>
      <c r="AK108" s="482"/>
      <c r="AL108" s="585">
        <v>99.5</v>
      </c>
      <c r="AM108" s="585">
        <v>3270.0276476464655</v>
      </c>
      <c r="AN108" s="581">
        <v>0</v>
      </c>
      <c r="AO108" s="581">
        <f t="shared" si="10"/>
        <v>3369.5276476464655</v>
      </c>
    </row>
    <row r="109" spans="1:41" x14ac:dyDescent="0.3">
      <c r="A109" s="476">
        <v>150000637</v>
      </c>
      <c r="B109" s="477" t="s">
        <v>87</v>
      </c>
      <c r="C109" s="478">
        <v>164.45</v>
      </c>
      <c r="D109" s="483"/>
      <c r="E109" s="480"/>
      <c r="F109" s="480">
        <v>164.45</v>
      </c>
      <c r="G109" s="481">
        <v>0</v>
      </c>
      <c r="H109" s="481">
        <v>0</v>
      </c>
      <c r="I109" s="481">
        <v>0</v>
      </c>
      <c r="J109" s="481">
        <v>0</v>
      </c>
      <c r="K109" s="481">
        <v>0</v>
      </c>
      <c r="L109" s="481">
        <v>0</v>
      </c>
      <c r="M109" s="587">
        <f t="shared" si="6"/>
        <v>0</v>
      </c>
      <c r="N109" s="481">
        <v>0</v>
      </c>
      <c r="O109" s="481">
        <v>0</v>
      </c>
      <c r="P109" s="481">
        <v>0</v>
      </c>
      <c r="Q109" s="481">
        <v>15.783627381560828</v>
      </c>
      <c r="R109" s="587">
        <f t="shared" si="7"/>
        <v>203.31220280883383</v>
      </c>
      <c r="S109" s="481">
        <v>0</v>
      </c>
      <c r="T109" s="481">
        <v>0</v>
      </c>
      <c r="U109" s="481">
        <v>0</v>
      </c>
      <c r="V109" s="481">
        <v>0</v>
      </c>
      <c r="W109" s="481">
        <v>0</v>
      </c>
      <c r="X109" s="481">
        <v>0</v>
      </c>
      <c r="Y109" s="481">
        <v>0</v>
      </c>
      <c r="Z109" s="481">
        <v>13.957422939948543</v>
      </c>
      <c r="AA109" s="481">
        <v>0</v>
      </c>
      <c r="AB109" s="481">
        <v>0</v>
      </c>
      <c r="AC109" s="481">
        <v>0</v>
      </c>
      <c r="AD109" s="481">
        <v>0</v>
      </c>
      <c r="AE109" s="481">
        <v>0</v>
      </c>
      <c r="AF109" s="481">
        <v>0</v>
      </c>
      <c r="AG109" s="481">
        <v>6.9915975939102957</v>
      </c>
      <c r="AH109" s="700">
        <f t="shared" si="8"/>
        <v>233.05325313034319</v>
      </c>
      <c r="AI109" s="482">
        <f t="shared" si="9"/>
        <v>240.04485072425348</v>
      </c>
      <c r="AJ109" s="482"/>
      <c r="AK109" s="482"/>
      <c r="AL109" s="585">
        <v>25.61</v>
      </c>
      <c r="AM109" s="585">
        <v>177.70220280883382</v>
      </c>
      <c r="AN109" s="581">
        <v>0</v>
      </c>
      <c r="AO109" s="581">
        <f t="shared" si="10"/>
        <v>203.31220280883383</v>
      </c>
    </row>
    <row r="110" spans="1:41" x14ac:dyDescent="0.3">
      <c r="A110" s="476">
        <v>150000638</v>
      </c>
      <c r="B110" s="477" t="s">
        <v>131</v>
      </c>
      <c r="C110" s="478">
        <v>90.7</v>
      </c>
      <c r="D110" s="483"/>
      <c r="E110" s="480"/>
      <c r="F110" s="480">
        <v>90.7</v>
      </c>
      <c r="G110" s="481">
        <v>0</v>
      </c>
      <c r="H110" s="481">
        <v>0</v>
      </c>
      <c r="I110" s="481">
        <v>0</v>
      </c>
      <c r="J110" s="481">
        <v>0</v>
      </c>
      <c r="K110" s="481">
        <v>0</v>
      </c>
      <c r="L110" s="481">
        <v>0</v>
      </c>
      <c r="M110" s="587">
        <f t="shared" si="6"/>
        <v>0</v>
      </c>
      <c r="N110" s="481">
        <v>0</v>
      </c>
      <c r="O110" s="481">
        <v>0</v>
      </c>
      <c r="P110" s="481">
        <v>0</v>
      </c>
      <c r="Q110" s="481">
        <v>31.567254763121657</v>
      </c>
      <c r="R110" s="587">
        <f t="shared" si="7"/>
        <v>125.55392784452202</v>
      </c>
      <c r="S110" s="481">
        <v>0</v>
      </c>
      <c r="T110" s="481">
        <v>0</v>
      </c>
      <c r="U110" s="481">
        <v>0</v>
      </c>
      <c r="V110" s="481">
        <v>0</v>
      </c>
      <c r="W110" s="481">
        <v>0</v>
      </c>
      <c r="X110" s="481">
        <v>0</v>
      </c>
      <c r="Y110" s="481">
        <v>0</v>
      </c>
      <c r="Z110" s="481">
        <v>5.9817526885493768</v>
      </c>
      <c r="AA110" s="481">
        <v>0</v>
      </c>
      <c r="AB110" s="481">
        <v>0</v>
      </c>
      <c r="AC110" s="481">
        <v>0</v>
      </c>
      <c r="AD110" s="481">
        <v>0</v>
      </c>
      <c r="AE110" s="481">
        <v>0</v>
      </c>
      <c r="AF110" s="481">
        <v>0</v>
      </c>
      <c r="AG110" s="481">
        <v>4.893088058885791</v>
      </c>
      <c r="AH110" s="700">
        <f t="shared" si="8"/>
        <v>163.10293529619304</v>
      </c>
      <c r="AI110" s="482">
        <f t="shared" si="9"/>
        <v>167.99602335507882</v>
      </c>
      <c r="AJ110" s="482"/>
      <c r="AK110" s="482"/>
      <c r="AL110" s="585">
        <v>19.11</v>
      </c>
      <c r="AM110" s="585">
        <v>106.44392784452202</v>
      </c>
      <c r="AN110" s="581">
        <v>0</v>
      </c>
      <c r="AO110" s="581">
        <f t="shared" si="10"/>
        <v>125.55392784452202</v>
      </c>
    </row>
    <row r="111" spans="1:41" x14ac:dyDescent="0.3">
      <c r="A111" s="476">
        <v>150000639</v>
      </c>
      <c r="B111" s="477" t="s">
        <v>132</v>
      </c>
      <c r="C111" s="478">
        <v>171</v>
      </c>
      <c r="D111" s="483"/>
      <c r="E111" s="480"/>
      <c r="F111" s="480">
        <v>171</v>
      </c>
      <c r="G111" s="481">
        <v>0</v>
      </c>
      <c r="H111" s="481">
        <v>0</v>
      </c>
      <c r="I111" s="481">
        <v>0</v>
      </c>
      <c r="J111" s="481">
        <v>0</v>
      </c>
      <c r="K111" s="481">
        <v>0</v>
      </c>
      <c r="L111" s="481">
        <v>0</v>
      </c>
      <c r="M111" s="587">
        <f t="shared" si="6"/>
        <v>0</v>
      </c>
      <c r="N111" s="481">
        <v>0</v>
      </c>
      <c r="O111" s="481">
        <v>0</v>
      </c>
      <c r="P111" s="481">
        <v>0</v>
      </c>
      <c r="Q111" s="481">
        <v>31.567254763121657</v>
      </c>
      <c r="R111" s="587">
        <f t="shared" si="7"/>
        <v>182.47227429774259</v>
      </c>
      <c r="S111" s="481">
        <v>0</v>
      </c>
      <c r="T111" s="481">
        <v>0</v>
      </c>
      <c r="U111" s="481">
        <v>0</v>
      </c>
      <c r="V111" s="481">
        <v>0</v>
      </c>
      <c r="W111" s="481">
        <v>0</v>
      </c>
      <c r="X111" s="481">
        <v>0</v>
      </c>
      <c r="Y111" s="481">
        <v>0</v>
      </c>
      <c r="Z111" s="481">
        <v>11.963505377098754</v>
      </c>
      <c r="AA111" s="481">
        <v>0</v>
      </c>
      <c r="AB111" s="481">
        <v>0</v>
      </c>
      <c r="AC111" s="481">
        <v>0</v>
      </c>
      <c r="AD111" s="481">
        <v>0</v>
      </c>
      <c r="AE111" s="481">
        <v>0</v>
      </c>
      <c r="AF111" s="481">
        <v>0</v>
      </c>
      <c r="AG111" s="481">
        <v>6.7800910331388895</v>
      </c>
      <c r="AH111" s="700">
        <f t="shared" si="8"/>
        <v>226.00303443796301</v>
      </c>
      <c r="AI111" s="482">
        <f t="shared" si="9"/>
        <v>232.7831254711019</v>
      </c>
      <c r="AJ111" s="482"/>
      <c r="AK111" s="482"/>
      <c r="AL111" s="585">
        <v>31.24</v>
      </c>
      <c r="AM111" s="585">
        <v>151.23227429774258</v>
      </c>
      <c r="AN111" s="581">
        <v>0</v>
      </c>
      <c r="AO111" s="581">
        <f t="shared" si="10"/>
        <v>182.47227429774259</v>
      </c>
    </row>
    <row r="112" spans="1:41" x14ac:dyDescent="0.3">
      <c r="A112" s="476">
        <v>150000643</v>
      </c>
      <c r="B112" s="477" t="s">
        <v>66</v>
      </c>
      <c r="C112" s="478">
        <v>216.8</v>
      </c>
      <c r="D112" s="483"/>
      <c r="E112" s="480"/>
      <c r="F112" s="480">
        <v>216.8</v>
      </c>
      <c r="G112" s="481">
        <v>0</v>
      </c>
      <c r="H112" s="481">
        <v>0</v>
      </c>
      <c r="I112" s="481">
        <v>0</v>
      </c>
      <c r="J112" s="481">
        <v>0</v>
      </c>
      <c r="K112" s="481">
        <v>0</v>
      </c>
      <c r="L112" s="481">
        <v>0</v>
      </c>
      <c r="M112" s="587">
        <f t="shared" si="6"/>
        <v>0</v>
      </c>
      <c r="N112" s="481">
        <v>0</v>
      </c>
      <c r="O112" s="481">
        <v>0</v>
      </c>
      <c r="P112" s="481">
        <v>0</v>
      </c>
      <c r="Q112" s="481">
        <v>31.567254763121657</v>
      </c>
      <c r="R112" s="587">
        <f t="shared" si="7"/>
        <v>241.70504320815311</v>
      </c>
      <c r="S112" s="481">
        <v>0</v>
      </c>
      <c r="T112" s="481">
        <v>0</v>
      </c>
      <c r="U112" s="481">
        <v>0</v>
      </c>
      <c r="V112" s="481">
        <v>0</v>
      </c>
      <c r="W112" s="481">
        <v>0</v>
      </c>
      <c r="X112" s="481">
        <v>0</v>
      </c>
      <c r="Y112" s="481">
        <v>0</v>
      </c>
      <c r="Z112" s="481">
        <v>0</v>
      </c>
      <c r="AA112" s="481">
        <v>0</v>
      </c>
      <c r="AB112" s="481">
        <v>0</v>
      </c>
      <c r="AC112" s="481">
        <v>0</v>
      </c>
      <c r="AD112" s="481">
        <v>0</v>
      </c>
      <c r="AE112" s="481">
        <v>0</v>
      </c>
      <c r="AF112" s="481">
        <v>0</v>
      </c>
      <c r="AG112" s="481">
        <v>14.756704090448837</v>
      </c>
      <c r="AH112" s="700">
        <f t="shared" si="8"/>
        <v>273.27229797127478</v>
      </c>
      <c r="AI112" s="482">
        <f t="shared" si="9"/>
        <v>288.02900206172365</v>
      </c>
      <c r="AJ112" s="482"/>
      <c r="AK112" s="482"/>
      <c r="AL112" s="585">
        <v>38.630000000000003</v>
      </c>
      <c r="AM112" s="585">
        <v>203.07504320815312</v>
      </c>
      <c r="AN112" s="581">
        <v>0</v>
      </c>
      <c r="AO112" s="581">
        <f t="shared" si="10"/>
        <v>241.70504320815311</v>
      </c>
    </row>
    <row r="113" spans="1:41" x14ac:dyDescent="0.3">
      <c r="A113" s="476">
        <v>150000644</v>
      </c>
      <c r="B113" s="477" t="s">
        <v>67</v>
      </c>
      <c r="C113" s="478">
        <v>214.7</v>
      </c>
      <c r="D113" s="483"/>
      <c r="E113" s="480"/>
      <c r="F113" s="480">
        <v>214.7</v>
      </c>
      <c r="G113" s="481">
        <v>0</v>
      </c>
      <c r="H113" s="481">
        <v>0</v>
      </c>
      <c r="I113" s="481">
        <v>22.45</v>
      </c>
      <c r="J113" s="481">
        <v>0</v>
      </c>
      <c r="K113" s="481">
        <v>0</v>
      </c>
      <c r="L113" s="481">
        <v>0</v>
      </c>
      <c r="M113" s="587">
        <f t="shared" si="6"/>
        <v>0</v>
      </c>
      <c r="N113" s="481">
        <v>0</v>
      </c>
      <c r="O113" s="481">
        <v>0</v>
      </c>
      <c r="P113" s="481">
        <v>0</v>
      </c>
      <c r="Q113" s="481">
        <v>31.567254763121657</v>
      </c>
      <c r="R113" s="587">
        <f t="shared" si="7"/>
        <v>247.11353397633025</v>
      </c>
      <c r="S113" s="481">
        <v>0</v>
      </c>
      <c r="T113" s="481">
        <v>0</v>
      </c>
      <c r="U113" s="481">
        <v>8.3822381405302675</v>
      </c>
      <c r="V113" s="481">
        <v>0</v>
      </c>
      <c r="W113" s="481">
        <v>0</v>
      </c>
      <c r="X113" s="481">
        <v>0</v>
      </c>
      <c r="Y113" s="481">
        <v>0</v>
      </c>
      <c r="Z113" s="481">
        <v>0</v>
      </c>
      <c r="AA113" s="481">
        <v>0</v>
      </c>
      <c r="AB113" s="481">
        <v>0</v>
      </c>
      <c r="AC113" s="481">
        <v>0</v>
      </c>
      <c r="AD113" s="481">
        <v>0</v>
      </c>
      <c r="AE113" s="481">
        <v>0</v>
      </c>
      <c r="AF113" s="481">
        <v>0</v>
      </c>
      <c r="AG113" s="481">
        <v>9.2853908063994659</v>
      </c>
      <c r="AH113" s="700">
        <f t="shared" si="8"/>
        <v>309.51302687998214</v>
      </c>
      <c r="AI113" s="482">
        <f t="shared" si="9"/>
        <v>318.79841768638158</v>
      </c>
      <c r="AJ113" s="482"/>
      <c r="AK113" s="482"/>
      <c r="AL113" s="585">
        <v>27.48</v>
      </c>
      <c r="AM113" s="585">
        <v>219.63353397633026</v>
      </c>
      <c r="AN113" s="581">
        <v>0</v>
      </c>
      <c r="AO113" s="581">
        <f t="shared" si="10"/>
        <v>247.11353397633025</v>
      </c>
    </row>
    <row r="114" spans="1:41" x14ac:dyDescent="0.3">
      <c r="A114" s="476">
        <v>150000645</v>
      </c>
      <c r="B114" s="477" t="s">
        <v>65</v>
      </c>
      <c r="C114" s="478">
        <v>216</v>
      </c>
      <c r="D114" s="483"/>
      <c r="E114" s="480"/>
      <c r="F114" s="480">
        <v>216</v>
      </c>
      <c r="G114" s="481">
        <v>0</v>
      </c>
      <c r="H114" s="481">
        <v>0</v>
      </c>
      <c r="I114" s="481">
        <v>0</v>
      </c>
      <c r="J114" s="481">
        <v>0</v>
      </c>
      <c r="K114" s="481">
        <v>0</v>
      </c>
      <c r="L114" s="481">
        <v>0</v>
      </c>
      <c r="M114" s="587">
        <f t="shared" si="6"/>
        <v>0</v>
      </c>
      <c r="N114" s="481">
        <v>0</v>
      </c>
      <c r="O114" s="481">
        <v>0</v>
      </c>
      <c r="P114" s="481">
        <v>0</v>
      </c>
      <c r="Q114" s="481">
        <v>39.45906845390207</v>
      </c>
      <c r="R114" s="587">
        <f t="shared" si="7"/>
        <v>284.45899482572548</v>
      </c>
      <c r="S114" s="481">
        <v>0</v>
      </c>
      <c r="T114" s="481">
        <v>0</v>
      </c>
      <c r="U114" s="481">
        <v>0</v>
      </c>
      <c r="V114" s="481">
        <v>0</v>
      </c>
      <c r="W114" s="481">
        <v>0</v>
      </c>
      <c r="X114" s="481">
        <v>0</v>
      </c>
      <c r="Y114" s="481">
        <v>0</v>
      </c>
      <c r="Z114" s="481">
        <v>0</v>
      </c>
      <c r="AA114" s="481">
        <v>0</v>
      </c>
      <c r="AB114" s="481">
        <v>0</v>
      </c>
      <c r="AC114" s="481">
        <v>0</v>
      </c>
      <c r="AD114" s="481">
        <v>0</v>
      </c>
      <c r="AE114" s="481">
        <v>0</v>
      </c>
      <c r="AF114" s="481">
        <v>0</v>
      </c>
      <c r="AG114" s="481">
        <v>5.8305251390332957</v>
      </c>
      <c r="AH114" s="700">
        <f t="shared" si="8"/>
        <v>323.91806327962757</v>
      </c>
      <c r="AI114" s="482">
        <f t="shared" si="9"/>
        <v>329.74858841866086</v>
      </c>
      <c r="AJ114" s="482"/>
      <c r="AK114" s="482"/>
      <c r="AL114" s="585">
        <v>78.83</v>
      </c>
      <c r="AM114" s="585">
        <v>205.6289948257255</v>
      </c>
      <c r="AN114" s="581">
        <v>0</v>
      </c>
      <c r="AO114" s="581">
        <f t="shared" si="10"/>
        <v>284.45899482572548</v>
      </c>
    </row>
    <row r="115" spans="1:41" x14ac:dyDescent="0.3">
      <c r="A115" s="476">
        <v>150000647</v>
      </c>
      <c r="B115" s="477" t="s">
        <v>96</v>
      </c>
      <c r="C115" s="478">
        <v>278.14999999999998</v>
      </c>
      <c r="D115" s="483"/>
      <c r="E115" s="480"/>
      <c r="F115" s="480">
        <v>278.14999999999998</v>
      </c>
      <c r="G115" s="481">
        <v>0</v>
      </c>
      <c r="H115" s="481">
        <v>0</v>
      </c>
      <c r="I115" s="481">
        <v>0</v>
      </c>
      <c r="J115" s="481">
        <v>0</v>
      </c>
      <c r="K115" s="481">
        <v>0</v>
      </c>
      <c r="L115" s="481">
        <v>0</v>
      </c>
      <c r="M115" s="587">
        <f t="shared" si="6"/>
        <v>0</v>
      </c>
      <c r="N115" s="481">
        <v>0</v>
      </c>
      <c r="O115" s="481">
        <v>0</v>
      </c>
      <c r="P115" s="481">
        <v>0</v>
      </c>
      <c r="Q115" s="481">
        <v>27.621347917731452</v>
      </c>
      <c r="R115" s="587">
        <f t="shared" si="7"/>
        <v>300.92281746904087</v>
      </c>
      <c r="S115" s="481">
        <v>0</v>
      </c>
      <c r="T115" s="481">
        <v>0</v>
      </c>
      <c r="U115" s="481">
        <v>0</v>
      </c>
      <c r="V115" s="481">
        <v>0</v>
      </c>
      <c r="W115" s="481">
        <v>0</v>
      </c>
      <c r="X115" s="481">
        <v>0</v>
      </c>
      <c r="Y115" s="481">
        <v>0</v>
      </c>
      <c r="Z115" s="481">
        <v>27.914845879897086</v>
      </c>
      <c r="AA115" s="481">
        <v>0</v>
      </c>
      <c r="AB115" s="481">
        <v>0</v>
      </c>
      <c r="AC115" s="481">
        <v>0</v>
      </c>
      <c r="AD115" s="481">
        <v>0</v>
      </c>
      <c r="AE115" s="481">
        <v>0</v>
      </c>
      <c r="AF115" s="481">
        <v>0</v>
      </c>
      <c r="AG115" s="481">
        <v>6.4162622028000484</v>
      </c>
      <c r="AH115" s="700">
        <f t="shared" si="8"/>
        <v>356.45901126666939</v>
      </c>
      <c r="AI115" s="482">
        <f t="shared" si="9"/>
        <v>362.87527346946945</v>
      </c>
      <c r="AJ115" s="482"/>
      <c r="AK115" s="482"/>
      <c r="AL115" s="585">
        <v>29.07</v>
      </c>
      <c r="AM115" s="585">
        <v>271.85281746904087</v>
      </c>
      <c r="AN115" s="581">
        <v>0</v>
      </c>
      <c r="AO115" s="581">
        <f t="shared" si="10"/>
        <v>300.92281746904087</v>
      </c>
    </row>
    <row r="116" spans="1:41" x14ac:dyDescent="0.3">
      <c r="A116" s="476">
        <v>150000648</v>
      </c>
      <c r="B116" s="477" t="s">
        <v>361</v>
      </c>
      <c r="C116" s="478">
        <v>3815</v>
      </c>
      <c r="D116" s="479">
        <v>314.8</v>
      </c>
      <c r="E116" s="480"/>
      <c r="F116" s="480">
        <v>3815</v>
      </c>
      <c r="G116" s="481">
        <v>715.01723710451415</v>
      </c>
      <c r="H116" s="481">
        <v>115.74496962392769</v>
      </c>
      <c r="I116" s="481">
        <v>410.03</v>
      </c>
      <c r="J116" s="481">
        <v>97.32</v>
      </c>
      <c r="K116" s="481">
        <v>32.51454535665566</v>
      </c>
      <c r="L116" s="481">
        <v>327.12849967408459</v>
      </c>
      <c r="M116" s="587">
        <f t="shared" si="6"/>
        <v>0</v>
      </c>
      <c r="N116" s="481">
        <v>1359.3581082644462</v>
      </c>
      <c r="O116" s="481">
        <v>1248.2026774859323</v>
      </c>
      <c r="P116" s="481">
        <v>0</v>
      </c>
      <c r="Q116" s="481">
        <v>177.56580804255933</v>
      </c>
      <c r="R116" s="587">
        <f t="shared" si="7"/>
        <v>3939.8040805169198</v>
      </c>
      <c r="S116" s="481">
        <v>62.497746157882887</v>
      </c>
      <c r="T116" s="481">
        <v>76.511705523972509</v>
      </c>
      <c r="U116" s="481">
        <v>167.94803726419445</v>
      </c>
      <c r="V116" s="481">
        <v>55.796537669338626</v>
      </c>
      <c r="W116" s="481">
        <v>16.490308828845698</v>
      </c>
      <c r="X116" s="481">
        <v>21.690396695009156</v>
      </c>
      <c r="Y116" s="481">
        <v>0</v>
      </c>
      <c r="Z116" s="481">
        <v>2538.1730606203091</v>
      </c>
      <c r="AA116" s="481">
        <v>2603.6893001996073</v>
      </c>
      <c r="AB116" s="481">
        <v>140.65896565663672</v>
      </c>
      <c r="AC116" s="481">
        <v>112.38314075139112</v>
      </c>
      <c r="AD116" s="481">
        <v>13.835045736440197</v>
      </c>
      <c r="AE116" s="481">
        <v>293.24122777601013</v>
      </c>
      <c r="AF116" s="481">
        <v>283.88246518741403</v>
      </c>
      <c r="AG116" s="481">
        <v>266.57070955444965</v>
      </c>
      <c r="AH116" s="700">
        <f t="shared" si="8"/>
        <v>14809.483864136093</v>
      </c>
      <c r="AI116" s="482">
        <f t="shared" si="9"/>
        <v>15076.054573690542</v>
      </c>
      <c r="AJ116" s="482"/>
      <c r="AK116" s="482"/>
      <c r="AL116" s="585">
        <v>31.87</v>
      </c>
      <c r="AM116" s="585">
        <v>3907.9340805169199</v>
      </c>
      <c r="AN116" s="581">
        <v>0</v>
      </c>
      <c r="AO116" s="581">
        <f t="shared" si="10"/>
        <v>3939.8040805169198</v>
      </c>
    </row>
    <row r="117" spans="1:41" x14ac:dyDescent="0.3">
      <c r="A117" s="476">
        <v>150000658</v>
      </c>
      <c r="B117" s="477" t="s">
        <v>351</v>
      </c>
      <c r="C117" s="478">
        <v>5047.8</v>
      </c>
      <c r="D117" s="479">
        <v>552.1</v>
      </c>
      <c r="E117" s="480"/>
      <c r="F117" s="480">
        <v>5047.8</v>
      </c>
      <c r="G117" s="481">
        <v>1312.1009157406795</v>
      </c>
      <c r="H117" s="481">
        <v>234.1037313152423</v>
      </c>
      <c r="I117" s="481">
        <v>539.74</v>
      </c>
      <c r="J117" s="481">
        <v>128.63</v>
      </c>
      <c r="K117" s="481">
        <v>65.004820328168279</v>
      </c>
      <c r="L117" s="481">
        <v>818.21812493893822</v>
      </c>
      <c r="M117" s="587">
        <f t="shared" si="6"/>
        <v>0</v>
      </c>
      <c r="N117" s="481">
        <v>1798.6285344422731</v>
      </c>
      <c r="O117" s="481">
        <v>3456.5475482576176</v>
      </c>
      <c r="P117" s="481">
        <v>0</v>
      </c>
      <c r="Q117" s="481">
        <v>319.61845447660681</v>
      </c>
      <c r="R117" s="587">
        <f t="shared" si="7"/>
        <v>7893.2144407881151</v>
      </c>
      <c r="S117" s="481">
        <v>90.931813679204481</v>
      </c>
      <c r="T117" s="481">
        <v>123.75503608726197</v>
      </c>
      <c r="U117" s="481">
        <v>93.186116132092351</v>
      </c>
      <c r="V117" s="481">
        <v>58.613377572592491</v>
      </c>
      <c r="W117" s="481">
        <v>26.384494126153122</v>
      </c>
      <c r="X117" s="481">
        <v>62.357469083709724</v>
      </c>
      <c r="Y117" s="481">
        <v>0</v>
      </c>
      <c r="Z117" s="481">
        <v>4543.2365245229821</v>
      </c>
      <c r="AA117" s="481">
        <v>3907.188541493053</v>
      </c>
      <c r="AB117" s="481">
        <v>378.69721522940659</v>
      </c>
      <c r="AC117" s="481">
        <v>158.97863705856551</v>
      </c>
      <c r="AD117" s="481">
        <v>19.571233728800678</v>
      </c>
      <c r="AE117" s="481">
        <v>1310.2267624034496</v>
      </c>
      <c r="AF117" s="481">
        <v>583.3628680224881</v>
      </c>
      <c r="AG117" s="481">
        <v>335.06755991312872</v>
      </c>
      <c r="AH117" s="700">
        <f t="shared" si="8"/>
        <v>27922.296659427404</v>
      </c>
      <c r="AI117" s="482">
        <f t="shared" si="9"/>
        <v>28257.364219340532</v>
      </c>
      <c r="AJ117" s="482"/>
      <c r="AK117" s="482"/>
      <c r="AL117" s="585">
        <v>54.16</v>
      </c>
      <c r="AM117" s="585">
        <v>7839.0544407881152</v>
      </c>
      <c r="AN117" s="581">
        <v>0</v>
      </c>
      <c r="AO117" s="581">
        <f t="shared" si="10"/>
        <v>7893.2144407881151</v>
      </c>
    </row>
    <row r="118" spans="1:41" x14ac:dyDescent="0.3">
      <c r="A118" s="476">
        <v>150000659</v>
      </c>
      <c r="B118" s="477" t="s">
        <v>413</v>
      </c>
      <c r="C118" s="478">
        <v>2605.5</v>
      </c>
      <c r="D118" s="479">
        <v>490.3</v>
      </c>
      <c r="E118" s="480"/>
      <c r="F118" s="480">
        <v>2605.5</v>
      </c>
      <c r="G118" s="481">
        <v>713.35126561494189</v>
      </c>
      <c r="H118" s="481">
        <v>126.69326536275166</v>
      </c>
      <c r="I118" s="481">
        <v>286.37</v>
      </c>
      <c r="J118" s="481">
        <v>69.11</v>
      </c>
      <c r="K118" s="481">
        <v>22.16131922134921</v>
      </c>
      <c r="L118" s="481">
        <v>275.64857932736243</v>
      </c>
      <c r="M118" s="587">
        <f t="shared" si="6"/>
        <v>0</v>
      </c>
      <c r="N118" s="481">
        <v>928.38992164692388</v>
      </c>
      <c r="O118" s="481">
        <v>1728.2737741288088</v>
      </c>
      <c r="P118" s="481">
        <v>0</v>
      </c>
      <c r="Q118" s="481">
        <v>157.83627381560828</v>
      </c>
      <c r="R118" s="587">
        <f t="shared" si="7"/>
        <v>3236.5225749004335</v>
      </c>
      <c r="S118" s="481">
        <v>60.402060160786945</v>
      </c>
      <c r="T118" s="481">
        <v>83.567048369170081</v>
      </c>
      <c r="U118" s="481">
        <v>113.95994274184017</v>
      </c>
      <c r="V118" s="481">
        <v>39.352776087875228</v>
      </c>
      <c r="W118" s="481">
        <v>11.245034186051155</v>
      </c>
      <c r="X118" s="481">
        <v>24.017015038369166</v>
      </c>
      <c r="Y118" s="481">
        <v>0</v>
      </c>
      <c r="Z118" s="481">
        <v>2291.6693737450487</v>
      </c>
      <c r="AA118" s="481">
        <v>1780.6879505841041</v>
      </c>
      <c r="AB118" s="481">
        <v>173.11872696201445</v>
      </c>
      <c r="AC118" s="481">
        <v>74.930264182552378</v>
      </c>
      <c r="AD118" s="481">
        <v>9.2243696436854261</v>
      </c>
      <c r="AE118" s="481">
        <v>226.17009589107158</v>
      </c>
      <c r="AF118" s="481">
        <v>327.5566906008624</v>
      </c>
      <c r="AG118" s="481">
        <v>0</v>
      </c>
      <c r="AH118" s="700">
        <f t="shared" si="8"/>
        <v>12760.258322211612</v>
      </c>
      <c r="AI118" s="482">
        <f t="shared" si="9"/>
        <v>12760.258322211612</v>
      </c>
      <c r="AJ118" s="482"/>
      <c r="AK118" s="482"/>
      <c r="AL118" s="585">
        <v>27.74</v>
      </c>
      <c r="AM118" s="585">
        <v>3208.7825749004337</v>
      </c>
      <c r="AN118" s="581">
        <v>0</v>
      </c>
      <c r="AO118" s="581">
        <f t="shared" si="10"/>
        <v>3236.5225749004335</v>
      </c>
    </row>
    <row r="119" spans="1:41" x14ac:dyDescent="0.3">
      <c r="A119" s="476">
        <v>150000660</v>
      </c>
      <c r="B119" s="477" t="s">
        <v>414</v>
      </c>
      <c r="C119" s="478">
        <v>4661.7</v>
      </c>
      <c r="D119" s="479">
        <v>410</v>
      </c>
      <c r="E119" s="480"/>
      <c r="F119" s="480">
        <v>4661.7</v>
      </c>
      <c r="G119" s="481">
        <v>1285.3042841391234</v>
      </c>
      <c r="H119" s="481">
        <v>248.28201402009262</v>
      </c>
      <c r="I119" s="481">
        <v>498.94</v>
      </c>
      <c r="J119" s="481">
        <v>125.98</v>
      </c>
      <c r="K119" s="481">
        <v>69.441905573206768</v>
      </c>
      <c r="L119" s="481">
        <v>542.95487986531145</v>
      </c>
      <c r="M119" s="587">
        <f t="shared" si="6"/>
        <v>0</v>
      </c>
      <c r="N119" s="481">
        <v>1661.0536548614334</v>
      </c>
      <c r="O119" s="481">
        <v>2977.1337932727497</v>
      </c>
      <c r="P119" s="481">
        <v>0</v>
      </c>
      <c r="Q119" s="481">
        <v>315.67254763121656</v>
      </c>
      <c r="R119" s="587">
        <f t="shared" si="7"/>
        <v>5823.3623062057623</v>
      </c>
      <c r="S119" s="481">
        <v>102.97041282959211</v>
      </c>
      <c r="T119" s="481">
        <v>163.83462271395283</v>
      </c>
      <c r="U119" s="481">
        <v>213.55674621182038</v>
      </c>
      <c r="V119" s="481">
        <v>71.299562066251895</v>
      </c>
      <c r="W119" s="481">
        <v>35.232039279818451</v>
      </c>
      <c r="X119" s="481">
        <v>66.998913247967849</v>
      </c>
      <c r="Y119" s="481">
        <v>0</v>
      </c>
      <c r="Z119" s="481">
        <v>4666.9360240071801</v>
      </c>
      <c r="AA119" s="481">
        <v>3723.1090908510582</v>
      </c>
      <c r="AB119" s="481">
        <v>400.33705609965841</v>
      </c>
      <c r="AC119" s="481">
        <v>129.95755992669046</v>
      </c>
      <c r="AD119" s="481">
        <v>15.998563248550909</v>
      </c>
      <c r="AE119" s="481">
        <v>492.89482966605959</v>
      </c>
      <c r="AF119" s="481">
        <v>655.11338120172479</v>
      </c>
      <c r="AG119" s="481">
        <v>0</v>
      </c>
      <c r="AH119" s="700">
        <f t="shared" si="8"/>
        <v>24286.364186919225</v>
      </c>
      <c r="AI119" s="482">
        <f t="shared" si="9"/>
        <v>24286.364186919225</v>
      </c>
      <c r="AJ119" s="482"/>
      <c r="AK119" s="482"/>
      <c r="AL119" s="585">
        <v>50.19</v>
      </c>
      <c r="AM119" s="585">
        <v>5773.1723062057627</v>
      </c>
      <c r="AN119" s="581">
        <v>0</v>
      </c>
      <c r="AO119" s="581">
        <f t="shared" si="10"/>
        <v>5823.3623062057623</v>
      </c>
    </row>
    <row r="120" spans="1:41" x14ac:dyDescent="0.3">
      <c r="A120" s="476">
        <v>150000670</v>
      </c>
      <c r="B120" s="477" t="s">
        <v>126</v>
      </c>
      <c r="C120" s="478">
        <v>211.6</v>
      </c>
      <c r="D120" s="483"/>
      <c r="E120" s="480"/>
      <c r="F120" s="480">
        <v>211.6</v>
      </c>
      <c r="G120" s="481">
        <v>0</v>
      </c>
      <c r="H120" s="481">
        <v>0</v>
      </c>
      <c r="I120" s="481">
        <v>0</v>
      </c>
      <c r="J120" s="481">
        <v>0</v>
      </c>
      <c r="K120" s="481">
        <v>0</v>
      </c>
      <c r="L120" s="481">
        <v>0</v>
      </c>
      <c r="M120" s="587">
        <f t="shared" si="6"/>
        <v>0</v>
      </c>
      <c r="N120" s="481">
        <v>0</v>
      </c>
      <c r="O120" s="481">
        <v>0</v>
      </c>
      <c r="P120" s="481">
        <v>0</v>
      </c>
      <c r="Q120" s="481">
        <v>39.45906845390207</v>
      </c>
      <c r="R120" s="587">
        <f t="shared" si="7"/>
        <v>243.11692990290081</v>
      </c>
      <c r="S120" s="481">
        <v>0</v>
      </c>
      <c r="T120" s="481">
        <v>0</v>
      </c>
      <c r="U120" s="481">
        <v>0</v>
      </c>
      <c r="V120" s="481">
        <v>0</v>
      </c>
      <c r="W120" s="481">
        <v>0</v>
      </c>
      <c r="X120" s="481">
        <v>0</v>
      </c>
      <c r="Y120" s="481">
        <v>0</v>
      </c>
      <c r="Z120" s="481">
        <v>27.914845879897086</v>
      </c>
      <c r="AA120" s="481">
        <v>0</v>
      </c>
      <c r="AB120" s="481">
        <v>0</v>
      </c>
      <c r="AC120" s="481">
        <v>0</v>
      </c>
      <c r="AD120" s="481">
        <v>0</v>
      </c>
      <c r="AE120" s="481">
        <v>0</v>
      </c>
      <c r="AF120" s="481">
        <v>0</v>
      </c>
      <c r="AG120" s="481">
        <v>5.5888351962605993</v>
      </c>
      <c r="AH120" s="700">
        <f t="shared" si="8"/>
        <v>310.49084423669996</v>
      </c>
      <c r="AI120" s="482">
        <f t="shared" si="9"/>
        <v>316.07967943296057</v>
      </c>
      <c r="AJ120" s="482"/>
      <c r="AK120" s="482"/>
      <c r="AL120" s="585">
        <v>31.87</v>
      </c>
      <c r="AM120" s="585">
        <v>211.2469299029008</v>
      </c>
      <c r="AN120" s="581">
        <v>0</v>
      </c>
      <c r="AO120" s="581">
        <f t="shared" si="10"/>
        <v>243.11692990290081</v>
      </c>
    </row>
    <row r="121" spans="1:41" x14ac:dyDescent="0.3">
      <c r="A121" s="476">
        <v>150000671</v>
      </c>
      <c r="B121" s="477" t="s">
        <v>127</v>
      </c>
      <c r="C121" s="478">
        <v>229.7</v>
      </c>
      <c r="D121" s="483"/>
      <c r="E121" s="480"/>
      <c r="F121" s="480">
        <v>229.7</v>
      </c>
      <c r="G121" s="481">
        <v>0</v>
      </c>
      <c r="H121" s="481">
        <v>0</v>
      </c>
      <c r="I121" s="481">
        <v>0</v>
      </c>
      <c r="J121" s="481">
        <v>0</v>
      </c>
      <c r="K121" s="481">
        <v>0</v>
      </c>
      <c r="L121" s="481">
        <v>0</v>
      </c>
      <c r="M121" s="587">
        <f t="shared" si="6"/>
        <v>0</v>
      </c>
      <c r="N121" s="481">
        <v>0</v>
      </c>
      <c r="O121" s="481">
        <v>0</v>
      </c>
      <c r="P121" s="481">
        <v>0</v>
      </c>
      <c r="Q121" s="481">
        <v>47.350882144682487</v>
      </c>
      <c r="R121" s="587">
        <f t="shared" si="7"/>
        <v>273.74210506368189</v>
      </c>
      <c r="S121" s="481">
        <v>0</v>
      </c>
      <c r="T121" s="481">
        <v>0</v>
      </c>
      <c r="U121" s="481">
        <v>0</v>
      </c>
      <c r="V121" s="481">
        <v>0</v>
      </c>
      <c r="W121" s="481">
        <v>0</v>
      </c>
      <c r="X121" s="481">
        <v>0</v>
      </c>
      <c r="Y121" s="481">
        <v>0</v>
      </c>
      <c r="Z121" s="481">
        <v>43.866186382695432</v>
      </c>
      <c r="AA121" s="481">
        <v>0</v>
      </c>
      <c r="AB121" s="481">
        <v>0</v>
      </c>
      <c r="AC121" s="481">
        <v>0</v>
      </c>
      <c r="AD121" s="481">
        <v>0</v>
      </c>
      <c r="AE121" s="481">
        <v>0</v>
      </c>
      <c r="AF121" s="481">
        <v>0</v>
      </c>
      <c r="AG121" s="481">
        <v>6.5692651246390765</v>
      </c>
      <c r="AH121" s="700">
        <f t="shared" si="8"/>
        <v>364.95917359105982</v>
      </c>
      <c r="AI121" s="482">
        <f t="shared" si="9"/>
        <v>371.52843871569888</v>
      </c>
      <c r="AJ121" s="482"/>
      <c r="AK121" s="482"/>
      <c r="AL121" s="585">
        <v>25.61</v>
      </c>
      <c r="AM121" s="585">
        <v>248.13210506368191</v>
      </c>
      <c r="AN121" s="581">
        <v>0</v>
      </c>
      <c r="AO121" s="581">
        <f t="shared" si="10"/>
        <v>273.74210506368189</v>
      </c>
    </row>
    <row r="122" spans="1:41" x14ac:dyDescent="0.3">
      <c r="A122" s="476">
        <v>150000672</v>
      </c>
      <c r="B122" s="477" t="s">
        <v>428</v>
      </c>
      <c r="C122" s="478">
        <v>3107.5</v>
      </c>
      <c r="D122" s="479"/>
      <c r="E122" s="480">
        <v>67</v>
      </c>
      <c r="F122" s="480">
        <v>3174.5</v>
      </c>
      <c r="G122" s="481">
        <v>1089.5805236996041</v>
      </c>
      <c r="H122" s="481">
        <v>214.79596714931409</v>
      </c>
      <c r="I122" s="481">
        <v>368.83</v>
      </c>
      <c r="J122" s="481">
        <v>0</v>
      </c>
      <c r="K122" s="481">
        <v>0</v>
      </c>
      <c r="L122" s="481">
        <v>620.95739170397508</v>
      </c>
      <c r="M122" s="587">
        <f t="shared" si="6"/>
        <v>0</v>
      </c>
      <c r="N122" s="481">
        <v>1131.1356001796814</v>
      </c>
      <c r="O122" s="481">
        <v>0</v>
      </c>
      <c r="P122" s="481">
        <v>0</v>
      </c>
      <c r="Q122" s="481">
        <v>816.80271699577293</v>
      </c>
      <c r="R122" s="587">
        <f t="shared" si="7"/>
        <v>3667.494914306038</v>
      </c>
      <c r="S122" s="481">
        <v>169.1759163626312</v>
      </c>
      <c r="T122" s="481">
        <v>276.84761169373553</v>
      </c>
      <c r="U122" s="481">
        <v>197.91835367724582</v>
      </c>
      <c r="V122" s="481">
        <v>0</v>
      </c>
      <c r="W122" s="481">
        <v>0</v>
      </c>
      <c r="X122" s="481">
        <v>87.209301208072532</v>
      </c>
      <c r="Y122" s="481">
        <v>100.44294613611928</v>
      </c>
      <c r="Z122" s="481">
        <v>1690.3258527744465</v>
      </c>
      <c r="AA122" s="481">
        <v>1132.0529131751982</v>
      </c>
      <c r="AB122" s="481">
        <v>732.87132391954242</v>
      </c>
      <c r="AC122" s="481">
        <v>87.504430203373246</v>
      </c>
      <c r="AD122" s="481">
        <v>10.772325687915266</v>
      </c>
      <c r="AE122" s="481">
        <v>775.21750108870742</v>
      </c>
      <c r="AF122" s="481">
        <v>0</v>
      </c>
      <c r="AG122" s="481">
        <v>790.19613539768227</v>
      </c>
      <c r="AH122" s="700">
        <f t="shared" si="8"/>
        <v>13169.935589961371</v>
      </c>
      <c r="AI122" s="482">
        <f t="shared" si="9"/>
        <v>13960.131725359053</v>
      </c>
      <c r="AJ122" s="482"/>
      <c r="AK122" s="482"/>
      <c r="AL122" s="585">
        <v>130.83000000000001</v>
      </c>
      <c r="AM122" s="585">
        <v>3536.6649143060381</v>
      </c>
      <c r="AN122" s="581">
        <v>0</v>
      </c>
      <c r="AO122" s="581">
        <f t="shared" si="10"/>
        <v>3667.494914306038</v>
      </c>
    </row>
    <row r="123" spans="1:41" x14ac:dyDescent="0.3">
      <c r="A123" s="476">
        <v>150000673</v>
      </c>
      <c r="B123" s="477" t="s">
        <v>182</v>
      </c>
      <c r="C123" s="478">
        <v>603.29999999999995</v>
      </c>
      <c r="D123" s="479"/>
      <c r="E123" s="480"/>
      <c r="F123" s="480">
        <v>603.29999999999995</v>
      </c>
      <c r="G123" s="481">
        <v>301.82738312292537</v>
      </c>
      <c r="H123" s="481">
        <v>51.411918622699361</v>
      </c>
      <c r="I123" s="481">
        <v>68.88</v>
      </c>
      <c r="J123" s="481">
        <v>0</v>
      </c>
      <c r="K123" s="481">
        <v>0</v>
      </c>
      <c r="L123" s="481">
        <v>100.59813170203689</v>
      </c>
      <c r="M123" s="587">
        <f t="shared" si="6"/>
        <v>0</v>
      </c>
      <c r="N123" s="481">
        <v>214.96743033183233</v>
      </c>
      <c r="O123" s="481">
        <v>0</v>
      </c>
      <c r="P123" s="481">
        <v>0</v>
      </c>
      <c r="Q123" s="481">
        <v>142.05264643404746</v>
      </c>
      <c r="R123" s="587">
        <f t="shared" si="7"/>
        <v>756.46386534882879</v>
      </c>
      <c r="S123" s="481">
        <v>53.212012788557537</v>
      </c>
      <c r="T123" s="481">
        <v>66.2462984877765</v>
      </c>
      <c r="U123" s="481">
        <v>33.281590902092354</v>
      </c>
      <c r="V123" s="481">
        <v>0</v>
      </c>
      <c r="W123" s="481">
        <v>0</v>
      </c>
      <c r="X123" s="481">
        <v>9.885650556902343</v>
      </c>
      <c r="Y123" s="481">
        <v>0</v>
      </c>
      <c r="Z123" s="481">
        <v>771.84074416646308</v>
      </c>
      <c r="AA123" s="481">
        <v>407.79283425950456</v>
      </c>
      <c r="AB123" s="481">
        <v>139.94755548024395</v>
      </c>
      <c r="AC123" s="481">
        <v>0</v>
      </c>
      <c r="AD123" s="481">
        <v>0</v>
      </c>
      <c r="AE123" s="481">
        <v>62.391750590640456</v>
      </c>
      <c r="AF123" s="481">
        <v>0</v>
      </c>
      <c r="AG123" s="481">
        <v>57.254396630301919</v>
      </c>
      <c r="AH123" s="700">
        <f t="shared" si="8"/>
        <v>3180.7998127945511</v>
      </c>
      <c r="AI123" s="482">
        <f t="shared" si="9"/>
        <v>3238.0542094248531</v>
      </c>
      <c r="AJ123" s="482"/>
      <c r="AK123" s="482"/>
      <c r="AL123" s="585">
        <v>16.84</v>
      </c>
      <c r="AM123" s="585">
        <v>739.62386534882876</v>
      </c>
      <c r="AN123" s="581">
        <v>0</v>
      </c>
      <c r="AO123" s="581">
        <f t="shared" si="10"/>
        <v>756.46386534882879</v>
      </c>
    </row>
    <row r="124" spans="1:41" x14ac:dyDescent="0.3">
      <c r="A124" s="476">
        <v>150000676</v>
      </c>
      <c r="B124" s="477" t="s">
        <v>385</v>
      </c>
      <c r="C124" s="478">
        <v>4198.2</v>
      </c>
      <c r="D124" s="479">
        <v>460.2</v>
      </c>
      <c r="E124" s="480"/>
      <c r="F124" s="480">
        <v>4198.2</v>
      </c>
      <c r="G124" s="481">
        <v>1298.1559219525104</v>
      </c>
      <c r="H124" s="481">
        <v>197.85635033594596</v>
      </c>
      <c r="I124" s="481">
        <v>505.68</v>
      </c>
      <c r="J124" s="481">
        <v>125.85</v>
      </c>
      <c r="K124" s="481">
        <v>65.004820328168279</v>
      </c>
      <c r="L124" s="481">
        <v>539.44449377242404</v>
      </c>
      <c r="M124" s="587">
        <f t="shared" si="6"/>
        <v>0</v>
      </c>
      <c r="N124" s="481">
        <v>1495.899661891428</v>
      </c>
      <c r="O124" s="481">
        <v>3069.8746739721232</v>
      </c>
      <c r="P124" s="481">
        <v>0</v>
      </c>
      <c r="Q124" s="481">
        <v>284.10529286809492</v>
      </c>
      <c r="R124" s="587">
        <f t="shared" si="7"/>
        <v>5375.5268513608899</v>
      </c>
      <c r="S124" s="481">
        <v>102.88656407545174</v>
      </c>
      <c r="T124" s="481">
        <v>131.33785728165827</v>
      </c>
      <c r="U124" s="481">
        <v>132.42759472639216</v>
      </c>
      <c r="V124" s="481">
        <v>72.861456563370382</v>
      </c>
      <c r="W124" s="481">
        <v>32.980617657691397</v>
      </c>
      <c r="X124" s="481">
        <v>85.733479971199358</v>
      </c>
      <c r="Y124" s="481">
        <v>0</v>
      </c>
      <c r="Z124" s="481">
        <v>4925.7538743327459</v>
      </c>
      <c r="AA124" s="481">
        <v>2977.129138708136</v>
      </c>
      <c r="AB124" s="481">
        <v>967.30088690025559</v>
      </c>
      <c r="AC124" s="481">
        <v>44.119880774810035</v>
      </c>
      <c r="AD124" s="481">
        <v>5.4314247165959326</v>
      </c>
      <c r="AE124" s="481">
        <v>686.30925649704488</v>
      </c>
      <c r="AF124" s="481">
        <v>1029.4638847455672</v>
      </c>
      <c r="AG124" s="481">
        <v>724.53401950297518</v>
      </c>
      <c r="AH124" s="700">
        <f t="shared" si="8"/>
        <v>24151.133983432508</v>
      </c>
      <c r="AI124" s="482">
        <f t="shared" si="9"/>
        <v>24875.668002935483</v>
      </c>
      <c r="AJ124" s="482"/>
      <c r="AK124" s="482"/>
      <c r="AL124" s="585">
        <v>50.66</v>
      </c>
      <c r="AM124" s="585">
        <v>5324.86685136089</v>
      </c>
      <c r="AN124" s="581">
        <v>0</v>
      </c>
      <c r="AO124" s="581">
        <f t="shared" si="10"/>
        <v>5375.5268513608899</v>
      </c>
    </row>
    <row r="125" spans="1:41" x14ac:dyDescent="0.3">
      <c r="A125" s="476">
        <v>150000683</v>
      </c>
      <c r="B125" s="477" t="s">
        <v>115</v>
      </c>
      <c r="C125" s="478">
        <v>256.60000000000002</v>
      </c>
      <c r="D125" s="483"/>
      <c r="E125" s="480"/>
      <c r="F125" s="480">
        <v>256.60000000000002</v>
      </c>
      <c r="G125" s="481">
        <v>0</v>
      </c>
      <c r="H125" s="481">
        <v>0</v>
      </c>
      <c r="I125" s="481">
        <v>0</v>
      </c>
      <c r="J125" s="481">
        <v>0</v>
      </c>
      <c r="K125" s="481">
        <v>0</v>
      </c>
      <c r="L125" s="481">
        <v>0</v>
      </c>
      <c r="M125" s="587">
        <f t="shared" si="6"/>
        <v>0</v>
      </c>
      <c r="N125" s="481">
        <v>0</v>
      </c>
      <c r="O125" s="481">
        <v>0</v>
      </c>
      <c r="P125" s="481">
        <v>0</v>
      </c>
      <c r="Q125" s="481">
        <v>43.404975299292282</v>
      </c>
      <c r="R125" s="587">
        <f t="shared" si="7"/>
        <v>341.11111828314546</v>
      </c>
      <c r="S125" s="481">
        <v>0</v>
      </c>
      <c r="T125" s="481">
        <v>0</v>
      </c>
      <c r="U125" s="481">
        <v>0</v>
      </c>
      <c r="V125" s="481">
        <v>0</v>
      </c>
      <c r="W125" s="481">
        <v>0</v>
      </c>
      <c r="X125" s="481">
        <v>0</v>
      </c>
      <c r="Y125" s="481">
        <v>0</v>
      </c>
      <c r="Z125" s="481">
        <v>0</v>
      </c>
      <c r="AA125" s="481">
        <v>0</v>
      </c>
      <c r="AB125" s="481">
        <v>0</v>
      </c>
      <c r="AC125" s="481">
        <v>0</v>
      </c>
      <c r="AD125" s="481">
        <v>0</v>
      </c>
      <c r="AE125" s="481">
        <v>0</v>
      </c>
      <c r="AF125" s="481">
        <v>0</v>
      </c>
      <c r="AG125" s="481">
        <v>2.3070965614946264</v>
      </c>
      <c r="AH125" s="700">
        <f t="shared" si="8"/>
        <v>384.51609358243775</v>
      </c>
      <c r="AI125" s="482">
        <f t="shared" si="9"/>
        <v>386.82319014393238</v>
      </c>
      <c r="AJ125" s="482"/>
      <c r="AK125" s="482"/>
      <c r="AL125" s="585">
        <v>70.69</v>
      </c>
      <c r="AM125" s="585">
        <v>270.42111828314546</v>
      </c>
      <c r="AN125" s="581">
        <v>0</v>
      </c>
      <c r="AO125" s="581">
        <f t="shared" si="10"/>
        <v>341.11111828314546</v>
      </c>
    </row>
    <row r="126" spans="1:41" x14ac:dyDescent="0.3">
      <c r="A126" s="476">
        <v>150000686</v>
      </c>
      <c r="B126" s="477" t="s">
        <v>97</v>
      </c>
      <c r="C126" s="478">
        <v>214.9</v>
      </c>
      <c r="D126" s="483"/>
      <c r="E126" s="480"/>
      <c r="F126" s="480">
        <v>214.9</v>
      </c>
      <c r="G126" s="481">
        <v>0</v>
      </c>
      <c r="H126" s="481">
        <v>0</v>
      </c>
      <c r="I126" s="481">
        <v>0</v>
      </c>
      <c r="J126" s="481">
        <v>0</v>
      </c>
      <c r="K126" s="481">
        <v>0</v>
      </c>
      <c r="L126" s="481">
        <v>0</v>
      </c>
      <c r="M126" s="587">
        <f t="shared" si="6"/>
        <v>0</v>
      </c>
      <c r="N126" s="481">
        <v>0</v>
      </c>
      <c r="O126" s="481">
        <v>0</v>
      </c>
      <c r="P126" s="481">
        <v>0</v>
      </c>
      <c r="Q126" s="481">
        <v>23.675441072341243</v>
      </c>
      <c r="R126" s="587">
        <f t="shared" si="7"/>
        <v>181.59130683890066</v>
      </c>
      <c r="S126" s="481">
        <v>0</v>
      </c>
      <c r="T126" s="481">
        <v>0</v>
      </c>
      <c r="U126" s="481">
        <v>0</v>
      </c>
      <c r="V126" s="481">
        <v>0</v>
      </c>
      <c r="W126" s="481">
        <v>0</v>
      </c>
      <c r="X126" s="481">
        <v>0</v>
      </c>
      <c r="Y126" s="481">
        <v>0</v>
      </c>
      <c r="Z126" s="481">
        <v>0</v>
      </c>
      <c r="AA126" s="481">
        <v>0</v>
      </c>
      <c r="AB126" s="481">
        <v>0</v>
      </c>
      <c r="AC126" s="481">
        <v>0</v>
      </c>
      <c r="AD126" s="481">
        <v>0</v>
      </c>
      <c r="AE126" s="481">
        <v>0</v>
      </c>
      <c r="AF126" s="481">
        <v>0</v>
      </c>
      <c r="AG126" s="481">
        <v>4.9264019498698053</v>
      </c>
      <c r="AH126" s="700">
        <f t="shared" si="8"/>
        <v>205.26674791124191</v>
      </c>
      <c r="AI126" s="482">
        <f t="shared" si="9"/>
        <v>210.19314986111172</v>
      </c>
      <c r="AJ126" s="482"/>
      <c r="AK126" s="482"/>
      <c r="AL126" s="585">
        <v>25.61</v>
      </c>
      <c r="AM126" s="585">
        <v>155.98130683890065</v>
      </c>
      <c r="AN126" s="581">
        <v>0</v>
      </c>
      <c r="AO126" s="581">
        <f t="shared" si="10"/>
        <v>181.59130683890066</v>
      </c>
    </row>
    <row r="127" spans="1:41" x14ac:dyDescent="0.3">
      <c r="A127" s="476">
        <v>150000688</v>
      </c>
      <c r="B127" s="477" t="s">
        <v>92</v>
      </c>
      <c r="C127" s="478">
        <v>241.1</v>
      </c>
      <c r="D127" s="483"/>
      <c r="E127" s="480"/>
      <c r="F127" s="480">
        <v>241.1</v>
      </c>
      <c r="G127" s="481">
        <v>0</v>
      </c>
      <c r="H127" s="481">
        <v>0</v>
      </c>
      <c r="I127" s="481">
        <v>0</v>
      </c>
      <c r="J127" s="481">
        <v>0</v>
      </c>
      <c r="K127" s="481">
        <v>0</v>
      </c>
      <c r="L127" s="481">
        <v>0</v>
      </c>
      <c r="M127" s="587">
        <f t="shared" si="6"/>
        <v>0</v>
      </c>
      <c r="N127" s="481">
        <v>0</v>
      </c>
      <c r="O127" s="481">
        <v>0</v>
      </c>
      <c r="P127" s="481">
        <v>0</v>
      </c>
      <c r="Q127" s="481">
        <v>31.567254763121657</v>
      </c>
      <c r="R127" s="587">
        <f t="shared" si="7"/>
        <v>284.62887112371038</v>
      </c>
      <c r="S127" s="481">
        <v>0</v>
      </c>
      <c r="T127" s="481">
        <v>0</v>
      </c>
      <c r="U127" s="481">
        <v>0</v>
      </c>
      <c r="V127" s="481">
        <v>0</v>
      </c>
      <c r="W127" s="481">
        <v>0</v>
      </c>
      <c r="X127" s="481">
        <v>0</v>
      </c>
      <c r="Y127" s="481">
        <v>0</v>
      </c>
      <c r="Z127" s="481">
        <v>15.951340502798338</v>
      </c>
      <c r="AA127" s="481">
        <v>0</v>
      </c>
      <c r="AB127" s="481">
        <v>0</v>
      </c>
      <c r="AC127" s="481">
        <v>0</v>
      </c>
      <c r="AD127" s="481">
        <v>0</v>
      </c>
      <c r="AE127" s="481">
        <v>0</v>
      </c>
      <c r="AF127" s="481">
        <v>0</v>
      </c>
      <c r="AG127" s="481">
        <v>5.9786543950133479</v>
      </c>
      <c r="AH127" s="700">
        <f t="shared" si="8"/>
        <v>332.14746638963038</v>
      </c>
      <c r="AI127" s="482">
        <f t="shared" si="9"/>
        <v>338.12612078464372</v>
      </c>
      <c r="AJ127" s="482"/>
      <c r="AK127" s="482"/>
      <c r="AL127" s="585">
        <v>22.83</v>
      </c>
      <c r="AM127" s="585">
        <v>261.7988711237104</v>
      </c>
      <c r="AN127" s="581">
        <v>0</v>
      </c>
      <c r="AO127" s="581">
        <f t="shared" si="10"/>
        <v>284.62887112371038</v>
      </c>
    </row>
    <row r="128" spans="1:41" x14ac:dyDescent="0.3">
      <c r="A128" s="476">
        <v>150000689</v>
      </c>
      <c r="B128" s="477" t="s">
        <v>93</v>
      </c>
      <c r="C128" s="478">
        <v>188.9</v>
      </c>
      <c r="D128" s="483"/>
      <c r="E128" s="480"/>
      <c r="F128" s="480">
        <v>188.9</v>
      </c>
      <c r="G128" s="481">
        <v>0</v>
      </c>
      <c r="H128" s="481">
        <v>0</v>
      </c>
      <c r="I128" s="481">
        <v>0</v>
      </c>
      <c r="J128" s="481">
        <v>0</v>
      </c>
      <c r="K128" s="481">
        <v>0</v>
      </c>
      <c r="L128" s="481">
        <v>0</v>
      </c>
      <c r="M128" s="587">
        <f t="shared" si="6"/>
        <v>0</v>
      </c>
      <c r="N128" s="481">
        <v>0</v>
      </c>
      <c r="O128" s="481">
        <v>0</v>
      </c>
      <c r="P128" s="481">
        <v>0</v>
      </c>
      <c r="Q128" s="481">
        <v>31.567254763121657</v>
      </c>
      <c r="R128" s="587">
        <f t="shared" si="7"/>
        <v>190.83823587127821</v>
      </c>
      <c r="S128" s="481">
        <v>0</v>
      </c>
      <c r="T128" s="481">
        <v>0</v>
      </c>
      <c r="U128" s="481">
        <v>0</v>
      </c>
      <c r="V128" s="481">
        <v>0</v>
      </c>
      <c r="W128" s="481">
        <v>0</v>
      </c>
      <c r="X128" s="481">
        <v>0</v>
      </c>
      <c r="Y128" s="481">
        <v>0</v>
      </c>
      <c r="Z128" s="481">
        <v>7.9756702513991691</v>
      </c>
      <c r="AA128" s="481">
        <v>0</v>
      </c>
      <c r="AB128" s="481">
        <v>0</v>
      </c>
      <c r="AC128" s="481">
        <v>0</v>
      </c>
      <c r="AD128" s="481">
        <v>0</v>
      </c>
      <c r="AE128" s="481">
        <v>0</v>
      </c>
      <c r="AF128" s="481">
        <v>0</v>
      </c>
      <c r="AG128" s="481">
        <v>6.9114348265739727</v>
      </c>
      <c r="AH128" s="700">
        <f t="shared" si="8"/>
        <v>230.38116088579906</v>
      </c>
      <c r="AI128" s="482">
        <f t="shared" si="9"/>
        <v>237.29259571237304</v>
      </c>
      <c r="AJ128" s="482"/>
      <c r="AK128" s="482"/>
      <c r="AL128" s="585">
        <v>24.59</v>
      </c>
      <c r="AM128" s="585">
        <v>166.24823587127821</v>
      </c>
      <c r="AN128" s="581">
        <v>0</v>
      </c>
      <c r="AO128" s="581">
        <f t="shared" si="10"/>
        <v>190.83823587127821</v>
      </c>
    </row>
    <row r="129" spans="1:41" x14ac:dyDescent="0.3">
      <c r="A129" s="476">
        <v>150000690</v>
      </c>
      <c r="B129" s="477" t="s">
        <v>95</v>
      </c>
      <c r="C129" s="478">
        <v>142.1</v>
      </c>
      <c r="D129" s="483"/>
      <c r="E129" s="480"/>
      <c r="F129" s="480">
        <v>142.1</v>
      </c>
      <c r="G129" s="481">
        <v>0</v>
      </c>
      <c r="H129" s="481">
        <v>0</v>
      </c>
      <c r="I129" s="481">
        <v>0</v>
      </c>
      <c r="J129" s="481">
        <v>0</v>
      </c>
      <c r="K129" s="481">
        <v>0</v>
      </c>
      <c r="L129" s="481">
        <v>0</v>
      </c>
      <c r="M129" s="587">
        <f t="shared" si="6"/>
        <v>0</v>
      </c>
      <c r="N129" s="481">
        <v>0</v>
      </c>
      <c r="O129" s="481">
        <v>0</v>
      </c>
      <c r="P129" s="481">
        <v>0</v>
      </c>
      <c r="Q129" s="481">
        <v>31.567254763121657</v>
      </c>
      <c r="R129" s="587">
        <f t="shared" si="7"/>
        <v>154.53287035314816</v>
      </c>
      <c r="S129" s="481">
        <v>0</v>
      </c>
      <c r="T129" s="481">
        <v>0</v>
      </c>
      <c r="U129" s="481">
        <v>0</v>
      </c>
      <c r="V129" s="481">
        <v>0</v>
      </c>
      <c r="W129" s="481">
        <v>0</v>
      </c>
      <c r="X129" s="481">
        <v>0</v>
      </c>
      <c r="Y129" s="481">
        <v>0</v>
      </c>
      <c r="Z129" s="481">
        <v>0</v>
      </c>
      <c r="AA129" s="481">
        <v>0</v>
      </c>
      <c r="AB129" s="481">
        <v>0</v>
      </c>
      <c r="AC129" s="481">
        <v>0</v>
      </c>
      <c r="AD129" s="481">
        <v>0</v>
      </c>
      <c r="AE129" s="481">
        <v>0</v>
      </c>
      <c r="AF129" s="481">
        <v>0</v>
      </c>
      <c r="AG129" s="481">
        <v>0</v>
      </c>
      <c r="AH129" s="700">
        <f t="shared" si="8"/>
        <v>186.10012511626982</v>
      </c>
      <c r="AI129" s="482">
        <f t="shared" si="9"/>
        <v>186.10012511626982</v>
      </c>
      <c r="AJ129" s="482"/>
      <c r="AK129" s="482"/>
      <c r="AL129" s="585">
        <v>16.875</v>
      </c>
      <c r="AM129" s="585">
        <v>137.65787035314816</v>
      </c>
      <c r="AN129" s="581">
        <v>0</v>
      </c>
      <c r="AO129" s="581">
        <f t="shared" si="10"/>
        <v>154.53287035314816</v>
      </c>
    </row>
    <row r="130" spans="1:41" x14ac:dyDescent="0.3">
      <c r="A130" s="476">
        <v>150000693</v>
      </c>
      <c r="B130" s="477" t="s">
        <v>94</v>
      </c>
      <c r="C130" s="478">
        <v>165.8</v>
      </c>
      <c r="D130" s="483"/>
      <c r="E130" s="480"/>
      <c r="F130" s="480">
        <v>165.8</v>
      </c>
      <c r="G130" s="481">
        <v>0</v>
      </c>
      <c r="H130" s="481">
        <v>0</v>
      </c>
      <c r="I130" s="481">
        <v>0</v>
      </c>
      <c r="J130" s="481">
        <v>0</v>
      </c>
      <c r="K130" s="481">
        <v>0</v>
      </c>
      <c r="L130" s="481">
        <v>0</v>
      </c>
      <c r="M130" s="587">
        <f t="shared" si="6"/>
        <v>0</v>
      </c>
      <c r="N130" s="481">
        <v>0</v>
      </c>
      <c r="O130" s="481">
        <v>0</v>
      </c>
      <c r="P130" s="481">
        <v>0</v>
      </c>
      <c r="Q130" s="481">
        <v>19.729534226951035</v>
      </c>
      <c r="R130" s="587">
        <f t="shared" si="7"/>
        <v>172.81676309460926</v>
      </c>
      <c r="S130" s="481">
        <v>0</v>
      </c>
      <c r="T130" s="481">
        <v>0</v>
      </c>
      <c r="U130" s="481">
        <v>0</v>
      </c>
      <c r="V130" s="481">
        <v>0</v>
      </c>
      <c r="W130" s="481">
        <v>0</v>
      </c>
      <c r="X130" s="481">
        <v>0</v>
      </c>
      <c r="Y130" s="481">
        <v>0</v>
      </c>
      <c r="Z130" s="481">
        <v>5.9817526885493768</v>
      </c>
      <c r="AA130" s="481">
        <v>0</v>
      </c>
      <c r="AB130" s="481">
        <v>0</v>
      </c>
      <c r="AC130" s="481">
        <v>0</v>
      </c>
      <c r="AD130" s="481">
        <v>0</v>
      </c>
      <c r="AE130" s="481">
        <v>0</v>
      </c>
      <c r="AF130" s="481">
        <v>0</v>
      </c>
      <c r="AG130" s="481">
        <v>3.5735049001819736</v>
      </c>
      <c r="AH130" s="700">
        <f t="shared" si="8"/>
        <v>198.52805001010967</v>
      </c>
      <c r="AI130" s="482">
        <f t="shared" si="9"/>
        <v>202.10155491029164</v>
      </c>
      <c r="AJ130" s="482"/>
      <c r="AK130" s="482"/>
      <c r="AL130" s="585">
        <v>10.61</v>
      </c>
      <c r="AM130" s="585">
        <v>162.20676309460927</v>
      </c>
      <c r="AN130" s="581">
        <v>0</v>
      </c>
      <c r="AO130" s="581">
        <f t="shared" si="10"/>
        <v>172.81676309460926</v>
      </c>
    </row>
    <row r="131" spans="1:41" x14ac:dyDescent="0.3">
      <c r="A131" s="476">
        <v>150000694</v>
      </c>
      <c r="B131" s="477" t="s">
        <v>371</v>
      </c>
      <c r="C131" s="478">
        <v>6138.38</v>
      </c>
      <c r="D131" s="479">
        <v>688.06</v>
      </c>
      <c r="E131" s="480"/>
      <c r="F131" s="480">
        <v>6138.38</v>
      </c>
      <c r="G131" s="481">
        <v>1848.1002946445096</v>
      </c>
      <c r="H131" s="481">
        <v>343.85672633942664</v>
      </c>
      <c r="I131" s="481">
        <v>662.53</v>
      </c>
      <c r="J131" s="481">
        <v>161.52000000000001</v>
      </c>
      <c r="K131" s="481">
        <v>97.519365684823939</v>
      </c>
      <c r="L131" s="481">
        <v>1031.1498377524897</v>
      </c>
      <c r="M131" s="587">
        <f t="shared" si="6"/>
        <v>0</v>
      </c>
      <c r="N131" s="481">
        <v>2187.2232305657435</v>
      </c>
      <c r="O131" s="481">
        <v>7201.1332979473464</v>
      </c>
      <c r="P131" s="481">
        <v>0</v>
      </c>
      <c r="Q131" s="481">
        <v>426.15793930214238</v>
      </c>
      <c r="R131" s="587">
        <f t="shared" si="7"/>
        <v>9754.4157083472255</v>
      </c>
      <c r="S131" s="481">
        <v>161.7948266134519</v>
      </c>
      <c r="T131" s="481">
        <v>227.33307208751955</v>
      </c>
      <c r="U131" s="481">
        <v>265.44661921697389</v>
      </c>
      <c r="V131" s="481">
        <v>89.763854043819649</v>
      </c>
      <c r="W131" s="481">
        <v>49.470906063874629</v>
      </c>
      <c r="X131" s="481">
        <v>114.87128697411984</v>
      </c>
      <c r="Y131" s="481">
        <v>0</v>
      </c>
      <c r="Z131" s="481">
        <v>5268.7493276893538</v>
      </c>
      <c r="AA131" s="481">
        <v>4840.9836039869624</v>
      </c>
      <c r="AB131" s="481">
        <v>519.35618088604326</v>
      </c>
      <c r="AC131" s="481">
        <v>147.0662692493668</v>
      </c>
      <c r="AD131" s="481">
        <v>18.104749055319775</v>
      </c>
      <c r="AE131" s="481">
        <v>982.6700718025869</v>
      </c>
      <c r="AF131" s="481">
        <v>1031.8035753927165</v>
      </c>
      <c r="AG131" s="481">
        <v>449.17224892374981</v>
      </c>
      <c r="AH131" s="700">
        <f t="shared" si="8"/>
        <v>37431.020743645822</v>
      </c>
      <c r="AI131" s="482">
        <f t="shared" si="9"/>
        <v>37880.192992569573</v>
      </c>
      <c r="AJ131" s="482"/>
      <c r="AK131" s="482"/>
      <c r="AL131" s="585">
        <v>75.709999999999994</v>
      </c>
      <c r="AM131" s="585">
        <v>9678.7057083472264</v>
      </c>
      <c r="AN131" s="581">
        <v>0</v>
      </c>
      <c r="AO131" s="581">
        <f t="shared" si="10"/>
        <v>9754.4157083472255</v>
      </c>
    </row>
    <row r="132" spans="1:41" x14ac:dyDescent="0.3">
      <c r="A132" s="476">
        <v>150000695</v>
      </c>
      <c r="B132" s="477" t="s">
        <v>372</v>
      </c>
      <c r="C132" s="478">
        <v>6304.12</v>
      </c>
      <c r="D132" s="479">
        <v>695.2</v>
      </c>
      <c r="E132" s="480"/>
      <c r="F132" s="480">
        <v>6304.12</v>
      </c>
      <c r="G132" s="481">
        <v>1850.582155815534</v>
      </c>
      <c r="H132" s="481">
        <v>321.09674312596434</v>
      </c>
      <c r="I132" s="481">
        <v>679.17</v>
      </c>
      <c r="J132" s="481">
        <v>168.67</v>
      </c>
      <c r="K132" s="481">
        <v>97.519365684823939</v>
      </c>
      <c r="L132" s="481">
        <v>1039.7643001192539</v>
      </c>
      <c r="M132" s="587">
        <f t="shared" si="6"/>
        <v>0</v>
      </c>
      <c r="N132" s="481">
        <v>2246.2795904251798</v>
      </c>
      <c r="O132" s="481">
        <v>6237.7155377555855</v>
      </c>
      <c r="P132" s="481">
        <v>0</v>
      </c>
      <c r="Q132" s="481">
        <v>426.15793930214238</v>
      </c>
      <c r="R132" s="587">
        <f t="shared" si="7"/>
        <v>9387.6470167640109</v>
      </c>
      <c r="S132" s="481">
        <v>129.65841131949307</v>
      </c>
      <c r="T132" s="481">
        <v>175.26815192904829</v>
      </c>
      <c r="U132" s="481">
        <v>219.00052753625653</v>
      </c>
      <c r="V132" s="481">
        <v>74.493458822364417</v>
      </c>
      <c r="W132" s="481">
        <v>39.576724851099698</v>
      </c>
      <c r="X132" s="481">
        <v>93.480061011570541</v>
      </c>
      <c r="Y132" s="481">
        <v>0</v>
      </c>
      <c r="Z132" s="481">
        <v>6788.8234469422077</v>
      </c>
      <c r="AA132" s="481">
        <v>4997.8596151584907</v>
      </c>
      <c r="AB132" s="481">
        <v>519.35618088604326</v>
      </c>
      <c r="AC132" s="481">
        <v>147.0662692493668</v>
      </c>
      <c r="AD132" s="481">
        <v>18.104749055319775</v>
      </c>
      <c r="AE132" s="481">
        <v>1589.4298462965653</v>
      </c>
      <c r="AF132" s="481">
        <v>2386.4844600919973</v>
      </c>
      <c r="AG132" s="481">
        <v>1188.9961365642696</v>
      </c>
      <c r="AH132" s="700">
        <f t="shared" si="8"/>
        <v>39633.204552142321</v>
      </c>
      <c r="AI132" s="482">
        <f t="shared" si="9"/>
        <v>40822.200688706587</v>
      </c>
      <c r="AJ132" s="482"/>
      <c r="AK132" s="482"/>
      <c r="AL132" s="585">
        <v>75.709999999999994</v>
      </c>
      <c r="AM132" s="585">
        <v>9311.9370167640118</v>
      </c>
      <c r="AN132" s="581">
        <v>0</v>
      </c>
      <c r="AO132" s="581">
        <f t="shared" si="10"/>
        <v>9387.6470167640109</v>
      </c>
    </row>
    <row r="133" spans="1:41" x14ac:dyDescent="0.3">
      <c r="A133" s="476">
        <v>150000696</v>
      </c>
      <c r="B133" s="477" t="s">
        <v>370</v>
      </c>
      <c r="C133" s="478">
        <v>6306.37</v>
      </c>
      <c r="D133" s="479">
        <v>706.38</v>
      </c>
      <c r="E133" s="480"/>
      <c r="F133" s="480">
        <v>6306.37</v>
      </c>
      <c r="G133" s="481">
        <v>1848.9952253228862</v>
      </c>
      <c r="H133" s="481">
        <v>344.02919229089974</v>
      </c>
      <c r="I133" s="481">
        <v>679.17</v>
      </c>
      <c r="J133" s="481">
        <v>168.67</v>
      </c>
      <c r="K133" s="481">
        <v>97.519365684823939</v>
      </c>
      <c r="L133" s="481">
        <v>1033.2564642148391</v>
      </c>
      <c r="M133" s="587">
        <f t="shared" si="6"/>
        <v>0</v>
      </c>
      <c r="N133" s="481">
        <v>2247.0813088376553</v>
      </c>
      <c r="O133" s="481">
        <v>7201.1332979473464</v>
      </c>
      <c r="P133" s="481">
        <v>0</v>
      </c>
      <c r="Q133" s="481">
        <v>426.15793930214238</v>
      </c>
      <c r="R133" s="587">
        <f t="shared" si="7"/>
        <v>9296.4464094976156</v>
      </c>
      <c r="S133" s="481">
        <v>161.88903613373856</v>
      </c>
      <c r="T133" s="481">
        <v>227.44959096691474</v>
      </c>
      <c r="U133" s="481">
        <v>273.75065942032063</v>
      </c>
      <c r="V133" s="481">
        <v>93.116823527955518</v>
      </c>
      <c r="W133" s="481">
        <v>49.470906063874629</v>
      </c>
      <c r="X133" s="481">
        <v>117.45944789079753</v>
      </c>
      <c r="Y133" s="481">
        <v>0</v>
      </c>
      <c r="Z133" s="481">
        <v>7159.0238666582454</v>
      </c>
      <c r="AA133" s="481">
        <v>4873.0945781363544</v>
      </c>
      <c r="AB133" s="481">
        <v>519.35618088604326</v>
      </c>
      <c r="AC133" s="481">
        <v>147.0662692493668</v>
      </c>
      <c r="AD133" s="481">
        <v>18.104749055319775</v>
      </c>
      <c r="AE133" s="481">
        <v>3019.7607285869976</v>
      </c>
      <c r="AF133" s="481">
        <v>623.29358840049804</v>
      </c>
      <c r="AG133" s="481">
        <v>487.50354753689555</v>
      </c>
      <c r="AH133" s="700">
        <f t="shared" si="8"/>
        <v>40625.295628074629</v>
      </c>
      <c r="AI133" s="482">
        <f t="shared" si="9"/>
        <v>41112.799175611523</v>
      </c>
      <c r="AJ133" s="482"/>
      <c r="AK133" s="482"/>
      <c r="AL133" s="585">
        <v>75.709999999999994</v>
      </c>
      <c r="AM133" s="585">
        <v>9220.7364094976165</v>
      </c>
      <c r="AN133" s="581">
        <v>0</v>
      </c>
      <c r="AO133" s="581">
        <f t="shared" si="10"/>
        <v>9296.4464094976156</v>
      </c>
    </row>
    <row r="134" spans="1:41" x14ac:dyDescent="0.3">
      <c r="A134" s="476">
        <v>150000697</v>
      </c>
      <c r="B134" s="477" t="s">
        <v>265</v>
      </c>
      <c r="C134" s="478">
        <v>2744.3</v>
      </c>
      <c r="D134" s="479"/>
      <c r="E134" s="480"/>
      <c r="F134" s="480">
        <v>2744.3</v>
      </c>
      <c r="G134" s="481">
        <v>889.02853350871283</v>
      </c>
      <c r="H134" s="481">
        <v>222.41547887789164</v>
      </c>
      <c r="I134" s="481">
        <v>338.21</v>
      </c>
      <c r="J134" s="481">
        <v>80.72</v>
      </c>
      <c r="K134" s="481">
        <v>59.112908977718426</v>
      </c>
      <c r="L134" s="481">
        <v>663.78611336825236</v>
      </c>
      <c r="M134" s="587">
        <f t="shared" ref="M134:M197" si="11">AN134</f>
        <v>0</v>
      </c>
      <c r="N134" s="481">
        <v>977.84703971431713</v>
      </c>
      <c r="O134" s="481">
        <v>0</v>
      </c>
      <c r="P134" s="481">
        <v>0</v>
      </c>
      <c r="Q134" s="481">
        <v>236.75441072341243</v>
      </c>
      <c r="R134" s="587">
        <f t="shared" ref="R134:R197" si="12">AO134</f>
        <v>4095.7850738384345</v>
      </c>
      <c r="S134" s="481">
        <v>148.88818146354492</v>
      </c>
      <c r="T134" s="481">
        <v>286.68042843855068</v>
      </c>
      <c r="U134" s="481">
        <v>123.51739938072166</v>
      </c>
      <c r="V134" s="481">
        <v>84.621936135212607</v>
      </c>
      <c r="W134" s="481">
        <v>59.973570119372766</v>
      </c>
      <c r="X134" s="481">
        <v>89.9087591465576</v>
      </c>
      <c r="Y134" s="481">
        <v>0</v>
      </c>
      <c r="Z134" s="481">
        <v>2204.1627622208448</v>
      </c>
      <c r="AA134" s="481">
        <v>1515.3194314345847</v>
      </c>
      <c r="AB134" s="481">
        <v>437.42405322211118</v>
      </c>
      <c r="AC134" s="481">
        <v>134.81074681191956</v>
      </c>
      <c r="AD134" s="481">
        <v>16.59601996737646</v>
      </c>
      <c r="AE134" s="481">
        <v>714.38554426283315</v>
      </c>
      <c r="AF134" s="481">
        <v>0</v>
      </c>
      <c r="AG134" s="481">
        <v>802.7969034967424</v>
      </c>
      <c r="AH134" s="700">
        <f t="shared" ref="AH134:AH197" si="13">SUM(G134:AG134)-AG134</f>
        <v>13379.948391612374</v>
      </c>
      <c r="AI134" s="482">
        <f t="shared" ref="AI134:AI197" si="14">G134+H134+I134+J134+K134+L134+M134+N134+O134+P134+Q134+R134+S134+T134+U134+V134+W134+X134+Y134+Z134+AA134+AB134+AC134+AD134+AE134+AF134+AG134</f>
        <v>14182.745295109116</v>
      </c>
      <c r="AJ134" s="482"/>
      <c r="AK134" s="482"/>
      <c r="AL134" s="585">
        <v>75.709999999999994</v>
      </c>
      <c r="AM134" s="585">
        <v>4020.0750738384345</v>
      </c>
      <c r="AN134" s="581">
        <v>0</v>
      </c>
      <c r="AO134" s="581">
        <f t="shared" ref="AO134:AO197" si="15">AL134+AM134</f>
        <v>4095.7850738384345</v>
      </c>
    </row>
    <row r="135" spans="1:41" x14ac:dyDescent="0.3">
      <c r="A135" s="476">
        <v>150000698</v>
      </c>
      <c r="B135" s="477" t="s">
        <v>120</v>
      </c>
      <c r="C135" s="478">
        <v>180</v>
      </c>
      <c r="D135" s="483"/>
      <c r="E135" s="480"/>
      <c r="F135" s="480">
        <v>180</v>
      </c>
      <c r="G135" s="481">
        <v>0</v>
      </c>
      <c r="H135" s="481">
        <v>0</v>
      </c>
      <c r="I135" s="481">
        <v>0</v>
      </c>
      <c r="J135" s="481">
        <v>0</v>
      </c>
      <c r="K135" s="481">
        <v>0</v>
      </c>
      <c r="L135" s="481">
        <v>0</v>
      </c>
      <c r="M135" s="587">
        <f t="shared" si="11"/>
        <v>0</v>
      </c>
      <c r="N135" s="481">
        <v>0</v>
      </c>
      <c r="O135" s="481">
        <v>0</v>
      </c>
      <c r="P135" s="481">
        <v>0</v>
      </c>
      <c r="Q135" s="481">
        <v>15.783627381560828</v>
      </c>
      <c r="R135" s="587">
        <f t="shared" si="12"/>
        <v>202.35021530424842</v>
      </c>
      <c r="S135" s="481">
        <v>0</v>
      </c>
      <c r="T135" s="481">
        <v>0</v>
      </c>
      <c r="U135" s="481">
        <v>0</v>
      </c>
      <c r="V135" s="481">
        <v>0</v>
      </c>
      <c r="W135" s="481">
        <v>0</v>
      </c>
      <c r="X135" s="481">
        <v>0</v>
      </c>
      <c r="Y135" s="481">
        <v>0</v>
      </c>
      <c r="Z135" s="481">
        <v>23.927010754197507</v>
      </c>
      <c r="AA135" s="481">
        <v>0</v>
      </c>
      <c r="AB135" s="481">
        <v>0</v>
      </c>
      <c r="AC135" s="481">
        <v>0</v>
      </c>
      <c r="AD135" s="481">
        <v>0</v>
      </c>
      <c r="AE135" s="481">
        <v>0</v>
      </c>
      <c r="AF135" s="481">
        <v>0</v>
      </c>
      <c r="AG135" s="481">
        <v>7.2618256032002027</v>
      </c>
      <c r="AH135" s="700">
        <f t="shared" si="13"/>
        <v>242.06085344000675</v>
      </c>
      <c r="AI135" s="482">
        <f t="shared" si="14"/>
        <v>249.32267904320696</v>
      </c>
      <c r="AJ135" s="482"/>
      <c r="AK135" s="482"/>
      <c r="AL135" s="585">
        <v>31.84</v>
      </c>
      <c r="AM135" s="585">
        <v>170.51021530424842</v>
      </c>
      <c r="AN135" s="581">
        <v>0</v>
      </c>
      <c r="AO135" s="581">
        <f t="shared" si="15"/>
        <v>202.35021530424842</v>
      </c>
    </row>
    <row r="136" spans="1:41" x14ac:dyDescent="0.3">
      <c r="A136" s="476">
        <v>150000699</v>
      </c>
      <c r="B136" s="477" t="s">
        <v>373</v>
      </c>
      <c r="C136" s="478">
        <v>4191.3999999999996</v>
      </c>
      <c r="D136" s="479">
        <v>468.7</v>
      </c>
      <c r="E136" s="480"/>
      <c r="F136" s="480">
        <v>4191.3999999999996</v>
      </c>
      <c r="G136" s="481">
        <v>1095.7025410244796</v>
      </c>
      <c r="H136" s="481">
        <v>144.91532402070791</v>
      </c>
      <c r="I136" s="481">
        <v>455.21</v>
      </c>
      <c r="J136" s="481">
        <v>109.54</v>
      </c>
      <c r="K136" s="481">
        <v>65.004820328168279</v>
      </c>
      <c r="L136" s="481">
        <v>504.57089137918041</v>
      </c>
      <c r="M136" s="587">
        <f t="shared" si="11"/>
        <v>0</v>
      </c>
      <c r="N136" s="481">
        <v>1493.4766906892789</v>
      </c>
      <c r="O136" s="481">
        <v>1045.0618223932277</v>
      </c>
      <c r="P136" s="481">
        <v>0</v>
      </c>
      <c r="Q136" s="481">
        <v>674.75007056172547</v>
      </c>
      <c r="R136" s="587">
        <f t="shared" si="12"/>
        <v>4945.8142190577728</v>
      </c>
      <c r="S136" s="481">
        <v>86.512607455577651</v>
      </c>
      <c r="T136" s="481">
        <v>95.30326651124625</v>
      </c>
      <c r="U136" s="481">
        <v>173.78803578042334</v>
      </c>
      <c r="V136" s="481">
        <v>67.786060421820082</v>
      </c>
      <c r="W136" s="481">
        <v>32.980617657691397</v>
      </c>
      <c r="X136" s="481">
        <v>81.41344512148774</v>
      </c>
      <c r="Y136" s="481">
        <v>0</v>
      </c>
      <c r="Z136" s="481">
        <v>3708.0943681316112</v>
      </c>
      <c r="AA136" s="481">
        <v>4645.4360067959296</v>
      </c>
      <c r="AB136" s="481">
        <v>555.85865346909156</v>
      </c>
      <c r="AC136" s="481">
        <v>144.61516476187737</v>
      </c>
      <c r="AD136" s="481">
        <v>17.803003237731112</v>
      </c>
      <c r="AE136" s="481">
        <v>1851.4751987772554</v>
      </c>
      <c r="AF136" s="481">
        <v>703.46698790947107</v>
      </c>
      <c r="AG136" s="481">
        <v>408.57443631874355</v>
      </c>
      <c r="AH136" s="700">
        <f t="shared" si="13"/>
        <v>22698.579795485759</v>
      </c>
      <c r="AI136" s="482">
        <f t="shared" si="14"/>
        <v>23107.154231804503</v>
      </c>
      <c r="AJ136" s="482"/>
      <c r="AK136" s="482"/>
      <c r="AL136" s="585">
        <v>119.56</v>
      </c>
      <c r="AM136" s="585">
        <v>4826.2542190577724</v>
      </c>
      <c r="AN136" s="581">
        <v>0</v>
      </c>
      <c r="AO136" s="581">
        <f t="shared" si="15"/>
        <v>4945.8142190577728</v>
      </c>
    </row>
    <row r="137" spans="1:41" x14ac:dyDescent="0.3">
      <c r="A137" s="476">
        <v>150000702</v>
      </c>
      <c r="B137" s="477" t="s">
        <v>338</v>
      </c>
      <c r="C137" s="478">
        <v>6095.61</v>
      </c>
      <c r="D137" s="479">
        <v>601.05999999999995</v>
      </c>
      <c r="E137" s="480"/>
      <c r="F137" s="480">
        <v>6095.61</v>
      </c>
      <c r="G137" s="481">
        <v>1845.3091420536039</v>
      </c>
      <c r="H137" s="481">
        <v>345.73039832698709</v>
      </c>
      <c r="I137" s="481">
        <v>657.75</v>
      </c>
      <c r="J137" s="481">
        <v>158.56</v>
      </c>
      <c r="K137" s="481">
        <v>97.519365684823939</v>
      </c>
      <c r="L137" s="481">
        <v>1037.7648296057785</v>
      </c>
      <c r="M137" s="587">
        <f t="shared" si="11"/>
        <v>0</v>
      </c>
      <c r="N137" s="481">
        <v>2171.9834543428151</v>
      </c>
      <c r="O137" s="481">
        <v>5184.8213223864259</v>
      </c>
      <c r="P137" s="481">
        <v>0</v>
      </c>
      <c r="Q137" s="481">
        <v>414.32021876597179</v>
      </c>
      <c r="R137" s="587">
        <f t="shared" si="12"/>
        <v>9816.8015526627878</v>
      </c>
      <c r="S137" s="481">
        <v>97.593410118833248</v>
      </c>
      <c r="T137" s="481">
        <v>137.11945850575125</v>
      </c>
      <c r="U137" s="481">
        <v>165.55657676623494</v>
      </c>
      <c r="V137" s="481">
        <v>53.852871368604887</v>
      </c>
      <c r="W137" s="481">
        <v>29.682543638324773</v>
      </c>
      <c r="X137" s="481">
        <v>69.887823032227814</v>
      </c>
      <c r="Y137" s="481">
        <v>0</v>
      </c>
      <c r="Z137" s="481">
        <v>5879.25239801719</v>
      </c>
      <c r="AA137" s="481">
        <v>4934.2608316526957</v>
      </c>
      <c r="AB137" s="481">
        <v>486.89641958066568</v>
      </c>
      <c r="AC137" s="481">
        <v>181.30819893959438</v>
      </c>
      <c r="AD137" s="481">
        <v>22.320138127033399</v>
      </c>
      <c r="AE137" s="481">
        <v>1165.1659422802104</v>
      </c>
      <c r="AF137" s="481">
        <v>1750.0886040674648</v>
      </c>
      <c r="AG137" s="481">
        <v>660.66381899863256</v>
      </c>
      <c r="AH137" s="700">
        <f t="shared" si="13"/>
        <v>36703.545499924032</v>
      </c>
      <c r="AI137" s="482">
        <f t="shared" si="14"/>
        <v>37364.209318922665</v>
      </c>
      <c r="AJ137" s="482"/>
      <c r="AK137" s="482"/>
      <c r="AL137" s="585">
        <v>75.709999999999994</v>
      </c>
      <c r="AM137" s="585">
        <v>9741.0915526627887</v>
      </c>
      <c r="AN137" s="581">
        <v>0</v>
      </c>
      <c r="AO137" s="581">
        <f t="shared" si="15"/>
        <v>9816.8015526627878</v>
      </c>
    </row>
    <row r="138" spans="1:41" x14ac:dyDescent="0.3">
      <c r="A138" s="476">
        <v>150000703</v>
      </c>
      <c r="B138" s="477" t="s">
        <v>339</v>
      </c>
      <c r="C138" s="478">
        <v>6316</v>
      </c>
      <c r="D138" s="479">
        <v>712.5</v>
      </c>
      <c r="E138" s="480"/>
      <c r="F138" s="480">
        <v>6316</v>
      </c>
      <c r="G138" s="481">
        <v>1818.5274046002723</v>
      </c>
      <c r="H138" s="481">
        <v>341.51419726773292</v>
      </c>
      <c r="I138" s="481">
        <v>691.21</v>
      </c>
      <c r="J138" s="481">
        <v>161.04</v>
      </c>
      <c r="K138" s="481">
        <v>97.519365684823939</v>
      </c>
      <c r="L138" s="481">
        <v>1192.6406598666297</v>
      </c>
      <c r="M138" s="587">
        <f t="shared" si="11"/>
        <v>0</v>
      </c>
      <c r="N138" s="481">
        <v>2250.5126636430518</v>
      </c>
      <c r="O138" s="481">
        <v>5184.8213223864259</v>
      </c>
      <c r="P138" s="481">
        <v>0</v>
      </c>
      <c r="Q138" s="481">
        <v>418.26612561136199</v>
      </c>
      <c r="R138" s="587">
        <f t="shared" si="12"/>
        <v>9830.952869269222</v>
      </c>
      <c r="S138" s="481">
        <v>95.803188305416725</v>
      </c>
      <c r="T138" s="481">
        <v>135.49959397133657</v>
      </c>
      <c r="U138" s="481">
        <v>173.7821981198818</v>
      </c>
      <c r="V138" s="481">
        <v>54.369292915198905</v>
      </c>
      <c r="W138" s="481">
        <v>29.682543638324773</v>
      </c>
      <c r="X138" s="481">
        <v>68.141586721422954</v>
      </c>
      <c r="Y138" s="481">
        <v>0</v>
      </c>
      <c r="Z138" s="481">
        <v>6065.3533420049434</v>
      </c>
      <c r="AA138" s="481">
        <v>4982.7503865065664</v>
      </c>
      <c r="AB138" s="481">
        <v>530.1761013211692</v>
      </c>
      <c r="AC138" s="481">
        <v>223.27110776541366</v>
      </c>
      <c r="AD138" s="481">
        <v>27.486026524151306</v>
      </c>
      <c r="AE138" s="481">
        <v>826.69069532598576</v>
      </c>
      <c r="AF138" s="481">
        <v>1240.036042988979</v>
      </c>
      <c r="AG138" s="481">
        <v>1093.2014014331496</v>
      </c>
      <c r="AH138" s="700">
        <f t="shared" si="13"/>
        <v>36440.046714438322</v>
      </c>
      <c r="AI138" s="482">
        <f t="shared" si="14"/>
        <v>37533.248115871473</v>
      </c>
      <c r="AJ138" s="482"/>
      <c r="AK138" s="482"/>
      <c r="AL138" s="585">
        <v>75.709999999999994</v>
      </c>
      <c r="AM138" s="585">
        <v>9755.2428692692229</v>
      </c>
      <c r="AN138" s="581">
        <v>0</v>
      </c>
      <c r="AO138" s="581">
        <f t="shared" si="15"/>
        <v>9830.952869269222</v>
      </c>
    </row>
    <row r="139" spans="1:41" x14ac:dyDescent="0.3">
      <c r="A139" s="476">
        <v>150000705</v>
      </c>
      <c r="B139" s="477" t="s">
        <v>141</v>
      </c>
      <c r="C139" s="478">
        <v>240.6</v>
      </c>
      <c r="D139" s="483"/>
      <c r="E139" s="480"/>
      <c r="F139" s="480">
        <v>240.6</v>
      </c>
      <c r="G139" s="481">
        <v>0</v>
      </c>
      <c r="H139" s="481">
        <v>0</v>
      </c>
      <c r="I139" s="481">
        <v>0</v>
      </c>
      <c r="J139" s="481">
        <v>0</v>
      </c>
      <c r="K139" s="481">
        <v>0</v>
      </c>
      <c r="L139" s="481">
        <v>0</v>
      </c>
      <c r="M139" s="587">
        <f t="shared" si="11"/>
        <v>0</v>
      </c>
      <c r="N139" s="481">
        <v>0</v>
      </c>
      <c r="O139" s="481">
        <v>0</v>
      </c>
      <c r="P139" s="481">
        <v>0</v>
      </c>
      <c r="Q139" s="481">
        <v>47.350882144682487</v>
      </c>
      <c r="R139" s="587">
        <f t="shared" si="12"/>
        <v>235.61187061353758</v>
      </c>
      <c r="S139" s="481">
        <v>0</v>
      </c>
      <c r="T139" s="481">
        <v>0</v>
      </c>
      <c r="U139" s="481">
        <v>0</v>
      </c>
      <c r="V139" s="481">
        <v>0</v>
      </c>
      <c r="W139" s="481">
        <v>0</v>
      </c>
      <c r="X139" s="481">
        <v>0</v>
      </c>
      <c r="Y139" s="481">
        <v>0</v>
      </c>
      <c r="Z139" s="481">
        <v>13.957422939948543</v>
      </c>
      <c r="AA139" s="481">
        <v>0</v>
      </c>
      <c r="AB139" s="481">
        <v>0</v>
      </c>
      <c r="AC139" s="481">
        <v>0</v>
      </c>
      <c r="AD139" s="481">
        <v>0</v>
      </c>
      <c r="AE139" s="481">
        <v>0</v>
      </c>
      <c r="AF139" s="481">
        <v>0</v>
      </c>
      <c r="AG139" s="481">
        <v>8.9076052709450568</v>
      </c>
      <c r="AH139" s="700">
        <f t="shared" si="13"/>
        <v>296.92017569816858</v>
      </c>
      <c r="AI139" s="482">
        <f t="shared" si="14"/>
        <v>305.82778096911363</v>
      </c>
      <c r="AJ139" s="482"/>
      <c r="AK139" s="482"/>
      <c r="AL139" s="585">
        <v>9.61</v>
      </c>
      <c r="AM139" s="585">
        <v>226.00187061353759</v>
      </c>
      <c r="AN139" s="581">
        <v>0</v>
      </c>
      <c r="AO139" s="581">
        <f t="shared" si="15"/>
        <v>235.61187061353758</v>
      </c>
    </row>
    <row r="140" spans="1:41" x14ac:dyDescent="0.3">
      <c r="A140" s="476">
        <v>150000706</v>
      </c>
      <c r="B140" s="477" t="s">
        <v>143</v>
      </c>
      <c r="C140" s="478">
        <v>243.32</v>
      </c>
      <c r="D140" s="483"/>
      <c r="E140" s="480"/>
      <c r="F140" s="480">
        <v>243.32</v>
      </c>
      <c r="G140" s="481">
        <v>0</v>
      </c>
      <c r="H140" s="481">
        <v>0</v>
      </c>
      <c r="I140" s="481">
        <v>0</v>
      </c>
      <c r="J140" s="481">
        <v>0</v>
      </c>
      <c r="K140" s="481">
        <v>0</v>
      </c>
      <c r="L140" s="481">
        <v>0</v>
      </c>
      <c r="M140" s="587">
        <f t="shared" si="11"/>
        <v>0</v>
      </c>
      <c r="N140" s="481">
        <v>0</v>
      </c>
      <c r="O140" s="481">
        <v>0</v>
      </c>
      <c r="P140" s="481">
        <v>0</v>
      </c>
      <c r="Q140" s="481">
        <v>47.350882144682487</v>
      </c>
      <c r="R140" s="587">
        <f t="shared" si="12"/>
        <v>246.43349102183942</v>
      </c>
      <c r="S140" s="481">
        <v>0</v>
      </c>
      <c r="T140" s="481">
        <v>0</v>
      </c>
      <c r="U140" s="481">
        <v>0</v>
      </c>
      <c r="V140" s="481">
        <v>0</v>
      </c>
      <c r="W140" s="481">
        <v>0</v>
      </c>
      <c r="X140" s="481">
        <v>0</v>
      </c>
      <c r="Y140" s="481">
        <v>0</v>
      </c>
      <c r="Z140" s="481">
        <v>9.9695878142489622</v>
      </c>
      <c r="AA140" s="481">
        <v>0</v>
      </c>
      <c r="AB140" s="481">
        <v>0</v>
      </c>
      <c r="AC140" s="481">
        <v>0</v>
      </c>
      <c r="AD140" s="481">
        <v>0</v>
      </c>
      <c r="AE140" s="481">
        <v>0</v>
      </c>
      <c r="AF140" s="481">
        <v>0</v>
      </c>
      <c r="AG140" s="481">
        <v>9.1126188294231252</v>
      </c>
      <c r="AH140" s="700">
        <f t="shared" si="13"/>
        <v>303.75396098077084</v>
      </c>
      <c r="AI140" s="482">
        <f t="shared" si="14"/>
        <v>312.86657981019397</v>
      </c>
      <c r="AJ140" s="482"/>
      <c r="AK140" s="482"/>
      <c r="AL140" s="585">
        <v>9.61</v>
      </c>
      <c r="AM140" s="585">
        <v>236.82349102183943</v>
      </c>
      <c r="AN140" s="581">
        <v>0</v>
      </c>
      <c r="AO140" s="581">
        <f t="shared" si="15"/>
        <v>246.43349102183942</v>
      </c>
    </row>
    <row r="141" spans="1:41" x14ac:dyDescent="0.3">
      <c r="A141" s="476">
        <v>150000707</v>
      </c>
      <c r="B141" s="477" t="s">
        <v>144</v>
      </c>
      <c r="C141" s="478">
        <v>326.10000000000002</v>
      </c>
      <c r="D141" s="483"/>
      <c r="E141" s="480"/>
      <c r="F141" s="480">
        <v>326.10000000000002</v>
      </c>
      <c r="G141" s="481">
        <v>0</v>
      </c>
      <c r="H141" s="481">
        <v>0</v>
      </c>
      <c r="I141" s="481">
        <v>0</v>
      </c>
      <c r="J141" s="481">
        <v>0</v>
      </c>
      <c r="K141" s="481">
        <v>0</v>
      </c>
      <c r="L141" s="481">
        <v>0</v>
      </c>
      <c r="M141" s="587">
        <f t="shared" si="11"/>
        <v>0</v>
      </c>
      <c r="N141" s="481">
        <v>0</v>
      </c>
      <c r="O141" s="481">
        <v>0</v>
      </c>
      <c r="P141" s="481">
        <v>0</v>
      </c>
      <c r="Q141" s="481">
        <v>39.45906845390207</v>
      </c>
      <c r="R141" s="587">
        <f t="shared" si="12"/>
        <v>320.73133127490689</v>
      </c>
      <c r="S141" s="481">
        <v>0</v>
      </c>
      <c r="T141" s="481">
        <v>0</v>
      </c>
      <c r="U141" s="481">
        <v>0</v>
      </c>
      <c r="V141" s="481">
        <v>0</v>
      </c>
      <c r="W141" s="481">
        <v>0</v>
      </c>
      <c r="X141" s="481">
        <v>0</v>
      </c>
      <c r="Y141" s="481">
        <v>0</v>
      </c>
      <c r="Z141" s="481">
        <v>43.866186382695432</v>
      </c>
      <c r="AA141" s="481">
        <v>0</v>
      </c>
      <c r="AB141" s="481">
        <v>0</v>
      </c>
      <c r="AC141" s="481">
        <v>0</v>
      </c>
      <c r="AD141" s="481">
        <v>0</v>
      </c>
      <c r="AE141" s="481">
        <v>0</v>
      </c>
      <c r="AF141" s="481">
        <v>0</v>
      </c>
      <c r="AG141" s="481">
        <v>12.121697583345131</v>
      </c>
      <c r="AH141" s="700">
        <f t="shared" si="13"/>
        <v>404.05658611150443</v>
      </c>
      <c r="AI141" s="482">
        <f t="shared" si="14"/>
        <v>416.17828369484954</v>
      </c>
      <c r="AJ141" s="482"/>
      <c r="AK141" s="482"/>
      <c r="AL141" s="585">
        <v>9.61</v>
      </c>
      <c r="AM141" s="585">
        <v>311.12133127490688</v>
      </c>
      <c r="AN141" s="581">
        <v>0</v>
      </c>
      <c r="AO141" s="581">
        <f t="shared" si="15"/>
        <v>320.73133127490689</v>
      </c>
    </row>
    <row r="142" spans="1:41" x14ac:dyDescent="0.3">
      <c r="A142" s="476">
        <v>150000708</v>
      </c>
      <c r="B142" s="477" t="s">
        <v>145</v>
      </c>
      <c r="C142" s="478">
        <v>241.4</v>
      </c>
      <c r="D142" s="483"/>
      <c r="E142" s="480"/>
      <c r="F142" s="480">
        <v>241.4</v>
      </c>
      <c r="G142" s="481">
        <v>0</v>
      </c>
      <c r="H142" s="481">
        <v>0</v>
      </c>
      <c r="I142" s="481">
        <v>0</v>
      </c>
      <c r="J142" s="481">
        <v>0</v>
      </c>
      <c r="K142" s="481">
        <v>0</v>
      </c>
      <c r="L142" s="481">
        <v>0</v>
      </c>
      <c r="M142" s="587">
        <f t="shared" si="11"/>
        <v>0</v>
      </c>
      <c r="N142" s="481">
        <v>0</v>
      </c>
      <c r="O142" s="481">
        <v>0</v>
      </c>
      <c r="P142" s="481">
        <v>0</v>
      </c>
      <c r="Q142" s="481">
        <v>43.404975299292282</v>
      </c>
      <c r="R142" s="587">
        <f t="shared" si="12"/>
        <v>244.35221017770851</v>
      </c>
      <c r="S142" s="481">
        <v>0</v>
      </c>
      <c r="T142" s="481">
        <v>0</v>
      </c>
      <c r="U142" s="481">
        <v>0</v>
      </c>
      <c r="V142" s="481">
        <v>0</v>
      </c>
      <c r="W142" s="481">
        <v>0</v>
      </c>
      <c r="X142" s="481">
        <v>0</v>
      </c>
      <c r="Y142" s="481">
        <v>0</v>
      </c>
      <c r="Z142" s="481">
        <v>9.9695878142489622</v>
      </c>
      <c r="AA142" s="481">
        <v>0</v>
      </c>
      <c r="AB142" s="481">
        <v>0</v>
      </c>
      <c r="AC142" s="481">
        <v>0</v>
      </c>
      <c r="AD142" s="481">
        <v>0</v>
      </c>
      <c r="AE142" s="481">
        <v>0</v>
      </c>
      <c r="AF142" s="481">
        <v>0</v>
      </c>
      <c r="AG142" s="481">
        <v>8.9318031987374926</v>
      </c>
      <c r="AH142" s="700">
        <f t="shared" si="13"/>
        <v>297.72677329124974</v>
      </c>
      <c r="AI142" s="482">
        <f t="shared" si="14"/>
        <v>306.65857648998724</v>
      </c>
      <c r="AJ142" s="482"/>
      <c r="AK142" s="482"/>
      <c r="AL142" s="585">
        <v>9.61</v>
      </c>
      <c r="AM142" s="585">
        <v>234.7422101777085</v>
      </c>
      <c r="AN142" s="581">
        <v>0</v>
      </c>
      <c r="AO142" s="581">
        <f t="shared" si="15"/>
        <v>244.35221017770851</v>
      </c>
    </row>
    <row r="143" spans="1:41" x14ac:dyDescent="0.3">
      <c r="A143" s="476">
        <v>150000709</v>
      </c>
      <c r="B143" s="477" t="s">
        <v>142</v>
      </c>
      <c r="C143" s="478">
        <v>201.1</v>
      </c>
      <c r="D143" s="483"/>
      <c r="E143" s="480"/>
      <c r="F143" s="480">
        <v>201.1</v>
      </c>
      <c r="G143" s="481">
        <v>0</v>
      </c>
      <c r="H143" s="481">
        <v>0</v>
      </c>
      <c r="I143" s="481">
        <v>0</v>
      </c>
      <c r="J143" s="481">
        <v>0</v>
      </c>
      <c r="K143" s="481">
        <v>0</v>
      </c>
      <c r="L143" s="481">
        <v>0</v>
      </c>
      <c r="M143" s="587">
        <f t="shared" si="11"/>
        <v>0</v>
      </c>
      <c r="N143" s="481">
        <v>0</v>
      </c>
      <c r="O143" s="481">
        <v>0</v>
      </c>
      <c r="P143" s="481">
        <v>0</v>
      </c>
      <c r="Q143" s="481">
        <v>31.567254763121657</v>
      </c>
      <c r="R143" s="587">
        <f t="shared" si="12"/>
        <v>202.52465780609111</v>
      </c>
      <c r="S143" s="481">
        <v>0</v>
      </c>
      <c r="T143" s="481">
        <v>0</v>
      </c>
      <c r="U143" s="481">
        <v>0</v>
      </c>
      <c r="V143" s="481">
        <v>0</v>
      </c>
      <c r="W143" s="481">
        <v>0</v>
      </c>
      <c r="X143" s="481">
        <v>0</v>
      </c>
      <c r="Y143" s="481">
        <v>0</v>
      </c>
      <c r="Z143" s="481">
        <v>15.951340502798338</v>
      </c>
      <c r="AA143" s="481">
        <v>0</v>
      </c>
      <c r="AB143" s="481">
        <v>0</v>
      </c>
      <c r="AC143" s="481">
        <v>0</v>
      </c>
      <c r="AD143" s="481">
        <v>0</v>
      </c>
      <c r="AE143" s="481">
        <v>0</v>
      </c>
      <c r="AF143" s="481">
        <v>0</v>
      </c>
      <c r="AG143" s="481">
        <v>7.5012975921603333</v>
      </c>
      <c r="AH143" s="700">
        <f t="shared" si="13"/>
        <v>250.04325307201108</v>
      </c>
      <c r="AI143" s="482">
        <f t="shared" si="14"/>
        <v>257.54455066417142</v>
      </c>
      <c r="AJ143" s="482"/>
      <c r="AK143" s="482"/>
      <c r="AL143" s="585">
        <v>9.61</v>
      </c>
      <c r="AM143" s="585">
        <v>192.91465780609113</v>
      </c>
      <c r="AN143" s="581">
        <v>0</v>
      </c>
      <c r="AO143" s="581">
        <f t="shared" si="15"/>
        <v>202.52465780609111</v>
      </c>
    </row>
    <row r="144" spans="1:41" x14ac:dyDescent="0.3">
      <c r="A144" s="476">
        <v>150000710</v>
      </c>
      <c r="B144" s="477" t="s">
        <v>278</v>
      </c>
      <c r="C144" s="478">
        <v>4471.5</v>
      </c>
      <c r="D144" s="479"/>
      <c r="E144" s="480">
        <v>100.8</v>
      </c>
      <c r="F144" s="480">
        <v>4572.3</v>
      </c>
      <c r="G144" s="481">
        <v>1388.8140293680221</v>
      </c>
      <c r="H144" s="481">
        <v>283.32062206205393</v>
      </c>
      <c r="I144" s="481">
        <v>553.30999999999995</v>
      </c>
      <c r="J144" s="481">
        <v>0</v>
      </c>
      <c r="K144" s="481">
        <v>0</v>
      </c>
      <c r="L144" s="481">
        <v>1061.067846279682</v>
      </c>
      <c r="M144" s="587">
        <f t="shared" si="11"/>
        <v>0</v>
      </c>
      <c r="N144" s="481">
        <v>1629.1987099390635</v>
      </c>
      <c r="O144" s="481">
        <v>0</v>
      </c>
      <c r="P144" s="481">
        <v>0</v>
      </c>
      <c r="Q144" s="481">
        <v>1160.096612544721</v>
      </c>
      <c r="R144" s="587">
        <f t="shared" si="12"/>
        <v>5019.8090922230285</v>
      </c>
      <c r="S144" s="481">
        <v>226.58214786316023</v>
      </c>
      <c r="T144" s="481">
        <v>365.15822033661738</v>
      </c>
      <c r="U144" s="481">
        <v>206.91717087955041</v>
      </c>
      <c r="V144" s="481">
        <v>0</v>
      </c>
      <c r="W144" s="481">
        <v>0</v>
      </c>
      <c r="X144" s="481">
        <v>166.33814628043049</v>
      </c>
      <c r="Y144" s="481">
        <v>0</v>
      </c>
      <c r="Z144" s="481">
        <v>3999.476311227309</v>
      </c>
      <c r="AA144" s="481">
        <v>2109.2006811907031</v>
      </c>
      <c r="AB144" s="481">
        <v>590.55764878838988</v>
      </c>
      <c r="AC144" s="481">
        <v>49.022089749788933</v>
      </c>
      <c r="AD144" s="481">
        <v>6.0349163517732585</v>
      </c>
      <c r="AE144" s="481">
        <v>386.82885366197075</v>
      </c>
      <c r="AF144" s="481">
        <v>0</v>
      </c>
      <c r="AG144" s="481">
        <v>875.59902930282954</v>
      </c>
      <c r="AH144" s="700">
        <f t="shared" si="13"/>
        <v>19201.733098746263</v>
      </c>
      <c r="AI144" s="482">
        <f t="shared" si="14"/>
        <v>20077.332128049093</v>
      </c>
      <c r="AJ144" s="482"/>
      <c r="AK144" s="482"/>
      <c r="AL144" s="585">
        <v>163.35</v>
      </c>
      <c r="AM144" s="585">
        <v>4856.4590922230282</v>
      </c>
      <c r="AN144" s="581">
        <v>0</v>
      </c>
      <c r="AO144" s="581">
        <f t="shared" si="15"/>
        <v>5019.8090922230285</v>
      </c>
    </row>
    <row r="145" spans="1:41" x14ac:dyDescent="0.3">
      <c r="A145" s="476">
        <v>150000711</v>
      </c>
      <c r="B145" s="477" t="s">
        <v>279</v>
      </c>
      <c r="C145" s="478">
        <v>4538</v>
      </c>
      <c r="D145" s="479"/>
      <c r="E145" s="480">
        <v>39.799999999999997</v>
      </c>
      <c r="F145" s="480">
        <v>4577.8</v>
      </c>
      <c r="G145" s="481">
        <v>1389.0964733152182</v>
      </c>
      <c r="H145" s="481">
        <v>283.37002058416391</v>
      </c>
      <c r="I145" s="481">
        <v>571.29999999999995</v>
      </c>
      <c r="J145" s="481">
        <v>0</v>
      </c>
      <c r="K145" s="481">
        <v>107.87259182013038</v>
      </c>
      <c r="L145" s="481">
        <v>1061.7280940058984</v>
      </c>
      <c r="M145" s="587">
        <f t="shared" si="11"/>
        <v>0</v>
      </c>
      <c r="N145" s="481">
        <v>1631.1584660584488</v>
      </c>
      <c r="O145" s="481">
        <v>0</v>
      </c>
      <c r="P145" s="481">
        <v>0</v>
      </c>
      <c r="Q145" s="481">
        <v>1183.7720536170623</v>
      </c>
      <c r="R145" s="587">
        <f t="shared" si="12"/>
        <v>5725.0952464112588</v>
      </c>
      <c r="S145" s="481">
        <v>226.64338208884197</v>
      </c>
      <c r="T145" s="481">
        <v>365.2358995895471</v>
      </c>
      <c r="U145" s="481">
        <v>205.50287111767076</v>
      </c>
      <c r="V145" s="481">
        <v>0</v>
      </c>
      <c r="W145" s="481">
        <v>109.43236141333836</v>
      </c>
      <c r="X145" s="481">
        <v>166.44102889312117</v>
      </c>
      <c r="Y145" s="481">
        <v>0</v>
      </c>
      <c r="Z145" s="481">
        <v>3931.9027684673806</v>
      </c>
      <c r="AA145" s="481">
        <v>2106.6565129807218</v>
      </c>
      <c r="AB145" s="481">
        <v>633.19329887379513</v>
      </c>
      <c r="AC145" s="481">
        <v>49.022089749788933</v>
      </c>
      <c r="AD145" s="481">
        <v>6.0349163517732585</v>
      </c>
      <c r="AE145" s="481">
        <v>471.05771695933538</v>
      </c>
      <c r="AF145" s="481">
        <v>0</v>
      </c>
      <c r="AG145" s="481">
        <v>970.77675803027978</v>
      </c>
      <c r="AH145" s="700">
        <f t="shared" si="13"/>
        <v>20224.515792297494</v>
      </c>
      <c r="AI145" s="482">
        <f t="shared" si="14"/>
        <v>21195.292550327773</v>
      </c>
      <c r="AJ145" s="482"/>
      <c r="AK145" s="482"/>
      <c r="AL145" s="585">
        <v>163.35</v>
      </c>
      <c r="AM145" s="585">
        <v>5561.7452464112584</v>
      </c>
      <c r="AN145" s="581">
        <v>0</v>
      </c>
      <c r="AO145" s="581">
        <f t="shared" si="15"/>
        <v>5725.0952464112588</v>
      </c>
    </row>
    <row r="146" spans="1:41" x14ac:dyDescent="0.3">
      <c r="A146" s="476">
        <v>150000712</v>
      </c>
      <c r="B146" s="477" t="s">
        <v>280</v>
      </c>
      <c r="C146" s="478">
        <v>3208.93</v>
      </c>
      <c r="D146" s="479"/>
      <c r="E146" s="480"/>
      <c r="F146" s="480">
        <v>3208.93</v>
      </c>
      <c r="G146" s="481">
        <v>956.3293285930306</v>
      </c>
      <c r="H146" s="481">
        <v>190.26127237381124</v>
      </c>
      <c r="I146" s="481">
        <v>397.23</v>
      </c>
      <c r="J146" s="481">
        <v>0</v>
      </c>
      <c r="K146" s="481">
        <v>0</v>
      </c>
      <c r="L146" s="481">
        <v>619.36523646065348</v>
      </c>
      <c r="M146" s="587">
        <f t="shared" si="11"/>
        <v>0</v>
      </c>
      <c r="N146" s="481">
        <v>1143.4036734870326</v>
      </c>
      <c r="O146" s="481">
        <v>0</v>
      </c>
      <c r="P146" s="481">
        <v>0</v>
      </c>
      <c r="Q146" s="481">
        <v>828.64043753194358</v>
      </c>
      <c r="R146" s="587">
        <f t="shared" si="12"/>
        <v>3422.5536159644162</v>
      </c>
      <c r="S146" s="481">
        <v>156.04053712059772</v>
      </c>
      <c r="T146" s="481">
        <v>245.21278357122625</v>
      </c>
      <c r="U146" s="481">
        <v>147.52404836922557</v>
      </c>
      <c r="V146" s="481">
        <v>0</v>
      </c>
      <c r="W146" s="481">
        <v>0</v>
      </c>
      <c r="X146" s="481">
        <v>93.783626897587908</v>
      </c>
      <c r="Y146" s="481">
        <v>0</v>
      </c>
      <c r="Z146" s="481">
        <v>3809.7105636345495</v>
      </c>
      <c r="AA146" s="481">
        <v>1540.752188244621</v>
      </c>
      <c r="AB146" s="481">
        <v>503.66139270091003</v>
      </c>
      <c r="AC146" s="481">
        <v>24.511044874894466</v>
      </c>
      <c r="AD146" s="481">
        <v>3.0174581758866292</v>
      </c>
      <c r="AE146" s="481">
        <v>327.5566906008624</v>
      </c>
      <c r="AF146" s="481">
        <v>0</v>
      </c>
      <c r="AG146" s="481">
        <v>864.57323391607497</v>
      </c>
      <c r="AH146" s="700">
        <f t="shared" si="13"/>
        <v>14409.553898601251</v>
      </c>
      <c r="AI146" s="482">
        <f t="shared" si="14"/>
        <v>15274.127132517326</v>
      </c>
      <c r="AJ146" s="482"/>
      <c r="AK146" s="482"/>
      <c r="AL146" s="585">
        <v>99.5</v>
      </c>
      <c r="AM146" s="585">
        <v>3323.0536159644162</v>
      </c>
      <c r="AN146" s="581">
        <v>0</v>
      </c>
      <c r="AO146" s="581">
        <f t="shared" si="15"/>
        <v>3422.5536159644162</v>
      </c>
    </row>
    <row r="147" spans="1:41" x14ac:dyDescent="0.3">
      <c r="A147" s="476">
        <v>150000713</v>
      </c>
      <c r="B147" s="477" t="s">
        <v>281</v>
      </c>
      <c r="C147" s="478">
        <v>5131.2</v>
      </c>
      <c r="D147" s="479"/>
      <c r="E147" s="480">
        <v>1125.4000000000001</v>
      </c>
      <c r="F147" s="480">
        <v>6256.6</v>
      </c>
      <c r="G147" s="481">
        <v>1818.6630655479512</v>
      </c>
      <c r="H147" s="481">
        <v>378.17997483060384</v>
      </c>
      <c r="I147" s="481">
        <v>729.07</v>
      </c>
      <c r="J147" s="481">
        <v>0</v>
      </c>
      <c r="K147" s="481">
        <v>166.96127125803071</v>
      </c>
      <c r="L147" s="481">
        <v>1682.3652913147739</v>
      </c>
      <c r="M147" s="587">
        <f t="shared" si="11"/>
        <v>0</v>
      </c>
      <c r="N147" s="481">
        <v>2229.347297553692</v>
      </c>
      <c r="O147" s="481">
        <v>0</v>
      </c>
      <c r="P147" s="481">
        <v>0</v>
      </c>
      <c r="Q147" s="481">
        <v>1266.6360973702565</v>
      </c>
      <c r="R147" s="587">
        <f t="shared" si="12"/>
        <v>7685.0372296283613</v>
      </c>
      <c r="S147" s="481">
        <v>298.85430920380639</v>
      </c>
      <c r="T147" s="481">
        <v>487.42469535987755</v>
      </c>
      <c r="U147" s="481">
        <v>283.80813434453808</v>
      </c>
      <c r="V147" s="481">
        <v>0</v>
      </c>
      <c r="W147" s="481">
        <v>169.40589068738615</v>
      </c>
      <c r="X147" s="481">
        <v>260.84339930726316</v>
      </c>
      <c r="Y147" s="481">
        <v>0</v>
      </c>
      <c r="Z147" s="481">
        <v>5002.3428044952161</v>
      </c>
      <c r="AA147" s="481">
        <v>2708.1900785953162</v>
      </c>
      <c r="AB147" s="481">
        <v>948.93284001558777</v>
      </c>
      <c r="AC147" s="481">
        <v>73.533134624683399</v>
      </c>
      <c r="AD147" s="481">
        <v>9.0523745276598877</v>
      </c>
      <c r="AE147" s="481">
        <v>240.20823977396574</v>
      </c>
      <c r="AF147" s="481">
        <v>0</v>
      </c>
      <c r="AG147" s="481">
        <v>1205.6118394568168</v>
      </c>
      <c r="AH147" s="700">
        <f t="shared" si="13"/>
        <v>26438.856128438965</v>
      </c>
      <c r="AI147" s="482">
        <f t="shared" si="14"/>
        <v>27644.467967895784</v>
      </c>
      <c r="AJ147" s="482"/>
      <c r="AK147" s="482"/>
      <c r="AL147" s="585">
        <v>165.89</v>
      </c>
      <c r="AM147" s="585">
        <v>7519.1472296283609</v>
      </c>
      <c r="AN147" s="581">
        <v>0</v>
      </c>
      <c r="AO147" s="581">
        <f t="shared" si="15"/>
        <v>7685.0372296283613</v>
      </c>
    </row>
    <row r="148" spans="1:41" x14ac:dyDescent="0.3">
      <c r="A148" s="476">
        <v>150000714</v>
      </c>
      <c r="B148" s="477" t="s">
        <v>282</v>
      </c>
      <c r="C148" s="478">
        <v>2767.8</v>
      </c>
      <c r="D148" s="479"/>
      <c r="E148" s="480"/>
      <c r="F148" s="480">
        <v>2767.8</v>
      </c>
      <c r="G148" s="481">
        <v>879.69223989693592</v>
      </c>
      <c r="H148" s="481">
        <v>185.84747722611704</v>
      </c>
      <c r="I148" s="481">
        <v>340.68</v>
      </c>
      <c r="J148" s="481">
        <v>0</v>
      </c>
      <c r="K148" s="481">
        <v>0</v>
      </c>
      <c r="L148" s="481">
        <v>587.00719780989243</v>
      </c>
      <c r="M148" s="587">
        <f t="shared" si="11"/>
        <v>0</v>
      </c>
      <c r="N148" s="481">
        <v>986.22054313350839</v>
      </c>
      <c r="O148" s="481">
        <v>0</v>
      </c>
      <c r="P148" s="481">
        <v>0</v>
      </c>
      <c r="Q148" s="481">
        <v>355.13161608511865</v>
      </c>
      <c r="R148" s="587">
        <f t="shared" si="12"/>
        <v>3942.2354166094597</v>
      </c>
      <c r="S148" s="481">
        <v>146.81181237629167</v>
      </c>
      <c r="T148" s="481">
        <v>239.52674765127369</v>
      </c>
      <c r="U148" s="481">
        <v>125.89340677497562</v>
      </c>
      <c r="V148" s="481">
        <v>0</v>
      </c>
      <c r="W148" s="481">
        <v>0</v>
      </c>
      <c r="X148" s="481">
        <v>88.056980360418066</v>
      </c>
      <c r="Y148" s="481">
        <v>0</v>
      </c>
      <c r="Z148" s="481">
        <v>2962.7131359308983</v>
      </c>
      <c r="AA148" s="481">
        <v>1539.8052367191356</v>
      </c>
      <c r="AB148" s="481">
        <v>410.20580583106022</v>
      </c>
      <c r="AC148" s="481">
        <v>49.022089749788933</v>
      </c>
      <c r="AD148" s="481">
        <v>6.0349163517732585</v>
      </c>
      <c r="AE148" s="481">
        <v>817.33193273738982</v>
      </c>
      <c r="AF148" s="481">
        <v>0</v>
      </c>
      <c r="AG148" s="481">
        <v>327.89319732585687</v>
      </c>
      <c r="AH148" s="700">
        <f t="shared" si="13"/>
        <v>13662.216555244038</v>
      </c>
      <c r="AI148" s="482">
        <f t="shared" si="14"/>
        <v>13990.109752569895</v>
      </c>
      <c r="AJ148" s="482"/>
      <c r="AK148" s="482"/>
      <c r="AL148" s="585">
        <v>98.27</v>
      </c>
      <c r="AM148" s="585">
        <v>3843.9654166094597</v>
      </c>
      <c r="AN148" s="581">
        <v>0</v>
      </c>
      <c r="AO148" s="581">
        <f t="shared" si="15"/>
        <v>3942.2354166094597</v>
      </c>
    </row>
    <row r="149" spans="1:41" x14ac:dyDescent="0.3">
      <c r="A149" s="476">
        <v>150000715</v>
      </c>
      <c r="B149" s="477" t="s">
        <v>283</v>
      </c>
      <c r="C149" s="478">
        <v>4580.3</v>
      </c>
      <c r="D149" s="479"/>
      <c r="E149" s="480"/>
      <c r="F149" s="480">
        <v>4580.3</v>
      </c>
      <c r="G149" s="481">
        <v>1391.4482519165047</v>
      </c>
      <c r="H149" s="481">
        <v>283.6907229472921</v>
      </c>
      <c r="I149" s="481">
        <v>577.11</v>
      </c>
      <c r="J149" s="481">
        <v>0</v>
      </c>
      <c r="K149" s="481">
        <v>110.09115486531209</v>
      </c>
      <c r="L149" s="481">
        <v>1060.7069460824348</v>
      </c>
      <c r="M149" s="587">
        <f t="shared" si="11"/>
        <v>0</v>
      </c>
      <c r="N149" s="481">
        <v>1632.0492642945328</v>
      </c>
      <c r="O149" s="481">
        <v>0</v>
      </c>
      <c r="P149" s="481">
        <v>0</v>
      </c>
      <c r="Q149" s="481">
        <v>1183.7720536170623</v>
      </c>
      <c r="R149" s="587">
        <f t="shared" si="12"/>
        <v>5647.3004733799826</v>
      </c>
      <c r="S149" s="481">
        <v>227.169083222198</v>
      </c>
      <c r="T149" s="481">
        <v>365.65351602749274</v>
      </c>
      <c r="U149" s="481">
        <v>209.65651068058494</v>
      </c>
      <c r="V149" s="481">
        <v>0</v>
      </c>
      <c r="W149" s="481">
        <v>111.67168868821882</v>
      </c>
      <c r="X149" s="481">
        <v>167.13901080783566</v>
      </c>
      <c r="Y149" s="481">
        <v>0</v>
      </c>
      <c r="Z149" s="481">
        <v>3908.4351047083187</v>
      </c>
      <c r="AA149" s="481">
        <v>1960.875297410561</v>
      </c>
      <c r="AB149" s="481">
        <v>697.77592887807793</v>
      </c>
      <c r="AC149" s="481">
        <v>49.022089749788933</v>
      </c>
      <c r="AD149" s="481">
        <v>6.0349163517732585</v>
      </c>
      <c r="AE149" s="481">
        <v>447.6608104878452</v>
      </c>
      <c r="AF149" s="481">
        <v>0</v>
      </c>
      <c r="AG149" s="481">
        <v>865.60975400180314</v>
      </c>
      <c r="AH149" s="700">
        <f t="shared" si="13"/>
        <v>20037.262824115816</v>
      </c>
      <c r="AI149" s="482">
        <f t="shared" si="14"/>
        <v>20902.872578117618</v>
      </c>
      <c r="AJ149" s="482"/>
      <c r="AK149" s="482"/>
      <c r="AL149" s="585">
        <v>163.35</v>
      </c>
      <c r="AM149" s="585">
        <v>5483.9504733799822</v>
      </c>
      <c r="AN149" s="581">
        <v>0</v>
      </c>
      <c r="AO149" s="581">
        <f t="shared" si="15"/>
        <v>5647.3004733799826</v>
      </c>
    </row>
    <row r="150" spans="1:41" x14ac:dyDescent="0.3">
      <c r="A150" s="476">
        <v>150000716</v>
      </c>
      <c r="B150" s="477" t="s">
        <v>285</v>
      </c>
      <c r="C150" s="478">
        <v>2685</v>
      </c>
      <c r="D150" s="479"/>
      <c r="E150" s="480">
        <v>486.42</v>
      </c>
      <c r="F150" s="480">
        <v>3171.42</v>
      </c>
      <c r="G150" s="481">
        <v>1042.1321625692178</v>
      </c>
      <c r="H150" s="481">
        <v>190.21187385170123</v>
      </c>
      <c r="I150" s="481">
        <v>387.32</v>
      </c>
      <c r="J150" s="481">
        <v>0</v>
      </c>
      <c r="K150" s="481">
        <v>0</v>
      </c>
      <c r="L150" s="481">
        <v>611.68618225342698</v>
      </c>
      <c r="M150" s="587">
        <f t="shared" si="11"/>
        <v>0</v>
      </c>
      <c r="N150" s="481">
        <v>1130.0381367528257</v>
      </c>
      <c r="O150" s="481">
        <v>0</v>
      </c>
      <c r="P150" s="481">
        <v>0</v>
      </c>
      <c r="Q150" s="481">
        <v>710.2632321702373</v>
      </c>
      <c r="R150" s="587">
        <f t="shared" si="12"/>
        <v>3921.1776530273901</v>
      </c>
      <c r="S150" s="481">
        <v>183.04418070897029</v>
      </c>
      <c r="T150" s="481">
        <v>245.15933385811405</v>
      </c>
      <c r="U150" s="481">
        <v>153.95721267936585</v>
      </c>
      <c r="V150" s="481">
        <v>0</v>
      </c>
      <c r="W150" s="481">
        <v>0</v>
      </c>
      <c r="X150" s="481">
        <v>100.27700934813392</v>
      </c>
      <c r="Y150" s="481">
        <v>0</v>
      </c>
      <c r="Z150" s="481">
        <v>1340.924036598359</v>
      </c>
      <c r="AA150" s="481">
        <v>1766.1289591125817</v>
      </c>
      <c r="AB150" s="481">
        <v>509.57669182818165</v>
      </c>
      <c r="AC150" s="481">
        <v>161.60131886017919</v>
      </c>
      <c r="AD150" s="481">
        <v>19.894101753620546</v>
      </c>
      <c r="AE150" s="481">
        <v>474.17730448886743</v>
      </c>
      <c r="AF150" s="481">
        <v>0</v>
      </c>
      <c r="AG150" s="481">
        <v>776.85416339167045</v>
      </c>
      <c r="AH150" s="700">
        <f t="shared" si="13"/>
        <v>12947.569389861173</v>
      </c>
      <c r="AI150" s="482">
        <f t="shared" si="14"/>
        <v>13724.423553252844</v>
      </c>
      <c r="AJ150" s="482"/>
      <c r="AK150" s="482"/>
      <c r="AL150" s="585">
        <v>81.96</v>
      </c>
      <c r="AM150" s="585">
        <v>3839.21765302739</v>
      </c>
      <c r="AN150" s="581">
        <v>0</v>
      </c>
      <c r="AO150" s="581">
        <f t="shared" si="15"/>
        <v>3921.1776530273901</v>
      </c>
    </row>
    <row r="151" spans="1:41" x14ac:dyDescent="0.3">
      <c r="A151" s="476">
        <v>150000717</v>
      </c>
      <c r="B151" s="477" t="s">
        <v>286</v>
      </c>
      <c r="C151" s="478">
        <v>2595.6999999999998</v>
      </c>
      <c r="D151" s="479"/>
      <c r="E151" s="480">
        <v>569.6</v>
      </c>
      <c r="F151" s="480">
        <v>3165.2999999999997</v>
      </c>
      <c r="G151" s="481">
        <v>1023.2087993925998</v>
      </c>
      <c r="H151" s="481">
        <v>190.21187385170123</v>
      </c>
      <c r="I151" s="481">
        <v>386.19</v>
      </c>
      <c r="J151" s="481">
        <v>0</v>
      </c>
      <c r="K151" s="481">
        <v>0</v>
      </c>
      <c r="L151" s="481">
        <v>611.90653737736443</v>
      </c>
      <c r="M151" s="587">
        <f t="shared" si="11"/>
        <v>0</v>
      </c>
      <c r="N151" s="481">
        <v>1127.8574626708914</v>
      </c>
      <c r="O151" s="481">
        <v>0</v>
      </c>
      <c r="P151" s="481">
        <v>0</v>
      </c>
      <c r="Q151" s="481">
        <v>674.75007056172547</v>
      </c>
      <c r="R151" s="587">
        <f t="shared" si="12"/>
        <v>3582.2609458700131</v>
      </c>
      <c r="S151" s="481">
        <v>181.94896258277311</v>
      </c>
      <c r="T151" s="481">
        <v>245.15933385811405</v>
      </c>
      <c r="U151" s="481">
        <v>155.19440970105759</v>
      </c>
      <c r="V151" s="481">
        <v>0</v>
      </c>
      <c r="W151" s="481">
        <v>0</v>
      </c>
      <c r="X151" s="481">
        <v>100.3124765476657</v>
      </c>
      <c r="Y151" s="481">
        <v>0</v>
      </c>
      <c r="Z151" s="481">
        <v>2478.6605748590305</v>
      </c>
      <c r="AA151" s="481">
        <v>1744.4850776053909</v>
      </c>
      <c r="AB151" s="481">
        <v>509.57669182818165</v>
      </c>
      <c r="AC151" s="481">
        <v>156.87068719932458</v>
      </c>
      <c r="AD151" s="481">
        <v>19.311732325674427</v>
      </c>
      <c r="AE151" s="481">
        <v>547.48761143286993</v>
      </c>
      <c r="AF151" s="481">
        <v>0</v>
      </c>
      <c r="AG151" s="481">
        <v>824.12359485986281</v>
      </c>
      <c r="AH151" s="700">
        <f t="shared" si="13"/>
        <v>13735.393247664375</v>
      </c>
      <c r="AI151" s="482">
        <f t="shared" si="14"/>
        <v>14559.516842524237</v>
      </c>
      <c r="AJ151" s="482"/>
      <c r="AK151" s="482"/>
      <c r="AL151" s="585">
        <v>130.86000000000001</v>
      </c>
      <c r="AM151" s="585">
        <v>3451.4009458700129</v>
      </c>
      <c r="AN151" s="581">
        <v>0</v>
      </c>
      <c r="AO151" s="581">
        <f t="shared" si="15"/>
        <v>3582.2609458700131</v>
      </c>
    </row>
    <row r="152" spans="1:41" x14ac:dyDescent="0.3">
      <c r="A152" s="476">
        <v>150000718</v>
      </c>
      <c r="B152" s="477" t="s">
        <v>287</v>
      </c>
      <c r="C152" s="478">
        <v>4456.6000000000004</v>
      </c>
      <c r="D152" s="479"/>
      <c r="E152" s="480"/>
      <c r="F152" s="480">
        <v>4456.6000000000004</v>
      </c>
      <c r="G152" s="481">
        <v>1327.909464807394</v>
      </c>
      <c r="H152" s="481">
        <v>281.29875450816337</v>
      </c>
      <c r="I152" s="481">
        <v>550.53</v>
      </c>
      <c r="J152" s="481">
        <v>0</v>
      </c>
      <c r="K152" s="481">
        <v>107.87259182013038</v>
      </c>
      <c r="L152" s="481">
        <v>1133.6246756158848</v>
      </c>
      <c r="M152" s="587">
        <f t="shared" si="11"/>
        <v>0</v>
      </c>
      <c r="N152" s="481">
        <v>1587.9725675730881</v>
      </c>
      <c r="O152" s="481">
        <v>0</v>
      </c>
      <c r="P152" s="481">
        <v>0</v>
      </c>
      <c r="Q152" s="481">
        <v>639.23690895321363</v>
      </c>
      <c r="R152" s="587">
        <f t="shared" si="12"/>
        <v>5124.810696562492</v>
      </c>
      <c r="S152" s="481">
        <v>220.82657619344522</v>
      </c>
      <c r="T152" s="481">
        <v>362.55073545216993</v>
      </c>
      <c r="U152" s="481">
        <v>206.31142749064364</v>
      </c>
      <c r="V152" s="481">
        <v>0</v>
      </c>
      <c r="W152" s="481">
        <v>109.43236141333836</v>
      </c>
      <c r="X152" s="481">
        <v>162.35934207418234</v>
      </c>
      <c r="Y152" s="481">
        <v>0</v>
      </c>
      <c r="Z152" s="481">
        <v>4056.5235100825171</v>
      </c>
      <c r="AA152" s="481">
        <v>2166.1792722753103</v>
      </c>
      <c r="AB152" s="481">
        <v>638.77170539459428</v>
      </c>
      <c r="AC152" s="481">
        <v>206.3829978466114</v>
      </c>
      <c r="AD152" s="481">
        <v>25.406997840965424</v>
      </c>
      <c r="AE152" s="481">
        <v>783.01646991253767</v>
      </c>
      <c r="AF152" s="481">
        <v>0</v>
      </c>
      <c r="AG152" s="481">
        <v>1181.4610233490009</v>
      </c>
      <c r="AH152" s="700">
        <f t="shared" si="13"/>
        <v>19691.017055816683</v>
      </c>
      <c r="AI152" s="482">
        <f t="shared" si="14"/>
        <v>20872.478079165685</v>
      </c>
      <c r="AJ152" s="482"/>
      <c r="AK152" s="482"/>
      <c r="AL152" s="585">
        <v>147.07</v>
      </c>
      <c r="AM152" s="585">
        <v>4977.7406965624923</v>
      </c>
      <c r="AN152" s="581">
        <v>0</v>
      </c>
      <c r="AO152" s="581">
        <f t="shared" si="15"/>
        <v>5124.810696562492</v>
      </c>
    </row>
    <row r="153" spans="1:41" x14ac:dyDescent="0.3">
      <c r="A153" s="476">
        <v>150000719</v>
      </c>
      <c r="B153" s="477" t="s">
        <v>284</v>
      </c>
      <c r="C153" s="478">
        <v>5975.2</v>
      </c>
      <c r="D153" s="479"/>
      <c r="E153" s="480">
        <v>235.9</v>
      </c>
      <c r="F153" s="480">
        <v>6211.0999999999995</v>
      </c>
      <c r="G153" s="481">
        <v>1820.5328886786879</v>
      </c>
      <c r="H153" s="481">
        <v>378.45123782629702</v>
      </c>
      <c r="I153" s="481">
        <v>752.54</v>
      </c>
      <c r="J153" s="481">
        <v>0</v>
      </c>
      <c r="K153" s="481">
        <v>166.96127125803071</v>
      </c>
      <c r="L153" s="481">
        <v>1722.3827636376486</v>
      </c>
      <c r="M153" s="587">
        <f t="shared" si="11"/>
        <v>0</v>
      </c>
      <c r="N153" s="481">
        <v>2213.1347696569596</v>
      </c>
      <c r="O153" s="481">
        <v>0</v>
      </c>
      <c r="P153" s="481">
        <v>0</v>
      </c>
      <c r="Q153" s="481">
        <v>1503.390508093669</v>
      </c>
      <c r="R153" s="587">
        <f t="shared" si="12"/>
        <v>6479.1331182647073</v>
      </c>
      <c r="S153" s="481">
        <v>299.28233968193547</v>
      </c>
      <c r="T153" s="481">
        <v>487.7646325448934</v>
      </c>
      <c r="U153" s="481">
        <v>284.30287915234493</v>
      </c>
      <c r="V153" s="481">
        <v>0</v>
      </c>
      <c r="W153" s="481">
        <v>169.40589068738615</v>
      </c>
      <c r="X153" s="481">
        <v>271.49675065849686</v>
      </c>
      <c r="Y153" s="481">
        <v>0</v>
      </c>
      <c r="Z153" s="481">
        <v>6192.3034993160954</v>
      </c>
      <c r="AA153" s="481">
        <v>2919.8153588673244</v>
      </c>
      <c r="AB153" s="481">
        <v>1034.9076789571905</v>
      </c>
      <c r="AC153" s="481">
        <v>296.14244417847493</v>
      </c>
      <c r="AD153" s="481">
        <v>36.456929681062256</v>
      </c>
      <c r="AE153" s="481">
        <v>1545.7556208831172</v>
      </c>
      <c r="AF153" s="481">
        <v>0</v>
      </c>
      <c r="AG153" s="481">
        <v>1371.5597079371673</v>
      </c>
      <c r="AH153" s="700">
        <f t="shared" si="13"/>
        <v>28574.16058202432</v>
      </c>
      <c r="AI153" s="482">
        <f t="shared" si="14"/>
        <v>29945.720289961486</v>
      </c>
      <c r="AJ153" s="482"/>
      <c r="AK153" s="482"/>
      <c r="AL153" s="585">
        <v>118.47</v>
      </c>
      <c r="AM153" s="585">
        <v>6360.663118264707</v>
      </c>
      <c r="AN153" s="581">
        <v>0</v>
      </c>
      <c r="AO153" s="581">
        <f t="shared" si="15"/>
        <v>6479.1331182647073</v>
      </c>
    </row>
    <row r="154" spans="1:41" x14ac:dyDescent="0.3">
      <c r="A154" s="476">
        <v>150000720</v>
      </c>
      <c r="B154" s="477" t="s">
        <v>288</v>
      </c>
      <c r="C154" s="478">
        <v>3569.1</v>
      </c>
      <c r="D154" s="479"/>
      <c r="E154" s="480">
        <v>101</v>
      </c>
      <c r="F154" s="480">
        <v>3670.1</v>
      </c>
      <c r="G154" s="481">
        <v>897.69083998938152</v>
      </c>
      <c r="H154" s="481">
        <v>182.46925384843564</v>
      </c>
      <c r="I154" s="481">
        <v>437.11</v>
      </c>
      <c r="J154" s="481">
        <v>110.37</v>
      </c>
      <c r="K154" s="481">
        <v>0</v>
      </c>
      <c r="L154" s="481">
        <v>378.62332401311141</v>
      </c>
      <c r="M154" s="587">
        <f t="shared" si="11"/>
        <v>0</v>
      </c>
      <c r="N154" s="481">
        <v>1307.7274425010075</v>
      </c>
      <c r="O154" s="481">
        <v>0</v>
      </c>
      <c r="P154" s="481">
        <v>0</v>
      </c>
      <c r="Q154" s="481">
        <v>228.86259703263201</v>
      </c>
      <c r="R154" s="587">
        <f t="shared" si="12"/>
        <v>2555.159785474304</v>
      </c>
      <c r="S154" s="481">
        <v>152.37414712234946</v>
      </c>
      <c r="T154" s="481">
        <v>235.17119945276332</v>
      </c>
      <c r="U154" s="481">
        <v>188.25356238448089</v>
      </c>
      <c r="V154" s="481">
        <v>112.92768791997014</v>
      </c>
      <c r="W154" s="481">
        <v>0</v>
      </c>
      <c r="X154" s="481">
        <v>94.319214922915421</v>
      </c>
      <c r="Y154" s="481">
        <v>0</v>
      </c>
      <c r="Z154" s="481">
        <v>3434.1944816533505</v>
      </c>
      <c r="AA154" s="481">
        <v>1682.2733522782939</v>
      </c>
      <c r="AB154" s="481">
        <v>480.0597033075166</v>
      </c>
      <c r="AC154" s="481">
        <v>204.32407007712027</v>
      </c>
      <c r="AD154" s="481">
        <v>25.153531354190942</v>
      </c>
      <c r="AE154" s="481">
        <v>1193.2422300459987</v>
      </c>
      <c r="AF154" s="481">
        <v>0</v>
      </c>
      <c r="AG154" s="481">
        <v>834.01838540266954</v>
      </c>
      <c r="AH154" s="700">
        <f t="shared" si="13"/>
        <v>13900.306423377822</v>
      </c>
      <c r="AI154" s="482">
        <f t="shared" si="14"/>
        <v>14734.324808780491</v>
      </c>
      <c r="AJ154" s="482"/>
      <c r="AK154" s="482"/>
      <c r="AL154" s="585">
        <v>88.24</v>
      </c>
      <c r="AM154" s="585">
        <v>2466.9197854743043</v>
      </c>
      <c r="AN154" s="581">
        <v>0</v>
      </c>
      <c r="AO154" s="581">
        <f t="shared" si="15"/>
        <v>2555.159785474304</v>
      </c>
    </row>
    <row r="155" spans="1:41" x14ac:dyDescent="0.3">
      <c r="A155" s="476">
        <v>150000721</v>
      </c>
      <c r="B155" s="477" t="s">
        <v>218</v>
      </c>
      <c r="C155" s="478">
        <v>2723.3</v>
      </c>
      <c r="D155" s="479"/>
      <c r="E155" s="480">
        <v>68.599999999999994</v>
      </c>
      <c r="F155" s="480">
        <v>2791.9</v>
      </c>
      <c r="G155" s="481">
        <v>881.38756599671683</v>
      </c>
      <c r="H155" s="481">
        <v>123.75844416963699</v>
      </c>
      <c r="I155" s="481">
        <v>312.66000000000003</v>
      </c>
      <c r="J155" s="481">
        <v>0</v>
      </c>
      <c r="K155" s="481">
        <v>0</v>
      </c>
      <c r="L155" s="481">
        <v>386.55027073225256</v>
      </c>
      <c r="M155" s="587">
        <f t="shared" si="11"/>
        <v>0</v>
      </c>
      <c r="N155" s="481">
        <v>994.80783812935977</v>
      </c>
      <c r="O155" s="481">
        <v>0</v>
      </c>
      <c r="P155" s="481">
        <v>0</v>
      </c>
      <c r="Q155" s="481">
        <v>816.80271699577293</v>
      </c>
      <c r="R155" s="587">
        <f t="shared" si="12"/>
        <v>2637.446074407279</v>
      </c>
      <c r="S155" s="481">
        <v>138.3933635151181</v>
      </c>
      <c r="T155" s="481">
        <v>159.50965981279245</v>
      </c>
      <c r="U155" s="481">
        <v>173.06441722151624</v>
      </c>
      <c r="V155" s="481">
        <v>0</v>
      </c>
      <c r="W155" s="481">
        <v>0</v>
      </c>
      <c r="X155" s="481">
        <v>56.616278627634784</v>
      </c>
      <c r="Y155" s="481">
        <v>0</v>
      </c>
      <c r="Z155" s="481">
        <v>2977.9135633227797</v>
      </c>
      <c r="AA155" s="481">
        <v>1467.5830173698432</v>
      </c>
      <c r="AB155" s="481">
        <v>951.29773179828783</v>
      </c>
      <c r="AC155" s="481">
        <v>0</v>
      </c>
      <c r="AD155" s="481">
        <v>0</v>
      </c>
      <c r="AE155" s="481">
        <v>170.01752035949522</v>
      </c>
      <c r="AF155" s="481">
        <v>0</v>
      </c>
      <c r="AG155" s="481">
        <v>367.43425387375464</v>
      </c>
      <c r="AH155" s="700">
        <f t="shared" si="13"/>
        <v>12247.808462458484</v>
      </c>
      <c r="AI155" s="482">
        <f t="shared" si="14"/>
        <v>12615.242716332239</v>
      </c>
      <c r="AJ155" s="482"/>
      <c r="AK155" s="482"/>
      <c r="AL155" s="585">
        <v>171.06</v>
      </c>
      <c r="AM155" s="585">
        <v>2466.386074407279</v>
      </c>
      <c r="AN155" s="581">
        <v>0</v>
      </c>
      <c r="AO155" s="581">
        <f t="shared" si="15"/>
        <v>2637.446074407279</v>
      </c>
    </row>
    <row r="156" spans="1:41" x14ac:dyDescent="0.3">
      <c r="A156" s="476">
        <v>150000722</v>
      </c>
      <c r="B156" s="477" t="s">
        <v>274</v>
      </c>
      <c r="C156" s="478">
        <v>3559.5</v>
      </c>
      <c r="D156" s="479"/>
      <c r="E156" s="480"/>
      <c r="F156" s="480">
        <v>3559.5</v>
      </c>
      <c r="G156" s="481">
        <v>1016.9301816883667</v>
      </c>
      <c r="H156" s="481">
        <v>172.60596924705948</v>
      </c>
      <c r="I156" s="481">
        <v>406.5</v>
      </c>
      <c r="J156" s="481">
        <v>0</v>
      </c>
      <c r="K156" s="481">
        <v>0</v>
      </c>
      <c r="L156" s="481">
        <v>729.41644233299576</v>
      </c>
      <c r="M156" s="587">
        <f t="shared" si="11"/>
        <v>0</v>
      </c>
      <c r="N156" s="481">
        <v>1268.3185285366437</v>
      </c>
      <c r="O156" s="481">
        <v>0</v>
      </c>
      <c r="P156" s="481">
        <v>0</v>
      </c>
      <c r="Q156" s="481">
        <v>947.01764289364974</v>
      </c>
      <c r="R156" s="587">
        <f t="shared" si="12"/>
        <v>4817.288326851296</v>
      </c>
      <c r="S156" s="481">
        <v>161.7351427124832</v>
      </c>
      <c r="T156" s="481">
        <v>222.44441035159772</v>
      </c>
      <c r="U156" s="481">
        <v>234.98659368582938</v>
      </c>
      <c r="V156" s="481">
        <v>0</v>
      </c>
      <c r="W156" s="481">
        <v>0</v>
      </c>
      <c r="X156" s="481">
        <v>89.755690102530579</v>
      </c>
      <c r="Y156" s="481">
        <v>0</v>
      </c>
      <c r="Z156" s="481">
        <v>2052.5659556832015</v>
      </c>
      <c r="AA156" s="481">
        <v>1461.4408924305224</v>
      </c>
      <c r="AB156" s="481">
        <v>961.04082376091037</v>
      </c>
      <c r="AC156" s="481">
        <v>152.89989792959165</v>
      </c>
      <c r="AD156" s="481">
        <v>18.822904101180793</v>
      </c>
      <c r="AE156" s="481">
        <v>155.97937647660115</v>
      </c>
      <c r="AF156" s="481">
        <v>0</v>
      </c>
      <c r="AG156" s="481">
        <v>535.31095603624055</v>
      </c>
      <c r="AH156" s="700">
        <f t="shared" si="13"/>
        <v>14869.74877878446</v>
      </c>
      <c r="AI156" s="482">
        <f t="shared" si="14"/>
        <v>15405.059734820701</v>
      </c>
      <c r="AJ156" s="482"/>
      <c r="AK156" s="482"/>
      <c r="AL156" s="585">
        <v>98.29</v>
      </c>
      <c r="AM156" s="585">
        <v>4718.998326851296</v>
      </c>
      <c r="AN156" s="581">
        <v>0</v>
      </c>
      <c r="AO156" s="581">
        <f t="shared" si="15"/>
        <v>4817.288326851296</v>
      </c>
    </row>
    <row r="157" spans="1:41" x14ac:dyDescent="0.3">
      <c r="A157" s="476">
        <v>150000723</v>
      </c>
      <c r="B157" s="477" t="s">
        <v>275</v>
      </c>
      <c r="C157" s="478">
        <v>3575.2</v>
      </c>
      <c r="D157" s="479"/>
      <c r="E157" s="480"/>
      <c r="F157" s="480">
        <v>3575.2</v>
      </c>
      <c r="G157" s="481">
        <v>1017.0076215033849</v>
      </c>
      <c r="H157" s="481">
        <v>172.60596924705948</v>
      </c>
      <c r="I157" s="481">
        <v>410.14</v>
      </c>
      <c r="J157" s="481">
        <v>0</v>
      </c>
      <c r="K157" s="481">
        <v>0</v>
      </c>
      <c r="L157" s="481">
        <v>637.87943712877382</v>
      </c>
      <c r="M157" s="587">
        <f t="shared" si="11"/>
        <v>0</v>
      </c>
      <c r="N157" s="481">
        <v>1273.9127414592524</v>
      </c>
      <c r="O157" s="481">
        <v>0</v>
      </c>
      <c r="P157" s="481">
        <v>0</v>
      </c>
      <c r="Q157" s="481">
        <v>947.01764289364974</v>
      </c>
      <c r="R157" s="587">
        <f t="shared" si="12"/>
        <v>4826.7145078622088</v>
      </c>
      <c r="S157" s="481">
        <v>161.76319254251757</v>
      </c>
      <c r="T157" s="481">
        <v>222.44441035159772</v>
      </c>
      <c r="U157" s="481">
        <v>236.39588253679813</v>
      </c>
      <c r="V157" s="481">
        <v>0</v>
      </c>
      <c r="W157" s="481">
        <v>0</v>
      </c>
      <c r="X157" s="481">
        <v>89.759052147660768</v>
      </c>
      <c r="Y157" s="481">
        <v>0</v>
      </c>
      <c r="Z157" s="481">
        <v>2422.5495117876717</v>
      </c>
      <c r="AA157" s="481">
        <v>1578.6424604546442</v>
      </c>
      <c r="AB157" s="481">
        <v>1000.0222908852101</v>
      </c>
      <c r="AC157" s="481">
        <v>211.08911846259113</v>
      </c>
      <c r="AD157" s="481">
        <v>25.98634981073565</v>
      </c>
      <c r="AE157" s="481">
        <v>377.4700910733747</v>
      </c>
      <c r="AF157" s="481">
        <v>0</v>
      </c>
      <c r="AG157" s="481">
        <v>655.67881176617948</v>
      </c>
      <c r="AH157" s="700">
        <f t="shared" si="13"/>
        <v>15611.400280147134</v>
      </c>
      <c r="AI157" s="482">
        <f t="shared" si="14"/>
        <v>16267.079091913314</v>
      </c>
      <c r="AJ157" s="482"/>
      <c r="AK157" s="482"/>
      <c r="AL157" s="585">
        <v>115.36</v>
      </c>
      <c r="AM157" s="585">
        <v>4711.3545078622092</v>
      </c>
      <c r="AN157" s="581">
        <v>0</v>
      </c>
      <c r="AO157" s="581">
        <f t="shared" si="15"/>
        <v>4826.7145078622088</v>
      </c>
    </row>
    <row r="158" spans="1:41" x14ac:dyDescent="0.3">
      <c r="A158" s="476">
        <v>150000724</v>
      </c>
      <c r="B158" s="477" t="s">
        <v>276</v>
      </c>
      <c r="C158" s="478">
        <v>3564.2</v>
      </c>
      <c r="D158" s="479"/>
      <c r="E158" s="480"/>
      <c r="F158" s="480">
        <v>3564.2</v>
      </c>
      <c r="G158" s="481">
        <v>1017.3905576336454</v>
      </c>
      <c r="H158" s="481">
        <v>172.60596924705948</v>
      </c>
      <c r="I158" s="481">
        <v>410.14</v>
      </c>
      <c r="J158" s="481">
        <v>0</v>
      </c>
      <c r="K158" s="481">
        <v>0</v>
      </c>
      <c r="L158" s="481">
        <v>637.87943712877382</v>
      </c>
      <c r="M158" s="587">
        <f t="shared" si="11"/>
        <v>0</v>
      </c>
      <c r="N158" s="481">
        <v>1269.9932292204819</v>
      </c>
      <c r="O158" s="481">
        <v>0</v>
      </c>
      <c r="P158" s="481">
        <v>0</v>
      </c>
      <c r="Q158" s="481">
        <v>947.01764289364974</v>
      </c>
      <c r="R158" s="587">
        <f t="shared" si="12"/>
        <v>4391.5315737902692</v>
      </c>
      <c r="S158" s="481">
        <v>161.73768957262746</v>
      </c>
      <c r="T158" s="481">
        <v>222.44441035159772</v>
      </c>
      <c r="U158" s="481">
        <v>236.39588253679813</v>
      </c>
      <c r="V158" s="481">
        <v>0</v>
      </c>
      <c r="W158" s="481">
        <v>0</v>
      </c>
      <c r="X158" s="481">
        <v>89.759052147660768</v>
      </c>
      <c r="Y158" s="481">
        <v>0</v>
      </c>
      <c r="Z158" s="481">
        <v>2292.8981552576756</v>
      </c>
      <c r="AA158" s="481">
        <v>1529.1528890096697</v>
      </c>
      <c r="AB158" s="481">
        <v>995.66456915331332</v>
      </c>
      <c r="AC158" s="481">
        <v>175.40103712474482</v>
      </c>
      <c r="AD158" s="481">
        <v>21.592930706644722</v>
      </c>
      <c r="AE158" s="481">
        <v>639.51544355406463</v>
      </c>
      <c r="AF158" s="481">
        <v>0</v>
      </c>
      <c r="AG158" s="481">
        <v>912.66722815972071</v>
      </c>
      <c r="AH158" s="700">
        <f t="shared" si="13"/>
        <v>15211.120469328676</v>
      </c>
      <c r="AI158" s="482">
        <f t="shared" si="14"/>
        <v>16123.787697488397</v>
      </c>
      <c r="AJ158" s="482"/>
      <c r="AK158" s="482"/>
      <c r="AL158" s="585">
        <v>98.24</v>
      </c>
      <c r="AM158" s="585">
        <v>4293.2915737902695</v>
      </c>
      <c r="AN158" s="581">
        <v>0</v>
      </c>
      <c r="AO158" s="581">
        <f t="shared" si="15"/>
        <v>4391.5315737902692</v>
      </c>
    </row>
    <row r="159" spans="1:41" x14ac:dyDescent="0.3">
      <c r="A159" s="476">
        <v>150000725</v>
      </c>
      <c r="B159" s="477" t="s">
        <v>277</v>
      </c>
      <c r="C159" s="478">
        <v>3571.96</v>
      </c>
      <c r="D159" s="479"/>
      <c r="E159" s="480"/>
      <c r="F159" s="480">
        <v>3571.96</v>
      </c>
      <c r="G159" s="481">
        <v>1016.9818490770372</v>
      </c>
      <c r="H159" s="481">
        <v>172.60596924705948</v>
      </c>
      <c r="I159" s="481">
        <v>405.76</v>
      </c>
      <c r="J159" s="481">
        <v>0</v>
      </c>
      <c r="K159" s="481">
        <v>0</v>
      </c>
      <c r="L159" s="481">
        <v>637.87943712877382</v>
      </c>
      <c r="M159" s="587">
        <f t="shared" si="11"/>
        <v>0</v>
      </c>
      <c r="N159" s="481">
        <v>1272.7582669452872</v>
      </c>
      <c r="O159" s="481">
        <v>0</v>
      </c>
      <c r="P159" s="481">
        <v>0</v>
      </c>
      <c r="Q159" s="481">
        <v>947.01764289364974</v>
      </c>
      <c r="R159" s="587">
        <f t="shared" si="12"/>
        <v>4811.0862111160404</v>
      </c>
      <c r="S159" s="481">
        <v>161.73768957262746</v>
      </c>
      <c r="T159" s="481">
        <v>222.44441035159772</v>
      </c>
      <c r="U159" s="481">
        <v>234.69993902206198</v>
      </c>
      <c r="V159" s="481">
        <v>0</v>
      </c>
      <c r="W159" s="481">
        <v>0</v>
      </c>
      <c r="X159" s="481">
        <v>89.759052147660768</v>
      </c>
      <c r="Y159" s="481">
        <v>0</v>
      </c>
      <c r="Z159" s="481">
        <v>3098.279243191002</v>
      </c>
      <c r="AA159" s="481">
        <v>1560.3610306660171</v>
      </c>
      <c r="AB159" s="481">
        <v>875.66452010535784</v>
      </c>
      <c r="AC159" s="481">
        <v>174.86179413749713</v>
      </c>
      <c r="AD159" s="481">
        <v>21.526546626775215</v>
      </c>
      <c r="AE159" s="481">
        <v>616.11853708257445</v>
      </c>
      <c r="AF159" s="481">
        <v>0</v>
      </c>
      <c r="AG159" s="481">
        <v>626.67041814954325</v>
      </c>
      <c r="AH159" s="700">
        <f t="shared" si="13"/>
        <v>16319.542139311025</v>
      </c>
      <c r="AI159" s="482">
        <f t="shared" si="14"/>
        <v>16946.212557460567</v>
      </c>
      <c r="AJ159" s="482"/>
      <c r="AK159" s="482"/>
      <c r="AL159" s="585">
        <v>98.24</v>
      </c>
      <c r="AM159" s="585">
        <v>4712.8462111160406</v>
      </c>
      <c r="AN159" s="581">
        <v>0</v>
      </c>
      <c r="AO159" s="581">
        <f t="shared" si="15"/>
        <v>4811.0862111160404</v>
      </c>
    </row>
    <row r="160" spans="1:41" x14ac:dyDescent="0.3">
      <c r="A160" s="476">
        <v>150000726</v>
      </c>
      <c r="B160" s="477" t="s">
        <v>183</v>
      </c>
      <c r="C160" s="478">
        <v>409.7</v>
      </c>
      <c r="D160" s="479"/>
      <c r="E160" s="480"/>
      <c r="F160" s="480">
        <v>409.7</v>
      </c>
      <c r="G160" s="481">
        <v>163.66135172087928</v>
      </c>
      <c r="H160" s="481">
        <v>27.9622758299693</v>
      </c>
      <c r="I160" s="481">
        <v>47.75</v>
      </c>
      <c r="J160" s="481">
        <v>0</v>
      </c>
      <c r="K160" s="481">
        <v>0</v>
      </c>
      <c r="L160" s="481">
        <v>80.359004089472322</v>
      </c>
      <c r="M160" s="587">
        <f t="shared" si="11"/>
        <v>0</v>
      </c>
      <c r="N160" s="481">
        <v>145.98401492947406</v>
      </c>
      <c r="O160" s="481">
        <v>0</v>
      </c>
      <c r="P160" s="481">
        <v>0</v>
      </c>
      <c r="Q160" s="481">
        <v>94.701764289364974</v>
      </c>
      <c r="R160" s="587">
        <f t="shared" si="12"/>
        <v>465.83694795112859</v>
      </c>
      <c r="S160" s="481">
        <v>27.523621395901053</v>
      </c>
      <c r="T160" s="481">
        <v>36.04386687945734</v>
      </c>
      <c r="U160" s="481">
        <v>23.888722067063025</v>
      </c>
      <c r="V160" s="481">
        <v>0</v>
      </c>
      <c r="W160" s="481">
        <v>0</v>
      </c>
      <c r="X160" s="481">
        <v>6.5655994250196654</v>
      </c>
      <c r="Y160" s="481">
        <v>0</v>
      </c>
      <c r="Z160" s="481">
        <v>487.63842136081018</v>
      </c>
      <c r="AA160" s="481">
        <v>290.94966845325627</v>
      </c>
      <c r="AB160" s="481">
        <v>91.613618610373763</v>
      </c>
      <c r="AC160" s="481">
        <v>0</v>
      </c>
      <c r="AD160" s="481">
        <v>0</v>
      </c>
      <c r="AE160" s="481">
        <v>57.712369296342416</v>
      </c>
      <c r="AF160" s="481">
        <v>0</v>
      </c>
      <c r="AG160" s="481">
        <v>0</v>
      </c>
      <c r="AH160" s="700">
        <f t="shared" si="13"/>
        <v>2048.1912462985119</v>
      </c>
      <c r="AI160" s="482">
        <f t="shared" si="14"/>
        <v>2048.1912462985119</v>
      </c>
      <c r="AJ160" s="482"/>
      <c r="AK160" s="482"/>
      <c r="AL160" s="585">
        <v>65.67</v>
      </c>
      <c r="AM160" s="585">
        <v>400.16694795112858</v>
      </c>
      <c r="AN160" s="581">
        <v>0</v>
      </c>
      <c r="AO160" s="581">
        <f t="shared" si="15"/>
        <v>465.83694795112859</v>
      </c>
    </row>
    <row r="161" spans="1:41" x14ac:dyDescent="0.3">
      <c r="A161" s="476">
        <v>150000727</v>
      </c>
      <c r="B161" s="477" t="s">
        <v>128</v>
      </c>
      <c r="C161" s="478">
        <v>188.44</v>
      </c>
      <c r="D161" s="483"/>
      <c r="E161" s="480"/>
      <c r="F161" s="480">
        <v>188.44</v>
      </c>
      <c r="G161" s="481">
        <v>0</v>
      </c>
      <c r="H161" s="481">
        <v>0</v>
      </c>
      <c r="I161" s="481">
        <v>0</v>
      </c>
      <c r="J161" s="481">
        <v>0</v>
      </c>
      <c r="K161" s="481">
        <v>0</v>
      </c>
      <c r="L161" s="481">
        <v>0</v>
      </c>
      <c r="M161" s="587">
        <f t="shared" si="11"/>
        <v>0</v>
      </c>
      <c r="N161" s="481">
        <v>0</v>
      </c>
      <c r="O161" s="481">
        <v>0</v>
      </c>
      <c r="P161" s="481">
        <v>0</v>
      </c>
      <c r="Q161" s="481">
        <v>59.188602680853108</v>
      </c>
      <c r="R161" s="587">
        <f t="shared" si="12"/>
        <v>203.80969307552482</v>
      </c>
      <c r="S161" s="481">
        <v>0</v>
      </c>
      <c r="T161" s="481">
        <v>0</v>
      </c>
      <c r="U161" s="481">
        <v>0</v>
      </c>
      <c r="V161" s="481">
        <v>0</v>
      </c>
      <c r="W161" s="481">
        <v>0</v>
      </c>
      <c r="X161" s="481">
        <v>0</v>
      </c>
      <c r="Y161" s="481">
        <v>0</v>
      </c>
      <c r="Z161" s="481">
        <v>31.902681005596676</v>
      </c>
      <c r="AA161" s="481">
        <v>0</v>
      </c>
      <c r="AB161" s="481">
        <v>0</v>
      </c>
      <c r="AC161" s="481">
        <v>0</v>
      </c>
      <c r="AD161" s="481">
        <v>0</v>
      </c>
      <c r="AE161" s="481">
        <v>0</v>
      </c>
      <c r="AF161" s="481">
        <v>0</v>
      </c>
      <c r="AG161" s="481">
        <v>8.8470293028592391</v>
      </c>
      <c r="AH161" s="700">
        <f t="shared" si="13"/>
        <v>294.90097676197462</v>
      </c>
      <c r="AI161" s="482">
        <f t="shared" si="14"/>
        <v>303.74800606483387</v>
      </c>
      <c r="AJ161" s="482"/>
      <c r="AK161" s="482"/>
      <c r="AL161" s="585">
        <v>29.36</v>
      </c>
      <c r="AM161" s="585">
        <v>174.44969307552483</v>
      </c>
      <c r="AN161" s="581">
        <v>0</v>
      </c>
      <c r="AO161" s="581">
        <f t="shared" si="15"/>
        <v>203.80969307552482</v>
      </c>
    </row>
    <row r="162" spans="1:41" x14ac:dyDescent="0.3">
      <c r="A162" s="476">
        <v>150000728</v>
      </c>
      <c r="B162" s="477" t="s">
        <v>184</v>
      </c>
      <c r="C162" s="478">
        <v>386.5</v>
      </c>
      <c r="D162" s="479"/>
      <c r="E162" s="480">
        <v>64.099999999999994</v>
      </c>
      <c r="F162" s="480">
        <v>450.6</v>
      </c>
      <c r="G162" s="481">
        <v>166.75538348107858</v>
      </c>
      <c r="H162" s="481">
        <v>27.9622758299693</v>
      </c>
      <c r="I162" s="481">
        <v>53.76</v>
      </c>
      <c r="J162" s="481">
        <v>0</v>
      </c>
      <c r="K162" s="481">
        <v>0</v>
      </c>
      <c r="L162" s="481">
        <v>80.359004089472322</v>
      </c>
      <c r="M162" s="587">
        <f t="shared" si="11"/>
        <v>0</v>
      </c>
      <c r="N162" s="481">
        <v>160.55747407181113</v>
      </c>
      <c r="O162" s="481">
        <v>0</v>
      </c>
      <c r="P162" s="481">
        <v>0</v>
      </c>
      <c r="Q162" s="481">
        <v>82.864043753194352</v>
      </c>
      <c r="R162" s="587">
        <f t="shared" si="12"/>
        <v>334.97400554976088</v>
      </c>
      <c r="S162" s="481">
        <v>29.109441766525801</v>
      </c>
      <c r="T162" s="481">
        <v>36.04386687945734</v>
      </c>
      <c r="U162" s="481">
        <v>26.930452682025226</v>
      </c>
      <c r="V162" s="481">
        <v>0</v>
      </c>
      <c r="W162" s="481">
        <v>0</v>
      </c>
      <c r="X162" s="481">
        <v>6.5655994250196654</v>
      </c>
      <c r="Y162" s="481">
        <v>0</v>
      </c>
      <c r="Z162" s="481">
        <v>499.192911361808</v>
      </c>
      <c r="AA162" s="481">
        <v>401.4640064408232</v>
      </c>
      <c r="AB162" s="481">
        <v>88.925483131915925</v>
      </c>
      <c r="AC162" s="481">
        <v>0</v>
      </c>
      <c r="AD162" s="481">
        <v>0</v>
      </c>
      <c r="AE162" s="481">
        <v>79.549482003066572</v>
      </c>
      <c r="AF162" s="481">
        <v>0</v>
      </c>
      <c r="AG162" s="481">
        <v>62.250402913977851</v>
      </c>
      <c r="AH162" s="700">
        <f t="shared" si="13"/>
        <v>2075.0134304659282</v>
      </c>
      <c r="AI162" s="482">
        <f t="shared" si="14"/>
        <v>2137.2638333799059</v>
      </c>
      <c r="AJ162" s="482"/>
      <c r="AK162" s="482"/>
      <c r="AL162" s="585">
        <v>65.67</v>
      </c>
      <c r="AM162" s="585">
        <v>269.30400554976086</v>
      </c>
      <c r="AN162" s="581">
        <v>0</v>
      </c>
      <c r="AO162" s="581">
        <f t="shared" si="15"/>
        <v>334.97400554976088</v>
      </c>
    </row>
    <row r="163" spans="1:41" x14ac:dyDescent="0.3">
      <c r="A163" s="476">
        <v>150000729</v>
      </c>
      <c r="B163" s="477" t="s">
        <v>273</v>
      </c>
      <c r="C163" s="478">
        <v>2102.6</v>
      </c>
      <c r="D163" s="479"/>
      <c r="E163" s="480"/>
      <c r="F163" s="480">
        <v>2102.6</v>
      </c>
      <c r="G163" s="481">
        <v>706.17489879609354</v>
      </c>
      <c r="H163" s="481">
        <v>149.64949476893074</v>
      </c>
      <c r="I163" s="481">
        <v>261.98</v>
      </c>
      <c r="J163" s="481">
        <v>0</v>
      </c>
      <c r="K163" s="481">
        <v>0</v>
      </c>
      <c r="L163" s="481">
        <v>469.86357601964829</v>
      </c>
      <c r="M163" s="587">
        <f t="shared" si="11"/>
        <v>0</v>
      </c>
      <c r="N163" s="481">
        <v>749.1969484762318</v>
      </c>
      <c r="O163" s="481">
        <v>0</v>
      </c>
      <c r="P163" s="481">
        <v>0</v>
      </c>
      <c r="Q163" s="481">
        <v>473.50882144682487</v>
      </c>
      <c r="R163" s="587">
        <f t="shared" si="12"/>
        <v>2346.5508556891118</v>
      </c>
      <c r="S163" s="481">
        <v>124.90229499772016</v>
      </c>
      <c r="T163" s="481">
        <v>192.86836255487205</v>
      </c>
      <c r="U163" s="481">
        <v>112.51618710358807</v>
      </c>
      <c r="V163" s="481">
        <v>0</v>
      </c>
      <c r="W163" s="481">
        <v>0</v>
      </c>
      <c r="X163" s="481">
        <v>64.480016574972723</v>
      </c>
      <c r="Y163" s="481">
        <v>0</v>
      </c>
      <c r="Z163" s="481">
        <v>1087.1599869679007</v>
      </c>
      <c r="AA163" s="481">
        <v>963.23728111622358</v>
      </c>
      <c r="AB163" s="481">
        <v>439.65541583043097</v>
      </c>
      <c r="AC163" s="481">
        <v>92.651749627101069</v>
      </c>
      <c r="AD163" s="481">
        <v>11.40599190485146</v>
      </c>
      <c r="AE163" s="481">
        <v>226.17009589107158</v>
      </c>
      <c r="AF163" s="481">
        <v>0</v>
      </c>
      <c r="AG163" s="481">
        <v>508.3183186659345</v>
      </c>
      <c r="AH163" s="700">
        <f t="shared" si="13"/>
        <v>8471.9719777655755</v>
      </c>
      <c r="AI163" s="482">
        <f t="shared" si="14"/>
        <v>8980.2902964315108</v>
      </c>
      <c r="AJ163" s="482"/>
      <c r="AK163" s="482"/>
      <c r="AL163" s="585">
        <v>65.67</v>
      </c>
      <c r="AM163" s="585">
        <v>2280.8808556891117</v>
      </c>
      <c r="AN163" s="581">
        <v>0</v>
      </c>
      <c r="AO163" s="581">
        <f t="shared" si="15"/>
        <v>2346.5508556891118</v>
      </c>
    </row>
    <row r="164" spans="1:41" x14ac:dyDescent="0.3">
      <c r="A164" s="476">
        <v>150000736</v>
      </c>
      <c r="B164" s="477" t="s">
        <v>219</v>
      </c>
      <c r="C164" s="478">
        <v>2653.7</v>
      </c>
      <c r="D164" s="479"/>
      <c r="E164" s="480">
        <v>193.2</v>
      </c>
      <c r="F164" s="480">
        <v>2846.8999999999996</v>
      </c>
      <c r="G164" s="481">
        <v>751.25930480273246</v>
      </c>
      <c r="H164" s="481">
        <v>152.48515130990077</v>
      </c>
      <c r="I164" s="481">
        <v>326.39</v>
      </c>
      <c r="J164" s="481">
        <v>0</v>
      </c>
      <c r="K164" s="481">
        <v>0</v>
      </c>
      <c r="L164" s="481">
        <v>574.90610676792426</v>
      </c>
      <c r="M164" s="587">
        <f t="shared" si="11"/>
        <v>0</v>
      </c>
      <c r="N164" s="481">
        <v>1014.4053993232113</v>
      </c>
      <c r="O164" s="481">
        <v>0</v>
      </c>
      <c r="P164" s="481">
        <v>0</v>
      </c>
      <c r="Q164" s="481">
        <v>745.77639377874925</v>
      </c>
      <c r="R164" s="587">
        <f t="shared" si="12"/>
        <v>2884.6647733737409</v>
      </c>
      <c r="S164" s="481">
        <v>114.06340509652992</v>
      </c>
      <c r="T164" s="481">
        <v>196.51984768885862</v>
      </c>
      <c r="U164" s="481">
        <v>183.91665868800388</v>
      </c>
      <c r="V164" s="481">
        <v>0</v>
      </c>
      <c r="W164" s="481">
        <v>0</v>
      </c>
      <c r="X164" s="481">
        <v>79.556582079145102</v>
      </c>
      <c r="Y164" s="481">
        <v>0</v>
      </c>
      <c r="Z164" s="481">
        <v>1359.083874349571</v>
      </c>
      <c r="AA164" s="481">
        <v>1596.8128587979577</v>
      </c>
      <c r="AB164" s="481">
        <v>723.24233471547188</v>
      </c>
      <c r="AC164" s="481">
        <v>49.879976320410236</v>
      </c>
      <c r="AD164" s="481">
        <v>6.140527387929291</v>
      </c>
      <c r="AE164" s="481">
        <v>244.88762106826377</v>
      </c>
      <c r="AF164" s="481">
        <v>0</v>
      </c>
      <c r="AG164" s="481">
        <v>330.119724466452</v>
      </c>
      <c r="AH164" s="700">
        <f t="shared" si="13"/>
        <v>11003.990815548401</v>
      </c>
      <c r="AI164" s="482">
        <f t="shared" si="14"/>
        <v>11334.110540014854</v>
      </c>
      <c r="AJ164" s="482"/>
      <c r="AK164" s="482"/>
      <c r="AL164" s="585">
        <v>239.68</v>
      </c>
      <c r="AM164" s="585">
        <v>2644.9847733737411</v>
      </c>
      <c r="AN164" s="581">
        <v>0</v>
      </c>
      <c r="AO164" s="581">
        <f t="shared" si="15"/>
        <v>2884.6647733737409</v>
      </c>
    </row>
    <row r="165" spans="1:41" x14ac:dyDescent="0.3">
      <c r="A165" s="476">
        <v>150000737</v>
      </c>
      <c r="B165" s="477" t="s">
        <v>221</v>
      </c>
      <c r="C165" s="478">
        <v>2311.4</v>
      </c>
      <c r="D165" s="479"/>
      <c r="E165" s="480">
        <v>261.7</v>
      </c>
      <c r="F165" s="480">
        <v>2573.1</v>
      </c>
      <c r="G165" s="481">
        <v>838.66357309552382</v>
      </c>
      <c r="H165" s="481">
        <v>151.10456594629179</v>
      </c>
      <c r="I165" s="481">
        <v>344.6</v>
      </c>
      <c r="J165" s="481">
        <v>0</v>
      </c>
      <c r="K165" s="481">
        <v>0</v>
      </c>
      <c r="L165" s="481">
        <v>563.3392452542904</v>
      </c>
      <c r="M165" s="587">
        <f t="shared" si="11"/>
        <v>0</v>
      </c>
      <c r="N165" s="481">
        <v>916.84517650727298</v>
      </c>
      <c r="O165" s="481">
        <v>0</v>
      </c>
      <c r="P165" s="481">
        <v>0</v>
      </c>
      <c r="Q165" s="481">
        <v>686.58779109789612</v>
      </c>
      <c r="R165" s="587">
        <f t="shared" si="12"/>
        <v>3238.1130603132824</v>
      </c>
      <c r="S165" s="481">
        <v>135.91578418466173</v>
      </c>
      <c r="T165" s="481">
        <v>194.77178437479566</v>
      </c>
      <c r="U165" s="481">
        <v>119.82105265671484</v>
      </c>
      <c r="V165" s="481">
        <v>0</v>
      </c>
      <c r="W165" s="481">
        <v>0</v>
      </c>
      <c r="X165" s="481">
        <v>77.811006105288172</v>
      </c>
      <c r="Y165" s="481">
        <v>0</v>
      </c>
      <c r="Z165" s="481">
        <v>1130.4086381819739</v>
      </c>
      <c r="AA165" s="481">
        <v>1222.2253986456074</v>
      </c>
      <c r="AB165" s="481">
        <v>608.55117810313709</v>
      </c>
      <c r="AC165" s="481">
        <v>81.646290478273471</v>
      </c>
      <c r="AD165" s="481">
        <v>10.051153183878363</v>
      </c>
      <c r="AE165" s="481">
        <v>335.35565942469236</v>
      </c>
      <c r="AF165" s="481">
        <v>0</v>
      </c>
      <c r="AG165" s="481">
        <v>191.80460443596439</v>
      </c>
      <c r="AH165" s="700">
        <f t="shared" si="13"/>
        <v>10655.811357553579</v>
      </c>
      <c r="AI165" s="482">
        <f t="shared" si="14"/>
        <v>10847.615961989544</v>
      </c>
      <c r="AJ165" s="482"/>
      <c r="AK165" s="482"/>
      <c r="AL165" s="585">
        <v>100.88</v>
      </c>
      <c r="AM165" s="585">
        <v>3137.2330603132823</v>
      </c>
      <c r="AN165" s="581">
        <v>0</v>
      </c>
      <c r="AO165" s="581">
        <f t="shared" si="15"/>
        <v>3238.1130603132824</v>
      </c>
    </row>
    <row r="166" spans="1:41" x14ac:dyDescent="0.3">
      <c r="A166" s="476">
        <v>150000738</v>
      </c>
      <c r="B166" s="477" t="s">
        <v>289</v>
      </c>
      <c r="C166" s="478">
        <v>3567.9</v>
      </c>
      <c r="D166" s="479"/>
      <c r="E166" s="480"/>
      <c r="F166" s="480">
        <v>3567.9</v>
      </c>
      <c r="G166" s="481">
        <v>1017.5186486259605</v>
      </c>
      <c r="H166" s="481">
        <v>172.65536776916949</v>
      </c>
      <c r="I166" s="481">
        <v>435.18</v>
      </c>
      <c r="J166" s="481">
        <v>0</v>
      </c>
      <c r="K166" s="481">
        <v>0</v>
      </c>
      <c r="L166" s="481">
        <v>635.77294811788488</v>
      </c>
      <c r="M166" s="587">
        <f t="shared" si="11"/>
        <v>0</v>
      </c>
      <c r="N166" s="481">
        <v>1271.3116106098867</v>
      </c>
      <c r="O166" s="481">
        <v>0</v>
      </c>
      <c r="P166" s="481">
        <v>0</v>
      </c>
      <c r="Q166" s="481">
        <v>947.01764289364974</v>
      </c>
      <c r="R166" s="587">
        <f t="shared" si="12"/>
        <v>4781.2032770524593</v>
      </c>
      <c r="S166" s="481">
        <v>161.7682498598364</v>
      </c>
      <c r="T166" s="481">
        <v>222.52208960452802</v>
      </c>
      <c r="U166" s="481">
        <v>222.93418454389931</v>
      </c>
      <c r="V166" s="481">
        <v>0</v>
      </c>
      <c r="W166" s="481">
        <v>0</v>
      </c>
      <c r="X166" s="481">
        <v>89.791092673937868</v>
      </c>
      <c r="Y166" s="481">
        <v>0</v>
      </c>
      <c r="Z166" s="481">
        <v>2429.0674559475679</v>
      </c>
      <c r="AA166" s="481">
        <v>1497.6245108470146</v>
      </c>
      <c r="AB166" s="481">
        <v>725.67583288767514</v>
      </c>
      <c r="AC166" s="481">
        <v>173.14602099625449</v>
      </c>
      <c r="AD166" s="481">
        <v>21.31532455446315</v>
      </c>
      <c r="AE166" s="481">
        <v>477.29689201839949</v>
      </c>
      <c r="AF166" s="481">
        <v>0</v>
      </c>
      <c r="AG166" s="481">
        <v>550.14484136409305</v>
      </c>
      <c r="AH166" s="700">
        <f t="shared" si="13"/>
        <v>15281.801149002591</v>
      </c>
      <c r="AI166" s="482">
        <f t="shared" si="14"/>
        <v>15831.945990366685</v>
      </c>
      <c r="AJ166" s="482"/>
      <c r="AK166" s="482"/>
      <c r="AL166" s="585">
        <v>98.29</v>
      </c>
      <c r="AM166" s="585">
        <v>4682.9132770524593</v>
      </c>
      <c r="AN166" s="581">
        <v>0</v>
      </c>
      <c r="AO166" s="581">
        <f t="shared" si="15"/>
        <v>4781.2032770524593</v>
      </c>
    </row>
    <row r="167" spans="1:41" x14ac:dyDescent="0.3">
      <c r="A167" s="476">
        <v>150000739</v>
      </c>
      <c r="B167" s="477" t="s">
        <v>222</v>
      </c>
      <c r="C167" s="478">
        <v>3340.7</v>
      </c>
      <c r="D167" s="479"/>
      <c r="E167" s="480">
        <v>291</v>
      </c>
      <c r="F167" s="480">
        <v>3631.7</v>
      </c>
      <c r="G167" s="481">
        <v>1073.1282517674681</v>
      </c>
      <c r="H167" s="481">
        <v>192.01187693200856</v>
      </c>
      <c r="I167" s="481">
        <v>424.61</v>
      </c>
      <c r="J167" s="481">
        <v>0</v>
      </c>
      <c r="K167" s="481">
        <v>0</v>
      </c>
      <c r="L167" s="481">
        <v>839.87498258224605</v>
      </c>
      <c r="M167" s="587">
        <f t="shared" si="11"/>
        <v>0</v>
      </c>
      <c r="N167" s="481">
        <v>1294.0447815947546</v>
      </c>
      <c r="O167" s="481">
        <v>0</v>
      </c>
      <c r="P167" s="481">
        <v>0</v>
      </c>
      <c r="Q167" s="481">
        <v>887.8290402127966</v>
      </c>
      <c r="R167" s="587">
        <f t="shared" si="12"/>
        <v>3755.2418244970704</v>
      </c>
      <c r="S167" s="481">
        <v>173.32071776554469</v>
      </c>
      <c r="T167" s="481">
        <v>247.48037211598327</v>
      </c>
      <c r="U167" s="481">
        <v>213.95418402251397</v>
      </c>
      <c r="V167" s="481">
        <v>0</v>
      </c>
      <c r="W167" s="481">
        <v>0</v>
      </c>
      <c r="X167" s="481">
        <v>114.80447262753619</v>
      </c>
      <c r="Y167" s="481">
        <v>0</v>
      </c>
      <c r="Z167" s="481">
        <v>2068.4373782830621</v>
      </c>
      <c r="AA167" s="481">
        <v>1766.5154864718077</v>
      </c>
      <c r="AB167" s="481">
        <v>1021.025971505965</v>
      </c>
      <c r="AC167" s="481">
        <v>227.36445225952104</v>
      </c>
      <c r="AD167" s="481">
        <v>27.989942039524376</v>
      </c>
      <c r="AE167" s="481">
        <v>285.44225895218005</v>
      </c>
      <c r="AF167" s="481">
        <v>0</v>
      </c>
      <c r="AG167" s="481">
        <v>438.3922798088995</v>
      </c>
      <c r="AH167" s="700">
        <f t="shared" si="13"/>
        <v>14613.075993629982</v>
      </c>
      <c r="AI167" s="482">
        <f t="shared" si="14"/>
        <v>15051.468273438881</v>
      </c>
      <c r="AJ167" s="482"/>
      <c r="AK167" s="482"/>
      <c r="AL167" s="585">
        <v>163.44</v>
      </c>
      <c r="AM167" s="585">
        <v>3591.8018244970704</v>
      </c>
      <c r="AN167" s="581">
        <v>0</v>
      </c>
      <c r="AO167" s="581">
        <f t="shared" si="15"/>
        <v>3755.2418244970704</v>
      </c>
    </row>
    <row r="168" spans="1:41" x14ac:dyDescent="0.3">
      <c r="A168" s="476">
        <v>150000740</v>
      </c>
      <c r="B168" s="477" t="s">
        <v>197</v>
      </c>
      <c r="C168" s="478">
        <v>1236.8</v>
      </c>
      <c r="D168" s="479"/>
      <c r="E168" s="480">
        <v>129.30000000000001</v>
      </c>
      <c r="F168" s="480">
        <v>1366.1</v>
      </c>
      <c r="G168" s="481">
        <v>466.79082226353336</v>
      </c>
      <c r="H168" s="481">
        <v>116.50899248097269</v>
      </c>
      <c r="I168" s="481">
        <v>165.15</v>
      </c>
      <c r="J168" s="481">
        <v>0</v>
      </c>
      <c r="K168" s="481">
        <v>0</v>
      </c>
      <c r="L168" s="481">
        <v>327.78858588554124</v>
      </c>
      <c r="M168" s="587">
        <f t="shared" si="11"/>
        <v>0</v>
      </c>
      <c r="N168" s="481">
        <v>486.76778812583478</v>
      </c>
      <c r="O168" s="481">
        <v>0</v>
      </c>
      <c r="P168" s="481">
        <v>0</v>
      </c>
      <c r="Q168" s="481">
        <v>236.75441072341243</v>
      </c>
      <c r="R168" s="587">
        <f t="shared" si="12"/>
        <v>1348.3259888840269</v>
      </c>
      <c r="S168" s="481">
        <v>83.481589480305374</v>
      </c>
      <c r="T168" s="481">
        <v>150.14790921903517</v>
      </c>
      <c r="U168" s="481">
        <v>80.324930802706078</v>
      </c>
      <c r="V168" s="481">
        <v>0</v>
      </c>
      <c r="W168" s="481">
        <v>0</v>
      </c>
      <c r="X168" s="481">
        <v>40.007387285549711</v>
      </c>
      <c r="Y168" s="481">
        <v>0</v>
      </c>
      <c r="Z168" s="481">
        <v>1116.988553922939</v>
      </c>
      <c r="AA168" s="481">
        <v>1028.5839031169348</v>
      </c>
      <c r="AB168" s="481">
        <v>528.24400635587426</v>
      </c>
      <c r="AC168" s="481">
        <v>84.563104818385909</v>
      </c>
      <c r="AD168" s="481">
        <v>10.410230706808871</v>
      </c>
      <c r="AE168" s="481">
        <v>99.826800945024729</v>
      </c>
      <c r="AF168" s="481">
        <v>0</v>
      </c>
      <c r="AG168" s="481">
        <v>191.11995015050658</v>
      </c>
      <c r="AH168" s="700">
        <f t="shared" si="13"/>
        <v>6370.6650050168855</v>
      </c>
      <c r="AI168" s="482">
        <f t="shared" si="14"/>
        <v>6561.7849551673917</v>
      </c>
      <c r="AJ168" s="482"/>
      <c r="AK168" s="482"/>
      <c r="AL168" s="585">
        <v>73.84</v>
      </c>
      <c r="AM168" s="585">
        <v>1274.4859888840269</v>
      </c>
      <c r="AN168" s="581">
        <v>0</v>
      </c>
      <c r="AO168" s="581">
        <f t="shared" si="15"/>
        <v>1348.3259888840269</v>
      </c>
    </row>
    <row r="169" spans="1:41" x14ac:dyDescent="0.3">
      <c r="A169" s="476">
        <v>150000741</v>
      </c>
      <c r="B169" s="477" t="s">
        <v>224</v>
      </c>
      <c r="C169" s="478">
        <v>2273.5</v>
      </c>
      <c r="D169" s="479"/>
      <c r="E169" s="480">
        <v>320.8</v>
      </c>
      <c r="F169" s="480">
        <v>2594.3000000000002</v>
      </c>
      <c r="G169" s="481">
        <v>833.96175561878999</v>
      </c>
      <c r="H169" s="481">
        <v>131.5010641729026</v>
      </c>
      <c r="I169" s="481">
        <v>303.32</v>
      </c>
      <c r="J169" s="481">
        <v>0</v>
      </c>
      <c r="K169" s="481">
        <v>0</v>
      </c>
      <c r="L169" s="481">
        <v>546.32968263419446</v>
      </c>
      <c r="M169" s="587">
        <f t="shared" si="11"/>
        <v>0</v>
      </c>
      <c r="N169" s="481">
        <v>924.39914554926679</v>
      </c>
      <c r="O169" s="481">
        <v>0</v>
      </c>
      <c r="P169" s="481">
        <v>0</v>
      </c>
      <c r="Q169" s="481">
        <v>662.91235002555482</v>
      </c>
      <c r="R169" s="587">
        <f t="shared" si="12"/>
        <v>2745.5302503397943</v>
      </c>
      <c r="S169" s="481">
        <v>135.66276242088372</v>
      </c>
      <c r="T169" s="481">
        <v>169.47360552365001</v>
      </c>
      <c r="U169" s="481">
        <v>149.70118991864561</v>
      </c>
      <c r="V169" s="481">
        <v>0</v>
      </c>
      <c r="W169" s="481">
        <v>0</v>
      </c>
      <c r="X169" s="481">
        <v>74.217104454239035</v>
      </c>
      <c r="Y169" s="481">
        <v>0</v>
      </c>
      <c r="Z169" s="481">
        <v>2292.4617000510798</v>
      </c>
      <c r="AA169" s="481">
        <v>1469.0269645577946</v>
      </c>
      <c r="AB169" s="481">
        <v>691.83087619295929</v>
      </c>
      <c r="AC169" s="481">
        <v>0</v>
      </c>
      <c r="AD169" s="481">
        <v>0</v>
      </c>
      <c r="AE169" s="481">
        <v>137.26185129940899</v>
      </c>
      <c r="AF169" s="481">
        <v>0</v>
      </c>
      <c r="AG169" s="481">
        <v>338.02770908277489</v>
      </c>
      <c r="AH169" s="700">
        <f t="shared" si="13"/>
        <v>11267.590302759163</v>
      </c>
      <c r="AI169" s="482">
        <f t="shared" si="14"/>
        <v>11605.618011841938</v>
      </c>
      <c r="AJ169" s="482"/>
      <c r="AK169" s="482"/>
      <c r="AL169" s="585">
        <v>171.06</v>
      </c>
      <c r="AM169" s="585">
        <v>2574.4702503397943</v>
      </c>
      <c r="AN169" s="581">
        <v>0</v>
      </c>
      <c r="AO169" s="581">
        <f t="shared" si="15"/>
        <v>2745.5302503397943</v>
      </c>
    </row>
    <row r="170" spans="1:41" x14ac:dyDescent="0.3">
      <c r="A170" s="476">
        <v>150000742</v>
      </c>
      <c r="B170" s="477" t="s">
        <v>290</v>
      </c>
      <c r="C170" s="478">
        <v>1700.4</v>
      </c>
      <c r="D170" s="479"/>
      <c r="E170" s="480">
        <v>169</v>
      </c>
      <c r="F170" s="480">
        <v>1869.4</v>
      </c>
      <c r="G170" s="481">
        <v>514.95559226784019</v>
      </c>
      <c r="H170" s="481">
        <v>97.374347791716815</v>
      </c>
      <c r="I170" s="481">
        <v>214.92</v>
      </c>
      <c r="J170" s="481">
        <v>0</v>
      </c>
      <c r="K170" s="481">
        <v>0</v>
      </c>
      <c r="L170" s="481">
        <v>273.77470678809266</v>
      </c>
      <c r="M170" s="587">
        <f t="shared" si="11"/>
        <v>0</v>
      </c>
      <c r="N170" s="481">
        <v>666.10328901430034</v>
      </c>
      <c r="O170" s="481">
        <v>0</v>
      </c>
      <c r="P170" s="481">
        <v>0</v>
      </c>
      <c r="Q170" s="481">
        <v>414.32021876597179</v>
      </c>
      <c r="R170" s="587">
        <f t="shared" si="12"/>
        <v>1844.0270646987535</v>
      </c>
      <c r="S170" s="481">
        <v>85.112918092962431</v>
      </c>
      <c r="T170" s="481">
        <v>125.50034371930118</v>
      </c>
      <c r="U170" s="481">
        <v>110.38941032662208</v>
      </c>
      <c r="V170" s="481">
        <v>0</v>
      </c>
      <c r="W170" s="481">
        <v>0</v>
      </c>
      <c r="X170" s="481">
        <v>34.950005618439846</v>
      </c>
      <c r="Y170" s="481">
        <v>0</v>
      </c>
      <c r="Z170" s="481">
        <v>1316.327273645318</v>
      </c>
      <c r="AA170" s="481">
        <v>752.82377640194534</v>
      </c>
      <c r="AB170" s="481">
        <v>727.02340331356504</v>
      </c>
      <c r="AC170" s="481">
        <v>124.51610796446388</v>
      </c>
      <c r="AD170" s="481">
        <v>15.328687533504075</v>
      </c>
      <c r="AE170" s="481">
        <v>311.95875295320229</v>
      </c>
      <c r="AF170" s="481">
        <v>0</v>
      </c>
      <c r="AG170" s="481">
        <v>183.10574157350396</v>
      </c>
      <c r="AH170" s="700">
        <f t="shared" si="13"/>
        <v>7629.4058988959987</v>
      </c>
      <c r="AI170" s="482">
        <f t="shared" si="14"/>
        <v>7812.5116404695027</v>
      </c>
      <c r="AJ170" s="482"/>
      <c r="AK170" s="482"/>
      <c r="AL170" s="585">
        <v>65.760000000000005</v>
      </c>
      <c r="AM170" s="585">
        <v>1778.2670646987535</v>
      </c>
      <c r="AN170" s="581">
        <v>0</v>
      </c>
      <c r="AO170" s="581">
        <f t="shared" si="15"/>
        <v>1844.0270646987535</v>
      </c>
    </row>
    <row r="171" spans="1:41" x14ac:dyDescent="0.3">
      <c r="A171" s="476">
        <v>150000743</v>
      </c>
      <c r="B171" s="477" t="s">
        <v>220</v>
      </c>
      <c r="C171" s="478">
        <v>1773.9</v>
      </c>
      <c r="D171" s="479"/>
      <c r="E171" s="480">
        <v>522.79999999999995</v>
      </c>
      <c r="F171" s="480">
        <v>2296.6999999999998</v>
      </c>
      <c r="G171" s="481">
        <v>647.24595706764933</v>
      </c>
      <c r="H171" s="481">
        <v>114.09283534735087</v>
      </c>
      <c r="I171" s="481">
        <v>237.16</v>
      </c>
      <c r="J171" s="481">
        <v>0</v>
      </c>
      <c r="K171" s="481">
        <v>0</v>
      </c>
      <c r="L171" s="481">
        <v>384.2759499337435</v>
      </c>
      <c r="M171" s="587">
        <f t="shared" si="11"/>
        <v>0</v>
      </c>
      <c r="N171" s="481">
        <v>818.35852352580685</v>
      </c>
      <c r="O171" s="481">
        <v>0</v>
      </c>
      <c r="P171" s="481">
        <v>0</v>
      </c>
      <c r="Q171" s="481">
        <v>509.02198305533676</v>
      </c>
      <c r="R171" s="587">
        <f t="shared" si="12"/>
        <v>2046.8896386218403</v>
      </c>
      <c r="S171" s="481">
        <v>104.81973325624529</v>
      </c>
      <c r="T171" s="481">
        <v>147.06935818352997</v>
      </c>
      <c r="U171" s="481">
        <v>107.55766119520447</v>
      </c>
      <c r="V171" s="481">
        <v>0</v>
      </c>
      <c r="W171" s="481">
        <v>0</v>
      </c>
      <c r="X171" s="481">
        <v>51.59605293163164</v>
      </c>
      <c r="Y171" s="481">
        <v>0</v>
      </c>
      <c r="Z171" s="481">
        <v>989.72074919818658</v>
      </c>
      <c r="AA171" s="481">
        <v>970.4681233696723</v>
      </c>
      <c r="AB171" s="481">
        <v>643.33943409597589</v>
      </c>
      <c r="AC171" s="481">
        <v>137.40891756865838</v>
      </c>
      <c r="AD171" s="481">
        <v>16.915870534020442</v>
      </c>
      <c r="AE171" s="481">
        <v>37.435050354384266</v>
      </c>
      <c r="AF171" s="481">
        <v>0</v>
      </c>
      <c r="AG171" s="481">
        <v>238.9012751471771</v>
      </c>
      <c r="AH171" s="700">
        <f t="shared" si="13"/>
        <v>7963.3758382392361</v>
      </c>
      <c r="AI171" s="482">
        <f t="shared" si="14"/>
        <v>8202.2771133864135</v>
      </c>
      <c r="AJ171" s="482"/>
      <c r="AK171" s="482"/>
      <c r="AL171" s="585">
        <v>98.26</v>
      </c>
      <c r="AM171" s="585">
        <v>1948.6296386218403</v>
      </c>
      <c r="AN171" s="581">
        <v>0</v>
      </c>
      <c r="AO171" s="581">
        <f t="shared" si="15"/>
        <v>2046.8896386218403</v>
      </c>
    </row>
    <row r="172" spans="1:41" x14ac:dyDescent="0.3">
      <c r="A172" s="476">
        <v>150000744</v>
      </c>
      <c r="B172" s="477" t="s">
        <v>223</v>
      </c>
      <c r="C172" s="478">
        <v>1504.4</v>
      </c>
      <c r="D172" s="479"/>
      <c r="E172" s="480"/>
      <c r="F172" s="480">
        <v>1504.4</v>
      </c>
      <c r="G172" s="481">
        <v>475.21179305443115</v>
      </c>
      <c r="H172" s="481">
        <v>90.766219138658954</v>
      </c>
      <c r="I172" s="481">
        <v>183.38</v>
      </c>
      <c r="J172" s="481">
        <v>0</v>
      </c>
      <c r="K172" s="481">
        <v>0</v>
      </c>
      <c r="L172" s="481">
        <v>229.92186851703636</v>
      </c>
      <c r="M172" s="587">
        <f t="shared" si="11"/>
        <v>0</v>
      </c>
      <c r="N172" s="481">
        <v>536.04674654601126</v>
      </c>
      <c r="O172" s="481">
        <v>0</v>
      </c>
      <c r="P172" s="481">
        <v>0</v>
      </c>
      <c r="Q172" s="481">
        <v>378.80705715745989</v>
      </c>
      <c r="R172" s="587">
        <f t="shared" si="12"/>
        <v>1258.4937948079919</v>
      </c>
      <c r="S172" s="481">
        <v>79.518560821136816</v>
      </c>
      <c r="T172" s="481">
        <v>116.99801469592836</v>
      </c>
      <c r="U172" s="481">
        <v>86.357912466370919</v>
      </c>
      <c r="V172" s="481">
        <v>0</v>
      </c>
      <c r="W172" s="481">
        <v>0</v>
      </c>
      <c r="X172" s="481">
        <v>27.376602221534242</v>
      </c>
      <c r="Y172" s="481">
        <v>0</v>
      </c>
      <c r="Z172" s="481">
        <v>1813.6924111574242</v>
      </c>
      <c r="AA172" s="481">
        <v>628.96462972762913</v>
      </c>
      <c r="AB172" s="481">
        <v>566.6190667885237</v>
      </c>
      <c r="AC172" s="481">
        <v>72.797803278436561</v>
      </c>
      <c r="AD172" s="481">
        <v>8.9618507823832907</v>
      </c>
      <c r="AE172" s="481">
        <v>274.52370259881798</v>
      </c>
      <c r="AF172" s="481">
        <v>0</v>
      </c>
      <c r="AG172" s="481">
        <v>204.85314101279329</v>
      </c>
      <c r="AH172" s="700">
        <f t="shared" si="13"/>
        <v>6828.4380337597759</v>
      </c>
      <c r="AI172" s="482">
        <f t="shared" si="14"/>
        <v>7033.2911747725693</v>
      </c>
      <c r="AJ172" s="482"/>
      <c r="AK172" s="482"/>
      <c r="AL172" s="585">
        <v>65.69</v>
      </c>
      <c r="AM172" s="585">
        <v>1192.8037948079918</v>
      </c>
      <c r="AN172" s="581">
        <v>0</v>
      </c>
      <c r="AO172" s="581">
        <f t="shared" si="15"/>
        <v>1258.4937948079919</v>
      </c>
    </row>
    <row r="173" spans="1:41" x14ac:dyDescent="0.3">
      <c r="A173" s="476">
        <v>150000745</v>
      </c>
      <c r="B173" s="477" t="s">
        <v>133</v>
      </c>
      <c r="C173" s="478">
        <v>275.3</v>
      </c>
      <c r="D173" s="483"/>
      <c r="E173" s="480"/>
      <c r="F173" s="480">
        <v>275.3</v>
      </c>
      <c r="G173" s="481">
        <v>0</v>
      </c>
      <c r="H173" s="481">
        <v>0</v>
      </c>
      <c r="I173" s="481">
        <v>0</v>
      </c>
      <c r="J173" s="481">
        <v>0</v>
      </c>
      <c r="K173" s="481">
        <v>0</v>
      </c>
      <c r="L173" s="481">
        <v>0</v>
      </c>
      <c r="M173" s="587">
        <f t="shared" si="11"/>
        <v>0</v>
      </c>
      <c r="N173" s="481">
        <v>0</v>
      </c>
      <c r="O173" s="481">
        <v>0</v>
      </c>
      <c r="P173" s="481">
        <v>0</v>
      </c>
      <c r="Q173" s="481">
        <v>71.02632321702373</v>
      </c>
      <c r="R173" s="587">
        <f t="shared" si="12"/>
        <v>226.06149630307266</v>
      </c>
      <c r="S173" s="481">
        <v>0</v>
      </c>
      <c r="T173" s="481">
        <v>0</v>
      </c>
      <c r="U173" s="481">
        <v>0</v>
      </c>
      <c r="V173" s="481">
        <v>0</v>
      </c>
      <c r="W173" s="481">
        <v>0</v>
      </c>
      <c r="X173" s="481">
        <v>0</v>
      </c>
      <c r="Y173" s="481">
        <v>0</v>
      </c>
      <c r="Z173" s="481">
        <v>49.847939071244809</v>
      </c>
      <c r="AA173" s="481">
        <v>0</v>
      </c>
      <c r="AB173" s="481">
        <v>0</v>
      </c>
      <c r="AC173" s="481">
        <v>0</v>
      </c>
      <c r="AD173" s="481">
        <v>0</v>
      </c>
      <c r="AE173" s="481">
        <v>0</v>
      </c>
      <c r="AF173" s="481">
        <v>0</v>
      </c>
      <c r="AG173" s="481">
        <v>10.408072757740236</v>
      </c>
      <c r="AH173" s="700">
        <f t="shared" si="13"/>
        <v>346.9357585913412</v>
      </c>
      <c r="AI173" s="482">
        <f t="shared" si="14"/>
        <v>357.34383134908143</v>
      </c>
      <c r="AJ173" s="482"/>
      <c r="AK173" s="482"/>
      <c r="AL173" s="585">
        <v>27.19</v>
      </c>
      <c r="AM173" s="585">
        <v>198.87149630307266</v>
      </c>
      <c r="AN173" s="581">
        <v>0</v>
      </c>
      <c r="AO173" s="581">
        <f t="shared" si="15"/>
        <v>226.06149630307266</v>
      </c>
    </row>
    <row r="174" spans="1:41" x14ac:dyDescent="0.3">
      <c r="A174" s="476">
        <v>150000750</v>
      </c>
      <c r="B174" s="477" t="s">
        <v>129</v>
      </c>
      <c r="C174" s="478">
        <v>275.8</v>
      </c>
      <c r="D174" s="483"/>
      <c r="E174" s="480"/>
      <c r="F174" s="480">
        <v>275.8</v>
      </c>
      <c r="G174" s="481">
        <v>0</v>
      </c>
      <c r="H174" s="481">
        <v>0</v>
      </c>
      <c r="I174" s="481">
        <v>0</v>
      </c>
      <c r="J174" s="481">
        <v>0</v>
      </c>
      <c r="K174" s="481">
        <v>0</v>
      </c>
      <c r="L174" s="481">
        <v>0</v>
      </c>
      <c r="M174" s="587">
        <f t="shared" si="11"/>
        <v>0</v>
      </c>
      <c r="N174" s="481">
        <v>0</v>
      </c>
      <c r="O174" s="481">
        <v>0</v>
      </c>
      <c r="P174" s="481">
        <v>0</v>
      </c>
      <c r="Q174" s="481">
        <v>47.350882144682487</v>
      </c>
      <c r="R174" s="587">
        <f t="shared" si="12"/>
        <v>325.28882650444103</v>
      </c>
      <c r="S174" s="481">
        <v>0</v>
      </c>
      <c r="T174" s="481">
        <v>0</v>
      </c>
      <c r="U174" s="481">
        <v>0</v>
      </c>
      <c r="V174" s="481">
        <v>0</v>
      </c>
      <c r="W174" s="481">
        <v>0</v>
      </c>
      <c r="X174" s="481">
        <v>0</v>
      </c>
      <c r="Y174" s="481">
        <v>0</v>
      </c>
      <c r="Z174" s="481">
        <v>63.805362011193353</v>
      </c>
      <c r="AA174" s="481">
        <v>0</v>
      </c>
      <c r="AB174" s="481">
        <v>0</v>
      </c>
      <c r="AC174" s="481">
        <v>0</v>
      </c>
      <c r="AD174" s="481">
        <v>0</v>
      </c>
      <c r="AE174" s="481">
        <v>0</v>
      </c>
      <c r="AF174" s="481">
        <v>0</v>
      </c>
      <c r="AG174" s="481">
        <v>23.56803381565711</v>
      </c>
      <c r="AH174" s="700">
        <f t="shared" si="13"/>
        <v>436.4450706603169</v>
      </c>
      <c r="AI174" s="482">
        <f t="shared" si="14"/>
        <v>460.01310447597399</v>
      </c>
      <c r="AJ174" s="482"/>
      <c r="AK174" s="482"/>
      <c r="AL174" s="585">
        <v>58.8</v>
      </c>
      <c r="AM174" s="585">
        <v>266.48882650444102</v>
      </c>
      <c r="AN174" s="581">
        <v>0</v>
      </c>
      <c r="AO174" s="581">
        <f t="shared" si="15"/>
        <v>325.28882650444103</v>
      </c>
    </row>
    <row r="175" spans="1:41" x14ac:dyDescent="0.3">
      <c r="A175" s="476">
        <v>150000751</v>
      </c>
      <c r="B175" s="477" t="s">
        <v>130</v>
      </c>
      <c r="C175" s="478">
        <v>146.1</v>
      </c>
      <c r="D175" s="483"/>
      <c r="E175" s="480"/>
      <c r="F175" s="480">
        <v>146.1</v>
      </c>
      <c r="G175" s="481">
        <v>0</v>
      </c>
      <c r="H175" s="481">
        <v>0</v>
      </c>
      <c r="I175" s="481">
        <v>0</v>
      </c>
      <c r="J175" s="481">
        <v>0</v>
      </c>
      <c r="K175" s="481">
        <v>0</v>
      </c>
      <c r="L175" s="481">
        <v>0</v>
      </c>
      <c r="M175" s="587">
        <f t="shared" si="11"/>
        <v>0</v>
      </c>
      <c r="N175" s="481">
        <v>0</v>
      </c>
      <c r="O175" s="481">
        <v>0</v>
      </c>
      <c r="P175" s="481">
        <v>0</v>
      </c>
      <c r="Q175" s="481">
        <v>27.621347917731452</v>
      </c>
      <c r="R175" s="587">
        <f t="shared" si="12"/>
        <v>151.0741858390507</v>
      </c>
      <c r="S175" s="481">
        <v>0</v>
      </c>
      <c r="T175" s="481">
        <v>0</v>
      </c>
      <c r="U175" s="481">
        <v>0</v>
      </c>
      <c r="V175" s="481">
        <v>0</v>
      </c>
      <c r="W175" s="481">
        <v>0</v>
      </c>
      <c r="X175" s="481">
        <v>0</v>
      </c>
      <c r="Y175" s="481">
        <v>0</v>
      </c>
      <c r="Z175" s="481">
        <v>33.697206812161483</v>
      </c>
      <c r="AA175" s="481">
        <v>0</v>
      </c>
      <c r="AB175" s="481">
        <v>0</v>
      </c>
      <c r="AC175" s="481">
        <v>0</v>
      </c>
      <c r="AD175" s="481">
        <v>0</v>
      </c>
      <c r="AE175" s="481">
        <v>0</v>
      </c>
      <c r="AF175" s="481">
        <v>0</v>
      </c>
      <c r="AG175" s="481">
        <v>3.8230693302409855</v>
      </c>
      <c r="AH175" s="700">
        <f t="shared" si="13"/>
        <v>212.39274056894362</v>
      </c>
      <c r="AI175" s="482">
        <f t="shared" si="14"/>
        <v>216.21580989918462</v>
      </c>
      <c r="AJ175" s="482"/>
      <c r="AK175" s="482"/>
      <c r="AL175" s="585">
        <v>58.8</v>
      </c>
      <c r="AM175" s="585">
        <v>92.274185839050716</v>
      </c>
      <c r="AN175" s="581">
        <v>0</v>
      </c>
      <c r="AO175" s="581">
        <f t="shared" si="15"/>
        <v>151.0741858390507</v>
      </c>
    </row>
    <row r="176" spans="1:41" x14ac:dyDescent="0.3">
      <c r="A176" s="476">
        <v>150000752</v>
      </c>
      <c r="B176" s="477" t="s">
        <v>386</v>
      </c>
      <c r="C176" s="478">
        <v>3818.4</v>
      </c>
      <c r="D176" s="479">
        <v>276.3</v>
      </c>
      <c r="E176" s="480">
        <v>172.3</v>
      </c>
      <c r="F176" s="480">
        <v>3990.7000000000003</v>
      </c>
      <c r="G176" s="481">
        <v>964.07970809171468</v>
      </c>
      <c r="H176" s="481">
        <v>161.88023235234283</v>
      </c>
      <c r="I176" s="481">
        <v>487.43</v>
      </c>
      <c r="J176" s="481">
        <v>104.96</v>
      </c>
      <c r="K176" s="481">
        <v>65.004820328168279</v>
      </c>
      <c r="L176" s="481">
        <v>692.99256512399086</v>
      </c>
      <c r="M176" s="587">
        <f t="shared" si="11"/>
        <v>0</v>
      </c>
      <c r="N176" s="481">
        <v>1421.9634082964419</v>
      </c>
      <c r="O176" s="481">
        <v>3456.5475482576176</v>
      </c>
      <c r="P176" s="481">
        <v>0</v>
      </c>
      <c r="Q176" s="481">
        <v>268.32166548653413</v>
      </c>
      <c r="R176" s="587">
        <f t="shared" si="12"/>
        <v>6216.8750129522896</v>
      </c>
      <c r="S176" s="481">
        <v>80.141172267263244</v>
      </c>
      <c r="T176" s="481">
        <v>108.15190846940901</v>
      </c>
      <c r="U176" s="481">
        <v>150.40697794287075</v>
      </c>
      <c r="V176" s="481">
        <v>54.70799145085234</v>
      </c>
      <c r="W176" s="481">
        <v>32.980617657691397</v>
      </c>
      <c r="X176" s="481">
        <v>91.046599398173072</v>
      </c>
      <c r="Y176" s="481">
        <v>47.080739261645796</v>
      </c>
      <c r="Z176" s="481">
        <v>3677.5259242916873</v>
      </c>
      <c r="AA176" s="481">
        <v>4031.320496266424</v>
      </c>
      <c r="AB176" s="481">
        <v>540.99602175629514</v>
      </c>
      <c r="AC176" s="481">
        <v>122.84935691297105</v>
      </c>
      <c r="AD176" s="481">
        <v>15.123500377543788</v>
      </c>
      <c r="AE176" s="481">
        <v>321.31751554179834</v>
      </c>
      <c r="AF176" s="481">
        <v>1001.387596979779</v>
      </c>
      <c r="AG176" s="481">
        <v>723.45274138390516</v>
      </c>
      <c r="AH176" s="700">
        <f t="shared" si="13"/>
        <v>24115.091379463505</v>
      </c>
      <c r="AI176" s="482">
        <f t="shared" si="14"/>
        <v>24838.544120847411</v>
      </c>
      <c r="AJ176" s="482"/>
      <c r="AK176" s="482"/>
      <c r="AL176" s="585">
        <v>58.8</v>
      </c>
      <c r="AM176" s="585">
        <v>6158.0750129522894</v>
      </c>
      <c r="AN176" s="581">
        <v>0</v>
      </c>
      <c r="AO176" s="581">
        <f t="shared" si="15"/>
        <v>6216.8750129522896</v>
      </c>
    </row>
    <row r="177" spans="1:41" x14ac:dyDescent="0.3">
      <c r="A177" s="476">
        <v>150000753</v>
      </c>
      <c r="B177" s="477" t="s">
        <v>239</v>
      </c>
      <c r="C177" s="478">
        <v>1840.7</v>
      </c>
      <c r="D177" s="479"/>
      <c r="E177" s="480"/>
      <c r="F177" s="480">
        <v>1840.7</v>
      </c>
      <c r="G177" s="481">
        <v>587.5584363601323</v>
      </c>
      <c r="H177" s="481">
        <v>138.62748927752872</v>
      </c>
      <c r="I177" s="481">
        <v>202.64</v>
      </c>
      <c r="J177" s="481">
        <v>0</v>
      </c>
      <c r="K177" s="481">
        <v>0</v>
      </c>
      <c r="L177" s="481">
        <v>394.68297429284837</v>
      </c>
      <c r="M177" s="587">
        <f t="shared" si="11"/>
        <v>0</v>
      </c>
      <c r="N177" s="481">
        <v>655.87692526405408</v>
      </c>
      <c r="O177" s="481">
        <v>0</v>
      </c>
      <c r="P177" s="481">
        <v>0</v>
      </c>
      <c r="Q177" s="481">
        <v>355.13161608511865</v>
      </c>
      <c r="R177" s="587">
        <f t="shared" si="12"/>
        <v>2242.301185127953</v>
      </c>
      <c r="S177" s="481">
        <v>106.30667955203799</v>
      </c>
      <c r="T177" s="481">
        <v>178.67999761154664</v>
      </c>
      <c r="U177" s="481">
        <v>121.27476017651209</v>
      </c>
      <c r="V177" s="481">
        <v>0</v>
      </c>
      <c r="W177" s="481">
        <v>0</v>
      </c>
      <c r="X177" s="481">
        <v>54.154001353123945</v>
      </c>
      <c r="Y177" s="481">
        <v>33.574545368329652</v>
      </c>
      <c r="Z177" s="481">
        <v>1231.0092165881945</v>
      </c>
      <c r="AA177" s="481">
        <v>1202.644833009688</v>
      </c>
      <c r="AB177" s="481">
        <v>768.11642014364099</v>
      </c>
      <c r="AC177" s="481">
        <v>95.985251730086731</v>
      </c>
      <c r="AD177" s="481">
        <v>11.816366216772041</v>
      </c>
      <c r="AE177" s="481">
        <v>134.14226376987696</v>
      </c>
      <c r="AF177" s="481">
        <v>0</v>
      </c>
      <c r="AG177" s="481">
        <v>194.13112353194569</v>
      </c>
      <c r="AH177" s="700">
        <f t="shared" si="13"/>
        <v>8514.5229619274432</v>
      </c>
      <c r="AI177" s="482">
        <f t="shared" si="14"/>
        <v>8708.6540854593895</v>
      </c>
      <c r="AJ177" s="482"/>
      <c r="AK177" s="482"/>
      <c r="AL177" s="585">
        <v>38.46</v>
      </c>
      <c r="AM177" s="585">
        <v>2203.8411851279529</v>
      </c>
      <c r="AN177" s="581">
        <v>0</v>
      </c>
      <c r="AO177" s="581">
        <f t="shared" si="15"/>
        <v>2242.301185127953</v>
      </c>
    </row>
    <row r="178" spans="1:41" x14ac:dyDescent="0.3">
      <c r="A178" s="476">
        <v>150000754</v>
      </c>
      <c r="B178" s="477" t="s">
        <v>240</v>
      </c>
      <c r="C178" s="478">
        <v>2805.68</v>
      </c>
      <c r="D178" s="479"/>
      <c r="E178" s="480"/>
      <c r="F178" s="480">
        <v>2805.68</v>
      </c>
      <c r="G178" s="481">
        <v>870.58577348758899</v>
      </c>
      <c r="H178" s="481">
        <v>164.69092413764568</v>
      </c>
      <c r="I178" s="481">
        <v>325.02</v>
      </c>
      <c r="J178" s="481">
        <v>0</v>
      </c>
      <c r="K178" s="481">
        <v>59.112908977718426</v>
      </c>
      <c r="L178" s="481">
        <v>560.95874838732254</v>
      </c>
      <c r="M178" s="587">
        <f t="shared" si="11"/>
        <v>0</v>
      </c>
      <c r="N178" s="481">
        <v>999.71791800665562</v>
      </c>
      <c r="O178" s="481">
        <v>0</v>
      </c>
      <c r="P178" s="481">
        <v>0</v>
      </c>
      <c r="Q178" s="481">
        <v>426.15793930214238</v>
      </c>
      <c r="R178" s="587">
        <f t="shared" si="12"/>
        <v>4102.8044396440764</v>
      </c>
      <c r="S178" s="481">
        <v>144.7083987412241</v>
      </c>
      <c r="T178" s="481">
        <v>212.27169726709224</v>
      </c>
      <c r="U178" s="481">
        <v>167.34646453292541</v>
      </c>
      <c r="V178" s="481">
        <v>0</v>
      </c>
      <c r="W178" s="481">
        <v>59.973570119372766</v>
      </c>
      <c r="X178" s="481">
        <v>79.530315357186169</v>
      </c>
      <c r="Y178" s="481">
        <v>0</v>
      </c>
      <c r="Z178" s="481">
        <v>2235.8701378464607</v>
      </c>
      <c r="AA178" s="481">
        <v>1370.3874196117677</v>
      </c>
      <c r="AB178" s="481">
        <v>961.74436253170211</v>
      </c>
      <c r="AC178" s="481">
        <v>140.81595280626871</v>
      </c>
      <c r="AD178" s="481">
        <v>17.335297220468686</v>
      </c>
      <c r="AE178" s="481">
        <v>776.77729485347356</v>
      </c>
      <c r="AF178" s="481">
        <v>0</v>
      </c>
      <c r="AG178" s="481">
        <v>787.72663081907092</v>
      </c>
      <c r="AH178" s="700">
        <f t="shared" si="13"/>
        <v>13675.809562831093</v>
      </c>
      <c r="AI178" s="482">
        <f t="shared" si="14"/>
        <v>14463.536193650163</v>
      </c>
      <c r="AJ178" s="482"/>
      <c r="AK178" s="482"/>
      <c r="AL178" s="585">
        <v>98.33</v>
      </c>
      <c r="AM178" s="585">
        <v>4004.4744396440765</v>
      </c>
      <c r="AN178" s="581">
        <v>0</v>
      </c>
      <c r="AO178" s="581">
        <f t="shared" si="15"/>
        <v>4102.8044396440764</v>
      </c>
    </row>
    <row r="179" spans="1:41" x14ac:dyDescent="0.3">
      <c r="A179" s="476">
        <v>150000758</v>
      </c>
      <c r="B179" s="477" t="s">
        <v>388</v>
      </c>
      <c r="C179" s="478">
        <v>13211.52</v>
      </c>
      <c r="D179" s="479">
        <v>1410.95</v>
      </c>
      <c r="E179" s="480">
        <v>6.8</v>
      </c>
      <c r="F179" s="480">
        <v>13218.32</v>
      </c>
      <c r="G179" s="481">
        <v>2815.6718992081564</v>
      </c>
      <c r="H179" s="481">
        <v>789.84693597446005</v>
      </c>
      <c r="I179" s="481">
        <v>1516.06</v>
      </c>
      <c r="J179" s="481">
        <v>329.41</v>
      </c>
      <c r="K179" s="481">
        <v>113.76446232525529</v>
      </c>
      <c r="L179" s="481">
        <v>1897.0658201324311</v>
      </c>
      <c r="M179" s="587">
        <f t="shared" si="11"/>
        <v>0</v>
      </c>
      <c r="N179" s="481">
        <v>4709.9424559984518</v>
      </c>
      <c r="O179" s="481">
        <v>14108.356885076642</v>
      </c>
      <c r="P179" s="481">
        <v>394.60553971773282</v>
      </c>
      <c r="Q179" s="481">
        <v>990.42261819294208</v>
      </c>
      <c r="R179" s="587">
        <f t="shared" si="12"/>
        <v>20323.128090891649</v>
      </c>
      <c r="S179" s="481">
        <v>229.72644545691136</v>
      </c>
      <c r="T179" s="481">
        <v>522.40116839630707</v>
      </c>
      <c r="U179" s="481">
        <v>411.41678424325391</v>
      </c>
      <c r="V179" s="481">
        <v>156.13831641967201</v>
      </c>
      <c r="W179" s="481">
        <v>57.710013304674192</v>
      </c>
      <c r="X179" s="481">
        <v>271.22439877985192</v>
      </c>
      <c r="Y179" s="481">
        <v>0</v>
      </c>
      <c r="Z179" s="481">
        <v>14132.424235392267</v>
      </c>
      <c r="AA179" s="481">
        <v>9616.7117460088921</v>
      </c>
      <c r="AB179" s="481">
        <v>954.31698237810463</v>
      </c>
      <c r="AC179" s="481">
        <v>375.0680086756351</v>
      </c>
      <c r="AD179" s="481">
        <v>46.173145007417205</v>
      </c>
      <c r="AE179" s="481">
        <v>1665.8597407701</v>
      </c>
      <c r="AF179" s="481">
        <v>2303.8153905593986</v>
      </c>
      <c r="AG179" s="481">
        <v>944.77513299492239</v>
      </c>
      <c r="AH179" s="700">
        <f t="shared" si="13"/>
        <v>78731.26108291019</v>
      </c>
      <c r="AI179" s="482">
        <f t="shared" si="14"/>
        <v>79676.036215905115</v>
      </c>
      <c r="AJ179" s="482"/>
      <c r="AK179" s="482"/>
      <c r="AL179" s="585">
        <v>124.87</v>
      </c>
      <c r="AM179" s="585">
        <v>20198.25809089165</v>
      </c>
      <c r="AN179" s="581">
        <v>0</v>
      </c>
      <c r="AO179" s="581">
        <f t="shared" si="15"/>
        <v>20323.128090891649</v>
      </c>
    </row>
    <row r="180" spans="1:41" x14ac:dyDescent="0.3">
      <c r="A180" s="476">
        <v>150000759</v>
      </c>
      <c r="B180" s="477" t="s">
        <v>389</v>
      </c>
      <c r="C180" s="478">
        <v>5689.68</v>
      </c>
      <c r="D180" s="479">
        <v>618.45000000000005</v>
      </c>
      <c r="E180" s="480"/>
      <c r="F180" s="480">
        <v>5689.68</v>
      </c>
      <c r="G180" s="481">
        <v>1231.5053448827728</v>
      </c>
      <c r="H180" s="481">
        <v>193.73837448636257</v>
      </c>
      <c r="I180" s="481">
        <v>701.05</v>
      </c>
      <c r="J180" s="481">
        <v>162.01</v>
      </c>
      <c r="K180" s="481">
        <v>48.759641997087023</v>
      </c>
      <c r="L180" s="481">
        <v>978.79664519098435</v>
      </c>
      <c r="M180" s="587">
        <f t="shared" si="11"/>
        <v>0</v>
      </c>
      <c r="N180" s="481">
        <v>2027.3427631533564</v>
      </c>
      <c r="O180" s="481">
        <v>7201.1332979473464</v>
      </c>
      <c r="P180" s="481">
        <v>0</v>
      </c>
      <c r="Q180" s="481">
        <v>426.15793930214238</v>
      </c>
      <c r="R180" s="587">
        <f t="shared" si="12"/>
        <v>8764.9236574121351</v>
      </c>
      <c r="S180" s="481">
        <v>101.9210388469421</v>
      </c>
      <c r="T180" s="481">
        <v>130.5856989042862</v>
      </c>
      <c r="U180" s="481">
        <v>171.89404420435167</v>
      </c>
      <c r="V180" s="481">
        <v>90.280983412617488</v>
      </c>
      <c r="W180" s="481">
        <v>24.729395646982791</v>
      </c>
      <c r="X180" s="481">
        <v>126.20004885315075</v>
      </c>
      <c r="Y180" s="481">
        <v>0</v>
      </c>
      <c r="Z180" s="481">
        <v>6188.0480601319496</v>
      </c>
      <c r="AA180" s="481">
        <v>2734.9043319544817</v>
      </c>
      <c r="AB180" s="481">
        <v>943.49706194297869</v>
      </c>
      <c r="AC180" s="481">
        <v>225.8937895670274</v>
      </c>
      <c r="AD180" s="481">
        <v>27.808894548971171</v>
      </c>
      <c r="AE180" s="481">
        <v>1430.3308822904321</v>
      </c>
      <c r="AF180" s="481">
        <v>795.49482003066578</v>
      </c>
      <c r="AG180" s="481">
        <v>625.08612086472647</v>
      </c>
      <c r="AH180" s="700">
        <f t="shared" si="13"/>
        <v>34727.006714707037</v>
      </c>
      <c r="AI180" s="482">
        <f t="shared" si="14"/>
        <v>35352.092835571762</v>
      </c>
      <c r="AJ180" s="482"/>
      <c r="AK180" s="482"/>
      <c r="AL180" s="585">
        <v>382.5</v>
      </c>
      <c r="AM180" s="585">
        <v>8382.4236574121351</v>
      </c>
      <c r="AN180" s="581">
        <v>0</v>
      </c>
      <c r="AO180" s="581">
        <f t="shared" si="15"/>
        <v>8764.9236574121351</v>
      </c>
    </row>
    <row r="181" spans="1:41" x14ac:dyDescent="0.3">
      <c r="A181" s="476">
        <v>150000760</v>
      </c>
      <c r="B181" s="477" t="s">
        <v>387</v>
      </c>
      <c r="C181" s="478">
        <v>11337.62</v>
      </c>
      <c r="D181" s="479">
        <v>1200.4000000000001</v>
      </c>
      <c r="E181" s="480"/>
      <c r="F181" s="480">
        <v>11337.62</v>
      </c>
      <c r="G181" s="481">
        <v>2247.7574381939903</v>
      </c>
      <c r="H181" s="481">
        <v>677.03641993572239</v>
      </c>
      <c r="I181" s="481">
        <v>1319.81</v>
      </c>
      <c r="J181" s="481">
        <v>300.26</v>
      </c>
      <c r="K181" s="481">
        <v>97.519365684823939</v>
      </c>
      <c r="L181" s="481">
        <v>2034.3449311458126</v>
      </c>
      <c r="M181" s="587">
        <f t="shared" si="11"/>
        <v>0</v>
      </c>
      <c r="N181" s="481">
        <v>4039.8127589570513</v>
      </c>
      <c r="O181" s="481">
        <v>7446.0877673198156</v>
      </c>
      <c r="P181" s="481">
        <v>789.21107943546565</v>
      </c>
      <c r="Q181" s="481">
        <v>852.31587860428476</v>
      </c>
      <c r="R181" s="587">
        <f t="shared" si="12"/>
        <v>16614.895490345403</v>
      </c>
      <c r="S181" s="481">
        <v>177.67201540855604</v>
      </c>
      <c r="T181" s="481">
        <v>447.79288469225742</v>
      </c>
      <c r="U181" s="481">
        <v>372.73157577048681</v>
      </c>
      <c r="V181" s="481">
        <v>144.06378271370713</v>
      </c>
      <c r="W181" s="481">
        <v>49.470906063874629</v>
      </c>
      <c r="X181" s="481">
        <v>259.36009049060476</v>
      </c>
      <c r="Y181" s="481">
        <v>0</v>
      </c>
      <c r="Z181" s="481">
        <v>10305.122852449989</v>
      </c>
      <c r="AA181" s="481">
        <v>10535.267436543629</v>
      </c>
      <c r="AB181" s="481">
        <v>917.38662445048669</v>
      </c>
      <c r="AC181" s="481">
        <v>324.78114901030165</v>
      </c>
      <c r="AD181" s="481">
        <v>39.982527813768186</v>
      </c>
      <c r="AE181" s="481">
        <v>1292.7570722380701</v>
      </c>
      <c r="AF181" s="481">
        <v>1824.9587047762334</v>
      </c>
      <c r="AG181" s="481">
        <v>1893.3119625613301</v>
      </c>
      <c r="AH181" s="700">
        <f t="shared" si="13"/>
        <v>63110.398752044348</v>
      </c>
      <c r="AI181" s="482">
        <f t="shared" si="14"/>
        <v>65003.710714605681</v>
      </c>
      <c r="AJ181" s="482"/>
      <c r="AK181" s="482"/>
      <c r="AL181" s="585">
        <v>150.88</v>
      </c>
      <c r="AM181" s="585">
        <v>16464.015490345402</v>
      </c>
      <c r="AN181" s="581">
        <v>0</v>
      </c>
      <c r="AO181" s="581">
        <f t="shared" si="15"/>
        <v>16614.895490345403</v>
      </c>
    </row>
    <row r="182" spans="1:41" x14ac:dyDescent="0.3">
      <c r="A182" s="476">
        <v>150000761</v>
      </c>
      <c r="B182" s="477" t="s">
        <v>390</v>
      </c>
      <c r="C182" s="478">
        <v>6720.79</v>
      </c>
      <c r="D182" s="479">
        <v>727.4</v>
      </c>
      <c r="E182" s="480">
        <v>94.6</v>
      </c>
      <c r="F182" s="480">
        <v>6815.39</v>
      </c>
      <c r="G182" s="481">
        <v>1300.8431913948937</v>
      </c>
      <c r="H182" s="481">
        <v>198.30007928311227</v>
      </c>
      <c r="I182" s="481">
        <v>828.02</v>
      </c>
      <c r="J182" s="481">
        <v>165.56</v>
      </c>
      <c r="K182" s="481">
        <v>65.004820328168279</v>
      </c>
      <c r="L182" s="481">
        <v>651.23247253670525</v>
      </c>
      <c r="M182" s="587">
        <f t="shared" si="11"/>
        <v>0</v>
      </c>
      <c r="N182" s="481">
        <v>2428.4549560902815</v>
      </c>
      <c r="O182" s="481">
        <v>4800.7555319648973</v>
      </c>
      <c r="P182" s="481">
        <v>0</v>
      </c>
      <c r="Q182" s="481">
        <v>355.13161608511865</v>
      </c>
      <c r="R182" s="587">
        <f t="shared" si="12"/>
        <v>7436.6169568459873</v>
      </c>
      <c r="S182" s="481">
        <v>61.15719837770034</v>
      </c>
      <c r="T182" s="481">
        <v>78.967337990191282</v>
      </c>
      <c r="U182" s="481">
        <v>132.18653170670254</v>
      </c>
      <c r="V182" s="481">
        <v>45.722318597068174</v>
      </c>
      <c r="W182" s="481">
        <v>19.78837059461484</v>
      </c>
      <c r="X182" s="481">
        <v>44.62535040765917</v>
      </c>
      <c r="Y182" s="481">
        <v>0</v>
      </c>
      <c r="Z182" s="481">
        <v>6619.1794887925425</v>
      </c>
      <c r="AA182" s="481">
        <v>4129.1381532254209</v>
      </c>
      <c r="AB182" s="481">
        <v>1793.9428081438748</v>
      </c>
      <c r="AC182" s="481">
        <v>197.25263363071321</v>
      </c>
      <c r="AD182" s="481">
        <v>24.282994670447646</v>
      </c>
      <c r="AE182" s="481">
        <v>1884.2308678373415</v>
      </c>
      <c r="AF182" s="481">
        <v>795.49482003066578</v>
      </c>
      <c r="AG182" s="481">
        <v>326.93652958592742</v>
      </c>
      <c r="AH182" s="700">
        <f t="shared" si="13"/>
        <v>34055.888498534106</v>
      </c>
      <c r="AI182" s="482">
        <f t="shared" si="14"/>
        <v>34382.825028120031</v>
      </c>
      <c r="AJ182" s="482"/>
      <c r="AK182" s="482"/>
      <c r="AL182" s="585">
        <v>63.19</v>
      </c>
      <c r="AM182" s="585">
        <v>7373.4269568459877</v>
      </c>
      <c r="AN182" s="581">
        <v>0</v>
      </c>
      <c r="AO182" s="581">
        <f t="shared" si="15"/>
        <v>7436.6169568459873</v>
      </c>
    </row>
    <row r="183" spans="1:41" x14ac:dyDescent="0.3">
      <c r="A183" s="476">
        <v>150000762</v>
      </c>
      <c r="B183" s="477" t="s">
        <v>391</v>
      </c>
      <c r="C183" s="478">
        <v>2823.8</v>
      </c>
      <c r="D183" s="479">
        <v>312.10000000000002</v>
      </c>
      <c r="E183" s="480"/>
      <c r="F183" s="480">
        <v>2823.8</v>
      </c>
      <c r="G183" s="481">
        <v>719.72318671763799</v>
      </c>
      <c r="H183" s="481">
        <v>115.59677405759761</v>
      </c>
      <c r="I183" s="481">
        <v>0</v>
      </c>
      <c r="J183" s="481">
        <v>0</v>
      </c>
      <c r="K183" s="481">
        <v>32.51454535665566</v>
      </c>
      <c r="L183" s="481">
        <v>278.40316772533157</v>
      </c>
      <c r="M183" s="587">
        <f t="shared" si="11"/>
        <v>0</v>
      </c>
      <c r="N183" s="481">
        <v>1006.1744236217938</v>
      </c>
      <c r="O183" s="481">
        <v>1248.2026774859323</v>
      </c>
      <c r="P183" s="481">
        <v>0</v>
      </c>
      <c r="Q183" s="481">
        <v>142.05264643404746</v>
      </c>
      <c r="R183" s="587">
        <f t="shared" si="12"/>
        <v>3033.1256923930755</v>
      </c>
      <c r="S183" s="481">
        <v>35.561314940189853</v>
      </c>
      <c r="T183" s="481">
        <v>45.83711198674623</v>
      </c>
      <c r="U183" s="481">
        <v>0</v>
      </c>
      <c r="V183" s="481">
        <v>0</v>
      </c>
      <c r="W183" s="481">
        <v>9.8941852973074198</v>
      </c>
      <c r="X183" s="481">
        <v>23.856761961140311</v>
      </c>
      <c r="Y183" s="481">
        <v>0</v>
      </c>
      <c r="Z183" s="481">
        <v>3211.7627129468042</v>
      </c>
      <c r="AA183" s="481">
        <v>1917.6998124094537</v>
      </c>
      <c r="AB183" s="481">
        <v>993.26869594455775</v>
      </c>
      <c r="AC183" s="481">
        <v>87.124509007812378</v>
      </c>
      <c r="AD183" s="481">
        <v>10.725555086189024</v>
      </c>
      <c r="AE183" s="481">
        <v>159.09896400613314</v>
      </c>
      <c r="AF183" s="481">
        <v>336.91545318945839</v>
      </c>
      <c r="AG183" s="481">
        <v>402.22614571703588</v>
      </c>
      <c r="AH183" s="700">
        <f t="shared" si="13"/>
        <v>13407.538190567862</v>
      </c>
      <c r="AI183" s="482">
        <f t="shared" si="14"/>
        <v>13809.764336284898</v>
      </c>
      <c r="AJ183" s="482"/>
      <c r="AK183" s="482"/>
      <c r="AL183" s="585">
        <v>33.11</v>
      </c>
      <c r="AM183" s="585">
        <v>3000.0156923930754</v>
      </c>
      <c r="AN183" s="581">
        <v>0</v>
      </c>
      <c r="AO183" s="581">
        <f t="shared" si="15"/>
        <v>3033.1256923930755</v>
      </c>
    </row>
    <row r="184" spans="1:41" x14ac:dyDescent="0.3">
      <c r="A184" s="476">
        <v>150000763</v>
      </c>
      <c r="B184" s="477" t="s">
        <v>117</v>
      </c>
      <c r="C184" s="478">
        <v>182.8</v>
      </c>
      <c r="D184" s="483"/>
      <c r="E184" s="480"/>
      <c r="F184" s="480">
        <v>182.8</v>
      </c>
      <c r="G184" s="481">
        <v>0</v>
      </c>
      <c r="H184" s="481">
        <v>0</v>
      </c>
      <c r="I184" s="481">
        <v>0</v>
      </c>
      <c r="J184" s="481">
        <v>0</v>
      </c>
      <c r="K184" s="481">
        <v>0</v>
      </c>
      <c r="L184" s="481">
        <v>0</v>
      </c>
      <c r="M184" s="587">
        <f t="shared" si="11"/>
        <v>0</v>
      </c>
      <c r="N184" s="481">
        <v>0</v>
      </c>
      <c r="O184" s="481">
        <v>0</v>
      </c>
      <c r="P184" s="481">
        <v>0</v>
      </c>
      <c r="Q184" s="481">
        <v>19.729534226951035</v>
      </c>
      <c r="R184" s="587">
        <f t="shared" si="12"/>
        <v>200.65643977445444</v>
      </c>
      <c r="S184" s="481">
        <v>0</v>
      </c>
      <c r="T184" s="481">
        <v>0</v>
      </c>
      <c r="U184" s="481">
        <v>0</v>
      </c>
      <c r="V184" s="481">
        <v>0</v>
      </c>
      <c r="W184" s="481">
        <v>0</v>
      </c>
      <c r="X184" s="481">
        <v>0</v>
      </c>
      <c r="Y184" s="481">
        <v>0</v>
      </c>
      <c r="Z184" s="481">
        <v>19.939175628497924</v>
      </c>
      <c r="AA184" s="481">
        <v>0</v>
      </c>
      <c r="AB184" s="481">
        <v>0</v>
      </c>
      <c r="AC184" s="481">
        <v>0</v>
      </c>
      <c r="AD184" s="481">
        <v>0</v>
      </c>
      <c r="AE184" s="481">
        <v>0</v>
      </c>
      <c r="AF184" s="481">
        <v>0</v>
      </c>
      <c r="AG184" s="481">
        <v>7.2097544888971035</v>
      </c>
      <c r="AH184" s="700">
        <f t="shared" si="13"/>
        <v>240.32514962990342</v>
      </c>
      <c r="AI184" s="482">
        <f t="shared" si="14"/>
        <v>247.53490411880051</v>
      </c>
      <c r="AJ184" s="482"/>
      <c r="AK184" s="482"/>
      <c r="AL184" s="585">
        <v>19.34</v>
      </c>
      <c r="AM184" s="585">
        <v>181.31643977445444</v>
      </c>
      <c r="AN184" s="581">
        <v>0</v>
      </c>
      <c r="AO184" s="581">
        <f t="shared" si="15"/>
        <v>200.65643977445444</v>
      </c>
    </row>
    <row r="185" spans="1:41" x14ac:dyDescent="0.3">
      <c r="A185" s="476">
        <v>150000764</v>
      </c>
      <c r="B185" s="477" t="s">
        <v>118</v>
      </c>
      <c r="C185" s="478">
        <v>229</v>
      </c>
      <c r="D185" s="483"/>
      <c r="E185" s="480"/>
      <c r="F185" s="480">
        <v>229</v>
      </c>
      <c r="G185" s="481">
        <v>0</v>
      </c>
      <c r="H185" s="481">
        <v>0</v>
      </c>
      <c r="I185" s="481">
        <v>0</v>
      </c>
      <c r="J185" s="481">
        <v>0</v>
      </c>
      <c r="K185" s="481">
        <v>0</v>
      </c>
      <c r="L185" s="481">
        <v>0</v>
      </c>
      <c r="M185" s="587">
        <f t="shared" si="11"/>
        <v>0</v>
      </c>
      <c r="N185" s="481">
        <v>0</v>
      </c>
      <c r="O185" s="481">
        <v>0</v>
      </c>
      <c r="P185" s="481">
        <v>0</v>
      </c>
      <c r="Q185" s="481">
        <v>11.837720536170622</v>
      </c>
      <c r="R185" s="587">
        <f t="shared" si="12"/>
        <v>259.46744318567664</v>
      </c>
      <c r="S185" s="481">
        <v>0</v>
      </c>
      <c r="T185" s="481">
        <v>0</v>
      </c>
      <c r="U185" s="481">
        <v>0</v>
      </c>
      <c r="V185" s="481">
        <v>0</v>
      </c>
      <c r="W185" s="481">
        <v>0</v>
      </c>
      <c r="X185" s="481">
        <v>0</v>
      </c>
      <c r="Y185" s="481">
        <v>0</v>
      </c>
      <c r="Z185" s="481">
        <v>9.9695878142489622</v>
      </c>
      <c r="AA185" s="481">
        <v>0</v>
      </c>
      <c r="AB185" s="481">
        <v>0</v>
      </c>
      <c r="AC185" s="481">
        <v>0</v>
      </c>
      <c r="AD185" s="481">
        <v>0</v>
      </c>
      <c r="AE185" s="481">
        <v>0</v>
      </c>
      <c r="AF185" s="481">
        <v>0</v>
      </c>
      <c r="AG185" s="481">
        <v>8.438242546082888</v>
      </c>
      <c r="AH185" s="700">
        <f t="shared" si="13"/>
        <v>281.27475153609623</v>
      </c>
      <c r="AI185" s="482">
        <f t="shared" si="14"/>
        <v>289.71299408217914</v>
      </c>
      <c r="AJ185" s="482"/>
      <c r="AK185" s="482"/>
      <c r="AL185" s="585">
        <v>29.07</v>
      </c>
      <c r="AM185" s="585">
        <v>230.39744318567665</v>
      </c>
      <c r="AN185" s="581">
        <v>0</v>
      </c>
      <c r="AO185" s="581">
        <f t="shared" si="15"/>
        <v>259.46744318567664</v>
      </c>
    </row>
    <row r="186" spans="1:41" x14ac:dyDescent="0.3">
      <c r="A186" s="476">
        <v>150000765</v>
      </c>
      <c r="B186" s="477" t="s">
        <v>264</v>
      </c>
      <c r="C186" s="478">
        <v>4524.01</v>
      </c>
      <c r="D186" s="479"/>
      <c r="E186" s="480"/>
      <c r="F186" s="480">
        <v>4524.01</v>
      </c>
      <c r="G186" s="481">
        <v>1326.287447017633</v>
      </c>
      <c r="H186" s="481">
        <v>273.45733746067776</v>
      </c>
      <c r="I186" s="481">
        <v>509.36</v>
      </c>
      <c r="J186" s="481">
        <v>0</v>
      </c>
      <c r="K186" s="481">
        <v>107.87259182013038</v>
      </c>
      <c r="L186" s="481">
        <v>975.93735042715571</v>
      </c>
      <c r="M186" s="587">
        <f t="shared" si="11"/>
        <v>0</v>
      </c>
      <c r="N186" s="481">
        <v>1611.9920512108617</v>
      </c>
      <c r="O186" s="481">
        <v>0</v>
      </c>
      <c r="P186" s="481">
        <v>0</v>
      </c>
      <c r="Q186" s="481">
        <v>1578.362738156083</v>
      </c>
      <c r="R186" s="587">
        <f t="shared" si="12"/>
        <v>4676.1776370005482</v>
      </c>
      <c r="S186" s="481">
        <v>215.04580693729167</v>
      </c>
      <c r="T186" s="481">
        <v>352.43147208077619</v>
      </c>
      <c r="U186" s="481">
        <v>304.78845080212869</v>
      </c>
      <c r="V186" s="481">
        <v>0</v>
      </c>
      <c r="W186" s="481">
        <v>109.43236141333836</v>
      </c>
      <c r="X186" s="481">
        <v>143.40422235958118</v>
      </c>
      <c r="Y186" s="481">
        <v>0</v>
      </c>
      <c r="Z186" s="481">
        <v>3344.6899342587876</v>
      </c>
      <c r="AA186" s="481">
        <v>2075.7749615709945</v>
      </c>
      <c r="AB186" s="481">
        <v>1298.7194734159793</v>
      </c>
      <c r="AC186" s="481">
        <v>173.48917562450299</v>
      </c>
      <c r="AD186" s="481">
        <v>21.357568968925559</v>
      </c>
      <c r="AE186" s="481">
        <v>614.55874331780842</v>
      </c>
      <c r="AF186" s="481">
        <v>0</v>
      </c>
      <c r="AG186" s="481">
        <v>1182.788359430592</v>
      </c>
      <c r="AH186" s="700">
        <f t="shared" si="13"/>
        <v>19713.139323843199</v>
      </c>
      <c r="AI186" s="482">
        <f t="shared" si="14"/>
        <v>20895.927683273792</v>
      </c>
      <c r="AJ186" s="482"/>
      <c r="AK186" s="482"/>
      <c r="AL186" s="585">
        <v>150.88</v>
      </c>
      <c r="AM186" s="585">
        <v>4525.2976370005481</v>
      </c>
      <c r="AN186" s="581">
        <v>0</v>
      </c>
      <c r="AO186" s="581">
        <f t="shared" si="15"/>
        <v>4676.1776370005482</v>
      </c>
    </row>
    <row r="187" spans="1:41" x14ac:dyDescent="0.3">
      <c r="A187" s="476">
        <v>150000768</v>
      </c>
      <c r="B187" s="477" t="s">
        <v>116</v>
      </c>
      <c r="C187" s="478">
        <v>119.3</v>
      </c>
      <c r="D187" s="483"/>
      <c r="E187" s="480"/>
      <c r="F187" s="480">
        <v>119.3</v>
      </c>
      <c r="G187" s="481">
        <v>0</v>
      </c>
      <c r="H187" s="481">
        <v>0</v>
      </c>
      <c r="I187" s="481">
        <v>0</v>
      </c>
      <c r="J187" s="481">
        <v>0</v>
      </c>
      <c r="K187" s="481">
        <v>0</v>
      </c>
      <c r="L187" s="481">
        <v>0</v>
      </c>
      <c r="M187" s="587">
        <f t="shared" si="11"/>
        <v>0</v>
      </c>
      <c r="N187" s="481">
        <v>0</v>
      </c>
      <c r="O187" s="481">
        <v>0</v>
      </c>
      <c r="P187" s="481">
        <v>0</v>
      </c>
      <c r="Q187" s="481">
        <v>15.783627381560828</v>
      </c>
      <c r="R187" s="587">
        <f t="shared" si="12"/>
        <v>174.7531841843402</v>
      </c>
      <c r="S187" s="481">
        <v>0</v>
      </c>
      <c r="T187" s="481">
        <v>0</v>
      </c>
      <c r="U187" s="481">
        <v>0</v>
      </c>
      <c r="V187" s="481">
        <v>0</v>
      </c>
      <c r="W187" s="481">
        <v>0</v>
      </c>
      <c r="X187" s="481">
        <v>0</v>
      </c>
      <c r="Y187" s="481">
        <v>0</v>
      </c>
      <c r="Z187" s="481">
        <v>0</v>
      </c>
      <c r="AA187" s="481">
        <v>0</v>
      </c>
      <c r="AB187" s="481">
        <v>0</v>
      </c>
      <c r="AC187" s="481">
        <v>0</v>
      </c>
      <c r="AD187" s="481">
        <v>0</v>
      </c>
      <c r="AE187" s="481">
        <v>0</v>
      </c>
      <c r="AF187" s="481">
        <v>0</v>
      </c>
      <c r="AG187" s="481">
        <v>3.4296626081862183</v>
      </c>
      <c r="AH187" s="700">
        <f t="shared" si="13"/>
        <v>190.53681156590102</v>
      </c>
      <c r="AI187" s="482">
        <f t="shared" si="14"/>
        <v>193.96647417408724</v>
      </c>
      <c r="AJ187" s="482"/>
      <c r="AK187" s="482"/>
      <c r="AL187" s="585">
        <v>31.87</v>
      </c>
      <c r="AM187" s="585">
        <v>142.88318418434019</v>
      </c>
      <c r="AN187" s="581">
        <v>0</v>
      </c>
      <c r="AO187" s="581">
        <f t="shared" si="15"/>
        <v>174.7531841843402</v>
      </c>
    </row>
    <row r="188" spans="1:41" x14ac:dyDescent="0.3">
      <c r="A188" s="476">
        <v>150000770</v>
      </c>
      <c r="B188" s="477" t="s">
        <v>119</v>
      </c>
      <c r="C188" s="478">
        <v>144.5</v>
      </c>
      <c r="D188" s="483"/>
      <c r="E188" s="480"/>
      <c r="F188" s="480">
        <v>144.5</v>
      </c>
      <c r="G188" s="481">
        <v>0</v>
      </c>
      <c r="H188" s="481">
        <v>0</v>
      </c>
      <c r="I188" s="481">
        <v>0</v>
      </c>
      <c r="J188" s="481">
        <v>0</v>
      </c>
      <c r="K188" s="481">
        <v>0</v>
      </c>
      <c r="L188" s="481">
        <v>0</v>
      </c>
      <c r="M188" s="587">
        <f t="shared" si="11"/>
        <v>0</v>
      </c>
      <c r="N188" s="481">
        <v>0</v>
      </c>
      <c r="O188" s="481">
        <v>0</v>
      </c>
      <c r="P188" s="481">
        <v>0</v>
      </c>
      <c r="Q188" s="481">
        <v>19.729534226951035</v>
      </c>
      <c r="R188" s="587">
        <f t="shared" si="12"/>
        <v>195.75535335819563</v>
      </c>
      <c r="S188" s="481">
        <v>0</v>
      </c>
      <c r="T188" s="481">
        <v>0</v>
      </c>
      <c r="U188" s="481">
        <v>0</v>
      </c>
      <c r="V188" s="481">
        <v>0</v>
      </c>
      <c r="W188" s="481">
        <v>0</v>
      </c>
      <c r="X188" s="481">
        <v>0</v>
      </c>
      <c r="Y188" s="481">
        <v>0</v>
      </c>
      <c r="Z188" s="481">
        <v>0</v>
      </c>
      <c r="AA188" s="481">
        <v>0</v>
      </c>
      <c r="AB188" s="481">
        <v>0</v>
      </c>
      <c r="AC188" s="481">
        <v>0</v>
      </c>
      <c r="AD188" s="481">
        <v>0</v>
      </c>
      <c r="AE188" s="481">
        <v>0</v>
      </c>
      <c r="AF188" s="481">
        <v>0</v>
      </c>
      <c r="AG188" s="481">
        <v>3.8787279765326397</v>
      </c>
      <c r="AH188" s="700">
        <f t="shared" si="13"/>
        <v>215.48488758514668</v>
      </c>
      <c r="AI188" s="482">
        <f t="shared" si="14"/>
        <v>219.36361556167932</v>
      </c>
      <c r="AJ188" s="482"/>
      <c r="AK188" s="482"/>
      <c r="AL188" s="585">
        <v>29.36</v>
      </c>
      <c r="AM188" s="585">
        <v>166.39535335819565</v>
      </c>
      <c r="AN188" s="581">
        <v>0</v>
      </c>
      <c r="AO188" s="581">
        <f t="shared" si="15"/>
        <v>195.75535335819563</v>
      </c>
    </row>
    <row r="189" spans="1:41" x14ac:dyDescent="0.3">
      <c r="A189" s="476">
        <v>150000777</v>
      </c>
      <c r="B189" s="477" t="s">
        <v>168</v>
      </c>
      <c r="C189" s="478">
        <v>393</v>
      </c>
      <c r="D189" s="479"/>
      <c r="E189" s="480"/>
      <c r="F189" s="480">
        <v>393</v>
      </c>
      <c r="G189" s="481">
        <v>123.94942598972295</v>
      </c>
      <c r="H189" s="481">
        <v>18.96217873778275</v>
      </c>
      <c r="I189" s="481">
        <v>48.04</v>
      </c>
      <c r="J189" s="481">
        <v>9.81</v>
      </c>
      <c r="K189" s="481">
        <v>0</v>
      </c>
      <c r="L189" s="481">
        <v>48.871201082828662</v>
      </c>
      <c r="M189" s="587">
        <f t="shared" si="11"/>
        <v>0</v>
      </c>
      <c r="N189" s="481">
        <v>140.03348271243181</v>
      </c>
      <c r="O189" s="481">
        <v>0</v>
      </c>
      <c r="P189" s="481">
        <v>0</v>
      </c>
      <c r="Q189" s="481">
        <v>31.567254763121657</v>
      </c>
      <c r="R189" s="587">
        <f t="shared" si="12"/>
        <v>364.92663630262473</v>
      </c>
      <c r="S189" s="481">
        <v>23.034329856202049</v>
      </c>
      <c r="T189" s="481">
        <v>24.462986820579289</v>
      </c>
      <c r="U189" s="481">
        <v>11.156848760464133</v>
      </c>
      <c r="V189" s="481">
        <v>14.32947846687793</v>
      </c>
      <c r="W189" s="481">
        <v>0</v>
      </c>
      <c r="X189" s="481">
        <v>6.5290204978108486</v>
      </c>
      <c r="Y189" s="481">
        <v>0</v>
      </c>
      <c r="Z189" s="481">
        <v>350.4188304300344</v>
      </c>
      <c r="AA189" s="481">
        <v>216.20285780915148</v>
      </c>
      <c r="AB189" s="481">
        <v>47.877163999731984</v>
      </c>
      <c r="AC189" s="481">
        <v>0</v>
      </c>
      <c r="AD189" s="481">
        <v>0</v>
      </c>
      <c r="AE189" s="481">
        <v>23.396906471490166</v>
      </c>
      <c r="AF189" s="481">
        <v>0</v>
      </c>
      <c r="AG189" s="481">
        <v>27.064234848615381</v>
      </c>
      <c r="AH189" s="700">
        <f t="shared" si="13"/>
        <v>1503.5686027008551</v>
      </c>
      <c r="AI189" s="482">
        <f t="shared" si="14"/>
        <v>1530.6328375494704</v>
      </c>
      <c r="AJ189" s="482"/>
      <c r="AK189" s="482"/>
      <c r="AL189" s="585">
        <v>10.61</v>
      </c>
      <c r="AM189" s="585">
        <v>354.31663630262472</v>
      </c>
      <c r="AN189" s="581">
        <v>0</v>
      </c>
      <c r="AO189" s="581">
        <f t="shared" si="15"/>
        <v>364.92663630262473</v>
      </c>
    </row>
    <row r="190" spans="1:41" x14ac:dyDescent="0.3">
      <c r="A190" s="476">
        <v>150000778</v>
      </c>
      <c r="B190" s="477" t="s">
        <v>214</v>
      </c>
      <c r="C190" s="478">
        <v>2055.6</v>
      </c>
      <c r="D190" s="479"/>
      <c r="E190" s="480">
        <v>0</v>
      </c>
      <c r="F190" s="480">
        <v>2055.6</v>
      </c>
      <c r="G190" s="481">
        <v>603.90821848534733</v>
      </c>
      <c r="H190" s="481">
        <v>112.78587804566999</v>
      </c>
      <c r="I190" s="481">
        <v>248.77</v>
      </c>
      <c r="J190" s="481">
        <v>55.63</v>
      </c>
      <c r="K190" s="481">
        <v>0</v>
      </c>
      <c r="L190" s="481">
        <v>419.30656380150458</v>
      </c>
      <c r="M190" s="587">
        <f t="shared" si="11"/>
        <v>0</v>
      </c>
      <c r="N190" s="481">
        <v>732.44994163784941</v>
      </c>
      <c r="O190" s="481">
        <v>0</v>
      </c>
      <c r="P190" s="481">
        <v>0</v>
      </c>
      <c r="Q190" s="481">
        <v>189.40352857872995</v>
      </c>
      <c r="R190" s="587">
        <f t="shared" si="12"/>
        <v>2152.7644456078528</v>
      </c>
      <c r="S190" s="481">
        <v>95.395306708164938</v>
      </c>
      <c r="T190" s="481">
        <v>145.37474458257918</v>
      </c>
      <c r="U190" s="481">
        <v>102.0777517656051</v>
      </c>
      <c r="V190" s="481">
        <v>58.023332592731379</v>
      </c>
      <c r="W190" s="481">
        <v>0</v>
      </c>
      <c r="X190" s="481">
        <v>93.045647513804042</v>
      </c>
      <c r="Y190" s="481">
        <v>0</v>
      </c>
      <c r="Z190" s="481">
        <v>2201.6099395930873</v>
      </c>
      <c r="AA190" s="481">
        <v>904.30942956650142</v>
      </c>
      <c r="AB190" s="481">
        <v>380.04478565529672</v>
      </c>
      <c r="AC190" s="481">
        <v>128.07756278478604</v>
      </c>
      <c r="AD190" s="481">
        <v>15.767124206460402</v>
      </c>
      <c r="AE190" s="481">
        <v>368.1113284847786</v>
      </c>
      <c r="AF190" s="481">
        <v>0</v>
      </c>
      <c r="AG190" s="481">
        <v>162.12339953299346</v>
      </c>
      <c r="AH190" s="700">
        <f t="shared" si="13"/>
        <v>9006.8555296107479</v>
      </c>
      <c r="AI190" s="482">
        <f t="shared" si="14"/>
        <v>9168.978929143741</v>
      </c>
      <c r="AJ190" s="482"/>
      <c r="AK190" s="482"/>
      <c r="AL190" s="585">
        <v>10.61</v>
      </c>
      <c r="AM190" s="585">
        <v>2142.1544456078527</v>
      </c>
      <c r="AN190" s="581">
        <v>0</v>
      </c>
      <c r="AO190" s="581">
        <f t="shared" si="15"/>
        <v>2152.7644456078528</v>
      </c>
    </row>
    <row r="191" spans="1:41" x14ac:dyDescent="0.3">
      <c r="A191" s="476">
        <v>150000781</v>
      </c>
      <c r="B191" s="477" t="s">
        <v>33</v>
      </c>
      <c r="C191" s="478">
        <v>263.3</v>
      </c>
      <c r="D191" s="483"/>
      <c r="E191" s="480"/>
      <c r="F191" s="480">
        <v>263.3</v>
      </c>
      <c r="G191" s="481">
        <v>0</v>
      </c>
      <c r="H191" s="481">
        <v>0</v>
      </c>
      <c r="I191" s="481">
        <v>0</v>
      </c>
      <c r="J191" s="481">
        <v>0</v>
      </c>
      <c r="K191" s="481">
        <v>0</v>
      </c>
      <c r="L191" s="481">
        <v>0</v>
      </c>
      <c r="M191" s="587">
        <f t="shared" si="11"/>
        <v>0</v>
      </c>
      <c r="N191" s="481">
        <v>0</v>
      </c>
      <c r="O191" s="481">
        <v>0</v>
      </c>
      <c r="P191" s="481">
        <v>0</v>
      </c>
      <c r="Q191" s="481">
        <v>35.513161608511865</v>
      </c>
      <c r="R191" s="587">
        <f t="shared" si="12"/>
        <v>313.34621142488311</v>
      </c>
      <c r="S191" s="481">
        <v>0</v>
      </c>
      <c r="T191" s="481">
        <v>0</v>
      </c>
      <c r="U191" s="481">
        <v>0</v>
      </c>
      <c r="V191" s="481">
        <v>0</v>
      </c>
      <c r="W191" s="481">
        <v>0</v>
      </c>
      <c r="X191" s="481">
        <v>0</v>
      </c>
      <c r="Y191" s="481">
        <v>0</v>
      </c>
      <c r="Z191" s="481">
        <v>0</v>
      </c>
      <c r="AA191" s="481">
        <v>0</v>
      </c>
      <c r="AB191" s="481">
        <v>0</v>
      </c>
      <c r="AC191" s="481">
        <v>0</v>
      </c>
      <c r="AD191" s="481">
        <v>0</v>
      </c>
      <c r="AE191" s="481">
        <v>0</v>
      </c>
      <c r="AF191" s="481">
        <v>0</v>
      </c>
      <c r="AG191" s="481">
        <v>18.838406143803329</v>
      </c>
      <c r="AH191" s="700">
        <f t="shared" si="13"/>
        <v>348.85937303339495</v>
      </c>
      <c r="AI191" s="482">
        <f t="shared" si="14"/>
        <v>367.6977791771983</v>
      </c>
      <c r="AJ191" s="482"/>
      <c r="AK191" s="482"/>
      <c r="AL191" s="585">
        <v>42.45</v>
      </c>
      <c r="AM191" s="585">
        <v>270.89621142488312</v>
      </c>
      <c r="AN191" s="581">
        <v>0</v>
      </c>
      <c r="AO191" s="581">
        <f t="shared" si="15"/>
        <v>313.34621142488311</v>
      </c>
    </row>
    <row r="192" spans="1:41" x14ac:dyDescent="0.3">
      <c r="A192" s="476">
        <v>150000795</v>
      </c>
      <c r="B192" s="477" t="s">
        <v>291</v>
      </c>
      <c r="C192" s="478">
        <v>2762.24</v>
      </c>
      <c r="D192" s="479"/>
      <c r="E192" s="480"/>
      <c r="F192" s="480">
        <v>2762.24</v>
      </c>
      <c r="G192" s="481">
        <v>879.81825762117876</v>
      </c>
      <c r="H192" s="481">
        <v>166.21966422225984</v>
      </c>
      <c r="I192" s="481">
        <v>0</v>
      </c>
      <c r="J192" s="481">
        <v>0</v>
      </c>
      <c r="K192" s="481">
        <v>0</v>
      </c>
      <c r="L192" s="481">
        <v>590.99832875819902</v>
      </c>
      <c r="M192" s="587">
        <f t="shared" si="11"/>
        <v>0</v>
      </c>
      <c r="N192" s="481">
        <v>984.23940785645698</v>
      </c>
      <c r="O192" s="481">
        <v>0</v>
      </c>
      <c r="P192" s="481">
        <v>0</v>
      </c>
      <c r="Q192" s="481">
        <v>236.75441072341243</v>
      </c>
      <c r="R192" s="587">
        <f t="shared" si="12"/>
        <v>3093.6763574888892</v>
      </c>
      <c r="S192" s="481">
        <v>146.84225901223721</v>
      </c>
      <c r="T192" s="481">
        <v>214.22856880012804</v>
      </c>
      <c r="U192" s="481">
        <v>0</v>
      </c>
      <c r="V192" s="481">
        <v>0</v>
      </c>
      <c r="W192" s="481">
        <v>0</v>
      </c>
      <c r="X192" s="481">
        <v>132.47739405823449</v>
      </c>
      <c r="Y192" s="481">
        <v>0</v>
      </c>
      <c r="Z192" s="481">
        <v>3678.8449347960959</v>
      </c>
      <c r="AA192" s="481">
        <v>1490.3522383057807</v>
      </c>
      <c r="AB192" s="481">
        <v>729.31427303757835</v>
      </c>
      <c r="AC192" s="481">
        <v>143.63472296688155</v>
      </c>
      <c r="AD192" s="481">
        <v>17.682304910695649</v>
      </c>
      <c r="AE192" s="481">
        <v>556.84637402146598</v>
      </c>
      <c r="AF192" s="481">
        <v>0</v>
      </c>
      <c r="AG192" s="481">
        <v>0</v>
      </c>
      <c r="AH192" s="700">
        <f t="shared" si="13"/>
        <v>13061.929496579494</v>
      </c>
      <c r="AI192" s="482">
        <f t="shared" si="14"/>
        <v>13061.929496579494</v>
      </c>
      <c r="AJ192" s="482"/>
      <c r="AK192" s="482"/>
      <c r="AL192" s="585">
        <v>103.09</v>
      </c>
      <c r="AM192" s="585">
        <v>2990.586357488889</v>
      </c>
      <c r="AN192" s="581">
        <v>0</v>
      </c>
      <c r="AO192" s="581">
        <f t="shared" si="15"/>
        <v>3093.6763574888892</v>
      </c>
    </row>
    <row r="193" spans="1:41" x14ac:dyDescent="0.3">
      <c r="A193" s="476">
        <v>150000796</v>
      </c>
      <c r="B193" s="477" t="s">
        <v>98</v>
      </c>
      <c r="C193" s="478">
        <v>181.38</v>
      </c>
      <c r="D193" s="483"/>
      <c r="E193" s="480"/>
      <c r="F193" s="480">
        <v>181.38</v>
      </c>
      <c r="G193" s="481">
        <v>0</v>
      </c>
      <c r="H193" s="481">
        <v>0</v>
      </c>
      <c r="I193" s="481">
        <v>14.05</v>
      </c>
      <c r="J193" s="481">
        <v>0</v>
      </c>
      <c r="K193" s="481">
        <v>0</v>
      </c>
      <c r="L193" s="481">
        <v>0</v>
      </c>
      <c r="M193" s="587">
        <f t="shared" si="11"/>
        <v>0</v>
      </c>
      <c r="N193" s="481">
        <v>0</v>
      </c>
      <c r="O193" s="481">
        <v>0</v>
      </c>
      <c r="P193" s="481">
        <v>0</v>
      </c>
      <c r="Q193" s="481">
        <v>5.9188602680853108</v>
      </c>
      <c r="R193" s="587">
        <f t="shared" si="12"/>
        <v>188.0236967355998</v>
      </c>
      <c r="S193" s="481">
        <v>0</v>
      </c>
      <c r="T193" s="481">
        <v>0</v>
      </c>
      <c r="U193" s="481">
        <v>5.4206943924622211</v>
      </c>
      <c r="V193" s="481">
        <v>0</v>
      </c>
      <c r="W193" s="481">
        <v>0</v>
      </c>
      <c r="X193" s="481">
        <v>0</v>
      </c>
      <c r="Y193" s="481">
        <v>0</v>
      </c>
      <c r="Z193" s="481">
        <v>0</v>
      </c>
      <c r="AA193" s="481">
        <v>0</v>
      </c>
      <c r="AB193" s="481">
        <v>0</v>
      </c>
      <c r="AC193" s="481">
        <v>0</v>
      </c>
      <c r="AD193" s="481">
        <v>0</v>
      </c>
      <c r="AE193" s="481">
        <v>0</v>
      </c>
      <c r="AF193" s="481">
        <v>0</v>
      </c>
      <c r="AG193" s="481">
        <v>5.1219180335075363</v>
      </c>
      <c r="AH193" s="700">
        <f t="shared" si="13"/>
        <v>213.41325139614733</v>
      </c>
      <c r="AI193" s="482">
        <f t="shared" si="14"/>
        <v>218.53516942965487</v>
      </c>
      <c r="AJ193" s="482"/>
      <c r="AK193" s="482"/>
      <c r="AL193" s="585">
        <v>19.329999999999998</v>
      </c>
      <c r="AM193" s="585">
        <v>168.69369673559981</v>
      </c>
      <c r="AN193" s="581">
        <v>0</v>
      </c>
      <c r="AO193" s="581">
        <f t="shared" si="15"/>
        <v>188.0236967355998</v>
      </c>
    </row>
    <row r="194" spans="1:41" x14ac:dyDescent="0.3">
      <c r="A194" s="476">
        <v>150000797</v>
      </c>
      <c r="B194" s="477" t="s">
        <v>231</v>
      </c>
      <c r="C194" s="478">
        <v>3993</v>
      </c>
      <c r="D194" s="479"/>
      <c r="E194" s="579">
        <f>967.1+552.9</f>
        <v>1520</v>
      </c>
      <c r="F194" s="480">
        <v>4960.1000000000004</v>
      </c>
      <c r="G194" s="481">
        <v>1450.3083733083686</v>
      </c>
      <c r="H194" s="481">
        <v>308.27477539957999</v>
      </c>
      <c r="I194" s="481">
        <v>493.65</v>
      </c>
      <c r="J194" s="481">
        <v>0</v>
      </c>
      <c r="K194" s="481">
        <v>0</v>
      </c>
      <c r="L194" s="481">
        <v>1696.6976419514717</v>
      </c>
      <c r="M194" s="587">
        <f t="shared" si="11"/>
        <v>0</v>
      </c>
      <c r="N194" s="481">
        <v>1767.3793323204404</v>
      </c>
      <c r="O194" s="481">
        <v>0</v>
      </c>
      <c r="P194" s="481">
        <v>0</v>
      </c>
      <c r="Q194" s="481">
        <v>875.99131967662606</v>
      </c>
      <c r="R194" s="587">
        <f t="shared" si="12"/>
        <v>7115.1022713486427</v>
      </c>
      <c r="S194" s="481">
        <v>255.09182733340506</v>
      </c>
      <c r="T194" s="481">
        <v>397.34179386311524</v>
      </c>
      <c r="U194" s="481">
        <v>245.16954845021871</v>
      </c>
      <c r="V194" s="481">
        <v>0</v>
      </c>
      <c r="W194" s="481">
        <v>0</v>
      </c>
      <c r="X194" s="481">
        <v>251.89650421883385</v>
      </c>
      <c r="Y194" s="481">
        <v>0</v>
      </c>
      <c r="Z194" s="481">
        <v>2057.0135625064281</v>
      </c>
      <c r="AA194" s="481">
        <v>3901.4759807688333</v>
      </c>
      <c r="AB194" s="481">
        <v>1004.4176375805555</v>
      </c>
      <c r="AC194" s="481">
        <v>68.630925649704508</v>
      </c>
      <c r="AD194" s="481">
        <v>8.4488828924825619</v>
      </c>
      <c r="AE194" s="481">
        <v>385.26905989720478</v>
      </c>
      <c r="AF194" s="481">
        <v>0</v>
      </c>
      <c r="AG194" s="580">
        <f>401.078869868986+2147.57</f>
        <v>2548.6488698689864</v>
      </c>
      <c r="AH194" s="700">
        <f t="shared" si="13"/>
        <v>22282.159437165912</v>
      </c>
      <c r="AI194" s="482">
        <f t="shared" si="14"/>
        <v>24830.808307034898</v>
      </c>
      <c r="AJ194" s="482"/>
      <c r="AK194" s="482"/>
      <c r="AL194" s="585">
        <v>183.56</v>
      </c>
      <c r="AM194" s="585">
        <v>6931.5422713486423</v>
      </c>
      <c r="AN194" s="581">
        <v>0</v>
      </c>
      <c r="AO194" s="581">
        <f t="shared" si="15"/>
        <v>7115.1022713486427</v>
      </c>
    </row>
    <row r="195" spans="1:41" x14ac:dyDescent="0.3">
      <c r="A195" s="476">
        <v>150000798</v>
      </c>
      <c r="B195" s="477" t="s">
        <v>225</v>
      </c>
      <c r="C195" s="478">
        <v>996.3</v>
      </c>
      <c r="D195" s="479"/>
      <c r="E195" s="480">
        <v>321.60000000000002</v>
      </c>
      <c r="F195" s="480">
        <v>1317.9</v>
      </c>
      <c r="G195" s="481">
        <v>329.15188013836934</v>
      </c>
      <c r="H195" s="481">
        <v>58.760208200908664</v>
      </c>
      <c r="I195" s="481">
        <v>157.44</v>
      </c>
      <c r="J195" s="481">
        <v>0</v>
      </c>
      <c r="K195" s="481">
        <v>0</v>
      </c>
      <c r="L195" s="481">
        <v>244.47153316564783</v>
      </c>
      <c r="M195" s="587">
        <f t="shared" si="11"/>
        <v>0</v>
      </c>
      <c r="N195" s="481">
        <v>469.59319813413202</v>
      </c>
      <c r="O195" s="481">
        <v>0</v>
      </c>
      <c r="P195" s="481">
        <v>0</v>
      </c>
      <c r="Q195" s="481">
        <v>213.07896965107119</v>
      </c>
      <c r="R195" s="587">
        <f t="shared" si="12"/>
        <v>1304.5528800875625</v>
      </c>
      <c r="S195" s="481">
        <v>63.390795682123972</v>
      </c>
      <c r="T195" s="481">
        <v>75.73917804757626</v>
      </c>
      <c r="U195" s="481">
        <v>79.385285010186223</v>
      </c>
      <c r="V195" s="481">
        <v>0</v>
      </c>
      <c r="W195" s="481">
        <v>0</v>
      </c>
      <c r="X195" s="481">
        <v>29.574502456385112</v>
      </c>
      <c r="Y195" s="481">
        <v>0</v>
      </c>
      <c r="Z195" s="481">
        <v>817.78443854193983</v>
      </c>
      <c r="AA195" s="481">
        <v>746.27414314343707</v>
      </c>
      <c r="AB195" s="481">
        <v>433.20108853280323</v>
      </c>
      <c r="AC195" s="481">
        <v>117.11377241224575</v>
      </c>
      <c r="AD195" s="481">
        <v>14.417415164386313</v>
      </c>
      <c r="AE195" s="481">
        <v>257.36597118639179</v>
      </c>
      <c r="AF195" s="481">
        <v>0</v>
      </c>
      <c r="AG195" s="481">
        <v>162.33885778665504</v>
      </c>
      <c r="AH195" s="700">
        <f t="shared" si="13"/>
        <v>5411.2952595551678</v>
      </c>
      <c r="AI195" s="482">
        <f t="shared" si="14"/>
        <v>5573.6341173418232</v>
      </c>
      <c r="AJ195" s="482"/>
      <c r="AK195" s="482"/>
      <c r="AL195" s="585">
        <v>30.72</v>
      </c>
      <c r="AM195" s="585">
        <v>1273.8328800875624</v>
      </c>
      <c r="AN195" s="581">
        <v>0</v>
      </c>
      <c r="AO195" s="581">
        <f t="shared" si="15"/>
        <v>1304.5528800875625</v>
      </c>
    </row>
    <row r="196" spans="1:41" x14ac:dyDescent="0.3">
      <c r="A196" s="476">
        <v>150000799</v>
      </c>
      <c r="B196" s="477" t="s">
        <v>292</v>
      </c>
      <c r="C196" s="478">
        <v>1762.3</v>
      </c>
      <c r="D196" s="479"/>
      <c r="E196" s="480">
        <v>304.2</v>
      </c>
      <c r="F196" s="480">
        <v>2066.5</v>
      </c>
      <c r="G196" s="481">
        <v>556.79678028359353</v>
      </c>
      <c r="H196" s="481">
        <v>105.38823079067561</v>
      </c>
      <c r="I196" s="481">
        <v>230.29</v>
      </c>
      <c r="J196" s="481">
        <v>0</v>
      </c>
      <c r="K196" s="481">
        <v>0</v>
      </c>
      <c r="L196" s="481">
        <v>304.63555530550713</v>
      </c>
      <c r="M196" s="587">
        <f t="shared" si="11"/>
        <v>0</v>
      </c>
      <c r="N196" s="481">
        <v>736.33382194717638</v>
      </c>
      <c r="O196" s="481">
        <v>0</v>
      </c>
      <c r="P196" s="481">
        <v>0</v>
      </c>
      <c r="Q196" s="481">
        <v>426.15793930214238</v>
      </c>
      <c r="R196" s="587">
        <f t="shared" si="12"/>
        <v>1414.6060812773353</v>
      </c>
      <c r="S196" s="481">
        <v>95.994521259635846</v>
      </c>
      <c r="T196" s="481">
        <v>135.82841530966726</v>
      </c>
      <c r="U196" s="481">
        <v>133.88925764526772</v>
      </c>
      <c r="V196" s="481">
        <v>0</v>
      </c>
      <c r="W196" s="481">
        <v>0</v>
      </c>
      <c r="X196" s="481">
        <v>39.595999962324967</v>
      </c>
      <c r="Y196" s="481">
        <v>0</v>
      </c>
      <c r="Z196" s="481">
        <v>550.24702368092062</v>
      </c>
      <c r="AA196" s="481">
        <v>858.55184458843758</v>
      </c>
      <c r="AB196" s="481">
        <v>354.38411565962031</v>
      </c>
      <c r="AC196" s="481">
        <v>61.473700546235321</v>
      </c>
      <c r="AD196" s="481">
        <v>7.5677851051236669</v>
      </c>
      <c r="AE196" s="481">
        <v>241.76803353873177</v>
      </c>
      <c r="AF196" s="481">
        <v>0</v>
      </c>
      <c r="AG196" s="481">
        <v>150.08421854885748</v>
      </c>
      <c r="AH196" s="700">
        <f t="shared" si="13"/>
        <v>6253.5091062023948</v>
      </c>
      <c r="AI196" s="482">
        <f t="shared" si="14"/>
        <v>6403.5933247512521</v>
      </c>
      <c r="AJ196" s="482"/>
      <c r="AK196" s="482"/>
      <c r="AL196" s="585">
        <v>82</v>
      </c>
      <c r="AM196" s="585">
        <v>1332.6060812773353</v>
      </c>
      <c r="AN196" s="581">
        <v>0</v>
      </c>
      <c r="AO196" s="581">
        <f t="shared" si="15"/>
        <v>1414.6060812773353</v>
      </c>
    </row>
    <row r="197" spans="1:41" x14ac:dyDescent="0.3">
      <c r="A197" s="476">
        <v>150000800</v>
      </c>
      <c r="B197" s="477" t="s">
        <v>226</v>
      </c>
      <c r="C197" s="478">
        <v>1452.8</v>
      </c>
      <c r="D197" s="479"/>
      <c r="E197" s="480"/>
      <c r="F197" s="480">
        <v>1452.8</v>
      </c>
      <c r="G197" s="481">
        <v>389.45588571813454</v>
      </c>
      <c r="H197" s="481">
        <v>59.573997187988233</v>
      </c>
      <c r="I197" s="481">
        <v>172.77</v>
      </c>
      <c r="J197" s="481">
        <v>0</v>
      </c>
      <c r="K197" s="481">
        <v>0</v>
      </c>
      <c r="L197" s="481">
        <v>247.47965229655924</v>
      </c>
      <c r="M197" s="587">
        <f t="shared" si="11"/>
        <v>0</v>
      </c>
      <c r="N197" s="481">
        <v>517.66067095323388</v>
      </c>
      <c r="O197" s="481">
        <v>0</v>
      </c>
      <c r="P197" s="481">
        <v>0</v>
      </c>
      <c r="Q197" s="481">
        <v>378.80705715745989</v>
      </c>
      <c r="R197" s="587">
        <f t="shared" si="12"/>
        <v>1366.8437370203635</v>
      </c>
      <c r="S197" s="481">
        <v>62.285310400733074</v>
      </c>
      <c r="T197" s="481">
        <v>76.807407836933493</v>
      </c>
      <c r="U197" s="481">
        <v>86.211473746841165</v>
      </c>
      <c r="V197" s="481">
        <v>0</v>
      </c>
      <c r="W197" s="481">
        <v>0</v>
      </c>
      <c r="X197" s="481">
        <v>30.028070076793693</v>
      </c>
      <c r="Y197" s="481">
        <v>0</v>
      </c>
      <c r="Z197" s="481">
        <v>788.48426110430569</v>
      </c>
      <c r="AA197" s="481">
        <v>796.92091116839777</v>
      </c>
      <c r="AB197" s="481">
        <v>399.04899278946181</v>
      </c>
      <c r="AC197" s="481">
        <v>120.71689600885523</v>
      </c>
      <c r="AD197" s="481">
        <v>14.860981516241647</v>
      </c>
      <c r="AE197" s="481">
        <v>260.4855587159239</v>
      </c>
      <c r="AF197" s="481">
        <v>0</v>
      </c>
      <c r="AG197" s="481">
        <v>103.83193554656806</v>
      </c>
      <c r="AH197" s="700">
        <f t="shared" si="13"/>
        <v>5768.4408636982262</v>
      </c>
      <c r="AI197" s="482">
        <f t="shared" si="14"/>
        <v>5872.2727992447944</v>
      </c>
      <c r="AJ197" s="482"/>
      <c r="AK197" s="482"/>
      <c r="AL197" s="585">
        <v>38.46</v>
      </c>
      <c r="AM197" s="585">
        <v>1328.3837370203635</v>
      </c>
      <c r="AN197" s="581">
        <v>0</v>
      </c>
      <c r="AO197" s="581">
        <f t="shared" si="15"/>
        <v>1366.8437370203635</v>
      </c>
    </row>
    <row r="198" spans="1:41" x14ac:dyDescent="0.3">
      <c r="A198" s="476">
        <v>150000801</v>
      </c>
      <c r="B198" s="477" t="s">
        <v>294</v>
      </c>
      <c r="C198" s="478">
        <v>3766.2</v>
      </c>
      <c r="D198" s="479"/>
      <c r="E198" s="480">
        <v>445.91</v>
      </c>
      <c r="F198" s="480">
        <v>4212.1099999999997</v>
      </c>
      <c r="G198" s="481">
        <v>1217.6613996385609</v>
      </c>
      <c r="H198" s="481">
        <v>237.58001652129462</v>
      </c>
      <c r="I198" s="481">
        <v>460.8</v>
      </c>
      <c r="J198" s="481">
        <v>0</v>
      </c>
      <c r="K198" s="481">
        <v>0</v>
      </c>
      <c r="L198" s="481">
        <v>866.4275208632298</v>
      </c>
      <c r="M198" s="587">
        <f t="shared" ref="M198:M261" si="16">AN198</f>
        <v>0</v>
      </c>
      <c r="N198" s="481">
        <v>1500.8560632770002</v>
      </c>
      <c r="O198" s="481">
        <v>0</v>
      </c>
      <c r="P198" s="481">
        <v>0</v>
      </c>
      <c r="Q198" s="481">
        <v>1065.394848255356</v>
      </c>
      <c r="R198" s="587">
        <f t="shared" ref="R198:R261" si="17">AO198</f>
        <v>4411.5398083199243</v>
      </c>
      <c r="S198" s="481">
        <v>195.10050848844696</v>
      </c>
      <c r="T198" s="481">
        <v>306.21489211681387</v>
      </c>
      <c r="U198" s="481">
        <v>249.27232528843322</v>
      </c>
      <c r="V198" s="481">
        <v>0</v>
      </c>
      <c r="W198" s="481">
        <v>0</v>
      </c>
      <c r="X198" s="481">
        <v>121.44824413877653</v>
      </c>
      <c r="Y198" s="481">
        <v>0</v>
      </c>
      <c r="Z198" s="481">
        <v>2723.1615401592244</v>
      </c>
      <c r="AA198" s="481">
        <v>1782.7375103719967</v>
      </c>
      <c r="AB198" s="481">
        <v>1131.553670544685</v>
      </c>
      <c r="AC198" s="481">
        <v>64.390514886347759</v>
      </c>
      <c r="AD198" s="481">
        <v>7.9268626280541739</v>
      </c>
      <c r="AE198" s="481">
        <v>346.2742157780545</v>
      </c>
      <c r="AF198" s="481">
        <v>0</v>
      </c>
      <c r="AG198" s="481">
        <v>0</v>
      </c>
      <c r="AH198" s="700">
        <f t="shared" ref="AH198:AH261" si="18">SUM(G198:AG198)-AG198</f>
        <v>16688.339941276197</v>
      </c>
      <c r="AI198" s="482">
        <f t="shared" ref="AI198:AI261" si="19">G198+H198+I198+J198+K198+L198+M198+N198+O198+P198+Q198+R198+S198+T198+U198+V198+W198+X198+Y198+Z198+AA198+AB198+AC198+AD198+AE198+AF198+AG198</f>
        <v>16688.339941276197</v>
      </c>
      <c r="AJ198" s="482"/>
      <c r="AK198" s="482"/>
      <c r="AL198" s="585">
        <v>163.35</v>
      </c>
      <c r="AM198" s="585">
        <v>4248.1898083199239</v>
      </c>
      <c r="AN198" s="581">
        <v>0</v>
      </c>
      <c r="AO198" s="581">
        <f t="shared" ref="AO198:AO261" si="20">AL198+AM198</f>
        <v>4411.5398083199243</v>
      </c>
    </row>
    <row r="199" spans="1:41" x14ac:dyDescent="0.3">
      <c r="A199" s="476">
        <v>150000802</v>
      </c>
      <c r="B199" s="477" t="s">
        <v>295</v>
      </c>
      <c r="C199" s="478">
        <v>3203.6</v>
      </c>
      <c r="D199" s="479"/>
      <c r="E199" s="480"/>
      <c r="F199" s="480">
        <v>3203.6</v>
      </c>
      <c r="G199" s="481">
        <v>1004.7529526272521</v>
      </c>
      <c r="H199" s="481">
        <v>190.26127237381124</v>
      </c>
      <c r="I199" s="481">
        <v>346.51</v>
      </c>
      <c r="J199" s="481">
        <v>0</v>
      </c>
      <c r="K199" s="481">
        <v>0</v>
      </c>
      <c r="L199" s="481">
        <v>620.95739170397508</v>
      </c>
      <c r="M199" s="587">
        <f t="shared" si="16"/>
        <v>0</v>
      </c>
      <c r="N199" s="481">
        <v>1141.5044916477011</v>
      </c>
      <c r="O199" s="481">
        <v>0</v>
      </c>
      <c r="P199" s="481">
        <v>0</v>
      </c>
      <c r="Q199" s="481">
        <v>947.01764289364974</v>
      </c>
      <c r="R199" s="587">
        <f t="shared" si="17"/>
        <v>3333.9436001953263</v>
      </c>
      <c r="S199" s="481">
        <v>158.92266622080513</v>
      </c>
      <c r="T199" s="481">
        <v>245.21278357122625</v>
      </c>
      <c r="U199" s="481">
        <v>217.67909249195375</v>
      </c>
      <c r="V199" s="481">
        <v>0</v>
      </c>
      <c r="W199" s="481">
        <v>0</v>
      </c>
      <c r="X199" s="481">
        <v>87.209301208072532</v>
      </c>
      <c r="Y199" s="481">
        <v>0</v>
      </c>
      <c r="Z199" s="481">
        <v>2749.4601093880124</v>
      </c>
      <c r="AA199" s="481">
        <v>1458.3725480842386</v>
      </c>
      <c r="AB199" s="481">
        <v>852.66923740361449</v>
      </c>
      <c r="AC199" s="481">
        <v>173.29308726550386</v>
      </c>
      <c r="AD199" s="481">
        <v>21.333429303518468</v>
      </c>
      <c r="AE199" s="481">
        <v>233.96906471490172</v>
      </c>
      <c r="AF199" s="481">
        <v>0</v>
      </c>
      <c r="AG199" s="481">
        <v>0</v>
      </c>
      <c r="AH199" s="700">
        <f t="shared" si="18"/>
        <v>13783.068671093562</v>
      </c>
      <c r="AI199" s="482">
        <f t="shared" si="19"/>
        <v>13783.068671093562</v>
      </c>
      <c r="AJ199" s="482"/>
      <c r="AK199" s="482"/>
      <c r="AL199" s="585">
        <v>70.819999999999993</v>
      </c>
      <c r="AM199" s="585">
        <v>3263.1236001953262</v>
      </c>
      <c r="AN199" s="581">
        <v>0</v>
      </c>
      <c r="AO199" s="581">
        <f t="shared" si="20"/>
        <v>3333.9436001953263</v>
      </c>
    </row>
    <row r="200" spans="1:41" x14ac:dyDescent="0.3">
      <c r="A200" s="476">
        <v>150000803</v>
      </c>
      <c r="B200" s="477" t="s">
        <v>227</v>
      </c>
      <c r="C200" s="478">
        <v>1311.9</v>
      </c>
      <c r="D200" s="479"/>
      <c r="E200" s="480">
        <v>295.3</v>
      </c>
      <c r="F200" s="480">
        <v>1607.2</v>
      </c>
      <c r="G200" s="481">
        <v>416.3963401851193</v>
      </c>
      <c r="H200" s="481">
        <v>74.146569472569922</v>
      </c>
      <c r="I200" s="481">
        <v>192.81</v>
      </c>
      <c r="J200" s="481">
        <v>0</v>
      </c>
      <c r="K200" s="481">
        <v>0</v>
      </c>
      <c r="L200" s="481">
        <v>235.0081932465192</v>
      </c>
      <c r="M200" s="587">
        <f t="shared" si="16"/>
        <v>0</v>
      </c>
      <c r="N200" s="481">
        <v>572.67637001379239</v>
      </c>
      <c r="O200" s="481">
        <v>0</v>
      </c>
      <c r="P200" s="481">
        <v>0</v>
      </c>
      <c r="Q200" s="481">
        <v>319.61845447660681</v>
      </c>
      <c r="R200" s="587">
        <f t="shared" si="17"/>
        <v>1158.2733510212643</v>
      </c>
      <c r="S200" s="481">
        <v>68.942432893789587</v>
      </c>
      <c r="T200" s="481">
        <v>95.560129197742071</v>
      </c>
      <c r="U200" s="481">
        <v>82.392816481871506</v>
      </c>
      <c r="V200" s="481">
        <v>0</v>
      </c>
      <c r="W200" s="481">
        <v>0</v>
      </c>
      <c r="X200" s="481">
        <v>28.144263139917541</v>
      </c>
      <c r="Y200" s="481">
        <v>0</v>
      </c>
      <c r="Z200" s="481">
        <v>454.86961335644742</v>
      </c>
      <c r="AA200" s="481">
        <v>933.40106956839929</v>
      </c>
      <c r="AB200" s="481">
        <v>290.37813878914119</v>
      </c>
      <c r="AC200" s="481">
        <v>122.48169123984763</v>
      </c>
      <c r="AD200" s="481">
        <v>15.078238504905485</v>
      </c>
      <c r="AE200" s="481">
        <v>70.190719414470507</v>
      </c>
      <c r="AF200" s="481">
        <v>0</v>
      </c>
      <c r="AG200" s="481">
        <v>153.9110517300721</v>
      </c>
      <c r="AH200" s="700">
        <f t="shared" si="18"/>
        <v>5130.3683910024029</v>
      </c>
      <c r="AI200" s="482">
        <f t="shared" si="19"/>
        <v>5284.2794427324752</v>
      </c>
      <c r="AJ200" s="482"/>
      <c r="AK200" s="482"/>
      <c r="AL200" s="585">
        <v>38.46</v>
      </c>
      <c r="AM200" s="585">
        <v>1119.8133510212642</v>
      </c>
      <c r="AN200" s="581">
        <v>0</v>
      </c>
      <c r="AO200" s="581">
        <f t="shared" si="20"/>
        <v>1158.2733510212643</v>
      </c>
    </row>
    <row r="201" spans="1:41" x14ac:dyDescent="0.3">
      <c r="A201" s="476">
        <v>150000805</v>
      </c>
      <c r="B201" s="477" t="s">
        <v>296</v>
      </c>
      <c r="C201" s="478">
        <v>2920.74</v>
      </c>
      <c r="D201" s="479"/>
      <c r="E201" s="480">
        <v>789.2</v>
      </c>
      <c r="F201" s="480">
        <v>3709.9399999999996</v>
      </c>
      <c r="G201" s="481">
        <v>964.15816394992521</v>
      </c>
      <c r="H201" s="481">
        <v>191.46935094062218</v>
      </c>
      <c r="I201" s="481">
        <v>431.89</v>
      </c>
      <c r="J201" s="481">
        <v>0</v>
      </c>
      <c r="K201" s="481">
        <v>0</v>
      </c>
      <c r="L201" s="481">
        <v>665.46342033395945</v>
      </c>
      <c r="M201" s="587">
        <f t="shared" si="16"/>
        <v>0</v>
      </c>
      <c r="N201" s="481">
        <v>1321.9232031912447</v>
      </c>
      <c r="O201" s="481">
        <v>0</v>
      </c>
      <c r="P201" s="481">
        <v>0</v>
      </c>
      <c r="Q201" s="481">
        <v>781.28955538726109</v>
      </c>
      <c r="R201" s="587">
        <f t="shared" si="17"/>
        <v>3295.0938236433444</v>
      </c>
      <c r="S201" s="481">
        <v>157.80138404303619</v>
      </c>
      <c r="T201" s="481">
        <v>246.77626820613449</v>
      </c>
      <c r="U201" s="481">
        <v>164.2549839912036</v>
      </c>
      <c r="V201" s="481">
        <v>0</v>
      </c>
      <c r="W201" s="481">
        <v>0</v>
      </c>
      <c r="X201" s="481">
        <v>115.12791972448017</v>
      </c>
      <c r="Y201" s="481">
        <v>0</v>
      </c>
      <c r="Z201" s="481">
        <v>2159.5937245111727</v>
      </c>
      <c r="AA201" s="481">
        <v>1430.6029504916523</v>
      </c>
      <c r="AB201" s="481">
        <v>443.0024597429105</v>
      </c>
      <c r="AC201" s="481">
        <v>104.01261892661466</v>
      </c>
      <c r="AD201" s="481">
        <v>12.80458376937491</v>
      </c>
      <c r="AE201" s="481">
        <v>262.04535248068987</v>
      </c>
      <c r="AF201" s="481">
        <v>0</v>
      </c>
      <c r="AG201" s="481">
        <v>764.83858580001754</v>
      </c>
      <c r="AH201" s="700">
        <f t="shared" si="18"/>
        <v>12747.309763333626</v>
      </c>
      <c r="AI201" s="482">
        <f t="shared" si="19"/>
        <v>13512.148349133644</v>
      </c>
      <c r="AJ201" s="482"/>
      <c r="AK201" s="482"/>
      <c r="AL201" s="585">
        <v>107.42</v>
      </c>
      <c r="AM201" s="585">
        <v>3187.6738236433443</v>
      </c>
      <c r="AN201" s="581">
        <v>0</v>
      </c>
      <c r="AO201" s="581">
        <f t="shared" si="20"/>
        <v>3295.0938236433444</v>
      </c>
    </row>
    <row r="202" spans="1:41" x14ac:dyDescent="0.3">
      <c r="A202" s="476">
        <v>150000806</v>
      </c>
      <c r="B202" s="477" t="s">
        <v>228</v>
      </c>
      <c r="C202" s="478">
        <v>2014</v>
      </c>
      <c r="D202" s="479"/>
      <c r="E202" s="480">
        <v>702</v>
      </c>
      <c r="F202" s="480">
        <v>2716</v>
      </c>
      <c r="G202" s="481">
        <v>691.87626295478503</v>
      </c>
      <c r="H202" s="481">
        <v>142.54819780127158</v>
      </c>
      <c r="I202" s="481">
        <v>271.64999999999998</v>
      </c>
      <c r="J202" s="481">
        <v>0</v>
      </c>
      <c r="K202" s="481">
        <v>0</v>
      </c>
      <c r="L202" s="481">
        <v>619.76770691935303</v>
      </c>
      <c r="M202" s="587">
        <f t="shared" si="16"/>
        <v>0</v>
      </c>
      <c r="N202" s="481">
        <v>967.76320368184429</v>
      </c>
      <c r="O202" s="481">
        <v>0</v>
      </c>
      <c r="P202" s="481">
        <v>0</v>
      </c>
      <c r="Q202" s="481">
        <v>390.64477769363054</v>
      </c>
      <c r="R202" s="587">
        <f t="shared" si="17"/>
        <v>2518.8177205921565</v>
      </c>
      <c r="S202" s="481">
        <v>124.42417081826773</v>
      </c>
      <c r="T202" s="481">
        <v>183.73960887458077</v>
      </c>
      <c r="U202" s="481">
        <v>118.9463132300352</v>
      </c>
      <c r="V202" s="481">
        <v>0</v>
      </c>
      <c r="W202" s="481">
        <v>0</v>
      </c>
      <c r="X202" s="481">
        <v>84.9623748244654</v>
      </c>
      <c r="Y202" s="481">
        <v>0</v>
      </c>
      <c r="Z202" s="481">
        <v>1644.8234206108859</v>
      </c>
      <c r="AA202" s="481">
        <v>1236.5844712855412</v>
      </c>
      <c r="AB202" s="481">
        <v>890.20600202288335</v>
      </c>
      <c r="AC202" s="481">
        <v>146.99273611474212</v>
      </c>
      <c r="AD202" s="481">
        <v>18.095696680792116</v>
      </c>
      <c r="AE202" s="481">
        <v>366.55153472001268</v>
      </c>
      <c r="AF202" s="481">
        <v>0</v>
      </c>
      <c r="AG202" s="481">
        <v>287.54767988757681</v>
      </c>
      <c r="AH202" s="700">
        <f t="shared" si="18"/>
        <v>10418.394198825248</v>
      </c>
      <c r="AI202" s="482">
        <f t="shared" si="19"/>
        <v>10705.941878712825</v>
      </c>
      <c r="AJ202" s="482"/>
      <c r="AK202" s="482"/>
      <c r="AL202" s="585">
        <v>38.479999999999997</v>
      </c>
      <c r="AM202" s="585">
        <v>2480.3377205921565</v>
      </c>
      <c r="AN202" s="581">
        <v>0</v>
      </c>
      <c r="AO202" s="581">
        <f t="shared" si="20"/>
        <v>2518.8177205921565</v>
      </c>
    </row>
    <row r="203" spans="1:41" x14ac:dyDescent="0.3">
      <c r="A203" s="476">
        <v>150000807</v>
      </c>
      <c r="B203" s="477" t="s">
        <v>187</v>
      </c>
      <c r="C203" s="478">
        <v>194.4</v>
      </c>
      <c r="D203" s="479"/>
      <c r="E203" s="480">
        <v>106.3</v>
      </c>
      <c r="F203" s="480">
        <v>300.7</v>
      </c>
      <c r="G203" s="481">
        <v>161.44148711873171</v>
      </c>
      <c r="H203" s="481">
        <v>27.863437940424294</v>
      </c>
      <c r="I203" s="481">
        <v>0</v>
      </c>
      <c r="J203" s="481">
        <v>0</v>
      </c>
      <c r="K203" s="481">
        <v>0</v>
      </c>
      <c r="L203" s="481">
        <v>31.517122278593114</v>
      </c>
      <c r="M203" s="587">
        <f t="shared" si="16"/>
        <v>0</v>
      </c>
      <c r="N203" s="481">
        <v>107.14521183620418</v>
      </c>
      <c r="O203" s="481">
        <v>0</v>
      </c>
      <c r="P203" s="481">
        <v>0</v>
      </c>
      <c r="Q203" s="481">
        <v>78.91813690780414</v>
      </c>
      <c r="R203" s="587">
        <f t="shared" si="17"/>
        <v>292.50224453881918</v>
      </c>
      <c r="S203" s="481">
        <v>31.210401743719675</v>
      </c>
      <c r="T203" s="481">
        <v>35.912737913414823</v>
      </c>
      <c r="U203" s="481">
        <v>0</v>
      </c>
      <c r="V203" s="481">
        <v>0</v>
      </c>
      <c r="W203" s="481">
        <v>0</v>
      </c>
      <c r="X203" s="481">
        <v>4.9307175585019483</v>
      </c>
      <c r="Y203" s="481">
        <v>0</v>
      </c>
      <c r="Z203" s="481">
        <v>315.78795919245442</v>
      </c>
      <c r="AA203" s="481">
        <v>182.7909344456568</v>
      </c>
      <c r="AB203" s="481">
        <v>31.478837043806877</v>
      </c>
      <c r="AC203" s="481">
        <v>0</v>
      </c>
      <c r="AD203" s="481">
        <v>0</v>
      </c>
      <c r="AE203" s="481">
        <v>0</v>
      </c>
      <c r="AF203" s="481">
        <v>0</v>
      </c>
      <c r="AG203" s="481">
        <v>39.044976855543936</v>
      </c>
      <c r="AH203" s="700">
        <f t="shared" si="18"/>
        <v>1301.4992285181311</v>
      </c>
      <c r="AI203" s="482">
        <f t="shared" si="19"/>
        <v>1340.5442053736749</v>
      </c>
      <c r="AJ203" s="482"/>
      <c r="AK203" s="482"/>
      <c r="AL203" s="585">
        <v>34.69</v>
      </c>
      <c r="AM203" s="585">
        <v>257.81224453881919</v>
      </c>
      <c r="AN203" s="581">
        <v>0</v>
      </c>
      <c r="AO203" s="581">
        <f t="shared" si="20"/>
        <v>292.50224453881918</v>
      </c>
    </row>
    <row r="204" spans="1:41" x14ac:dyDescent="0.3">
      <c r="A204" s="476">
        <v>150000808</v>
      </c>
      <c r="B204" s="477" t="s">
        <v>297</v>
      </c>
      <c r="C204" s="478">
        <v>1754.6</v>
      </c>
      <c r="D204" s="479"/>
      <c r="E204" s="480">
        <v>196.2</v>
      </c>
      <c r="F204" s="480">
        <v>1950.8</v>
      </c>
      <c r="G204" s="481">
        <v>513.95842471414619</v>
      </c>
      <c r="H204" s="481">
        <v>97.201922685568604</v>
      </c>
      <c r="I204" s="481">
        <v>228.23</v>
      </c>
      <c r="J204" s="481">
        <v>0</v>
      </c>
      <c r="K204" s="481">
        <v>0</v>
      </c>
      <c r="L204" s="481">
        <v>273.11467902673633</v>
      </c>
      <c r="M204" s="587">
        <f t="shared" si="16"/>
        <v>0</v>
      </c>
      <c r="N204" s="481">
        <v>695.10767958120095</v>
      </c>
      <c r="O204" s="481">
        <v>0</v>
      </c>
      <c r="P204" s="481">
        <v>0</v>
      </c>
      <c r="Q204" s="481">
        <v>449.83338037448362</v>
      </c>
      <c r="R204" s="587">
        <f t="shared" si="17"/>
        <v>1135.9977617336131</v>
      </c>
      <c r="S204" s="481">
        <v>84.895212195252199</v>
      </c>
      <c r="T204" s="481">
        <v>125.2915763456533</v>
      </c>
      <c r="U204" s="481">
        <v>124.43804419403251</v>
      </c>
      <c r="V204" s="481">
        <v>0</v>
      </c>
      <c r="W204" s="481">
        <v>0</v>
      </c>
      <c r="X204" s="481">
        <v>34.847168270985676</v>
      </c>
      <c r="Y204" s="481">
        <v>0</v>
      </c>
      <c r="Z204" s="481">
        <v>1751.6402525785313</v>
      </c>
      <c r="AA204" s="481">
        <v>754.57692552362903</v>
      </c>
      <c r="AB204" s="481">
        <v>565.94528157557875</v>
      </c>
      <c r="AC204" s="481">
        <v>69.366256995951332</v>
      </c>
      <c r="AD204" s="481">
        <v>8.5394066377591606</v>
      </c>
      <c r="AE204" s="481">
        <v>591.16183684631835</v>
      </c>
      <c r="AF204" s="481">
        <v>0</v>
      </c>
      <c r="AG204" s="481">
        <v>180.09949942270657</v>
      </c>
      <c r="AH204" s="700">
        <f t="shared" si="18"/>
        <v>7504.1458092794401</v>
      </c>
      <c r="AI204" s="482">
        <f t="shared" si="19"/>
        <v>7684.2453087021468</v>
      </c>
      <c r="AJ204" s="482"/>
      <c r="AK204" s="482"/>
      <c r="AL204" s="585">
        <v>34.409999999999997</v>
      </c>
      <c r="AM204" s="585">
        <v>1101.587761733613</v>
      </c>
      <c r="AN204" s="581">
        <v>0</v>
      </c>
      <c r="AO204" s="581">
        <f t="shared" si="20"/>
        <v>1135.9977617336131</v>
      </c>
    </row>
    <row r="205" spans="1:41" x14ac:dyDescent="0.3">
      <c r="A205" s="476">
        <v>150000809</v>
      </c>
      <c r="B205" s="477" t="s">
        <v>299</v>
      </c>
      <c r="C205" s="478">
        <v>2104.64</v>
      </c>
      <c r="D205" s="479"/>
      <c r="E205" s="480">
        <v>438.5</v>
      </c>
      <c r="F205" s="480">
        <v>2543.14</v>
      </c>
      <c r="G205" s="481">
        <v>695.68680354356991</v>
      </c>
      <c r="H205" s="481">
        <v>128.12288164054613</v>
      </c>
      <c r="I205" s="481">
        <v>290.79000000000002</v>
      </c>
      <c r="J205" s="481">
        <v>0</v>
      </c>
      <c r="K205" s="481">
        <v>0</v>
      </c>
      <c r="L205" s="481">
        <v>400.57900157010505</v>
      </c>
      <c r="M205" s="587">
        <f t="shared" si="16"/>
        <v>0</v>
      </c>
      <c r="N205" s="481">
        <v>906.16985044604019</v>
      </c>
      <c r="O205" s="481">
        <v>0</v>
      </c>
      <c r="P205" s="481">
        <v>0</v>
      </c>
      <c r="Q205" s="481">
        <v>544.53514466384866</v>
      </c>
      <c r="R205" s="587">
        <f t="shared" si="17"/>
        <v>3073.007544491571</v>
      </c>
      <c r="S205" s="481">
        <v>117.16374101880021</v>
      </c>
      <c r="T205" s="481">
        <v>165.11801647981474</v>
      </c>
      <c r="U205" s="481">
        <v>147.32288814985458</v>
      </c>
      <c r="V205" s="481">
        <v>0</v>
      </c>
      <c r="W205" s="481">
        <v>0</v>
      </c>
      <c r="X205" s="481">
        <v>55.37301187953004</v>
      </c>
      <c r="Y205" s="481">
        <v>0</v>
      </c>
      <c r="Z205" s="481">
        <v>1594.7650082038065</v>
      </c>
      <c r="AA205" s="481">
        <v>799.40164123220586</v>
      </c>
      <c r="AB205" s="481">
        <v>906.06530080845232</v>
      </c>
      <c r="AC205" s="481">
        <v>0</v>
      </c>
      <c r="AD205" s="481">
        <v>0</v>
      </c>
      <c r="AE205" s="481">
        <v>517.85152990231563</v>
      </c>
      <c r="AF205" s="481">
        <v>0</v>
      </c>
      <c r="AG205" s="481">
        <v>397.13097077876972</v>
      </c>
      <c r="AH205" s="700">
        <f t="shared" si="18"/>
        <v>10341.952364030461</v>
      </c>
      <c r="AI205" s="482">
        <f t="shared" si="19"/>
        <v>10739.083334809231</v>
      </c>
      <c r="AJ205" s="482"/>
      <c r="AK205" s="482"/>
      <c r="AL205" s="585">
        <v>68.180000000000007</v>
      </c>
      <c r="AM205" s="585">
        <v>3004.8275444915712</v>
      </c>
      <c r="AN205" s="581">
        <v>0</v>
      </c>
      <c r="AO205" s="581">
        <f t="shared" si="20"/>
        <v>3073.007544491571</v>
      </c>
    </row>
    <row r="206" spans="1:41" x14ac:dyDescent="0.3">
      <c r="A206" s="476">
        <v>150000810</v>
      </c>
      <c r="B206" s="477" t="s">
        <v>300</v>
      </c>
      <c r="C206" s="478">
        <v>2552.36</v>
      </c>
      <c r="D206" s="479"/>
      <c r="E206" s="480">
        <v>446.4</v>
      </c>
      <c r="F206" s="480">
        <v>2998.76</v>
      </c>
      <c r="G206" s="481">
        <v>837.76751983637359</v>
      </c>
      <c r="H206" s="481">
        <v>164.69092413764568</v>
      </c>
      <c r="I206" s="481">
        <v>304.25</v>
      </c>
      <c r="J206" s="481">
        <v>0</v>
      </c>
      <c r="K206" s="481">
        <v>0</v>
      </c>
      <c r="L206" s="481">
        <v>537.80227933742958</v>
      </c>
      <c r="M206" s="587">
        <f t="shared" si="16"/>
        <v>0</v>
      </c>
      <c r="N206" s="481">
        <v>1068.5160473759086</v>
      </c>
      <c r="O206" s="481">
        <v>0</v>
      </c>
      <c r="P206" s="481">
        <v>0</v>
      </c>
      <c r="Q206" s="481">
        <v>757.61411431491979</v>
      </c>
      <c r="R206" s="587">
        <f t="shared" si="17"/>
        <v>2821.784399810108</v>
      </c>
      <c r="S206" s="481">
        <v>134.30372510334533</v>
      </c>
      <c r="T206" s="481">
        <v>212.27169726709224</v>
      </c>
      <c r="U206" s="481">
        <v>139.93069771698194</v>
      </c>
      <c r="V206" s="481">
        <v>0</v>
      </c>
      <c r="W206" s="481">
        <v>0</v>
      </c>
      <c r="X206" s="481">
        <v>76.425337939766223</v>
      </c>
      <c r="Y206" s="481">
        <v>0</v>
      </c>
      <c r="Z206" s="481">
        <v>1770.5501479892782</v>
      </c>
      <c r="AA206" s="481">
        <v>1049.253602882161</v>
      </c>
      <c r="AB206" s="481">
        <v>883.5119141979244</v>
      </c>
      <c r="AC206" s="481">
        <v>0</v>
      </c>
      <c r="AD206" s="481">
        <v>0</v>
      </c>
      <c r="AE206" s="481">
        <v>325.99689683609631</v>
      </c>
      <c r="AF206" s="481">
        <v>0</v>
      </c>
      <c r="AG206" s="481">
        <v>598.57214245623163</v>
      </c>
      <c r="AH206" s="700">
        <f t="shared" si="18"/>
        <v>11084.669304745032</v>
      </c>
      <c r="AI206" s="482">
        <f t="shared" si="19"/>
        <v>11683.241447201264</v>
      </c>
      <c r="AJ206" s="482"/>
      <c r="AK206" s="482"/>
      <c r="AL206" s="585">
        <v>98.23</v>
      </c>
      <c r="AM206" s="585">
        <v>2723.554399810108</v>
      </c>
      <c r="AN206" s="581">
        <v>0</v>
      </c>
      <c r="AO206" s="581">
        <f t="shared" si="20"/>
        <v>2821.784399810108</v>
      </c>
    </row>
    <row r="207" spans="1:41" x14ac:dyDescent="0.3">
      <c r="A207" s="476">
        <v>150000811</v>
      </c>
      <c r="B207" s="477" t="s">
        <v>301</v>
      </c>
      <c r="C207" s="478">
        <v>2562</v>
      </c>
      <c r="D207" s="479"/>
      <c r="E207" s="480">
        <v>42</v>
      </c>
      <c r="F207" s="480">
        <v>2604</v>
      </c>
      <c r="G207" s="481">
        <v>763.98509512009969</v>
      </c>
      <c r="H207" s="481">
        <v>128.98606914973575</v>
      </c>
      <c r="I207" s="481">
        <v>295.91000000000003</v>
      </c>
      <c r="J207" s="481">
        <v>0</v>
      </c>
      <c r="K207" s="481">
        <v>0</v>
      </c>
      <c r="L207" s="481">
        <v>432.74294982051123</v>
      </c>
      <c r="M207" s="587">
        <f t="shared" si="16"/>
        <v>0</v>
      </c>
      <c r="N207" s="481">
        <v>927.85544270527339</v>
      </c>
      <c r="O207" s="481">
        <v>0</v>
      </c>
      <c r="P207" s="481">
        <v>0</v>
      </c>
      <c r="Q207" s="481">
        <v>698.42551163406665</v>
      </c>
      <c r="R207" s="587">
        <f t="shared" si="17"/>
        <v>3226.7613152535237</v>
      </c>
      <c r="S207" s="481">
        <v>122.1311938047327</v>
      </c>
      <c r="T207" s="481">
        <v>166.23969598228419</v>
      </c>
      <c r="U207" s="481">
        <v>164.42897039662125</v>
      </c>
      <c r="V207" s="481">
        <v>0</v>
      </c>
      <c r="W207" s="481">
        <v>0</v>
      </c>
      <c r="X207" s="481">
        <v>58.866291083090957</v>
      </c>
      <c r="Y207" s="481">
        <v>0</v>
      </c>
      <c r="Z207" s="481">
        <v>2515.3266590944713</v>
      </c>
      <c r="AA207" s="481">
        <v>1154.6529966075511</v>
      </c>
      <c r="AB207" s="481">
        <v>1226.0199352339523</v>
      </c>
      <c r="AC207" s="481">
        <v>113.65771508488562</v>
      </c>
      <c r="AD207" s="481">
        <v>13.991953561586302</v>
      </c>
      <c r="AE207" s="481">
        <v>230.84947718536966</v>
      </c>
      <c r="AF207" s="481">
        <v>0</v>
      </c>
      <c r="AG207" s="481">
        <v>146.88997526061306</v>
      </c>
      <c r="AH207" s="700">
        <f t="shared" si="18"/>
        <v>12240.831271717756</v>
      </c>
      <c r="AI207" s="482">
        <f t="shared" si="19"/>
        <v>12387.72124697837</v>
      </c>
      <c r="AJ207" s="482"/>
      <c r="AK207" s="482"/>
      <c r="AL207" s="585">
        <v>73.819999999999993</v>
      </c>
      <c r="AM207" s="585">
        <v>3152.9413152535235</v>
      </c>
      <c r="AN207" s="581">
        <v>0</v>
      </c>
      <c r="AO207" s="581">
        <f t="shared" si="20"/>
        <v>3226.7613152535237</v>
      </c>
    </row>
    <row r="208" spans="1:41" x14ac:dyDescent="0.3">
      <c r="A208" s="476">
        <v>150000812</v>
      </c>
      <c r="B208" s="477" t="s">
        <v>302</v>
      </c>
      <c r="C208" s="478">
        <v>2295.3000000000002</v>
      </c>
      <c r="D208" s="479"/>
      <c r="E208" s="480">
        <v>485.6</v>
      </c>
      <c r="F208" s="480">
        <v>2780.9</v>
      </c>
      <c r="G208" s="481">
        <v>498.30036711423713</v>
      </c>
      <c r="H208" s="481">
        <v>96.930659689875455</v>
      </c>
      <c r="I208" s="481">
        <v>347.67</v>
      </c>
      <c r="J208" s="481">
        <v>0</v>
      </c>
      <c r="K208" s="481">
        <v>0</v>
      </c>
      <c r="L208" s="481">
        <v>415.61796325034436</v>
      </c>
      <c r="M208" s="587">
        <f t="shared" si="16"/>
        <v>0</v>
      </c>
      <c r="N208" s="481">
        <v>990.88832589058939</v>
      </c>
      <c r="O208" s="481">
        <v>0</v>
      </c>
      <c r="P208" s="481">
        <v>0</v>
      </c>
      <c r="Q208" s="481">
        <v>102.59357798014538</v>
      </c>
      <c r="R208" s="587">
        <f t="shared" si="17"/>
        <v>2271.2225439725908</v>
      </c>
      <c r="S208" s="481">
        <v>89.959598519160679</v>
      </c>
      <c r="T208" s="481">
        <v>124.92740962081987</v>
      </c>
      <c r="U208" s="481">
        <v>160.21630665945352</v>
      </c>
      <c r="V208" s="481">
        <v>0</v>
      </c>
      <c r="W208" s="481">
        <v>0</v>
      </c>
      <c r="X208" s="481">
        <v>57.641718801464663</v>
      </c>
      <c r="Y208" s="481">
        <v>0</v>
      </c>
      <c r="Z208" s="481">
        <v>2697.4559461723793</v>
      </c>
      <c r="AA208" s="481">
        <v>998.03036147974206</v>
      </c>
      <c r="AB208" s="481">
        <v>1381.2125114025137</v>
      </c>
      <c r="AC208" s="481">
        <v>0</v>
      </c>
      <c r="AD208" s="481">
        <v>0</v>
      </c>
      <c r="AE208" s="481">
        <v>486.65565460699548</v>
      </c>
      <c r="AF208" s="481">
        <v>0</v>
      </c>
      <c r="AG208" s="481">
        <v>0</v>
      </c>
      <c r="AH208" s="700">
        <f t="shared" si="18"/>
        <v>10719.322945160311</v>
      </c>
      <c r="AI208" s="482">
        <f t="shared" si="19"/>
        <v>10719.322945160311</v>
      </c>
      <c r="AJ208" s="482"/>
      <c r="AK208" s="482"/>
      <c r="AL208" s="585">
        <v>38.450000000000003</v>
      </c>
      <c r="AM208" s="585">
        <v>2232.7725439725909</v>
      </c>
      <c r="AN208" s="581">
        <v>0</v>
      </c>
      <c r="AO208" s="581">
        <f t="shared" si="20"/>
        <v>2271.2225439725908</v>
      </c>
    </row>
    <row r="209" spans="1:41" x14ac:dyDescent="0.3">
      <c r="A209" s="476">
        <v>150000813</v>
      </c>
      <c r="B209" s="477" t="s">
        <v>188</v>
      </c>
      <c r="C209" s="478">
        <v>373.3</v>
      </c>
      <c r="D209" s="479"/>
      <c r="E209" s="480"/>
      <c r="F209" s="480">
        <v>373.3</v>
      </c>
      <c r="G209" s="481">
        <v>81.920722766758146</v>
      </c>
      <c r="H209" s="481">
        <v>28.455403299245653</v>
      </c>
      <c r="I209" s="481">
        <v>0</v>
      </c>
      <c r="J209" s="481">
        <v>0</v>
      </c>
      <c r="K209" s="481">
        <v>0</v>
      </c>
      <c r="L209" s="481">
        <v>47.503701624648464</v>
      </c>
      <c r="M209" s="587">
        <f t="shared" si="16"/>
        <v>0</v>
      </c>
      <c r="N209" s="481">
        <v>133.01399261208854</v>
      </c>
      <c r="O209" s="481">
        <v>0</v>
      </c>
      <c r="P209" s="481">
        <v>0</v>
      </c>
      <c r="Q209" s="481">
        <v>31.567254763121657</v>
      </c>
      <c r="R209" s="587">
        <f t="shared" si="17"/>
        <v>394.00920081706113</v>
      </c>
      <c r="S209" s="481">
        <v>30.728404098874446</v>
      </c>
      <c r="T209" s="481">
        <v>36.670250691050846</v>
      </c>
      <c r="U209" s="481">
        <v>0</v>
      </c>
      <c r="V209" s="481">
        <v>0</v>
      </c>
      <c r="W209" s="481">
        <v>0</v>
      </c>
      <c r="X209" s="481">
        <v>11.528310748437255</v>
      </c>
      <c r="Y209" s="481">
        <v>0</v>
      </c>
      <c r="Z209" s="481">
        <v>263.32455459973721</v>
      </c>
      <c r="AA209" s="481">
        <v>212.08872072239058</v>
      </c>
      <c r="AB209" s="481">
        <v>114.4513960850033</v>
      </c>
      <c r="AC209" s="481">
        <v>0</v>
      </c>
      <c r="AD209" s="481">
        <v>0</v>
      </c>
      <c r="AE209" s="481">
        <v>77.989688238300573</v>
      </c>
      <c r="AF209" s="481">
        <v>0</v>
      </c>
      <c r="AG209" s="481">
        <v>26.338528819200917</v>
      </c>
      <c r="AH209" s="700">
        <f t="shared" si="18"/>
        <v>1463.2516010667177</v>
      </c>
      <c r="AI209" s="482">
        <f t="shared" si="19"/>
        <v>1489.5901298859187</v>
      </c>
      <c r="AJ209" s="482"/>
      <c r="AK209" s="482"/>
      <c r="AL209" s="585">
        <v>34.409999999999997</v>
      </c>
      <c r="AM209" s="585">
        <v>359.59920081706116</v>
      </c>
      <c r="AN209" s="581">
        <v>0</v>
      </c>
      <c r="AO209" s="581">
        <f t="shared" si="20"/>
        <v>394.00920081706113</v>
      </c>
    </row>
    <row r="210" spans="1:41" x14ac:dyDescent="0.3">
      <c r="A210" s="476">
        <v>150000814</v>
      </c>
      <c r="B210" s="477" t="s">
        <v>304</v>
      </c>
      <c r="C210" s="478">
        <v>2559.3000000000002</v>
      </c>
      <c r="D210" s="479"/>
      <c r="E210" s="480">
        <v>675.7</v>
      </c>
      <c r="F210" s="480">
        <v>3235</v>
      </c>
      <c r="G210" s="481">
        <v>883.26726772353527</v>
      </c>
      <c r="H210" s="481">
        <v>183.33244135762521</v>
      </c>
      <c r="I210" s="481">
        <v>319.37</v>
      </c>
      <c r="J210" s="481">
        <v>0</v>
      </c>
      <c r="K210" s="481">
        <v>0</v>
      </c>
      <c r="L210" s="481">
        <v>552.17988461485959</v>
      </c>
      <c r="M210" s="587">
        <f t="shared" si="16"/>
        <v>0</v>
      </c>
      <c r="N210" s="481">
        <v>1152.6929174929182</v>
      </c>
      <c r="O210" s="481">
        <v>0</v>
      </c>
      <c r="P210" s="481">
        <v>0</v>
      </c>
      <c r="Q210" s="481">
        <v>757.61411431491979</v>
      </c>
      <c r="R210" s="587">
        <f t="shared" si="17"/>
        <v>2587.2866482101094</v>
      </c>
      <c r="S210" s="481">
        <v>144.38665537536446</v>
      </c>
      <c r="T210" s="481">
        <v>236.29283810990782</v>
      </c>
      <c r="U210" s="481">
        <v>157.70525474036745</v>
      </c>
      <c r="V210" s="481">
        <v>0</v>
      </c>
      <c r="W210" s="481">
        <v>0</v>
      </c>
      <c r="X210" s="481">
        <v>78.17977785058504</v>
      </c>
      <c r="Y210" s="481">
        <v>0</v>
      </c>
      <c r="Z210" s="481">
        <v>2930.2395320465853</v>
      </c>
      <c r="AA210" s="481">
        <v>1084.7294153789264</v>
      </c>
      <c r="AB210" s="481">
        <v>1145.316363764523</v>
      </c>
      <c r="AC210" s="481">
        <v>3.0638806093618083</v>
      </c>
      <c r="AD210" s="481">
        <v>0.37718227198582865</v>
      </c>
      <c r="AE210" s="481">
        <v>511.61235484325175</v>
      </c>
      <c r="AF210" s="481">
        <v>0</v>
      </c>
      <c r="AG210" s="481">
        <v>0</v>
      </c>
      <c r="AH210" s="700">
        <f t="shared" si="18"/>
        <v>12727.646528704827</v>
      </c>
      <c r="AI210" s="482">
        <f t="shared" si="19"/>
        <v>12727.646528704827</v>
      </c>
      <c r="AJ210" s="482"/>
      <c r="AK210" s="482"/>
      <c r="AL210" s="585">
        <v>130.79</v>
      </c>
      <c r="AM210" s="585">
        <v>2456.4966482101095</v>
      </c>
      <c r="AN210" s="581">
        <v>0</v>
      </c>
      <c r="AO210" s="581">
        <f t="shared" si="20"/>
        <v>2587.2866482101094</v>
      </c>
    </row>
    <row r="211" spans="1:41" x14ac:dyDescent="0.3">
      <c r="A211" s="476">
        <v>150000816</v>
      </c>
      <c r="B211" s="477" t="s">
        <v>229</v>
      </c>
      <c r="C211" s="478">
        <v>2100.34</v>
      </c>
      <c r="D211" s="479"/>
      <c r="E211" s="480">
        <v>388</v>
      </c>
      <c r="F211" s="480">
        <v>2488.34</v>
      </c>
      <c r="G211" s="481">
        <v>775.13197503060508</v>
      </c>
      <c r="H211" s="481">
        <v>125.28722509957608</v>
      </c>
      <c r="I211" s="481">
        <v>287.44</v>
      </c>
      <c r="J211" s="481">
        <v>74.22</v>
      </c>
      <c r="K211" s="481">
        <v>0</v>
      </c>
      <c r="L211" s="481">
        <v>490.83471639363404</v>
      </c>
      <c r="M211" s="587">
        <f t="shared" si="16"/>
        <v>0</v>
      </c>
      <c r="N211" s="481">
        <v>886.64355311107522</v>
      </c>
      <c r="O211" s="481">
        <v>0</v>
      </c>
      <c r="P211" s="481">
        <v>0</v>
      </c>
      <c r="Q211" s="481">
        <v>209.13306280568099</v>
      </c>
      <c r="R211" s="587">
        <f t="shared" si="17"/>
        <v>2053.4126811296874</v>
      </c>
      <c r="S211" s="481">
        <v>125.59670029992532</v>
      </c>
      <c r="T211" s="481">
        <v>161.4665313458282</v>
      </c>
      <c r="U211" s="481">
        <v>154.79269043008384</v>
      </c>
      <c r="V211" s="481">
        <v>71.583652111914517</v>
      </c>
      <c r="W211" s="481">
        <v>0</v>
      </c>
      <c r="X211" s="481">
        <v>66.859017642393312</v>
      </c>
      <c r="Y211" s="481">
        <v>0</v>
      </c>
      <c r="Z211" s="481">
        <v>2627.8464077708782</v>
      </c>
      <c r="AA211" s="481">
        <v>1175.1200823686183</v>
      </c>
      <c r="AB211" s="481">
        <v>1464.066056212323</v>
      </c>
      <c r="AC211" s="481">
        <v>0</v>
      </c>
      <c r="AD211" s="481">
        <v>0</v>
      </c>
      <c r="AE211" s="481">
        <v>207.45257071387951</v>
      </c>
      <c r="AF211" s="481">
        <v>0</v>
      </c>
      <c r="AG211" s="481">
        <v>328.70660767398311</v>
      </c>
      <c r="AH211" s="700">
        <f t="shared" si="18"/>
        <v>10956.886922466103</v>
      </c>
      <c r="AI211" s="482">
        <f t="shared" si="19"/>
        <v>11285.593530140086</v>
      </c>
      <c r="AJ211" s="482"/>
      <c r="AK211" s="482"/>
      <c r="AL211" s="585">
        <v>130.79</v>
      </c>
      <c r="AM211" s="585">
        <v>1922.6226811296874</v>
      </c>
      <c r="AN211" s="581">
        <v>0</v>
      </c>
      <c r="AO211" s="581">
        <f t="shared" si="20"/>
        <v>2053.4126811296874</v>
      </c>
    </row>
    <row r="212" spans="1:41" x14ac:dyDescent="0.3">
      <c r="A212" s="476">
        <v>150000819</v>
      </c>
      <c r="B212" s="477" t="s">
        <v>423</v>
      </c>
      <c r="C212" s="478">
        <v>6584.95</v>
      </c>
      <c r="D212" s="479">
        <v>226.3</v>
      </c>
      <c r="E212" s="480">
        <v>185.4</v>
      </c>
      <c r="F212" s="480">
        <v>6770.3499999999995</v>
      </c>
      <c r="G212" s="481">
        <v>2204.7680141476426</v>
      </c>
      <c r="H212" s="481">
        <v>374.18580162623266</v>
      </c>
      <c r="I212" s="481">
        <v>713.76</v>
      </c>
      <c r="J212" s="481">
        <v>181.01</v>
      </c>
      <c r="K212" s="481">
        <v>104.17501397504415</v>
      </c>
      <c r="L212" s="481">
        <v>840.38978667219078</v>
      </c>
      <c r="M212" s="587">
        <f t="shared" si="16"/>
        <v>0</v>
      </c>
      <c r="N212" s="481">
        <v>2412.4063350689889</v>
      </c>
      <c r="O212" s="481">
        <v>4342.9003550859034</v>
      </c>
      <c r="P212" s="481">
        <v>131.53517990591092</v>
      </c>
      <c r="Q212" s="481">
        <v>441.94156668370323</v>
      </c>
      <c r="R212" s="587">
        <f t="shared" si="17"/>
        <v>8539.9919101833912</v>
      </c>
      <c r="S212" s="481">
        <v>177.2526876394397</v>
      </c>
      <c r="T212" s="481">
        <v>246.86755618844444</v>
      </c>
      <c r="U212" s="481">
        <v>299.50177031546531</v>
      </c>
      <c r="V212" s="481">
        <v>101.08196255963261</v>
      </c>
      <c r="W212" s="481">
        <v>52.842011746104383</v>
      </c>
      <c r="X212" s="481">
        <v>68.436873569886032</v>
      </c>
      <c r="Y212" s="481">
        <v>0</v>
      </c>
      <c r="Z212" s="481">
        <v>6842.4042733050082</v>
      </c>
      <c r="AA212" s="481">
        <v>5161.3823811993834</v>
      </c>
      <c r="AB212" s="481">
        <v>411.15697653478429</v>
      </c>
      <c r="AC212" s="481">
        <v>53.924298724767823</v>
      </c>
      <c r="AD212" s="481">
        <v>6.6384079869505843</v>
      </c>
      <c r="AE212" s="481">
        <v>1107.4535729838678</v>
      </c>
      <c r="AF212" s="481">
        <v>1661.1803594758021</v>
      </c>
      <c r="AG212" s="481">
        <v>1094.3156128673565</v>
      </c>
      <c r="AH212" s="700">
        <f t="shared" si="18"/>
        <v>36477.187095578549</v>
      </c>
      <c r="AI212" s="482">
        <f t="shared" si="19"/>
        <v>37571.502708445907</v>
      </c>
      <c r="AJ212" s="482"/>
      <c r="AK212" s="482"/>
      <c r="AL212" s="585">
        <v>42.12</v>
      </c>
      <c r="AM212" s="585">
        <v>8497.8719101833904</v>
      </c>
      <c r="AN212" s="581">
        <v>0</v>
      </c>
      <c r="AO212" s="581">
        <f t="shared" si="20"/>
        <v>8539.9919101833912</v>
      </c>
    </row>
    <row r="213" spans="1:41" x14ac:dyDescent="0.3">
      <c r="A213" s="476">
        <v>150000820</v>
      </c>
      <c r="B213" s="477" t="s">
        <v>394</v>
      </c>
      <c r="C213" s="478">
        <v>4138.63</v>
      </c>
      <c r="D213" s="479">
        <v>406.76</v>
      </c>
      <c r="E213" s="480">
        <v>50</v>
      </c>
      <c r="F213" s="480">
        <v>4188.63</v>
      </c>
      <c r="G213" s="481">
        <v>1203.9651706555746</v>
      </c>
      <c r="H213" s="481">
        <v>229.27043676019986</v>
      </c>
      <c r="I213" s="481">
        <v>458.42</v>
      </c>
      <c r="J213" s="481">
        <v>124.64</v>
      </c>
      <c r="K213" s="481">
        <v>65.004820328168279</v>
      </c>
      <c r="L213" s="481">
        <v>521.63878655336202</v>
      </c>
      <c r="M213" s="587">
        <f t="shared" si="16"/>
        <v>0</v>
      </c>
      <c r="N213" s="481">
        <v>1492.4896862436979</v>
      </c>
      <c r="O213" s="481">
        <v>3456.5475482576176</v>
      </c>
      <c r="P213" s="481">
        <v>0</v>
      </c>
      <c r="Q213" s="481">
        <v>280.15938602270472</v>
      </c>
      <c r="R213" s="587">
        <f t="shared" si="17"/>
        <v>6099.8371383026197</v>
      </c>
      <c r="S213" s="481">
        <v>90.140000417276681</v>
      </c>
      <c r="T213" s="481">
        <v>151.5764044471068</v>
      </c>
      <c r="U213" s="481">
        <v>187.56369136628967</v>
      </c>
      <c r="V213" s="481">
        <v>74.201793116451299</v>
      </c>
      <c r="W213" s="481">
        <v>32.980617657691397</v>
      </c>
      <c r="X213" s="481">
        <v>35.846994024806158</v>
      </c>
      <c r="Y213" s="481">
        <v>0</v>
      </c>
      <c r="Z213" s="481">
        <v>5664.4465513571895</v>
      </c>
      <c r="AA213" s="481">
        <v>3372.9831655412509</v>
      </c>
      <c r="AB213" s="481">
        <v>324.59761305377708</v>
      </c>
      <c r="AC213" s="481">
        <v>110.29970193702509</v>
      </c>
      <c r="AD213" s="481">
        <v>13.578561791489831</v>
      </c>
      <c r="AE213" s="481">
        <v>2311.6143593832285</v>
      </c>
      <c r="AF213" s="481">
        <v>758.05976967628146</v>
      </c>
      <c r="AG213" s="481">
        <v>487.07751954408855</v>
      </c>
      <c r="AH213" s="700">
        <f t="shared" si="18"/>
        <v>27059.86219689381</v>
      </c>
      <c r="AI213" s="482">
        <f t="shared" si="19"/>
        <v>27546.939716437897</v>
      </c>
      <c r="AJ213" s="482"/>
      <c r="AK213" s="482"/>
      <c r="AL213" s="585">
        <v>42.12</v>
      </c>
      <c r="AM213" s="585">
        <v>6057.7171383026198</v>
      </c>
      <c r="AN213" s="581">
        <v>0</v>
      </c>
      <c r="AO213" s="581">
        <f t="shared" si="20"/>
        <v>6099.8371383026197</v>
      </c>
    </row>
    <row r="214" spans="1:41" x14ac:dyDescent="0.3">
      <c r="A214" s="476">
        <v>150000827</v>
      </c>
      <c r="B214" s="477" t="s">
        <v>298</v>
      </c>
      <c r="C214" s="478">
        <v>3727.2</v>
      </c>
      <c r="D214" s="479"/>
      <c r="E214" s="480">
        <v>693.5</v>
      </c>
      <c r="F214" s="480">
        <v>4420.7</v>
      </c>
      <c r="G214" s="481">
        <v>1217.6613996385609</v>
      </c>
      <c r="H214" s="481">
        <v>237.85127951698783</v>
      </c>
      <c r="I214" s="481">
        <v>480.42</v>
      </c>
      <c r="J214" s="481">
        <v>0</v>
      </c>
      <c r="K214" s="481">
        <v>0</v>
      </c>
      <c r="L214" s="481">
        <v>843.66943521796281</v>
      </c>
      <c r="M214" s="587">
        <f t="shared" si="16"/>
        <v>0</v>
      </c>
      <c r="N214" s="481">
        <v>1575.1807049029192</v>
      </c>
      <c r="O214" s="481">
        <v>0</v>
      </c>
      <c r="P214" s="481">
        <v>0</v>
      </c>
      <c r="Q214" s="481">
        <v>1053.5571277191855</v>
      </c>
      <c r="R214" s="587">
        <f t="shared" si="17"/>
        <v>3968.1943281986851</v>
      </c>
      <c r="S214" s="481">
        <v>195.10050848844696</v>
      </c>
      <c r="T214" s="481">
        <v>306.55482930182978</v>
      </c>
      <c r="U214" s="481">
        <v>232.97882065928599</v>
      </c>
      <c r="V214" s="481">
        <v>0</v>
      </c>
      <c r="W214" s="481">
        <v>0</v>
      </c>
      <c r="X214" s="481">
        <v>121.44823199730912</v>
      </c>
      <c r="Y214" s="481">
        <v>0</v>
      </c>
      <c r="Z214" s="481">
        <v>2447.6885633602801</v>
      </c>
      <c r="AA214" s="481">
        <v>1796.7110071377929</v>
      </c>
      <c r="AB214" s="481">
        <v>1043.0998370618304</v>
      </c>
      <c r="AC214" s="481">
        <v>168.95463232264754</v>
      </c>
      <c r="AD214" s="481">
        <v>20.799339206386534</v>
      </c>
      <c r="AE214" s="481">
        <v>489.77524213652754</v>
      </c>
      <c r="AF214" s="481">
        <v>0</v>
      </c>
      <c r="AG214" s="481">
        <v>971.97871721199851</v>
      </c>
      <c r="AH214" s="700">
        <f t="shared" si="18"/>
        <v>16199.645286866642</v>
      </c>
      <c r="AI214" s="482">
        <f t="shared" si="19"/>
        <v>17171.62400407864</v>
      </c>
      <c r="AJ214" s="482"/>
      <c r="AK214" s="482"/>
      <c r="AL214" s="585">
        <v>163.35</v>
      </c>
      <c r="AM214" s="585">
        <v>3804.8443281986852</v>
      </c>
      <c r="AN214" s="581">
        <v>0</v>
      </c>
      <c r="AO214" s="581">
        <f t="shared" si="20"/>
        <v>3968.1943281986851</v>
      </c>
    </row>
    <row r="215" spans="1:41" x14ac:dyDescent="0.3">
      <c r="A215" s="476">
        <v>150000828</v>
      </c>
      <c r="B215" s="477" t="s">
        <v>303</v>
      </c>
      <c r="C215" s="478">
        <v>2595.52</v>
      </c>
      <c r="D215" s="479"/>
      <c r="E215" s="480"/>
      <c r="F215" s="480">
        <v>2595.52</v>
      </c>
      <c r="G215" s="481">
        <v>763.98509512009969</v>
      </c>
      <c r="H215" s="481">
        <v>128.98606914973575</v>
      </c>
      <c r="I215" s="481">
        <v>295.55</v>
      </c>
      <c r="J215" s="481">
        <v>0</v>
      </c>
      <c r="K215" s="481">
        <v>0</v>
      </c>
      <c r="L215" s="481">
        <v>425.93456864872587</v>
      </c>
      <c r="M215" s="587">
        <f t="shared" si="16"/>
        <v>0</v>
      </c>
      <c r="N215" s="481">
        <v>924.83385508847584</v>
      </c>
      <c r="O215" s="481">
        <v>0</v>
      </c>
      <c r="P215" s="481">
        <v>0</v>
      </c>
      <c r="Q215" s="481">
        <v>710.2632321702373</v>
      </c>
      <c r="R215" s="587">
        <f t="shared" si="17"/>
        <v>3321.9124404125919</v>
      </c>
      <c r="S215" s="481">
        <v>122.1311938047327</v>
      </c>
      <c r="T215" s="481">
        <v>166.23969598228419</v>
      </c>
      <c r="U215" s="481">
        <v>164.27702055536201</v>
      </c>
      <c r="V215" s="481">
        <v>0</v>
      </c>
      <c r="W215" s="481">
        <v>0</v>
      </c>
      <c r="X215" s="481">
        <v>58.866299624772751</v>
      </c>
      <c r="Y215" s="481">
        <v>0</v>
      </c>
      <c r="Z215" s="481">
        <v>2006.8680671602899</v>
      </c>
      <c r="AA215" s="481">
        <v>1177.8125889783714</v>
      </c>
      <c r="AB215" s="481">
        <v>1064.1927783561252</v>
      </c>
      <c r="AC215" s="481">
        <v>137.23243804555912</v>
      </c>
      <c r="AD215" s="481">
        <v>16.894144835154062</v>
      </c>
      <c r="AE215" s="481">
        <v>372.79070977907668</v>
      </c>
      <c r="AF215" s="481">
        <v>0</v>
      </c>
      <c r="AG215" s="481">
        <v>284.61048474507834</v>
      </c>
      <c r="AH215" s="700">
        <f t="shared" si="18"/>
        <v>11858.770197711598</v>
      </c>
      <c r="AI215" s="482">
        <f t="shared" si="19"/>
        <v>12143.380682456676</v>
      </c>
      <c r="AJ215" s="482"/>
      <c r="AK215" s="482"/>
      <c r="AL215" s="585">
        <v>100.13</v>
      </c>
      <c r="AM215" s="585">
        <v>3221.7824404125918</v>
      </c>
      <c r="AN215" s="581">
        <v>0</v>
      </c>
      <c r="AO215" s="581">
        <f t="shared" si="20"/>
        <v>3321.9124404125919</v>
      </c>
    </row>
    <row r="216" spans="1:41" x14ac:dyDescent="0.3">
      <c r="A216" s="476">
        <v>150000829</v>
      </c>
      <c r="B216" s="477" t="s">
        <v>230</v>
      </c>
      <c r="C216" s="478">
        <v>2581.1999999999998</v>
      </c>
      <c r="D216" s="479"/>
      <c r="E216" s="480"/>
      <c r="F216" s="480">
        <v>2581.1999999999998</v>
      </c>
      <c r="G216" s="481">
        <v>809.81621556296568</v>
      </c>
      <c r="H216" s="481">
        <v>125.75612302903433</v>
      </c>
      <c r="I216" s="481">
        <v>317.33</v>
      </c>
      <c r="J216" s="481">
        <v>0</v>
      </c>
      <c r="K216" s="481">
        <v>0</v>
      </c>
      <c r="L216" s="481">
        <v>489.53935434129232</v>
      </c>
      <c r="M216" s="587">
        <f t="shared" si="16"/>
        <v>0</v>
      </c>
      <c r="N216" s="481">
        <v>919.73136279218568</v>
      </c>
      <c r="O216" s="481">
        <v>0</v>
      </c>
      <c r="P216" s="481">
        <v>0</v>
      </c>
      <c r="Q216" s="481">
        <v>757.61411431491979</v>
      </c>
      <c r="R216" s="587">
        <f t="shared" si="17"/>
        <v>2362.1885363862207</v>
      </c>
      <c r="S216" s="481">
        <v>127.8489770672832</v>
      </c>
      <c r="T216" s="481">
        <v>162.09291515742171</v>
      </c>
      <c r="U216" s="481">
        <v>143.23880842559623</v>
      </c>
      <c r="V216" s="481">
        <v>0</v>
      </c>
      <c r="W216" s="481">
        <v>0</v>
      </c>
      <c r="X216" s="481">
        <v>67.03938762595746</v>
      </c>
      <c r="Y216" s="481">
        <v>0</v>
      </c>
      <c r="Z216" s="481">
        <v>2669.1583258986452</v>
      </c>
      <c r="AA216" s="481">
        <v>1143.4825666428535</v>
      </c>
      <c r="AB216" s="481">
        <v>905.96029732371017</v>
      </c>
      <c r="AC216" s="481">
        <v>0</v>
      </c>
      <c r="AD216" s="481">
        <v>0</v>
      </c>
      <c r="AE216" s="481">
        <v>369.67112224954462</v>
      </c>
      <c r="AF216" s="481">
        <v>0</v>
      </c>
      <c r="AG216" s="481">
        <v>204.66842592271732</v>
      </c>
      <c r="AH216" s="700">
        <f t="shared" si="18"/>
        <v>11370.468106817632</v>
      </c>
      <c r="AI216" s="482">
        <f t="shared" si="19"/>
        <v>11575.136532740349</v>
      </c>
      <c r="AJ216" s="482"/>
      <c r="AK216" s="482"/>
      <c r="AL216" s="585">
        <v>63.36</v>
      </c>
      <c r="AM216" s="585">
        <v>2298.8285363862205</v>
      </c>
      <c r="AN216" s="581">
        <v>0</v>
      </c>
      <c r="AO216" s="581">
        <f t="shared" si="20"/>
        <v>2362.1885363862207</v>
      </c>
    </row>
    <row r="217" spans="1:41" x14ac:dyDescent="0.3">
      <c r="A217" s="476">
        <v>150000830</v>
      </c>
      <c r="B217" s="477" t="s">
        <v>293</v>
      </c>
      <c r="C217" s="478">
        <v>4483.3</v>
      </c>
      <c r="D217" s="479"/>
      <c r="E217" s="480">
        <v>1478</v>
      </c>
      <c r="F217" s="480">
        <v>5961.3</v>
      </c>
      <c r="G217" s="481">
        <v>1383.1905960134843</v>
      </c>
      <c r="H217" s="481">
        <v>283.14815611058077</v>
      </c>
      <c r="I217" s="481">
        <v>584.28</v>
      </c>
      <c r="J217" s="481">
        <v>0</v>
      </c>
      <c r="K217" s="481">
        <v>107.87259182013038</v>
      </c>
      <c r="L217" s="481">
        <v>1122.883285174172</v>
      </c>
      <c r="M217" s="587">
        <f t="shared" si="16"/>
        <v>0</v>
      </c>
      <c r="N217" s="481">
        <v>2124.1262099074293</v>
      </c>
      <c r="O217" s="481">
        <v>0</v>
      </c>
      <c r="P217" s="481">
        <v>0</v>
      </c>
      <c r="Q217" s="481">
        <v>1112.7457304000384</v>
      </c>
      <c r="R217" s="587">
        <f t="shared" si="17"/>
        <v>5932.6489145908245</v>
      </c>
      <c r="S217" s="481">
        <v>228.40102918713518</v>
      </c>
      <c r="T217" s="481">
        <v>364.94941211764393</v>
      </c>
      <c r="U217" s="481">
        <v>215.78032349127011</v>
      </c>
      <c r="V217" s="481">
        <v>0</v>
      </c>
      <c r="W217" s="481">
        <v>109.43236141333836</v>
      </c>
      <c r="X217" s="481">
        <v>166.09371810065795</v>
      </c>
      <c r="Y217" s="481">
        <v>0</v>
      </c>
      <c r="Z217" s="481">
        <v>3584.0539491560858</v>
      </c>
      <c r="AA217" s="481">
        <v>2193.5571336551479</v>
      </c>
      <c r="AB217" s="481">
        <v>830.95414660646736</v>
      </c>
      <c r="AC217" s="481">
        <v>89.4653137933648</v>
      </c>
      <c r="AD217" s="481">
        <v>11.013722341986195</v>
      </c>
      <c r="AE217" s="481">
        <v>92.027832121194649</v>
      </c>
      <c r="AF217" s="481">
        <v>0</v>
      </c>
      <c r="AG217" s="481">
        <v>985.75797244804562</v>
      </c>
      <c r="AH217" s="700">
        <f t="shared" si="18"/>
        <v>20536.624426000948</v>
      </c>
      <c r="AI217" s="482">
        <f t="shared" si="19"/>
        <v>21522.382398448994</v>
      </c>
      <c r="AJ217" s="482"/>
      <c r="AK217" s="482"/>
      <c r="AL217" s="585">
        <v>86.78</v>
      </c>
      <c r="AM217" s="585">
        <v>5845.8689145908247</v>
      </c>
      <c r="AN217" s="581">
        <v>0</v>
      </c>
      <c r="AO217" s="581">
        <f t="shared" si="20"/>
        <v>5932.6489145908245</v>
      </c>
    </row>
    <row r="218" spans="1:41" x14ac:dyDescent="0.3">
      <c r="A218" s="476">
        <v>150000832</v>
      </c>
      <c r="B218" s="477" t="s">
        <v>422</v>
      </c>
      <c r="C218" s="478">
        <v>4396.8</v>
      </c>
      <c r="D218" s="479">
        <v>394.3</v>
      </c>
      <c r="E218" s="480">
        <v>0</v>
      </c>
      <c r="F218" s="480">
        <v>4396.8</v>
      </c>
      <c r="G218" s="481">
        <v>1386.470682067283</v>
      </c>
      <c r="H218" s="481">
        <v>213.2214637765104</v>
      </c>
      <c r="I218" s="481">
        <v>559.85</v>
      </c>
      <c r="J218" s="481">
        <v>112.31</v>
      </c>
      <c r="K218" s="481">
        <v>44.322556752048527</v>
      </c>
      <c r="L218" s="481">
        <v>603.48826357563632</v>
      </c>
      <c r="M218" s="587">
        <f t="shared" si="16"/>
        <v>0</v>
      </c>
      <c r="N218" s="481">
        <v>1566.6646737659546</v>
      </c>
      <c r="O218" s="481">
        <v>3553.2101961369735</v>
      </c>
      <c r="P218" s="481">
        <v>0</v>
      </c>
      <c r="Q218" s="481">
        <v>315.67254763121656</v>
      </c>
      <c r="R218" s="587">
        <f t="shared" si="17"/>
        <v>5161.0904657556603</v>
      </c>
      <c r="S218" s="481">
        <v>107.20376039402515</v>
      </c>
      <c r="T218" s="481">
        <v>124.53291534639898</v>
      </c>
      <c r="U218" s="481">
        <v>113.38855201587788</v>
      </c>
      <c r="V218" s="481">
        <v>64.343823614751599</v>
      </c>
      <c r="W218" s="481">
        <v>22.490088794764784</v>
      </c>
      <c r="X218" s="481">
        <v>66.615536673176337</v>
      </c>
      <c r="Y218" s="481">
        <v>39.939398527722432</v>
      </c>
      <c r="Z218" s="481">
        <v>5978.4679795018001</v>
      </c>
      <c r="AA218" s="481">
        <v>3967.0573670356057</v>
      </c>
      <c r="AB218" s="481">
        <v>411.15697653478429</v>
      </c>
      <c r="AC218" s="481">
        <v>117.16279450199553</v>
      </c>
      <c r="AD218" s="481">
        <v>14.423450080738087</v>
      </c>
      <c r="AE218" s="481">
        <v>1367.9391316997919</v>
      </c>
      <c r="AF218" s="481">
        <v>489.77524213652754</v>
      </c>
      <c r="AG218" s="481">
        <v>316.80957439583096</v>
      </c>
      <c r="AH218" s="700">
        <f t="shared" si="18"/>
        <v>26400.797866319244</v>
      </c>
      <c r="AI218" s="482">
        <f t="shared" si="19"/>
        <v>26717.607440715074</v>
      </c>
      <c r="AJ218" s="482"/>
      <c r="AK218" s="482"/>
      <c r="AL218" s="585">
        <v>69.45</v>
      </c>
      <c r="AM218" s="585">
        <v>5091.6404657556604</v>
      </c>
      <c r="AN218" s="581">
        <v>0</v>
      </c>
      <c r="AO218" s="581">
        <f t="shared" si="20"/>
        <v>5161.0904657556603</v>
      </c>
    </row>
    <row r="219" spans="1:41" x14ac:dyDescent="0.3">
      <c r="A219" s="476">
        <v>150000833</v>
      </c>
      <c r="B219" s="477" t="s">
        <v>392</v>
      </c>
      <c r="C219" s="478">
        <v>4752.1000000000004</v>
      </c>
      <c r="D219" s="479">
        <v>455.3</v>
      </c>
      <c r="E219" s="480"/>
      <c r="F219" s="480">
        <v>4752.1000000000004</v>
      </c>
      <c r="G219" s="481">
        <v>1386.445635620966</v>
      </c>
      <c r="H219" s="481">
        <v>196.50305791152627</v>
      </c>
      <c r="I219" s="481">
        <v>587.14</v>
      </c>
      <c r="J219" s="481">
        <v>121.32</v>
      </c>
      <c r="K219" s="481">
        <v>69.441905573206768</v>
      </c>
      <c r="L219" s="481">
        <v>583.69497631430943</v>
      </c>
      <c r="M219" s="587">
        <f t="shared" si="16"/>
        <v>0</v>
      </c>
      <c r="N219" s="481">
        <v>1693.2649190782372</v>
      </c>
      <c r="O219" s="481">
        <v>2977.1337932727497</v>
      </c>
      <c r="P219" s="481">
        <v>0</v>
      </c>
      <c r="Q219" s="481">
        <v>315.67254763121656</v>
      </c>
      <c r="R219" s="587">
        <f t="shared" si="17"/>
        <v>5732.7769200933108</v>
      </c>
      <c r="S219" s="481">
        <v>85.763008315220134</v>
      </c>
      <c r="T219" s="481">
        <v>92.617012840432636</v>
      </c>
      <c r="U219" s="481">
        <v>114.95544260636071</v>
      </c>
      <c r="V219" s="481">
        <v>55.583945133963063</v>
      </c>
      <c r="W219" s="481">
        <v>28.185631423854762</v>
      </c>
      <c r="X219" s="481">
        <v>52.580945088612452</v>
      </c>
      <c r="Y219" s="481">
        <v>39.440035279691216</v>
      </c>
      <c r="Z219" s="481">
        <v>5321.056335256646</v>
      </c>
      <c r="AA219" s="481">
        <v>3432.1771273684567</v>
      </c>
      <c r="AB219" s="481">
        <v>627.55538523730206</v>
      </c>
      <c r="AC219" s="481">
        <v>130.98702381143602</v>
      </c>
      <c r="AD219" s="481">
        <v>16.125296491938148</v>
      </c>
      <c r="AE219" s="481">
        <v>354.07318460188452</v>
      </c>
      <c r="AF219" s="481">
        <v>1984.0576687823664</v>
      </c>
      <c r="AG219" s="481">
        <v>467.97393235920623</v>
      </c>
      <c r="AH219" s="700">
        <f t="shared" si="18"/>
        <v>25998.551797733682</v>
      </c>
      <c r="AI219" s="482">
        <f t="shared" si="19"/>
        <v>26466.52573009289</v>
      </c>
      <c r="AJ219" s="482"/>
      <c r="AK219" s="482"/>
      <c r="AL219" s="585">
        <v>50.66</v>
      </c>
      <c r="AM219" s="585">
        <v>5682.1169200933109</v>
      </c>
      <c r="AN219" s="581">
        <v>0</v>
      </c>
      <c r="AO219" s="581">
        <f t="shared" si="20"/>
        <v>5732.7769200933108</v>
      </c>
    </row>
    <row r="220" spans="1:41" x14ac:dyDescent="0.3">
      <c r="A220" s="476">
        <v>150000834</v>
      </c>
      <c r="B220" s="477" t="s">
        <v>79</v>
      </c>
      <c r="C220" s="478">
        <v>198.8</v>
      </c>
      <c r="D220" s="483"/>
      <c r="E220" s="480"/>
      <c r="F220" s="480">
        <v>198.8</v>
      </c>
      <c r="G220" s="481">
        <v>0</v>
      </c>
      <c r="H220" s="481">
        <v>0</v>
      </c>
      <c r="I220" s="481">
        <v>0</v>
      </c>
      <c r="J220" s="481">
        <v>0</v>
      </c>
      <c r="K220" s="481">
        <v>0</v>
      </c>
      <c r="L220" s="481">
        <v>0</v>
      </c>
      <c r="M220" s="587">
        <f t="shared" si="16"/>
        <v>0</v>
      </c>
      <c r="N220" s="481">
        <v>0</v>
      </c>
      <c r="O220" s="481">
        <v>0</v>
      </c>
      <c r="P220" s="481">
        <v>0</v>
      </c>
      <c r="Q220" s="481">
        <v>47.350882144682487</v>
      </c>
      <c r="R220" s="587">
        <f t="shared" si="17"/>
        <v>237.71744831315812</v>
      </c>
      <c r="S220" s="481">
        <v>0</v>
      </c>
      <c r="T220" s="481">
        <v>0</v>
      </c>
      <c r="U220" s="481">
        <v>0</v>
      </c>
      <c r="V220" s="481">
        <v>0</v>
      </c>
      <c r="W220" s="481">
        <v>0</v>
      </c>
      <c r="X220" s="481">
        <v>0</v>
      </c>
      <c r="Y220" s="481">
        <v>0</v>
      </c>
      <c r="Z220" s="481">
        <v>0</v>
      </c>
      <c r="AA220" s="481">
        <v>0</v>
      </c>
      <c r="AB220" s="481">
        <v>0</v>
      </c>
      <c r="AC220" s="481">
        <v>0</v>
      </c>
      <c r="AD220" s="481">
        <v>0</v>
      </c>
      <c r="AE220" s="481">
        <v>0</v>
      </c>
      <c r="AF220" s="481">
        <v>0</v>
      </c>
      <c r="AG220" s="481">
        <v>8.5520499137352175</v>
      </c>
      <c r="AH220" s="700">
        <f t="shared" si="18"/>
        <v>285.0683304578406</v>
      </c>
      <c r="AI220" s="482">
        <f t="shared" si="19"/>
        <v>293.62038037157583</v>
      </c>
      <c r="AJ220" s="482"/>
      <c r="AK220" s="482"/>
      <c r="AL220" s="585">
        <v>38.68</v>
      </c>
      <c r="AM220" s="585">
        <v>199.03744831315811</v>
      </c>
      <c r="AN220" s="581">
        <v>0</v>
      </c>
      <c r="AO220" s="581">
        <f t="shared" si="20"/>
        <v>237.71744831315812</v>
      </c>
    </row>
    <row r="221" spans="1:41" x14ac:dyDescent="0.3">
      <c r="A221" s="476">
        <v>150000835</v>
      </c>
      <c r="B221" s="477" t="s">
        <v>137</v>
      </c>
      <c r="C221" s="478">
        <v>128.6</v>
      </c>
      <c r="D221" s="483"/>
      <c r="E221" s="480"/>
      <c r="F221" s="480">
        <v>128.6</v>
      </c>
      <c r="G221" s="481">
        <v>0</v>
      </c>
      <c r="H221" s="481">
        <v>0</v>
      </c>
      <c r="I221" s="481">
        <v>0</v>
      </c>
      <c r="J221" s="481">
        <v>0</v>
      </c>
      <c r="K221" s="481">
        <v>0</v>
      </c>
      <c r="L221" s="481">
        <v>0</v>
      </c>
      <c r="M221" s="587">
        <f t="shared" si="16"/>
        <v>0</v>
      </c>
      <c r="N221" s="481">
        <v>0</v>
      </c>
      <c r="O221" s="481">
        <v>0</v>
      </c>
      <c r="P221" s="481">
        <v>0</v>
      </c>
      <c r="Q221" s="481">
        <v>31.567254763121657</v>
      </c>
      <c r="R221" s="587">
        <f t="shared" si="17"/>
        <v>159.69834096363945</v>
      </c>
      <c r="S221" s="481">
        <v>0</v>
      </c>
      <c r="T221" s="481">
        <v>0</v>
      </c>
      <c r="U221" s="481">
        <v>0</v>
      </c>
      <c r="V221" s="481">
        <v>0</v>
      </c>
      <c r="W221" s="481">
        <v>0</v>
      </c>
      <c r="X221" s="481">
        <v>0</v>
      </c>
      <c r="Y221" s="481">
        <v>0</v>
      </c>
      <c r="Z221" s="481">
        <v>11.963505377098754</v>
      </c>
      <c r="AA221" s="481">
        <v>0</v>
      </c>
      <c r="AB221" s="481">
        <v>0</v>
      </c>
      <c r="AC221" s="481">
        <v>0</v>
      </c>
      <c r="AD221" s="481">
        <v>0</v>
      </c>
      <c r="AE221" s="481">
        <v>0</v>
      </c>
      <c r="AF221" s="481">
        <v>0</v>
      </c>
      <c r="AG221" s="481">
        <v>3.658123819869477</v>
      </c>
      <c r="AH221" s="700">
        <f t="shared" si="18"/>
        <v>203.22910110385988</v>
      </c>
      <c r="AI221" s="482">
        <f t="shared" si="19"/>
        <v>206.88722492372935</v>
      </c>
      <c r="AJ221" s="482"/>
      <c r="AK221" s="482"/>
      <c r="AL221" s="585">
        <v>25.61</v>
      </c>
      <c r="AM221" s="585">
        <v>134.08834096363944</v>
      </c>
      <c r="AN221" s="581">
        <v>0</v>
      </c>
      <c r="AO221" s="581">
        <f t="shared" si="20"/>
        <v>159.69834096363945</v>
      </c>
    </row>
    <row r="222" spans="1:41" x14ac:dyDescent="0.3">
      <c r="A222" s="476">
        <v>150000836</v>
      </c>
      <c r="B222" s="477" t="s">
        <v>198</v>
      </c>
      <c r="C222" s="478">
        <v>1578.7</v>
      </c>
      <c r="D222" s="479"/>
      <c r="E222" s="480"/>
      <c r="F222" s="480">
        <v>1578.7</v>
      </c>
      <c r="G222" s="481">
        <v>543.42299211133172</v>
      </c>
      <c r="H222" s="481">
        <v>119.61746413998401</v>
      </c>
      <c r="I222" s="481">
        <v>185.06</v>
      </c>
      <c r="J222" s="481">
        <v>44.92</v>
      </c>
      <c r="K222" s="481">
        <v>17.724152285660821</v>
      </c>
      <c r="L222" s="481">
        <v>213.80794428454956</v>
      </c>
      <c r="M222" s="587">
        <f t="shared" si="16"/>
        <v>0</v>
      </c>
      <c r="N222" s="481">
        <v>562.52127012243284</v>
      </c>
      <c r="O222" s="481">
        <v>0</v>
      </c>
      <c r="P222" s="481">
        <v>0</v>
      </c>
      <c r="Q222" s="481">
        <v>47.350882144682487</v>
      </c>
      <c r="R222" s="587">
        <f t="shared" si="17"/>
        <v>2180.6623146501638</v>
      </c>
      <c r="S222" s="481">
        <v>98.123950722651031</v>
      </c>
      <c r="T222" s="481">
        <v>142.89567902136579</v>
      </c>
      <c r="U222" s="481">
        <v>87.200147606005402</v>
      </c>
      <c r="V222" s="481">
        <v>53.269160771356745</v>
      </c>
      <c r="W222" s="481">
        <v>17.987225127848209</v>
      </c>
      <c r="X222" s="481">
        <v>46.092653629516093</v>
      </c>
      <c r="Y222" s="481">
        <v>15.953805249101936</v>
      </c>
      <c r="Z222" s="481">
        <v>2341.8723923571997</v>
      </c>
      <c r="AA222" s="481">
        <v>1011.2246151764564</v>
      </c>
      <c r="AB222" s="481">
        <v>1081.9920435125903</v>
      </c>
      <c r="AC222" s="481">
        <v>78.435343599662289</v>
      </c>
      <c r="AD222" s="481">
        <v>9.6558661628372136</v>
      </c>
      <c r="AE222" s="481">
        <v>324.43710307133028</v>
      </c>
      <c r="AF222" s="481">
        <v>0</v>
      </c>
      <c r="AG222" s="481">
        <v>110.69072406896071</v>
      </c>
      <c r="AH222" s="700">
        <f t="shared" si="18"/>
        <v>9224.2270057467249</v>
      </c>
      <c r="AI222" s="482">
        <f t="shared" si="19"/>
        <v>9334.9177298156865</v>
      </c>
      <c r="AJ222" s="482"/>
      <c r="AK222" s="482"/>
      <c r="AL222" s="585">
        <v>11.84</v>
      </c>
      <c r="AM222" s="585">
        <v>2168.8223146501637</v>
      </c>
      <c r="AN222" s="581">
        <v>0</v>
      </c>
      <c r="AO222" s="581">
        <f t="shared" si="20"/>
        <v>2180.6623146501638</v>
      </c>
    </row>
    <row r="223" spans="1:41" x14ac:dyDescent="0.3">
      <c r="A223" s="476">
        <v>150000837</v>
      </c>
      <c r="B223" s="477" t="s">
        <v>199</v>
      </c>
      <c r="C223" s="478">
        <v>525.20000000000005</v>
      </c>
      <c r="D223" s="479"/>
      <c r="E223" s="480">
        <v>105.9</v>
      </c>
      <c r="F223" s="480">
        <v>631.1</v>
      </c>
      <c r="G223" s="481">
        <v>242.38842422668935</v>
      </c>
      <c r="H223" s="481">
        <v>36.148583935076275</v>
      </c>
      <c r="I223" s="481">
        <v>67.14</v>
      </c>
      <c r="J223" s="481">
        <v>0</v>
      </c>
      <c r="K223" s="481">
        <v>0</v>
      </c>
      <c r="L223" s="481">
        <v>121.20834101448588</v>
      </c>
      <c r="M223" s="587">
        <f t="shared" si="16"/>
        <v>0</v>
      </c>
      <c r="N223" s="481">
        <v>224.87310671708835</v>
      </c>
      <c r="O223" s="481">
        <v>0</v>
      </c>
      <c r="P223" s="481">
        <v>0</v>
      </c>
      <c r="Q223" s="481">
        <v>130.21492589787684</v>
      </c>
      <c r="R223" s="587">
        <f t="shared" si="17"/>
        <v>437.37997602801687</v>
      </c>
      <c r="S223" s="481">
        <v>45.899855567333347</v>
      </c>
      <c r="T223" s="481">
        <v>46.580705843471286</v>
      </c>
      <c r="U223" s="481">
        <v>33.956728484387142</v>
      </c>
      <c r="V223" s="481">
        <v>0</v>
      </c>
      <c r="W223" s="481">
        <v>0</v>
      </c>
      <c r="X223" s="481">
        <v>22.259198576509146</v>
      </c>
      <c r="Y223" s="481">
        <v>7.6435238195907917</v>
      </c>
      <c r="Z223" s="481">
        <v>758.5484910157611</v>
      </c>
      <c r="AA223" s="481">
        <v>366.70643005562948</v>
      </c>
      <c r="AB223" s="481">
        <v>324.59761305377708</v>
      </c>
      <c r="AC223" s="481">
        <v>0</v>
      </c>
      <c r="AD223" s="481">
        <v>0</v>
      </c>
      <c r="AE223" s="481">
        <v>42.114431648682299</v>
      </c>
      <c r="AF223" s="481">
        <v>0</v>
      </c>
      <c r="AG223" s="481">
        <v>0</v>
      </c>
      <c r="AH223" s="700">
        <f t="shared" si="18"/>
        <v>2907.6603358843754</v>
      </c>
      <c r="AI223" s="482">
        <f t="shared" si="19"/>
        <v>2907.6603358843754</v>
      </c>
      <c r="AJ223" s="482"/>
      <c r="AK223" s="482"/>
      <c r="AL223" s="585">
        <v>11.84</v>
      </c>
      <c r="AM223" s="585">
        <v>425.53997602801689</v>
      </c>
      <c r="AN223" s="581">
        <v>0</v>
      </c>
      <c r="AO223" s="581">
        <f t="shared" si="20"/>
        <v>437.37997602801687</v>
      </c>
    </row>
    <row r="224" spans="1:41" x14ac:dyDescent="0.3">
      <c r="A224" s="476">
        <v>150000839</v>
      </c>
      <c r="B224" s="477" t="s">
        <v>135</v>
      </c>
      <c r="C224" s="478">
        <v>128.19999999999999</v>
      </c>
      <c r="D224" s="483"/>
      <c r="E224" s="480"/>
      <c r="F224" s="480">
        <v>128.19999999999999</v>
      </c>
      <c r="G224" s="481">
        <v>0</v>
      </c>
      <c r="H224" s="481">
        <v>0</v>
      </c>
      <c r="I224" s="481">
        <v>0</v>
      </c>
      <c r="J224" s="481">
        <v>0</v>
      </c>
      <c r="K224" s="481">
        <v>0</v>
      </c>
      <c r="L224" s="481">
        <v>0</v>
      </c>
      <c r="M224" s="587">
        <f t="shared" si="16"/>
        <v>0</v>
      </c>
      <c r="N224" s="481">
        <v>0</v>
      </c>
      <c r="O224" s="481">
        <v>0</v>
      </c>
      <c r="P224" s="481">
        <v>0</v>
      </c>
      <c r="Q224" s="481">
        <v>35.513161608511865</v>
      </c>
      <c r="R224" s="587">
        <f t="shared" si="17"/>
        <v>199.00041838199675</v>
      </c>
      <c r="S224" s="481">
        <v>0</v>
      </c>
      <c r="T224" s="481">
        <v>0</v>
      </c>
      <c r="U224" s="481">
        <v>0</v>
      </c>
      <c r="V224" s="481">
        <v>0</v>
      </c>
      <c r="W224" s="481">
        <v>0</v>
      </c>
      <c r="X224" s="481">
        <v>0</v>
      </c>
      <c r="Y224" s="481">
        <v>0</v>
      </c>
      <c r="Z224" s="481">
        <v>19.939175628497924</v>
      </c>
      <c r="AA224" s="481">
        <v>0</v>
      </c>
      <c r="AB224" s="481">
        <v>0</v>
      </c>
      <c r="AC224" s="481">
        <v>0</v>
      </c>
      <c r="AD224" s="481">
        <v>0</v>
      </c>
      <c r="AE224" s="481">
        <v>0</v>
      </c>
      <c r="AF224" s="481">
        <v>0</v>
      </c>
      <c r="AG224" s="481">
        <v>4.580149601142117</v>
      </c>
      <c r="AH224" s="700">
        <f t="shared" si="18"/>
        <v>254.45275561900655</v>
      </c>
      <c r="AI224" s="482">
        <f t="shared" si="19"/>
        <v>259.03290522014868</v>
      </c>
      <c r="AJ224" s="482"/>
      <c r="AK224" s="482"/>
      <c r="AL224" s="585">
        <v>11.84</v>
      </c>
      <c r="AM224" s="585">
        <v>187.16041838199675</v>
      </c>
      <c r="AN224" s="581">
        <v>0</v>
      </c>
      <c r="AO224" s="581">
        <f t="shared" si="20"/>
        <v>199.00041838199675</v>
      </c>
    </row>
    <row r="225" spans="1:41" x14ac:dyDescent="0.3">
      <c r="A225" s="476">
        <v>150000840</v>
      </c>
      <c r="B225" s="477" t="s">
        <v>393</v>
      </c>
      <c r="C225" s="478">
        <v>4216.5600000000004</v>
      </c>
      <c r="D225" s="479">
        <v>460.11</v>
      </c>
      <c r="E225" s="480"/>
      <c r="F225" s="480">
        <v>4216.5600000000004</v>
      </c>
      <c r="G225" s="481">
        <v>1313.6093212632761</v>
      </c>
      <c r="H225" s="481">
        <v>203.77628984143419</v>
      </c>
      <c r="I225" s="481">
        <v>495.91</v>
      </c>
      <c r="J225" s="481">
        <v>110.7</v>
      </c>
      <c r="K225" s="481">
        <v>65.004820328168279</v>
      </c>
      <c r="L225" s="481">
        <v>564.57466053605879</v>
      </c>
      <c r="M225" s="587">
        <f t="shared" si="16"/>
        <v>0</v>
      </c>
      <c r="N225" s="481">
        <v>1502.4416841372304</v>
      </c>
      <c r="O225" s="481">
        <v>2873.920011581376</v>
      </c>
      <c r="P225" s="481">
        <v>0</v>
      </c>
      <c r="Q225" s="481">
        <v>284.10529286809492</v>
      </c>
      <c r="R225" s="587">
        <f t="shared" si="17"/>
        <v>5032.3379591946141</v>
      </c>
      <c r="S225" s="481">
        <v>103.38197744541138</v>
      </c>
      <c r="T225" s="481">
        <v>124.86297817174597</v>
      </c>
      <c r="U225" s="481">
        <v>156.17827713541953</v>
      </c>
      <c r="V225" s="481">
        <v>57.86951273057457</v>
      </c>
      <c r="W225" s="481">
        <v>32.980617657691397</v>
      </c>
      <c r="X225" s="481">
        <v>63.645000739503601</v>
      </c>
      <c r="Y225" s="481">
        <v>51.166785345959994</v>
      </c>
      <c r="Z225" s="481">
        <v>5319.1762469401301</v>
      </c>
      <c r="AA225" s="481">
        <v>3031.7148211822077</v>
      </c>
      <c r="AB225" s="481">
        <v>1060.3522026423384</v>
      </c>
      <c r="AC225" s="481">
        <v>163.73377976429504</v>
      </c>
      <c r="AD225" s="481">
        <v>20.15662061492268</v>
      </c>
      <c r="AE225" s="481">
        <v>705.0267816742371</v>
      </c>
      <c r="AF225" s="481">
        <v>520.9711174318478</v>
      </c>
      <c r="AG225" s="481">
        <v>715.72790277679599</v>
      </c>
      <c r="AH225" s="700">
        <f t="shared" si="18"/>
        <v>23857.596759226533</v>
      </c>
      <c r="AI225" s="482">
        <f t="shared" si="19"/>
        <v>24573.324662003328</v>
      </c>
      <c r="AJ225" s="482"/>
      <c r="AK225" s="482"/>
      <c r="AL225" s="585">
        <v>50.66</v>
      </c>
      <c r="AM225" s="585">
        <v>4981.6779591946142</v>
      </c>
      <c r="AN225" s="581">
        <v>0</v>
      </c>
      <c r="AO225" s="581">
        <f t="shared" si="20"/>
        <v>5032.3379591946141</v>
      </c>
    </row>
    <row r="226" spans="1:41" x14ac:dyDescent="0.3">
      <c r="A226" s="476">
        <v>150000841</v>
      </c>
      <c r="B226" s="477" t="s">
        <v>136</v>
      </c>
      <c r="C226" s="478">
        <v>172.4</v>
      </c>
      <c r="D226" s="483"/>
      <c r="E226" s="480"/>
      <c r="F226" s="480">
        <v>172.4</v>
      </c>
      <c r="G226" s="481">
        <v>0</v>
      </c>
      <c r="H226" s="481">
        <v>0</v>
      </c>
      <c r="I226" s="481">
        <v>0</v>
      </c>
      <c r="J226" s="481">
        <v>0</v>
      </c>
      <c r="K226" s="481">
        <v>0</v>
      </c>
      <c r="L226" s="481">
        <v>0</v>
      </c>
      <c r="M226" s="587">
        <f t="shared" si="16"/>
        <v>0</v>
      </c>
      <c r="N226" s="481">
        <v>0</v>
      </c>
      <c r="O226" s="481">
        <v>0</v>
      </c>
      <c r="P226" s="481">
        <v>0</v>
      </c>
      <c r="Q226" s="481">
        <v>23.675441072341243</v>
      </c>
      <c r="R226" s="587">
        <f t="shared" si="17"/>
        <v>160.41619333488697</v>
      </c>
      <c r="S226" s="481">
        <v>0</v>
      </c>
      <c r="T226" s="481">
        <v>0</v>
      </c>
      <c r="U226" s="481">
        <v>0</v>
      </c>
      <c r="V226" s="481">
        <v>0</v>
      </c>
      <c r="W226" s="481">
        <v>0</v>
      </c>
      <c r="X226" s="481">
        <v>0</v>
      </c>
      <c r="Y226" s="481">
        <v>0</v>
      </c>
      <c r="Z226" s="481">
        <v>63.805362011193353</v>
      </c>
      <c r="AA226" s="481">
        <v>0</v>
      </c>
      <c r="AB226" s="481">
        <v>0</v>
      </c>
      <c r="AC226" s="481">
        <v>0</v>
      </c>
      <c r="AD226" s="481">
        <v>0</v>
      </c>
      <c r="AE226" s="481">
        <v>0</v>
      </c>
      <c r="AF226" s="481">
        <v>0</v>
      </c>
      <c r="AG226" s="481">
        <v>4.4621459355315878</v>
      </c>
      <c r="AH226" s="700">
        <f t="shared" si="18"/>
        <v>247.89699641842157</v>
      </c>
      <c r="AI226" s="482">
        <f t="shared" si="19"/>
        <v>252.35914235395316</v>
      </c>
      <c r="AJ226" s="482"/>
      <c r="AK226" s="482"/>
      <c r="AL226" s="585">
        <v>25.6</v>
      </c>
      <c r="AM226" s="585">
        <v>134.81619333488698</v>
      </c>
      <c r="AN226" s="581">
        <v>0</v>
      </c>
      <c r="AO226" s="581">
        <f t="shared" si="20"/>
        <v>160.41619333488697</v>
      </c>
    </row>
    <row r="227" spans="1:41" x14ac:dyDescent="0.3">
      <c r="A227" s="476">
        <v>150000845</v>
      </c>
      <c r="B227" s="477" t="s">
        <v>138</v>
      </c>
      <c r="C227" s="478">
        <v>252.8</v>
      </c>
      <c r="D227" s="483"/>
      <c r="E227" s="480"/>
      <c r="F227" s="480">
        <v>252.8</v>
      </c>
      <c r="G227" s="481">
        <v>0</v>
      </c>
      <c r="H227" s="481">
        <v>0</v>
      </c>
      <c r="I227" s="481">
        <v>0</v>
      </c>
      <c r="J227" s="481">
        <v>0</v>
      </c>
      <c r="K227" s="481">
        <v>0</v>
      </c>
      <c r="L227" s="481">
        <v>0</v>
      </c>
      <c r="M227" s="587">
        <f t="shared" si="16"/>
        <v>0</v>
      </c>
      <c r="N227" s="481">
        <v>0</v>
      </c>
      <c r="O227" s="481">
        <v>0</v>
      </c>
      <c r="P227" s="481">
        <v>0</v>
      </c>
      <c r="Q227" s="481">
        <v>31.567254763121657</v>
      </c>
      <c r="R227" s="587">
        <f t="shared" si="17"/>
        <v>347.74490357801136</v>
      </c>
      <c r="S227" s="481">
        <v>0</v>
      </c>
      <c r="T227" s="481">
        <v>0</v>
      </c>
      <c r="U227" s="481">
        <v>0</v>
      </c>
      <c r="V227" s="481">
        <v>0</v>
      </c>
      <c r="W227" s="481">
        <v>0</v>
      </c>
      <c r="X227" s="481">
        <v>0</v>
      </c>
      <c r="Y227" s="481">
        <v>0</v>
      </c>
      <c r="Z227" s="481">
        <v>0</v>
      </c>
      <c r="AA227" s="481">
        <v>0</v>
      </c>
      <c r="AB227" s="481">
        <v>0</v>
      </c>
      <c r="AC227" s="481">
        <v>0</v>
      </c>
      <c r="AD227" s="481">
        <v>0</v>
      </c>
      <c r="AE227" s="481">
        <v>0</v>
      </c>
      <c r="AF227" s="481">
        <v>0</v>
      </c>
      <c r="AG227" s="481">
        <v>11.379364750233991</v>
      </c>
      <c r="AH227" s="700">
        <f t="shared" si="18"/>
        <v>379.312158341133</v>
      </c>
      <c r="AI227" s="482">
        <f t="shared" si="19"/>
        <v>390.691523091367</v>
      </c>
      <c r="AJ227" s="482"/>
      <c r="AK227" s="482"/>
      <c r="AL227" s="585">
        <v>11.84</v>
      </c>
      <c r="AM227" s="585">
        <v>335.90490357801139</v>
      </c>
      <c r="AN227" s="581">
        <v>0</v>
      </c>
      <c r="AO227" s="581">
        <f t="shared" si="20"/>
        <v>347.74490357801136</v>
      </c>
    </row>
    <row r="228" spans="1:41" x14ac:dyDescent="0.3">
      <c r="A228" s="476">
        <v>150000846</v>
      </c>
      <c r="B228" s="477" t="s">
        <v>139</v>
      </c>
      <c r="C228" s="478">
        <v>126.2</v>
      </c>
      <c r="D228" s="483"/>
      <c r="E228" s="480"/>
      <c r="F228" s="480">
        <v>126.2</v>
      </c>
      <c r="G228" s="481">
        <v>0</v>
      </c>
      <c r="H228" s="481">
        <v>0</v>
      </c>
      <c r="I228" s="481">
        <v>0</v>
      </c>
      <c r="J228" s="481">
        <v>0</v>
      </c>
      <c r="K228" s="481">
        <v>0</v>
      </c>
      <c r="L228" s="481">
        <v>0</v>
      </c>
      <c r="M228" s="587">
        <f t="shared" si="16"/>
        <v>0</v>
      </c>
      <c r="N228" s="481">
        <v>0</v>
      </c>
      <c r="O228" s="481">
        <v>0</v>
      </c>
      <c r="P228" s="481">
        <v>0</v>
      </c>
      <c r="Q228" s="481">
        <v>23.675441072341243</v>
      </c>
      <c r="R228" s="587">
        <f t="shared" si="17"/>
        <v>166.74562819982768</v>
      </c>
      <c r="S228" s="481">
        <v>0</v>
      </c>
      <c r="T228" s="481">
        <v>0</v>
      </c>
      <c r="U228" s="481">
        <v>0</v>
      </c>
      <c r="V228" s="481">
        <v>0</v>
      </c>
      <c r="W228" s="481">
        <v>0</v>
      </c>
      <c r="X228" s="481">
        <v>0</v>
      </c>
      <c r="Y228" s="481">
        <v>0</v>
      </c>
      <c r="Z228" s="481">
        <v>0</v>
      </c>
      <c r="AA228" s="481">
        <v>0</v>
      </c>
      <c r="AB228" s="481">
        <v>0</v>
      </c>
      <c r="AC228" s="481">
        <v>0</v>
      </c>
      <c r="AD228" s="481">
        <v>0</v>
      </c>
      <c r="AE228" s="481">
        <v>0</v>
      </c>
      <c r="AF228" s="481">
        <v>0</v>
      </c>
      <c r="AG228" s="481">
        <v>5.7126320781650684</v>
      </c>
      <c r="AH228" s="700">
        <f t="shared" si="18"/>
        <v>190.42106927216892</v>
      </c>
      <c r="AI228" s="482">
        <f t="shared" si="19"/>
        <v>196.13370135033398</v>
      </c>
      <c r="AJ228" s="482"/>
      <c r="AK228" s="482"/>
      <c r="AL228" s="585">
        <v>11.84</v>
      </c>
      <c r="AM228" s="585">
        <v>154.90562819982767</v>
      </c>
      <c r="AN228" s="581">
        <v>0</v>
      </c>
      <c r="AO228" s="581">
        <f t="shared" si="20"/>
        <v>166.74562819982768</v>
      </c>
    </row>
    <row r="229" spans="1:41" x14ac:dyDescent="0.3">
      <c r="A229" s="476">
        <v>150000848</v>
      </c>
      <c r="B229" s="477" t="s">
        <v>186</v>
      </c>
      <c r="C229" s="478">
        <v>261.2</v>
      </c>
      <c r="D229" s="479"/>
      <c r="E229" s="480"/>
      <c r="F229" s="480">
        <v>261.2</v>
      </c>
      <c r="G229" s="481">
        <v>41.484500202588627</v>
      </c>
      <c r="H229" s="481">
        <v>18.96217873778275</v>
      </c>
      <c r="I229" s="481">
        <v>0</v>
      </c>
      <c r="J229" s="481">
        <v>0</v>
      </c>
      <c r="K229" s="481">
        <v>0</v>
      </c>
      <c r="L229" s="481">
        <v>35.431778307452454</v>
      </c>
      <c r="M229" s="587">
        <f t="shared" si="16"/>
        <v>0</v>
      </c>
      <c r="N229" s="481">
        <v>93.070599706074262</v>
      </c>
      <c r="O229" s="481">
        <v>0</v>
      </c>
      <c r="P229" s="481">
        <v>0</v>
      </c>
      <c r="Q229" s="481">
        <v>47.350882144682487</v>
      </c>
      <c r="R229" s="587">
        <f t="shared" si="17"/>
        <v>311.78807321194023</v>
      </c>
      <c r="S229" s="481">
        <v>18.154294714904815</v>
      </c>
      <c r="T229" s="481">
        <v>24.462986820579289</v>
      </c>
      <c r="U229" s="481">
        <v>12.657121400419223</v>
      </c>
      <c r="V229" s="481">
        <v>0</v>
      </c>
      <c r="W229" s="481">
        <v>0</v>
      </c>
      <c r="X229" s="481">
        <v>4.9307126480382886</v>
      </c>
      <c r="Y229" s="481">
        <v>0</v>
      </c>
      <c r="Z229" s="481">
        <v>330.06981600097203</v>
      </c>
      <c r="AA229" s="481">
        <v>193.28585864163765</v>
      </c>
      <c r="AB229" s="481">
        <v>169.19502991573111</v>
      </c>
      <c r="AC229" s="481">
        <v>0</v>
      </c>
      <c r="AD229" s="481">
        <v>0</v>
      </c>
      <c r="AE229" s="481">
        <v>77.989688238300573</v>
      </c>
      <c r="AF229" s="481">
        <v>0</v>
      </c>
      <c r="AG229" s="481">
        <v>24.81900337243987</v>
      </c>
      <c r="AH229" s="700">
        <f t="shared" si="18"/>
        <v>1378.8335206911038</v>
      </c>
      <c r="AI229" s="482">
        <f t="shared" si="19"/>
        <v>1403.6525240635438</v>
      </c>
      <c r="AJ229" s="482"/>
      <c r="AK229" s="482"/>
      <c r="AL229" s="585">
        <v>25.61</v>
      </c>
      <c r="AM229" s="585">
        <v>286.17807321194022</v>
      </c>
      <c r="AN229" s="581">
        <v>0</v>
      </c>
      <c r="AO229" s="581">
        <f t="shared" si="20"/>
        <v>311.78807321194023</v>
      </c>
    </row>
    <row r="230" spans="1:41" x14ac:dyDescent="0.3">
      <c r="A230" s="476">
        <v>150000851</v>
      </c>
      <c r="B230" s="477" t="s">
        <v>134</v>
      </c>
      <c r="C230" s="478">
        <v>168.1</v>
      </c>
      <c r="D230" s="483"/>
      <c r="E230" s="480"/>
      <c r="F230" s="480">
        <v>168.1</v>
      </c>
      <c r="G230" s="481">
        <v>0</v>
      </c>
      <c r="H230" s="481">
        <v>0</v>
      </c>
      <c r="I230" s="481">
        <v>0</v>
      </c>
      <c r="J230" s="481">
        <v>0</v>
      </c>
      <c r="K230" s="481">
        <v>0</v>
      </c>
      <c r="L230" s="481">
        <v>0</v>
      </c>
      <c r="M230" s="587">
        <f t="shared" si="16"/>
        <v>0</v>
      </c>
      <c r="N230" s="481">
        <v>0</v>
      </c>
      <c r="O230" s="481">
        <v>0</v>
      </c>
      <c r="P230" s="481">
        <v>0</v>
      </c>
      <c r="Q230" s="481">
        <v>23.675441072341243</v>
      </c>
      <c r="R230" s="587">
        <f t="shared" si="17"/>
        <v>168.62738726293981</v>
      </c>
      <c r="S230" s="481">
        <v>0</v>
      </c>
      <c r="T230" s="481">
        <v>0</v>
      </c>
      <c r="U230" s="481">
        <v>0</v>
      </c>
      <c r="V230" s="481">
        <v>0</v>
      </c>
      <c r="W230" s="481">
        <v>0</v>
      </c>
      <c r="X230" s="481">
        <v>0</v>
      </c>
      <c r="Y230" s="481">
        <v>0</v>
      </c>
      <c r="Z230" s="481">
        <v>0</v>
      </c>
      <c r="AA230" s="481">
        <v>0</v>
      </c>
      <c r="AB230" s="481">
        <v>0</v>
      </c>
      <c r="AC230" s="481">
        <v>0</v>
      </c>
      <c r="AD230" s="481">
        <v>0</v>
      </c>
      <c r="AE230" s="481">
        <v>0</v>
      </c>
      <c r="AF230" s="481">
        <v>0</v>
      </c>
      <c r="AG230" s="481">
        <v>5.7690848500584311</v>
      </c>
      <c r="AH230" s="700">
        <f t="shared" si="18"/>
        <v>192.30282833528105</v>
      </c>
      <c r="AI230" s="482">
        <f t="shared" si="19"/>
        <v>198.07191318533947</v>
      </c>
      <c r="AJ230" s="482"/>
      <c r="AK230" s="482"/>
      <c r="AL230" s="585">
        <v>19.45</v>
      </c>
      <c r="AM230" s="585">
        <v>149.17738726293982</v>
      </c>
      <c r="AN230" s="581">
        <v>0</v>
      </c>
      <c r="AO230" s="581">
        <f t="shared" si="20"/>
        <v>168.62738726293981</v>
      </c>
    </row>
    <row r="231" spans="1:41" x14ac:dyDescent="0.3">
      <c r="A231" s="476">
        <v>150000861</v>
      </c>
      <c r="B231" s="477" t="s">
        <v>232</v>
      </c>
      <c r="C231" s="478">
        <v>2784.6</v>
      </c>
      <c r="D231" s="479"/>
      <c r="E231" s="480">
        <v>616.79999999999995</v>
      </c>
      <c r="F231" s="480">
        <v>3401.3999999999996</v>
      </c>
      <c r="G231" s="481">
        <v>1002.1670315207298</v>
      </c>
      <c r="H231" s="481">
        <v>203.50269866221888</v>
      </c>
      <c r="I231" s="481">
        <v>383.62</v>
      </c>
      <c r="J231" s="481">
        <v>0</v>
      </c>
      <c r="K231" s="481">
        <v>0</v>
      </c>
      <c r="L231" s="481">
        <v>920.57334235346275</v>
      </c>
      <c r="M231" s="587">
        <f t="shared" si="16"/>
        <v>0</v>
      </c>
      <c r="N231" s="481">
        <v>1211.9844480866807</v>
      </c>
      <c r="O231" s="481">
        <v>0</v>
      </c>
      <c r="P231" s="481">
        <v>0</v>
      </c>
      <c r="Q231" s="481">
        <v>355.13161608511865</v>
      </c>
      <c r="R231" s="587">
        <f t="shared" si="17"/>
        <v>3255.3927360013854</v>
      </c>
      <c r="S231" s="481">
        <v>181.09710696953479</v>
      </c>
      <c r="T231" s="481">
        <v>262.29512087090222</v>
      </c>
      <c r="U231" s="481">
        <v>190.2320869236824</v>
      </c>
      <c r="V231" s="481">
        <v>0</v>
      </c>
      <c r="W231" s="481">
        <v>0</v>
      </c>
      <c r="X231" s="481">
        <v>133.50518248769922</v>
      </c>
      <c r="Y231" s="481">
        <v>0</v>
      </c>
      <c r="Z231" s="481">
        <v>3005.4094887113488</v>
      </c>
      <c r="AA231" s="481">
        <v>2203.4082347255785</v>
      </c>
      <c r="AB231" s="481">
        <v>1243.1218009606689</v>
      </c>
      <c r="AC231" s="481">
        <v>180.77630926580915</v>
      </c>
      <c r="AD231" s="481">
        <v>22.254659284616658</v>
      </c>
      <c r="AE231" s="481">
        <v>577.12369296342422</v>
      </c>
      <c r="AF231" s="481">
        <v>0</v>
      </c>
      <c r="AG231" s="481">
        <v>459.94786667618592</v>
      </c>
      <c r="AH231" s="700">
        <f t="shared" si="18"/>
        <v>15331.595555872864</v>
      </c>
      <c r="AI231" s="482">
        <f t="shared" si="19"/>
        <v>15791.54342254905</v>
      </c>
      <c r="AJ231" s="482"/>
      <c r="AK231" s="482"/>
      <c r="AL231" s="585">
        <v>103.15</v>
      </c>
      <c r="AM231" s="585">
        <v>3152.2427360013853</v>
      </c>
      <c r="AN231" s="581">
        <v>0</v>
      </c>
      <c r="AO231" s="581">
        <f t="shared" si="20"/>
        <v>3255.3927360013854</v>
      </c>
    </row>
    <row r="232" spans="1:41" x14ac:dyDescent="0.3">
      <c r="A232" s="476">
        <v>150000862</v>
      </c>
      <c r="B232" s="477" t="s">
        <v>234</v>
      </c>
      <c r="C232" s="478">
        <v>3517.1</v>
      </c>
      <c r="D232" s="479"/>
      <c r="E232" s="480">
        <v>969</v>
      </c>
      <c r="F232" s="480">
        <v>4486.1000000000004</v>
      </c>
      <c r="G232" s="481">
        <v>1190.6253876295091</v>
      </c>
      <c r="H232" s="481">
        <v>238.78809508810559</v>
      </c>
      <c r="I232" s="481">
        <v>453.19</v>
      </c>
      <c r="J232" s="481">
        <v>0</v>
      </c>
      <c r="K232" s="481">
        <v>0</v>
      </c>
      <c r="L232" s="481">
        <v>1169.3521638094819</v>
      </c>
      <c r="M232" s="587">
        <f t="shared" si="16"/>
        <v>0</v>
      </c>
      <c r="N232" s="481">
        <v>1598.4839867588814</v>
      </c>
      <c r="O232" s="481">
        <v>0</v>
      </c>
      <c r="P232" s="481">
        <v>0</v>
      </c>
      <c r="Q232" s="481">
        <v>745.77639377874925</v>
      </c>
      <c r="R232" s="587">
        <f t="shared" si="17"/>
        <v>3588.5603339068339</v>
      </c>
      <c r="S232" s="481">
        <v>214.96342784197947</v>
      </c>
      <c r="T232" s="481">
        <v>307.75414721190407</v>
      </c>
      <c r="U232" s="481">
        <v>210.23685190093357</v>
      </c>
      <c r="V232" s="481">
        <v>0</v>
      </c>
      <c r="W232" s="481">
        <v>0</v>
      </c>
      <c r="X232" s="481">
        <v>0</v>
      </c>
      <c r="Y232" s="481">
        <v>0</v>
      </c>
      <c r="Z232" s="481">
        <v>6260.3697179476158</v>
      </c>
      <c r="AA232" s="481">
        <v>2527.1386523333531</v>
      </c>
      <c r="AB232" s="481">
        <v>1320.5277605894678</v>
      </c>
      <c r="AC232" s="481">
        <v>97.431403377705493</v>
      </c>
      <c r="AD232" s="481">
        <v>11.99439624914935</v>
      </c>
      <c r="AE232" s="481">
        <v>173.13710788902725</v>
      </c>
      <c r="AF232" s="481">
        <v>0</v>
      </c>
      <c r="AG232" s="481">
        <v>603.24989478938085</v>
      </c>
      <c r="AH232" s="700">
        <f t="shared" si="18"/>
        <v>20108.329826312696</v>
      </c>
      <c r="AI232" s="482">
        <f t="shared" si="19"/>
        <v>20711.579721102076</v>
      </c>
      <c r="AJ232" s="482"/>
      <c r="AK232" s="482"/>
      <c r="AL232" s="585">
        <v>562.26</v>
      </c>
      <c r="AM232" s="585">
        <v>3026.3003339068337</v>
      </c>
      <c r="AN232" s="581">
        <v>0</v>
      </c>
      <c r="AO232" s="581">
        <f t="shared" si="20"/>
        <v>3588.5603339068339</v>
      </c>
    </row>
    <row r="233" spans="1:41" x14ac:dyDescent="0.3">
      <c r="A233" s="476">
        <v>150000863</v>
      </c>
      <c r="B233" s="477" t="s">
        <v>235</v>
      </c>
      <c r="C233" s="478">
        <v>2278.4</v>
      </c>
      <c r="D233" s="479"/>
      <c r="E233" s="480">
        <v>1044.5</v>
      </c>
      <c r="F233" s="480">
        <v>3322.9</v>
      </c>
      <c r="G233" s="481">
        <v>906.46254364119829</v>
      </c>
      <c r="H233" s="481">
        <v>191.51874946273222</v>
      </c>
      <c r="I233" s="481">
        <v>340.84</v>
      </c>
      <c r="J233" s="481">
        <v>98.13</v>
      </c>
      <c r="K233" s="481">
        <v>0</v>
      </c>
      <c r="L233" s="481">
        <v>859.6280212097023</v>
      </c>
      <c r="M233" s="587">
        <f t="shared" si="16"/>
        <v>0</v>
      </c>
      <c r="N233" s="481">
        <v>1184.0133834736378</v>
      </c>
      <c r="O233" s="481">
        <v>0</v>
      </c>
      <c r="P233" s="481">
        <v>0</v>
      </c>
      <c r="Q233" s="481">
        <v>153.89036697021808</v>
      </c>
      <c r="R233" s="587">
        <f t="shared" si="17"/>
        <v>3330.9519331744273</v>
      </c>
      <c r="S233" s="481">
        <v>166.83227321115911</v>
      </c>
      <c r="T233" s="481">
        <v>246.82971791924669</v>
      </c>
      <c r="U233" s="481">
        <v>202.96709016714718</v>
      </c>
      <c r="V233" s="481">
        <v>99.790155453035027</v>
      </c>
      <c r="W233" s="481">
        <v>0</v>
      </c>
      <c r="X233" s="481">
        <v>120.20689198982306</v>
      </c>
      <c r="Y233" s="481">
        <v>0</v>
      </c>
      <c r="Z233" s="481">
        <v>4080.7653157848754</v>
      </c>
      <c r="AA233" s="481">
        <v>2339.1070269690472</v>
      </c>
      <c r="AB233" s="481">
        <v>1901.0403419376189</v>
      </c>
      <c r="AC233" s="481">
        <v>90.690866037109529</v>
      </c>
      <c r="AD233" s="481">
        <v>11.164595250780529</v>
      </c>
      <c r="AE233" s="481">
        <v>461.69895437073933</v>
      </c>
      <c r="AF233" s="481">
        <v>0</v>
      </c>
      <c r="AG233" s="481">
        <v>302.15750808640496</v>
      </c>
      <c r="AH233" s="700">
        <f t="shared" si="18"/>
        <v>16786.5282270225</v>
      </c>
      <c r="AI233" s="482">
        <f t="shared" si="19"/>
        <v>17088.685735108906</v>
      </c>
      <c r="AJ233" s="482"/>
      <c r="AK233" s="482"/>
      <c r="AL233" s="585">
        <v>100.76</v>
      </c>
      <c r="AM233" s="585">
        <v>3230.191933174427</v>
      </c>
      <c r="AN233" s="581">
        <v>0</v>
      </c>
      <c r="AO233" s="581">
        <f t="shared" si="20"/>
        <v>3330.9519331744273</v>
      </c>
    </row>
    <row r="234" spans="1:41" x14ac:dyDescent="0.3">
      <c r="A234" s="476">
        <v>150000864</v>
      </c>
      <c r="B234" s="477" t="s">
        <v>200</v>
      </c>
      <c r="C234" s="478">
        <v>3022.76</v>
      </c>
      <c r="D234" s="479"/>
      <c r="E234" s="480">
        <v>950.3</v>
      </c>
      <c r="F234" s="480">
        <v>3973.0600000000004</v>
      </c>
      <c r="G234" s="481">
        <v>895.68191276278048</v>
      </c>
      <c r="H234" s="481">
        <v>166.44152869584298</v>
      </c>
      <c r="I234" s="481">
        <v>383.88</v>
      </c>
      <c r="J234" s="481">
        <v>0</v>
      </c>
      <c r="K234" s="481">
        <v>0</v>
      </c>
      <c r="L234" s="481">
        <v>1136.6258181413082</v>
      </c>
      <c r="M234" s="587">
        <f t="shared" si="16"/>
        <v>0</v>
      </c>
      <c r="N234" s="481">
        <v>1415.6779359426321</v>
      </c>
      <c r="O234" s="481">
        <v>0</v>
      </c>
      <c r="P234" s="481">
        <v>0</v>
      </c>
      <c r="Q234" s="481">
        <v>615.56146788087233</v>
      </c>
      <c r="R234" s="587">
        <f t="shared" si="17"/>
        <v>3703.0936432660815</v>
      </c>
      <c r="S234" s="481">
        <v>154.70132000410837</v>
      </c>
      <c r="T234" s="481">
        <v>214.51505627203119</v>
      </c>
      <c r="U234" s="481">
        <v>270.09852227944759</v>
      </c>
      <c r="V234" s="481">
        <v>0</v>
      </c>
      <c r="W234" s="481">
        <v>0</v>
      </c>
      <c r="X234" s="481">
        <v>158.53981299423265</v>
      </c>
      <c r="Y234" s="481">
        <v>0</v>
      </c>
      <c r="Z234" s="481">
        <v>4213.9537816854499</v>
      </c>
      <c r="AA234" s="481">
        <v>3296.2652760085793</v>
      </c>
      <c r="AB234" s="481">
        <v>1655.8144727385823</v>
      </c>
      <c r="AC234" s="481">
        <v>68.630925649704508</v>
      </c>
      <c r="AD234" s="481">
        <v>8.4488828924825619</v>
      </c>
      <c r="AE234" s="481">
        <v>244.88762106826377</v>
      </c>
      <c r="AF234" s="481">
        <v>0</v>
      </c>
      <c r="AG234" s="481">
        <v>558.08453934847205</v>
      </c>
      <c r="AH234" s="700">
        <f t="shared" si="18"/>
        <v>18602.817978282405</v>
      </c>
      <c r="AI234" s="482">
        <f t="shared" si="19"/>
        <v>19160.902517630875</v>
      </c>
      <c r="AJ234" s="482"/>
      <c r="AK234" s="482"/>
      <c r="AL234" s="585">
        <v>57.52</v>
      </c>
      <c r="AM234" s="585">
        <v>3645.5736432660815</v>
      </c>
      <c r="AN234" s="581">
        <v>0</v>
      </c>
      <c r="AO234" s="581">
        <f t="shared" si="20"/>
        <v>3703.0936432660815</v>
      </c>
    </row>
    <row r="235" spans="1:41" x14ac:dyDescent="0.3">
      <c r="A235" s="476">
        <v>150000865</v>
      </c>
      <c r="B235" s="477" t="s">
        <v>305</v>
      </c>
      <c r="C235" s="478">
        <v>6585.6</v>
      </c>
      <c r="D235" s="479"/>
      <c r="E235" s="480">
        <v>2512.5</v>
      </c>
      <c r="F235" s="480">
        <v>9098.1</v>
      </c>
      <c r="G235" s="481">
        <v>2312.4169699925942</v>
      </c>
      <c r="H235" s="481">
        <v>476.91063760078657</v>
      </c>
      <c r="I235" s="481">
        <v>1035.0899999999999</v>
      </c>
      <c r="J235" s="481">
        <v>0</v>
      </c>
      <c r="K235" s="481">
        <v>0</v>
      </c>
      <c r="L235" s="481">
        <v>2570.2345801814645</v>
      </c>
      <c r="M235" s="587">
        <f t="shared" si="16"/>
        <v>0</v>
      </c>
      <c r="N235" s="481">
        <v>3241.8285726869617</v>
      </c>
      <c r="O235" s="481">
        <v>0</v>
      </c>
      <c r="P235" s="481">
        <v>0</v>
      </c>
      <c r="Q235" s="481">
        <v>1905.8730063234702</v>
      </c>
      <c r="R235" s="587">
        <f t="shared" si="17"/>
        <v>8910.6184588794858</v>
      </c>
      <c r="S235" s="481">
        <v>383.92112280510617</v>
      </c>
      <c r="T235" s="481">
        <v>614.67314323856669</v>
      </c>
      <c r="U235" s="481">
        <v>537.2459747787716</v>
      </c>
      <c r="V235" s="481">
        <v>0</v>
      </c>
      <c r="W235" s="481">
        <v>0</v>
      </c>
      <c r="X235" s="481">
        <v>371.50823364445841</v>
      </c>
      <c r="Y235" s="481">
        <v>0</v>
      </c>
      <c r="Z235" s="481">
        <v>6551.3542023825767</v>
      </c>
      <c r="AA235" s="481">
        <v>4541.8778227981911</v>
      </c>
      <c r="AB235" s="481">
        <v>2112.6093792591778</v>
      </c>
      <c r="AC235" s="481">
        <v>75.739128663423898</v>
      </c>
      <c r="AD235" s="481">
        <v>9.3239457634896841</v>
      </c>
      <c r="AE235" s="481">
        <v>1221.3185178117867</v>
      </c>
      <c r="AF235" s="481">
        <v>0</v>
      </c>
      <c r="AG235" s="481">
        <v>1017.6822060319647</v>
      </c>
      <c r="AH235" s="700">
        <f t="shared" si="18"/>
        <v>36872.543696810317</v>
      </c>
      <c r="AI235" s="482">
        <f t="shared" si="19"/>
        <v>37890.225902842285</v>
      </c>
      <c r="AJ235" s="482"/>
      <c r="AK235" s="482"/>
      <c r="AL235" s="585">
        <v>326.16000000000003</v>
      </c>
      <c r="AM235" s="585">
        <v>8584.458458879486</v>
      </c>
      <c r="AN235" s="581">
        <v>0</v>
      </c>
      <c r="AO235" s="581">
        <f t="shared" si="20"/>
        <v>8910.6184588794858</v>
      </c>
    </row>
    <row r="236" spans="1:41" x14ac:dyDescent="0.3">
      <c r="A236" s="476">
        <v>150000866</v>
      </c>
      <c r="B236" s="477" t="s">
        <v>308</v>
      </c>
      <c r="C236" s="478">
        <v>3834.8</v>
      </c>
      <c r="D236" s="479"/>
      <c r="E236" s="480">
        <v>1191.7</v>
      </c>
      <c r="F236" s="480">
        <v>5026.5</v>
      </c>
      <c r="G236" s="481">
        <v>1478.2620959793119</v>
      </c>
      <c r="H236" s="481">
        <v>285.39192898337939</v>
      </c>
      <c r="I236" s="481">
        <v>635.70000000000005</v>
      </c>
      <c r="J236" s="481">
        <v>0</v>
      </c>
      <c r="K236" s="481">
        <v>0</v>
      </c>
      <c r="L236" s="481">
        <v>1183.1212699749844</v>
      </c>
      <c r="M236" s="587">
        <f t="shared" si="16"/>
        <v>0</v>
      </c>
      <c r="N236" s="481">
        <v>1791.0389334708359</v>
      </c>
      <c r="O236" s="481">
        <v>0</v>
      </c>
      <c r="P236" s="481">
        <v>0</v>
      </c>
      <c r="Q236" s="481">
        <v>1089.0702893276973</v>
      </c>
      <c r="R236" s="587">
        <f t="shared" si="17"/>
        <v>4616.6798477766934</v>
      </c>
      <c r="S236" s="481">
        <v>268.49429091251204</v>
      </c>
      <c r="T236" s="481">
        <v>367.81915493417637</v>
      </c>
      <c r="U236" s="481">
        <v>249.4376121147771</v>
      </c>
      <c r="V236" s="481">
        <v>0</v>
      </c>
      <c r="W236" s="481">
        <v>0</v>
      </c>
      <c r="X236" s="481">
        <v>160.67135980944471</v>
      </c>
      <c r="Y236" s="481">
        <v>118.84369862692307</v>
      </c>
      <c r="Z236" s="481">
        <v>3610.3080280748777</v>
      </c>
      <c r="AA236" s="481">
        <v>2036.8415246596733</v>
      </c>
      <c r="AB236" s="481">
        <v>1751.1032904300289</v>
      </c>
      <c r="AC236" s="481">
        <v>7.8435343599662284</v>
      </c>
      <c r="AD236" s="481">
        <v>0.96558661628372133</v>
      </c>
      <c r="AE236" s="481">
        <v>976.43089674352314</v>
      </c>
      <c r="AF236" s="481">
        <v>0</v>
      </c>
      <c r="AG236" s="481">
        <v>495.07256022708225</v>
      </c>
      <c r="AH236" s="700">
        <f t="shared" si="18"/>
        <v>20628.023342795092</v>
      </c>
      <c r="AI236" s="482">
        <f t="shared" si="19"/>
        <v>21123.095903022175</v>
      </c>
      <c r="AJ236" s="482"/>
      <c r="AK236" s="482"/>
      <c r="AL236" s="585">
        <v>147.07</v>
      </c>
      <c r="AM236" s="585">
        <v>4469.6098477766936</v>
      </c>
      <c r="AN236" s="581">
        <v>0</v>
      </c>
      <c r="AO236" s="581">
        <f t="shared" si="20"/>
        <v>4616.6798477766934</v>
      </c>
    </row>
    <row r="237" spans="1:41" x14ac:dyDescent="0.3">
      <c r="A237" s="476">
        <v>150000867</v>
      </c>
      <c r="B237" s="477" t="s">
        <v>309</v>
      </c>
      <c r="C237" s="478">
        <v>2289.0100000000002</v>
      </c>
      <c r="D237" s="479"/>
      <c r="E237" s="480">
        <v>551.5</v>
      </c>
      <c r="F237" s="480">
        <v>2840.51</v>
      </c>
      <c r="G237" s="481">
        <v>728.48635476435925</v>
      </c>
      <c r="H237" s="481">
        <v>146.37006843546942</v>
      </c>
      <c r="I237" s="481">
        <v>388.41</v>
      </c>
      <c r="J237" s="481">
        <v>0</v>
      </c>
      <c r="K237" s="481">
        <v>0</v>
      </c>
      <c r="L237" s="481">
        <v>469.8662478166857</v>
      </c>
      <c r="M237" s="587">
        <f t="shared" si="16"/>
        <v>0</v>
      </c>
      <c r="N237" s="481">
        <v>1012.1285190317805</v>
      </c>
      <c r="O237" s="481">
        <v>0</v>
      </c>
      <c r="P237" s="481">
        <v>0</v>
      </c>
      <c r="Q237" s="481">
        <v>580.04830627236049</v>
      </c>
      <c r="R237" s="587">
        <f t="shared" si="17"/>
        <v>1887.7389709879549</v>
      </c>
      <c r="S237" s="481">
        <v>130.37371318027047</v>
      </c>
      <c r="T237" s="481">
        <v>188.6681320168974</v>
      </c>
      <c r="U237" s="481">
        <v>143.23456870345268</v>
      </c>
      <c r="V237" s="481">
        <v>0</v>
      </c>
      <c r="W237" s="481">
        <v>0</v>
      </c>
      <c r="X237" s="481">
        <v>61.409350688054374</v>
      </c>
      <c r="Y237" s="481">
        <v>59.671551360139539</v>
      </c>
      <c r="Z237" s="481">
        <v>1316.4471849022461</v>
      </c>
      <c r="AA237" s="481">
        <v>1126.9237554820038</v>
      </c>
      <c r="AB237" s="481">
        <v>894.55585234917942</v>
      </c>
      <c r="AC237" s="481">
        <v>57.600955456001998</v>
      </c>
      <c r="AD237" s="481">
        <v>7.0910267133335783</v>
      </c>
      <c r="AE237" s="481">
        <v>285.44225895218005</v>
      </c>
      <c r="AF237" s="481">
        <v>0</v>
      </c>
      <c r="AG237" s="481">
        <v>569.06800902674217</v>
      </c>
      <c r="AH237" s="700">
        <f t="shared" si="18"/>
        <v>9484.4668171123722</v>
      </c>
      <c r="AI237" s="482">
        <f t="shared" si="19"/>
        <v>10053.534826139114</v>
      </c>
      <c r="AJ237" s="482"/>
      <c r="AK237" s="482"/>
      <c r="AL237" s="585">
        <v>122.71</v>
      </c>
      <c r="AM237" s="585">
        <v>1765.0289709879548</v>
      </c>
      <c r="AN237" s="581">
        <v>0</v>
      </c>
      <c r="AO237" s="581">
        <f t="shared" si="20"/>
        <v>1887.7389709879549</v>
      </c>
    </row>
    <row r="238" spans="1:41" x14ac:dyDescent="0.3">
      <c r="A238" s="476">
        <v>150000868</v>
      </c>
      <c r="B238" s="477" t="s">
        <v>310</v>
      </c>
      <c r="C238" s="478">
        <v>2609.98</v>
      </c>
      <c r="D238" s="479"/>
      <c r="E238" s="480">
        <v>685.4</v>
      </c>
      <c r="F238" s="480">
        <v>3295.38</v>
      </c>
      <c r="G238" s="481">
        <v>932.69010904985748</v>
      </c>
      <c r="H238" s="481">
        <v>191.0750613608908</v>
      </c>
      <c r="I238" s="481">
        <v>435.74</v>
      </c>
      <c r="J238" s="481">
        <v>0</v>
      </c>
      <c r="K238" s="481">
        <v>0</v>
      </c>
      <c r="L238" s="481">
        <v>630.62506685019514</v>
      </c>
      <c r="M238" s="587">
        <f t="shared" si="16"/>
        <v>0</v>
      </c>
      <c r="N238" s="481">
        <v>1174.2074764908232</v>
      </c>
      <c r="O238" s="481">
        <v>0</v>
      </c>
      <c r="P238" s="481">
        <v>0</v>
      </c>
      <c r="Q238" s="481">
        <v>757.61411431491979</v>
      </c>
      <c r="R238" s="587">
        <f t="shared" si="17"/>
        <v>2358.6010472412336</v>
      </c>
      <c r="S238" s="481">
        <v>163.03390612605966</v>
      </c>
      <c r="T238" s="481">
        <v>246.28101336058353</v>
      </c>
      <c r="U238" s="481">
        <v>150.1037164359046</v>
      </c>
      <c r="V238" s="481">
        <v>0</v>
      </c>
      <c r="W238" s="481">
        <v>0</v>
      </c>
      <c r="X238" s="481">
        <v>88.260151070308979</v>
      </c>
      <c r="Y238" s="481">
        <v>53.528937122278585</v>
      </c>
      <c r="Z238" s="481">
        <v>3236.6983064456122</v>
      </c>
      <c r="AA238" s="481">
        <v>1318.5231305397294</v>
      </c>
      <c r="AB238" s="481">
        <v>2118.1282786642832</v>
      </c>
      <c r="AC238" s="481">
        <v>98.338312038076594</v>
      </c>
      <c r="AD238" s="481">
        <v>12.106042201657157</v>
      </c>
      <c r="AE238" s="481">
        <v>720.62471932189726</v>
      </c>
      <c r="AF238" s="481">
        <v>0</v>
      </c>
      <c r="AG238" s="481">
        <v>0</v>
      </c>
      <c r="AH238" s="700">
        <f t="shared" si="18"/>
        <v>14686.179388634313</v>
      </c>
      <c r="AI238" s="482">
        <f t="shared" si="19"/>
        <v>14686.179388634313</v>
      </c>
      <c r="AJ238" s="482"/>
      <c r="AK238" s="482"/>
      <c r="AL238" s="585">
        <v>100.83</v>
      </c>
      <c r="AM238" s="585">
        <v>2257.7710472412336</v>
      </c>
      <c r="AN238" s="581">
        <v>0</v>
      </c>
      <c r="AO238" s="581">
        <f t="shared" si="20"/>
        <v>2358.6010472412336</v>
      </c>
    </row>
    <row r="239" spans="1:41" x14ac:dyDescent="0.3">
      <c r="A239" s="476">
        <v>150000869</v>
      </c>
      <c r="B239" s="477" t="s">
        <v>311</v>
      </c>
      <c r="C239" s="478">
        <v>4602.8900000000003</v>
      </c>
      <c r="D239" s="479"/>
      <c r="E239" s="480">
        <v>1158.3</v>
      </c>
      <c r="F239" s="480">
        <v>5761.1900000000005</v>
      </c>
      <c r="G239" s="481">
        <v>1514.2089731304679</v>
      </c>
      <c r="H239" s="481">
        <v>341.41678896456114</v>
      </c>
      <c r="I239" s="481">
        <v>657.41</v>
      </c>
      <c r="J239" s="481">
        <v>149.16</v>
      </c>
      <c r="K239" s="481">
        <v>103.43546572976695</v>
      </c>
      <c r="L239" s="481">
        <v>1487.9511241460982</v>
      </c>
      <c r="M239" s="587">
        <f t="shared" si="16"/>
        <v>0</v>
      </c>
      <c r="N239" s="481">
        <v>2052.823155898308</v>
      </c>
      <c r="O239" s="481">
        <v>0</v>
      </c>
      <c r="P239" s="481">
        <v>0</v>
      </c>
      <c r="Q239" s="481">
        <v>335.40208185816766</v>
      </c>
      <c r="R239" s="587">
        <f t="shared" si="17"/>
        <v>6740.6915161860616</v>
      </c>
      <c r="S239" s="481">
        <v>271.04505954502395</v>
      </c>
      <c r="T239" s="481">
        <v>425.30378515142826</v>
      </c>
      <c r="U239" s="481">
        <v>244.90474847357774</v>
      </c>
      <c r="V239" s="481">
        <v>135.53330926294058</v>
      </c>
      <c r="W239" s="481">
        <v>104.92947732375929</v>
      </c>
      <c r="X239" s="481">
        <v>213.60096560892066</v>
      </c>
      <c r="Y239" s="481">
        <v>116.03491328398869</v>
      </c>
      <c r="Z239" s="481">
        <v>3332.4235471338311</v>
      </c>
      <c r="AA239" s="481">
        <v>2825.5470327778326</v>
      </c>
      <c r="AB239" s="481">
        <v>1918.2472111490777</v>
      </c>
      <c r="AC239" s="481">
        <v>215.84426116832066</v>
      </c>
      <c r="AD239" s="481">
        <v>26.571736696857656</v>
      </c>
      <c r="AE239" s="481">
        <v>1219.7587240470207</v>
      </c>
      <c r="AF239" s="481">
        <v>0</v>
      </c>
      <c r="AG239" s="481">
        <v>1465.9346326521606</v>
      </c>
      <c r="AH239" s="700">
        <f t="shared" si="18"/>
        <v>24432.24387753601</v>
      </c>
      <c r="AI239" s="482">
        <f t="shared" si="19"/>
        <v>25898.178510188169</v>
      </c>
      <c r="AJ239" s="482"/>
      <c r="AK239" s="482"/>
      <c r="AL239" s="585">
        <v>170.29</v>
      </c>
      <c r="AM239" s="585">
        <v>6570.4015161860616</v>
      </c>
      <c r="AN239" s="581">
        <v>0</v>
      </c>
      <c r="AO239" s="581">
        <f t="shared" si="20"/>
        <v>6740.6915161860616</v>
      </c>
    </row>
    <row r="240" spans="1:41" x14ac:dyDescent="0.3">
      <c r="A240" s="476">
        <v>150000871</v>
      </c>
      <c r="B240" s="477" t="s">
        <v>140</v>
      </c>
      <c r="C240" s="478">
        <v>152.6</v>
      </c>
      <c r="D240" s="483"/>
      <c r="E240" s="480"/>
      <c r="F240" s="480">
        <v>152.6</v>
      </c>
      <c r="G240" s="481">
        <v>0</v>
      </c>
      <c r="H240" s="481">
        <v>0</v>
      </c>
      <c r="I240" s="481">
        <v>0</v>
      </c>
      <c r="J240" s="481">
        <v>0</v>
      </c>
      <c r="K240" s="481">
        <v>0</v>
      </c>
      <c r="L240" s="481">
        <v>0</v>
      </c>
      <c r="M240" s="587">
        <f t="shared" si="16"/>
        <v>0</v>
      </c>
      <c r="N240" s="481">
        <v>0</v>
      </c>
      <c r="O240" s="481">
        <v>0</v>
      </c>
      <c r="P240" s="481">
        <v>0</v>
      </c>
      <c r="Q240" s="481">
        <v>23.675441072341243</v>
      </c>
      <c r="R240" s="587">
        <f t="shared" si="17"/>
        <v>185.83556608703307</v>
      </c>
      <c r="S240" s="481">
        <v>0</v>
      </c>
      <c r="T240" s="481">
        <v>0</v>
      </c>
      <c r="U240" s="481">
        <v>0</v>
      </c>
      <c r="V240" s="481">
        <v>0</v>
      </c>
      <c r="W240" s="481">
        <v>0</v>
      </c>
      <c r="X240" s="481">
        <v>0</v>
      </c>
      <c r="Y240" s="481">
        <v>0</v>
      </c>
      <c r="Z240" s="481">
        <v>0</v>
      </c>
      <c r="AA240" s="481">
        <v>0</v>
      </c>
      <c r="AB240" s="481">
        <v>0</v>
      </c>
      <c r="AC240" s="481">
        <v>0</v>
      </c>
      <c r="AD240" s="481">
        <v>0</v>
      </c>
      <c r="AE240" s="481">
        <v>0</v>
      </c>
      <c r="AF240" s="481">
        <v>0</v>
      </c>
      <c r="AG240" s="481">
        <v>6.2853302147812293</v>
      </c>
      <c r="AH240" s="700">
        <f t="shared" si="18"/>
        <v>209.51100715937432</v>
      </c>
      <c r="AI240" s="482">
        <f t="shared" si="19"/>
        <v>215.79633737415554</v>
      </c>
      <c r="AJ240" s="482"/>
      <c r="AK240" s="482"/>
      <c r="AL240" s="585">
        <v>13.08</v>
      </c>
      <c r="AM240" s="585">
        <v>172.75556608703306</v>
      </c>
      <c r="AN240" s="581">
        <v>0</v>
      </c>
      <c r="AO240" s="581">
        <f t="shared" si="20"/>
        <v>185.83556608703307</v>
      </c>
    </row>
    <row r="241" spans="1:41" x14ac:dyDescent="0.3">
      <c r="A241" s="476">
        <v>150000872</v>
      </c>
      <c r="B241" s="477" t="s">
        <v>233</v>
      </c>
      <c r="C241" s="478">
        <v>1113.4000000000001</v>
      </c>
      <c r="D241" s="479"/>
      <c r="E241" s="480">
        <v>97</v>
      </c>
      <c r="F241" s="480">
        <v>1210.4000000000001</v>
      </c>
      <c r="G241" s="481">
        <v>639.64241199410128</v>
      </c>
      <c r="H241" s="481">
        <v>155.74026641289413</v>
      </c>
      <c r="I241" s="481">
        <v>139.38</v>
      </c>
      <c r="J241" s="481">
        <v>33.97</v>
      </c>
      <c r="K241" s="481">
        <v>0</v>
      </c>
      <c r="L241" s="481">
        <v>246.51509706799351</v>
      </c>
      <c r="M241" s="587">
        <f t="shared" si="16"/>
        <v>0</v>
      </c>
      <c r="N241" s="481">
        <v>431.28887398251265</v>
      </c>
      <c r="O241" s="481">
        <v>0</v>
      </c>
      <c r="P241" s="481">
        <v>0</v>
      </c>
      <c r="Q241" s="481">
        <v>82.864043753194352</v>
      </c>
      <c r="R241" s="587">
        <f t="shared" si="17"/>
        <v>1045.5036584491531</v>
      </c>
      <c r="S241" s="481">
        <v>121.48393697976911</v>
      </c>
      <c r="T241" s="481">
        <v>200.74426692132644</v>
      </c>
      <c r="U241" s="481">
        <v>81.051511994214593</v>
      </c>
      <c r="V241" s="481">
        <v>36.308269123695709</v>
      </c>
      <c r="W241" s="481">
        <v>0</v>
      </c>
      <c r="X241" s="481">
        <v>28.498302350616186</v>
      </c>
      <c r="Y241" s="481">
        <v>0</v>
      </c>
      <c r="Z241" s="481">
        <v>1560.6303425516826</v>
      </c>
      <c r="AA241" s="481">
        <v>666.25325784379083</v>
      </c>
      <c r="AB241" s="481">
        <v>446.95591034704063</v>
      </c>
      <c r="AC241" s="481">
        <v>76.400926875046039</v>
      </c>
      <c r="AD241" s="481">
        <v>9.4054171342386255</v>
      </c>
      <c r="AE241" s="481">
        <v>113.86494482791882</v>
      </c>
      <c r="AF241" s="481">
        <v>0</v>
      </c>
      <c r="AG241" s="481">
        <v>183.49504315827565</v>
      </c>
      <c r="AH241" s="700">
        <f t="shared" si="18"/>
        <v>6116.5014386091898</v>
      </c>
      <c r="AI241" s="482">
        <f t="shared" si="19"/>
        <v>6299.9964817674654</v>
      </c>
      <c r="AJ241" s="482"/>
      <c r="AK241" s="482"/>
      <c r="AL241" s="585">
        <v>49.44</v>
      </c>
      <c r="AM241" s="585">
        <v>996.06365844915308</v>
      </c>
      <c r="AN241" s="581">
        <v>0</v>
      </c>
      <c r="AO241" s="581">
        <f t="shared" si="20"/>
        <v>1045.5036584491531</v>
      </c>
    </row>
    <row r="242" spans="1:41" x14ac:dyDescent="0.3">
      <c r="A242" s="476">
        <v>150000873</v>
      </c>
      <c r="B242" s="477" t="s">
        <v>306</v>
      </c>
      <c r="C242" s="478">
        <v>2468.86</v>
      </c>
      <c r="D242" s="479"/>
      <c r="E242" s="480">
        <v>140.6</v>
      </c>
      <c r="F242" s="480">
        <v>2609.46</v>
      </c>
      <c r="G242" s="481">
        <v>755.94302501892753</v>
      </c>
      <c r="H242" s="481">
        <v>143.9287423195556</v>
      </c>
      <c r="I242" s="481">
        <v>293.68</v>
      </c>
      <c r="J242" s="481">
        <v>0</v>
      </c>
      <c r="K242" s="481">
        <v>0</v>
      </c>
      <c r="L242" s="481">
        <v>441.06751788519489</v>
      </c>
      <c r="M242" s="587">
        <f t="shared" si="16"/>
        <v>0</v>
      </c>
      <c r="N242" s="481">
        <v>929.80094605288116</v>
      </c>
      <c r="O242" s="481">
        <v>0</v>
      </c>
      <c r="P242" s="481">
        <v>0</v>
      </c>
      <c r="Q242" s="481">
        <v>686.58779109789612</v>
      </c>
      <c r="R242" s="587">
        <f t="shared" si="17"/>
        <v>2332.7009678609093</v>
      </c>
      <c r="S242" s="481">
        <v>121.90693736917891</v>
      </c>
      <c r="T242" s="481">
        <v>185.4877130339687</v>
      </c>
      <c r="U242" s="481">
        <v>156.83363862298793</v>
      </c>
      <c r="V242" s="481">
        <v>0</v>
      </c>
      <c r="W242" s="481">
        <v>0</v>
      </c>
      <c r="X242" s="481">
        <v>59.106282508825508</v>
      </c>
      <c r="Y242" s="481">
        <v>0</v>
      </c>
      <c r="Z242" s="481">
        <v>2904.3302019838957</v>
      </c>
      <c r="AA242" s="481">
        <v>1099.3322179707507</v>
      </c>
      <c r="AB242" s="481">
        <v>719.85766583954467</v>
      </c>
      <c r="AC242" s="481">
        <v>56.86562410975516</v>
      </c>
      <c r="AD242" s="481">
        <v>7.0005029680569804</v>
      </c>
      <c r="AE242" s="481">
        <v>535.00926131474193</v>
      </c>
      <c r="AF242" s="481">
        <v>0</v>
      </c>
      <c r="AG242" s="481">
        <v>274.30653686296978</v>
      </c>
      <c r="AH242" s="700">
        <f t="shared" si="18"/>
        <v>11429.439035957073</v>
      </c>
      <c r="AI242" s="482">
        <f t="shared" si="19"/>
        <v>11703.745572820044</v>
      </c>
      <c r="AJ242" s="482"/>
      <c r="AK242" s="482"/>
      <c r="AL242" s="585">
        <v>98.26</v>
      </c>
      <c r="AM242" s="585">
        <v>2234.440967860909</v>
      </c>
      <c r="AN242" s="581">
        <v>0</v>
      </c>
      <c r="AO242" s="581">
        <f t="shared" si="20"/>
        <v>2332.7009678609093</v>
      </c>
    </row>
    <row r="243" spans="1:41" x14ac:dyDescent="0.3">
      <c r="A243" s="476">
        <v>150000874</v>
      </c>
      <c r="B243" s="477" t="s">
        <v>307</v>
      </c>
      <c r="C243" s="478">
        <v>2004.8</v>
      </c>
      <c r="D243" s="479"/>
      <c r="E243" s="480">
        <v>614.5</v>
      </c>
      <c r="F243" s="480">
        <v>2619.3000000000002</v>
      </c>
      <c r="G243" s="481">
        <v>683.87051806454838</v>
      </c>
      <c r="H243" s="481">
        <v>143.9287423195556</v>
      </c>
      <c r="I243" s="481">
        <v>266.27999999999997</v>
      </c>
      <c r="J243" s="481">
        <v>60.29</v>
      </c>
      <c r="K243" s="481">
        <v>44.322556752048527</v>
      </c>
      <c r="L243" s="481">
        <v>454.68452198572356</v>
      </c>
      <c r="M243" s="587">
        <f t="shared" si="16"/>
        <v>0</v>
      </c>
      <c r="N243" s="481">
        <v>933.30712791010853</v>
      </c>
      <c r="O243" s="481">
        <v>0</v>
      </c>
      <c r="P243" s="481">
        <v>0</v>
      </c>
      <c r="Q243" s="481">
        <v>157.83627381560828</v>
      </c>
      <c r="R243" s="587">
        <f t="shared" si="17"/>
        <v>2468.1473766696759</v>
      </c>
      <c r="S243" s="481">
        <v>117.60799368134825</v>
      </c>
      <c r="T243" s="481">
        <v>185.4877130339687</v>
      </c>
      <c r="U243" s="481">
        <v>139.94055269617567</v>
      </c>
      <c r="V243" s="481">
        <v>65.706154075165742</v>
      </c>
      <c r="W243" s="481">
        <v>44.980177589529568</v>
      </c>
      <c r="X243" s="481">
        <v>59.10628894753529</v>
      </c>
      <c r="Y243" s="481">
        <v>0</v>
      </c>
      <c r="Z243" s="481">
        <v>3941.0874973198097</v>
      </c>
      <c r="AA243" s="481">
        <v>1486.4417947908419</v>
      </c>
      <c r="AB243" s="481">
        <v>1102.815470721707</v>
      </c>
      <c r="AC243" s="481">
        <v>29.413253849873357</v>
      </c>
      <c r="AD243" s="481">
        <v>3.6209498110639551</v>
      </c>
      <c r="AE243" s="481">
        <v>405.54637883916297</v>
      </c>
      <c r="AF243" s="481">
        <v>0</v>
      </c>
      <c r="AG243" s="481">
        <v>307.06611222896282</v>
      </c>
      <c r="AH243" s="700">
        <f t="shared" si="18"/>
        <v>12794.421342873451</v>
      </c>
      <c r="AI243" s="482">
        <f t="shared" si="19"/>
        <v>13101.487455102413</v>
      </c>
      <c r="AJ243" s="482"/>
      <c r="AK243" s="482"/>
      <c r="AL243" s="585">
        <v>50.66</v>
      </c>
      <c r="AM243" s="585">
        <v>2417.487376669676</v>
      </c>
      <c r="AN243" s="581">
        <v>0</v>
      </c>
      <c r="AO243" s="581">
        <f t="shared" si="20"/>
        <v>2468.1473766696759</v>
      </c>
    </row>
    <row r="244" spans="1:41" x14ac:dyDescent="0.3">
      <c r="A244" s="476">
        <v>150000875</v>
      </c>
      <c r="B244" s="477" t="s">
        <v>312</v>
      </c>
      <c r="C244" s="478">
        <v>3190.1</v>
      </c>
      <c r="D244" s="479"/>
      <c r="E244" s="480"/>
      <c r="F244" s="480">
        <v>3190.1</v>
      </c>
      <c r="G244" s="481">
        <v>1072.3225745587515</v>
      </c>
      <c r="H244" s="481">
        <v>214.79596714931409</v>
      </c>
      <c r="I244" s="481">
        <v>411.55</v>
      </c>
      <c r="J244" s="481">
        <v>0</v>
      </c>
      <c r="K244" s="481">
        <v>0</v>
      </c>
      <c r="L244" s="481">
        <v>623.60729310698559</v>
      </c>
      <c r="M244" s="587">
        <f t="shared" si="16"/>
        <v>0</v>
      </c>
      <c r="N244" s="481">
        <v>1136.6941811728466</v>
      </c>
      <c r="O244" s="481">
        <v>0</v>
      </c>
      <c r="P244" s="481">
        <v>0</v>
      </c>
      <c r="Q244" s="481">
        <v>828.64043753194358</v>
      </c>
      <c r="R244" s="587">
        <f t="shared" si="17"/>
        <v>2975.3271602104537</v>
      </c>
      <c r="S244" s="481">
        <v>178.02751640989976</v>
      </c>
      <c r="T244" s="481">
        <v>276.84761169373553</v>
      </c>
      <c r="U244" s="481">
        <v>158.47051991288905</v>
      </c>
      <c r="V244" s="481">
        <v>0</v>
      </c>
      <c r="W244" s="481">
        <v>0</v>
      </c>
      <c r="X244" s="481">
        <v>87.209301230551034</v>
      </c>
      <c r="Y244" s="481">
        <v>100.44294613611928</v>
      </c>
      <c r="Z244" s="481">
        <v>2182.1032602248088</v>
      </c>
      <c r="AA244" s="481">
        <v>1428.1670979914948</v>
      </c>
      <c r="AB244" s="481">
        <v>980.47118417508841</v>
      </c>
      <c r="AC244" s="481">
        <v>72.307582380938683</v>
      </c>
      <c r="AD244" s="481">
        <v>8.9015016188655558</v>
      </c>
      <c r="AE244" s="481">
        <v>488.21544837176157</v>
      </c>
      <c r="AF244" s="481">
        <v>0</v>
      </c>
      <c r="AG244" s="481">
        <v>317.37843801303478</v>
      </c>
      <c r="AH244" s="700">
        <f t="shared" si="18"/>
        <v>13224.101583876449</v>
      </c>
      <c r="AI244" s="482">
        <f t="shared" si="19"/>
        <v>13541.480021889483</v>
      </c>
      <c r="AJ244" s="482"/>
      <c r="AK244" s="482"/>
      <c r="AL244" s="585">
        <v>99.5</v>
      </c>
      <c r="AM244" s="585">
        <v>2875.8271602104537</v>
      </c>
      <c r="AN244" s="581">
        <v>0</v>
      </c>
      <c r="AO244" s="581">
        <f t="shared" si="20"/>
        <v>2975.3271602104537</v>
      </c>
    </row>
    <row r="245" spans="1:41" x14ac:dyDescent="0.3">
      <c r="A245" s="476">
        <v>150000878</v>
      </c>
      <c r="B245" s="477" t="s">
        <v>236</v>
      </c>
      <c r="C245" s="478">
        <v>1686.26</v>
      </c>
      <c r="D245" s="479"/>
      <c r="E245" s="480">
        <v>710.23</v>
      </c>
      <c r="F245" s="480">
        <v>2396.4899999999998</v>
      </c>
      <c r="G245" s="481">
        <v>567.20436958196206</v>
      </c>
      <c r="H245" s="481">
        <v>91.752474077211659</v>
      </c>
      <c r="I245" s="481">
        <v>285.93</v>
      </c>
      <c r="J245" s="481">
        <v>0</v>
      </c>
      <c r="K245" s="481">
        <v>0</v>
      </c>
      <c r="L245" s="481">
        <v>415.89277254975696</v>
      </c>
      <c r="M245" s="587">
        <f t="shared" si="16"/>
        <v>0</v>
      </c>
      <c r="N245" s="481">
        <v>853.91562591734271</v>
      </c>
      <c r="O245" s="481">
        <v>0</v>
      </c>
      <c r="P245" s="481">
        <v>0</v>
      </c>
      <c r="Q245" s="481">
        <v>331.45617501277741</v>
      </c>
      <c r="R245" s="587">
        <f t="shared" si="17"/>
        <v>1841.6573658733023</v>
      </c>
      <c r="S245" s="481">
        <v>103.42755788492966</v>
      </c>
      <c r="T245" s="481">
        <v>118.25082316444033</v>
      </c>
      <c r="U245" s="481">
        <v>160.73805527736138</v>
      </c>
      <c r="V245" s="481">
        <v>0</v>
      </c>
      <c r="W245" s="481">
        <v>0</v>
      </c>
      <c r="X245" s="481">
        <v>53.795066531299348</v>
      </c>
      <c r="Y245" s="481">
        <v>0</v>
      </c>
      <c r="Z245" s="481">
        <v>2761.0861406259123</v>
      </c>
      <c r="AA245" s="481">
        <v>1919.0643449754346</v>
      </c>
      <c r="AB245" s="481">
        <v>553.470651665937</v>
      </c>
      <c r="AC245" s="481">
        <v>45.100322569805812</v>
      </c>
      <c r="AD245" s="481">
        <v>5.552123043631398</v>
      </c>
      <c r="AE245" s="481">
        <v>202.77318941958148</v>
      </c>
      <c r="AF245" s="481">
        <v>0</v>
      </c>
      <c r="AG245" s="481">
        <v>309.33201174512067</v>
      </c>
      <c r="AH245" s="700">
        <f t="shared" si="18"/>
        <v>10311.067058170687</v>
      </c>
      <c r="AI245" s="482">
        <f t="shared" si="19"/>
        <v>10620.399069915808</v>
      </c>
      <c r="AJ245" s="482"/>
      <c r="AK245" s="482"/>
      <c r="AL245" s="585">
        <v>66.31</v>
      </c>
      <c r="AM245" s="585">
        <v>1775.3473658733024</v>
      </c>
      <c r="AN245" s="581">
        <v>0</v>
      </c>
      <c r="AO245" s="581">
        <f t="shared" si="20"/>
        <v>1841.6573658733023</v>
      </c>
    </row>
    <row r="246" spans="1:41" x14ac:dyDescent="0.3">
      <c r="A246" s="476">
        <v>150000879</v>
      </c>
      <c r="B246" s="477" t="s">
        <v>329</v>
      </c>
      <c r="C246" s="478">
        <v>3611.53</v>
      </c>
      <c r="D246" s="479"/>
      <c r="E246" s="480">
        <v>882.6</v>
      </c>
      <c r="F246" s="480">
        <v>4494.13</v>
      </c>
      <c r="G246" s="481">
        <v>1083.9673063456617</v>
      </c>
      <c r="H246" s="481">
        <v>200.6176435991388</v>
      </c>
      <c r="I246" s="481">
        <v>546.98</v>
      </c>
      <c r="J246" s="481">
        <v>0</v>
      </c>
      <c r="K246" s="481">
        <v>0</v>
      </c>
      <c r="L246" s="481">
        <v>870.20202319365455</v>
      </c>
      <c r="M246" s="587">
        <f t="shared" si="16"/>
        <v>0</v>
      </c>
      <c r="N246" s="481">
        <v>1601.3452306931836</v>
      </c>
      <c r="O246" s="481">
        <v>0</v>
      </c>
      <c r="P246" s="481">
        <v>0</v>
      </c>
      <c r="Q246" s="481">
        <v>982.53080450216169</v>
      </c>
      <c r="R246" s="587">
        <f t="shared" si="17"/>
        <v>3606.6173149150977</v>
      </c>
      <c r="S246" s="481">
        <v>176.34342085271857</v>
      </c>
      <c r="T246" s="481">
        <v>258.56595648398542</v>
      </c>
      <c r="U246" s="481">
        <v>226.06708915759165</v>
      </c>
      <c r="V246" s="481">
        <v>0</v>
      </c>
      <c r="W246" s="481">
        <v>0</v>
      </c>
      <c r="X246" s="481">
        <v>121.44821622655098</v>
      </c>
      <c r="Y246" s="481">
        <v>0</v>
      </c>
      <c r="Z246" s="481">
        <v>2840.504369194492</v>
      </c>
      <c r="AA246" s="481">
        <v>1789.4493526146653</v>
      </c>
      <c r="AB246" s="481">
        <v>910.75991514682175</v>
      </c>
      <c r="AC246" s="481">
        <v>0</v>
      </c>
      <c r="AD246" s="481">
        <v>0</v>
      </c>
      <c r="AE246" s="481">
        <v>352.51339083711855</v>
      </c>
      <c r="AF246" s="481">
        <v>0</v>
      </c>
      <c r="AG246" s="481">
        <v>186.81494440515411</v>
      </c>
      <c r="AH246" s="700">
        <f t="shared" si="18"/>
        <v>15567.912033762843</v>
      </c>
      <c r="AI246" s="482">
        <f t="shared" si="19"/>
        <v>15754.726978167997</v>
      </c>
      <c r="AJ246" s="482"/>
      <c r="AK246" s="482"/>
      <c r="AL246" s="585">
        <v>163.35</v>
      </c>
      <c r="AM246" s="585">
        <v>3443.2673149150978</v>
      </c>
      <c r="AN246" s="581">
        <v>0</v>
      </c>
      <c r="AO246" s="581">
        <f t="shared" si="20"/>
        <v>3606.6173149150977</v>
      </c>
    </row>
    <row r="247" spans="1:41" x14ac:dyDescent="0.3">
      <c r="A247" s="476">
        <v>150000880</v>
      </c>
      <c r="B247" s="477" t="s">
        <v>237</v>
      </c>
      <c r="C247" s="478">
        <v>1891.75</v>
      </c>
      <c r="D247" s="479"/>
      <c r="E247" s="480">
        <v>834.6</v>
      </c>
      <c r="F247" s="480">
        <v>2726.35</v>
      </c>
      <c r="G247" s="481">
        <v>748.90756475231512</v>
      </c>
      <c r="H247" s="481">
        <v>142.00567180988517</v>
      </c>
      <c r="I247" s="481">
        <v>329.05</v>
      </c>
      <c r="J247" s="481">
        <v>0</v>
      </c>
      <c r="K247" s="481">
        <v>0</v>
      </c>
      <c r="L247" s="481">
        <v>624.29868442387135</v>
      </c>
      <c r="M247" s="587">
        <f t="shared" si="16"/>
        <v>0</v>
      </c>
      <c r="N247" s="481">
        <v>971.45110837923266</v>
      </c>
      <c r="O247" s="481">
        <v>0</v>
      </c>
      <c r="P247" s="481">
        <v>0</v>
      </c>
      <c r="Q247" s="481">
        <v>355.13161608511865</v>
      </c>
      <c r="R247" s="587">
        <f t="shared" si="17"/>
        <v>2539.2231619679392</v>
      </c>
      <c r="S247" s="481">
        <v>142.53861767430203</v>
      </c>
      <c r="T247" s="481">
        <v>183.03554581005699</v>
      </c>
      <c r="U247" s="481">
        <v>147.43558349450788</v>
      </c>
      <c r="V247" s="481">
        <v>0</v>
      </c>
      <c r="W247" s="481">
        <v>0</v>
      </c>
      <c r="X247" s="481">
        <v>84.962383277171313</v>
      </c>
      <c r="Y247" s="481">
        <v>0</v>
      </c>
      <c r="Z247" s="481">
        <v>2006.3112985945413</v>
      </c>
      <c r="AA247" s="481">
        <v>1556.5845809573818</v>
      </c>
      <c r="AB247" s="481">
        <v>1125.1667217683514</v>
      </c>
      <c r="AC247" s="481">
        <v>79.660895843407005</v>
      </c>
      <c r="AD247" s="481">
        <v>9.8067390716315455</v>
      </c>
      <c r="AE247" s="481">
        <v>561.52575531576406</v>
      </c>
      <c r="AF247" s="481">
        <v>0</v>
      </c>
      <c r="AG247" s="481">
        <v>208.92772672605858</v>
      </c>
      <c r="AH247" s="700">
        <f t="shared" si="18"/>
        <v>11607.095929225477</v>
      </c>
      <c r="AI247" s="482">
        <f t="shared" si="19"/>
        <v>11816.023655951536</v>
      </c>
      <c r="AJ247" s="482"/>
      <c r="AK247" s="482"/>
      <c r="AL247" s="585">
        <v>41.29</v>
      </c>
      <c r="AM247" s="585">
        <v>2497.9331619679392</v>
      </c>
      <c r="AN247" s="581">
        <v>0</v>
      </c>
      <c r="AO247" s="581">
        <f t="shared" si="20"/>
        <v>2539.2231619679392</v>
      </c>
    </row>
    <row r="248" spans="1:41" x14ac:dyDescent="0.3">
      <c r="A248" s="476">
        <v>150000881</v>
      </c>
      <c r="B248" s="477" t="s">
        <v>411</v>
      </c>
      <c r="C248" s="478">
        <v>2076.5</v>
      </c>
      <c r="D248" s="479"/>
      <c r="E248" s="480">
        <v>328.9</v>
      </c>
      <c r="F248" s="480">
        <v>2405.4</v>
      </c>
      <c r="G248" s="481">
        <v>570.71239253270585</v>
      </c>
      <c r="H248" s="481">
        <v>82.974609066532821</v>
      </c>
      <c r="I248" s="481">
        <v>276.22000000000003</v>
      </c>
      <c r="J248" s="481">
        <v>64.040000000000006</v>
      </c>
      <c r="K248" s="481">
        <v>32.51454535665566</v>
      </c>
      <c r="L248" s="481">
        <v>336.99090939131565</v>
      </c>
      <c r="M248" s="587">
        <f t="shared" si="16"/>
        <v>0</v>
      </c>
      <c r="N248" s="481">
        <v>857.09043083074675</v>
      </c>
      <c r="O248" s="481">
        <v>1632.9146681814352</v>
      </c>
      <c r="P248" s="481">
        <v>0</v>
      </c>
      <c r="Q248" s="481">
        <v>189.40352857872995</v>
      </c>
      <c r="R248" s="587">
        <f t="shared" si="17"/>
        <v>2638.0489002198606</v>
      </c>
      <c r="S248" s="481">
        <v>18.036324034709246</v>
      </c>
      <c r="T248" s="481">
        <v>22.154804772633202</v>
      </c>
      <c r="U248" s="481">
        <v>28.182319718343539</v>
      </c>
      <c r="V248" s="481">
        <v>14.407110787566008</v>
      </c>
      <c r="W248" s="481">
        <v>6.5961235315382805</v>
      </c>
      <c r="X248" s="481">
        <v>13.018176544392439</v>
      </c>
      <c r="Y248" s="481">
        <v>0</v>
      </c>
      <c r="Z248" s="481">
        <v>3219.5422490883107</v>
      </c>
      <c r="AA248" s="481">
        <v>1973.7133745633769</v>
      </c>
      <c r="AB248" s="481">
        <v>811.49403263444276</v>
      </c>
      <c r="AC248" s="481">
        <v>0</v>
      </c>
      <c r="AD248" s="481">
        <v>0</v>
      </c>
      <c r="AE248" s="481">
        <v>330.67627813039439</v>
      </c>
      <c r="AF248" s="481">
        <v>625.4772996711705</v>
      </c>
      <c r="AG248" s="481">
        <v>412.32624232904573</v>
      </c>
      <c r="AH248" s="700">
        <f t="shared" si="18"/>
        <v>13744.208077634861</v>
      </c>
      <c r="AI248" s="482">
        <f t="shared" si="19"/>
        <v>14156.534319963906</v>
      </c>
      <c r="AJ248" s="482"/>
      <c r="AK248" s="482"/>
      <c r="AL248" s="585">
        <v>8.6999999999999993</v>
      </c>
      <c r="AM248" s="585">
        <v>2629.3489002198608</v>
      </c>
      <c r="AN248" s="581">
        <v>0</v>
      </c>
      <c r="AO248" s="581">
        <f t="shared" si="20"/>
        <v>2638.0489002198606</v>
      </c>
    </row>
    <row r="249" spans="1:41" x14ac:dyDescent="0.3">
      <c r="A249" s="476">
        <v>150000882</v>
      </c>
      <c r="B249" s="477" t="s">
        <v>330</v>
      </c>
      <c r="C249" s="478">
        <v>2322.87</v>
      </c>
      <c r="D249" s="479"/>
      <c r="E249" s="480">
        <v>686.9</v>
      </c>
      <c r="F249" s="480">
        <v>3009.77</v>
      </c>
      <c r="G249" s="481">
        <v>723.19274068510254</v>
      </c>
      <c r="H249" s="481">
        <v>145.55632029371478</v>
      </c>
      <c r="I249" s="481">
        <v>360.86</v>
      </c>
      <c r="J249" s="481">
        <v>0</v>
      </c>
      <c r="K249" s="481">
        <v>0</v>
      </c>
      <c r="L249" s="481">
        <v>487.6151182146321</v>
      </c>
      <c r="M249" s="587">
        <f t="shared" si="16"/>
        <v>0</v>
      </c>
      <c r="N249" s="481">
        <v>1072.4391228076231</v>
      </c>
      <c r="O249" s="481">
        <v>0</v>
      </c>
      <c r="P249" s="481">
        <v>0</v>
      </c>
      <c r="Q249" s="481">
        <v>580.04830627236049</v>
      </c>
      <c r="R249" s="587">
        <f t="shared" si="17"/>
        <v>2727.8559936222091</v>
      </c>
      <c r="S249" s="481">
        <v>121.6559452989076</v>
      </c>
      <c r="T249" s="481">
        <v>187.59990222754016</v>
      </c>
      <c r="U249" s="481">
        <v>178.49528060048499</v>
      </c>
      <c r="V249" s="481">
        <v>0</v>
      </c>
      <c r="W249" s="481">
        <v>0</v>
      </c>
      <c r="X249" s="481">
        <v>60.641629162773675</v>
      </c>
      <c r="Y249" s="481">
        <v>0</v>
      </c>
      <c r="Z249" s="481">
        <v>2192.0940759732757</v>
      </c>
      <c r="AA249" s="481">
        <v>1100.1630044803487</v>
      </c>
      <c r="AB249" s="481">
        <v>774.36153914294107</v>
      </c>
      <c r="AC249" s="481">
        <v>43.874770326061096</v>
      </c>
      <c r="AD249" s="481">
        <v>5.401250134837067</v>
      </c>
      <c r="AE249" s="481">
        <v>341.59483448375647</v>
      </c>
      <c r="AF249" s="481">
        <v>0</v>
      </c>
      <c r="AG249" s="481">
        <v>666.20699002359424</v>
      </c>
      <c r="AH249" s="700">
        <f t="shared" si="18"/>
        <v>11103.44983372657</v>
      </c>
      <c r="AI249" s="482">
        <f t="shared" si="19"/>
        <v>11769.656823750165</v>
      </c>
      <c r="AJ249" s="482"/>
      <c r="AK249" s="482"/>
      <c r="AL249" s="585">
        <v>90.12</v>
      </c>
      <c r="AM249" s="585">
        <v>2637.7359936222092</v>
      </c>
      <c r="AN249" s="581">
        <v>0</v>
      </c>
      <c r="AO249" s="581">
        <f t="shared" si="20"/>
        <v>2727.8559936222091</v>
      </c>
    </row>
    <row r="250" spans="1:41" x14ac:dyDescent="0.3">
      <c r="A250" s="476">
        <v>150000883</v>
      </c>
      <c r="B250" s="477" t="s">
        <v>331</v>
      </c>
      <c r="C250" s="478">
        <v>1851.94</v>
      </c>
      <c r="D250" s="479"/>
      <c r="E250" s="480"/>
      <c r="F250" s="480">
        <v>1851.94</v>
      </c>
      <c r="G250" s="481">
        <v>518.50965641020423</v>
      </c>
      <c r="H250" s="481">
        <v>86.57424761922293</v>
      </c>
      <c r="I250" s="481">
        <v>228.91</v>
      </c>
      <c r="J250" s="481">
        <v>0</v>
      </c>
      <c r="K250" s="481">
        <v>0</v>
      </c>
      <c r="L250" s="481">
        <v>271.55500097984384</v>
      </c>
      <c r="M250" s="587">
        <f t="shared" si="16"/>
        <v>0</v>
      </c>
      <c r="N250" s="481">
        <v>659.88195413348842</v>
      </c>
      <c r="O250" s="481">
        <v>0</v>
      </c>
      <c r="P250" s="481">
        <v>0</v>
      </c>
      <c r="Q250" s="481">
        <v>473.50882144682487</v>
      </c>
      <c r="R250" s="587">
        <f t="shared" si="17"/>
        <v>1725.736370311449</v>
      </c>
      <c r="S250" s="481">
        <v>84.288050974095853</v>
      </c>
      <c r="T250" s="481">
        <v>111.57423670806077</v>
      </c>
      <c r="U250" s="481">
        <v>99.746403592700247</v>
      </c>
      <c r="V250" s="481">
        <v>0</v>
      </c>
      <c r="W250" s="481">
        <v>0</v>
      </c>
      <c r="X250" s="481">
        <v>32.473376971596629</v>
      </c>
      <c r="Y250" s="481">
        <v>0</v>
      </c>
      <c r="Z250" s="481">
        <v>2039.4298339202246</v>
      </c>
      <c r="AA250" s="481">
        <v>673.19193132540477</v>
      </c>
      <c r="AB250" s="481">
        <v>496.69779079077296</v>
      </c>
      <c r="AC250" s="481">
        <v>0</v>
      </c>
      <c r="AD250" s="481">
        <v>0</v>
      </c>
      <c r="AE250" s="481">
        <v>48.353606707746344</v>
      </c>
      <c r="AF250" s="481">
        <v>0</v>
      </c>
      <c r="AG250" s="481">
        <v>181.21035076539928</v>
      </c>
      <c r="AH250" s="700">
        <f t="shared" si="18"/>
        <v>7550.4312818916351</v>
      </c>
      <c r="AI250" s="482">
        <f t="shared" si="19"/>
        <v>7731.6416326570343</v>
      </c>
      <c r="AJ250" s="482"/>
      <c r="AK250" s="482"/>
      <c r="AL250" s="585">
        <v>65.69</v>
      </c>
      <c r="AM250" s="585">
        <v>1660.046370311449</v>
      </c>
      <c r="AN250" s="581">
        <v>0</v>
      </c>
      <c r="AO250" s="581">
        <f t="shared" si="20"/>
        <v>1725.736370311449</v>
      </c>
    </row>
    <row r="251" spans="1:41" x14ac:dyDescent="0.3">
      <c r="A251" s="476">
        <v>150000884</v>
      </c>
      <c r="B251" s="477" t="s">
        <v>332</v>
      </c>
      <c r="C251" s="478">
        <v>2555.1</v>
      </c>
      <c r="D251" s="479"/>
      <c r="E251" s="480">
        <v>845.25</v>
      </c>
      <c r="F251" s="480">
        <v>3400.35</v>
      </c>
      <c r="G251" s="481">
        <v>930.46467674863311</v>
      </c>
      <c r="H251" s="481">
        <v>190.70496047565265</v>
      </c>
      <c r="I251" s="481">
        <v>391.89</v>
      </c>
      <c r="J251" s="481">
        <v>0</v>
      </c>
      <c r="K251" s="481">
        <v>0</v>
      </c>
      <c r="L251" s="481">
        <v>635.81791348282093</v>
      </c>
      <c r="M251" s="587">
        <f t="shared" si="16"/>
        <v>0</v>
      </c>
      <c r="N251" s="481">
        <v>1211.6103128275254</v>
      </c>
      <c r="O251" s="481">
        <v>0</v>
      </c>
      <c r="P251" s="481">
        <v>0</v>
      </c>
      <c r="Q251" s="481">
        <v>757.61411431491979</v>
      </c>
      <c r="R251" s="587">
        <f t="shared" si="17"/>
        <v>3621.1806803103077</v>
      </c>
      <c r="S251" s="481">
        <v>154.90307360373467</v>
      </c>
      <c r="T251" s="481">
        <v>245.78571766970759</v>
      </c>
      <c r="U251" s="481">
        <v>182.97205643540269</v>
      </c>
      <c r="V251" s="481">
        <v>0</v>
      </c>
      <c r="W251" s="481">
        <v>0</v>
      </c>
      <c r="X251" s="481">
        <v>87.734763509482079</v>
      </c>
      <c r="Y251" s="481">
        <v>0</v>
      </c>
      <c r="Z251" s="481">
        <v>1480.0874452051441</v>
      </c>
      <c r="AA251" s="481">
        <v>1758.7847186869481</v>
      </c>
      <c r="AB251" s="481">
        <v>858.48740445174508</v>
      </c>
      <c r="AC251" s="481">
        <v>58.336286802248821</v>
      </c>
      <c r="AD251" s="481">
        <v>7.1815504586101779</v>
      </c>
      <c r="AE251" s="481">
        <v>425.82369778112098</v>
      </c>
      <c r="AF251" s="481">
        <v>0</v>
      </c>
      <c r="AG251" s="481">
        <v>0</v>
      </c>
      <c r="AH251" s="700">
        <f t="shared" si="18"/>
        <v>12999.379372764006</v>
      </c>
      <c r="AI251" s="482">
        <f t="shared" si="19"/>
        <v>12999.379372764006</v>
      </c>
      <c r="AJ251" s="482"/>
      <c r="AK251" s="482"/>
      <c r="AL251" s="585">
        <v>100.88</v>
      </c>
      <c r="AM251" s="585">
        <v>3520.3006803103076</v>
      </c>
      <c r="AN251" s="581">
        <v>0</v>
      </c>
      <c r="AO251" s="581">
        <f t="shared" si="20"/>
        <v>3621.1806803103077</v>
      </c>
    </row>
    <row r="252" spans="1:41" x14ac:dyDescent="0.3">
      <c r="A252" s="476">
        <v>150000885</v>
      </c>
      <c r="B252" s="477" t="s">
        <v>238</v>
      </c>
      <c r="C252" s="478">
        <v>1448.4</v>
      </c>
      <c r="D252" s="479"/>
      <c r="E252" s="480">
        <v>46.2</v>
      </c>
      <c r="F252" s="480">
        <v>1494.6000000000001</v>
      </c>
      <c r="G252" s="481">
        <v>447.85780446600506</v>
      </c>
      <c r="H252" s="481">
        <v>77.57415052703638</v>
      </c>
      <c r="I252" s="481">
        <v>181.62</v>
      </c>
      <c r="J252" s="481">
        <v>0</v>
      </c>
      <c r="K252" s="481">
        <v>0</v>
      </c>
      <c r="L252" s="481">
        <v>256.56583895826856</v>
      </c>
      <c r="M252" s="587">
        <f t="shared" si="16"/>
        <v>0</v>
      </c>
      <c r="N252" s="481">
        <v>532.55481746056137</v>
      </c>
      <c r="O252" s="481">
        <v>0</v>
      </c>
      <c r="P252" s="481">
        <v>0</v>
      </c>
      <c r="Q252" s="481">
        <v>378.80705715745989</v>
      </c>
      <c r="R252" s="587">
        <f t="shared" si="17"/>
        <v>1682.3917583750954</v>
      </c>
      <c r="S252" s="481">
        <v>74.334475031666486</v>
      </c>
      <c r="T252" s="481">
        <v>99.99339749450769</v>
      </c>
      <c r="U252" s="481">
        <v>75.576032995673771</v>
      </c>
      <c r="V252" s="481">
        <v>0</v>
      </c>
      <c r="W252" s="481">
        <v>0</v>
      </c>
      <c r="X252" s="481">
        <v>30.028084905287486</v>
      </c>
      <c r="Y252" s="481">
        <v>0</v>
      </c>
      <c r="Z252" s="481">
        <v>1675.1139946708024</v>
      </c>
      <c r="AA252" s="481">
        <v>791.43852443740548</v>
      </c>
      <c r="AB252" s="481">
        <v>456.42826035627627</v>
      </c>
      <c r="AC252" s="481">
        <v>20.589277694911353</v>
      </c>
      <c r="AD252" s="481">
        <v>2.5346648677447683</v>
      </c>
      <c r="AE252" s="481">
        <v>140.38143882894101</v>
      </c>
      <c r="AF252" s="481">
        <v>0</v>
      </c>
      <c r="AG252" s="481">
        <v>207.71368734682929</v>
      </c>
      <c r="AH252" s="700">
        <f t="shared" si="18"/>
        <v>6923.7895782276428</v>
      </c>
      <c r="AI252" s="482">
        <f t="shared" si="19"/>
        <v>7131.5032655744717</v>
      </c>
      <c r="AJ252" s="482"/>
      <c r="AK252" s="482"/>
      <c r="AL252" s="585">
        <v>65.69</v>
      </c>
      <c r="AM252" s="585">
        <v>1616.7017583750953</v>
      </c>
      <c r="AN252" s="581">
        <v>0</v>
      </c>
      <c r="AO252" s="581">
        <f t="shared" si="20"/>
        <v>1682.3917583750954</v>
      </c>
    </row>
    <row r="253" spans="1:41" x14ac:dyDescent="0.3">
      <c r="A253" s="476">
        <v>150000886</v>
      </c>
      <c r="B253" s="477" t="s">
        <v>396</v>
      </c>
      <c r="C253" s="478">
        <v>2133.27</v>
      </c>
      <c r="D253" s="479"/>
      <c r="E253" s="480"/>
      <c r="F253" s="480">
        <v>2133.27</v>
      </c>
      <c r="G253" s="481">
        <v>570.71239253270585</v>
      </c>
      <c r="H253" s="481">
        <v>82.925210544422796</v>
      </c>
      <c r="I253" s="481">
        <v>240.54</v>
      </c>
      <c r="J253" s="481">
        <v>60.88</v>
      </c>
      <c r="K253" s="481">
        <v>32.51454535665566</v>
      </c>
      <c r="L253" s="481">
        <v>335.57692542577161</v>
      </c>
      <c r="M253" s="587">
        <f t="shared" si="16"/>
        <v>0</v>
      </c>
      <c r="N253" s="481">
        <v>760.12526123651242</v>
      </c>
      <c r="O253" s="481">
        <v>2400.3777659824486</v>
      </c>
      <c r="P253" s="481">
        <v>0</v>
      </c>
      <c r="Q253" s="481">
        <v>189.40352857872995</v>
      </c>
      <c r="R253" s="587">
        <f t="shared" si="17"/>
        <v>2626.3864616412138</v>
      </c>
      <c r="S253" s="481">
        <v>36.072648069418491</v>
      </c>
      <c r="T253" s="481">
        <v>42.436405016988978</v>
      </c>
      <c r="U253" s="481">
        <v>54.747208318252781</v>
      </c>
      <c r="V253" s="481">
        <v>28.843064391211907</v>
      </c>
      <c r="W253" s="481">
        <v>13.192247063076561</v>
      </c>
      <c r="X253" s="481">
        <v>26.553615694113113</v>
      </c>
      <c r="Y253" s="481">
        <v>0</v>
      </c>
      <c r="Z253" s="481">
        <v>3522.5461503691618</v>
      </c>
      <c r="AA253" s="481">
        <v>1608.9016545506465</v>
      </c>
      <c r="AB253" s="481">
        <v>443.61673784016193</v>
      </c>
      <c r="AC253" s="481">
        <v>12.255522437447233</v>
      </c>
      <c r="AD253" s="481">
        <v>1.5087290879433146</v>
      </c>
      <c r="AE253" s="481">
        <v>793.93502626589975</v>
      </c>
      <c r="AF253" s="481">
        <v>165.3381390651972</v>
      </c>
      <c r="AG253" s="481">
        <v>252.88900631042361</v>
      </c>
      <c r="AH253" s="700">
        <f t="shared" si="18"/>
        <v>14049.389239467982</v>
      </c>
      <c r="AI253" s="482">
        <f t="shared" si="19"/>
        <v>14302.278245778405</v>
      </c>
      <c r="AJ253" s="482"/>
      <c r="AK253" s="482"/>
      <c r="AL253" s="585">
        <v>25</v>
      </c>
      <c r="AM253" s="585">
        <v>2601.3864616412138</v>
      </c>
      <c r="AN253" s="581">
        <v>0</v>
      </c>
      <c r="AO253" s="581">
        <f t="shared" si="20"/>
        <v>2626.3864616412138</v>
      </c>
    </row>
    <row r="254" spans="1:41" x14ac:dyDescent="0.3">
      <c r="A254" s="476">
        <v>150000887</v>
      </c>
      <c r="B254" s="477" t="s">
        <v>397</v>
      </c>
      <c r="C254" s="478">
        <v>6420.63</v>
      </c>
      <c r="D254" s="479">
        <v>653.79999999999995</v>
      </c>
      <c r="E254" s="480"/>
      <c r="F254" s="480">
        <v>6420.63</v>
      </c>
      <c r="G254" s="481">
        <v>1945.8379566344115</v>
      </c>
      <c r="H254" s="481">
        <v>300.08858983044786</v>
      </c>
      <c r="I254" s="481">
        <v>796.01</v>
      </c>
      <c r="J254" s="481">
        <v>168.89</v>
      </c>
      <c r="K254" s="481">
        <v>97.519365684823939</v>
      </c>
      <c r="L254" s="481">
        <v>862.71393119148013</v>
      </c>
      <c r="M254" s="587">
        <f t="shared" si="16"/>
        <v>0</v>
      </c>
      <c r="N254" s="481">
        <v>2287.7943514196463</v>
      </c>
      <c r="O254" s="481">
        <v>7201.1332979473464</v>
      </c>
      <c r="P254" s="481">
        <v>0</v>
      </c>
      <c r="Q254" s="481">
        <v>426.15793930214238</v>
      </c>
      <c r="R254" s="587">
        <f t="shared" si="17"/>
        <v>7923.7643337093605</v>
      </c>
      <c r="S254" s="481">
        <v>60.790037001279984</v>
      </c>
      <c r="T254" s="481">
        <v>79.650524317350431</v>
      </c>
      <c r="U254" s="481">
        <v>77.90235625479994</v>
      </c>
      <c r="V254" s="481">
        <v>32.917720568347377</v>
      </c>
      <c r="W254" s="481">
        <v>19.788362425549849</v>
      </c>
      <c r="X254" s="481">
        <v>46.321761609865284</v>
      </c>
      <c r="Y254" s="481">
        <v>0</v>
      </c>
      <c r="Z254" s="481">
        <v>5568.04371112836</v>
      </c>
      <c r="AA254" s="481">
        <v>4349.921493835529</v>
      </c>
      <c r="AB254" s="481">
        <v>1328.6862294334605</v>
      </c>
      <c r="AC254" s="481">
        <v>86.033767510879571</v>
      </c>
      <c r="AD254" s="481">
        <v>10.591278197362069</v>
      </c>
      <c r="AE254" s="481">
        <v>881.28347709279637</v>
      </c>
      <c r="AF254" s="481">
        <v>1235.3566616946807</v>
      </c>
      <c r="AG254" s="481">
        <v>1073.6159144036976</v>
      </c>
      <c r="AH254" s="700">
        <f t="shared" si="18"/>
        <v>35787.197146789913</v>
      </c>
      <c r="AI254" s="482">
        <f t="shared" si="19"/>
        <v>36860.813061193614</v>
      </c>
      <c r="AJ254" s="482"/>
      <c r="AK254" s="482"/>
      <c r="AL254" s="585">
        <v>100.13</v>
      </c>
      <c r="AM254" s="585">
        <v>7823.6343337093604</v>
      </c>
      <c r="AN254" s="581">
        <v>0</v>
      </c>
      <c r="AO254" s="581">
        <f t="shared" si="20"/>
        <v>7923.7643337093605</v>
      </c>
    </row>
    <row r="255" spans="1:41" x14ac:dyDescent="0.3">
      <c r="A255" s="476">
        <v>150000888</v>
      </c>
      <c r="B255" s="477" t="s">
        <v>313</v>
      </c>
      <c r="C255" s="478">
        <v>2586.9899999999998</v>
      </c>
      <c r="D255" s="479"/>
      <c r="E255" s="480">
        <v>787.57</v>
      </c>
      <c r="F255" s="480">
        <v>3374.56</v>
      </c>
      <c r="G255" s="481">
        <v>927.85472458529352</v>
      </c>
      <c r="H255" s="481">
        <v>190.26127237381124</v>
      </c>
      <c r="I255" s="481">
        <v>382.56</v>
      </c>
      <c r="J255" s="481">
        <v>0</v>
      </c>
      <c r="K255" s="481">
        <v>0</v>
      </c>
      <c r="L255" s="481">
        <v>632.29679228904968</v>
      </c>
      <c r="M255" s="587">
        <f t="shared" si="16"/>
        <v>0</v>
      </c>
      <c r="N255" s="481">
        <v>1202.4208382240811</v>
      </c>
      <c r="O255" s="481">
        <v>0</v>
      </c>
      <c r="P255" s="481">
        <v>0</v>
      </c>
      <c r="Q255" s="481">
        <v>757.61411431491979</v>
      </c>
      <c r="R255" s="587">
        <f t="shared" si="17"/>
        <v>2706.0569158194303</v>
      </c>
      <c r="S255" s="481">
        <v>154.31613824469676</v>
      </c>
      <c r="T255" s="481">
        <v>245.21278357122625</v>
      </c>
      <c r="U255" s="481">
        <v>196.12299768171044</v>
      </c>
      <c r="V255" s="481">
        <v>0</v>
      </c>
      <c r="W255" s="481">
        <v>0</v>
      </c>
      <c r="X255" s="481">
        <v>87.209303419794793</v>
      </c>
      <c r="Y255" s="481">
        <v>0</v>
      </c>
      <c r="Z255" s="481">
        <v>2864.9704701424771</v>
      </c>
      <c r="AA255" s="481">
        <v>1976.2393777982434</v>
      </c>
      <c r="AB255" s="481">
        <v>1184.8071055013324</v>
      </c>
      <c r="AC255" s="481">
        <v>65.199379367219279</v>
      </c>
      <c r="AD255" s="481">
        <v>8.0264387478584336</v>
      </c>
      <c r="AE255" s="481">
        <v>550.60719896240198</v>
      </c>
      <c r="AF255" s="481">
        <v>0</v>
      </c>
      <c r="AG255" s="481">
        <v>339.16262042504508</v>
      </c>
      <c r="AH255" s="700">
        <f t="shared" si="18"/>
        <v>14131.775851043545</v>
      </c>
      <c r="AI255" s="482">
        <f t="shared" si="19"/>
        <v>14470.938471468589</v>
      </c>
      <c r="AJ255" s="482"/>
      <c r="AK255" s="482"/>
      <c r="AL255" s="585">
        <v>99.5</v>
      </c>
      <c r="AM255" s="585">
        <v>2606.5569158194303</v>
      </c>
      <c r="AN255" s="581">
        <v>0</v>
      </c>
      <c r="AO255" s="581">
        <f t="shared" si="20"/>
        <v>2706.0569158194303</v>
      </c>
    </row>
    <row r="256" spans="1:41" x14ac:dyDescent="0.3">
      <c r="A256" s="476">
        <v>150000889</v>
      </c>
      <c r="B256" s="477" t="s">
        <v>427</v>
      </c>
      <c r="C256" s="478">
        <v>4414.38</v>
      </c>
      <c r="D256" s="479"/>
      <c r="E256" s="480">
        <v>841.8</v>
      </c>
      <c r="F256" s="480">
        <v>5256.18</v>
      </c>
      <c r="G256" s="481">
        <v>1844.7346786985072</v>
      </c>
      <c r="H256" s="481">
        <v>293.75139741048355</v>
      </c>
      <c r="I256" s="481">
        <v>568.88</v>
      </c>
      <c r="J256" s="481">
        <v>131.99</v>
      </c>
      <c r="K256" s="481">
        <v>73.878990818245256</v>
      </c>
      <c r="L256" s="481">
        <v>557.35501577370985</v>
      </c>
      <c r="M256" s="587">
        <f t="shared" si="16"/>
        <v>0</v>
      </c>
      <c r="N256" s="481">
        <v>1872.878349016361</v>
      </c>
      <c r="O256" s="481">
        <v>3909.18855740868</v>
      </c>
      <c r="P256" s="481">
        <v>0</v>
      </c>
      <c r="Q256" s="481">
        <v>355.13161608511865</v>
      </c>
      <c r="R256" s="587">
        <f t="shared" si="17"/>
        <v>6386.68212339194</v>
      </c>
      <c r="S256" s="481">
        <v>149.70157031962316</v>
      </c>
      <c r="T256" s="481">
        <v>191.11143788632458</v>
      </c>
      <c r="U256" s="481">
        <v>196.58645434204672</v>
      </c>
      <c r="V256" s="481">
        <v>75.628577162468176</v>
      </c>
      <c r="W256" s="481">
        <v>37.471346132036459</v>
      </c>
      <c r="X256" s="481">
        <v>161.03715249192527</v>
      </c>
      <c r="Y256" s="481">
        <v>0</v>
      </c>
      <c r="Z256" s="481">
        <v>4337.5046911035188</v>
      </c>
      <c r="AA256" s="481">
        <v>5237.8807252015704</v>
      </c>
      <c r="AB256" s="481">
        <v>439.28876966611165</v>
      </c>
      <c r="AC256" s="481">
        <v>67.650483854708725</v>
      </c>
      <c r="AD256" s="481">
        <v>8.3281845654470974</v>
      </c>
      <c r="AE256" s="481">
        <v>1258.7535681661709</v>
      </c>
      <c r="AF256" s="481">
        <v>2960.4885655258895</v>
      </c>
      <c r="AG256" s="481">
        <v>933.47706765062674</v>
      </c>
      <c r="AH256" s="700">
        <f t="shared" si="18"/>
        <v>31115.902255020883</v>
      </c>
      <c r="AI256" s="482">
        <f t="shared" si="19"/>
        <v>32049.37932267151</v>
      </c>
      <c r="AJ256" s="482" t="s">
        <v>1592</v>
      </c>
      <c r="AL256" s="585">
        <v>0</v>
      </c>
      <c r="AM256" s="585">
        <v>6386.68212339194</v>
      </c>
      <c r="AN256" s="581">
        <v>0</v>
      </c>
      <c r="AO256" s="581">
        <f t="shared" si="20"/>
        <v>6386.68212339194</v>
      </c>
    </row>
    <row r="257" spans="1:41" x14ac:dyDescent="0.3">
      <c r="A257" s="476">
        <v>150000890</v>
      </c>
      <c r="B257" s="477" t="s">
        <v>398</v>
      </c>
      <c r="C257" s="478">
        <v>8324.4</v>
      </c>
      <c r="D257" s="479">
        <v>801.12</v>
      </c>
      <c r="E257" s="480">
        <v>125.3</v>
      </c>
      <c r="F257" s="480">
        <v>8449.6999999999989</v>
      </c>
      <c r="G257" s="481">
        <v>1724.887795192356</v>
      </c>
      <c r="H257" s="481">
        <v>340.01005433086141</v>
      </c>
      <c r="I257" s="481">
        <v>1044.78</v>
      </c>
      <c r="J257" s="481">
        <v>246.15</v>
      </c>
      <c r="K257" s="481">
        <v>130.03387019615465</v>
      </c>
      <c r="L257" s="481">
        <v>1226.5963937672489</v>
      </c>
      <c r="M257" s="587">
        <f t="shared" si="16"/>
        <v>0</v>
      </c>
      <c r="N257" s="481">
        <v>3010.7911421761701</v>
      </c>
      <c r="O257" s="481">
        <v>5943.7946855534992</v>
      </c>
      <c r="P257" s="481">
        <v>0</v>
      </c>
      <c r="Q257" s="481">
        <v>560.31877204540945</v>
      </c>
      <c r="R257" s="587">
        <f t="shared" si="17"/>
        <v>9628.0824221150524</v>
      </c>
      <c r="S257" s="481">
        <v>142.97923610682477</v>
      </c>
      <c r="T257" s="481">
        <v>226.76299707256464</v>
      </c>
      <c r="U257" s="481">
        <v>254.45770931106847</v>
      </c>
      <c r="V257" s="481">
        <v>134.60538654216461</v>
      </c>
      <c r="W257" s="481">
        <v>65.961214892720321</v>
      </c>
      <c r="X257" s="481">
        <v>183.62367340343164</v>
      </c>
      <c r="Y257" s="481">
        <v>0</v>
      </c>
      <c r="Z257" s="481">
        <v>11768.310870741827</v>
      </c>
      <c r="AA257" s="481">
        <v>6627.6687132236766</v>
      </c>
      <c r="AB257" s="481">
        <v>1029.623628606581</v>
      </c>
      <c r="AC257" s="481">
        <v>150.00759463435415</v>
      </c>
      <c r="AD257" s="481">
        <v>18.466844036426171</v>
      </c>
      <c r="AE257" s="481">
        <v>1057.5401725113554</v>
      </c>
      <c r="AF257" s="481">
        <v>1353.9009878168977</v>
      </c>
      <c r="AG257" s="481">
        <v>1406.0806249282996</v>
      </c>
      <c r="AH257" s="700">
        <f t="shared" si="18"/>
        <v>46869.354164276643</v>
      </c>
      <c r="AI257" s="482">
        <f t="shared" si="19"/>
        <v>48275.434789204941</v>
      </c>
      <c r="AJ257" s="482"/>
      <c r="AK257" s="482"/>
      <c r="AL257" s="585">
        <v>133.34</v>
      </c>
      <c r="AM257" s="585">
        <v>9494.7424221150522</v>
      </c>
      <c r="AN257" s="581">
        <v>0</v>
      </c>
      <c r="AO257" s="581">
        <f t="shared" si="20"/>
        <v>9628.0824221150524</v>
      </c>
    </row>
    <row r="258" spans="1:41" x14ac:dyDescent="0.3">
      <c r="A258" s="476">
        <v>150000891</v>
      </c>
      <c r="B258" s="477" t="s">
        <v>189</v>
      </c>
      <c r="C258" s="478">
        <v>232.46</v>
      </c>
      <c r="D258" s="479"/>
      <c r="E258" s="480">
        <v>61.8</v>
      </c>
      <c r="F258" s="480">
        <v>294.26</v>
      </c>
      <c r="G258" s="481">
        <v>79.155413399561965</v>
      </c>
      <c r="H258" s="481">
        <v>25.520908868730579</v>
      </c>
      <c r="I258" s="481">
        <v>0</v>
      </c>
      <c r="J258" s="481">
        <v>0</v>
      </c>
      <c r="K258" s="481">
        <v>0</v>
      </c>
      <c r="L258" s="481">
        <v>2.421008240106258</v>
      </c>
      <c r="M258" s="587">
        <f t="shared" si="16"/>
        <v>0</v>
      </c>
      <c r="N258" s="481">
        <v>104.85051558005135</v>
      </c>
      <c r="O258" s="481">
        <v>0</v>
      </c>
      <c r="P258" s="481">
        <v>0</v>
      </c>
      <c r="Q258" s="481">
        <v>47.350882144682487</v>
      </c>
      <c r="R258" s="587">
        <f t="shared" si="17"/>
        <v>173.36225356303041</v>
      </c>
      <c r="S258" s="481">
        <v>17.792694697839849</v>
      </c>
      <c r="T258" s="481">
        <v>32.887636591021803</v>
      </c>
      <c r="U258" s="481">
        <v>0</v>
      </c>
      <c r="V258" s="481">
        <v>0</v>
      </c>
      <c r="W258" s="481">
        <v>0</v>
      </c>
      <c r="X258" s="481">
        <v>0</v>
      </c>
      <c r="Y258" s="481">
        <v>0</v>
      </c>
      <c r="Z258" s="481">
        <v>169.0612674693792</v>
      </c>
      <c r="AA258" s="481">
        <v>7.2153672669958748</v>
      </c>
      <c r="AB258" s="481">
        <v>135.41745174231008</v>
      </c>
      <c r="AC258" s="481">
        <v>0</v>
      </c>
      <c r="AD258" s="481">
        <v>0</v>
      </c>
      <c r="AE258" s="481">
        <v>0</v>
      </c>
      <c r="AF258" s="481">
        <v>0</v>
      </c>
      <c r="AG258" s="481">
        <v>14.310637192146775</v>
      </c>
      <c r="AH258" s="700">
        <f t="shared" si="18"/>
        <v>795.0353995637098</v>
      </c>
      <c r="AI258" s="482">
        <f t="shared" si="19"/>
        <v>809.34603675585663</v>
      </c>
      <c r="AJ258" s="482"/>
      <c r="AK258" s="482"/>
      <c r="AL258" s="585">
        <v>113.03399999999999</v>
      </c>
      <c r="AM258" s="585">
        <v>60.328253563030422</v>
      </c>
      <c r="AN258" s="581">
        <v>0</v>
      </c>
      <c r="AO258" s="581">
        <f t="shared" si="20"/>
        <v>173.36225356303041</v>
      </c>
    </row>
    <row r="259" spans="1:41" x14ac:dyDescent="0.3">
      <c r="A259" s="476">
        <v>150000892</v>
      </c>
      <c r="B259" s="477" t="s">
        <v>400</v>
      </c>
      <c r="C259" s="478">
        <v>4153.8999999999996</v>
      </c>
      <c r="D259" s="479">
        <v>391.15</v>
      </c>
      <c r="E259" s="480"/>
      <c r="F259" s="480">
        <v>4153.8999999999996</v>
      </c>
      <c r="G259" s="481">
        <v>1390.7382519370267</v>
      </c>
      <c r="H259" s="481">
        <v>226.92790768850614</v>
      </c>
      <c r="I259" s="481">
        <v>449.56</v>
      </c>
      <c r="J259" s="481">
        <v>111.24</v>
      </c>
      <c r="K259" s="481">
        <v>65.004820328168279</v>
      </c>
      <c r="L259" s="481">
        <v>487.38655709215146</v>
      </c>
      <c r="M259" s="587">
        <f t="shared" si="16"/>
        <v>0</v>
      </c>
      <c r="N259" s="481">
        <v>1480.1147171480163</v>
      </c>
      <c r="O259" s="481">
        <v>4800.7555319648973</v>
      </c>
      <c r="P259" s="481">
        <v>0</v>
      </c>
      <c r="Q259" s="481">
        <v>280.15938602270472</v>
      </c>
      <c r="R259" s="587">
        <f t="shared" si="17"/>
        <v>5357.1761569199534</v>
      </c>
      <c r="S259" s="481">
        <v>112.25788837353507</v>
      </c>
      <c r="T259" s="481">
        <v>150.06385378591031</v>
      </c>
      <c r="U259" s="481">
        <v>188.13846267120391</v>
      </c>
      <c r="V259" s="481">
        <v>62.566171058961658</v>
      </c>
      <c r="W259" s="481">
        <v>32.980617657691397</v>
      </c>
      <c r="X259" s="481">
        <v>62.914727752333334</v>
      </c>
      <c r="Y259" s="481">
        <v>0</v>
      </c>
      <c r="Z259" s="481">
        <v>4919.7803030086925</v>
      </c>
      <c r="AA259" s="481">
        <v>3309.6326632514147</v>
      </c>
      <c r="AB259" s="481">
        <v>431.84564670131198</v>
      </c>
      <c r="AC259" s="481">
        <v>119.05749827082489</v>
      </c>
      <c r="AD259" s="481">
        <v>14.656699597734127</v>
      </c>
      <c r="AE259" s="481">
        <v>907.79997109381861</v>
      </c>
      <c r="AF259" s="481">
        <v>589.60204308155221</v>
      </c>
      <c r="AG259" s="481">
        <v>306.60431850487686</v>
      </c>
      <c r="AH259" s="700">
        <f t="shared" si="18"/>
        <v>25550.359875406408</v>
      </c>
      <c r="AI259" s="482">
        <f t="shared" si="19"/>
        <v>25856.964193911284</v>
      </c>
      <c r="AJ259" s="482"/>
      <c r="AK259" s="482"/>
      <c r="AL259" s="585">
        <v>66.94</v>
      </c>
      <c r="AM259" s="585">
        <v>5290.2361569199538</v>
      </c>
      <c r="AN259" s="581">
        <v>0</v>
      </c>
      <c r="AO259" s="581">
        <f t="shared" si="20"/>
        <v>5357.1761569199534</v>
      </c>
    </row>
    <row r="260" spans="1:41" x14ac:dyDescent="0.3">
      <c r="A260" s="476">
        <v>150000893</v>
      </c>
      <c r="B260" s="477" t="s">
        <v>314</v>
      </c>
      <c r="C260" s="478">
        <v>2749.1</v>
      </c>
      <c r="D260" s="479"/>
      <c r="E260" s="480"/>
      <c r="F260" s="480">
        <v>2749.1</v>
      </c>
      <c r="G260" s="481">
        <v>880.02277221713848</v>
      </c>
      <c r="H260" s="481">
        <v>166.21966422225984</v>
      </c>
      <c r="I260" s="481">
        <v>332.47</v>
      </c>
      <c r="J260" s="481">
        <v>0</v>
      </c>
      <c r="K260" s="481">
        <v>59.112908977718426</v>
      </c>
      <c r="L260" s="481">
        <v>593.10074514503549</v>
      </c>
      <c r="M260" s="587">
        <f t="shared" si="16"/>
        <v>0</v>
      </c>
      <c r="N260" s="481">
        <v>979.55737232759861</v>
      </c>
      <c r="O260" s="481">
        <v>0</v>
      </c>
      <c r="P260" s="481">
        <v>0</v>
      </c>
      <c r="Q260" s="481">
        <v>426.15793930214238</v>
      </c>
      <c r="R260" s="587">
        <f t="shared" si="17"/>
        <v>4444.1435955090274</v>
      </c>
      <c r="S260" s="481">
        <v>146.87660318669305</v>
      </c>
      <c r="T260" s="481">
        <v>214.22856880012804</v>
      </c>
      <c r="U260" s="481">
        <v>135.22197275260763</v>
      </c>
      <c r="V260" s="481">
        <v>0</v>
      </c>
      <c r="W260" s="481">
        <v>59.973570119372766</v>
      </c>
      <c r="X260" s="481">
        <v>91.376169094201273</v>
      </c>
      <c r="Y260" s="481">
        <v>0</v>
      </c>
      <c r="Z260" s="481">
        <v>2573.2171866343115</v>
      </c>
      <c r="AA260" s="481">
        <v>1491.3258944823979</v>
      </c>
      <c r="AB260" s="481">
        <v>370.84982113683986</v>
      </c>
      <c r="AC260" s="481">
        <v>145.49756237737355</v>
      </c>
      <c r="AD260" s="481">
        <v>17.911631732063032</v>
      </c>
      <c r="AE260" s="481">
        <v>324.43710307133028</v>
      </c>
      <c r="AF260" s="481">
        <v>0</v>
      </c>
      <c r="AG260" s="481">
        <v>807.10206486529432</v>
      </c>
      <c r="AH260" s="700">
        <f t="shared" si="18"/>
        <v>13451.701081088238</v>
      </c>
      <c r="AI260" s="482">
        <f t="shared" si="19"/>
        <v>14258.803145953532</v>
      </c>
      <c r="AJ260" s="482"/>
      <c r="AK260" s="482"/>
      <c r="AL260" s="585">
        <v>75.650000000000006</v>
      </c>
      <c r="AM260" s="585">
        <v>4368.4935955090277</v>
      </c>
      <c r="AN260" s="581">
        <v>0</v>
      </c>
      <c r="AO260" s="581">
        <f t="shared" si="20"/>
        <v>4444.1435955090274</v>
      </c>
    </row>
    <row r="261" spans="1:41" x14ac:dyDescent="0.3">
      <c r="A261" s="476">
        <v>150000894</v>
      </c>
      <c r="B261" s="477" t="s">
        <v>315</v>
      </c>
      <c r="C261" s="478">
        <v>3582</v>
      </c>
      <c r="D261" s="479"/>
      <c r="E261" s="480">
        <v>646.09</v>
      </c>
      <c r="F261" s="480">
        <v>4228.09</v>
      </c>
      <c r="G261" s="481">
        <v>1226.7435915834458</v>
      </c>
      <c r="H261" s="481">
        <v>283.49308801352703</v>
      </c>
      <c r="I261" s="481">
        <v>468.55</v>
      </c>
      <c r="J261" s="481">
        <v>0</v>
      </c>
      <c r="K261" s="481">
        <v>88.645113504097054</v>
      </c>
      <c r="L261" s="481">
        <v>1088.3083729448406</v>
      </c>
      <c r="M261" s="587">
        <f t="shared" si="16"/>
        <v>0</v>
      </c>
      <c r="N261" s="481">
        <v>1506.5500456020504</v>
      </c>
      <c r="O261" s="481">
        <v>0</v>
      </c>
      <c r="P261" s="481">
        <v>0</v>
      </c>
      <c r="Q261" s="481">
        <v>710.2632321702373</v>
      </c>
      <c r="R261" s="587">
        <f t="shared" si="17"/>
        <v>4731.8042730377583</v>
      </c>
      <c r="S261" s="481">
        <v>217.08367405564661</v>
      </c>
      <c r="T261" s="481">
        <v>365.36702855559076</v>
      </c>
      <c r="U261" s="481">
        <v>178.67231461196195</v>
      </c>
      <c r="V261" s="481">
        <v>0</v>
      </c>
      <c r="W261" s="481">
        <v>89.936084793916109</v>
      </c>
      <c r="X261" s="481">
        <v>163.44044104798181</v>
      </c>
      <c r="Y261" s="481">
        <v>0</v>
      </c>
      <c r="Z261" s="481">
        <v>3167.6927087958602</v>
      </c>
      <c r="AA261" s="481">
        <v>2276.3391044653513</v>
      </c>
      <c r="AB261" s="481">
        <v>419.70790939814276</v>
      </c>
      <c r="AC261" s="481">
        <v>200.47338492727434</v>
      </c>
      <c r="AD261" s="481">
        <v>24.679488674759153</v>
      </c>
      <c r="AE261" s="481">
        <v>867.24533320990236</v>
      </c>
      <c r="AF261" s="481">
        <v>0</v>
      </c>
      <c r="AG261" s="481">
        <v>1084.4997113635407</v>
      </c>
      <c r="AH261" s="700">
        <f t="shared" si="18"/>
        <v>18074.995189392343</v>
      </c>
      <c r="AI261" s="482">
        <f t="shared" si="19"/>
        <v>19159.494900755883</v>
      </c>
      <c r="AJ261" s="482"/>
      <c r="AK261" s="482"/>
      <c r="AL261" s="585">
        <v>113.9</v>
      </c>
      <c r="AM261" s="585">
        <v>4617.9042730377587</v>
      </c>
      <c r="AN261" s="581">
        <v>0</v>
      </c>
      <c r="AO261" s="581">
        <f t="shared" si="20"/>
        <v>4731.8042730377583</v>
      </c>
    </row>
    <row r="262" spans="1:41" x14ac:dyDescent="0.3">
      <c r="A262" s="476">
        <v>150000895</v>
      </c>
      <c r="B262" s="477" t="s">
        <v>316</v>
      </c>
      <c r="C262" s="478">
        <v>2741.4</v>
      </c>
      <c r="D262" s="479"/>
      <c r="E262" s="480"/>
      <c r="F262" s="480">
        <v>2741.4</v>
      </c>
      <c r="G262" s="481">
        <v>872.19696699687267</v>
      </c>
      <c r="H262" s="481">
        <v>164.41966114195253</v>
      </c>
      <c r="I262" s="481">
        <v>330.42</v>
      </c>
      <c r="J262" s="481">
        <v>0</v>
      </c>
      <c r="K262" s="481">
        <v>0</v>
      </c>
      <c r="L262" s="481">
        <v>573.09077223254906</v>
      </c>
      <c r="M262" s="587">
        <f t="shared" ref="M262:M325" si="21">AN262</f>
        <v>0</v>
      </c>
      <c r="N262" s="481">
        <v>976.81371376045945</v>
      </c>
      <c r="O262" s="481">
        <v>0</v>
      </c>
      <c r="P262" s="481">
        <v>0</v>
      </c>
      <c r="Q262" s="481">
        <v>355.13161608511865</v>
      </c>
      <c r="R262" s="587">
        <f t="shared" ref="R262:R325" si="22">AO262</f>
        <v>3736.9003615899742</v>
      </c>
      <c r="S262" s="481">
        <v>145.18133440108824</v>
      </c>
      <c r="T262" s="481">
        <v>211.90753054225883</v>
      </c>
      <c r="U262" s="481">
        <v>130.86555441877127</v>
      </c>
      <c r="V262" s="481">
        <v>0</v>
      </c>
      <c r="W262" s="481">
        <v>0</v>
      </c>
      <c r="X262" s="481">
        <v>89.038822321432818</v>
      </c>
      <c r="Y262" s="481">
        <v>0</v>
      </c>
      <c r="Z262" s="481">
        <v>2302.7230488246341</v>
      </c>
      <c r="AA262" s="481">
        <v>1494.4592358158493</v>
      </c>
      <c r="AB262" s="481">
        <v>361.0108249632849</v>
      </c>
      <c r="AC262" s="481">
        <v>145.00243927090068</v>
      </c>
      <c r="AD262" s="481">
        <v>17.850679076910122</v>
      </c>
      <c r="AE262" s="481">
        <v>753.38038838198338</v>
      </c>
      <c r="AF262" s="481">
        <v>0</v>
      </c>
      <c r="AG262" s="481">
        <v>759.62357698944243</v>
      </c>
      <c r="AH262" s="700">
        <f t="shared" ref="AH262:AH325" si="23">SUM(G262:AG262)-AG262</f>
        <v>12660.39294982404</v>
      </c>
      <c r="AI262" s="482">
        <f t="shared" ref="AI262:AI325" si="24">G262+H262+I262+J262+K262+L262+M262+N262+O262+P262+Q262+R262+S262+T262+U262+V262+W262+X262+Y262+Z262+AA262+AB262+AC262+AD262+AE262+AF262+AG262</f>
        <v>13420.016526813482</v>
      </c>
      <c r="AJ262" s="482"/>
      <c r="AK262" s="482"/>
      <c r="AL262" s="585">
        <v>96.3</v>
      </c>
      <c r="AM262" s="585">
        <v>3640.600361589974</v>
      </c>
      <c r="AN262" s="581">
        <v>0</v>
      </c>
      <c r="AO262" s="581">
        <f t="shared" ref="AO262:AO325" si="25">AL262+AM262</f>
        <v>3736.9003615899742</v>
      </c>
    </row>
    <row r="263" spans="1:41" x14ac:dyDescent="0.3">
      <c r="A263" s="476">
        <v>150000896</v>
      </c>
      <c r="B263" s="477" t="s">
        <v>317</v>
      </c>
      <c r="C263" s="478">
        <v>2712.05</v>
      </c>
      <c r="D263" s="479"/>
      <c r="E263" s="480"/>
      <c r="F263" s="480">
        <v>2712.05</v>
      </c>
      <c r="G263" s="481">
        <v>883.50280728387486</v>
      </c>
      <c r="H263" s="481">
        <v>166.21966422225984</v>
      </c>
      <c r="I263" s="481">
        <v>339.47</v>
      </c>
      <c r="J263" s="481">
        <v>0</v>
      </c>
      <c r="K263" s="481">
        <v>0</v>
      </c>
      <c r="L263" s="481">
        <v>589.89321263523129</v>
      </c>
      <c r="M263" s="587">
        <f t="shared" si="21"/>
        <v>0</v>
      </c>
      <c r="N263" s="481">
        <v>966.35574246883129</v>
      </c>
      <c r="O263" s="481">
        <v>0</v>
      </c>
      <c r="P263" s="481">
        <v>0</v>
      </c>
      <c r="Q263" s="481">
        <v>355.13161608511865</v>
      </c>
      <c r="R263" s="587">
        <f t="shared" si="22"/>
        <v>3716.3759763889834</v>
      </c>
      <c r="S263" s="481">
        <v>147.71363374227175</v>
      </c>
      <c r="T263" s="481">
        <v>214.22856880012804</v>
      </c>
      <c r="U263" s="481">
        <v>154.28806345941237</v>
      </c>
      <c r="V263" s="481">
        <v>0</v>
      </c>
      <c r="W263" s="481">
        <v>0</v>
      </c>
      <c r="X263" s="481">
        <v>107.80290851904593</v>
      </c>
      <c r="Y263" s="481">
        <v>0</v>
      </c>
      <c r="Z263" s="481">
        <v>2598.2096892391883</v>
      </c>
      <c r="AA263" s="481">
        <v>1508.657745020085</v>
      </c>
      <c r="AB263" s="481">
        <v>421.66975792128426</v>
      </c>
      <c r="AC263" s="481">
        <v>145.09313013693779</v>
      </c>
      <c r="AD263" s="481">
        <v>17.861843672160905</v>
      </c>
      <c r="AE263" s="481">
        <v>1188.5628487517004</v>
      </c>
      <c r="AF263" s="481">
        <v>0</v>
      </c>
      <c r="AG263" s="481">
        <v>811.26223250079101</v>
      </c>
      <c r="AH263" s="700">
        <f t="shared" si="23"/>
        <v>13521.037208346515</v>
      </c>
      <c r="AI263" s="482">
        <f t="shared" si="24"/>
        <v>14332.299440847306</v>
      </c>
      <c r="AJ263" s="482"/>
      <c r="AK263" s="482"/>
      <c r="AL263" s="585">
        <v>65.7</v>
      </c>
      <c r="AM263" s="585">
        <v>3650.6759763889836</v>
      </c>
      <c r="AN263" s="581">
        <v>0</v>
      </c>
      <c r="AO263" s="581">
        <f t="shared" si="25"/>
        <v>3716.3759763889834</v>
      </c>
    </row>
    <row r="264" spans="1:41" x14ac:dyDescent="0.3">
      <c r="A264" s="476">
        <v>150000898</v>
      </c>
      <c r="B264" s="477" t="s">
        <v>190</v>
      </c>
      <c r="C264" s="478">
        <v>472.1</v>
      </c>
      <c r="D264" s="479"/>
      <c r="E264" s="480"/>
      <c r="F264" s="480">
        <v>472.1</v>
      </c>
      <c r="G264" s="481">
        <v>161.6994955715686</v>
      </c>
      <c r="H264" s="481">
        <v>36.740508448572683</v>
      </c>
      <c r="I264" s="481">
        <v>53.61</v>
      </c>
      <c r="J264" s="481">
        <v>0</v>
      </c>
      <c r="K264" s="481">
        <v>0</v>
      </c>
      <c r="L264" s="481">
        <v>61.680549980299915</v>
      </c>
      <c r="M264" s="587">
        <f t="shared" si="21"/>
        <v>0</v>
      </c>
      <c r="N264" s="481">
        <v>168.218338902135</v>
      </c>
      <c r="O264" s="481">
        <v>0</v>
      </c>
      <c r="P264" s="481">
        <v>0</v>
      </c>
      <c r="Q264" s="481">
        <v>126.26901905248663</v>
      </c>
      <c r="R264" s="587">
        <f t="shared" si="22"/>
        <v>586.12580342981812</v>
      </c>
      <c r="S264" s="481">
        <v>30.214992328529412</v>
      </c>
      <c r="T264" s="481">
        <v>47.362489006250357</v>
      </c>
      <c r="U264" s="481">
        <v>15.751031814435738</v>
      </c>
      <c r="V264" s="481">
        <v>0</v>
      </c>
      <c r="W264" s="481">
        <v>0</v>
      </c>
      <c r="X264" s="481">
        <v>4.9307141512896964</v>
      </c>
      <c r="Y264" s="481">
        <v>0</v>
      </c>
      <c r="Z264" s="481">
        <v>398.58466148492374</v>
      </c>
      <c r="AA264" s="481">
        <v>307.44700733631447</v>
      </c>
      <c r="AB264" s="481">
        <v>45.578422870117805</v>
      </c>
      <c r="AC264" s="481">
        <v>0</v>
      </c>
      <c r="AD264" s="481">
        <v>0</v>
      </c>
      <c r="AE264" s="481">
        <v>107.62576976885478</v>
      </c>
      <c r="AF264" s="481">
        <v>0</v>
      </c>
      <c r="AG264" s="481">
        <v>0</v>
      </c>
      <c r="AH264" s="700">
        <f t="shared" si="23"/>
        <v>2151.8388041455969</v>
      </c>
      <c r="AI264" s="482">
        <f t="shared" si="24"/>
        <v>2151.8388041455969</v>
      </c>
      <c r="AJ264" s="482"/>
      <c r="AK264" s="482"/>
      <c r="AL264" s="585">
        <v>70.790000000000006</v>
      </c>
      <c r="AM264" s="585">
        <v>515.33580342981816</v>
      </c>
      <c r="AN264" s="581">
        <v>0</v>
      </c>
      <c r="AO264" s="581">
        <f t="shared" si="25"/>
        <v>586.12580342981812</v>
      </c>
    </row>
    <row r="265" spans="1:41" x14ac:dyDescent="0.3">
      <c r="A265" s="476">
        <v>150000899</v>
      </c>
      <c r="B265" s="477" t="s">
        <v>402</v>
      </c>
      <c r="C265" s="478">
        <v>6212</v>
      </c>
      <c r="D265" s="479">
        <v>656.15</v>
      </c>
      <c r="E265" s="480"/>
      <c r="F265" s="480">
        <v>6212</v>
      </c>
      <c r="G265" s="481">
        <v>2129.8036384802017</v>
      </c>
      <c r="H265" s="481">
        <v>344.34989465402793</v>
      </c>
      <c r="I265" s="481">
        <v>666.6</v>
      </c>
      <c r="J265" s="481">
        <v>163.18</v>
      </c>
      <c r="K265" s="481">
        <v>97.519365684823939</v>
      </c>
      <c r="L265" s="481">
        <v>816.08103013659138</v>
      </c>
      <c r="M265" s="587">
        <f t="shared" si="21"/>
        <v>0</v>
      </c>
      <c r="N265" s="481">
        <v>2213.4554570219502</v>
      </c>
      <c r="O265" s="481">
        <v>7249.4646218870248</v>
      </c>
      <c r="P265" s="481">
        <v>0</v>
      </c>
      <c r="Q265" s="481">
        <v>441.94156668370323</v>
      </c>
      <c r="R265" s="587">
        <f t="shared" si="22"/>
        <v>8361.9696918390164</v>
      </c>
      <c r="S265" s="481">
        <v>170.48441579100214</v>
      </c>
      <c r="T265" s="481">
        <v>227.6583991858875</v>
      </c>
      <c r="U265" s="481">
        <v>277.94233068405396</v>
      </c>
      <c r="V265" s="481">
        <v>90.825612432285368</v>
      </c>
      <c r="W265" s="481">
        <v>49.470906063874629</v>
      </c>
      <c r="X265" s="481">
        <v>70.081899176195108</v>
      </c>
      <c r="Y265" s="481">
        <v>0</v>
      </c>
      <c r="Z265" s="481">
        <v>7992.6970036472349</v>
      </c>
      <c r="AA265" s="481">
        <v>4194.2736064966093</v>
      </c>
      <c r="AB265" s="481">
        <v>400.33705609965841</v>
      </c>
      <c r="AC265" s="481">
        <v>161.28267527680558</v>
      </c>
      <c r="AD265" s="481">
        <v>19.85487479733402</v>
      </c>
      <c r="AE265" s="481">
        <v>2882.498877287589</v>
      </c>
      <c r="AF265" s="481">
        <v>1240.036042988979</v>
      </c>
      <c r="AG265" s="481">
        <v>724.7125613936671</v>
      </c>
      <c r="AH265" s="700">
        <f t="shared" si="23"/>
        <v>40261.808966314842</v>
      </c>
      <c r="AI265" s="482">
        <f t="shared" si="24"/>
        <v>40986.521527708508</v>
      </c>
      <c r="AJ265" s="482"/>
      <c r="AK265" s="482"/>
      <c r="AL265" s="585">
        <v>75.709999999999994</v>
      </c>
      <c r="AM265" s="585">
        <v>8286.2596918390173</v>
      </c>
      <c r="AN265" s="581">
        <v>0</v>
      </c>
      <c r="AO265" s="581">
        <f t="shared" si="25"/>
        <v>8361.9696918390164</v>
      </c>
    </row>
    <row r="266" spans="1:41" x14ac:dyDescent="0.3">
      <c r="A266" s="476">
        <v>150000900</v>
      </c>
      <c r="B266" s="477" t="s">
        <v>425</v>
      </c>
      <c r="C266" s="478">
        <v>3895.01</v>
      </c>
      <c r="D266" s="479"/>
      <c r="E266" s="480">
        <v>462.8</v>
      </c>
      <c r="F266" s="480">
        <v>4357.8100000000004</v>
      </c>
      <c r="G266" s="481">
        <v>949.89103381566485</v>
      </c>
      <c r="H266" s="481">
        <v>122.50329526423818</v>
      </c>
      <c r="I266" s="481">
        <v>428.79</v>
      </c>
      <c r="J266" s="481">
        <v>109.05</v>
      </c>
      <c r="K266" s="481">
        <v>66.483875973397744</v>
      </c>
      <c r="L266" s="481">
        <v>465.94322063295516</v>
      </c>
      <c r="M266" s="587">
        <f t="shared" si="21"/>
        <v>0</v>
      </c>
      <c r="N266" s="481">
        <v>1552.7717844759861</v>
      </c>
      <c r="O266" s="481">
        <v>3153.4796197635815</v>
      </c>
      <c r="P266" s="481">
        <v>0</v>
      </c>
      <c r="Q266" s="481">
        <v>252.53803810497325</v>
      </c>
      <c r="R266" s="587">
        <f t="shared" si="22"/>
        <v>5622.9372530835062</v>
      </c>
      <c r="S266" s="481">
        <v>280.524269854512</v>
      </c>
      <c r="T266" s="481">
        <v>70.756811567256719</v>
      </c>
      <c r="U266" s="481">
        <v>178.31589835379077</v>
      </c>
      <c r="V266" s="481">
        <v>63.449600647184695</v>
      </c>
      <c r="W266" s="481">
        <v>33.735122980815945</v>
      </c>
      <c r="X266" s="481">
        <v>56.410000558422134</v>
      </c>
      <c r="Y266" s="481">
        <v>0</v>
      </c>
      <c r="Z266" s="481">
        <v>3787.187739966254</v>
      </c>
      <c r="AA266" s="481">
        <v>2584.5622003825783</v>
      </c>
      <c r="AB266" s="481">
        <v>140.65896565663672</v>
      </c>
      <c r="AC266" s="481">
        <v>96.328406358335243</v>
      </c>
      <c r="AD266" s="481">
        <v>11.858610631234454</v>
      </c>
      <c r="AE266" s="481">
        <v>1172.9649111040405</v>
      </c>
      <c r="AF266" s="481">
        <v>1759.4473666560607</v>
      </c>
      <c r="AG266" s="481">
        <v>688.81764077494279</v>
      </c>
      <c r="AH266" s="700">
        <f t="shared" si="23"/>
        <v>22960.588025831428</v>
      </c>
      <c r="AI266" s="482">
        <f t="shared" si="24"/>
        <v>23649.40566660637</v>
      </c>
      <c r="AJ266" s="482"/>
      <c r="AK266" s="482"/>
      <c r="AL266" s="585">
        <v>0</v>
      </c>
      <c r="AM266" s="585">
        <v>5622.9372530835062</v>
      </c>
      <c r="AN266" s="581">
        <v>0</v>
      </c>
      <c r="AO266" s="581">
        <f t="shared" si="25"/>
        <v>5622.9372530835062</v>
      </c>
    </row>
    <row r="267" spans="1:41" x14ac:dyDescent="0.3">
      <c r="A267" s="476">
        <v>150000901</v>
      </c>
      <c r="B267" s="477" t="s">
        <v>424</v>
      </c>
      <c r="C267" s="478">
        <v>8350.2999999999993</v>
      </c>
      <c r="D267" s="479"/>
      <c r="E267" s="480">
        <v>1605.3</v>
      </c>
      <c r="F267" s="480">
        <v>9955.5999999999985</v>
      </c>
      <c r="G267" s="481">
        <v>2870.8950625112293</v>
      </c>
      <c r="H267" s="481">
        <v>498.90659795720387</v>
      </c>
      <c r="I267" s="481">
        <v>973.48</v>
      </c>
      <c r="J267" s="481">
        <v>240.14</v>
      </c>
      <c r="K267" s="481">
        <v>138.88381114641354</v>
      </c>
      <c r="L267" s="481">
        <v>1212.2100605819007</v>
      </c>
      <c r="M267" s="587">
        <f t="shared" si="21"/>
        <v>0</v>
      </c>
      <c r="N267" s="481">
        <v>3547.3723676638319</v>
      </c>
      <c r="O267" s="481">
        <v>6913.7524381732437</v>
      </c>
      <c r="P267" s="481">
        <v>0</v>
      </c>
      <c r="Q267" s="481">
        <v>520.85970359150735</v>
      </c>
      <c r="R267" s="587">
        <f t="shared" si="22"/>
        <v>12785.966823071607</v>
      </c>
      <c r="S267" s="481">
        <v>238.32325111053197</v>
      </c>
      <c r="T267" s="481">
        <v>329.16968131919367</v>
      </c>
      <c r="U267" s="481">
        <v>384.63402233013994</v>
      </c>
      <c r="V267" s="481">
        <v>128.92024387365325</v>
      </c>
      <c r="W267" s="481">
        <v>70.451963789727856</v>
      </c>
      <c r="X267" s="481">
        <v>87.35891040695013</v>
      </c>
      <c r="Y267" s="481">
        <v>0</v>
      </c>
      <c r="Z267" s="481">
        <v>10124.780974793663</v>
      </c>
      <c r="AA267" s="481">
        <v>6720.5098572610696</v>
      </c>
      <c r="AB267" s="481">
        <v>378.69721522940659</v>
      </c>
      <c r="AC267" s="481">
        <v>200.69643543563586</v>
      </c>
      <c r="AD267" s="481">
        <v>24.706947544159718</v>
      </c>
      <c r="AE267" s="481">
        <v>1601.9081964146935</v>
      </c>
      <c r="AF267" s="481">
        <v>1435.0102635847304</v>
      </c>
      <c r="AG267" s="481">
        <v>308.56580896674302</v>
      </c>
      <c r="AH267" s="700">
        <f t="shared" si="23"/>
        <v>51427.634827790491</v>
      </c>
      <c r="AI267" s="482">
        <f t="shared" si="24"/>
        <v>51736.200636757232</v>
      </c>
      <c r="AJ267" s="482"/>
      <c r="AK267" s="482"/>
      <c r="AL267" s="585">
        <v>133.34</v>
      </c>
      <c r="AM267" s="585">
        <v>12652.626823071607</v>
      </c>
      <c r="AN267" s="581">
        <v>0</v>
      </c>
      <c r="AO267" s="581">
        <f t="shared" si="25"/>
        <v>12785.966823071607</v>
      </c>
    </row>
    <row r="268" spans="1:41" x14ac:dyDescent="0.3">
      <c r="A268" s="476">
        <v>150000902</v>
      </c>
      <c r="B268" s="477" t="s">
        <v>403</v>
      </c>
      <c r="C268" s="478">
        <v>3581.3</v>
      </c>
      <c r="D268" s="479">
        <v>455.7</v>
      </c>
      <c r="E268" s="480"/>
      <c r="F268" s="480">
        <v>3581.3</v>
      </c>
      <c r="G268" s="481">
        <v>901.86094190785161</v>
      </c>
      <c r="H268" s="481">
        <v>227.19917068419932</v>
      </c>
      <c r="I268" s="481">
        <v>386.49</v>
      </c>
      <c r="J268" s="481">
        <v>95.33</v>
      </c>
      <c r="K268" s="481">
        <v>65.004820328168279</v>
      </c>
      <c r="L268" s="481">
        <v>768.33825812708847</v>
      </c>
      <c r="M268" s="587">
        <f t="shared" si="21"/>
        <v>0</v>
      </c>
      <c r="N268" s="481">
        <v>1276.0862891552979</v>
      </c>
      <c r="O268" s="481">
        <v>2871.3129277174098</v>
      </c>
      <c r="P268" s="481">
        <v>0</v>
      </c>
      <c r="Q268" s="481">
        <v>252.53803810497325</v>
      </c>
      <c r="R268" s="587">
        <f t="shared" si="22"/>
        <v>5646.3223575454622</v>
      </c>
      <c r="S268" s="481">
        <v>72.788123814466189</v>
      </c>
      <c r="T268" s="481">
        <v>150.23382237841824</v>
      </c>
      <c r="U268" s="481">
        <v>157.32703860570757</v>
      </c>
      <c r="V268" s="481">
        <v>54.693785037164652</v>
      </c>
      <c r="W268" s="481">
        <v>32.980617657691397</v>
      </c>
      <c r="X268" s="481">
        <v>106.21202791090296</v>
      </c>
      <c r="Y268" s="481">
        <v>0</v>
      </c>
      <c r="Z268" s="481">
        <v>3269.551522287652</v>
      </c>
      <c r="AA268" s="481">
        <v>4052.4193533451435</v>
      </c>
      <c r="AB268" s="481">
        <v>212.07044052846766</v>
      </c>
      <c r="AC268" s="481">
        <v>121.03553959222887</v>
      </c>
      <c r="AD268" s="481">
        <v>14.900208472528176</v>
      </c>
      <c r="AE268" s="481">
        <v>374.50648292031934</v>
      </c>
      <c r="AF268" s="481">
        <v>461.69895437073933</v>
      </c>
      <c r="AG268" s="481">
        <v>647.12702161475647</v>
      </c>
      <c r="AH268" s="700">
        <f t="shared" si="23"/>
        <v>21570.900720491882</v>
      </c>
      <c r="AI268" s="482">
        <f t="shared" si="24"/>
        <v>22218.027742106638</v>
      </c>
      <c r="AJ268" s="482"/>
      <c r="AK268" s="482"/>
      <c r="AL268" s="585">
        <v>50.66</v>
      </c>
      <c r="AM268" s="585">
        <v>5595.6623575454623</v>
      </c>
      <c r="AN268" s="581">
        <v>0</v>
      </c>
      <c r="AO268" s="581">
        <f t="shared" si="25"/>
        <v>5646.3223575454622</v>
      </c>
    </row>
    <row r="269" spans="1:41" x14ac:dyDescent="0.3">
      <c r="A269" s="476">
        <v>150000903</v>
      </c>
      <c r="B269" s="477" t="s">
        <v>404</v>
      </c>
      <c r="C269" s="478">
        <v>4073.8</v>
      </c>
      <c r="D269" s="479">
        <v>501.2</v>
      </c>
      <c r="E269" s="480"/>
      <c r="F269" s="480">
        <v>4073.8</v>
      </c>
      <c r="G269" s="481">
        <v>908.46021720348426</v>
      </c>
      <c r="H269" s="481">
        <v>130.09608588817568</v>
      </c>
      <c r="I269" s="481">
        <v>444.9</v>
      </c>
      <c r="J269" s="481">
        <v>114.89</v>
      </c>
      <c r="K269" s="481">
        <v>65.004820328168279</v>
      </c>
      <c r="L269" s="481">
        <v>774.4707168430516</v>
      </c>
      <c r="M269" s="587">
        <f t="shared" si="21"/>
        <v>0</v>
      </c>
      <c r="N269" s="481">
        <v>1451.5735416638797</v>
      </c>
      <c r="O269" s="481">
        <v>3456.5475482576176</v>
      </c>
      <c r="P269" s="481">
        <v>0</v>
      </c>
      <c r="Q269" s="481">
        <v>252.53803810497325</v>
      </c>
      <c r="R269" s="587">
        <f t="shared" si="22"/>
        <v>6183.2661875452286</v>
      </c>
      <c r="S269" s="481">
        <v>73.516382554676241</v>
      </c>
      <c r="T269" s="481">
        <v>87.665713458522063</v>
      </c>
      <c r="U269" s="481">
        <v>178.41110384676671</v>
      </c>
      <c r="V269" s="481">
        <v>66.013682739776854</v>
      </c>
      <c r="W269" s="481">
        <v>32.980617657691397</v>
      </c>
      <c r="X269" s="481">
        <v>90.4478667045572</v>
      </c>
      <c r="Y269" s="481">
        <v>0</v>
      </c>
      <c r="Z269" s="481">
        <v>4256.1686682047539</v>
      </c>
      <c r="AA269" s="481">
        <v>3758.8539808586766</v>
      </c>
      <c r="AB269" s="481">
        <v>551.81594219142096</v>
      </c>
      <c r="AC269" s="481">
        <v>141.40421788326617</v>
      </c>
      <c r="AD269" s="481">
        <v>17.407716216689963</v>
      </c>
      <c r="AE269" s="481">
        <v>658.23296873125662</v>
      </c>
      <c r="AF269" s="481">
        <v>655.11338120172479</v>
      </c>
      <c r="AG269" s="481">
        <v>292.19735277701233</v>
      </c>
      <c r="AH269" s="700">
        <f t="shared" si="23"/>
        <v>24349.77939808436</v>
      </c>
      <c r="AI269" s="482">
        <f t="shared" si="24"/>
        <v>24641.976750861373</v>
      </c>
      <c r="AJ269" s="482"/>
      <c r="AK269" s="482"/>
      <c r="AL269" s="585">
        <v>50.66</v>
      </c>
      <c r="AM269" s="585">
        <v>6132.6061875452287</v>
      </c>
      <c r="AN269" s="581">
        <v>0</v>
      </c>
      <c r="AO269" s="581">
        <f t="shared" si="25"/>
        <v>6183.2661875452286</v>
      </c>
    </row>
    <row r="270" spans="1:41" x14ac:dyDescent="0.3">
      <c r="A270" s="476">
        <v>150000904</v>
      </c>
      <c r="B270" s="477" t="s">
        <v>405</v>
      </c>
      <c r="C270" s="478">
        <v>4387.3</v>
      </c>
      <c r="D270" s="479">
        <v>446.3</v>
      </c>
      <c r="E270" s="480"/>
      <c r="F270" s="480">
        <v>4387.3</v>
      </c>
      <c r="G270" s="481">
        <v>1346.1681716970731</v>
      </c>
      <c r="H270" s="481">
        <v>230.13362426938943</v>
      </c>
      <c r="I270" s="481">
        <v>473.17</v>
      </c>
      <c r="J270" s="481">
        <v>114.07</v>
      </c>
      <c r="K270" s="481">
        <v>65.004820328168279</v>
      </c>
      <c r="L270" s="481">
        <v>509.82572565832919</v>
      </c>
      <c r="M270" s="587">
        <f t="shared" si="21"/>
        <v>0</v>
      </c>
      <c r="N270" s="481">
        <v>1563.2796404688349</v>
      </c>
      <c r="O270" s="481">
        <v>2272.3632634312953</v>
      </c>
      <c r="P270" s="481">
        <v>131.53517990591092</v>
      </c>
      <c r="Q270" s="481">
        <v>295.94301340426557</v>
      </c>
      <c r="R270" s="587">
        <f t="shared" si="22"/>
        <v>5765.1069907009442</v>
      </c>
      <c r="S270" s="481">
        <v>106.02210640591466</v>
      </c>
      <c r="T270" s="481">
        <v>152.13724419834182</v>
      </c>
      <c r="U270" s="481">
        <v>199.3986166751111</v>
      </c>
      <c r="V270" s="481">
        <v>66.303124485636502</v>
      </c>
      <c r="W270" s="481">
        <v>32.980617657691397</v>
      </c>
      <c r="X270" s="481">
        <v>80.631291315014053</v>
      </c>
      <c r="Y270" s="481">
        <v>0</v>
      </c>
      <c r="Z270" s="481">
        <v>4776.8190482866476</v>
      </c>
      <c r="AA270" s="481">
        <v>2851.2997750000509</v>
      </c>
      <c r="AB270" s="481">
        <v>476.0764991455398</v>
      </c>
      <c r="AC270" s="481">
        <v>132.3596423244301</v>
      </c>
      <c r="AD270" s="481">
        <v>16.294274149787796</v>
      </c>
      <c r="AE270" s="481">
        <v>549.04740519763595</v>
      </c>
      <c r="AF270" s="481">
        <v>517.85152990231575</v>
      </c>
      <c r="AG270" s="481">
        <v>409.02878888294987</v>
      </c>
      <c r="AH270" s="700">
        <f t="shared" si="23"/>
        <v>22723.821604608325</v>
      </c>
      <c r="AI270" s="482">
        <f t="shared" si="24"/>
        <v>23132.850393491277</v>
      </c>
      <c r="AJ270" s="482"/>
      <c r="AK270" s="482"/>
      <c r="AL270" s="585">
        <v>50.66</v>
      </c>
      <c r="AM270" s="585">
        <v>5714.4469907009443</v>
      </c>
      <c r="AN270" s="581">
        <v>0</v>
      </c>
      <c r="AO270" s="581">
        <f t="shared" si="25"/>
        <v>5765.1069907009442</v>
      </c>
    </row>
    <row r="271" spans="1:41" x14ac:dyDescent="0.3">
      <c r="A271" s="476">
        <v>150000905</v>
      </c>
      <c r="B271" s="477" t="s">
        <v>426</v>
      </c>
      <c r="C271" s="478">
        <v>5047.1000000000004</v>
      </c>
      <c r="D271" s="479"/>
      <c r="E271" s="480">
        <v>175.8</v>
      </c>
      <c r="F271" s="480">
        <v>5222.9000000000005</v>
      </c>
      <c r="G271" s="481">
        <v>977.43905716466122</v>
      </c>
      <c r="H271" s="481">
        <v>166.6884804610682</v>
      </c>
      <c r="I271" s="481">
        <v>556.64</v>
      </c>
      <c r="J271" s="481">
        <v>129.33000000000001</v>
      </c>
      <c r="K271" s="481">
        <v>66.483875973397744</v>
      </c>
      <c r="L271" s="481">
        <v>635.36075476026178</v>
      </c>
      <c r="M271" s="587">
        <f t="shared" si="21"/>
        <v>0</v>
      </c>
      <c r="N271" s="481">
        <v>1861.0200428976086</v>
      </c>
      <c r="O271" s="481">
        <v>3125.3921906137593</v>
      </c>
      <c r="P271" s="481">
        <v>0</v>
      </c>
      <c r="Q271" s="481">
        <v>264.37575864114388</v>
      </c>
      <c r="R271" s="587">
        <f t="shared" si="22"/>
        <v>6329.7760971887574</v>
      </c>
      <c r="S271" s="481">
        <v>91.697307957662701</v>
      </c>
      <c r="T271" s="481">
        <v>109.18093454649606</v>
      </c>
      <c r="U271" s="481">
        <v>261.00181600090679</v>
      </c>
      <c r="V271" s="481">
        <v>72.271890541945339</v>
      </c>
      <c r="W271" s="481">
        <v>33.735122980815945</v>
      </c>
      <c r="X271" s="481">
        <v>71.460347593821396</v>
      </c>
      <c r="Y271" s="481">
        <v>0</v>
      </c>
      <c r="Z271" s="481">
        <v>4237.8595026799585</v>
      </c>
      <c r="AA271" s="481">
        <v>4594.7309674815506</v>
      </c>
      <c r="AB271" s="481">
        <v>205.57848826739215</v>
      </c>
      <c r="AC271" s="481">
        <v>105.52004818642067</v>
      </c>
      <c r="AD271" s="481">
        <v>12.990157447191937</v>
      </c>
      <c r="AE271" s="481">
        <v>1043.5020286284614</v>
      </c>
      <c r="AF271" s="481">
        <v>1001.387596979779</v>
      </c>
      <c r="AG271" s="481">
        <v>778.60267400979183</v>
      </c>
      <c r="AH271" s="700">
        <f t="shared" si="23"/>
        <v>25953.422466993055</v>
      </c>
      <c r="AI271" s="482">
        <f t="shared" si="24"/>
        <v>26732.025141002847</v>
      </c>
      <c r="AJ271" s="482"/>
      <c r="AK271" s="482"/>
      <c r="AL271" s="585">
        <v>0</v>
      </c>
      <c r="AM271" s="585">
        <v>6329.7760971887574</v>
      </c>
      <c r="AN271" s="581">
        <v>0</v>
      </c>
      <c r="AO271" s="581">
        <f t="shared" si="25"/>
        <v>6329.7760971887574</v>
      </c>
    </row>
    <row r="272" spans="1:41" x14ac:dyDescent="0.3">
      <c r="A272" s="476">
        <v>150000906</v>
      </c>
      <c r="B272" s="477" t="s">
        <v>406</v>
      </c>
      <c r="C272" s="478">
        <v>3936.36</v>
      </c>
      <c r="D272" s="479">
        <v>436.6</v>
      </c>
      <c r="E272" s="480"/>
      <c r="F272" s="480">
        <v>3936.36</v>
      </c>
      <c r="G272" s="481">
        <v>884.74100203328737</v>
      </c>
      <c r="H272" s="481">
        <v>226.80488110446797</v>
      </c>
      <c r="I272" s="481">
        <v>418.87</v>
      </c>
      <c r="J272" s="481">
        <v>101.69</v>
      </c>
      <c r="K272" s="481">
        <v>65.004820328168279</v>
      </c>
      <c r="L272" s="481">
        <v>766.4088779768698</v>
      </c>
      <c r="M272" s="587">
        <f t="shared" si="21"/>
        <v>0</v>
      </c>
      <c r="N272" s="481">
        <v>1402.6010178369163</v>
      </c>
      <c r="O272" s="481">
        <v>3456.5475482576176</v>
      </c>
      <c r="P272" s="481">
        <v>0</v>
      </c>
      <c r="Q272" s="481">
        <v>284.10529286809492</v>
      </c>
      <c r="R272" s="587">
        <f t="shared" si="22"/>
        <v>6621.6779030087746</v>
      </c>
      <c r="S272" s="481">
        <v>40.439087512030049</v>
      </c>
      <c r="T272" s="481">
        <v>89.991716973385635</v>
      </c>
      <c r="U272" s="481">
        <v>107.00868391844469</v>
      </c>
      <c r="V272" s="481">
        <v>35.810629613009191</v>
      </c>
      <c r="W272" s="481">
        <v>19.78837059461484</v>
      </c>
      <c r="X272" s="481">
        <v>68.50822625647055</v>
      </c>
      <c r="Y272" s="481">
        <v>0</v>
      </c>
      <c r="Z272" s="481">
        <v>4017.9884350846596</v>
      </c>
      <c r="AA272" s="481">
        <v>3750.2629273895686</v>
      </c>
      <c r="AB272" s="481">
        <v>530.1761013211692</v>
      </c>
      <c r="AC272" s="481">
        <v>117.80008166874279</v>
      </c>
      <c r="AD272" s="481">
        <v>14.501903993311139</v>
      </c>
      <c r="AE272" s="481">
        <v>438.30204789924915</v>
      </c>
      <c r="AF272" s="481">
        <v>527.21029249091168</v>
      </c>
      <c r="AG272" s="481">
        <v>431.75231726633564</v>
      </c>
      <c r="AH272" s="700">
        <f t="shared" si="23"/>
        <v>23986.239848129761</v>
      </c>
      <c r="AI272" s="482">
        <f t="shared" si="24"/>
        <v>24417.992165396096</v>
      </c>
      <c r="AJ272" s="482"/>
      <c r="AK272" s="482"/>
      <c r="AL272" s="585">
        <v>50.66</v>
      </c>
      <c r="AM272" s="585">
        <v>6571.0179030087747</v>
      </c>
      <c r="AN272" s="581">
        <v>0</v>
      </c>
      <c r="AO272" s="581">
        <f t="shared" si="25"/>
        <v>6621.6779030087746</v>
      </c>
    </row>
    <row r="273" spans="1:41" x14ac:dyDescent="0.3">
      <c r="A273" s="476">
        <v>150000907</v>
      </c>
      <c r="B273" s="477" t="s">
        <v>407</v>
      </c>
      <c r="C273" s="478">
        <v>6307.74</v>
      </c>
      <c r="D273" s="479">
        <v>689.99</v>
      </c>
      <c r="E273" s="480"/>
      <c r="F273" s="480">
        <v>6307.74</v>
      </c>
      <c r="G273" s="481">
        <v>2114.5364624660597</v>
      </c>
      <c r="H273" s="481">
        <v>344.96600786201748</v>
      </c>
      <c r="I273" s="481">
        <v>684.54</v>
      </c>
      <c r="J273" s="481">
        <v>161.24</v>
      </c>
      <c r="K273" s="481">
        <v>97.519365684823939</v>
      </c>
      <c r="L273" s="481">
        <v>820.56627582644762</v>
      </c>
      <c r="M273" s="587">
        <f t="shared" si="21"/>
        <v>0</v>
      </c>
      <c r="N273" s="481">
        <v>2247.5694662710293</v>
      </c>
      <c r="O273" s="481">
        <v>7201.1332979473464</v>
      </c>
      <c r="P273" s="481">
        <v>0</v>
      </c>
      <c r="Q273" s="481">
        <v>426.15793930214238</v>
      </c>
      <c r="R273" s="587">
        <f t="shared" si="22"/>
        <v>9982.5534362905219</v>
      </c>
      <c r="S273" s="481">
        <v>170.33970502450393</v>
      </c>
      <c r="T273" s="481">
        <v>228.03715557470557</v>
      </c>
      <c r="U273" s="481">
        <v>575.2257109677754</v>
      </c>
      <c r="V273" s="481">
        <v>182.63940361081345</v>
      </c>
      <c r="W273" s="481">
        <v>49.470906063874629</v>
      </c>
      <c r="X273" s="481">
        <v>196.85570700418873</v>
      </c>
      <c r="Y273" s="481">
        <v>0</v>
      </c>
      <c r="Z273" s="481">
        <v>3183.6909513725363</v>
      </c>
      <c r="AA273" s="481">
        <v>3001.5211433370218</v>
      </c>
      <c r="AB273" s="481">
        <v>724.01325200755798</v>
      </c>
      <c r="AC273" s="481">
        <v>193.0244783897939</v>
      </c>
      <c r="AD273" s="481">
        <v>23.762483135107203</v>
      </c>
      <c r="AE273" s="481">
        <v>2484.7514672722559</v>
      </c>
      <c r="AF273" s="481">
        <v>963.95254662539492</v>
      </c>
      <c r="AG273" s="481">
        <v>649.0452089166464</v>
      </c>
      <c r="AH273" s="700">
        <f t="shared" si="23"/>
        <v>36058.067162035913</v>
      </c>
      <c r="AI273" s="482">
        <f t="shared" si="24"/>
        <v>36707.112370952556</v>
      </c>
      <c r="AJ273" s="482"/>
      <c r="AK273" s="482"/>
      <c r="AL273" s="585">
        <v>98.23</v>
      </c>
      <c r="AM273" s="585">
        <v>9884.3234362905223</v>
      </c>
      <c r="AN273" s="581">
        <v>0</v>
      </c>
      <c r="AO273" s="581">
        <f t="shared" si="25"/>
        <v>9982.5534362905219</v>
      </c>
    </row>
    <row r="274" spans="1:41" x14ac:dyDescent="0.3">
      <c r="A274" s="476">
        <v>150000908</v>
      </c>
      <c r="B274" s="477" t="s">
        <v>408</v>
      </c>
      <c r="C274" s="478">
        <v>6280.52</v>
      </c>
      <c r="D274" s="479">
        <v>653.29</v>
      </c>
      <c r="E274" s="480">
        <v>44.2</v>
      </c>
      <c r="F274" s="480">
        <v>6324.72</v>
      </c>
      <c r="G274" s="481">
        <v>2109.3346723958593</v>
      </c>
      <c r="H274" s="481">
        <v>345.65677026505892</v>
      </c>
      <c r="I274" s="481">
        <v>686.19</v>
      </c>
      <c r="J274" s="481">
        <v>161.16</v>
      </c>
      <c r="K274" s="481">
        <v>97.519365684823939</v>
      </c>
      <c r="L274" s="481">
        <v>826.19085529431447</v>
      </c>
      <c r="M274" s="587">
        <f t="shared" si="21"/>
        <v>0</v>
      </c>
      <c r="N274" s="481">
        <v>2253.6197678905132</v>
      </c>
      <c r="O274" s="481">
        <v>7201.1332979473464</v>
      </c>
      <c r="P274" s="481">
        <v>0</v>
      </c>
      <c r="Q274" s="481">
        <v>418.26612561136199</v>
      </c>
      <c r="R274" s="587">
        <f t="shared" si="22"/>
        <v>9822.2712143839217</v>
      </c>
      <c r="S274" s="481">
        <v>170.55096805841904</v>
      </c>
      <c r="T274" s="481">
        <v>228.49359121645389</v>
      </c>
      <c r="U274" s="481">
        <v>559.4724832921811</v>
      </c>
      <c r="V274" s="481">
        <v>182.67496179048493</v>
      </c>
      <c r="W274" s="481">
        <v>49.470906063874629</v>
      </c>
      <c r="X274" s="481">
        <v>197.72070818079445</v>
      </c>
      <c r="Y274" s="481">
        <v>0</v>
      </c>
      <c r="Z274" s="481">
        <v>3236.1863451389991</v>
      </c>
      <c r="AA274" s="481">
        <v>3300.088563270464</v>
      </c>
      <c r="AB274" s="481">
        <v>722.0514034844166</v>
      </c>
      <c r="AC274" s="481">
        <v>204.42211425661984</v>
      </c>
      <c r="AD274" s="481">
        <v>25.165601186894492</v>
      </c>
      <c r="AE274" s="481">
        <v>1609.7071652385237</v>
      </c>
      <c r="AF274" s="481">
        <v>907.79997109381861</v>
      </c>
      <c r="AG274" s="481">
        <v>635.6726433314127</v>
      </c>
      <c r="AH274" s="700">
        <f t="shared" si="23"/>
        <v>35315.146851745143</v>
      </c>
      <c r="AI274" s="482">
        <f t="shared" si="24"/>
        <v>35950.819495076554</v>
      </c>
      <c r="AJ274" s="482"/>
      <c r="AK274" s="482"/>
      <c r="AL274" s="585">
        <v>75.709999999999994</v>
      </c>
      <c r="AM274" s="585">
        <v>9746.5612143839226</v>
      </c>
      <c r="AN274" s="581">
        <v>0</v>
      </c>
      <c r="AO274" s="581">
        <f t="shared" si="25"/>
        <v>9822.2712143839217</v>
      </c>
    </row>
    <row r="275" spans="1:41" x14ac:dyDescent="0.3">
      <c r="A275" s="476">
        <v>150000909</v>
      </c>
      <c r="B275" s="477" t="s">
        <v>409</v>
      </c>
      <c r="C275" s="478">
        <v>6335.19</v>
      </c>
      <c r="D275" s="479">
        <v>691.97</v>
      </c>
      <c r="E275" s="480"/>
      <c r="F275" s="480">
        <v>6335.19</v>
      </c>
      <c r="G275" s="481">
        <v>2106.7602612357477</v>
      </c>
      <c r="H275" s="481">
        <v>343.75792929520657</v>
      </c>
      <c r="I275" s="481">
        <v>688.04</v>
      </c>
      <c r="J275" s="481">
        <v>166.5</v>
      </c>
      <c r="K275" s="481">
        <v>97.519365684823939</v>
      </c>
      <c r="L275" s="481">
        <v>810.71134704956739</v>
      </c>
      <c r="M275" s="587">
        <f t="shared" si="21"/>
        <v>0</v>
      </c>
      <c r="N275" s="481">
        <v>2257.3504309032337</v>
      </c>
      <c r="O275" s="481">
        <v>4310.8800173720638</v>
      </c>
      <c r="P275" s="481">
        <v>0</v>
      </c>
      <c r="Q275" s="481">
        <v>426.15793930214238</v>
      </c>
      <c r="R275" s="587">
        <f t="shared" si="22"/>
        <v>9780.6845191645425</v>
      </c>
      <c r="S275" s="481">
        <v>169.47394541451564</v>
      </c>
      <c r="T275" s="481">
        <v>227.26750760449835</v>
      </c>
      <c r="U275" s="481">
        <v>578.62370987558575</v>
      </c>
      <c r="V275" s="481">
        <v>184.17804747203516</v>
      </c>
      <c r="W275" s="481">
        <v>49.470906063874629</v>
      </c>
      <c r="X275" s="481">
        <v>195.38335213678309</v>
      </c>
      <c r="Y275" s="481">
        <v>0</v>
      </c>
      <c r="Z275" s="481">
        <v>3354.346274181265</v>
      </c>
      <c r="AA275" s="481">
        <v>3416.1840443925903</v>
      </c>
      <c r="AB275" s="481">
        <v>810.60236904641215</v>
      </c>
      <c r="AC275" s="481">
        <v>204.37309216687004</v>
      </c>
      <c r="AD275" s="481">
        <v>25.159566270542715</v>
      </c>
      <c r="AE275" s="481">
        <v>1196.3618175755305</v>
      </c>
      <c r="AF275" s="481">
        <v>1792.203035716147</v>
      </c>
      <c r="AG275" s="481">
        <v>597.45581060263146</v>
      </c>
      <c r="AH275" s="700">
        <f t="shared" si="23"/>
        <v>33191.989477923977</v>
      </c>
      <c r="AI275" s="482">
        <f t="shared" si="24"/>
        <v>33789.445288526607</v>
      </c>
      <c r="AJ275" s="482"/>
      <c r="AK275" s="482"/>
      <c r="AL275" s="585">
        <v>75.709999999999994</v>
      </c>
      <c r="AM275" s="585">
        <v>9704.9745191645434</v>
      </c>
      <c r="AN275" s="581">
        <v>0</v>
      </c>
      <c r="AO275" s="581">
        <f t="shared" si="25"/>
        <v>9780.6845191645425</v>
      </c>
    </row>
    <row r="276" spans="1:41" x14ac:dyDescent="0.3">
      <c r="A276" s="476">
        <v>150000910</v>
      </c>
      <c r="B276" s="477" t="s">
        <v>410</v>
      </c>
      <c r="C276" s="478">
        <v>6232.25</v>
      </c>
      <c r="D276" s="479">
        <v>576.05999999999995</v>
      </c>
      <c r="E276" s="480">
        <v>115.1</v>
      </c>
      <c r="F276" s="480">
        <v>6347.35</v>
      </c>
      <c r="G276" s="481">
        <v>2097.1571147589252</v>
      </c>
      <c r="H276" s="481">
        <v>344.34989465402793</v>
      </c>
      <c r="I276" s="481">
        <v>688.04</v>
      </c>
      <c r="J276" s="481">
        <v>162.32</v>
      </c>
      <c r="K276" s="481">
        <v>97.519365684823939</v>
      </c>
      <c r="L276" s="481">
        <v>815.62659717408599</v>
      </c>
      <c r="M276" s="587">
        <f t="shared" si="21"/>
        <v>0</v>
      </c>
      <c r="N276" s="481">
        <v>2261.6832735235471</v>
      </c>
      <c r="O276" s="481">
        <v>4310.8800173720638</v>
      </c>
      <c r="P276" s="481">
        <v>0</v>
      </c>
      <c r="Q276" s="481">
        <v>418.26612561136199</v>
      </c>
      <c r="R276" s="587">
        <f t="shared" si="22"/>
        <v>9815.1235183726531</v>
      </c>
      <c r="S276" s="481">
        <v>169.19059066605607</v>
      </c>
      <c r="T276" s="481">
        <v>227.6583991858875</v>
      </c>
      <c r="U276" s="481">
        <v>578.62370987558575</v>
      </c>
      <c r="V276" s="481">
        <v>183.67839763591053</v>
      </c>
      <c r="W276" s="481">
        <v>49.470906063874629</v>
      </c>
      <c r="X276" s="481">
        <v>196.11897261411428</v>
      </c>
      <c r="Y276" s="481">
        <v>0</v>
      </c>
      <c r="Z276" s="481">
        <v>3326.2516179163908</v>
      </c>
      <c r="AA276" s="481">
        <v>2950.3226164667017</v>
      </c>
      <c r="AB276" s="481">
        <v>830.28036139352241</v>
      </c>
      <c r="AC276" s="481">
        <v>190.0831530048066</v>
      </c>
      <c r="AD276" s="481">
        <v>23.400388154000808</v>
      </c>
      <c r="AE276" s="481">
        <v>1948.1824121927482</v>
      </c>
      <c r="AF276" s="481">
        <v>987.3494530968851</v>
      </c>
      <c r="AG276" s="481">
        <v>588.08838393752353</v>
      </c>
      <c r="AH276" s="700">
        <f t="shared" si="23"/>
        <v>32671.57688541797</v>
      </c>
      <c r="AI276" s="482">
        <f t="shared" si="24"/>
        <v>33259.665269355493</v>
      </c>
      <c r="AJ276" s="482"/>
      <c r="AK276" s="482"/>
      <c r="AL276" s="585">
        <v>75.709999999999994</v>
      </c>
      <c r="AM276" s="585">
        <v>9739.4135183726539</v>
      </c>
      <c r="AN276" s="581">
        <v>0</v>
      </c>
      <c r="AO276" s="581">
        <f t="shared" si="25"/>
        <v>9815.1235183726531</v>
      </c>
    </row>
    <row r="277" spans="1:41" x14ac:dyDescent="0.3">
      <c r="A277" s="476">
        <v>150000911</v>
      </c>
      <c r="B277" s="477" t="s">
        <v>318</v>
      </c>
      <c r="C277" s="478">
        <v>5864.08</v>
      </c>
      <c r="D277" s="479"/>
      <c r="E277" s="480"/>
      <c r="F277" s="480">
        <v>5864.08</v>
      </c>
      <c r="G277" s="481">
        <v>1688.0709759031377</v>
      </c>
      <c r="H277" s="481">
        <v>335.00380368044648</v>
      </c>
      <c r="I277" s="481">
        <v>729.4</v>
      </c>
      <c r="J277" s="481">
        <v>0</v>
      </c>
      <c r="K277" s="481">
        <v>166.96127125803071</v>
      </c>
      <c r="L277" s="481">
        <v>1603.0125600359775</v>
      </c>
      <c r="M277" s="587">
        <f t="shared" si="21"/>
        <v>0</v>
      </c>
      <c r="N277" s="481">
        <v>2089.4848481025879</v>
      </c>
      <c r="O277" s="481">
        <v>0</v>
      </c>
      <c r="P277" s="481">
        <v>0</v>
      </c>
      <c r="Q277" s="481">
        <v>846.39701833619949</v>
      </c>
      <c r="R277" s="587">
        <f t="shared" si="22"/>
        <v>7872.6063627794701</v>
      </c>
      <c r="S277" s="481">
        <v>276.10808954579471</v>
      </c>
      <c r="T277" s="481">
        <v>431.76868554922783</v>
      </c>
      <c r="U277" s="481">
        <v>274.87152118615961</v>
      </c>
      <c r="V277" s="481">
        <v>0</v>
      </c>
      <c r="W277" s="481">
        <v>169.40589068738615</v>
      </c>
      <c r="X277" s="481">
        <v>250.02625325357982</v>
      </c>
      <c r="Y277" s="481">
        <v>0</v>
      </c>
      <c r="Z277" s="481">
        <v>4347.7438328628814</v>
      </c>
      <c r="AA277" s="481">
        <v>2998.1161469490507</v>
      </c>
      <c r="AB277" s="481">
        <v>642.6954024408775</v>
      </c>
      <c r="AC277" s="481">
        <v>218.07476625193607</v>
      </c>
      <c r="AD277" s="481">
        <v>26.846325390863342</v>
      </c>
      <c r="AE277" s="481">
        <v>1077.8174914533138</v>
      </c>
      <c r="AF277" s="481">
        <v>0</v>
      </c>
      <c r="AG277" s="481">
        <v>1468.904794255614</v>
      </c>
      <c r="AH277" s="700">
        <f t="shared" si="23"/>
        <v>26044.411245666917</v>
      </c>
      <c r="AI277" s="482">
        <f t="shared" si="24"/>
        <v>27513.316039922531</v>
      </c>
      <c r="AJ277" s="482"/>
      <c r="AK277" s="482"/>
      <c r="AL277" s="585">
        <v>93.66</v>
      </c>
      <c r="AM277" s="585">
        <v>7778.9463627794703</v>
      </c>
      <c r="AN277" s="581">
        <v>0</v>
      </c>
      <c r="AO277" s="581">
        <f t="shared" si="25"/>
        <v>7872.6063627794701</v>
      </c>
    </row>
    <row r="278" spans="1:41" x14ac:dyDescent="0.3">
      <c r="A278" s="476">
        <v>150000912</v>
      </c>
      <c r="B278" s="477" t="s">
        <v>319</v>
      </c>
      <c r="C278" s="478">
        <v>4467.5200000000004</v>
      </c>
      <c r="D278" s="479"/>
      <c r="E278" s="480"/>
      <c r="F278" s="480">
        <v>4467.5200000000004</v>
      </c>
      <c r="G278" s="481">
        <v>1325.9398450696551</v>
      </c>
      <c r="H278" s="481">
        <v>251.53643475256183</v>
      </c>
      <c r="I278" s="481">
        <v>522.33000000000004</v>
      </c>
      <c r="J278" s="481">
        <v>0</v>
      </c>
      <c r="K278" s="481">
        <v>79.79513170851321</v>
      </c>
      <c r="L278" s="481">
        <v>1034.0917851251622</v>
      </c>
      <c r="M278" s="587">
        <f t="shared" si="21"/>
        <v>0</v>
      </c>
      <c r="N278" s="481">
        <v>1591.8635742683039</v>
      </c>
      <c r="O278" s="481">
        <v>0</v>
      </c>
      <c r="P278" s="481">
        <v>0</v>
      </c>
      <c r="Q278" s="481">
        <v>639.23690895321363</v>
      </c>
      <c r="R278" s="587">
        <f t="shared" si="22"/>
        <v>6390.525391828276</v>
      </c>
      <c r="S278" s="481">
        <v>220.39244227045265</v>
      </c>
      <c r="T278" s="481">
        <v>324.18587116016892</v>
      </c>
      <c r="U278" s="481">
        <v>217.86689475440971</v>
      </c>
      <c r="V278" s="481">
        <v>0</v>
      </c>
      <c r="W278" s="481">
        <v>80.954586999901053</v>
      </c>
      <c r="X278" s="481">
        <v>161.69782052303398</v>
      </c>
      <c r="Y278" s="481">
        <v>0</v>
      </c>
      <c r="Z278" s="481">
        <v>3836.2273855025078</v>
      </c>
      <c r="AA278" s="481">
        <v>2186.7639677897992</v>
      </c>
      <c r="AB278" s="481">
        <v>602.69538609155927</v>
      </c>
      <c r="AC278" s="481">
        <v>205.25548978236625</v>
      </c>
      <c r="AD278" s="481">
        <v>25.268194764874636</v>
      </c>
      <c r="AE278" s="481">
        <v>748.7010070876853</v>
      </c>
      <c r="AF278" s="481">
        <v>0</v>
      </c>
      <c r="AG278" s="481">
        <v>1226.7196871059466</v>
      </c>
      <c r="AH278" s="700">
        <f t="shared" si="23"/>
        <v>20445.328118432448</v>
      </c>
      <c r="AI278" s="482">
        <f t="shared" si="24"/>
        <v>21672.047805538394</v>
      </c>
      <c r="AJ278" s="482"/>
      <c r="AK278" s="482"/>
      <c r="AL278" s="585">
        <v>147.07</v>
      </c>
      <c r="AM278" s="585">
        <v>6243.4553918282763</v>
      </c>
      <c r="AN278" s="581">
        <v>0</v>
      </c>
      <c r="AO278" s="581">
        <f t="shared" si="25"/>
        <v>6390.525391828276</v>
      </c>
    </row>
    <row r="279" spans="1:41" x14ac:dyDescent="0.3">
      <c r="A279" s="476">
        <v>150000913</v>
      </c>
      <c r="B279" s="477" t="s">
        <v>320</v>
      </c>
      <c r="C279" s="478">
        <v>2779.82</v>
      </c>
      <c r="D279" s="479"/>
      <c r="E279" s="480"/>
      <c r="F279" s="480">
        <v>2779.82</v>
      </c>
      <c r="G279" s="481">
        <v>879.94630776816894</v>
      </c>
      <c r="H279" s="481">
        <v>166.21966422225984</v>
      </c>
      <c r="I279" s="481">
        <v>344.53</v>
      </c>
      <c r="J279" s="481">
        <v>0</v>
      </c>
      <c r="K279" s="481">
        <v>79.79513170851321</v>
      </c>
      <c r="L279" s="481">
        <v>592.69927106979537</v>
      </c>
      <c r="M279" s="587">
        <f t="shared" si="21"/>
        <v>0</v>
      </c>
      <c r="N279" s="481">
        <v>990.503501052601</v>
      </c>
      <c r="O279" s="481">
        <v>0</v>
      </c>
      <c r="P279" s="481">
        <v>0</v>
      </c>
      <c r="Q279" s="481">
        <v>426.15793930214238</v>
      </c>
      <c r="R279" s="587">
        <f t="shared" si="22"/>
        <v>4216.5371520601202</v>
      </c>
      <c r="S279" s="481">
        <v>146.87281929944615</v>
      </c>
      <c r="T279" s="481">
        <v>214.22856880012804</v>
      </c>
      <c r="U279" s="481">
        <v>124.75032333794053</v>
      </c>
      <c r="V279" s="481">
        <v>0</v>
      </c>
      <c r="W279" s="481">
        <v>80.954586999901053</v>
      </c>
      <c r="X279" s="481">
        <v>88.060337392310473</v>
      </c>
      <c r="Y279" s="481">
        <v>0</v>
      </c>
      <c r="Z279" s="481">
        <v>2483.4213778441376</v>
      </c>
      <c r="AA279" s="481">
        <v>1475.0625118789319</v>
      </c>
      <c r="AB279" s="481">
        <v>592.82663636015707</v>
      </c>
      <c r="AC279" s="481">
        <v>144.39456535800329</v>
      </c>
      <c r="AD279" s="481">
        <v>17.775846114148134</v>
      </c>
      <c r="AE279" s="481">
        <v>424.26390401635507</v>
      </c>
      <c r="AF279" s="481">
        <v>0</v>
      </c>
      <c r="AG279" s="481">
        <v>760.77962507459756</v>
      </c>
      <c r="AH279" s="700">
        <f t="shared" si="23"/>
        <v>13489.000444585061</v>
      </c>
      <c r="AI279" s="482">
        <f t="shared" si="24"/>
        <v>14249.780069659659</v>
      </c>
      <c r="AJ279" s="482"/>
      <c r="AK279" s="482"/>
      <c r="AL279" s="585">
        <v>98.23</v>
      </c>
      <c r="AM279" s="585">
        <v>4118.3071520601206</v>
      </c>
      <c r="AN279" s="581">
        <v>0</v>
      </c>
      <c r="AO279" s="581">
        <f t="shared" si="25"/>
        <v>4216.5371520601202</v>
      </c>
    </row>
    <row r="280" spans="1:41" x14ac:dyDescent="0.3">
      <c r="A280" s="476">
        <v>150000914</v>
      </c>
      <c r="B280" s="477" t="s">
        <v>321</v>
      </c>
      <c r="C280" s="478">
        <v>2762.3</v>
      </c>
      <c r="D280" s="479"/>
      <c r="E280" s="480"/>
      <c r="F280" s="480">
        <v>2762.3</v>
      </c>
      <c r="G280" s="481">
        <v>879.94630776816894</v>
      </c>
      <c r="H280" s="481">
        <v>166.21966422225984</v>
      </c>
      <c r="I280" s="481">
        <v>344.53</v>
      </c>
      <c r="J280" s="481">
        <v>0</v>
      </c>
      <c r="K280" s="481">
        <v>79.79513170851321</v>
      </c>
      <c r="L280" s="481">
        <v>592.69927106979537</v>
      </c>
      <c r="M280" s="587">
        <f t="shared" si="21"/>
        <v>0</v>
      </c>
      <c r="N280" s="481">
        <v>984.26078701412314</v>
      </c>
      <c r="O280" s="481">
        <v>0</v>
      </c>
      <c r="P280" s="481">
        <v>0</v>
      </c>
      <c r="Q280" s="481">
        <v>426.15793930214238</v>
      </c>
      <c r="R280" s="587">
        <f t="shared" si="22"/>
        <v>4234.6711374206507</v>
      </c>
      <c r="S280" s="481">
        <v>146.87281929944615</v>
      </c>
      <c r="T280" s="481">
        <v>214.22856880012804</v>
      </c>
      <c r="U280" s="481">
        <v>124.75032333794053</v>
      </c>
      <c r="V280" s="481">
        <v>0</v>
      </c>
      <c r="W280" s="481">
        <v>80.954586999901053</v>
      </c>
      <c r="X280" s="481">
        <v>88.060337392310473</v>
      </c>
      <c r="Y280" s="481">
        <v>0</v>
      </c>
      <c r="Z280" s="481">
        <v>2349.3158330216052</v>
      </c>
      <c r="AA280" s="481">
        <v>1475.7947266953761</v>
      </c>
      <c r="AB280" s="481">
        <v>577.74612627227566</v>
      </c>
      <c r="AC280" s="481">
        <v>128.26629783032271</v>
      </c>
      <c r="AD280" s="481">
        <v>15.790358634414732</v>
      </c>
      <c r="AE280" s="481">
        <v>492.89482966605959</v>
      </c>
      <c r="AF280" s="481">
        <v>0</v>
      </c>
      <c r="AG280" s="481">
        <v>804.1773027873262</v>
      </c>
      <c r="AH280" s="700">
        <f t="shared" si="23"/>
        <v>13402.955046455436</v>
      </c>
      <c r="AI280" s="482">
        <f t="shared" si="24"/>
        <v>14207.132349242762</v>
      </c>
      <c r="AJ280" s="482"/>
      <c r="AK280" s="482"/>
      <c r="AL280" s="585">
        <v>98.23</v>
      </c>
      <c r="AM280" s="585">
        <v>4136.4411374206511</v>
      </c>
      <c r="AN280" s="581">
        <v>0</v>
      </c>
      <c r="AO280" s="581">
        <f t="shared" si="25"/>
        <v>4234.6711374206507</v>
      </c>
    </row>
    <row r="281" spans="1:41" x14ac:dyDescent="0.3">
      <c r="A281" s="476">
        <v>150000915</v>
      </c>
      <c r="B281" s="477" t="s">
        <v>322</v>
      </c>
      <c r="C281" s="478">
        <v>2743.4</v>
      </c>
      <c r="D281" s="479"/>
      <c r="E281" s="480"/>
      <c r="F281" s="480">
        <v>2743.4</v>
      </c>
      <c r="G281" s="481">
        <v>879.84411173817648</v>
      </c>
      <c r="H281" s="481">
        <v>166.21966422225984</v>
      </c>
      <c r="I281" s="481">
        <v>344.53</v>
      </c>
      <c r="J281" s="481">
        <v>0</v>
      </c>
      <c r="K281" s="481">
        <v>79.79513170851321</v>
      </c>
      <c r="L281" s="481">
        <v>592.60134976227096</v>
      </c>
      <c r="M281" s="587">
        <f t="shared" si="21"/>
        <v>0</v>
      </c>
      <c r="N281" s="481">
        <v>977.52635234932677</v>
      </c>
      <c r="O281" s="481">
        <v>0</v>
      </c>
      <c r="P281" s="481">
        <v>0</v>
      </c>
      <c r="Q281" s="481">
        <v>426.15793930214238</v>
      </c>
      <c r="R281" s="587">
        <f t="shared" si="22"/>
        <v>4039.4179960806159</v>
      </c>
      <c r="S281" s="481">
        <v>146.84353244230923</v>
      </c>
      <c r="T281" s="481">
        <v>214.22856880012804</v>
      </c>
      <c r="U281" s="481">
        <v>124.75032333794053</v>
      </c>
      <c r="V281" s="481">
        <v>0</v>
      </c>
      <c r="W281" s="481">
        <v>80.954586999901053</v>
      </c>
      <c r="X281" s="481">
        <v>88.055823660354392</v>
      </c>
      <c r="Y281" s="481">
        <v>0</v>
      </c>
      <c r="Z281" s="481">
        <v>3227.546116809659</v>
      </c>
      <c r="AA281" s="481">
        <v>1452.4059161584564</v>
      </c>
      <c r="AB281" s="481">
        <v>581.02579166346061</v>
      </c>
      <c r="AC281" s="481">
        <v>128.24178678544786</v>
      </c>
      <c r="AD281" s="481">
        <v>15.787341176238844</v>
      </c>
      <c r="AE281" s="481">
        <v>519.41132366708177</v>
      </c>
      <c r="AF281" s="481">
        <v>0</v>
      </c>
      <c r="AG281" s="481">
        <v>338.04824775994274</v>
      </c>
      <c r="AH281" s="700">
        <f t="shared" si="23"/>
        <v>14085.343656664283</v>
      </c>
      <c r="AI281" s="482">
        <f t="shared" si="24"/>
        <v>14423.391904424227</v>
      </c>
      <c r="AJ281" s="482"/>
      <c r="AK281" s="482"/>
      <c r="AL281" s="585">
        <v>98.23</v>
      </c>
      <c r="AM281" s="585">
        <v>3941.1879960806159</v>
      </c>
      <c r="AN281" s="581">
        <v>0</v>
      </c>
      <c r="AO281" s="581">
        <f t="shared" si="25"/>
        <v>4039.4179960806159</v>
      </c>
    </row>
    <row r="282" spans="1:41" x14ac:dyDescent="0.3">
      <c r="A282" s="476">
        <v>150000916</v>
      </c>
      <c r="B282" s="477" t="s">
        <v>323</v>
      </c>
      <c r="C282" s="478">
        <v>5601.9</v>
      </c>
      <c r="D282" s="479"/>
      <c r="E282" s="480">
        <v>188.69</v>
      </c>
      <c r="F282" s="480">
        <v>5790.5899999999992</v>
      </c>
      <c r="G282" s="481">
        <v>1735.1601834742328</v>
      </c>
      <c r="H282" s="481">
        <v>334.88073625108331</v>
      </c>
      <c r="I282" s="481">
        <v>722.23</v>
      </c>
      <c r="J282" s="481">
        <v>0</v>
      </c>
      <c r="K282" s="481">
        <v>166.96127125803071</v>
      </c>
      <c r="L282" s="481">
        <v>1624.3950495033644</v>
      </c>
      <c r="M282" s="587">
        <f t="shared" si="21"/>
        <v>0</v>
      </c>
      <c r="N282" s="481">
        <v>2063.2989431546575</v>
      </c>
      <c r="O282" s="481">
        <v>0</v>
      </c>
      <c r="P282" s="481">
        <v>0</v>
      </c>
      <c r="Q282" s="481">
        <v>816.80271699577293</v>
      </c>
      <c r="R282" s="587">
        <f t="shared" si="22"/>
        <v>8032.4346838579349</v>
      </c>
      <c r="S282" s="481">
        <v>289.65090404190732</v>
      </c>
      <c r="T282" s="481">
        <v>431.63759742850965</v>
      </c>
      <c r="U282" s="481">
        <v>272.09201331211341</v>
      </c>
      <c r="V282" s="481">
        <v>0</v>
      </c>
      <c r="W282" s="481">
        <v>169.40589068738615</v>
      </c>
      <c r="X282" s="481">
        <v>249.81944640851586</v>
      </c>
      <c r="Y282" s="481">
        <v>0</v>
      </c>
      <c r="Z282" s="481">
        <v>4463.5840662156752</v>
      </c>
      <c r="AA282" s="481">
        <v>3028.7859458688049</v>
      </c>
      <c r="AB282" s="481">
        <v>623.01741009376747</v>
      </c>
      <c r="AC282" s="481">
        <v>194.00492018478968</v>
      </c>
      <c r="AD282" s="481">
        <v>23.883181462142669</v>
      </c>
      <c r="AE282" s="481">
        <v>422.70411025158904</v>
      </c>
      <c r="AF282" s="481">
        <v>0</v>
      </c>
      <c r="AG282" s="481">
        <v>1447.4918475733957</v>
      </c>
      <c r="AH282" s="700">
        <f t="shared" si="23"/>
        <v>25664.749070450278</v>
      </c>
      <c r="AI282" s="482">
        <f t="shared" si="24"/>
        <v>27112.240918023672</v>
      </c>
      <c r="AJ282" s="482"/>
      <c r="AK282" s="482"/>
      <c r="AL282" s="585">
        <v>93.66</v>
      </c>
      <c r="AM282" s="585">
        <v>7938.7746838579351</v>
      </c>
      <c r="AN282" s="581">
        <v>0</v>
      </c>
      <c r="AO282" s="581">
        <f t="shared" si="25"/>
        <v>8032.4346838579349</v>
      </c>
    </row>
    <row r="283" spans="1:41" x14ac:dyDescent="0.3">
      <c r="A283" s="476">
        <v>150000917</v>
      </c>
      <c r="B283" s="477" t="s">
        <v>324</v>
      </c>
      <c r="C283" s="478">
        <v>4445.5</v>
      </c>
      <c r="D283" s="479"/>
      <c r="E283" s="480"/>
      <c r="F283" s="480">
        <v>4445.5</v>
      </c>
      <c r="G283" s="481">
        <v>1328.037555799709</v>
      </c>
      <c r="H283" s="481">
        <v>251.85713711568997</v>
      </c>
      <c r="I283" s="481">
        <v>540.14</v>
      </c>
      <c r="J283" s="481">
        <v>0</v>
      </c>
      <c r="K283" s="481">
        <v>107.87259182013038</v>
      </c>
      <c r="L283" s="481">
        <v>1038.5672379626053</v>
      </c>
      <c r="M283" s="587">
        <f t="shared" si="21"/>
        <v>0</v>
      </c>
      <c r="N283" s="481">
        <v>1584.0174234048743</v>
      </c>
      <c r="O283" s="481">
        <v>0</v>
      </c>
      <c r="P283" s="481">
        <v>0</v>
      </c>
      <c r="Q283" s="481">
        <v>639.23690895321363</v>
      </c>
      <c r="R283" s="587">
        <f t="shared" si="22"/>
        <v>5904.1394512006973</v>
      </c>
      <c r="S283" s="481">
        <v>220.85713648065419</v>
      </c>
      <c r="T283" s="481">
        <v>324.62767629260719</v>
      </c>
      <c r="U283" s="481">
        <v>213.53985105064197</v>
      </c>
      <c r="V283" s="481">
        <v>0</v>
      </c>
      <c r="W283" s="481">
        <v>109.43236141333836</v>
      </c>
      <c r="X283" s="481">
        <v>162.36492688862674</v>
      </c>
      <c r="Y283" s="481">
        <v>0</v>
      </c>
      <c r="Z283" s="481">
        <v>4608.6798634754041</v>
      </c>
      <c r="AA283" s="481">
        <v>2198.375312516192</v>
      </c>
      <c r="AB283" s="481">
        <v>566.64882034637071</v>
      </c>
      <c r="AC283" s="481">
        <v>230.20773346500883</v>
      </c>
      <c r="AD283" s="481">
        <v>28.339967187927222</v>
      </c>
      <c r="AE283" s="481">
        <v>497.57421096035762</v>
      </c>
      <c r="AF283" s="481">
        <v>0</v>
      </c>
      <c r="AG283" s="481">
        <v>1233.270969980043</v>
      </c>
      <c r="AH283" s="700">
        <f t="shared" si="23"/>
        <v>20554.516166334048</v>
      </c>
      <c r="AI283" s="482">
        <f t="shared" si="24"/>
        <v>21787.787136314091</v>
      </c>
      <c r="AJ283" s="482"/>
      <c r="AK283" s="482"/>
      <c r="AL283" s="585">
        <v>147.06</v>
      </c>
      <c r="AM283" s="585">
        <v>5757.0794512006969</v>
      </c>
      <c r="AN283" s="581">
        <v>0</v>
      </c>
      <c r="AO283" s="581">
        <f t="shared" si="25"/>
        <v>5904.1394512006973</v>
      </c>
    </row>
    <row r="284" spans="1:41" x14ac:dyDescent="0.3">
      <c r="A284" s="476">
        <v>150000918</v>
      </c>
      <c r="B284" s="477" t="s">
        <v>325</v>
      </c>
      <c r="C284" s="478">
        <v>4591.2</v>
      </c>
      <c r="D284" s="479"/>
      <c r="E284" s="480"/>
      <c r="F284" s="480">
        <v>4591.2</v>
      </c>
      <c r="G284" s="481">
        <v>1379.4690564532527</v>
      </c>
      <c r="H284" s="481">
        <v>283.37002058416391</v>
      </c>
      <c r="I284" s="481">
        <v>559.63</v>
      </c>
      <c r="J284" s="481">
        <v>0</v>
      </c>
      <c r="K284" s="481">
        <v>107.87259182013038</v>
      </c>
      <c r="L284" s="481">
        <v>1065.4902442590849</v>
      </c>
      <c r="M284" s="587">
        <f t="shared" si="21"/>
        <v>0</v>
      </c>
      <c r="N284" s="481">
        <v>1635.9331446038598</v>
      </c>
      <c r="O284" s="481">
        <v>0</v>
      </c>
      <c r="P284" s="481">
        <v>0</v>
      </c>
      <c r="Q284" s="481">
        <v>1160.096612544721</v>
      </c>
      <c r="R284" s="587">
        <f t="shared" si="22"/>
        <v>5246.9923125381529</v>
      </c>
      <c r="S284" s="481">
        <v>226.05244305210456</v>
      </c>
      <c r="T284" s="481">
        <v>365.2358995895471</v>
      </c>
      <c r="U284" s="481">
        <v>222.38931250979368</v>
      </c>
      <c r="V284" s="481">
        <v>0</v>
      </c>
      <c r="W284" s="481">
        <v>109.43236141333836</v>
      </c>
      <c r="X284" s="481">
        <v>166.44104769593039</v>
      </c>
      <c r="Y284" s="481">
        <v>0</v>
      </c>
      <c r="Z284" s="481">
        <v>3605.8168227697734</v>
      </c>
      <c r="AA284" s="481">
        <v>2157.2156039490928</v>
      </c>
      <c r="AB284" s="481">
        <v>600.08950591331904</v>
      </c>
      <c r="AC284" s="481">
        <v>133.97737128617317</v>
      </c>
      <c r="AD284" s="481">
        <v>16.493426389396316</v>
      </c>
      <c r="AE284" s="481">
        <v>564.64534284529611</v>
      </c>
      <c r="AF284" s="481">
        <v>0</v>
      </c>
      <c r="AG284" s="481">
        <v>1105.814671980246</v>
      </c>
      <c r="AH284" s="700">
        <f t="shared" si="23"/>
        <v>19606.643120217126</v>
      </c>
      <c r="AI284" s="482">
        <f t="shared" si="24"/>
        <v>20712.457792197372</v>
      </c>
      <c r="AJ284" s="482"/>
      <c r="AK284" s="482"/>
      <c r="AL284" s="585">
        <v>82.91</v>
      </c>
      <c r="AM284" s="585">
        <v>5164.082312538153</v>
      </c>
      <c r="AN284" s="581">
        <v>0</v>
      </c>
      <c r="AO284" s="581">
        <f t="shared" si="25"/>
        <v>5246.9923125381529</v>
      </c>
    </row>
    <row r="285" spans="1:41" x14ac:dyDescent="0.3">
      <c r="A285" s="476">
        <v>150000919</v>
      </c>
      <c r="B285" s="477" t="s">
        <v>326</v>
      </c>
      <c r="C285" s="478">
        <v>4566.7</v>
      </c>
      <c r="D285" s="479"/>
      <c r="E285" s="480"/>
      <c r="F285" s="480">
        <v>4566.7</v>
      </c>
      <c r="G285" s="481">
        <v>1388.8140293680221</v>
      </c>
      <c r="H285" s="481">
        <v>283.32062206205393</v>
      </c>
      <c r="I285" s="481">
        <v>550.21</v>
      </c>
      <c r="J285" s="481">
        <v>0</v>
      </c>
      <c r="K285" s="481">
        <v>107.87259182013038</v>
      </c>
      <c r="L285" s="481">
        <v>1087.6309912835932</v>
      </c>
      <c r="M285" s="587">
        <f t="shared" si="21"/>
        <v>0</v>
      </c>
      <c r="N285" s="481">
        <v>1627.203321890235</v>
      </c>
      <c r="O285" s="481">
        <v>0</v>
      </c>
      <c r="P285" s="481">
        <v>0</v>
      </c>
      <c r="Q285" s="481">
        <v>1183.7720536170623</v>
      </c>
      <c r="R285" s="587">
        <f t="shared" si="22"/>
        <v>5228.4178034080915</v>
      </c>
      <c r="S285" s="481">
        <v>226.58214786316023</v>
      </c>
      <c r="T285" s="481">
        <v>365.15822033661738</v>
      </c>
      <c r="U285" s="481">
        <v>222.56206049485897</v>
      </c>
      <c r="V285" s="481">
        <v>0</v>
      </c>
      <c r="W285" s="481">
        <v>109.43236141333836</v>
      </c>
      <c r="X285" s="481">
        <v>166.34377655113391</v>
      </c>
      <c r="Y285" s="481">
        <v>0</v>
      </c>
      <c r="Z285" s="481">
        <v>3518.8219848215044</v>
      </c>
      <c r="AA285" s="481">
        <v>2146.1114968366028</v>
      </c>
      <c r="AB285" s="481">
        <v>500.38172730972491</v>
      </c>
      <c r="AC285" s="481">
        <v>266.68016823885182</v>
      </c>
      <c r="AD285" s="481">
        <v>32.829944953646525</v>
      </c>
      <c r="AE285" s="481">
        <v>681.62987520274692</v>
      </c>
      <c r="AF285" s="481">
        <v>0</v>
      </c>
      <c r="AG285" s="481">
        <v>1181.6265106482826</v>
      </c>
      <c r="AH285" s="700">
        <f t="shared" si="23"/>
        <v>19693.775177471376</v>
      </c>
      <c r="AI285" s="482">
        <f t="shared" si="24"/>
        <v>20875.401688119659</v>
      </c>
      <c r="AJ285" s="482"/>
      <c r="AK285" s="482"/>
      <c r="AL285" s="585">
        <v>177.92</v>
      </c>
      <c r="AM285" s="585">
        <v>5050.4978034080914</v>
      </c>
      <c r="AN285" s="581">
        <v>0</v>
      </c>
      <c r="AO285" s="581">
        <f t="shared" si="25"/>
        <v>5228.4178034080915</v>
      </c>
    </row>
    <row r="286" spans="1:41" x14ac:dyDescent="0.3">
      <c r="A286" s="476">
        <v>150000920</v>
      </c>
      <c r="B286" s="477" t="s">
        <v>327</v>
      </c>
      <c r="C286" s="478">
        <v>4553.8</v>
      </c>
      <c r="D286" s="479"/>
      <c r="E286" s="480"/>
      <c r="F286" s="480">
        <v>4553.8</v>
      </c>
      <c r="G286" s="481">
        <v>1389.0964733152182</v>
      </c>
      <c r="H286" s="481">
        <v>283.37002058416391</v>
      </c>
      <c r="I286" s="481">
        <v>553.9</v>
      </c>
      <c r="J286" s="481">
        <v>0</v>
      </c>
      <c r="K286" s="481">
        <v>107.87259182013038</v>
      </c>
      <c r="L286" s="481">
        <v>1088.511118828304</v>
      </c>
      <c r="M286" s="587">
        <f t="shared" si="21"/>
        <v>0</v>
      </c>
      <c r="N286" s="481">
        <v>1622.6068029920407</v>
      </c>
      <c r="O286" s="481">
        <v>0</v>
      </c>
      <c r="P286" s="481">
        <v>0</v>
      </c>
      <c r="Q286" s="481">
        <v>1183.7720536170623</v>
      </c>
      <c r="R286" s="587">
        <f t="shared" si="22"/>
        <v>6310.7100191589852</v>
      </c>
      <c r="S286" s="481">
        <v>226.64338208884197</v>
      </c>
      <c r="T286" s="481">
        <v>365.2358995895471</v>
      </c>
      <c r="U286" s="481">
        <v>229.9480953799698</v>
      </c>
      <c r="V286" s="481">
        <v>0</v>
      </c>
      <c r="W286" s="481">
        <v>109.43236141333836</v>
      </c>
      <c r="X286" s="481">
        <v>166.48089084610027</v>
      </c>
      <c r="Y286" s="481">
        <v>0</v>
      </c>
      <c r="Z286" s="481">
        <v>3361.8321598154139</v>
      </c>
      <c r="AA286" s="481">
        <v>2178.0118957167256</v>
      </c>
      <c r="AB286" s="481">
        <v>543.01737739513021</v>
      </c>
      <c r="AC286" s="481">
        <v>267.02332286710032</v>
      </c>
      <c r="AD286" s="481">
        <v>32.872189368108934</v>
      </c>
      <c r="AE286" s="481">
        <v>812.65255144309162</v>
      </c>
      <c r="AF286" s="481">
        <v>0</v>
      </c>
      <c r="AG286" s="481">
        <v>499.99174094974256</v>
      </c>
      <c r="AH286" s="700">
        <f t="shared" si="23"/>
        <v>20832.989206239272</v>
      </c>
      <c r="AI286" s="482">
        <f t="shared" si="24"/>
        <v>21332.980947189015</v>
      </c>
      <c r="AJ286" s="482"/>
      <c r="AK286" s="482"/>
      <c r="AL286" s="585">
        <v>177.92</v>
      </c>
      <c r="AM286" s="585">
        <v>6132.7900191589852</v>
      </c>
      <c r="AN286" s="581">
        <v>0</v>
      </c>
      <c r="AO286" s="581">
        <f t="shared" si="25"/>
        <v>6310.7100191589852</v>
      </c>
    </row>
    <row r="287" spans="1:41" x14ac:dyDescent="0.3">
      <c r="A287" s="476">
        <v>150000921</v>
      </c>
      <c r="B287" s="477" t="s">
        <v>328</v>
      </c>
      <c r="C287" s="478">
        <v>6129.13</v>
      </c>
      <c r="D287" s="479"/>
      <c r="E287" s="480">
        <v>45.1</v>
      </c>
      <c r="F287" s="480">
        <v>6174.2300000000005</v>
      </c>
      <c r="G287" s="481">
        <v>1824.8221796384883</v>
      </c>
      <c r="H287" s="481">
        <v>378.40183930418704</v>
      </c>
      <c r="I287" s="481">
        <v>763.26</v>
      </c>
      <c r="J287" s="481">
        <v>0</v>
      </c>
      <c r="K287" s="481">
        <v>166.96127125803071</v>
      </c>
      <c r="L287" s="481">
        <v>1739.5403227106781</v>
      </c>
      <c r="M287" s="587">
        <f t="shared" si="21"/>
        <v>0</v>
      </c>
      <c r="N287" s="481">
        <v>2199.9972772711908</v>
      </c>
      <c r="O287" s="481">
        <v>0</v>
      </c>
      <c r="P287" s="481">
        <v>0</v>
      </c>
      <c r="Q287" s="481">
        <v>1515.2282286298396</v>
      </c>
      <c r="R287" s="587">
        <f t="shared" si="22"/>
        <v>5670.1371200906478</v>
      </c>
      <c r="S287" s="481">
        <v>299.44349412688382</v>
      </c>
      <c r="T287" s="481">
        <v>487.71118283178066</v>
      </c>
      <c r="U287" s="481">
        <v>288.81991443716731</v>
      </c>
      <c r="V287" s="481">
        <v>0</v>
      </c>
      <c r="W287" s="481">
        <v>169.40589068738615</v>
      </c>
      <c r="X287" s="481">
        <v>271.26233108825579</v>
      </c>
      <c r="Y287" s="481">
        <v>0</v>
      </c>
      <c r="Z287" s="481">
        <v>4850.7024851949118</v>
      </c>
      <c r="AA287" s="481">
        <v>2921.6569203893009</v>
      </c>
      <c r="AB287" s="481">
        <v>672.21239096154284</v>
      </c>
      <c r="AC287" s="481">
        <v>314.08452902689771</v>
      </c>
      <c r="AD287" s="481">
        <v>38.665709065811271</v>
      </c>
      <c r="AE287" s="481">
        <v>854.76698309177414</v>
      </c>
      <c r="AF287" s="481">
        <v>0</v>
      </c>
      <c r="AG287" s="481">
        <v>1525.6248041882868</v>
      </c>
      <c r="AH287" s="700">
        <f t="shared" si="23"/>
        <v>25427.080069804779</v>
      </c>
      <c r="AI287" s="482">
        <f t="shared" si="24"/>
        <v>26952.704873993065</v>
      </c>
      <c r="AJ287" s="482"/>
      <c r="AK287" s="482"/>
      <c r="AL287" s="585">
        <v>182.16</v>
      </c>
      <c r="AM287" s="585">
        <v>5487.977120090648</v>
      </c>
      <c r="AN287" s="581">
        <v>0</v>
      </c>
      <c r="AO287" s="581">
        <f t="shared" si="25"/>
        <v>5670.1371200906478</v>
      </c>
    </row>
    <row r="288" spans="1:41" x14ac:dyDescent="0.3">
      <c r="A288" s="476">
        <v>150000922</v>
      </c>
      <c r="B288" s="477" t="s">
        <v>401</v>
      </c>
      <c r="C288" s="478">
        <v>4247.05</v>
      </c>
      <c r="D288" s="479">
        <v>410.5</v>
      </c>
      <c r="E288" s="480">
        <v>0</v>
      </c>
      <c r="F288" s="480">
        <v>4247.05</v>
      </c>
      <c r="G288" s="481">
        <v>1396.7054396467079</v>
      </c>
      <c r="H288" s="481">
        <v>228.6048841847753</v>
      </c>
      <c r="I288" s="481">
        <v>459.06</v>
      </c>
      <c r="J288" s="481">
        <v>114.41</v>
      </c>
      <c r="K288" s="481">
        <v>65.004820328168279</v>
      </c>
      <c r="L288" s="481">
        <v>494.47592152256118</v>
      </c>
      <c r="M288" s="587">
        <f t="shared" si="21"/>
        <v>0</v>
      </c>
      <c r="N288" s="481">
        <v>1513.3058594245128</v>
      </c>
      <c r="O288" s="481">
        <v>4800.7555319648973</v>
      </c>
      <c r="P288" s="481">
        <v>0</v>
      </c>
      <c r="Q288" s="481">
        <v>276.21347917731453</v>
      </c>
      <c r="R288" s="587">
        <f t="shared" si="22"/>
        <v>5634.8003753735511</v>
      </c>
      <c r="S288" s="481">
        <v>113.30852723468092</v>
      </c>
      <c r="T288" s="481">
        <v>151.14669366191487</v>
      </c>
      <c r="U288" s="481">
        <v>192.75612865747021</v>
      </c>
      <c r="V288" s="481">
        <v>64.104212851983064</v>
      </c>
      <c r="W288" s="481">
        <v>32.980617657691397</v>
      </c>
      <c r="X288" s="481">
        <v>55.331891859087676</v>
      </c>
      <c r="Y288" s="481">
        <v>0</v>
      </c>
      <c r="Z288" s="481">
        <v>4467.6486318553843</v>
      </c>
      <c r="AA288" s="481">
        <v>3238.5718323713136</v>
      </c>
      <c r="AB288" s="481">
        <v>431.84564670131198</v>
      </c>
      <c r="AC288" s="481">
        <v>153.1940304680904</v>
      </c>
      <c r="AD288" s="481">
        <v>18.85911359929143</v>
      </c>
      <c r="AE288" s="481">
        <v>1272.7917120490652</v>
      </c>
      <c r="AF288" s="481">
        <v>711.26595673330098</v>
      </c>
      <c r="AG288" s="481">
        <v>465.96854353181538</v>
      </c>
      <c r="AH288" s="700">
        <f t="shared" si="23"/>
        <v>25887.141307323076</v>
      </c>
      <c r="AI288" s="482">
        <f t="shared" si="24"/>
        <v>26353.109850854893</v>
      </c>
      <c r="AJ288" s="482"/>
      <c r="AK288" s="482"/>
      <c r="AL288" s="585">
        <v>50.66</v>
      </c>
      <c r="AM288" s="585">
        <v>5584.1403753735513</v>
      </c>
      <c r="AN288" s="581">
        <v>0</v>
      </c>
      <c r="AO288" s="581">
        <f t="shared" si="25"/>
        <v>5634.8003753735511</v>
      </c>
    </row>
    <row r="289" spans="1:41" x14ac:dyDescent="0.3">
      <c r="A289" s="476">
        <v>150000924</v>
      </c>
      <c r="B289" s="477" t="s">
        <v>174</v>
      </c>
      <c r="C289" s="478">
        <v>397.4</v>
      </c>
      <c r="D289" s="479"/>
      <c r="E289" s="480">
        <v>76.900000000000006</v>
      </c>
      <c r="F289" s="480">
        <v>474.29999999999995</v>
      </c>
      <c r="G289" s="481">
        <v>201.69592886967629</v>
      </c>
      <c r="H289" s="481">
        <v>54.691304110835745</v>
      </c>
      <c r="I289" s="481">
        <v>54.67</v>
      </c>
      <c r="J289" s="481">
        <v>0</v>
      </c>
      <c r="K289" s="481">
        <v>0</v>
      </c>
      <c r="L289" s="481">
        <v>100.59813170203689</v>
      </c>
      <c r="M289" s="587">
        <f t="shared" si="21"/>
        <v>0</v>
      </c>
      <c r="N289" s="481">
        <v>169.00224134988906</v>
      </c>
      <c r="O289" s="481">
        <v>0</v>
      </c>
      <c r="P289" s="481">
        <v>0</v>
      </c>
      <c r="Q289" s="481">
        <v>82.864043753194352</v>
      </c>
      <c r="R289" s="587">
        <f t="shared" si="22"/>
        <v>475.46910055247872</v>
      </c>
      <c r="S289" s="481">
        <v>34.368942899731842</v>
      </c>
      <c r="T289" s="481">
        <v>70.470758565569284</v>
      </c>
      <c r="U289" s="481">
        <v>25.033292314829822</v>
      </c>
      <c r="V289" s="481">
        <v>0</v>
      </c>
      <c r="W289" s="481">
        <v>0</v>
      </c>
      <c r="X289" s="481">
        <v>9.885650556902343</v>
      </c>
      <c r="Y289" s="481">
        <v>0</v>
      </c>
      <c r="Z289" s="481">
        <v>773.54902044273103</v>
      </c>
      <c r="AA289" s="481">
        <v>200.21823571520866</v>
      </c>
      <c r="AB289" s="481">
        <v>210.34441682985681</v>
      </c>
      <c r="AC289" s="481">
        <v>26.226818016137077</v>
      </c>
      <c r="AD289" s="481">
        <v>3.2286802481986934</v>
      </c>
      <c r="AE289" s="481">
        <v>107.62576976885478</v>
      </c>
      <c r="AF289" s="481">
        <v>0</v>
      </c>
      <c r="AG289" s="481">
        <v>0</v>
      </c>
      <c r="AH289" s="700">
        <f t="shared" si="23"/>
        <v>2599.9423356961315</v>
      </c>
      <c r="AI289" s="482">
        <f t="shared" si="24"/>
        <v>2599.9423356961315</v>
      </c>
      <c r="AJ289" s="482"/>
      <c r="AK289" s="482"/>
      <c r="AL289" s="585">
        <v>33.11</v>
      </c>
      <c r="AM289" s="585">
        <v>442.35910055247871</v>
      </c>
      <c r="AN289" s="581">
        <v>0</v>
      </c>
      <c r="AO289" s="581">
        <f t="shared" si="25"/>
        <v>475.46910055247872</v>
      </c>
    </row>
    <row r="290" spans="1:41" x14ac:dyDescent="0.3">
      <c r="A290" s="476">
        <v>150000925</v>
      </c>
      <c r="B290" s="477" t="s">
        <v>176</v>
      </c>
      <c r="C290" s="478">
        <v>366</v>
      </c>
      <c r="D290" s="479"/>
      <c r="E290" s="480">
        <v>113.4</v>
      </c>
      <c r="F290" s="480">
        <v>479.4</v>
      </c>
      <c r="G290" s="481">
        <v>201.82732400486984</v>
      </c>
      <c r="H290" s="481">
        <v>44.853147646426585</v>
      </c>
      <c r="I290" s="481">
        <v>47.93</v>
      </c>
      <c r="J290" s="481">
        <v>0</v>
      </c>
      <c r="K290" s="481">
        <v>0</v>
      </c>
      <c r="L290" s="481">
        <v>98.891409429387878</v>
      </c>
      <c r="M290" s="587">
        <f t="shared" si="21"/>
        <v>0</v>
      </c>
      <c r="N290" s="481">
        <v>170.81946975150078</v>
      </c>
      <c r="O290" s="481">
        <v>0</v>
      </c>
      <c r="P290" s="481">
        <v>0</v>
      </c>
      <c r="Q290" s="481">
        <v>71.02632321702373</v>
      </c>
      <c r="R290" s="587">
        <f t="shared" si="22"/>
        <v>588.80213509142493</v>
      </c>
      <c r="S290" s="481">
        <v>38.627080806710019</v>
      </c>
      <c r="T290" s="481">
        <v>57.821648717333993</v>
      </c>
      <c r="U290" s="481">
        <v>26.841317933491421</v>
      </c>
      <c r="V290" s="481">
        <v>0</v>
      </c>
      <c r="W290" s="481">
        <v>0</v>
      </c>
      <c r="X290" s="481">
        <v>9.8856385409863776</v>
      </c>
      <c r="Y290" s="481">
        <v>0</v>
      </c>
      <c r="Z290" s="481">
        <v>662.8281191565211</v>
      </c>
      <c r="AA290" s="481">
        <v>180.16329444182711</v>
      </c>
      <c r="AB290" s="481">
        <v>266.40586752862794</v>
      </c>
      <c r="AC290" s="481">
        <v>0</v>
      </c>
      <c r="AD290" s="481">
        <v>0</v>
      </c>
      <c r="AE290" s="481">
        <v>112.30515106315282</v>
      </c>
      <c r="AF290" s="481">
        <v>0</v>
      </c>
      <c r="AG290" s="481">
        <v>77.370837819878531</v>
      </c>
      <c r="AH290" s="700">
        <f t="shared" si="23"/>
        <v>2579.027927329284</v>
      </c>
      <c r="AI290" s="482">
        <f t="shared" si="24"/>
        <v>2656.3987651491625</v>
      </c>
      <c r="AJ290" s="482"/>
      <c r="AK290" s="482"/>
      <c r="AL290" s="585">
        <v>33.11</v>
      </c>
      <c r="AM290" s="585">
        <v>555.69213509142492</v>
      </c>
      <c r="AN290" s="581">
        <v>0</v>
      </c>
      <c r="AO290" s="581">
        <f t="shared" si="25"/>
        <v>588.80213509142493</v>
      </c>
    </row>
    <row r="291" spans="1:41" x14ac:dyDescent="0.3">
      <c r="A291" s="476">
        <v>150000926</v>
      </c>
      <c r="B291" s="477" t="s">
        <v>177</v>
      </c>
      <c r="C291" s="478">
        <v>284.10000000000002</v>
      </c>
      <c r="D291" s="479"/>
      <c r="E291" s="480">
        <v>120.4</v>
      </c>
      <c r="F291" s="480">
        <v>404.5</v>
      </c>
      <c r="G291" s="481">
        <v>119.89058087826869</v>
      </c>
      <c r="H291" s="481">
        <v>44.853147646426585</v>
      </c>
      <c r="I291" s="481">
        <v>0</v>
      </c>
      <c r="J291" s="481">
        <v>0</v>
      </c>
      <c r="K291" s="481">
        <v>0</v>
      </c>
      <c r="L291" s="481">
        <v>98.891409429387878</v>
      </c>
      <c r="M291" s="587">
        <f t="shared" si="21"/>
        <v>0</v>
      </c>
      <c r="N291" s="481">
        <v>144.13115459841899</v>
      </c>
      <c r="O291" s="481">
        <v>0</v>
      </c>
      <c r="P291" s="481">
        <v>0</v>
      </c>
      <c r="Q291" s="481">
        <v>59.188602680853108</v>
      </c>
      <c r="R291" s="587">
        <f t="shared" si="22"/>
        <v>577.19830388887806</v>
      </c>
      <c r="S291" s="481">
        <v>26.61714052703768</v>
      </c>
      <c r="T291" s="481">
        <v>57.821648717333993</v>
      </c>
      <c r="U291" s="481">
        <v>0</v>
      </c>
      <c r="V291" s="481">
        <v>0</v>
      </c>
      <c r="W291" s="481">
        <v>0</v>
      </c>
      <c r="X291" s="481">
        <v>9.8856385409863776</v>
      </c>
      <c r="Y291" s="481">
        <v>0</v>
      </c>
      <c r="Z291" s="481">
        <v>690.71740530352577</v>
      </c>
      <c r="AA291" s="481">
        <v>179.33082144339747</v>
      </c>
      <c r="AB291" s="481">
        <v>136.48518094100368</v>
      </c>
      <c r="AC291" s="481">
        <v>0</v>
      </c>
      <c r="AD291" s="481">
        <v>0</v>
      </c>
      <c r="AE291" s="481">
        <v>34.315462824852247</v>
      </c>
      <c r="AF291" s="481">
        <v>0</v>
      </c>
      <c r="AG291" s="481">
        <v>0</v>
      </c>
      <c r="AH291" s="700">
        <f t="shared" si="23"/>
        <v>2179.3264974203703</v>
      </c>
      <c r="AI291" s="482">
        <f t="shared" si="24"/>
        <v>2179.3264974203703</v>
      </c>
      <c r="AJ291" s="482"/>
      <c r="AK291" s="482"/>
      <c r="AL291" s="585">
        <v>30.94</v>
      </c>
      <c r="AM291" s="585">
        <v>546.258303888878</v>
      </c>
      <c r="AN291" s="581">
        <v>0</v>
      </c>
      <c r="AO291" s="581">
        <f t="shared" si="25"/>
        <v>577.19830388887806</v>
      </c>
    </row>
    <row r="292" spans="1:41" x14ac:dyDescent="0.3">
      <c r="A292" s="476">
        <v>150000927</v>
      </c>
      <c r="B292" s="477" t="s">
        <v>178</v>
      </c>
      <c r="C292" s="478">
        <v>418.2</v>
      </c>
      <c r="D292" s="479"/>
      <c r="E292" s="480">
        <v>184.7</v>
      </c>
      <c r="F292" s="480">
        <v>602.9</v>
      </c>
      <c r="G292" s="481">
        <v>237.57565913576701</v>
      </c>
      <c r="H292" s="481">
        <v>59.302693346970095</v>
      </c>
      <c r="I292" s="481">
        <v>75.36</v>
      </c>
      <c r="J292" s="481">
        <v>0</v>
      </c>
      <c r="K292" s="481">
        <v>0</v>
      </c>
      <c r="L292" s="481">
        <v>100.59813170203689</v>
      </c>
      <c r="M292" s="587">
        <f t="shared" si="21"/>
        <v>0</v>
      </c>
      <c r="N292" s="481">
        <v>214.82490261405886</v>
      </c>
      <c r="O292" s="481">
        <v>0</v>
      </c>
      <c r="P292" s="481">
        <v>0</v>
      </c>
      <c r="Q292" s="481">
        <v>94.701764289364974</v>
      </c>
      <c r="R292" s="587">
        <f t="shared" si="22"/>
        <v>654.5127686841879</v>
      </c>
      <c r="S292" s="481">
        <v>45.828047804636768</v>
      </c>
      <c r="T292" s="481">
        <v>76.443281957425015</v>
      </c>
      <c r="U292" s="481">
        <v>38.788729065541695</v>
      </c>
      <c r="V292" s="481">
        <v>0</v>
      </c>
      <c r="W292" s="481">
        <v>0</v>
      </c>
      <c r="X292" s="481">
        <v>9.885650556902343</v>
      </c>
      <c r="Y292" s="481">
        <v>0</v>
      </c>
      <c r="Z292" s="481">
        <v>480.94289145069962</v>
      </c>
      <c r="AA292" s="481">
        <v>497.64958379334286</v>
      </c>
      <c r="AB292" s="481">
        <v>156.33398101303035</v>
      </c>
      <c r="AC292" s="481">
        <v>50.002531544784709</v>
      </c>
      <c r="AD292" s="481">
        <v>6.1556146788087229</v>
      </c>
      <c r="AE292" s="481">
        <v>87.348450826896624</v>
      </c>
      <c r="AF292" s="481">
        <v>0</v>
      </c>
      <c r="AG292" s="481">
        <v>51.952584284360192</v>
      </c>
      <c r="AH292" s="700">
        <f t="shared" si="23"/>
        <v>2886.2546824644551</v>
      </c>
      <c r="AI292" s="482">
        <f t="shared" si="24"/>
        <v>2938.2072667488151</v>
      </c>
      <c r="AJ292" s="482"/>
      <c r="AK292" s="482"/>
      <c r="AL292" s="585">
        <v>80.08</v>
      </c>
      <c r="AM292" s="585">
        <v>574.43276868418786</v>
      </c>
      <c r="AN292" s="581">
        <v>0</v>
      </c>
      <c r="AO292" s="581">
        <f t="shared" si="25"/>
        <v>654.5127686841879</v>
      </c>
    </row>
    <row r="293" spans="1:41" x14ac:dyDescent="0.3">
      <c r="A293" s="476">
        <v>150000928</v>
      </c>
      <c r="B293" s="477" t="s">
        <v>169</v>
      </c>
      <c r="C293" s="478">
        <v>234.6</v>
      </c>
      <c r="D293" s="479"/>
      <c r="E293" s="480">
        <v>244.6</v>
      </c>
      <c r="F293" s="480">
        <v>479.2</v>
      </c>
      <c r="G293" s="481">
        <v>214.94985513167128</v>
      </c>
      <c r="H293" s="481">
        <v>46.875056045642026</v>
      </c>
      <c r="I293" s="481">
        <v>54.37</v>
      </c>
      <c r="J293" s="481">
        <v>0</v>
      </c>
      <c r="K293" s="481">
        <v>0</v>
      </c>
      <c r="L293" s="481">
        <v>98.891409429387878</v>
      </c>
      <c r="M293" s="587">
        <f t="shared" si="21"/>
        <v>0</v>
      </c>
      <c r="N293" s="481">
        <v>170.74820589261404</v>
      </c>
      <c r="O293" s="481">
        <v>0</v>
      </c>
      <c r="P293" s="481">
        <v>0</v>
      </c>
      <c r="Q293" s="481">
        <v>59.188602680853108</v>
      </c>
      <c r="R293" s="587">
        <f t="shared" si="22"/>
        <v>528.25752016418949</v>
      </c>
      <c r="S293" s="481">
        <v>41.537528062081215</v>
      </c>
      <c r="T293" s="481">
        <v>60.429174447106327</v>
      </c>
      <c r="U293" s="481">
        <v>25.127801682442445</v>
      </c>
      <c r="V293" s="481">
        <v>0</v>
      </c>
      <c r="W293" s="481">
        <v>0</v>
      </c>
      <c r="X293" s="481">
        <v>9.8856385409863776</v>
      </c>
      <c r="Y293" s="481">
        <v>0</v>
      </c>
      <c r="Z293" s="481">
        <v>581.39940469284295</v>
      </c>
      <c r="AA293" s="481">
        <v>232.72822952411272</v>
      </c>
      <c r="AB293" s="481">
        <v>159.22127669958698</v>
      </c>
      <c r="AC293" s="481">
        <v>0</v>
      </c>
      <c r="AD293" s="481">
        <v>0</v>
      </c>
      <c r="AE293" s="481">
        <v>77.989688238300573</v>
      </c>
      <c r="AF293" s="481">
        <v>0</v>
      </c>
      <c r="AG293" s="481">
        <v>42.508789042172708</v>
      </c>
      <c r="AH293" s="700">
        <f t="shared" si="23"/>
        <v>2361.5993912318172</v>
      </c>
      <c r="AI293" s="482">
        <f t="shared" si="24"/>
        <v>2404.10818027399</v>
      </c>
      <c r="AJ293" s="482"/>
      <c r="AK293" s="482"/>
      <c r="AL293" s="585">
        <v>33.74</v>
      </c>
      <c r="AM293" s="585">
        <v>494.51752016418948</v>
      </c>
      <c r="AN293" s="581">
        <v>0</v>
      </c>
      <c r="AO293" s="581">
        <f t="shared" si="25"/>
        <v>528.25752016418949</v>
      </c>
    </row>
    <row r="294" spans="1:41" x14ac:dyDescent="0.3">
      <c r="A294" s="476">
        <v>150000929</v>
      </c>
      <c r="B294" s="477" t="s">
        <v>1096</v>
      </c>
      <c r="C294" s="478">
        <v>170.2</v>
      </c>
      <c r="D294" s="479"/>
      <c r="E294" s="480">
        <v>318.60000000000002</v>
      </c>
      <c r="F294" s="480">
        <v>488.8</v>
      </c>
      <c r="G294" s="481">
        <v>225.50154479055126</v>
      </c>
      <c r="H294" s="481">
        <v>46.875056045642026</v>
      </c>
      <c r="I294" s="481">
        <v>0</v>
      </c>
      <c r="J294" s="481">
        <v>0</v>
      </c>
      <c r="K294" s="481">
        <v>0</v>
      </c>
      <c r="L294" s="481">
        <v>98.891409429387878</v>
      </c>
      <c r="M294" s="587">
        <f t="shared" si="21"/>
        <v>0</v>
      </c>
      <c r="N294" s="481">
        <v>174.16887111917728</v>
      </c>
      <c r="O294" s="481">
        <v>0</v>
      </c>
      <c r="P294" s="481">
        <v>0</v>
      </c>
      <c r="Q294" s="481">
        <v>23.675441072341243</v>
      </c>
      <c r="R294" s="587">
        <f t="shared" si="22"/>
        <v>677.76651307763382</v>
      </c>
      <c r="S294" s="481">
        <v>46.562148521513521</v>
      </c>
      <c r="T294" s="481">
        <v>60.429174447106327</v>
      </c>
      <c r="U294" s="481">
        <v>0</v>
      </c>
      <c r="V294" s="481">
        <v>0</v>
      </c>
      <c r="W294" s="481">
        <v>0</v>
      </c>
      <c r="X294" s="481">
        <v>9.8856385409863776</v>
      </c>
      <c r="Y294" s="481">
        <v>0</v>
      </c>
      <c r="Z294" s="481">
        <v>654.69286021947528</v>
      </c>
      <c r="AA294" s="481">
        <v>166.42441509770126</v>
      </c>
      <c r="AB294" s="481">
        <v>136.36468674323365</v>
      </c>
      <c r="AC294" s="481">
        <v>0</v>
      </c>
      <c r="AD294" s="481">
        <v>0</v>
      </c>
      <c r="AE294" s="481">
        <v>9.3587625885960666</v>
      </c>
      <c r="AF294" s="481">
        <v>0</v>
      </c>
      <c r="AG294" s="481">
        <v>0</v>
      </c>
      <c r="AH294" s="700">
        <f t="shared" si="23"/>
        <v>2330.5965216933459</v>
      </c>
      <c r="AI294" s="482">
        <f t="shared" si="24"/>
        <v>2330.5965216933459</v>
      </c>
      <c r="AJ294" s="482"/>
      <c r="AK294" s="482"/>
      <c r="AL294" s="585">
        <v>39.369999999999997</v>
      </c>
      <c r="AM294" s="585">
        <v>638.39651307763381</v>
      </c>
      <c r="AN294" s="581">
        <v>0</v>
      </c>
      <c r="AO294" s="581">
        <f t="shared" si="25"/>
        <v>677.76651307763382</v>
      </c>
    </row>
    <row r="295" spans="1:41" x14ac:dyDescent="0.3">
      <c r="A295" s="476">
        <v>150000930</v>
      </c>
      <c r="B295" s="477" t="s">
        <v>172</v>
      </c>
      <c r="C295" s="478">
        <v>239.5</v>
      </c>
      <c r="D295" s="479"/>
      <c r="E295" s="480">
        <v>88.4</v>
      </c>
      <c r="F295" s="480">
        <v>327.9</v>
      </c>
      <c r="G295" s="481">
        <v>71.30464882224291</v>
      </c>
      <c r="H295" s="481">
        <v>28.356606255025596</v>
      </c>
      <c r="I295" s="481">
        <v>41.44</v>
      </c>
      <c r="J295" s="481">
        <v>0</v>
      </c>
      <c r="K295" s="481">
        <v>0</v>
      </c>
      <c r="L295" s="481">
        <v>35.431778307452454</v>
      </c>
      <c r="M295" s="587">
        <f t="shared" si="21"/>
        <v>0</v>
      </c>
      <c r="N295" s="481">
        <v>116.83709664479997</v>
      </c>
      <c r="O295" s="481">
        <v>0</v>
      </c>
      <c r="P295" s="481">
        <v>0</v>
      </c>
      <c r="Q295" s="481">
        <v>71.02632321702373</v>
      </c>
      <c r="R295" s="587">
        <f t="shared" si="22"/>
        <v>331.51404941242919</v>
      </c>
      <c r="S295" s="481">
        <v>27.658508415781853</v>
      </c>
      <c r="T295" s="481">
        <v>36.539121725008329</v>
      </c>
      <c r="U295" s="481">
        <v>19.667271281263659</v>
      </c>
      <c r="V295" s="481">
        <v>0</v>
      </c>
      <c r="W295" s="481">
        <v>0</v>
      </c>
      <c r="X295" s="481">
        <v>4.9307126480382886</v>
      </c>
      <c r="Y295" s="481">
        <v>0</v>
      </c>
      <c r="Z295" s="481">
        <v>577.20529544262854</v>
      </c>
      <c r="AA295" s="481">
        <v>299.93477658771633</v>
      </c>
      <c r="AB295" s="481">
        <v>137.48036804739345</v>
      </c>
      <c r="AC295" s="481">
        <v>14.951737373685624</v>
      </c>
      <c r="AD295" s="481">
        <v>1.8406494872908439</v>
      </c>
      <c r="AE295" s="481">
        <v>9.3587625885960666</v>
      </c>
      <c r="AF295" s="481">
        <v>0</v>
      </c>
      <c r="AG295" s="481">
        <v>54.764331187691305</v>
      </c>
      <c r="AH295" s="700">
        <f t="shared" si="23"/>
        <v>1825.4777062563769</v>
      </c>
      <c r="AI295" s="482">
        <f t="shared" si="24"/>
        <v>1880.2420374440683</v>
      </c>
      <c r="AJ295" s="482"/>
      <c r="AK295" s="482"/>
      <c r="AL295" s="585">
        <v>34.729999999999997</v>
      </c>
      <c r="AM295" s="585">
        <v>296.78404941242917</v>
      </c>
      <c r="AN295" s="581">
        <v>0</v>
      </c>
      <c r="AO295" s="581">
        <f t="shared" si="25"/>
        <v>331.51404941242919</v>
      </c>
    </row>
    <row r="296" spans="1:41" x14ac:dyDescent="0.3">
      <c r="A296" s="476">
        <v>150000931</v>
      </c>
      <c r="B296" s="477" t="s">
        <v>266</v>
      </c>
      <c r="C296" s="478">
        <v>2128.4299999999998</v>
      </c>
      <c r="D296" s="479"/>
      <c r="E296" s="480">
        <v>163.9</v>
      </c>
      <c r="F296" s="480">
        <v>2292.33</v>
      </c>
      <c r="G296" s="481">
        <v>663.74160191982185</v>
      </c>
      <c r="H296" s="481">
        <v>137.81374113577408</v>
      </c>
      <c r="I296" s="481">
        <v>258.68</v>
      </c>
      <c r="J296" s="481">
        <v>65.27</v>
      </c>
      <c r="K296" s="481">
        <v>44.322556752048527</v>
      </c>
      <c r="L296" s="481">
        <v>492.8322558004823</v>
      </c>
      <c r="M296" s="587">
        <f t="shared" si="21"/>
        <v>0</v>
      </c>
      <c r="N296" s="481">
        <v>816.80140820913175</v>
      </c>
      <c r="O296" s="481">
        <v>0</v>
      </c>
      <c r="P296" s="481">
        <v>0</v>
      </c>
      <c r="Q296" s="481">
        <v>145.99855327943766</v>
      </c>
      <c r="R296" s="587">
        <f t="shared" si="22"/>
        <v>1869.4176888513305</v>
      </c>
      <c r="S296" s="481">
        <v>117.41713217559764</v>
      </c>
      <c r="T296" s="481">
        <v>177.63599736200752</v>
      </c>
      <c r="U296" s="481">
        <v>145.94221368316323</v>
      </c>
      <c r="V296" s="481">
        <v>74.377504824883587</v>
      </c>
      <c r="W296" s="481">
        <v>44.980177589529568</v>
      </c>
      <c r="X296" s="481">
        <v>64.863845432626519</v>
      </c>
      <c r="Y296" s="481">
        <v>0</v>
      </c>
      <c r="Z296" s="481">
        <v>1996.0643666674343</v>
      </c>
      <c r="AA296" s="481">
        <v>1976.9241456556797</v>
      </c>
      <c r="AB296" s="481">
        <v>1553.126296386828</v>
      </c>
      <c r="AC296" s="481">
        <v>164.22400066179293</v>
      </c>
      <c r="AD296" s="481">
        <v>20.216969778440415</v>
      </c>
      <c r="AE296" s="481">
        <v>349.3938033075865</v>
      </c>
      <c r="AF296" s="481">
        <v>0</v>
      </c>
      <c r="AG296" s="481">
        <v>0</v>
      </c>
      <c r="AH296" s="700">
        <f t="shared" si="23"/>
        <v>11180.044259473596</v>
      </c>
      <c r="AI296" s="482">
        <f t="shared" si="24"/>
        <v>11180.044259473596</v>
      </c>
      <c r="AJ296" s="482"/>
      <c r="AK296" s="482"/>
      <c r="AL296" s="585">
        <v>50.66</v>
      </c>
      <c r="AM296" s="585">
        <v>1818.7576888513304</v>
      </c>
      <c r="AN296" s="581">
        <v>0</v>
      </c>
      <c r="AO296" s="581">
        <f t="shared" si="25"/>
        <v>1869.4176888513305</v>
      </c>
    </row>
    <row r="297" spans="1:41" x14ac:dyDescent="0.3">
      <c r="A297" s="476">
        <v>150000932</v>
      </c>
      <c r="B297" s="477" t="s">
        <v>173</v>
      </c>
      <c r="C297" s="478">
        <v>354.3</v>
      </c>
      <c r="D297" s="479"/>
      <c r="E297" s="480"/>
      <c r="F297" s="480">
        <v>354.3</v>
      </c>
      <c r="G297" s="481">
        <v>36.485929913097976</v>
      </c>
      <c r="H297" s="481">
        <v>20.170298149918619</v>
      </c>
      <c r="I297" s="481">
        <v>40.31</v>
      </c>
      <c r="J297" s="481">
        <v>0</v>
      </c>
      <c r="K297" s="481">
        <v>0</v>
      </c>
      <c r="L297" s="481">
        <v>18.526704231024492</v>
      </c>
      <c r="M297" s="587">
        <f t="shared" si="21"/>
        <v>0</v>
      </c>
      <c r="N297" s="481">
        <v>126.24392601784884</v>
      </c>
      <c r="O297" s="481">
        <v>0</v>
      </c>
      <c r="P297" s="481">
        <v>0</v>
      </c>
      <c r="Q297" s="481">
        <v>193.34943542412014</v>
      </c>
      <c r="R297" s="587">
        <f t="shared" si="22"/>
        <v>224.09414895619801</v>
      </c>
      <c r="S297" s="481">
        <v>25.178429673877201</v>
      </c>
      <c r="T297" s="481">
        <v>26.002241915669433</v>
      </c>
      <c r="U297" s="481">
        <v>20.942872772732155</v>
      </c>
      <c r="V297" s="481">
        <v>0</v>
      </c>
      <c r="W297" s="481">
        <v>0</v>
      </c>
      <c r="X297" s="481">
        <v>0.14160744479917076</v>
      </c>
      <c r="Y297" s="481">
        <v>0</v>
      </c>
      <c r="Z297" s="481">
        <v>621.21684512789716</v>
      </c>
      <c r="AA297" s="481">
        <v>22.735622258304005</v>
      </c>
      <c r="AB297" s="481">
        <v>188.96892647377376</v>
      </c>
      <c r="AC297" s="481">
        <v>0</v>
      </c>
      <c r="AD297" s="481">
        <v>0</v>
      </c>
      <c r="AE297" s="481">
        <v>0</v>
      </c>
      <c r="AF297" s="481">
        <v>0</v>
      </c>
      <c r="AG297" s="481">
        <v>28.158605790466691</v>
      </c>
      <c r="AH297" s="700">
        <f t="shared" si="23"/>
        <v>1564.3669883592609</v>
      </c>
      <c r="AI297" s="482">
        <f t="shared" si="24"/>
        <v>1592.5255941497276</v>
      </c>
      <c r="AJ297" s="482"/>
      <c r="AK297" s="482"/>
      <c r="AL297" s="585">
        <v>68.06</v>
      </c>
      <c r="AM297" s="585">
        <v>156.03414895619801</v>
      </c>
      <c r="AN297" s="581">
        <v>0</v>
      </c>
      <c r="AO297" s="581">
        <f t="shared" si="25"/>
        <v>224.09414895619801</v>
      </c>
    </row>
    <row r="298" spans="1:41" x14ac:dyDescent="0.3">
      <c r="A298" s="476">
        <v>150000933</v>
      </c>
      <c r="B298" s="477" t="s">
        <v>267</v>
      </c>
      <c r="C298" s="478">
        <v>4358.7700000000004</v>
      </c>
      <c r="D298" s="479"/>
      <c r="E298" s="480">
        <v>376.3</v>
      </c>
      <c r="F298" s="480">
        <v>4735.0700000000006</v>
      </c>
      <c r="G298" s="481">
        <v>1169.2256863962887</v>
      </c>
      <c r="H298" s="481">
        <v>240.68693605795789</v>
      </c>
      <c r="I298" s="481">
        <v>539.11</v>
      </c>
      <c r="J298" s="481">
        <v>128.52000000000001</v>
      </c>
      <c r="K298" s="481">
        <v>73.878990818245256</v>
      </c>
      <c r="L298" s="481">
        <v>888.65976922740185</v>
      </c>
      <c r="M298" s="587">
        <f t="shared" si="21"/>
        <v>0</v>
      </c>
      <c r="N298" s="481">
        <v>1687.1968014940319</v>
      </c>
      <c r="O298" s="481">
        <v>0</v>
      </c>
      <c r="P298" s="481">
        <v>0</v>
      </c>
      <c r="Q298" s="481">
        <v>311.72664078582642</v>
      </c>
      <c r="R298" s="587">
        <f t="shared" si="22"/>
        <v>4381.5345620751277</v>
      </c>
      <c r="S298" s="481">
        <v>195.16923752252302</v>
      </c>
      <c r="T298" s="481">
        <v>310.2063144358163</v>
      </c>
      <c r="U298" s="481">
        <v>287.72502417210433</v>
      </c>
      <c r="V298" s="481">
        <v>135.65540363497172</v>
      </c>
      <c r="W298" s="481">
        <v>74.942692264072917</v>
      </c>
      <c r="X298" s="481">
        <v>126.19025656078298</v>
      </c>
      <c r="Y298" s="481">
        <v>0</v>
      </c>
      <c r="Z298" s="481">
        <v>5743.7463986046259</v>
      </c>
      <c r="AA298" s="481">
        <v>2561.0029200437871</v>
      </c>
      <c r="AB298" s="481">
        <v>1321.3402385478025</v>
      </c>
      <c r="AC298" s="481">
        <v>226.2369441952759</v>
      </c>
      <c r="AD298" s="481">
        <v>27.851138963433591</v>
      </c>
      <c r="AE298" s="481">
        <v>733.10306944002537</v>
      </c>
      <c r="AF298" s="481">
        <v>0</v>
      </c>
      <c r="AG298" s="481">
        <v>507.9290166057624</v>
      </c>
      <c r="AH298" s="700">
        <f t="shared" si="23"/>
        <v>21163.709025240099</v>
      </c>
      <c r="AI298" s="482">
        <f t="shared" si="24"/>
        <v>21671.638041845861</v>
      </c>
      <c r="AJ298" s="482"/>
      <c r="AK298" s="482"/>
      <c r="AL298" s="585">
        <v>100.77</v>
      </c>
      <c r="AM298" s="585">
        <v>4280.7645620751273</v>
      </c>
      <c r="AN298" s="581">
        <v>0</v>
      </c>
      <c r="AO298" s="581">
        <f t="shared" si="25"/>
        <v>4381.5345620751277</v>
      </c>
    </row>
    <row r="299" spans="1:41" x14ac:dyDescent="0.3">
      <c r="A299" s="476">
        <v>150000934</v>
      </c>
      <c r="B299" s="477" t="s">
        <v>215</v>
      </c>
      <c r="C299" s="478">
        <v>1981.17</v>
      </c>
      <c r="D299" s="479"/>
      <c r="E299" s="480"/>
      <c r="F299" s="480">
        <v>1981.17</v>
      </c>
      <c r="G299" s="481">
        <v>549.84232833810518</v>
      </c>
      <c r="H299" s="481">
        <v>78.116717363747711</v>
      </c>
      <c r="I299" s="481">
        <v>212.44</v>
      </c>
      <c r="J299" s="481">
        <v>0</v>
      </c>
      <c r="K299" s="481">
        <v>0</v>
      </c>
      <c r="L299" s="481">
        <v>385.0845420892756</v>
      </c>
      <c r="M299" s="587">
        <f t="shared" si="21"/>
        <v>0</v>
      </c>
      <c r="N299" s="481">
        <v>705.92909655315145</v>
      </c>
      <c r="O299" s="481">
        <v>0</v>
      </c>
      <c r="P299" s="481">
        <v>0</v>
      </c>
      <c r="Q299" s="481">
        <v>426.15793930214238</v>
      </c>
      <c r="R299" s="587">
        <f t="shared" si="22"/>
        <v>1494.1285285410243</v>
      </c>
      <c r="S299" s="481">
        <v>93.973235344287261</v>
      </c>
      <c r="T299" s="481">
        <v>100.6974605590315</v>
      </c>
      <c r="U299" s="481">
        <v>130.57305599791877</v>
      </c>
      <c r="V299" s="481">
        <v>0</v>
      </c>
      <c r="W299" s="481">
        <v>0</v>
      </c>
      <c r="X299" s="481">
        <v>49.468905067871262</v>
      </c>
      <c r="Y299" s="481">
        <v>0</v>
      </c>
      <c r="Z299" s="481">
        <v>2645.3540300824889</v>
      </c>
      <c r="AA299" s="481">
        <v>1223.927906025531</v>
      </c>
      <c r="AB299" s="481">
        <v>774.66867819156687</v>
      </c>
      <c r="AC299" s="481">
        <v>0</v>
      </c>
      <c r="AD299" s="481">
        <v>0</v>
      </c>
      <c r="AE299" s="481">
        <v>550.60719896240198</v>
      </c>
      <c r="AF299" s="481">
        <v>0</v>
      </c>
      <c r="AG299" s="481">
        <v>282.62908867255635</v>
      </c>
      <c r="AH299" s="700">
        <f t="shared" si="23"/>
        <v>9420.9696224185445</v>
      </c>
      <c r="AI299" s="482">
        <f t="shared" si="24"/>
        <v>9703.598711091101</v>
      </c>
      <c r="AJ299" s="482"/>
      <c r="AK299" s="482"/>
      <c r="AL299" s="585">
        <v>53.81</v>
      </c>
      <c r="AM299" s="585">
        <v>1440.3185285410243</v>
      </c>
      <c r="AN299" s="581">
        <v>0</v>
      </c>
      <c r="AO299" s="581">
        <f t="shared" si="25"/>
        <v>1494.1285285410243</v>
      </c>
    </row>
    <row r="300" spans="1:41" x14ac:dyDescent="0.3">
      <c r="A300" s="476">
        <v>150000935</v>
      </c>
      <c r="B300" s="477" t="s">
        <v>175</v>
      </c>
      <c r="C300" s="478">
        <v>286.2</v>
      </c>
      <c r="D300" s="479"/>
      <c r="E300" s="480"/>
      <c r="F300" s="480">
        <v>286.2</v>
      </c>
      <c r="G300" s="481">
        <v>46.634542939472631</v>
      </c>
      <c r="H300" s="481">
        <v>23.326575363366956</v>
      </c>
      <c r="I300" s="481">
        <v>31.96</v>
      </c>
      <c r="J300" s="481">
        <v>0</v>
      </c>
      <c r="K300" s="481">
        <v>0</v>
      </c>
      <c r="L300" s="481">
        <v>34.799623647132087</v>
      </c>
      <c r="M300" s="587">
        <f t="shared" si="21"/>
        <v>0</v>
      </c>
      <c r="N300" s="481">
        <v>101.97858206691599</v>
      </c>
      <c r="O300" s="481">
        <v>0</v>
      </c>
      <c r="P300" s="481">
        <v>0</v>
      </c>
      <c r="Q300" s="481">
        <v>71.02632321702373</v>
      </c>
      <c r="R300" s="587">
        <f t="shared" si="22"/>
        <v>375.53294492612025</v>
      </c>
      <c r="S300" s="481">
        <v>30.542493951386575</v>
      </c>
      <c r="T300" s="481">
        <v>30.071343487601602</v>
      </c>
      <c r="U300" s="481">
        <v>12.928319270847954</v>
      </c>
      <c r="V300" s="481">
        <v>0</v>
      </c>
      <c r="W300" s="481">
        <v>0</v>
      </c>
      <c r="X300" s="481">
        <v>4.9307049677091603</v>
      </c>
      <c r="Y300" s="481">
        <v>0</v>
      </c>
      <c r="Z300" s="481">
        <v>477.66060003494476</v>
      </c>
      <c r="AA300" s="481">
        <v>95.141324985855391</v>
      </c>
      <c r="AB300" s="481">
        <v>129.97380226409985</v>
      </c>
      <c r="AC300" s="481">
        <v>0</v>
      </c>
      <c r="AD300" s="481">
        <v>0</v>
      </c>
      <c r="AE300" s="481">
        <v>93.587625885960662</v>
      </c>
      <c r="AF300" s="481">
        <v>0</v>
      </c>
      <c r="AG300" s="481">
        <v>0</v>
      </c>
      <c r="AH300" s="700">
        <f t="shared" si="23"/>
        <v>1560.0948070084378</v>
      </c>
      <c r="AI300" s="482">
        <f t="shared" si="24"/>
        <v>1560.0948070084378</v>
      </c>
      <c r="AJ300" s="482"/>
      <c r="AK300" s="482"/>
      <c r="AL300" s="585">
        <v>8.69</v>
      </c>
      <c r="AM300" s="585">
        <v>366.84294492612025</v>
      </c>
      <c r="AN300" s="581">
        <v>0</v>
      </c>
      <c r="AO300" s="581">
        <f t="shared" si="25"/>
        <v>375.53294492612025</v>
      </c>
    </row>
    <row r="301" spans="1:41" x14ac:dyDescent="0.3">
      <c r="A301" s="476">
        <v>150000936</v>
      </c>
      <c r="B301" s="477" t="s">
        <v>121</v>
      </c>
      <c r="C301" s="478">
        <v>341.75</v>
      </c>
      <c r="D301" s="483"/>
      <c r="E301" s="480"/>
      <c r="F301" s="480">
        <v>341.75</v>
      </c>
      <c r="G301" s="481">
        <v>0</v>
      </c>
      <c r="H301" s="481">
        <v>0</v>
      </c>
      <c r="I301" s="481">
        <v>0</v>
      </c>
      <c r="J301" s="481">
        <v>0</v>
      </c>
      <c r="K301" s="481">
        <v>0</v>
      </c>
      <c r="L301" s="481">
        <v>0</v>
      </c>
      <c r="M301" s="587">
        <f t="shared" si="21"/>
        <v>0</v>
      </c>
      <c r="N301" s="481">
        <v>0</v>
      </c>
      <c r="O301" s="481">
        <v>0</v>
      </c>
      <c r="P301" s="481">
        <v>0</v>
      </c>
      <c r="Q301" s="481">
        <v>47.350882144682487</v>
      </c>
      <c r="R301" s="587">
        <f t="shared" si="22"/>
        <v>310.37103400093702</v>
      </c>
      <c r="S301" s="481">
        <v>0</v>
      </c>
      <c r="T301" s="481">
        <v>0</v>
      </c>
      <c r="U301" s="481">
        <v>0</v>
      </c>
      <c r="V301" s="481">
        <v>0</v>
      </c>
      <c r="W301" s="481">
        <v>0</v>
      </c>
      <c r="X301" s="481">
        <v>0</v>
      </c>
      <c r="Y301" s="481">
        <v>0</v>
      </c>
      <c r="Z301" s="481">
        <v>0</v>
      </c>
      <c r="AA301" s="481">
        <v>0</v>
      </c>
      <c r="AB301" s="481">
        <v>0</v>
      </c>
      <c r="AC301" s="481">
        <v>0</v>
      </c>
      <c r="AD301" s="481">
        <v>0</v>
      </c>
      <c r="AE301" s="481">
        <v>0</v>
      </c>
      <c r="AF301" s="481">
        <v>0</v>
      </c>
      <c r="AG301" s="481">
        <v>10.731657484368585</v>
      </c>
      <c r="AH301" s="700">
        <f t="shared" si="23"/>
        <v>357.7219161456195</v>
      </c>
      <c r="AI301" s="482">
        <f t="shared" si="24"/>
        <v>368.45357362998811</v>
      </c>
      <c r="AJ301" s="482"/>
      <c r="AK301" s="482"/>
      <c r="AL301" s="585">
        <v>29.35</v>
      </c>
      <c r="AM301" s="585">
        <v>281.02103400093699</v>
      </c>
      <c r="AN301" s="581">
        <v>0</v>
      </c>
      <c r="AO301" s="581">
        <f t="shared" si="25"/>
        <v>310.37103400093702</v>
      </c>
    </row>
    <row r="302" spans="1:41" x14ac:dyDescent="0.3">
      <c r="A302" s="476">
        <v>150000937</v>
      </c>
      <c r="B302" s="477" t="s">
        <v>374</v>
      </c>
      <c r="C302" s="478">
        <v>3813.3</v>
      </c>
      <c r="D302" s="479">
        <v>407.65</v>
      </c>
      <c r="E302" s="480"/>
      <c r="F302" s="480">
        <v>3813.3</v>
      </c>
      <c r="G302" s="481">
        <v>483.62287421012769</v>
      </c>
      <c r="H302" s="481">
        <v>187.05935440814824</v>
      </c>
      <c r="I302" s="481">
        <v>441.65</v>
      </c>
      <c r="J302" s="481">
        <v>103.69</v>
      </c>
      <c r="K302" s="481">
        <v>96.040310039594488</v>
      </c>
      <c r="L302" s="481">
        <v>745.71691375995658</v>
      </c>
      <c r="M302" s="587">
        <f t="shared" si="21"/>
        <v>0</v>
      </c>
      <c r="N302" s="481">
        <v>1358.752365463909</v>
      </c>
      <c r="O302" s="481">
        <v>2482.0329695679497</v>
      </c>
      <c r="P302" s="481">
        <v>0</v>
      </c>
      <c r="Q302" s="481">
        <v>284.10529286809492</v>
      </c>
      <c r="R302" s="587">
        <f t="shared" si="22"/>
        <v>5142.0898511199202</v>
      </c>
      <c r="S302" s="481">
        <v>50.751437500781456</v>
      </c>
      <c r="T302" s="481">
        <v>110.17768471433241</v>
      </c>
      <c r="U302" s="481">
        <v>115.21303453331467</v>
      </c>
      <c r="V302" s="481">
        <v>56.038785161897842</v>
      </c>
      <c r="W302" s="481">
        <v>48.716400740750082</v>
      </c>
      <c r="X302" s="481">
        <v>71.440070363248523</v>
      </c>
      <c r="Y302" s="481">
        <v>48.331614739655492</v>
      </c>
      <c r="Z302" s="481">
        <v>4834.6710245209706</v>
      </c>
      <c r="AA302" s="481">
        <v>2490.3882586436212</v>
      </c>
      <c r="AB302" s="481">
        <v>908.87331655057585</v>
      </c>
      <c r="AC302" s="481">
        <v>78.435343599662289</v>
      </c>
      <c r="AD302" s="481">
        <v>9.6558661628372136</v>
      </c>
      <c r="AE302" s="481">
        <v>714.38554426283315</v>
      </c>
      <c r="AF302" s="481">
        <v>1119.9319231019961</v>
      </c>
      <c r="AG302" s="481">
        <v>395.67186424861518</v>
      </c>
      <c r="AH302" s="700">
        <f t="shared" si="23"/>
        <v>21981.770236034179</v>
      </c>
      <c r="AI302" s="482">
        <f t="shared" si="24"/>
        <v>22377.442100282795</v>
      </c>
      <c r="AJ302" s="482"/>
      <c r="AK302" s="482"/>
      <c r="AL302" s="585">
        <v>78.22</v>
      </c>
      <c r="AM302" s="585">
        <v>5063.86985111992</v>
      </c>
      <c r="AN302" s="581">
        <v>0</v>
      </c>
      <c r="AO302" s="581">
        <f t="shared" si="25"/>
        <v>5142.0898511199202</v>
      </c>
    </row>
    <row r="303" spans="1:41" x14ac:dyDescent="0.3">
      <c r="A303" s="476">
        <v>150000938</v>
      </c>
      <c r="B303" s="477" t="s">
        <v>375</v>
      </c>
      <c r="C303" s="478">
        <v>14576.67</v>
      </c>
      <c r="D303" s="479">
        <v>1189.72</v>
      </c>
      <c r="E303" s="480">
        <v>855.7</v>
      </c>
      <c r="F303" s="480">
        <v>15432.37</v>
      </c>
      <c r="G303" s="481">
        <v>4446.6763588896129</v>
      </c>
      <c r="H303" s="481">
        <v>691.93692420594834</v>
      </c>
      <c r="I303" s="481">
        <v>1873.78</v>
      </c>
      <c r="J303" s="481">
        <v>417.97</v>
      </c>
      <c r="K303" s="481">
        <v>227.55319503565363</v>
      </c>
      <c r="L303" s="481">
        <v>2941.3305107134365</v>
      </c>
      <c r="M303" s="587">
        <f t="shared" si="21"/>
        <v>0</v>
      </c>
      <c r="N303" s="481">
        <v>5498.8511898393162</v>
      </c>
      <c r="O303" s="481">
        <v>9470.9117602827446</v>
      </c>
      <c r="P303" s="481">
        <v>0</v>
      </c>
      <c r="Q303" s="481">
        <v>966.7471771206009</v>
      </c>
      <c r="R303" s="587">
        <f t="shared" si="22"/>
        <v>19167.893111883033</v>
      </c>
      <c r="S303" s="481">
        <v>343.7844634990484</v>
      </c>
      <c r="T303" s="481">
        <v>426.36688302528813</v>
      </c>
      <c r="U303" s="481">
        <v>409.29926140646683</v>
      </c>
      <c r="V303" s="481">
        <v>226.23768326117096</v>
      </c>
      <c r="W303" s="481">
        <v>115.43212095659494</v>
      </c>
      <c r="X303" s="481">
        <v>364.48787796994583</v>
      </c>
      <c r="Y303" s="481">
        <v>117.86920167067872</v>
      </c>
      <c r="Z303" s="481">
        <v>17966.216350849689</v>
      </c>
      <c r="AA303" s="481">
        <v>10954.245604860964</v>
      </c>
      <c r="AB303" s="481">
        <v>3462.3745392402889</v>
      </c>
      <c r="AC303" s="481">
        <v>175.00886040674649</v>
      </c>
      <c r="AD303" s="481">
        <v>21.544651375830533</v>
      </c>
      <c r="AE303" s="481">
        <v>2066.7267383149647</v>
      </c>
      <c r="AF303" s="481">
        <v>1332.0638751101737</v>
      </c>
      <c r="AG303" s="481">
        <v>1506.3355501185274</v>
      </c>
      <c r="AH303" s="700">
        <f t="shared" si="23"/>
        <v>83685.308339918192</v>
      </c>
      <c r="AI303" s="482">
        <f t="shared" si="24"/>
        <v>85191.643890036721</v>
      </c>
      <c r="AJ303" s="482"/>
      <c r="AK303" s="482"/>
      <c r="AL303" s="585">
        <v>166.35</v>
      </c>
      <c r="AM303" s="585">
        <v>19001.543111883035</v>
      </c>
      <c r="AN303" s="581">
        <v>0</v>
      </c>
      <c r="AO303" s="581">
        <f t="shared" si="25"/>
        <v>19167.893111883033</v>
      </c>
    </row>
    <row r="304" spans="1:41" x14ac:dyDescent="0.3">
      <c r="A304" s="476">
        <v>150000939</v>
      </c>
      <c r="B304" s="477" t="s">
        <v>336</v>
      </c>
      <c r="C304" s="478">
        <v>5138.55</v>
      </c>
      <c r="D304" s="479">
        <v>642.45000000000005</v>
      </c>
      <c r="E304" s="480"/>
      <c r="F304" s="480">
        <v>5138.55</v>
      </c>
      <c r="G304" s="481">
        <v>1116.9321425874373</v>
      </c>
      <c r="H304" s="481">
        <v>192.03684168767575</v>
      </c>
      <c r="I304" s="481">
        <v>654.11</v>
      </c>
      <c r="J304" s="481">
        <v>136.59</v>
      </c>
      <c r="K304" s="481">
        <v>187.6434939888255</v>
      </c>
      <c r="L304" s="481">
        <v>680.21168059321769</v>
      </c>
      <c r="M304" s="587">
        <f t="shared" si="21"/>
        <v>0</v>
      </c>
      <c r="N304" s="481">
        <v>1830.9645104121284</v>
      </c>
      <c r="O304" s="481">
        <v>3200.5185431553105</v>
      </c>
      <c r="P304" s="481">
        <v>0</v>
      </c>
      <c r="Q304" s="481">
        <v>315.67254763121656</v>
      </c>
      <c r="R304" s="587">
        <f t="shared" si="22"/>
        <v>7240.4783079843974</v>
      </c>
      <c r="S304" s="481">
        <v>55.191976228387048</v>
      </c>
      <c r="T304" s="481">
        <v>73.771443858362431</v>
      </c>
      <c r="U304" s="481">
        <v>108.2476822254237</v>
      </c>
      <c r="V304" s="481">
        <v>28.772477766920876</v>
      </c>
      <c r="W304" s="481">
        <v>57.116084523971821</v>
      </c>
      <c r="X304" s="481">
        <v>37.598949406075214</v>
      </c>
      <c r="Y304" s="481">
        <v>49.306111695899787</v>
      </c>
      <c r="Z304" s="481">
        <v>6075.2868211309042</v>
      </c>
      <c r="AA304" s="481">
        <v>3069.0012569030873</v>
      </c>
      <c r="AB304" s="481">
        <v>1298.3904522151083</v>
      </c>
      <c r="AC304" s="481">
        <v>150.00759463435415</v>
      </c>
      <c r="AD304" s="481">
        <v>18.466844036426171</v>
      </c>
      <c r="AE304" s="481">
        <v>2880.9390835228228</v>
      </c>
      <c r="AF304" s="481">
        <v>617.67833084734036</v>
      </c>
      <c r="AG304" s="481">
        <v>902.24799531105873</v>
      </c>
      <c r="AH304" s="700">
        <f t="shared" si="23"/>
        <v>30074.933177035295</v>
      </c>
      <c r="AI304" s="482">
        <f t="shared" si="24"/>
        <v>30977.181172346354</v>
      </c>
      <c r="AJ304" s="482"/>
      <c r="AK304" s="482"/>
      <c r="AL304" s="585">
        <v>63.19</v>
      </c>
      <c r="AM304" s="585">
        <v>7177.2883079843978</v>
      </c>
      <c r="AN304" s="581">
        <v>0</v>
      </c>
      <c r="AO304" s="581">
        <f t="shared" si="25"/>
        <v>7240.4783079843974</v>
      </c>
    </row>
    <row r="305" spans="1:41" x14ac:dyDescent="0.3">
      <c r="A305" s="476">
        <v>150000940</v>
      </c>
      <c r="B305" s="477" t="s">
        <v>376</v>
      </c>
      <c r="C305" s="478">
        <v>7450.81</v>
      </c>
      <c r="D305" s="479">
        <v>941.36</v>
      </c>
      <c r="E305" s="480"/>
      <c r="F305" s="480">
        <v>7450.81</v>
      </c>
      <c r="G305" s="481">
        <v>1713.9994494539276</v>
      </c>
      <c r="H305" s="481">
        <v>293.92414927923141</v>
      </c>
      <c r="I305" s="481">
        <v>1001.6</v>
      </c>
      <c r="J305" s="481">
        <v>195.09</v>
      </c>
      <c r="K305" s="481">
        <v>97.519365684823939</v>
      </c>
      <c r="L305" s="481">
        <v>1302.7247042989966</v>
      </c>
      <c r="M305" s="587">
        <f t="shared" si="21"/>
        <v>0</v>
      </c>
      <c r="N305" s="481">
        <v>2654.8673621593234</v>
      </c>
      <c r="O305" s="481">
        <v>7058.1113511023377</v>
      </c>
      <c r="P305" s="481">
        <v>0</v>
      </c>
      <c r="Q305" s="481">
        <v>473.50882144682487</v>
      </c>
      <c r="R305" s="587">
        <f t="shared" si="22"/>
        <v>9924.9706628408949</v>
      </c>
      <c r="S305" s="481">
        <v>142.66125361904955</v>
      </c>
      <c r="T305" s="481">
        <v>195.16163375359278</v>
      </c>
      <c r="U305" s="481">
        <v>243.74768870344172</v>
      </c>
      <c r="V305" s="481">
        <v>100.38033698296513</v>
      </c>
      <c r="W305" s="481">
        <v>49.470906063874629</v>
      </c>
      <c r="X305" s="481">
        <v>160.16315604489395</v>
      </c>
      <c r="Y305" s="481">
        <v>71.510810383329883</v>
      </c>
      <c r="Z305" s="481">
        <v>8735.5847024972791</v>
      </c>
      <c r="AA305" s="481">
        <v>4899.2750195349372</v>
      </c>
      <c r="AB305" s="481">
        <v>1298.3904522151083</v>
      </c>
      <c r="AC305" s="481">
        <v>190.79397330617849</v>
      </c>
      <c r="AD305" s="481">
        <v>23.48789444110152</v>
      </c>
      <c r="AE305" s="481">
        <v>2447.3164169178717</v>
      </c>
      <c r="AF305" s="481">
        <v>1389.7762444065161</v>
      </c>
      <c r="AG305" s="481">
        <v>1339.921090654095</v>
      </c>
      <c r="AH305" s="700">
        <f t="shared" si="23"/>
        <v>44664.036355136501</v>
      </c>
      <c r="AI305" s="482">
        <f t="shared" si="24"/>
        <v>46003.957445790598</v>
      </c>
      <c r="AJ305" s="482"/>
      <c r="AK305" s="482"/>
      <c r="AL305" s="585">
        <v>91.1</v>
      </c>
      <c r="AM305" s="585">
        <v>9833.8706628408945</v>
      </c>
      <c r="AN305" s="581">
        <v>0</v>
      </c>
      <c r="AO305" s="581">
        <f t="shared" si="25"/>
        <v>9924.9706628408949</v>
      </c>
    </row>
    <row r="306" spans="1:41" x14ac:dyDescent="0.3">
      <c r="A306" s="476">
        <v>150000941</v>
      </c>
      <c r="B306" s="477" t="s">
        <v>337</v>
      </c>
      <c r="C306" s="478">
        <v>6120.05</v>
      </c>
      <c r="D306" s="479">
        <v>717.15</v>
      </c>
      <c r="E306" s="480"/>
      <c r="F306" s="480">
        <v>6120.05</v>
      </c>
      <c r="G306" s="481">
        <v>842.28315136509104</v>
      </c>
      <c r="H306" s="481">
        <v>234.89271892795449</v>
      </c>
      <c r="I306" s="481">
        <v>818</v>
      </c>
      <c r="J306" s="481">
        <v>150.96</v>
      </c>
      <c r="K306" s="481">
        <v>90.863676549278793</v>
      </c>
      <c r="L306" s="481">
        <v>1070.9531263359538</v>
      </c>
      <c r="M306" s="587">
        <f t="shared" si="21"/>
        <v>0</v>
      </c>
      <c r="N306" s="481">
        <v>2180.6918978987742</v>
      </c>
      <c r="O306" s="481">
        <v>4474.1904245430651</v>
      </c>
      <c r="P306" s="481">
        <v>394.60553971773282</v>
      </c>
      <c r="Q306" s="481">
        <v>402.48249822980114</v>
      </c>
      <c r="R306" s="587">
        <f t="shared" si="22"/>
        <v>9724.6087688575335</v>
      </c>
      <c r="S306" s="481">
        <v>43.221517890003916</v>
      </c>
      <c r="T306" s="481">
        <v>60.071093490370153</v>
      </c>
      <c r="U306" s="481">
        <v>38.37075920514711</v>
      </c>
      <c r="V306" s="481">
        <v>35.66350593768432</v>
      </c>
      <c r="W306" s="481">
        <v>27.659892482584404</v>
      </c>
      <c r="X306" s="481">
        <v>57.097134633221827</v>
      </c>
      <c r="Y306" s="481">
        <v>90.327581420924687</v>
      </c>
      <c r="Z306" s="481">
        <v>6090.6480374095536</v>
      </c>
      <c r="AA306" s="481">
        <v>4434.0275574213347</v>
      </c>
      <c r="AB306" s="481">
        <v>757.39443045881319</v>
      </c>
      <c r="AC306" s="481">
        <v>151.77238986534655</v>
      </c>
      <c r="AD306" s="481">
        <v>18.684101025090008</v>
      </c>
      <c r="AE306" s="481">
        <v>1131.7863557142177</v>
      </c>
      <c r="AF306" s="481">
        <v>753.38038838198338</v>
      </c>
      <c r="AG306" s="481">
        <v>1022.2390964328438</v>
      </c>
      <c r="AH306" s="700">
        <f t="shared" si="23"/>
        <v>34074.63654776146</v>
      </c>
      <c r="AI306" s="482">
        <f t="shared" si="24"/>
        <v>35096.875644194304</v>
      </c>
      <c r="AJ306" s="482"/>
      <c r="AK306" s="482"/>
      <c r="AL306" s="585">
        <v>91.1</v>
      </c>
      <c r="AM306" s="585">
        <v>9633.5087688575331</v>
      </c>
      <c r="AN306" s="581">
        <v>0</v>
      </c>
      <c r="AO306" s="581">
        <f t="shared" si="25"/>
        <v>9724.6087688575335</v>
      </c>
    </row>
    <row r="307" spans="1:41" x14ac:dyDescent="0.3">
      <c r="A307" s="476">
        <v>150000943</v>
      </c>
      <c r="B307" s="477" t="s">
        <v>122</v>
      </c>
      <c r="C307" s="478">
        <v>105</v>
      </c>
      <c r="D307" s="483"/>
      <c r="E307" s="480"/>
      <c r="F307" s="480">
        <v>105</v>
      </c>
      <c r="G307" s="481">
        <v>0</v>
      </c>
      <c r="H307" s="481">
        <v>0</v>
      </c>
      <c r="I307" s="481">
        <v>0</v>
      </c>
      <c r="J307" s="481">
        <v>0</v>
      </c>
      <c r="K307" s="481">
        <v>0</v>
      </c>
      <c r="L307" s="481">
        <v>0</v>
      </c>
      <c r="M307" s="587">
        <f t="shared" si="21"/>
        <v>0</v>
      </c>
      <c r="N307" s="481">
        <v>0</v>
      </c>
      <c r="O307" s="481">
        <v>0</v>
      </c>
      <c r="P307" s="481">
        <v>0</v>
      </c>
      <c r="Q307" s="481">
        <v>31.567254763121657</v>
      </c>
      <c r="R307" s="587">
        <f t="shared" si="22"/>
        <v>131.42872417191259</v>
      </c>
      <c r="S307" s="481">
        <v>0</v>
      </c>
      <c r="T307" s="481">
        <v>0</v>
      </c>
      <c r="U307" s="481">
        <v>0</v>
      </c>
      <c r="V307" s="481">
        <v>0</v>
      </c>
      <c r="W307" s="481">
        <v>0</v>
      </c>
      <c r="X307" s="481">
        <v>0</v>
      </c>
      <c r="Y307" s="481">
        <v>0</v>
      </c>
      <c r="Z307" s="481">
        <v>14.356206452518503</v>
      </c>
      <c r="AA307" s="481">
        <v>0</v>
      </c>
      <c r="AB307" s="481">
        <v>0</v>
      </c>
      <c r="AC307" s="481">
        <v>0</v>
      </c>
      <c r="AD307" s="481">
        <v>0</v>
      </c>
      <c r="AE307" s="481">
        <v>0</v>
      </c>
      <c r="AF307" s="481">
        <v>0</v>
      </c>
      <c r="AG307" s="481">
        <v>3.1923393369759498</v>
      </c>
      <c r="AH307" s="700">
        <f t="shared" si="23"/>
        <v>177.35218538755277</v>
      </c>
      <c r="AI307" s="482">
        <f t="shared" si="24"/>
        <v>180.54452472452871</v>
      </c>
      <c r="AJ307" s="482"/>
      <c r="AK307" s="482"/>
      <c r="AL307" s="585">
        <v>12.805</v>
      </c>
      <c r="AM307" s="585">
        <v>118.6237241719126</v>
      </c>
      <c r="AN307" s="581">
        <v>0</v>
      </c>
      <c r="AO307" s="581">
        <f t="shared" si="25"/>
        <v>131.42872417191259</v>
      </c>
    </row>
    <row r="308" spans="1:41" x14ac:dyDescent="0.3">
      <c r="A308" s="476">
        <v>150000944</v>
      </c>
      <c r="B308" s="477" t="s">
        <v>123</v>
      </c>
      <c r="C308" s="478">
        <v>140.69999999999999</v>
      </c>
      <c r="D308" s="483"/>
      <c r="E308" s="480"/>
      <c r="F308" s="480">
        <v>140.69999999999999</v>
      </c>
      <c r="G308" s="481">
        <v>0</v>
      </c>
      <c r="H308" s="481">
        <v>0</v>
      </c>
      <c r="I308" s="481">
        <v>0</v>
      </c>
      <c r="J308" s="481">
        <v>0</v>
      </c>
      <c r="K308" s="481">
        <v>0</v>
      </c>
      <c r="L308" s="481">
        <v>0</v>
      </c>
      <c r="M308" s="587">
        <f t="shared" si="21"/>
        <v>0</v>
      </c>
      <c r="N308" s="481">
        <v>0</v>
      </c>
      <c r="O308" s="481">
        <v>0</v>
      </c>
      <c r="P308" s="481">
        <v>0</v>
      </c>
      <c r="Q308" s="481">
        <v>31.567254763121657</v>
      </c>
      <c r="R308" s="587">
        <f t="shared" si="22"/>
        <v>146.53759262079467</v>
      </c>
      <c r="S308" s="481">
        <v>0</v>
      </c>
      <c r="T308" s="481">
        <v>0</v>
      </c>
      <c r="U308" s="481">
        <v>0</v>
      </c>
      <c r="V308" s="481">
        <v>0</v>
      </c>
      <c r="W308" s="481">
        <v>0</v>
      </c>
      <c r="X308" s="481">
        <v>0</v>
      </c>
      <c r="Y308" s="481">
        <v>0</v>
      </c>
      <c r="Z308" s="481">
        <v>87.732372765390863</v>
      </c>
      <c r="AA308" s="481">
        <v>0</v>
      </c>
      <c r="AB308" s="481">
        <v>0</v>
      </c>
      <c r="AC308" s="481">
        <v>0</v>
      </c>
      <c r="AD308" s="481">
        <v>0</v>
      </c>
      <c r="AE308" s="481">
        <v>0</v>
      </c>
      <c r="AF308" s="481">
        <v>0</v>
      </c>
      <c r="AG308" s="481">
        <v>4.7850699626875288</v>
      </c>
      <c r="AH308" s="700">
        <f t="shared" si="23"/>
        <v>265.8372201493072</v>
      </c>
      <c r="AI308" s="482">
        <f t="shared" si="24"/>
        <v>270.62229011199474</v>
      </c>
      <c r="AJ308" s="482"/>
      <c r="AK308" s="482"/>
      <c r="AL308" s="585">
        <v>27.19</v>
      </c>
      <c r="AM308" s="585">
        <v>119.34759262079466</v>
      </c>
      <c r="AN308" s="581">
        <v>0</v>
      </c>
      <c r="AO308" s="581">
        <f t="shared" si="25"/>
        <v>146.53759262079467</v>
      </c>
    </row>
    <row r="309" spans="1:41" x14ac:dyDescent="0.3">
      <c r="A309" s="476">
        <v>150000945</v>
      </c>
      <c r="B309" s="477" t="s">
        <v>421</v>
      </c>
      <c r="C309" s="478">
        <v>6677.85</v>
      </c>
      <c r="D309" s="479">
        <v>613.75</v>
      </c>
      <c r="E309" s="480">
        <v>64.91</v>
      </c>
      <c r="F309" s="480">
        <v>6742.76</v>
      </c>
      <c r="G309" s="481">
        <v>2092.5113582260219</v>
      </c>
      <c r="H309" s="481">
        <v>325.98319397301213</v>
      </c>
      <c r="I309" s="481">
        <v>808.22</v>
      </c>
      <c r="J309" s="481">
        <v>175.81</v>
      </c>
      <c r="K309" s="481">
        <v>104.17501397504415</v>
      </c>
      <c r="L309" s="481">
        <v>935.84038284521625</v>
      </c>
      <c r="M309" s="587">
        <f t="shared" si="21"/>
        <v>0</v>
      </c>
      <c r="N309" s="481">
        <v>2402.5754857355641</v>
      </c>
      <c r="O309" s="481">
        <v>3174.39199759548</v>
      </c>
      <c r="P309" s="481">
        <v>394.60553971773282</v>
      </c>
      <c r="Q309" s="481">
        <v>453.77928721987388</v>
      </c>
      <c r="R309" s="587">
        <f t="shared" si="22"/>
        <v>8593.7323600466589</v>
      </c>
      <c r="S309" s="481">
        <v>163.52292060832303</v>
      </c>
      <c r="T309" s="481">
        <v>199.4568947180004</v>
      </c>
      <c r="U309" s="481">
        <v>229.33534973657356</v>
      </c>
      <c r="V309" s="481">
        <v>97.209426829951681</v>
      </c>
      <c r="W309" s="481">
        <v>52.842011746104383</v>
      </c>
      <c r="X309" s="481">
        <v>102.63094785733381</v>
      </c>
      <c r="Y309" s="481">
        <v>59.671551360139539</v>
      </c>
      <c r="Z309" s="481">
        <v>7389.7723195229109</v>
      </c>
      <c r="AA309" s="481">
        <v>6150.0328990141552</v>
      </c>
      <c r="AB309" s="481">
        <v>1298.3904522151083</v>
      </c>
      <c r="AC309" s="481">
        <v>182.31315177946502</v>
      </c>
      <c r="AD309" s="481">
        <v>22.443853912244748</v>
      </c>
      <c r="AE309" s="481">
        <v>2222.7061147915661</v>
      </c>
      <c r="AF309" s="481">
        <v>1006.0669782740772</v>
      </c>
      <c r="AG309" s="481">
        <v>695.48435085060999</v>
      </c>
      <c r="AH309" s="700">
        <f t="shared" si="23"/>
        <v>38638.019491700565</v>
      </c>
      <c r="AI309" s="482">
        <f t="shared" si="24"/>
        <v>39333.503842551174</v>
      </c>
      <c r="AJ309" s="482"/>
      <c r="AK309" s="482"/>
      <c r="AL309" s="585">
        <v>81.98</v>
      </c>
      <c r="AM309" s="585">
        <v>8511.7523600466593</v>
      </c>
      <c r="AN309" s="581">
        <v>0</v>
      </c>
      <c r="AO309" s="581">
        <f t="shared" si="25"/>
        <v>8593.7323600466589</v>
      </c>
    </row>
    <row r="310" spans="1:41" x14ac:dyDescent="0.3">
      <c r="A310" s="476">
        <v>150000946</v>
      </c>
      <c r="B310" s="477" t="s">
        <v>124</v>
      </c>
      <c r="C310" s="478">
        <v>100.2</v>
      </c>
      <c r="D310" s="483"/>
      <c r="E310" s="480"/>
      <c r="F310" s="480">
        <v>100.2</v>
      </c>
      <c r="G310" s="481">
        <v>0</v>
      </c>
      <c r="H310" s="481">
        <v>0</v>
      </c>
      <c r="I310" s="481">
        <v>0</v>
      </c>
      <c r="J310" s="481">
        <v>0</v>
      </c>
      <c r="K310" s="481">
        <v>0</v>
      </c>
      <c r="L310" s="481">
        <v>0</v>
      </c>
      <c r="M310" s="587">
        <f t="shared" si="21"/>
        <v>0</v>
      </c>
      <c r="N310" s="481">
        <v>0</v>
      </c>
      <c r="O310" s="481">
        <v>0</v>
      </c>
      <c r="P310" s="481">
        <v>0</v>
      </c>
      <c r="Q310" s="481">
        <v>27.621347917731452</v>
      </c>
      <c r="R310" s="587">
        <f t="shared" si="22"/>
        <v>96.093575918001306</v>
      </c>
      <c r="S310" s="481">
        <v>0</v>
      </c>
      <c r="T310" s="481">
        <v>0</v>
      </c>
      <c r="U310" s="481">
        <v>0</v>
      </c>
      <c r="V310" s="481">
        <v>0</v>
      </c>
      <c r="W310" s="481">
        <v>0</v>
      </c>
      <c r="X310" s="481">
        <v>0</v>
      </c>
      <c r="Y310" s="481">
        <v>0</v>
      </c>
      <c r="Z310" s="481">
        <v>39.878351256995849</v>
      </c>
      <c r="AA310" s="481">
        <v>0</v>
      </c>
      <c r="AB310" s="481">
        <v>0</v>
      </c>
      <c r="AC310" s="481">
        <v>0</v>
      </c>
      <c r="AD310" s="481">
        <v>0</v>
      </c>
      <c r="AE310" s="481">
        <v>0</v>
      </c>
      <c r="AF310" s="481">
        <v>0</v>
      </c>
      <c r="AG310" s="481">
        <v>4.9077982527818591</v>
      </c>
      <c r="AH310" s="700">
        <f t="shared" si="23"/>
        <v>163.59327509272862</v>
      </c>
      <c r="AI310" s="482">
        <f t="shared" si="24"/>
        <v>168.50107334551046</v>
      </c>
      <c r="AJ310" s="482"/>
      <c r="AK310" s="482"/>
      <c r="AL310" s="585">
        <v>27.19</v>
      </c>
      <c r="AM310" s="585">
        <v>68.903575918001309</v>
      </c>
      <c r="AN310" s="581">
        <v>0</v>
      </c>
      <c r="AO310" s="581">
        <f t="shared" si="25"/>
        <v>96.093575918001306</v>
      </c>
    </row>
    <row r="311" spans="1:41" x14ac:dyDescent="0.3">
      <c r="A311" s="476">
        <v>150000947</v>
      </c>
      <c r="B311" s="477" t="s">
        <v>268</v>
      </c>
      <c r="C311" s="478">
        <v>3267.3</v>
      </c>
      <c r="D311" s="479"/>
      <c r="E311" s="480"/>
      <c r="F311" s="480">
        <v>3267.3</v>
      </c>
      <c r="G311" s="481">
        <v>940.08884190951267</v>
      </c>
      <c r="H311" s="481">
        <v>195.16819499078184</v>
      </c>
      <c r="I311" s="481">
        <v>452.35</v>
      </c>
      <c r="J311" s="481">
        <v>88.99</v>
      </c>
      <c r="K311" s="481">
        <v>59.112908977718426</v>
      </c>
      <c r="L311" s="481">
        <v>676.70795532857437</v>
      </c>
      <c r="M311" s="587">
        <f t="shared" si="21"/>
        <v>0</v>
      </c>
      <c r="N311" s="481">
        <v>1164.202030703126</v>
      </c>
      <c r="O311" s="481">
        <v>0</v>
      </c>
      <c r="P311" s="481">
        <v>0</v>
      </c>
      <c r="Q311" s="481">
        <v>355.13161608511865</v>
      </c>
      <c r="R311" s="587">
        <f t="shared" si="22"/>
        <v>3795.022610286956</v>
      </c>
      <c r="S311" s="481">
        <v>167.74561118278154</v>
      </c>
      <c r="T311" s="481">
        <v>251.54943284259048</v>
      </c>
      <c r="U311" s="481">
        <v>174.79166954919475</v>
      </c>
      <c r="V311" s="481">
        <v>100.93986652610181</v>
      </c>
      <c r="W311" s="481">
        <v>59.973570119372766</v>
      </c>
      <c r="X311" s="481">
        <v>93.587369723254</v>
      </c>
      <c r="Y311" s="481">
        <v>53.862315927238768</v>
      </c>
      <c r="Z311" s="481">
        <v>3030.4286928093388</v>
      </c>
      <c r="AA311" s="481">
        <v>1595.8581334057224</v>
      </c>
      <c r="AB311" s="481">
        <v>1081.9920435125903</v>
      </c>
      <c r="AC311" s="481">
        <v>93.705724556721549</v>
      </c>
      <c r="AD311" s="481">
        <v>11.535742606414583</v>
      </c>
      <c r="AE311" s="481">
        <v>650.43399990742671</v>
      </c>
      <c r="AF311" s="481">
        <v>0</v>
      </c>
      <c r="AG311" s="481">
        <v>905.59069985703218</v>
      </c>
      <c r="AH311" s="700">
        <f t="shared" si="23"/>
        <v>15093.178330950535</v>
      </c>
      <c r="AI311" s="482">
        <f t="shared" si="24"/>
        <v>15998.769030807567</v>
      </c>
      <c r="AJ311" s="482"/>
      <c r="AK311" s="482"/>
      <c r="AL311" s="585">
        <v>75.709999999999994</v>
      </c>
      <c r="AM311" s="585">
        <v>3719.312610286956</v>
      </c>
      <c r="AN311" s="581">
        <v>0</v>
      </c>
      <c r="AO311" s="581">
        <f t="shared" si="25"/>
        <v>3795.022610286956</v>
      </c>
    </row>
    <row r="312" spans="1:41" x14ac:dyDescent="0.3">
      <c r="A312" s="476">
        <v>150000948</v>
      </c>
      <c r="B312" s="477" t="s">
        <v>383</v>
      </c>
      <c r="C312" s="478">
        <v>6615</v>
      </c>
      <c r="D312" s="479">
        <v>699.7</v>
      </c>
      <c r="E312" s="480"/>
      <c r="F312" s="480">
        <v>6615</v>
      </c>
      <c r="G312" s="481">
        <v>1418.8164511769655</v>
      </c>
      <c r="H312" s="481">
        <v>292.94308169694722</v>
      </c>
      <c r="I312" s="481">
        <v>817.17</v>
      </c>
      <c r="J312" s="481">
        <v>167.07</v>
      </c>
      <c r="K312" s="481">
        <v>72.400016863665712</v>
      </c>
      <c r="L312" s="481">
        <v>1066.738306546273</v>
      </c>
      <c r="M312" s="587">
        <f t="shared" si="21"/>
        <v>0</v>
      </c>
      <c r="N312" s="481">
        <v>2357.0521326787184</v>
      </c>
      <c r="O312" s="481">
        <v>7201.1332979473464</v>
      </c>
      <c r="P312" s="481">
        <v>0</v>
      </c>
      <c r="Q312" s="481">
        <v>426.15793930214238</v>
      </c>
      <c r="R312" s="587">
        <f t="shared" si="22"/>
        <v>8727.2862438235716</v>
      </c>
      <c r="S312" s="481">
        <v>117.09969918259424</v>
      </c>
      <c r="T312" s="481">
        <v>170.19709560077703</v>
      </c>
      <c r="U312" s="481">
        <v>188.66279147576893</v>
      </c>
      <c r="V312" s="481">
        <v>87.55987832096244</v>
      </c>
      <c r="W312" s="481">
        <v>36.728955578820965</v>
      </c>
      <c r="X312" s="481">
        <v>116.44629620530513</v>
      </c>
      <c r="Y312" s="481">
        <v>70.51208388726748</v>
      </c>
      <c r="Z312" s="481">
        <v>7556.9563570508581</v>
      </c>
      <c r="AA312" s="481">
        <v>5690.5305234284351</v>
      </c>
      <c r="AB312" s="481">
        <v>757.39443045881319</v>
      </c>
      <c r="AC312" s="481">
        <v>155.4000245068309</v>
      </c>
      <c r="AD312" s="481">
        <v>19.13068483512123</v>
      </c>
      <c r="AE312" s="481">
        <v>865.6855394451361</v>
      </c>
      <c r="AF312" s="481">
        <v>1310.2267624034496</v>
      </c>
      <c r="AG312" s="481">
        <v>1190.6789577724733</v>
      </c>
      <c r="AH312" s="700">
        <f t="shared" si="23"/>
        <v>39689.298592415769</v>
      </c>
      <c r="AI312" s="482">
        <f t="shared" si="24"/>
        <v>40879.97755018824</v>
      </c>
      <c r="AJ312" s="482"/>
      <c r="AK312" s="482"/>
      <c r="AL312" s="585">
        <v>94.48</v>
      </c>
      <c r="AM312" s="585">
        <v>8632.806243823572</v>
      </c>
      <c r="AN312" s="581">
        <v>0</v>
      </c>
      <c r="AO312" s="581">
        <f t="shared" si="25"/>
        <v>8727.2862438235716</v>
      </c>
    </row>
    <row r="313" spans="1:41" x14ac:dyDescent="0.3">
      <c r="A313" s="476">
        <v>150000949</v>
      </c>
      <c r="B313" s="477" t="s">
        <v>384</v>
      </c>
      <c r="C313" s="478">
        <v>9392.7999999999993</v>
      </c>
      <c r="D313" s="479">
        <v>999.75</v>
      </c>
      <c r="E313" s="480"/>
      <c r="F313" s="480">
        <v>9392.7999999999993</v>
      </c>
      <c r="G313" s="481">
        <v>2012.526262744668</v>
      </c>
      <c r="H313" s="481">
        <v>408.4183812928548</v>
      </c>
      <c r="I313" s="481">
        <v>1181.8599999999999</v>
      </c>
      <c r="J313" s="481">
        <v>243.85</v>
      </c>
      <c r="K313" s="481">
        <v>240.10075467632373</v>
      </c>
      <c r="L313" s="481">
        <v>1887.7434320664113</v>
      </c>
      <c r="M313" s="587">
        <f t="shared" si="21"/>
        <v>0</v>
      </c>
      <c r="N313" s="481">
        <v>3346.8358687565633</v>
      </c>
      <c r="O313" s="481">
        <v>11234.425732111231</v>
      </c>
      <c r="P313" s="481">
        <v>0</v>
      </c>
      <c r="Q313" s="481">
        <v>706.31732532484716</v>
      </c>
      <c r="R313" s="587">
        <f t="shared" si="22"/>
        <v>14223.023974875307</v>
      </c>
      <c r="S313" s="481">
        <v>65.830559083320935</v>
      </c>
      <c r="T313" s="481">
        <v>96.923008652291514</v>
      </c>
      <c r="U313" s="481">
        <v>107.58200871511234</v>
      </c>
      <c r="V313" s="481">
        <v>50.695790799740266</v>
      </c>
      <c r="W313" s="481">
        <v>48.718823694731888</v>
      </c>
      <c r="X313" s="481">
        <v>81.922042197746549</v>
      </c>
      <c r="Y313" s="481">
        <v>78.459781410812013</v>
      </c>
      <c r="Z313" s="481">
        <v>10168.559947888329</v>
      </c>
      <c r="AA313" s="481">
        <v>7546.5241060352582</v>
      </c>
      <c r="AB313" s="481">
        <v>865.59363481007222</v>
      </c>
      <c r="AC313" s="481">
        <v>216.80019191844156</v>
      </c>
      <c r="AD313" s="481">
        <v>26.689417565717235</v>
      </c>
      <c r="AE313" s="481">
        <v>1344.5422252283015</v>
      </c>
      <c r="AF313" s="481">
        <v>1372.6185129940898</v>
      </c>
      <c r="AG313" s="481">
        <v>1726.6968534852649</v>
      </c>
      <c r="AH313" s="700">
        <f t="shared" si="23"/>
        <v>57556.561782842175</v>
      </c>
      <c r="AI313" s="482">
        <f t="shared" si="24"/>
        <v>59283.258636327439</v>
      </c>
      <c r="AJ313" s="482"/>
      <c r="AK313" s="482"/>
      <c r="AL313" s="585">
        <v>119.35</v>
      </c>
      <c r="AM313" s="585">
        <v>14103.673974875306</v>
      </c>
      <c r="AN313" s="581">
        <v>0</v>
      </c>
      <c r="AO313" s="581">
        <f t="shared" si="25"/>
        <v>14223.023974875307</v>
      </c>
    </row>
    <row r="314" spans="1:41" x14ac:dyDescent="0.3">
      <c r="A314" s="476">
        <v>150000951</v>
      </c>
      <c r="B314" s="477" t="s">
        <v>170</v>
      </c>
      <c r="C314" s="478">
        <v>553.20000000000005</v>
      </c>
      <c r="D314" s="479"/>
      <c r="E314" s="480"/>
      <c r="F314" s="480">
        <v>553.20000000000005</v>
      </c>
      <c r="G314" s="481">
        <v>0</v>
      </c>
      <c r="H314" s="481">
        <v>0</v>
      </c>
      <c r="I314" s="481">
        <v>0</v>
      </c>
      <c r="J314" s="481">
        <v>0</v>
      </c>
      <c r="K314" s="481">
        <v>0</v>
      </c>
      <c r="L314" s="481">
        <v>91.923448160777511</v>
      </c>
      <c r="M314" s="587">
        <f t="shared" si="21"/>
        <v>0</v>
      </c>
      <c r="N314" s="481">
        <v>197.11583368070555</v>
      </c>
      <c r="O314" s="481">
        <v>0</v>
      </c>
      <c r="P314" s="481">
        <v>0</v>
      </c>
      <c r="Q314" s="481">
        <v>86.809950598584564</v>
      </c>
      <c r="R314" s="587">
        <f t="shared" si="22"/>
        <v>420.33774117476497</v>
      </c>
      <c r="S314" s="481">
        <v>0</v>
      </c>
      <c r="T314" s="481">
        <v>0</v>
      </c>
      <c r="U314" s="481">
        <v>0</v>
      </c>
      <c r="V314" s="481">
        <v>0</v>
      </c>
      <c r="W314" s="481">
        <v>0</v>
      </c>
      <c r="X314" s="481">
        <v>5.8996198763467351</v>
      </c>
      <c r="Y314" s="481">
        <v>9.4222626872290824</v>
      </c>
      <c r="Z314" s="481">
        <v>0</v>
      </c>
      <c r="AA314" s="481">
        <v>0</v>
      </c>
      <c r="AB314" s="481">
        <v>0</v>
      </c>
      <c r="AC314" s="481">
        <v>0</v>
      </c>
      <c r="AD314" s="481">
        <v>0</v>
      </c>
      <c r="AE314" s="481">
        <v>0</v>
      </c>
      <c r="AF314" s="481">
        <v>0</v>
      </c>
      <c r="AG314" s="481">
        <v>24.345265685352253</v>
      </c>
      <c r="AH314" s="700">
        <f t="shared" si="23"/>
        <v>811.50885617840845</v>
      </c>
      <c r="AI314" s="482">
        <f t="shared" si="24"/>
        <v>835.85412186376072</v>
      </c>
      <c r="AJ314" s="482"/>
      <c r="AK314" s="482"/>
      <c r="AL314" s="585">
        <v>70.7</v>
      </c>
      <c r="AM314" s="585">
        <v>349.63774117476498</v>
      </c>
      <c r="AN314" s="581">
        <v>0</v>
      </c>
      <c r="AO314" s="581">
        <f t="shared" si="25"/>
        <v>420.33774117476497</v>
      </c>
    </row>
    <row r="315" spans="1:41" x14ac:dyDescent="0.3">
      <c r="A315" s="476">
        <v>150000954</v>
      </c>
      <c r="B315" s="477" t="s">
        <v>171</v>
      </c>
      <c r="C315" s="478">
        <v>358.84</v>
      </c>
      <c r="D315" s="479"/>
      <c r="E315" s="480"/>
      <c r="F315" s="480">
        <v>358.84</v>
      </c>
      <c r="G315" s="481">
        <v>102.51240222286883</v>
      </c>
      <c r="H315" s="481">
        <v>20.170298149918619</v>
      </c>
      <c r="I315" s="481">
        <v>44.84</v>
      </c>
      <c r="J315" s="481">
        <v>0</v>
      </c>
      <c r="K315" s="481">
        <v>0</v>
      </c>
      <c r="L315" s="481">
        <v>73.089626537227289</v>
      </c>
      <c r="M315" s="587">
        <f t="shared" si="21"/>
        <v>0</v>
      </c>
      <c r="N315" s="481">
        <v>127.86161561457767</v>
      </c>
      <c r="O315" s="481">
        <v>0</v>
      </c>
      <c r="P315" s="481">
        <v>0</v>
      </c>
      <c r="Q315" s="481">
        <v>63.134509526243313</v>
      </c>
      <c r="R315" s="587">
        <f t="shared" si="22"/>
        <v>623.26567525684266</v>
      </c>
      <c r="S315" s="481">
        <v>19.927017168951291</v>
      </c>
      <c r="T315" s="481">
        <v>26.002241915669433</v>
      </c>
      <c r="U315" s="481">
        <v>20.457503065716885</v>
      </c>
      <c r="V315" s="481">
        <v>0</v>
      </c>
      <c r="W315" s="481">
        <v>0</v>
      </c>
      <c r="X315" s="481">
        <v>18.338174438874663</v>
      </c>
      <c r="Y315" s="481">
        <v>13.953532419340904</v>
      </c>
      <c r="Z315" s="481">
        <v>0</v>
      </c>
      <c r="AA315" s="481">
        <v>17.89411082214977</v>
      </c>
      <c r="AB315" s="481">
        <v>0</v>
      </c>
      <c r="AC315" s="481">
        <v>0</v>
      </c>
      <c r="AD315" s="481">
        <v>0</v>
      </c>
      <c r="AE315" s="481">
        <v>71.750513179236521</v>
      </c>
      <c r="AF315" s="481">
        <v>0</v>
      </c>
      <c r="AG315" s="481">
        <v>37.29591660952854</v>
      </c>
      <c r="AH315" s="700">
        <f t="shared" si="23"/>
        <v>1243.1972203176181</v>
      </c>
      <c r="AI315" s="482">
        <f t="shared" si="24"/>
        <v>1280.4931369271467</v>
      </c>
      <c r="AJ315" s="482"/>
      <c r="AK315" s="482"/>
      <c r="AL315" s="585">
        <v>16.829999999999998</v>
      </c>
      <c r="AM315" s="585">
        <v>606.43567525684261</v>
      </c>
      <c r="AN315" s="581">
        <v>0</v>
      </c>
      <c r="AO315" s="581">
        <f t="shared" si="25"/>
        <v>623.26567525684266</v>
      </c>
    </row>
    <row r="316" spans="1:41" x14ac:dyDescent="0.3">
      <c r="A316" s="476">
        <v>150000957</v>
      </c>
      <c r="B316" s="477" t="s">
        <v>377</v>
      </c>
      <c r="C316" s="478">
        <v>2163.8200000000002</v>
      </c>
      <c r="D316" s="479">
        <v>234.2</v>
      </c>
      <c r="E316" s="480"/>
      <c r="F316" s="480">
        <v>2163.8200000000002</v>
      </c>
      <c r="G316" s="481">
        <v>665.21122276348342</v>
      </c>
      <c r="H316" s="481">
        <v>100.16097341850138</v>
      </c>
      <c r="I316" s="481">
        <v>263.33999999999997</v>
      </c>
      <c r="J316" s="481">
        <v>61.56</v>
      </c>
      <c r="K316" s="481">
        <v>32.51454535665566</v>
      </c>
      <c r="L316" s="481">
        <v>180.76023473373581</v>
      </c>
      <c r="M316" s="587">
        <f t="shared" si="21"/>
        <v>0</v>
      </c>
      <c r="N316" s="481">
        <v>771.01081568146105</v>
      </c>
      <c r="O316" s="481">
        <v>1436.960005790688</v>
      </c>
      <c r="P316" s="481">
        <v>131.53517990591092</v>
      </c>
      <c r="Q316" s="481">
        <v>142.05264643404746</v>
      </c>
      <c r="R316" s="587">
        <f t="shared" si="22"/>
        <v>2730.6828815190192</v>
      </c>
      <c r="S316" s="481">
        <v>53.230022423612517</v>
      </c>
      <c r="T316" s="481">
        <v>66.457986212938039</v>
      </c>
      <c r="U316" s="481">
        <v>48.248022161284226</v>
      </c>
      <c r="V316" s="481">
        <v>34.155621616150434</v>
      </c>
      <c r="W316" s="481">
        <v>16.490308828845698</v>
      </c>
      <c r="X316" s="481">
        <v>21.813146642889613</v>
      </c>
      <c r="Y316" s="481">
        <v>19.232789584385941</v>
      </c>
      <c r="Z316" s="481">
        <v>2555.6904733129522</v>
      </c>
      <c r="AA316" s="481">
        <v>1531.7160965213061</v>
      </c>
      <c r="AB316" s="481">
        <v>584.27570349679877</v>
      </c>
      <c r="AC316" s="481">
        <v>65.076824142844814</v>
      </c>
      <c r="AD316" s="481">
        <v>8.0113514569790016</v>
      </c>
      <c r="AE316" s="481">
        <v>369.67112224954462</v>
      </c>
      <c r="AF316" s="481">
        <v>329.11648436562831</v>
      </c>
      <c r="AG316" s="481">
        <v>219.94154025515391</v>
      </c>
      <c r="AH316" s="700">
        <f t="shared" si="23"/>
        <v>12218.974458619661</v>
      </c>
      <c r="AI316" s="482">
        <f t="shared" si="24"/>
        <v>12438.915998874814</v>
      </c>
      <c r="AJ316" s="482"/>
      <c r="AK316" s="482"/>
      <c r="AL316" s="585">
        <v>23.85</v>
      </c>
      <c r="AM316" s="585">
        <v>2706.8328815190193</v>
      </c>
      <c r="AN316" s="581">
        <v>0</v>
      </c>
      <c r="AO316" s="581">
        <f t="shared" si="25"/>
        <v>2730.6828815190192</v>
      </c>
    </row>
    <row r="317" spans="1:41" x14ac:dyDescent="0.3">
      <c r="A317" s="476">
        <v>150000958</v>
      </c>
      <c r="B317" s="477" t="s">
        <v>380</v>
      </c>
      <c r="C317" s="478">
        <v>2135.1</v>
      </c>
      <c r="D317" s="479">
        <v>233.5</v>
      </c>
      <c r="E317" s="480"/>
      <c r="F317" s="480">
        <v>2135.1</v>
      </c>
      <c r="G317" s="481">
        <v>665.21105938218352</v>
      </c>
      <c r="H317" s="481">
        <v>100.16097341850138</v>
      </c>
      <c r="I317" s="481">
        <v>258.73</v>
      </c>
      <c r="J317" s="481">
        <v>58.12</v>
      </c>
      <c r="K317" s="481">
        <v>32.51454535665566</v>
      </c>
      <c r="L317" s="481">
        <v>180.76023473373581</v>
      </c>
      <c r="M317" s="587">
        <f t="shared" si="21"/>
        <v>0</v>
      </c>
      <c r="N317" s="481">
        <v>760.77732554532611</v>
      </c>
      <c r="O317" s="481">
        <v>1436.960005790688</v>
      </c>
      <c r="P317" s="481">
        <v>131.53517990591092</v>
      </c>
      <c r="Q317" s="481">
        <v>142.05264643404746</v>
      </c>
      <c r="R317" s="587">
        <f t="shared" si="22"/>
        <v>2742.6337855949109</v>
      </c>
      <c r="S317" s="481">
        <v>53.230022423612517</v>
      </c>
      <c r="T317" s="481">
        <v>66.457986212938039</v>
      </c>
      <c r="U317" s="481">
        <v>45.672291417892794</v>
      </c>
      <c r="V317" s="481">
        <v>29.906760454093973</v>
      </c>
      <c r="W317" s="481">
        <v>16.490308828845698</v>
      </c>
      <c r="X317" s="481">
        <v>21.813146642889613</v>
      </c>
      <c r="Y317" s="481">
        <v>25.902521407141478</v>
      </c>
      <c r="Z317" s="481">
        <v>2938.8308159880125</v>
      </c>
      <c r="AA317" s="481">
        <v>1500.4704912492909</v>
      </c>
      <c r="AB317" s="481">
        <v>584.27570349679877</v>
      </c>
      <c r="AC317" s="481">
        <v>59.096129193370558</v>
      </c>
      <c r="AD317" s="481">
        <v>7.2750916620626631</v>
      </c>
      <c r="AE317" s="481">
        <v>23.396906471490166</v>
      </c>
      <c r="AF317" s="481">
        <v>627.03709343593653</v>
      </c>
      <c r="AG317" s="481">
        <v>375.27933075139009</v>
      </c>
      <c r="AH317" s="700">
        <f t="shared" si="23"/>
        <v>12509.311025046332</v>
      </c>
      <c r="AI317" s="482">
        <f t="shared" si="24"/>
        <v>12884.590355797722</v>
      </c>
      <c r="AJ317" s="482"/>
      <c r="AK317" s="482"/>
      <c r="AL317" s="585">
        <v>8.4</v>
      </c>
      <c r="AM317" s="585">
        <v>2734.2337855949108</v>
      </c>
      <c r="AN317" s="581">
        <v>0</v>
      </c>
      <c r="AO317" s="581">
        <f t="shared" si="25"/>
        <v>2742.6337855949109</v>
      </c>
    </row>
    <row r="318" spans="1:41" x14ac:dyDescent="0.3">
      <c r="A318" s="476">
        <v>150000960</v>
      </c>
      <c r="B318" s="477" t="s">
        <v>378</v>
      </c>
      <c r="C318" s="478">
        <v>4314</v>
      </c>
      <c r="D318" s="479">
        <v>457.6</v>
      </c>
      <c r="E318" s="480"/>
      <c r="F318" s="480">
        <v>4314</v>
      </c>
      <c r="G318" s="481">
        <v>1313.8883235520016</v>
      </c>
      <c r="H318" s="481">
        <v>200.32194683700277</v>
      </c>
      <c r="I318" s="481">
        <v>535.01</v>
      </c>
      <c r="J318" s="481">
        <v>117.72</v>
      </c>
      <c r="K318" s="481">
        <v>65.004820328168279</v>
      </c>
      <c r="L318" s="481">
        <v>587.33955218936683</v>
      </c>
      <c r="M318" s="587">
        <f t="shared" si="21"/>
        <v>0</v>
      </c>
      <c r="N318" s="481">
        <v>1537.1614361868469</v>
      </c>
      <c r="O318" s="481">
        <v>3069.8746739721232</v>
      </c>
      <c r="P318" s="481">
        <v>263.07035981182185</v>
      </c>
      <c r="Q318" s="481">
        <v>284.10529286809492</v>
      </c>
      <c r="R318" s="587">
        <f t="shared" si="22"/>
        <v>5077.6073721487674</v>
      </c>
      <c r="S318" s="481">
        <v>82.705581956329112</v>
      </c>
      <c r="T318" s="481">
        <v>106.33277794070069</v>
      </c>
      <c r="U318" s="481">
        <v>79.379798649966872</v>
      </c>
      <c r="V318" s="481">
        <v>47.155071300886689</v>
      </c>
      <c r="W318" s="481">
        <v>26.384494126153122</v>
      </c>
      <c r="X318" s="481">
        <v>39.020441763512657</v>
      </c>
      <c r="Y318" s="481">
        <v>39.939398527722432</v>
      </c>
      <c r="Z318" s="481">
        <v>4916.0160207153558</v>
      </c>
      <c r="AA318" s="481">
        <v>3058.0002403862659</v>
      </c>
      <c r="AB318" s="481">
        <v>1146.9115661233459</v>
      </c>
      <c r="AC318" s="481">
        <v>121.3296721307276</v>
      </c>
      <c r="AD318" s="481">
        <v>14.936417970638814</v>
      </c>
      <c r="AE318" s="481">
        <v>734.66286320479117</v>
      </c>
      <c r="AF318" s="481">
        <v>655.11338120172479</v>
      </c>
      <c r="AG318" s="481">
        <v>434.1418470700616</v>
      </c>
      <c r="AH318" s="700">
        <f t="shared" si="23"/>
        <v>24118.991503892314</v>
      </c>
      <c r="AI318" s="482">
        <f t="shared" si="24"/>
        <v>24553.133350962376</v>
      </c>
      <c r="AJ318" s="482"/>
      <c r="AK318" s="482"/>
      <c r="AL318" s="585">
        <v>23.85</v>
      </c>
      <c r="AM318" s="585">
        <v>5053.757372148767</v>
      </c>
      <c r="AN318" s="581">
        <v>0</v>
      </c>
      <c r="AO318" s="581">
        <f t="shared" si="25"/>
        <v>5077.6073721487674</v>
      </c>
    </row>
    <row r="319" spans="1:41" x14ac:dyDescent="0.3">
      <c r="A319" s="476">
        <v>150000961</v>
      </c>
      <c r="B319" s="477" t="s">
        <v>381</v>
      </c>
      <c r="C319" s="478">
        <v>4349.8999999999996</v>
      </c>
      <c r="D319" s="479">
        <v>477.8</v>
      </c>
      <c r="E319" s="480"/>
      <c r="F319" s="480">
        <v>4349.8999999999996</v>
      </c>
      <c r="G319" s="481">
        <v>1309.0624390831224</v>
      </c>
      <c r="H319" s="481">
        <v>200.32194683700277</v>
      </c>
      <c r="I319" s="481">
        <v>542.63</v>
      </c>
      <c r="J319" s="481">
        <v>117.24</v>
      </c>
      <c r="K319" s="481">
        <v>65.004820328168279</v>
      </c>
      <c r="L319" s="481">
        <v>775.93096029869571</v>
      </c>
      <c r="M319" s="587">
        <f t="shared" si="21"/>
        <v>0</v>
      </c>
      <c r="N319" s="481">
        <v>1549.9532988570154</v>
      </c>
      <c r="O319" s="481">
        <v>2873.920011581376</v>
      </c>
      <c r="P319" s="481">
        <v>263.07035981182185</v>
      </c>
      <c r="Q319" s="481">
        <v>280.15938602270472</v>
      </c>
      <c r="R319" s="587">
        <f t="shared" si="22"/>
        <v>4932.2100638749998</v>
      </c>
      <c r="S319" s="481">
        <v>103.24030007118162</v>
      </c>
      <c r="T319" s="481">
        <v>132.91597242587585</v>
      </c>
      <c r="U319" s="481">
        <v>100.96236767896448</v>
      </c>
      <c r="V319" s="481">
        <v>55.079747212997127</v>
      </c>
      <c r="W319" s="481">
        <v>32.980617657691397</v>
      </c>
      <c r="X319" s="481">
        <v>48.840764337130459</v>
      </c>
      <c r="Y319" s="481">
        <v>27.597915573539716</v>
      </c>
      <c r="Z319" s="481">
        <v>4493.3510532438386</v>
      </c>
      <c r="AA319" s="481">
        <v>3000.918275988477</v>
      </c>
      <c r="AB319" s="481">
        <v>1298.3904522151083</v>
      </c>
      <c r="AC319" s="481">
        <v>117.28534972637001</v>
      </c>
      <c r="AD319" s="481">
        <v>14.438537371617523</v>
      </c>
      <c r="AE319" s="481">
        <v>46.793812942980331</v>
      </c>
      <c r="AF319" s="481">
        <v>1275.9112995785972</v>
      </c>
      <c r="AG319" s="481">
        <v>709.74629258157836</v>
      </c>
      <c r="AH319" s="700">
        <f t="shared" si="23"/>
        <v>23658.209752719278</v>
      </c>
      <c r="AI319" s="482">
        <f t="shared" si="24"/>
        <v>24367.956045300856</v>
      </c>
      <c r="AJ319" s="482"/>
      <c r="AK319" s="482"/>
      <c r="AL319" s="585">
        <v>8.4</v>
      </c>
      <c r="AM319" s="585">
        <v>4923.8100638750002</v>
      </c>
      <c r="AN319" s="581">
        <v>0</v>
      </c>
      <c r="AO319" s="581">
        <f t="shared" si="25"/>
        <v>4932.2100638749998</v>
      </c>
    </row>
    <row r="320" spans="1:41" x14ac:dyDescent="0.3">
      <c r="A320" s="476">
        <v>150000963</v>
      </c>
      <c r="B320" s="477" t="s">
        <v>379</v>
      </c>
      <c r="C320" s="478">
        <v>2140.7399999999998</v>
      </c>
      <c r="D320" s="479">
        <v>236.5</v>
      </c>
      <c r="E320" s="480"/>
      <c r="F320" s="480">
        <v>2140.7399999999998</v>
      </c>
      <c r="G320" s="481">
        <v>665.21122276348342</v>
      </c>
      <c r="H320" s="481">
        <v>100.16097341850138</v>
      </c>
      <c r="I320" s="481">
        <v>263.11</v>
      </c>
      <c r="J320" s="481">
        <v>58.36</v>
      </c>
      <c r="K320" s="481">
        <v>32.51454535665566</v>
      </c>
      <c r="L320" s="481">
        <v>180.76023473373581</v>
      </c>
      <c r="M320" s="587">
        <f t="shared" si="21"/>
        <v>0</v>
      </c>
      <c r="N320" s="481">
        <v>762.7869663659319</v>
      </c>
      <c r="O320" s="481">
        <v>1632.9146681814352</v>
      </c>
      <c r="P320" s="481">
        <v>131.53517990591092</v>
      </c>
      <c r="Q320" s="481">
        <v>142.05264643404746</v>
      </c>
      <c r="R320" s="587">
        <f t="shared" si="22"/>
        <v>2932.5853349271692</v>
      </c>
      <c r="S320" s="481">
        <v>53.230022423612517</v>
      </c>
      <c r="T320" s="481">
        <v>66.457986212938039</v>
      </c>
      <c r="U320" s="481">
        <v>46.562426944596147</v>
      </c>
      <c r="V320" s="481">
        <v>32.283507219230621</v>
      </c>
      <c r="W320" s="481">
        <v>16.490308828845698</v>
      </c>
      <c r="X320" s="481">
        <v>21.813146642889613</v>
      </c>
      <c r="Y320" s="481">
        <v>13.953532419340904</v>
      </c>
      <c r="Z320" s="481">
        <v>2812.9139680102535</v>
      </c>
      <c r="AA320" s="481">
        <v>1529.0783386326741</v>
      </c>
      <c r="AB320" s="481">
        <v>584.27570349679877</v>
      </c>
      <c r="AC320" s="481">
        <v>59.659883225493132</v>
      </c>
      <c r="AD320" s="481">
        <v>7.3444932001080563</v>
      </c>
      <c r="AE320" s="481">
        <v>366.55153472001268</v>
      </c>
      <c r="AF320" s="481">
        <v>325.99689683609631</v>
      </c>
      <c r="AG320" s="481">
        <v>231.09486337619566</v>
      </c>
      <c r="AH320" s="700">
        <f t="shared" si="23"/>
        <v>12838.60352089976</v>
      </c>
      <c r="AI320" s="482">
        <f t="shared" si="24"/>
        <v>13069.698384275956</v>
      </c>
      <c r="AJ320" s="482"/>
      <c r="AK320" s="482"/>
      <c r="AL320" s="585">
        <v>23.85</v>
      </c>
      <c r="AM320" s="585">
        <v>2908.7353349271693</v>
      </c>
      <c r="AN320" s="581">
        <v>0</v>
      </c>
      <c r="AO320" s="581">
        <f t="shared" si="25"/>
        <v>2932.5853349271692</v>
      </c>
    </row>
    <row r="321" spans="1:41" x14ac:dyDescent="0.3">
      <c r="A321" s="476">
        <v>150000964</v>
      </c>
      <c r="B321" s="477" t="s">
        <v>382</v>
      </c>
      <c r="C321" s="478">
        <v>2131.85</v>
      </c>
      <c r="D321" s="479">
        <v>234</v>
      </c>
      <c r="E321" s="480"/>
      <c r="F321" s="480">
        <v>2131.85</v>
      </c>
      <c r="G321" s="481">
        <v>665.21105938218352</v>
      </c>
      <c r="H321" s="481">
        <v>100.16097341850138</v>
      </c>
      <c r="I321" s="481">
        <v>263.77999999999997</v>
      </c>
      <c r="J321" s="481">
        <v>58.1</v>
      </c>
      <c r="K321" s="481">
        <v>32.51454535665566</v>
      </c>
      <c r="L321" s="481">
        <v>180.76023473373581</v>
      </c>
      <c r="M321" s="587">
        <f t="shared" si="21"/>
        <v>0</v>
      </c>
      <c r="N321" s="481">
        <v>759.61928783841665</v>
      </c>
      <c r="O321" s="481">
        <v>1436.960005790688</v>
      </c>
      <c r="P321" s="481">
        <v>131.53517990591092</v>
      </c>
      <c r="Q321" s="481">
        <v>142.05264643404746</v>
      </c>
      <c r="R321" s="587">
        <f t="shared" si="22"/>
        <v>2488.0716194843239</v>
      </c>
      <c r="S321" s="481">
        <v>21.292008969445007</v>
      </c>
      <c r="T321" s="481">
        <v>26.58319448517522</v>
      </c>
      <c r="U321" s="481">
        <v>22.003222170847501</v>
      </c>
      <c r="V321" s="481">
        <v>11.794445905062231</v>
      </c>
      <c r="W321" s="481">
        <v>6.5961235315382805</v>
      </c>
      <c r="X321" s="481">
        <v>8.7252586571558464</v>
      </c>
      <c r="Y321" s="481">
        <v>13.953532419340904</v>
      </c>
      <c r="Z321" s="481">
        <v>2931.6216774974168</v>
      </c>
      <c r="AA321" s="481">
        <v>1501.6300007690975</v>
      </c>
      <c r="AB321" s="481">
        <v>584.27570349679877</v>
      </c>
      <c r="AC321" s="481">
        <v>61.76783308473405</v>
      </c>
      <c r="AD321" s="481">
        <v>7.6039946032343053</v>
      </c>
      <c r="AE321" s="481">
        <v>21.837112706724156</v>
      </c>
      <c r="AF321" s="481">
        <v>623.91750590640459</v>
      </c>
      <c r="AG321" s="481">
        <v>363.07101499642317</v>
      </c>
      <c r="AH321" s="700">
        <f t="shared" si="23"/>
        <v>12102.367166547436</v>
      </c>
      <c r="AI321" s="482">
        <f t="shared" si="24"/>
        <v>12465.438181543859</v>
      </c>
      <c r="AJ321" s="482"/>
      <c r="AK321" s="482"/>
      <c r="AL321" s="585">
        <v>8.4</v>
      </c>
      <c r="AM321" s="585">
        <v>2479.6716194843239</v>
      </c>
      <c r="AN321" s="581">
        <v>0</v>
      </c>
      <c r="AO321" s="581">
        <f t="shared" si="25"/>
        <v>2488.0716194843239</v>
      </c>
    </row>
    <row r="322" spans="1:41" x14ac:dyDescent="0.3">
      <c r="A322" s="476">
        <v>150000966</v>
      </c>
      <c r="B322" s="477" t="s">
        <v>204</v>
      </c>
      <c r="C322" s="478">
        <v>934</v>
      </c>
      <c r="D322" s="479"/>
      <c r="E322" s="480">
        <v>238.81</v>
      </c>
      <c r="F322" s="480">
        <v>1172.81</v>
      </c>
      <c r="G322" s="481">
        <v>369.63173115848946</v>
      </c>
      <c r="H322" s="481">
        <v>75.132824411122613</v>
      </c>
      <c r="I322" s="481">
        <v>132.31</v>
      </c>
      <c r="J322" s="481">
        <v>0</v>
      </c>
      <c r="K322" s="481">
        <v>0</v>
      </c>
      <c r="L322" s="481">
        <v>245.28895374761245</v>
      </c>
      <c r="M322" s="587">
        <f t="shared" si="21"/>
        <v>0</v>
      </c>
      <c r="N322" s="481">
        <v>417.89483170475097</v>
      </c>
      <c r="O322" s="481">
        <v>0</v>
      </c>
      <c r="P322" s="481">
        <v>0</v>
      </c>
      <c r="Q322" s="481">
        <v>213.07896965107119</v>
      </c>
      <c r="R322" s="587">
        <f t="shared" si="22"/>
        <v>1104.4743047417053</v>
      </c>
      <c r="S322" s="481">
        <v>67.080587841203069</v>
      </c>
      <c r="T322" s="481">
        <v>96.81293766625403</v>
      </c>
      <c r="U322" s="481">
        <v>67.147496892016292</v>
      </c>
      <c r="V322" s="481">
        <v>0</v>
      </c>
      <c r="W322" s="481">
        <v>0</v>
      </c>
      <c r="X322" s="481">
        <v>28.667504304214575</v>
      </c>
      <c r="Y322" s="481">
        <v>0</v>
      </c>
      <c r="Z322" s="481">
        <v>1741.5297278498817</v>
      </c>
      <c r="AA322" s="481">
        <v>670.3983308582915</v>
      </c>
      <c r="AB322" s="481">
        <v>531.44596608374627</v>
      </c>
      <c r="AC322" s="481">
        <v>24.020823977396574</v>
      </c>
      <c r="AD322" s="481">
        <v>2.9571090123688966</v>
      </c>
      <c r="AE322" s="481">
        <v>230.84947718536966</v>
      </c>
      <c r="AF322" s="481">
        <v>0</v>
      </c>
      <c r="AG322" s="481">
        <v>180.56164731256484</v>
      </c>
      <c r="AH322" s="700">
        <f t="shared" si="23"/>
        <v>6018.7215770854946</v>
      </c>
      <c r="AI322" s="482">
        <f t="shared" si="24"/>
        <v>6199.2832243980592</v>
      </c>
      <c r="AJ322" s="482"/>
      <c r="AK322" s="482"/>
      <c r="AL322" s="585">
        <v>61.82</v>
      </c>
      <c r="AM322" s="585">
        <v>1042.6543047417053</v>
      </c>
      <c r="AN322" s="581">
        <v>0</v>
      </c>
      <c r="AO322" s="581">
        <f t="shared" si="25"/>
        <v>1104.4743047417053</v>
      </c>
    </row>
    <row r="323" spans="1:41" x14ac:dyDescent="0.3">
      <c r="A323" s="476">
        <v>150000967</v>
      </c>
      <c r="B323" s="477" t="s">
        <v>205</v>
      </c>
      <c r="C323" s="478">
        <v>1264.5999999999999</v>
      </c>
      <c r="D323" s="479"/>
      <c r="E323" s="480">
        <v>183.7</v>
      </c>
      <c r="F323" s="480">
        <v>1448.3</v>
      </c>
      <c r="G323" s="481">
        <v>433.42865098432856</v>
      </c>
      <c r="H323" s="481">
        <v>77.57415052703638</v>
      </c>
      <c r="I323" s="481">
        <v>170.83</v>
      </c>
      <c r="J323" s="481">
        <v>0</v>
      </c>
      <c r="K323" s="481">
        <v>0</v>
      </c>
      <c r="L323" s="481">
        <v>247.47965229655924</v>
      </c>
      <c r="M323" s="587">
        <f t="shared" si="21"/>
        <v>0</v>
      </c>
      <c r="N323" s="481">
        <v>516.0572341282824</v>
      </c>
      <c r="O323" s="481">
        <v>0</v>
      </c>
      <c r="P323" s="481">
        <v>0</v>
      </c>
      <c r="Q323" s="481">
        <v>319.61845447660681</v>
      </c>
      <c r="R323" s="587">
        <f t="shared" si="22"/>
        <v>1092.4207836904952</v>
      </c>
      <c r="S323" s="481">
        <v>73.460140401144486</v>
      </c>
      <c r="T323" s="481">
        <v>99.99339749450769</v>
      </c>
      <c r="U323" s="481">
        <v>95.681229302492454</v>
      </c>
      <c r="V323" s="481">
        <v>0</v>
      </c>
      <c r="W323" s="481">
        <v>0</v>
      </c>
      <c r="X323" s="481">
        <v>30.028070076793693</v>
      </c>
      <c r="Y323" s="481">
        <v>0</v>
      </c>
      <c r="Z323" s="481">
        <v>2289.5368246033481</v>
      </c>
      <c r="AA323" s="481">
        <v>748.25971130977496</v>
      </c>
      <c r="AB323" s="481">
        <v>1028.2590875012797</v>
      </c>
      <c r="AC323" s="481">
        <v>75.494018214674952</v>
      </c>
      <c r="AD323" s="481">
        <v>9.2937711817308184</v>
      </c>
      <c r="AE323" s="481">
        <v>207.45257071387951</v>
      </c>
      <c r="AF323" s="481">
        <v>0</v>
      </c>
      <c r="AG323" s="481">
        <v>0</v>
      </c>
      <c r="AH323" s="700">
        <f t="shared" si="23"/>
        <v>7514.8677469029335</v>
      </c>
      <c r="AI323" s="482">
        <f t="shared" si="24"/>
        <v>7514.8677469029335</v>
      </c>
      <c r="AJ323" s="482"/>
      <c r="AK323" s="482"/>
      <c r="AL323" s="585">
        <v>65.72</v>
      </c>
      <c r="AM323" s="585">
        <v>1026.7007836904952</v>
      </c>
      <c r="AN323" s="581">
        <v>0</v>
      </c>
      <c r="AO323" s="581">
        <f t="shared" si="25"/>
        <v>1092.4207836904952</v>
      </c>
    </row>
    <row r="324" spans="1:41" x14ac:dyDescent="0.3">
      <c r="A324" s="476">
        <v>150000968</v>
      </c>
      <c r="B324" s="477" t="s">
        <v>244</v>
      </c>
      <c r="C324" s="478">
        <v>1759.4</v>
      </c>
      <c r="D324" s="479"/>
      <c r="E324" s="480">
        <v>358</v>
      </c>
      <c r="F324" s="480">
        <v>2117.4</v>
      </c>
      <c r="G324" s="481">
        <v>509.34894802549263</v>
      </c>
      <c r="H324" s="481">
        <v>87.388036606302492</v>
      </c>
      <c r="I324" s="481">
        <v>224.37</v>
      </c>
      <c r="J324" s="481">
        <v>0</v>
      </c>
      <c r="K324" s="481">
        <v>0</v>
      </c>
      <c r="L324" s="481">
        <v>297.51984325224942</v>
      </c>
      <c r="M324" s="587">
        <f t="shared" si="21"/>
        <v>0</v>
      </c>
      <c r="N324" s="481">
        <v>754.47047403385022</v>
      </c>
      <c r="O324" s="481">
        <v>0</v>
      </c>
      <c r="P324" s="481">
        <v>0</v>
      </c>
      <c r="Q324" s="481">
        <v>437.99565983831303</v>
      </c>
      <c r="R324" s="587">
        <f t="shared" si="22"/>
        <v>1160.139940421097</v>
      </c>
      <c r="S324" s="481">
        <v>84.611857446792584</v>
      </c>
      <c r="T324" s="481">
        <v>112.642466497418</v>
      </c>
      <c r="U324" s="481">
        <v>137.35200269798972</v>
      </c>
      <c r="V324" s="481">
        <v>0</v>
      </c>
      <c r="W324" s="481">
        <v>0</v>
      </c>
      <c r="X324" s="481">
        <v>35.018585326851472</v>
      </c>
      <c r="Y324" s="481">
        <v>0</v>
      </c>
      <c r="Z324" s="481">
        <v>1854.1732184861526</v>
      </c>
      <c r="AA324" s="481">
        <v>827.65870848224961</v>
      </c>
      <c r="AB324" s="481">
        <v>950.99182061787099</v>
      </c>
      <c r="AC324" s="481">
        <v>0</v>
      </c>
      <c r="AD324" s="481">
        <v>0</v>
      </c>
      <c r="AE324" s="481">
        <v>257.36597118639179</v>
      </c>
      <c r="AF324" s="481">
        <v>0</v>
      </c>
      <c r="AG324" s="481">
        <v>0</v>
      </c>
      <c r="AH324" s="700">
        <f t="shared" si="23"/>
        <v>7731.0475329190213</v>
      </c>
      <c r="AI324" s="482">
        <f t="shared" si="24"/>
        <v>7731.0475329190213</v>
      </c>
      <c r="AJ324" s="482"/>
      <c r="AK324" s="482"/>
      <c r="AL324" s="585">
        <v>58.17</v>
      </c>
      <c r="AM324" s="585">
        <v>1101.9699404210969</v>
      </c>
      <c r="AN324" s="581">
        <v>0</v>
      </c>
      <c r="AO324" s="581">
        <f t="shared" si="25"/>
        <v>1160.139940421097</v>
      </c>
    </row>
    <row r="325" spans="1:41" x14ac:dyDescent="0.3">
      <c r="A325" s="476">
        <v>150000969</v>
      </c>
      <c r="B325" s="477" t="s">
        <v>192</v>
      </c>
      <c r="C325" s="478">
        <v>664</v>
      </c>
      <c r="D325" s="479"/>
      <c r="E325" s="480">
        <v>89.3</v>
      </c>
      <c r="F325" s="480">
        <v>753.3</v>
      </c>
      <c r="G325" s="481">
        <v>310.51948390675881</v>
      </c>
      <c r="H325" s="481">
        <v>63.247631410531021</v>
      </c>
      <c r="I325" s="481">
        <v>85.44</v>
      </c>
      <c r="J325" s="481">
        <v>0</v>
      </c>
      <c r="K325" s="481">
        <v>0</v>
      </c>
      <c r="L325" s="481">
        <v>188.00331223122086</v>
      </c>
      <c r="M325" s="587">
        <f t="shared" si="21"/>
        <v>0</v>
      </c>
      <c r="N325" s="481">
        <v>268.41532449688265</v>
      </c>
      <c r="O325" s="481">
        <v>0</v>
      </c>
      <c r="P325" s="481">
        <v>0</v>
      </c>
      <c r="Q325" s="481">
        <v>248.59213125958306</v>
      </c>
      <c r="R325" s="587">
        <f t="shared" si="22"/>
        <v>808.81450050029378</v>
      </c>
      <c r="S325" s="481">
        <v>51.892251133658675</v>
      </c>
      <c r="T325" s="481">
        <v>81.502893220459157</v>
      </c>
      <c r="U325" s="481">
        <v>35.714246205914094</v>
      </c>
      <c r="V325" s="481">
        <v>0</v>
      </c>
      <c r="W325" s="481">
        <v>0</v>
      </c>
      <c r="X325" s="481">
        <v>19.763241944729856</v>
      </c>
      <c r="Y325" s="481">
        <v>0</v>
      </c>
      <c r="Z325" s="481">
        <v>723.12700868235447</v>
      </c>
      <c r="AA325" s="481">
        <v>462.57596999447503</v>
      </c>
      <c r="AB325" s="481">
        <v>310.32564522142945</v>
      </c>
      <c r="AC325" s="481">
        <v>37.992119556086422</v>
      </c>
      <c r="AD325" s="481">
        <v>4.6770601726242758</v>
      </c>
      <c r="AE325" s="481">
        <v>145.06082012323901</v>
      </c>
      <c r="AF325" s="481">
        <v>0</v>
      </c>
      <c r="AG325" s="481">
        <v>0</v>
      </c>
      <c r="AH325" s="700">
        <f t="shared" si="23"/>
        <v>3845.6636400602406</v>
      </c>
      <c r="AI325" s="482">
        <f t="shared" si="24"/>
        <v>3845.6636400602406</v>
      </c>
      <c r="AJ325" s="482"/>
      <c r="AK325" s="482"/>
      <c r="AL325" s="585">
        <v>25.61</v>
      </c>
      <c r="AM325" s="585">
        <v>783.20450050029376</v>
      </c>
      <c r="AN325" s="581">
        <v>0</v>
      </c>
      <c r="AO325" s="581">
        <f t="shared" si="25"/>
        <v>808.81450050029378</v>
      </c>
    </row>
    <row r="326" spans="1:41" x14ac:dyDescent="0.3">
      <c r="A326" s="476">
        <v>150000970</v>
      </c>
      <c r="B326" s="477" t="s">
        <v>242</v>
      </c>
      <c r="C326" s="478">
        <v>2589.4</v>
      </c>
      <c r="D326" s="479"/>
      <c r="E326" s="480">
        <v>358.2</v>
      </c>
      <c r="F326" s="480">
        <v>2947.6</v>
      </c>
      <c r="G326" s="481">
        <v>725.78146993775988</v>
      </c>
      <c r="H326" s="481">
        <v>141.46318666382376</v>
      </c>
      <c r="I326" s="481">
        <v>309.37</v>
      </c>
      <c r="J326" s="481">
        <v>0</v>
      </c>
      <c r="K326" s="481">
        <v>0</v>
      </c>
      <c r="L326" s="481">
        <v>441.75834633058707</v>
      </c>
      <c r="M326" s="587">
        <f t="shared" ref="M326:M389" si="26">AN326</f>
        <v>0</v>
      </c>
      <c r="N326" s="481">
        <v>1050.286752272682</v>
      </c>
      <c r="O326" s="481">
        <v>0</v>
      </c>
      <c r="P326" s="481">
        <v>0</v>
      </c>
      <c r="Q326" s="481">
        <v>639.23690895321363</v>
      </c>
      <c r="R326" s="587">
        <f t="shared" ref="R326:R389" si="27">AO326</f>
        <v>2608.9229784155791</v>
      </c>
      <c r="S326" s="481">
        <v>117.53522012424784</v>
      </c>
      <c r="T326" s="481">
        <v>182.33148274553318</v>
      </c>
      <c r="U326" s="481">
        <v>167.70813930096779</v>
      </c>
      <c r="V326" s="481">
        <v>0</v>
      </c>
      <c r="W326" s="481">
        <v>0</v>
      </c>
      <c r="X326" s="481">
        <v>56.803266478894642</v>
      </c>
      <c r="Y326" s="481">
        <v>0</v>
      </c>
      <c r="Z326" s="481">
        <v>2173.7099871722216</v>
      </c>
      <c r="AA326" s="481">
        <v>978.47179765724263</v>
      </c>
      <c r="AB326" s="481">
        <v>960.29966002667061</v>
      </c>
      <c r="AC326" s="481">
        <v>115.86370912362614</v>
      </c>
      <c r="AD326" s="481">
        <v>14.263524797416096</v>
      </c>
      <c r="AE326" s="481">
        <v>310.39895918843621</v>
      </c>
      <c r="AF326" s="481">
        <v>0</v>
      </c>
      <c r="AG326" s="481">
        <v>659.6523233513343</v>
      </c>
      <c r="AH326" s="700">
        <f t="shared" ref="AH326:AH389" si="28">SUM(G326:AG326)-AG326</f>
        <v>10994.205389188903</v>
      </c>
      <c r="AI326" s="482">
        <f t="shared" ref="AI326:AI389" si="29">G326+H326+I326+J326+K326+L326+M326+N326+O326+P326+Q326+R326+S326+T326+U326+V326+W326+X326+Y326+Z326+AA326+AB326+AC326+AD326+AE326+AF326+AG326</f>
        <v>11653.857712540237</v>
      </c>
      <c r="AJ326" s="482"/>
      <c r="AK326" s="482"/>
      <c r="AL326" s="585">
        <v>98.23</v>
      </c>
      <c r="AM326" s="585">
        <v>2510.6929784155791</v>
      </c>
      <c r="AN326" s="581">
        <v>0</v>
      </c>
      <c r="AO326" s="581">
        <f t="shared" ref="AO326:AO389" si="30">AL326+AM326</f>
        <v>2608.9229784155791</v>
      </c>
    </row>
    <row r="327" spans="1:41" x14ac:dyDescent="0.3">
      <c r="A327" s="476">
        <v>150000971</v>
      </c>
      <c r="B327" s="477" t="s">
        <v>193</v>
      </c>
      <c r="C327" s="478">
        <v>1132.9000000000001</v>
      </c>
      <c r="D327" s="479"/>
      <c r="E327" s="480">
        <v>336.63</v>
      </c>
      <c r="F327" s="480">
        <v>1469.5300000000002</v>
      </c>
      <c r="G327" s="481">
        <v>490.05529328183388</v>
      </c>
      <c r="H327" s="481">
        <v>98.558196818709632</v>
      </c>
      <c r="I327" s="481">
        <v>174.56</v>
      </c>
      <c r="J327" s="481">
        <v>0</v>
      </c>
      <c r="K327" s="481">
        <v>0</v>
      </c>
      <c r="L327" s="481">
        <v>352.02186897368347</v>
      </c>
      <c r="M327" s="587">
        <f t="shared" si="26"/>
        <v>0</v>
      </c>
      <c r="N327" s="481">
        <v>523.62189274910929</v>
      </c>
      <c r="O327" s="481">
        <v>0</v>
      </c>
      <c r="P327" s="481">
        <v>0</v>
      </c>
      <c r="Q327" s="481">
        <v>343.29389554894806</v>
      </c>
      <c r="R327" s="587">
        <f t="shared" si="27"/>
        <v>1854.0418278284308</v>
      </c>
      <c r="S327" s="481">
        <v>82.211527339273175</v>
      </c>
      <c r="T327" s="481">
        <v>127.03963965971626</v>
      </c>
      <c r="U327" s="481">
        <v>74.612146727400756</v>
      </c>
      <c r="V327" s="481">
        <v>0</v>
      </c>
      <c r="W327" s="481">
        <v>0</v>
      </c>
      <c r="X327" s="481">
        <v>43.66879852262678</v>
      </c>
      <c r="Y327" s="481">
        <v>0</v>
      </c>
      <c r="Z327" s="481">
        <v>1148.6783645187138</v>
      </c>
      <c r="AA327" s="481">
        <v>1125.7119143045113</v>
      </c>
      <c r="AB327" s="481">
        <v>408.82061044172241</v>
      </c>
      <c r="AC327" s="481">
        <v>163.97889021304397</v>
      </c>
      <c r="AD327" s="481">
        <v>20.186795196681551</v>
      </c>
      <c r="AE327" s="481">
        <v>293.24122777601013</v>
      </c>
      <c r="AF327" s="481">
        <v>0</v>
      </c>
      <c r="AG327" s="481">
        <v>131.83745201820744</v>
      </c>
      <c r="AH327" s="700">
        <f t="shared" si="28"/>
        <v>7324.3028899004148</v>
      </c>
      <c r="AI327" s="482">
        <f t="shared" si="29"/>
        <v>7456.1403419186227</v>
      </c>
      <c r="AJ327" s="482"/>
      <c r="AK327" s="482"/>
      <c r="AL327" s="585">
        <v>73.84</v>
      </c>
      <c r="AM327" s="585">
        <v>1780.2018278284309</v>
      </c>
      <c r="AN327" s="581">
        <v>0</v>
      </c>
      <c r="AO327" s="581">
        <f t="shared" si="30"/>
        <v>1854.0418278284308</v>
      </c>
    </row>
    <row r="328" spans="1:41" x14ac:dyDescent="0.3">
      <c r="A328" s="476">
        <v>150000972</v>
      </c>
      <c r="B328" s="477" t="s">
        <v>201</v>
      </c>
      <c r="C328" s="478">
        <v>1931.4</v>
      </c>
      <c r="D328" s="479"/>
      <c r="E328" s="480">
        <v>236.2</v>
      </c>
      <c r="F328" s="480">
        <v>2167.6</v>
      </c>
      <c r="G328" s="481">
        <v>702.44576427791162</v>
      </c>
      <c r="H328" s="481">
        <v>114.48708408175725</v>
      </c>
      <c r="I328" s="481">
        <v>273.60000000000002</v>
      </c>
      <c r="J328" s="481">
        <v>0</v>
      </c>
      <c r="K328" s="481">
        <v>0</v>
      </c>
      <c r="L328" s="481">
        <v>401.26606349247578</v>
      </c>
      <c r="M328" s="587">
        <f t="shared" si="26"/>
        <v>0</v>
      </c>
      <c r="N328" s="481">
        <v>772.3577026144203</v>
      </c>
      <c r="O328" s="481">
        <v>0</v>
      </c>
      <c r="P328" s="481">
        <v>0</v>
      </c>
      <c r="Q328" s="481">
        <v>509.02198305533676</v>
      </c>
      <c r="R328" s="587">
        <f t="shared" si="27"/>
        <v>1620.4618902026718</v>
      </c>
      <c r="S328" s="481">
        <v>116.35071965263569</v>
      </c>
      <c r="T328" s="481">
        <v>147.56465387440588</v>
      </c>
      <c r="U328" s="481">
        <v>142.88173050925735</v>
      </c>
      <c r="V328" s="481">
        <v>0</v>
      </c>
      <c r="W328" s="481">
        <v>0</v>
      </c>
      <c r="X328" s="481">
        <v>51.916835135996294</v>
      </c>
      <c r="Y328" s="481">
        <v>0</v>
      </c>
      <c r="Z328" s="481">
        <v>2132.7374605868777</v>
      </c>
      <c r="AA328" s="481">
        <v>1134.2398188829136</v>
      </c>
      <c r="AB328" s="481">
        <v>613.44670013718155</v>
      </c>
      <c r="AC328" s="481">
        <v>111.52525418076981</v>
      </c>
      <c r="AD328" s="481">
        <v>13.729434700284163</v>
      </c>
      <c r="AE328" s="481">
        <v>244.88762106826377</v>
      </c>
      <c r="AF328" s="481">
        <v>0</v>
      </c>
      <c r="AG328" s="481">
        <v>273.08762149359472</v>
      </c>
      <c r="AH328" s="700">
        <f t="shared" si="28"/>
        <v>9102.9207164531581</v>
      </c>
      <c r="AI328" s="482">
        <f t="shared" si="29"/>
        <v>9376.0083379467524</v>
      </c>
      <c r="AJ328" s="482"/>
      <c r="AK328" s="482"/>
      <c r="AL328" s="585">
        <v>98.31</v>
      </c>
      <c r="AM328" s="585">
        <v>1522.1518902026719</v>
      </c>
      <c r="AN328" s="581">
        <v>0</v>
      </c>
      <c r="AO328" s="581">
        <f t="shared" si="30"/>
        <v>1620.4618902026718</v>
      </c>
    </row>
    <row r="329" spans="1:41" x14ac:dyDescent="0.3">
      <c r="A329" s="476">
        <v>150000973</v>
      </c>
      <c r="B329" s="477" t="s">
        <v>49</v>
      </c>
      <c r="C329" s="478">
        <v>132.19999999999999</v>
      </c>
      <c r="D329" s="483"/>
      <c r="E329" s="480">
        <v>0</v>
      </c>
      <c r="F329" s="480">
        <v>132.19999999999999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587">
        <f t="shared" si="26"/>
        <v>0</v>
      </c>
      <c r="N329" s="481">
        <v>0</v>
      </c>
      <c r="O329" s="481">
        <v>0</v>
      </c>
      <c r="P329" s="481">
        <v>0</v>
      </c>
      <c r="Q329" s="481">
        <v>39.45906845390207</v>
      </c>
      <c r="R329" s="587">
        <f t="shared" si="27"/>
        <v>181.97585377329497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7.9756702513991691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6.8823177743578867</v>
      </c>
      <c r="AH329" s="700">
        <f t="shared" si="28"/>
        <v>229.41059247859621</v>
      </c>
      <c r="AI329" s="482">
        <f t="shared" si="29"/>
        <v>236.2929102529541</v>
      </c>
      <c r="AJ329" s="482"/>
      <c r="AK329" s="482"/>
      <c r="AL329" s="585">
        <v>27.19</v>
      </c>
      <c r="AM329" s="585">
        <v>154.78585377329497</v>
      </c>
      <c r="AN329" s="581">
        <v>0</v>
      </c>
      <c r="AO329" s="581">
        <f t="shared" si="30"/>
        <v>181.97585377329497</v>
      </c>
    </row>
    <row r="330" spans="1:41" x14ac:dyDescent="0.3">
      <c r="A330" s="476">
        <v>150000974</v>
      </c>
      <c r="B330" s="477" t="s">
        <v>202</v>
      </c>
      <c r="C330" s="478">
        <v>1907.4</v>
      </c>
      <c r="D330" s="479"/>
      <c r="E330" s="480">
        <v>408.17</v>
      </c>
      <c r="F330" s="480">
        <v>2315.5700000000002</v>
      </c>
      <c r="G330" s="481">
        <v>546.1258662944839</v>
      </c>
      <c r="H330" s="481">
        <v>78.5109660981541</v>
      </c>
      <c r="I330" s="481">
        <v>269.18</v>
      </c>
      <c r="J330" s="481">
        <v>66.87</v>
      </c>
      <c r="K330" s="481">
        <v>0</v>
      </c>
      <c r="L330" s="481">
        <v>380.5252199090238</v>
      </c>
      <c r="M330" s="587">
        <f t="shared" si="26"/>
        <v>0</v>
      </c>
      <c r="N330" s="481">
        <v>825.08226861177036</v>
      </c>
      <c r="O330" s="481">
        <v>0</v>
      </c>
      <c r="P330" s="481">
        <v>0</v>
      </c>
      <c r="Q330" s="481">
        <v>126.26901905248663</v>
      </c>
      <c r="R330" s="587">
        <f t="shared" si="27"/>
        <v>2193.6816251870923</v>
      </c>
      <c r="S330" s="481">
        <v>92.043761140970886</v>
      </c>
      <c r="T330" s="481">
        <v>101.16848586476439</v>
      </c>
      <c r="U330" s="481">
        <v>139.21296560454007</v>
      </c>
      <c r="V330" s="481">
        <v>83.189606132103251</v>
      </c>
      <c r="W330" s="481">
        <v>0</v>
      </c>
      <c r="X330" s="481">
        <v>49.78972611547767</v>
      </c>
      <c r="Y330" s="481">
        <v>0</v>
      </c>
      <c r="Z330" s="481">
        <v>3613.9654427993546</v>
      </c>
      <c r="AA330" s="481">
        <v>1879.0432110755946</v>
      </c>
      <c r="AB330" s="481">
        <v>1152.8268652506176</v>
      </c>
      <c r="AC330" s="481">
        <v>0</v>
      </c>
      <c r="AD330" s="481">
        <v>0</v>
      </c>
      <c r="AE330" s="481">
        <v>237.08865224443372</v>
      </c>
      <c r="AF330" s="481">
        <v>0</v>
      </c>
      <c r="AG330" s="481">
        <v>213.02232626485559</v>
      </c>
      <c r="AH330" s="700">
        <f t="shared" si="28"/>
        <v>11834.573681380867</v>
      </c>
      <c r="AI330" s="482">
        <f t="shared" si="29"/>
        <v>12047.596007645723</v>
      </c>
      <c r="AJ330" s="482"/>
      <c r="AK330" s="482"/>
      <c r="AL330" s="585">
        <v>58.8</v>
      </c>
      <c r="AM330" s="585">
        <v>2134.8816251870921</v>
      </c>
      <c r="AN330" s="581">
        <v>0</v>
      </c>
      <c r="AO330" s="581">
        <f t="shared" si="30"/>
        <v>2193.6816251870923</v>
      </c>
    </row>
    <row r="331" spans="1:41" x14ac:dyDescent="0.3">
      <c r="A331" s="476">
        <v>150000975</v>
      </c>
      <c r="B331" s="477" t="s">
        <v>203</v>
      </c>
      <c r="C331" s="478">
        <v>2888.6</v>
      </c>
      <c r="D331" s="479"/>
      <c r="E331" s="480">
        <v>364.73</v>
      </c>
      <c r="F331" s="480">
        <v>3253.33</v>
      </c>
      <c r="G331" s="481">
        <v>819.53794061210942</v>
      </c>
      <c r="H331" s="481">
        <v>161.63340312309248</v>
      </c>
      <c r="I331" s="481">
        <v>381.05</v>
      </c>
      <c r="J331" s="481">
        <v>0</v>
      </c>
      <c r="K331" s="481">
        <v>0</v>
      </c>
      <c r="L331" s="481">
        <v>679.19295376779314</v>
      </c>
      <c r="M331" s="587">
        <f t="shared" si="26"/>
        <v>0</v>
      </c>
      <c r="N331" s="481">
        <v>1159.2242501598873</v>
      </c>
      <c r="O331" s="481">
        <v>0</v>
      </c>
      <c r="P331" s="481">
        <v>0</v>
      </c>
      <c r="Q331" s="481">
        <v>603.72374734470168</v>
      </c>
      <c r="R331" s="587">
        <f t="shared" si="27"/>
        <v>2161.9857633297534</v>
      </c>
      <c r="S331" s="481">
        <v>138.89838069576888</v>
      </c>
      <c r="T331" s="481">
        <v>208.33372466120261</v>
      </c>
      <c r="U331" s="481">
        <v>202.33130575794451</v>
      </c>
      <c r="V331" s="481">
        <v>0</v>
      </c>
      <c r="W331" s="481">
        <v>0</v>
      </c>
      <c r="X331" s="481">
        <v>91.20324742154807</v>
      </c>
      <c r="Y331" s="481">
        <v>0</v>
      </c>
      <c r="Z331" s="481">
        <v>3410.6786189424311</v>
      </c>
      <c r="AA331" s="481">
        <v>2217.9953670916329</v>
      </c>
      <c r="AB331" s="481">
        <v>1430.439953662727</v>
      </c>
      <c r="AC331" s="481">
        <v>84.563104818385909</v>
      </c>
      <c r="AD331" s="481">
        <v>10.410230706808871</v>
      </c>
      <c r="AE331" s="481">
        <v>193.41442683098538</v>
      </c>
      <c r="AF331" s="481">
        <v>0</v>
      </c>
      <c r="AG331" s="481">
        <v>0</v>
      </c>
      <c r="AH331" s="700">
        <f t="shared" si="28"/>
        <v>13954.616418926771</v>
      </c>
      <c r="AI331" s="482">
        <f t="shared" si="29"/>
        <v>13954.616418926771</v>
      </c>
      <c r="AJ331" s="482"/>
      <c r="AK331" s="482"/>
      <c r="AL331" s="585">
        <v>100.18</v>
      </c>
      <c r="AM331" s="585">
        <v>2061.8057633297535</v>
      </c>
      <c r="AN331" s="581">
        <v>0</v>
      </c>
      <c r="AO331" s="581">
        <f t="shared" si="30"/>
        <v>2161.9857633297534</v>
      </c>
    </row>
    <row r="332" spans="1:41" x14ac:dyDescent="0.3">
      <c r="A332" s="476">
        <v>150000976</v>
      </c>
      <c r="B332" s="477" t="s">
        <v>149</v>
      </c>
      <c r="C332" s="478">
        <v>821.7</v>
      </c>
      <c r="D332" s="479"/>
      <c r="E332" s="480">
        <v>102.8</v>
      </c>
      <c r="F332" s="480">
        <v>924.5</v>
      </c>
      <c r="G332" s="481">
        <v>377.36178563339558</v>
      </c>
      <c r="H332" s="481">
        <v>69.116620271561175</v>
      </c>
      <c r="I332" s="481">
        <v>104.78</v>
      </c>
      <c r="J332" s="481">
        <v>25.87</v>
      </c>
      <c r="K332" s="481">
        <v>0</v>
      </c>
      <c r="L332" s="481">
        <v>137.98576187134091</v>
      </c>
      <c r="M332" s="587">
        <f t="shared" si="26"/>
        <v>0</v>
      </c>
      <c r="N332" s="481">
        <v>329.41718770392674</v>
      </c>
      <c r="O332" s="481">
        <v>0</v>
      </c>
      <c r="P332" s="481">
        <v>0</v>
      </c>
      <c r="Q332" s="481">
        <v>63.134509526243313</v>
      </c>
      <c r="R332" s="587">
        <f t="shared" si="27"/>
        <v>806.31689840683214</v>
      </c>
      <c r="S332" s="481">
        <v>68.335821756708029</v>
      </c>
      <c r="T332" s="481">
        <v>89.092350960335338</v>
      </c>
      <c r="U332" s="481">
        <v>46.114140934044357</v>
      </c>
      <c r="V332" s="481">
        <v>30.848583200830014</v>
      </c>
      <c r="W332" s="481">
        <v>0</v>
      </c>
      <c r="X332" s="481">
        <v>14.816363198934827</v>
      </c>
      <c r="Y332" s="481">
        <v>29.545458721885282</v>
      </c>
      <c r="Z332" s="481">
        <v>1108.992640853643</v>
      </c>
      <c r="AA332" s="481">
        <v>605.68572961069594</v>
      </c>
      <c r="AB332" s="481">
        <v>380.99595635902074</v>
      </c>
      <c r="AC332" s="481">
        <v>0</v>
      </c>
      <c r="AD332" s="481">
        <v>0</v>
      </c>
      <c r="AE332" s="481">
        <v>218.37112706724159</v>
      </c>
      <c r="AF332" s="481">
        <v>0</v>
      </c>
      <c r="AG332" s="481">
        <v>135.20342808229918</v>
      </c>
      <c r="AH332" s="700">
        <f t="shared" si="28"/>
        <v>4506.7809360766396</v>
      </c>
      <c r="AI332" s="482">
        <f t="shared" si="29"/>
        <v>4641.9843641589387</v>
      </c>
      <c r="AJ332" s="482"/>
      <c r="AK332" s="482"/>
      <c r="AL332" s="585">
        <v>16.84</v>
      </c>
      <c r="AM332" s="585">
        <v>789.47689840683211</v>
      </c>
      <c r="AN332" s="581">
        <v>0</v>
      </c>
      <c r="AO332" s="581">
        <f t="shared" si="30"/>
        <v>806.31689840683214</v>
      </c>
    </row>
    <row r="333" spans="1:41" x14ac:dyDescent="0.3">
      <c r="A333" s="476">
        <v>150000977</v>
      </c>
      <c r="B333" s="477" t="s">
        <v>150</v>
      </c>
      <c r="C333" s="478">
        <v>654.20000000000005</v>
      </c>
      <c r="D333" s="479"/>
      <c r="E333" s="480">
        <v>255</v>
      </c>
      <c r="F333" s="480">
        <v>909.2</v>
      </c>
      <c r="G333" s="481">
        <v>362.95694338218703</v>
      </c>
      <c r="H333" s="481">
        <v>69.116620271561175</v>
      </c>
      <c r="I333" s="481">
        <v>99.3</v>
      </c>
      <c r="J333" s="481">
        <v>0</v>
      </c>
      <c r="K333" s="481">
        <v>0</v>
      </c>
      <c r="L333" s="481">
        <v>137.98576187134091</v>
      </c>
      <c r="M333" s="587">
        <f t="shared" si="26"/>
        <v>0</v>
      </c>
      <c r="N333" s="481">
        <v>323.9655024990916</v>
      </c>
      <c r="O333" s="481">
        <v>0</v>
      </c>
      <c r="P333" s="481">
        <v>0</v>
      </c>
      <c r="Q333" s="481">
        <v>153.89036697021808</v>
      </c>
      <c r="R333" s="587">
        <f t="shared" si="27"/>
        <v>1089.4088610326023</v>
      </c>
      <c r="S333" s="481">
        <v>67.461487126186029</v>
      </c>
      <c r="T333" s="481">
        <v>89.092350960335338</v>
      </c>
      <c r="U333" s="481">
        <v>52.886388444950484</v>
      </c>
      <c r="V333" s="481">
        <v>0</v>
      </c>
      <c r="W333" s="481">
        <v>0</v>
      </c>
      <c r="X333" s="481">
        <v>14.816363198934827</v>
      </c>
      <c r="Y333" s="481">
        <v>0</v>
      </c>
      <c r="Z333" s="481">
        <v>1391.3891133766674</v>
      </c>
      <c r="AA333" s="481">
        <v>566.67043495623238</v>
      </c>
      <c r="AB333" s="481">
        <v>215.45117370159446</v>
      </c>
      <c r="AC333" s="481">
        <v>0</v>
      </c>
      <c r="AD333" s="481">
        <v>0</v>
      </c>
      <c r="AE333" s="481">
        <v>90.46803835642865</v>
      </c>
      <c r="AF333" s="481">
        <v>0</v>
      </c>
      <c r="AG333" s="481">
        <v>0</v>
      </c>
      <c r="AH333" s="700">
        <f t="shared" si="28"/>
        <v>4724.8594061483309</v>
      </c>
      <c r="AI333" s="482">
        <f t="shared" si="29"/>
        <v>4724.8594061483309</v>
      </c>
      <c r="AJ333" s="482"/>
      <c r="AK333" s="482"/>
      <c r="AL333" s="585">
        <v>25.47</v>
      </c>
      <c r="AM333" s="585">
        <v>1063.9388610326023</v>
      </c>
      <c r="AN333" s="581">
        <v>0</v>
      </c>
      <c r="AO333" s="581">
        <f t="shared" si="30"/>
        <v>1089.4088610326023</v>
      </c>
    </row>
    <row r="334" spans="1:41" x14ac:dyDescent="0.3">
      <c r="A334" s="476">
        <v>150000978</v>
      </c>
      <c r="B334" s="477" t="s">
        <v>243</v>
      </c>
      <c r="C334" s="478">
        <v>1730</v>
      </c>
      <c r="D334" s="479"/>
      <c r="E334" s="480">
        <v>137.1</v>
      </c>
      <c r="F334" s="480">
        <v>1867.1</v>
      </c>
      <c r="G334" s="481">
        <v>509.34907056146744</v>
      </c>
      <c r="H334" s="481">
        <v>87.388036606302492</v>
      </c>
      <c r="I334" s="481">
        <v>237.27</v>
      </c>
      <c r="J334" s="481">
        <v>0</v>
      </c>
      <c r="K334" s="481">
        <v>0</v>
      </c>
      <c r="L334" s="481">
        <v>267.41148184148915</v>
      </c>
      <c r="M334" s="587">
        <f t="shared" si="26"/>
        <v>0</v>
      </c>
      <c r="N334" s="481">
        <v>665.28375463710279</v>
      </c>
      <c r="O334" s="481">
        <v>0</v>
      </c>
      <c r="P334" s="481">
        <v>0</v>
      </c>
      <c r="Q334" s="481">
        <v>437.99565983831303</v>
      </c>
      <c r="R334" s="587">
        <f t="shared" si="27"/>
        <v>1908.300330447239</v>
      </c>
      <c r="S334" s="481">
        <v>84.611857446792584</v>
      </c>
      <c r="T334" s="481">
        <v>112.642466497418</v>
      </c>
      <c r="U334" s="481">
        <v>98.525570266837363</v>
      </c>
      <c r="V334" s="481">
        <v>0</v>
      </c>
      <c r="W334" s="481">
        <v>0</v>
      </c>
      <c r="X334" s="481">
        <v>32.862786381711686</v>
      </c>
      <c r="Y334" s="481">
        <v>0</v>
      </c>
      <c r="Z334" s="481">
        <v>1235.0388606598187</v>
      </c>
      <c r="AA334" s="481">
        <v>710.73617452682424</v>
      </c>
      <c r="AB334" s="481">
        <v>585.93041297131469</v>
      </c>
      <c r="AC334" s="481">
        <v>0</v>
      </c>
      <c r="AD334" s="481">
        <v>0</v>
      </c>
      <c r="AE334" s="481">
        <v>187.17525177192132</v>
      </c>
      <c r="AF334" s="481">
        <v>0</v>
      </c>
      <c r="AG334" s="481">
        <v>257.7787817203639</v>
      </c>
      <c r="AH334" s="700">
        <f t="shared" si="28"/>
        <v>7160.5217144545531</v>
      </c>
      <c r="AI334" s="482">
        <f t="shared" si="29"/>
        <v>7418.3004961749175</v>
      </c>
      <c r="AJ334" s="482"/>
      <c r="AK334" s="482"/>
      <c r="AL334" s="585">
        <v>65.680000000000007</v>
      </c>
      <c r="AM334" s="585">
        <v>1842.620330447239</v>
      </c>
      <c r="AN334" s="581">
        <v>0</v>
      </c>
      <c r="AO334" s="581">
        <f t="shared" si="30"/>
        <v>1908.300330447239</v>
      </c>
    </row>
    <row r="335" spans="1:41" x14ac:dyDescent="0.3">
      <c r="A335" s="476">
        <v>150000981</v>
      </c>
      <c r="B335" s="477" t="s">
        <v>342</v>
      </c>
      <c r="C335" s="478">
        <v>2214.37</v>
      </c>
      <c r="D335" s="479">
        <v>213.63</v>
      </c>
      <c r="E335" s="480"/>
      <c r="F335" s="480">
        <v>2214.37</v>
      </c>
      <c r="G335" s="481">
        <v>625.06808510411258</v>
      </c>
      <c r="H335" s="481">
        <v>115.02997768106816</v>
      </c>
      <c r="I335" s="481">
        <v>240.97</v>
      </c>
      <c r="J335" s="481">
        <v>60.59</v>
      </c>
      <c r="K335" s="481">
        <v>32.51454535665566</v>
      </c>
      <c r="L335" s="481">
        <v>319.78524753520219</v>
      </c>
      <c r="M335" s="587">
        <f t="shared" si="26"/>
        <v>0</v>
      </c>
      <c r="N335" s="481">
        <v>789.02275601508302</v>
      </c>
      <c r="O335" s="481">
        <v>1728.2737741288088</v>
      </c>
      <c r="P335" s="481">
        <v>0</v>
      </c>
      <c r="Q335" s="481">
        <v>138.10673958865726</v>
      </c>
      <c r="R335" s="587">
        <f t="shared" si="27"/>
        <v>3198.0089611458379</v>
      </c>
      <c r="S335" s="481">
        <v>22.462403780588428</v>
      </c>
      <c r="T335" s="481">
        <v>30.422107952889679</v>
      </c>
      <c r="U335" s="481">
        <v>38.34683273588805</v>
      </c>
      <c r="V335" s="481">
        <v>15.046391549974324</v>
      </c>
      <c r="W335" s="481">
        <v>6.5961235315382805</v>
      </c>
      <c r="X335" s="481">
        <v>17.430653054924321</v>
      </c>
      <c r="Y335" s="481">
        <v>0</v>
      </c>
      <c r="Z335" s="481">
        <v>2755.1398465000038</v>
      </c>
      <c r="AA335" s="481">
        <v>1818.2906951753989</v>
      </c>
      <c r="AB335" s="481">
        <v>205.57848826739215</v>
      </c>
      <c r="AC335" s="481">
        <v>61.106034873111902</v>
      </c>
      <c r="AD335" s="481">
        <v>7.5225232324853675</v>
      </c>
      <c r="AE335" s="481">
        <v>380.58967860290676</v>
      </c>
      <c r="AF335" s="481">
        <v>474.17730448886743</v>
      </c>
      <c r="AG335" s="481">
        <v>392.40237510904183</v>
      </c>
      <c r="AH335" s="700">
        <f t="shared" si="28"/>
        <v>13080.079170301393</v>
      </c>
      <c r="AI335" s="482">
        <f t="shared" si="29"/>
        <v>13472.481545410436</v>
      </c>
      <c r="AJ335" s="482"/>
      <c r="AK335" s="482"/>
      <c r="AL335" s="585">
        <v>41.27</v>
      </c>
      <c r="AM335" s="585">
        <v>3156.7389611458379</v>
      </c>
      <c r="AN335" s="581">
        <v>0</v>
      </c>
      <c r="AO335" s="581">
        <f t="shared" si="30"/>
        <v>3198.0089611458379</v>
      </c>
    </row>
    <row r="336" spans="1:41" x14ac:dyDescent="0.3">
      <c r="A336" s="476">
        <v>150000982</v>
      </c>
      <c r="B336" s="477" t="s">
        <v>343</v>
      </c>
      <c r="C336" s="478">
        <v>5953.29</v>
      </c>
      <c r="D336" s="479">
        <v>569.36</v>
      </c>
      <c r="E336" s="480"/>
      <c r="F336" s="480">
        <v>5953.29</v>
      </c>
      <c r="G336" s="481">
        <v>1325.928744318438</v>
      </c>
      <c r="H336" s="481">
        <v>343.58546334373341</v>
      </c>
      <c r="I336" s="481">
        <v>647.23</v>
      </c>
      <c r="J336" s="481">
        <v>157.82</v>
      </c>
      <c r="K336" s="481">
        <v>97.519365684823939</v>
      </c>
      <c r="L336" s="481">
        <v>1026.9044768602475</v>
      </c>
      <c r="M336" s="587">
        <f t="shared" si="26"/>
        <v>0</v>
      </c>
      <c r="N336" s="481">
        <v>2121.2720923590155</v>
      </c>
      <c r="O336" s="481">
        <v>7201.1332979473464</v>
      </c>
      <c r="P336" s="481">
        <v>0</v>
      </c>
      <c r="Q336" s="481">
        <v>414.32021876597179</v>
      </c>
      <c r="R336" s="587">
        <f t="shared" si="27"/>
        <v>9106.5211973730802</v>
      </c>
      <c r="S336" s="481">
        <v>40.612155994323253</v>
      </c>
      <c r="T336" s="481">
        <v>90.865249567069739</v>
      </c>
      <c r="U336" s="481">
        <v>105.81371524185468</v>
      </c>
      <c r="V336" s="481">
        <v>35.518448681618807</v>
      </c>
      <c r="W336" s="481">
        <v>19.788362425549849</v>
      </c>
      <c r="X336" s="481">
        <v>24.435801658547344</v>
      </c>
      <c r="Y336" s="481">
        <v>0</v>
      </c>
      <c r="Z336" s="481">
        <v>5343.7880497771457</v>
      </c>
      <c r="AA336" s="481">
        <v>5585.0299612997524</v>
      </c>
      <c r="AB336" s="481">
        <v>508.53626045091738</v>
      </c>
      <c r="AC336" s="481">
        <v>183.32790903728568</v>
      </c>
      <c r="AD336" s="481">
        <v>22.568776680726458</v>
      </c>
      <c r="AE336" s="481">
        <v>1929.4648870155556</v>
      </c>
      <c r="AF336" s="481">
        <v>904.05646605838001</v>
      </c>
      <c r="AG336" s="481">
        <v>446.83249080649665</v>
      </c>
      <c r="AH336" s="700">
        <f t="shared" si="28"/>
        <v>37236.040900541382</v>
      </c>
      <c r="AI336" s="482">
        <f t="shared" si="29"/>
        <v>37682.873391347879</v>
      </c>
      <c r="AJ336" s="482"/>
      <c r="AK336" s="482"/>
      <c r="AL336" s="585">
        <v>122.68</v>
      </c>
      <c r="AM336" s="585">
        <v>8983.8411973730799</v>
      </c>
      <c r="AN336" s="581">
        <v>0</v>
      </c>
      <c r="AO336" s="581">
        <f t="shared" si="30"/>
        <v>9106.5211973730802</v>
      </c>
    </row>
    <row r="337" spans="1:41" x14ac:dyDescent="0.3">
      <c r="A337" s="476">
        <v>150000983</v>
      </c>
      <c r="B337" s="477" t="s">
        <v>344</v>
      </c>
      <c r="C337" s="478">
        <v>3858.65</v>
      </c>
      <c r="D337" s="479">
        <v>441.5</v>
      </c>
      <c r="E337" s="480"/>
      <c r="F337" s="480">
        <v>3858.65</v>
      </c>
      <c r="G337" s="481">
        <v>871.99130988404681</v>
      </c>
      <c r="H337" s="481">
        <v>128.19724491832335</v>
      </c>
      <c r="I337" s="481">
        <v>416.74</v>
      </c>
      <c r="J337" s="481">
        <v>106.63</v>
      </c>
      <c r="K337" s="481">
        <v>65.004820328168279</v>
      </c>
      <c r="L337" s="481">
        <v>751.42451272130438</v>
      </c>
      <c r="M337" s="587">
        <f t="shared" si="26"/>
        <v>0</v>
      </c>
      <c r="N337" s="481">
        <v>1374.9114454664759</v>
      </c>
      <c r="O337" s="481">
        <v>4800.7555319648973</v>
      </c>
      <c r="P337" s="481">
        <v>0</v>
      </c>
      <c r="Q337" s="481">
        <v>276.21347917731453</v>
      </c>
      <c r="R337" s="587">
        <f t="shared" si="27"/>
        <v>5735.0229413501493</v>
      </c>
      <c r="S337" s="481">
        <v>26.70420630466306</v>
      </c>
      <c r="T337" s="481">
        <v>34.575860107691469</v>
      </c>
      <c r="U337" s="481">
        <v>68.714332679559377</v>
      </c>
      <c r="V337" s="481">
        <v>25.64420955114651</v>
      </c>
      <c r="W337" s="481">
        <v>13.192247063076561</v>
      </c>
      <c r="X337" s="481">
        <v>22.495964651723806</v>
      </c>
      <c r="Y337" s="481">
        <v>0</v>
      </c>
      <c r="Z337" s="481">
        <v>3248.9523594782822</v>
      </c>
      <c r="AA337" s="481">
        <v>3849.7214901602201</v>
      </c>
      <c r="AB337" s="481">
        <v>335.41753348890296</v>
      </c>
      <c r="AC337" s="481">
        <v>99.000110249698736</v>
      </c>
      <c r="AD337" s="481">
        <v>12.187513572406095</v>
      </c>
      <c r="AE337" s="481">
        <v>54.592781766810397</v>
      </c>
      <c r="AF337" s="481">
        <v>394.93978123875405</v>
      </c>
      <c r="AG337" s="481">
        <v>272.55635611348333</v>
      </c>
      <c r="AH337" s="700">
        <f t="shared" si="28"/>
        <v>22713.029676123617</v>
      </c>
      <c r="AI337" s="482">
        <f t="shared" si="29"/>
        <v>22985.586032237101</v>
      </c>
      <c r="AJ337" s="482"/>
      <c r="AK337" s="482"/>
      <c r="AL337" s="585">
        <v>57.51</v>
      </c>
      <c r="AM337" s="585">
        <v>5677.512941350149</v>
      </c>
      <c r="AN337" s="581">
        <v>0</v>
      </c>
      <c r="AO337" s="581">
        <f t="shared" si="30"/>
        <v>5735.0229413501493</v>
      </c>
    </row>
    <row r="338" spans="1:41" x14ac:dyDescent="0.3">
      <c r="A338" s="476">
        <v>150000984</v>
      </c>
      <c r="B338" s="477" t="s">
        <v>345</v>
      </c>
      <c r="C338" s="478">
        <v>9788.74</v>
      </c>
      <c r="D338" s="479">
        <v>1089.02</v>
      </c>
      <c r="E338" s="480"/>
      <c r="F338" s="480">
        <v>9788.74</v>
      </c>
      <c r="G338" s="481">
        <v>2176.8588234977647</v>
      </c>
      <c r="H338" s="481">
        <v>355.42121697689004</v>
      </c>
      <c r="I338" s="481">
        <v>1044.29</v>
      </c>
      <c r="J338" s="481">
        <v>246.65</v>
      </c>
      <c r="K338" s="481">
        <v>97.519365684823939</v>
      </c>
      <c r="L338" s="481">
        <v>1378.2476610219285</v>
      </c>
      <c r="M338" s="587">
        <f t="shared" si="26"/>
        <v>0</v>
      </c>
      <c r="N338" s="481">
        <v>3487.9169301946304</v>
      </c>
      <c r="O338" s="481">
        <v>4632.2420984499977</v>
      </c>
      <c r="P338" s="481">
        <v>0</v>
      </c>
      <c r="Q338" s="481">
        <v>635.29100210782349</v>
      </c>
      <c r="R338" s="587">
        <f t="shared" si="27"/>
        <v>13904.224818171208</v>
      </c>
      <c r="S338" s="481">
        <v>177.66898556682935</v>
      </c>
      <c r="T338" s="481">
        <v>234.79140086135266</v>
      </c>
      <c r="U338" s="481">
        <v>459.86366742251522</v>
      </c>
      <c r="V338" s="481">
        <v>135.12905485607575</v>
      </c>
      <c r="W338" s="481">
        <v>49.470906063874629</v>
      </c>
      <c r="X338" s="481">
        <v>137.53503432501498</v>
      </c>
      <c r="Y338" s="481">
        <v>0</v>
      </c>
      <c r="Z338" s="481">
        <v>9103.6472232113083</v>
      </c>
      <c r="AA338" s="481">
        <v>5922.8596670626112</v>
      </c>
      <c r="AB338" s="481">
        <v>616.73546480217635</v>
      </c>
      <c r="AC338" s="481">
        <v>193.88971827387769</v>
      </c>
      <c r="AD338" s="481">
        <v>23.868999408716</v>
      </c>
      <c r="AE338" s="481">
        <v>3567.2483400198676</v>
      </c>
      <c r="AF338" s="481">
        <v>1605.0277839442256</v>
      </c>
      <c r="AG338" s="481">
        <v>1505.5919448577058</v>
      </c>
      <c r="AH338" s="700">
        <f t="shared" si="28"/>
        <v>50186.398161923527</v>
      </c>
      <c r="AI338" s="482">
        <f t="shared" si="29"/>
        <v>51691.990106781232</v>
      </c>
      <c r="AJ338" s="482"/>
      <c r="AK338" s="482"/>
      <c r="AL338" s="585">
        <v>119.56</v>
      </c>
      <c r="AM338" s="585">
        <v>13784.664818171208</v>
      </c>
      <c r="AN338" s="581">
        <v>0</v>
      </c>
      <c r="AO338" s="581">
        <f t="shared" si="30"/>
        <v>13904.224818171208</v>
      </c>
    </row>
    <row r="339" spans="1:41" x14ac:dyDescent="0.3">
      <c r="A339" s="476">
        <v>150000986</v>
      </c>
      <c r="B339" s="477" t="s">
        <v>346</v>
      </c>
      <c r="C339" s="478">
        <v>6581.9</v>
      </c>
      <c r="D339" s="479">
        <v>729.6</v>
      </c>
      <c r="E339" s="480"/>
      <c r="F339" s="480">
        <v>6581.9</v>
      </c>
      <c r="G339" s="481">
        <v>1453.1462784741004</v>
      </c>
      <c r="H339" s="481">
        <v>237.82696828651987</v>
      </c>
      <c r="I339" s="481">
        <v>706.64</v>
      </c>
      <c r="J339" s="481">
        <v>166.8</v>
      </c>
      <c r="K339" s="481">
        <v>65.004820328168279</v>
      </c>
      <c r="L339" s="481">
        <v>845.53800633577237</v>
      </c>
      <c r="M339" s="587">
        <f t="shared" si="26"/>
        <v>0</v>
      </c>
      <c r="N339" s="481">
        <v>2345.2579640329641</v>
      </c>
      <c r="O339" s="481">
        <v>2351.3891003847621</v>
      </c>
      <c r="P339" s="481">
        <v>0</v>
      </c>
      <c r="Q339" s="481">
        <v>426.15793930214238</v>
      </c>
      <c r="R339" s="587">
        <f t="shared" si="27"/>
        <v>10999.525786332411</v>
      </c>
      <c r="S339" s="481">
        <v>118.81636543642115</v>
      </c>
      <c r="T339" s="481">
        <v>156.74761259420535</v>
      </c>
      <c r="U339" s="481">
        <v>304.41632375605059</v>
      </c>
      <c r="V339" s="481">
        <v>92.946232799750248</v>
      </c>
      <c r="W339" s="481">
        <v>32.980617657691397</v>
      </c>
      <c r="X339" s="481">
        <v>112.05081838234747</v>
      </c>
      <c r="Y339" s="481">
        <v>0</v>
      </c>
      <c r="Z339" s="481">
        <v>7558.6545208680927</v>
      </c>
      <c r="AA339" s="481">
        <v>3789.2773112387767</v>
      </c>
      <c r="AB339" s="481">
        <v>530.1761013211692</v>
      </c>
      <c r="AC339" s="481">
        <v>187.76195705515408</v>
      </c>
      <c r="AD339" s="481">
        <v>23.114634864744346</v>
      </c>
      <c r="AE339" s="481">
        <v>1686.1370597120581</v>
      </c>
      <c r="AF339" s="481">
        <v>642.63503108359669</v>
      </c>
      <c r="AG339" s="481">
        <v>626.99402610444406</v>
      </c>
      <c r="AH339" s="700">
        <f t="shared" si="28"/>
        <v>34833.001450246898</v>
      </c>
      <c r="AI339" s="482">
        <f t="shared" si="29"/>
        <v>35459.995476351345</v>
      </c>
      <c r="AJ339" s="482"/>
      <c r="AK339" s="482"/>
      <c r="AL339" s="585">
        <v>81.98</v>
      </c>
      <c r="AM339" s="585">
        <v>10917.545786332412</v>
      </c>
      <c r="AN339" s="581">
        <v>0</v>
      </c>
      <c r="AO339" s="581">
        <f t="shared" si="30"/>
        <v>10999.525786332411</v>
      </c>
    </row>
    <row r="340" spans="1:41" x14ac:dyDescent="0.3">
      <c r="A340" s="476">
        <v>150000987</v>
      </c>
      <c r="B340" s="477" t="s">
        <v>50</v>
      </c>
      <c r="C340" s="478">
        <v>244.2</v>
      </c>
      <c r="D340" s="483"/>
      <c r="E340" s="480"/>
      <c r="F340" s="480">
        <v>244.2</v>
      </c>
      <c r="G340" s="481">
        <v>0</v>
      </c>
      <c r="H340" s="481">
        <v>0</v>
      </c>
      <c r="I340" s="481">
        <v>0</v>
      </c>
      <c r="J340" s="481">
        <v>0</v>
      </c>
      <c r="K340" s="481">
        <v>0</v>
      </c>
      <c r="L340" s="481">
        <v>0</v>
      </c>
      <c r="M340" s="587">
        <f t="shared" si="26"/>
        <v>0</v>
      </c>
      <c r="N340" s="481">
        <v>0</v>
      </c>
      <c r="O340" s="481">
        <v>0</v>
      </c>
      <c r="P340" s="481">
        <v>0</v>
      </c>
      <c r="Q340" s="481">
        <v>47.350882144682487</v>
      </c>
      <c r="R340" s="587">
        <f t="shared" si="27"/>
        <v>6.5640000000000001</v>
      </c>
      <c r="S340" s="481">
        <v>0</v>
      </c>
      <c r="T340" s="481">
        <v>0</v>
      </c>
      <c r="U340" s="481">
        <v>0</v>
      </c>
      <c r="V340" s="481">
        <v>0</v>
      </c>
      <c r="W340" s="481">
        <v>0</v>
      </c>
      <c r="X340" s="481">
        <v>0</v>
      </c>
      <c r="Y340" s="481">
        <v>0</v>
      </c>
      <c r="Z340" s="481">
        <v>13.957422939948543</v>
      </c>
      <c r="AA340" s="481">
        <v>0</v>
      </c>
      <c r="AB340" s="481">
        <v>0</v>
      </c>
      <c r="AC340" s="481">
        <v>0</v>
      </c>
      <c r="AD340" s="481">
        <v>0</v>
      </c>
      <c r="AE340" s="481">
        <v>0</v>
      </c>
      <c r="AF340" s="481">
        <v>0</v>
      </c>
      <c r="AG340" s="481">
        <v>2.0361691525389309</v>
      </c>
      <c r="AH340" s="700">
        <f t="shared" si="28"/>
        <v>67.872305084631023</v>
      </c>
      <c r="AI340" s="482">
        <f t="shared" si="29"/>
        <v>69.908474237169955</v>
      </c>
      <c r="AJ340" s="482"/>
      <c r="AK340" s="482"/>
      <c r="AL340" s="585">
        <v>6.5640000000000001</v>
      </c>
      <c r="AM340" s="585">
        <v>0</v>
      </c>
      <c r="AN340" s="581">
        <v>0</v>
      </c>
      <c r="AO340" s="581">
        <f t="shared" si="30"/>
        <v>6.5640000000000001</v>
      </c>
    </row>
    <row r="341" spans="1:41" x14ac:dyDescent="0.3">
      <c r="A341" s="476">
        <v>150000988</v>
      </c>
      <c r="B341" s="477" t="s">
        <v>51</v>
      </c>
      <c r="C341" s="478">
        <v>323.7</v>
      </c>
      <c r="D341" s="483"/>
      <c r="E341" s="480"/>
      <c r="F341" s="480">
        <v>323.7</v>
      </c>
      <c r="G341" s="481">
        <v>0</v>
      </c>
      <c r="H341" s="481">
        <v>0</v>
      </c>
      <c r="I341" s="481">
        <v>0</v>
      </c>
      <c r="J341" s="481">
        <v>0</v>
      </c>
      <c r="K341" s="481">
        <v>0</v>
      </c>
      <c r="L341" s="481">
        <v>0</v>
      </c>
      <c r="M341" s="587">
        <f t="shared" si="26"/>
        <v>0</v>
      </c>
      <c r="N341" s="481">
        <v>0</v>
      </c>
      <c r="O341" s="481">
        <v>0</v>
      </c>
      <c r="P341" s="481">
        <v>0</v>
      </c>
      <c r="Q341" s="481">
        <v>39.45906845390207</v>
      </c>
      <c r="R341" s="587">
        <f t="shared" si="27"/>
        <v>306.1263048914567</v>
      </c>
      <c r="S341" s="481">
        <v>0</v>
      </c>
      <c r="T341" s="481">
        <v>0</v>
      </c>
      <c r="U341" s="481">
        <v>0</v>
      </c>
      <c r="V341" s="481">
        <v>0</v>
      </c>
      <c r="W341" s="481">
        <v>0</v>
      </c>
      <c r="X341" s="481">
        <v>0</v>
      </c>
      <c r="Y341" s="481">
        <v>0</v>
      </c>
      <c r="Z341" s="481">
        <v>7.9756702513991691</v>
      </c>
      <c r="AA341" s="481">
        <v>0</v>
      </c>
      <c r="AB341" s="481">
        <v>0</v>
      </c>
      <c r="AC341" s="481">
        <v>0</v>
      </c>
      <c r="AD341" s="481">
        <v>0</v>
      </c>
      <c r="AE341" s="481">
        <v>0</v>
      </c>
      <c r="AF341" s="481">
        <v>0</v>
      </c>
      <c r="AG341" s="481">
        <v>10.606831307902738</v>
      </c>
      <c r="AH341" s="700">
        <f t="shared" si="28"/>
        <v>353.56104359675794</v>
      </c>
      <c r="AI341" s="482">
        <f t="shared" si="29"/>
        <v>364.16787490466066</v>
      </c>
      <c r="AJ341" s="482"/>
      <c r="AK341" s="482"/>
      <c r="AL341" s="585">
        <v>29.36</v>
      </c>
      <c r="AM341" s="585">
        <v>276.76630489145668</v>
      </c>
      <c r="AN341" s="581">
        <v>0</v>
      </c>
      <c r="AO341" s="581">
        <f t="shared" si="30"/>
        <v>306.1263048914567</v>
      </c>
    </row>
    <row r="342" spans="1:41" x14ac:dyDescent="0.3">
      <c r="A342" s="476">
        <v>150000989</v>
      </c>
      <c r="B342" s="477" t="s">
        <v>37</v>
      </c>
      <c r="C342" s="478">
        <v>206.8</v>
      </c>
      <c r="D342" s="483"/>
      <c r="E342" s="480">
        <v>50.11</v>
      </c>
      <c r="F342" s="480">
        <v>256.91000000000003</v>
      </c>
      <c r="G342" s="481">
        <v>0</v>
      </c>
      <c r="H342" s="481">
        <v>0</v>
      </c>
      <c r="I342" s="481">
        <v>0</v>
      </c>
      <c r="J342" s="481">
        <v>0</v>
      </c>
      <c r="K342" s="481">
        <v>0</v>
      </c>
      <c r="L342" s="481">
        <v>0</v>
      </c>
      <c r="M342" s="587">
        <f t="shared" si="26"/>
        <v>0</v>
      </c>
      <c r="N342" s="481">
        <v>0</v>
      </c>
      <c r="O342" s="481">
        <v>0</v>
      </c>
      <c r="P342" s="481">
        <v>0</v>
      </c>
      <c r="Q342" s="481">
        <v>39.45906845390207</v>
      </c>
      <c r="R342" s="587">
        <f t="shared" si="27"/>
        <v>232.17268371065222</v>
      </c>
      <c r="S342" s="481">
        <v>0</v>
      </c>
      <c r="T342" s="481">
        <v>0</v>
      </c>
      <c r="U342" s="481">
        <v>0</v>
      </c>
      <c r="V342" s="481">
        <v>0</v>
      </c>
      <c r="W342" s="481">
        <v>0</v>
      </c>
      <c r="X342" s="481">
        <v>0</v>
      </c>
      <c r="Y342" s="481">
        <v>0</v>
      </c>
      <c r="Z342" s="481">
        <v>7.9756702513991691</v>
      </c>
      <c r="AA342" s="481">
        <v>0</v>
      </c>
      <c r="AB342" s="481">
        <v>0</v>
      </c>
      <c r="AC342" s="481">
        <v>0</v>
      </c>
      <c r="AD342" s="481">
        <v>0</v>
      </c>
      <c r="AE342" s="481">
        <v>0</v>
      </c>
      <c r="AF342" s="481">
        <v>0</v>
      </c>
      <c r="AG342" s="481">
        <v>8.3882226724786033</v>
      </c>
      <c r="AH342" s="700">
        <f t="shared" si="28"/>
        <v>279.60742241595347</v>
      </c>
      <c r="AI342" s="482">
        <f t="shared" si="29"/>
        <v>287.99564508843207</v>
      </c>
      <c r="AJ342" s="482"/>
      <c r="AK342" s="482"/>
      <c r="AL342" s="585">
        <v>27.19</v>
      </c>
      <c r="AM342" s="585">
        <v>204.98268371065222</v>
      </c>
      <c r="AN342" s="581">
        <v>0</v>
      </c>
      <c r="AO342" s="581">
        <f t="shared" si="30"/>
        <v>232.17268371065222</v>
      </c>
    </row>
    <row r="343" spans="1:41" x14ac:dyDescent="0.3">
      <c r="A343" s="476">
        <v>150000991</v>
      </c>
      <c r="B343" s="477" t="s">
        <v>341</v>
      </c>
      <c r="C343" s="478">
        <v>4082.7</v>
      </c>
      <c r="D343" s="479">
        <v>442.1</v>
      </c>
      <c r="E343" s="480"/>
      <c r="F343" s="480">
        <v>4082.7</v>
      </c>
      <c r="G343" s="481">
        <v>993.4259222698397</v>
      </c>
      <c r="H343" s="481">
        <v>153.15139825584944</v>
      </c>
      <c r="I343" s="481">
        <v>306.19</v>
      </c>
      <c r="J343" s="481">
        <v>71.48</v>
      </c>
      <c r="K343" s="481">
        <v>65.004820328168279</v>
      </c>
      <c r="L343" s="481">
        <v>625.26180662985701</v>
      </c>
      <c r="M343" s="587">
        <f t="shared" si="26"/>
        <v>0</v>
      </c>
      <c r="N343" s="481">
        <v>1454.7447833843391</v>
      </c>
      <c r="O343" s="481">
        <v>3049.2296893570415</v>
      </c>
      <c r="P343" s="481">
        <v>0</v>
      </c>
      <c r="Q343" s="481">
        <v>213.07896965107119</v>
      </c>
      <c r="R343" s="587">
        <f t="shared" si="27"/>
        <v>4864.2904134541268</v>
      </c>
      <c r="S343" s="481">
        <v>88.75900440000531</v>
      </c>
      <c r="T343" s="481">
        <v>100.21665622868703</v>
      </c>
      <c r="U343" s="481">
        <v>85.340073871543112</v>
      </c>
      <c r="V343" s="481">
        <v>50.586994711653801</v>
      </c>
      <c r="W343" s="481">
        <v>32.980617657691397</v>
      </c>
      <c r="X343" s="481">
        <v>104.27028025908592</v>
      </c>
      <c r="Y343" s="481">
        <v>0</v>
      </c>
      <c r="Z343" s="481">
        <v>6311.9267204645512</v>
      </c>
      <c r="AA343" s="481">
        <v>2142.9114734998866</v>
      </c>
      <c r="AB343" s="481">
        <v>162.29880652688854</v>
      </c>
      <c r="AC343" s="481">
        <v>149.51737373685623</v>
      </c>
      <c r="AD343" s="481">
        <v>18.406494872908436</v>
      </c>
      <c r="AE343" s="481">
        <v>795.9627581600954</v>
      </c>
      <c r="AF343" s="481">
        <v>988.90924686165113</v>
      </c>
      <c r="AG343" s="481">
        <v>219.14826532398524</v>
      </c>
      <c r="AH343" s="700">
        <f t="shared" si="28"/>
        <v>22827.944304581797</v>
      </c>
      <c r="AI343" s="482">
        <f t="shared" si="29"/>
        <v>23047.092569905781</v>
      </c>
      <c r="AJ343" s="482"/>
      <c r="AK343" s="482"/>
      <c r="AL343" s="585">
        <v>75.7</v>
      </c>
      <c r="AM343" s="585">
        <v>4788.590413454127</v>
      </c>
      <c r="AN343" s="581">
        <v>0</v>
      </c>
      <c r="AO343" s="581">
        <f t="shared" si="30"/>
        <v>4864.2904134541268</v>
      </c>
    </row>
    <row r="344" spans="1:41" x14ac:dyDescent="0.3">
      <c r="A344" s="476">
        <v>150000992</v>
      </c>
      <c r="B344" s="477" t="s">
        <v>39</v>
      </c>
      <c r="C344" s="478">
        <v>263.39999999999998</v>
      </c>
      <c r="D344" s="483"/>
      <c r="E344" s="480"/>
      <c r="F344" s="480">
        <v>263.39999999999998</v>
      </c>
      <c r="G344" s="481">
        <v>0</v>
      </c>
      <c r="H344" s="481">
        <v>0</v>
      </c>
      <c r="I344" s="481">
        <v>0</v>
      </c>
      <c r="J344" s="481">
        <v>0</v>
      </c>
      <c r="K344" s="481">
        <v>0</v>
      </c>
      <c r="L344" s="481">
        <v>0</v>
      </c>
      <c r="M344" s="587">
        <f t="shared" si="26"/>
        <v>0</v>
      </c>
      <c r="N344" s="481">
        <v>0</v>
      </c>
      <c r="O344" s="481">
        <v>0</v>
      </c>
      <c r="P344" s="481">
        <v>0</v>
      </c>
      <c r="Q344" s="481">
        <v>39.45906845390207</v>
      </c>
      <c r="R344" s="587">
        <f t="shared" si="27"/>
        <v>255.28103932167801</v>
      </c>
      <c r="S344" s="481">
        <v>0</v>
      </c>
      <c r="T344" s="481">
        <v>0</v>
      </c>
      <c r="U344" s="481">
        <v>0</v>
      </c>
      <c r="V344" s="481">
        <v>0</v>
      </c>
      <c r="W344" s="481">
        <v>0</v>
      </c>
      <c r="X344" s="481">
        <v>0</v>
      </c>
      <c r="Y344" s="481">
        <v>0</v>
      </c>
      <c r="Z344" s="481">
        <v>13.957422939948543</v>
      </c>
      <c r="AA344" s="481">
        <v>0</v>
      </c>
      <c r="AB344" s="481">
        <v>0</v>
      </c>
      <c r="AC344" s="481">
        <v>0</v>
      </c>
      <c r="AD344" s="481">
        <v>0</v>
      </c>
      <c r="AE344" s="481">
        <v>0</v>
      </c>
      <c r="AF344" s="481">
        <v>0</v>
      </c>
      <c r="AG344" s="481">
        <v>9.2609259214658586</v>
      </c>
      <c r="AH344" s="700">
        <f t="shared" si="28"/>
        <v>308.69753071552861</v>
      </c>
      <c r="AI344" s="482">
        <f t="shared" si="29"/>
        <v>317.95845663699447</v>
      </c>
      <c r="AJ344" s="482"/>
      <c r="AK344" s="482"/>
      <c r="AL344" s="585">
        <v>41.25</v>
      </c>
      <c r="AM344" s="585">
        <v>214.03103932167801</v>
      </c>
      <c r="AN344" s="581">
        <v>0</v>
      </c>
      <c r="AO344" s="581">
        <f t="shared" si="30"/>
        <v>255.28103932167801</v>
      </c>
    </row>
    <row r="345" spans="1:41" x14ac:dyDescent="0.3">
      <c r="A345" s="476">
        <v>150000993</v>
      </c>
      <c r="B345" s="477" t="s">
        <v>41</v>
      </c>
      <c r="C345" s="478">
        <v>298.39999999999998</v>
      </c>
      <c r="D345" s="483"/>
      <c r="E345" s="480"/>
      <c r="F345" s="480">
        <v>298.39999999999998</v>
      </c>
      <c r="G345" s="481">
        <v>0</v>
      </c>
      <c r="H345" s="481">
        <v>0</v>
      </c>
      <c r="I345" s="481">
        <v>0</v>
      </c>
      <c r="J345" s="481">
        <v>0</v>
      </c>
      <c r="K345" s="481">
        <v>0</v>
      </c>
      <c r="L345" s="481">
        <v>0</v>
      </c>
      <c r="M345" s="587">
        <f t="shared" si="26"/>
        <v>0</v>
      </c>
      <c r="N345" s="481">
        <v>0</v>
      </c>
      <c r="O345" s="481">
        <v>0</v>
      </c>
      <c r="P345" s="481">
        <v>0</v>
      </c>
      <c r="Q345" s="481">
        <v>47.350882144682487</v>
      </c>
      <c r="R345" s="587">
        <f t="shared" si="27"/>
        <v>285.21716716461793</v>
      </c>
      <c r="S345" s="481">
        <v>0</v>
      </c>
      <c r="T345" s="481">
        <v>0</v>
      </c>
      <c r="U345" s="481">
        <v>0</v>
      </c>
      <c r="V345" s="481">
        <v>0</v>
      </c>
      <c r="W345" s="481">
        <v>0</v>
      </c>
      <c r="X345" s="481">
        <v>0</v>
      </c>
      <c r="Y345" s="481">
        <v>0</v>
      </c>
      <c r="Z345" s="481">
        <v>13.957422939948543</v>
      </c>
      <c r="AA345" s="481">
        <v>0</v>
      </c>
      <c r="AB345" s="481">
        <v>0</v>
      </c>
      <c r="AC345" s="481">
        <v>0</v>
      </c>
      <c r="AD345" s="481">
        <v>0</v>
      </c>
      <c r="AE345" s="481">
        <v>0</v>
      </c>
      <c r="AF345" s="481">
        <v>0</v>
      </c>
      <c r="AG345" s="481">
        <v>6.2374585004864809</v>
      </c>
      <c r="AH345" s="700">
        <f t="shared" si="28"/>
        <v>346.52547224924899</v>
      </c>
      <c r="AI345" s="482">
        <f t="shared" si="29"/>
        <v>352.76293074973546</v>
      </c>
      <c r="AJ345" s="482"/>
      <c r="AK345" s="482"/>
      <c r="AL345" s="585">
        <v>31.87</v>
      </c>
      <c r="AM345" s="585">
        <v>253.34716716461796</v>
      </c>
      <c r="AN345" s="581">
        <v>0</v>
      </c>
      <c r="AO345" s="581">
        <f t="shared" si="30"/>
        <v>285.21716716461793</v>
      </c>
    </row>
    <row r="346" spans="1:41" x14ac:dyDescent="0.3">
      <c r="A346" s="476">
        <v>150000994</v>
      </c>
      <c r="B346" s="477" t="s">
        <v>44</v>
      </c>
      <c r="C346" s="478">
        <v>239.9</v>
      </c>
      <c r="D346" s="483"/>
      <c r="E346" s="480"/>
      <c r="F346" s="480">
        <v>239.9</v>
      </c>
      <c r="G346" s="481">
        <v>0</v>
      </c>
      <c r="H346" s="481">
        <v>0</v>
      </c>
      <c r="I346" s="481">
        <v>0</v>
      </c>
      <c r="J346" s="481">
        <v>0</v>
      </c>
      <c r="K346" s="481">
        <v>0</v>
      </c>
      <c r="L346" s="481">
        <v>0</v>
      </c>
      <c r="M346" s="587">
        <f t="shared" si="26"/>
        <v>0</v>
      </c>
      <c r="N346" s="481">
        <v>0</v>
      </c>
      <c r="O346" s="481">
        <v>0</v>
      </c>
      <c r="P346" s="481">
        <v>0</v>
      </c>
      <c r="Q346" s="481">
        <v>47.350882144682487</v>
      </c>
      <c r="R346" s="587">
        <f t="shared" si="27"/>
        <v>264.41590620749884</v>
      </c>
      <c r="S346" s="481">
        <v>0</v>
      </c>
      <c r="T346" s="481">
        <v>0</v>
      </c>
      <c r="U346" s="481">
        <v>0</v>
      </c>
      <c r="V346" s="481">
        <v>0</v>
      </c>
      <c r="W346" s="481">
        <v>0</v>
      </c>
      <c r="X346" s="481">
        <v>0</v>
      </c>
      <c r="Y346" s="481">
        <v>0</v>
      </c>
      <c r="Z346" s="481">
        <v>7.9756702513991691</v>
      </c>
      <c r="AA346" s="481">
        <v>0</v>
      </c>
      <c r="AB346" s="481">
        <v>0</v>
      </c>
      <c r="AC346" s="481">
        <v>0</v>
      </c>
      <c r="AD346" s="481">
        <v>0</v>
      </c>
      <c r="AE346" s="481">
        <v>31.195875295320228</v>
      </c>
      <c r="AF346" s="481">
        <v>0</v>
      </c>
      <c r="AG346" s="481">
        <v>0</v>
      </c>
      <c r="AH346" s="700">
        <f t="shared" si="28"/>
        <v>350.93833389890068</v>
      </c>
      <c r="AI346" s="482">
        <f t="shared" si="29"/>
        <v>350.93833389890068</v>
      </c>
      <c r="AJ346" s="482"/>
      <c r="AK346" s="482"/>
      <c r="AL346" s="585">
        <v>31.24</v>
      </c>
      <c r="AM346" s="585">
        <v>233.17590620749883</v>
      </c>
      <c r="AN346" s="581">
        <v>0</v>
      </c>
      <c r="AO346" s="581">
        <f t="shared" si="30"/>
        <v>264.41590620749884</v>
      </c>
    </row>
    <row r="347" spans="1:41" x14ac:dyDescent="0.3">
      <c r="A347" s="476">
        <v>150000995</v>
      </c>
      <c r="B347" s="477" t="s">
        <v>47</v>
      </c>
      <c r="C347" s="478">
        <v>135.6</v>
      </c>
      <c r="D347" s="483"/>
      <c r="E347" s="480"/>
      <c r="F347" s="480">
        <v>135.6</v>
      </c>
      <c r="G347" s="481">
        <v>0</v>
      </c>
      <c r="H347" s="481">
        <v>0</v>
      </c>
      <c r="I347" s="481">
        <v>0</v>
      </c>
      <c r="J347" s="481">
        <v>0</v>
      </c>
      <c r="K347" s="481">
        <v>0</v>
      </c>
      <c r="L347" s="481">
        <v>0</v>
      </c>
      <c r="M347" s="587">
        <f t="shared" si="26"/>
        <v>0</v>
      </c>
      <c r="N347" s="481">
        <v>0</v>
      </c>
      <c r="O347" s="481">
        <v>0</v>
      </c>
      <c r="P347" s="481">
        <v>0</v>
      </c>
      <c r="Q347" s="481">
        <v>23.675441072341243</v>
      </c>
      <c r="R347" s="587">
        <f t="shared" si="27"/>
        <v>173.29273824181251</v>
      </c>
      <c r="S347" s="481">
        <v>0</v>
      </c>
      <c r="T347" s="481">
        <v>0</v>
      </c>
      <c r="U347" s="481">
        <v>0</v>
      </c>
      <c r="V347" s="481">
        <v>0</v>
      </c>
      <c r="W347" s="481">
        <v>0</v>
      </c>
      <c r="X347" s="481">
        <v>0</v>
      </c>
      <c r="Y347" s="481">
        <v>0</v>
      </c>
      <c r="Z347" s="481">
        <v>5.9817526885493768</v>
      </c>
      <c r="AA347" s="481">
        <v>0</v>
      </c>
      <c r="AB347" s="481">
        <v>0</v>
      </c>
      <c r="AC347" s="481">
        <v>0</v>
      </c>
      <c r="AD347" s="481">
        <v>0</v>
      </c>
      <c r="AE347" s="481">
        <v>9.3587625885960666</v>
      </c>
      <c r="AF347" s="481">
        <v>0</v>
      </c>
      <c r="AG347" s="481">
        <v>3.8215565026433853</v>
      </c>
      <c r="AH347" s="700">
        <f t="shared" si="28"/>
        <v>212.3086945912992</v>
      </c>
      <c r="AI347" s="482">
        <f t="shared" si="29"/>
        <v>216.13025109394258</v>
      </c>
      <c r="AJ347" s="482"/>
      <c r="AK347" s="482"/>
      <c r="AL347" s="585">
        <v>22.2</v>
      </c>
      <c r="AM347" s="585">
        <v>151.09273824181253</v>
      </c>
      <c r="AN347" s="581">
        <v>0</v>
      </c>
      <c r="AO347" s="581">
        <f t="shared" si="30"/>
        <v>173.29273824181251</v>
      </c>
    </row>
    <row r="348" spans="1:41" x14ac:dyDescent="0.3">
      <c r="A348" s="476">
        <v>150000996</v>
      </c>
      <c r="B348" s="477" t="s">
        <v>245</v>
      </c>
      <c r="C348" s="478">
        <v>3261</v>
      </c>
      <c r="D348" s="479"/>
      <c r="E348" s="480">
        <v>185.77</v>
      </c>
      <c r="F348" s="480">
        <v>3446.77</v>
      </c>
      <c r="G348" s="481">
        <v>963.27300184842852</v>
      </c>
      <c r="H348" s="481">
        <v>170.26344017536576</v>
      </c>
      <c r="I348" s="481">
        <v>375.95</v>
      </c>
      <c r="J348" s="481">
        <v>0</v>
      </c>
      <c r="K348" s="481">
        <v>0</v>
      </c>
      <c r="L348" s="481">
        <v>598.49131413483201</v>
      </c>
      <c r="M348" s="587">
        <f t="shared" si="26"/>
        <v>0</v>
      </c>
      <c r="N348" s="481">
        <v>1228.1506544751364</v>
      </c>
      <c r="O348" s="481">
        <v>0</v>
      </c>
      <c r="P348" s="481">
        <v>0</v>
      </c>
      <c r="Q348" s="481">
        <v>840.47815806811423</v>
      </c>
      <c r="R348" s="587">
        <f t="shared" si="27"/>
        <v>3607.8412736226146</v>
      </c>
      <c r="S348" s="481">
        <v>156.04462248894714</v>
      </c>
      <c r="T348" s="481">
        <v>219.44353856902279</v>
      </c>
      <c r="U348" s="481">
        <v>209.18937447049265</v>
      </c>
      <c r="V348" s="481">
        <v>0</v>
      </c>
      <c r="W348" s="481">
        <v>0</v>
      </c>
      <c r="X348" s="481">
        <v>83.128678399414</v>
      </c>
      <c r="Y348" s="481">
        <v>0</v>
      </c>
      <c r="Z348" s="481">
        <v>3306.8554335217045</v>
      </c>
      <c r="AA348" s="481">
        <v>2553.9783484652876</v>
      </c>
      <c r="AB348" s="481">
        <v>1716.4734056965819</v>
      </c>
      <c r="AC348" s="481">
        <v>0</v>
      </c>
      <c r="AD348" s="481">
        <v>0</v>
      </c>
      <c r="AE348" s="481">
        <v>458.57936684120727</v>
      </c>
      <c r="AF348" s="481">
        <v>0</v>
      </c>
      <c r="AG348" s="481">
        <v>0</v>
      </c>
      <c r="AH348" s="700">
        <f t="shared" si="28"/>
        <v>16488.140610777151</v>
      </c>
      <c r="AI348" s="482">
        <f t="shared" si="29"/>
        <v>16488.140610777151</v>
      </c>
      <c r="AJ348" s="482"/>
      <c r="AK348" s="482"/>
      <c r="AL348" s="585">
        <v>120.81</v>
      </c>
      <c r="AM348" s="585">
        <v>3487.0312736226147</v>
      </c>
      <c r="AN348" s="581">
        <v>0</v>
      </c>
      <c r="AO348" s="581">
        <f t="shared" si="30"/>
        <v>3607.8412736226146</v>
      </c>
    </row>
    <row r="349" spans="1:41" x14ac:dyDescent="0.3">
      <c r="A349" s="476">
        <v>150000999</v>
      </c>
      <c r="B349" s="477" t="s">
        <v>40</v>
      </c>
      <c r="C349" s="478">
        <v>298.60000000000002</v>
      </c>
      <c r="D349" s="483"/>
      <c r="E349" s="480"/>
      <c r="F349" s="480">
        <v>298.60000000000002</v>
      </c>
      <c r="G349" s="481">
        <v>0</v>
      </c>
      <c r="H349" s="481">
        <v>0</v>
      </c>
      <c r="I349" s="481">
        <v>0</v>
      </c>
      <c r="J349" s="481">
        <v>0</v>
      </c>
      <c r="K349" s="481">
        <v>0</v>
      </c>
      <c r="L349" s="481">
        <v>0</v>
      </c>
      <c r="M349" s="587">
        <f t="shared" si="26"/>
        <v>0</v>
      </c>
      <c r="N349" s="481">
        <v>0</v>
      </c>
      <c r="O349" s="481">
        <v>0</v>
      </c>
      <c r="P349" s="481">
        <v>0</v>
      </c>
      <c r="Q349" s="481">
        <v>39.45906845390207</v>
      </c>
      <c r="R349" s="587">
        <f t="shared" si="27"/>
        <v>287.34834566895728</v>
      </c>
      <c r="S349" s="481">
        <v>0</v>
      </c>
      <c r="T349" s="481">
        <v>0</v>
      </c>
      <c r="U349" s="481">
        <v>0</v>
      </c>
      <c r="V349" s="481">
        <v>0</v>
      </c>
      <c r="W349" s="481">
        <v>0</v>
      </c>
      <c r="X349" s="481">
        <v>0</v>
      </c>
      <c r="Y349" s="481">
        <v>0</v>
      </c>
      <c r="Z349" s="481">
        <v>17.945258065648133</v>
      </c>
      <c r="AA349" s="481">
        <v>0</v>
      </c>
      <c r="AB349" s="481">
        <v>0</v>
      </c>
      <c r="AC349" s="481">
        <v>0</v>
      </c>
      <c r="AD349" s="481">
        <v>0</v>
      </c>
      <c r="AE349" s="481">
        <v>0</v>
      </c>
      <c r="AF349" s="481">
        <v>0</v>
      </c>
      <c r="AG349" s="481">
        <v>6.2055480993931349</v>
      </c>
      <c r="AH349" s="700">
        <f t="shared" si="28"/>
        <v>344.75267218850752</v>
      </c>
      <c r="AI349" s="482">
        <f t="shared" si="29"/>
        <v>350.95822028790064</v>
      </c>
      <c r="AJ349" s="482"/>
      <c r="AK349" s="482"/>
      <c r="AL349" s="585">
        <v>31.87</v>
      </c>
      <c r="AM349" s="585">
        <v>255.4783456689573</v>
      </c>
      <c r="AN349" s="581">
        <v>0</v>
      </c>
      <c r="AO349" s="581">
        <f t="shared" si="30"/>
        <v>287.34834566895728</v>
      </c>
    </row>
    <row r="350" spans="1:41" x14ac:dyDescent="0.3">
      <c r="A350" s="476">
        <v>150001000</v>
      </c>
      <c r="B350" s="477" t="s">
        <v>42</v>
      </c>
      <c r="C350" s="478">
        <v>236.7</v>
      </c>
      <c r="D350" s="483"/>
      <c r="E350" s="480"/>
      <c r="F350" s="480">
        <v>236.7</v>
      </c>
      <c r="G350" s="481">
        <v>0</v>
      </c>
      <c r="H350" s="481">
        <v>0</v>
      </c>
      <c r="I350" s="481">
        <v>0</v>
      </c>
      <c r="J350" s="481">
        <v>0</v>
      </c>
      <c r="K350" s="481">
        <v>0</v>
      </c>
      <c r="L350" s="481">
        <v>0</v>
      </c>
      <c r="M350" s="587">
        <f t="shared" si="26"/>
        <v>0</v>
      </c>
      <c r="N350" s="481">
        <v>0</v>
      </c>
      <c r="O350" s="481">
        <v>0</v>
      </c>
      <c r="P350" s="481">
        <v>0</v>
      </c>
      <c r="Q350" s="481">
        <v>39.45906845390207</v>
      </c>
      <c r="R350" s="587">
        <f t="shared" si="27"/>
        <v>275.0618893069144</v>
      </c>
      <c r="S350" s="481">
        <v>0</v>
      </c>
      <c r="T350" s="481">
        <v>0</v>
      </c>
      <c r="U350" s="481">
        <v>0</v>
      </c>
      <c r="V350" s="481">
        <v>0</v>
      </c>
      <c r="W350" s="481">
        <v>0</v>
      </c>
      <c r="X350" s="481">
        <v>0</v>
      </c>
      <c r="Y350" s="481">
        <v>0</v>
      </c>
      <c r="Z350" s="481">
        <v>7.9756702513991691</v>
      </c>
      <c r="AA350" s="481">
        <v>0</v>
      </c>
      <c r="AB350" s="481">
        <v>0</v>
      </c>
      <c r="AC350" s="481">
        <v>0</v>
      </c>
      <c r="AD350" s="481">
        <v>0</v>
      </c>
      <c r="AE350" s="481">
        <v>3.1195875295320228</v>
      </c>
      <c r="AF350" s="481">
        <v>0</v>
      </c>
      <c r="AG350" s="481">
        <v>17.583275639254371</v>
      </c>
      <c r="AH350" s="700">
        <f t="shared" si="28"/>
        <v>325.61621554174764</v>
      </c>
      <c r="AI350" s="482">
        <f t="shared" si="29"/>
        <v>343.19949118100203</v>
      </c>
      <c r="AJ350" s="482"/>
      <c r="AK350" s="482"/>
      <c r="AL350" s="585">
        <v>27.19</v>
      </c>
      <c r="AM350" s="585">
        <v>247.87188930691437</v>
      </c>
      <c r="AN350" s="581">
        <v>0</v>
      </c>
      <c r="AO350" s="581">
        <f t="shared" si="30"/>
        <v>275.0618893069144</v>
      </c>
    </row>
    <row r="351" spans="1:41" x14ac:dyDescent="0.3">
      <c r="A351" s="476">
        <v>150001001</v>
      </c>
      <c r="B351" s="477" t="s">
        <v>45</v>
      </c>
      <c r="C351" s="478">
        <v>239.8</v>
      </c>
      <c r="D351" s="483"/>
      <c r="E351" s="480"/>
      <c r="F351" s="480">
        <v>239.8</v>
      </c>
      <c r="G351" s="481">
        <v>0</v>
      </c>
      <c r="H351" s="481">
        <v>0</v>
      </c>
      <c r="I351" s="481">
        <v>0</v>
      </c>
      <c r="J351" s="481">
        <v>0</v>
      </c>
      <c r="K351" s="481">
        <v>0</v>
      </c>
      <c r="L351" s="481">
        <v>0</v>
      </c>
      <c r="M351" s="587">
        <f t="shared" si="26"/>
        <v>0</v>
      </c>
      <c r="N351" s="481">
        <v>0</v>
      </c>
      <c r="O351" s="481">
        <v>0</v>
      </c>
      <c r="P351" s="481">
        <v>0</v>
      </c>
      <c r="Q351" s="481">
        <v>43.404975299292282</v>
      </c>
      <c r="R351" s="587">
        <f t="shared" si="27"/>
        <v>252.55066913607325</v>
      </c>
      <c r="S351" s="481">
        <v>0</v>
      </c>
      <c r="T351" s="481">
        <v>0</v>
      </c>
      <c r="U351" s="481">
        <v>0</v>
      </c>
      <c r="V351" s="481">
        <v>0</v>
      </c>
      <c r="W351" s="481">
        <v>0</v>
      </c>
      <c r="X351" s="481">
        <v>0</v>
      </c>
      <c r="Y351" s="481">
        <v>0</v>
      </c>
      <c r="Z351" s="481">
        <v>13.957422939948543</v>
      </c>
      <c r="AA351" s="481">
        <v>0</v>
      </c>
      <c r="AB351" s="481">
        <v>0</v>
      </c>
      <c r="AC351" s="481">
        <v>0</v>
      </c>
      <c r="AD351" s="481">
        <v>0</v>
      </c>
      <c r="AE351" s="481">
        <v>17.157731412426124</v>
      </c>
      <c r="AF351" s="481">
        <v>0</v>
      </c>
      <c r="AG351" s="481">
        <v>0</v>
      </c>
      <c r="AH351" s="700">
        <f t="shared" si="28"/>
        <v>327.07079878774022</v>
      </c>
      <c r="AI351" s="482">
        <f t="shared" si="29"/>
        <v>327.07079878774022</v>
      </c>
      <c r="AJ351" s="482"/>
      <c r="AK351" s="482"/>
      <c r="AL351" s="585">
        <v>38.46</v>
      </c>
      <c r="AM351" s="585">
        <v>214.09066913607325</v>
      </c>
      <c r="AN351" s="581">
        <v>0</v>
      </c>
      <c r="AO351" s="581">
        <f t="shared" si="30"/>
        <v>252.55066913607325</v>
      </c>
    </row>
    <row r="352" spans="1:41" x14ac:dyDescent="0.3">
      <c r="A352" s="476">
        <v>150001002</v>
      </c>
      <c r="B352" s="477" t="s">
        <v>48</v>
      </c>
      <c r="C352" s="478">
        <v>229.9</v>
      </c>
      <c r="D352" s="483"/>
      <c r="E352" s="480"/>
      <c r="F352" s="480">
        <v>229.9</v>
      </c>
      <c r="G352" s="481">
        <v>0</v>
      </c>
      <c r="H352" s="481">
        <v>0</v>
      </c>
      <c r="I352" s="481">
        <v>0</v>
      </c>
      <c r="J352" s="481">
        <v>0</v>
      </c>
      <c r="K352" s="481">
        <v>0</v>
      </c>
      <c r="L352" s="481">
        <v>0</v>
      </c>
      <c r="M352" s="587">
        <f t="shared" si="26"/>
        <v>0</v>
      </c>
      <c r="N352" s="481">
        <v>0</v>
      </c>
      <c r="O352" s="481">
        <v>0</v>
      </c>
      <c r="P352" s="481">
        <v>0</v>
      </c>
      <c r="Q352" s="481">
        <v>39.45906845390207</v>
      </c>
      <c r="R352" s="587">
        <f t="shared" si="27"/>
        <v>266.85804688625103</v>
      </c>
      <c r="S352" s="481">
        <v>0</v>
      </c>
      <c r="T352" s="481">
        <v>0</v>
      </c>
      <c r="U352" s="481">
        <v>0</v>
      </c>
      <c r="V352" s="481">
        <v>0</v>
      </c>
      <c r="W352" s="481">
        <v>0</v>
      </c>
      <c r="X352" s="481">
        <v>0</v>
      </c>
      <c r="Y352" s="481">
        <v>0</v>
      </c>
      <c r="Z352" s="481">
        <v>13.957422939948543</v>
      </c>
      <c r="AA352" s="481">
        <v>0</v>
      </c>
      <c r="AB352" s="481">
        <v>0</v>
      </c>
      <c r="AC352" s="481">
        <v>0</v>
      </c>
      <c r="AD352" s="481">
        <v>0</v>
      </c>
      <c r="AE352" s="481">
        <v>23.396906471490166</v>
      </c>
      <c r="AF352" s="481">
        <v>0</v>
      </c>
      <c r="AG352" s="481">
        <v>10.310143342547754</v>
      </c>
      <c r="AH352" s="700">
        <f t="shared" si="28"/>
        <v>343.67144475159182</v>
      </c>
      <c r="AI352" s="482">
        <f t="shared" si="29"/>
        <v>353.98158809413957</v>
      </c>
      <c r="AJ352" s="482"/>
      <c r="AK352" s="482"/>
      <c r="AL352" s="585">
        <v>27.19</v>
      </c>
      <c r="AM352" s="585">
        <v>239.66804688625101</v>
      </c>
      <c r="AN352" s="581">
        <v>0</v>
      </c>
      <c r="AO352" s="581">
        <f t="shared" si="30"/>
        <v>266.85804688625103</v>
      </c>
    </row>
    <row r="353" spans="1:41" x14ac:dyDescent="0.3">
      <c r="A353" s="476">
        <v>150001004</v>
      </c>
      <c r="B353" s="477" t="s">
        <v>43</v>
      </c>
      <c r="C353" s="478">
        <v>315.7</v>
      </c>
      <c r="D353" s="483"/>
      <c r="E353" s="480"/>
      <c r="F353" s="480">
        <v>315.7</v>
      </c>
      <c r="G353" s="481">
        <v>0</v>
      </c>
      <c r="H353" s="481">
        <v>0</v>
      </c>
      <c r="I353" s="481">
        <v>0</v>
      </c>
      <c r="J353" s="481">
        <v>0</v>
      </c>
      <c r="K353" s="481">
        <v>0</v>
      </c>
      <c r="L353" s="481">
        <v>0</v>
      </c>
      <c r="M353" s="587">
        <f t="shared" si="26"/>
        <v>0</v>
      </c>
      <c r="N353" s="481">
        <v>0</v>
      </c>
      <c r="O353" s="481">
        <v>0</v>
      </c>
      <c r="P353" s="481">
        <v>0</v>
      </c>
      <c r="Q353" s="481">
        <v>43.404975299292282</v>
      </c>
      <c r="R353" s="587">
        <f t="shared" si="27"/>
        <v>300.91060869881647</v>
      </c>
      <c r="S353" s="481">
        <v>0</v>
      </c>
      <c r="T353" s="481">
        <v>0</v>
      </c>
      <c r="U353" s="481">
        <v>0</v>
      </c>
      <c r="V353" s="481">
        <v>0</v>
      </c>
      <c r="W353" s="481">
        <v>0</v>
      </c>
      <c r="X353" s="481">
        <v>0</v>
      </c>
      <c r="Y353" s="481">
        <v>0</v>
      </c>
      <c r="Z353" s="481">
        <v>11.963505377098754</v>
      </c>
      <c r="AA353" s="481">
        <v>0</v>
      </c>
      <c r="AB353" s="481">
        <v>0</v>
      </c>
      <c r="AC353" s="481">
        <v>0</v>
      </c>
      <c r="AD353" s="481">
        <v>0</v>
      </c>
      <c r="AE353" s="481">
        <v>0</v>
      </c>
      <c r="AF353" s="481">
        <v>0</v>
      </c>
      <c r="AG353" s="481">
        <v>10.688372681256226</v>
      </c>
      <c r="AH353" s="700">
        <f t="shared" si="28"/>
        <v>356.27908937520749</v>
      </c>
      <c r="AI353" s="482">
        <f t="shared" si="29"/>
        <v>366.96746205646372</v>
      </c>
      <c r="AJ353" s="482"/>
      <c r="AK353" s="482"/>
      <c r="AL353" s="585">
        <v>23.1</v>
      </c>
      <c r="AM353" s="585">
        <v>277.81060869881645</v>
      </c>
      <c r="AN353" s="581">
        <v>0</v>
      </c>
      <c r="AO353" s="581">
        <f t="shared" si="30"/>
        <v>300.91060869881647</v>
      </c>
    </row>
    <row r="354" spans="1:41" x14ac:dyDescent="0.3">
      <c r="A354" s="476">
        <v>150001005</v>
      </c>
      <c r="B354" s="477" t="s">
        <v>46</v>
      </c>
      <c r="C354" s="478">
        <v>242.2</v>
      </c>
      <c r="D354" s="483"/>
      <c r="E354" s="480"/>
      <c r="F354" s="480">
        <v>242.2</v>
      </c>
      <c r="G354" s="481">
        <v>0</v>
      </c>
      <c r="H354" s="481">
        <v>0</v>
      </c>
      <c r="I354" s="481">
        <v>0</v>
      </c>
      <c r="J354" s="481">
        <v>0</v>
      </c>
      <c r="K354" s="481">
        <v>0</v>
      </c>
      <c r="L354" s="481">
        <v>0</v>
      </c>
      <c r="M354" s="587">
        <f t="shared" si="26"/>
        <v>0</v>
      </c>
      <c r="N354" s="481">
        <v>0</v>
      </c>
      <c r="O354" s="481">
        <v>0</v>
      </c>
      <c r="P354" s="481">
        <v>0</v>
      </c>
      <c r="Q354" s="481">
        <v>35.513161608511865</v>
      </c>
      <c r="R354" s="587">
        <f t="shared" si="27"/>
        <v>270.3244687253507</v>
      </c>
      <c r="S354" s="481">
        <v>0</v>
      </c>
      <c r="T354" s="481">
        <v>0</v>
      </c>
      <c r="U354" s="481">
        <v>0</v>
      </c>
      <c r="V354" s="481">
        <v>0</v>
      </c>
      <c r="W354" s="481">
        <v>0</v>
      </c>
      <c r="X354" s="481">
        <v>0</v>
      </c>
      <c r="Y354" s="481">
        <v>0</v>
      </c>
      <c r="Z354" s="481">
        <v>9.9695878142489622</v>
      </c>
      <c r="AA354" s="481">
        <v>0</v>
      </c>
      <c r="AB354" s="481">
        <v>0</v>
      </c>
      <c r="AC354" s="481">
        <v>0</v>
      </c>
      <c r="AD354" s="481">
        <v>0</v>
      </c>
      <c r="AE354" s="481">
        <v>0</v>
      </c>
      <c r="AF354" s="481">
        <v>0</v>
      </c>
      <c r="AG354" s="481">
        <v>9.4742165444433439</v>
      </c>
      <c r="AH354" s="700">
        <f t="shared" si="28"/>
        <v>315.80721814811147</v>
      </c>
      <c r="AI354" s="482">
        <f t="shared" si="29"/>
        <v>325.2814346925548</v>
      </c>
      <c r="AJ354" s="482"/>
      <c r="AK354" s="482"/>
      <c r="AL354" s="585">
        <v>39.380000000000003</v>
      </c>
      <c r="AM354" s="585">
        <v>230.9444687253507</v>
      </c>
      <c r="AN354" s="581">
        <v>0</v>
      </c>
      <c r="AO354" s="581">
        <f t="shared" si="30"/>
        <v>270.3244687253507</v>
      </c>
    </row>
    <row r="355" spans="1:41" x14ac:dyDescent="0.3">
      <c r="A355" s="476">
        <v>150001007</v>
      </c>
      <c r="B355" s="477" t="s">
        <v>213</v>
      </c>
      <c r="C355" s="478">
        <v>2000.1</v>
      </c>
      <c r="D355" s="479"/>
      <c r="E355" s="480">
        <v>46.1</v>
      </c>
      <c r="F355" s="480">
        <v>2046.1999999999998</v>
      </c>
      <c r="G355" s="481">
        <v>658.05805461520981</v>
      </c>
      <c r="H355" s="481">
        <v>121.02162551821193</v>
      </c>
      <c r="I355" s="481">
        <v>237.6</v>
      </c>
      <c r="J355" s="481">
        <v>0</v>
      </c>
      <c r="K355" s="481">
        <v>0</v>
      </c>
      <c r="L355" s="481">
        <v>339.3674428142221</v>
      </c>
      <c r="M355" s="587">
        <f t="shared" si="26"/>
        <v>0</v>
      </c>
      <c r="N355" s="481">
        <v>729.10054027017293</v>
      </c>
      <c r="O355" s="481">
        <v>0</v>
      </c>
      <c r="P355" s="481">
        <v>0</v>
      </c>
      <c r="Q355" s="481">
        <v>556.37286520001919</v>
      </c>
      <c r="R355" s="587">
        <f t="shared" si="27"/>
        <v>2169.0201671278433</v>
      </c>
      <c r="S355" s="481">
        <v>104.84305157305938</v>
      </c>
      <c r="T355" s="481">
        <v>155.98930364484841</v>
      </c>
      <c r="U355" s="481">
        <v>117.85464172943765</v>
      </c>
      <c r="V355" s="481">
        <v>0</v>
      </c>
      <c r="W355" s="481">
        <v>0</v>
      </c>
      <c r="X355" s="481">
        <v>43.262285721355042</v>
      </c>
      <c r="Y355" s="481">
        <v>0</v>
      </c>
      <c r="Z355" s="481">
        <v>1061.6556587078496</v>
      </c>
      <c r="AA355" s="481">
        <v>925.69238979025988</v>
      </c>
      <c r="AB355" s="481">
        <v>608.61855662443156</v>
      </c>
      <c r="AC355" s="481">
        <v>167.31239231602962</v>
      </c>
      <c r="AD355" s="481">
        <v>20.597169508602132</v>
      </c>
      <c r="AE355" s="481">
        <v>276.083496363584</v>
      </c>
      <c r="AF355" s="481">
        <v>0</v>
      </c>
      <c r="AG355" s="481">
        <v>149.2640935474524</v>
      </c>
      <c r="AH355" s="700">
        <f t="shared" si="28"/>
        <v>8292.4496415251342</v>
      </c>
      <c r="AI355" s="482">
        <f t="shared" si="29"/>
        <v>8441.7137350725861</v>
      </c>
      <c r="AJ355" s="482"/>
      <c r="AK355" s="482"/>
      <c r="AL355" s="585">
        <v>122.71</v>
      </c>
      <c r="AM355" s="585">
        <v>2046.3101671278432</v>
      </c>
      <c r="AN355" s="581">
        <v>0</v>
      </c>
      <c r="AO355" s="581">
        <f t="shared" si="30"/>
        <v>2169.0201671278433</v>
      </c>
    </row>
    <row r="356" spans="1:41" x14ac:dyDescent="0.3">
      <c r="A356" s="476">
        <v>150001008</v>
      </c>
      <c r="B356" s="477" t="s">
        <v>211</v>
      </c>
      <c r="C356" s="478">
        <v>1440.1</v>
      </c>
      <c r="D356" s="479"/>
      <c r="E356" s="480">
        <v>45.5</v>
      </c>
      <c r="F356" s="480">
        <v>1485.6</v>
      </c>
      <c r="G356" s="481">
        <v>432.56792264927486</v>
      </c>
      <c r="H356" s="481">
        <v>75.946572552877242</v>
      </c>
      <c r="I356" s="481">
        <v>177.87</v>
      </c>
      <c r="J356" s="481">
        <v>0</v>
      </c>
      <c r="K356" s="481">
        <v>0</v>
      </c>
      <c r="L356" s="481">
        <v>250.55024604347807</v>
      </c>
      <c r="M356" s="587">
        <f t="shared" si="26"/>
        <v>0</v>
      </c>
      <c r="N356" s="481">
        <v>529.34794381065819</v>
      </c>
      <c r="O356" s="481">
        <v>0</v>
      </c>
      <c r="P356" s="481">
        <v>0</v>
      </c>
      <c r="Q356" s="481">
        <v>366.9693366212893</v>
      </c>
      <c r="R356" s="587">
        <f t="shared" si="27"/>
        <v>1218.7930019231592</v>
      </c>
      <c r="S356" s="481">
        <v>71.703338001730486</v>
      </c>
      <c r="T356" s="481">
        <v>97.881167455611291</v>
      </c>
      <c r="U356" s="481">
        <v>97.915358698750211</v>
      </c>
      <c r="V356" s="481">
        <v>0</v>
      </c>
      <c r="W356" s="481">
        <v>0</v>
      </c>
      <c r="X356" s="481">
        <v>29.121055930900873</v>
      </c>
      <c r="Y356" s="481">
        <v>0</v>
      </c>
      <c r="Z356" s="481">
        <v>2261.6117796955214</v>
      </c>
      <c r="AA356" s="481">
        <v>795.3435713943943</v>
      </c>
      <c r="AB356" s="481">
        <v>576.42830940423221</v>
      </c>
      <c r="AC356" s="481">
        <v>49.267200198537871</v>
      </c>
      <c r="AD356" s="481">
        <v>6.065090933532125</v>
      </c>
      <c r="AE356" s="481">
        <v>135.70205753464296</v>
      </c>
      <c r="AF356" s="481">
        <v>0</v>
      </c>
      <c r="AG356" s="481">
        <v>129.11551115127463</v>
      </c>
      <c r="AH356" s="700">
        <f t="shared" si="28"/>
        <v>7173.0839528485903</v>
      </c>
      <c r="AI356" s="482">
        <f t="shared" si="29"/>
        <v>7302.1994639998647</v>
      </c>
      <c r="AJ356" s="482"/>
      <c r="AK356" s="482"/>
      <c r="AL356" s="585">
        <v>38.479999999999997</v>
      </c>
      <c r="AM356" s="585">
        <v>1180.3130019231592</v>
      </c>
      <c r="AN356" s="581">
        <v>0</v>
      </c>
      <c r="AO356" s="581">
        <f t="shared" si="30"/>
        <v>1218.7930019231592</v>
      </c>
    </row>
    <row r="357" spans="1:41" x14ac:dyDescent="0.3">
      <c r="A357" s="476">
        <v>150001009</v>
      </c>
      <c r="B357" s="477" t="s">
        <v>212</v>
      </c>
      <c r="C357" s="478">
        <v>1399.9</v>
      </c>
      <c r="D357" s="479"/>
      <c r="E357" s="480">
        <v>85.1</v>
      </c>
      <c r="F357" s="480">
        <v>1485</v>
      </c>
      <c r="G357" s="481">
        <v>427.76630856553868</v>
      </c>
      <c r="H357" s="481">
        <v>75.946572552877242</v>
      </c>
      <c r="I357" s="481">
        <v>177.87</v>
      </c>
      <c r="J357" s="481">
        <v>0</v>
      </c>
      <c r="K357" s="481">
        <v>0</v>
      </c>
      <c r="L357" s="481">
        <v>250.55024604347807</v>
      </c>
      <c r="M357" s="587">
        <f t="shared" si="26"/>
        <v>0</v>
      </c>
      <c r="N357" s="481">
        <v>529.13415223399807</v>
      </c>
      <c r="O357" s="481">
        <v>0</v>
      </c>
      <c r="P357" s="481">
        <v>0</v>
      </c>
      <c r="Q357" s="481">
        <v>355.13161608511865</v>
      </c>
      <c r="R357" s="587">
        <f t="shared" si="27"/>
        <v>1533.5364556630975</v>
      </c>
      <c r="S357" s="481">
        <v>71.419983253270772</v>
      </c>
      <c r="T357" s="481">
        <v>97.881167455611291</v>
      </c>
      <c r="U357" s="481">
        <v>92.947281269480158</v>
      </c>
      <c r="V357" s="481">
        <v>0</v>
      </c>
      <c r="W357" s="481">
        <v>0</v>
      </c>
      <c r="X357" s="481">
        <v>29.121055930900873</v>
      </c>
      <c r="Y357" s="481">
        <v>0</v>
      </c>
      <c r="Z357" s="481">
        <v>864.59133615787005</v>
      </c>
      <c r="AA357" s="481">
        <v>672.75361011644304</v>
      </c>
      <c r="AB357" s="481">
        <v>515.26010183372318</v>
      </c>
      <c r="AC357" s="481">
        <v>51.473194237278378</v>
      </c>
      <c r="AD357" s="481">
        <v>6.3366621693619214</v>
      </c>
      <c r="AE357" s="481">
        <v>244.88762106826377</v>
      </c>
      <c r="AF357" s="481">
        <v>0</v>
      </c>
      <c r="AG357" s="481">
        <v>179.89822093908936</v>
      </c>
      <c r="AH357" s="700">
        <f t="shared" si="28"/>
        <v>5996.607364636312</v>
      </c>
      <c r="AI357" s="482">
        <f t="shared" si="29"/>
        <v>6176.5055855754017</v>
      </c>
      <c r="AJ357" s="482"/>
      <c r="AK357" s="482"/>
      <c r="AL357" s="585">
        <v>38.479999999999997</v>
      </c>
      <c r="AM357" s="585">
        <v>1495.0564556630975</v>
      </c>
      <c r="AN357" s="581">
        <v>0</v>
      </c>
      <c r="AO357" s="581">
        <f t="shared" si="30"/>
        <v>1533.5364556630975</v>
      </c>
    </row>
    <row r="358" spans="1:41" x14ac:dyDescent="0.3">
      <c r="A358" s="476">
        <v>150001010</v>
      </c>
      <c r="B358" s="477" t="s">
        <v>164</v>
      </c>
      <c r="C358" s="478">
        <v>539.29999999999995</v>
      </c>
      <c r="D358" s="479"/>
      <c r="E358" s="480">
        <v>205.3</v>
      </c>
      <c r="F358" s="480">
        <v>744.59999999999991</v>
      </c>
      <c r="G358" s="481">
        <v>271.24761948946497</v>
      </c>
      <c r="H358" s="481">
        <v>57.946419213829095</v>
      </c>
      <c r="I358" s="481">
        <v>84.58</v>
      </c>
      <c r="J358" s="481">
        <v>0</v>
      </c>
      <c r="K358" s="481">
        <v>0</v>
      </c>
      <c r="L358" s="481">
        <v>168.51106511774807</v>
      </c>
      <c r="M358" s="587">
        <f t="shared" si="26"/>
        <v>0</v>
      </c>
      <c r="N358" s="481">
        <v>265.31534663530971</v>
      </c>
      <c r="O358" s="481">
        <v>0</v>
      </c>
      <c r="P358" s="481">
        <v>0</v>
      </c>
      <c r="Q358" s="481">
        <v>130.21492589787684</v>
      </c>
      <c r="R358" s="587">
        <f t="shared" si="27"/>
        <v>754.05673346653964</v>
      </c>
      <c r="S358" s="481">
        <v>47.949820419335339</v>
      </c>
      <c r="T358" s="481">
        <v>74.695177798037108</v>
      </c>
      <c r="U358" s="481">
        <v>37.990742074113463</v>
      </c>
      <c r="V358" s="481">
        <v>0</v>
      </c>
      <c r="W358" s="481">
        <v>0</v>
      </c>
      <c r="X358" s="481">
        <v>20.389763532857327</v>
      </c>
      <c r="Y358" s="481">
        <v>0</v>
      </c>
      <c r="Z358" s="481">
        <v>746.80065572697015</v>
      </c>
      <c r="AA358" s="481">
        <v>418.216317980594</v>
      </c>
      <c r="AB358" s="481">
        <v>407.81588333387418</v>
      </c>
      <c r="AC358" s="481">
        <v>25.736597118639189</v>
      </c>
      <c r="AD358" s="481">
        <v>3.1683310846809607</v>
      </c>
      <c r="AE358" s="481">
        <v>70.190719414470507</v>
      </c>
      <c r="AF358" s="481">
        <v>0</v>
      </c>
      <c r="AG358" s="481">
        <v>0</v>
      </c>
      <c r="AH358" s="700">
        <f t="shared" si="28"/>
        <v>3584.826118304341</v>
      </c>
      <c r="AI358" s="482">
        <f t="shared" si="29"/>
        <v>3584.826118304341</v>
      </c>
      <c r="AJ358" s="482"/>
      <c r="AK358" s="482"/>
      <c r="AL358" s="585">
        <v>110.22</v>
      </c>
      <c r="AM358" s="585">
        <v>643.83673346653961</v>
      </c>
      <c r="AN358" s="581">
        <v>0</v>
      </c>
      <c r="AO358" s="581">
        <f t="shared" si="30"/>
        <v>754.05673346653964</v>
      </c>
    </row>
    <row r="359" spans="1:41" x14ac:dyDescent="0.3">
      <c r="A359" s="476">
        <v>150001011</v>
      </c>
      <c r="B359" s="477" t="s">
        <v>165</v>
      </c>
      <c r="C359" s="478">
        <v>422.9</v>
      </c>
      <c r="D359" s="479"/>
      <c r="E359" s="480"/>
      <c r="F359" s="480">
        <v>422.9</v>
      </c>
      <c r="G359" s="481">
        <v>175.78931025875247</v>
      </c>
      <c r="H359" s="481">
        <v>27.9622758299693</v>
      </c>
      <c r="I359" s="481">
        <v>47.36</v>
      </c>
      <c r="J359" s="481">
        <v>0</v>
      </c>
      <c r="K359" s="481">
        <v>0</v>
      </c>
      <c r="L359" s="481">
        <v>80.359004089472322</v>
      </c>
      <c r="M359" s="587">
        <f t="shared" si="26"/>
        <v>0</v>
      </c>
      <c r="N359" s="481">
        <v>150.6874296159985</v>
      </c>
      <c r="O359" s="481">
        <v>0</v>
      </c>
      <c r="P359" s="481">
        <v>0</v>
      </c>
      <c r="Q359" s="481">
        <v>94.701764289364974</v>
      </c>
      <c r="R359" s="587">
        <f t="shared" si="27"/>
        <v>507.51576240794361</v>
      </c>
      <c r="S359" s="481">
        <v>29.542653280315967</v>
      </c>
      <c r="T359" s="481">
        <v>36.04386687945734</v>
      </c>
      <c r="U359" s="481">
        <v>22.104545896594431</v>
      </c>
      <c r="V359" s="481">
        <v>0</v>
      </c>
      <c r="W359" s="481">
        <v>0</v>
      </c>
      <c r="X359" s="481">
        <v>6.5655994250196654</v>
      </c>
      <c r="Y359" s="481">
        <v>0</v>
      </c>
      <c r="Z359" s="481">
        <v>550.02695757911522</v>
      </c>
      <c r="AA359" s="481">
        <v>273.4855768423231</v>
      </c>
      <c r="AB359" s="481">
        <v>75.874200088470332</v>
      </c>
      <c r="AC359" s="481">
        <v>0</v>
      </c>
      <c r="AD359" s="481">
        <v>0</v>
      </c>
      <c r="AE359" s="481">
        <v>62.391750590640456</v>
      </c>
      <c r="AF359" s="481">
        <v>0</v>
      </c>
      <c r="AG359" s="481">
        <v>0</v>
      </c>
      <c r="AH359" s="700">
        <f t="shared" si="28"/>
        <v>2140.4106970734379</v>
      </c>
      <c r="AI359" s="482">
        <f t="shared" si="29"/>
        <v>2140.4106970734379</v>
      </c>
      <c r="AJ359" s="482"/>
      <c r="AK359" s="482"/>
      <c r="AL359" s="585">
        <v>65.67</v>
      </c>
      <c r="AM359" s="585">
        <v>441.8457624079436</v>
      </c>
      <c r="AN359" s="581">
        <v>0</v>
      </c>
      <c r="AO359" s="581">
        <f t="shared" si="30"/>
        <v>507.51576240794361</v>
      </c>
    </row>
    <row r="360" spans="1:41" x14ac:dyDescent="0.3">
      <c r="A360" s="476">
        <v>150001013</v>
      </c>
      <c r="B360" s="477" t="s">
        <v>260</v>
      </c>
      <c r="C360" s="478">
        <v>2612.75</v>
      </c>
      <c r="D360" s="479"/>
      <c r="E360" s="480">
        <v>863.48</v>
      </c>
      <c r="F360" s="480">
        <v>3476.23</v>
      </c>
      <c r="G360" s="481">
        <v>932.65613444240512</v>
      </c>
      <c r="H360" s="481">
        <v>190.26127237381124</v>
      </c>
      <c r="I360" s="481">
        <v>410.26</v>
      </c>
      <c r="J360" s="481">
        <v>0</v>
      </c>
      <c r="K360" s="481">
        <v>0</v>
      </c>
      <c r="L360" s="481">
        <v>625.48836898545255</v>
      </c>
      <c r="M360" s="587">
        <f t="shared" si="26"/>
        <v>0</v>
      </c>
      <c r="N360" s="481">
        <v>1238.6478208891522</v>
      </c>
      <c r="O360" s="481">
        <v>0</v>
      </c>
      <c r="P360" s="481">
        <v>0</v>
      </c>
      <c r="Q360" s="481">
        <v>769.45183485109044</v>
      </c>
      <c r="R360" s="587">
        <f t="shared" si="27"/>
        <v>2717.4651541262933</v>
      </c>
      <c r="S360" s="481">
        <v>154.62372253297457</v>
      </c>
      <c r="T360" s="481">
        <v>245.21278357122625</v>
      </c>
      <c r="U360" s="481">
        <v>215.4199605892465</v>
      </c>
      <c r="V360" s="481">
        <v>0</v>
      </c>
      <c r="W360" s="481">
        <v>0</v>
      </c>
      <c r="X360" s="481">
        <v>87.209309877955548</v>
      </c>
      <c r="Y360" s="481">
        <v>0</v>
      </c>
      <c r="Z360" s="481">
        <v>2317.9714945881315</v>
      </c>
      <c r="AA360" s="481">
        <v>1714.6455939331915</v>
      </c>
      <c r="AB360" s="481">
        <v>1262.613400555098</v>
      </c>
      <c r="AC360" s="481">
        <v>73.288024175934453</v>
      </c>
      <c r="AD360" s="481">
        <v>9.0221999459010203</v>
      </c>
      <c r="AE360" s="481">
        <v>403.98658507439688</v>
      </c>
      <c r="AF360" s="481">
        <v>0</v>
      </c>
      <c r="AG360" s="481">
        <v>320.83736785229422</v>
      </c>
      <c r="AH360" s="700">
        <f t="shared" si="28"/>
        <v>13368.22366051226</v>
      </c>
      <c r="AI360" s="482">
        <f t="shared" si="29"/>
        <v>13689.061028364555</v>
      </c>
      <c r="AJ360" s="482"/>
      <c r="AK360" s="482"/>
      <c r="AL360" s="585">
        <v>155.29</v>
      </c>
      <c r="AM360" s="585">
        <v>2562.1751541262934</v>
      </c>
      <c r="AN360" s="581">
        <v>0</v>
      </c>
      <c r="AO360" s="581">
        <f t="shared" si="30"/>
        <v>2717.4651541262933</v>
      </c>
    </row>
    <row r="361" spans="1:41" x14ac:dyDescent="0.3">
      <c r="A361" s="476">
        <v>150001014</v>
      </c>
      <c r="B361" s="477" t="s">
        <v>166</v>
      </c>
      <c r="C361" s="478">
        <v>339.3</v>
      </c>
      <c r="D361" s="479"/>
      <c r="E361" s="480"/>
      <c r="F361" s="480">
        <v>339.3</v>
      </c>
      <c r="G361" s="481">
        <v>69.672452925273646</v>
      </c>
      <c r="H361" s="481">
        <v>23.44964279273006</v>
      </c>
      <c r="I361" s="481">
        <v>38.43</v>
      </c>
      <c r="J361" s="481">
        <v>0</v>
      </c>
      <c r="K361" s="481">
        <v>0</v>
      </c>
      <c r="L361" s="481">
        <v>40.02394013130327</v>
      </c>
      <c r="M361" s="587">
        <f t="shared" si="26"/>
        <v>0</v>
      </c>
      <c r="N361" s="481">
        <v>120.8991366013438</v>
      </c>
      <c r="O361" s="481">
        <v>0</v>
      </c>
      <c r="P361" s="481">
        <v>0</v>
      </c>
      <c r="Q361" s="481">
        <v>47.350882144682487</v>
      </c>
      <c r="R361" s="587">
        <f t="shared" si="27"/>
        <v>382.5733903669618</v>
      </c>
      <c r="S361" s="481">
        <v>23.52965489579714</v>
      </c>
      <c r="T361" s="481">
        <v>30.202472453644113</v>
      </c>
      <c r="U361" s="481">
        <v>14.949541071562326</v>
      </c>
      <c r="V361" s="481">
        <v>0</v>
      </c>
      <c r="W361" s="481">
        <v>0</v>
      </c>
      <c r="X361" s="481">
        <v>4.891052041696593</v>
      </c>
      <c r="Y361" s="481">
        <v>0</v>
      </c>
      <c r="Z361" s="481">
        <v>293.79057606259948</v>
      </c>
      <c r="AA361" s="481">
        <v>209.70893661586248</v>
      </c>
      <c r="AB361" s="481">
        <v>180.54365137919456</v>
      </c>
      <c r="AC361" s="481">
        <v>0</v>
      </c>
      <c r="AD361" s="481">
        <v>0</v>
      </c>
      <c r="AE361" s="481">
        <v>1.5597937647660114</v>
      </c>
      <c r="AF361" s="481">
        <v>0</v>
      </c>
      <c r="AG361" s="481">
        <v>44.447253697422539</v>
      </c>
      <c r="AH361" s="700">
        <f t="shared" si="28"/>
        <v>1481.5751232474179</v>
      </c>
      <c r="AI361" s="482">
        <f t="shared" si="29"/>
        <v>1526.0223769448405</v>
      </c>
      <c r="AJ361" s="482"/>
      <c r="AK361" s="482"/>
      <c r="AL361" s="585">
        <v>35.619999999999997</v>
      </c>
      <c r="AM361" s="585">
        <v>346.9533903669618</v>
      </c>
      <c r="AN361" s="581">
        <v>0</v>
      </c>
      <c r="AO361" s="581">
        <f t="shared" si="30"/>
        <v>382.5733903669618</v>
      </c>
    </row>
    <row r="362" spans="1:41" ht="16.95" customHeight="1" x14ac:dyDescent="0.3">
      <c r="A362" s="476">
        <v>150001015</v>
      </c>
      <c r="B362" s="477" t="s">
        <v>99</v>
      </c>
      <c r="C362" s="478">
        <v>213.3</v>
      </c>
      <c r="D362" s="483"/>
      <c r="E362" s="480">
        <v>133.1</v>
      </c>
      <c r="F362" s="480">
        <v>346.4</v>
      </c>
      <c r="G362" s="481">
        <v>0</v>
      </c>
      <c r="H362" s="481">
        <v>0</v>
      </c>
      <c r="I362" s="481">
        <v>42.43</v>
      </c>
      <c r="J362" s="481">
        <v>0</v>
      </c>
      <c r="K362" s="481">
        <v>0</v>
      </c>
      <c r="L362" s="481">
        <v>0</v>
      </c>
      <c r="M362" s="587">
        <f t="shared" si="26"/>
        <v>0</v>
      </c>
      <c r="N362" s="481">
        <v>0</v>
      </c>
      <c r="O362" s="481">
        <v>0</v>
      </c>
      <c r="P362" s="481">
        <v>0</v>
      </c>
      <c r="Q362" s="481">
        <v>11.837720536170622</v>
      </c>
      <c r="R362" s="587">
        <f t="shared" si="27"/>
        <v>260.25160933270354</v>
      </c>
      <c r="S362" s="481">
        <v>0</v>
      </c>
      <c r="T362" s="481">
        <v>0</v>
      </c>
      <c r="U362" s="481">
        <v>18.754314438700092</v>
      </c>
      <c r="V362" s="481">
        <v>0</v>
      </c>
      <c r="W362" s="481">
        <v>0</v>
      </c>
      <c r="X362" s="481">
        <v>0</v>
      </c>
      <c r="Y362" s="481">
        <v>0</v>
      </c>
      <c r="Z362" s="481">
        <v>27.914845879897086</v>
      </c>
      <c r="AA362" s="481">
        <v>0</v>
      </c>
      <c r="AB362" s="481">
        <v>0</v>
      </c>
      <c r="AC362" s="481">
        <v>0</v>
      </c>
      <c r="AD362" s="481">
        <v>0</v>
      </c>
      <c r="AE362" s="481">
        <v>0</v>
      </c>
      <c r="AF362" s="481">
        <v>0</v>
      </c>
      <c r="AG362" s="481">
        <v>6.5013928233744824</v>
      </c>
      <c r="AH362" s="700">
        <f t="shared" si="28"/>
        <v>361.1884901874713</v>
      </c>
      <c r="AI362" s="482">
        <f t="shared" si="29"/>
        <v>367.68988301084579</v>
      </c>
      <c r="AJ362" s="482"/>
      <c r="AK362" s="482"/>
      <c r="AL362" s="585">
        <v>24.97</v>
      </c>
      <c r="AM362" s="585">
        <v>235.28160933270351</v>
      </c>
      <c r="AN362" s="581">
        <v>0</v>
      </c>
      <c r="AO362" s="581">
        <f t="shared" si="30"/>
        <v>260.25160933270354</v>
      </c>
    </row>
    <row r="363" spans="1:41" x14ac:dyDescent="0.3">
      <c r="A363" s="476">
        <v>150001016</v>
      </c>
      <c r="B363" s="477" t="s">
        <v>261</v>
      </c>
      <c r="C363" s="478">
        <v>2162.08</v>
      </c>
      <c r="D363" s="479"/>
      <c r="E363" s="480">
        <v>1136.2</v>
      </c>
      <c r="F363" s="480">
        <v>3298.2799999999997</v>
      </c>
      <c r="G363" s="481">
        <v>504.5654276873276</v>
      </c>
      <c r="H363" s="481">
        <v>100.21000433268688</v>
      </c>
      <c r="I363" s="481">
        <v>337.95</v>
      </c>
      <c r="J363" s="481">
        <v>99.8</v>
      </c>
      <c r="K363" s="481">
        <v>0</v>
      </c>
      <c r="L363" s="481">
        <v>449.55279078575325</v>
      </c>
      <c r="M363" s="587">
        <f t="shared" si="26"/>
        <v>0</v>
      </c>
      <c r="N363" s="481">
        <v>1175.2408024446809</v>
      </c>
      <c r="O363" s="481">
        <v>0</v>
      </c>
      <c r="P363" s="481">
        <v>0</v>
      </c>
      <c r="Q363" s="481">
        <v>142.05264643404746</v>
      </c>
      <c r="R363" s="587">
        <f t="shared" si="27"/>
        <v>3330.9294511061848</v>
      </c>
      <c r="S363" s="481">
        <v>93.719553380584799</v>
      </c>
      <c r="T363" s="481">
        <v>129.15186969861264</v>
      </c>
      <c r="U363" s="481">
        <v>208.76344805397778</v>
      </c>
      <c r="V363" s="481">
        <v>117.46053908215485</v>
      </c>
      <c r="W363" s="481">
        <v>0</v>
      </c>
      <c r="X363" s="481">
        <v>60.369590590226849</v>
      </c>
      <c r="Y363" s="481">
        <v>0</v>
      </c>
      <c r="Z363" s="481">
        <v>3154.1344141267291</v>
      </c>
      <c r="AA363" s="481">
        <v>1288.5399236319088</v>
      </c>
      <c r="AB363" s="481">
        <v>1376.113625936377</v>
      </c>
      <c r="AC363" s="481">
        <v>0</v>
      </c>
      <c r="AD363" s="481">
        <v>0</v>
      </c>
      <c r="AE363" s="481">
        <v>283.88246518741403</v>
      </c>
      <c r="AF363" s="481">
        <v>0</v>
      </c>
      <c r="AG363" s="481">
        <v>308.45847725948801</v>
      </c>
      <c r="AH363" s="700">
        <f t="shared" si="28"/>
        <v>12852.436552478668</v>
      </c>
      <c r="AI363" s="482">
        <f t="shared" si="29"/>
        <v>13160.895029738156</v>
      </c>
      <c r="AJ363" s="482"/>
      <c r="AK363" s="482"/>
      <c r="AL363" s="585">
        <v>38.46</v>
      </c>
      <c r="AM363" s="585">
        <v>3292.4694511061848</v>
      </c>
      <c r="AN363" s="581">
        <v>0</v>
      </c>
      <c r="AO363" s="581">
        <f t="shared" si="30"/>
        <v>3330.9294511061848</v>
      </c>
    </row>
    <row r="364" spans="1:41" x14ac:dyDescent="0.3">
      <c r="A364" s="476">
        <v>150001018</v>
      </c>
      <c r="B364" s="477" t="s">
        <v>429</v>
      </c>
      <c r="C364" s="478">
        <v>2338.0700000000002</v>
      </c>
      <c r="D364" s="479"/>
      <c r="E364" s="480">
        <v>478</v>
      </c>
      <c r="F364" s="480">
        <v>2816.07</v>
      </c>
      <c r="G364" s="481">
        <v>534.26328092037716</v>
      </c>
      <c r="H364" s="481">
        <v>107.11460580905481</v>
      </c>
      <c r="I364" s="481">
        <v>300.07</v>
      </c>
      <c r="J364" s="481">
        <v>88.66</v>
      </c>
      <c r="K364" s="481">
        <v>0</v>
      </c>
      <c r="L364" s="481">
        <v>441.06751788519489</v>
      </c>
      <c r="M364" s="587">
        <f t="shared" si="26"/>
        <v>0</v>
      </c>
      <c r="N364" s="481">
        <v>1003.4200754758215</v>
      </c>
      <c r="O364" s="481">
        <v>0</v>
      </c>
      <c r="P364" s="481">
        <v>0</v>
      </c>
      <c r="Q364" s="481">
        <v>130.21492589787684</v>
      </c>
      <c r="R364" s="587">
        <f t="shared" si="27"/>
        <v>3017.4105584508775</v>
      </c>
      <c r="S364" s="481">
        <v>92.517364507345363</v>
      </c>
      <c r="T364" s="481">
        <v>138.07177431460613</v>
      </c>
      <c r="U364" s="481">
        <v>185.46574215753765</v>
      </c>
      <c r="V364" s="481">
        <v>106.7344708267927</v>
      </c>
      <c r="W364" s="481">
        <v>0</v>
      </c>
      <c r="X364" s="481">
        <v>59.106282508825508</v>
      </c>
      <c r="Y364" s="481">
        <v>0</v>
      </c>
      <c r="Z364" s="481">
        <v>2615.7782197663905</v>
      </c>
      <c r="AA364" s="481">
        <v>1739.7725149661712</v>
      </c>
      <c r="AB364" s="481">
        <v>1017.1994065388228</v>
      </c>
      <c r="AC364" s="481">
        <v>143.14450206938366</v>
      </c>
      <c r="AD364" s="481">
        <v>17.621955747177918</v>
      </c>
      <c r="AE364" s="481">
        <v>48.353606707746344</v>
      </c>
      <c r="AF364" s="481">
        <v>0</v>
      </c>
      <c r="AG364" s="481">
        <v>565.72736661840008</v>
      </c>
      <c r="AH364" s="700">
        <f t="shared" si="28"/>
        <v>11785.986804550001</v>
      </c>
      <c r="AI364" s="482">
        <f t="shared" si="29"/>
        <v>12351.714171168402</v>
      </c>
      <c r="AJ364" s="482"/>
      <c r="AK364" s="482"/>
      <c r="AL364" s="585">
        <v>266.64999999999998</v>
      </c>
      <c r="AM364" s="585">
        <v>2750.7605584508774</v>
      </c>
      <c r="AN364" s="581">
        <v>0</v>
      </c>
      <c r="AO364" s="581">
        <f t="shared" si="30"/>
        <v>3017.4105584508775</v>
      </c>
    </row>
    <row r="365" spans="1:41" x14ac:dyDescent="0.3">
      <c r="A365" s="476">
        <v>150001019</v>
      </c>
      <c r="B365" s="477" t="s">
        <v>419</v>
      </c>
      <c r="C365" s="478">
        <v>6921.8</v>
      </c>
      <c r="D365" s="479">
        <v>646.79999999999995</v>
      </c>
      <c r="E365" s="480"/>
      <c r="F365" s="480">
        <v>6921.8</v>
      </c>
      <c r="G365" s="481">
        <v>2106.4234563023401</v>
      </c>
      <c r="H365" s="481">
        <v>326.87187722709331</v>
      </c>
      <c r="I365" s="481">
        <v>866.77</v>
      </c>
      <c r="J365" s="481">
        <v>182.11</v>
      </c>
      <c r="K365" s="481">
        <v>104.17501397504415</v>
      </c>
      <c r="L365" s="481">
        <v>931.08177490948219</v>
      </c>
      <c r="M365" s="587">
        <f t="shared" si="26"/>
        <v>0</v>
      </c>
      <c r="N365" s="481">
        <v>2466.3708922109681</v>
      </c>
      <c r="O365" s="481">
        <v>4465.7006899091248</v>
      </c>
      <c r="P365" s="481">
        <v>0</v>
      </c>
      <c r="Q365" s="481">
        <v>465.61700775604447</v>
      </c>
      <c r="R365" s="587">
        <f t="shared" si="27"/>
        <v>8577.4155988466737</v>
      </c>
      <c r="S365" s="481">
        <v>163.94797315367498</v>
      </c>
      <c r="T365" s="481">
        <v>195.03699058916126</v>
      </c>
      <c r="U365" s="481">
        <v>211.49130751604164</v>
      </c>
      <c r="V365" s="481">
        <v>89.986764075334577</v>
      </c>
      <c r="W365" s="481">
        <v>52.842011746104383</v>
      </c>
      <c r="X365" s="481">
        <v>110.03914908802879</v>
      </c>
      <c r="Y365" s="481">
        <v>59.172188112108344</v>
      </c>
      <c r="Z365" s="481">
        <v>7733.9053351259518</v>
      </c>
      <c r="AA365" s="481">
        <v>5736.37891265282</v>
      </c>
      <c r="AB365" s="481">
        <v>1406.5896565663672</v>
      </c>
      <c r="AC365" s="481">
        <v>131.13409008068538</v>
      </c>
      <c r="AD365" s="481">
        <v>16.143401240993466</v>
      </c>
      <c r="AE365" s="481">
        <v>1021.6649159217372</v>
      </c>
      <c r="AF365" s="481">
        <v>1530.1576832354569</v>
      </c>
      <c r="AG365" s="481">
        <v>1168.5308007072369</v>
      </c>
      <c r="AH365" s="700">
        <f t="shared" si="28"/>
        <v>38951.026690241219</v>
      </c>
      <c r="AI365" s="482">
        <f t="shared" si="29"/>
        <v>40119.557490948457</v>
      </c>
      <c r="AJ365" s="482"/>
      <c r="AK365" s="482"/>
      <c r="AL365" s="585">
        <v>88.24</v>
      </c>
      <c r="AM365" s="585">
        <v>8489.1755988466739</v>
      </c>
      <c r="AN365" s="581">
        <v>0</v>
      </c>
      <c r="AO365" s="581">
        <f t="shared" si="30"/>
        <v>8577.4155988466737</v>
      </c>
    </row>
    <row r="366" spans="1:41" x14ac:dyDescent="0.3">
      <c r="A366" s="476">
        <v>150001020</v>
      </c>
      <c r="B366" s="477" t="s">
        <v>100</v>
      </c>
      <c r="C366" s="478">
        <v>320.5</v>
      </c>
      <c r="D366" s="483"/>
      <c r="E366" s="480"/>
      <c r="F366" s="480">
        <v>320.5</v>
      </c>
      <c r="G366" s="481">
        <v>0</v>
      </c>
      <c r="H366" s="481">
        <v>0</v>
      </c>
      <c r="I366" s="481">
        <v>0</v>
      </c>
      <c r="J366" s="481">
        <v>0</v>
      </c>
      <c r="K366" s="481">
        <v>0</v>
      </c>
      <c r="L366" s="481">
        <v>0</v>
      </c>
      <c r="M366" s="587">
        <f t="shared" si="26"/>
        <v>0</v>
      </c>
      <c r="N366" s="481">
        <v>0</v>
      </c>
      <c r="O366" s="481">
        <v>0</v>
      </c>
      <c r="P366" s="481">
        <v>0</v>
      </c>
      <c r="Q366" s="481">
        <v>47.350882144682487</v>
      </c>
      <c r="R366" s="587">
        <f t="shared" si="27"/>
        <v>301.11849762664616</v>
      </c>
      <c r="S366" s="481">
        <v>0</v>
      </c>
      <c r="T366" s="481">
        <v>0</v>
      </c>
      <c r="U366" s="481">
        <v>0</v>
      </c>
      <c r="V366" s="481">
        <v>0</v>
      </c>
      <c r="W366" s="481">
        <v>0</v>
      </c>
      <c r="X366" s="481">
        <v>0</v>
      </c>
      <c r="Y366" s="481">
        <v>0</v>
      </c>
      <c r="Z366" s="481">
        <v>67.793197136892928</v>
      </c>
      <c r="AA366" s="481">
        <v>0</v>
      </c>
      <c r="AB366" s="481">
        <v>0</v>
      </c>
      <c r="AC366" s="481">
        <v>0</v>
      </c>
      <c r="AD366" s="481">
        <v>0</v>
      </c>
      <c r="AE366" s="481">
        <v>0</v>
      </c>
      <c r="AF366" s="481">
        <v>0</v>
      </c>
      <c r="AG366" s="481">
        <v>7.4927263843479883</v>
      </c>
      <c r="AH366" s="700">
        <f t="shared" si="28"/>
        <v>416.2625769082216</v>
      </c>
      <c r="AI366" s="482">
        <f t="shared" si="29"/>
        <v>423.75530329256958</v>
      </c>
      <c r="AJ366" s="482"/>
      <c r="AK366" s="482"/>
      <c r="AL366" s="585">
        <v>32.82</v>
      </c>
      <c r="AM366" s="585">
        <v>268.29849762664617</v>
      </c>
      <c r="AN366" s="581">
        <v>0</v>
      </c>
      <c r="AO366" s="581">
        <f t="shared" si="30"/>
        <v>301.11849762664616</v>
      </c>
    </row>
    <row r="367" spans="1:41" x14ac:dyDescent="0.3">
      <c r="A367" s="476">
        <v>150001021</v>
      </c>
      <c r="B367" s="477" t="s">
        <v>363</v>
      </c>
      <c r="C367" s="478">
        <v>11582.12</v>
      </c>
      <c r="D367" s="479">
        <v>1227.6300000000001</v>
      </c>
      <c r="E367" s="480"/>
      <c r="F367" s="480">
        <v>11582.12</v>
      </c>
      <c r="G367" s="481">
        <v>2476.7774336665648</v>
      </c>
      <c r="H367" s="481">
        <v>698.00452828854236</v>
      </c>
      <c r="I367" s="481">
        <v>1448.61</v>
      </c>
      <c r="J367" s="481">
        <v>315.47000000000003</v>
      </c>
      <c r="K367" s="481">
        <v>288.12093011878341</v>
      </c>
      <c r="L367" s="481">
        <v>1891.135659585862</v>
      </c>
      <c r="M367" s="587">
        <f t="shared" si="26"/>
        <v>0</v>
      </c>
      <c r="N367" s="481">
        <v>4126.9328264460837</v>
      </c>
      <c r="O367" s="481">
        <v>10352.663175504971</v>
      </c>
      <c r="P367" s="481">
        <v>526.14071962364369</v>
      </c>
      <c r="Q367" s="481">
        <v>844.42406491350437</v>
      </c>
      <c r="R367" s="587">
        <f t="shared" si="27"/>
        <v>17572.334047805973</v>
      </c>
      <c r="S367" s="481">
        <v>81.702297626668241</v>
      </c>
      <c r="T367" s="481">
        <v>168.4165808621197</v>
      </c>
      <c r="U367" s="481">
        <v>122.36267525666695</v>
      </c>
      <c r="V367" s="481">
        <v>51.513342319762067</v>
      </c>
      <c r="W367" s="481">
        <v>58.46452679686373</v>
      </c>
      <c r="X367" s="481">
        <v>83.306949881271066</v>
      </c>
      <c r="Y367" s="481">
        <v>93.746869895318611</v>
      </c>
      <c r="Z367" s="481">
        <v>12041.437088212679</v>
      </c>
      <c r="AA367" s="481">
        <v>7396.1468328990177</v>
      </c>
      <c r="AB367" s="481">
        <v>1298.3904522151083</v>
      </c>
      <c r="AC367" s="481">
        <v>143.38961251813259</v>
      </c>
      <c r="AD367" s="481">
        <v>17.652130328936781</v>
      </c>
      <c r="AE367" s="481">
        <v>647.31441237789454</v>
      </c>
      <c r="AF367" s="481">
        <v>2320.9731219718242</v>
      </c>
      <c r="AG367" s="481">
        <v>1171.1777450240913</v>
      </c>
      <c r="AH367" s="700">
        <f t="shared" si="28"/>
        <v>65065.430279116161</v>
      </c>
      <c r="AI367" s="482">
        <f t="shared" si="29"/>
        <v>66236.608024140252</v>
      </c>
      <c r="AJ367" s="482"/>
      <c r="AK367" s="482"/>
      <c r="AL367" s="585">
        <v>169.89</v>
      </c>
      <c r="AM367" s="585">
        <v>17402.444047805973</v>
      </c>
      <c r="AN367" s="581">
        <v>0</v>
      </c>
      <c r="AO367" s="581">
        <f t="shared" si="30"/>
        <v>17572.334047805973</v>
      </c>
    </row>
    <row r="368" spans="1:41" x14ac:dyDescent="0.3">
      <c r="A368" s="476">
        <v>150001022</v>
      </c>
      <c r="B368" s="477" t="s">
        <v>364</v>
      </c>
      <c r="C368" s="478">
        <v>3771.47</v>
      </c>
      <c r="D368" s="479">
        <v>405</v>
      </c>
      <c r="E368" s="480"/>
      <c r="F368" s="480">
        <v>3771.47</v>
      </c>
      <c r="G368" s="481">
        <v>826.3423912322296</v>
      </c>
      <c r="H368" s="481">
        <v>187.45364398787959</v>
      </c>
      <c r="I368" s="481">
        <v>447.11</v>
      </c>
      <c r="J368" s="481">
        <v>95.28</v>
      </c>
      <c r="K368" s="481">
        <v>60.567694237804837</v>
      </c>
      <c r="L368" s="481">
        <v>560.8858663902605</v>
      </c>
      <c r="M368" s="587">
        <f t="shared" si="26"/>
        <v>0</v>
      </c>
      <c r="N368" s="481">
        <v>1343.8475293777485</v>
      </c>
      <c r="O368" s="481">
        <v>3069.8746739721232</v>
      </c>
      <c r="P368" s="481">
        <v>263.07035981182185</v>
      </c>
      <c r="Q368" s="481">
        <v>284.10529286809492</v>
      </c>
      <c r="R368" s="587">
        <f t="shared" si="27"/>
        <v>5705.7323330689933</v>
      </c>
      <c r="S368" s="481">
        <v>68.997779864900011</v>
      </c>
      <c r="T368" s="481">
        <v>110.42533255977038</v>
      </c>
      <c r="U368" s="481">
        <v>88.743493553325834</v>
      </c>
      <c r="V368" s="481">
        <v>43.578689750987849</v>
      </c>
      <c r="W368" s="481">
        <v>30.729175612901876</v>
      </c>
      <c r="X368" s="481">
        <v>64.394984903218102</v>
      </c>
      <c r="Y368" s="481">
        <v>32.574408953449151</v>
      </c>
      <c r="Z368" s="481">
        <v>4467.4187217859117</v>
      </c>
      <c r="AA368" s="481">
        <v>2266.9531092915577</v>
      </c>
      <c r="AB368" s="481">
        <v>711.95076463128441</v>
      </c>
      <c r="AC368" s="481">
        <v>78.435343599662289</v>
      </c>
      <c r="AD368" s="481">
        <v>9.6558661628372136</v>
      </c>
      <c r="AE368" s="481">
        <v>698.78760661517299</v>
      </c>
      <c r="AF368" s="481">
        <v>761.17935720581352</v>
      </c>
      <c r="AG368" s="481">
        <v>401.00569954987947</v>
      </c>
      <c r="AH368" s="700">
        <f t="shared" si="28"/>
        <v>22278.094419437748</v>
      </c>
      <c r="AI368" s="482">
        <f t="shared" si="29"/>
        <v>22679.100118987626</v>
      </c>
      <c r="AJ368" s="482"/>
      <c r="AK368" s="482"/>
      <c r="AL368" s="585">
        <v>65.67</v>
      </c>
      <c r="AM368" s="585">
        <v>5640.0623330689932</v>
      </c>
      <c r="AN368" s="581">
        <v>0</v>
      </c>
      <c r="AO368" s="581">
        <f t="shared" si="30"/>
        <v>5705.7323330689933</v>
      </c>
    </row>
    <row r="369" spans="1:41" x14ac:dyDescent="0.3">
      <c r="A369" s="476">
        <v>150001023</v>
      </c>
      <c r="B369" s="477" t="s">
        <v>365</v>
      </c>
      <c r="C369" s="478">
        <v>3767.85</v>
      </c>
      <c r="D369" s="479">
        <v>406.43</v>
      </c>
      <c r="E369" s="480"/>
      <c r="F369" s="480">
        <v>3767.85</v>
      </c>
      <c r="G369" s="481">
        <v>826.29307440076957</v>
      </c>
      <c r="H369" s="481">
        <v>187.45364398787959</v>
      </c>
      <c r="I369" s="481">
        <v>399.18</v>
      </c>
      <c r="J369" s="481">
        <v>98.13</v>
      </c>
      <c r="K369" s="481">
        <v>60.567694237804837</v>
      </c>
      <c r="L369" s="481">
        <v>608.17549635905129</v>
      </c>
      <c r="M369" s="587">
        <f t="shared" si="26"/>
        <v>0</v>
      </c>
      <c r="N369" s="481">
        <v>1342.5576535318987</v>
      </c>
      <c r="O369" s="481">
        <v>2482.0329695679497</v>
      </c>
      <c r="P369" s="481">
        <v>0</v>
      </c>
      <c r="Q369" s="481">
        <v>284.10529286809492</v>
      </c>
      <c r="R369" s="587">
        <f t="shared" si="27"/>
        <v>5180.9921965202411</v>
      </c>
      <c r="S369" s="481">
        <v>68.997779864900011</v>
      </c>
      <c r="T369" s="481">
        <v>110.42533255977038</v>
      </c>
      <c r="U369" s="481">
        <v>158.61793776766015</v>
      </c>
      <c r="V369" s="481">
        <v>54.959248014381146</v>
      </c>
      <c r="W369" s="481">
        <v>30.729175612901876</v>
      </c>
      <c r="X369" s="481">
        <v>66.940239710160171</v>
      </c>
      <c r="Y369" s="481">
        <v>31.574272538568618</v>
      </c>
      <c r="Z369" s="481">
        <v>4049.4209469028065</v>
      </c>
      <c r="AA369" s="481">
        <v>3106.8536237665407</v>
      </c>
      <c r="AB369" s="481">
        <v>627.55538523730206</v>
      </c>
      <c r="AC369" s="481">
        <v>78.435343599662289</v>
      </c>
      <c r="AD369" s="481">
        <v>9.6558661628372136</v>
      </c>
      <c r="AE369" s="481">
        <v>603.64018696444634</v>
      </c>
      <c r="AF369" s="481">
        <v>745.58141955815336</v>
      </c>
      <c r="AG369" s="481">
        <v>381.83174603520797</v>
      </c>
      <c r="AH369" s="700">
        <f t="shared" si="28"/>
        <v>21212.874779733778</v>
      </c>
      <c r="AI369" s="482">
        <f t="shared" si="29"/>
        <v>21594.706525768986</v>
      </c>
      <c r="AJ369" s="482"/>
      <c r="AK369" s="482"/>
      <c r="AL369" s="585">
        <v>65.67</v>
      </c>
      <c r="AM369" s="585">
        <v>5115.3221965202411</v>
      </c>
      <c r="AN369" s="581">
        <v>0</v>
      </c>
      <c r="AO369" s="581">
        <f t="shared" si="30"/>
        <v>5180.9921965202411</v>
      </c>
    </row>
    <row r="370" spans="1:41" x14ac:dyDescent="0.3">
      <c r="A370" s="476">
        <v>150001024</v>
      </c>
      <c r="B370" s="477" t="s">
        <v>366</v>
      </c>
      <c r="C370" s="478">
        <v>4227.22</v>
      </c>
      <c r="D370" s="479">
        <v>344.66</v>
      </c>
      <c r="E370" s="480">
        <v>66.099999999999994</v>
      </c>
      <c r="F370" s="480">
        <v>4293.3200000000006</v>
      </c>
      <c r="G370" s="481">
        <v>1306.4196029160755</v>
      </c>
      <c r="H370" s="481">
        <v>203.77628984143419</v>
      </c>
      <c r="I370" s="481">
        <v>505.24</v>
      </c>
      <c r="J370" s="481">
        <v>116.72</v>
      </c>
      <c r="K370" s="481">
        <v>65.004820328168279</v>
      </c>
      <c r="L370" s="481">
        <v>563.80582999548301</v>
      </c>
      <c r="M370" s="587">
        <f t="shared" si="26"/>
        <v>0</v>
      </c>
      <c r="N370" s="481">
        <v>1529.7927531779587</v>
      </c>
      <c r="O370" s="481">
        <v>3456.5475482576176</v>
      </c>
      <c r="P370" s="481">
        <v>0</v>
      </c>
      <c r="Q370" s="481">
        <v>276.21347917731453</v>
      </c>
      <c r="R370" s="587">
        <f t="shared" si="27"/>
        <v>5523.0031082397245</v>
      </c>
      <c r="S370" s="481">
        <v>103.38992989367803</v>
      </c>
      <c r="T370" s="481">
        <v>124.86297817174597</v>
      </c>
      <c r="U370" s="481">
        <v>130.82600233785629</v>
      </c>
      <c r="V370" s="481">
        <v>68.092279580378744</v>
      </c>
      <c r="W370" s="481">
        <v>32.980617657691397</v>
      </c>
      <c r="X370" s="481">
        <v>63.645007559589921</v>
      </c>
      <c r="Y370" s="481">
        <v>31.907651343528812</v>
      </c>
      <c r="Z370" s="481">
        <v>5003.9523952147647</v>
      </c>
      <c r="AA370" s="481">
        <v>3461.1170306624749</v>
      </c>
      <c r="AB370" s="481">
        <v>865.59363481007222</v>
      </c>
      <c r="AC370" s="481">
        <v>58.826507699746713</v>
      </c>
      <c r="AD370" s="481">
        <v>7.2418996221279102</v>
      </c>
      <c r="AE370" s="481">
        <v>1197.9216113402965</v>
      </c>
      <c r="AF370" s="481">
        <v>857.8865706213063</v>
      </c>
      <c r="AG370" s="481">
        <v>459.98581587208253</v>
      </c>
      <c r="AH370" s="700">
        <f t="shared" si="28"/>
        <v>25554.767548449036</v>
      </c>
      <c r="AI370" s="482">
        <f t="shared" si="29"/>
        <v>26014.753364321117</v>
      </c>
      <c r="AJ370" s="482"/>
      <c r="AK370" s="482"/>
      <c r="AL370" s="585">
        <v>42.22</v>
      </c>
      <c r="AM370" s="585">
        <v>5480.7831082397242</v>
      </c>
      <c r="AN370" s="581">
        <v>0</v>
      </c>
      <c r="AO370" s="581">
        <f t="shared" si="30"/>
        <v>5523.0031082397245</v>
      </c>
    </row>
    <row r="371" spans="1:41" x14ac:dyDescent="0.3">
      <c r="A371" s="476">
        <v>150001025</v>
      </c>
      <c r="B371" s="477" t="s">
        <v>420</v>
      </c>
      <c r="C371" s="478">
        <v>5062.2</v>
      </c>
      <c r="D371" s="479">
        <v>311.8</v>
      </c>
      <c r="E371" s="480">
        <v>203.2</v>
      </c>
      <c r="F371" s="480">
        <v>5265.4</v>
      </c>
      <c r="G371" s="481">
        <v>1552.5021385919979</v>
      </c>
      <c r="H371" s="481">
        <v>257.82900755343513</v>
      </c>
      <c r="I371" s="481">
        <v>646.54</v>
      </c>
      <c r="J371" s="481">
        <v>132.49</v>
      </c>
      <c r="K371" s="481">
        <v>69.441905573206768</v>
      </c>
      <c r="L371" s="481">
        <v>593.03205671170531</v>
      </c>
      <c r="M371" s="587">
        <f t="shared" si="26"/>
        <v>0</v>
      </c>
      <c r="N371" s="481">
        <v>1876.1636129110391</v>
      </c>
      <c r="O371" s="481">
        <v>3553.2101961369735</v>
      </c>
      <c r="P371" s="481">
        <v>0</v>
      </c>
      <c r="Q371" s="481">
        <v>303.83482709504597</v>
      </c>
      <c r="R371" s="587">
        <f t="shared" si="27"/>
        <v>6492.2123728099787</v>
      </c>
      <c r="S371" s="481">
        <v>126.89779672068497</v>
      </c>
      <c r="T371" s="481">
        <v>149.92959122555783</v>
      </c>
      <c r="U371" s="481">
        <v>157.0999671378014</v>
      </c>
      <c r="V371" s="481">
        <v>74.54946966441409</v>
      </c>
      <c r="W371" s="481">
        <v>35.232039279818451</v>
      </c>
      <c r="X371" s="481">
        <v>69.56789107816337</v>
      </c>
      <c r="Y371" s="481">
        <v>40.438761775753619</v>
      </c>
      <c r="Z371" s="481">
        <v>6466.4109882044149</v>
      </c>
      <c r="AA371" s="481">
        <v>3794.0228978935816</v>
      </c>
      <c r="AB371" s="481">
        <v>649.19522610755416</v>
      </c>
      <c r="AC371" s="481">
        <v>49.022089749788933</v>
      </c>
      <c r="AD371" s="481">
        <v>6.0349163517732585</v>
      </c>
      <c r="AE371" s="481">
        <v>1001.387596979779</v>
      </c>
      <c r="AF371" s="481">
        <v>845.40822050317809</v>
      </c>
      <c r="AG371" s="481">
        <v>868.27360710166943</v>
      </c>
      <c r="AH371" s="700">
        <f t="shared" si="28"/>
        <v>28942.453570055644</v>
      </c>
      <c r="AI371" s="482">
        <f t="shared" si="29"/>
        <v>29810.727177157314</v>
      </c>
      <c r="AJ371" s="482"/>
      <c r="AK371" s="482"/>
      <c r="AL371" s="585">
        <v>42.22</v>
      </c>
      <c r="AM371" s="585">
        <v>6449.9923728099784</v>
      </c>
      <c r="AN371" s="581">
        <v>0</v>
      </c>
      <c r="AO371" s="581">
        <f t="shared" si="30"/>
        <v>6492.2123728099787</v>
      </c>
    </row>
    <row r="372" spans="1:41" x14ac:dyDescent="0.3">
      <c r="A372" s="476">
        <v>150001026</v>
      </c>
      <c r="B372" s="477" t="s">
        <v>334</v>
      </c>
      <c r="C372" s="478">
        <v>7052.84</v>
      </c>
      <c r="D372" s="479">
        <v>879.7</v>
      </c>
      <c r="E372" s="480"/>
      <c r="F372" s="480">
        <v>7052.84</v>
      </c>
      <c r="G372" s="481">
        <v>964.2507453376794</v>
      </c>
      <c r="H372" s="481">
        <v>321.93529264208638</v>
      </c>
      <c r="I372" s="481">
        <v>841.78</v>
      </c>
      <c r="J372" s="481">
        <v>190.73</v>
      </c>
      <c r="K372" s="481">
        <v>187.6434939888255</v>
      </c>
      <c r="L372" s="481">
        <v>1524.0279697011781</v>
      </c>
      <c r="M372" s="587">
        <f t="shared" si="26"/>
        <v>0</v>
      </c>
      <c r="N372" s="481">
        <v>2513.0629725535559</v>
      </c>
      <c r="O372" s="481">
        <v>5225.3425361182399</v>
      </c>
      <c r="P372" s="481">
        <v>526.14071962364369</v>
      </c>
      <c r="Q372" s="481">
        <v>505.07607620994651</v>
      </c>
      <c r="R372" s="587">
        <f t="shared" si="27"/>
        <v>11745.329050307673</v>
      </c>
      <c r="S372" s="481">
        <v>47.21689152156668</v>
      </c>
      <c r="T372" s="481">
        <v>82.347825803229483</v>
      </c>
      <c r="U372" s="481">
        <v>42.761284576601994</v>
      </c>
      <c r="V372" s="481">
        <v>38.584495751337634</v>
      </c>
      <c r="W372" s="481">
        <v>57.116084523971821</v>
      </c>
      <c r="X372" s="481">
        <v>58.909523780059018</v>
      </c>
      <c r="Y372" s="481">
        <v>93.216145822728791</v>
      </c>
      <c r="Z372" s="481">
        <v>8628.5653145563083</v>
      </c>
      <c r="AA372" s="481">
        <v>4322.6428033917409</v>
      </c>
      <c r="AB372" s="481">
        <v>1038.7123617720865</v>
      </c>
      <c r="AC372" s="481">
        <v>248.4194398070554</v>
      </c>
      <c r="AD372" s="481">
        <v>30.581938612610987</v>
      </c>
      <c r="AE372" s="481">
        <v>2140.0370452589677</v>
      </c>
      <c r="AF372" s="481">
        <v>2171.2329205542874</v>
      </c>
      <c r="AG372" s="481">
        <v>783.82193277987687</v>
      </c>
      <c r="AH372" s="700">
        <f t="shared" si="28"/>
        <v>43545.662932215375</v>
      </c>
      <c r="AI372" s="482">
        <f t="shared" si="29"/>
        <v>44329.484864995255</v>
      </c>
      <c r="AJ372" s="482"/>
      <c r="AK372" s="482"/>
      <c r="AL372" s="585">
        <v>71.59</v>
      </c>
      <c r="AM372" s="585">
        <v>11673.739050307673</v>
      </c>
      <c r="AN372" s="581">
        <v>0</v>
      </c>
      <c r="AO372" s="581">
        <f t="shared" si="30"/>
        <v>11745.329050307673</v>
      </c>
    </row>
    <row r="373" spans="1:41" x14ac:dyDescent="0.3">
      <c r="A373" s="476">
        <v>150001027</v>
      </c>
      <c r="B373" s="477" t="s">
        <v>367</v>
      </c>
      <c r="C373" s="478">
        <v>10260.299999999999</v>
      </c>
      <c r="D373" s="479">
        <v>1160.45</v>
      </c>
      <c r="E373" s="480">
        <v>121.25</v>
      </c>
      <c r="F373" s="480">
        <v>10381.549999999999</v>
      </c>
      <c r="G373" s="481">
        <v>2229.8084904229413</v>
      </c>
      <c r="H373" s="481">
        <v>367.92289079339582</v>
      </c>
      <c r="I373" s="481">
        <v>1294.1400000000001</v>
      </c>
      <c r="J373" s="481">
        <v>289.24</v>
      </c>
      <c r="K373" s="481">
        <v>384.16119931305292</v>
      </c>
      <c r="L373" s="481">
        <v>2067.396230407056</v>
      </c>
      <c r="M373" s="587">
        <f t="shared" si="26"/>
        <v>0</v>
      </c>
      <c r="N373" s="481">
        <v>3699.1465711278533</v>
      </c>
      <c r="O373" s="481">
        <v>7561.6907680570439</v>
      </c>
      <c r="P373" s="481">
        <v>0</v>
      </c>
      <c r="Q373" s="481">
        <v>631.34509526243312</v>
      </c>
      <c r="R373" s="587">
        <f t="shared" si="27"/>
        <v>15947.251458710629</v>
      </c>
      <c r="S373" s="481">
        <v>109.4183269750051</v>
      </c>
      <c r="T373" s="481">
        <v>146.85492339344199</v>
      </c>
      <c r="U373" s="481">
        <v>182.34618775929607</v>
      </c>
      <c r="V373" s="481">
        <v>100.15541108844116</v>
      </c>
      <c r="W373" s="481">
        <v>116.92661838614831</v>
      </c>
      <c r="X373" s="481">
        <v>139.36113317451768</v>
      </c>
      <c r="Y373" s="481">
        <v>63.506112576590589</v>
      </c>
      <c r="Z373" s="481">
        <v>9989.2028452581362</v>
      </c>
      <c r="AA373" s="481">
        <v>7065.9115504304746</v>
      </c>
      <c r="AB373" s="481">
        <v>1731.1872696201444</v>
      </c>
      <c r="AC373" s="481">
        <v>182.31315177946502</v>
      </c>
      <c r="AD373" s="481">
        <v>22.443853912244748</v>
      </c>
      <c r="AE373" s="481">
        <v>2551.8225991571944</v>
      </c>
      <c r="AF373" s="481">
        <v>1447.4886137028584</v>
      </c>
      <c r="AG373" s="481">
        <v>1749.6312390392509</v>
      </c>
      <c r="AH373" s="700">
        <f t="shared" si="28"/>
        <v>58321.04130130836</v>
      </c>
      <c r="AI373" s="482">
        <f t="shared" si="29"/>
        <v>60070.672540347608</v>
      </c>
      <c r="AJ373" s="482"/>
      <c r="AK373" s="482"/>
      <c r="AL373" s="585">
        <v>125.82</v>
      </c>
      <c r="AM373" s="585">
        <v>15821.431458710629</v>
      </c>
      <c r="AN373" s="581">
        <v>0</v>
      </c>
      <c r="AO373" s="581">
        <f t="shared" si="30"/>
        <v>15947.251458710629</v>
      </c>
    </row>
    <row r="374" spans="1:41" x14ac:dyDescent="0.3">
      <c r="A374" s="476">
        <v>150001028</v>
      </c>
      <c r="B374" s="477" t="s">
        <v>101</v>
      </c>
      <c r="C374" s="478">
        <v>110.7</v>
      </c>
      <c r="D374" s="483"/>
      <c r="E374" s="480"/>
      <c r="F374" s="480">
        <v>110.7</v>
      </c>
      <c r="G374" s="481">
        <v>0</v>
      </c>
      <c r="H374" s="481">
        <v>0</v>
      </c>
      <c r="I374" s="481">
        <v>0</v>
      </c>
      <c r="J374" s="481">
        <v>0</v>
      </c>
      <c r="K374" s="481">
        <v>0</v>
      </c>
      <c r="L374" s="481">
        <v>0</v>
      </c>
      <c r="M374" s="587">
        <f t="shared" si="26"/>
        <v>0</v>
      </c>
      <c r="N374" s="481">
        <v>0</v>
      </c>
      <c r="O374" s="481">
        <v>0</v>
      </c>
      <c r="P374" s="481">
        <v>0</v>
      </c>
      <c r="Q374" s="481">
        <v>19.729534226951035</v>
      </c>
      <c r="R374" s="587">
        <f t="shared" si="27"/>
        <v>176.13265243059743</v>
      </c>
      <c r="S374" s="481">
        <v>0</v>
      </c>
      <c r="T374" s="481">
        <v>0</v>
      </c>
      <c r="U374" s="481">
        <v>0</v>
      </c>
      <c r="V374" s="481">
        <v>0</v>
      </c>
      <c r="W374" s="481">
        <v>0</v>
      </c>
      <c r="X374" s="481">
        <v>0</v>
      </c>
      <c r="Y374" s="481">
        <v>0</v>
      </c>
      <c r="Z374" s="481">
        <v>17.945258065648133</v>
      </c>
      <c r="AA374" s="481">
        <v>0</v>
      </c>
      <c r="AB374" s="481">
        <v>0</v>
      </c>
      <c r="AC374" s="481">
        <v>0</v>
      </c>
      <c r="AD374" s="481">
        <v>0</v>
      </c>
      <c r="AE374" s="481">
        <v>0</v>
      </c>
      <c r="AF374" s="481">
        <v>0</v>
      </c>
      <c r="AG374" s="481">
        <v>1.2828446683391794</v>
      </c>
      <c r="AH374" s="700">
        <f t="shared" si="28"/>
        <v>213.80744472319662</v>
      </c>
      <c r="AI374" s="482">
        <f t="shared" si="29"/>
        <v>215.0902893915358</v>
      </c>
      <c r="AJ374" s="482"/>
      <c r="AK374" s="482"/>
      <c r="AL374" s="585">
        <v>33.11</v>
      </c>
      <c r="AM374" s="585">
        <v>143.02265243059742</v>
      </c>
      <c r="AN374" s="581">
        <v>0</v>
      </c>
      <c r="AO374" s="581">
        <f t="shared" si="30"/>
        <v>176.13265243059743</v>
      </c>
    </row>
    <row r="375" spans="1:41" x14ac:dyDescent="0.3">
      <c r="A375" s="476">
        <v>150001029</v>
      </c>
      <c r="B375" s="477" t="s">
        <v>368</v>
      </c>
      <c r="C375" s="478">
        <v>7425.1</v>
      </c>
      <c r="D375" s="479">
        <v>926.05</v>
      </c>
      <c r="E375" s="480"/>
      <c r="F375" s="480">
        <v>7425.1</v>
      </c>
      <c r="G375" s="481">
        <v>1718.8010635376636</v>
      </c>
      <c r="H375" s="481">
        <v>293.92414927923141</v>
      </c>
      <c r="I375" s="481">
        <v>1047.6600000000001</v>
      </c>
      <c r="J375" s="481">
        <v>195.22</v>
      </c>
      <c r="K375" s="481">
        <v>288.12093011878341</v>
      </c>
      <c r="L375" s="481">
        <v>1301.3312582820906</v>
      </c>
      <c r="M375" s="587">
        <f t="shared" si="26"/>
        <v>0</v>
      </c>
      <c r="N375" s="481">
        <v>2645.7063930994336</v>
      </c>
      <c r="O375" s="481">
        <v>5913.7686555817536</v>
      </c>
      <c r="P375" s="481">
        <v>0</v>
      </c>
      <c r="Q375" s="481">
        <v>473.50882144682487</v>
      </c>
      <c r="R375" s="587">
        <f t="shared" si="27"/>
        <v>10827.785478978927</v>
      </c>
      <c r="S375" s="481">
        <v>142.80295141594192</v>
      </c>
      <c r="T375" s="481">
        <v>195.16163375359278</v>
      </c>
      <c r="U375" s="481">
        <v>228.89769564199534</v>
      </c>
      <c r="V375" s="481">
        <v>95.322312002960345</v>
      </c>
      <c r="W375" s="481">
        <v>146.1613169921593</v>
      </c>
      <c r="X375" s="481">
        <v>115.71405087706115</v>
      </c>
      <c r="Y375" s="481">
        <v>71.510810383329883</v>
      </c>
      <c r="Z375" s="481">
        <v>9124.5148879977369</v>
      </c>
      <c r="AA375" s="481">
        <v>3622.0794671076778</v>
      </c>
      <c r="AB375" s="481">
        <v>3245.976130537771</v>
      </c>
      <c r="AC375" s="481">
        <v>183.93088074120806</v>
      </c>
      <c r="AD375" s="481">
        <v>22.643006151853267</v>
      </c>
      <c r="AE375" s="481">
        <v>2164.9937454952233</v>
      </c>
      <c r="AF375" s="481">
        <v>889.08244591662651</v>
      </c>
      <c r="AG375" s="481">
        <v>1348.6385425601954</v>
      </c>
      <c r="AH375" s="700">
        <f t="shared" si="28"/>
        <v>44954.618085339847</v>
      </c>
      <c r="AI375" s="482">
        <f t="shared" si="29"/>
        <v>46303.256627900046</v>
      </c>
      <c r="AJ375" s="482"/>
      <c r="AK375" s="482"/>
      <c r="AL375" s="585">
        <v>75.709999999999994</v>
      </c>
      <c r="AM375" s="585">
        <v>10752.075478978928</v>
      </c>
      <c r="AN375" s="581">
        <v>0</v>
      </c>
      <c r="AO375" s="581">
        <f t="shared" si="30"/>
        <v>10827.785478978927</v>
      </c>
    </row>
    <row r="376" spans="1:41" x14ac:dyDescent="0.3">
      <c r="A376" s="476">
        <v>150001030</v>
      </c>
      <c r="B376" s="477" t="s">
        <v>335</v>
      </c>
      <c r="C376" s="478">
        <v>6125.75</v>
      </c>
      <c r="D376" s="479">
        <v>715.15</v>
      </c>
      <c r="E376" s="480"/>
      <c r="F376" s="480">
        <v>6125.75</v>
      </c>
      <c r="G376" s="481">
        <v>842.28315136509104</v>
      </c>
      <c r="H376" s="481">
        <v>234.89271892795449</v>
      </c>
      <c r="I376" s="481">
        <v>792.82</v>
      </c>
      <c r="J376" s="481">
        <v>161.53</v>
      </c>
      <c r="K376" s="481">
        <v>90.863676549278793</v>
      </c>
      <c r="L376" s="481">
        <v>1069.559868681773</v>
      </c>
      <c r="M376" s="587">
        <f t="shared" si="26"/>
        <v>0</v>
      </c>
      <c r="N376" s="481">
        <v>2182.7229178770463</v>
      </c>
      <c r="O376" s="481">
        <v>6190.0415554739157</v>
      </c>
      <c r="P376" s="481">
        <v>0</v>
      </c>
      <c r="Q376" s="481">
        <v>402.48249822980114</v>
      </c>
      <c r="R376" s="587">
        <f t="shared" si="27"/>
        <v>9635.0386952012195</v>
      </c>
      <c r="S376" s="481">
        <v>43.221517890003916</v>
      </c>
      <c r="T376" s="481">
        <v>60.071093490370153</v>
      </c>
      <c r="U376" s="481">
        <v>39.009150506212009</v>
      </c>
      <c r="V376" s="481">
        <v>32.007763596526217</v>
      </c>
      <c r="W376" s="481">
        <v>27.659892482584404</v>
      </c>
      <c r="X376" s="481">
        <v>39.322345015722981</v>
      </c>
      <c r="Y376" s="481">
        <v>92.218165131400369</v>
      </c>
      <c r="Z376" s="481">
        <v>7164.2032924112091</v>
      </c>
      <c r="AA376" s="481">
        <v>3171.3413129758592</v>
      </c>
      <c r="AB376" s="481">
        <v>1084.1560275996153</v>
      </c>
      <c r="AC376" s="481">
        <v>205.89277694911351</v>
      </c>
      <c r="AD376" s="481">
        <v>25.346648677447686</v>
      </c>
      <c r="AE376" s="481">
        <v>987.3494530968851</v>
      </c>
      <c r="AF376" s="481">
        <v>917.15873368241455</v>
      </c>
      <c r="AG376" s="481">
        <v>638.84147860460598</v>
      </c>
      <c r="AH376" s="700">
        <f t="shared" si="28"/>
        <v>35491.193255811442</v>
      </c>
      <c r="AI376" s="482">
        <f t="shared" si="29"/>
        <v>36130.034734416047</v>
      </c>
      <c r="AJ376" s="482"/>
      <c r="AK376" s="482"/>
      <c r="AL376" s="585">
        <v>75.709999999999994</v>
      </c>
      <c r="AM376" s="585">
        <v>9559.3286952012204</v>
      </c>
      <c r="AN376" s="581">
        <v>0</v>
      </c>
      <c r="AO376" s="581">
        <f t="shared" si="30"/>
        <v>9635.0386952012195</v>
      </c>
    </row>
    <row r="377" spans="1:41" x14ac:dyDescent="0.3">
      <c r="A377" s="476">
        <v>150001031</v>
      </c>
      <c r="B377" s="477" t="s">
        <v>103</v>
      </c>
      <c r="C377" s="478">
        <v>159.9</v>
      </c>
      <c r="D377" s="483"/>
      <c r="E377" s="480"/>
      <c r="F377" s="480">
        <v>159.9</v>
      </c>
      <c r="G377" s="481">
        <v>0</v>
      </c>
      <c r="H377" s="481">
        <v>0</v>
      </c>
      <c r="I377" s="481">
        <v>0</v>
      </c>
      <c r="J377" s="481">
        <v>0</v>
      </c>
      <c r="K377" s="481">
        <v>0</v>
      </c>
      <c r="L377" s="481">
        <v>0</v>
      </c>
      <c r="M377" s="587">
        <f t="shared" si="26"/>
        <v>0</v>
      </c>
      <c r="N377" s="481">
        <v>0</v>
      </c>
      <c r="O377" s="481">
        <v>0</v>
      </c>
      <c r="P377" s="481">
        <v>0</v>
      </c>
      <c r="Q377" s="481">
        <v>19.729534226951035</v>
      </c>
      <c r="R377" s="587">
        <f t="shared" si="27"/>
        <v>169.72377766604467</v>
      </c>
      <c r="S377" s="481">
        <v>0</v>
      </c>
      <c r="T377" s="481">
        <v>0</v>
      </c>
      <c r="U377" s="481">
        <v>0</v>
      </c>
      <c r="V377" s="481">
        <v>0</v>
      </c>
      <c r="W377" s="481">
        <v>0</v>
      </c>
      <c r="X377" s="481">
        <v>0</v>
      </c>
      <c r="Y377" s="481">
        <v>0</v>
      </c>
      <c r="Z377" s="481">
        <v>91.720207891090439</v>
      </c>
      <c r="AA377" s="481">
        <v>0</v>
      </c>
      <c r="AB377" s="481">
        <v>0</v>
      </c>
      <c r="AC377" s="481">
        <v>0</v>
      </c>
      <c r="AD377" s="481">
        <v>0</v>
      </c>
      <c r="AE377" s="481">
        <v>0</v>
      </c>
      <c r="AF377" s="481">
        <v>0</v>
      </c>
      <c r="AG377" s="481">
        <v>15.183370068340651</v>
      </c>
      <c r="AH377" s="700">
        <f t="shared" si="28"/>
        <v>281.17351978408612</v>
      </c>
      <c r="AI377" s="482">
        <f t="shared" si="29"/>
        <v>296.35688985242678</v>
      </c>
      <c r="AJ377" s="482"/>
      <c r="AK377" s="482"/>
      <c r="AL377" s="585">
        <v>25.61</v>
      </c>
      <c r="AM377" s="585">
        <v>144.11377766604465</v>
      </c>
      <c r="AN377" s="581">
        <v>0</v>
      </c>
      <c r="AO377" s="581">
        <f t="shared" si="30"/>
        <v>169.72377766604467</v>
      </c>
    </row>
    <row r="378" spans="1:41" x14ac:dyDescent="0.3">
      <c r="A378" s="476">
        <v>150001032</v>
      </c>
      <c r="B378" s="477" t="s">
        <v>369</v>
      </c>
      <c r="C378" s="478">
        <v>6020</v>
      </c>
      <c r="D378" s="479">
        <v>735.55</v>
      </c>
      <c r="E378" s="480"/>
      <c r="F378" s="480">
        <v>6020</v>
      </c>
      <c r="G378" s="481">
        <v>1173.8463442300258</v>
      </c>
      <c r="H378" s="481">
        <v>155.34605852381267</v>
      </c>
      <c r="I378" s="481">
        <v>741.77</v>
      </c>
      <c r="J378" s="481">
        <v>155.68</v>
      </c>
      <c r="K378" s="481">
        <v>144.06044463672924</v>
      </c>
      <c r="L378" s="481">
        <v>1285.8249714463348</v>
      </c>
      <c r="M378" s="587">
        <f t="shared" si="26"/>
        <v>0</v>
      </c>
      <c r="N378" s="481">
        <v>2145.0421524906856</v>
      </c>
      <c r="O378" s="481">
        <v>7153.4593156656774</v>
      </c>
      <c r="P378" s="481">
        <v>0</v>
      </c>
      <c r="Q378" s="481">
        <v>422.21203245675218</v>
      </c>
      <c r="R378" s="587">
        <f t="shared" si="27"/>
        <v>8818.7557705959971</v>
      </c>
      <c r="S378" s="481">
        <v>84.906546698705966</v>
      </c>
      <c r="T378" s="481">
        <v>105.8483598043756</v>
      </c>
      <c r="U378" s="481">
        <v>175.62049056944369</v>
      </c>
      <c r="V378" s="481">
        <v>66.379736649360211</v>
      </c>
      <c r="W378" s="481">
        <v>73.08065849607965</v>
      </c>
      <c r="X378" s="481">
        <v>116.08016483482538</v>
      </c>
      <c r="Y378" s="481">
        <v>92.218165131400369</v>
      </c>
      <c r="Z378" s="481">
        <v>6727.0832192494163</v>
      </c>
      <c r="AA378" s="481">
        <v>5118.327728440071</v>
      </c>
      <c r="AB378" s="481">
        <v>779.03427132906495</v>
      </c>
      <c r="AC378" s="481">
        <v>225.13394717590566</v>
      </c>
      <c r="AD378" s="481">
        <v>27.715353345518686</v>
      </c>
      <c r="AE378" s="481">
        <v>2306.9349780889306</v>
      </c>
      <c r="AF378" s="481">
        <v>1010.7463595683753</v>
      </c>
      <c r="AG378" s="481">
        <v>1173.1532120828247</v>
      </c>
      <c r="AH378" s="700">
        <f t="shared" si="28"/>
        <v>39105.107069427482</v>
      </c>
      <c r="AI378" s="482">
        <f t="shared" si="29"/>
        <v>40278.260281510309</v>
      </c>
      <c r="AJ378" s="482"/>
      <c r="AK378" s="482"/>
      <c r="AL378" s="585">
        <v>73.260000000000005</v>
      </c>
      <c r="AM378" s="585">
        <v>8745.4957705959969</v>
      </c>
      <c r="AN378" s="581">
        <v>0</v>
      </c>
      <c r="AO378" s="581">
        <f t="shared" si="30"/>
        <v>8818.7557705959971</v>
      </c>
    </row>
    <row r="379" spans="1:41" x14ac:dyDescent="0.3">
      <c r="A379" s="476">
        <v>150001033</v>
      </c>
      <c r="B379" s="477" t="s">
        <v>362</v>
      </c>
      <c r="C379" s="478">
        <v>4024.2</v>
      </c>
      <c r="D379" s="479">
        <v>446.8</v>
      </c>
      <c r="E379" s="480"/>
      <c r="F379" s="480">
        <v>4024.2</v>
      </c>
      <c r="G379" s="481">
        <v>950.8501655849783</v>
      </c>
      <c r="H379" s="481">
        <v>162.32392045418419</v>
      </c>
      <c r="I379" s="481">
        <v>495.8</v>
      </c>
      <c r="J379" s="481">
        <v>99.52</v>
      </c>
      <c r="K379" s="481">
        <v>65.004820328168279</v>
      </c>
      <c r="L379" s="481">
        <v>746.32289050270447</v>
      </c>
      <c r="M379" s="587">
        <f t="shared" si="26"/>
        <v>0</v>
      </c>
      <c r="N379" s="481">
        <v>1433.9001046599697</v>
      </c>
      <c r="O379" s="481">
        <v>3456.5475482576176</v>
      </c>
      <c r="P379" s="481">
        <v>0</v>
      </c>
      <c r="Q379" s="481">
        <v>276.21347917731453</v>
      </c>
      <c r="R379" s="587">
        <f t="shared" si="27"/>
        <v>6204.9012085669665</v>
      </c>
      <c r="S379" s="481">
        <v>80.717994695241828</v>
      </c>
      <c r="T379" s="481">
        <v>108.42626074874063</v>
      </c>
      <c r="U379" s="481">
        <v>122.57084240676906</v>
      </c>
      <c r="V379" s="481">
        <v>49.752047607067865</v>
      </c>
      <c r="W379" s="481">
        <v>32.980617657691397</v>
      </c>
      <c r="X379" s="481">
        <v>71.995324683650708</v>
      </c>
      <c r="Y379" s="481">
        <v>32.907787758409334</v>
      </c>
      <c r="Z379" s="481">
        <v>4104.3623497174685</v>
      </c>
      <c r="AA379" s="481">
        <v>4053.3318650734304</v>
      </c>
      <c r="AB379" s="481">
        <v>540.99602175629514</v>
      </c>
      <c r="AC379" s="481">
        <v>93.950835005470495</v>
      </c>
      <c r="AD379" s="481">
        <v>11.565917188173449</v>
      </c>
      <c r="AE379" s="481">
        <v>530.32988002044374</v>
      </c>
      <c r="AF379" s="481">
        <v>578.68348672819025</v>
      </c>
      <c r="AG379" s="481">
        <v>729.11866105736829</v>
      </c>
      <c r="AH379" s="700">
        <f t="shared" si="28"/>
        <v>24303.955368578943</v>
      </c>
      <c r="AI379" s="482">
        <f t="shared" si="29"/>
        <v>25033.074029636311</v>
      </c>
      <c r="AJ379" s="482"/>
      <c r="AK379" s="482"/>
      <c r="AL379" s="585">
        <v>50.62</v>
      </c>
      <c r="AM379" s="585">
        <v>6154.2812085669666</v>
      </c>
      <c r="AN379" s="581">
        <v>0</v>
      </c>
      <c r="AO379" s="581">
        <f t="shared" si="30"/>
        <v>6204.9012085669665</v>
      </c>
    </row>
    <row r="380" spans="1:41" x14ac:dyDescent="0.3">
      <c r="A380" s="476">
        <v>150001035</v>
      </c>
      <c r="B380" s="477" t="s">
        <v>262</v>
      </c>
      <c r="C380" s="478">
        <v>2771.3</v>
      </c>
      <c r="D380" s="479"/>
      <c r="E380" s="480">
        <v>79.400000000000006</v>
      </c>
      <c r="F380" s="480">
        <v>2850.7000000000003</v>
      </c>
      <c r="G380" s="481">
        <v>882.48657912630836</v>
      </c>
      <c r="H380" s="481">
        <v>167.35415557246759</v>
      </c>
      <c r="I380" s="481">
        <v>368.62</v>
      </c>
      <c r="J380" s="481">
        <v>77.86</v>
      </c>
      <c r="K380" s="481">
        <v>59.112908977718426</v>
      </c>
      <c r="L380" s="481">
        <v>600.04083416095091</v>
      </c>
      <c r="M380" s="587">
        <f t="shared" si="26"/>
        <v>0</v>
      </c>
      <c r="N380" s="481">
        <v>1015.7594126420595</v>
      </c>
      <c r="O380" s="481">
        <v>0</v>
      </c>
      <c r="P380" s="481">
        <v>0</v>
      </c>
      <c r="Q380" s="481">
        <v>232.80850387802224</v>
      </c>
      <c r="R380" s="587">
        <f t="shared" si="27"/>
        <v>3142.0639886939443</v>
      </c>
      <c r="S380" s="481">
        <v>148.20379993944582</v>
      </c>
      <c r="T380" s="481">
        <v>215.71437418210596</v>
      </c>
      <c r="U380" s="481">
        <v>145.01711010176388</v>
      </c>
      <c r="V380" s="481">
        <v>72.106662364130642</v>
      </c>
      <c r="W380" s="481">
        <v>59.973570119372766</v>
      </c>
      <c r="X380" s="481">
        <v>82.957264330606762</v>
      </c>
      <c r="Y380" s="481">
        <v>116.37111192658503</v>
      </c>
      <c r="Z380" s="481">
        <v>3433.79059951304</v>
      </c>
      <c r="AA380" s="481">
        <v>1462.3430590231028</v>
      </c>
      <c r="AB380" s="481">
        <v>1621.4374932468329</v>
      </c>
      <c r="AC380" s="481">
        <v>139.22273488940056</v>
      </c>
      <c r="AD380" s="481">
        <v>17.139162439036053</v>
      </c>
      <c r="AE380" s="481">
        <v>502.25359225465553</v>
      </c>
      <c r="AF380" s="481">
        <v>0</v>
      </c>
      <c r="AG380" s="481">
        <v>349.50328601715722</v>
      </c>
      <c r="AH380" s="700">
        <f t="shared" si="28"/>
        <v>14562.636917381551</v>
      </c>
      <c r="AI380" s="482">
        <f t="shared" si="29"/>
        <v>14912.140203398709</v>
      </c>
      <c r="AJ380" s="482"/>
      <c r="AK380" s="482"/>
      <c r="AL380" s="585">
        <v>75.709999999999994</v>
      </c>
      <c r="AM380" s="585">
        <v>3066.3539886939443</v>
      </c>
      <c r="AN380" s="581">
        <v>0</v>
      </c>
      <c r="AO380" s="581">
        <f t="shared" si="30"/>
        <v>3142.0639886939443</v>
      </c>
    </row>
    <row r="381" spans="1:41" x14ac:dyDescent="0.3">
      <c r="A381" s="476">
        <v>150001036</v>
      </c>
      <c r="B381" s="477" t="s">
        <v>102</v>
      </c>
      <c r="C381" s="478">
        <v>211.4</v>
      </c>
      <c r="D381" s="483"/>
      <c r="E381" s="480"/>
      <c r="F381" s="480">
        <v>211.4</v>
      </c>
      <c r="G381" s="481">
        <v>0</v>
      </c>
      <c r="H381" s="481">
        <v>0</v>
      </c>
      <c r="I381" s="481">
        <v>0</v>
      </c>
      <c r="J381" s="481">
        <v>0</v>
      </c>
      <c r="K381" s="481">
        <v>0</v>
      </c>
      <c r="L381" s="481">
        <v>0</v>
      </c>
      <c r="M381" s="587">
        <f t="shared" si="26"/>
        <v>0</v>
      </c>
      <c r="N381" s="481">
        <v>0</v>
      </c>
      <c r="O381" s="481">
        <v>0</v>
      </c>
      <c r="P381" s="481">
        <v>0</v>
      </c>
      <c r="Q381" s="481">
        <v>19.729534226951035</v>
      </c>
      <c r="R381" s="587">
        <f t="shared" si="27"/>
        <v>221.05803373723614</v>
      </c>
      <c r="S381" s="481">
        <v>0</v>
      </c>
      <c r="T381" s="481">
        <v>0</v>
      </c>
      <c r="U381" s="481">
        <v>0</v>
      </c>
      <c r="V381" s="481">
        <v>0</v>
      </c>
      <c r="W381" s="481">
        <v>0</v>
      </c>
      <c r="X381" s="481">
        <v>0</v>
      </c>
      <c r="Y381" s="481">
        <v>0</v>
      </c>
      <c r="Z381" s="481">
        <v>79.756702513991698</v>
      </c>
      <c r="AA381" s="481">
        <v>0</v>
      </c>
      <c r="AB381" s="481">
        <v>0</v>
      </c>
      <c r="AC381" s="481">
        <v>0</v>
      </c>
      <c r="AD381" s="481">
        <v>0</v>
      </c>
      <c r="AE381" s="481">
        <v>0</v>
      </c>
      <c r="AF381" s="481">
        <v>0</v>
      </c>
      <c r="AG381" s="481">
        <v>9.6163281143453663</v>
      </c>
      <c r="AH381" s="700">
        <f t="shared" si="28"/>
        <v>320.54427047817887</v>
      </c>
      <c r="AI381" s="482">
        <f t="shared" si="29"/>
        <v>330.16059859252425</v>
      </c>
      <c r="AJ381" s="482"/>
      <c r="AK381" s="482"/>
      <c r="AL381" s="585">
        <v>33.11</v>
      </c>
      <c r="AM381" s="585">
        <v>187.94803373723616</v>
      </c>
      <c r="AN381" s="581">
        <v>0</v>
      </c>
      <c r="AO381" s="581">
        <f t="shared" si="30"/>
        <v>221.05803373723614</v>
      </c>
    </row>
    <row r="382" spans="1:41" x14ac:dyDescent="0.3">
      <c r="A382" s="476">
        <v>150001037</v>
      </c>
      <c r="B382" s="477" t="s">
        <v>104</v>
      </c>
      <c r="C382" s="478">
        <v>161.4</v>
      </c>
      <c r="D382" s="483"/>
      <c r="E382" s="480"/>
      <c r="F382" s="480">
        <v>161.4</v>
      </c>
      <c r="G382" s="481">
        <v>0</v>
      </c>
      <c r="H382" s="481">
        <v>0</v>
      </c>
      <c r="I382" s="481">
        <v>0</v>
      </c>
      <c r="J382" s="481">
        <v>0</v>
      </c>
      <c r="K382" s="481">
        <v>0</v>
      </c>
      <c r="L382" s="481">
        <v>0</v>
      </c>
      <c r="M382" s="587">
        <f t="shared" si="26"/>
        <v>0</v>
      </c>
      <c r="N382" s="481">
        <v>0</v>
      </c>
      <c r="O382" s="481">
        <v>0</v>
      </c>
      <c r="P382" s="481">
        <v>0</v>
      </c>
      <c r="Q382" s="481">
        <v>27.621347917731452</v>
      </c>
      <c r="R382" s="587">
        <f t="shared" si="27"/>
        <v>161.61791113272992</v>
      </c>
      <c r="S382" s="481">
        <v>0</v>
      </c>
      <c r="T382" s="481">
        <v>0</v>
      </c>
      <c r="U382" s="481">
        <v>0</v>
      </c>
      <c r="V382" s="481">
        <v>0</v>
      </c>
      <c r="W382" s="481">
        <v>0</v>
      </c>
      <c r="X382" s="481">
        <v>0</v>
      </c>
      <c r="Y382" s="481">
        <v>0</v>
      </c>
      <c r="Z382" s="481">
        <v>79.756702513991698</v>
      </c>
      <c r="AA382" s="481">
        <v>0</v>
      </c>
      <c r="AB382" s="481">
        <v>0</v>
      </c>
      <c r="AC382" s="481">
        <v>0</v>
      </c>
      <c r="AD382" s="481">
        <v>0</v>
      </c>
      <c r="AE382" s="481">
        <v>0</v>
      </c>
      <c r="AF382" s="481">
        <v>0</v>
      </c>
      <c r="AG382" s="481">
        <v>12.911806155093748</v>
      </c>
      <c r="AH382" s="700">
        <f t="shared" si="28"/>
        <v>268.99596156445307</v>
      </c>
      <c r="AI382" s="482">
        <f t="shared" si="29"/>
        <v>281.90776771954683</v>
      </c>
      <c r="AJ382" s="482"/>
      <c r="AK382" s="482"/>
      <c r="AL382" s="585">
        <v>27.48</v>
      </c>
      <c r="AM382" s="585">
        <v>134.13791113272993</v>
      </c>
      <c r="AN382" s="581">
        <v>0</v>
      </c>
      <c r="AO382" s="581">
        <f t="shared" si="30"/>
        <v>161.61791113272992</v>
      </c>
    </row>
    <row r="383" spans="1:41" x14ac:dyDescent="0.3">
      <c r="A383" s="476">
        <v>150001040</v>
      </c>
      <c r="B383" s="477" t="s">
        <v>216</v>
      </c>
      <c r="C383" s="478">
        <v>2013</v>
      </c>
      <c r="D383" s="479"/>
      <c r="E383" s="480">
        <v>470.2</v>
      </c>
      <c r="F383" s="480">
        <v>2483.1999999999998</v>
      </c>
      <c r="G383" s="481">
        <v>745.15772886349225</v>
      </c>
      <c r="H383" s="481">
        <v>189.86694194875494</v>
      </c>
      <c r="I383" s="481">
        <v>284.37</v>
      </c>
      <c r="J383" s="481">
        <v>0</v>
      </c>
      <c r="K383" s="481">
        <v>0</v>
      </c>
      <c r="L383" s="481">
        <v>771.9162790184497</v>
      </c>
      <c r="M383" s="587">
        <f t="shared" si="26"/>
        <v>0</v>
      </c>
      <c r="N383" s="481">
        <v>884.81207193768614</v>
      </c>
      <c r="O383" s="481">
        <v>0</v>
      </c>
      <c r="P383" s="481">
        <v>0</v>
      </c>
      <c r="Q383" s="481">
        <v>390.64477769363054</v>
      </c>
      <c r="R383" s="587">
        <f t="shared" si="27"/>
        <v>3447.3071837830544</v>
      </c>
      <c r="S383" s="481">
        <v>134.31754477993348</v>
      </c>
      <c r="T383" s="481">
        <v>244.71748788035035</v>
      </c>
      <c r="U383" s="481">
        <v>123.26835880875514</v>
      </c>
      <c r="V383" s="481">
        <v>0</v>
      </c>
      <c r="W383" s="481">
        <v>0</v>
      </c>
      <c r="X383" s="481">
        <v>111.41510992567788</v>
      </c>
      <c r="Y383" s="481">
        <v>0</v>
      </c>
      <c r="Z383" s="481">
        <v>1269.6923815224443</v>
      </c>
      <c r="AA383" s="481">
        <v>1401.9261460154057</v>
      </c>
      <c r="AB383" s="481">
        <v>377.85104801042473</v>
      </c>
      <c r="AC383" s="481">
        <v>72.116396230914503</v>
      </c>
      <c r="AD383" s="481">
        <v>8.8779654450936416</v>
      </c>
      <c r="AE383" s="481">
        <v>397.74741001533289</v>
      </c>
      <c r="AF383" s="481">
        <v>0</v>
      </c>
      <c r="AG383" s="481">
        <v>130.27205798255278</v>
      </c>
      <c r="AH383" s="700">
        <f t="shared" si="28"/>
        <v>10856.004831879398</v>
      </c>
      <c r="AI383" s="482">
        <f t="shared" si="29"/>
        <v>10986.276889861951</v>
      </c>
      <c r="AJ383" s="482"/>
      <c r="AK383" s="482"/>
      <c r="AL383" s="585">
        <v>91.37</v>
      </c>
      <c r="AM383" s="585">
        <v>3355.9371837830545</v>
      </c>
      <c r="AN383" s="581">
        <v>0</v>
      </c>
      <c r="AO383" s="581">
        <f t="shared" si="30"/>
        <v>3447.3071837830544</v>
      </c>
    </row>
    <row r="384" spans="1:41" x14ac:dyDescent="0.3">
      <c r="A384" s="476">
        <v>150001041</v>
      </c>
      <c r="B384" s="477" t="s">
        <v>196</v>
      </c>
      <c r="C384" s="478">
        <v>601.4</v>
      </c>
      <c r="D384" s="479"/>
      <c r="E384" s="480"/>
      <c r="F384" s="480">
        <v>601.4</v>
      </c>
      <c r="G384" s="481">
        <v>205.3927936534206</v>
      </c>
      <c r="H384" s="481">
        <v>30.748533848829332</v>
      </c>
      <c r="I384" s="481">
        <v>74.91</v>
      </c>
      <c r="J384" s="481">
        <v>0</v>
      </c>
      <c r="K384" s="481">
        <v>0</v>
      </c>
      <c r="L384" s="481">
        <v>107.28489139294675</v>
      </c>
      <c r="M384" s="587">
        <f t="shared" si="26"/>
        <v>0</v>
      </c>
      <c r="N384" s="481">
        <v>214.29042367240837</v>
      </c>
      <c r="O384" s="481">
        <v>0</v>
      </c>
      <c r="P384" s="481">
        <v>0</v>
      </c>
      <c r="Q384" s="481">
        <v>142.05264643404746</v>
      </c>
      <c r="R384" s="587">
        <f t="shared" si="27"/>
        <v>688.11328831782282</v>
      </c>
      <c r="S384" s="481">
        <v>37.200467863578638</v>
      </c>
      <c r="T384" s="481">
        <v>39.617672760513557</v>
      </c>
      <c r="U384" s="481">
        <v>34.140465526019817</v>
      </c>
      <c r="V384" s="481">
        <v>0</v>
      </c>
      <c r="W384" s="481">
        <v>0</v>
      </c>
      <c r="X384" s="481">
        <v>7.3717792993961071</v>
      </c>
      <c r="Y384" s="481">
        <v>0</v>
      </c>
      <c r="Z384" s="481">
        <v>544.72774828115962</v>
      </c>
      <c r="AA384" s="481">
        <v>425.03625894950056</v>
      </c>
      <c r="AB384" s="481">
        <v>136.39837600388086</v>
      </c>
      <c r="AC384" s="481">
        <v>0</v>
      </c>
      <c r="AD384" s="481">
        <v>0</v>
      </c>
      <c r="AE384" s="481">
        <v>90.46803835642865</v>
      </c>
      <c r="AF384" s="481">
        <v>0</v>
      </c>
      <c r="AG384" s="481">
        <v>0</v>
      </c>
      <c r="AH384" s="700">
        <f t="shared" si="28"/>
        <v>2777.7533843599535</v>
      </c>
      <c r="AI384" s="482">
        <f t="shared" si="29"/>
        <v>2777.7533843599535</v>
      </c>
      <c r="AJ384" s="482"/>
      <c r="AK384" s="482"/>
      <c r="AL384" s="585">
        <v>25.61</v>
      </c>
      <c r="AM384" s="585">
        <v>662.50328831782281</v>
      </c>
      <c r="AN384" s="581">
        <v>0</v>
      </c>
      <c r="AO384" s="581">
        <f t="shared" si="30"/>
        <v>688.11328831782282</v>
      </c>
    </row>
    <row r="385" spans="1:41" x14ac:dyDescent="0.3">
      <c r="A385" s="476">
        <v>150001042</v>
      </c>
      <c r="B385" s="477" t="s">
        <v>181</v>
      </c>
      <c r="C385" s="478">
        <v>427.1</v>
      </c>
      <c r="D385" s="479"/>
      <c r="E385" s="480"/>
      <c r="F385" s="480">
        <v>427.1</v>
      </c>
      <c r="G385" s="481">
        <v>186.2558599402567</v>
      </c>
      <c r="H385" s="481">
        <v>34.718640894682196</v>
      </c>
      <c r="I385" s="481">
        <v>51.42</v>
      </c>
      <c r="J385" s="481">
        <v>0</v>
      </c>
      <c r="K385" s="481">
        <v>0</v>
      </c>
      <c r="L385" s="481">
        <v>98.891409429387878</v>
      </c>
      <c r="M385" s="587">
        <f t="shared" si="26"/>
        <v>0</v>
      </c>
      <c r="N385" s="481">
        <v>152.18397065261991</v>
      </c>
      <c r="O385" s="481">
        <v>0</v>
      </c>
      <c r="P385" s="481">
        <v>0</v>
      </c>
      <c r="Q385" s="481">
        <v>94.701764289364974</v>
      </c>
      <c r="R385" s="587">
        <f t="shared" si="27"/>
        <v>412.27015585917673</v>
      </c>
      <c r="S385" s="481">
        <v>35.980365976895705</v>
      </c>
      <c r="T385" s="481">
        <v>44.754963276478016</v>
      </c>
      <c r="U385" s="481">
        <v>23.638951430175567</v>
      </c>
      <c r="V385" s="481">
        <v>0</v>
      </c>
      <c r="W385" s="481">
        <v>0</v>
      </c>
      <c r="X385" s="481">
        <v>9.8856385409863776</v>
      </c>
      <c r="Y385" s="481">
        <v>0</v>
      </c>
      <c r="Z385" s="481">
        <v>531.56678898605912</v>
      </c>
      <c r="AA385" s="481">
        <v>383.84034031162184</v>
      </c>
      <c r="AB385" s="481">
        <v>133.45560321916838</v>
      </c>
      <c r="AC385" s="481">
        <v>0</v>
      </c>
      <c r="AD385" s="481">
        <v>0</v>
      </c>
      <c r="AE385" s="481">
        <v>87.348450826896624</v>
      </c>
      <c r="AF385" s="481">
        <v>0</v>
      </c>
      <c r="AG385" s="481">
        <v>0</v>
      </c>
      <c r="AH385" s="700">
        <f t="shared" si="28"/>
        <v>2280.9129036337704</v>
      </c>
      <c r="AI385" s="482">
        <f t="shared" si="29"/>
        <v>2280.9129036337704</v>
      </c>
      <c r="AJ385" s="482"/>
      <c r="AK385" s="482"/>
      <c r="AL385" s="585">
        <v>50.66</v>
      </c>
      <c r="AM385" s="585">
        <v>361.61015585917676</v>
      </c>
      <c r="AN385" s="581">
        <v>0</v>
      </c>
      <c r="AO385" s="581">
        <f t="shared" si="30"/>
        <v>412.27015585917673</v>
      </c>
    </row>
    <row r="386" spans="1:41" x14ac:dyDescent="0.3">
      <c r="A386" s="476">
        <v>150001043</v>
      </c>
      <c r="B386" s="477" t="s">
        <v>217</v>
      </c>
      <c r="C386" s="478">
        <v>1282.0999999999999</v>
      </c>
      <c r="D386" s="479"/>
      <c r="E386" s="480"/>
      <c r="F386" s="480">
        <v>1282.0999999999999</v>
      </c>
      <c r="G386" s="481">
        <v>389.00875764325548</v>
      </c>
      <c r="H386" s="481">
        <v>75.946572552877242</v>
      </c>
      <c r="I386" s="481">
        <v>159.86000000000001</v>
      </c>
      <c r="J386" s="481">
        <v>0</v>
      </c>
      <c r="K386" s="481">
        <v>0</v>
      </c>
      <c r="L386" s="481">
        <v>241.48828900580446</v>
      </c>
      <c r="M386" s="587">
        <f t="shared" si="26"/>
        <v>0</v>
      </c>
      <c r="N386" s="481">
        <v>456.83696739340661</v>
      </c>
      <c r="O386" s="481">
        <v>0</v>
      </c>
      <c r="P386" s="481">
        <v>0</v>
      </c>
      <c r="Q386" s="481">
        <v>260.42985179575368</v>
      </c>
      <c r="R386" s="587">
        <f t="shared" si="27"/>
        <v>1011.2905916453768</v>
      </c>
      <c r="S386" s="481">
        <v>69.128793189800675</v>
      </c>
      <c r="T386" s="481">
        <v>97.881167455611291</v>
      </c>
      <c r="U386" s="481">
        <v>72.45868339084042</v>
      </c>
      <c r="V386" s="481">
        <v>0</v>
      </c>
      <c r="W386" s="481">
        <v>0</v>
      </c>
      <c r="X386" s="481">
        <v>29.121041030394103</v>
      </c>
      <c r="Y386" s="481">
        <v>0</v>
      </c>
      <c r="Z386" s="481">
        <v>1638.7295050569139</v>
      </c>
      <c r="AA386" s="481">
        <v>617.4135267516366</v>
      </c>
      <c r="AB386" s="481">
        <v>654.84101114964778</v>
      </c>
      <c r="AC386" s="481">
        <v>74.636131644053634</v>
      </c>
      <c r="AD386" s="481">
        <v>9.1881601455747877</v>
      </c>
      <c r="AE386" s="481">
        <v>141.94123259370701</v>
      </c>
      <c r="AF386" s="481">
        <v>0</v>
      </c>
      <c r="AG386" s="481">
        <v>0</v>
      </c>
      <c r="AH386" s="700">
        <f t="shared" si="28"/>
        <v>6000.2002824446554</v>
      </c>
      <c r="AI386" s="482">
        <f t="shared" si="29"/>
        <v>6000.2002824446554</v>
      </c>
      <c r="AJ386" s="482"/>
      <c r="AK386" s="482"/>
      <c r="AL386" s="585">
        <v>59.96</v>
      </c>
      <c r="AM386" s="585">
        <v>951.33059164537678</v>
      </c>
      <c r="AN386" s="581">
        <v>0</v>
      </c>
      <c r="AO386" s="581">
        <f t="shared" si="30"/>
        <v>1011.2905916453768</v>
      </c>
    </row>
    <row r="387" spans="1:41" x14ac:dyDescent="0.3">
      <c r="A387" s="476">
        <v>150001044</v>
      </c>
      <c r="B387" s="477" t="s">
        <v>269</v>
      </c>
      <c r="C387" s="478">
        <v>3228.8</v>
      </c>
      <c r="D387" s="479"/>
      <c r="E387" s="480">
        <v>276.7</v>
      </c>
      <c r="F387" s="480">
        <v>3505.5</v>
      </c>
      <c r="G387" s="481">
        <v>1010.5607892758605</v>
      </c>
      <c r="H387" s="481">
        <v>191.24752731236396</v>
      </c>
      <c r="I387" s="481">
        <v>412.34</v>
      </c>
      <c r="J387" s="481">
        <v>0</v>
      </c>
      <c r="K387" s="481">
        <v>0</v>
      </c>
      <c r="L387" s="481">
        <v>629.22263105776983</v>
      </c>
      <c r="M387" s="587">
        <f t="shared" si="26"/>
        <v>0</v>
      </c>
      <c r="N387" s="481">
        <v>1249.0772866372256</v>
      </c>
      <c r="O387" s="481">
        <v>0</v>
      </c>
      <c r="P387" s="481">
        <v>0</v>
      </c>
      <c r="Q387" s="481">
        <v>947.01764289364974</v>
      </c>
      <c r="R387" s="587">
        <f t="shared" si="27"/>
        <v>2788.3484626531599</v>
      </c>
      <c r="S387" s="481">
        <v>160.31300580948829</v>
      </c>
      <c r="T387" s="481">
        <v>246.48982157955629</v>
      </c>
      <c r="U387" s="481">
        <v>212.62232937412068</v>
      </c>
      <c r="V387" s="481">
        <v>0</v>
      </c>
      <c r="W387" s="481">
        <v>0</v>
      </c>
      <c r="X387" s="481">
        <v>88.463631657945996</v>
      </c>
      <c r="Y387" s="481">
        <v>0</v>
      </c>
      <c r="Z387" s="481">
        <v>1779.5174437193564</v>
      </c>
      <c r="AA387" s="481">
        <v>1230.5362737839916</v>
      </c>
      <c r="AB387" s="481">
        <v>846.01277454210333</v>
      </c>
      <c r="AC387" s="481">
        <v>108.04468580853479</v>
      </c>
      <c r="AD387" s="481">
        <v>13.30095563930826</v>
      </c>
      <c r="AE387" s="481">
        <v>396.18761625056686</v>
      </c>
      <c r="AF387" s="481">
        <v>0</v>
      </c>
      <c r="AG387" s="481">
        <v>295.42326907188004</v>
      </c>
      <c r="AH387" s="700">
        <f t="shared" si="28"/>
        <v>12309.302877995002</v>
      </c>
      <c r="AI387" s="482">
        <f t="shared" si="29"/>
        <v>12604.726147066882</v>
      </c>
      <c r="AJ387" s="482"/>
      <c r="AK387" s="482"/>
      <c r="AL387" s="585">
        <v>130.83000000000001</v>
      </c>
      <c r="AM387" s="585">
        <v>2657.51846265316</v>
      </c>
      <c r="AN387" s="581">
        <v>0</v>
      </c>
      <c r="AO387" s="581">
        <f t="shared" si="30"/>
        <v>2788.3484626531599</v>
      </c>
    </row>
    <row r="388" spans="1:41" x14ac:dyDescent="0.3">
      <c r="A388" s="476">
        <v>150001045</v>
      </c>
      <c r="B388" s="477" t="s">
        <v>271</v>
      </c>
      <c r="C388" s="478">
        <v>3571.4</v>
      </c>
      <c r="D388" s="479"/>
      <c r="E388" s="480"/>
      <c r="F388" s="480">
        <v>3571.4</v>
      </c>
      <c r="G388" s="481">
        <v>987.07992040875911</v>
      </c>
      <c r="H388" s="481">
        <v>172.60596924705948</v>
      </c>
      <c r="I388" s="481">
        <v>442.04</v>
      </c>
      <c r="J388" s="481">
        <v>0</v>
      </c>
      <c r="K388" s="481">
        <v>0</v>
      </c>
      <c r="L388" s="481">
        <v>637.87943712877382</v>
      </c>
      <c r="M388" s="587">
        <f t="shared" si="26"/>
        <v>0</v>
      </c>
      <c r="N388" s="481">
        <v>1272.5587281404046</v>
      </c>
      <c r="O388" s="481">
        <v>0</v>
      </c>
      <c r="P388" s="481">
        <v>0</v>
      </c>
      <c r="Q388" s="481">
        <v>947.01764289364974</v>
      </c>
      <c r="R388" s="587">
        <f t="shared" si="27"/>
        <v>4653.1273474679156</v>
      </c>
      <c r="S388" s="481">
        <v>154.60545840911331</v>
      </c>
      <c r="T388" s="481">
        <v>222.44441035159772</v>
      </c>
      <c r="U388" s="481">
        <v>235.33715959181504</v>
      </c>
      <c r="V388" s="481">
        <v>0</v>
      </c>
      <c r="W388" s="481">
        <v>0</v>
      </c>
      <c r="X388" s="481">
        <v>89.759052147660768</v>
      </c>
      <c r="Y388" s="481">
        <v>0</v>
      </c>
      <c r="Z388" s="481">
        <v>1229.3807144728487</v>
      </c>
      <c r="AA388" s="481">
        <v>1478.0282869075193</v>
      </c>
      <c r="AB388" s="481">
        <v>643.84870870848533</v>
      </c>
      <c r="AC388" s="481">
        <v>178.12176310585809</v>
      </c>
      <c r="AD388" s="481">
        <v>21.927868564168136</v>
      </c>
      <c r="AE388" s="481">
        <v>736.22265696955719</v>
      </c>
      <c r="AF388" s="481">
        <v>0</v>
      </c>
      <c r="AG388" s="481">
        <v>676.89528597672893</v>
      </c>
      <c r="AH388" s="700">
        <f t="shared" si="28"/>
        <v>14101.985124515186</v>
      </c>
      <c r="AI388" s="482">
        <f t="shared" si="29"/>
        <v>14778.880410491915</v>
      </c>
      <c r="AJ388" s="482"/>
      <c r="AK388" s="482"/>
      <c r="AL388" s="585">
        <v>103.1</v>
      </c>
      <c r="AM388" s="585">
        <v>4550.0273474679152</v>
      </c>
      <c r="AN388" s="581">
        <v>0</v>
      </c>
      <c r="AO388" s="581">
        <f t="shared" si="30"/>
        <v>4653.1273474679156</v>
      </c>
    </row>
    <row r="389" spans="1:41" x14ac:dyDescent="0.3">
      <c r="A389" s="476">
        <v>150001046</v>
      </c>
      <c r="B389" s="477" t="s">
        <v>272</v>
      </c>
      <c r="C389" s="478">
        <v>2470.9</v>
      </c>
      <c r="D389" s="479"/>
      <c r="E389" s="480">
        <v>210.6</v>
      </c>
      <c r="F389" s="480">
        <v>2681.5</v>
      </c>
      <c r="G389" s="481">
        <v>718.24945248348752</v>
      </c>
      <c r="H389" s="481">
        <v>150.46324291068532</v>
      </c>
      <c r="I389" s="481">
        <v>292.13</v>
      </c>
      <c r="J389" s="481">
        <v>0</v>
      </c>
      <c r="K389" s="481">
        <v>0</v>
      </c>
      <c r="L389" s="481">
        <v>474.94990102941267</v>
      </c>
      <c r="M389" s="587">
        <f t="shared" si="26"/>
        <v>0</v>
      </c>
      <c r="N389" s="481">
        <v>955.47018802388266</v>
      </c>
      <c r="O389" s="481">
        <v>0</v>
      </c>
      <c r="P389" s="481">
        <v>0</v>
      </c>
      <c r="Q389" s="481">
        <v>686.58779109789612</v>
      </c>
      <c r="R389" s="587">
        <f t="shared" si="27"/>
        <v>2537.5529423785902</v>
      </c>
      <c r="S389" s="481">
        <v>113.61151200533625</v>
      </c>
      <c r="T389" s="481">
        <v>193.93659234422933</v>
      </c>
      <c r="U389" s="481">
        <v>149.51401339164624</v>
      </c>
      <c r="V389" s="481">
        <v>0</v>
      </c>
      <c r="W389" s="481">
        <v>0</v>
      </c>
      <c r="X389" s="481">
        <v>65.24767721722371</v>
      </c>
      <c r="Y389" s="481">
        <v>0</v>
      </c>
      <c r="Z389" s="481">
        <v>1663.7635751928005</v>
      </c>
      <c r="AA389" s="481">
        <v>930.44529212190582</v>
      </c>
      <c r="AB389" s="481">
        <v>698.86185662439095</v>
      </c>
      <c r="AC389" s="481">
        <v>57.821554859876045</v>
      </c>
      <c r="AD389" s="481">
        <v>7.1181838369165593</v>
      </c>
      <c r="AE389" s="481">
        <v>400.86699754486489</v>
      </c>
      <c r="AF389" s="481">
        <v>0</v>
      </c>
      <c r="AG389" s="481">
        <v>242.31817855351548</v>
      </c>
      <c r="AH389" s="700">
        <f t="shared" si="28"/>
        <v>10096.590773063144</v>
      </c>
      <c r="AI389" s="482">
        <f t="shared" si="29"/>
        <v>10338.90895161666</v>
      </c>
      <c r="AJ389" s="482"/>
      <c r="AK389" s="482"/>
      <c r="AL389" s="585">
        <v>80.58</v>
      </c>
      <c r="AM389" s="585">
        <v>2456.9729423785902</v>
      </c>
      <c r="AN389" s="581">
        <v>0</v>
      </c>
      <c r="AO389" s="581">
        <f t="shared" si="30"/>
        <v>2537.5529423785902</v>
      </c>
    </row>
    <row r="390" spans="1:41" x14ac:dyDescent="0.3">
      <c r="A390" s="476">
        <v>150001047</v>
      </c>
      <c r="B390" s="477" t="s">
        <v>179</v>
      </c>
      <c r="C390" s="478">
        <v>635.11</v>
      </c>
      <c r="D390" s="479"/>
      <c r="E390" s="480">
        <v>127.7</v>
      </c>
      <c r="F390" s="480">
        <v>762.81000000000006</v>
      </c>
      <c r="G390" s="481">
        <v>207.12198242443901</v>
      </c>
      <c r="H390" s="481">
        <v>35.38419347010673</v>
      </c>
      <c r="I390" s="481">
        <v>94.34</v>
      </c>
      <c r="J390" s="481">
        <v>0</v>
      </c>
      <c r="K390" s="481">
        <v>0</v>
      </c>
      <c r="L390" s="481">
        <v>99.445678402056146</v>
      </c>
      <c r="M390" s="587">
        <f t="shared" ref="M390:M399" si="31">AN390</f>
        <v>0</v>
      </c>
      <c r="N390" s="481">
        <v>271.80392098694688</v>
      </c>
      <c r="O390" s="481">
        <v>0</v>
      </c>
      <c r="P390" s="481">
        <v>0</v>
      </c>
      <c r="Q390" s="481">
        <v>3.9459068453902071</v>
      </c>
      <c r="R390" s="587">
        <f t="shared" ref="R390:R399" si="32">AO390</f>
        <v>822.90178865139058</v>
      </c>
      <c r="S390" s="481">
        <v>41.333857203957649</v>
      </c>
      <c r="T390" s="481">
        <v>45.590155307044348</v>
      </c>
      <c r="U390" s="481">
        <v>41.503107631225085</v>
      </c>
      <c r="V390" s="481">
        <v>0</v>
      </c>
      <c r="W390" s="481">
        <v>0</v>
      </c>
      <c r="X390" s="481">
        <v>7.1905268073434492</v>
      </c>
      <c r="Y390" s="481">
        <v>0</v>
      </c>
      <c r="Z390" s="481">
        <v>366.70200182568448</v>
      </c>
      <c r="AA390" s="481">
        <v>17.168966411816687</v>
      </c>
      <c r="AB390" s="481">
        <v>158.27404169866344</v>
      </c>
      <c r="AC390" s="481">
        <v>0</v>
      </c>
      <c r="AD390" s="481">
        <v>0</v>
      </c>
      <c r="AE390" s="481">
        <v>591.16183684631835</v>
      </c>
      <c r="AF390" s="481">
        <v>0</v>
      </c>
      <c r="AG390" s="481">
        <v>33.646415574148598</v>
      </c>
      <c r="AH390" s="700">
        <f t="shared" ref="AH390:AH399" si="33">SUM(G390:AG390)-AG390</f>
        <v>2803.8679645123834</v>
      </c>
      <c r="AI390" s="482">
        <f t="shared" ref="AI390:AI399" si="34">G390+H390+I390+J390+K390+L390+M390+N390+O390+P390+Q390+R390+S390+T390+U390+V390+W390+X390+Y390+Z390+AA390+AB390+AC390+AD390+AE390+AF390+AG390</f>
        <v>2837.5143800865321</v>
      </c>
      <c r="AJ390" s="482"/>
      <c r="AK390" s="482"/>
      <c r="AL390" s="585">
        <v>8.77</v>
      </c>
      <c r="AM390" s="585">
        <v>814.13178865139059</v>
      </c>
      <c r="AN390" s="581">
        <v>0</v>
      </c>
      <c r="AO390" s="581">
        <f t="shared" ref="AO390:AO399" si="35">AL390+AM390</f>
        <v>822.90178865139058</v>
      </c>
    </row>
    <row r="391" spans="1:41" x14ac:dyDescent="0.3">
      <c r="A391" s="476">
        <v>150001048</v>
      </c>
      <c r="B391" s="477" t="s">
        <v>125</v>
      </c>
      <c r="C391" s="478">
        <v>63</v>
      </c>
      <c r="D391" s="483"/>
      <c r="E391" s="480"/>
      <c r="F391" s="480">
        <v>63</v>
      </c>
      <c r="G391" s="481">
        <v>0</v>
      </c>
      <c r="H391" s="481">
        <v>0</v>
      </c>
      <c r="I391" s="481">
        <v>0</v>
      </c>
      <c r="J391" s="481">
        <v>0</v>
      </c>
      <c r="K391" s="481">
        <v>0</v>
      </c>
      <c r="L391" s="481">
        <v>0</v>
      </c>
      <c r="M391" s="587">
        <f t="shared" si="31"/>
        <v>0</v>
      </c>
      <c r="N391" s="481">
        <v>0</v>
      </c>
      <c r="O391" s="481">
        <v>0</v>
      </c>
      <c r="P391" s="481">
        <v>0</v>
      </c>
      <c r="Q391" s="481">
        <v>23.675441072341243</v>
      </c>
      <c r="R391" s="587">
        <f t="shared" si="32"/>
        <v>94.29080290478197</v>
      </c>
      <c r="S391" s="481">
        <v>0</v>
      </c>
      <c r="T391" s="481">
        <v>0</v>
      </c>
      <c r="U391" s="481">
        <v>0</v>
      </c>
      <c r="V391" s="481">
        <v>0</v>
      </c>
      <c r="W391" s="481">
        <v>0</v>
      </c>
      <c r="X391" s="481">
        <v>0</v>
      </c>
      <c r="Y391" s="481">
        <v>0</v>
      </c>
      <c r="Z391" s="481">
        <v>0</v>
      </c>
      <c r="AA391" s="481">
        <v>0</v>
      </c>
      <c r="AB391" s="481">
        <v>0</v>
      </c>
      <c r="AC391" s="481">
        <v>0</v>
      </c>
      <c r="AD391" s="481">
        <v>0</v>
      </c>
      <c r="AE391" s="481">
        <v>0</v>
      </c>
      <c r="AF391" s="481">
        <v>0</v>
      </c>
      <c r="AG391" s="481">
        <v>0</v>
      </c>
      <c r="AH391" s="700">
        <f t="shared" si="33"/>
        <v>117.96624397712321</v>
      </c>
      <c r="AI391" s="482">
        <f t="shared" si="34"/>
        <v>117.96624397712321</v>
      </c>
      <c r="AJ391" s="482"/>
      <c r="AK391" s="482"/>
      <c r="AL391" s="585">
        <v>46.92</v>
      </c>
      <c r="AM391" s="585">
        <v>47.370802904781968</v>
      </c>
      <c r="AN391" s="581">
        <v>0</v>
      </c>
      <c r="AO391" s="581">
        <f t="shared" si="35"/>
        <v>94.29080290478197</v>
      </c>
    </row>
    <row r="392" spans="1:41" x14ac:dyDescent="0.3">
      <c r="A392" s="476">
        <v>150001049</v>
      </c>
      <c r="B392" s="477" t="s">
        <v>180</v>
      </c>
      <c r="C392" s="478">
        <v>253.7</v>
      </c>
      <c r="D392" s="479"/>
      <c r="E392" s="480"/>
      <c r="F392" s="480">
        <v>253.7</v>
      </c>
      <c r="G392" s="481">
        <v>58.189639346177863</v>
      </c>
      <c r="H392" s="481">
        <v>19.35650916283905</v>
      </c>
      <c r="I392" s="481">
        <v>0</v>
      </c>
      <c r="J392" s="481">
        <v>0</v>
      </c>
      <c r="K392" s="481">
        <v>0</v>
      </c>
      <c r="L392" s="481">
        <v>31.297155522562498</v>
      </c>
      <c r="M392" s="587">
        <f t="shared" si="31"/>
        <v>0</v>
      </c>
      <c r="N392" s="481">
        <v>90.39820499782175</v>
      </c>
      <c r="O392" s="481">
        <v>0</v>
      </c>
      <c r="P392" s="481">
        <v>0</v>
      </c>
      <c r="Q392" s="481">
        <v>31.567254763121657</v>
      </c>
      <c r="R392" s="587">
        <f t="shared" si="32"/>
        <v>300.18270682334878</v>
      </c>
      <c r="S392" s="481">
        <v>21.473773541493699</v>
      </c>
      <c r="T392" s="481">
        <v>24.93401212631219</v>
      </c>
      <c r="U392" s="481">
        <v>0</v>
      </c>
      <c r="V392" s="481">
        <v>0</v>
      </c>
      <c r="W392" s="481">
        <v>0</v>
      </c>
      <c r="X392" s="481">
        <v>4.9307038508416863</v>
      </c>
      <c r="Y392" s="481">
        <v>0</v>
      </c>
      <c r="Z392" s="481">
        <v>227.6270952676571</v>
      </c>
      <c r="AA392" s="481">
        <v>183.20193192555669</v>
      </c>
      <c r="AB392" s="481">
        <v>126.86258317615108</v>
      </c>
      <c r="AC392" s="481">
        <v>0</v>
      </c>
      <c r="AD392" s="481">
        <v>0</v>
      </c>
      <c r="AE392" s="481">
        <v>90.46803835642865</v>
      </c>
      <c r="AF392" s="481">
        <v>0</v>
      </c>
      <c r="AG392" s="481">
        <v>0</v>
      </c>
      <c r="AH392" s="700">
        <f t="shared" si="33"/>
        <v>1210.4896088603127</v>
      </c>
      <c r="AI392" s="482">
        <f t="shared" si="34"/>
        <v>1210.4896088603127</v>
      </c>
      <c r="AJ392" s="482"/>
      <c r="AK392" s="482"/>
      <c r="AL392" s="585">
        <v>25.61</v>
      </c>
      <c r="AM392" s="585">
        <v>274.57270682334877</v>
      </c>
      <c r="AN392" s="581">
        <v>0</v>
      </c>
      <c r="AO392" s="581">
        <f t="shared" si="35"/>
        <v>300.18270682334878</v>
      </c>
    </row>
    <row r="393" spans="1:41" x14ac:dyDescent="0.3">
      <c r="A393" s="476">
        <v>150001050</v>
      </c>
      <c r="B393" s="477" t="s">
        <v>270</v>
      </c>
      <c r="C393" s="478">
        <v>3564.3</v>
      </c>
      <c r="D393" s="479"/>
      <c r="E393" s="480"/>
      <c r="F393" s="480">
        <v>3564.3</v>
      </c>
      <c r="G393" s="481">
        <v>1017.3905576336454</v>
      </c>
      <c r="H393" s="481">
        <v>172.60596924705948</v>
      </c>
      <c r="I393" s="481">
        <v>403.33</v>
      </c>
      <c r="J393" s="481">
        <v>0</v>
      </c>
      <c r="K393" s="481">
        <v>0</v>
      </c>
      <c r="L393" s="481">
        <v>637.87943712877382</v>
      </c>
      <c r="M393" s="587">
        <f t="shared" si="31"/>
        <v>0</v>
      </c>
      <c r="N393" s="481">
        <v>1270.0288611499254</v>
      </c>
      <c r="O393" s="481">
        <v>0</v>
      </c>
      <c r="P393" s="481">
        <v>0</v>
      </c>
      <c r="Q393" s="481">
        <v>947.01764289364974</v>
      </c>
      <c r="R393" s="587">
        <f t="shared" si="32"/>
        <v>4580.9849253229668</v>
      </c>
      <c r="S393" s="481">
        <v>161.73768957262746</v>
      </c>
      <c r="T393" s="481">
        <v>222.44441035159772</v>
      </c>
      <c r="U393" s="481">
        <v>215.83782813009054</v>
      </c>
      <c r="V393" s="481">
        <v>0</v>
      </c>
      <c r="W393" s="481">
        <v>0</v>
      </c>
      <c r="X393" s="481">
        <v>89.759052147660768</v>
      </c>
      <c r="Y393" s="481">
        <v>0</v>
      </c>
      <c r="Z393" s="481">
        <v>1512.2177809960685</v>
      </c>
      <c r="AA393" s="481">
        <v>1256.1557803229839</v>
      </c>
      <c r="AB393" s="481">
        <v>686.08008766612329</v>
      </c>
      <c r="AC393" s="481">
        <v>174.88630518237201</v>
      </c>
      <c r="AD393" s="481">
        <v>21.529564084951097</v>
      </c>
      <c r="AE393" s="481">
        <v>138.82164506417499</v>
      </c>
      <c r="AF393" s="481">
        <v>0</v>
      </c>
      <c r="AG393" s="481">
        <v>810.52245221368037</v>
      </c>
      <c r="AH393" s="700">
        <f t="shared" si="33"/>
        <v>13508.707536894672</v>
      </c>
      <c r="AI393" s="482">
        <f t="shared" si="34"/>
        <v>14319.229989108351</v>
      </c>
      <c r="AJ393" s="482"/>
      <c r="AK393" s="482"/>
      <c r="AL393" s="585">
        <v>98.24</v>
      </c>
      <c r="AM393" s="585">
        <v>4482.744925322967</v>
      </c>
      <c r="AN393" s="581">
        <v>0</v>
      </c>
      <c r="AO393" s="581">
        <f t="shared" si="35"/>
        <v>4580.9849253229668</v>
      </c>
    </row>
    <row r="394" spans="1:41" x14ac:dyDescent="0.3">
      <c r="A394" s="476">
        <v>150001053</v>
      </c>
      <c r="B394" s="477" t="s">
        <v>146</v>
      </c>
      <c r="C394" s="478">
        <v>372.8</v>
      </c>
      <c r="D394" s="479"/>
      <c r="E394" s="480"/>
      <c r="F394" s="480">
        <v>372.8</v>
      </c>
      <c r="G394" s="481">
        <v>175.59690591549199</v>
      </c>
      <c r="H394" s="481">
        <v>28.554200343465709</v>
      </c>
      <c r="I394" s="481">
        <v>55.39</v>
      </c>
      <c r="J394" s="481">
        <v>0</v>
      </c>
      <c r="K394" s="481">
        <v>0</v>
      </c>
      <c r="L394" s="481">
        <v>37.140565644285786</v>
      </c>
      <c r="M394" s="587">
        <f t="shared" si="31"/>
        <v>0</v>
      </c>
      <c r="N394" s="481">
        <v>132.83583296487171</v>
      </c>
      <c r="O394" s="481">
        <v>0</v>
      </c>
      <c r="P394" s="481">
        <v>0</v>
      </c>
      <c r="Q394" s="481">
        <v>126.26901905248663</v>
      </c>
      <c r="R394" s="587">
        <f t="shared" si="32"/>
        <v>535.92984976059154</v>
      </c>
      <c r="S394" s="481">
        <v>32.823724337884556</v>
      </c>
      <c r="T394" s="481">
        <v>36.825609196911458</v>
      </c>
      <c r="U394" s="481">
        <v>21.772469150283939</v>
      </c>
      <c r="V394" s="481">
        <v>0</v>
      </c>
      <c r="W394" s="481">
        <v>0</v>
      </c>
      <c r="X394" s="481">
        <v>13.172784579641229</v>
      </c>
      <c r="Y394" s="481">
        <v>0</v>
      </c>
      <c r="Z394" s="481">
        <v>342.46658067025498</v>
      </c>
      <c r="AA394" s="481">
        <v>177.44390483294089</v>
      </c>
      <c r="AB394" s="481">
        <v>54.759492131233898</v>
      </c>
      <c r="AC394" s="481">
        <v>0</v>
      </c>
      <c r="AD394" s="481">
        <v>0</v>
      </c>
      <c r="AE394" s="481">
        <v>0</v>
      </c>
      <c r="AF394" s="481">
        <v>0</v>
      </c>
      <c r="AG394" s="481">
        <v>0</v>
      </c>
      <c r="AH394" s="700">
        <f t="shared" si="33"/>
        <v>1770.9809385803446</v>
      </c>
      <c r="AI394" s="482">
        <f t="shared" si="34"/>
        <v>1770.9809385803446</v>
      </c>
      <c r="AJ394" s="482"/>
      <c r="AK394" s="482"/>
      <c r="AL394" s="585">
        <v>25.61</v>
      </c>
      <c r="AM394" s="585">
        <v>510.31984976059152</v>
      </c>
      <c r="AN394" s="581">
        <v>0</v>
      </c>
      <c r="AO394" s="581">
        <f t="shared" si="35"/>
        <v>535.92984976059154</v>
      </c>
    </row>
    <row r="395" spans="1:41" x14ac:dyDescent="0.3">
      <c r="A395" s="476">
        <v>150001054</v>
      </c>
      <c r="B395" s="477" t="s">
        <v>85</v>
      </c>
      <c r="C395" s="478">
        <v>195.6</v>
      </c>
      <c r="D395" s="483"/>
      <c r="E395" s="480"/>
      <c r="F395" s="480">
        <v>195.6</v>
      </c>
      <c r="G395" s="481">
        <v>0</v>
      </c>
      <c r="H395" s="481">
        <v>0</v>
      </c>
      <c r="I395" s="481">
        <v>0</v>
      </c>
      <c r="J395" s="481">
        <v>0</v>
      </c>
      <c r="K395" s="481">
        <v>0</v>
      </c>
      <c r="L395" s="481">
        <v>0</v>
      </c>
      <c r="M395" s="587">
        <f t="shared" si="31"/>
        <v>0</v>
      </c>
      <c r="N395" s="481">
        <v>0</v>
      </c>
      <c r="O395" s="481">
        <v>0</v>
      </c>
      <c r="P395" s="481">
        <v>0</v>
      </c>
      <c r="Q395" s="481">
        <v>23.675441072341243</v>
      </c>
      <c r="R395" s="587">
        <f t="shared" si="32"/>
        <v>189.01559862230641</v>
      </c>
      <c r="S395" s="481">
        <v>0</v>
      </c>
      <c r="T395" s="481">
        <v>0</v>
      </c>
      <c r="U395" s="481">
        <v>0</v>
      </c>
      <c r="V395" s="481">
        <v>0</v>
      </c>
      <c r="W395" s="481">
        <v>0</v>
      </c>
      <c r="X395" s="481">
        <v>0</v>
      </c>
      <c r="Y395" s="481">
        <v>0</v>
      </c>
      <c r="Z395" s="481">
        <v>17.945258065648133</v>
      </c>
      <c r="AA395" s="481">
        <v>0</v>
      </c>
      <c r="AB395" s="481">
        <v>0</v>
      </c>
      <c r="AC395" s="481">
        <v>0</v>
      </c>
      <c r="AD395" s="481">
        <v>0</v>
      </c>
      <c r="AE395" s="481">
        <v>0</v>
      </c>
      <c r="AF395" s="481">
        <v>0</v>
      </c>
      <c r="AG395" s="481">
        <v>6.9190889328088749</v>
      </c>
      <c r="AH395" s="700">
        <f t="shared" si="33"/>
        <v>230.6362977602958</v>
      </c>
      <c r="AI395" s="482">
        <f t="shared" si="34"/>
        <v>237.55538669310468</v>
      </c>
      <c r="AJ395" s="482"/>
      <c r="AK395" s="482"/>
      <c r="AL395" s="585">
        <v>25.61</v>
      </c>
      <c r="AM395" s="585">
        <v>163.4055986223064</v>
      </c>
      <c r="AN395" s="581">
        <v>0</v>
      </c>
      <c r="AO395" s="581">
        <f t="shared" si="35"/>
        <v>189.01559862230641</v>
      </c>
    </row>
    <row r="396" spans="1:41" x14ac:dyDescent="0.3">
      <c r="A396" s="476">
        <v>150001071</v>
      </c>
      <c r="B396" s="477" t="s">
        <v>167</v>
      </c>
      <c r="C396" s="478">
        <v>373.83</v>
      </c>
      <c r="D396" s="479"/>
      <c r="E396" s="480">
        <v>0</v>
      </c>
      <c r="F396" s="480">
        <v>373.83</v>
      </c>
      <c r="G396" s="481">
        <v>148.1414241841062</v>
      </c>
      <c r="H396" s="481">
        <v>24.041567306226469</v>
      </c>
      <c r="I396" s="481">
        <v>55.32</v>
      </c>
      <c r="J396" s="481">
        <v>0</v>
      </c>
      <c r="K396" s="481">
        <v>0</v>
      </c>
      <c r="L396" s="481">
        <v>105.02902993287123</v>
      </c>
      <c r="M396" s="587">
        <f t="shared" si="31"/>
        <v>0</v>
      </c>
      <c r="N396" s="481">
        <v>133.20284183813837</v>
      </c>
      <c r="O396" s="481">
        <v>0</v>
      </c>
      <c r="P396" s="481">
        <v>0</v>
      </c>
      <c r="Q396" s="481">
        <v>7.8918136907804142</v>
      </c>
      <c r="R396" s="587">
        <f t="shared" si="32"/>
        <v>419.54411988521503</v>
      </c>
      <c r="S396" s="481">
        <v>25.610095370880416</v>
      </c>
      <c r="T396" s="481">
        <v>30.98421477109823</v>
      </c>
      <c r="U396" s="481">
        <v>17.716009375300594</v>
      </c>
      <c r="V396" s="481">
        <v>0</v>
      </c>
      <c r="W396" s="481">
        <v>0</v>
      </c>
      <c r="X396" s="481">
        <v>19.210932315163561</v>
      </c>
      <c r="Y396" s="481">
        <v>9.0599066072151508</v>
      </c>
      <c r="Z396" s="481">
        <v>0</v>
      </c>
      <c r="AA396" s="481">
        <v>17.244727768120139</v>
      </c>
      <c r="AB396" s="481">
        <v>0</v>
      </c>
      <c r="AC396" s="481">
        <v>7.3533134624683392</v>
      </c>
      <c r="AD396" s="481">
        <v>0.90523745276598877</v>
      </c>
      <c r="AE396" s="481">
        <v>107.62576976885478</v>
      </c>
      <c r="AF396" s="481">
        <v>0</v>
      </c>
      <c r="AG396" s="481">
        <v>20.319858067125686</v>
      </c>
      <c r="AH396" s="700">
        <f t="shared" si="33"/>
        <v>1128.8810037292048</v>
      </c>
      <c r="AI396" s="482">
        <f t="shared" si="34"/>
        <v>1149.2008617963306</v>
      </c>
      <c r="AJ396" s="482"/>
      <c r="AK396" s="482"/>
      <c r="AL396" s="585">
        <v>65.069999999999993</v>
      </c>
      <c r="AM396" s="585">
        <v>354.47411988521503</v>
      </c>
      <c r="AN396" s="581">
        <v>0</v>
      </c>
      <c r="AO396" s="581">
        <f t="shared" si="35"/>
        <v>419.54411988521503</v>
      </c>
    </row>
    <row r="397" spans="1:41" x14ac:dyDescent="0.3">
      <c r="A397" s="476">
        <v>150001094</v>
      </c>
      <c r="B397" s="477" t="s">
        <v>185</v>
      </c>
      <c r="C397" s="478">
        <v>304.89999999999998</v>
      </c>
      <c r="D397" s="479"/>
      <c r="E397" s="480"/>
      <c r="F397" s="480">
        <v>304.89999999999998</v>
      </c>
      <c r="G397" s="481">
        <v>0</v>
      </c>
      <c r="H397" s="481">
        <v>0</v>
      </c>
      <c r="I397" s="481">
        <v>0</v>
      </c>
      <c r="J397" s="481">
        <v>0</v>
      </c>
      <c r="K397" s="481">
        <v>0</v>
      </c>
      <c r="L397" s="481">
        <v>41.392641174184256</v>
      </c>
      <c r="M397" s="587">
        <f t="shared" si="31"/>
        <v>0</v>
      </c>
      <c r="N397" s="481">
        <v>108.64175287282559</v>
      </c>
      <c r="O397" s="481">
        <v>0</v>
      </c>
      <c r="P397" s="481">
        <v>0</v>
      </c>
      <c r="Q397" s="481">
        <v>0</v>
      </c>
      <c r="R397" s="587">
        <f t="shared" si="32"/>
        <v>423.4051535529976</v>
      </c>
      <c r="S397" s="481">
        <v>0</v>
      </c>
      <c r="T397" s="481">
        <v>0</v>
      </c>
      <c r="U397" s="481">
        <v>0</v>
      </c>
      <c r="V397" s="481">
        <v>0</v>
      </c>
      <c r="W397" s="481">
        <v>0</v>
      </c>
      <c r="X397" s="481">
        <v>11.529254215465631</v>
      </c>
      <c r="Y397" s="481">
        <v>0</v>
      </c>
      <c r="Z397" s="481">
        <v>0</v>
      </c>
      <c r="AA397" s="481">
        <v>19.48149162088886</v>
      </c>
      <c r="AB397" s="481">
        <v>0</v>
      </c>
      <c r="AC397" s="481">
        <v>0</v>
      </c>
      <c r="AD397" s="481">
        <v>0</v>
      </c>
      <c r="AE397" s="481">
        <v>7.798968823830057</v>
      </c>
      <c r="AF397" s="481">
        <v>0</v>
      </c>
      <c r="AG397" s="481">
        <v>18.367477867805757</v>
      </c>
      <c r="AH397" s="700">
        <f t="shared" si="33"/>
        <v>612.24926226019193</v>
      </c>
      <c r="AI397" s="482">
        <f t="shared" si="34"/>
        <v>630.61674012799767</v>
      </c>
      <c r="AJ397" s="482"/>
      <c r="AK397" s="482"/>
      <c r="AL397" s="585">
        <v>15.58</v>
      </c>
      <c r="AM397" s="585">
        <v>407.82515355299762</v>
      </c>
      <c r="AN397" s="581">
        <v>0</v>
      </c>
      <c r="AO397" s="581">
        <f t="shared" si="35"/>
        <v>423.4051535529976</v>
      </c>
    </row>
    <row r="398" spans="1:41" x14ac:dyDescent="0.3">
      <c r="A398" s="476">
        <v>150001561</v>
      </c>
      <c r="B398" s="477" t="s">
        <v>399</v>
      </c>
      <c r="C398" s="478">
        <v>3516.6</v>
      </c>
      <c r="D398" s="479">
        <v>191</v>
      </c>
      <c r="E398" s="480">
        <v>0</v>
      </c>
      <c r="F398" s="480">
        <v>3516.6</v>
      </c>
      <c r="G398" s="481">
        <v>1630.8262584901447</v>
      </c>
      <c r="H398" s="481">
        <v>258.39159686149475</v>
      </c>
      <c r="I398" s="481">
        <v>0</v>
      </c>
      <c r="J398" s="481">
        <v>0</v>
      </c>
      <c r="K398" s="481">
        <v>22.16131922134921</v>
      </c>
      <c r="L398" s="481">
        <v>601.50128046919724</v>
      </c>
      <c r="M398" s="587">
        <f t="shared" si="31"/>
        <v>0</v>
      </c>
      <c r="N398" s="481">
        <v>1253.0324308054394</v>
      </c>
      <c r="O398" s="481">
        <v>938.55019102777715</v>
      </c>
      <c r="P398" s="481">
        <v>139.26730042553675</v>
      </c>
      <c r="Q398" s="481">
        <v>390.64477769363054</v>
      </c>
      <c r="R398" s="587">
        <f t="shared" si="32"/>
        <v>3326.7112285679245</v>
      </c>
      <c r="S398" s="481">
        <v>128.3769876237462</v>
      </c>
      <c r="T398" s="481">
        <v>166.5261630315251</v>
      </c>
      <c r="U398" s="481">
        <v>0</v>
      </c>
      <c r="V398" s="481">
        <v>0</v>
      </c>
      <c r="W398" s="481">
        <v>11.245034186051155</v>
      </c>
      <c r="X398" s="481">
        <v>38.684483054308551</v>
      </c>
      <c r="Y398" s="481">
        <v>0</v>
      </c>
      <c r="Z398" s="481">
        <v>1582.4822890942385</v>
      </c>
      <c r="AA398" s="481">
        <v>2580.8825248602498</v>
      </c>
      <c r="AB398" s="481">
        <v>1141.1905311543567</v>
      </c>
      <c r="AC398" s="481">
        <v>8.3582663023390129</v>
      </c>
      <c r="AD398" s="481">
        <v>1.0289532379773405</v>
      </c>
      <c r="AE398" s="481">
        <v>221.49071459677359</v>
      </c>
      <c r="AF398" s="481">
        <v>639.51544355406463</v>
      </c>
      <c r="AG398" s="481">
        <v>271.4556199366462</v>
      </c>
      <c r="AH398" s="700">
        <f t="shared" si="33"/>
        <v>15080.867774258122</v>
      </c>
      <c r="AI398" s="482">
        <f t="shared" si="34"/>
        <v>15352.323394194769</v>
      </c>
      <c r="AJ398" s="482"/>
      <c r="AK398" s="482"/>
      <c r="AL398" s="585">
        <v>65.69</v>
      </c>
      <c r="AM398" s="585">
        <v>3261.0212285679245</v>
      </c>
      <c r="AN398" s="581">
        <v>0</v>
      </c>
      <c r="AO398" s="581">
        <f t="shared" si="35"/>
        <v>3326.7112285679245</v>
      </c>
    </row>
    <row r="399" spans="1:41" x14ac:dyDescent="0.3">
      <c r="A399" s="476">
        <v>150001562</v>
      </c>
      <c r="B399" s="477" t="s">
        <v>208</v>
      </c>
      <c r="C399" s="478">
        <v>2425.9</v>
      </c>
      <c r="D399" s="479"/>
      <c r="E399" s="480">
        <v>0</v>
      </c>
      <c r="F399" s="480">
        <v>2425.9</v>
      </c>
      <c r="G399" s="481">
        <v>756.78082022635908</v>
      </c>
      <c r="H399" s="481">
        <v>78.5109660981541</v>
      </c>
      <c r="I399" s="481">
        <v>0</v>
      </c>
      <c r="J399" s="481">
        <v>0</v>
      </c>
      <c r="K399" s="481">
        <v>0</v>
      </c>
      <c r="L399" s="481">
        <v>205.59158511054952</v>
      </c>
      <c r="M399" s="587">
        <f t="shared" si="31"/>
        <v>0</v>
      </c>
      <c r="N399" s="481">
        <v>864.39497636663702</v>
      </c>
      <c r="O399" s="481">
        <v>0</v>
      </c>
      <c r="P399" s="481">
        <v>0</v>
      </c>
      <c r="Q399" s="481">
        <v>82.864043753194352</v>
      </c>
      <c r="R399" s="587">
        <f t="shared" si="32"/>
        <v>4066.944644795873</v>
      </c>
      <c r="S399" s="481">
        <v>139.14317160682816</v>
      </c>
      <c r="T399" s="481">
        <v>101.16848586476439</v>
      </c>
      <c r="U399" s="481">
        <v>0</v>
      </c>
      <c r="V399" s="481">
        <v>0</v>
      </c>
      <c r="W399" s="481">
        <v>0</v>
      </c>
      <c r="X399" s="481">
        <v>60.580332383952396</v>
      </c>
      <c r="Y399" s="481">
        <v>0</v>
      </c>
      <c r="Z399" s="481">
        <v>1593.0365657492971</v>
      </c>
      <c r="AA399" s="481">
        <v>816.56724672011012</v>
      </c>
      <c r="AB399" s="481">
        <v>889.39745976734923</v>
      </c>
      <c r="AC399" s="481">
        <v>7.3778245073432345</v>
      </c>
      <c r="AD399" s="481">
        <v>0.90825491094187549</v>
      </c>
      <c r="AE399" s="481">
        <v>644.1948248483626</v>
      </c>
      <c r="AF399" s="481">
        <v>0</v>
      </c>
      <c r="AG399" s="481">
        <v>185.53430164877486</v>
      </c>
      <c r="AH399" s="700">
        <f t="shared" si="33"/>
        <v>10307.461202709716</v>
      </c>
      <c r="AI399" s="482">
        <f t="shared" si="34"/>
        <v>10492.995504358491</v>
      </c>
      <c r="AJ399" s="482"/>
      <c r="AK399" s="482"/>
      <c r="AL399" s="585">
        <v>24.19</v>
      </c>
      <c r="AM399" s="585">
        <v>4042.754644795873</v>
      </c>
      <c r="AN399" s="581">
        <v>0</v>
      </c>
      <c r="AO399" s="581">
        <f t="shared" si="35"/>
        <v>4066.944644795873</v>
      </c>
    </row>
    <row r="400" spans="1:41" x14ac:dyDescent="0.3">
      <c r="A400" s="484"/>
      <c r="B400" s="485"/>
      <c r="C400" s="486">
        <f t="shared" ref="C400:AH400" si="36">SUM(C5:C399)</f>
        <v>964778.39</v>
      </c>
      <c r="D400" s="486">
        <f t="shared" si="36"/>
        <v>52630.140000000007</v>
      </c>
      <c r="E400" s="486">
        <f t="shared" si="36"/>
        <v>50250.139999999992</v>
      </c>
      <c r="F400" s="486">
        <f t="shared" si="36"/>
        <v>1014475.6299999997</v>
      </c>
      <c r="G400" s="487">
        <f t="shared" si="36"/>
        <v>266018.59386543749</v>
      </c>
      <c r="H400" s="487">
        <f t="shared" si="36"/>
        <v>49900.785871810935</v>
      </c>
      <c r="I400" s="487">
        <f t="shared" si="36"/>
        <v>115231.59999999995</v>
      </c>
      <c r="J400" s="487">
        <f t="shared" si="36"/>
        <v>15747.63</v>
      </c>
      <c r="K400" s="487">
        <f t="shared" si="36"/>
        <v>13259.600033208082</v>
      </c>
      <c r="L400" s="487">
        <f t="shared" si="36"/>
        <v>175948.32096084414</v>
      </c>
      <c r="M400" s="589">
        <f t="shared" si="36"/>
        <v>0</v>
      </c>
      <c r="N400" s="487">
        <f t="shared" si="36"/>
        <v>353456.21545499988</v>
      </c>
      <c r="O400" s="487">
        <f t="shared" si="36"/>
        <v>433516.7566083236</v>
      </c>
      <c r="P400" s="487">
        <f t="shared" si="36"/>
        <v>6321.4207560033492</v>
      </c>
      <c r="Q400" s="487">
        <f t="shared" si="36"/>
        <v>127646.14054152781</v>
      </c>
      <c r="R400" s="589">
        <f t="shared" si="36"/>
        <v>1259253.1654243264</v>
      </c>
      <c r="S400" s="487">
        <f t="shared" si="36"/>
        <v>32039.261830197276</v>
      </c>
      <c r="T400" s="487">
        <f t="shared" si="36"/>
        <v>46416.732983447531</v>
      </c>
      <c r="U400" s="487">
        <f t="shared" si="36"/>
        <v>40461.088950519908</v>
      </c>
      <c r="V400" s="487">
        <f t="shared" si="36"/>
        <v>8400.399645326479</v>
      </c>
      <c r="W400" s="487">
        <f t="shared" si="36"/>
        <v>7303.1021113181869</v>
      </c>
      <c r="X400" s="487">
        <f t="shared" si="36"/>
        <v>21474.005869733857</v>
      </c>
      <c r="Y400" s="487">
        <f t="shared" si="36"/>
        <v>3867.7544070952185</v>
      </c>
      <c r="Z400" s="487">
        <f t="shared" si="36"/>
        <v>957440.05647872132</v>
      </c>
      <c r="AA400" s="487">
        <f t="shared" si="36"/>
        <v>623336.2386100837</v>
      </c>
      <c r="AB400" s="487">
        <f t="shared" si="36"/>
        <v>205777.32805190506</v>
      </c>
      <c r="AC400" s="487">
        <f t="shared" si="36"/>
        <v>27513.451783710028</v>
      </c>
      <c r="AD400" s="487">
        <f t="shared" si="36"/>
        <v>3387.0726627673357</v>
      </c>
      <c r="AE400" s="487">
        <f t="shared" si="36"/>
        <v>178424.49694881035</v>
      </c>
      <c r="AF400" s="487">
        <f t="shared" si="36"/>
        <v>97370.905662400604</v>
      </c>
      <c r="AG400" s="487">
        <f t="shared" si="36"/>
        <v>135161.79737580204</v>
      </c>
      <c r="AH400" s="106">
        <f t="shared" si="36"/>
        <v>5069512.125512518</v>
      </c>
      <c r="AI400" s="737">
        <f>AG400+AH400</f>
        <v>5204673.9228883199</v>
      </c>
      <c r="AJ400" s="482"/>
      <c r="AK400" s="482"/>
      <c r="AL400" s="586">
        <f>SUM(AL5:AL399)</f>
        <v>25731.260999999984</v>
      </c>
      <c r="AM400" s="586">
        <f>SUM(AM5:AM399)</f>
        <v>1233521.9044243249</v>
      </c>
      <c r="AN400" s="582"/>
      <c r="AO400" s="582">
        <f>SUM(AO5:AO399)</f>
        <v>1259253.1654243264</v>
      </c>
    </row>
    <row r="401" spans="1:40" s="200" customFormat="1" ht="13.2" x14ac:dyDescent="0.3">
      <c r="A401" s="469"/>
      <c r="C401" s="488"/>
      <c r="D401" s="488"/>
      <c r="E401" s="488"/>
      <c r="F401" s="488"/>
      <c r="G401" s="489"/>
      <c r="H401" s="489"/>
      <c r="I401" s="489"/>
      <c r="J401" s="489"/>
      <c r="K401" s="489"/>
      <c r="L401" s="489"/>
      <c r="M401" s="489"/>
      <c r="N401" s="489"/>
      <c r="O401" s="489"/>
      <c r="P401" s="489"/>
      <c r="Q401" s="489"/>
      <c r="R401" s="489"/>
      <c r="S401" s="489"/>
      <c r="T401" s="489"/>
      <c r="U401" s="489"/>
      <c r="V401" s="489"/>
      <c r="W401" s="489"/>
      <c r="X401" s="489"/>
      <c r="Y401" s="489"/>
      <c r="Z401" s="489"/>
      <c r="AA401" s="489"/>
      <c r="AB401" s="489"/>
      <c r="AC401" s="489"/>
      <c r="AD401" s="489"/>
      <c r="AE401" s="489"/>
      <c r="AF401" s="489"/>
      <c r="AG401" s="489"/>
      <c r="AL401" s="489"/>
      <c r="AM401" s="489"/>
      <c r="AN401" s="489"/>
    </row>
    <row r="402" spans="1:40" x14ac:dyDescent="0.3">
      <c r="B402" s="471"/>
      <c r="AG402" s="482">
        <f>SUM(G400:AG400)</f>
        <v>5204673.9228883199</v>
      </c>
    </row>
    <row r="403" spans="1:40" x14ac:dyDescent="0.3">
      <c r="AH403" s="482">
        <v>5204673.92</v>
      </c>
      <c r="AI403" s="471">
        <f>AI400*1.2</f>
        <v>6245608.7074659839</v>
      </c>
    </row>
  </sheetData>
  <autoFilter ref="A4:AK400" xr:uid="{00000000-0009-0000-0000-00000F000000}"/>
  <sortState xmlns:xlrd2="http://schemas.microsoft.com/office/spreadsheetml/2017/richdata2" ref="A5:AG399">
    <sortCondition ref="A5:A399"/>
  </sortState>
  <mergeCells count="2">
    <mergeCell ref="AL3:AM3"/>
    <mergeCell ref="AN3:AO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A1:Z455"/>
  <sheetViews>
    <sheetView topLeftCell="A375" workbookViewId="0">
      <selection activeCell="M409" sqref="M409"/>
    </sheetView>
  </sheetViews>
  <sheetFormatPr defaultColWidth="9.109375" defaultRowHeight="14.4" x14ac:dyDescent="0.3"/>
  <cols>
    <col min="1" max="1" width="10.88671875" style="12" customWidth="1"/>
    <col min="2" max="2" width="36.109375" style="11" customWidth="1"/>
    <col min="3" max="3" width="12.109375" style="12" bestFit="1" customWidth="1"/>
    <col min="4" max="4" width="11.5546875" style="12" customWidth="1"/>
    <col min="5" max="5" width="12.44140625" style="12" customWidth="1"/>
    <col min="6" max="6" width="13.88671875" style="12" customWidth="1"/>
    <col min="7" max="7" width="11.33203125" style="12" customWidth="1"/>
    <col min="8" max="8" width="10.88671875" style="11" customWidth="1"/>
    <col min="9" max="9" width="11.33203125" style="12" customWidth="1"/>
    <col min="10" max="10" width="10.88671875" style="11" customWidth="1"/>
    <col min="11" max="11" width="11.33203125" style="12" customWidth="1"/>
    <col min="12" max="12" width="10.88671875" style="11" customWidth="1"/>
    <col min="13" max="13" width="14.109375" style="558" customWidth="1"/>
    <col min="14" max="14" width="13" style="562" customWidth="1"/>
    <col min="15" max="15" width="12.5546875" style="554" customWidth="1"/>
    <col min="16" max="16" width="11.109375" style="554" customWidth="1"/>
    <col min="17" max="17" width="12.6640625" style="554" customWidth="1"/>
    <col min="18" max="18" width="11.44140625" style="554" customWidth="1"/>
    <col min="19" max="19" width="13.109375" style="554" customWidth="1"/>
    <col min="20" max="20" width="12.5546875" style="554" customWidth="1"/>
    <col min="21" max="21" width="12.88671875" style="554" customWidth="1"/>
    <col min="22" max="22" width="15.109375" style="560" customWidth="1"/>
    <col min="23" max="24" width="9.109375" style="11"/>
    <col min="25" max="25" width="17.6640625" style="11" customWidth="1"/>
    <col min="26" max="26" width="15" style="532" customWidth="1"/>
    <col min="27" max="16384" width="9.109375" style="11"/>
  </cols>
  <sheetData>
    <row r="1" spans="1:26" ht="43.5" customHeight="1" x14ac:dyDescent="0.3">
      <c r="A1" s="11"/>
      <c r="B1" s="531" t="s">
        <v>1568</v>
      </c>
      <c r="C1" s="533" t="s">
        <v>1569</v>
      </c>
      <c r="D1" s="533" t="s">
        <v>1570</v>
      </c>
      <c r="E1" s="533" t="s">
        <v>1571</v>
      </c>
      <c r="F1" s="533" t="s">
        <v>1572</v>
      </c>
      <c r="G1" s="1418" t="s">
        <v>1573</v>
      </c>
      <c r="H1" s="1419"/>
      <c r="I1" s="1418" t="s">
        <v>1574</v>
      </c>
      <c r="J1" s="1419"/>
      <c r="K1" s="1418" t="s">
        <v>1575</v>
      </c>
      <c r="L1" s="1419"/>
      <c r="M1" s="1420" t="s">
        <v>1576</v>
      </c>
      <c r="N1" s="1422" t="s">
        <v>1577</v>
      </c>
      <c r="O1" s="1423" t="s">
        <v>1578</v>
      </c>
      <c r="P1" s="1422"/>
      <c r="Q1" s="1422"/>
      <c r="R1" s="1422"/>
      <c r="S1" s="1422"/>
      <c r="T1" s="1422"/>
      <c r="U1" s="1422"/>
      <c r="V1" s="1422"/>
    </row>
    <row r="2" spans="1:26" ht="39.6" x14ac:dyDescent="0.3">
      <c r="A2" s="501" t="s">
        <v>1127</v>
      </c>
      <c r="B2" s="531" t="s">
        <v>1579</v>
      </c>
      <c r="C2" s="523" t="s">
        <v>951</v>
      </c>
      <c r="D2" s="523" t="s">
        <v>951</v>
      </c>
      <c r="E2" s="523" t="s">
        <v>951</v>
      </c>
      <c r="F2" s="523" t="s">
        <v>951</v>
      </c>
      <c r="G2" s="511" t="s">
        <v>1582</v>
      </c>
      <c r="H2" s="533" t="s">
        <v>1581</v>
      </c>
      <c r="I2" s="511" t="s">
        <v>1582</v>
      </c>
      <c r="J2" s="533" t="s">
        <v>1581</v>
      </c>
      <c r="K2" s="511" t="s">
        <v>1582</v>
      </c>
      <c r="L2" s="533" t="s">
        <v>1581</v>
      </c>
      <c r="M2" s="1421"/>
      <c r="N2" s="1422"/>
      <c r="O2" s="534" t="s">
        <v>951</v>
      </c>
      <c r="P2" s="534" t="s">
        <v>952</v>
      </c>
      <c r="Q2" s="534" t="s">
        <v>953</v>
      </c>
      <c r="R2" s="534" t="s">
        <v>1583</v>
      </c>
      <c r="S2" s="534" t="s">
        <v>1142</v>
      </c>
      <c r="T2" s="535" t="s">
        <v>876</v>
      </c>
      <c r="U2" s="535" t="s">
        <v>1580</v>
      </c>
      <c r="V2" s="536" t="s">
        <v>922</v>
      </c>
      <c r="Z2" s="537" t="s">
        <v>1584</v>
      </c>
    </row>
    <row r="3" spans="1:26" x14ac:dyDescent="0.3">
      <c r="A3" s="499">
        <v>150000488</v>
      </c>
      <c r="B3" s="477" t="s">
        <v>34</v>
      </c>
      <c r="C3" s="524">
        <v>0</v>
      </c>
      <c r="D3" s="524">
        <v>0</v>
      </c>
      <c r="E3" s="539">
        <v>0</v>
      </c>
      <c r="F3" s="539">
        <v>0</v>
      </c>
      <c r="G3" s="483"/>
      <c r="H3" s="538">
        <v>0</v>
      </c>
      <c r="I3" s="483"/>
      <c r="J3" s="538">
        <v>0</v>
      </c>
      <c r="K3" s="483">
        <v>16.23</v>
      </c>
      <c r="L3" s="538">
        <v>16.23</v>
      </c>
      <c r="M3" s="540">
        <v>0</v>
      </c>
      <c r="N3" s="541">
        <v>16.23</v>
      </c>
      <c r="O3" s="542">
        <v>0</v>
      </c>
      <c r="P3" s="542">
        <v>0</v>
      </c>
      <c r="Q3" s="542">
        <v>0</v>
      </c>
      <c r="R3" s="542">
        <v>16.23</v>
      </c>
      <c r="S3" s="542">
        <v>0</v>
      </c>
      <c r="T3" s="542">
        <v>0</v>
      </c>
      <c r="U3" s="542">
        <v>0</v>
      </c>
      <c r="V3" s="543">
        <v>16.23</v>
      </c>
      <c r="W3" s="544">
        <v>1.220835581727777</v>
      </c>
      <c r="Y3" s="544">
        <v>0</v>
      </c>
      <c r="Z3" s="476">
        <v>3</v>
      </c>
    </row>
    <row r="4" spans="1:26" x14ac:dyDescent="0.3">
      <c r="A4" s="499">
        <v>150000490</v>
      </c>
      <c r="B4" s="477" t="s">
        <v>36</v>
      </c>
      <c r="C4" s="524">
        <v>0</v>
      </c>
      <c r="D4" s="524">
        <v>0</v>
      </c>
      <c r="E4" s="539">
        <v>0</v>
      </c>
      <c r="F4" s="539">
        <v>0</v>
      </c>
      <c r="G4" s="483"/>
      <c r="H4" s="538">
        <v>0</v>
      </c>
      <c r="I4" s="483"/>
      <c r="J4" s="538">
        <v>0</v>
      </c>
      <c r="K4" s="483">
        <v>27.19</v>
      </c>
      <c r="L4" s="538">
        <v>27.19</v>
      </c>
      <c r="M4" s="540">
        <v>0</v>
      </c>
      <c r="N4" s="541">
        <v>27.19</v>
      </c>
      <c r="O4" s="542">
        <v>0</v>
      </c>
      <c r="P4" s="542">
        <v>0</v>
      </c>
      <c r="Q4" s="542">
        <v>0</v>
      </c>
      <c r="R4" s="542">
        <v>27.19</v>
      </c>
      <c r="S4" s="542">
        <v>0</v>
      </c>
      <c r="T4" s="542">
        <v>0</v>
      </c>
      <c r="U4" s="542">
        <v>0</v>
      </c>
      <c r="V4" s="543">
        <v>27.19</v>
      </c>
      <c r="W4" s="544">
        <v>1.0962382926031202</v>
      </c>
      <c r="Y4" s="544">
        <v>0</v>
      </c>
      <c r="Z4" s="476">
        <v>2</v>
      </c>
    </row>
    <row r="5" spans="1:26" x14ac:dyDescent="0.3">
      <c r="A5" s="499">
        <v>150000492</v>
      </c>
      <c r="B5" s="477" t="s">
        <v>35</v>
      </c>
      <c r="C5" s="524">
        <v>0</v>
      </c>
      <c r="D5" s="524">
        <v>0</v>
      </c>
      <c r="E5" s="539">
        <v>0</v>
      </c>
      <c r="F5" s="539">
        <v>0</v>
      </c>
      <c r="G5" s="483"/>
      <c r="H5" s="538">
        <v>0</v>
      </c>
      <c r="I5" s="483"/>
      <c r="J5" s="538">
        <v>0</v>
      </c>
      <c r="K5" s="483">
        <v>13.08</v>
      </c>
      <c r="L5" s="538">
        <v>13.08</v>
      </c>
      <c r="M5" s="540">
        <v>0</v>
      </c>
      <c r="N5" s="541">
        <v>13.08</v>
      </c>
      <c r="O5" s="542">
        <v>0</v>
      </c>
      <c r="P5" s="542">
        <v>0</v>
      </c>
      <c r="Q5" s="542">
        <v>0</v>
      </c>
      <c r="R5" s="542">
        <v>13.08</v>
      </c>
      <c r="S5" s="542">
        <v>0</v>
      </c>
      <c r="T5" s="542">
        <v>0</v>
      </c>
      <c r="U5" s="542">
        <v>0</v>
      </c>
      <c r="V5" s="543">
        <v>13.08</v>
      </c>
      <c r="W5" s="544">
        <v>1.0972086171612341</v>
      </c>
      <c r="Y5" s="544">
        <v>0</v>
      </c>
      <c r="Z5" s="476">
        <v>2</v>
      </c>
    </row>
    <row r="6" spans="1:26" x14ac:dyDescent="0.3">
      <c r="A6" s="499">
        <v>150000493</v>
      </c>
      <c r="B6" s="477" t="s">
        <v>417</v>
      </c>
      <c r="C6" s="524">
        <v>849.8</v>
      </c>
      <c r="D6" s="524">
        <v>132.47</v>
      </c>
      <c r="E6" s="539">
        <v>42.26</v>
      </c>
      <c r="F6" s="539">
        <v>321.75</v>
      </c>
      <c r="G6" s="483">
        <v>895.47</v>
      </c>
      <c r="H6" s="538">
        <v>895.47</v>
      </c>
      <c r="I6" s="483">
        <v>183.48</v>
      </c>
      <c r="J6" s="538">
        <v>183.48</v>
      </c>
      <c r="K6" s="483">
        <v>75.709999999999994</v>
      </c>
      <c r="L6" s="538">
        <v>75.709999999999994</v>
      </c>
      <c r="M6" s="540">
        <v>2533.9432832073689</v>
      </c>
      <c r="N6" s="541">
        <v>7124.6407274393105</v>
      </c>
      <c r="O6" s="542">
        <v>1346.28</v>
      </c>
      <c r="P6" s="542">
        <v>296.1816</v>
      </c>
      <c r="Q6" s="542">
        <v>156.23100062739462</v>
      </c>
      <c r="R6" s="542">
        <v>1154.6600000000001</v>
      </c>
      <c r="S6" s="542">
        <v>2533.9432832073689</v>
      </c>
      <c r="T6" s="542">
        <v>1285.3384620601437</v>
      </c>
      <c r="U6" s="542">
        <v>352.00638154440333</v>
      </c>
      <c r="V6" s="543">
        <v>7124.6407274393114</v>
      </c>
      <c r="W6" s="544">
        <v>1.0483490889367937</v>
      </c>
      <c r="Y6" s="544">
        <v>0</v>
      </c>
      <c r="Z6" s="476">
        <v>3</v>
      </c>
    </row>
    <row r="7" spans="1:26" x14ac:dyDescent="0.3">
      <c r="A7" s="499">
        <v>150000494</v>
      </c>
      <c r="B7" s="477" t="s">
        <v>418</v>
      </c>
      <c r="C7" s="524">
        <v>959.07</v>
      </c>
      <c r="D7" s="524">
        <v>145.91</v>
      </c>
      <c r="E7" s="539">
        <v>42.26</v>
      </c>
      <c r="F7" s="539">
        <v>334.26</v>
      </c>
      <c r="G7" s="483">
        <v>1227.21</v>
      </c>
      <c r="H7" s="538">
        <v>1227.21</v>
      </c>
      <c r="I7" s="483">
        <v>250.57</v>
      </c>
      <c r="J7" s="538">
        <v>250.57</v>
      </c>
      <c r="K7" s="483">
        <v>95.76</v>
      </c>
      <c r="L7" s="538">
        <v>95.76</v>
      </c>
      <c r="M7" s="540">
        <v>3374.0230309218528</v>
      </c>
      <c r="N7" s="541">
        <v>8725.9209112433018</v>
      </c>
      <c r="O7" s="542">
        <v>1481.5</v>
      </c>
      <c r="P7" s="542">
        <v>325.93</v>
      </c>
      <c r="Q7" s="542">
        <v>169.4148192843285</v>
      </c>
      <c r="R7" s="542">
        <v>1573.54</v>
      </c>
      <c r="S7" s="542">
        <v>3374.0230309218528</v>
      </c>
      <c r="T7" s="542">
        <v>1414.437510430299</v>
      </c>
      <c r="U7" s="542">
        <v>387.07555060682159</v>
      </c>
      <c r="V7" s="543">
        <v>8725.9209112433036</v>
      </c>
      <c r="W7" s="544">
        <v>1.0495051125811448</v>
      </c>
      <c r="Y7" s="544">
        <v>0</v>
      </c>
      <c r="Z7" s="476">
        <v>3</v>
      </c>
    </row>
    <row r="8" spans="1:26" x14ac:dyDescent="0.3">
      <c r="A8" s="499">
        <v>150000495</v>
      </c>
      <c r="B8" s="477" t="s">
        <v>147</v>
      </c>
      <c r="C8" s="524">
        <v>35.380000000000003</v>
      </c>
      <c r="D8" s="524">
        <v>14.37</v>
      </c>
      <c r="E8" s="539">
        <v>0</v>
      </c>
      <c r="F8" s="539">
        <v>18.02</v>
      </c>
      <c r="G8" s="483">
        <v>54.68</v>
      </c>
      <c r="H8" s="538">
        <v>54.68</v>
      </c>
      <c r="I8" s="483"/>
      <c r="J8" s="538">
        <v>0</v>
      </c>
      <c r="K8" s="483">
        <v>8.69</v>
      </c>
      <c r="L8" s="538">
        <v>8.69</v>
      </c>
      <c r="M8" s="540">
        <v>146.06596836719382</v>
      </c>
      <c r="N8" s="541">
        <v>382.25165143056489</v>
      </c>
      <c r="O8" s="542">
        <v>67.77</v>
      </c>
      <c r="P8" s="542">
        <v>14.9094</v>
      </c>
      <c r="Q8" s="542">
        <v>7.7298221565805649</v>
      </c>
      <c r="R8" s="542">
        <v>63.37</v>
      </c>
      <c r="S8" s="542">
        <v>146.06596836719382</v>
      </c>
      <c r="T8" s="542">
        <v>64.702281526737352</v>
      </c>
      <c r="U8" s="542">
        <v>17.704179380053148</v>
      </c>
      <c r="V8" s="543">
        <v>382.25165143056483</v>
      </c>
      <c r="W8" s="544">
        <v>0.1612229396126092</v>
      </c>
      <c r="Y8" s="544"/>
      <c r="Z8" s="476">
        <v>3</v>
      </c>
    </row>
    <row r="9" spans="1:26" x14ac:dyDescent="0.3">
      <c r="A9" s="499">
        <v>150000496</v>
      </c>
      <c r="B9" s="477" t="s">
        <v>148</v>
      </c>
      <c r="C9" s="524">
        <v>35.380000000000003</v>
      </c>
      <c r="D9" s="524">
        <v>14.37</v>
      </c>
      <c r="E9" s="539">
        <v>0</v>
      </c>
      <c r="F9" s="539">
        <v>18.02</v>
      </c>
      <c r="G9" s="483">
        <v>53.58</v>
      </c>
      <c r="H9" s="538">
        <v>53.58</v>
      </c>
      <c r="I9" s="483"/>
      <c r="J9" s="538">
        <v>0</v>
      </c>
      <c r="K9" s="483">
        <v>50.66</v>
      </c>
      <c r="L9" s="538">
        <v>50.66</v>
      </c>
      <c r="M9" s="540">
        <v>143.9280526005918</v>
      </c>
      <c r="N9" s="541">
        <v>420.98373566396282</v>
      </c>
      <c r="O9" s="542">
        <v>67.77</v>
      </c>
      <c r="P9" s="542">
        <v>14.9094</v>
      </c>
      <c r="Q9" s="542">
        <v>7.7298221565805649</v>
      </c>
      <c r="R9" s="542">
        <v>104.24</v>
      </c>
      <c r="S9" s="542">
        <v>143.9280526005918</v>
      </c>
      <c r="T9" s="542">
        <v>64.702281526737352</v>
      </c>
      <c r="U9" s="542">
        <v>17.704179380053148</v>
      </c>
      <c r="V9" s="543">
        <v>420.98373566396288</v>
      </c>
      <c r="W9" s="544">
        <v>5.1057002642506608E-2</v>
      </c>
      <c r="Y9" s="544"/>
      <c r="Z9" s="476">
        <v>3</v>
      </c>
    </row>
    <row r="10" spans="1:26" x14ac:dyDescent="0.3">
      <c r="A10" s="499">
        <v>150000497</v>
      </c>
      <c r="B10" s="477" t="s">
        <v>340</v>
      </c>
      <c r="C10" s="524">
        <v>510.4</v>
      </c>
      <c r="D10" s="524">
        <v>77.11</v>
      </c>
      <c r="E10" s="539">
        <v>26.37</v>
      </c>
      <c r="F10" s="539">
        <v>143.61000000000001</v>
      </c>
      <c r="G10" s="483">
        <v>552.59</v>
      </c>
      <c r="H10" s="538">
        <v>552.59</v>
      </c>
      <c r="I10" s="483">
        <v>109.94</v>
      </c>
      <c r="J10" s="538">
        <v>109.94</v>
      </c>
      <c r="K10" s="483">
        <v>81.96</v>
      </c>
      <c r="L10" s="538">
        <v>81.96</v>
      </c>
      <c r="M10" s="540">
        <v>1483.4997504451364</v>
      </c>
      <c r="N10" s="541">
        <v>4214.3424322937726</v>
      </c>
      <c r="O10" s="542">
        <v>757.49</v>
      </c>
      <c r="P10" s="542">
        <v>166.64779999999999</v>
      </c>
      <c r="Q10" s="542">
        <v>135.52110734743451</v>
      </c>
      <c r="R10" s="542">
        <v>744.49</v>
      </c>
      <c r="S10" s="542">
        <v>1483.4997504451364</v>
      </c>
      <c r="T10" s="542">
        <v>723.20099208629586</v>
      </c>
      <c r="U10" s="542">
        <v>203.49278241490589</v>
      </c>
      <c r="V10" s="543">
        <v>4214.3424322937726</v>
      </c>
      <c r="W10" s="544">
        <v>0.1369633507853403</v>
      </c>
      <c r="Y10" s="544"/>
      <c r="Z10" s="476">
        <v>3</v>
      </c>
    </row>
    <row r="11" spans="1:26" x14ac:dyDescent="0.3">
      <c r="A11" s="499">
        <v>150000498</v>
      </c>
      <c r="B11" s="477" t="s">
        <v>241</v>
      </c>
      <c r="C11" s="524">
        <v>548.30999999999995</v>
      </c>
      <c r="D11" s="524">
        <v>115.41</v>
      </c>
      <c r="E11" s="539">
        <v>0</v>
      </c>
      <c r="F11" s="539">
        <v>448.07</v>
      </c>
      <c r="G11" s="483">
        <v>640.35</v>
      </c>
      <c r="H11" s="538">
        <v>640.35</v>
      </c>
      <c r="I11" s="483"/>
      <c r="J11" s="538">
        <v>0</v>
      </c>
      <c r="K11" s="483">
        <v>104.86</v>
      </c>
      <c r="L11" s="538">
        <v>104.86</v>
      </c>
      <c r="M11" s="540">
        <v>1742.6507732867435</v>
      </c>
      <c r="N11" s="541">
        <v>5321.8192470638223</v>
      </c>
      <c r="O11" s="542">
        <v>1111.79</v>
      </c>
      <c r="P11" s="542">
        <v>244.59380000000002</v>
      </c>
      <c r="Q11" s="542">
        <v>125.7855091546343</v>
      </c>
      <c r="R11" s="542">
        <v>745.21</v>
      </c>
      <c r="S11" s="542">
        <v>1742.6507732867435</v>
      </c>
      <c r="T11" s="542">
        <v>1061.4630305239973</v>
      </c>
      <c r="U11" s="542">
        <v>290.32613409844743</v>
      </c>
      <c r="V11" s="543">
        <v>5321.8192470638223</v>
      </c>
      <c r="W11" s="544">
        <v>0.18433898305084748</v>
      </c>
      <c r="Y11" s="544"/>
      <c r="Z11" s="476">
        <v>3</v>
      </c>
    </row>
    <row r="12" spans="1:26" x14ac:dyDescent="0.3">
      <c r="A12" s="499">
        <v>150000501</v>
      </c>
      <c r="B12" s="477" t="s">
        <v>263</v>
      </c>
      <c r="C12" s="524">
        <v>556.35</v>
      </c>
      <c r="D12" s="524">
        <v>116.69</v>
      </c>
      <c r="E12" s="539">
        <v>0</v>
      </c>
      <c r="F12" s="539">
        <v>418.69</v>
      </c>
      <c r="G12" s="483">
        <v>498.01</v>
      </c>
      <c r="H12" s="538">
        <v>498.01</v>
      </c>
      <c r="I12" s="483"/>
      <c r="J12" s="538">
        <v>0</v>
      </c>
      <c r="K12" s="483">
        <v>108.27</v>
      </c>
      <c r="L12" s="538">
        <v>108.27</v>
      </c>
      <c r="M12" s="540">
        <v>1613.9945656455789</v>
      </c>
      <c r="N12" s="541">
        <v>4987.0262319293161</v>
      </c>
      <c r="O12" s="542">
        <v>1091.73</v>
      </c>
      <c r="P12" s="542">
        <v>240.18060000000003</v>
      </c>
      <c r="Q12" s="542">
        <v>109.0888846047574</v>
      </c>
      <c r="R12" s="542">
        <v>606.28</v>
      </c>
      <c r="S12" s="542">
        <v>1613.9945656455789</v>
      </c>
      <c r="T12" s="542">
        <v>1042.3110788134125</v>
      </c>
      <c r="U12" s="542">
        <v>283.4411028655673</v>
      </c>
      <c r="V12" s="543">
        <v>4987.026231929317</v>
      </c>
      <c r="W12" s="544">
        <v>1.0122357765993593</v>
      </c>
      <c r="Y12" s="544">
        <v>0</v>
      </c>
      <c r="Z12" s="476">
        <v>1</v>
      </c>
    </row>
    <row r="13" spans="1:26" x14ac:dyDescent="0.3">
      <c r="A13" s="499">
        <v>150000502</v>
      </c>
      <c r="B13" s="477" t="s">
        <v>108</v>
      </c>
      <c r="C13" s="524">
        <v>0</v>
      </c>
      <c r="D13" s="524">
        <v>0</v>
      </c>
      <c r="E13" s="539">
        <v>0</v>
      </c>
      <c r="F13" s="539">
        <v>0</v>
      </c>
      <c r="G13" s="483"/>
      <c r="H13" s="538">
        <v>0</v>
      </c>
      <c r="I13" s="483"/>
      <c r="J13" s="538">
        <v>0</v>
      </c>
      <c r="K13" s="483">
        <v>33.74</v>
      </c>
      <c r="L13" s="538">
        <v>33.74</v>
      </c>
      <c r="M13" s="540">
        <v>0</v>
      </c>
      <c r="N13" s="541">
        <v>33.74</v>
      </c>
      <c r="O13" s="542">
        <v>0</v>
      </c>
      <c r="P13" s="542">
        <v>0</v>
      </c>
      <c r="Q13" s="542">
        <v>0</v>
      </c>
      <c r="R13" s="542">
        <v>33.74</v>
      </c>
      <c r="S13" s="542">
        <v>0</v>
      </c>
      <c r="T13" s="542">
        <v>0</v>
      </c>
      <c r="U13" s="542">
        <v>0</v>
      </c>
      <c r="V13" s="543">
        <v>33.74</v>
      </c>
      <c r="W13" s="544">
        <v>0.93248030500467116</v>
      </c>
      <c r="Y13" s="544">
        <v>0</v>
      </c>
      <c r="Z13" s="476">
        <v>1</v>
      </c>
    </row>
    <row r="14" spans="1:26" x14ac:dyDescent="0.3">
      <c r="A14" s="499">
        <v>150000503</v>
      </c>
      <c r="B14" s="477" t="s">
        <v>109</v>
      </c>
      <c r="C14" s="524">
        <v>0.01</v>
      </c>
      <c r="D14" s="524">
        <v>0</v>
      </c>
      <c r="E14" s="539">
        <v>0</v>
      </c>
      <c r="F14" s="539">
        <v>0</v>
      </c>
      <c r="G14" s="483"/>
      <c r="H14" s="538">
        <v>0</v>
      </c>
      <c r="I14" s="483"/>
      <c r="J14" s="538">
        <v>0</v>
      </c>
      <c r="K14" s="483">
        <v>31.86</v>
      </c>
      <c r="L14" s="538">
        <v>31.86</v>
      </c>
      <c r="M14" s="540">
        <v>0</v>
      </c>
      <c r="N14" s="541">
        <v>31.884756214974129</v>
      </c>
      <c r="O14" s="542">
        <v>0.01</v>
      </c>
      <c r="P14" s="542">
        <v>2.2000000000000001E-3</v>
      </c>
      <c r="Q14" s="542">
        <v>4.7271968583333302E-4</v>
      </c>
      <c r="R14" s="542">
        <v>31.86</v>
      </c>
      <c r="S14" s="542">
        <v>0</v>
      </c>
      <c r="T14" s="542">
        <v>9.5473338537313476E-3</v>
      </c>
      <c r="U14" s="542">
        <v>2.536161434563841E-3</v>
      </c>
      <c r="V14" s="543">
        <v>31.884756214974129</v>
      </c>
      <c r="W14" s="544">
        <v>1.042219532255497</v>
      </c>
      <c r="Y14" s="544">
        <v>0</v>
      </c>
      <c r="Z14" s="476">
        <v>1</v>
      </c>
    </row>
    <row r="15" spans="1:26" x14ac:dyDescent="0.3">
      <c r="A15" s="499">
        <v>150000504</v>
      </c>
      <c r="B15" s="477" t="s">
        <v>110</v>
      </c>
      <c r="C15" s="524">
        <v>0</v>
      </c>
      <c r="D15" s="524">
        <v>0</v>
      </c>
      <c r="E15" s="539">
        <v>0</v>
      </c>
      <c r="F15" s="539">
        <v>0</v>
      </c>
      <c r="G15" s="483"/>
      <c r="H15" s="538">
        <v>0</v>
      </c>
      <c r="I15" s="483"/>
      <c r="J15" s="538">
        <v>0</v>
      </c>
      <c r="K15" s="483">
        <v>48.15</v>
      </c>
      <c r="L15" s="538">
        <v>48.15</v>
      </c>
      <c r="M15" s="540">
        <v>0</v>
      </c>
      <c r="N15" s="541">
        <v>48.15</v>
      </c>
      <c r="O15" s="542">
        <v>0</v>
      </c>
      <c r="P15" s="542">
        <v>0</v>
      </c>
      <c r="Q15" s="542">
        <v>0</v>
      </c>
      <c r="R15" s="542">
        <v>48.15</v>
      </c>
      <c r="S15" s="542">
        <v>0</v>
      </c>
      <c r="T15" s="542">
        <v>0</v>
      </c>
      <c r="U15" s="542">
        <v>0</v>
      </c>
      <c r="V15" s="543">
        <v>48.15</v>
      </c>
      <c r="W15" s="544">
        <v>1.0881508264796087</v>
      </c>
      <c r="Y15" s="544">
        <v>0</v>
      </c>
      <c r="Z15" s="476">
        <v>1</v>
      </c>
    </row>
    <row r="16" spans="1:26" x14ac:dyDescent="0.3">
      <c r="A16" s="499">
        <v>150000505</v>
      </c>
      <c r="B16" s="477" t="s">
        <v>112</v>
      </c>
      <c r="C16" s="524">
        <v>0</v>
      </c>
      <c r="D16" s="524">
        <v>0</v>
      </c>
      <c r="E16" s="539">
        <v>0</v>
      </c>
      <c r="F16" s="539">
        <v>0</v>
      </c>
      <c r="G16" s="483"/>
      <c r="H16" s="538">
        <v>0</v>
      </c>
      <c r="I16" s="483"/>
      <c r="J16" s="538">
        <v>0</v>
      </c>
      <c r="K16" s="483">
        <v>32.880000000000003</v>
      </c>
      <c r="L16" s="538">
        <v>32.880000000000003</v>
      </c>
      <c r="M16" s="540">
        <v>0</v>
      </c>
      <c r="N16" s="541">
        <v>32.880000000000003</v>
      </c>
      <c r="O16" s="542">
        <v>0</v>
      </c>
      <c r="P16" s="542">
        <v>0</v>
      </c>
      <c r="Q16" s="542">
        <v>0</v>
      </c>
      <c r="R16" s="542">
        <v>32.880000000000003</v>
      </c>
      <c r="S16" s="542">
        <v>0</v>
      </c>
      <c r="T16" s="542">
        <v>0</v>
      </c>
      <c r="U16" s="542">
        <v>0</v>
      </c>
      <c r="V16" s="543">
        <v>32.880000000000003</v>
      </c>
      <c r="W16" s="544">
        <v>1.249483276311421</v>
      </c>
      <c r="Y16" s="544">
        <v>0</v>
      </c>
      <c r="Z16" s="476">
        <v>2</v>
      </c>
    </row>
    <row r="17" spans="1:26" x14ac:dyDescent="0.3">
      <c r="A17" s="499">
        <v>150000506</v>
      </c>
      <c r="B17" s="477" t="s">
        <v>111</v>
      </c>
      <c r="C17" s="524">
        <v>0</v>
      </c>
      <c r="D17" s="524">
        <v>0</v>
      </c>
      <c r="E17" s="539">
        <v>0</v>
      </c>
      <c r="F17" s="539">
        <v>0</v>
      </c>
      <c r="G17" s="483"/>
      <c r="H17" s="538">
        <v>0</v>
      </c>
      <c r="I17" s="483"/>
      <c r="J17" s="538">
        <v>0</v>
      </c>
      <c r="K17" s="483">
        <v>31.87</v>
      </c>
      <c r="L17" s="538">
        <v>31.87</v>
      </c>
      <c r="M17" s="540">
        <v>0</v>
      </c>
      <c r="N17" s="541">
        <v>31.87</v>
      </c>
      <c r="O17" s="542">
        <v>0</v>
      </c>
      <c r="P17" s="542">
        <v>0</v>
      </c>
      <c r="Q17" s="542">
        <v>0</v>
      </c>
      <c r="R17" s="542">
        <v>31.87</v>
      </c>
      <c r="S17" s="542">
        <v>0</v>
      </c>
      <c r="T17" s="542">
        <v>0</v>
      </c>
      <c r="U17" s="542">
        <v>0</v>
      </c>
      <c r="V17" s="543">
        <v>31.87</v>
      </c>
      <c r="W17" s="544">
        <v>0.10583472811490405</v>
      </c>
      <c r="Y17" s="544"/>
      <c r="Z17" s="476">
        <v>3</v>
      </c>
    </row>
    <row r="18" spans="1:26" x14ac:dyDescent="0.3">
      <c r="A18" s="499">
        <v>150000507</v>
      </c>
      <c r="B18" s="477" t="s">
        <v>113</v>
      </c>
      <c r="C18" s="524">
        <v>0</v>
      </c>
      <c r="D18" s="524">
        <v>0</v>
      </c>
      <c r="E18" s="539">
        <v>0</v>
      </c>
      <c r="F18" s="539">
        <v>0</v>
      </c>
      <c r="G18" s="483"/>
      <c r="H18" s="538">
        <v>0</v>
      </c>
      <c r="I18" s="483"/>
      <c r="J18" s="538">
        <v>0</v>
      </c>
      <c r="K18" s="483">
        <v>63.19</v>
      </c>
      <c r="L18" s="538">
        <v>63.19</v>
      </c>
      <c r="M18" s="540">
        <v>0</v>
      </c>
      <c r="N18" s="541">
        <v>63.19</v>
      </c>
      <c r="O18" s="542">
        <v>0</v>
      </c>
      <c r="P18" s="542">
        <v>0</v>
      </c>
      <c r="Q18" s="542">
        <v>0</v>
      </c>
      <c r="R18" s="542">
        <v>63.19</v>
      </c>
      <c r="S18" s="542">
        <v>0</v>
      </c>
      <c r="T18" s="542">
        <v>0</v>
      </c>
      <c r="U18" s="542">
        <v>0</v>
      </c>
      <c r="V18" s="543">
        <v>63.19</v>
      </c>
      <c r="W18" s="544">
        <v>0.93869241254066127</v>
      </c>
      <c r="Y18" s="544">
        <v>0</v>
      </c>
      <c r="Z18" s="476">
        <v>2</v>
      </c>
    </row>
    <row r="19" spans="1:26" x14ac:dyDescent="0.3">
      <c r="A19" s="499">
        <v>150000508</v>
      </c>
      <c r="B19" s="477" t="s">
        <v>114</v>
      </c>
      <c r="C19" s="524">
        <v>0</v>
      </c>
      <c r="D19" s="524">
        <v>0</v>
      </c>
      <c r="E19" s="539">
        <v>0</v>
      </c>
      <c r="F19" s="539">
        <v>0</v>
      </c>
      <c r="G19" s="483"/>
      <c r="H19" s="538">
        <v>0</v>
      </c>
      <c r="I19" s="483"/>
      <c r="J19" s="538">
        <v>0</v>
      </c>
      <c r="K19" s="483">
        <v>19.34</v>
      </c>
      <c r="L19" s="538">
        <v>19.34</v>
      </c>
      <c r="M19" s="540">
        <v>0</v>
      </c>
      <c r="N19" s="541">
        <v>19.34</v>
      </c>
      <c r="O19" s="542">
        <v>0</v>
      </c>
      <c r="P19" s="542">
        <v>0</v>
      </c>
      <c r="Q19" s="542">
        <v>0</v>
      </c>
      <c r="R19" s="542">
        <v>19.34</v>
      </c>
      <c r="S19" s="542">
        <v>0</v>
      </c>
      <c r="T19" s="542">
        <v>0</v>
      </c>
      <c r="U19" s="542">
        <v>0</v>
      </c>
      <c r="V19" s="543">
        <v>19.34</v>
      </c>
      <c r="W19" s="544">
        <v>1.16544558588347</v>
      </c>
      <c r="Y19" s="544">
        <v>0</v>
      </c>
      <c r="Z19" s="476">
        <v>2</v>
      </c>
    </row>
    <row r="20" spans="1:26" x14ac:dyDescent="0.3">
      <c r="A20" s="499">
        <v>150000509</v>
      </c>
      <c r="B20" s="477" t="s">
        <v>52</v>
      </c>
      <c r="C20" s="524">
        <v>0</v>
      </c>
      <c r="D20" s="524">
        <v>0</v>
      </c>
      <c r="E20" s="539">
        <v>0</v>
      </c>
      <c r="F20" s="539">
        <v>0</v>
      </c>
      <c r="G20" s="483"/>
      <c r="H20" s="538">
        <v>0</v>
      </c>
      <c r="I20" s="483"/>
      <c r="J20" s="538">
        <v>0</v>
      </c>
      <c r="K20" s="483">
        <v>27.19</v>
      </c>
      <c r="L20" s="538">
        <v>27.19</v>
      </c>
      <c r="M20" s="540">
        <v>0</v>
      </c>
      <c r="N20" s="541">
        <v>27.19</v>
      </c>
      <c r="O20" s="542">
        <v>0</v>
      </c>
      <c r="P20" s="542">
        <v>0</v>
      </c>
      <c r="Q20" s="542">
        <v>0</v>
      </c>
      <c r="R20" s="542">
        <v>27.19</v>
      </c>
      <c r="S20" s="542">
        <v>0</v>
      </c>
      <c r="T20" s="542">
        <v>0</v>
      </c>
      <c r="U20" s="542">
        <v>0</v>
      </c>
      <c r="V20" s="543">
        <v>27.19</v>
      </c>
      <c r="W20" s="544">
        <v>0.91727502164451313</v>
      </c>
      <c r="Y20" s="544">
        <v>0</v>
      </c>
      <c r="Z20" s="476">
        <v>3</v>
      </c>
    </row>
    <row r="21" spans="1:26" x14ac:dyDescent="0.3">
      <c r="A21" s="499">
        <v>150000510</v>
      </c>
      <c r="B21" s="477" t="s">
        <v>248</v>
      </c>
      <c r="C21" s="524">
        <v>220</v>
      </c>
      <c r="D21" s="524">
        <v>41.83</v>
      </c>
      <c r="E21" s="539">
        <v>0</v>
      </c>
      <c r="F21" s="539">
        <v>165.28</v>
      </c>
      <c r="G21" s="483">
        <v>358.35</v>
      </c>
      <c r="H21" s="538">
        <v>358.35</v>
      </c>
      <c r="I21" s="483"/>
      <c r="J21" s="538">
        <v>0</v>
      </c>
      <c r="K21" s="483">
        <v>49.39</v>
      </c>
      <c r="L21" s="538">
        <v>49.39</v>
      </c>
      <c r="M21" s="540">
        <v>1029.4278207765349</v>
      </c>
      <c r="N21" s="541">
        <v>2536.3892843533804</v>
      </c>
      <c r="O21" s="542">
        <v>427.11</v>
      </c>
      <c r="P21" s="542">
        <v>93.964200000000005</v>
      </c>
      <c r="Q21" s="542">
        <v>57.760856469443695</v>
      </c>
      <c r="R21" s="542">
        <v>407.74</v>
      </c>
      <c r="S21" s="542">
        <v>1029.4278207765349</v>
      </c>
      <c r="T21" s="542">
        <v>407.7761762267196</v>
      </c>
      <c r="U21" s="542">
        <v>112.61023088068231</v>
      </c>
      <c r="V21" s="543">
        <v>2536.3892843533804</v>
      </c>
      <c r="W21" s="544">
        <v>0.15660592255125286</v>
      </c>
      <c r="Y21" s="544"/>
      <c r="Z21" s="476">
        <v>3</v>
      </c>
    </row>
    <row r="22" spans="1:26" x14ac:dyDescent="0.3">
      <c r="A22" s="499">
        <v>150000511</v>
      </c>
      <c r="B22" s="477" t="s">
        <v>249</v>
      </c>
      <c r="C22" s="524">
        <v>402.63</v>
      </c>
      <c r="D22" s="524">
        <v>77.2</v>
      </c>
      <c r="E22" s="539">
        <v>0</v>
      </c>
      <c r="F22" s="539">
        <v>233.1</v>
      </c>
      <c r="G22" s="483">
        <v>403.96</v>
      </c>
      <c r="H22" s="538">
        <v>403.96</v>
      </c>
      <c r="I22" s="483"/>
      <c r="J22" s="538">
        <v>0</v>
      </c>
      <c r="K22" s="483">
        <v>163.36000000000001</v>
      </c>
      <c r="L22" s="538">
        <v>163.36000000000001</v>
      </c>
      <c r="M22" s="540">
        <v>1147.1699684291964</v>
      </c>
      <c r="N22" s="541">
        <v>3531.7857402050404</v>
      </c>
      <c r="O22" s="542">
        <v>712.93</v>
      </c>
      <c r="P22" s="542">
        <v>156.84460000000001</v>
      </c>
      <c r="Q22" s="542">
        <v>80.689427139040404</v>
      </c>
      <c r="R22" s="542">
        <v>567.31999999999994</v>
      </c>
      <c r="S22" s="542">
        <v>1147.1699684291964</v>
      </c>
      <c r="T22" s="542">
        <v>680.65807243406903</v>
      </c>
      <c r="U22" s="542">
        <v>186.17367220273431</v>
      </c>
      <c r="V22" s="543">
        <v>3531.7857402050404</v>
      </c>
      <c r="W22" s="544">
        <v>0.10673141326188881</v>
      </c>
      <c r="Y22" s="544"/>
      <c r="Z22" s="476">
        <v>3</v>
      </c>
    </row>
    <row r="23" spans="1:26" x14ac:dyDescent="0.3">
      <c r="A23" s="499">
        <v>150000512</v>
      </c>
      <c r="B23" s="477" t="s">
        <v>250</v>
      </c>
      <c r="C23" s="524">
        <v>179.84</v>
      </c>
      <c r="D23" s="524">
        <v>39.53</v>
      </c>
      <c r="E23" s="539">
        <v>0</v>
      </c>
      <c r="F23" s="539">
        <v>99.47</v>
      </c>
      <c r="G23" s="483">
        <v>195.16</v>
      </c>
      <c r="H23" s="538">
        <v>195.16</v>
      </c>
      <c r="I23" s="483"/>
      <c r="J23" s="538">
        <v>0</v>
      </c>
      <c r="K23" s="483">
        <v>65.67</v>
      </c>
      <c r="L23" s="538">
        <v>65.67</v>
      </c>
      <c r="M23" s="540">
        <v>666.92282339149767</v>
      </c>
      <c r="N23" s="541">
        <v>1749.3547291316477</v>
      </c>
      <c r="O23" s="542">
        <v>318.84000000000003</v>
      </c>
      <c r="P23" s="542">
        <v>70.144800000000004</v>
      </c>
      <c r="Q23" s="542">
        <v>44.0405411302918</v>
      </c>
      <c r="R23" s="542">
        <v>260.83</v>
      </c>
      <c r="S23" s="542">
        <v>666.92282339149767</v>
      </c>
      <c r="T23" s="542">
        <v>304.40719259237028</v>
      </c>
      <c r="U23" s="542">
        <v>84.169372017487731</v>
      </c>
      <c r="V23" s="543">
        <v>1749.3547291316479</v>
      </c>
      <c r="W23" s="544">
        <v>0.10680294906166221</v>
      </c>
      <c r="Y23" s="544"/>
      <c r="Z23" s="476">
        <v>3</v>
      </c>
    </row>
    <row r="24" spans="1:26" x14ac:dyDescent="0.3">
      <c r="A24" s="499">
        <v>150000513</v>
      </c>
      <c r="B24" s="477" t="s">
        <v>333</v>
      </c>
      <c r="C24" s="524">
        <v>268.62</v>
      </c>
      <c r="D24" s="524">
        <v>54.67</v>
      </c>
      <c r="E24" s="539">
        <v>13.79</v>
      </c>
      <c r="F24" s="539">
        <v>123.8</v>
      </c>
      <c r="G24" s="483">
        <v>462.95</v>
      </c>
      <c r="H24" s="538">
        <v>462.95</v>
      </c>
      <c r="I24" s="483">
        <v>97.06</v>
      </c>
      <c r="J24" s="538">
        <v>97.06</v>
      </c>
      <c r="K24" s="483">
        <v>10.61</v>
      </c>
      <c r="L24" s="538">
        <v>10.61</v>
      </c>
      <c r="M24" s="540">
        <v>1293.4390387942174</v>
      </c>
      <c r="N24" s="541">
        <v>3038.9946523306435</v>
      </c>
      <c r="O24" s="542">
        <v>460.88000000000005</v>
      </c>
      <c r="P24" s="542">
        <v>101.39360000000001</v>
      </c>
      <c r="Q24" s="542">
        <v>52.277690295955296</v>
      </c>
      <c r="R24" s="542">
        <v>570.62</v>
      </c>
      <c r="S24" s="542">
        <v>1293.4390387942174</v>
      </c>
      <c r="T24" s="542">
        <v>440.01752265077033</v>
      </c>
      <c r="U24" s="542">
        <v>120.36680058970066</v>
      </c>
      <c r="V24" s="543">
        <v>3038.9946523306439</v>
      </c>
      <c r="W24" s="544">
        <v>0.11487114490916774</v>
      </c>
      <c r="Y24" s="544"/>
      <c r="Z24" s="476">
        <v>3</v>
      </c>
    </row>
    <row r="25" spans="1:26" x14ac:dyDescent="0.3">
      <c r="A25" s="499">
        <v>150000514</v>
      </c>
      <c r="B25" s="477" t="s">
        <v>151</v>
      </c>
      <c r="C25" s="524">
        <v>48.79</v>
      </c>
      <c r="D25" s="524">
        <v>9.68</v>
      </c>
      <c r="E25" s="539">
        <v>0</v>
      </c>
      <c r="F25" s="539">
        <v>28.65</v>
      </c>
      <c r="G25" s="483">
        <v>32.04</v>
      </c>
      <c r="H25" s="538">
        <v>32.04</v>
      </c>
      <c r="I25" s="483"/>
      <c r="J25" s="538">
        <v>0</v>
      </c>
      <c r="K25" s="483">
        <v>25.61</v>
      </c>
      <c r="L25" s="538">
        <v>25.61</v>
      </c>
      <c r="M25" s="540">
        <v>90.326941138935027</v>
      </c>
      <c r="N25" s="541">
        <v>373.51253489011333</v>
      </c>
      <c r="O25" s="542">
        <v>87.12</v>
      </c>
      <c r="P25" s="542">
        <v>19.166399999999999</v>
      </c>
      <c r="Q25" s="542">
        <v>12.967727179833821</v>
      </c>
      <c r="R25" s="542">
        <v>57.65</v>
      </c>
      <c r="S25" s="542">
        <v>90.326941138935027</v>
      </c>
      <c r="T25" s="542">
        <v>83.176372533707493</v>
      </c>
      <c r="U25" s="542">
        <v>23.105094037636967</v>
      </c>
      <c r="V25" s="543">
        <v>373.51253489011327</v>
      </c>
      <c r="W25" s="544">
        <v>7.3170731707317083E-2</v>
      </c>
      <c r="Y25" s="544"/>
      <c r="Z25" s="476">
        <v>3</v>
      </c>
    </row>
    <row r="26" spans="1:26" x14ac:dyDescent="0.3">
      <c r="A26" s="499">
        <v>150000515</v>
      </c>
      <c r="B26" s="477" t="s">
        <v>53</v>
      </c>
      <c r="C26" s="524">
        <v>0</v>
      </c>
      <c r="D26" s="524">
        <v>0</v>
      </c>
      <c r="E26" s="539">
        <v>0</v>
      </c>
      <c r="F26" s="539">
        <v>0</v>
      </c>
      <c r="G26" s="483"/>
      <c r="H26" s="538">
        <v>0</v>
      </c>
      <c r="I26" s="483"/>
      <c r="J26" s="538">
        <v>0</v>
      </c>
      <c r="K26" s="483">
        <v>27.19</v>
      </c>
      <c r="L26" s="538">
        <v>27.19</v>
      </c>
      <c r="M26" s="540">
        <v>0</v>
      </c>
      <c r="N26" s="541">
        <v>27.19</v>
      </c>
      <c r="O26" s="542">
        <v>0</v>
      </c>
      <c r="P26" s="542">
        <v>0</v>
      </c>
      <c r="Q26" s="542">
        <v>0</v>
      </c>
      <c r="R26" s="542">
        <v>27.19</v>
      </c>
      <c r="S26" s="542">
        <v>0</v>
      </c>
      <c r="T26" s="542">
        <v>0</v>
      </c>
      <c r="U26" s="542">
        <v>0</v>
      </c>
      <c r="V26" s="543">
        <v>27.19</v>
      </c>
      <c r="W26" s="544">
        <v>0.13022092538557731</v>
      </c>
      <c r="Y26" s="544"/>
      <c r="Z26" s="476">
        <v>3</v>
      </c>
    </row>
    <row r="27" spans="1:26" x14ac:dyDescent="0.3">
      <c r="A27" s="499">
        <v>150000516</v>
      </c>
      <c r="B27" s="477" t="s">
        <v>55</v>
      </c>
      <c r="C27" s="524">
        <v>0</v>
      </c>
      <c r="D27" s="524">
        <v>0</v>
      </c>
      <c r="E27" s="539">
        <v>0</v>
      </c>
      <c r="F27" s="539">
        <v>0</v>
      </c>
      <c r="G27" s="483"/>
      <c r="H27" s="538">
        <v>0</v>
      </c>
      <c r="I27" s="483"/>
      <c r="J27" s="538">
        <v>0</v>
      </c>
      <c r="K27" s="483">
        <v>13.595000000000001</v>
      </c>
      <c r="L27" s="538">
        <v>13.595000000000001</v>
      </c>
      <c r="M27" s="540">
        <v>0</v>
      </c>
      <c r="N27" s="541">
        <v>13.595000000000001</v>
      </c>
      <c r="O27" s="542">
        <v>0</v>
      </c>
      <c r="P27" s="542">
        <v>0</v>
      </c>
      <c r="Q27" s="542">
        <v>0</v>
      </c>
      <c r="R27" s="542">
        <v>13.595000000000001</v>
      </c>
      <c r="S27" s="542">
        <v>0</v>
      </c>
      <c r="T27" s="542">
        <v>0</v>
      </c>
      <c r="U27" s="542">
        <v>0</v>
      </c>
      <c r="V27" s="543">
        <v>13.595000000000001</v>
      </c>
      <c r="W27" s="544">
        <v>0.16038365304420349</v>
      </c>
      <c r="Y27" s="544"/>
      <c r="Z27" s="476">
        <v>3</v>
      </c>
    </row>
    <row r="28" spans="1:26" x14ac:dyDescent="0.3">
      <c r="A28" s="499">
        <v>150000517</v>
      </c>
      <c r="B28" s="477" t="s">
        <v>251</v>
      </c>
      <c r="C28" s="524">
        <v>208.51</v>
      </c>
      <c r="D28" s="524">
        <v>39.42</v>
      </c>
      <c r="E28" s="539">
        <v>0</v>
      </c>
      <c r="F28" s="539">
        <v>93.09</v>
      </c>
      <c r="G28" s="483">
        <v>199.57</v>
      </c>
      <c r="H28" s="538">
        <v>199.57</v>
      </c>
      <c r="I28" s="483"/>
      <c r="J28" s="538">
        <v>0</v>
      </c>
      <c r="K28" s="483">
        <v>65.67</v>
      </c>
      <c r="L28" s="538">
        <v>65.67</v>
      </c>
      <c r="M28" s="540">
        <v>675.15379909291551</v>
      </c>
      <c r="N28" s="541">
        <v>1817.3871487528836</v>
      </c>
      <c r="O28" s="542">
        <v>341.02</v>
      </c>
      <c r="P28" s="542">
        <v>75.0244</v>
      </c>
      <c r="Q28" s="542">
        <v>45.521797496859904</v>
      </c>
      <c r="R28" s="542">
        <v>265.24</v>
      </c>
      <c r="S28" s="542">
        <v>675.15379909291551</v>
      </c>
      <c r="T28" s="542">
        <v>325.58317907994643</v>
      </c>
      <c r="U28" s="542">
        <v>89.843973083161927</v>
      </c>
      <c r="V28" s="543">
        <v>1817.3871487528838</v>
      </c>
      <c r="W28" s="544">
        <v>0.16259289843104874</v>
      </c>
      <c r="Y28" s="544"/>
      <c r="Z28" s="476">
        <v>3</v>
      </c>
    </row>
    <row r="29" spans="1:26" x14ac:dyDescent="0.3">
      <c r="A29" s="499">
        <v>150000518</v>
      </c>
      <c r="B29" s="477" t="s">
        <v>194</v>
      </c>
      <c r="C29" s="524">
        <v>119.86</v>
      </c>
      <c r="D29" s="524">
        <v>26.97</v>
      </c>
      <c r="E29" s="539">
        <v>0</v>
      </c>
      <c r="F29" s="539">
        <v>67.099999999999994</v>
      </c>
      <c r="G29" s="483">
        <v>94.83</v>
      </c>
      <c r="H29" s="538">
        <v>94.83</v>
      </c>
      <c r="I29" s="483"/>
      <c r="J29" s="538">
        <v>0</v>
      </c>
      <c r="K29" s="483">
        <v>65.67</v>
      </c>
      <c r="L29" s="538">
        <v>65.67</v>
      </c>
      <c r="M29" s="540">
        <v>301.98060203253425</v>
      </c>
      <c r="N29" s="541">
        <v>1024.4833074259413</v>
      </c>
      <c r="O29" s="542">
        <v>213.92999999999998</v>
      </c>
      <c r="P29" s="542">
        <v>47.064599999999999</v>
      </c>
      <c r="Q29" s="542">
        <v>39.187375582302472</v>
      </c>
      <c r="R29" s="542">
        <v>160.5</v>
      </c>
      <c r="S29" s="542">
        <v>301.98060203253425</v>
      </c>
      <c r="T29" s="542">
        <v>204.24611313287471</v>
      </c>
      <c r="U29" s="542">
        <v>57.574616678229816</v>
      </c>
      <c r="V29" s="543">
        <v>1024.4833074259411</v>
      </c>
      <c r="W29" s="544">
        <v>0.16371681415929204</v>
      </c>
      <c r="Y29" s="544"/>
      <c r="Z29" s="476">
        <v>3</v>
      </c>
    </row>
    <row r="30" spans="1:26" x14ac:dyDescent="0.3">
      <c r="A30" s="499">
        <v>150000519</v>
      </c>
      <c r="B30" s="477" t="s">
        <v>412</v>
      </c>
      <c r="C30" s="524">
        <v>274.45</v>
      </c>
      <c r="D30" s="524">
        <v>43.6</v>
      </c>
      <c r="E30" s="539">
        <v>14.09</v>
      </c>
      <c r="F30" s="539">
        <v>95.38</v>
      </c>
      <c r="G30" s="483">
        <v>336.46</v>
      </c>
      <c r="H30" s="538">
        <v>336.46</v>
      </c>
      <c r="I30" s="483">
        <v>72.95</v>
      </c>
      <c r="J30" s="538">
        <v>72.95</v>
      </c>
      <c r="K30" s="483">
        <v>25.58</v>
      </c>
      <c r="L30" s="538">
        <v>25.58</v>
      </c>
      <c r="M30" s="540">
        <v>960.77934551094438</v>
      </c>
      <c r="N30" s="541">
        <v>2510.3123328452448</v>
      </c>
      <c r="O30" s="542">
        <v>427.52</v>
      </c>
      <c r="P30" s="542">
        <v>94.054400000000001</v>
      </c>
      <c r="Q30" s="542">
        <v>70.621119234942896</v>
      </c>
      <c r="R30" s="542">
        <v>434.98999999999995</v>
      </c>
      <c r="S30" s="542">
        <v>960.77934551094438</v>
      </c>
      <c r="T30" s="542">
        <v>408.16761691472254</v>
      </c>
      <c r="U30" s="542">
        <v>114.17985118463507</v>
      </c>
      <c r="V30" s="543">
        <v>2510.3123328452448</v>
      </c>
      <c r="W30" s="544">
        <v>0.11826881252718574</v>
      </c>
      <c r="Y30" s="544"/>
      <c r="Z30" s="476">
        <v>3</v>
      </c>
    </row>
    <row r="31" spans="1:26" x14ac:dyDescent="0.3">
      <c r="A31" s="499">
        <v>150000521</v>
      </c>
      <c r="B31" s="477" t="s">
        <v>252</v>
      </c>
      <c r="C31" s="524">
        <v>182.45</v>
      </c>
      <c r="D31" s="524">
        <v>39.42</v>
      </c>
      <c r="E31" s="539">
        <v>0</v>
      </c>
      <c r="F31" s="539">
        <v>100.88</v>
      </c>
      <c r="G31" s="483">
        <v>221.33</v>
      </c>
      <c r="H31" s="538">
        <v>221.33</v>
      </c>
      <c r="I31" s="483"/>
      <c r="J31" s="538">
        <v>0</v>
      </c>
      <c r="K31" s="483">
        <v>65.72</v>
      </c>
      <c r="L31" s="538">
        <v>65.72</v>
      </c>
      <c r="M31" s="540">
        <v>663.18147079994412</v>
      </c>
      <c r="N31" s="541">
        <v>1785.0185131043659</v>
      </c>
      <c r="O31" s="542">
        <v>322.75</v>
      </c>
      <c r="P31" s="542">
        <v>71.00500000000001</v>
      </c>
      <c r="Q31" s="542">
        <v>47.371712988344598</v>
      </c>
      <c r="R31" s="542">
        <v>287.05</v>
      </c>
      <c r="S31" s="542">
        <v>663.18147079994412</v>
      </c>
      <c r="T31" s="542">
        <v>308.14020012917922</v>
      </c>
      <c r="U31" s="542">
        <v>85.520129186897918</v>
      </c>
      <c r="V31" s="543">
        <v>1785.0185131043661</v>
      </c>
      <c r="W31" s="544">
        <v>1.0898997114165738</v>
      </c>
      <c r="Y31" s="544">
        <v>0</v>
      </c>
      <c r="Z31" s="476">
        <v>2</v>
      </c>
    </row>
    <row r="32" spans="1:26" x14ac:dyDescent="0.3">
      <c r="A32" s="499">
        <v>150000522</v>
      </c>
      <c r="B32" s="477" t="s">
        <v>56</v>
      </c>
      <c r="C32" s="524">
        <v>0</v>
      </c>
      <c r="D32" s="524">
        <v>0</v>
      </c>
      <c r="E32" s="539">
        <v>0</v>
      </c>
      <c r="F32" s="539">
        <v>0</v>
      </c>
      <c r="G32" s="483"/>
      <c r="H32" s="538">
        <v>0</v>
      </c>
      <c r="I32" s="483"/>
      <c r="J32" s="538">
        <v>0</v>
      </c>
      <c r="K32" s="483">
        <v>27.19</v>
      </c>
      <c r="L32" s="538">
        <v>27.19</v>
      </c>
      <c r="M32" s="540">
        <v>0</v>
      </c>
      <c r="N32" s="541">
        <v>27.19</v>
      </c>
      <c r="O32" s="542">
        <v>0</v>
      </c>
      <c r="P32" s="542">
        <v>0</v>
      </c>
      <c r="Q32" s="542">
        <v>0</v>
      </c>
      <c r="R32" s="542">
        <v>27.19</v>
      </c>
      <c r="S32" s="542">
        <v>0</v>
      </c>
      <c r="T32" s="542">
        <v>0</v>
      </c>
      <c r="U32" s="542">
        <v>0</v>
      </c>
      <c r="V32" s="543">
        <v>27.19</v>
      </c>
      <c r="W32" s="544">
        <v>0.20567322239031774</v>
      </c>
      <c r="Y32" s="544"/>
      <c r="Z32" s="476">
        <v>2</v>
      </c>
    </row>
    <row r="33" spans="1:26" x14ac:dyDescent="0.3">
      <c r="A33" s="499">
        <v>150000523</v>
      </c>
      <c r="B33" s="477" t="s">
        <v>57</v>
      </c>
      <c r="C33" s="524">
        <v>0</v>
      </c>
      <c r="D33" s="524">
        <v>0</v>
      </c>
      <c r="E33" s="539">
        <v>0</v>
      </c>
      <c r="F33" s="539">
        <v>0</v>
      </c>
      <c r="G33" s="483"/>
      <c r="H33" s="538">
        <v>0</v>
      </c>
      <c r="I33" s="483"/>
      <c r="J33" s="538">
        <v>0</v>
      </c>
      <c r="K33" s="483">
        <v>50.66</v>
      </c>
      <c r="L33" s="538">
        <v>50.66</v>
      </c>
      <c r="M33" s="540">
        <v>0</v>
      </c>
      <c r="N33" s="541">
        <v>50.66</v>
      </c>
      <c r="O33" s="542">
        <v>0</v>
      </c>
      <c r="P33" s="542">
        <v>0</v>
      </c>
      <c r="Q33" s="542">
        <v>0</v>
      </c>
      <c r="R33" s="542">
        <v>50.66</v>
      </c>
      <c r="S33" s="542">
        <v>0</v>
      </c>
      <c r="T33" s="542">
        <v>0</v>
      </c>
      <c r="U33" s="542">
        <v>0</v>
      </c>
      <c r="V33" s="543">
        <v>50.66</v>
      </c>
      <c r="W33" s="544">
        <v>0.96092725372734655</v>
      </c>
      <c r="Y33" s="544">
        <v>0</v>
      </c>
      <c r="Z33" s="476">
        <v>2</v>
      </c>
    </row>
    <row r="34" spans="1:26" x14ac:dyDescent="0.3">
      <c r="A34" s="499">
        <v>150000524</v>
      </c>
      <c r="B34" s="477" t="s">
        <v>58</v>
      </c>
      <c r="C34" s="524">
        <v>0</v>
      </c>
      <c r="D34" s="524">
        <v>0</v>
      </c>
      <c r="E34" s="539">
        <v>0</v>
      </c>
      <c r="F34" s="539">
        <v>0</v>
      </c>
      <c r="G34" s="483"/>
      <c r="H34" s="538">
        <v>0</v>
      </c>
      <c r="I34" s="483"/>
      <c r="J34" s="538">
        <v>0</v>
      </c>
      <c r="K34" s="483">
        <v>13.595000000000001</v>
      </c>
      <c r="L34" s="538">
        <v>13.595000000000001</v>
      </c>
      <c r="M34" s="540">
        <v>0</v>
      </c>
      <c r="N34" s="541">
        <v>13.595000000000001</v>
      </c>
      <c r="O34" s="542">
        <v>0</v>
      </c>
      <c r="P34" s="542">
        <v>0</v>
      </c>
      <c r="Q34" s="542">
        <v>0</v>
      </c>
      <c r="R34" s="542">
        <v>13.595000000000001</v>
      </c>
      <c r="S34" s="542">
        <v>0</v>
      </c>
      <c r="T34" s="542">
        <v>0</v>
      </c>
      <c r="U34" s="542">
        <v>0</v>
      </c>
      <c r="V34" s="543">
        <v>13.595000000000001</v>
      </c>
      <c r="W34" s="544">
        <v>1.014596904606321</v>
      </c>
      <c r="Y34" s="544">
        <v>0</v>
      </c>
      <c r="Z34" s="476">
        <v>2</v>
      </c>
    </row>
    <row r="35" spans="1:26" x14ac:dyDescent="0.3">
      <c r="A35" s="499">
        <v>150000527</v>
      </c>
      <c r="B35" s="477" t="s">
        <v>60</v>
      </c>
      <c r="C35" s="524">
        <v>0</v>
      </c>
      <c r="D35" s="524">
        <v>0</v>
      </c>
      <c r="E35" s="539">
        <v>0</v>
      </c>
      <c r="F35" s="539">
        <v>0</v>
      </c>
      <c r="G35" s="483"/>
      <c r="H35" s="538">
        <v>0</v>
      </c>
      <c r="I35" s="483"/>
      <c r="J35" s="538">
        <v>0</v>
      </c>
      <c r="K35" s="483">
        <v>27.19</v>
      </c>
      <c r="L35" s="538">
        <v>27.19</v>
      </c>
      <c r="M35" s="540">
        <v>0</v>
      </c>
      <c r="N35" s="541">
        <v>27.19</v>
      </c>
      <c r="O35" s="542">
        <v>0</v>
      </c>
      <c r="P35" s="542">
        <v>0</v>
      </c>
      <c r="Q35" s="542">
        <v>0</v>
      </c>
      <c r="R35" s="542">
        <v>27.19</v>
      </c>
      <c r="S35" s="542">
        <v>0</v>
      </c>
      <c r="T35" s="542">
        <v>0</v>
      </c>
      <c r="U35" s="542">
        <v>0</v>
      </c>
      <c r="V35" s="543">
        <v>27.19</v>
      </c>
      <c r="W35" s="544">
        <v>1.1480490594702264</v>
      </c>
      <c r="Y35" s="544">
        <v>0</v>
      </c>
      <c r="Z35" s="476">
        <v>2</v>
      </c>
    </row>
    <row r="36" spans="1:26" x14ac:dyDescent="0.3">
      <c r="A36" s="499">
        <v>150000529</v>
      </c>
      <c r="B36" s="477" t="s">
        <v>347</v>
      </c>
      <c r="C36" s="524">
        <v>469.96</v>
      </c>
      <c r="D36" s="524">
        <v>79.569999999999993</v>
      </c>
      <c r="E36" s="539">
        <v>77.92</v>
      </c>
      <c r="F36" s="539">
        <v>620.69000000000005</v>
      </c>
      <c r="G36" s="483">
        <v>1062.27</v>
      </c>
      <c r="H36" s="538">
        <v>1062.27</v>
      </c>
      <c r="I36" s="483">
        <v>230.76</v>
      </c>
      <c r="J36" s="538">
        <v>230.76</v>
      </c>
      <c r="K36" s="483">
        <v>111.02</v>
      </c>
      <c r="L36" s="538">
        <v>111.02</v>
      </c>
      <c r="M36" s="540">
        <v>3008.4216188681862</v>
      </c>
      <c r="N36" s="541">
        <v>7633.7897578003958</v>
      </c>
      <c r="O36" s="542">
        <v>1248.1399999999999</v>
      </c>
      <c r="P36" s="542">
        <v>274.5908</v>
      </c>
      <c r="Q36" s="542">
        <v>176.93704433307369</v>
      </c>
      <c r="R36" s="542">
        <v>1404.05</v>
      </c>
      <c r="S36" s="542">
        <v>3008.4216188681862</v>
      </c>
      <c r="T36" s="542">
        <v>1191.6409276196246</v>
      </c>
      <c r="U36" s="542">
        <v>330.0093669795105</v>
      </c>
      <c r="V36" s="543">
        <v>7633.7897578003949</v>
      </c>
      <c r="W36" s="544">
        <v>1.1205398460450733</v>
      </c>
      <c r="Y36" s="544">
        <v>0</v>
      </c>
      <c r="Z36" s="476">
        <v>2</v>
      </c>
    </row>
    <row r="37" spans="1:26" x14ac:dyDescent="0.3">
      <c r="A37" s="499">
        <v>150000530</v>
      </c>
      <c r="B37" s="477" t="s">
        <v>62</v>
      </c>
      <c r="C37" s="524">
        <v>0</v>
      </c>
      <c r="D37" s="524">
        <v>0</v>
      </c>
      <c r="E37" s="539">
        <v>0</v>
      </c>
      <c r="F37" s="539">
        <v>0</v>
      </c>
      <c r="G37" s="483"/>
      <c r="H37" s="538">
        <v>0</v>
      </c>
      <c r="I37" s="483"/>
      <c r="J37" s="538">
        <v>0</v>
      </c>
      <c r="K37" s="483">
        <v>31.87</v>
      </c>
      <c r="L37" s="538">
        <v>31.87</v>
      </c>
      <c r="M37" s="540">
        <v>0</v>
      </c>
      <c r="N37" s="541">
        <v>31.87</v>
      </c>
      <c r="O37" s="542">
        <v>0</v>
      </c>
      <c r="P37" s="542">
        <v>0</v>
      </c>
      <c r="Q37" s="542">
        <v>0</v>
      </c>
      <c r="R37" s="542">
        <v>31.87</v>
      </c>
      <c r="S37" s="542">
        <v>0</v>
      </c>
      <c r="T37" s="542">
        <v>0</v>
      </c>
      <c r="U37" s="542">
        <v>0</v>
      </c>
      <c r="V37" s="543">
        <v>31.87</v>
      </c>
      <c r="W37" s="544">
        <v>0.98140557208845913</v>
      </c>
      <c r="Y37" s="544">
        <v>0</v>
      </c>
      <c r="Z37" s="476">
        <v>2</v>
      </c>
    </row>
    <row r="38" spans="1:26" x14ac:dyDescent="0.3">
      <c r="A38" s="499">
        <v>150000531</v>
      </c>
      <c r="B38" s="477" t="s">
        <v>348</v>
      </c>
      <c r="C38" s="524">
        <v>641.33000000000004</v>
      </c>
      <c r="D38" s="524">
        <v>106.93</v>
      </c>
      <c r="E38" s="539">
        <v>116.88</v>
      </c>
      <c r="F38" s="539">
        <v>483.03</v>
      </c>
      <c r="G38" s="483">
        <v>950.47</v>
      </c>
      <c r="H38" s="538">
        <v>950.47</v>
      </c>
      <c r="I38" s="483">
        <v>205.6</v>
      </c>
      <c r="J38" s="538">
        <v>205.6</v>
      </c>
      <c r="K38" s="483">
        <v>73.260000000000005</v>
      </c>
      <c r="L38" s="538">
        <v>73.260000000000005</v>
      </c>
      <c r="M38" s="540">
        <v>2713.1932674651703</v>
      </c>
      <c r="N38" s="541">
        <v>7407.1017813543367</v>
      </c>
      <c r="O38" s="542">
        <v>1348.17</v>
      </c>
      <c r="P38" s="542">
        <v>296.59739999999999</v>
      </c>
      <c r="Q38" s="542">
        <v>177.73792163324748</v>
      </c>
      <c r="R38" s="542">
        <v>1229.33</v>
      </c>
      <c r="S38" s="542">
        <v>2713.1932674651703</v>
      </c>
      <c r="T38" s="542">
        <v>1287.142908158499</v>
      </c>
      <c r="U38" s="542">
        <v>354.93028409741862</v>
      </c>
      <c r="V38" s="543">
        <v>7407.1017813543358</v>
      </c>
      <c r="W38" s="544">
        <v>1.1102210426428625</v>
      </c>
      <c r="Y38" s="544">
        <v>0</v>
      </c>
      <c r="Z38" s="476">
        <v>2</v>
      </c>
    </row>
    <row r="39" spans="1:26" x14ac:dyDescent="0.3">
      <c r="A39" s="499">
        <v>150000532</v>
      </c>
      <c r="B39" s="477" t="s">
        <v>253</v>
      </c>
      <c r="C39" s="524">
        <v>269.06</v>
      </c>
      <c r="D39" s="524">
        <v>58.04</v>
      </c>
      <c r="E39" s="539">
        <v>17.98</v>
      </c>
      <c r="F39" s="539">
        <v>157.88999999999999</v>
      </c>
      <c r="G39" s="483">
        <v>319.27999999999997</v>
      </c>
      <c r="H39" s="538">
        <v>319.27999999999997</v>
      </c>
      <c r="I39" s="483">
        <v>66.63</v>
      </c>
      <c r="J39" s="538">
        <v>66.63</v>
      </c>
      <c r="K39" s="483">
        <v>73.260000000000005</v>
      </c>
      <c r="L39" s="538">
        <v>73.260000000000005</v>
      </c>
      <c r="M39" s="540">
        <v>887.18872163155868</v>
      </c>
      <c r="N39" s="541">
        <v>2653.8433600780563</v>
      </c>
      <c r="O39" s="542">
        <v>502.97</v>
      </c>
      <c r="P39" s="542">
        <v>110.6534</v>
      </c>
      <c r="Q39" s="542">
        <v>79.713143308170899</v>
      </c>
      <c r="R39" s="542">
        <v>459.16999999999996</v>
      </c>
      <c r="S39" s="542">
        <v>887.18872163155868</v>
      </c>
      <c r="T39" s="542">
        <v>480.20225084112559</v>
      </c>
      <c r="U39" s="542">
        <v>133.94584429720095</v>
      </c>
      <c r="V39" s="543">
        <v>2653.8433600780559</v>
      </c>
      <c r="W39" s="544">
        <v>1.0433540619596815</v>
      </c>
      <c r="Y39" s="544">
        <v>0</v>
      </c>
      <c r="Z39" s="476">
        <v>2</v>
      </c>
    </row>
    <row r="40" spans="1:26" x14ac:dyDescent="0.3">
      <c r="A40" s="499">
        <v>150000533</v>
      </c>
      <c r="B40" s="477" t="s">
        <v>349</v>
      </c>
      <c r="C40" s="524">
        <v>1046.07</v>
      </c>
      <c r="D40" s="524">
        <v>180.21</v>
      </c>
      <c r="E40" s="539">
        <v>194.8</v>
      </c>
      <c r="F40" s="539">
        <v>919.73</v>
      </c>
      <c r="G40" s="483">
        <v>1439.12</v>
      </c>
      <c r="H40" s="538">
        <v>1439.12</v>
      </c>
      <c r="I40" s="483">
        <v>312.35000000000002</v>
      </c>
      <c r="J40" s="538">
        <v>312.35000000000002</v>
      </c>
      <c r="K40" s="483">
        <v>10.61</v>
      </c>
      <c r="L40" s="538">
        <v>10.61</v>
      </c>
      <c r="M40" s="540">
        <v>4054.0405883837875</v>
      </c>
      <c r="N40" s="541">
        <v>11776.89909877321</v>
      </c>
      <c r="O40" s="542">
        <v>2340.81</v>
      </c>
      <c r="P40" s="542">
        <v>514.97820000000002</v>
      </c>
      <c r="Q40" s="542">
        <v>259.4862535446515</v>
      </c>
      <c r="R40" s="542">
        <v>1762.0799999999997</v>
      </c>
      <c r="S40" s="542">
        <v>4054.0405883837875</v>
      </c>
      <c r="T40" s="542">
        <v>2234.8494558152879</v>
      </c>
      <c r="U40" s="542">
        <v>610.65460102948236</v>
      </c>
      <c r="V40" s="543">
        <v>11776.899098773209</v>
      </c>
      <c r="W40" s="544">
        <v>0.91209374795404496</v>
      </c>
      <c r="Y40" s="544">
        <v>0</v>
      </c>
      <c r="Z40" s="476">
        <v>2</v>
      </c>
    </row>
    <row r="41" spans="1:26" x14ac:dyDescent="0.3">
      <c r="A41" s="499">
        <v>150000534</v>
      </c>
      <c r="B41" s="477" t="s">
        <v>254</v>
      </c>
      <c r="C41" s="524">
        <v>269.08</v>
      </c>
      <c r="D41" s="524">
        <v>58.04</v>
      </c>
      <c r="E41" s="539">
        <v>17.98</v>
      </c>
      <c r="F41" s="539">
        <v>157.88999999999999</v>
      </c>
      <c r="G41" s="483">
        <v>319.98</v>
      </c>
      <c r="H41" s="538">
        <v>319.98</v>
      </c>
      <c r="I41" s="483">
        <v>67.790000000000006</v>
      </c>
      <c r="J41" s="538">
        <v>67.790000000000006</v>
      </c>
      <c r="K41" s="483">
        <v>56.92</v>
      </c>
      <c r="L41" s="538">
        <v>56.92</v>
      </c>
      <c r="M41" s="540">
        <v>884.17069720770564</v>
      </c>
      <c r="N41" s="541">
        <v>2636.3946524856633</v>
      </c>
      <c r="O41" s="542">
        <v>502.99</v>
      </c>
      <c r="P41" s="542">
        <v>110.65780000000001</v>
      </c>
      <c r="Q41" s="542">
        <v>79.7139131872284</v>
      </c>
      <c r="R41" s="542">
        <v>444.69000000000005</v>
      </c>
      <c r="S41" s="542">
        <v>884.17069720770564</v>
      </c>
      <c r="T41" s="542">
        <v>480.22134550883305</v>
      </c>
      <c r="U41" s="542">
        <v>133.95089658189613</v>
      </c>
      <c r="V41" s="543">
        <v>2636.3946524856628</v>
      </c>
      <c r="W41" s="544">
        <v>1.0044620418864605</v>
      </c>
      <c r="Y41" s="544">
        <v>0</v>
      </c>
      <c r="Z41" s="476">
        <v>3</v>
      </c>
    </row>
    <row r="42" spans="1:26" x14ac:dyDescent="0.3">
      <c r="A42" s="499">
        <v>150000535</v>
      </c>
      <c r="B42" s="477" t="s">
        <v>350</v>
      </c>
      <c r="C42" s="524">
        <v>1049.95</v>
      </c>
      <c r="D42" s="524">
        <v>180.21</v>
      </c>
      <c r="E42" s="539">
        <v>194.8</v>
      </c>
      <c r="F42" s="539">
        <v>919.73</v>
      </c>
      <c r="G42" s="483">
        <v>1384.39</v>
      </c>
      <c r="H42" s="538">
        <v>1384.39</v>
      </c>
      <c r="I42" s="483">
        <v>313.17</v>
      </c>
      <c r="J42" s="538">
        <v>313.17</v>
      </c>
      <c r="K42" s="483">
        <v>144.61000000000001</v>
      </c>
      <c r="L42" s="538">
        <v>144.61000000000001</v>
      </c>
      <c r="M42" s="540">
        <v>4082.1541807146041</v>
      </c>
      <c r="N42" s="541">
        <v>11894.705919271499</v>
      </c>
      <c r="O42" s="542">
        <v>2344.69</v>
      </c>
      <c r="P42" s="542">
        <v>515.83179999999993</v>
      </c>
      <c r="Q42" s="542">
        <v>259.66770920351149</v>
      </c>
      <c r="R42" s="542">
        <v>1842.17</v>
      </c>
      <c r="S42" s="542">
        <v>4082.1541807146041</v>
      </c>
      <c r="T42" s="542">
        <v>2238.5538213505351</v>
      </c>
      <c r="U42" s="542">
        <v>611.63840800284697</v>
      </c>
      <c r="V42" s="543">
        <v>11894.705919271499</v>
      </c>
      <c r="W42" s="544">
        <v>0.98146405476068832</v>
      </c>
      <c r="Y42" s="544">
        <v>0</v>
      </c>
      <c r="Z42" s="476">
        <v>3</v>
      </c>
    </row>
    <row r="43" spans="1:26" x14ac:dyDescent="0.3">
      <c r="A43" s="499">
        <v>150000537</v>
      </c>
      <c r="B43" s="477" t="s">
        <v>105</v>
      </c>
      <c r="C43" s="524">
        <v>0</v>
      </c>
      <c r="D43" s="524">
        <v>0</v>
      </c>
      <c r="E43" s="539">
        <v>0</v>
      </c>
      <c r="F43" s="539">
        <v>0</v>
      </c>
      <c r="G43" s="483"/>
      <c r="H43" s="538">
        <v>0</v>
      </c>
      <c r="I43" s="483"/>
      <c r="J43" s="538">
        <v>0</v>
      </c>
      <c r="K43" s="483">
        <v>13.537999999999998</v>
      </c>
      <c r="L43" s="538">
        <v>13.537999999999998</v>
      </c>
      <c r="M43" s="540">
        <v>0</v>
      </c>
      <c r="N43" s="541">
        <v>13.537999999999998</v>
      </c>
      <c r="O43" s="542">
        <v>0</v>
      </c>
      <c r="P43" s="542">
        <v>0</v>
      </c>
      <c r="Q43" s="542">
        <v>0</v>
      </c>
      <c r="R43" s="542">
        <v>13.537999999999998</v>
      </c>
      <c r="S43" s="542">
        <v>0</v>
      </c>
      <c r="T43" s="542">
        <v>0</v>
      </c>
      <c r="U43" s="542">
        <v>0</v>
      </c>
      <c r="V43" s="543">
        <v>13.537999999999998</v>
      </c>
      <c r="W43" s="544">
        <v>0.97765004167735303</v>
      </c>
      <c r="Y43" s="544">
        <v>0</v>
      </c>
      <c r="Z43" s="476">
        <v>3</v>
      </c>
    </row>
    <row r="44" spans="1:26" x14ac:dyDescent="0.3">
      <c r="A44" s="499">
        <v>150000538</v>
      </c>
      <c r="B44" s="477" t="s">
        <v>207</v>
      </c>
      <c r="C44" s="524">
        <v>155.51</v>
      </c>
      <c r="D44" s="524">
        <v>24.16</v>
      </c>
      <c r="E44" s="539">
        <v>0</v>
      </c>
      <c r="F44" s="539">
        <v>88.65</v>
      </c>
      <c r="G44" s="483">
        <v>168.01</v>
      </c>
      <c r="H44" s="538">
        <v>168.01</v>
      </c>
      <c r="I44" s="483"/>
      <c r="J44" s="538">
        <v>0</v>
      </c>
      <c r="K44" s="483">
        <v>65.67</v>
      </c>
      <c r="L44" s="538">
        <v>65.67</v>
      </c>
      <c r="M44" s="540">
        <v>523.53993931138939</v>
      </c>
      <c r="N44" s="541">
        <v>1453.7294745140714</v>
      </c>
      <c r="O44" s="542">
        <v>268.32</v>
      </c>
      <c r="P44" s="542">
        <v>59.0304</v>
      </c>
      <c r="Q44" s="542">
        <v>41.630844661485497</v>
      </c>
      <c r="R44" s="542">
        <v>233.68</v>
      </c>
      <c r="S44" s="542">
        <v>523.53993931138939</v>
      </c>
      <c r="T44" s="542">
        <v>256.1740619633195</v>
      </c>
      <c r="U44" s="542">
        <v>71.354228577877009</v>
      </c>
      <c r="V44" s="543">
        <v>1453.7294745140712</v>
      </c>
      <c r="W44" s="544">
        <v>0.90986827695658878</v>
      </c>
      <c r="Y44" s="544">
        <v>0</v>
      </c>
      <c r="Z44" s="476">
        <v>3</v>
      </c>
    </row>
    <row r="45" spans="1:26" x14ac:dyDescent="0.3">
      <c r="A45" s="499">
        <v>150000539</v>
      </c>
      <c r="B45" s="477" t="s">
        <v>54</v>
      </c>
      <c r="C45" s="524">
        <v>0</v>
      </c>
      <c r="D45" s="524">
        <v>0</v>
      </c>
      <c r="E45" s="539">
        <v>0</v>
      </c>
      <c r="F45" s="539">
        <v>0</v>
      </c>
      <c r="G45" s="483"/>
      <c r="H45" s="538">
        <v>0</v>
      </c>
      <c r="I45" s="483"/>
      <c r="J45" s="538">
        <v>0</v>
      </c>
      <c r="K45" s="483">
        <v>13.74</v>
      </c>
      <c r="L45" s="538">
        <v>13.74</v>
      </c>
      <c r="M45" s="540">
        <v>0</v>
      </c>
      <c r="N45" s="541">
        <v>13.74</v>
      </c>
      <c r="O45" s="542">
        <v>0</v>
      </c>
      <c r="P45" s="542">
        <v>0</v>
      </c>
      <c r="Q45" s="542">
        <v>0</v>
      </c>
      <c r="R45" s="542">
        <v>13.74</v>
      </c>
      <c r="S45" s="542">
        <v>0</v>
      </c>
      <c r="T45" s="542">
        <v>0</v>
      </c>
      <c r="U45" s="542">
        <v>0</v>
      </c>
      <c r="V45" s="543">
        <v>13.74</v>
      </c>
      <c r="W45" s="544">
        <v>0.89673104080243171</v>
      </c>
      <c r="Y45" s="544">
        <v>0</v>
      </c>
      <c r="Z45" s="476">
        <v>3</v>
      </c>
    </row>
    <row r="46" spans="1:26" x14ac:dyDescent="0.3">
      <c r="A46" s="499">
        <v>150000541</v>
      </c>
      <c r="B46" s="477" t="s">
        <v>59</v>
      </c>
      <c r="C46" s="524">
        <v>0</v>
      </c>
      <c r="D46" s="524">
        <v>0</v>
      </c>
      <c r="E46" s="539">
        <v>0</v>
      </c>
      <c r="F46" s="539">
        <v>0</v>
      </c>
      <c r="G46" s="483"/>
      <c r="H46" s="538">
        <v>0</v>
      </c>
      <c r="I46" s="483"/>
      <c r="J46" s="538">
        <v>0</v>
      </c>
      <c r="K46" s="483">
        <v>25.61</v>
      </c>
      <c r="L46" s="538">
        <v>25.61</v>
      </c>
      <c r="M46" s="540">
        <v>0</v>
      </c>
      <c r="N46" s="541">
        <v>25.61</v>
      </c>
      <c r="O46" s="542">
        <v>0</v>
      </c>
      <c r="P46" s="542">
        <v>0</v>
      </c>
      <c r="Q46" s="542">
        <v>0</v>
      </c>
      <c r="R46" s="542">
        <v>25.61</v>
      </c>
      <c r="S46" s="542">
        <v>0</v>
      </c>
      <c r="T46" s="542">
        <v>0</v>
      </c>
      <c r="U46" s="542">
        <v>0</v>
      </c>
      <c r="V46" s="543">
        <v>25.61</v>
      </c>
      <c r="W46" s="544">
        <v>1.0029501274044288</v>
      </c>
      <c r="Y46" s="544">
        <v>0</v>
      </c>
      <c r="Z46" s="476">
        <v>2</v>
      </c>
    </row>
    <row r="47" spans="1:26" x14ac:dyDescent="0.3">
      <c r="A47" s="499">
        <v>150000542</v>
      </c>
      <c r="B47" s="477" t="s">
        <v>61</v>
      </c>
      <c r="C47" s="524">
        <v>0</v>
      </c>
      <c r="D47" s="524">
        <v>0</v>
      </c>
      <c r="E47" s="539">
        <v>0</v>
      </c>
      <c r="F47" s="539">
        <v>0</v>
      </c>
      <c r="G47" s="483"/>
      <c r="H47" s="538">
        <v>0</v>
      </c>
      <c r="I47" s="483"/>
      <c r="J47" s="538">
        <v>0</v>
      </c>
      <c r="K47" s="483">
        <v>27.19</v>
      </c>
      <c r="L47" s="538">
        <v>27.19</v>
      </c>
      <c r="M47" s="540">
        <v>0</v>
      </c>
      <c r="N47" s="541">
        <v>27.19</v>
      </c>
      <c r="O47" s="542">
        <v>0</v>
      </c>
      <c r="P47" s="542">
        <v>0</v>
      </c>
      <c r="Q47" s="542">
        <v>0</v>
      </c>
      <c r="R47" s="542">
        <v>27.19</v>
      </c>
      <c r="S47" s="542">
        <v>0</v>
      </c>
      <c r="T47" s="542">
        <v>0</v>
      </c>
      <c r="U47" s="542">
        <v>0</v>
      </c>
      <c r="V47" s="543">
        <v>27.19</v>
      </c>
      <c r="W47" s="544">
        <v>2.6879606879606881E-2</v>
      </c>
      <c r="Y47" s="544"/>
      <c r="Z47" s="476">
        <v>3</v>
      </c>
    </row>
    <row r="48" spans="1:26" x14ac:dyDescent="0.3">
      <c r="A48" s="499">
        <v>150000543</v>
      </c>
      <c r="B48" s="477" t="s">
        <v>63</v>
      </c>
      <c r="C48" s="524">
        <v>0</v>
      </c>
      <c r="D48" s="524">
        <v>0</v>
      </c>
      <c r="E48" s="539">
        <v>0</v>
      </c>
      <c r="F48" s="539">
        <v>0</v>
      </c>
      <c r="G48" s="483"/>
      <c r="H48" s="538">
        <v>0</v>
      </c>
      <c r="I48" s="483"/>
      <c r="J48" s="538">
        <v>0</v>
      </c>
      <c r="K48" s="483">
        <v>19.34</v>
      </c>
      <c r="L48" s="538">
        <v>19.34</v>
      </c>
      <c r="M48" s="540">
        <v>0</v>
      </c>
      <c r="N48" s="541">
        <v>19.34</v>
      </c>
      <c r="O48" s="542">
        <v>0</v>
      </c>
      <c r="P48" s="542">
        <v>0</v>
      </c>
      <c r="Q48" s="542">
        <v>0</v>
      </c>
      <c r="R48" s="542">
        <v>19.34</v>
      </c>
      <c r="S48" s="542">
        <v>0</v>
      </c>
      <c r="T48" s="542">
        <v>0</v>
      </c>
      <c r="U48" s="542">
        <v>0</v>
      </c>
      <c r="V48" s="543">
        <v>19.34</v>
      </c>
      <c r="W48" s="544">
        <v>9.0701266604881065E-2</v>
      </c>
      <c r="Y48" s="544"/>
      <c r="Z48" s="476">
        <v>3</v>
      </c>
    </row>
    <row r="49" spans="1:26" x14ac:dyDescent="0.3">
      <c r="A49" s="499">
        <v>150000544</v>
      </c>
      <c r="B49" s="477" t="s">
        <v>64</v>
      </c>
      <c r="C49" s="524">
        <v>0</v>
      </c>
      <c r="D49" s="524">
        <v>0</v>
      </c>
      <c r="E49" s="539">
        <v>0</v>
      </c>
      <c r="F49" s="539">
        <v>0</v>
      </c>
      <c r="G49" s="483"/>
      <c r="H49" s="538">
        <v>0</v>
      </c>
      <c r="I49" s="483"/>
      <c r="J49" s="538">
        <v>0</v>
      </c>
      <c r="K49" s="483">
        <v>25.61</v>
      </c>
      <c r="L49" s="538">
        <v>25.61</v>
      </c>
      <c r="M49" s="540">
        <v>0</v>
      </c>
      <c r="N49" s="541">
        <v>25.61</v>
      </c>
      <c r="O49" s="542">
        <v>0</v>
      </c>
      <c r="P49" s="542">
        <v>0</v>
      </c>
      <c r="Q49" s="542">
        <v>0</v>
      </c>
      <c r="R49" s="542">
        <v>25.61</v>
      </c>
      <c r="S49" s="542">
        <v>0</v>
      </c>
      <c r="T49" s="542">
        <v>0</v>
      </c>
      <c r="U49" s="542">
        <v>0</v>
      </c>
      <c r="V49" s="543">
        <v>25.61</v>
      </c>
      <c r="W49" s="544">
        <v>1.1251103946924905</v>
      </c>
      <c r="Y49" s="544">
        <v>0</v>
      </c>
      <c r="Z49" s="476">
        <v>1</v>
      </c>
    </row>
    <row r="50" spans="1:26" x14ac:dyDescent="0.3">
      <c r="A50" s="499">
        <v>150000545</v>
      </c>
      <c r="B50" s="477" t="s">
        <v>106</v>
      </c>
      <c r="C50" s="524">
        <v>0</v>
      </c>
      <c r="D50" s="524">
        <v>0</v>
      </c>
      <c r="E50" s="539">
        <v>0</v>
      </c>
      <c r="F50" s="539">
        <v>0</v>
      </c>
      <c r="G50" s="483"/>
      <c r="H50" s="538">
        <v>0</v>
      </c>
      <c r="I50" s="483"/>
      <c r="J50" s="538">
        <v>0</v>
      </c>
      <c r="K50" s="483">
        <v>15.935</v>
      </c>
      <c r="L50" s="538">
        <v>15.935</v>
      </c>
      <c r="M50" s="540">
        <v>0</v>
      </c>
      <c r="N50" s="541">
        <v>15.935</v>
      </c>
      <c r="O50" s="542">
        <v>0</v>
      </c>
      <c r="P50" s="542">
        <v>0</v>
      </c>
      <c r="Q50" s="542">
        <v>0</v>
      </c>
      <c r="R50" s="542">
        <v>15.935</v>
      </c>
      <c r="S50" s="542">
        <v>0</v>
      </c>
      <c r="T50" s="542">
        <v>0</v>
      </c>
      <c r="U50" s="542">
        <v>0</v>
      </c>
      <c r="V50" s="543">
        <v>15.935</v>
      </c>
      <c r="W50" s="544">
        <v>1.2081633260862636</v>
      </c>
      <c r="Y50" s="544">
        <v>0</v>
      </c>
      <c r="Z50" s="476">
        <v>1</v>
      </c>
    </row>
    <row r="51" spans="1:26" x14ac:dyDescent="0.3">
      <c r="A51" s="499">
        <v>150000546</v>
      </c>
      <c r="B51" s="477" t="s">
        <v>107</v>
      </c>
      <c r="C51" s="524">
        <v>0</v>
      </c>
      <c r="D51" s="524">
        <v>0</v>
      </c>
      <c r="E51" s="539">
        <v>0</v>
      </c>
      <c r="F51" s="539">
        <v>0</v>
      </c>
      <c r="G51" s="483"/>
      <c r="H51" s="538">
        <v>0</v>
      </c>
      <c r="I51" s="483"/>
      <c r="J51" s="538">
        <v>0</v>
      </c>
      <c r="K51" s="483">
        <v>10.9</v>
      </c>
      <c r="L51" s="538">
        <v>10.9</v>
      </c>
      <c r="M51" s="540">
        <v>0</v>
      </c>
      <c r="N51" s="541">
        <v>10.9</v>
      </c>
      <c r="O51" s="542">
        <v>0</v>
      </c>
      <c r="P51" s="542">
        <v>0</v>
      </c>
      <c r="Q51" s="542">
        <v>0</v>
      </c>
      <c r="R51" s="542">
        <v>10.9</v>
      </c>
      <c r="S51" s="542">
        <v>0</v>
      </c>
      <c r="T51" s="542">
        <v>0</v>
      </c>
      <c r="U51" s="542">
        <v>0</v>
      </c>
      <c r="V51" s="543">
        <v>10.9</v>
      </c>
      <c r="W51" s="544">
        <v>1.1707284564263809</v>
      </c>
      <c r="Y51" s="544">
        <v>0</v>
      </c>
      <c r="Z51" s="476">
        <v>1</v>
      </c>
    </row>
    <row r="52" spans="1:26" x14ac:dyDescent="0.3">
      <c r="A52" s="499">
        <v>150000547</v>
      </c>
      <c r="B52" s="477" t="s">
        <v>247</v>
      </c>
      <c r="C52" s="524">
        <v>355.23</v>
      </c>
      <c r="D52" s="524">
        <v>67.87</v>
      </c>
      <c r="E52" s="539">
        <v>23.98</v>
      </c>
      <c r="F52" s="539">
        <v>225.48</v>
      </c>
      <c r="G52" s="483">
        <v>343.96</v>
      </c>
      <c r="H52" s="538">
        <v>343.96</v>
      </c>
      <c r="I52" s="483">
        <v>74.48</v>
      </c>
      <c r="J52" s="538">
        <v>74.48</v>
      </c>
      <c r="K52" s="483">
        <v>75.709999999999994</v>
      </c>
      <c r="L52" s="538">
        <v>75.709999999999994</v>
      </c>
      <c r="M52" s="540">
        <v>977.41945656099665</v>
      </c>
      <c r="N52" s="541">
        <v>3211.4252288232055</v>
      </c>
      <c r="O52" s="542">
        <v>672.56000000000006</v>
      </c>
      <c r="P52" s="542">
        <v>147.9632</v>
      </c>
      <c r="Q52" s="542">
        <v>98.976789525764005</v>
      </c>
      <c r="R52" s="542">
        <v>494.15</v>
      </c>
      <c r="S52" s="542">
        <v>977.41945656099665</v>
      </c>
      <c r="T52" s="542">
        <v>642.11548566655551</v>
      </c>
      <c r="U52" s="542">
        <v>178.24029706988901</v>
      </c>
      <c r="V52" s="543">
        <v>3211.4252288232051</v>
      </c>
      <c r="W52" s="544">
        <v>0.1088470776621297</v>
      </c>
      <c r="Y52" s="544"/>
      <c r="Z52" s="476">
        <v>2</v>
      </c>
    </row>
    <row r="53" spans="1:26" x14ac:dyDescent="0.3">
      <c r="A53" s="499">
        <v>150000548</v>
      </c>
      <c r="B53" s="477" t="s">
        <v>246</v>
      </c>
      <c r="C53" s="524">
        <v>255.42</v>
      </c>
      <c r="D53" s="524">
        <v>59.71</v>
      </c>
      <c r="E53" s="539">
        <v>17.98</v>
      </c>
      <c r="F53" s="539">
        <v>169.91</v>
      </c>
      <c r="G53" s="483">
        <v>276.48</v>
      </c>
      <c r="H53" s="538">
        <v>276.48</v>
      </c>
      <c r="I53" s="483">
        <v>54.24</v>
      </c>
      <c r="J53" s="538">
        <v>54.24</v>
      </c>
      <c r="K53" s="483">
        <v>38.130000000000003</v>
      </c>
      <c r="L53" s="538">
        <v>38.130000000000003</v>
      </c>
      <c r="M53" s="540">
        <v>780.30362288029119</v>
      </c>
      <c r="N53" s="541">
        <v>2463.8792533370852</v>
      </c>
      <c r="O53" s="542">
        <v>503.02</v>
      </c>
      <c r="P53" s="542">
        <v>110.6644</v>
      </c>
      <c r="Q53" s="542">
        <v>86.103592007767702</v>
      </c>
      <c r="R53" s="542">
        <v>368.85</v>
      </c>
      <c r="S53" s="542">
        <v>780.30362288029119</v>
      </c>
      <c r="T53" s="542">
        <v>480.24998751039431</v>
      </c>
      <c r="U53" s="542">
        <v>134.6876509386318</v>
      </c>
      <c r="V53" s="543">
        <v>2463.8792533370852</v>
      </c>
      <c r="W53" s="544">
        <v>0.87792890571790838</v>
      </c>
      <c r="Y53" s="544">
        <v>0</v>
      </c>
      <c r="Z53" s="476">
        <v>2</v>
      </c>
    </row>
    <row r="54" spans="1:26" x14ac:dyDescent="0.3">
      <c r="A54" s="499">
        <v>150000549</v>
      </c>
      <c r="B54" s="477" t="s">
        <v>206</v>
      </c>
      <c r="C54" s="524">
        <v>185.05</v>
      </c>
      <c r="D54" s="524">
        <v>45.92</v>
      </c>
      <c r="E54" s="539">
        <v>0</v>
      </c>
      <c r="F54" s="539">
        <v>85.66</v>
      </c>
      <c r="G54" s="483">
        <v>141.65</v>
      </c>
      <c r="H54" s="538">
        <v>141.65</v>
      </c>
      <c r="I54" s="483">
        <v>27.73</v>
      </c>
      <c r="J54" s="538">
        <v>27.73</v>
      </c>
      <c r="K54" s="483">
        <v>16.850000000000001</v>
      </c>
      <c r="L54" s="538">
        <v>16.850000000000001</v>
      </c>
      <c r="M54" s="540">
        <v>418.00529068602543</v>
      </c>
      <c r="N54" s="541">
        <v>1417.3205610983177</v>
      </c>
      <c r="O54" s="542">
        <v>316.63</v>
      </c>
      <c r="P54" s="542">
        <v>69.658600000000007</v>
      </c>
      <c r="Q54" s="542">
        <v>41.202557071581502</v>
      </c>
      <c r="R54" s="542">
        <v>186.23</v>
      </c>
      <c r="S54" s="542">
        <v>418.00529068602543</v>
      </c>
      <c r="T54" s="542">
        <v>302.29723181069568</v>
      </c>
      <c r="U54" s="542">
        <v>83.296881530015042</v>
      </c>
      <c r="V54" s="543">
        <v>1417.3205610983175</v>
      </c>
      <c r="W54" s="544">
        <v>1.096998210966001</v>
      </c>
      <c r="Y54" s="544">
        <v>0</v>
      </c>
      <c r="Z54" s="476">
        <v>2</v>
      </c>
    </row>
    <row r="55" spans="1:26" x14ac:dyDescent="0.3">
      <c r="A55" s="499">
        <v>150000552</v>
      </c>
      <c r="B55" s="477" t="s">
        <v>91</v>
      </c>
      <c r="C55" s="524">
        <v>0</v>
      </c>
      <c r="D55" s="524">
        <v>0</v>
      </c>
      <c r="E55" s="539">
        <v>0</v>
      </c>
      <c r="F55" s="539">
        <v>0</v>
      </c>
      <c r="G55" s="483"/>
      <c r="H55" s="538">
        <v>0</v>
      </c>
      <c r="I55" s="483"/>
      <c r="J55" s="538">
        <v>0</v>
      </c>
      <c r="K55" s="483">
        <v>19.34</v>
      </c>
      <c r="L55" s="538">
        <v>19.34</v>
      </c>
      <c r="M55" s="540">
        <v>0</v>
      </c>
      <c r="N55" s="541">
        <v>19.34</v>
      </c>
      <c r="O55" s="542">
        <v>0</v>
      </c>
      <c r="P55" s="542">
        <v>0</v>
      </c>
      <c r="Q55" s="542">
        <v>0</v>
      </c>
      <c r="R55" s="542">
        <v>19.34</v>
      </c>
      <c r="S55" s="542">
        <v>0</v>
      </c>
      <c r="T55" s="542">
        <v>0</v>
      </c>
      <c r="U55" s="542">
        <v>0</v>
      </c>
      <c r="V55" s="543">
        <v>19.34</v>
      </c>
      <c r="W55" s="544">
        <v>0.93463414496535135</v>
      </c>
      <c r="Y55" s="544">
        <v>0</v>
      </c>
      <c r="Z55" s="476">
        <v>2</v>
      </c>
    </row>
    <row r="56" spans="1:26" x14ac:dyDescent="0.3">
      <c r="A56" s="499">
        <v>150000553</v>
      </c>
      <c r="B56" s="477" t="s">
        <v>259</v>
      </c>
      <c r="C56" s="524">
        <v>378.74</v>
      </c>
      <c r="D56" s="524">
        <v>77.14</v>
      </c>
      <c r="E56" s="539">
        <v>0</v>
      </c>
      <c r="F56" s="539">
        <v>235.24</v>
      </c>
      <c r="G56" s="483">
        <v>373.94</v>
      </c>
      <c r="H56" s="538">
        <v>373.94</v>
      </c>
      <c r="I56" s="483"/>
      <c r="J56" s="538">
        <v>0</v>
      </c>
      <c r="K56" s="483">
        <v>99.5</v>
      </c>
      <c r="L56" s="538">
        <v>99.5</v>
      </c>
      <c r="M56" s="540">
        <v>1204.377031150522</v>
      </c>
      <c r="N56" s="541">
        <v>3441.7554431913331</v>
      </c>
      <c r="O56" s="542">
        <v>691.12</v>
      </c>
      <c r="P56" s="542">
        <v>152.04640000000001</v>
      </c>
      <c r="Q56" s="542">
        <v>80.229220947244798</v>
      </c>
      <c r="R56" s="542">
        <v>473.44</v>
      </c>
      <c r="S56" s="542">
        <v>1204.377031150522</v>
      </c>
      <c r="T56" s="542">
        <v>659.83533729908095</v>
      </c>
      <c r="U56" s="542">
        <v>180.70745379448584</v>
      </c>
      <c r="V56" s="543">
        <v>3441.7554431913341</v>
      </c>
      <c r="W56" s="544">
        <v>0.83718860945747764</v>
      </c>
      <c r="Y56" s="544">
        <v>0</v>
      </c>
      <c r="Z56" s="476">
        <v>2</v>
      </c>
    </row>
    <row r="57" spans="1:26" x14ac:dyDescent="0.3">
      <c r="A57" s="499">
        <v>150000555</v>
      </c>
      <c r="B57" s="477" t="s">
        <v>88</v>
      </c>
      <c r="C57" s="524">
        <v>0</v>
      </c>
      <c r="D57" s="524">
        <v>0</v>
      </c>
      <c r="E57" s="539">
        <v>0</v>
      </c>
      <c r="F57" s="539">
        <v>0</v>
      </c>
      <c r="G57" s="483"/>
      <c r="H57" s="538">
        <v>0</v>
      </c>
      <c r="I57" s="483"/>
      <c r="J57" s="538">
        <v>0</v>
      </c>
      <c r="K57" s="483">
        <v>35.619999999999997</v>
      </c>
      <c r="L57" s="538">
        <v>35.619999999999997</v>
      </c>
      <c r="M57" s="540">
        <v>0</v>
      </c>
      <c r="N57" s="541">
        <v>35.619999999999997</v>
      </c>
      <c r="O57" s="542">
        <v>0</v>
      </c>
      <c r="P57" s="542">
        <v>0</v>
      </c>
      <c r="Q57" s="542">
        <v>0</v>
      </c>
      <c r="R57" s="542">
        <v>35.619999999999997</v>
      </c>
      <c r="S57" s="542">
        <v>0</v>
      </c>
      <c r="T57" s="542">
        <v>0</v>
      </c>
      <c r="U57" s="542">
        <v>0</v>
      </c>
      <c r="V57" s="543">
        <v>35.619999999999997</v>
      </c>
      <c r="W57" s="544">
        <v>0.98940275948687895</v>
      </c>
      <c r="Y57" s="544">
        <v>0</v>
      </c>
      <c r="Z57" s="476">
        <v>2</v>
      </c>
    </row>
    <row r="58" spans="1:26" x14ac:dyDescent="0.3">
      <c r="A58" s="499">
        <v>150000556</v>
      </c>
      <c r="B58" s="477" t="s">
        <v>89</v>
      </c>
      <c r="C58" s="524">
        <v>0</v>
      </c>
      <c r="D58" s="524">
        <v>0</v>
      </c>
      <c r="E58" s="539">
        <v>0</v>
      </c>
      <c r="F58" s="539">
        <v>0</v>
      </c>
      <c r="G58" s="483"/>
      <c r="H58" s="538">
        <v>0</v>
      </c>
      <c r="I58" s="483"/>
      <c r="J58" s="538">
        <v>0</v>
      </c>
      <c r="K58" s="483">
        <v>40.49</v>
      </c>
      <c r="L58" s="538">
        <v>40.49</v>
      </c>
      <c r="M58" s="540">
        <v>0</v>
      </c>
      <c r="N58" s="541">
        <v>40.49</v>
      </c>
      <c r="O58" s="542">
        <v>0</v>
      </c>
      <c r="P58" s="542">
        <v>0</v>
      </c>
      <c r="Q58" s="542">
        <v>0</v>
      </c>
      <c r="R58" s="542">
        <v>40.49</v>
      </c>
      <c r="S58" s="542">
        <v>0</v>
      </c>
      <c r="T58" s="542">
        <v>0</v>
      </c>
      <c r="U58" s="542">
        <v>0</v>
      </c>
      <c r="V58" s="543">
        <v>40.49</v>
      </c>
      <c r="W58" s="544">
        <v>1.473422228363366</v>
      </c>
      <c r="Y58" s="544">
        <v>0</v>
      </c>
      <c r="Z58" s="476">
        <v>2</v>
      </c>
    </row>
    <row r="59" spans="1:26" x14ac:dyDescent="0.3">
      <c r="A59" s="499">
        <v>150000557</v>
      </c>
      <c r="B59" s="477" t="s">
        <v>90</v>
      </c>
      <c r="C59" s="524">
        <v>0</v>
      </c>
      <c r="D59" s="524">
        <v>0</v>
      </c>
      <c r="E59" s="539">
        <v>0</v>
      </c>
      <c r="F59" s="539">
        <v>0</v>
      </c>
      <c r="G59" s="483"/>
      <c r="H59" s="538">
        <v>0</v>
      </c>
      <c r="I59" s="483"/>
      <c r="J59" s="538">
        <v>0</v>
      </c>
      <c r="K59" s="483">
        <v>25.31</v>
      </c>
      <c r="L59" s="538">
        <v>25.31</v>
      </c>
      <c r="M59" s="540">
        <v>0</v>
      </c>
      <c r="N59" s="541">
        <v>25.31</v>
      </c>
      <c r="O59" s="542">
        <v>0</v>
      </c>
      <c r="P59" s="542">
        <v>0</v>
      </c>
      <c r="Q59" s="542">
        <v>0</v>
      </c>
      <c r="R59" s="542">
        <v>25.31</v>
      </c>
      <c r="S59" s="542">
        <v>0</v>
      </c>
      <c r="T59" s="542">
        <v>0</v>
      </c>
      <c r="U59" s="542">
        <v>0</v>
      </c>
      <c r="V59" s="543">
        <v>25.31</v>
      </c>
      <c r="W59" s="544">
        <v>0.13554336989032903</v>
      </c>
      <c r="Y59" s="544"/>
      <c r="Z59" s="476">
        <v>2</v>
      </c>
    </row>
    <row r="60" spans="1:26" x14ac:dyDescent="0.3">
      <c r="A60" s="499">
        <v>150000561</v>
      </c>
      <c r="B60" s="477" t="s">
        <v>71</v>
      </c>
      <c r="C60" s="524">
        <v>0</v>
      </c>
      <c r="D60" s="524">
        <v>0</v>
      </c>
      <c r="E60" s="539">
        <v>0</v>
      </c>
      <c r="F60" s="539">
        <v>0</v>
      </c>
      <c r="G60" s="483"/>
      <c r="H60" s="538">
        <v>0</v>
      </c>
      <c r="I60" s="483"/>
      <c r="J60" s="538">
        <v>0</v>
      </c>
      <c r="K60" s="483">
        <v>16.41</v>
      </c>
      <c r="L60" s="538">
        <v>16.41</v>
      </c>
      <c r="M60" s="540">
        <v>0</v>
      </c>
      <c r="N60" s="541">
        <v>16.41</v>
      </c>
      <c r="O60" s="542">
        <v>0</v>
      </c>
      <c r="P60" s="542">
        <v>0</v>
      </c>
      <c r="Q60" s="542">
        <v>0</v>
      </c>
      <c r="R60" s="542">
        <v>16.41</v>
      </c>
      <c r="S60" s="542">
        <v>0</v>
      </c>
      <c r="T60" s="542">
        <v>0</v>
      </c>
      <c r="U60" s="542">
        <v>0</v>
      </c>
      <c r="V60" s="543">
        <v>16.41</v>
      </c>
      <c r="W60" s="544">
        <v>0.1639618138424821</v>
      </c>
      <c r="Y60" s="544"/>
      <c r="Z60" s="476">
        <v>2</v>
      </c>
    </row>
    <row r="61" spans="1:26" x14ac:dyDescent="0.3">
      <c r="A61" s="499">
        <v>150000562</v>
      </c>
      <c r="B61" s="477" t="s">
        <v>73</v>
      </c>
      <c r="C61" s="524">
        <v>0</v>
      </c>
      <c r="D61" s="524">
        <v>0</v>
      </c>
      <c r="E61" s="539">
        <v>0</v>
      </c>
      <c r="F61" s="539">
        <v>0</v>
      </c>
      <c r="G61" s="483"/>
      <c r="H61" s="538">
        <v>0</v>
      </c>
      <c r="I61" s="483"/>
      <c r="J61" s="538">
        <v>0</v>
      </c>
      <c r="K61" s="483">
        <v>37.5</v>
      </c>
      <c r="L61" s="538">
        <v>37.5</v>
      </c>
      <c r="M61" s="540">
        <v>0</v>
      </c>
      <c r="N61" s="541">
        <v>37.5</v>
      </c>
      <c r="O61" s="542">
        <v>0</v>
      </c>
      <c r="P61" s="542">
        <v>0</v>
      </c>
      <c r="Q61" s="542">
        <v>0</v>
      </c>
      <c r="R61" s="542">
        <v>37.5</v>
      </c>
      <c r="S61" s="542">
        <v>0</v>
      </c>
      <c r="T61" s="542">
        <v>0</v>
      </c>
      <c r="U61" s="542">
        <v>0</v>
      </c>
      <c r="V61" s="543">
        <v>37.5</v>
      </c>
      <c r="W61" s="544">
        <v>4.207675642216032E-2</v>
      </c>
      <c r="Y61" s="544"/>
      <c r="Z61" s="476">
        <v>2</v>
      </c>
    </row>
    <row r="62" spans="1:26" x14ac:dyDescent="0.3">
      <c r="A62" s="499">
        <v>150000566</v>
      </c>
      <c r="B62" s="477" t="s">
        <v>68</v>
      </c>
      <c r="C62" s="524">
        <v>0</v>
      </c>
      <c r="D62" s="524">
        <v>0</v>
      </c>
      <c r="E62" s="539">
        <v>0</v>
      </c>
      <c r="F62" s="539">
        <v>0</v>
      </c>
      <c r="G62" s="483"/>
      <c r="H62" s="538">
        <v>0</v>
      </c>
      <c r="I62" s="483"/>
      <c r="J62" s="538">
        <v>0</v>
      </c>
      <c r="K62" s="483">
        <v>24.22</v>
      </c>
      <c r="L62" s="538">
        <v>24.22</v>
      </c>
      <c r="M62" s="540">
        <v>0</v>
      </c>
      <c r="N62" s="541">
        <v>24.22</v>
      </c>
      <c r="O62" s="542">
        <v>0</v>
      </c>
      <c r="P62" s="542">
        <v>0</v>
      </c>
      <c r="Q62" s="542">
        <v>0</v>
      </c>
      <c r="R62" s="542">
        <v>24.22</v>
      </c>
      <c r="S62" s="542">
        <v>0</v>
      </c>
      <c r="T62" s="542">
        <v>0</v>
      </c>
      <c r="U62" s="542">
        <v>0</v>
      </c>
      <c r="V62" s="543">
        <v>24.22</v>
      </c>
      <c r="W62" s="544">
        <v>0.95914457924471375</v>
      </c>
      <c r="Y62" s="544">
        <v>0</v>
      </c>
      <c r="Z62" s="476">
        <v>2</v>
      </c>
    </row>
    <row r="63" spans="1:26" x14ac:dyDescent="0.3">
      <c r="A63" s="499">
        <v>150000567</v>
      </c>
      <c r="B63" s="477" t="s">
        <v>70</v>
      </c>
      <c r="C63" s="524">
        <v>0</v>
      </c>
      <c r="D63" s="524">
        <v>0</v>
      </c>
      <c r="E63" s="539">
        <v>0</v>
      </c>
      <c r="F63" s="539">
        <v>0</v>
      </c>
      <c r="G63" s="483"/>
      <c r="H63" s="538">
        <v>0</v>
      </c>
      <c r="I63" s="483"/>
      <c r="J63" s="538">
        <v>0</v>
      </c>
      <c r="K63" s="483">
        <v>25.61</v>
      </c>
      <c r="L63" s="538">
        <v>25.61</v>
      </c>
      <c r="M63" s="540">
        <v>0</v>
      </c>
      <c r="N63" s="541">
        <v>25.61</v>
      </c>
      <c r="O63" s="542">
        <v>0</v>
      </c>
      <c r="P63" s="542">
        <v>0</v>
      </c>
      <c r="Q63" s="542">
        <v>0</v>
      </c>
      <c r="R63" s="542">
        <v>25.61</v>
      </c>
      <c r="S63" s="542">
        <v>0</v>
      </c>
      <c r="T63" s="542">
        <v>0</v>
      </c>
      <c r="U63" s="542">
        <v>0</v>
      </c>
      <c r="V63" s="543">
        <v>25.61</v>
      </c>
      <c r="W63" s="544">
        <v>1.2088298612695469</v>
      </c>
      <c r="Y63" s="544">
        <v>0</v>
      </c>
      <c r="Z63" s="476">
        <v>2</v>
      </c>
    </row>
    <row r="64" spans="1:26" x14ac:dyDescent="0.3">
      <c r="A64" s="499">
        <v>150000569</v>
      </c>
      <c r="B64" s="477" t="s">
        <v>72</v>
      </c>
      <c r="C64" s="524">
        <v>0</v>
      </c>
      <c r="D64" s="524">
        <v>0</v>
      </c>
      <c r="E64" s="539">
        <v>0</v>
      </c>
      <c r="F64" s="539">
        <v>0</v>
      </c>
      <c r="G64" s="483"/>
      <c r="H64" s="538">
        <v>0</v>
      </c>
      <c r="I64" s="483"/>
      <c r="J64" s="538">
        <v>0</v>
      </c>
      <c r="K64" s="483">
        <v>33.74</v>
      </c>
      <c r="L64" s="538">
        <v>33.74</v>
      </c>
      <c r="M64" s="540">
        <v>0</v>
      </c>
      <c r="N64" s="541">
        <v>33.74</v>
      </c>
      <c r="O64" s="542">
        <v>0</v>
      </c>
      <c r="P64" s="542">
        <v>0</v>
      </c>
      <c r="Q64" s="542">
        <v>0</v>
      </c>
      <c r="R64" s="542">
        <v>33.74</v>
      </c>
      <c r="S64" s="542">
        <v>0</v>
      </c>
      <c r="T64" s="542">
        <v>0</v>
      </c>
      <c r="U64" s="542">
        <v>0</v>
      </c>
      <c r="V64" s="543">
        <v>33.74</v>
      </c>
      <c r="W64" s="544">
        <v>0.9309866239598148</v>
      </c>
      <c r="Y64" s="544">
        <v>0</v>
      </c>
      <c r="Z64" s="476">
        <v>2</v>
      </c>
    </row>
    <row r="65" spans="1:26" x14ac:dyDescent="0.3">
      <c r="A65" s="499">
        <v>150000570</v>
      </c>
      <c r="B65" s="477" t="s">
        <v>74</v>
      </c>
      <c r="C65" s="524">
        <v>0</v>
      </c>
      <c r="D65" s="524">
        <v>0</v>
      </c>
      <c r="E65" s="539">
        <v>0</v>
      </c>
      <c r="F65" s="539">
        <v>0</v>
      </c>
      <c r="G65" s="483"/>
      <c r="H65" s="538">
        <v>0</v>
      </c>
      <c r="I65" s="483"/>
      <c r="J65" s="538">
        <v>0</v>
      </c>
      <c r="K65" s="483">
        <v>17.18</v>
      </c>
      <c r="L65" s="538">
        <v>17.18</v>
      </c>
      <c r="M65" s="540">
        <v>0</v>
      </c>
      <c r="N65" s="541">
        <v>17.18</v>
      </c>
      <c r="O65" s="542">
        <v>0</v>
      </c>
      <c r="P65" s="542">
        <v>0</v>
      </c>
      <c r="Q65" s="542">
        <v>0</v>
      </c>
      <c r="R65" s="542">
        <v>17.18</v>
      </c>
      <c r="S65" s="542">
        <v>0</v>
      </c>
      <c r="T65" s="542">
        <v>0</v>
      </c>
      <c r="U65" s="542">
        <v>0</v>
      </c>
      <c r="V65" s="543">
        <v>17.18</v>
      </c>
      <c r="W65" s="544">
        <v>0.95906861868921467</v>
      </c>
      <c r="Y65" s="544">
        <v>0</v>
      </c>
      <c r="Z65" s="476">
        <v>2</v>
      </c>
    </row>
    <row r="66" spans="1:26" x14ac:dyDescent="0.3">
      <c r="A66" s="499">
        <v>150000571</v>
      </c>
      <c r="B66" s="477" t="s">
        <v>69</v>
      </c>
      <c r="C66" s="524">
        <v>0</v>
      </c>
      <c r="D66" s="524">
        <v>0</v>
      </c>
      <c r="E66" s="539">
        <v>0</v>
      </c>
      <c r="F66" s="539">
        <v>0</v>
      </c>
      <c r="G66" s="483"/>
      <c r="H66" s="538">
        <v>0</v>
      </c>
      <c r="I66" s="483"/>
      <c r="J66" s="538">
        <v>0</v>
      </c>
      <c r="K66" s="483">
        <v>21.22</v>
      </c>
      <c r="L66" s="538">
        <v>21.22</v>
      </c>
      <c r="M66" s="540">
        <v>0</v>
      </c>
      <c r="N66" s="541">
        <v>21.22</v>
      </c>
      <c r="O66" s="542">
        <v>0</v>
      </c>
      <c r="P66" s="542">
        <v>0</v>
      </c>
      <c r="Q66" s="542">
        <v>0</v>
      </c>
      <c r="R66" s="542">
        <v>21.22</v>
      </c>
      <c r="S66" s="542">
        <v>0</v>
      </c>
      <c r="T66" s="542">
        <v>0</v>
      </c>
      <c r="U66" s="542">
        <v>0</v>
      </c>
      <c r="V66" s="543">
        <v>21.22</v>
      </c>
      <c r="W66" s="544">
        <v>0.10074101519081143</v>
      </c>
      <c r="Y66" s="544"/>
      <c r="Z66" s="476">
        <v>1</v>
      </c>
    </row>
    <row r="67" spans="1:26" x14ac:dyDescent="0.3">
      <c r="A67" s="499">
        <v>150000572</v>
      </c>
      <c r="B67" s="477" t="s">
        <v>152</v>
      </c>
      <c r="C67" s="524">
        <v>36.22</v>
      </c>
      <c r="D67" s="524">
        <v>6.85</v>
      </c>
      <c r="E67" s="539">
        <v>0</v>
      </c>
      <c r="F67" s="539">
        <v>0.99</v>
      </c>
      <c r="G67" s="483"/>
      <c r="H67" s="538">
        <v>0</v>
      </c>
      <c r="I67" s="483"/>
      <c r="J67" s="538">
        <v>0</v>
      </c>
      <c r="K67" s="483">
        <v>8.69</v>
      </c>
      <c r="L67" s="538">
        <v>8.69</v>
      </c>
      <c r="M67" s="540">
        <v>61.14439092481755</v>
      </c>
      <c r="N67" s="541">
        <v>179.17450692669743</v>
      </c>
      <c r="O67" s="542">
        <v>44.06</v>
      </c>
      <c r="P67" s="542">
        <v>9.6932000000000009</v>
      </c>
      <c r="Q67" s="542">
        <v>2.3199663124880452</v>
      </c>
      <c r="R67" s="542">
        <v>8.69</v>
      </c>
      <c r="S67" s="542">
        <v>61.14439092481755</v>
      </c>
      <c r="T67" s="542">
        <v>42.065552959540312</v>
      </c>
      <c r="U67" s="542">
        <v>11.20139672985152</v>
      </c>
      <c r="V67" s="543">
        <v>179.17450692669746</v>
      </c>
      <c r="W67" s="544">
        <v>0.16847356168939143</v>
      </c>
      <c r="Y67" s="544"/>
      <c r="Z67" s="476">
        <v>1</v>
      </c>
    </row>
    <row r="68" spans="1:26" x14ac:dyDescent="0.3">
      <c r="A68" s="499">
        <v>150000573</v>
      </c>
      <c r="B68" s="477" t="s">
        <v>75</v>
      </c>
      <c r="C68" s="524">
        <v>0</v>
      </c>
      <c r="D68" s="524">
        <v>0</v>
      </c>
      <c r="E68" s="539">
        <v>0</v>
      </c>
      <c r="F68" s="539">
        <v>0</v>
      </c>
      <c r="G68" s="483"/>
      <c r="H68" s="538">
        <v>0</v>
      </c>
      <c r="I68" s="483"/>
      <c r="J68" s="538">
        <v>0</v>
      </c>
      <c r="K68" s="483">
        <v>19.34</v>
      </c>
      <c r="L68" s="538">
        <v>19.34</v>
      </c>
      <c r="M68" s="540">
        <v>0</v>
      </c>
      <c r="N68" s="541">
        <v>19.34</v>
      </c>
      <c r="O68" s="542">
        <v>0</v>
      </c>
      <c r="P68" s="542">
        <v>0</v>
      </c>
      <c r="Q68" s="542">
        <v>0</v>
      </c>
      <c r="R68" s="542">
        <v>19.34</v>
      </c>
      <c r="S68" s="542">
        <v>0</v>
      </c>
      <c r="T68" s="542">
        <v>0</v>
      </c>
      <c r="U68" s="542">
        <v>0</v>
      </c>
      <c r="V68" s="543">
        <v>19.34</v>
      </c>
      <c r="W68" s="544">
        <v>6.3320912901723342E-2</v>
      </c>
      <c r="Y68" s="544"/>
      <c r="Z68" s="476">
        <v>1</v>
      </c>
    </row>
    <row r="69" spans="1:26" x14ac:dyDescent="0.3">
      <c r="A69" s="499">
        <v>150000578</v>
      </c>
      <c r="B69" s="477" t="s">
        <v>83</v>
      </c>
      <c r="C69" s="524">
        <v>0</v>
      </c>
      <c r="D69" s="524">
        <v>0</v>
      </c>
      <c r="E69" s="539">
        <v>0</v>
      </c>
      <c r="F69" s="539">
        <v>0</v>
      </c>
      <c r="G69" s="483"/>
      <c r="H69" s="538">
        <v>0</v>
      </c>
      <c r="I69" s="483"/>
      <c r="J69" s="538">
        <v>0</v>
      </c>
      <c r="K69" s="483">
        <v>33.74</v>
      </c>
      <c r="L69" s="538">
        <v>33.74</v>
      </c>
      <c r="M69" s="540">
        <v>0</v>
      </c>
      <c r="N69" s="541">
        <v>33.74</v>
      </c>
      <c r="O69" s="542">
        <v>0</v>
      </c>
      <c r="P69" s="542">
        <v>0</v>
      </c>
      <c r="Q69" s="542">
        <v>0</v>
      </c>
      <c r="R69" s="542">
        <v>33.74</v>
      </c>
      <c r="S69" s="542">
        <v>0</v>
      </c>
      <c r="T69" s="542">
        <v>0</v>
      </c>
      <c r="U69" s="542">
        <v>0</v>
      </c>
      <c r="V69" s="543">
        <v>33.74</v>
      </c>
      <c r="W69" s="544">
        <v>0.17050599201065247</v>
      </c>
      <c r="Y69" s="544"/>
      <c r="Z69" s="476">
        <v>1</v>
      </c>
    </row>
    <row r="70" spans="1:26" x14ac:dyDescent="0.3">
      <c r="A70" s="499">
        <v>150000580</v>
      </c>
      <c r="B70" s="477" t="s">
        <v>84</v>
      </c>
      <c r="C70" s="524">
        <v>0</v>
      </c>
      <c r="D70" s="524">
        <v>0</v>
      </c>
      <c r="E70" s="539">
        <v>0</v>
      </c>
      <c r="F70" s="539">
        <v>0</v>
      </c>
      <c r="G70" s="483"/>
      <c r="H70" s="538">
        <v>0</v>
      </c>
      <c r="I70" s="483"/>
      <c r="J70" s="538">
        <v>0</v>
      </c>
      <c r="K70" s="483">
        <v>13.08</v>
      </c>
      <c r="L70" s="538">
        <v>13.08</v>
      </c>
      <c r="M70" s="540">
        <v>0</v>
      </c>
      <c r="N70" s="541">
        <v>13.08</v>
      </c>
      <c r="O70" s="542">
        <v>0</v>
      </c>
      <c r="P70" s="542">
        <v>0</v>
      </c>
      <c r="Q70" s="542">
        <v>0</v>
      </c>
      <c r="R70" s="542">
        <v>13.08</v>
      </c>
      <c r="S70" s="542">
        <v>0</v>
      </c>
      <c r="T70" s="542">
        <v>0</v>
      </c>
      <c r="U70" s="542">
        <v>0</v>
      </c>
      <c r="V70" s="543">
        <v>13.08</v>
      </c>
      <c r="W70" s="544">
        <v>9.264054514480409E-2</v>
      </c>
      <c r="Y70" s="544"/>
      <c r="Z70" s="476">
        <v>1</v>
      </c>
    </row>
    <row r="71" spans="1:26" x14ac:dyDescent="0.3">
      <c r="A71" s="499">
        <v>150000587</v>
      </c>
      <c r="B71" s="477" t="s">
        <v>82</v>
      </c>
      <c r="C71" s="524">
        <v>0</v>
      </c>
      <c r="D71" s="524">
        <v>0</v>
      </c>
      <c r="E71" s="539">
        <v>0</v>
      </c>
      <c r="F71" s="539">
        <v>0</v>
      </c>
      <c r="G71" s="483"/>
      <c r="H71" s="538">
        <v>0</v>
      </c>
      <c r="I71" s="483"/>
      <c r="J71" s="538">
        <v>0</v>
      </c>
      <c r="K71" s="483">
        <v>16.96</v>
      </c>
      <c r="L71" s="538">
        <v>16.96</v>
      </c>
      <c r="M71" s="540">
        <v>0</v>
      </c>
      <c r="N71" s="541">
        <v>16.96</v>
      </c>
      <c r="O71" s="542">
        <v>0</v>
      </c>
      <c r="P71" s="542">
        <v>0</v>
      </c>
      <c r="Q71" s="542">
        <v>0</v>
      </c>
      <c r="R71" s="542">
        <v>16.96</v>
      </c>
      <c r="S71" s="542">
        <v>0</v>
      </c>
      <c r="T71" s="542">
        <v>0</v>
      </c>
      <c r="U71" s="542">
        <v>0</v>
      </c>
      <c r="V71" s="543">
        <v>16.96</v>
      </c>
      <c r="W71" s="544">
        <v>0.16508803885853068</v>
      </c>
      <c r="Y71" s="544"/>
      <c r="Z71" s="476">
        <v>1</v>
      </c>
    </row>
    <row r="72" spans="1:26" x14ac:dyDescent="0.3">
      <c r="A72" s="499">
        <v>150000590</v>
      </c>
      <c r="B72" s="477" t="s">
        <v>163</v>
      </c>
      <c r="C72" s="524">
        <v>69.58</v>
      </c>
      <c r="D72" s="524">
        <v>14.19</v>
      </c>
      <c r="E72" s="539">
        <v>0</v>
      </c>
      <c r="F72" s="539">
        <v>21.41</v>
      </c>
      <c r="G72" s="483"/>
      <c r="H72" s="538">
        <v>0</v>
      </c>
      <c r="I72" s="483"/>
      <c r="J72" s="538">
        <v>0</v>
      </c>
      <c r="K72" s="483">
        <v>35.04</v>
      </c>
      <c r="L72" s="538">
        <v>35.04</v>
      </c>
      <c r="M72" s="540">
        <v>133.08525647097528</v>
      </c>
      <c r="N72" s="541">
        <v>434.17112746372754</v>
      </c>
      <c r="O72" s="542">
        <v>105.17999999999999</v>
      </c>
      <c r="P72" s="542">
        <v>23.139600000000002</v>
      </c>
      <c r="Q72" s="542">
        <v>10.052226143353199</v>
      </c>
      <c r="R72" s="542">
        <v>35.04</v>
      </c>
      <c r="S72" s="542">
        <v>133.08525647097528</v>
      </c>
      <c r="T72" s="542">
        <v>100.4188574735463</v>
      </c>
      <c r="U72" s="542">
        <v>27.255187375852774</v>
      </c>
      <c r="V72" s="543">
        <v>434.17112746372754</v>
      </c>
      <c r="W72" s="544">
        <v>0.90415072252330564</v>
      </c>
      <c r="Y72" s="544">
        <v>0</v>
      </c>
      <c r="Z72" s="476">
        <v>1</v>
      </c>
    </row>
    <row r="73" spans="1:26" x14ac:dyDescent="0.3">
      <c r="A73" s="499">
        <v>150000591</v>
      </c>
      <c r="B73" s="477" t="s">
        <v>191</v>
      </c>
      <c r="C73" s="524">
        <v>31.36</v>
      </c>
      <c r="D73" s="524">
        <v>5.53</v>
      </c>
      <c r="E73" s="539">
        <v>0</v>
      </c>
      <c r="F73" s="539">
        <v>12.28</v>
      </c>
      <c r="G73" s="483">
        <v>20.64</v>
      </c>
      <c r="H73" s="538">
        <v>20.64</v>
      </c>
      <c r="I73" s="483">
        <v>6.22</v>
      </c>
      <c r="J73" s="538">
        <v>6.22</v>
      </c>
      <c r="K73" s="483">
        <v>16.829999999999998</v>
      </c>
      <c r="L73" s="538">
        <v>16.829999999999998</v>
      </c>
      <c r="M73" s="540">
        <v>52.877783293956441</v>
      </c>
      <c r="N73" s="541">
        <v>229.06508471295433</v>
      </c>
      <c r="O73" s="542">
        <v>49.17</v>
      </c>
      <c r="P73" s="542">
        <v>10.817399999999999</v>
      </c>
      <c r="Q73" s="542">
        <v>11.99191598870836</v>
      </c>
      <c r="R73" s="542">
        <v>43.69</v>
      </c>
      <c r="S73" s="542">
        <v>52.877783293956441</v>
      </c>
      <c r="T73" s="542">
        <v>46.944240558797034</v>
      </c>
      <c r="U73" s="542">
        <v>13.573744871492522</v>
      </c>
      <c r="V73" s="543">
        <v>229.06508471295439</v>
      </c>
      <c r="W73" s="544">
        <v>0.1822184105202973</v>
      </c>
      <c r="Y73" s="544"/>
      <c r="Z73" s="476">
        <v>1</v>
      </c>
    </row>
    <row r="74" spans="1:26" x14ac:dyDescent="0.3">
      <c r="A74" s="499">
        <v>150000592</v>
      </c>
      <c r="B74" s="477" t="s">
        <v>353</v>
      </c>
      <c r="C74" s="524">
        <v>828.32</v>
      </c>
      <c r="D74" s="524">
        <v>139.26</v>
      </c>
      <c r="E74" s="539">
        <v>155.84</v>
      </c>
      <c r="F74" s="539">
        <v>673.5</v>
      </c>
      <c r="G74" s="483">
        <v>1258.05</v>
      </c>
      <c r="H74" s="538">
        <v>1258.05</v>
      </c>
      <c r="I74" s="483">
        <v>261.92</v>
      </c>
      <c r="J74" s="538">
        <v>261.92</v>
      </c>
      <c r="K74" s="483">
        <v>71.59</v>
      </c>
      <c r="L74" s="538">
        <v>71.59</v>
      </c>
      <c r="M74" s="540">
        <v>3469.7660253361792</v>
      </c>
      <c r="N74" s="541">
        <v>9657.6580513556837</v>
      </c>
      <c r="O74" s="542">
        <v>1796.92</v>
      </c>
      <c r="P74" s="542">
        <v>395.32240000000002</v>
      </c>
      <c r="Q74" s="542">
        <v>217.63683603870697</v>
      </c>
      <c r="R74" s="542">
        <v>1591.56</v>
      </c>
      <c r="S74" s="542">
        <v>3469.7660253361792</v>
      </c>
      <c r="T74" s="542">
        <v>1715.5795148446932</v>
      </c>
      <c r="U74" s="542">
        <v>470.87327513610376</v>
      </c>
      <c r="V74" s="543">
        <v>9657.6580513556819</v>
      </c>
      <c r="W74" s="544">
        <v>0.15957095709570956</v>
      </c>
      <c r="Y74" s="544"/>
      <c r="Z74" s="476">
        <v>1</v>
      </c>
    </row>
    <row r="75" spans="1:26" x14ac:dyDescent="0.3">
      <c r="A75" s="499">
        <v>150000593</v>
      </c>
      <c r="B75" s="477" t="s">
        <v>255</v>
      </c>
      <c r="C75" s="524">
        <v>206.64</v>
      </c>
      <c r="D75" s="524">
        <v>39.57</v>
      </c>
      <c r="E75" s="539">
        <v>0</v>
      </c>
      <c r="F75" s="539">
        <v>98.29</v>
      </c>
      <c r="G75" s="483">
        <v>234.24</v>
      </c>
      <c r="H75" s="538">
        <v>234.24</v>
      </c>
      <c r="I75" s="483"/>
      <c r="J75" s="538">
        <v>0</v>
      </c>
      <c r="K75" s="483">
        <v>65.67</v>
      </c>
      <c r="L75" s="538">
        <v>65.67</v>
      </c>
      <c r="M75" s="540">
        <v>676.67528248014719</v>
      </c>
      <c r="N75" s="541">
        <v>1853.4238242175068</v>
      </c>
      <c r="O75" s="542">
        <v>344.5</v>
      </c>
      <c r="P75" s="542">
        <v>75.789999999999992</v>
      </c>
      <c r="Q75" s="542">
        <v>37.814776759517699</v>
      </c>
      <c r="R75" s="542">
        <v>299.91000000000003</v>
      </c>
      <c r="S75" s="542">
        <v>676.67528248014719</v>
      </c>
      <c r="T75" s="542">
        <v>328.90565126104491</v>
      </c>
      <c r="U75" s="542">
        <v>89.828113716796935</v>
      </c>
      <c r="V75" s="543">
        <v>1853.4238242175065</v>
      </c>
      <c r="W75" s="544">
        <v>0.18707085463842218</v>
      </c>
      <c r="Y75" s="544"/>
      <c r="Z75" s="476">
        <v>1</v>
      </c>
    </row>
    <row r="76" spans="1:26" x14ac:dyDescent="0.3">
      <c r="A76" s="499">
        <v>150000594</v>
      </c>
      <c r="B76" s="477" t="s">
        <v>354</v>
      </c>
      <c r="C76" s="524">
        <v>818.61</v>
      </c>
      <c r="D76" s="524">
        <v>139.26</v>
      </c>
      <c r="E76" s="539">
        <v>155.84</v>
      </c>
      <c r="F76" s="539">
        <v>673.5</v>
      </c>
      <c r="G76" s="483">
        <v>1171.58</v>
      </c>
      <c r="H76" s="538">
        <v>1171.58</v>
      </c>
      <c r="I76" s="483">
        <v>249.72</v>
      </c>
      <c r="J76" s="538">
        <v>249.72</v>
      </c>
      <c r="K76" s="483">
        <v>71.59</v>
      </c>
      <c r="L76" s="538">
        <v>71.59</v>
      </c>
      <c r="M76" s="540">
        <v>3305.8057020025267</v>
      </c>
      <c r="N76" s="541">
        <v>9370.9954689088572</v>
      </c>
      <c r="O76" s="542">
        <v>1787.21</v>
      </c>
      <c r="P76" s="542">
        <v>393.18619999999999</v>
      </c>
      <c r="Q76" s="542">
        <v>217.18323355246449</v>
      </c>
      <c r="R76" s="542">
        <v>1492.8899999999999</v>
      </c>
      <c r="S76" s="542">
        <v>3305.8057020025267</v>
      </c>
      <c r="T76" s="542">
        <v>1706.3090536727204</v>
      </c>
      <c r="U76" s="542">
        <v>468.41127968114534</v>
      </c>
      <c r="V76" s="543">
        <v>9370.995468908859</v>
      </c>
      <c r="W76" s="544">
        <v>0.97276272655516915</v>
      </c>
      <c r="Y76" s="544">
        <v>0</v>
      </c>
      <c r="Z76" s="476">
        <v>1</v>
      </c>
    </row>
    <row r="77" spans="1:26" x14ac:dyDescent="0.3">
      <c r="A77" s="499">
        <v>150000597</v>
      </c>
      <c r="B77" s="477" t="s">
        <v>352</v>
      </c>
      <c r="C77" s="524">
        <v>431.71</v>
      </c>
      <c r="D77" s="524">
        <v>73.790000000000006</v>
      </c>
      <c r="E77" s="539">
        <v>26.37</v>
      </c>
      <c r="F77" s="539">
        <v>306.10000000000002</v>
      </c>
      <c r="G77" s="483">
        <v>600.26</v>
      </c>
      <c r="H77" s="538">
        <v>600.26</v>
      </c>
      <c r="I77" s="483">
        <v>130.46</v>
      </c>
      <c r="J77" s="538">
        <v>130.46</v>
      </c>
      <c r="K77" s="483">
        <v>62.45</v>
      </c>
      <c r="L77" s="538">
        <v>62.45</v>
      </c>
      <c r="M77" s="540">
        <v>1680.1345530783565</v>
      </c>
      <c r="N77" s="541">
        <v>4661.4756561154645</v>
      </c>
      <c r="O77" s="542">
        <v>837.97</v>
      </c>
      <c r="P77" s="542">
        <v>184.35340000000002</v>
      </c>
      <c r="Q77" s="542">
        <v>141.64160791683952</v>
      </c>
      <c r="R77" s="542">
        <v>793.17000000000007</v>
      </c>
      <c r="S77" s="542">
        <v>1680.1345530783565</v>
      </c>
      <c r="T77" s="542">
        <v>800.03793494112574</v>
      </c>
      <c r="U77" s="542">
        <v>224.16816017914272</v>
      </c>
      <c r="V77" s="543">
        <v>4661.4756561154645</v>
      </c>
      <c r="W77" s="544">
        <v>1.0658561933265818</v>
      </c>
      <c r="Y77" s="544">
        <v>0</v>
      </c>
      <c r="Z77" s="476">
        <v>1</v>
      </c>
    </row>
    <row r="78" spans="1:26" x14ac:dyDescent="0.3">
      <c r="A78" s="499">
        <v>150000598</v>
      </c>
      <c r="B78" s="477" t="s">
        <v>76</v>
      </c>
      <c r="C78" s="524">
        <v>5.03</v>
      </c>
      <c r="D78" s="524">
        <v>0</v>
      </c>
      <c r="E78" s="539">
        <v>0</v>
      </c>
      <c r="F78" s="539">
        <v>0</v>
      </c>
      <c r="G78" s="483"/>
      <c r="H78" s="538">
        <v>0</v>
      </c>
      <c r="I78" s="483"/>
      <c r="J78" s="538">
        <v>0</v>
      </c>
      <c r="K78" s="483">
        <v>44.4</v>
      </c>
      <c r="L78" s="538">
        <v>44.4</v>
      </c>
      <c r="M78" s="540">
        <v>0</v>
      </c>
      <c r="N78" s="541">
        <v>56.897707558992138</v>
      </c>
      <c r="O78" s="542">
        <v>5.03</v>
      </c>
      <c r="P78" s="542">
        <v>1.1066</v>
      </c>
      <c r="Q78" s="542">
        <v>0.27846543081333303</v>
      </c>
      <c r="R78" s="542">
        <v>44.4</v>
      </c>
      <c r="S78" s="542">
        <v>0</v>
      </c>
      <c r="T78" s="542">
        <v>4.8023089284268679</v>
      </c>
      <c r="U78" s="542">
        <v>1.2803331997519403</v>
      </c>
      <c r="V78" s="543">
        <v>56.897707558992145</v>
      </c>
      <c r="W78" s="544">
        <v>1.0350997445647974</v>
      </c>
      <c r="Y78" s="544">
        <v>0</v>
      </c>
      <c r="Z78" s="476">
        <v>1</v>
      </c>
    </row>
    <row r="79" spans="1:26" x14ac:dyDescent="0.3">
      <c r="A79" s="499">
        <v>150000599</v>
      </c>
      <c r="B79" s="477" t="s">
        <v>77</v>
      </c>
      <c r="C79" s="524">
        <v>0</v>
      </c>
      <c r="D79" s="524">
        <v>0</v>
      </c>
      <c r="E79" s="539">
        <v>0</v>
      </c>
      <c r="F79" s="539">
        <v>0</v>
      </c>
      <c r="G79" s="483"/>
      <c r="H79" s="538">
        <v>0</v>
      </c>
      <c r="I79" s="483"/>
      <c r="J79" s="538">
        <v>0</v>
      </c>
      <c r="K79" s="483">
        <v>44.4</v>
      </c>
      <c r="L79" s="538">
        <v>44.4</v>
      </c>
      <c r="M79" s="540">
        <v>0</v>
      </c>
      <c r="N79" s="541">
        <v>44.4</v>
      </c>
      <c r="O79" s="542">
        <v>0</v>
      </c>
      <c r="P79" s="542">
        <v>0</v>
      </c>
      <c r="Q79" s="542">
        <v>0</v>
      </c>
      <c r="R79" s="542">
        <v>44.4</v>
      </c>
      <c r="S79" s="542">
        <v>0</v>
      </c>
      <c r="T79" s="542">
        <v>0</v>
      </c>
      <c r="U79" s="542">
        <v>0</v>
      </c>
      <c r="V79" s="543">
        <v>44.4</v>
      </c>
      <c r="W79" s="544">
        <v>1.0624625826088752</v>
      </c>
      <c r="Y79" s="544">
        <v>0</v>
      </c>
      <c r="Z79" s="476">
        <v>1</v>
      </c>
    </row>
    <row r="80" spans="1:26" x14ac:dyDescent="0.3">
      <c r="A80" s="499">
        <v>150000601</v>
      </c>
      <c r="B80" s="477" t="s">
        <v>78</v>
      </c>
      <c r="C80" s="524">
        <v>0</v>
      </c>
      <c r="D80" s="524">
        <v>0</v>
      </c>
      <c r="E80" s="539">
        <v>0</v>
      </c>
      <c r="F80" s="539">
        <v>0</v>
      </c>
      <c r="G80" s="483"/>
      <c r="H80" s="538">
        <v>0</v>
      </c>
      <c r="I80" s="483"/>
      <c r="J80" s="538">
        <v>0</v>
      </c>
      <c r="K80" s="483">
        <v>25.61</v>
      </c>
      <c r="L80" s="538">
        <v>25.61</v>
      </c>
      <c r="M80" s="540">
        <v>0</v>
      </c>
      <c r="N80" s="541">
        <v>25.61</v>
      </c>
      <c r="O80" s="542">
        <v>0</v>
      </c>
      <c r="P80" s="542">
        <v>0</v>
      </c>
      <c r="Q80" s="542">
        <v>0</v>
      </c>
      <c r="R80" s="542">
        <v>25.61</v>
      </c>
      <c r="S80" s="542">
        <v>0</v>
      </c>
      <c r="T80" s="542">
        <v>0</v>
      </c>
      <c r="U80" s="542">
        <v>0</v>
      </c>
      <c r="V80" s="543">
        <v>25.61</v>
      </c>
      <c r="W80" s="544">
        <v>1.0382540768974244</v>
      </c>
      <c r="Y80" s="544">
        <v>0</v>
      </c>
      <c r="Z80" s="476">
        <v>1</v>
      </c>
    </row>
    <row r="81" spans="1:26" x14ac:dyDescent="0.3">
      <c r="A81" s="499">
        <v>150000603</v>
      </c>
      <c r="B81" s="477" t="s">
        <v>153</v>
      </c>
      <c r="C81" s="524">
        <v>65.55</v>
      </c>
      <c r="D81" s="524">
        <v>11.83</v>
      </c>
      <c r="E81" s="539">
        <v>0</v>
      </c>
      <c r="F81" s="539">
        <v>28.83</v>
      </c>
      <c r="G81" s="483">
        <v>59.78</v>
      </c>
      <c r="H81" s="538">
        <v>59.78</v>
      </c>
      <c r="I81" s="483"/>
      <c r="J81" s="538">
        <v>0</v>
      </c>
      <c r="K81" s="483">
        <v>33.119999999999997</v>
      </c>
      <c r="L81" s="538">
        <v>33.119999999999997</v>
      </c>
      <c r="M81" s="540">
        <v>180.6182503484267</v>
      </c>
      <c r="N81" s="541">
        <v>548.51827225149407</v>
      </c>
      <c r="O81" s="542">
        <v>106.21</v>
      </c>
      <c r="P81" s="542">
        <v>23.366199999999999</v>
      </c>
      <c r="Q81" s="542">
        <v>15.849089701163351</v>
      </c>
      <c r="R81" s="542">
        <v>92.9</v>
      </c>
      <c r="S81" s="542">
        <v>180.6182503484267</v>
      </c>
      <c r="T81" s="542">
        <v>101.40223286048065</v>
      </c>
      <c r="U81" s="542">
        <v>28.172499341423361</v>
      </c>
      <c r="V81" s="543">
        <v>548.51827225149418</v>
      </c>
      <c r="W81" s="544">
        <v>0.36495370370370367</v>
      </c>
      <c r="Y81" s="544"/>
      <c r="Z81" s="476">
        <v>3</v>
      </c>
    </row>
    <row r="82" spans="1:26" x14ac:dyDescent="0.3">
      <c r="A82" s="499">
        <v>150000604</v>
      </c>
      <c r="B82" s="477" t="s">
        <v>154</v>
      </c>
      <c r="C82" s="524">
        <v>65.06</v>
      </c>
      <c r="D82" s="524">
        <v>11.67</v>
      </c>
      <c r="E82" s="539">
        <v>0</v>
      </c>
      <c r="F82" s="539">
        <v>28.77</v>
      </c>
      <c r="G82" s="483">
        <v>53.84</v>
      </c>
      <c r="H82" s="538">
        <v>53.84</v>
      </c>
      <c r="I82" s="483"/>
      <c r="J82" s="538">
        <v>0</v>
      </c>
      <c r="K82" s="483">
        <v>31.23</v>
      </c>
      <c r="L82" s="538">
        <v>31.23</v>
      </c>
      <c r="M82" s="540">
        <v>161.09195301346165</v>
      </c>
      <c r="N82" s="541">
        <v>519.27115140505396</v>
      </c>
      <c r="O82" s="542">
        <v>105.5</v>
      </c>
      <c r="P82" s="542">
        <v>23.21</v>
      </c>
      <c r="Q82" s="542">
        <v>15.696033147445132</v>
      </c>
      <c r="R82" s="542">
        <v>85.070000000000007</v>
      </c>
      <c r="S82" s="542">
        <v>161.09195301346165</v>
      </c>
      <c r="T82" s="542">
        <v>100.72437215686571</v>
      </c>
      <c r="U82" s="542">
        <v>27.978793087281481</v>
      </c>
      <c r="V82" s="543">
        <v>519.27115140505396</v>
      </c>
      <c r="W82" s="544">
        <v>0.17818265682656828</v>
      </c>
      <c r="Y82" s="544"/>
      <c r="Z82" s="476">
        <v>3</v>
      </c>
    </row>
    <row r="83" spans="1:26" x14ac:dyDescent="0.3">
      <c r="A83" s="499">
        <v>150000605</v>
      </c>
      <c r="B83" s="477" t="s">
        <v>155</v>
      </c>
      <c r="C83" s="524">
        <v>33.634999999999998</v>
      </c>
      <c r="D83" s="524">
        <v>13.82</v>
      </c>
      <c r="E83" s="539">
        <v>0</v>
      </c>
      <c r="F83" s="539">
        <v>12.33</v>
      </c>
      <c r="G83" s="483">
        <v>44.18</v>
      </c>
      <c r="H83" s="538">
        <v>44.18</v>
      </c>
      <c r="I83" s="483"/>
      <c r="J83" s="538">
        <v>0</v>
      </c>
      <c r="K83" s="483">
        <v>55.65</v>
      </c>
      <c r="L83" s="538">
        <v>55.65</v>
      </c>
      <c r="M83" s="540">
        <v>135.04501259036044</v>
      </c>
      <c r="N83" s="541">
        <v>388.85759061230135</v>
      </c>
      <c r="O83" s="542">
        <v>59.784999999999997</v>
      </c>
      <c r="P83" s="542">
        <v>13.152700000000001</v>
      </c>
      <c r="Q83" s="542">
        <v>8.19132900505533</v>
      </c>
      <c r="R83" s="542">
        <v>99.83</v>
      </c>
      <c r="S83" s="542">
        <v>135.04501259036044</v>
      </c>
      <c r="T83" s="542">
        <v>57.078735444532867</v>
      </c>
      <c r="U83" s="542">
        <v>15.77481357235272</v>
      </c>
      <c r="V83" s="543">
        <v>388.85759061230135</v>
      </c>
      <c r="W83" s="544">
        <v>0.23255705635770843</v>
      </c>
      <c r="Y83" s="544"/>
      <c r="Z83" s="476">
        <v>3</v>
      </c>
    </row>
    <row r="84" spans="1:26" x14ac:dyDescent="0.3">
      <c r="A84" s="499">
        <v>150000606</v>
      </c>
      <c r="B84" s="477" t="s">
        <v>156</v>
      </c>
      <c r="C84" s="524">
        <v>68.73</v>
      </c>
      <c r="D84" s="524">
        <v>24.87</v>
      </c>
      <c r="E84" s="539">
        <v>0</v>
      </c>
      <c r="F84" s="539">
        <v>24.734999999999999</v>
      </c>
      <c r="G84" s="483">
        <v>86.07</v>
      </c>
      <c r="H84" s="538">
        <v>86.07</v>
      </c>
      <c r="I84" s="483"/>
      <c r="J84" s="538">
        <v>0</v>
      </c>
      <c r="K84" s="483">
        <v>81.98</v>
      </c>
      <c r="L84" s="538">
        <v>81.98</v>
      </c>
      <c r="M84" s="540">
        <v>273.04747532452035</v>
      </c>
      <c r="N84" s="541">
        <v>745.77234974309215</v>
      </c>
      <c r="O84" s="542">
        <v>118.33500000000001</v>
      </c>
      <c r="P84" s="542">
        <v>26.0337</v>
      </c>
      <c r="Q84" s="542">
        <v>16.115246477697099</v>
      </c>
      <c r="R84" s="542">
        <v>168.05</v>
      </c>
      <c r="S84" s="542">
        <v>273.04747532452035</v>
      </c>
      <c r="T84" s="542">
        <v>112.97837515812991</v>
      </c>
      <c r="U84" s="542">
        <v>31.212552782744776</v>
      </c>
      <c r="V84" s="543">
        <v>745.77234974309204</v>
      </c>
      <c r="W84" s="544">
        <v>6.0884866767219707E-2</v>
      </c>
      <c r="Y84" s="544"/>
      <c r="Z84" s="476">
        <v>1</v>
      </c>
    </row>
    <row r="85" spans="1:26" x14ac:dyDescent="0.3">
      <c r="A85" s="499">
        <v>150000607</v>
      </c>
      <c r="B85" s="477" t="s">
        <v>157</v>
      </c>
      <c r="C85" s="524">
        <v>143.61000000000001</v>
      </c>
      <c r="D85" s="524">
        <v>29.85</v>
      </c>
      <c r="E85" s="539">
        <v>0</v>
      </c>
      <c r="F85" s="539">
        <v>49.47</v>
      </c>
      <c r="G85" s="483">
        <v>112.86</v>
      </c>
      <c r="H85" s="538">
        <v>112.86</v>
      </c>
      <c r="I85" s="483"/>
      <c r="J85" s="538">
        <v>0</v>
      </c>
      <c r="K85" s="483">
        <v>78.2</v>
      </c>
      <c r="L85" s="538">
        <v>78.2</v>
      </c>
      <c r="M85" s="540">
        <v>354.46643410261362</v>
      </c>
      <c r="N85" s="541">
        <v>1121.5635062187107</v>
      </c>
      <c r="O85" s="542">
        <v>222.93</v>
      </c>
      <c r="P85" s="542">
        <v>49.044600000000003</v>
      </c>
      <c r="Q85" s="542">
        <v>32.211384906594205</v>
      </c>
      <c r="R85" s="542">
        <v>191.06</v>
      </c>
      <c r="S85" s="542">
        <v>354.46643410261362</v>
      </c>
      <c r="T85" s="542">
        <v>212.83871360123297</v>
      </c>
      <c r="U85" s="542">
        <v>59.012373608269783</v>
      </c>
      <c r="V85" s="543">
        <v>1121.5635062187107</v>
      </c>
      <c r="W85" s="544">
        <v>8.8935456831517185E-2</v>
      </c>
      <c r="Y85" s="544"/>
      <c r="Z85" s="476">
        <v>1</v>
      </c>
    </row>
    <row r="86" spans="1:26" x14ac:dyDescent="0.3">
      <c r="A86" s="499">
        <v>150000608</v>
      </c>
      <c r="B86" s="477" t="s">
        <v>158</v>
      </c>
      <c r="C86" s="524">
        <v>108.38</v>
      </c>
      <c r="D86" s="524">
        <v>24.98</v>
      </c>
      <c r="E86" s="539">
        <v>0</v>
      </c>
      <c r="F86" s="539">
        <v>36.61</v>
      </c>
      <c r="G86" s="483">
        <v>68.790000000000006</v>
      </c>
      <c r="H86" s="538">
        <v>68.790000000000006</v>
      </c>
      <c r="I86" s="483"/>
      <c r="J86" s="538">
        <v>0</v>
      </c>
      <c r="K86" s="483">
        <v>51.77</v>
      </c>
      <c r="L86" s="538">
        <v>51.77</v>
      </c>
      <c r="M86" s="540">
        <v>213.18939705260831</v>
      </c>
      <c r="N86" s="541">
        <v>769.26540999591066</v>
      </c>
      <c r="O86" s="542">
        <v>169.96999999999997</v>
      </c>
      <c r="P86" s="542">
        <v>37.3934</v>
      </c>
      <c r="Q86" s="542">
        <v>21.259948120218098</v>
      </c>
      <c r="R86" s="542">
        <v>120.56</v>
      </c>
      <c r="S86" s="542">
        <v>213.18939705260831</v>
      </c>
      <c r="T86" s="542">
        <v>162.2760335118717</v>
      </c>
      <c r="U86" s="542">
        <v>44.61663131121248</v>
      </c>
      <c r="V86" s="543">
        <v>769.26540999591055</v>
      </c>
      <c r="W86" s="544">
        <v>0.19111940298507463</v>
      </c>
      <c r="Y86" s="544"/>
      <c r="Z86" s="476">
        <v>1</v>
      </c>
    </row>
    <row r="87" spans="1:26" x14ac:dyDescent="0.3">
      <c r="A87" s="499">
        <v>150000609</v>
      </c>
      <c r="B87" s="477" t="s">
        <v>159</v>
      </c>
      <c r="C87" s="524">
        <v>68.92</v>
      </c>
      <c r="D87" s="524">
        <v>23.99</v>
      </c>
      <c r="E87" s="539">
        <v>0</v>
      </c>
      <c r="F87" s="539">
        <v>36.61</v>
      </c>
      <c r="G87" s="483">
        <v>56.04</v>
      </c>
      <c r="H87" s="538">
        <v>56.04</v>
      </c>
      <c r="I87" s="483"/>
      <c r="J87" s="538">
        <v>0</v>
      </c>
      <c r="K87" s="483">
        <v>50.66</v>
      </c>
      <c r="L87" s="538">
        <v>50.66</v>
      </c>
      <c r="M87" s="540">
        <v>165.90226348831615</v>
      </c>
      <c r="N87" s="541">
        <v>606.42268989145475</v>
      </c>
      <c r="O87" s="542">
        <v>129.51999999999998</v>
      </c>
      <c r="P87" s="542">
        <v>28.494399999999999</v>
      </c>
      <c r="Q87" s="542">
        <v>17.9505765334406</v>
      </c>
      <c r="R87" s="542">
        <v>106.69999999999999</v>
      </c>
      <c r="S87" s="542">
        <v>165.90226348831615</v>
      </c>
      <c r="T87" s="542">
        <v>123.65706807352841</v>
      </c>
      <c r="U87" s="542">
        <v>34.198381796169556</v>
      </c>
      <c r="V87" s="543">
        <v>606.42268989145464</v>
      </c>
      <c r="W87" s="544">
        <v>0.12810304449648713</v>
      </c>
      <c r="Y87" s="544"/>
      <c r="Z87" s="476">
        <v>1</v>
      </c>
    </row>
    <row r="88" spans="1:26" x14ac:dyDescent="0.3">
      <c r="A88" s="499">
        <v>150000610</v>
      </c>
      <c r="B88" s="477" t="s">
        <v>160</v>
      </c>
      <c r="C88" s="524">
        <v>31.589999999999996</v>
      </c>
      <c r="D88" s="524">
        <v>20.010000000000002</v>
      </c>
      <c r="E88" s="539">
        <v>0</v>
      </c>
      <c r="F88" s="539">
        <v>18.02</v>
      </c>
      <c r="G88" s="483">
        <v>55.63</v>
      </c>
      <c r="H88" s="538">
        <v>55.63</v>
      </c>
      <c r="I88" s="483"/>
      <c r="J88" s="538">
        <v>0</v>
      </c>
      <c r="K88" s="483">
        <v>8.6999999999999993</v>
      </c>
      <c r="L88" s="538">
        <v>8.6999999999999993</v>
      </c>
      <c r="M88" s="540">
        <v>169.32292871487937</v>
      </c>
      <c r="N88" s="541">
        <v>412.01911903550956</v>
      </c>
      <c r="O88" s="542">
        <v>69.61999999999999</v>
      </c>
      <c r="P88" s="542">
        <v>15.3164</v>
      </c>
      <c r="Q88" s="542">
        <v>8.6884484705536504</v>
      </c>
      <c r="R88" s="542">
        <v>64.33</v>
      </c>
      <c r="S88" s="542">
        <v>169.32292871487937</v>
      </c>
      <c r="T88" s="542">
        <v>66.468538289677639</v>
      </c>
      <c r="U88" s="542">
        <v>18.272803560398913</v>
      </c>
      <c r="V88" s="543">
        <v>412.01911903550962</v>
      </c>
      <c r="W88" s="544">
        <v>0.13737785016286647</v>
      </c>
      <c r="Y88" s="544"/>
      <c r="Z88" s="476">
        <v>1</v>
      </c>
    </row>
    <row r="89" spans="1:26" x14ac:dyDescent="0.3">
      <c r="A89" s="499">
        <v>150000611</v>
      </c>
      <c r="B89" s="477" t="s">
        <v>195</v>
      </c>
      <c r="C89" s="524">
        <v>152.22</v>
      </c>
      <c r="D89" s="524">
        <v>33.01</v>
      </c>
      <c r="E89" s="539">
        <v>0</v>
      </c>
      <c r="F89" s="539">
        <v>59.15</v>
      </c>
      <c r="G89" s="483">
        <v>111.41</v>
      </c>
      <c r="H89" s="538">
        <v>111.41</v>
      </c>
      <c r="I89" s="483"/>
      <c r="J89" s="538">
        <v>0</v>
      </c>
      <c r="K89" s="483">
        <v>65.69</v>
      </c>
      <c r="L89" s="538">
        <v>65.69</v>
      </c>
      <c r="M89" s="540">
        <v>394.80177823250494</v>
      </c>
      <c r="N89" s="541">
        <v>1209.8032596187631</v>
      </c>
      <c r="O89" s="542">
        <v>244.38</v>
      </c>
      <c r="P89" s="542">
        <v>53.763599999999997</v>
      </c>
      <c r="Q89" s="542">
        <v>41.090036185572899</v>
      </c>
      <c r="R89" s="542">
        <v>177.1</v>
      </c>
      <c r="S89" s="542">
        <v>394.80177823250494</v>
      </c>
      <c r="T89" s="542">
        <v>233.31774471748668</v>
      </c>
      <c r="U89" s="542">
        <v>65.350100483198915</v>
      </c>
      <c r="V89" s="543">
        <v>1209.8032596187634</v>
      </c>
      <c r="W89" s="544">
        <v>0.1153562200073828</v>
      </c>
      <c r="Y89" s="544"/>
      <c r="Z89" s="476">
        <v>1</v>
      </c>
    </row>
    <row r="90" spans="1:26" x14ac:dyDescent="0.3">
      <c r="A90" s="499">
        <v>150000612</v>
      </c>
      <c r="B90" s="477" t="s">
        <v>161</v>
      </c>
      <c r="C90" s="524">
        <v>59.39</v>
      </c>
      <c r="D90" s="524">
        <v>23.32</v>
      </c>
      <c r="E90" s="539">
        <v>0</v>
      </c>
      <c r="F90" s="539">
        <v>36.61</v>
      </c>
      <c r="G90" s="483">
        <v>56.76</v>
      </c>
      <c r="H90" s="538">
        <v>56.76</v>
      </c>
      <c r="I90" s="483"/>
      <c r="J90" s="538">
        <v>0</v>
      </c>
      <c r="K90" s="483">
        <v>45.52</v>
      </c>
      <c r="L90" s="538">
        <v>45.52</v>
      </c>
      <c r="M90" s="540">
        <v>177.72493767762526</v>
      </c>
      <c r="N90" s="541">
        <v>588.15043196787383</v>
      </c>
      <c r="O90" s="542">
        <v>119.32000000000001</v>
      </c>
      <c r="P90" s="542">
        <v>26.250399999999999</v>
      </c>
      <c r="Q90" s="542">
        <v>17.088204771103101</v>
      </c>
      <c r="R90" s="542">
        <v>102.28</v>
      </c>
      <c r="S90" s="542">
        <v>177.72493767762526</v>
      </c>
      <c r="T90" s="542">
        <v>113.91878754272244</v>
      </c>
      <c r="U90" s="542">
        <v>31.568101976423058</v>
      </c>
      <c r="V90" s="543">
        <v>588.15043196787371</v>
      </c>
      <c r="W90" s="544">
        <v>6.0749646393210746E-2</v>
      </c>
      <c r="Y90" s="544"/>
      <c r="Z90" s="476">
        <v>1</v>
      </c>
    </row>
    <row r="91" spans="1:26" x14ac:dyDescent="0.3">
      <c r="A91" s="499">
        <v>150000613</v>
      </c>
      <c r="B91" s="477" t="s">
        <v>210</v>
      </c>
      <c r="C91" s="524">
        <v>171.21</v>
      </c>
      <c r="D91" s="524">
        <v>31.46</v>
      </c>
      <c r="E91" s="539">
        <v>0</v>
      </c>
      <c r="F91" s="539">
        <v>89.12</v>
      </c>
      <c r="G91" s="483">
        <v>180.32</v>
      </c>
      <c r="H91" s="538">
        <v>180.32</v>
      </c>
      <c r="I91" s="483"/>
      <c r="J91" s="538">
        <v>0</v>
      </c>
      <c r="K91" s="483">
        <v>65.69</v>
      </c>
      <c r="L91" s="538">
        <v>65.69</v>
      </c>
      <c r="M91" s="540">
        <v>528.14358459547248</v>
      </c>
      <c r="N91" s="541">
        <v>1530.112191692434</v>
      </c>
      <c r="O91" s="542">
        <v>291.79000000000002</v>
      </c>
      <c r="P91" s="542">
        <v>64.19380000000001</v>
      </c>
      <c r="Q91" s="542">
        <v>43.9486374359888</v>
      </c>
      <c r="R91" s="542">
        <v>246.01</v>
      </c>
      <c r="S91" s="542">
        <v>528.14358459547248</v>
      </c>
      <c r="T91" s="542">
        <v>278.58165451802699</v>
      </c>
      <c r="U91" s="542">
        <v>77.44451514294559</v>
      </c>
      <c r="V91" s="543">
        <v>1530.1121916924337</v>
      </c>
      <c r="W91" s="544">
        <v>1.0441404832558128</v>
      </c>
      <c r="Y91" s="544">
        <v>0</v>
      </c>
      <c r="Z91" s="476">
        <v>1</v>
      </c>
    </row>
    <row r="92" spans="1:26" x14ac:dyDescent="0.3">
      <c r="A92" s="499">
        <v>150000614</v>
      </c>
      <c r="B92" s="477" t="s">
        <v>162</v>
      </c>
      <c r="C92" s="524">
        <v>51.92</v>
      </c>
      <c r="D92" s="524">
        <v>18.53</v>
      </c>
      <c r="E92" s="539">
        <v>0</v>
      </c>
      <c r="F92" s="539">
        <v>28.215</v>
      </c>
      <c r="G92" s="483">
        <v>70.430000000000007</v>
      </c>
      <c r="H92" s="538">
        <v>70.430000000000007</v>
      </c>
      <c r="I92" s="483"/>
      <c r="J92" s="538">
        <v>0</v>
      </c>
      <c r="K92" s="483">
        <v>57.53</v>
      </c>
      <c r="L92" s="538">
        <v>57.53</v>
      </c>
      <c r="M92" s="540">
        <v>223.1627741038067</v>
      </c>
      <c r="N92" s="541">
        <v>601.633113413763</v>
      </c>
      <c r="O92" s="542">
        <v>98.665000000000006</v>
      </c>
      <c r="P92" s="542">
        <v>21.706299999999999</v>
      </c>
      <c r="Q92" s="542">
        <v>10.27662690714515</v>
      </c>
      <c r="R92" s="542">
        <v>127.96000000000001</v>
      </c>
      <c r="S92" s="542">
        <v>223.1627741038067</v>
      </c>
      <c r="T92" s="542">
        <v>94.19876946784035</v>
      </c>
      <c r="U92" s="542">
        <v>25.66364293497087</v>
      </c>
      <c r="V92" s="543">
        <v>601.633113413763</v>
      </c>
      <c r="W92" s="544">
        <v>0.12757255936675463</v>
      </c>
      <c r="Y92" s="544"/>
      <c r="Z92" s="476">
        <v>1</v>
      </c>
    </row>
    <row r="93" spans="1:26" x14ac:dyDescent="0.3">
      <c r="A93" s="499">
        <v>150000615</v>
      </c>
      <c r="B93" s="477" t="s">
        <v>256</v>
      </c>
      <c r="C93" s="524">
        <v>304.56</v>
      </c>
      <c r="D93" s="524">
        <v>58.37</v>
      </c>
      <c r="E93" s="539">
        <v>0</v>
      </c>
      <c r="F93" s="539">
        <v>157.76</v>
      </c>
      <c r="G93" s="483">
        <v>306.92</v>
      </c>
      <c r="H93" s="538">
        <v>306.92</v>
      </c>
      <c r="I93" s="483"/>
      <c r="J93" s="538">
        <v>0</v>
      </c>
      <c r="K93" s="483">
        <v>98.36</v>
      </c>
      <c r="L93" s="538">
        <v>98.36</v>
      </c>
      <c r="M93" s="540">
        <v>939.58191068508552</v>
      </c>
      <c r="N93" s="541">
        <v>2669.7582513080697</v>
      </c>
      <c r="O93" s="542">
        <v>520.69000000000005</v>
      </c>
      <c r="P93" s="542">
        <v>114.55180000000001</v>
      </c>
      <c r="Q93" s="542">
        <v>56.804820335734803</v>
      </c>
      <c r="R93" s="542">
        <v>405.28000000000003</v>
      </c>
      <c r="S93" s="542">
        <v>939.58191068508552</v>
      </c>
      <c r="T93" s="542">
        <v>497.1201264299375</v>
      </c>
      <c r="U93" s="542">
        <v>135.72959385731204</v>
      </c>
      <c r="V93" s="543">
        <v>2669.7582513080697</v>
      </c>
      <c r="W93" s="544">
        <v>0.98074133816024833</v>
      </c>
      <c r="Y93" s="544">
        <v>0</v>
      </c>
      <c r="Z93" s="476">
        <v>3</v>
      </c>
    </row>
    <row r="94" spans="1:26" x14ac:dyDescent="0.3">
      <c r="A94" s="499">
        <v>150000616</v>
      </c>
      <c r="B94" s="477" t="s">
        <v>257</v>
      </c>
      <c r="C94" s="524">
        <v>205.67</v>
      </c>
      <c r="D94" s="524">
        <v>39.42</v>
      </c>
      <c r="E94" s="539">
        <v>0</v>
      </c>
      <c r="F94" s="539">
        <v>99.48</v>
      </c>
      <c r="G94" s="483">
        <v>205.46</v>
      </c>
      <c r="H94" s="538">
        <v>205.46</v>
      </c>
      <c r="I94" s="483"/>
      <c r="J94" s="538">
        <v>0</v>
      </c>
      <c r="K94" s="483">
        <v>82.05</v>
      </c>
      <c r="L94" s="538">
        <v>82.05</v>
      </c>
      <c r="M94" s="540">
        <v>642.90690294666842</v>
      </c>
      <c r="N94" s="541">
        <v>1817.1617520814266</v>
      </c>
      <c r="O94" s="542">
        <v>344.57</v>
      </c>
      <c r="P94" s="542">
        <v>75.805399999999992</v>
      </c>
      <c r="Q94" s="542">
        <v>46.553996760301402</v>
      </c>
      <c r="R94" s="542">
        <v>287.51</v>
      </c>
      <c r="S94" s="542">
        <v>642.90690294666842</v>
      </c>
      <c r="T94" s="542">
        <v>328.97248259802109</v>
      </c>
      <c r="U94" s="542">
        <v>90.842969776435822</v>
      </c>
      <c r="V94" s="543">
        <v>1817.1617520814268</v>
      </c>
      <c r="W94" s="544">
        <v>0.94011297300837804</v>
      </c>
      <c r="Y94" s="544">
        <v>0</v>
      </c>
      <c r="Z94" s="476">
        <v>3</v>
      </c>
    </row>
    <row r="95" spans="1:26" x14ac:dyDescent="0.3">
      <c r="A95" s="499">
        <v>150000618</v>
      </c>
      <c r="B95" s="477" t="s">
        <v>416</v>
      </c>
      <c r="C95" s="524">
        <v>273.3</v>
      </c>
      <c r="D95" s="524">
        <v>43.12</v>
      </c>
      <c r="E95" s="539">
        <v>14.09</v>
      </c>
      <c r="F95" s="539">
        <v>99.83</v>
      </c>
      <c r="G95" s="483">
        <v>340.12</v>
      </c>
      <c r="H95" s="538">
        <v>340.12</v>
      </c>
      <c r="I95" s="483">
        <v>70</v>
      </c>
      <c r="J95" s="538">
        <v>70</v>
      </c>
      <c r="K95" s="483">
        <v>25.61</v>
      </c>
      <c r="L95" s="538">
        <v>25.61</v>
      </c>
      <c r="M95" s="540">
        <v>977.81140778487361</v>
      </c>
      <c r="N95" s="541">
        <v>2542.2696363732848</v>
      </c>
      <c r="O95" s="542">
        <v>430.34</v>
      </c>
      <c r="P95" s="542">
        <v>94.674799999999991</v>
      </c>
      <c r="Q95" s="542">
        <v>77.220399003902699</v>
      </c>
      <c r="R95" s="542">
        <v>435.73</v>
      </c>
      <c r="S95" s="542">
        <v>977.81140778487361</v>
      </c>
      <c r="T95" s="542">
        <v>410.85996506147478</v>
      </c>
      <c r="U95" s="542">
        <v>115.63306452303333</v>
      </c>
      <c r="V95" s="543">
        <v>2542.2696363732844</v>
      </c>
      <c r="W95" s="544">
        <v>0.96148330833369111</v>
      </c>
      <c r="Y95" s="544">
        <v>0</v>
      </c>
      <c r="Z95" s="476">
        <v>3</v>
      </c>
    </row>
    <row r="96" spans="1:26" x14ac:dyDescent="0.3">
      <c r="A96" s="499">
        <v>150000619</v>
      </c>
      <c r="B96" s="477" t="s">
        <v>359</v>
      </c>
      <c r="C96" s="524">
        <v>526.1</v>
      </c>
      <c r="D96" s="524">
        <v>81.08</v>
      </c>
      <c r="E96" s="539">
        <v>26.37</v>
      </c>
      <c r="F96" s="539">
        <v>184.93</v>
      </c>
      <c r="G96" s="483">
        <v>517.94000000000005</v>
      </c>
      <c r="H96" s="538">
        <v>517.94000000000005</v>
      </c>
      <c r="I96" s="483">
        <v>115.69</v>
      </c>
      <c r="J96" s="538">
        <v>115.69</v>
      </c>
      <c r="K96" s="483">
        <v>50.66</v>
      </c>
      <c r="L96" s="538">
        <v>50.66</v>
      </c>
      <c r="M96" s="540">
        <v>1515.8179104502703</v>
      </c>
      <c r="N96" s="541">
        <v>4344.1847148866809</v>
      </c>
      <c r="O96" s="542">
        <v>818.48</v>
      </c>
      <c r="P96" s="542">
        <v>180.06560000000002</v>
      </c>
      <c r="Q96" s="542">
        <v>144.45012299468951</v>
      </c>
      <c r="R96" s="542">
        <v>684.29000000000008</v>
      </c>
      <c r="S96" s="542">
        <v>1515.8179104502703</v>
      </c>
      <c r="T96" s="542">
        <v>781.43018126020331</v>
      </c>
      <c r="U96" s="542">
        <v>219.6509001815179</v>
      </c>
      <c r="V96" s="543">
        <v>4344.1847148866809</v>
      </c>
      <c r="W96" s="544">
        <v>0.98859565370138691</v>
      </c>
      <c r="Y96" s="544">
        <v>0</v>
      </c>
      <c r="Z96" s="476">
        <v>1</v>
      </c>
    </row>
    <row r="97" spans="1:26" x14ac:dyDescent="0.3">
      <c r="A97" s="499">
        <v>150000621</v>
      </c>
      <c r="B97" s="477" t="s">
        <v>80</v>
      </c>
      <c r="C97" s="524">
        <v>0</v>
      </c>
      <c r="D97" s="524">
        <v>0</v>
      </c>
      <c r="E97" s="539">
        <v>0</v>
      </c>
      <c r="F97" s="539">
        <v>0</v>
      </c>
      <c r="G97" s="483"/>
      <c r="H97" s="538">
        <v>0</v>
      </c>
      <c r="I97" s="483"/>
      <c r="J97" s="538">
        <v>0</v>
      </c>
      <c r="K97" s="483">
        <v>19.34</v>
      </c>
      <c r="L97" s="538">
        <v>19.34</v>
      </c>
      <c r="M97" s="540">
        <v>0</v>
      </c>
      <c r="N97" s="541">
        <v>19.34</v>
      </c>
      <c r="O97" s="542">
        <v>0</v>
      </c>
      <c r="P97" s="542">
        <v>0</v>
      </c>
      <c r="Q97" s="542">
        <v>0</v>
      </c>
      <c r="R97" s="542">
        <v>19.34</v>
      </c>
      <c r="S97" s="542">
        <v>0</v>
      </c>
      <c r="T97" s="542">
        <v>0</v>
      </c>
      <c r="U97" s="542">
        <v>0</v>
      </c>
      <c r="V97" s="543">
        <v>19.34</v>
      </c>
      <c r="W97" s="544">
        <v>0.22010718591486322</v>
      </c>
      <c r="Y97" s="544"/>
      <c r="Z97" s="476">
        <v>1</v>
      </c>
    </row>
    <row r="98" spans="1:26" x14ac:dyDescent="0.3">
      <c r="A98" s="499">
        <v>150000622</v>
      </c>
      <c r="B98" s="477" t="s">
        <v>81</v>
      </c>
      <c r="C98" s="524">
        <v>0</v>
      </c>
      <c r="D98" s="524">
        <v>0</v>
      </c>
      <c r="E98" s="539">
        <v>0</v>
      </c>
      <c r="F98" s="539">
        <v>0</v>
      </c>
      <c r="G98" s="483"/>
      <c r="H98" s="538">
        <v>0</v>
      </c>
      <c r="I98" s="483"/>
      <c r="J98" s="538">
        <v>0</v>
      </c>
      <c r="K98" s="483">
        <v>8.6999999999999993</v>
      </c>
      <c r="L98" s="538">
        <v>8.6999999999999993</v>
      </c>
      <c r="M98" s="540">
        <v>0</v>
      </c>
      <c r="N98" s="541">
        <v>8.6999999999999993</v>
      </c>
      <c r="O98" s="542">
        <v>0</v>
      </c>
      <c r="P98" s="542">
        <v>0</v>
      </c>
      <c r="Q98" s="542">
        <v>0</v>
      </c>
      <c r="R98" s="542">
        <v>8.6999999999999993</v>
      </c>
      <c r="S98" s="542">
        <v>0</v>
      </c>
      <c r="T98" s="542">
        <v>0</v>
      </c>
      <c r="U98" s="542">
        <v>0</v>
      </c>
      <c r="V98" s="543">
        <v>8.6999999999999993</v>
      </c>
      <c r="W98" s="544">
        <v>0.99177001492695294</v>
      </c>
      <c r="Y98" s="544">
        <v>0</v>
      </c>
      <c r="Z98" s="476">
        <v>1</v>
      </c>
    </row>
    <row r="99" spans="1:26" x14ac:dyDescent="0.3">
      <c r="A99" s="499">
        <v>150000623</v>
      </c>
      <c r="B99" s="477" t="s">
        <v>209</v>
      </c>
      <c r="C99" s="524">
        <v>178.06</v>
      </c>
      <c r="D99" s="524">
        <v>31.62</v>
      </c>
      <c r="E99" s="539">
        <v>0</v>
      </c>
      <c r="F99" s="539">
        <v>88.33</v>
      </c>
      <c r="G99" s="483">
        <v>177.45</v>
      </c>
      <c r="H99" s="538">
        <v>177.45</v>
      </c>
      <c r="I99" s="483"/>
      <c r="J99" s="538">
        <v>0</v>
      </c>
      <c r="K99" s="483">
        <v>65.67</v>
      </c>
      <c r="L99" s="538">
        <v>65.67</v>
      </c>
      <c r="M99" s="540">
        <v>524.71579298302049</v>
      </c>
      <c r="N99" s="541">
        <v>1535.9104795439866</v>
      </c>
      <c r="O99" s="542">
        <v>298.01</v>
      </c>
      <c r="P99" s="542">
        <v>65.562200000000004</v>
      </c>
      <c r="Q99" s="542">
        <v>41.296638102850999</v>
      </c>
      <c r="R99" s="542">
        <v>243.12</v>
      </c>
      <c r="S99" s="542">
        <v>524.71579298302049</v>
      </c>
      <c r="T99" s="542">
        <v>284.52009617504791</v>
      </c>
      <c r="U99" s="542">
        <v>78.685752283067046</v>
      </c>
      <c r="V99" s="543">
        <v>1535.9104795439864</v>
      </c>
      <c r="W99" s="544">
        <v>0.17731629392971246</v>
      </c>
      <c r="Y99" s="544"/>
      <c r="Z99" s="476">
        <v>1</v>
      </c>
    </row>
    <row r="100" spans="1:26" x14ac:dyDescent="0.3">
      <c r="A100" s="499">
        <v>150000625</v>
      </c>
      <c r="B100" s="477" t="s">
        <v>415</v>
      </c>
      <c r="C100" s="524">
        <v>573.45000000000005</v>
      </c>
      <c r="D100" s="524">
        <v>89.41</v>
      </c>
      <c r="E100" s="539">
        <v>28.17</v>
      </c>
      <c r="F100" s="539">
        <v>207.62</v>
      </c>
      <c r="G100" s="483">
        <v>656.16</v>
      </c>
      <c r="H100" s="538">
        <v>656.16</v>
      </c>
      <c r="I100" s="483">
        <v>126.06</v>
      </c>
      <c r="J100" s="538">
        <v>126.06</v>
      </c>
      <c r="K100" s="483">
        <v>50.66</v>
      </c>
      <c r="L100" s="538">
        <v>50.66</v>
      </c>
      <c r="M100" s="540">
        <v>1728.3801855446754</v>
      </c>
      <c r="N100" s="541">
        <v>4881.5650036409043</v>
      </c>
      <c r="O100" s="542">
        <v>898.65</v>
      </c>
      <c r="P100" s="542">
        <v>197.703</v>
      </c>
      <c r="Q100" s="542">
        <v>128.2760040460924</v>
      </c>
      <c r="R100" s="542">
        <v>832.88</v>
      </c>
      <c r="S100" s="542">
        <v>1728.3801855446754</v>
      </c>
      <c r="T100" s="542">
        <v>857.97115676556768</v>
      </c>
      <c r="U100" s="542">
        <v>237.7046572845685</v>
      </c>
      <c r="V100" s="543">
        <v>4881.5650036409043</v>
      </c>
      <c r="W100" s="544">
        <v>0.11005586592178772</v>
      </c>
      <c r="Y100" s="544"/>
      <c r="Z100" s="476">
        <v>1</v>
      </c>
    </row>
    <row r="101" spans="1:26" x14ac:dyDescent="0.3">
      <c r="A101" s="499">
        <v>150000626</v>
      </c>
      <c r="B101" s="477" t="s">
        <v>358</v>
      </c>
      <c r="C101" s="524">
        <v>655.55</v>
      </c>
      <c r="D101" s="524">
        <v>133.35</v>
      </c>
      <c r="E101" s="539">
        <v>77.92</v>
      </c>
      <c r="F101" s="539">
        <v>545.04</v>
      </c>
      <c r="G101" s="483">
        <v>1041.6400000000001</v>
      </c>
      <c r="H101" s="538">
        <v>1041.6400000000001</v>
      </c>
      <c r="I101" s="483">
        <v>193.61</v>
      </c>
      <c r="J101" s="538">
        <v>193.61</v>
      </c>
      <c r="K101" s="483">
        <v>155.84</v>
      </c>
      <c r="L101" s="538">
        <v>155.84</v>
      </c>
      <c r="M101" s="540">
        <v>2675.0421606101577</v>
      </c>
      <c r="N101" s="541">
        <v>7683.7808538775789</v>
      </c>
      <c r="O101" s="542">
        <v>1411.86</v>
      </c>
      <c r="P101" s="542">
        <v>310.60919999999999</v>
      </c>
      <c r="Q101" s="542">
        <v>176.61798920888549</v>
      </c>
      <c r="R101" s="542">
        <v>1391.09</v>
      </c>
      <c r="S101" s="542">
        <v>2675.0421606101577</v>
      </c>
      <c r="T101" s="542">
        <v>1347.9498774729141</v>
      </c>
      <c r="U101" s="542">
        <v>370.61162658562216</v>
      </c>
      <c r="V101" s="543">
        <v>7683.7808538775789</v>
      </c>
      <c r="W101" s="544">
        <v>0.97596393193379216</v>
      </c>
      <c r="Y101" s="544">
        <v>0</v>
      </c>
      <c r="Z101" s="476">
        <v>1</v>
      </c>
    </row>
    <row r="102" spans="1:26" x14ac:dyDescent="0.3">
      <c r="A102" s="499">
        <v>150000627</v>
      </c>
      <c r="B102" s="477" t="s">
        <v>355</v>
      </c>
      <c r="C102" s="524">
        <v>330.87</v>
      </c>
      <c r="D102" s="524">
        <v>67.03</v>
      </c>
      <c r="E102" s="539">
        <v>26.37</v>
      </c>
      <c r="F102" s="539">
        <v>237.95</v>
      </c>
      <c r="G102" s="483">
        <v>525.55999999999995</v>
      </c>
      <c r="H102" s="538">
        <v>525.55999999999995</v>
      </c>
      <c r="I102" s="483">
        <v>96.21</v>
      </c>
      <c r="J102" s="538">
        <v>96.21</v>
      </c>
      <c r="K102" s="483">
        <v>65.67</v>
      </c>
      <c r="L102" s="538">
        <v>65.67</v>
      </c>
      <c r="M102" s="540">
        <v>1345.9426868290186</v>
      </c>
      <c r="N102" s="541">
        <v>3760.3312255116152</v>
      </c>
      <c r="O102" s="542">
        <v>662.22</v>
      </c>
      <c r="P102" s="542">
        <v>145.6884</v>
      </c>
      <c r="Q102" s="542">
        <v>109.8785864256709</v>
      </c>
      <c r="R102" s="542">
        <v>687.43999999999994</v>
      </c>
      <c r="S102" s="542">
        <v>1345.9426868290186</v>
      </c>
      <c r="T102" s="542">
        <v>632.24354246179735</v>
      </c>
      <c r="U102" s="542">
        <v>176.9180097951288</v>
      </c>
      <c r="V102" s="543">
        <v>3760.3312255116161</v>
      </c>
      <c r="W102" s="544">
        <v>1.0100613268347975</v>
      </c>
      <c r="Y102" s="544">
        <v>0</v>
      </c>
      <c r="Z102" s="476">
        <v>1</v>
      </c>
    </row>
    <row r="103" spans="1:26" x14ac:dyDescent="0.3">
      <c r="A103" s="499">
        <v>150000628</v>
      </c>
      <c r="B103" s="477" t="s">
        <v>356</v>
      </c>
      <c r="C103" s="524">
        <v>525.76</v>
      </c>
      <c r="D103" s="524">
        <v>81.77</v>
      </c>
      <c r="E103" s="539">
        <v>26.37</v>
      </c>
      <c r="F103" s="539">
        <v>189.02</v>
      </c>
      <c r="G103" s="483">
        <v>608.72</v>
      </c>
      <c r="H103" s="538">
        <v>608.72</v>
      </c>
      <c r="I103" s="483">
        <v>117.76</v>
      </c>
      <c r="J103" s="538">
        <v>117.76</v>
      </c>
      <c r="K103" s="483">
        <v>58.8</v>
      </c>
      <c r="L103" s="538">
        <v>58.8</v>
      </c>
      <c r="M103" s="540">
        <v>1657.9394242280832</v>
      </c>
      <c r="N103" s="541">
        <v>4568.9259712367893</v>
      </c>
      <c r="O103" s="542">
        <v>822.92</v>
      </c>
      <c r="P103" s="542">
        <v>181.04239999999999</v>
      </c>
      <c r="Q103" s="542">
        <v>118.30599851433999</v>
      </c>
      <c r="R103" s="542">
        <v>785.28</v>
      </c>
      <c r="S103" s="542">
        <v>1657.9394242280832</v>
      </c>
      <c r="T103" s="542">
        <v>785.66919749125998</v>
      </c>
      <c r="U103" s="542">
        <v>217.7689510031058</v>
      </c>
      <c r="V103" s="543">
        <v>4568.9259712367893</v>
      </c>
      <c r="W103" s="544">
        <v>0.19456740442655934</v>
      </c>
      <c r="Y103" s="544"/>
      <c r="Z103" s="476">
        <v>1</v>
      </c>
    </row>
    <row r="104" spans="1:26" x14ac:dyDescent="0.3">
      <c r="A104" s="499">
        <v>150000629</v>
      </c>
      <c r="B104" s="477" t="s">
        <v>357</v>
      </c>
      <c r="C104" s="524">
        <v>807.59</v>
      </c>
      <c r="D104" s="524">
        <v>135.28</v>
      </c>
      <c r="E104" s="539">
        <v>155.84</v>
      </c>
      <c r="F104" s="539">
        <v>610.46</v>
      </c>
      <c r="G104" s="483">
        <v>1132.3</v>
      </c>
      <c r="H104" s="538">
        <v>1132.3</v>
      </c>
      <c r="I104" s="483">
        <v>246.38</v>
      </c>
      <c r="J104" s="538">
        <v>246.38</v>
      </c>
      <c r="K104" s="483">
        <v>107.03</v>
      </c>
      <c r="L104" s="538">
        <v>107.03</v>
      </c>
      <c r="M104" s="540">
        <v>3404.1818960027181</v>
      </c>
      <c r="N104" s="541">
        <v>9248.8026117446116</v>
      </c>
      <c r="O104" s="542">
        <v>1709.17</v>
      </c>
      <c r="P104" s="542">
        <v>376.01739999999995</v>
      </c>
      <c r="Q104" s="542">
        <v>195.37111187192801</v>
      </c>
      <c r="R104" s="542">
        <v>1485.7099999999998</v>
      </c>
      <c r="S104" s="542">
        <v>3404.1818960027181</v>
      </c>
      <c r="T104" s="542">
        <v>1631.8016602782009</v>
      </c>
      <c r="U104" s="542">
        <v>446.55054359176393</v>
      </c>
      <c r="V104" s="543">
        <v>9248.8026117446097</v>
      </c>
      <c r="W104" s="544">
        <v>0.99549452010314532</v>
      </c>
      <c r="Y104" s="544">
        <v>0</v>
      </c>
      <c r="Z104" s="476">
        <v>1</v>
      </c>
    </row>
    <row r="105" spans="1:26" x14ac:dyDescent="0.3">
      <c r="A105" s="499">
        <v>150000634</v>
      </c>
      <c r="B105" s="477" t="s">
        <v>86</v>
      </c>
      <c r="C105" s="524">
        <v>0</v>
      </c>
      <c r="D105" s="524">
        <v>0</v>
      </c>
      <c r="E105" s="539">
        <v>0</v>
      </c>
      <c r="F105" s="539">
        <v>0</v>
      </c>
      <c r="G105" s="483"/>
      <c r="H105" s="538">
        <v>0</v>
      </c>
      <c r="I105" s="483"/>
      <c r="J105" s="538">
        <v>0</v>
      </c>
      <c r="K105" s="483">
        <v>29.44</v>
      </c>
      <c r="L105" s="538">
        <v>29.44</v>
      </c>
      <c r="M105" s="540">
        <v>0</v>
      </c>
      <c r="N105" s="541">
        <v>29.44</v>
      </c>
      <c r="O105" s="542">
        <v>0</v>
      </c>
      <c r="P105" s="542">
        <v>0</v>
      </c>
      <c r="Q105" s="542">
        <v>0</v>
      </c>
      <c r="R105" s="542">
        <v>29.44</v>
      </c>
      <c r="S105" s="542">
        <v>0</v>
      </c>
      <c r="T105" s="542">
        <v>0</v>
      </c>
      <c r="U105" s="542">
        <v>0</v>
      </c>
      <c r="V105" s="543">
        <v>29.44</v>
      </c>
      <c r="W105" s="544">
        <v>0.98193966233038521</v>
      </c>
      <c r="Y105" s="544">
        <v>0</v>
      </c>
      <c r="Z105" s="476">
        <v>1</v>
      </c>
    </row>
    <row r="106" spans="1:26" x14ac:dyDescent="0.3">
      <c r="A106" s="499">
        <v>150000636</v>
      </c>
      <c r="B106" s="477" t="s">
        <v>258</v>
      </c>
      <c r="C106" s="524">
        <v>366.64</v>
      </c>
      <c r="D106" s="524">
        <v>75.48</v>
      </c>
      <c r="E106" s="539">
        <v>23.98</v>
      </c>
      <c r="F106" s="539">
        <v>216.24</v>
      </c>
      <c r="G106" s="483">
        <v>390.81</v>
      </c>
      <c r="H106" s="538">
        <v>390.81</v>
      </c>
      <c r="I106" s="483"/>
      <c r="J106" s="538">
        <v>0</v>
      </c>
      <c r="K106" s="483">
        <v>99.5</v>
      </c>
      <c r="L106" s="538">
        <v>99.5</v>
      </c>
      <c r="M106" s="540">
        <v>1131.5988152624452</v>
      </c>
      <c r="N106" s="541">
        <v>3356.6597188488586</v>
      </c>
      <c r="O106" s="542">
        <v>682.34</v>
      </c>
      <c r="P106" s="542">
        <v>150.1148</v>
      </c>
      <c r="Q106" s="542">
        <v>73.125998879027705</v>
      </c>
      <c r="R106" s="542">
        <v>490.31</v>
      </c>
      <c r="S106" s="542">
        <v>1131.5988152624452</v>
      </c>
      <c r="T106" s="542">
        <v>651.45277817550482</v>
      </c>
      <c r="U106" s="542">
        <v>177.71732653188087</v>
      </c>
      <c r="V106" s="543">
        <v>3356.6597188488586</v>
      </c>
      <c r="W106" s="544">
        <v>1.0063733733913813</v>
      </c>
      <c r="Y106" s="544">
        <v>0</v>
      </c>
      <c r="Z106" s="476">
        <v>1</v>
      </c>
    </row>
    <row r="107" spans="1:26" x14ac:dyDescent="0.3">
      <c r="A107" s="499">
        <v>150000637</v>
      </c>
      <c r="B107" s="477" t="s">
        <v>87</v>
      </c>
      <c r="C107" s="524">
        <v>0</v>
      </c>
      <c r="D107" s="524">
        <v>0</v>
      </c>
      <c r="E107" s="539">
        <v>0</v>
      </c>
      <c r="F107" s="539">
        <v>0</v>
      </c>
      <c r="G107" s="483"/>
      <c r="H107" s="538">
        <v>0</v>
      </c>
      <c r="I107" s="483"/>
      <c r="J107" s="538">
        <v>0</v>
      </c>
      <c r="K107" s="483">
        <v>25.61</v>
      </c>
      <c r="L107" s="538">
        <v>25.61</v>
      </c>
      <c r="M107" s="540">
        <v>0</v>
      </c>
      <c r="N107" s="541">
        <v>25.61</v>
      </c>
      <c r="O107" s="542">
        <v>0</v>
      </c>
      <c r="P107" s="542">
        <v>0</v>
      </c>
      <c r="Q107" s="542">
        <v>0</v>
      </c>
      <c r="R107" s="542">
        <v>25.61</v>
      </c>
      <c r="S107" s="542">
        <v>0</v>
      </c>
      <c r="T107" s="542">
        <v>0</v>
      </c>
      <c r="U107" s="542">
        <v>0</v>
      </c>
      <c r="V107" s="543">
        <v>25.61</v>
      </c>
      <c r="W107" s="544">
        <v>0.96808188329854172</v>
      </c>
      <c r="Y107" s="544">
        <v>0</v>
      </c>
      <c r="Z107" s="476">
        <v>1</v>
      </c>
    </row>
    <row r="108" spans="1:26" x14ac:dyDescent="0.3">
      <c r="A108" s="499">
        <v>150000638</v>
      </c>
      <c r="B108" s="477" t="s">
        <v>131</v>
      </c>
      <c r="C108" s="524">
        <v>0</v>
      </c>
      <c r="D108" s="524">
        <v>0</v>
      </c>
      <c r="E108" s="539">
        <v>0</v>
      </c>
      <c r="F108" s="539">
        <v>0</v>
      </c>
      <c r="G108" s="483"/>
      <c r="H108" s="538">
        <v>0</v>
      </c>
      <c r="I108" s="483"/>
      <c r="J108" s="538">
        <v>0</v>
      </c>
      <c r="K108" s="483">
        <v>19.11</v>
      </c>
      <c r="L108" s="538">
        <v>19.11</v>
      </c>
      <c r="M108" s="540">
        <v>0</v>
      </c>
      <c r="N108" s="541">
        <v>19.11</v>
      </c>
      <c r="O108" s="542">
        <v>0</v>
      </c>
      <c r="P108" s="542">
        <v>0</v>
      </c>
      <c r="Q108" s="542">
        <v>0</v>
      </c>
      <c r="R108" s="542">
        <v>19.11</v>
      </c>
      <c r="S108" s="542">
        <v>0</v>
      </c>
      <c r="T108" s="542">
        <v>0</v>
      </c>
      <c r="U108" s="542">
        <v>0</v>
      </c>
      <c r="V108" s="543">
        <v>19.11</v>
      </c>
      <c r="W108" s="544">
        <v>1.0234901762490731</v>
      </c>
      <c r="Y108" s="544">
        <v>0</v>
      </c>
      <c r="Z108" s="476">
        <v>1</v>
      </c>
    </row>
    <row r="109" spans="1:26" x14ac:dyDescent="0.3">
      <c r="A109" s="499">
        <v>150000639</v>
      </c>
      <c r="B109" s="477" t="s">
        <v>132</v>
      </c>
      <c r="C109" s="524">
        <v>0</v>
      </c>
      <c r="D109" s="524">
        <v>0</v>
      </c>
      <c r="E109" s="539">
        <v>0</v>
      </c>
      <c r="F109" s="539">
        <v>0</v>
      </c>
      <c r="G109" s="483"/>
      <c r="H109" s="538">
        <v>0</v>
      </c>
      <c r="I109" s="483"/>
      <c r="J109" s="538">
        <v>0</v>
      </c>
      <c r="K109" s="483">
        <v>31.24</v>
      </c>
      <c r="L109" s="538">
        <v>31.24</v>
      </c>
      <c r="M109" s="540">
        <v>0</v>
      </c>
      <c r="N109" s="541">
        <v>31.24</v>
      </c>
      <c r="O109" s="542">
        <v>0</v>
      </c>
      <c r="P109" s="542">
        <v>0</v>
      </c>
      <c r="Q109" s="542">
        <v>0</v>
      </c>
      <c r="R109" s="542">
        <v>31.24</v>
      </c>
      <c r="S109" s="542">
        <v>0</v>
      </c>
      <c r="T109" s="542">
        <v>0</v>
      </c>
      <c r="U109" s="542">
        <v>0</v>
      </c>
      <c r="V109" s="543">
        <v>31.24</v>
      </c>
      <c r="W109" s="544">
        <v>1.0821035159824308</v>
      </c>
      <c r="Y109" s="544">
        <v>0</v>
      </c>
      <c r="Z109" s="476">
        <v>2</v>
      </c>
    </row>
    <row r="110" spans="1:26" x14ac:dyDescent="0.3">
      <c r="A110" s="499">
        <v>150000643</v>
      </c>
      <c r="B110" s="477" t="s">
        <v>66</v>
      </c>
      <c r="C110" s="524">
        <v>0</v>
      </c>
      <c r="D110" s="524">
        <v>0</v>
      </c>
      <c r="E110" s="539">
        <v>0</v>
      </c>
      <c r="F110" s="539">
        <v>0</v>
      </c>
      <c r="G110" s="483"/>
      <c r="H110" s="538">
        <v>0</v>
      </c>
      <c r="I110" s="483"/>
      <c r="J110" s="538">
        <v>0</v>
      </c>
      <c r="K110" s="483">
        <v>38.630000000000003</v>
      </c>
      <c r="L110" s="538">
        <v>38.630000000000003</v>
      </c>
      <c r="M110" s="540">
        <v>0</v>
      </c>
      <c r="N110" s="541">
        <v>38.630000000000003</v>
      </c>
      <c r="O110" s="542">
        <v>0</v>
      </c>
      <c r="P110" s="542">
        <v>0</v>
      </c>
      <c r="Q110" s="542">
        <v>0</v>
      </c>
      <c r="R110" s="542">
        <v>38.630000000000003</v>
      </c>
      <c r="S110" s="542">
        <v>0</v>
      </c>
      <c r="T110" s="542">
        <v>0</v>
      </c>
      <c r="U110" s="542">
        <v>0</v>
      </c>
      <c r="V110" s="543">
        <v>38.630000000000003</v>
      </c>
      <c r="W110" s="544">
        <v>0.79536186479314874</v>
      </c>
      <c r="Y110" s="544">
        <v>0</v>
      </c>
      <c r="Z110" s="476">
        <v>2</v>
      </c>
    </row>
    <row r="111" spans="1:26" x14ac:dyDescent="0.3">
      <c r="A111" s="499">
        <v>150000644</v>
      </c>
      <c r="B111" s="477" t="s">
        <v>67</v>
      </c>
      <c r="C111" s="524">
        <v>0</v>
      </c>
      <c r="D111" s="524">
        <v>0</v>
      </c>
      <c r="E111" s="539">
        <v>0</v>
      </c>
      <c r="F111" s="539">
        <v>0</v>
      </c>
      <c r="G111" s="483">
        <v>22.45</v>
      </c>
      <c r="H111" s="538">
        <v>22.45</v>
      </c>
      <c r="I111" s="483"/>
      <c r="J111" s="538">
        <v>0</v>
      </c>
      <c r="K111" s="483">
        <v>27.48</v>
      </c>
      <c r="L111" s="538">
        <v>27.48</v>
      </c>
      <c r="M111" s="540">
        <v>0</v>
      </c>
      <c r="N111" s="541">
        <v>49.93</v>
      </c>
      <c r="O111" s="542">
        <v>0</v>
      </c>
      <c r="P111" s="542">
        <v>0</v>
      </c>
      <c r="Q111" s="542">
        <v>0</v>
      </c>
      <c r="R111" s="542">
        <v>49.93</v>
      </c>
      <c r="S111" s="542">
        <v>0</v>
      </c>
      <c r="T111" s="542">
        <v>0</v>
      </c>
      <c r="U111" s="542">
        <v>0</v>
      </c>
      <c r="V111" s="543">
        <v>49.93</v>
      </c>
      <c r="W111" s="544">
        <v>1.1485758712785974</v>
      </c>
      <c r="Y111" s="544">
        <v>0</v>
      </c>
      <c r="Z111" s="476">
        <v>2</v>
      </c>
    </row>
    <row r="112" spans="1:26" x14ac:dyDescent="0.3">
      <c r="A112" s="499">
        <v>150000645</v>
      </c>
      <c r="B112" s="477" t="s">
        <v>65</v>
      </c>
      <c r="C112" s="524">
        <v>0</v>
      </c>
      <c r="D112" s="524">
        <v>0</v>
      </c>
      <c r="E112" s="539">
        <v>0</v>
      </c>
      <c r="F112" s="539">
        <v>0</v>
      </c>
      <c r="G112" s="483"/>
      <c r="H112" s="538">
        <v>0</v>
      </c>
      <c r="I112" s="483"/>
      <c r="J112" s="538">
        <v>0</v>
      </c>
      <c r="K112" s="483">
        <v>78.83</v>
      </c>
      <c r="L112" s="538">
        <v>78.83</v>
      </c>
      <c r="M112" s="540">
        <v>0</v>
      </c>
      <c r="N112" s="541">
        <v>78.83</v>
      </c>
      <c r="O112" s="542">
        <v>0</v>
      </c>
      <c r="P112" s="542">
        <v>0</v>
      </c>
      <c r="Q112" s="542">
        <v>0</v>
      </c>
      <c r="R112" s="542">
        <v>78.83</v>
      </c>
      <c r="S112" s="542">
        <v>0</v>
      </c>
      <c r="T112" s="542">
        <v>0</v>
      </c>
      <c r="U112" s="542">
        <v>0</v>
      </c>
      <c r="V112" s="543">
        <v>78.83</v>
      </c>
      <c r="W112" s="544">
        <v>1.0260094739110854</v>
      </c>
      <c r="Y112" s="544">
        <v>0</v>
      </c>
      <c r="Z112" s="476">
        <v>2</v>
      </c>
    </row>
    <row r="113" spans="1:26" x14ac:dyDescent="0.3">
      <c r="A113" s="499">
        <v>150000647</v>
      </c>
      <c r="B113" s="477" t="s">
        <v>96</v>
      </c>
      <c r="C113" s="524">
        <v>0</v>
      </c>
      <c r="D113" s="524">
        <v>0</v>
      </c>
      <c r="E113" s="539">
        <v>0</v>
      </c>
      <c r="F113" s="539">
        <v>0</v>
      </c>
      <c r="G113" s="483"/>
      <c r="H113" s="538">
        <v>0</v>
      </c>
      <c r="I113" s="483"/>
      <c r="J113" s="538">
        <v>0</v>
      </c>
      <c r="K113" s="483">
        <v>29.07</v>
      </c>
      <c r="L113" s="538">
        <v>29.07</v>
      </c>
      <c r="M113" s="540">
        <v>0</v>
      </c>
      <c r="N113" s="541">
        <v>29.07</v>
      </c>
      <c r="O113" s="542">
        <v>0</v>
      </c>
      <c r="P113" s="542">
        <v>0</v>
      </c>
      <c r="Q113" s="542">
        <v>0</v>
      </c>
      <c r="R113" s="542">
        <v>29.07</v>
      </c>
      <c r="S113" s="542">
        <v>0</v>
      </c>
      <c r="T113" s="542">
        <v>0</v>
      </c>
      <c r="U113" s="542">
        <v>0</v>
      </c>
      <c r="V113" s="543">
        <v>29.07</v>
      </c>
      <c r="W113" s="544">
        <v>0.97321199235689948</v>
      </c>
      <c r="Y113" s="544">
        <v>0</v>
      </c>
      <c r="Z113" s="476">
        <v>2</v>
      </c>
    </row>
    <row r="114" spans="1:26" x14ac:dyDescent="0.3">
      <c r="A114" s="499">
        <v>150000648</v>
      </c>
      <c r="B114" s="477" t="s">
        <v>361</v>
      </c>
      <c r="C114" s="524">
        <v>286.73</v>
      </c>
      <c r="D114" s="524">
        <v>46.94</v>
      </c>
      <c r="E114" s="539">
        <v>13.19</v>
      </c>
      <c r="F114" s="539">
        <v>113.79</v>
      </c>
      <c r="G114" s="483">
        <v>410.03</v>
      </c>
      <c r="H114" s="538">
        <v>410.03</v>
      </c>
      <c r="I114" s="483">
        <v>97.32</v>
      </c>
      <c r="J114" s="538">
        <v>97.32</v>
      </c>
      <c r="K114" s="483">
        <v>31.87</v>
      </c>
      <c r="L114" s="538">
        <v>31.87</v>
      </c>
      <c r="M114" s="540">
        <v>1359.3581082644462</v>
      </c>
      <c r="N114" s="541">
        <v>3088.9833600236279</v>
      </c>
      <c r="O114" s="542">
        <v>460.65000000000003</v>
      </c>
      <c r="P114" s="542">
        <v>101.34299999999999</v>
      </c>
      <c r="Q114" s="542">
        <v>66.6627232412349</v>
      </c>
      <c r="R114" s="542">
        <v>539.21999999999991</v>
      </c>
      <c r="S114" s="542">
        <v>1359.3581082644462</v>
      </c>
      <c r="T114" s="542">
        <v>439.79793397213456</v>
      </c>
      <c r="U114" s="542">
        <v>121.95159454581265</v>
      </c>
      <c r="V114" s="543">
        <v>3088.9833600236284</v>
      </c>
      <c r="W114" s="544">
        <v>1.1274261220533883</v>
      </c>
      <c r="Y114" s="544">
        <v>0</v>
      </c>
      <c r="Z114" s="476">
        <v>2</v>
      </c>
    </row>
    <row r="115" spans="1:26" x14ac:dyDescent="0.3">
      <c r="A115" s="499">
        <v>150000658</v>
      </c>
      <c r="B115" s="477" t="s">
        <v>351</v>
      </c>
      <c r="C115" s="524">
        <v>526.03</v>
      </c>
      <c r="D115" s="524">
        <v>94.94</v>
      </c>
      <c r="E115" s="539">
        <v>26.37</v>
      </c>
      <c r="F115" s="539">
        <v>309.33999999999997</v>
      </c>
      <c r="G115" s="483">
        <v>539.74</v>
      </c>
      <c r="H115" s="538">
        <v>539.74</v>
      </c>
      <c r="I115" s="483">
        <v>128.63</v>
      </c>
      <c r="J115" s="538">
        <v>128.63</v>
      </c>
      <c r="K115" s="483">
        <v>54.16</v>
      </c>
      <c r="L115" s="538">
        <v>54.16</v>
      </c>
      <c r="M115" s="540">
        <v>1798.6285344422731</v>
      </c>
      <c r="N115" s="541">
        <v>4950.5861267653017</v>
      </c>
      <c r="O115" s="542">
        <v>956.68000000000006</v>
      </c>
      <c r="P115" s="542">
        <v>210.46960000000001</v>
      </c>
      <c r="Q115" s="542">
        <v>100.0198688644837</v>
      </c>
      <c r="R115" s="542">
        <v>722.53</v>
      </c>
      <c r="S115" s="542">
        <v>1798.6285344422731</v>
      </c>
      <c r="T115" s="542">
        <v>913.37433511877055</v>
      </c>
      <c r="U115" s="542">
        <v>248.88378833977413</v>
      </c>
      <c r="V115" s="543">
        <v>4950.5861267653017</v>
      </c>
      <c r="W115" s="544">
        <v>1.2857304908758178</v>
      </c>
      <c r="Y115" s="544">
        <v>0</v>
      </c>
      <c r="Z115" s="476">
        <v>2</v>
      </c>
    </row>
    <row r="116" spans="1:26" x14ac:dyDescent="0.3">
      <c r="A116" s="499">
        <v>150000659</v>
      </c>
      <c r="B116" s="477" t="s">
        <v>413</v>
      </c>
      <c r="C116" s="524">
        <v>286.45999999999998</v>
      </c>
      <c r="D116" s="524">
        <v>51.38</v>
      </c>
      <c r="E116" s="539">
        <v>8.99</v>
      </c>
      <c r="F116" s="539">
        <v>94.84</v>
      </c>
      <c r="G116" s="483">
        <v>286.37</v>
      </c>
      <c r="H116" s="538">
        <v>286.37</v>
      </c>
      <c r="I116" s="483">
        <v>69.11</v>
      </c>
      <c r="J116" s="538">
        <v>69.11</v>
      </c>
      <c r="K116" s="483">
        <v>27.74</v>
      </c>
      <c r="L116" s="538">
        <v>27.74</v>
      </c>
      <c r="M116" s="540">
        <v>928.38992164692388</v>
      </c>
      <c r="N116" s="541">
        <v>2449.4643511733289</v>
      </c>
      <c r="O116" s="542">
        <v>441.66999999999996</v>
      </c>
      <c r="P116" s="542">
        <v>97.167400000000001</v>
      </c>
      <c r="Q116" s="542">
        <v>60.771932978574497</v>
      </c>
      <c r="R116" s="542">
        <v>383.22</v>
      </c>
      <c r="S116" s="542">
        <v>928.38992164692388</v>
      </c>
      <c r="T116" s="542">
        <v>421.67709431775239</v>
      </c>
      <c r="U116" s="542">
        <v>116.56800223007821</v>
      </c>
      <c r="V116" s="543">
        <v>2449.4643511733289</v>
      </c>
      <c r="W116" s="544">
        <v>1.3024542308665263</v>
      </c>
      <c r="Y116" s="544">
        <v>0</v>
      </c>
      <c r="Z116" s="476">
        <v>2</v>
      </c>
    </row>
    <row r="117" spans="1:26" x14ac:dyDescent="0.3">
      <c r="A117" s="499">
        <v>150000660</v>
      </c>
      <c r="B117" s="477" t="s">
        <v>414</v>
      </c>
      <c r="C117" s="524">
        <v>516.29</v>
      </c>
      <c r="D117" s="524">
        <v>100.69</v>
      </c>
      <c r="E117" s="539">
        <v>28.17</v>
      </c>
      <c r="F117" s="539">
        <v>195.92</v>
      </c>
      <c r="G117" s="483">
        <v>498.94</v>
      </c>
      <c r="H117" s="538">
        <v>498.94</v>
      </c>
      <c r="I117" s="483">
        <v>125.98</v>
      </c>
      <c r="J117" s="538">
        <v>125.98</v>
      </c>
      <c r="K117" s="483">
        <v>50.19</v>
      </c>
      <c r="L117" s="538">
        <v>50.19</v>
      </c>
      <c r="M117" s="540">
        <v>1661.0536548614334</v>
      </c>
      <c r="N117" s="541">
        <v>4482.1467384591679</v>
      </c>
      <c r="O117" s="542">
        <v>841.06999999999994</v>
      </c>
      <c r="P117" s="542">
        <v>185.03539999999998</v>
      </c>
      <c r="Q117" s="542">
        <v>97.033885365381195</v>
      </c>
      <c r="R117" s="542">
        <v>675.1099999999999</v>
      </c>
      <c r="S117" s="542">
        <v>1661.0536548614334</v>
      </c>
      <c r="T117" s="542">
        <v>802.99760843578247</v>
      </c>
      <c r="U117" s="542">
        <v>219.84618979657071</v>
      </c>
      <c r="V117" s="543">
        <v>4482.1467384591679</v>
      </c>
      <c r="W117" s="544">
        <v>0.86704360066395125</v>
      </c>
      <c r="Y117" s="544">
        <v>0</v>
      </c>
      <c r="Z117" s="476">
        <v>2</v>
      </c>
    </row>
    <row r="118" spans="1:26" x14ac:dyDescent="0.3">
      <c r="A118" s="499">
        <v>150000670</v>
      </c>
      <c r="B118" s="477" t="s">
        <v>126</v>
      </c>
      <c r="C118" s="524">
        <v>0</v>
      </c>
      <c r="D118" s="524">
        <v>0</v>
      </c>
      <c r="E118" s="539">
        <v>0</v>
      </c>
      <c r="F118" s="539">
        <v>0</v>
      </c>
      <c r="G118" s="483"/>
      <c r="H118" s="538">
        <v>0</v>
      </c>
      <c r="I118" s="483"/>
      <c r="J118" s="538">
        <v>0</v>
      </c>
      <c r="K118" s="483">
        <v>31.87</v>
      </c>
      <c r="L118" s="538">
        <v>31.87</v>
      </c>
      <c r="M118" s="540">
        <v>0</v>
      </c>
      <c r="N118" s="541">
        <v>31.87</v>
      </c>
      <c r="O118" s="542">
        <v>0</v>
      </c>
      <c r="P118" s="542">
        <v>0</v>
      </c>
      <c r="Q118" s="542">
        <v>0</v>
      </c>
      <c r="R118" s="542">
        <v>31.87</v>
      </c>
      <c r="S118" s="542">
        <v>0</v>
      </c>
      <c r="T118" s="542">
        <v>0</v>
      </c>
      <c r="U118" s="542">
        <v>0</v>
      </c>
      <c r="V118" s="543">
        <v>31.87</v>
      </c>
      <c r="W118" s="544">
        <v>1.0918801982118802</v>
      </c>
      <c r="Y118" s="544">
        <v>0</v>
      </c>
      <c r="Z118" s="476">
        <v>2</v>
      </c>
    </row>
    <row r="119" spans="1:26" x14ac:dyDescent="0.3">
      <c r="A119" s="499">
        <v>150000671</v>
      </c>
      <c r="B119" s="477" t="s">
        <v>127</v>
      </c>
      <c r="C119" s="524">
        <v>0</v>
      </c>
      <c r="D119" s="524">
        <v>0</v>
      </c>
      <c r="E119" s="539">
        <v>0</v>
      </c>
      <c r="F119" s="539">
        <v>0</v>
      </c>
      <c r="G119" s="483"/>
      <c r="H119" s="538">
        <v>0</v>
      </c>
      <c r="I119" s="483"/>
      <c r="J119" s="538">
        <v>0</v>
      </c>
      <c r="K119" s="483">
        <v>25.61</v>
      </c>
      <c r="L119" s="538">
        <v>25.61</v>
      </c>
      <c r="M119" s="540">
        <v>0</v>
      </c>
      <c r="N119" s="541">
        <v>25.61</v>
      </c>
      <c r="O119" s="542">
        <v>0</v>
      </c>
      <c r="P119" s="542">
        <v>0</v>
      </c>
      <c r="Q119" s="542">
        <v>0</v>
      </c>
      <c r="R119" s="542">
        <v>25.61</v>
      </c>
      <c r="S119" s="542">
        <v>0</v>
      </c>
      <c r="T119" s="542">
        <v>0</v>
      </c>
      <c r="U119" s="542">
        <v>0</v>
      </c>
      <c r="V119" s="543">
        <v>25.61</v>
      </c>
      <c r="W119" s="544">
        <v>1.0429923126062655</v>
      </c>
      <c r="Y119" s="544">
        <v>0</v>
      </c>
      <c r="Z119" s="476">
        <v>2</v>
      </c>
    </row>
    <row r="120" spans="1:26" x14ac:dyDescent="0.3">
      <c r="A120" s="499">
        <v>150000672</v>
      </c>
      <c r="B120" s="477" t="s">
        <v>428</v>
      </c>
      <c r="C120" s="524">
        <v>436.83</v>
      </c>
      <c r="D120" s="524">
        <v>87.11</v>
      </c>
      <c r="E120" s="539">
        <v>0</v>
      </c>
      <c r="F120" s="539">
        <v>232.82</v>
      </c>
      <c r="G120" s="483">
        <v>368.83</v>
      </c>
      <c r="H120" s="538">
        <v>368.83</v>
      </c>
      <c r="I120" s="483"/>
      <c r="J120" s="538">
        <v>0</v>
      </c>
      <c r="K120" s="483">
        <v>130.83000000000001</v>
      </c>
      <c r="L120" s="538">
        <v>130.83000000000001</v>
      </c>
      <c r="M120" s="540">
        <v>1131.1356001796814</v>
      </c>
      <c r="N120" s="541">
        <v>3556.1294827325746</v>
      </c>
      <c r="O120" s="542">
        <v>756.76</v>
      </c>
      <c r="P120" s="542">
        <v>166.48719999999997</v>
      </c>
      <c r="Q120" s="542">
        <v>82.340961408670395</v>
      </c>
      <c r="R120" s="542">
        <v>499.65999999999997</v>
      </c>
      <c r="S120" s="542">
        <v>1131.1356001796814</v>
      </c>
      <c r="T120" s="542">
        <v>722.50403671497349</v>
      </c>
      <c r="U120" s="542">
        <v>197.24168442924935</v>
      </c>
      <c r="V120" s="543">
        <v>3556.1294827325751</v>
      </c>
      <c r="W120" s="544">
        <v>1.1791780583982392</v>
      </c>
      <c r="Y120" s="544">
        <v>0</v>
      </c>
      <c r="Z120" s="476">
        <v>2</v>
      </c>
    </row>
    <row r="121" spans="1:26" x14ac:dyDescent="0.3">
      <c r="A121" s="499">
        <v>150000673</v>
      </c>
      <c r="B121" s="477" t="s">
        <v>182</v>
      </c>
      <c r="C121" s="524">
        <v>119.9</v>
      </c>
      <c r="D121" s="524">
        <v>20.85</v>
      </c>
      <c r="E121" s="539">
        <v>0</v>
      </c>
      <c r="F121" s="539">
        <v>36.61</v>
      </c>
      <c r="G121" s="483">
        <v>68.88</v>
      </c>
      <c r="H121" s="538">
        <v>68.88</v>
      </c>
      <c r="I121" s="483"/>
      <c r="J121" s="538">
        <v>0</v>
      </c>
      <c r="K121" s="483">
        <v>16.84</v>
      </c>
      <c r="L121" s="538">
        <v>16.84</v>
      </c>
      <c r="M121" s="540">
        <v>214.96743033183233</v>
      </c>
      <c r="N121" s="541">
        <v>754.52486377949401</v>
      </c>
      <c r="O121" s="542">
        <v>177.36</v>
      </c>
      <c r="P121" s="542">
        <v>39.019199999999998</v>
      </c>
      <c r="Q121" s="542">
        <v>21.633142848553099</v>
      </c>
      <c r="R121" s="542">
        <v>85.72</v>
      </c>
      <c r="S121" s="542">
        <v>214.96743033183233</v>
      </c>
      <c r="T121" s="542">
        <v>169.33151322977918</v>
      </c>
      <c r="U121" s="542">
        <v>46.493577369329309</v>
      </c>
      <c r="V121" s="543">
        <v>754.5248637794939</v>
      </c>
      <c r="W121" s="544">
        <v>1.0323111222979273</v>
      </c>
      <c r="Y121" s="544">
        <v>0</v>
      </c>
      <c r="Z121" s="476">
        <v>2</v>
      </c>
    </row>
    <row r="122" spans="1:26" x14ac:dyDescent="0.3">
      <c r="A122" s="499">
        <v>150000676</v>
      </c>
      <c r="B122" s="477" t="s">
        <v>385</v>
      </c>
      <c r="C122" s="524">
        <v>520.98</v>
      </c>
      <c r="D122" s="524">
        <v>80.239999999999995</v>
      </c>
      <c r="E122" s="539">
        <v>26.37</v>
      </c>
      <c r="F122" s="539">
        <v>186.73</v>
      </c>
      <c r="G122" s="483">
        <v>505.68</v>
      </c>
      <c r="H122" s="538">
        <v>505.68</v>
      </c>
      <c r="I122" s="483">
        <v>125.85</v>
      </c>
      <c r="J122" s="538">
        <v>125.85</v>
      </c>
      <c r="K122" s="483">
        <v>50.66</v>
      </c>
      <c r="L122" s="538">
        <v>50.66</v>
      </c>
      <c r="M122" s="540">
        <v>1495.899661891428</v>
      </c>
      <c r="N122" s="541">
        <v>4278.5512482804761</v>
      </c>
      <c r="O122" s="542">
        <v>814.32</v>
      </c>
      <c r="P122" s="542">
        <v>179.15039999999999</v>
      </c>
      <c r="Q122" s="542">
        <v>114.34997620811069</v>
      </c>
      <c r="R122" s="542">
        <v>682.18999999999994</v>
      </c>
      <c r="S122" s="542">
        <v>1495.899661891428</v>
      </c>
      <c r="T122" s="542">
        <v>777.45849037705102</v>
      </c>
      <c r="U122" s="542">
        <v>215.18271980388707</v>
      </c>
      <c r="V122" s="543">
        <v>4278.551248280477</v>
      </c>
      <c r="W122" s="544">
        <v>0.96061490246489389</v>
      </c>
      <c r="Y122" s="544">
        <v>0</v>
      </c>
      <c r="Z122" s="476">
        <v>2</v>
      </c>
    </row>
    <row r="123" spans="1:26" x14ac:dyDescent="0.3">
      <c r="A123" s="499">
        <v>150000683</v>
      </c>
      <c r="B123" s="477" t="s">
        <v>115</v>
      </c>
      <c r="C123" s="524">
        <v>0</v>
      </c>
      <c r="D123" s="524">
        <v>0</v>
      </c>
      <c r="E123" s="539">
        <v>0</v>
      </c>
      <c r="F123" s="539">
        <v>0</v>
      </c>
      <c r="G123" s="483"/>
      <c r="H123" s="538">
        <v>0</v>
      </c>
      <c r="I123" s="483"/>
      <c r="J123" s="538">
        <v>0</v>
      </c>
      <c r="K123" s="483">
        <v>70.69</v>
      </c>
      <c r="L123" s="538">
        <v>70.69</v>
      </c>
      <c r="M123" s="540">
        <v>0</v>
      </c>
      <c r="N123" s="541">
        <v>70.69</v>
      </c>
      <c r="O123" s="542">
        <v>0</v>
      </c>
      <c r="P123" s="542">
        <v>0</v>
      </c>
      <c r="Q123" s="542">
        <v>0</v>
      </c>
      <c r="R123" s="542">
        <v>70.69</v>
      </c>
      <c r="S123" s="542">
        <v>0</v>
      </c>
      <c r="T123" s="542">
        <v>0</v>
      </c>
      <c r="U123" s="542">
        <v>0</v>
      </c>
      <c r="V123" s="543">
        <v>70.69</v>
      </c>
      <c r="W123" s="544">
        <v>1.0124570999040807</v>
      </c>
      <c r="Y123" s="544">
        <v>0</v>
      </c>
      <c r="Z123" s="476">
        <v>2</v>
      </c>
    </row>
    <row r="124" spans="1:26" x14ac:dyDescent="0.3">
      <c r="A124" s="499">
        <v>150000686</v>
      </c>
      <c r="B124" s="477" t="s">
        <v>97</v>
      </c>
      <c r="C124" s="524">
        <v>0</v>
      </c>
      <c r="D124" s="524">
        <v>0</v>
      </c>
      <c r="E124" s="539">
        <v>0</v>
      </c>
      <c r="F124" s="539">
        <v>0</v>
      </c>
      <c r="G124" s="483"/>
      <c r="H124" s="538">
        <v>0</v>
      </c>
      <c r="I124" s="483"/>
      <c r="J124" s="538">
        <v>0</v>
      </c>
      <c r="K124" s="483">
        <v>25.61</v>
      </c>
      <c r="L124" s="538">
        <v>25.61</v>
      </c>
      <c r="M124" s="540">
        <v>0</v>
      </c>
      <c r="N124" s="541">
        <v>25.61</v>
      </c>
      <c r="O124" s="542">
        <v>0</v>
      </c>
      <c r="P124" s="542">
        <v>0</v>
      </c>
      <c r="Q124" s="542">
        <v>0</v>
      </c>
      <c r="R124" s="542">
        <v>25.61</v>
      </c>
      <c r="S124" s="542">
        <v>0</v>
      </c>
      <c r="T124" s="542">
        <v>0</v>
      </c>
      <c r="U124" s="542">
        <v>0</v>
      </c>
      <c r="V124" s="543">
        <v>25.61</v>
      </c>
      <c r="W124" s="544">
        <v>1.0071283888939904</v>
      </c>
      <c r="Y124" s="544">
        <v>0</v>
      </c>
      <c r="Z124" s="476">
        <v>2</v>
      </c>
    </row>
    <row r="125" spans="1:26" x14ac:dyDescent="0.3">
      <c r="A125" s="499">
        <v>150000688</v>
      </c>
      <c r="B125" s="477" t="s">
        <v>92</v>
      </c>
      <c r="C125" s="524">
        <v>0</v>
      </c>
      <c r="D125" s="524">
        <v>0</v>
      </c>
      <c r="E125" s="539">
        <v>0</v>
      </c>
      <c r="F125" s="539">
        <v>0</v>
      </c>
      <c r="G125" s="483"/>
      <c r="H125" s="538">
        <v>0</v>
      </c>
      <c r="I125" s="483"/>
      <c r="J125" s="538">
        <v>0</v>
      </c>
      <c r="K125" s="483">
        <v>22.83</v>
      </c>
      <c r="L125" s="538">
        <v>22.83</v>
      </c>
      <c r="M125" s="540">
        <v>0</v>
      </c>
      <c r="N125" s="541">
        <v>22.83</v>
      </c>
      <c r="O125" s="542">
        <v>0</v>
      </c>
      <c r="P125" s="542">
        <v>0</v>
      </c>
      <c r="Q125" s="542">
        <v>0</v>
      </c>
      <c r="R125" s="542">
        <v>22.83</v>
      </c>
      <c r="S125" s="542">
        <v>0</v>
      </c>
      <c r="T125" s="542">
        <v>0</v>
      </c>
      <c r="U125" s="542">
        <v>0</v>
      </c>
      <c r="V125" s="543">
        <v>22.83</v>
      </c>
      <c r="W125" s="544">
        <v>0.92641558063307505</v>
      </c>
      <c r="Y125" s="544">
        <v>0</v>
      </c>
      <c r="Z125" s="476">
        <v>2</v>
      </c>
    </row>
    <row r="126" spans="1:26" x14ac:dyDescent="0.3">
      <c r="A126" s="499">
        <v>150000689</v>
      </c>
      <c r="B126" s="477" t="s">
        <v>93</v>
      </c>
      <c r="C126" s="524">
        <v>0</v>
      </c>
      <c r="D126" s="524">
        <v>0</v>
      </c>
      <c r="E126" s="539">
        <v>0</v>
      </c>
      <c r="F126" s="539">
        <v>0</v>
      </c>
      <c r="G126" s="483"/>
      <c r="H126" s="538">
        <v>0</v>
      </c>
      <c r="I126" s="483"/>
      <c r="J126" s="538">
        <v>0</v>
      </c>
      <c r="K126" s="483">
        <v>24.59</v>
      </c>
      <c r="L126" s="538">
        <v>24.59</v>
      </c>
      <c r="M126" s="540">
        <v>0</v>
      </c>
      <c r="N126" s="541">
        <v>24.59</v>
      </c>
      <c r="O126" s="542">
        <v>0</v>
      </c>
      <c r="P126" s="542">
        <v>0</v>
      </c>
      <c r="Q126" s="542">
        <v>0</v>
      </c>
      <c r="R126" s="542">
        <v>24.59</v>
      </c>
      <c r="S126" s="542">
        <v>0</v>
      </c>
      <c r="T126" s="542">
        <v>0</v>
      </c>
      <c r="U126" s="542">
        <v>0</v>
      </c>
      <c r="V126" s="543">
        <v>24.59</v>
      </c>
      <c r="W126" s="544">
        <v>1.0211759749151832</v>
      </c>
      <c r="Y126" s="544">
        <v>0</v>
      </c>
      <c r="Z126" s="476">
        <v>2</v>
      </c>
    </row>
    <row r="127" spans="1:26" x14ac:dyDescent="0.3">
      <c r="A127" s="499">
        <v>150000690</v>
      </c>
      <c r="B127" s="477" t="s">
        <v>95</v>
      </c>
      <c r="C127" s="524">
        <v>0</v>
      </c>
      <c r="D127" s="524">
        <v>0</v>
      </c>
      <c r="E127" s="539">
        <v>0</v>
      </c>
      <c r="F127" s="539">
        <v>0</v>
      </c>
      <c r="G127" s="483"/>
      <c r="H127" s="538">
        <v>0</v>
      </c>
      <c r="I127" s="483"/>
      <c r="J127" s="538">
        <v>0</v>
      </c>
      <c r="K127" s="483">
        <v>16.875</v>
      </c>
      <c r="L127" s="538">
        <v>16.875</v>
      </c>
      <c r="M127" s="540">
        <v>0</v>
      </c>
      <c r="N127" s="541">
        <v>16.875</v>
      </c>
      <c r="O127" s="542">
        <v>0</v>
      </c>
      <c r="P127" s="542">
        <v>0</v>
      </c>
      <c r="Q127" s="542">
        <v>0</v>
      </c>
      <c r="R127" s="542">
        <v>16.875</v>
      </c>
      <c r="S127" s="542">
        <v>0</v>
      </c>
      <c r="T127" s="542">
        <v>0</v>
      </c>
      <c r="U127" s="542">
        <v>0</v>
      </c>
      <c r="V127" s="543">
        <v>16.875</v>
      </c>
      <c r="W127" s="544">
        <v>0.14865488086087625</v>
      </c>
      <c r="Y127" s="544"/>
      <c r="Z127" s="476">
        <v>2</v>
      </c>
    </row>
    <row r="128" spans="1:26" x14ac:dyDescent="0.3">
      <c r="A128" s="499">
        <v>150000693</v>
      </c>
      <c r="B128" s="477" t="s">
        <v>94</v>
      </c>
      <c r="C128" s="524">
        <v>0</v>
      </c>
      <c r="D128" s="524">
        <v>0</v>
      </c>
      <c r="E128" s="539">
        <v>0</v>
      </c>
      <c r="F128" s="539">
        <v>0</v>
      </c>
      <c r="G128" s="483"/>
      <c r="H128" s="538">
        <v>0</v>
      </c>
      <c r="I128" s="483"/>
      <c r="J128" s="538">
        <v>0</v>
      </c>
      <c r="K128" s="483">
        <v>10.61</v>
      </c>
      <c r="L128" s="538">
        <v>10.61</v>
      </c>
      <c r="M128" s="540">
        <v>0</v>
      </c>
      <c r="N128" s="541">
        <v>10.61</v>
      </c>
      <c r="O128" s="542">
        <v>0</v>
      </c>
      <c r="P128" s="542">
        <v>0</v>
      </c>
      <c r="Q128" s="542">
        <v>0</v>
      </c>
      <c r="R128" s="542">
        <v>10.61</v>
      </c>
      <c r="S128" s="542">
        <v>0</v>
      </c>
      <c r="T128" s="542">
        <v>0</v>
      </c>
      <c r="U128" s="542">
        <v>0</v>
      </c>
      <c r="V128" s="543">
        <v>10.61</v>
      </c>
      <c r="W128" s="544">
        <v>6.5561416729464958E-2</v>
      </c>
      <c r="Y128" s="544"/>
      <c r="Z128" s="476">
        <v>2</v>
      </c>
    </row>
    <row r="129" spans="1:26" x14ac:dyDescent="0.3">
      <c r="A129" s="499">
        <v>150000694</v>
      </c>
      <c r="B129" s="477" t="s">
        <v>371</v>
      </c>
      <c r="C129" s="524">
        <v>741.28</v>
      </c>
      <c r="D129" s="524">
        <v>139.44999999999999</v>
      </c>
      <c r="E129" s="539">
        <v>39.56</v>
      </c>
      <c r="F129" s="539">
        <v>390.82</v>
      </c>
      <c r="G129" s="483">
        <v>662.53</v>
      </c>
      <c r="H129" s="538">
        <v>662.53</v>
      </c>
      <c r="I129" s="483">
        <v>161.52000000000001</v>
      </c>
      <c r="J129" s="538">
        <v>161.52000000000001</v>
      </c>
      <c r="K129" s="483">
        <v>75.709999999999994</v>
      </c>
      <c r="L129" s="538">
        <v>75.709999999999994</v>
      </c>
      <c r="M129" s="540">
        <v>2187.2232305657435</v>
      </c>
      <c r="N129" s="541">
        <v>6407.609454986994</v>
      </c>
      <c r="O129" s="542">
        <v>1311.11</v>
      </c>
      <c r="P129" s="542">
        <v>288.44420000000002</v>
      </c>
      <c r="Q129" s="542">
        <v>129.12850763533729</v>
      </c>
      <c r="R129" s="542">
        <v>899.76</v>
      </c>
      <c r="S129" s="542">
        <v>2187.2232305657435</v>
      </c>
      <c r="T129" s="542">
        <v>1251.7604888965707</v>
      </c>
      <c r="U129" s="542">
        <v>340.18302788934193</v>
      </c>
      <c r="V129" s="543">
        <v>6407.6094549869931</v>
      </c>
      <c r="W129" s="544">
        <v>0.14016528925619837</v>
      </c>
      <c r="Y129" s="544"/>
      <c r="Z129" s="476">
        <v>3</v>
      </c>
    </row>
    <row r="130" spans="1:26" x14ac:dyDescent="0.3">
      <c r="A130" s="499">
        <v>150000695</v>
      </c>
      <c r="B130" s="477" t="s">
        <v>372</v>
      </c>
      <c r="C130" s="524">
        <v>742.25</v>
      </c>
      <c r="D130" s="524">
        <v>130.22</v>
      </c>
      <c r="E130" s="539">
        <v>39.56</v>
      </c>
      <c r="F130" s="539">
        <v>392.99</v>
      </c>
      <c r="G130" s="483">
        <v>679.17</v>
      </c>
      <c r="H130" s="538">
        <v>679.17</v>
      </c>
      <c r="I130" s="483">
        <v>168.67</v>
      </c>
      <c r="J130" s="538">
        <v>168.67</v>
      </c>
      <c r="K130" s="483">
        <v>75.709999999999994</v>
      </c>
      <c r="L130" s="538">
        <v>75.709999999999994</v>
      </c>
      <c r="M130" s="540">
        <v>2246.2795904251798</v>
      </c>
      <c r="N130" s="541">
        <v>6478.7921551707559</v>
      </c>
      <c r="O130" s="542">
        <v>1305.02</v>
      </c>
      <c r="P130" s="542">
        <v>287.1044</v>
      </c>
      <c r="Q130" s="542">
        <v>131.9038630706213</v>
      </c>
      <c r="R130" s="542">
        <v>923.55</v>
      </c>
      <c r="S130" s="542">
        <v>2246.2795904251798</v>
      </c>
      <c r="T130" s="542">
        <v>1245.9461625796484</v>
      </c>
      <c r="U130" s="542">
        <v>338.98813909530639</v>
      </c>
      <c r="V130" s="543">
        <v>6478.7921551707559</v>
      </c>
      <c r="W130" s="544">
        <v>1.1624394309604487</v>
      </c>
      <c r="Y130" s="544">
        <v>0</v>
      </c>
      <c r="Z130" s="476">
        <v>3</v>
      </c>
    </row>
    <row r="131" spans="1:26" x14ac:dyDescent="0.3">
      <c r="A131" s="499">
        <v>150000696</v>
      </c>
      <c r="B131" s="477" t="s">
        <v>370</v>
      </c>
      <c r="C131" s="524">
        <v>741.63</v>
      </c>
      <c r="D131" s="524">
        <v>139.52000000000001</v>
      </c>
      <c r="E131" s="539">
        <v>39.56</v>
      </c>
      <c r="F131" s="539">
        <v>391.63</v>
      </c>
      <c r="G131" s="483">
        <v>679.17</v>
      </c>
      <c r="H131" s="538">
        <v>679.17</v>
      </c>
      <c r="I131" s="483">
        <v>168.67</v>
      </c>
      <c r="J131" s="538">
        <v>168.67</v>
      </c>
      <c r="K131" s="483">
        <v>75.709999999999994</v>
      </c>
      <c r="L131" s="538">
        <v>75.709999999999994</v>
      </c>
      <c r="M131" s="540">
        <v>2247.0813088376553</v>
      </c>
      <c r="N131" s="541">
        <v>6494.4315563511045</v>
      </c>
      <c r="O131" s="542">
        <v>1312.3400000000001</v>
      </c>
      <c r="P131" s="542">
        <v>288.71480000000003</v>
      </c>
      <c r="Q131" s="542">
        <v>129.3024444586089</v>
      </c>
      <c r="R131" s="542">
        <v>923.55</v>
      </c>
      <c r="S131" s="542">
        <v>2247.0813088376553</v>
      </c>
      <c r="T131" s="542">
        <v>1252.9348109605796</v>
      </c>
      <c r="U131" s="542">
        <v>340.50819209426032</v>
      </c>
      <c r="V131" s="543">
        <v>6494.4315563511045</v>
      </c>
      <c r="W131" s="544">
        <v>0.19418705035971223</v>
      </c>
      <c r="Y131" s="544"/>
      <c r="Z131" s="476">
        <v>3</v>
      </c>
    </row>
    <row r="132" spans="1:26" x14ac:dyDescent="0.3">
      <c r="A132" s="499">
        <v>150000697</v>
      </c>
      <c r="B132" s="477" t="s">
        <v>265</v>
      </c>
      <c r="C132" s="524">
        <v>355.93</v>
      </c>
      <c r="D132" s="524">
        <v>90.2</v>
      </c>
      <c r="E132" s="539">
        <v>23.98</v>
      </c>
      <c r="F132" s="539">
        <v>251.93</v>
      </c>
      <c r="G132" s="483">
        <v>338.21</v>
      </c>
      <c r="H132" s="538">
        <v>338.21</v>
      </c>
      <c r="I132" s="483">
        <v>80.72</v>
      </c>
      <c r="J132" s="538">
        <v>80.72</v>
      </c>
      <c r="K132" s="483">
        <v>75.709999999999994</v>
      </c>
      <c r="L132" s="538">
        <v>75.709999999999994</v>
      </c>
      <c r="M132" s="540">
        <v>977.84703971431713</v>
      </c>
      <c r="N132" s="541">
        <v>3306.8300744468925</v>
      </c>
      <c r="O132" s="542">
        <v>722.04</v>
      </c>
      <c r="P132" s="542">
        <v>158.84879999999998</v>
      </c>
      <c r="Q132" s="542">
        <v>76.178454532586997</v>
      </c>
      <c r="R132" s="542">
        <v>494.63999999999993</v>
      </c>
      <c r="S132" s="542">
        <v>977.84703971431713</v>
      </c>
      <c r="T132" s="542">
        <v>689.35569357481825</v>
      </c>
      <c r="U132" s="542">
        <v>187.9200866251698</v>
      </c>
      <c r="V132" s="543">
        <v>3306.830074446892</v>
      </c>
      <c r="W132" s="544">
        <v>6.9426751592356686E-2</v>
      </c>
      <c r="Y132" s="544"/>
      <c r="Z132" s="476">
        <v>3</v>
      </c>
    </row>
    <row r="133" spans="1:26" x14ac:dyDescent="0.3">
      <c r="A133" s="499">
        <v>150000698</v>
      </c>
      <c r="B133" s="477" t="s">
        <v>120</v>
      </c>
      <c r="C133" s="524">
        <v>0</v>
      </c>
      <c r="D133" s="524">
        <v>0</v>
      </c>
      <c r="E133" s="539">
        <v>0</v>
      </c>
      <c r="F133" s="539">
        <v>0</v>
      </c>
      <c r="G133" s="483"/>
      <c r="H133" s="538">
        <v>0</v>
      </c>
      <c r="I133" s="483"/>
      <c r="J133" s="538">
        <v>0</v>
      </c>
      <c r="K133" s="483">
        <v>31.84</v>
      </c>
      <c r="L133" s="538">
        <v>31.84</v>
      </c>
      <c r="M133" s="540">
        <v>0</v>
      </c>
      <c r="N133" s="541">
        <v>31.84</v>
      </c>
      <c r="O133" s="542">
        <v>0</v>
      </c>
      <c r="P133" s="542">
        <v>0</v>
      </c>
      <c r="Q133" s="542">
        <v>0</v>
      </c>
      <c r="R133" s="542">
        <v>31.84</v>
      </c>
      <c r="S133" s="542">
        <v>0</v>
      </c>
      <c r="T133" s="542">
        <v>0</v>
      </c>
      <c r="U133" s="542">
        <v>0</v>
      </c>
      <c r="V133" s="543">
        <v>31.84</v>
      </c>
      <c r="W133" s="544">
        <v>0.13093047034764826</v>
      </c>
      <c r="Y133" s="544"/>
      <c r="Z133" s="476">
        <v>3</v>
      </c>
    </row>
    <row r="134" spans="1:26" x14ac:dyDescent="0.3">
      <c r="A134" s="499">
        <v>150000699</v>
      </c>
      <c r="B134" s="477" t="s">
        <v>373</v>
      </c>
      <c r="C134" s="524">
        <v>439.28</v>
      </c>
      <c r="D134" s="524">
        <v>58.77</v>
      </c>
      <c r="E134" s="539">
        <v>26.37</v>
      </c>
      <c r="F134" s="539">
        <v>182.64</v>
      </c>
      <c r="G134" s="483">
        <v>455.21</v>
      </c>
      <c r="H134" s="538">
        <v>455.21</v>
      </c>
      <c r="I134" s="483">
        <v>109.54</v>
      </c>
      <c r="J134" s="538">
        <v>109.54</v>
      </c>
      <c r="K134" s="483">
        <v>119.56</v>
      </c>
      <c r="L134" s="538">
        <v>119.56</v>
      </c>
      <c r="M134" s="540">
        <v>1493.4766906892789</v>
      </c>
      <c r="N134" s="541">
        <v>3987.9802674418152</v>
      </c>
      <c r="O134" s="542">
        <v>707.06</v>
      </c>
      <c r="P134" s="542">
        <v>155.5532</v>
      </c>
      <c r="Q134" s="542">
        <v>87.080504610347504</v>
      </c>
      <c r="R134" s="542">
        <v>684.31</v>
      </c>
      <c r="S134" s="542">
        <v>1493.4766906892789</v>
      </c>
      <c r="T134" s="542">
        <v>675.05378746192866</v>
      </c>
      <c r="U134" s="542">
        <v>185.44608468026018</v>
      </c>
      <c r="V134" s="543">
        <v>3987.9802674418152</v>
      </c>
      <c r="W134" s="544">
        <v>0.14993633817163229</v>
      </c>
      <c r="Y134" s="544"/>
      <c r="Z134" s="476">
        <v>3</v>
      </c>
    </row>
    <row r="135" spans="1:26" x14ac:dyDescent="0.3">
      <c r="A135" s="499">
        <v>150000702</v>
      </c>
      <c r="B135" s="477" t="s">
        <v>338</v>
      </c>
      <c r="C135" s="524">
        <v>740</v>
      </c>
      <c r="D135" s="524">
        <v>140.21</v>
      </c>
      <c r="E135" s="539">
        <v>39.56</v>
      </c>
      <c r="F135" s="539">
        <v>395.7</v>
      </c>
      <c r="G135" s="483">
        <v>657.75</v>
      </c>
      <c r="H135" s="538">
        <v>657.75</v>
      </c>
      <c r="I135" s="483">
        <v>158.56</v>
      </c>
      <c r="J135" s="538">
        <v>158.56</v>
      </c>
      <c r="K135" s="483">
        <v>75.709999999999994</v>
      </c>
      <c r="L135" s="538">
        <v>75.709999999999994</v>
      </c>
      <c r="M135" s="540">
        <v>2171.9834543428151</v>
      </c>
      <c r="N135" s="541">
        <v>6390.3271900140089</v>
      </c>
      <c r="O135" s="542">
        <v>1315.47</v>
      </c>
      <c r="P135" s="542">
        <v>289.40340000000003</v>
      </c>
      <c r="Q135" s="542">
        <v>124.76049725540889</v>
      </c>
      <c r="R135" s="542">
        <v>892.02</v>
      </c>
      <c r="S135" s="542">
        <v>2171.9834543428151</v>
      </c>
      <c r="T135" s="542">
        <v>1255.9231264567977</v>
      </c>
      <c r="U135" s="542">
        <v>340.76671195898672</v>
      </c>
      <c r="V135" s="543">
        <v>6390.3271900140089</v>
      </c>
      <c r="W135" s="544">
        <v>1.0569493415356315</v>
      </c>
      <c r="Y135" s="544">
        <v>0</v>
      </c>
      <c r="Z135" s="476">
        <v>3</v>
      </c>
    </row>
    <row r="136" spans="1:26" x14ac:dyDescent="0.3">
      <c r="A136" s="499">
        <v>150000703</v>
      </c>
      <c r="B136" s="477" t="s">
        <v>339</v>
      </c>
      <c r="C136" s="524">
        <v>729.53</v>
      </c>
      <c r="D136" s="524">
        <v>138.5</v>
      </c>
      <c r="E136" s="539">
        <v>39.56</v>
      </c>
      <c r="F136" s="539">
        <v>455.64</v>
      </c>
      <c r="G136" s="483">
        <v>691.21</v>
      </c>
      <c r="H136" s="538">
        <v>691.21</v>
      </c>
      <c r="I136" s="483">
        <v>161.04</v>
      </c>
      <c r="J136" s="538">
        <v>161.04</v>
      </c>
      <c r="K136" s="483">
        <v>75.709999999999994</v>
      </c>
      <c r="L136" s="538">
        <v>75.709999999999994</v>
      </c>
      <c r="M136" s="540">
        <v>2250.5126636430518</v>
      </c>
      <c r="N136" s="541">
        <v>6628.6742910625107</v>
      </c>
      <c r="O136" s="542">
        <v>1363.23</v>
      </c>
      <c r="P136" s="542">
        <v>299.91059999999999</v>
      </c>
      <c r="Q136" s="542">
        <v>132.08239689742058</v>
      </c>
      <c r="R136" s="542">
        <v>927.96</v>
      </c>
      <c r="S136" s="542">
        <v>2250.5126636430518</v>
      </c>
      <c r="T136" s="542">
        <v>1301.5211929422185</v>
      </c>
      <c r="U136" s="542">
        <v>353.45743757981984</v>
      </c>
      <c r="V136" s="543">
        <v>6628.6742910625107</v>
      </c>
      <c r="W136" s="544">
        <v>0.1557312252964427</v>
      </c>
      <c r="Y136" s="544"/>
      <c r="Z136" s="476">
        <v>3</v>
      </c>
    </row>
    <row r="137" spans="1:26" x14ac:dyDescent="0.3">
      <c r="A137" s="499">
        <v>150000705</v>
      </c>
      <c r="B137" s="477" t="s">
        <v>141</v>
      </c>
      <c r="C137" s="524">
        <v>0</v>
      </c>
      <c r="D137" s="524">
        <v>0</v>
      </c>
      <c r="E137" s="539">
        <v>0</v>
      </c>
      <c r="F137" s="539">
        <v>0</v>
      </c>
      <c r="G137" s="483"/>
      <c r="H137" s="538">
        <v>0</v>
      </c>
      <c r="I137" s="483"/>
      <c r="J137" s="538">
        <v>0</v>
      </c>
      <c r="K137" s="483">
        <v>9.61</v>
      </c>
      <c r="L137" s="538">
        <v>9.61</v>
      </c>
      <c r="M137" s="540">
        <v>0</v>
      </c>
      <c r="N137" s="541">
        <v>9.61</v>
      </c>
      <c r="O137" s="542">
        <v>0</v>
      </c>
      <c r="P137" s="542">
        <v>0</v>
      </c>
      <c r="Q137" s="542">
        <v>0</v>
      </c>
      <c r="R137" s="542">
        <v>9.61</v>
      </c>
      <c r="S137" s="542">
        <v>0</v>
      </c>
      <c r="T137" s="542">
        <v>0</v>
      </c>
      <c r="U137" s="542">
        <v>0</v>
      </c>
      <c r="V137" s="543">
        <v>9.61</v>
      </c>
      <c r="W137" s="544">
        <v>0.20296296296296296</v>
      </c>
      <c r="Y137" s="544"/>
      <c r="Z137" s="476">
        <v>3</v>
      </c>
    </row>
    <row r="138" spans="1:26" x14ac:dyDescent="0.3">
      <c r="A138" s="499">
        <v>150000706</v>
      </c>
      <c r="B138" s="477" t="s">
        <v>143</v>
      </c>
      <c r="C138" s="524">
        <v>0</v>
      </c>
      <c r="D138" s="524">
        <v>0</v>
      </c>
      <c r="E138" s="539">
        <v>0</v>
      </c>
      <c r="F138" s="539">
        <v>0</v>
      </c>
      <c r="G138" s="483"/>
      <c r="H138" s="538">
        <v>0</v>
      </c>
      <c r="I138" s="483"/>
      <c r="J138" s="538">
        <v>0</v>
      </c>
      <c r="K138" s="483">
        <v>9.61</v>
      </c>
      <c r="L138" s="538">
        <v>9.61</v>
      </c>
      <c r="M138" s="540">
        <v>0</v>
      </c>
      <c r="N138" s="541">
        <v>9.61</v>
      </c>
      <c r="O138" s="542">
        <v>0</v>
      </c>
      <c r="P138" s="542">
        <v>0</v>
      </c>
      <c r="Q138" s="542">
        <v>0</v>
      </c>
      <c r="R138" s="542">
        <v>9.61</v>
      </c>
      <c r="S138" s="542">
        <v>0</v>
      </c>
      <c r="T138" s="542">
        <v>0</v>
      </c>
      <c r="U138" s="542">
        <v>0</v>
      </c>
      <c r="V138" s="543">
        <v>9.61</v>
      </c>
      <c r="W138" s="544">
        <v>0.22259483232545355</v>
      </c>
      <c r="Y138" s="544"/>
      <c r="Z138" s="476">
        <v>3</v>
      </c>
    </row>
    <row r="139" spans="1:26" x14ac:dyDescent="0.3">
      <c r="A139" s="499">
        <v>150000707</v>
      </c>
      <c r="B139" s="477" t="s">
        <v>144</v>
      </c>
      <c r="C139" s="524">
        <v>0</v>
      </c>
      <c r="D139" s="524">
        <v>0</v>
      </c>
      <c r="E139" s="539">
        <v>0</v>
      </c>
      <c r="F139" s="539">
        <v>0</v>
      </c>
      <c r="G139" s="483"/>
      <c r="H139" s="538">
        <v>0</v>
      </c>
      <c r="I139" s="483"/>
      <c r="J139" s="538">
        <v>0</v>
      </c>
      <c r="K139" s="483">
        <v>9.61</v>
      </c>
      <c r="L139" s="538">
        <v>9.61</v>
      </c>
      <c r="M139" s="540">
        <v>0</v>
      </c>
      <c r="N139" s="541">
        <v>9.61</v>
      </c>
      <c r="O139" s="542">
        <v>0</v>
      </c>
      <c r="P139" s="542">
        <v>0</v>
      </c>
      <c r="Q139" s="542">
        <v>0</v>
      </c>
      <c r="R139" s="542">
        <v>9.61</v>
      </c>
      <c r="S139" s="542">
        <v>0</v>
      </c>
      <c r="T139" s="542">
        <v>0</v>
      </c>
      <c r="U139" s="542">
        <v>0</v>
      </c>
      <c r="V139" s="543">
        <v>9.61</v>
      </c>
      <c r="W139" s="544">
        <v>0.22967332123411976</v>
      </c>
      <c r="Y139" s="544"/>
      <c r="Z139" s="476">
        <v>3</v>
      </c>
    </row>
    <row r="140" spans="1:26" x14ac:dyDescent="0.3">
      <c r="A140" s="499">
        <v>150000708</v>
      </c>
      <c r="B140" s="477" t="s">
        <v>145</v>
      </c>
      <c r="C140" s="524">
        <v>0</v>
      </c>
      <c r="D140" s="524">
        <v>0</v>
      </c>
      <c r="E140" s="539">
        <v>0</v>
      </c>
      <c r="F140" s="539">
        <v>0</v>
      </c>
      <c r="G140" s="483"/>
      <c r="H140" s="538">
        <v>0</v>
      </c>
      <c r="I140" s="483"/>
      <c r="J140" s="538">
        <v>0</v>
      </c>
      <c r="K140" s="483">
        <v>9.61</v>
      </c>
      <c r="L140" s="538">
        <v>9.61</v>
      </c>
      <c r="M140" s="540">
        <v>0</v>
      </c>
      <c r="N140" s="541">
        <v>9.61</v>
      </c>
      <c r="O140" s="542">
        <v>0</v>
      </c>
      <c r="P140" s="542">
        <v>0</v>
      </c>
      <c r="Q140" s="542">
        <v>0</v>
      </c>
      <c r="R140" s="542">
        <v>9.61</v>
      </c>
      <c r="S140" s="542">
        <v>0</v>
      </c>
      <c r="T140" s="542">
        <v>0</v>
      </c>
      <c r="U140" s="542">
        <v>0</v>
      </c>
      <c r="V140" s="543">
        <v>9.61</v>
      </c>
      <c r="W140" s="544">
        <v>0.19301397205588822</v>
      </c>
      <c r="Y140" s="544"/>
      <c r="Z140" s="476">
        <v>3</v>
      </c>
    </row>
    <row r="141" spans="1:26" x14ac:dyDescent="0.3">
      <c r="A141" s="499">
        <v>150000709</v>
      </c>
      <c r="B141" s="477" t="s">
        <v>142</v>
      </c>
      <c r="C141" s="524">
        <v>0</v>
      </c>
      <c r="D141" s="524">
        <v>0</v>
      </c>
      <c r="E141" s="539">
        <v>0</v>
      </c>
      <c r="F141" s="539">
        <v>0</v>
      </c>
      <c r="G141" s="483"/>
      <c r="H141" s="538">
        <v>0</v>
      </c>
      <c r="I141" s="483"/>
      <c r="J141" s="538">
        <v>0</v>
      </c>
      <c r="K141" s="483">
        <v>9.61</v>
      </c>
      <c r="L141" s="538">
        <v>9.61</v>
      </c>
      <c r="M141" s="540">
        <v>0</v>
      </c>
      <c r="N141" s="541">
        <v>9.61</v>
      </c>
      <c r="O141" s="542">
        <v>0</v>
      </c>
      <c r="P141" s="542">
        <v>0</v>
      </c>
      <c r="Q141" s="542">
        <v>0</v>
      </c>
      <c r="R141" s="542">
        <v>9.61</v>
      </c>
      <c r="S141" s="542">
        <v>0</v>
      </c>
      <c r="T141" s="542">
        <v>0</v>
      </c>
      <c r="U141" s="542">
        <v>0</v>
      </c>
      <c r="V141" s="543">
        <v>9.61</v>
      </c>
      <c r="W141" s="544">
        <v>1.0182557782255688</v>
      </c>
      <c r="Y141" s="544">
        <v>0</v>
      </c>
      <c r="Z141" s="476">
        <v>3</v>
      </c>
    </row>
    <row r="142" spans="1:26" x14ac:dyDescent="0.3">
      <c r="A142" s="499">
        <v>150000710</v>
      </c>
      <c r="B142" s="477" t="s">
        <v>278</v>
      </c>
      <c r="C142" s="524">
        <v>556.15</v>
      </c>
      <c r="D142" s="524">
        <v>114.9</v>
      </c>
      <c r="E142" s="539">
        <v>0</v>
      </c>
      <c r="F142" s="539">
        <v>410.06</v>
      </c>
      <c r="G142" s="483">
        <v>553.30999999999995</v>
      </c>
      <c r="H142" s="538">
        <v>553.30999999999995</v>
      </c>
      <c r="I142" s="483"/>
      <c r="J142" s="538">
        <v>0</v>
      </c>
      <c r="K142" s="483">
        <v>163.35</v>
      </c>
      <c r="L142" s="538">
        <v>163.35</v>
      </c>
      <c r="M142" s="540">
        <v>1629.1987099390635</v>
      </c>
      <c r="N142" s="541">
        <v>5079.0612076488214</v>
      </c>
      <c r="O142" s="542">
        <v>1081.1099999999999</v>
      </c>
      <c r="P142" s="542">
        <v>237.8442</v>
      </c>
      <c r="Q142" s="542">
        <v>102.0723440535351</v>
      </c>
      <c r="R142" s="542">
        <v>716.66</v>
      </c>
      <c r="S142" s="542">
        <v>1629.1987099390635</v>
      </c>
      <c r="T142" s="542">
        <v>1032.1718102607497</v>
      </c>
      <c r="U142" s="542">
        <v>280.00414339547359</v>
      </c>
      <c r="V142" s="543">
        <v>5079.0612076488214</v>
      </c>
      <c r="W142" s="544">
        <v>1.0018562664438302</v>
      </c>
      <c r="Y142" s="544">
        <v>0</v>
      </c>
      <c r="Z142" s="476">
        <v>1</v>
      </c>
    </row>
    <row r="143" spans="1:26" x14ac:dyDescent="0.3">
      <c r="A143" s="499">
        <v>150000711</v>
      </c>
      <c r="B143" s="477" t="s">
        <v>279</v>
      </c>
      <c r="C143" s="524">
        <v>556.26</v>
      </c>
      <c r="D143" s="524">
        <v>114.92</v>
      </c>
      <c r="E143" s="539">
        <v>43.76</v>
      </c>
      <c r="F143" s="539">
        <v>410.33</v>
      </c>
      <c r="G143" s="483">
        <v>571.29999999999995</v>
      </c>
      <c r="H143" s="538">
        <v>571.29999999999995</v>
      </c>
      <c r="I143" s="483"/>
      <c r="J143" s="538">
        <v>0</v>
      </c>
      <c r="K143" s="483">
        <v>163.35</v>
      </c>
      <c r="L143" s="538">
        <v>163.35</v>
      </c>
      <c r="M143" s="540">
        <v>1631.1584660584488</v>
      </c>
      <c r="N143" s="541">
        <v>5207.8756457838599</v>
      </c>
      <c r="O143" s="542">
        <v>1125.27</v>
      </c>
      <c r="P143" s="542">
        <v>247.55939999999998</v>
      </c>
      <c r="Q143" s="542">
        <v>103.74810908706601</v>
      </c>
      <c r="R143" s="542">
        <v>734.65</v>
      </c>
      <c r="S143" s="542">
        <v>1631.1584660584488</v>
      </c>
      <c r="T143" s="542">
        <v>1074.3328365588275</v>
      </c>
      <c r="U143" s="542">
        <v>291.15683407951764</v>
      </c>
      <c r="V143" s="543">
        <v>5207.8756457838599</v>
      </c>
      <c r="W143" s="544">
        <v>0.92151534055436135</v>
      </c>
      <c r="Y143" s="544">
        <v>0</v>
      </c>
      <c r="Z143" s="476">
        <v>1</v>
      </c>
    </row>
    <row r="144" spans="1:26" x14ac:dyDescent="0.3">
      <c r="A144" s="499">
        <v>150000712</v>
      </c>
      <c r="B144" s="477" t="s">
        <v>280</v>
      </c>
      <c r="C144" s="524">
        <v>382.87</v>
      </c>
      <c r="D144" s="524">
        <v>77.16</v>
      </c>
      <c r="E144" s="539">
        <v>0</v>
      </c>
      <c r="F144" s="539">
        <v>234.21</v>
      </c>
      <c r="G144" s="483">
        <v>397.23</v>
      </c>
      <c r="H144" s="538">
        <v>397.23</v>
      </c>
      <c r="I144" s="483"/>
      <c r="J144" s="538">
        <v>0</v>
      </c>
      <c r="K144" s="483">
        <v>99.5</v>
      </c>
      <c r="L144" s="538">
        <v>99.5</v>
      </c>
      <c r="M144" s="540">
        <v>1143.4036734870326</v>
      </c>
      <c r="N144" s="541">
        <v>3406.0895109145276</v>
      </c>
      <c r="O144" s="542">
        <v>694.24</v>
      </c>
      <c r="P144" s="542">
        <v>152.7328</v>
      </c>
      <c r="Q144" s="542">
        <v>75.254802132106605</v>
      </c>
      <c r="R144" s="542">
        <v>496.73</v>
      </c>
      <c r="S144" s="542">
        <v>1143.4036734870326</v>
      </c>
      <c r="T144" s="542">
        <v>662.81410546144514</v>
      </c>
      <c r="U144" s="542">
        <v>180.91412983394358</v>
      </c>
      <c r="V144" s="543">
        <v>3406.0895109145285</v>
      </c>
      <c r="W144" s="544">
        <v>9.4690999585234331E-2</v>
      </c>
      <c r="Y144" s="544"/>
      <c r="Z144" s="476">
        <v>3</v>
      </c>
    </row>
    <row r="145" spans="1:26" x14ac:dyDescent="0.3">
      <c r="A145" s="499">
        <v>150000713</v>
      </c>
      <c r="B145" s="477" t="s">
        <v>281</v>
      </c>
      <c r="C145" s="524">
        <v>728.21</v>
      </c>
      <c r="D145" s="524">
        <v>153.37</v>
      </c>
      <c r="E145" s="539">
        <v>67.73</v>
      </c>
      <c r="F145" s="539">
        <v>654.08000000000004</v>
      </c>
      <c r="G145" s="483">
        <v>729.07</v>
      </c>
      <c r="H145" s="538">
        <v>729.07</v>
      </c>
      <c r="I145" s="483"/>
      <c r="J145" s="538">
        <v>0</v>
      </c>
      <c r="K145" s="483">
        <v>165.89</v>
      </c>
      <c r="L145" s="538">
        <v>165.89</v>
      </c>
      <c r="M145" s="540">
        <v>2229.347297553692</v>
      </c>
      <c r="N145" s="541">
        <v>7170.4769005050512</v>
      </c>
      <c r="O145" s="542">
        <v>1603.39</v>
      </c>
      <c r="P145" s="542">
        <v>352.74580000000003</v>
      </c>
      <c r="Q145" s="542">
        <v>144.71219874026349</v>
      </c>
      <c r="R145" s="542">
        <v>894.96</v>
      </c>
      <c r="S145" s="542">
        <v>2229.347297553692</v>
      </c>
      <c r="T145" s="542">
        <v>1530.8099627734307</v>
      </c>
      <c r="U145" s="542">
        <v>414.5116414376655</v>
      </c>
      <c r="V145" s="543">
        <v>7170.4769005050512</v>
      </c>
      <c r="W145" s="544">
        <v>0.13017469560614081</v>
      </c>
      <c r="Y145" s="544"/>
      <c r="Z145" s="476">
        <v>3</v>
      </c>
    </row>
    <row r="146" spans="1:26" x14ac:dyDescent="0.3">
      <c r="A146" s="499">
        <v>150000714</v>
      </c>
      <c r="B146" s="477" t="s">
        <v>282</v>
      </c>
      <c r="C146" s="524">
        <v>352.28</v>
      </c>
      <c r="D146" s="524">
        <v>75.37</v>
      </c>
      <c r="E146" s="539">
        <v>0</v>
      </c>
      <c r="F146" s="539">
        <v>219</v>
      </c>
      <c r="G146" s="483">
        <v>340.68</v>
      </c>
      <c r="H146" s="538">
        <v>340.68</v>
      </c>
      <c r="I146" s="483"/>
      <c r="J146" s="538">
        <v>0</v>
      </c>
      <c r="K146" s="483">
        <v>98.27</v>
      </c>
      <c r="L146" s="538">
        <v>98.27</v>
      </c>
      <c r="M146" s="540">
        <v>986.22054313350839</v>
      </c>
      <c r="N146" s="541">
        <v>3077.7174580664537</v>
      </c>
      <c r="O146" s="542">
        <v>646.65</v>
      </c>
      <c r="P146" s="542">
        <v>142.26300000000001</v>
      </c>
      <c r="Q146" s="542">
        <v>76.959668864971306</v>
      </c>
      <c r="R146" s="542">
        <v>438.95</v>
      </c>
      <c r="S146" s="542">
        <v>986.22054313350839</v>
      </c>
      <c r="T146" s="542">
        <v>617.37834365153765</v>
      </c>
      <c r="U146" s="542">
        <v>169.2959024164366</v>
      </c>
      <c r="V146" s="543">
        <v>3077.7174580664541</v>
      </c>
      <c r="W146" s="544">
        <v>6.3992762364294326E-2</v>
      </c>
      <c r="Y146" s="544"/>
      <c r="Z146" s="476">
        <v>3</v>
      </c>
    </row>
    <row r="147" spans="1:26" x14ac:dyDescent="0.3">
      <c r="A147" s="499">
        <v>150000715</v>
      </c>
      <c r="B147" s="477" t="s">
        <v>283</v>
      </c>
      <c r="C147" s="524">
        <v>557.17999999999995</v>
      </c>
      <c r="D147" s="524">
        <v>115.05</v>
      </c>
      <c r="E147" s="539">
        <v>44.66</v>
      </c>
      <c r="F147" s="539">
        <v>411.89</v>
      </c>
      <c r="G147" s="483">
        <v>577.11</v>
      </c>
      <c r="H147" s="538">
        <v>577.11</v>
      </c>
      <c r="I147" s="483"/>
      <c r="J147" s="538">
        <v>0</v>
      </c>
      <c r="K147" s="483">
        <v>163.35</v>
      </c>
      <c r="L147" s="538">
        <v>163.35</v>
      </c>
      <c r="M147" s="540">
        <v>1632.0492642945328</v>
      </c>
      <c r="N147" s="541">
        <v>5218.4463401060766</v>
      </c>
      <c r="O147" s="542">
        <v>1128.7799999999997</v>
      </c>
      <c r="P147" s="542">
        <v>248.33159999999998</v>
      </c>
      <c r="Q147" s="542">
        <v>99.588237767795988</v>
      </c>
      <c r="R147" s="542">
        <v>740.46</v>
      </c>
      <c r="S147" s="542">
        <v>1632.0492642945328</v>
      </c>
      <c r="T147" s="542">
        <v>1077.683950741487</v>
      </c>
      <c r="U147" s="542">
        <v>291.55328730226097</v>
      </c>
      <c r="V147" s="543">
        <v>5218.4463401060766</v>
      </c>
      <c r="W147" s="544">
        <v>0.11875439831104856</v>
      </c>
      <c r="Y147" s="544"/>
      <c r="Z147" s="476">
        <v>3</v>
      </c>
    </row>
    <row r="148" spans="1:26" x14ac:dyDescent="0.3">
      <c r="A148" s="499">
        <v>150000716</v>
      </c>
      <c r="B148" s="477" t="s">
        <v>285</v>
      </c>
      <c r="C148" s="524">
        <v>417.23</v>
      </c>
      <c r="D148" s="524">
        <v>77.14</v>
      </c>
      <c r="E148" s="539">
        <v>0</v>
      </c>
      <c r="F148" s="539">
        <v>231.99</v>
      </c>
      <c r="G148" s="483">
        <v>387.32</v>
      </c>
      <c r="H148" s="538">
        <v>387.32</v>
      </c>
      <c r="I148" s="483"/>
      <c r="J148" s="538">
        <v>0</v>
      </c>
      <c r="K148" s="483">
        <v>81.96</v>
      </c>
      <c r="L148" s="538">
        <v>81.96</v>
      </c>
      <c r="M148" s="540">
        <v>1130.0381367528257</v>
      </c>
      <c r="N148" s="541">
        <v>3443.348355427172</v>
      </c>
      <c r="O148" s="542">
        <v>726.36</v>
      </c>
      <c r="P148" s="542">
        <v>159.79919999999998</v>
      </c>
      <c r="Q148" s="542">
        <v>75.478382389607901</v>
      </c>
      <c r="R148" s="542">
        <v>469.28</v>
      </c>
      <c r="S148" s="542">
        <v>1130.0381367528257</v>
      </c>
      <c r="T148" s="542">
        <v>693.48014179963025</v>
      </c>
      <c r="U148" s="542">
        <v>188.91249448510803</v>
      </c>
      <c r="V148" s="543">
        <v>3443.3483554271725</v>
      </c>
      <c r="W148" s="544">
        <v>0.80969419659859199</v>
      </c>
      <c r="Y148" s="544">
        <v>0</v>
      </c>
      <c r="Z148" s="476">
        <v>3</v>
      </c>
    </row>
    <row r="149" spans="1:26" x14ac:dyDescent="0.3">
      <c r="A149" s="499">
        <v>150000717</v>
      </c>
      <c r="B149" s="477" t="s">
        <v>286</v>
      </c>
      <c r="C149" s="524">
        <v>409.58</v>
      </c>
      <c r="D149" s="524">
        <v>77.14</v>
      </c>
      <c r="E149" s="539">
        <v>0</v>
      </c>
      <c r="F149" s="539">
        <v>232.08</v>
      </c>
      <c r="G149" s="483">
        <v>386.19</v>
      </c>
      <c r="H149" s="538">
        <v>386.19</v>
      </c>
      <c r="I149" s="483"/>
      <c r="J149" s="538">
        <v>0</v>
      </c>
      <c r="K149" s="483">
        <v>130.86000000000001</v>
      </c>
      <c r="L149" s="538">
        <v>130.86000000000001</v>
      </c>
      <c r="M149" s="540">
        <v>1127.8574626708914</v>
      </c>
      <c r="N149" s="541">
        <v>3470.2346732925571</v>
      </c>
      <c r="O149" s="542">
        <v>718.8</v>
      </c>
      <c r="P149" s="542">
        <v>158.136</v>
      </c>
      <c r="Q149" s="542">
        <v>75.132396694274206</v>
      </c>
      <c r="R149" s="542">
        <v>517.04999999999995</v>
      </c>
      <c r="S149" s="542">
        <v>1127.8574626708914</v>
      </c>
      <c r="T149" s="542">
        <v>686.26235740620928</v>
      </c>
      <c r="U149" s="542">
        <v>186.99645652118193</v>
      </c>
      <c r="V149" s="543">
        <v>3470.2346732925571</v>
      </c>
      <c r="W149" s="544">
        <v>0.10451195398166457</v>
      </c>
      <c r="Y149" s="544"/>
      <c r="Z149" s="476">
        <v>3</v>
      </c>
    </row>
    <row r="150" spans="1:26" x14ac:dyDescent="0.3">
      <c r="A150" s="499">
        <v>150000718</v>
      </c>
      <c r="B150" s="477" t="s">
        <v>287</v>
      </c>
      <c r="C150" s="524">
        <v>531.71</v>
      </c>
      <c r="D150" s="524">
        <v>114.08</v>
      </c>
      <c r="E150" s="539">
        <v>43.76</v>
      </c>
      <c r="F150" s="539">
        <v>434.54</v>
      </c>
      <c r="G150" s="483">
        <v>550.53</v>
      </c>
      <c r="H150" s="538">
        <v>550.53</v>
      </c>
      <c r="I150" s="483"/>
      <c r="J150" s="538">
        <v>0</v>
      </c>
      <c r="K150" s="483">
        <v>147.07</v>
      </c>
      <c r="L150" s="538">
        <v>147.07</v>
      </c>
      <c r="M150" s="540">
        <v>1587.9725675730881</v>
      </c>
      <c r="N150" s="541">
        <v>5136.2780543246608</v>
      </c>
      <c r="O150" s="542">
        <v>1124.0900000000001</v>
      </c>
      <c r="P150" s="542">
        <v>247.2998</v>
      </c>
      <c r="Q150" s="542">
        <v>114.067646309341</v>
      </c>
      <c r="R150" s="542">
        <v>697.59999999999991</v>
      </c>
      <c r="S150" s="542">
        <v>1587.9725675730881</v>
      </c>
      <c r="T150" s="542">
        <v>1073.206251164087</v>
      </c>
      <c r="U150" s="542">
        <v>292.04178927814428</v>
      </c>
      <c r="V150" s="543">
        <v>5136.2780543246599</v>
      </c>
      <c r="W150" s="544">
        <v>0.1191717077710563</v>
      </c>
      <c r="Y150" s="544"/>
      <c r="Z150" s="476">
        <v>3</v>
      </c>
    </row>
    <row r="151" spans="1:26" x14ac:dyDescent="0.3">
      <c r="A151" s="499">
        <v>150000719</v>
      </c>
      <c r="B151" s="477" t="s">
        <v>284</v>
      </c>
      <c r="C151" s="524">
        <v>728.94</v>
      </c>
      <c r="D151" s="524">
        <v>153.47999999999999</v>
      </c>
      <c r="E151" s="539">
        <v>67.73</v>
      </c>
      <c r="F151" s="539">
        <v>666.23</v>
      </c>
      <c r="G151" s="483">
        <v>752.54</v>
      </c>
      <c r="H151" s="538">
        <v>752.54</v>
      </c>
      <c r="I151" s="483"/>
      <c r="J151" s="538">
        <v>0</v>
      </c>
      <c r="K151" s="483">
        <v>118.47</v>
      </c>
      <c r="L151" s="538">
        <v>118.47</v>
      </c>
      <c r="M151" s="540">
        <v>2213.1347696569596</v>
      </c>
      <c r="N151" s="541">
        <v>7172.472931057624</v>
      </c>
      <c r="O151" s="542">
        <v>1616.38</v>
      </c>
      <c r="P151" s="542">
        <v>355.60360000000003</v>
      </c>
      <c r="Q151" s="542">
        <v>154.3020182752071</v>
      </c>
      <c r="R151" s="542">
        <v>871.01</v>
      </c>
      <c r="S151" s="542">
        <v>2213.1347696569596</v>
      </c>
      <c r="T151" s="542">
        <v>1543.2119494494277</v>
      </c>
      <c r="U151" s="542">
        <v>418.83059367602948</v>
      </c>
      <c r="V151" s="543">
        <v>7172.472931057624</v>
      </c>
      <c r="W151" s="544">
        <v>0.18403352078509205</v>
      </c>
      <c r="Y151" s="544"/>
      <c r="Z151" s="476">
        <v>3</v>
      </c>
    </row>
    <row r="152" spans="1:26" x14ac:dyDescent="0.3">
      <c r="A152" s="499">
        <v>150000720</v>
      </c>
      <c r="B152" s="477" t="s">
        <v>288</v>
      </c>
      <c r="C152" s="524">
        <v>359.19</v>
      </c>
      <c r="D152" s="524">
        <v>74</v>
      </c>
      <c r="E152" s="539">
        <v>0</v>
      </c>
      <c r="F152" s="539">
        <v>129.47999999999999</v>
      </c>
      <c r="G152" s="483">
        <v>437.11</v>
      </c>
      <c r="H152" s="538">
        <v>437.11</v>
      </c>
      <c r="I152" s="483">
        <v>110.37</v>
      </c>
      <c r="J152" s="538">
        <v>110.37</v>
      </c>
      <c r="K152" s="483">
        <v>88.24</v>
      </c>
      <c r="L152" s="538">
        <v>88.24</v>
      </c>
      <c r="M152" s="540">
        <v>1307.7274425010075</v>
      </c>
      <c r="N152" s="541">
        <v>3402.2308603519359</v>
      </c>
      <c r="O152" s="542">
        <v>562.66999999999996</v>
      </c>
      <c r="P152" s="542">
        <v>123.78740000000001</v>
      </c>
      <c r="Q152" s="542">
        <v>85.680468974426702</v>
      </c>
      <c r="R152" s="542">
        <v>635.72</v>
      </c>
      <c r="S152" s="542">
        <v>1307.7274425010075</v>
      </c>
      <c r="T152" s="542">
        <v>537.19983394790177</v>
      </c>
      <c r="U152" s="542">
        <v>149.44571492860018</v>
      </c>
      <c r="V152" s="543">
        <v>3402.2308603519368</v>
      </c>
      <c r="W152" s="544">
        <v>1.0128989533227575</v>
      </c>
      <c r="Y152" s="544">
        <v>0</v>
      </c>
      <c r="Z152" s="476">
        <v>2</v>
      </c>
    </row>
    <row r="153" spans="1:26" x14ac:dyDescent="0.3">
      <c r="A153" s="499">
        <v>150000721</v>
      </c>
      <c r="B153" s="477" t="s">
        <v>218</v>
      </c>
      <c r="C153" s="524">
        <v>352.78</v>
      </c>
      <c r="D153" s="524">
        <v>50.19</v>
      </c>
      <c r="E153" s="539">
        <v>0</v>
      </c>
      <c r="F153" s="539">
        <v>137.31</v>
      </c>
      <c r="G153" s="483">
        <v>312.66000000000003</v>
      </c>
      <c r="H153" s="538">
        <v>312.66000000000003</v>
      </c>
      <c r="I153" s="483"/>
      <c r="J153" s="538">
        <v>0</v>
      </c>
      <c r="K153" s="483">
        <v>171.06</v>
      </c>
      <c r="L153" s="538">
        <v>171.06</v>
      </c>
      <c r="M153" s="540">
        <v>994.80783812935977</v>
      </c>
      <c r="N153" s="541">
        <v>2870.224119027966</v>
      </c>
      <c r="O153" s="542">
        <v>540.28</v>
      </c>
      <c r="P153" s="542">
        <v>118.8616</v>
      </c>
      <c r="Q153" s="542">
        <v>74.158384051781596</v>
      </c>
      <c r="R153" s="542">
        <v>483.72</v>
      </c>
      <c r="S153" s="542">
        <v>994.80783812935977</v>
      </c>
      <c r="T153" s="542">
        <v>515.82335344939725</v>
      </c>
      <c r="U153" s="542">
        <v>142.57294339742745</v>
      </c>
      <c r="V153" s="543">
        <v>2870.2241190279665</v>
      </c>
      <c r="W153" s="544">
        <v>0.9950653301351835</v>
      </c>
      <c r="Y153" s="544">
        <v>0</v>
      </c>
      <c r="Z153" s="476">
        <v>1</v>
      </c>
    </row>
    <row r="154" spans="1:26" x14ac:dyDescent="0.3">
      <c r="A154" s="499">
        <v>150000722</v>
      </c>
      <c r="B154" s="477" t="s">
        <v>274</v>
      </c>
      <c r="C154" s="524">
        <v>407.19</v>
      </c>
      <c r="D154" s="524">
        <v>70</v>
      </c>
      <c r="E154" s="539">
        <v>0</v>
      </c>
      <c r="F154" s="539">
        <v>277.13</v>
      </c>
      <c r="G154" s="483">
        <v>406.5</v>
      </c>
      <c r="H154" s="538">
        <v>406.5</v>
      </c>
      <c r="I154" s="483"/>
      <c r="J154" s="538">
        <v>0</v>
      </c>
      <c r="K154" s="483">
        <v>98.29</v>
      </c>
      <c r="L154" s="538">
        <v>98.29</v>
      </c>
      <c r="M154" s="540">
        <v>1268.3185285366437</v>
      </c>
      <c r="N154" s="541">
        <v>3692.0611218050653</v>
      </c>
      <c r="O154" s="542">
        <v>754.31999999999994</v>
      </c>
      <c r="P154" s="542">
        <v>165.9504</v>
      </c>
      <c r="Q154" s="542">
        <v>81.919755598492799</v>
      </c>
      <c r="R154" s="542">
        <v>504.79</v>
      </c>
      <c r="S154" s="542">
        <v>1268.3185285366437</v>
      </c>
      <c r="T154" s="542">
        <v>720.17448725466306</v>
      </c>
      <c r="U154" s="542">
        <v>196.58795041526599</v>
      </c>
      <c r="V154" s="543">
        <v>3692.0611218050658</v>
      </c>
      <c r="W154" s="544">
        <v>1.0099308278760215</v>
      </c>
      <c r="Y154" s="544">
        <v>0</v>
      </c>
      <c r="Z154" s="476">
        <v>2</v>
      </c>
    </row>
    <row r="155" spans="1:26" x14ac:dyDescent="0.3">
      <c r="A155" s="499">
        <v>150000723</v>
      </c>
      <c r="B155" s="477" t="s">
        <v>275</v>
      </c>
      <c r="C155" s="524">
        <v>407.22</v>
      </c>
      <c r="D155" s="524">
        <v>70</v>
      </c>
      <c r="E155" s="539">
        <v>0</v>
      </c>
      <c r="F155" s="539">
        <v>239.74</v>
      </c>
      <c r="G155" s="483">
        <v>410.14</v>
      </c>
      <c r="H155" s="538">
        <v>410.14</v>
      </c>
      <c r="I155" s="483"/>
      <c r="J155" s="538">
        <v>0</v>
      </c>
      <c r="K155" s="483">
        <v>115.36</v>
      </c>
      <c r="L155" s="538">
        <v>115.36</v>
      </c>
      <c r="M155" s="540">
        <v>1273.9127414592524</v>
      </c>
      <c r="N155" s="541">
        <v>3626.9057693384711</v>
      </c>
      <c r="O155" s="542">
        <v>716.96</v>
      </c>
      <c r="P155" s="542">
        <v>157.7312</v>
      </c>
      <c r="Q155" s="542">
        <v>81.0778452703601</v>
      </c>
      <c r="R155" s="542">
        <v>525.5</v>
      </c>
      <c r="S155" s="542">
        <v>1273.9127414592524</v>
      </c>
      <c r="T155" s="542">
        <v>684.50564797712275</v>
      </c>
      <c r="U155" s="542">
        <v>187.21833463173556</v>
      </c>
      <c r="V155" s="543">
        <v>3626.9057693384707</v>
      </c>
      <c r="W155" s="544">
        <v>1.2863556949454096</v>
      </c>
      <c r="Y155" s="544">
        <v>0</v>
      </c>
      <c r="Z155" s="476">
        <v>2</v>
      </c>
    </row>
    <row r="156" spans="1:26" x14ac:dyDescent="0.3">
      <c r="A156" s="499">
        <v>150000724</v>
      </c>
      <c r="B156" s="477" t="s">
        <v>276</v>
      </c>
      <c r="C156" s="524">
        <v>407.36</v>
      </c>
      <c r="D156" s="524">
        <v>70</v>
      </c>
      <c r="E156" s="539">
        <v>0</v>
      </c>
      <c r="F156" s="539">
        <v>239.74</v>
      </c>
      <c r="G156" s="483">
        <v>410.14</v>
      </c>
      <c r="H156" s="538">
        <v>410.14</v>
      </c>
      <c r="I156" s="483"/>
      <c r="J156" s="538">
        <v>0</v>
      </c>
      <c r="K156" s="483">
        <v>98.24</v>
      </c>
      <c r="L156" s="538">
        <v>98.24</v>
      </c>
      <c r="M156" s="540">
        <v>1269.9932292204819</v>
      </c>
      <c r="N156" s="541">
        <v>3606.2491932299599</v>
      </c>
      <c r="O156" s="542">
        <v>717.1</v>
      </c>
      <c r="P156" s="542">
        <v>157.762</v>
      </c>
      <c r="Q156" s="542">
        <v>81.11708866478341</v>
      </c>
      <c r="R156" s="542">
        <v>508.38</v>
      </c>
      <c r="S156" s="542">
        <v>1269.9932292204819</v>
      </c>
      <c r="T156" s="542">
        <v>684.63931065107499</v>
      </c>
      <c r="U156" s="542">
        <v>187.25756469362028</v>
      </c>
      <c r="V156" s="543">
        <v>3606.2491932299608</v>
      </c>
      <c r="W156" s="544">
        <v>1.2954079446540376</v>
      </c>
      <c r="Y156" s="544">
        <v>0</v>
      </c>
      <c r="Z156" s="476">
        <v>2</v>
      </c>
    </row>
    <row r="157" spans="1:26" x14ac:dyDescent="0.3">
      <c r="A157" s="499">
        <v>150000725</v>
      </c>
      <c r="B157" s="477" t="s">
        <v>277</v>
      </c>
      <c r="C157" s="524">
        <v>407.21</v>
      </c>
      <c r="D157" s="524">
        <v>70</v>
      </c>
      <c r="E157" s="539">
        <v>0</v>
      </c>
      <c r="F157" s="539">
        <v>239.74</v>
      </c>
      <c r="G157" s="483">
        <v>405.76</v>
      </c>
      <c r="H157" s="538">
        <v>405.76</v>
      </c>
      <c r="I157" s="483"/>
      <c r="J157" s="538">
        <v>0</v>
      </c>
      <c r="K157" s="483">
        <v>98.24</v>
      </c>
      <c r="L157" s="538">
        <v>98.24</v>
      </c>
      <c r="M157" s="540">
        <v>1272.7582669452872</v>
      </c>
      <c r="N157" s="541">
        <v>3604.2255223981574</v>
      </c>
      <c r="O157" s="542">
        <v>716.95</v>
      </c>
      <c r="P157" s="542">
        <v>157.72900000000001</v>
      </c>
      <c r="Q157" s="542">
        <v>81.076460445525896</v>
      </c>
      <c r="R157" s="542">
        <v>504</v>
      </c>
      <c r="S157" s="542">
        <v>1272.7582669452872</v>
      </c>
      <c r="T157" s="542">
        <v>684.49610064326896</v>
      </c>
      <c r="U157" s="542">
        <v>187.2156943640756</v>
      </c>
      <c r="V157" s="543">
        <v>3604.2255223981579</v>
      </c>
      <c r="W157" s="544">
        <v>1.0219702369206931</v>
      </c>
      <c r="Y157" s="544">
        <v>0</v>
      </c>
      <c r="Z157" s="476">
        <v>2</v>
      </c>
    </row>
    <row r="158" spans="1:26" x14ac:dyDescent="0.3">
      <c r="A158" s="499">
        <v>150000726</v>
      </c>
      <c r="B158" s="477" t="s">
        <v>183</v>
      </c>
      <c r="C158" s="524">
        <v>65.12</v>
      </c>
      <c r="D158" s="524">
        <v>11.34</v>
      </c>
      <c r="E158" s="539">
        <v>0</v>
      </c>
      <c r="F158" s="539">
        <v>28.65</v>
      </c>
      <c r="G158" s="483">
        <v>47.75</v>
      </c>
      <c r="H158" s="538">
        <v>47.75</v>
      </c>
      <c r="I158" s="483"/>
      <c r="J158" s="538">
        <v>0</v>
      </c>
      <c r="K158" s="483">
        <v>65.67</v>
      </c>
      <c r="L158" s="538">
        <v>65.67</v>
      </c>
      <c r="M158" s="540">
        <v>145.98401492947406</v>
      </c>
      <c r="N158" s="541">
        <v>531.38664656979495</v>
      </c>
      <c r="O158" s="542">
        <v>105.11000000000001</v>
      </c>
      <c r="P158" s="542">
        <v>23.124200000000002</v>
      </c>
      <c r="Q158" s="542">
        <v>15.533024047488819</v>
      </c>
      <c r="R158" s="542">
        <v>113.42</v>
      </c>
      <c r="S158" s="542">
        <v>145.98401492947406</v>
      </c>
      <c r="T158" s="542">
        <v>100.3520261365702</v>
      </c>
      <c r="U158" s="542">
        <v>27.863381456261862</v>
      </c>
      <c r="V158" s="543">
        <v>531.38664656979495</v>
      </c>
      <c r="W158" s="544">
        <v>0.9669766355751569</v>
      </c>
      <c r="Y158" s="544">
        <v>0</v>
      </c>
      <c r="Z158" s="476">
        <v>2</v>
      </c>
    </row>
    <row r="159" spans="1:26" x14ac:dyDescent="0.3">
      <c r="A159" s="499">
        <v>150000727</v>
      </c>
      <c r="B159" s="477" t="s">
        <v>128</v>
      </c>
      <c r="C159" s="524">
        <v>0</v>
      </c>
      <c r="D159" s="524">
        <v>0</v>
      </c>
      <c r="E159" s="539">
        <v>0</v>
      </c>
      <c r="F159" s="539">
        <v>0</v>
      </c>
      <c r="G159" s="483"/>
      <c r="H159" s="538">
        <v>0</v>
      </c>
      <c r="I159" s="483"/>
      <c r="J159" s="538">
        <v>0</v>
      </c>
      <c r="K159" s="483">
        <v>29.36</v>
      </c>
      <c r="L159" s="538">
        <v>29.36</v>
      </c>
      <c r="M159" s="540">
        <v>0</v>
      </c>
      <c r="N159" s="541">
        <v>29.36</v>
      </c>
      <c r="O159" s="542">
        <v>0</v>
      </c>
      <c r="P159" s="542">
        <v>0</v>
      </c>
      <c r="Q159" s="542">
        <v>0</v>
      </c>
      <c r="R159" s="542">
        <v>29.36</v>
      </c>
      <c r="S159" s="542">
        <v>0</v>
      </c>
      <c r="T159" s="542">
        <v>0</v>
      </c>
      <c r="U159" s="542">
        <v>0</v>
      </c>
      <c r="V159" s="543">
        <v>29.36</v>
      </c>
      <c r="W159" s="544">
        <v>0.19457274826789842</v>
      </c>
      <c r="Y159" s="544"/>
      <c r="Z159" s="476">
        <v>2</v>
      </c>
    </row>
    <row r="160" spans="1:26" x14ac:dyDescent="0.3">
      <c r="A160" s="499">
        <v>150000728</v>
      </c>
      <c r="B160" s="477" t="s">
        <v>184</v>
      </c>
      <c r="C160" s="524">
        <v>66.349999999999994</v>
      </c>
      <c r="D160" s="524">
        <v>11.34</v>
      </c>
      <c r="E160" s="539">
        <v>0</v>
      </c>
      <c r="F160" s="539">
        <v>28.65</v>
      </c>
      <c r="G160" s="483">
        <v>53.76</v>
      </c>
      <c r="H160" s="538">
        <v>53.76</v>
      </c>
      <c r="I160" s="483"/>
      <c r="J160" s="538">
        <v>0</v>
      </c>
      <c r="K160" s="483">
        <v>65.67</v>
      </c>
      <c r="L160" s="538">
        <v>65.67</v>
      </c>
      <c r="M160" s="540">
        <v>160.55747407181113</v>
      </c>
      <c r="N160" s="541">
        <v>555.06413747233137</v>
      </c>
      <c r="O160" s="542">
        <v>106.34</v>
      </c>
      <c r="P160" s="542">
        <v>23.3948</v>
      </c>
      <c r="Q160" s="542">
        <v>15.63516428628299</v>
      </c>
      <c r="R160" s="542">
        <v>119.43</v>
      </c>
      <c r="S160" s="542">
        <v>160.55747407181113</v>
      </c>
      <c r="T160" s="542">
        <v>101.52634820057915</v>
      </c>
      <c r="U160" s="542">
        <v>28.18035091365806</v>
      </c>
      <c r="V160" s="543">
        <v>555.06413747233137</v>
      </c>
      <c r="W160" s="544">
        <v>0.82036061985351427</v>
      </c>
      <c r="Y160" s="544">
        <v>0</v>
      </c>
      <c r="Z160" s="476">
        <v>2</v>
      </c>
    </row>
    <row r="161" spans="1:26" x14ac:dyDescent="0.3">
      <c r="A161" s="499">
        <v>150000729</v>
      </c>
      <c r="B161" s="477" t="s">
        <v>273</v>
      </c>
      <c r="C161" s="524">
        <v>282.02</v>
      </c>
      <c r="D161" s="524">
        <v>60.69</v>
      </c>
      <c r="E161" s="539">
        <v>0</v>
      </c>
      <c r="F161" s="539">
        <v>175.25</v>
      </c>
      <c r="G161" s="483">
        <v>261.98</v>
      </c>
      <c r="H161" s="538">
        <v>261.98</v>
      </c>
      <c r="I161" s="483"/>
      <c r="J161" s="538">
        <v>0</v>
      </c>
      <c r="K161" s="483">
        <v>65.67</v>
      </c>
      <c r="L161" s="538">
        <v>65.67</v>
      </c>
      <c r="M161" s="540">
        <v>749.1969484762318</v>
      </c>
      <c r="N161" s="541">
        <v>2402.5349180609046</v>
      </c>
      <c r="O161" s="542">
        <v>517.96</v>
      </c>
      <c r="P161" s="542">
        <v>113.9512</v>
      </c>
      <c r="Q161" s="542">
        <v>63.452372659035198</v>
      </c>
      <c r="R161" s="542">
        <v>327.65000000000003</v>
      </c>
      <c r="S161" s="542">
        <v>749.1969484762318</v>
      </c>
      <c r="T161" s="542">
        <v>494.5137042878689</v>
      </c>
      <c r="U161" s="542">
        <v>135.81069263776843</v>
      </c>
      <c r="V161" s="543">
        <v>2402.5349180609046</v>
      </c>
      <c r="W161" s="544">
        <v>1.07900384283932</v>
      </c>
      <c r="Y161" s="544">
        <v>0</v>
      </c>
      <c r="Z161" s="476">
        <v>2</v>
      </c>
    </row>
    <row r="162" spans="1:26" x14ac:dyDescent="0.3">
      <c r="A162" s="499">
        <v>150000736</v>
      </c>
      <c r="B162" s="477" t="s">
        <v>219</v>
      </c>
      <c r="C162" s="524">
        <v>301.56</v>
      </c>
      <c r="D162" s="524">
        <v>61.84</v>
      </c>
      <c r="E162" s="539">
        <v>0</v>
      </c>
      <c r="F162" s="539">
        <v>216.08</v>
      </c>
      <c r="G162" s="483">
        <v>326.39</v>
      </c>
      <c r="H162" s="538">
        <v>326.39</v>
      </c>
      <c r="I162" s="483"/>
      <c r="J162" s="538">
        <v>0</v>
      </c>
      <c r="K162" s="483">
        <v>239.68</v>
      </c>
      <c r="L162" s="538">
        <v>239.68</v>
      </c>
      <c r="M162" s="540">
        <v>1014.4053993232113</v>
      </c>
      <c r="N162" s="541">
        <v>3059.1259622037687</v>
      </c>
      <c r="O162" s="542">
        <v>579.48</v>
      </c>
      <c r="P162" s="542">
        <v>127.48559999999999</v>
      </c>
      <c r="Q162" s="542">
        <v>66.955047302537096</v>
      </c>
      <c r="R162" s="542">
        <v>566.06999999999994</v>
      </c>
      <c r="S162" s="542">
        <v>1014.4053993232113</v>
      </c>
      <c r="T162" s="542">
        <v>553.24890215602409</v>
      </c>
      <c r="U162" s="542">
        <v>151.48101342199618</v>
      </c>
      <c r="V162" s="543">
        <v>3059.1259622037687</v>
      </c>
      <c r="W162" s="544">
        <v>0.97342945313520202</v>
      </c>
      <c r="Y162" s="544">
        <v>0</v>
      </c>
      <c r="Z162" s="476">
        <v>2</v>
      </c>
    </row>
    <row r="163" spans="1:26" x14ac:dyDescent="0.3">
      <c r="A163" s="499">
        <v>150000737</v>
      </c>
      <c r="B163" s="477" t="s">
        <v>221</v>
      </c>
      <c r="C163" s="524">
        <v>335.51</v>
      </c>
      <c r="D163" s="524">
        <v>61.28</v>
      </c>
      <c r="E163" s="539">
        <v>0</v>
      </c>
      <c r="F163" s="539">
        <v>211.35</v>
      </c>
      <c r="G163" s="483">
        <v>344.6</v>
      </c>
      <c r="H163" s="538">
        <v>344.6</v>
      </c>
      <c r="I163" s="483"/>
      <c r="J163" s="538">
        <v>0</v>
      </c>
      <c r="K163" s="483">
        <v>100.88</v>
      </c>
      <c r="L163" s="538">
        <v>100.88</v>
      </c>
      <c r="M163" s="540">
        <v>916.84517650727298</v>
      </c>
      <c r="N163" s="541">
        <v>2915.4325608033787</v>
      </c>
      <c r="O163" s="542">
        <v>608.14</v>
      </c>
      <c r="P163" s="542">
        <v>133.79079999999999</v>
      </c>
      <c r="Q163" s="542">
        <v>71.456247765209412</v>
      </c>
      <c r="R163" s="542">
        <v>445.48</v>
      </c>
      <c r="S163" s="542">
        <v>916.84517650727298</v>
      </c>
      <c r="T163" s="542">
        <v>580.61156098081824</v>
      </c>
      <c r="U163" s="542">
        <v>159.10877555007849</v>
      </c>
      <c r="V163" s="543">
        <v>2915.4325608033796</v>
      </c>
      <c r="W163" s="544">
        <v>1.021705772288267</v>
      </c>
      <c r="Y163" s="544">
        <v>0</v>
      </c>
      <c r="Z163" s="476">
        <v>1</v>
      </c>
    </row>
    <row r="164" spans="1:26" x14ac:dyDescent="0.3">
      <c r="A164" s="499">
        <v>150000738</v>
      </c>
      <c r="B164" s="477" t="s">
        <v>289</v>
      </c>
      <c r="C164" s="524">
        <v>407.41</v>
      </c>
      <c r="D164" s="524">
        <v>70.02</v>
      </c>
      <c r="E164" s="539">
        <v>0</v>
      </c>
      <c r="F164" s="539">
        <v>239.34</v>
      </c>
      <c r="G164" s="483">
        <v>435.18</v>
      </c>
      <c r="H164" s="538">
        <v>435.18</v>
      </c>
      <c r="I164" s="483"/>
      <c r="J164" s="538">
        <v>0</v>
      </c>
      <c r="K164" s="483">
        <v>98.29</v>
      </c>
      <c r="L164" s="538">
        <v>98.29</v>
      </c>
      <c r="M164" s="540">
        <v>1271.3116106098867</v>
      </c>
      <c r="N164" s="541">
        <v>3630.728575122901</v>
      </c>
      <c r="O164" s="542">
        <v>716.77</v>
      </c>
      <c r="P164" s="542">
        <v>157.68940000000001</v>
      </c>
      <c r="Q164" s="542">
        <v>80.103368395366601</v>
      </c>
      <c r="R164" s="542">
        <v>533.47</v>
      </c>
      <c r="S164" s="542">
        <v>1271.3116106098867</v>
      </c>
      <c r="T164" s="542">
        <v>684.32424863390179</v>
      </c>
      <c r="U164" s="542">
        <v>187.05994748374644</v>
      </c>
      <c r="V164" s="543">
        <v>3630.7285751229015</v>
      </c>
      <c r="W164" s="544">
        <v>0.10240249609984399</v>
      </c>
      <c r="Y164" s="544"/>
      <c r="Z164" s="476">
        <v>2</v>
      </c>
    </row>
    <row r="165" spans="1:26" x14ac:dyDescent="0.3">
      <c r="A165" s="499">
        <v>150000739</v>
      </c>
      <c r="B165" s="477" t="s">
        <v>222</v>
      </c>
      <c r="C165" s="524">
        <v>429.19</v>
      </c>
      <c r="D165" s="524">
        <v>77.87</v>
      </c>
      <c r="E165" s="539">
        <v>0</v>
      </c>
      <c r="F165" s="539">
        <v>319.2</v>
      </c>
      <c r="G165" s="483">
        <v>424.61</v>
      </c>
      <c r="H165" s="538">
        <v>424.61</v>
      </c>
      <c r="I165" s="483"/>
      <c r="J165" s="538">
        <v>0</v>
      </c>
      <c r="K165" s="483">
        <v>163.44</v>
      </c>
      <c r="L165" s="538">
        <v>163.44</v>
      </c>
      <c r="M165" s="540">
        <v>1294.0447815947546</v>
      </c>
      <c r="N165" s="541">
        <v>3987.1098928764777</v>
      </c>
      <c r="O165" s="542">
        <v>826.26</v>
      </c>
      <c r="P165" s="542">
        <v>181.77719999999999</v>
      </c>
      <c r="Q165" s="542">
        <v>92.470696600074902</v>
      </c>
      <c r="R165" s="542">
        <v>588.04999999999995</v>
      </c>
      <c r="S165" s="542">
        <v>1294.0447815947546</v>
      </c>
      <c r="T165" s="542">
        <v>788.85800699840638</v>
      </c>
      <c r="U165" s="542">
        <v>215.64920768324163</v>
      </c>
      <c r="V165" s="543">
        <v>3987.1098928764773</v>
      </c>
      <c r="W165" s="544">
        <v>0.9855658012614128</v>
      </c>
      <c r="Y165" s="544">
        <v>0</v>
      </c>
      <c r="Z165" s="476">
        <v>1</v>
      </c>
    </row>
    <row r="166" spans="1:26" x14ac:dyDescent="0.3">
      <c r="A166" s="499">
        <v>150000740</v>
      </c>
      <c r="B166" s="477" t="s">
        <v>197</v>
      </c>
      <c r="C166" s="524">
        <v>186.89</v>
      </c>
      <c r="D166" s="524">
        <v>47.25</v>
      </c>
      <c r="E166" s="539">
        <v>0</v>
      </c>
      <c r="F166" s="539">
        <v>117.52</v>
      </c>
      <c r="G166" s="483">
        <v>165.15</v>
      </c>
      <c r="H166" s="538">
        <v>165.15</v>
      </c>
      <c r="I166" s="483"/>
      <c r="J166" s="538">
        <v>0</v>
      </c>
      <c r="K166" s="483">
        <v>73.84</v>
      </c>
      <c r="L166" s="538">
        <v>73.84</v>
      </c>
      <c r="M166" s="540">
        <v>486.76778812583478</v>
      </c>
      <c r="N166" s="541">
        <v>1636.8461887558822</v>
      </c>
      <c r="O166" s="542">
        <v>351.65999999999997</v>
      </c>
      <c r="P166" s="542">
        <v>77.365200000000002</v>
      </c>
      <c r="Q166" s="542">
        <v>52.984802612039701</v>
      </c>
      <c r="R166" s="542">
        <v>238.99</v>
      </c>
      <c r="S166" s="542">
        <v>486.76778812583478</v>
      </c>
      <c r="T166" s="542">
        <v>335.74154230031655</v>
      </c>
      <c r="U166" s="542">
        <v>93.336855717691037</v>
      </c>
      <c r="V166" s="543">
        <v>1636.8461887558819</v>
      </c>
      <c r="W166" s="544">
        <v>1.1389988039707806</v>
      </c>
      <c r="Y166" s="544">
        <v>0</v>
      </c>
      <c r="Z166" s="476">
        <v>1</v>
      </c>
    </row>
    <row r="167" spans="1:26" x14ac:dyDescent="0.3">
      <c r="A167" s="499">
        <v>150000741</v>
      </c>
      <c r="B167" s="477" t="s">
        <v>224</v>
      </c>
      <c r="C167" s="524">
        <v>333.61</v>
      </c>
      <c r="D167" s="524">
        <v>53.33</v>
      </c>
      <c r="E167" s="539">
        <v>0</v>
      </c>
      <c r="F167" s="539">
        <v>203.01</v>
      </c>
      <c r="G167" s="483">
        <v>303.32</v>
      </c>
      <c r="H167" s="538">
        <v>303.32</v>
      </c>
      <c r="I167" s="483"/>
      <c r="J167" s="538">
        <v>0</v>
      </c>
      <c r="K167" s="483">
        <v>171.06</v>
      </c>
      <c r="L167" s="538">
        <v>171.06</v>
      </c>
      <c r="M167" s="540">
        <v>924.39914554926679</v>
      </c>
      <c r="N167" s="541">
        <v>2910.5716479751536</v>
      </c>
      <c r="O167" s="542">
        <v>589.95000000000005</v>
      </c>
      <c r="P167" s="542">
        <v>129.78899999999999</v>
      </c>
      <c r="Q167" s="542">
        <v>73.9322875915623</v>
      </c>
      <c r="R167" s="542">
        <v>474.38</v>
      </c>
      <c r="S167" s="542">
        <v>924.39914554926679</v>
      </c>
      <c r="T167" s="542">
        <v>563.24496070088082</v>
      </c>
      <c r="U167" s="542">
        <v>154.87625413344384</v>
      </c>
      <c r="V167" s="543">
        <v>2910.5716479751541</v>
      </c>
      <c r="W167" s="544">
        <v>0.95112969882457599</v>
      </c>
      <c r="Y167" s="544">
        <v>0</v>
      </c>
      <c r="Z167" s="476">
        <v>1</v>
      </c>
    </row>
    <row r="168" spans="1:26" x14ac:dyDescent="0.3">
      <c r="A168" s="499">
        <v>150000742</v>
      </c>
      <c r="B168" s="477" t="s">
        <v>290</v>
      </c>
      <c r="C168" s="524">
        <v>205.99</v>
      </c>
      <c r="D168" s="524">
        <v>39.49</v>
      </c>
      <c r="E168" s="539">
        <v>0</v>
      </c>
      <c r="F168" s="539">
        <v>99.28</v>
      </c>
      <c r="G168" s="483">
        <v>214.92</v>
      </c>
      <c r="H168" s="538">
        <v>214.92</v>
      </c>
      <c r="I168" s="483"/>
      <c r="J168" s="538">
        <v>0</v>
      </c>
      <c r="K168" s="483">
        <v>65.760000000000005</v>
      </c>
      <c r="L168" s="538">
        <v>65.760000000000005</v>
      </c>
      <c r="M168" s="540">
        <v>666.10328901430034</v>
      </c>
      <c r="N168" s="541">
        <v>1832.8879358619499</v>
      </c>
      <c r="O168" s="542">
        <v>344.76</v>
      </c>
      <c r="P168" s="542">
        <v>75.847200000000001</v>
      </c>
      <c r="Q168" s="542">
        <v>45.566180937518794</v>
      </c>
      <c r="R168" s="542">
        <v>280.68</v>
      </c>
      <c r="S168" s="542">
        <v>666.10328901430034</v>
      </c>
      <c r="T168" s="542">
        <v>329.15388194124193</v>
      </c>
      <c r="U168" s="542">
        <v>90.777383968888856</v>
      </c>
      <c r="V168" s="543">
        <v>1832.8879358619499</v>
      </c>
      <c r="W168" s="544">
        <v>0.95227452327385742</v>
      </c>
      <c r="Y168" s="544">
        <v>0</v>
      </c>
      <c r="Z168" s="476">
        <v>1</v>
      </c>
    </row>
    <row r="169" spans="1:26" x14ac:dyDescent="0.3">
      <c r="A169" s="499">
        <v>150000743</v>
      </c>
      <c r="B169" s="477" t="s">
        <v>220</v>
      </c>
      <c r="C169" s="524">
        <v>258.88</v>
      </c>
      <c r="D169" s="524">
        <v>46.27</v>
      </c>
      <c r="E169" s="539">
        <v>0</v>
      </c>
      <c r="F169" s="539">
        <v>140.9</v>
      </c>
      <c r="G169" s="483">
        <v>237.16</v>
      </c>
      <c r="H169" s="538">
        <v>237.16</v>
      </c>
      <c r="I169" s="483"/>
      <c r="J169" s="538">
        <v>0</v>
      </c>
      <c r="K169" s="483">
        <v>98.26</v>
      </c>
      <c r="L169" s="538">
        <v>98.26</v>
      </c>
      <c r="M169" s="540">
        <v>818.35852352580685</v>
      </c>
      <c r="N169" s="541">
        <v>2299.3932658745507</v>
      </c>
      <c r="O169" s="542">
        <v>446.04999999999995</v>
      </c>
      <c r="P169" s="542">
        <v>98.131</v>
      </c>
      <c r="Q169" s="542">
        <v>58.211904880384495</v>
      </c>
      <c r="R169" s="542">
        <v>335.42</v>
      </c>
      <c r="S169" s="542">
        <v>818.35852352580685</v>
      </c>
      <c r="T169" s="542">
        <v>425.85882654568678</v>
      </c>
      <c r="U169" s="542">
        <v>117.36301092267253</v>
      </c>
      <c r="V169" s="543">
        <v>2299.3932658745507</v>
      </c>
      <c r="W169" s="544">
        <v>1.0092374424126596</v>
      </c>
      <c r="Y169" s="544">
        <v>0</v>
      </c>
      <c r="Z169" s="476">
        <v>1</v>
      </c>
    </row>
    <row r="170" spans="1:26" x14ac:dyDescent="0.3">
      <c r="A170" s="499">
        <v>150000744</v>
      </c>
      <c r="B170" s="477" t="s">
        <v>223</v>
      </c>
      <c r="C170" s="524">
        <v>190.32</v>
      </c>
      <c r="D170" s="524">
        <v>36.81</v>
      </c>
      <c r="E170" s="539">
        <v>0</v>
      </c>
      <c r="F170" s="539">
        <v>81.47</v>
      </c>
      <c r="G170" s="483">
        <v>183.38</v>
      </c>
      <c r="H170" s="538">
        <v>183.38</v>
      </c>
      <c r="I170" s="483"/>
      <c r="J170" s="538">
        <v>0</v>
      </c>
      <c r="K170" s="483">
        <v>65.69</v>
      </c>
      <c r="L170" s="538">
        <v>65.69</v>
      </c>
      <c r="M170" s="540">
        <v>536.04674654601126</v>
      </c>
      <c r="N170" s="541">
        <v>1581.0166272561378</v>
      </c>
      <c r="O170" s="542">
        <v>308.60000000000002</v>
      </c>
      <c r="P170" s="542">
        <v>67.891999999999996</v>
      </c>
      <c r="Q170" s="542">
        <v>43.240841332160599</v>
      </c>
      <c r="R170" s="542">
        <v>249.07</v>
      </c>
      <c r="S170" s="542">
        <v>536.04674654601126</v>
      </c>
      <c r="T170" s="542">
        <v>294.63072272614937</v>
      </c>
      <c r="U170" s="542">
        <v>81.536316651816492</v>
      </c>
      <c r="V170" s="543">
        <v>1581.0166272561378</v>
      </c>
      <c r="W170" s="544">
        <v>0.98192325774706291</v>
      </c>
      <c r="Y170" s="544">
        <v>0</v>
      </c>
      <c r="Z170" s="476">
        <v>1</v>
      </c>
    </row>
    <row r="171" spans="1:26" x14ac:dyDescent="0.3">
      <c r="A171" s="499">
        <v>150000745</v>
      </c>
      <c r="B171" s="477" t="s">
        <v>133</v>
      </c>
      <c r="C171" s="524">
        <v>0</v>
      </c>
      <c r="D171" s="524">
        <v>0</v>
      </c>
      <c r="E171" s="539">
        <v>0</v>
      </c>
      <c r="F171" s="539">
        <v>0</v>
      </c>
      <c r="G171" s="483"/>
      <c r="H171" s="538">
        <v>0</v>
      </c>
      <c r="I171" s="483"/>
      <c r="J171" s="538">
        <v>0</v>
      </c>
      <c r="K171" s="483">
        <v>27.19</v>
      </c>
      <c r="L171" s="538">
        <v>27.19</v>
      </c>
      <c r="M171" s="540">
        <v>0</v>
      </c>
      <c r="N171" s="541">
        <v>27.19</v>
      </c>
      <c r="O171" s="542">
        <v>0</v>
      </c>
      <c r="P171" s="542">
        <v>0</v>
      </c>
      <c r="Q171" s="542">
        <v>0</v>
      </c>
      <c r="R171" s="542">
        <v>27.19</v>
      </c>
      <c r="S171" s="542">
        <v>0</v>
      </c>
      <c r="T171" s="542">
        <v>0</v>
      </c>
      <c r="U171" s="542">
        <v>0</v>
      </c>
      <c r="V171" s="543">
        <v>27.19</v>
      </c>
      <c r="W171" s="544">
        <v>0.93792294653264852</v>
      </c>
      <c r="Y171" s="544">
        <v>0</v>
      </c>
      <c r="Z171" s="476">
        <v>1</v>
      </c>
    </row>
    <row r="172" spans="1:26" x14ac:dyDescent="0.3">
      <c r="A172" s="499">
        <v>150000750</v>
      </c>
      <c r="B172" s="477" t="s">
        <v>129</v>
      </c>
      <c r="C172" s="524">
        <v>0</v>
      </c>
      <c r="D172" s="524">
        <v>0</v>
      </c>
      <c r="E172" s="539">
        <v>0</v>
      </c>
      <c r="F172" s="539">
        <v>0</v>
      </c>
      <c r="G172" s="483"/>
      <c r="H172" s="538">
        <v>0</v>
      </c>
      <c r="I172" s="483"/>
      <c r="J172" s="538">
        <v>0</v>
      </c>
      <c r="K172" s="483">
        <v>58.8</v>
      </c>
      <c r="L172" s="538">
        <v>58.8</v>
      </c>
      <c r="M172" s="540">
        <v>0</v>
      </c>
      <c r="N172" s="541">
        <v>58.8</v>
      </c>
      <c r="O172" s="542">
        <v>0</v>
      </c>
      <c r="P172" s="542">
        <v>0</v>
      </c>
      <c r="Q172" s="542">
        <v>0</v>
      </c>
      <c r="R172" s="542">
        <v>58.8</v>
      </c>
      <c r="S172" s="542">
        <v>0</v>
      </c>
      <c r="T172" s="542">
        <v>0</v>
      </c>
      <c r="U172" s="542">
        <v>0</v>
      </c>
      <c r="V172" s="543">
        <v>58.8</v>
      </c>
      <c r="W172" s="544">
        <v>1.0073289038789293</v>
      </c>
      <c r="Y172" s="544">
        <v>0</v>
      </c>
      <c r="Z172" s="476">
        <v>1</v>
      </c>
    </row>
    <row r="173" spans="1:26" x14ac:dyDescent="0.3">
      <c r="A173" s="499">
        <v>150000751</v>
      </c>
      <c r="B173" s="477" t="s">
        <v>130</v>
      </c>
      <c r="C173" s="524">
        <v>0</v>
      </c>
      <c r="D173" s="524">
        <v>0</v>
      </c>
      <c r="E173" s="539">
        <v>0</v>
      </c>
      <c r="F173" s="539">
        <v>0</v>
      </c>
      <c r="G173" s="483"/>
      <c r="H173" s="538">
        <v>0</v>
      </c>
      <c r="I173" s="483"/>
      <c r="J173" s="538">
        <v>0</v>
      </c>
      <c r="K173" s="483">
        <v>58.8</v>
      </c>
      <c r="L173" s="538">
        <v>58.8</v>
      </c>
      <c r="M173" s="540">
        <v>0</v>
      </c>
      <c r="N173" s="541">
        <v>58.8</v>
      </c>
      <c r="O173" s="542">
        <v>0</v>
      </c>
      <c r="P173" s="542">
        <v>0</v>
      </c>
      <c r="Q173" s="542">
        <v>0</v>
      </c>
      <c r="R173" s="542">
        <v>58.8</v>
      </c>
      <c r="S173" s="542">
        <v>0</v>
      </c>
      <c r="T173" s="542">
        <v>0</v>
      </c>
      <c r="U173" s="542">
        <v>0</v>
      </c>
      <c r="V173" s="543">
        <v>58.8</v>
      </c>
      <c r="W173" s="544">
        <v>0.299096657633243</v>
      </c>
      <c r="Y173" s="544"/>
      <c r="Z173" s="476">
        <v>1</v>
      </c>
    </row>
    <row r="174" spans="1:26" x14ac:dyDescent="0.3">
      <c r="A174" s="499">
        <v>150000752</v>
      </c>
      <c r="B174" s="477" t="s">
        <v>386</v>
      </c>
      <c r="C174" s="524">
        <v>386.56</v>
      </c>
      <c r="D174" s="524">
        <v>65.650000000000006</v>
      </c>
      <c r="E174" s="539">
        <v>26.37</v>
      </c>
      <c r="F174" s="539">
        <v>236.52</v>
      </c>
      <c r="G174" s="483">
        <v>487.43</v>
      </c>
      <c r="H174" s="538">
        <v>487.43</v>
      </c>
      <c r="I174" s="483">
        <v>104.96</v>
      </c>
      <c r="J174" s="538">
        <v>104.96</v>
      </c>
      <c r="K174" s="483">
        <v>58.8</v>
      </c>
      <c r="L174" s="538">
        <v>58.8</v>
      </c>
      <c r="M174" s="540">
        <v>1421.9634082964419</v>
      </c>
      <c r="N174" s="541">
        <v>3957.110734192659</v>
      </c>
      <c r="O174" s="542">
        <v>715.1</v>
      </c>
      <c r="P174" s="542">
        <v>157.322</v>
      </c>
      <c r="Q174" s="542">
        <v>135.80263730415498</v>
      </c>
      <c r="R174" s="542">
        <v>651.18999999999994</v>
      </c>
      <c r="S174" s="542">
        <v>1421.9634082964419</v>
      </c>
      <c r="T174" s="542">
        <v>682.72984388032864</v>
      </c>
      <c r="U174" s="542">
        <v>193.00284471173302</v>
      </c>
      <c r="V174" s="543">
        <v>3957.1107341926586</v>
      </c>
      <c r="W174" s="544">
        <v>0.15662251655629139</v>
      </c>
      <c r="Y174" s="544"/>
      <c r="Z174" s="476">
        <v>1</v>
      </c>
    </row>
    <row r="175" spans="1:26" x14ac:dyDescent="0.3">
      <c r="A175" s="499">
        <v>150000753</v>
      </c>
      <c r="B175" s="477" t="s">
        <v>239</v>
      </c>
      <c r="C175" s="524">
        <v>235.02</v>
      </c>
      <c r="D175" s="524">
        <v>56.22</v>
      </c>
      <c r="E175" s="539">
        <v>0</v>
      </c>
      <c r="F175" s="539">
        <v>145.88999999999999</v>
      </c>
      <c r="G175" s="483">
        <v>202.64</v>
      </c>
      <c r="H175" s="538">
        <v>202.64</v>
      </c>
      <c r="I175" s="483"/>
      <c r="J175" s="538">
        <v>0</v>
      </c>
      <c r="K175" s="483">
        <v>38.46</v>
      </c>
      <c r="L175" s="538">
        <v>38.46</v>
      </c>
      <c r="M175" s="540">
        <v>655.87692526405408</v>
      </c>
      <c r="N175" s="541">
        <v>2017.8458251945635</v>
      </c>
      <c r="O175" s="542">
        <v>437.13</v>
      </c>
      <c r="P175" s="542">
        <v>96.168599999999998</v>
      </c>
      <c r="Q175" s="542">
        <v>55.399783073148498</v>
      </c>
      <c r="R175" s="542">
        <v>241.1</v>
      </c>
      <c r="S175" s="542">
        <v>655.87692526405408</v>
      </c>
      <c r="T175" s="542">
        <v>417.34260474815846</v>
      </c>
      <c r="U175" s="542">
        <v>114.8279121092026</v>
      </c>
      <c r="V175" s="543">
        <v>2017.8458251945635</v>
      </c>
      <c r="W175" s="544">
        <v>1.0190399852281049</v>
      </c>
      <c r="Y175" s="544">
        <v>0</v>
      </c>
      <c r="Z175" s="476">
        <v>1</v>
      </c>
    </row>
    <row r="176" spans="1:26" x14ac:dyDescent="0.3">
      <c r="A176" s="499">
        <v>150000754</v>
      </c>
      <c r="B176" s="477" t="s">
        <v>240</v>
      </c>
      <c r="C176" s="524">
        <v>348.71</v>
      </c>
      <c r="D176" s="524">
        <v>66.790000000000006</v>
      </c>
      <c r="E176" s="539">
        <v>23.98</v>
      </c>
      <c r="F176" s="539">
        <v>210.13</v>
      </c>
      <c r="G176" s="483">
        <v>325.02</v>
      </c>
      <c r="H176" s="538">
        <v>325.02</v>
      </c>
      <c r="I176" s="483"/>
      <c r="J176" s="538">
        <v>0</v>
      </c>
      <c r="K176" s="483">
        <v>98.33</v>
      </c>
      <c r="L176" s="538">
        <v>98.33</v>
      </c>
      <c r="M176" s="540">
        <v>999.71791800665562</v>
      </c>
      <c r="N176" s="541">
        <v>3078.4162729969312</v>
      </c>
      <c r="O176" s="542">
        <v>649.61</v>
      </c>
      <c r="P176" s="542">
        <v>142.91419999999999</v>
      </c>
      <c r="Q176" s="542">
        <v>73.036903331109301</v>
      </c>
      <c r="R176" s="542">
        <v>423.34999999999997</v>
      </c>
      <c r="S176" s="542">
        <v>999.71791800665562</v>
      </c>
      <c r="T176" s="542">
        <v>620.20435447224213</v>
      </c>
      <c r="U176" s="542">
        <v>169.58289718692424</v>
      </c>
      <c r="V176" s="543">
        <v>3078.4162729969312</v>
      </c>
      <c r="W176" s="544">
        <v>0.8897493912420753</v>
      </c>
      <c r="Y176" s="544">
        <v>0</v>
      </c>
      <c r="Z176" s="476">
        <v>1</v>
      </c>
    </row>
    <row r="177" spans="1:26" x14ac:dyDescent="0.3">
      <c r="A177" s="499">
        <v>150000758</v>
      </c>
      <c r="B177" s="477" t="s">
        <v>388</v>
      </c>
      <c r="C177" s="524">
        <v>1129.05</v>
      </c>
      <c r="D177" s="524">
        <v>320.32</v>
      </c>
      <c r="E177" s="539">
        <v>46.15</v>
      </c>
      <c r="F177" s="539">
        <v>720.28</v>
      </c>
      <c r="G177" s="483">
        <v>1516.06</v>
      </c>
      <c r="H177" s="538">
        <v>1516.06</v>
      </c>
      <c r="I177" s="483">
        <v>329.41</v>
      </c>
      <c r="J177" s="538">
        <v>329.41</v>
      </c>
      <c r="K177" s="483">
        <v>124.87</v>
      </c>
      <c r="L177" s="538">
        <v>124.87</v>
      </c>
      <c r="M177" s="540">
        <v>4709.9424559984518</v>
      </c>
      <c r="N177" s="541">
        <v>12296.631573638755</v>
      </c>
      <c r="O177" s="542">
        <v>2215.8000000000002</v>
      </c>
      <c r="P177" s="542">
        <v>487.476</v>
      </c>
      <c r="Q177" s="542">
        <v>222.2055033647988</v>
      </c>
      <c r="R177" s="542">
        <v>1970.3400000000001</v>
      </c>
      <c r="S177" s="542">
        <v>4709.9424559984518</v>
      </c>
      <c r="T177" s="542">
        <v>2115.4982353097917</v>
      </c>
      <c r="U177" s="542">
        <v>575.36937896571226</v>
      </c>
      <c r="V177" s="543">
        <v>12296.631573638755</v>
      </c>
      <c r="W177" s="544">
        <v>0.16016260162601625</v>
      </c>
      <c r="Y177" s="544"/>
      <c r="Z177" s="476">
        <v>1</v>
      </c>
    </row>
    <row r="178" spans="1:26" x14ac:dyDescent="0.3">
      <c r="A178" s="499">
        <v>150000759</v>
      </c>
      <c r="B178" s="477" t="s">
        <v>389</v>
      </c>
      <c r="C178" s="524">
        <v>493.55</v>
      </c>
      <c r="D178" s="524">
        <v>78.569999999999993</v>
      </c>
      <c r="E178" s="539">
        <v>19.78</v>
      </c>
      <c r="F178" s="539">
        <v>372.02</v>
      </c>
      <c r="G178" s="483">
        <v>701.05</v>
      </c>
      <c r="H178" s="538">
        <v>701.05</v>
      </c>
      <c r="I178" s="483">
        <v>162.01</v>
      </c>
      <c r="J178" s="538">
        <v>162.01</v>
      </c>
      <c r="K178" s="483">
        <v>382.5</v>
      </c>
      <c r="L178" s="538">
        <v>382.5</v>
      </c>
      <c r="M178" s="540">
        <v>2027.3427631533564</v>
      </c>
      <c r="N178" s="541">
        <v>5725.7027697105641</v>
      </c>
      <c r="O178" s="542">
        <v>963.92</v>
      </c>
      <c r="P178" s="542">
        <v>212.06239999999997</v>
      </c>
      <c r="Q178" s="542">
        <v>105.25281603519619</v>
      </c>
      <c r="R178" s="542">
        <v>1245.56</v>
      </c>
      <c r="S178" s="542">
        <v>2027.3427631533564</v>
      </c>
      <c r="T178" s="542">
        <v>920.28660482887199</v>
      </c>
      <c r="U178" s="542">
        <v>251.27818569313854</v>
      </c>
      <c r="V178" s="543">
        <v>5725.7027697105632</v>
      </c>
      <c r="W178" s="544">
        <v>0.17026022304832714</v>
      </c>
      <c r="Y178" s="544"/>
      <c r="Z178" s="476">
        <v>1</v>
      </c>
    </row>
    <row r="179" spans="1:26" x14ac:dyDescent="0.3">
      <c r="A179" s="499">
        <v>150000760</v>
      </c>
      <c r="B179" s="477" t="s">
        <v>387</v>
      </c>
      <c r="C179" s="524">
        <v>901.25</v>
      </c>
      <c r="D179" s="524">
        <v>274.57</v>
      </c>
      <c r="E179" s="539">
        <v>39.56</v>
      </c>
      <c r="F179" s="539">
        <v>778.72</v>
      </c>
      <c r="G179" s="483">
        <v>1319.81</v>
      </c>
      <c r="H179" s="538">
        <v>1319.81</v>
      </c>
      <c r="I179" s="483">
        <v>300.26</v>
      </c>
      <c r="J179" s="538">
        <v>300.26</v>
      </c>
      <c r="K179" s="483">
        <v>150.88</v>
      </c>
      <c r="L179" s="538">
        <v>150.88</v>
      </c>
      <c r="M179" s="540">
        <v>4039.8127589570513</v>
      </c>
      <c r="N179" s="541">
        <v>10867.4209139174</v>
      </c>
      <c r="O179" s="542">
        <v>1994.1</v>
      </c>
      <c r="P179" s="542">
        <v>438.702</v>
      </c>
      <c r="Q179" s="542">
        <v>201.99072139162553</v>
      </c>
      <c r="R179" s="542">
        <v>1770.9499999999998</v>
      </c>
      <c r="S179" s="542">
        <v>4039.8127589570513</v>
      </c>
      <c r="T179" s="542">
        <v>1903.8338437725681</v>
      </c>
      <c r="U179" s="542">
        <v>518.03158979615534</v>
      </c>
      <c r="V179" s="543">
        <v>10867.420913917402</v>
      </c>
      <c r="W179" s="544">
        <v>0.97588537729694158</v>
      </c>
      <c r="Y179" s="544">
        <v>0</v>
      </c>
      <c r="Z179" s="476">
        <v>1</v>
      </c>
    </row>
    <row r="180" spans="1:26" x14ac:dyDescent="0.3">
      <c r="A180" s="499">
        <v>150000761</v>
      </c>
      <c r="B180" s="477" t="s">
        <v>390</v>
      </c>
      <c r="C180" s="524">
        <v>522.03</v>
      </c>
      <c r="D180" s="524">
        <v>80.42</v>
      </c>
      <c r="E180" s="539">
        <v>26.37</v>
      </c>
      <c r="F180" s="539">
        <v>243.46</v>
      </c>
      <c r="G180" s="483">
        <v>828.02</v>
      </c>
      <c r="H180" s="538">
        <v>828.02</v>
      </c>
      <c r="I180" s="483">
        <v>165.56</v>
      </c>
      <c r="J180" s="538">
        <v>165.56</v>
      </c>
      <c r="K180" s="483">
        <v>63.19</v>
      </c>
      <c r="L180" s="538">
        <v>63.19</v>
      </c>
      <c r="M180" s="540">
        <v>2428.4549560902815</v>
      </c>
      <c r="N180" s="541">
        <v>5700.6055196331617</v>
      </c>
      <c r="O180" s="542">
        <v>872.28</v>
      </c>
      <c r="P180" s="542">
        <v>191.90159999999997</v>
      </c>
      <c r="Q180" s="542">
        <v>91.448480708186395</v>
      </c>
      <c r="R180" s="542">
        <v>1056.77</v>
      </c>
      <c r="S180" s="542">
        <v>2428.4549560902815</v>
      </c>
      <c r="T180" s="542">
        <v>832.79483739327793</v>
      </c>
      <c r="U180" s="542">
        <v>226.9556454414149</v>
      </c>
      <c r="V180" s="543">
        <v>5700.6055196331608</v>
      </c>
      <c r="W180" s="544">
        <v>0.1250046168051708</v>
      </c>
      <c r="Y180" s="544"/>
      <c r="Z180" s="476">
        <v>2</v>
      </c>
    </row>
    <row r="181" spans="1:26" x14ac:dyDescent="0.3">
      <c r="A181" s="499">
        <v>150000762</v>
      </c>
      <c r="B181" s="477" t="s">
        <v>391</v>
      </c>
      <c r="C181" s="524">
        <v>288.74</v>
      </c>
      <c r="D181" s="524">
        <v>46.88</v>
      </c>
      <c r="E181" s="539">
        <v>13.19</v>
      </c>
      <c r="F181" s="539">
        <v>93.23</v>
      </c>
      <c r="G181" s="483">
        <v>0</v>
      </c>
      <c r="H181" s="538">
        <v>0</v>
      </c>
      <c r="I181" s="483">
        <v>0</v>
      </c>
      <c r="J181" s="538">
        <v>0</v>
      </c>
      <c r="K181" s="483">
        <v>33.11</v>
      </c>
      <c r="L181" s="538">
        <v>33.11</v>
      </c>
      <c r="M181" s="540">
        <v>1006.1744236217938</v>
      </c>
      <c r="N181" s="541">
        <v>2185.5220974790163</v>
      </c>
      <c r="O181" s="542">
        <v>442.04</v>
      </c>
      <c r="P181" s="542">
        <v>97.248799999999989</v>
      </c>
      <c r="Q181" s="542">
        <v>67.491700769247501</v>
      </c>
      <c r="R181" s="542">
        <v>33.11</v>
      </c>
      <c r="S181" s="542">
        <v>1006.1744236217938</v>
      </c>
      <c r="T181" s="542">
        <v>422.03034567034047</v>
      </c>
      <c r="U181" s="542">
        <v>117.42682741763471</v>
      </c>
      <c r="V181" s="543">
        <v>2185.5220974790163</v>
      </c>
      <c r="W181" s="544">
        <v>0.16773684210526316</v>
      </c>
      <c r="Y181" s="544"/>
      <c r="Z181" s="476">
        <v>2</v>
      </c>
    </row>
    <row r="182" spans="1:26" x14ac:dyDescent="0.3">
      <c r="A182" s="499">
        <v>150000763</v>
      </c>
      <c r="B182" s="477" t="s">
        <v>117</v>
      </c>
      <c r="C182" s="524">
        <v>0</v>
      </c>
      <c r="D182" s="524">
        <v>0</v>
      </c>
      <c r="E182" s="539">
        <v>0</v>
      </c>
      <c r="F182" s="539">
        <v>0</v>
      </c>
      <c r="G182" s="483"/>
      <c r="H182" s="538">
        <v>0</v>
      </c>
      <c r="I182" s="483"/>
      <c r="J182" s="538">
        <v>0</v>
      </c>
      <c r="K182" s="483">
        <v>19.34</v>
      </c>
      <c r="L182" s="538">
        <v>19.34</v>
      </c>
      <c r="M182" s="540">
        <v>0</v>
      </c>
      <c r="N182" s="541">
        <v>19.34</v>
      </c>
      <c r="O182" s="542">
        <v>0</v>
      </c>
      <c r="P182" s="542">
        <v>0</v>
      </c>
      <c r="Q182" s="542">
        <v>0</v>
      </c>
      <c r="R182" s="542">
        <v>19.34</v>
      </c>
      <c r="S182" s="542">
        <v>0</v>
      </c>
      <c r="T182" s="542">
        <v>0</v>
      </c>
      <c r="U182" s="542">
        <v>0</v>
      </c>
      <c r="V182" s="543">
        <v>19.34</v>
      </c>
      <c r="W182" s="544">
        <v>8.3015993907083016E-2</v>
      </c>
      <c r="Y182" s="544"/>
      <c r="Z182" s="476">
        <v>2</v>
      </c>
    </row>
    <row r="183" spans="1:26" x14ac:dyDescent="0.3">
      <c r="A183" s="499">
        <v>150000764</v>
      </c>
      <c r="B183" s="477" t="s">
        <v>118</v>
      </c>
      <c r="C183" s="524">
        <v>0</v>
      </c>
      <c r="D183" s="524">
        <v>0</v>
      </c>
      <c r="E183" s="539">
        <v>0</v>
      </c>
      <c r="F183" s="539">
        <v>0</v>
      </c>
      <c r="G183" s="483"/>
      <c r="H183" s="538">
        <v>0</v>
      </c>
      <c r="I183" s="483"/>
      <c r="J183" s="538">
        <v>0</v>
      </c>
      <c r="K183" s="483">
        <v>29.07</v>
      </c>
      <c r="L183" s="538">
        <v>29.07</v>
      </c>
      <c r="M183" s="540">
        <v>0</v>
      </c>
      <c r="N183" s="541">
        <v>29.07</v>
      </c>
      <c r="O183" s="542">
        <v>0</v>
      </c>
      <c r="P183" s="542">
        <v>0</v>
      </c>
      <c r="Q183" s="542">
        <v>0</v>
      </c>
      <c r="R183" s="542">
        <v>29.07</v>
      </c>
      <c r="S183" s="542">
        <v>0</v>
      </c>
      <c r="T183" s="542">
        <v>0</v>
      </c>
      <c r="U183" s="542">
        <v>0</v>
      </c>
      <c r="V183" s="543">
        <v>29.07</v>
      </c>
      <c r="W183" s="544">
        <v>0.24573925710123815</v>
      </c>
      <c r="Y183" s="544"/>
      <c r="Z183" s="476">
        <v>3</v>
      </c>
    </row>
    <row r="184" spans="1:26" x14ac:dyDescent="0.3">
      <c r="A184" s="499">
        <v>150000765</v>
      </c>
      <c r="B184" s="477" t="s">
        <v>264</v>
      </c>
      <c r="C184" s="524">
        <v>531.69000000000005</v>
      </c>
      <c r="D184" s="524">
        <v>110.9</v>
      </c>
      <c r="E184" s="539">
        <v>43.76</v>
      </c>
      <c r="F184" s="539">
        <v>373.24</v>
      </c>
      <c r="G184" s="483">
        <v>509.36</v>
      </c>
      <c r="H184" s="538">
        <v>509.36</v>
      </c>
      <c r="I184" s="483"/>
      <c r="J184" s="538">
        <v>0</v>
      </c>
      <c r="K184" s="483">
        <v>150.88</v>
      </c>
      <c r="L184" s="538">
        <v>150.88</v>
      </c>
      <c r="M184" s="540">
        <v>1611.9920512108617</v>
      </c>
      <c r="N184" s="541">
        <v>4955.7867779364587</v>
      </c>
      <c r="O184" s="542">
        <v>1059.5900000000001</v>
      </c>
      <c r="P184" s="542">
        <v>233.10979999999998</v>
      </c>
      <c r="Q184" s="542">
        <v>104.3110234642442</v>
      </c>
      <c r="R184" s="542">
        <v>660.24</v>
      </c>
      <c r="S184" s="542">
        <v>1611.9920512108617</v>
      </c>
      <c r="T184" s="542">
        <v>1011.6259478075201</v>
      </c>
      <c r="U184" s="542">
        <v>274.91795545383246</v>
      </c>
      <c r="V184" s="543">
        <v>4955.7867779364587</v>
      </c>
      <c r="W184" s="544">
        <v>0.15068410309534089</v>
      </c>
      <c r="Y184" s="544"/>
      <c r="Z184" s="476">
        <v>3</v>
      </c>
    </row>
    <row r="185" spans="1:26" x14ac:dyDescent="0.3">
      <c r="A185" s="499">
        <v>150000768</v>
      </c>
      <c r="B185" s="477" t="s">
        <v>116</v>
      </c>
      <c r="C185" s="524">
        <v>0</v>
      </c>
      <c r="D185" s="524">
        <v>0</v>
      </c>
      <c r="E185" s="539">
        <v>0</v>
      </c>
      <c r="F185" s="539">
        <v>0</v>
      </c>
      <c r="G185" s="483"/>
      <c r="H185" s="538">
        <v>0</v>
      </c>
      <c r="I185" s="483"/>
      <c r="J185" s="538">
        <v>0</v>
      </c>
      <c r="K185" s="483">
        <v>31.87</v>
      </c>
      <c r="L185" s="538">
        <v>31.87</v>
      </c>
      <c r="M185" s="540">
        <v>0</v>
      </c>
      <c r="N185" s="541">
        <v>31.87</v>
      </c>
      <c r="O185" s="542">
        <v>0</v>
      </c>
      <c r="P185" s="542">
        <v>0</v>
      </c>
      <c r="Q185" s="542">
        <v>0</v>
      </c>
      <c r="R185" s="542">
        <v>31.87</v>
      </c>
      <c r="S185" s="542">
        <v>0</v>
      </c>
      <c r="T185" s="542">
        <v>0</v>
      </c>
      <c r="U185" s="542">
        <v>0</v>
      </c>
      <c r="V185" s="543">
        <v>31.87</v>
      </c>
      <c r="W185" s="544">
        <v>0.26661129568106312</v>
      </c>
      <c r="Y185" s="544"/>
      <c r="Z185" s="476">
        <v>3</v>
      </c>
    </row>
    <row r="186" spans="1:26" x14ac:dyDescent="0.3">
      <c r="A186" s="499">
        <v>150000770</v>
      </c>
      <c r="B186" s="477" t="s">
        <v>119</v>
      </c>
      <c r="C186" s="524">
        <v>0</v>
      </c>
      <c r="D186" s="524">
        <v>0</v>
      </c>
      <c r="E186" s="539">
        <v>0</v>
      </c>
      <c r="F186" s="539">
        <v>0</v>
      </c>
      <c r="G186" s="483"/>
      <c r="H186" s="538">
        <v>0</v>
      </c>
      <c r="I186" s="483"/>
      <c r="J186" s="538">
        <v>0</v>
      </c>
      <c r="K186" s="483">
        <v>29.36</v>
      </c>
      <c r="L186" s="538">
        <v>29.36</v>
      </c>
      <c r="M186" s="540">
        <v>0</v>
      </c>
      <c r="N186" s="541">
        <v>29.36</v>
      </c>
      <c r="O186" s="542">
        <v>0</v>
      </c>
      <c r="P186" s="542">
        <v>0</v>
      </c>
      <c r="Q186" s="542">
        <v>0</v>
      </c>
      <c r="R186" s="542">
        <v>29.36</v>
      </c>
      <c r="S186" s="542">
        <v>0</v>
      </c>
      <c r="T186" s="542">
        <v>0</v>
      </c>
      <c r="U186" s="542">
        <v>0</v>
      </c>
      <c r="V186" s="543">
        <v>29.36</v>
      </c>
      <c r="W186" s="544">
        <v>0.31123046874999999</v>
      </c>
      <c r="Y186" s="544"/>
      <c r="Z186" s="476">
        <v>3</v>
      </c>
    </row>
    <row r="187" spans="1:26" x14ac:dyDescent="0.3">
      <c r="A187" s="499">
        <v>150000777</v>
      </c>
      <c r="B187" s="477" t="s">
        <v>168</v>
      </c>
      <c r="C187" s="524">
        <v>49.68</v>
      </c>
      <c r="D187" s="524">
        <v>7.69</v>
      </c>
      <c r="E187" s="539">
        <v>0</v>
      </c>
      <c r="F187" s="539">
        <v>16.350000000000001</v>
      </c>
      <c r="G187" s="483">
        <v>48.04</v>
      </c>
      <c r="H187" s="538">
        <v>48.04</v>
      </c>
      <c r="I187" s="483">
        <v>9.81</v>
      </c>
      <c r="J187" s="538">
        <v>9.81</v>
      </c>
      <c r="K187" s="483">
        <v>10.61</v>
      </c>
      <c r="L187" s="538">
        <v>10.61</v>
      </c>
      <c r="M187" s="540">
        <v>140.03348271243181</v>
      </c>
      <c r="N187" s="541">
        <v>400.27628852276615</v>
      </c>
      <c r="O187" s="542">
        <v>73.72</v>
      </c>
      <c r="P187" s="542">
        <v>16.218400000000003</v>
      </c>
      <c r="Q187" s="542">
        <v>11.81418594952728</v>
      </c>
      <c r="R187" s="542">
        <v>68.460000000000008</v>
      </c>
      <c r="S187" s="542">
        <v>140.03348271243181</v>
      </c>
      <c r="T187" s="542">
        <v>70.382945169707497</v>
      </c>
      <c r="U187" s="542">
        <v>19.647274691099597</v>
      </c>
      <c r="V187" s="543">
        <v>400.27628852276621</v>
      </c>
      <c r="W187" s="544">
        <v>0.18244367994673177</v>
      </c>
      <c r="Y187" s="544"/>
      <c r="Z187" s="476">
        <v>3</v>
      </c>
    </row>
    <row r="188" spans="1:26" x14ac:dyDescent="0.3">
      <c r="A188" s="499">
        <v>150000778</v>
      </c>
      <c r="B188" s="477" t="s">
        <v>214</v>
      </c>
      <c r="C188" s="524">
        <v>241.98</v>
      </c>
      <c r="D188" s="524">
        <v>45.74</v>
      </c>
      <c r="E188" s="539">
        <v>0</v>
      </c>
      <c r="F188" s="539">
        <v>156</v>
      </c>
      <c r="G188" s="483">
        <v>248.77</v>
      </c>
      <c r="H188" s="538">
        <v>248.77</v>
      </c>
      <c r="I188" s="483">
        <v>55.63</v>
      </c>
      <c r="J188" s="538">
        <v>55.63</v>
      </c>
      <c r="K188" s="483">
        <v>10.61</v>
      </c>
      <c r="L188" s="538">
        <v>10.61</v>
      </c>
      <c r="M188" s="540">
        <v>732.44994163784941</v>
      </c>
      <c r="N188" s="541">
        <v>2183.4606019703715</v>
      </c>
      <c r="O188" s="542">
        <v>443.71999999999997</v>
      </c>
      <c r="P188" s="542">
        <v>97.618400000000008</v>
      </c>
      <c r="Q188" s="542">
        <v>54.649870552800806</v>
      </c>
      <c r="R188" s="542">
        <v>315.01000000000005</v>
      </c>
      <c r="S188" s="542">
        <v>732.44994163784941</v>
      </c>
      <c r="T188" s="542">
        <v>423.6342977577674</v>
      </c>
      <c r="U188" s="542">
        <v>116.37809202195379</v>
      </c>
      <c r="V188" s="543">
        <v>2183.4606019703715</v>
      </c>
      <c r="W188" s="544">
        <v>0.19165908401577192</v>
      </c>
      <c r="Y188" s="544"/>
      <c r="Z188" s="476">
        <v>3</v>
      </c>
    </row>
    <row r="189" spans="1:26" x14ac:dyDescent="0.3">
      <c r="A189" s="499">
        <v>150000781</v>
      </c>
      <c r="B189" s="477" t="s">
        <v>33</v>
      </c>
      <c r="C189" s="524">
        <v>0</v>
      </c>
      <c r="D189" s="524">
        <v>0</v>
      </c>
      <c r="E189" s="539">
        <v>0</v>
      </c>
      <c r="F189" s="539">
        <v>0</v>
      </c>
      <c r="G189" s="483"/>
      <c r="H189" s="538">
        <v>0</v>
      </c>
      <c r="I189" s="483"/>
      <c r="J189" s="538">
        <v>0</v>
      </c>
      <c r="K189" s="483">
        <v>42.45</v>
      </c>
      <c r="L189" s="538">
        <v>42.45</v>
      </c>
      <c r="M189" s="540">
        <v>0</v>
      </c>
      <c r="N189" s="541">
        <v>42.45</v>
      </c>
      <c r="O189" s="542">
        <v>0</v>
      </c>
      <c r="P189" s="542">
        <v>0</v>
      </c>
      <c r="Q189" s="542">
        <v>0</v>
      </c>
      <c r="R189" s="542">
        <v>42.45</v>
      </c>
      <c r="S189" s="542">
        <v>0</v>
      </c>
      <c r="T189" s="542">
        <v>0</v>
      </c>
      <c r="U189" s="542">
        <v>0</v>
      </c>
      <c r="V189" s="543">
        <v>42.45</v>
      </c>
      <c r="W189" s="544">
        <v>0.1274044795783926</v>
      </c>
      <c r="Y189" s="544"/>
      <c r="Z189" s="476">
        <v>3</v>
      </c>
    </row>
    <row r="190" spans="1:26" x14ac:dyDescent="0.3">
      <c r="A190" s="499">
        <v>150000795</v>
      </c>
      <c r="B190" s="477" t="s">
        <v>291</v>
      </c>
      <c r="C190" s="524">
        <v>352.33</v>
      </c>
      <c r="D190" s="524">
        <v>67.41</v>
      </c>
      <c r="E190" s="539">
        <v>0</v>
      </c>
      <c r="F190" s="539">
        <v>220.17</v>
      </c>
      <c r="G190" s="483"/>
      <c r="H190" s="538">
        <v>0</v>
      </c>
      <c r="I190" s="483"/>
      <c r="J190" s="538">
        <v>0</v>
      </c>
      <c r="K190" s="483">
        <v>103.09</v>
      </c>
      <c r="L190" s="538">
        <v>103.09</v>
      </c>
      <c r="M190" s="540">
        <v>984.23940785645698</v>
      </c>
      <c r="N190" s="541">
        <v>2724.3656584580945</v>
      </c>
      <c r="O190" s="542">
        <v>639.91</v>
      </c>
      <c r="P190" s="542">
        <v>140.78020000000001</v>
      </c>
      <c r="Q190" s="542">
        <v>77.695704445096197</v>
      </c>
      <c r="R190" s="542">
        <v>103.09</v>
      </c>
      <c r="S190" s="542">
        <v>984.23940785645698</v>
      </c>
      <c r="T190" s="542">
        <v>610.94344063412268</v>
      </c>
      <c r="U190" s="542">
        <v>167.70690552241877</v>
      </c>
      <c r="V190" s="543">
        <v>2724.3656584580945</v>
      </c>
      <c r="W190" s="544">
        <v>1.1009787183344593</v>
      </c>
      <c r="Y190" s="544">
        <v>0</v>
      </c>
      <c r="Z190" s="476">
        <v>2</v>
      </c>
    </row>
    <row r="191" spans="1:26" x14ac:dyDescent="0.3">
      <c r="A191" s="499">
        <v>150000796</v>
      </c>
      <c r="B191" s="477" t="s">
        <v>98</v>
      </c>
      <c r="C191" s="524">
        <v>0</v>
      </c>
      <c r="D191" s="524">
        <v>0</v>
      </c>
      <c r="E191" s="539">
        <v>0</v>
      </c>
      <c r="F191" s="539">
        <v>0</v>
      </c>
      <c r="G191" s="483">
        <v>14.05</v>
      </c>
      <c r="H191" s="538">
        <v>14.05</v>
      </c>
      <c r="I191" s="483"/>
      <c r="J191" s="538">
        <v>0</v>
      </c>
      <c r="K191" s="483">
        <v>19.329999999999998</v>
      </c>
      <c r="L191" s="538">
        <v>19.329999999999998</v>
      </c>
      <c r="M191" s="540">
        <v>0</v>
      </c>
      <c r="N191" s="541">
        <v>33.379999999999995</v>
      </c>
      <c r="O191" s="542">
        <v>0</v>
      </c>
      <c r="P191" s="542">
        <v>0</v>
      </c>
      <c r="Q191" s="542">
        <v>0</v>
      </c>
      <c r="R191" s="542">
        <v>33.379999999999995</v>
      </c>
      <c r="S191" s="542">
        <v>0</v>
      </c>
      <c r="T191" s="542">
        <v>0</v>
      </c>
      <c r="U191" s="542">
        <v>0</v>
      </c>
      <c r="V191" s="543">
        <v>33.379999999999995</v>
      </c>
      <c r="W191" s="544">
        <v>1.0622011101237456</v>
      </c>
      <c r="Y191" s="544">
        <v>0</v>
      </c>
      <c r="Z191" s="476">
        <v>3</v>
      </c>
    </row>
    <row r="192" spans="1:26" x14ac:dyDescent="0.3">
      <c r="A192" s="499">
        <v>150000797</v>
      </c>
      <c r="B192" s="477" t="s">
        <v>231</v>
      </c>
      <c r="C192" s="524">
        <v>579.07000000000005</v>
      </c>
      <c r="D192" s="524">
        <v>125.02</v>
      </c>
      <c r="E192" s="539">
        <v>0</v>
      </c>
      <c r="F192" s="539">
        <v>665.58</v>
      </c>
      <c r="G192" s="483">
        <v>493.65</v>
      </c>
      <c r="H192" s="538">
        <v>493.65</v>
      </c>
      <c r="I192" s="483"/>
      <c r="J192" s="538">
        <v>0</v>
      </c>
      <c r="K192" s="483">
        <v>183.56</v>
      </c>
      <c r="L192" s="538">
        <v>183.56</v>
      </c>
      <c r="M192" s="540">
        <v>1767.3793323204404</v>
      </c>
      <c r="N192" s="541">
        <v>5899.8701229798608</v>
      </c>
      <c r="O192" s="542">
        <v>1369.67</v>
      </c>
      <c r="P192" s="542">
        <v>301.32740000000001</v>
      </c>
      <c r="Q192" s="542">
        <v>122.6359400023577</v>
      </c>
      <c r="R192" s="542">
        <v>677.21</v>
      </c>
      <c r="S192" s="542">
        <v>1767.3793323204404</v>
      </c>
      <c r="T192" s="542">
        <v>1307.6696759440217</v>
      </c>
      <c r="U192" s="542">
        <v>353.97777471304101</v>
      </c>
      <c r="V192" s="543">
        <v>5899.8701229798608</v>
      </c>
      <c r="W192" s="544">
        <v>1.4199097537954211</v>
      </c>
      <c r="Y192" s="544">
        <v>0</v>
      </c>
      <c r="Z192" s="476">
        <v>3</v>
      </c>
    </row>
    <row r="193" spans="1:26" x14ac:dyDescent="0.3">
      <c r="A193" s="499">
        <v>150000798</v>
      </c>
      <c r="B193" s="477" t="s">
        <v>225</v>
      </c>
      <c r="C193" s="524">
        <v>131.13999999999999</v>
      </c>
      <c r="D193" s="524">
        <v>23.83</v>
      </c>
      <c r="E193" s="539">
        <v>0</v>
      </c>
      <c r="F193" s="539">
        <v>87.42</v>
      </c>
      <c r="G193" s="483">
        <v>157.44</v>
      </c>
      <c r="H193" s="538">
        <v>157.44</v>
      </c>
      <c r="I193" s="483"/>
      <c r="J193" s="538">
        <v>0</v>
      </c>
      <c r="K193" s="483">
        <v>30.72</v>
      </c>
      <c r="L193" s="538">
        <v>30.72</v>
      </c>
      <c r="M193" s="540">
        <v>469.59319813413202</v>
      </c>
      <c r="N193" s="541">
        <v>1290.1368196390579</v>
      </c>
      <c r="O193" s="542">
        <v>242.39</v>
      </c>
      <c r="P193" s="542">
        <v>53.325800000000001</v>
      </c>
      <c r="Q193" s="542">
        <v>40.465175346556606</v>
      </c>
      <c r="R193" s="542">
        <v>188.16</v>
      </c>
      <c r="S193" s="542">
        <v>469.59319813413202</v>
      </c>
      <c r="T193" s="542">
        <v>231.41782528059412</v>
      </c>
      <c r="U193" s="542">
        <v>64.78482087777509</v>
      </c>
      <c r="V193" s="543">
        <v>1290.1368196390576</v>
      </c>
      <c r="W193" s="544">
        <v>0.2671416596814753</v>
      </c>
      <c r="Y193" s="544"/>
      <c r="Z193" s="476">
        <v>3</v>
      </c>
    </row>
    <row r="194" spans="1:26" x14ac:dyDescent="0.3">
      <c r="A194" s="499">
        <v>150000799</v>
      </c>
      <c r="B194" s="477" t="s">
        <v>292</v>
      </c>
      <c r="C194" s="524">
        <v>222.22</v>
      </c>
      <c r="D194" s="524">
        <v>42.74</v>
      </c>
      <c r="E194" s="539">
        <v>0</v>
      </c>
      <c r="F194" s="539">
        <v>111.9</v>
      </c>
      <c r="G194" s="483">
        <v>230.29</v>
      </c>
      <c r="H194" s="538">
        <v>230.29</v>
      </c>
      <c r="I194" s="483"/>
      <c r="J194" s="538">
        <v>0</v>
      </c>
      <c r="K194" s="483">
        <v>82</v>
      </c>
      <c r="L194" s="538">
        <v>82</v>
      </c>
      <c r="M194" s="540">
        <v>736.33382194717638</v>
      </c>
      <c r="N194" s="541">
        <v>2015.4443883269525</v>
      </c>
      <c r="O194" s="542">
        <v>376.86</v>
      </c>
      <c r="P194" s="542">
        <v>82.909199999999998</v>
      </c>
      <c r="Q194" s="542">
        <v>48.204180585548798</v>
      </c>
      <c r="R194" s="542">
        <v>312.28999999999996</v>
      </c>
      <c r="S194" s="542">
        <v>736.33382194717638</v>
      </c>
      <c r="T194" s="542">
        <v>359.80082361171958</v>
      </c>
      <c r="U194" s="542">
        <v>99.046362182507877</v>
      </c>
      <c r="V194" s="543">
        <v>2015.4443883269525</v>
      </c>
      <c r="W194" s="544">
        <v>0.10579868708971553</v>
      </c>
      <c r="Y194" s="544"/>
      <c r="Z194" s="476">
        <v>3</v>
      </c>
    </row>
    <row r="195" spans="1:26" x14ac:dyDescent="0.3">
      <c r="A195" s="499">
        <v>150000800</v>
      </c>
      <c r="B195" s="477" t="s">
        <v>226</v>
      </c>
      <c r="C195" s="524">
        <v>155.51</v>
      </c>
      <c r="D195" s="524">
        <v>24.16</v>
      </c>
      <c r="E195" s="539">
        <v>0</v>
      </c>
      <c r="F195" s="539">
        <v>88.65</v>
      </c>
      <c r="G195" s="483">
        <v>172.77</v>
      </c>
      <c r="H195" s="538">
        <v>172.77</v>
      </c>
      <c r="I195" s="483"/>
      <c r="J195" s="538">
        <v>0</v>
      </c>
      <c r="K195" s="483">
        <v>38.46</v>
      </c>
      <c r="L195" s="538">
        <v>38.46</v>
      </c>
      <c r="M195" s="540">
        <v>517.66067095323388</v>
      </c>
      <c r="N195" s="541">
        <v>1425.4002061559158</v>
      </c>
      <c r="O195" s="542">
        <v>268.32</v>
      </c>
      <c r="P195" s="542">
        <v>59.0304</v>
      </c>
      <c r="Q195" s="542">
        <v>41.630844661485497</v>
      </c>
      <c r="R195" s="542">
        <v>211.23000000000002</v>
      </c>
      <c r="S195" s="542">
        <v>517.66067095323388</v>
      </c>
      <c r="T195" s="542">
        <v>256.1740619633195</v>
      </c>
      <c r="U195" s="542">
        <v>71.354228577877009</v>
      </c>
      <c r="V195" s="543">
        <v>1425.4002061559158</v>
      </c>
      <c r="W195" s="544">
        <v>0.12694323144104805</v>
      </c>
      <c r="Y195" s="544"/>
      <c r="Z195" s="476">
        <v>3</v>
      </c>
    </row>
    <row r="196" spans="1:26" x14ac:dyDescent="0.3">
      <c r="A196" s="499">
        <v>150000801</v>
      </c>
      <c r="B196" s="477" t="s">
        <v>294</v>
      </c>
      <c r="C196" s="524">
        <v>487.64</v>
      </c>
      <c r="D196" s="524">
        <v>96.35</v>
      </c>
      <c r="E196" s="539">
        <v>0</v>
      </c>
      <c r="F196" s="539">
        <v>329.75</v>
      </c>
      <c r="G196" s="483">
        <v>460.8</v>
      </c>
      <c r="H196" s="538">
        <v>460.8</v>
      </c>
      <c r="I196" s="483"/>
      <c r="J196" s="538">
        <v>0</v>
      </c>
      <c r="K196" s="483">
        <v>163.35</v>
      </c>
      <c r="L196" s="538">
        <v>163.35</v>
      </c>
      <c r="M196" s="540">
        <v>1500.8560632770002</v>
      </c>
      <c r="N196" s="541">
        <v>4446.6750003000852</v>
      </c>
      <c r="O196" s="542">
        <v>913.74</v>
      </c>
      <c r="P196" s="542">
        <v>201.02280000000002</v>
      </c>
      <c r="Q196" s="542">
        <v>96.683648418550007</v>
      </c>
      <c r="R196" s="542">
        <v>624.15</v>
      </c>
      <c r="S196" s="542">
        <v>1500.8560632770002</v>
      </c>
      <c r="T196" s="542">
        <v>872.37808355084826</v>
      </c>
      <c r="U196" s="542">
        <v>237.84440505368701</v>
      </c>
      <c r="V196" s="543">
        <v>4446.6750003000852</v>
      </c>
      <c r="W196" s="544">
        <v>0.2031833910034602</v>
      </c>
      <c r="Y196" s="544"/>
      <c r="Z196" s="476">
        <v>3</v>
      </c>
    </row>
    <row r="197" spans="1:26" x14ac:dyDescent="0.3">
      <c r="A197" s="499">
        <v>150000802</v>
      </c>
      <c r="B197" s="477" t="s">
        <v>295</v>
      </c>
      <c r="C197" s="524">
        <v>402.42</v>
      </c>
      <c r="D197" s="524">
        <v>77.16</v>
      </c>
      <c r="E197" s="539">
        <v>0</v>
      </c>
      <c r="F197" s="539">
        <v>232.82</v>
      </c>
      <c r="G197" s="483">
        <v>346.51</v>
      </c>
      <c r="H197" s="538">
        <v>346.51</v>
      </c>
      <c r="I197" s="483"/>
      <c r="J197" s="538">
        <v>0</v>
      </c>
      <c r="K197" s="483">
        <v>70.819999999999993</v>
      </c>
      <c r="L197" s="538">
        <v>70.819999999999993</v>
      </c>
      <c r="M197" s="540">
        <v>1141.5044916477011</v>
      </c>
      <c r="N197" s="541">
        <v>3374.80610835274</v>
      </c>
      <c r="O197" s="542">
        <v>712.40000000000009</v>
      </c>
      <c r="P197" s="542">
        <v>156.72800000000001</v>
      </c>
      <c r="Q197" s="542">
        <v>80.653534416624595</v>
      </c>
      <c r="R197" s="542">
        <v>417.33</v>
      </c>
      <c r="S197" s="542">
        <v>1141.5044916477011</v>
      </c>
      <c r="T197" s="542">
        <v>680.15206373982119</v>
      </c>
      <c r="U197" s="542">
        <v>186.03801854859259</v>
      </c>
      <c r="V197" s="543">
        <v>3374.8061083527391</v>
      </c>
      <c r="W197" s="544">
        <v>1.018514729065563</v>
      </c>
      <c r="Y197" s="544">
        <v>0</v>
      </c>
      <c r="Z197" s="476">
        <v>3</v>
      </c>
    </row>
    <row r="198" spans="1:26" x14ac:dyDescent="0.3">
      <c r="A198" s="499">
        <v>150000803</v>
      </c>
      <c r="B198" s="477" t="s">
        <v>227</v>
      </c>
      <c r="C198" s="524">
        <v>166.56</v>
      </c>
      <c r="D198" s="524">
        <v>30.07</v>
      </c>
      <c r="E198" s="539">
        <v>0</v>
      </c>
      <c r="F198" s="539">
        <v>83.55</v>
      </c>
      <c r="G198" s="483">
        <v>192.81</v>
      </c>
      <c r="H198" s="538">
        <v>192.81</v>
      </c>
      <c r="I198" s="483"/>
      <c r="J198" s="538">
        <v>0</v>
      </c>
      <c r="K198" s="483">
        <v>38.46</v>
      </c>
      <c r="L198" s="538">
        <v>38.46</v>
      </c>
      <c r="M198" s="540">
        <v>572.67637001379239</v>
      </c>
      <c r="N198" s="541">
        <v>1529.4974729180008</v>
      </c>
      <c r="O198" s="542">
        <v>280.18</v>
      </c>
      <c r="P198" s="542">
        <v>61.639600000000002</v>
      </c>
      <c r="Q198" s="542">
        <v>41.904898115105901</v>
      </c>
      <c r="R198" s="542">
        <v>231.27</v>
      </c>
      <c r="S198" s="542">
        <v>572.67637001379239</v>
      </c>
      <c r="T198" s="542">
        <v>267.4971999138449</v>
      </c>
      <c r="U198" s="542">
        <v>74.329404875257623</v>
      </c>
      <c r="V198" s="543">
        <v>1529.4974729180008</v>
      </c>
      <c r="W198" s="544">
        <v>1.0954411634670256</v>
      </c>
      <c r="Y198" s="544">
        <v>0</v>
      </c>
      <c r="Z198" s="476">
        <v>2</v>
      </c>
    </row>
    <row r="199" spans="1:26" x14ac:dyDescent="0.3">
      <c r="A199" s="499">
        <v>150000805</v>
      </c>
      <c r="B199" s="477" t="s">
        <v>296</v>
      </c>
      <c r="C199" s="524">
        <v>385.93</v>
      </c>
      <c r="D199" s="524">
        <v>77.650000000000006</v>
      </c>
      <c r="E199" s="539">
        <v>0</v>
      </c>
      <c r="F199" s="539">
        <v>240.99</v>
      </c>
      <c r="G199" s="483">
        <v>431.89</v>
      </c>
      <c r="H199" s="538">
        <v>431.89</v>
      </c>
      <c r="I199" s="483"/>
      <c r="J199" s="538">
        <v>0</v>
      </c>
      <c r="K199" s="483">
        <v>107.42</v>
      </c>
      <c r="L199" s="538">
        <v>107.42</v>
      </c>
      <c r="M199" s="540">
        <v>1321.9232031912447</v>
      </c>
      <c r="N199" s="541">
        <v>3682.3241384157518</v>
      </c>
      <c r="O199" s="542">
        <v>704.57</v>
      </c>
      <c r="P199" s="542">
        <v>155.00540000000001</v>
      </c>
      <c r="Q199" s="542">
        <v>102.27656448490579</v>
      </c>
      <c r="R199" s="542">
        <v>539.30999999999995</v>
      </c>
      <c r="S199" s="542">
        <v>1321.9232031912447</v>
      </c>
      <c r="T199" s="542">
        <v>672.67650133234963</v>
      </c>
      <c r="U199" s="542">
        <v>186.5624694072514</v>
      </c>
      <c r="V199" s="543">
        <v>3682.3241384157513</v>
      </c>
      <c r="W199" s="544">
        <v>0.27548713951675757</v>
      </c>
      <c r="Y199" s="544"/>
      <c r="Z199" s="476">
        <v>3</v>
      </c>
    </row>
    <row r="200" spans="1:26" x14ac:dyDescent="0.3">
      <c r="A200" s="499">
        <v>150000806</v>
      </c>
      <c r="B200" s="477" t="s">
        <v>228</v>
      </c>
      <c r="C200" s="524">
        <v>275.83999999999997</v>
      </c>
      <c r="D200" s="524">
        <v>57.81</v>
      </c>
      <c r="E200" s="539">
        <v>0</v>
      </c>
      <c r="F200" s="539">
        <v>232.58</v>
      </c>
      <c r="G200" s="483">
        <v>271.64999999999998</v>
      </c>
      <c r="H200" s="538">
        <v>271.64999999999998</v>
      </c>
      <c r="I200" s="483"/>
      <c r="J200" s="538">
        <v>0</v>
      </c>
      <c r="K200" s="483">
        <v>38.479999999999997</v>
      </c>
      <c r="L200" s="538">
        <v>38.479999999999997</v>
      </c>
      <c r="M200" s="540">
        <v>967.76320368184429</v>
      </c>
      <c r="N200" s="541">
        <v>2732.0853713572542</v>
      </c>
      <c r="O200" s="542">
        <v>566.23</v>
      </c>
      <c r="P200" s="542">
        <v>124.57060000000001</v>
      </c>
      <c r="Q200" s="542">
        <v>73.817520609684607</v>
      </c>
      <c r="R200" s="542">
        <v>310.13</v>
      </c>
      <c r="S200" s="542">
        <v>967.76320368184429</v>
      </c>
      <c r="T200" s="542">
        <v>540.59868479983015</v>
      </c>
      <c r="U200" s="542">
        <v>148.97536226589489</v>
      </c>
      <c r="V200" s="543">
        <v>2732.0853713572537</v>
      </c>
      <c r="W200" s="544">
        <v>1.0298208884589874</v>
      </c>
      <c r="Y200" s="544">
        <v>0</v>
      </c>
      <c r="Z200" s="476">
        <v>3</v>
      </c>
    </row>
    <row r="201" spans="1:26" x14ac:dyDescent="0.3">
      <c r="A201" s="499">
        <v>150000807</v>
      </c>
      <c r="B201" s="477" t="s">
        <v>187</v>
      </c>
      <c r="C201" s="524">
        <v>64.209999999999994</v>
      </c>
      <c r="D201" s="524">
        <v>11.3</v>
      </c>
      <c r="E201" s="539">
        <v>0</v>
      </c>
      <c r="F201" s="539">
        <v>11.36</v>
      </c>
      <c r="G201" s="483"/>
      <c r="H201" s="538">
        <v>0</v>
      </c>
      <c r="I201" s="483"/>
      <c r="J201" s="538">
        <v>0</v>
      </c>
      <c r="K201" s="483">
        <v>34.69</v>
      </c>
      <c r="L201" s="538">
        <v>34.69</v>
      </c>
      <c r="M201" s="540">
        <v>107.14521183620418</v>
      </c>
      <c r="N201" s="541">
        <v>362.65725917395332</v>
      </c>
      <c r="O201" s="542">
        <v>86.86999999999999</v>
      </c>
      <c r="P201" s="542">
        <v>19.111400000000003</v>
      </c>
      <c r="Q201" s="542">
        <v>9.2807454678443797</v>
      </c>
      <c r="R201" s="542">
        <v>34.69</v>
      </c>
      <c r="S201" s="542">
        <v>107.14521183620418</v>
      </c>
      <c r="T201" s="542">
        <v>82.937689187364214</v>
      </c>
      <c r="U201" s="542">
        <v>22.622212682540539</v>
      </c>
      <c r="V201" s="543">
        <v>362.65725917395332</v>
      </c>
      <c r="W201" s="544">
        <v>1.2049812609579462</v>
      </c>
      <c r="Y201" s="544">
        <v>0</v>
      </c>
      <c r="Z201" s="476">
        <v>3</v>
      </c>
    </row>
    <row r="202" spans="1:26" x14ac:dyDescent="0.3">
      <c r="A202" s="499">
        <v>150000808</v>
      </c>
      <c r="B202" s="477" t="s">
        <v>297</v>
      </c>
      <c r="C202" s="524">
        <v>205.6</v>
      </c>
      <c r="D202" s="524">
        <v>39.42</v>
      </c>
      <c r="E202" s="539">
        <v>0</v>
      </c>
      <c r="F202" s="539">
        <v>99.01</v>
      </c>
      <c r="G202" s="483">
        <v>228.23</v>
      </c>
      <c r="H202" s="538">
        <v>228.23</v>
      </c>
      <c r="I202" s="483"/>
      <c r="J202" s="538">
        <v>0</v>
      </c>
      <c r="K202" s="483">
        <v>34.409999999999997</v>
      </c>
      <c r="L202" s="538">
        <v>34.409999999999997</v>
      </c>
      <c r="M202" s="540">
        <v>695.10767958120095</v>
      </c>
      <c r="N202" s="541">
        <v>1842.022706007652</v>
      </c>
      <c r="O202" s="542">
        <v>344.03</v>
      </c>
      <c r="P202" s="542">
        <v>75.686599999999999</v>
      </c>
      <c r="Q202" s="542">
        <v>45.511552164027599</v>
      </c>
      <c r="R202" s="542">
        <v>262.64</v>
      </c>
      <c r="S202" s="542">
        <v>695.10767958120095</v>
      </c>
      <c r="T202" s="542">
        <v>328.45692656991957</v>
      </c>
      <c r="U202" s="542">
        <v>90.589947692503983</v>
      </c>
      <c r="V202" s="543">
        <v>1842.022706007652</v>
      </c>
      <c r="W202" s="544">
        <v>1.0438600176246815</v>
      </c>
      <c r="Y202" s="544">
        <v>0</v>
      </c>
      <c r="Z202" s="476">
        <v>3</v>
      </c>
    </row>
    <row r="203" spans="1:26" x14ac:dyDescent="0.3">
      <c r="A203" s="499">
        <v>150000809</v>
      </c>
      <c r="B203" s="477" t="s">
        <v>299</v>
      </c>
      <c r="C203" s="524">
        <v>278.37</v>
      </c>
      <c r="D203" s="524">
        <v>51.96</v>
      </c>
      <c r="E203" s="539">
        <v>0</v>
      </c>
      <c r="F203" s="539">
        <v>148.44999999999999</v>
      </c>
      <c r="G203" s="483">
        <v>290.79000000000002</v>
      </c>
      <c r="H203" s="538">
        <v>290.79000000000002</v>
      </c>
      <c r="I203" s="483"/>
      <c r="J203" s="538">
        <v>0</v>
      </c>
      <c r="K203" s="483">
        <v>68.180000000000007</v>
      </c>
      <c r="L203" s="538">
        <v>68.180000000000007</v>
      </c>
      <c r="M203" s="540">
        <v>906.16985044604019</v>
      </c>
      <c r="N203" s="541">
        <v>2489.5285372002613</v>
      </c>
      <c r="O203" s="542">
        <v>478.78</v>
      </c>
      <c r="P203" s="542">
        <v>105.33160000000001</v>
      </c>
      <c r="Q203" s="542">
        <v>57.7367938730494</v>
      </c>
      <c r="R203" s="542">
        <v>358.97</v>
      </c>
      <c r="S203" s="542">
        <v>906.16985044604019</v>
      </c>
      <c r="T203" s="542">
        <v>457.10725024894953</v>
      </c>
      <c r="U203" s="542">
        <v>125.43304263222228</v>
      </c>
      <c r="V203" s="543">
        <v>2489.5285372002613</v>
      </c>
      <c r="W203" s="544">
        <v>1.0277076190127656</v>
      </c>
      <c r="Y203" s="544">
        <v>0</v>
      </c>
      <c r="Z203" s="476">
        <v>3</v>
      </c>
    </row>
    <row r="204" spans="1:26" x14ac:dyDescent="0.3">
      <c r="A204" s="499">
        <v>150000810</v>
      </c>
      <c r="B204" s="477" t="s">
        <v>300</v>
      </c>
      <c r="C204" s="524">
        <v>336.11</v>
      </c>
      <c r="D204" s="524">
        <v>66.790000000000006</v>
      </c>
      <c r="E204" s="539">
        <v>0</v>
      </c>
      <c r="F204" s="539">
        <v>200.83</v>
      </c>
      <c r="G204" s="483">
        <v>304.25</v>
      </c>
      <c r="H204" s="538">
        <v>304.25</v>
      </c>
      <c r="I204" s="483"/>
      <c r="J204" s="538">
        <v>0</v>
      </c>
      <c r="K204" s="483">
        <v>98.23</v>
      </c>
      <c r="L204" s="538">
        <v>98.23</v>
      </c>
      <c r="M204" s="540">
        <v>1068.5160473759086</v>
      </c>
      <c r="N204" s="541">
        <v>3011.2567706873574</v>
      </c>
      <c r="O204" s="542">
        <v>603.73</v>
      </c>
      <c r="P204" s="542">
        <v>132.82059999999998</v>
      </c>
      <c r="Q204" s="542">
        <v>69.516242898424096</v>
      </c>
      <c r="R204" s="542">
        <v>402.48</v>
      </c>
      <c r="S204" s="542">
        <v>1068.5160473759086</v>
      </c>
      <c r="T204" s="542">
        <v>576.40118675132271</v>
      </c>
      <c r="U204" s="542">
        <v>157.79269366170206</v>
      </c>
      <c r="V204" s="543">
        <v>3011.2567706873579</v>
      </c>
      <c r="W204" s="544">
        <v>0.1768888888888889</v>
      </c>
      <c r="Y204" s="544"/>
      <c r="Z204" s="476">
        <v>3</v>
      </c>
    </row>
    <row r="205" spans="1:26" x14ac:dyDescent="0.3">
      <c r="A205" s="499">
        <v>150000811</v>
      </c>
      <c r="B205" s="477" t="s">
        <v>301</v>
      </c>
      <c r="C205" s="524">
        <v>305.88</v>
      </c>
      <c r="D205" s="524">
        <v>52.31</v>
      </c>
      <c r="E205" s="539">
        <v>0</v>
      </c>
      <c r="F205" s="539">
        <v>160.07</v>
      </c>
      <c r="G205" s="483">
        <v>295.91000000000003</v>
      </c>
      <c r="H205" s="538">
        <v>295.91000000000003</v>
      </c>
      <c r="I205" s="483"/>
      <c r="J205" s="538">
        <v>0</v>
      </c>
      <c r="K205" s="483">
        <v>73.819999999999993</v>
      </c>
      <c r="L205" s="538">
        <v>73.819999999999993</v>
      </c>
      <c r="M205" s="540">
        <v>927.85544270527339</v>
      </c>
      <c r="N205" s="541">
        <v>2623.29955679562</v>
      </c>
      <c r="O205" s="542">
        <v>518.26</v>
      </c>
      <c r="P205" s="542">
        <v>114.0172</v>
      </c>
      <c r="Q205" s="542">
        <v>62.823418763605801</v>
      </c>
      <c r="R205" s="542">
        <v>369.73</v>
      </c>
      <c r="S205" s="542">
        <v>927.85544270527339</v>
      </c>
      <c r="T205" s="542">
        <v>494.80012430348086</v>
      </c>
      <c r="U205" s="542">
        <v>135.81337102326012</v>
      </c>
      <c r="V205" s="543">
        <v>2623.29955679562</v>
      </c>
      <c r="W205" s="544">
        <v>0.95146735397285287</v>
      </c>
      <c r="Y205" s="544">
        <v>0</v>
      </c>
      <c r="Z205" s="476">
        <v>3</v>
      </c>
    </row>
    <row r="206" spans="1:26" x14ac:dyDescent="0.3">
      <c r="A206" s="499">
        <v>150000812</v>
      </c>
      <c r="B206" s="477" t="s">
        <v>302</v>
      </c>
      <c r="C206" s="524">
        <v>198.78</v>
      </c>
      <c r="D206" s="524">
        <v>39.31</v>
      </c>
      <c r="E206" s="539">
        <v>0</v>
      </c>
      <c r="F206" s="539">
        <v>154.6</v>
      </c>
      <c r="G206" s="483">
        <v>347.67</v>
      </c>
      <c r="H206" s="538">
        <v>347.67</v>
      </c>
      <c r="I206" s="483"/>
      <c r="J206" s="538">
        <v>0</v>
      </c>
      <c r="K206" s="483">
        <v>38.450000000000003</v>
      </c>
      <c r="L206" s="538">
        <v>38.450000000000003</v>
      </c>
      <c r="M206" s="540">
        <v>990.88832589058939</v>
      </c>
      <c r="N206" s="541">
        <v>2387.8573159450461</v>
      </c>
      <c r="O206" s="542">
        <v>392.69</v>
      </c>
      <c r="P206" s="542">
        <v>86.391800000000003</v>
      </c>
      <c r="Q206" s="542">
        <v>53.296063358191603</v>
      </c>
      <c r="R206" s="542">
        <v>386.12</v>
      </c>
      <c r="S206" s="542">
        <v>990.88832589058939</v>
      </c>
      <c r="T206" s="542">
        <v>374.9142531021763</v>
      </c>
      <c r="U206" s="542">
        <v>103.55687359408904</v>
      </c>
      <c r="V206" s="543">
        <v>2387.8573159450466</v>
      </c>
      <c r="W206" s="544">
        <v>1.2929351554660167</v>
      </c>
      <c r="Y206" s="544">
        <v>0</v>
      </c>
      <c r="Z206" s="476">
        <v>2</v>
      </c>
    </row>
    <row r="207" spans="1:26" x14ac:dyDescent="0.3">
      <c r="A207" s="499">
        <v>150000813</v>
      </c>
      <c r="B207" s="477" t="s">
        <v>188</v>
      </c>
      <c r="C207" s="524">
        <v>32.86</v>
      </c>
      <c r="D207" s="524">
        <v>11.54</v>
      </c>
      <c r="E207" s="539">
        <v>0</v>
      </c>
      <c r="F207" s="539">
        <v>17.25</v>
      </c>
      <c r="G207" s="483"/>
      <c r="H207" s="538">
        <v>0</v>
      </c>
      <c r="I207" s="483"/>
      <c r="J207" s="538">
        <v>0</v>
      </c>
      <c r="K207" s="483">
        <v>34.409999999999997</v>
      </c>
      <c r="L207" s="538">
        <v>34.409999999999997</v>
      </c>
      <c r="M207" s="540">
        <v>133.01399261208854</v>
      </c>
      <c r="N207" s="541">
        <v>325.3038203027408</v>
      </c>
      <c r="O207" s="542">
        <v>61.65</v>
      </c>
      <c r="P207" s="542">
        <v>13.563000000000001</v>
      </c>
      <c r="Q207" s="542">
        <v>7.6334454373904652</v>
      </c>
      <c r="R207" s="542">
        <v>34.409999999999997</v>
      </c>
      <c r="S207" s="542">
        <v>133.01399261208854</v>
      </c>
      <c r="T207" s="542">
        <v>58.859313208253759</v>
      </c>
      <c r="U207" s="542">
        <v>16.174069045008043</v>
      </c>
      <c r="V207" s="543">
        <v>325.3038203027408</v>
      </c>
      <c r="W207" s="544">
        <v>0.65028792812994041</v>
      </c>
      <c r="Y207" s="544">
        <v>0</v>
      </c>
      <c r="Z207" s="476">
        <v>1</v>
      </c>
    </row>
    <row r="208" spans="1:26" x14ac:dyDescent="0.3">
      <c r="A208" s="499">
        <v>150000814</v>
      </c>
      <c r="B208" s="477" t="s">
        <v>304</v>
      </c>
      <c r="C208" s="524">
        <v>353.92</v>
      </c>
      <c r="D208" s="524">
        <v>74.349999999999994</v>
      </c>
      <c r="E208" s="539">
        <v>0</v>
      </c>
      <c r="F208" s="539">
        <v>206.54</v>
      </c>
      <c r="G208" s="483">
        <v>319.37</v>
      </c>
      <c r="H208" s="538">
        <v>319.37</v>
      </c>
      <c r="I208" s="483"/>
      <c r="J208" s="538">
        <v>0</v>
      </c>
      <c r="K208" s="483">
        <v>130.79</v>
      </c>
      <c r="L208" s="538">
        <v>130.79</v>
      </c>
      <c r="M208" s="540">
        <v>1152.6929174929182</v>
      </c>
      <c r="N208" s="541">
        <v>3221.6325111889382</v>
      </c>
      <c r="O208" s="542">
        <v>634.80999999999995</v>
      </c>
      <c r="P208" s="542">
        <v>139.65819999999999</v>
      </c>
      <c r="Q208" s="542">
        <v>72.400499127370907</v>
      </c>
      <c r="R208" s="542">
        <v>450.15999999999997</v>
      </c>
      <c r="S208" s="542">
        <v>1152.6929174929182</v>
      </c>
      <c r="T208" s="542">
        <v>606.07430036871972</v>
      </c>
      <c r="U208" s="542">
        <v>165.83659419992949</v>
      </c>
      <c r="V208" s="543">
        <v>3221.6325111889382</v>
      </c>
      <c r="W208" s="544">
        <v>1.0737485857891886</v>
      </c>
      <c r="Y208" s="544">
        <v>0</v>
      </c>
      <c r="Z208" s="476">
        <v>1</v>
      </c>
    </row>
    <row r="209" spans="1:26" x14ac:dyDescent="0.3">
      <c r="A209" s="499">
        <v>150000816</v>
      </c>
      <c r="B209" s="477" t="s">
        <v>229</v>
      </c>
      <c r="C209" s="524">
        <v>310.35000000000002</v>
      </c>
      <c r="D209" s="524">
        <v>50.81</v>
      </c>
      <c r="E209" s="539">
        <v>0</v>
      </c>
      <c r="F209" s="539">
        <v>181.7</v>
      </c>
      <c r="G209" s="483">
        <v>287.44</v>
      </c>
      <c r="H209" s="538">
        <v>287.44</v>
      </c>
      <c r="I209" s="483">
        <v>74.22</v>
      </c>
      <c r="J209" s="538">
        <v>74.22</v>
      </c>
      <c r="K209" s="483">
        <v>130.79</v>
      </c>
      <c r="L209" s="538">
        <v>130.79</v>
      </c>
      <c r="M209" s="540">
        <v>886.64355311107522</v>
      </c>
      <c r="N209" s="541">
        <v>2770.3474696348903</v>
      </c>
      <c r="O209" s="542">
        <v>542.86</v>
      </c>
      <c r="P209" s="542">
        <v>119.42920000000001</v>
      </c>
      <c r="Q209" s="542">
        <v>68.150525757509001</v>
      </c>
      <c r="R209" s="542">
        <v>492.44999999999993</v>
      </c>
      <c r="S209" s="542">
        <v>886.64355311107522</v>
      </c>
      <c r="T209" s="542">
        <v>518.28656558366004</v>
      </c>
      <c r="U209" s="542">
        <v>142.52762518264612</v>
      </c>
      <c r="V209" s="543">
        <v>2770.3474696348903</v>
      </c>
      <c r="W209" s="544">
        <v>1.1964134234549066</v>
      </c>
      <c r="Y209" s="544">
        <v>0</v>
      </c>
      <c r="Z209" s="476">
        <v>2</v>
      </c>
    </row>
    <row r="210" spans="1:26" x14ac:dyDescent="0.3">
      <c r="A210" s="499">
        <v>150000819</v>
      </c>
      <c r="B210" s="477" t="s">
        <v>423</v>
      </c>
      <c r="C210" s="524">
        <v>885.99</v>
      </c>
      <c r="D210" s="524">
        <v>151.75</v>
      </c>
      <c r="E210" s="539">
        <v>42.26</v>
      </c>
      <c r="F210" s="539">
        <v>312.16000000000003</v>
      </c>
      <c r="G210" s="483">
        <v>713.76</v>
      </c>
      <c r="H210" s="538">
        <v>713.76</v>
      </c>
      <c r="I210" s="483">
        <v>181.01</v>
      </c>
      <c r="J210" s="538">
        <v>181.01</v>
      </c>
      <c r="K210" s="483">
        <v>42.12</v>
      </c>
      <c r="L210" s="538">
        <v>42.12</v>
      </c>
      <c r="M210" s="540">
        <v>2412.4063350689889</v>
      </c>
      <c r="N210" s="541">
        <v>6872.8149514900997</v>
      </c>
      <c r="O210" s="542">
        <v>1392.16</v>
      </c>
      <c r="P210" s="542">
        <v>306.27519999999998</v>
      </c>
      <c r="Q210" s="542">
        <v>134.973357569862</v>
      </c>
      <c r="R210" s="542">
        <v>936.89</v>
      </c>
      <c r="S210" s="542">
        <v>2412.4063350689889</v>
      </c>
      <c r="T210" s="542">
        <v>1329.1416297810636</v>
      </c>
      <c r="U210" s="542">
        <v>360.96842907018498</v>
      </c>
      <c r="V210" s="543">
        <v>6872.8149514900997</v>
      </c>
      <c r="W210" s="544">
        <v>1.0006103386078711</v>
      </c>
      <c r="Y210" s="544">
        <v>0</v>
      </c>
      <c r="Z210" s="476">
        <v>2</v>
      </c>
    </row>
    <row r="211" spans="1:26" x14ac:dyDescent="0.3">
      <c r="A211" s="499">
        <v>150000820</v>
      </c>
      <c r="B211" s="477" t="s">
        <v>394</v>
      </c>
      <c r="C211" s="524">
        <v>483.26</v>
      </c>
      <c r="D211" s="524">
        <v>92.98</v>
      </c>
      <c r="E211" s="539">
        <v>26.37</v>
      </c>
      <c r="F211" s="539">
        <v>187.53</v>
      </c>
      <c r="G211" s="483">
        <v>458.42</v>
      </c>
      <c r="H211" s="538">
        <v>458.42</v>
      </c>
      <c r="I211" s="483">
        <v>124.64</v>
      </c>
      <c r="J211" s="538">
        <v>124.64</v>
      </c>
      <c r="K211" s="483">
        <v>42.12</v>
      </c>
      <c r="L211" s="538">
        <v>42.12</v>
      </c>
      <c r="M211" s="540">
        <v>1492.4896862436979</v>
      </c>
      <c r="N211" s="541">
        <v>4137.5489005410027</v>
      </c>
      <c r="O211" s="542">
        <v>790.14</v>
      </c>
      <c r="P211" s="542">
        <v>173.83079999999998</v>
      </c>
      <c r="Q211" s="542">
        <v>94.607954261484295</v>
      </c>
      <c r="R211" s="542">
        <v>625.18000000000006</v>
      </c>
      <c r="S211" s="542">
        <v>1492.4896862436979</v>
      </c>
      <c r="T211" s="542">
        <v>754.37303711872869</v>
      </c>
      <c r="U211" s="542">
        <v>206.92742291709192</v>
      </c>
      <c r="V211" s="543">
        <v>4137.5489005410018</v>
      </c>
      <c r="W211" s="544">
        <v>1.1037335653318932</v>
      </c>
      <c r="Y211" s="544">
        <v>0</v>
      </c>
      <c r="Z211" s="476">
        <v>2</v>
      </c>
    </row>
    <row r="212" spans="1:26" x14ac:dyDescent="0.3">
      <c r="A212" s="499">
        <v>150000827</v>
      </c>
      <c r="B212" s="477" t="s">
        <v>298</v>
      </c>
      <c r="C212" s="524">
        <v>487.64</v>
      </c>
      <c r="D212" s="524">
        <v>96.46</v>
      </c>
      <c r="E212" s="539">
        <v>0</v>
      </c>
      <c r="F212" s="539">
        <v>320.60000000000002</v>
      </c>
      <c r="G212" s="483">
        <v>480.42</v>
      </c>
      <c r="H212" s="538">
        <v>480.42</v>
      </c>
      <c r="I212" s="483"/>
      <c r="J212" s="538">
        <v>0</v>
      </c>
      <c r="K212" s="483">
        <v>163.35</v>
      </c>
      <c r="L212" s="538">
        <v>163.35</v>
      </c>
      <c r="M212" s="540">
        <v>1575.1807049029192</v>
      </c>
      <c r="N212" s="541">
        <v>4518.1328192764304</v>
      </c>
      <c r="O212" s="542">
        <v>904.7</v>
      </c>
      <c r="P212" s="542">
        <v>199.03399999999999</v>
      </c>
      <c r="Q212" s="542">
        <v>96.160088103034298</v>
      </c>
      <c r="R212" s="542">
        <v>643.77</v>
      </c>
      <c r="S212" s="542">
        <v>1575.1807049029192</v>
      </c>
      <c r="T212" s="542">
        <v>863.74729374707499</v>
      </c>
      <c r="U212" s="542">
        <v>235.54073252340217</v>
      </c>
      <c r="V212" s="543">
        <v>4518.1328192764304</v>
      </c>
      <c r="W212" s="544">
        <v>0.87439135848684713</v>
      </c>
      <c r="Y212" s="544">
        <v>0</v>
      </c>
      <c r="Z212" s="476">
        <v>2</v>
      </c>
    </row>
    <row r="213" spans="1:26" x14ac:dyDescent="0.3">
      <c r="A213" s="499">
        <v>150000828</v>
      </c>
      <c r="B213" s="477" t="s">
        <v>303</v>
      </c>
      <c r="C213" s="524">
        <v>305.88</v>
      </c>
      <c r="D213" s="524">
        <v>52.31</v>
      </c>
      <c r="E213" s="539">
        <v>0</v>
      </c>
      <c r="F213" s="539">
        <v>158.66999999999999</v>
      </c>
      <c r="G213" s="483">
        <v>295.55</v>
      </c>
      <c r="H213" s="538">
        <v>295.55</v>
      </c>
      <c r="I213" s="483"/>
      <c r="J213" s="538">
        <v>0</v>
      </c>
      <c r="K213" s="483">
        <v>100.13</v>
      </c>
      <c r="L213" s="538">
        <v>100.13</v>
      </c>
      <c r="M213" s="540">
        <v>924.83385508847584</v>
      </c>
      <c r="N213" s="541">
        <v>2639.419588007037</v>
      </c>
      <c r="O213" s="542">
        <v>516.86</v>
      </c>
      <c r="P213" s="542">
        <v>113.70920000000001</v>
      </c>
      <c r="Q213" s="542">
        <v>59.757151963346999</v>
      </c>
      <c r="R213" s="542">
        <v>395.68</v>
      </c>
      <c r="S213" s="542">
        <v>924.83385508847584</v>
      </c>
      <c r="T213" s="542">
        <v>493.46349756395841</v>
      </c>
      <c r="U213" s="542">
        <v>135.11588339125589</v>
      </c>
      <c r="V213" s="543">
        <v>2639.419588007037</v>
      </c>
      <c r="W213" s="544">
        <v>1.2940493485819906</v>
      </c>
      <c r="Y213" s="544">
        <v>0</v>
      </c>
      <c r="Z213" s="476">
        <v>2</v>
      </c>
    </row>
    <row r="214" spans="1:26" x14ac:dyDescent="0.3">
      <c r="A214" s="499">
        <v>150000829</v>
      </c>
      <c r="B214" s="477" t="s">
        <v>230</v>
      </c>
      <c r="C214" s="524">
        <v>324.35000000000002</v>
      </c>
      <c r="D214" s="524">
        <v>51</v>
      </c>
      <c r="E214" s="539">
        <v>0</v>
      </c>
      <c r="F214" s="539">
        <v>181.34</v>
      </c>
      <c r="G214" s="483">
        <v>317.33</v>
      </c>
      <c r="H214" s="538">
        <v>317.33</v>
      </c>
      <c r="I214" s="483"/>
      <c r="J214" s="538">
        <v>0</v>
      </c>
      <c r="K214" s="483">
        <v>63.36</v>
      </c>
      <c r="L214" s="538">
        <v>63.36</v>
      </c>
      <c r="M214" s="540">
        <v>919.73136279218568</v>
      </c>
      <c r="N214" s="541">
        <v>2725.5330557254779</v>
      </c>
      <c r="O214" s="542">
        <v>556.69000000000005</v>
      </c>
      <c r="P214" s="542">
        <v>122.4718</v>
      </c>
      <c r="Q214" s="542">
        <v>68.4631645104554</v>
      </c>
      <c r="R214" s="542">
        <v>380.69</v>
      </c>
      <c r="S214" s="542">
        <v>919.73136279218568</v>
      </c>
      <c r="T214" s="542">
        <v>531.49052830337041</v>
      </c>
      <c r="U214" s="542">
        <v>145.99620011946655</v>
      </c>
      <c r="V214" s="543">
        <v>2725.5330557254783</v>
      </c>
      <c r="W214" s="544">
        <v>1.01963607380544</v>
      </c>
      <c r="Y214" s="544">
        <v>0</v>
      </c>
      <c r="Z214" s="476">
        <v>2</v>
      </c>
    </row>
    <row r="215" spans="1:26" x14ac:dyDescent="0.3">
      <c r="A215" s="499">
        <v>150000830</v>
      </c>
      <c r="B215" s="477" t="s">
        <v>293</v>
      </c>
      <c r="C215" s="524">
        <v>553.66999999999996</v>
      </c>
      <c r="D215" s="524">
        <v>114.83</v>
      </c>
      <c r="E215" s="539">
        <v>43.76</v>
      </c>
      <c r="F215" s="539">
        <v>423.58</v>
      </c>
      <c r="G215" s="483">
        <v>584.28</v>
      </c>
      <c r="H215" s="538">
        <v>584.28</v>
      </c>
      <c r="I215" s="483"/>
      <c r="J215" s="538">
        <v>0</v>
      </c>
      <c r="K215" s="483">
        <v>86.78</v>
      </c>
      <c r="L215" s="538">
        <v>86.78</v>
      </c>
      <c r="M215" s="540">
        <v>2124.1262099074293</v>
      </c>
      <c r="N215" s="541">
        <v>5692.280839025796</v>
      </c>
      <c r="O215" s="542">
        <v>1135.8399999999999</v>
      </c>
      <c r="P215" s="542">
        <v>249.88479999999998</v>
      </c>
      <c r="Q215" s="542">
        <v>130.15131511186911</v>
      </c>
      <c r="R215" s="542">
        <v>671.06</v>
      </c>
      <c r="S215" s="542">
        <v>2124.1262099074293</v>
      </c>
      <c r="T215" s="542">
        <v>1084.4243684422215</v>
      </c>
      <c r="U215" s="542">
        <v>296.79414556427713</v>
      </c>
      <c r="V215" s="543">
        <v>5692.2808390257969</v>
      </c>
      <c r="W215" s="544">
        <v>1.00204560151036</v>
      </c>
      <c r="Y215" s="544">
        <v>0</v>
      </c>
      <c r="Z215" s="476">
        <v>2</v>
      </c>
    </row>
    <row r="216" spans="1:26" x14ac:dyDescent="0.3">
      <c r="A216" s="499">
        <v>150000832</v>
      </c>
      <c r="B216" s="477" t="s">
        <v>422</v>
      </c>
      <c r="C216" s="524">
        <v>556.92999999999995</v>
      </c>
      <c r="D216" s="524">
        <v>86.47</v>
      </c>
      <c r="E216" s="539">
        <v>17.98</v>
      </c>
      <c r="F216" s="539">
        <v>196.53</v>
      </c>
      <c r="G216" s="483">
        <v>559.85</v>
      </c>
      <c r="H216" s="538">
        <v>559.85</v>
      </c>
      <c r="I216" s="483">
        <v>112.31</v>
      </c>
      <c r="J216" s="538">
        <v>112.31</v>
      </c>
      <c r="K216" s="483">
        <v>69.45</v>
      </c>
      <c r="L216" s="538">
        <v>69.45</v>
      </c>
      <c r="M216" s="540">
        <v>1566.6646737659546</v>
      </c>
      <c r="N216" s="541">
        <v>4555.7776399374325</v>
      </c>
      <c r="O216" s="542">
        <v>857.91</v>
      </c>
      <c r="P216" s="542">
        <v>188.74020000000002</v>
      </c>
      <c r="Q216" s="542">
        <v>151.5310082852495</v>
      </c>
      <c r="R216" s="542">
        <v>741.61000000000013</v>
      </c>
      <c r="S216" s="542">
        <v>1566.6646737659546</v>
      </c>
      <c r="T216" s="542">
        <v>819.07531864546593</v>
      </c>
      <c r="U216" s="542">
        <v>230.24643924076275</v>
      </c>
      <c r="V216" s="543">
        <v>4555.7776399374334</v>
      </c>
      <c r="W216" s="544">
        <v>0.86439316567745517</v>
      </c>
      <c r="Y216" s="544">
        <v>0</v>
      </c>
      <c r="Z216" s="476">
        <v>2</v>
      </c>
    </row>
    <row r="217" spans="1:26" x14ac:dyDescent="0.3">
      <c r="A217" s="499">
        <v>150000833</v>
      </c>
      <c r="B217" s="477" t="s">
        <v>392</v>
      </c>
      <c r="C217" s="524">
        <v>556.91999999999996</v>
      </c>
      <c r="D217" s="524">
        <v>79.69</v>
      </c>
      <c r="E217" s="539">
        <v>28.17</v>
      </c>
      <c r="F217" s="539">
        <v>189.82</v>
      </c>
      <c r="G217" s="483">
        <v>587.14</v>
      </c>
      <c r="H217" s="538">
        <v>587.14</v>
      </c>
      <c r="I217" s="483">
        <v>121.32</v>
      </c>
      <c r="J217" s="538">
        <v>121.32</v>
      </c>
      <c r="K217" s="483">
        <v>50.66</v>
      </c>
      <c r="L217" s="538">
        <v>50.66</v>
      </c>
      <c r="M217" s="540">
        <v>1693.2649190782372</v>
      </c>
      <c r="N217" s="541">
        <v>4688.4704944982459</v>
      </c>
      <c r="O217" s="542">
        <v>854.59999999999991</v>
      </c>
      <c r="P217" s="542">
        <v>188.012</v>
      </c>
      <c r="Q217" s="542">
        <v>148.48164470411899</v>
      </c>
      <c r="R217" s="542">
        <v>759.12</v>
      </c>
      <c r="S217" s="542">
        <v>1693.2649190782372</v>
      </c>
      <c r="T217" s="542">
        <v>815.915151139881</v>
      </c>
      <c r="U217" s="542">
        <v>229.07677957600848</v>
      </c>
      <c r="V217" s="543">
        <v>4688.4704944982459</v>
      </c>
      <c r="W217" s="544">
        <v>8.5881492318946609E-2</v>
      </c>
      <c r="Y217" s="544"/>
      <c r="Z217" s="476">
        <v>1</v>
      </c>
    </row>
    <row r="218" spans="1:26" x14ac:dyDescent="0.3">
      <c r="A218" s="499">
        <v>150000834</v>
      </c>
      <c r="B218" s="477" t="s">
        <v>79</v>
      </c>
      <c r="C218" s="524">
        <v>0</v>
      </c>
      <c r="D218" s="524">
        <v>0</v>
      </c>
      <c r="E218" s="539">
        <v>0</v>
      </c>
      <c r="F218" s="539">
        <v>0</v>
      </c>
      <c r="G218" s="483"/>
      <c r="H218" s="538">
        <v>0</v>
      </c>
      <c r="I218" s="483"/>
      <c r="J218" s="538">
        <v>0</v>
      </c>
      <c r="K218" s="483">
        <v>38.68</v>
      </c>
      <c r="L218" s="538">
        <v>38.68</v>
      </c>
      <c r="M218" s="540">
        <v>0</v>
      </c>
      <c r="N218" s="541">
        <v>38.68</v>
      </c>
      <c r="O218" s="542">
        <v>0</v>
      </c>
      <c r="P218" s="542">
        <v>0</v>
      </c>
      <c r="Q218" s="542">
        <v>0</v>
      </c>
      <c r="R218" s="542">
        <v>38.68</v>
      </c>
      <c r="S218" s="542">
        <v>0</v>
      </c>
      <c r="T218" s="542">
        <v>0</v>
      </c>
      <c r="U218" s="542">
        <v>0</v>
      </c>
      <c r="V218" s="543">
        <v>38.68</v>
      </c>
      <c r="W218" s="544">
        <v>0.91646390734579908</v>
      </c>
      <c r="Y218" s="544">
        <v>0</v>
      </c>
      <c r="Z218" s="476">
        <v>1</v>
      </c>
    </row>
    <row r="219" spans="1:26" x14ac:dyDescent="0.3">
      <c r="A219" s="499">
        <v>150000835</v>
      </c>
      <c r="B219" s="477" t="s">
        <v>137</v>
      </c>
      <c r="C219" s="524">
        <v>0</v>
      </c>
      <c r="D219" s="524">
        <v>0</v>
      </c>
      <c r="E219" s="539">
        <v>0</v>
      </c>
      <c r="F219" s="539">
        <v>0</v>
      </c>
      <c r="G219" s="483"/>
      <c r="H219" s="538">
        <v>0</v>
      </c>
      <c r="I219" s="483"/>
      <c r="J219" s="538">
        <v>0</v>
      </c>
      <c r="K219" s="483">
        <v>25.61</v>
      </c>
      <c r="L219" s="538">
        <v>25.61</v>
      </c>
      <c r="M219" s="540">
        <v>0</v>
      </c>
      <c r="N219" s="541">
        <v>25.61</v>
      </c>
      <c r="O219" s="542">
        <v>0</v>
      </c>
      <c r="P219" s="542">
        <v>0</v>
      </c>
      <c r="Q219" s="542">
        <v>0</v>
      </c>
      <c r="R219" s="542">
        <v>25.61</v>
      </c>
      <c r="S219" s="542">
        <v>0</v>
      </c>
      <c r="T219" s="542">
        <v>0</v>
      </c>
      <c r="U219" s="542">
        <v>0</v>
      </c>
      <c r="V219" s="543">
        <v>25.61</v>
      </c>
      <c r="W219" s="544">
        <v>1.0539177183209039</v>
      </c>
      <c r="Y219" s="544">
        <v>0</v>
      </c>
      <c r="Z219" s="476">
        <v>1</v>
      </c>
    </row>
    <row r="220" spans="1:26" x14ac:dyDescent="0.3">
      <c r="A220" s="499">
        <v>150000836</v>
      </c>
      <c r="B220" s="477" t="s">
        <v>198</v>
      </c>
      <c r="C220" s="524">
        <v>216.97</v>
      </c>
      <c r="D220" s="524">
        <v>48.51</v>
      </c>
      <c r="E220" s="539">
        <v>7.19</v>
      </c>
      <c r="F220" s="539">
        <v>56.27</v>
      </c>
      <c r="G220" s="483">
        <v>185.06</v>
      </c>
      <c r="H220" s="538">
        <v>185.06</v>
      </c>
      <c r="I220" s="483">
        <v>44.92</v>
      </c>
      <c r="J220" s="538">
        <v>44.92</v>
      </c>
      <c r="K220" s="483">
        <v>11.84</v>
      </c>
      <c r="L220" s="538">
        <v>11.84</v>
      </c>
      <c r="M220" s="540">
        <v>562.52127012243284</v>
      </c>
      <c r="N220" s="541">
        <v>1698.9138229439591</v>
      </c>
      <c r="O220" s="542">
        <v>328.94</v>
      </c>
      <c r="P220" s="542">
        <v>72.366800000000012</v>
      </c>
      <c r="Q220" s="542">
        <v>87.5708706808296</v>
      </c>
      <c r="R220" s="542">
        <v>241.82000000000002</v>
      </c>
      <c r="S220" s="542">
        <v>562.52127012243284</v>
      </c>
      <c r="T220" s="542">
        <v>314.04999978463894</v>
      </c>
      <c r="U220" s="542">
        <v>91.644882356057565</v>
      </c>
      <c r="V220" s="543">
        <v>1698.9138229439591</v>
      </c>
      <c r="W220" s="544">
        <v>1.2462064055740196</v>
      </c>
      <c r="Y220" s="544">
        <v>0</v>
      </c>
      <c r="Z220" s="476">
        <v>2</v>
      </c>
    </row>
    <row r="221" spans="1:26" x14ac:dyDescent="0.3">
      <c r="A221" s="499">
        <v>150000837</v>
      </c>
      <c r="B221" s="477" t="s">
        <v>199</v>
      </c>
      <c r="C221" s="524">
        <v>96.65</v>
      </c>
      <c r="D221" s="524">
        <v>14.66</v>
      </c>
      <c r="E221" s="539">
        <v>0</v>
      </c>
      <c r="F221" s="539">
        <v>37.93</v>
      </c>
      <c r="G221" s="483">
        <v>67.14</v>
      </c>
      <c r="H221" s="538">
        <v>67.14</v>
      </c>
      <c r="I221" s="483"/>
      <c r="J221" s="538">
        <v>0</v>
      </c>
      <c r="K221" s="483">
        <v>11.84</v>
      </c>
      <c r="L221" s="538">
        <v>11.84</v>
      </c>
      <c r="M221" s="540">
        <v>224.87310671708835</v>
      </c>
      <c r="N221" s="541">
        <v>703.59845589333986</v>
      </c>
      <c r="O221" s="542">
        <v>149.24</v>
      </c>
      <c r="P221" s="542">
        <v>32.832800000000006</v>
      </c>
      <c r="Q221" s="542">
        <v>34.23604896342443</v>
      </c>
      <c r="R221" s="542">
        <v>78.98</v>
      </c>
      <c r="S221" s="542">
        <v>224.87310671708835</v>
      </c>
      <c r="T221" s="542">
        <v>142.48441043308665</v>
      </c>
      <c r="U221" s="542">
        <v>40.952089779740426</v>
      </c>
      <c r="V221" s="543">
        <v>703.59845589333986</v>
      </c>
      <c r="W221" s="544">
        <v>0.94611878239372682</v>
      </c>
      <c r="Y221" s="544">
        <v>0</v>
      </c>
      <c r="Z221" s="476">
        <v>1</v>
      </c>
    </row>
    <row r="222" spans="1:26" x14ac:dyDescent="0.3">
      <c r="A222" s="499">
        <v>150000839</v>
      </c>
      <c r="B222" s="477" t="s">
        <v>135</v>
      </c>
      <c r="C222" s="524">
        <v>0</v>
      </c>
      <c r="D222" s="524">
        <v>0</v>
      </c>
      <c r="E222" s="539">
        <v>0</v>
      </c>
      <c r="F222" s="539">
        <v>0</v>
      </c>
      <c r="G222" s="483"/>
      <c r="H222" s="538">
        <v>0</v>
      </c>
      <c r="I222" s="483"/>
      <c r="J222" s="538">
        <v>0</v>
      </c>
      <c r="K222" s="483">
        <v>11.84</v>
      </c>
      <c r="L222" s="538">
        <v>11.84</v>
      </c>
      <c r="M222" s="540">
        <v>0</v>
      </c>
      <c r="N222" s="541">
        <v>11.84</v>
      </c>
      <c r="O222" s="542">
        <v>0</v>
      </c>
      <c r="P222" s="542">
        <v>0</v>
      </c>
      <c r="Q222" s="542">
        <v>0</v>
      </c>
      <c r="R222" s="542">
        <v>11.84</v>
      </c>
      <c r="S222" s="542">
        <v>0</v>
      </c>
      <c r="T222" s="542">
        <v>0</v>
      </c>
      <c r="U222" s="542">
        <v>0</v>
      </c>
      <c r="V222" s="543">
        <v>11.84</v>
      </c>
      <c r="W222" s="544">
        <v>1.0845643820828235</v>
      </c>
      <c r="Y222" s="544">
        <v>0</v>
      </c>
      <c r="Z222" s="476">
        <v>2</v>
      </c>
    </row>
    <row r="223" spans="1:26" x14ac:dyDescent="0.3">
      <c r="A223" s="499">
        <v>150000840</v>
      </c>
      <c r="B223" s="477" t="s">
        <v>393</v>
      </c>
      <c r="C223" s="524">
        <v>527.03</v>
      </c>
      <c r="D223" s="524">
        <v>82.64</v>
      </c>
      <c r="E223" s="539">
        <v>26.37</v>
      </c>
      <c r="F223" s="539">
        <v>196.3</v>
      </c>
      <c r="G223" s="483">
        <v>495.91</v>
      </c>
      <c r="H223" s="538">
        <v>495.91</v>
      </c>
      <c r="I223" s="483">
        <v>110.7</v>
      </c>
      <c r="J223" s="538">
        <v>110.7</v>
      </c>
      <c r="K223" s="483">
        <v>50.66</v>
      </c>
      <c r="L223" s="538">
        <v>50.66</v>
      </c>
      <c r="M223" s="540">
        <v>1502.4416841372304</v>
      </c>
      <c r="N223" s="541">
        <v>4306.6767761061674</v>
      </c>
      <c r="O223" s="542">
        <v>832.33999999999992</v>
      </c>
      <c r="P223" s="542">
        <v>183.1148</v>
      </c>
      <c r="Q223" s="542">
        <v>116.9007139073009</v>
      </c>
      <c r="R223" s="542">
        <v>657.27</v>
      </c>
      <c r="S223" s="542">
        <v>1502.4416841372304</v>
      </c>
      <c r="T223" s="542">
        <v>794.66278598147494</v>
      </c>
      <c r="U223" s="542">
        <v>219.94679208016157</v>
      </c>
      <c r="V223" s="543">
        <v>4306.6767761061674</v>
      </c>
      <c r="W223" s="544">
        <v>0.98658065779107273</v>
      </c>
      <c r="Y223" s="544">
        <v>0</v>
      </c>
      <c r="Z223" s="476">
        <v>1</v>
      </c>
    </row>
    <row r="224" spans="1:26" x14ac:dyDescent="0.3">
      <c r="A224" s="499">
        <v>150000841</v>
      </c>
      <c r="B224" s="477" t="s">
        <v>136</v>
      </c>
      <c r="C224" s="524">
        <v>0</v>
      </c>
      <c r="D224" s="524">
        <v>0</v>
      </c>
      <c r="E224" s="539">
        <v>0</v>
      </c>
      <c r="F224" s="539">
        <v>0</v>
      </c>
      <c r="G224" s="483"/>
      <c r="H224" s="538">
        <v>0</v>
      </c>
      <c r="I224" s="483"/>
      <c r="J224" s="538">
        <v>0</v>
      </c>
      <c r="K224" s="483">
        <v>25.6</v>
      </c>
      <c r="L224" s="538">
        <v>25.6</v>
      </c>
      <c r="M224" s="540">
        <v>0</v>
      </c>
      <c r="N224" s="541">
        <v>25.6</v>
      </c>
      <c r="O224" s="542">
        <v>0</v>
      </c>
      <c r="P224" s="542">
        <v>0</v>
      </c>
      <c r="Q224" s="542">
        <v>0</v>
      </c>
      <c r="R224" s="542">
        <v>25.6</v>
      </c>
      <c r="S224" s="542">
        <v>0</v>
      </c>
      <c r="T224" s="542">
        <v>0</v>
      </c>
      <c r="U224" s="542">
        <v>0</v>
      </c>
      <c r="V224" s="543">
        <v>25.6</v>
      </c>
      <c r="W224" s="544">
        <v>0.89537578468755197</v>
      </c>
      <c r="Y224" s="544">
        <v>0</v>
      </c>
      <c r="Z224" s="476">
        <v>1</v>
      </c>
    </row>
    <row r="225" spans="1:26" x14ac:dyDescent="0.3">
      <c r="A225" s="499">
        <v>150000845</v>
      </c>
      <c r="B225" s="477" t="s">
        <v>138</v>
      </c>
      <c r="C225" s="524">
        <v>0</v>
      </c>
      <c r="D225" s="524">
        <v>0</v>
      </c>
      <c r="E225" s="539">
        <v>0</v>
      </c>
      <c r="F225" s="539">
        <v>0</v>
      </c>
      <c r="G225" s="483"/>
      <c r="H225" s="538">
        <v>0</v>
      </c>
      <c r="I225" s="483"/>
      <c r="J225" s="538">
        <v>0</v>
      </c>
      <c r="K225" s="483">
        <v>11.84</v>
      </c>
      <c r="L225" s="538">
        <v>11.84</v>
      </c>
      <c r="M225" s="540">
        <v>0</v>
      </c>
      <c r="N225" s="541">
        <v>11.84</v>
      </c>
      <c r="O225" s="542">
        <v>0</v>
      </c>
      <c r="P225" s="542">
        <v>0</v>
      </c>
      <c r="Q225" s="542">
        <v>0</v>
      </c>
      <c r="R225" s="542">
        <v>11.84</v>
      </c>
      <c r="S225" s="542">
        <v>0</v>
      </c>
      <c r="T225" s="542">
        <v>0</v>
      </c>
      <c r="U225" s="542">
        <v>0</v>
      </c>
      <c r="V225" s="543">
        <v>11.84</v>
      </c>
      <c r="W225" s="544">
        <v>0.96977003260614891</v>
      </c>
      <c r="Y225" s="544">
        <v>0</v>
      </c>
      <c r="Z225" s="476">
        <v>1</v>
      </c>
    </row>
    <row r="226" spans="1:26" x14ac:dyDescent="0.3">
      <c r="A226" s="499">
        <v>150000846</v>
      </c>
      <c r="B226" s="477" t="s">
        <v>139</v>
      </c>
      <c r="C226" s="524">
        <v>0</v>
      </c>
      <c r="D226" s="524">
        <v>0</v>
      </c>
      <c r="E226" s="539">
        <v>0</v>
      </c>
      <c r="F226" s="539">
        <v>0</v>
      </c>
      <c r="G226" s="483"/>
      <c r="H226" s="538">
        <v>0</v>
      </c>
      <c r="I226" s="483"/>
      <c r="J226" s="538">
        <v>0</v>
      </c>
      <c r="K226" s="483">
        <v>11.84</v>
      </c>
      <c r="L226" s="538">
        <v>11.84</v>
      </c>
      <c r="M226" s="540">
        <v>0</v>
      </c>
      <c r="N226" s="541">
        <v>11.84</v>
      </c>
      <c r="O226" s="542">
        <v>0</v>
      </c>
      <c r="P226" s="542">
        <v>0</v>
      </c>
      <c r="Q226" s="542">
        <v>0</v>
      </c>
      <c r="R226" s="542">
        <v>11.84</v>
      </c>
      <c r="S226" s="542">
        <v>0</v>
      </c>
      <c r="T226" s="542">
        <v>0</v>
      </c>
      <c r="U226" s="542">
        <v>0</v>
      </c>
      <c r="V226" s="543">
        <v>11.84</v>
      </c>
      <c r="W226" s="544">
        <v>1.0153676585751936</v>
      </c>
      <c r="Y226" s="544">
        <v>0</v>
      </c>
      <c r="Z226" s="476">
        <v>1</v>
      </c>
    </row>
    <row r="227" spans="1:26" x14ac:dyDescent="0.3">
      <c r="A227" s="499">
        <v>150000848</v>
      </c>
      <c r="B227" s="477" t="s">
        <v>186</v>
      </c>
      <c r="C227" s="524">
        <v>16.454999999999998</v>
      </c>
      <c r="D227" s="524">
        <v>7.69</v>
      </c>
      <c r="E227" s="539">
        <v>0</v>
      </c>
      <c r="F227" s="539">
        <v>12.33</v>
      </c>
      <c r="G227" s="483"/>
      <c r="H227" s="538">
        <v>0</v>
      </c>
      <c r="I227" s="483"/>
      <c r="J227" s="538">
        <v>0</v>
      </c>
      <c r="K227" s="483">
        <v>25.61</v>
      </c>
      <c r="L227" s="538">
        <v>25.61</v>
      </c>
      <c r="M227" s="540">
        <v>93.070599706074262</v>
      </c>
      <c r="N227" s="541">
        <v>214.55905695389811</v>
      </c>
      <c r="O227" s="542">
        <v>36.475000000000001</v>
      </c>
      <c r="P227" s="542">
        <v>8.0244999999999997</v>
      </c>
      <c r="Q227" s="542">
        <v>6.7327458944032443</v>
      </c>
      <c r="R227" s="542">
        <v>25.61</v>
      </c>
      <c r="S227" s="542">
        <v>93.070599706074262</v>
      </c>
      <c r="T227" s="542">
        <v>34.823900231485091</v>
      </c>
      <c r="U227" s="542">
        <v>9.8223111219355008</v>
      </c>
      <c r="V227" s="543">
        <v>214.55905695389811</v>
      </c>
      <c r="W227" s="544">
        <v>0.97478159077623083</v>
      </c>
      <c r="Y227" s="544">
        <v>0</v>
      </c>
      <c r="Z227" s="476">
        <v>1</v>
      </c>
    </row>
    <row r="228" spans="1:26" x14ac:dyDescent="0.3">
      <c r="A228" s="499">
        <v>150000851</v>
      </c>
      <c r="B228" s="477" t="s">
        <v>134</v>
      </c>
      <c r="C228" s="524">
        <v>0</v>
      </c>
      <c r="D228" s="524">
        <v>0</v>
      </c>
      <c r="E228" s="539">
        <v>0</v>
      </c>
      <c r="F228" s="539">
        <v>0</v>
      </c>
      <c r="G228" s="483"/>
      <c r="H228" s="538">
        <v>0</v>
      </c>
      <c r="I228" s="483"/>
      <c r="J228" s="538">
        <v>0</v>
      </c>
      <c r="K228" s="483">
        <v>19.45</v>
      </c>
      <c r="L228" s="538">
        <v>19.45</v>
      </c>
      <c r="M228" s="540">
        <v>0</v>
      </c>
      <c r="N228" s="541">
        <v>19.45</v>
      </c>
      <c r="O228" s="542">
        <v>0</v>
      </c>
      <c r="P228" s="542">
        <v>0</v>
      </c>
      <c r="Q228" s="542">
        <v>0</v>
      </c>
      <c r="R228" s="542">
        <v>19.45</v>
      </c>
      <c r="S228" s="542">
        <v>0</v>
      </c>
      <c r="T228" s="542">
        <v>0</v>
      </c>
      <c r="U228" s="542">
        <v>0</v>
      </c>
      <c r="V228" s="543">
        <v>19.45</v>
      </c>
      <c r="W228" s="544">
        <v>1.2734141429736823</v>
      </c>
      <c r="Y228" s="544">
        <v>0</v>
      </c>
      <c r="Z228" s="476">
        <v>2</v>
      </c>
    </row>
    <row r="229" spans="1:26" x14ac:dyDescent="0.3">
      <c r="A229" s="499">
        <v>150000861</v>
      </c>
      <c r="B229" s="477" t="s">
        <v>232</v>
      </c>
      <c r="C229" s="524">
        <v>399.57</v>
      </c>
      <c r="D229" s="524">
        <v>82.53</v>
      </c>
      <c r="E229" s="539">
        <v>0</v>
      </c>
      <c r="F229" s="539">
        <v>356.51</v>
      </c>
      <c r="G229" s="483">
        <v>383.62</v>
      </c>
      <c r="H229" s="538">
        <v>383.62</v>
      </c>
      <c r="I229" s="483"/>
      <c r="J229" s="538">
        <v>0</v>
      </c>
      <c r="K229" s="483">
        <v>103.15</v>
      </c>
      <c r="L229" s="538">
        <v>103.15</v>
      </c>
      <c r="M229" s="540">
        <v>1211.9844480866807</v>
      </c>
      <c r="N229" s="541">
        <v>3824.997520623092</v>
      </c>
      <c r="O229" s="542">
        <v>838.61</v>
      </c>
      <c r="P229" s="542">
        <v>184.49419999999998</v>
      </c>
      <c r="Q229" s="542">
        <v>84.665992629642901</v>
      </c>
      <c r="R229" s="542">
        <v>486.77</v>
      </c>
      <c r="S229" s="542">
        <v>1211.9844480866807</v>
      </c>
      <c r="T229" s="542">
        <v>800.64896430776457</v>
      </c>
      <c r="U229" s="542">
        <v>217.82391559900418</v>
      </c>
      <c r="V229" s="543">
        <v>3824.997520623092</v>
      </c>
      <c r="W229" s="544">
        <v>0.96701519293541416</v>
      </c>
      <c r="Y229" s="544">
        <v>0</v>
      </c>
      <c r="Z229" s="476">
        <v>1</v>
      </c>
    </row>
    <row r="230" spans="1:26" x14ac:dyDescent="0.3">
      <c r="A230" s="499">
        <v>150000862</v>
      </c>
      <c r="B230" s="477" t="s">
        <v>234</v>
      </c>
      <c r="C230" s="524">
        <v>475.15</v>
      </c>
      <c r="D230" s="524">
        <v>96.84</v>
      </c>
      <c r="E230" s="539">
        <v>0</v>
      </c>
      <c r="F230" s="539">
        <v>454.55</v>
      </c>
      <c r="G230" s="483">
        <v>453.19</v>
      </c>
      <c r="H230" s="538">
        <v>453.19</v>
      </c>
      <c r="I230" s="483"/>
      <c r="J230" s="538">
        <v>0</v>
      </c>
      <c r="K230" s="483">
        <v>562.26</v>
      </c>
      <c r="L230" s="538">
        <v>562.26</v>
      </c>
      <c r="M230" s="540">
        <v>1598.4839867588814</v>
      </c>
      <c r="N230" s="541">
        <v>5212.6996332859781</v>
      </c>
      <c r="O230" s="542">
        <v>1026.54</v>
      </c>
      <c r="P230" s="542">
        <v>225.83879999999999</v>
      </c>
      <c r="Q230" s="542">
        <v>100.0831366188591</v>
      </c>
      <c r="R230" s="542">
        <v>1015.45</v>
      </c>
      <c r="S230" s="542">
        <v>1598.4839867588814</v>
      </c>
      <c r="T230" s="542">
        <v>980.07200942093777</v>
      </c>
      <c r="U230" s="542">
        <v>266.23170048729975</v>
      </c>
      <c r="V230" s="543">
        <v>5212.6996332859771</v>
      </c>
      <c r="W230" s="544">
        <v>1.0502640211048542</v>
      </c>
      <c r="Y230" s="544">
        <v>0</v>
      </c>
      <c r="Z230" s="476">
        <v>1</v>
      </c>
    </row>
    <row r="231" spans="1:26" x14ac:dyDescent="0.3">
      <c r="A231" s="499">
        <v>150000863</v>
      </c>
      <c r="B231" s="477" t="s">
        <v>235</v>
      </c>
      <c r="C231" s="524">
        <v>361.59</v>
      </c>
      <c r="D231" s="524">
        <v>77.67</v>
      </c>
      <c r="E231" s="539">
        <v>0</v>
      </c>
      <c r="F231" s="539">
        <v>326.05</v>
      </c>
      <c r="G231" s="483">
        <v>340.84</v>
      </c>
      <c r="H231" s="538">
        <v>340.84</v>
      </c>
      <c r="I231" s="483">
        <v>98.13</v>
      </c>
      <c r="J231" s="538">
        <v>98.13</v>
      </c>
      <c r="K231" s="483">
        <v>100.76</v>
      </c>
      <c r="L231" s="538">
        <v>100.76</v>
      </c>
      <c r="M231" s="540">
        <v>1184.0133834736378</v>
      </c>
      <c r="N231" s="541">
        <v>3681.3526977872707</v>
      </c>
      <c r="O231" s="542">
        <v>765.31</v>
      </c>
      <c r="P231" s="542">
        <v>168.3682</v>
      </c>
      <c r="Q231" s="542">
        <v>92.715951787736103</v>
      </c>
      <c r="R231" s="542">
        <v>539.73</v>
      </c>
      <c r="S231" s="542">
        <v>1184.0133834736378</v>
      </c>
      <c r="T231" s="542">
        <v>730.66700715991374</v>
      </c>
      <c r="U231" s="542">
        <v>200.54815536598295</v>
      </c>
      <c r="V231" s="543">
        <v>3681.3526977872707</v>
      </c>
      <c r="W231" s="544">
        <v>0.97030565036446892</v>
      </c>
      <c r="Y231" s="544">
        <v>0</v>
      </c>
      <c r="Z231" s="476">
        <v>1</v>
      </c>
    </row>
    <row r="232" spans="1:26" x14ac:dyDescent="0.3">
      <c r="A232" s="499">
        <v>150000864</v>
      </c>
      <c r="B232" s="477" t="s">
        <v>200</v>
      </c>
      <c r="C232" s="524">
        <v>356.44</v>
      </c>
      <c r="D232" s="524">
        <v>67.5</v>
      </c>
      <c r="E232" s="539">
        <v>0</v>
      </c>
      <c r="F232" s="539">
        <v>436</v>
      </c>
      <c r="G232" s="483">
        <v>383.88</v>
      </c>
      <c r="H232" s="538">
        <v>383.88</v>
      </c>
      <c r="I232" s="483"/>
      <c r="J232" s="538">
        <v>0</v>
      </c>
      <c r="K232" s="483">
        <v>57.52</v>
      </c>
      <c r="L232" s="538">
        <v>57.52</v>
      </c>
      <c r="M232" s="540">
        <v>1415.6779359426321</v>
      </c>
      <c r="N232" s="541">
        <v>4055.8271955425635</v>
      </c>
      <c r="O232" s="542">
        <v>859.94</v>
      </c>
      <c r="P232" s="542">
        <v>189.18680000000001</v>
      </c>
      <c r="Q232" s="542">
        <v>103.35718805732949</v>
      </c>
      <c r="R232" s="542">
        <v>441.4</v>
      </c>
      <c r="S232" s="542">
        <v>1415.6779359426321</v>
      </c>
      <c r="T232" s="542">
        <v>821.01342741777353</v>
      </c>
      <c r="U232" s="542">
        <v>225.25184412482861</v>
      </c>
      <c r="V232" s="543">
        <v>4055.8271955425635</v>
      </c>
      <c r="W232" s="544">
        <v>0.12195238095238095</v>
      </c>
      <c r="Y232" s="544"/>
      <c r="Z232" s="476">
        <v>1</v>
      </c>
    </row>
    <row r="233" spans="1:26" x14ac:dyDescent="0.3">
      <c r="A233" s="499">
        <v>150000865</v>
      </c>
      <c r="B233" s="477" t="s">
        <v>305</v>
      </c>
      <c r="C233" s="524">
        <v>925.73</v>
      </c>
      <c r="D233" s="524">
        <v>193.41</v>
      </c>
      <c r="E233" s="539">
        <v>0</v>
      </c>
      <c r="F233" s="539">
        <v>1000.64</v>
      </c>
      <c r="G233" s="483">
        <v>1035.0899999999999</v>
      </c>
      <c r="H233" s="538">
        <v>1035.0899999999999</v>
      </c>
      <c r="I233" s="483"/>
      <c r="J233" s="538">
        <v>0</v>
      </c>
      <c r="K233" s="483">
        <v>326.16000000000003</v>
      </c>
      <c r="L233" s="538">
        <v>326.16000000000003</v>
      </c>
      <c r="M233" s="540">
        <v>3241.8285726869617</v>
      </c>
      <c r="N233" s="541">
        <v>9962.6407604618071</v>
      </c>
      <c r="O233" s="542">
        <v>2119.7800000000002</v>
      </c>
      <c r="P233" s="542">
        <v>466.35159999999996</v>
      </c>
      <c r="Q233" s="542">
        <v>200.54312420404901</v>
      </c>
      <c r="R233" s="542">
        <v>1361.25</v>
      </c>
      <c r="S233" s="542">
        <v>3241.8285726869617</v>
      </c>
      <c r="T233" s="542">
        <v>2023.8247356462637</v>
      </c>
      <c r="U233" s="542">
        <v>549.06272792453262</v>
      </c>
      <c r="V233" s="543">
        <v>9962.6407604618071</v>
      </c>
      <c r="W233" s="544">
        <v>0.19324804548685148</v>
      </c>
      <c r="Y233" s="544"/>
      <c r="Z233" s="476">
        <v>1</v>
      </c>
    </row>
    <row r="234" spans="1:26" x14ac:dyDescent="0.3">
      <c r="A234" s="499">
        <v>150000866</v>
      </c>
      <c r="B234" s="477" t="s">
        <v>308</v>
      </c>
      <c r="C234" s="524">
        <v>591.13</v>
      </c>
      <c r="D234" s="524">
        <v>115.74</v>
      </c>
      <c r="E234" s="539">
        <v>0</v>
      </c>
      <c r="F234" s="539">
        <v>438.56</v>
      </c>
      <c r="G234" s="483">
        <v>635.70000000000005</v>
      </c>
      <c r="H234" s="538">
        <v>635.70000000000005</v>
      </c>
      <c r="I234" s="483"/>
      <c r="J234" s="538">
        <v>0</v>
      </c>
      <c r="K234" s="483">
        <v>147.07</v>
      </c>
      <c r="L234" s="538">
        <v>147.07</v>
      </c>
      <c r="M234" s="540">
        <v>1791.0389334708359</v>
      </c>
      <c r="N234" s="541">
        <v>5520.5842284085111</v>
      </c>
      <c r="O234" s="542">
        <v>1145.43</v>
      </c>
      <c r="P234" s="542">
        <v>251.99459999999999</v>
      </c>
      <c r="Q234" s="542">
        <v>153.8867298978158</v>
      </c>
      <c r="R234" s="542">
        <v>782.77</v>
      </c>
      <c r="S234" s="542">
        <v>1791.0389334708359</v>
      </c>
      <c r="T234" s="542">
        <v>1093.5802616079498</v>
      </c>
      <c r="U234" s="542">
        <v>301.88370343190985</v>
      </c>
      <c r="V234" s="543">
        <v>5520.5842284085111</v>
      </c>
      <c r="W234" s="544">
        <v>1.0273382761294867</v>
      </c>
      <c r="Y234" s="544">
        <v>0</v>
      </c>
      <c r="Z234" s="476">
        <v>1</v>
      </c>
    </row>
    <row r="235" spans="1:26" x14ac:dyDescent="0.3">
      <c r="A235" s="499">
        <v>150000867</v>
      </c>
      <c r="B235" s="477" t="s">
        <v>309</v>
      </c>
      <c r="C235" s="524">
        <v>291.31</v>
      </c>
      <c r="D235" s="524">
        <v>59.36</v>
      </c>
      <c r="E235" s="539">
        <v>0</v>
      </c>
      <c r="F235" s="539">
        <v>169.45</v>
      </c>
      <c r="G235" s="483">
        <v>388.41</v>
      </c>
      <c r="H235" s="538">
        <v>388.41</v>
      </c>
      <c r="I235" s="483"/>
      <c r="J235" s="538">
        <v>0</v>
      </c>
      <c r="K235" s="483">
        <v>122.71</v>
      </c>
      <c r="L235" s="538">
        <v>122.71</v>
      </c>
      <c r="M235" s="540">
        <v>1012.1285190317805</v>
      </c>
      <c r="N235" s="541">
        <v>2867.9711900482948</v>
      </c>
      <c r="O235" s="542">
        <v>520.12</v>
      </c>
      <c r="P235" s="542">
        <v>114.4264</v>
      </c>
      <c r="Q235" s="542">
        <v>75.839631539048099</v>
      </c>
      <c r="R235" s="542">
        <v>511.12</v>
      </c>
      <c r="S235" s="542">
        <v>1012.1285190317805</v>
      </c>
      <c r="T235" s="542">
        <v>496.57592840027485</v>
      </c>
      <c r="U235" s="542">
        <v>137.76071107719156</v>
      </c>
      <c r="V235" s="543">
        <v>2867.9711900482948</v>
      </c>
      <c r="W235" s="544">
        <v>0.27135728542914173</v>
      </c>
      <c r="Y235" s="544"/>
      <c r="Z235" s="476">
        <v>1</v>
      </c>
    </row>
    <row r="236" spans="1:26" x14ac:dyDescent="0.3">
      <c r="A236" s="499">
        <v>150000868</v>
      </c>
      <c r="B236" s="477" t="s">
        <v>310</v>
      </c>
      <c r="C236" s="524">
        <v>373.25</v>
      </c>
      <c r="D236" s="524">
        <v>77.489999999999995</v>
      </c>
      <c r="E236" s="539">
        <v>0</v>
      </c>
      <c r="F236" s="539">
        <v>236.51</v>
      </c>
      <c r="G236" s="483">
        <v>435.74</v>
      </c>
      <c r="H236" s="538">
        <v>435.74</v>
      </c>
      <c r="I236" s="483"/>
      <c r="J236" s="538">
        <v>0</v>
      </c>
      <c r="K236" s="483">
        <v>100.83</v>
      </c>
      <c r="L236" s="538">
        <v>100.83</v>
      </c>
      <c r="M236" s="540">
        <v>1174.2074764908232</v>
      </c>
      <c r="N236" s="541">
        <v>3465.1677137517663</v>
      </c>
      <c r="O236" s="542">
        <v>687.25</v>
      </c>
      <c r="P236" s="542">
        <v>151.19499999999999</v>
      </c>
      <c r="Q236" s="542">
        <v>80.075431373398999</v>
      </c>
      <c r="R236" s="542">
        <v>536.57000000000005</v>
      </c>
      <c r="S236" s="542">
        <v>1174.2074764908232</v>
      </c>
      <c r="T236" s="542">
        <v>656.14051909768682</v>
      </c>
      <c r="U236" s="542">
        <v>179.72928678985755</v>
      </c>
      <c r="V236" s="543">
        <v>3465.1677137517663</v>
      </c>
      <c r="W236" s="544">
        <v>1.1178434584855119</v>
      </c>
      <c r="Y236" s="544">
        <v>0</v>
      </c>
      <c r="Z236" s="476">
        <v>1</v>
      </c>
    </row>
    <row r="237" spans="1:26" x14ac:dyDescent="0.3">
      <c r="A237" s="499">
        <v>150000869</v>
      </c>
      <c r="B237" s="477" t="s">
        <v>311</v>
      </c>
      <c r="C237" s="524">
        <v>605.51</v>
      </c>
      <c r="D237" s="524">
        <v>138.46</v>
      </c>
      <c r="E237" s="539">
        <v>41.96</v>
      </c>
      <c r="F237" s="539">
        <v>566.66999999999996</v>
      </c>
      <c r="G237" s="483">
        <v>657.41</v>
      </c>
      <c r="H237" s="538">
        <v>657.41</v>
      </c>
      <c r="I237" s="483">
        <v>149.16</v>
      </c>
      <c r="J237" s="538">
        <v>149.16</v>
      </c>
      <c r="K237" s="483">
        <v>170.29</v>
      </c>
      <c r="L237" s="538">
        <v>170.29</v>
      </c>
      <c r="M237" s="540">
        <v>2052.823155898308</v>
      </c>
      <c r="N237" s="541">
        <v>6476.6955078692017</v>
      </c>
      <c r="O237" s="542">
        <v>1352.6</v>
      </c>
      <c r="P237" s="542">
        <v>297.572</v>
      </c>
      <c r="Q237" s="542">
        <v>152.3372640747105</v>
      </c>
      <c r="R237" s="542">
        <v>976.8599999999999</v>
      </c>
      <c r="S237" s="542">
        <v>2052.823155898308</v>
      </c>
      <c r="T237" s="542">
        <v>1291.3723770557021</v>
      </c>
      <c r="U237" s="542">
        <v>353.1307108404817</v>
      </c>
      <c r="V237" s="543">
        <v>6476.6955078692026</v>
      </c>
      <c r="W237" s="544">
        <v>0.95036583355443227</v>
      </c>
      <c r="Y237" s="544">
        <v>0</v>
      </c>
      <c r="Z237" s="476">
        <v>1</v>
      </c>
    </row>
    <row r="238" spans="1:26" x14ac:dyDescent="0.3">
      <c r="A238" s="499">
        <v>150000871</v>
      </c>
      <c r="B238" s="477" t="s">
        <v>140</v>
      </c>
      <c r="C238" s="524">
        <v>0</v>
      </c>
      <c r="D238" s="524">
        <v>0</v>
      </c>
      <c r="E238" s="539">
        <v>0</v>
      </c>
      <c r="F238" s="539">
        <v>0</v>
      </c>
      <c r="G238" s="483"/>
      <c r="H238" s="538">
        <v>0</v>
      </c>
      <c r="I238" s="483"/>
      <c r="J238" s="538">
        <v>0</v>
      </c>
      <c r="K238" s="483">
        <v>13.08</v>
      </c>
      <c r="L238" s="538">
        <v>13.08</v>
      </c>
      <c r="M238" s="540">
        <v>0</v>
      </c>
      <c r="N238" s="541">
        <v>13.08</v>
      </c>
      <c r="O238" s="542">
        <v>0</v>
      </c>
      <c r="P238" s="542">
        <v>0</v>
      </c>
      <c r="Q238" s="542">
        <v>0</v>
      </c>
      <c r="R238" s="542">
        <v>13.08</v>
      </c>
      <c r="S238" s="542">
        <v>0</v>
      </c>
      <c r="T238" s="542">
        <v>0</v>
      </c>
      <c r="U238" s="542">
        <v>0</v>
      </c>
      <c r="V238" s="543">
        <v>13.08</v>
      </c>
      <c r="W238" s="544">
        <v>1.0050980218397945</v>
      </c>
      <c r="Y238" s="544">
        <v>0</v>
      </c>
      <c r="Z238" s="476">
        <v>1</v>
      </c>
    </row>
    <row r="239" spans="1:26" x14ac:dyDescent="0.3">
      <c r="A239" s="499">
        <v>150000872</v>
      </c>
      <c r="B239" s="477" t="s">
        <v>233</v>
      </c>
      <c r="C239" s="524">
        <v>256.14999999999998</v>
      </c>
      <c r="D239" s="524">
        <v>63.16</v>
      </c>
      <c r="E239" s="539">
        <v>0</v>
      </c>
      <c r="F239" s="539">
        <v>86.41</v>
      </c>
      <c r="G239" s="483">
        <v>139.38</v>
      </c>
      <c r="H239" s="538">
        <v>139.38</v>
      </c>
      <c r="I239" s="483">
        <v>33.97</v>
      </c>
      <c r="J239" s="538">
        <v>33.97</v>
      </c>
      <c r="K239" s="483">
        <v>49.44</v>
      </c>
      <c r="L239" s="538">
        <v>49.44</v>
      </c>
      <c r="M239" s="540">
        <v>431.28887398251265</v>
      </c>
      <c r="N239" s="541">
        <v>1695.9766494575019</v>
      </c>
      <c r="O239" s="542">
        <v>405.71999999999991</v>
      </c>
      <c r="P239" s="542">
        <v>89.258399999999995</v>
      </c>
      <c r="Q239" s="542">
        <v>52.827266159520804</v>
      </c>
      <c r="R239" s="542">
        <v>222.79</v>
      </c>
      <c r="S239" s="542">
        <v>431.28887398251265</v>
      </c>
      <c r="T239" s="542">
        <v>387.3544291135882</v>
      </c>
      <c r="U239" s="542">
        <v>106.73768020187998</v>
      </c>
      <c r="V239" s="543">
        <v>1695.9766494575015</v>
      </c>
      <c r="W239" s="544">
        <v>1.0335981270241679</v>
      </c>
      <c r="Y239" s="544">
        <v>0</v>
      </c>
      <c r="Z239" s="476">
        <v>2</v>
      </c>
    </row>
    <row r="240" spans="1:26" x14ac:dyDescent="0.3">
      <c r="A240" s="499">
        <v>150000873</v>
      </c>
      <c r="B240" s="477" t="s">
        <v>306</v>
      </c>
      <c r="C240" s="524">
        <v>302.61</v>
      </c>
      <c r="D240" s="524">
        <v>58.37</v>
      </c>
      <c r="E240" s="539">
        <v>0</v>
      </c>
      <c r="F240" s="539">
        <v>162.09</v>
      </c>
      <c r="G240" s="483">
        <v>293.68</v>
      </c>
      <c r="H240" s="538">
        <v>293.68</v>
      </c>
      <c r="I240" s="483"/>
      <c r="J240" s="538">
        <v>0</v>
      </c>
      <c r="K240" s="483">
        <v>98.26</v>
      </c>
      <c r="L240" s="538">
        <v>98.26</v>
      </c>
      <c r="M240" s="540">
        <v>929.80094605288116</v>
      </c>
      <c r="N240" s="541">
        <v>2662.680231276559</v>
      </c>
      <c r="O240" s="542">
        <v>523.07000000000005</v>
      </c>
      <c r="P240" s="542">
        <v>115.0754</v>
      </c>
      <c r="Q240" s="542">
        <v>66.028372896697505</v>
      </c>
      <c r="R240" s="542">
        <v>391.94</v>
      </c>
      <c r="S240" s="542">
        <v>929.80094605288116</v>
      </c>
      <c r="T240" s="542">
        <v>499.39239188712565</v>
      </c>
      <c r="U240" s="542">
        <v>137.3731204398548</v>
      </c>
      <c r="V240" s="543">
        <v>2662.6802312765594</v>
      </c>
      <c r="W240" s="544">
        <v>1.0098686488677733</v>
      </c>
      <c r="Y240" s="544">
        <v>0</v>
      </c>
      <c r="Z240" s="476">
        <v>2</v>
      </c>
    </row>
    <row r="241" spans="1:26" x14ac:dyDescent="0.3">
      <c r="A241" s="499">
        <v>150000874</v>
      </c>
      <c r="B241" s="477" t="s">
        <v>307</v>
      </c>
      <c r="C241" s="524">
        <v>273.49</v>
      </c>
      <c r="D241" s="524">
        <v>58.37</v>
      </c>
      <c r="E241" s="539">
        <v>17.98</v>
      </c>
      <c r="F241" s="539">
        <v>164.89</v>
      </c>
      <c r="G241" s="483">
        <v>266.27999999999997</v>
      </c>
      <c r="H241" s="538">
        <v>266.27999999999997</v>
      </c>
      <c r="I241" s="483">
        <v>60.29</v>
      </c>
      <c r="J241" s="538">
        <v>60.29</v>
      </c>
      <c r="K241" s="483">
        <v>50.66</v>
      </c>
      <c r="L241" s="538">
        <v>50.66</v>
      </c>
      <c r="M241" s="540">
        <v>933.30712791010853</v>
      </c>
      <c r="N241" s="541">
        <v>2637.3434670319848</v>
      </c>
      <c r="O241" s="542">
        <v>514.73</v>
      </c>
      <c r="P241" s="542">
        <v>113.2406</v>
      </c>
      <c r="Q241" s="542">
        <v>71.480559167209094</v>
      </c>
      <c r="R241" s="542">
        <v>377.23</v>
      </c>
      <c r="S241" s="542">
        <v>933.30712791010853</v>
      </c>
      <c r="T241" s="542">
        <v>491.42991545311361</v>
      </c>
      <c r="U241" s="542">
        <v>135.92526450155336</v>
      </c>
      <c r="V241" s="543">
        <v>2637.3434670319848</v>
      </c>
      <c r="W241" s="544">
        <v>1.0122820336352683</v>
      </c>
      <c r="Y241" s="544">
        <v>0</v>
      </c>
      <c r="Z241" s="476">
        <v>2</v>
      </c>
    </row>
    <row r="242" spans="1:26" x14ac:dyDescent="0.3">
      <c r="A242" s="499">
        <v>150000875</v>
      </c>
      <c r="B242" s="477" t="s">
        <v>312</v>
      </c>
      <c r="C242" s="524">
        <v>430.23</v>
      </c>
      <c r="D242" s="524">
        <v>87.11</v>
      </c>
      <c r="E242" s="539">
        <v>0</v>
      </c>
      <c r="F242" s="539">
        <v>233.64</v>
      </c>
      <c r="G242" s="483">
        <v>411.55</v>
      </c>
      <c r="H242" s="538">
        <v>411.55</v>
      </c>
      <c r="I242" s="483"/>
      <c r="J242" s="538">
        <v>0</v>
      </c>
      <c r="K242" s="483">
        <v>99.5</v>
      </c>
      <c r="L242" s="538">
        <v>99.5</v>
      </c>
      <c r="M242" s="540">
        <v>1136.6941811728466</v>
      </c>
      <c r="N242" s="541">
        <v>3558.470015987898</v>
      </c>
      <c r="O242" s="542">
        <v>750.98</v>
      </c>
      <c r="P242" s="542">
        <v>165.21559999999999</v>
      </c>
      <c r="Q242" s="542">
        <v>81.799400574631804</v>
      </c>
      <c r="R242" s="542">
        <v>511.05</v>
      </c>
      <c r="S242" s="542">
        <v>1136.6941811728466</v>
      </c>
      <c r="T242" s="542">
        <v>716.98567774751677</v>
      </c>
      <c r="U242" s="542">
        <v>195.74515649290288</v>
      </c>
      <c r="V242" s="543">
        <v>3558.470015987898</v>
      </c>
      <c r="W242" s="544">
        <v>0.99639857708277757</v>
      </c>
      <c r="Y242" s="544">
        <v>0</v>
      </c>
      <c r="Z242" s="476">
        <v>2</v>
      </c>
    </row>
    <row r="243" spans="1:26" x14ac:dyDescent="0.3">
      <c r="A243" s="499">
        <v>150000878</v>
      </c>
      <c r="B243" s="477" t="s">
        <v>236</v>
      </c>
      <c r="C243" s="524">
        <v>225.55</v>
      </c>
      <c r="D243" s="524">
        <v>37.21</v>
      </c>
      <c r="E243" s="539">
        <v>0</v>
      </c>
      <c r="F243" s="539">
        <v>151.97999999999999</v>
      </c>
      <c r="G243" s="483">
        <v>285.93</v>
      </c>
      <c r="H243" s="538">
        <v>285.93</v>
      </c>
      <c r="I243" s="483"/>
      <c r="J243" s="538">
        <v>0</v>
      </c>
      <c r="K243" s="483">
        <v>66.31</v>
      </c>
      <c r="L243" s="538">
        <v>66.31</v>
      </c>
      <c r="M243" s="540">
        <v>853.91562591734271</v>
      </c>
      <c r="N243" s="541">
        <v>2281.0052421262735</v>
      </c>
      <c r="O243" s="542">
        <v>414.74</v>
      </c>
      <c r="P243" s="542">
        <v>91.242800000000003</v>
      </c>
      <c r="Q243" s="542">
        <v>62.787245803083906</v>
      </c>
      <c r="R243" s="542">
        <v>352.24</v>
      </c>
      <c r="S243" s="542">
        <v>853.91562591734271</v>
      </c>
      <c r="T243" s="542">
        <v>395.96612424965394</v>
      </c>
      <c r="U243" s="542">
        <v>110.11344615619282</v>
      </c>
      <c r="V243" s="543">
        <v>2281.0052421262735</v>
      </c>
      <c r="W243" s="544">
        <v>1.1950277954930668</v>
      </c>
      <c r="Y243" s="544">
        <v>0</v>
      </c>
      <c r="Z243" s="476">
        <v>2</v>
      </c>
    </row>
    <row r="244" spans="1:26" x14ac:dyDescent="0.3">
      <c r="A244" s="499">
        <v>150000879</v>
      </c>
      <c r="B244" s="477" t="s">
        <v>329</v>
      </c>
      <c r="C244" s="524">
        <v>434.67</v>
      </c>
      <c r="D244" s="524">
        <v>81.36</v>
      </c>
      <c r="E244" s="539">
        <v>0</v>
      </c>
      <c r="F244" s="539">
        <v>330.1</v>
      </c>
      <c r="G244" s="483">
        <v>546.98</v>
      </c>
      <c r="H244" s="538">
        <v>546.98</v>
      </c>
      <c r="I244" s="483"/>
      <c r="J244" s="538">
        <v>0</v>
      </c>
      <c r="K244" s="483">
        <v>163.35</v>
      </c>
      <c r="L244" s="538">
        <v>163.35</v>
      </c>
      <c r="M244" s="540">
        <v>1601.3452306931836</v>
      </c>
      <c r="N244" s="541">
        <v>4466.4622038316384</v>
      </c>
      <c r="O244" s="542">
        <v>846.13</v>
      </c>
      <c r="P244" s="542">
        <v>186.14859999999999</v>
      </c>
      <c r="Q244" s="542">
        <v>93.931705603265797</v>
      </c>
      <c r="R244" s="542">
        <v>710.33</v>
      </c>
      <c r="S244" s="542">
        <v>1601.3452306931836</v>
      </c>
      <c r="T244" s="542">
        <v>807.82855936577062</v>
      </c>
      <c r="U244" s="542">
        <v>220.74810816941849</v>
      </c>
      <c r="V244" s="543">
        <v>4466.4622038316393</v>
      </c>
      <c r="W244" s="544">
        <v>0.9397697661063027</v>
      </c>
      <c r="Y244" s="544">
        <v>0</v>
      </c>
      <c r="Z244" s="476">
        <v>2</v>
      </c>
    </row>
    <row r="245" spans="1:26" x14ac:dyDescent="0.3">
      <c r="A245" s="499">
        <v>150000880</v>
      </c>
      <c r="B245" s="477" t="s">
        <v>237</v>
      </c>
      <c r="C245" s="524">
        <v>297.58999999999997</v>
      </c>
      <c r="D245" s="524">
        <v>57.59</v>
      </c>
      <c r="E245" s="539">
        <v>0</v>
      </c>
      <c r="F245" s="539">
        <v>233.51</v>
      </c>
      <c r="G245" s="483">
        <v>329.05</v>
      </c>
      <c r="H245" s="538">
        <v>329.05</v>
      </c>
      <c r="I245" s="483"/>
      <c r="J245" s="538">
        <v>0</v>
      </c>
      <c r="K245" s="483">
        <v>41.29</v>
      </c>
      <c r="L245" s="538">
        <v>41.29</v>
      </c>
      <c r="M245" s="540">
        <v>971.45110837923266</v>
      </c>
      <c r="N245" s="541">
        <v>2857.0030293653044</v>
      </c>
      <c r="O245" s="542">
        <v>588.68999999999994</v>
      </c>
      <c r="P245" s="542">
        <v>129.51179999999999</v>
      </c>
      <c r="Q245" s="542">
        <v>79.741566364727603</v>
      </c>
      <c r="R245" s="542">
        <v>370.34000000000003</v>
      </c>
      <c r="S245" s="542">
        <v>971.45110837923266</v>
      </c>
      <c r="T245" s="542">
        <v>562.04199663531074</v>
      </c>
      <c r="U245" s="542">
        <v>155.22655798603336</v>
      </c>
      <c r="V245" s="543">
        <v>2857.003029365304</v>
      </c>
      <c r="W245" s="544">
        <v>0.74476190476190474</v>
      </c>
      <c r="Y245" s="544"/>
      <c r="Z245" s="476">
        <v>2</v>
      </c>
    </row>
    <row r="246" spans="1:26" x14ac:dyDescent="0.3">
      <c r="A246" s="499">
        <v>150000881</v>
      </c>
      <c r="B246" s="477" t="s">
        <v>411</v>
      </c>
      <c r="C246" s="524">
        <v>228.81</v>
      </c>
      <c r="D246" s="524">
        <v>33.65</v>
      </c>
      <c r="E246" s="539">
        <v>13.19</v>
      </c>
      <c r="F246" s="539">
        <v>111.32</v>
      </c>
      <c r="G246" s="483">
        <v>276.22000000000003</v>
      </c>
      <c r="H246" s="538">
        <v>276.22000000000003</v>
      </c>
      <c r="I246" s="483">
        <v>64.040000000000006</v>
      </c>
      <c r="J246" s="538">
        <v>64.040000000000006</v>
      </c>
      <c r="K246" s="483">
        <v>8.6999999999999993</v>
      </c>
      <c r="L246" s="538">
        <v>8.6999999999999993</v>
      </c>
      <c r="M246" s="540">
        <v>857.09043083074675</v>
      </c>
      <c r="N246" s="541">
        <v>2229.2428871779566</v>
      </c>
      <c r="O246" s="542">
        <v>386.96999999999997</v>
      </c>
      <c r="P246" s="542">
        <v>85.133399999999995</v>
      </c>
      <c r="Q246" s="542">
        <v>76.814472730528706</v>
      </c>
      <c r="R246" s="542">
        <v>348.96000000000004</v>
      </c>
      <c r="S246" s="542">
        <v>857.09043083074675</v>
      </c>
      <c r="T246" s="542">
        <v>369.45317813784197</v>
      </c>
      <c r="U246" s="542">
        <v>104.82140547883935</v>
      </c>
      <c r="V246" s="543">
        <v>2229.2428871779571</v>
      </c>
      <c r="W246" s="544">
        <v>0.88628895951675657</v>
      </c>
      <c r="Y246" s="544">
        <v>0</v>
      </c>
      <c r="Z246" s="476">
        <v>2</v>
      </c>
    </row>
    <row r="247" spans="1:26" x14ac:dyDescent="0.3">
      <c r="A247" s="499">
        <v>150000882</v>
      </c>
      <c r="B247" s="477" t="s">
        <v>330</v>
      </c>
      <c r="C247" s="524">
        <v>289.24</v>
      </c>
      <c r="D247" s="524">
        <v>59.03</v>
      </c>
      <c r="E247" s="539">
        <v>0</v>
      </c>
      <c r="F247" s="539">
        <v>178.2</v>
      </c>
      <c r="G247" s="483">
        <v>360.86</v>
      </c>
      <c r="H247" s="538">
        <v>360.86</v>
      </c>
      <c r="I247" s="483"/>
      <c r="J247" s="538">
        <v>0</v>
      </c>
      <c r="K247" s="483">
        <v>90.12</v>
      </c>
      <c r="L247" s="538">
        <v>90.12</v>
      </c>
      <c r="M247" s="540">
        <v>1072.4391228076231</v>
      </c>
      <c r="N247" s="541">
        <v>2879.7833020010721</v>
      </c>
      <c r="O247" s="542">
        <v>526.47</v>
      </c>
      <c r="P247" s="542">
        <v>115.82339999999999</v>
      </c>
      <c r="Q247" s="542">
        <v>72.478963244951302</v>
      </c>
      <c r="R247" s="542">
        <v>450.98</v>
      </c>
      <c r="S247" s="542">
        <v>1072.4391228076231</v>
      </c>
      <c r="T247" s="542">
        <v>502.63848539739428</v>
      </c>
      <c r="U247" s="542">
        <v>138.95333055110376</v>
      </c>
      <c r="V247" s="543">
        <v>2879.7833020010721</v>
      </c>
      <c r="W247" s="544">
        <v>1.0945072207642252</v>
      </c>
      <c r="Y247" s="544">
        <v>0</v>
      </c>
      <c r="Z247" s="476">
        <v>2</v>
      </c>
    </row>
    <row r="248" spans="1:26" x14ac:dyDescent="0.3">
      <c r="A248" s="499">
        <v>150000883</v>
      </c>
      <c r="B248" s="477" t="s">
        <v>331</v>
      </c>
      <c r="C248" s="524">
        <v>207.5</v>
      </c>
      <c r="D248" s="524">
        <v>35.11</v>
      </c>
      <c r="E248" s="539">
        <v>0</v>
      </c>
      <c r="F248" s="539">
        <v>95.27</v>
      </c>
      <c r="G248" s="483">
        <v>228.91</v>
      </c>
      <c r="H248" s="538">
        <v>228.91</v>
      </c>
      <c r="I248" s="483"/>
      <c r="J248" s="538">
        <v>0</v>
      </c>
      <c r="K248" s="483">
        <v>65.69</v>
      </c>
      <c r="L248" s="538">
        <v>65.69</v>
      </c>
      <c r="M248" s="540">
        <v>659.88195413348842</v>
      </c>
      <c r="N248" s="541">
        <v>1831.1208591427594</v>
      </c>
      <c r="O248" s="542">
        <v>337.88</v>
      </c>
      <c r="P248" s="542">
        <v>74.333600000000004</v>
      </c>
      <c r="Q248" s="542">
        <v>52.032326915845196</v>
      </c>
      <c r="R248" s="542">
        <v>294.60000000000002</v>
      </c>
      <c r="S248" s="542">
        <v>659.88195413348842</v>
      </c>
      <c r="T248" s="542">
        <v>322.58531624987478</v>
      </c>
      <c r="U248" s="542">
        <v>89.807661843550974</v>
      </c>
      <c r="V248" s="543">
        <v>1831.1208591427592</v>
      </c>
      <c r="W248" s="544">
        <v>1.3442516528142041</v>
      </c>
      <c r="Y248" s="544">
        <v>0</v>
      </c>
      <c r="Z248" s="476">
        <v>2</v>
      </c>
    </row>
    <row r="249" spans="1:26" x14ac:dyDescent="0.3">
      <c r="A249" s="499">
        <v>150000884</v>
      </c>
      <c r="B249" s="477" t="s">
        <v>332</v>
      </c>
      <c r="C249" s="524">
        <v>372.37</v>
      </c>
      <c r="D249" s="524">
        <v>77.34</v>
      </c>
      <c r="E249" s="539">
        <v>0</v>
      </c>
      <c r="F249" s="539">
        <v>236.59</v>
      </c>
      <c r="G249" s="483">
        <v>391.89</v>
      </c>
      <c r="H249" s="538">
        <v>391.89</v>
      </c>
      <c r="I249" s="483"/>
      <c r="J249" s="538">
        <v>0</v>
      </c>
      <c r="K249" s="483">
        <v>100.88</v>
      </c>
      <c r="L249" s="538">
        <v>100.88</v>
      </c>
      <c r="M249" s="540">
        <v>1211.6103128275254</v>
      </c>
      <c r="N249" s="541">
        <v>3461.3678635346319</v>
      </c>
      <c r="O249" s="542">
        <v>686.30000000000007</v>
      </c>
      <c r="P249" s="542">
        <v>150.98600000000002</v>
      </c>
      <c r="Q249" s="542">
        <v>84.472658606490299</v>
      </c>
      <c r="R249" s="542">
        <v>492.77</v>
      </c>
      <c r="S249" s="542">
        <v>1211.6103128275254</v>
      </c>
      <c r="T249" s="542">
        <v>655.23352238158236</v>
      </c>
      <c r="U249" s="542">
        <v>179.99536971903382</v>
      </c>
      <c r="V249" s="543">
        <v>3461.3678635346323</v>
      </c>
      <c r="W249" s="544">
        <v>1.0787774640007364</v>
      </c>
      <c r="Y249" s="544">
        <v>0</v>
      </c>
      <c r="Z249" s="476">
        <v>2</v>
      </c>
    </row>
    <row r="250" spans="1:26" x14ac:dyDescent="0.3">
      <c r="A250" s="499">
        <v>150000885</v>
      </c>
      <c r="B250" s="477" t="s">
        <v>238</v>
      </c>
      <c r="C250" s="524">
        <v>178.98</v>
      </c>
      <c r="D250" s="524">
        <v>31.46</v>
      </c>
      <c r="E250" s="539">
        <v>0</v>
      </c>
      <c r="F250" s="539">
        <v>90.52</v>
      </c>
      <c r="G250" s="483">
        <v>181.62</v>
      </c>
      <c r="H250" s="538">
        <v>181.62</v>
      </c>
      <c r="I250" s="483"/>
      <c r="J250" s="538">
        <v>0</v>
      </c>
      <c r="K250" s="483">
        <v>65.69</v>
      </c>
      <c r="L250" s="538">
        <v>65.69</v>
      </c>
      <c r="M250" s="540">
        <v>532.55481746056137</v>
      </c>
      <c r="N250" s="541">
        <v>1561.8626114118715</v>
      </c>
      <c r="O250" s="542">
        <v>300.95999999999998</v>
      </c>
      <c r="P250" s="542">
        <v>66.211199999999991</v>
      </c>
      <c r="Q250" s="542">
        <v>47.377923088004707</v>
      </c>
      <c r="R250" s="542">
        <v>247.31</v>
      </c>
      <c r="S250" s="542">
        <v>532.55481746056137</v>
      </c>
      <c r="T250" s="542">
        <v>287.3365596618986</v>
      </c>
      <c r="U250" s="542">
        <v>80.112111201406677</v>
      </c>
      <c r="V250" s="543">
        <v>1561.8626114118715</v>
      </c>
      <c r="W250" s="544">
        <v>3.9941812136325854E-2</v>
      </c>
      <c r="Y250" s="544"/>
      <c r="Z250" s="476">
        <v>3</v>
      </c>
    </row>
    <row r="251" spans="1:26" x14ac:dyDescent="0.3">
      <c r="A251" s="499">
        <v>150000886</v>
      </c>
      <c r="B251" s="477" t="s">
        <v>396</v>
      </c>
      <c r="C251" s="524">
        <v>228.81</v>
      </c>
      <c r="D251" s="524">
        <v>33.630000000000003</v>
      </c>
      <c r="E251" s="539">
        <v>13.19</v>
      </c>
      <c r="F251" s="539">
        <v>114.59</v>
      </c>
      <c r="G251" s="483">
        <v>240.54</v>
      </c>
      <c r="H251" s="538">
        <v>240.54</v>
      </c>
      <c r="I251" s="483">
        <v>60.88</v>
      </c>
      <c r="J251" s="538">
        <v>60.88</v>
      </c>
      <c r="K251" s="483">
        <v>25</v>
      </c>
      <c r="L251" s="538">
        <v>25</v>
      </c>
      <c r="M251" s="540">
        <v>760.12526123651242</v>
      </c>
      <c r="N251" s="541">
        <v>2108.2743350960682</v>
      </c>
      <c r="O251" s="542">
        <v>390.22</v>
      </c>
      <c r="P251" s="542">
        <v>85.848399999999998</v>
      </c>
      <c r="Q251" s="542">
        <v>68.433123609088398</v>
      </c>
      <c r="R251" s="542">
        <v>326.42</v>
      </c>
      <c r="S251" s="542">
        <v>760.12526123651242</v>
      </c>
      <c r="T251" s="542">
        <v>372.55606164030462</v>
      </c>
      <c r="U251" s="542">
        <v>104.67148861016283</v>
      </c>
      <c r="V251" s="543">
        <v>2108.2743350960682</v>
      </c>
      <c r="W251" s="544">
        <v>4.7787170561909495E-2</v>
      </c>
      <c r="Y251" s="544"/>
      <c r="Z251" s="476">
        <v>3</v>
      </c>
    </row>
    <row r="252" spans="1:26" x14ac:dyDescent="0.3">
      <c r="A252" s="499">
        <v>150000887</v>
      </c>
      <c r="B252" s="477" t="s">
        <v>397</v>
      </c>
      <c r="C252" s="524">
        <v>781.01</v>
      </c>
      <c r="D252" s="524">
        <v>121.7</v>
      </c>
      <c r="E252" s="539">
        <v>39.56</v>
      </c>
      <c r="F252" s="539">
        <v>320.99</v>
      </c>
      <c r="G252" s="483">
        <v>796.01</v>
      </c>
      <c r="H252" s="538">
        <v>796.01</v>
      </c>
      <c r="I252" s="483">
        <v>168.89</v>
      </c>
      <c r="J252" s="538">
        <v>168.89</v>
      </c>
      <c r="K252" s="483">
        <v>100.13</v>
      </c>
      <c r="L252" s="538">
        <v>100.13</v>
      </c>
      <c r="M252" s="540">
        <v>2287.7943514196463</v>
      </c>
      <c r="N252" s="541">
        <v>6558.9841947608111</v>
      </c>
      <c r="O252" s="542">
        <v>1263.26</v>
      </c>
      <c r="P252" s="542">
        <v>277.91720000000004</v>
      </c>
      <c r="Q252" s="542">
        <v>130.44967827715971</v>
      </c>
      <c r="R252" s="542">
        <v>1065.03</v>
      </c>
      <c r="S252" s="542">
        <v>2287.7943514196463</v>
      </c>
      <c r="T252" s="542">
        <v>1206.0764964064663</v>
      </c>
      <c r="U252" s="542">
        <v>328.45646865753747</v>
      </c>
      <c r="V252" s="543">
        <v>6558.9841947608102</v>
      </c>
      <c r="W252" s="544">
        <v>3.9495314811770509E-2</v>
      </c>
      <c r="Y252" s="544"/>
      <c r="Z252" s="476">
        <v>3</v>
      </c>
    </row>
    <row r="253" spans="1:26" x14ac:dyDescent="0.3">
      <c r="A253" s="499">
        <v>150000888</v>
      </c>
      <c r="B253" s="477" t="s">
        <v>313</v>
      </c>
      <c r="C253" s="524">
        <v>371.35</v>
      </c>
      <c r="D253" s="524">
        <v>77.16</v>
      </c>
      <c r="E253" s="539">
        <v>0</v>
      </c>
      <c r="F253" s="539">
        <v>235.15</v>
      </c>
      <c r="G253" s="483">
        <v>382.56</v>
      </c>
      <c r="H253" s="538">
        <v>382.56</v>
      </c>
      <c r="I253" s="483"/>
      <c r="J253" s="538">
        <v>0</v>
      </c>
      <c r="K253" s="483">
        <v>99.5</v>
      </c>
      <c r="L253" s="538">
        <v>99.5</v>
      </c>
      <c r="M253" s="540">
        <v>1202.4208382240811</v>
      </c>
      <c r="N253" s="541">
        <v>3434.8936274722355</v>
      </c>
      <c r="O253" s="542">
        <v>683.66</v>
      </c>
      <c r="P253" s="542">
        <v>150.40520000000001</v>
      </c>
      <c r="Q253" s="542">
        <v>84.312747641721302</v>
      </c>
      <c r="R253" s="542">
        <v>482.06</v>
      </c>
      <c r="S253" s="542">
        <v>1202.4208382240811</v>
      </c>
      <c r="T253" s="542">
        <v>652.71302624419729</v>
      </c>
      <c r="U253" s="542">
        <v>179.32181536223587</v>
      </c>
      <c r="V253" s="543">
        <v>3434.8936274722359</v>
      </c>
      <c r="W253" s="544">
        <v>2.9469487887151178E-2</v>
      </c>
      <c r="Y253" s="544"/>
      <c r="Z253" s="476">
        <v>3</v>
      </c>
    </row>
    <row r="254" spans="1:26" x14ac:dyDescent="0.3">
      <c r="A254" s="499">
        <v>150000889</v>
      </c>
      <c r="B254" s="477" t="s">
        <v>427</v>
      </c>
      <c r="C254" s="524">
        <v>741.81</v>
      </c>
      <c r="D254" s="524">
        <v>119.13</v>
      </c>
      <c r="E254" s="539">
        <v>29.97</v>
      </c>
      <c r="F254" s="539">
        <v>192.31</v>
      </c>
      <c r="G254" s="483">
        <v>568.88</v>
      </c>
      <c r="H254" s="538">
        <v>568.88</v>
      </c>
      <c r="I254" s="483">
        <v>131.99</v>
      </c>
      <c r="J254" s="538">
        <v>131.99</v>
      </c>
      <c r="K254" s="483">
        <v>75.709999999999994</v>
      </c>
      <c r="L254" s="538">
        <v>75.709999999999994</v>
      </c>
      <c r="M254" s="540">
        <v>1872.878349016361</v>
      </c>
      <c r="N254" s="541">
        <v>5419.1784317173078</v>
      </c>
      <c r="O254" s="542">
        <v>1083.22</v>
      </c>
      <c r="P254" s="542">
        <v>238.30840000000001</v>
      </c>
      <c r="Q254" s="542">
        <v>130.2601813936802</v>
      </c>
      <c r="R254" s="542">
        <v>776.58</v>
      </c>
      <c r="S254" s="542">
        <v>1872.878349016361</v>
      </c>
      <c r="T254" s="542">
        <v>1034.186297703887</v>
      </c>
      <c r="U254" s="542">
        <v>283.74520360337874</v>
      </c>
      <c r="V254" s="543">
        <v>5419.1784317173078</v>
      </c>
      <c r="W254" s="544">
        <v>3.9809444904722449E-2</v>
      </c>
      <c r="Y254" s="544"/>
      <c r="Z254" s="476">
        <v>3</v>
      </c>
    </row>
    <row r="255" spans="1:26" x14ac:dyDescent="0.3">
      <c r="A255" s="499">
        <v>150000890</v>
      </c>
      <c r="B255" s="477" t="s">
        <v>398</v>
      </c>
      <c r="C255" s="524">
        <v>691.12</v>
      </c>
      <c r="D255" s="524">
        <v>137.88999999999999</v>
      </c>
      <c r="E255" s="539">
        <v>52.75</v>
      </c>
      <c r="F255" s="539">
        <v>458.15</v>
      </c>
      <c r="G255" s="483">
        <v>1044.78</v>
      </c>
      <c r="H255" s="538">
        <v>1044.78</v>
      </c>
      <c r="I255" s="483">
        <v>246.15</v>
      </c>
      <c r="J255" s="538">
        <v>246.15</v>
      </c>
      <c r="K255" s="483">
        <v>133.34</v>
      </c>
      <c r="L255" s="538">
        <v>133.34</v>
      </c>
      <c r="M255" s="540">
        <v>3010.7911421761701</v>
      </c>
      <c r="N255" s="541">
        <v>7856.5892556627905</v>
      </c>
      <c r="O255" s="542">
        <v>1339.9099999999999</v>
      </c>
      <c r="P255" s="542">
        <v>294.78020000000004</v>
      </c>
      <c r="Q255" s="542">
        <v>157.0611363771188</v>
      </c>
      <c r="R255" s="542">
        <v>1424.27</v>
      </c>
      <c r="S255" s="542">
        <v>3010.7911421761701</v>
      </c>
      <c r="T255" s="542">
        <v>1279.2568103953172</v>
      </c>
      <c r="U255" s="542">
        <v>350.5199667141851</v>
      </c>
      <c r="V255" s="543">
        <v>7856.5892556627914</v>
      </c>
      <c r="W255" s="544">
        <v>1.5435652608689647</v>
      </c>
      <c r="Y255" s="544">
        <v>0</v>
      </c>
      <c r="Z255" s="476">
        <v>3</v>
      </c>
    </row>
    <row r="256" spans="1:26" x14ac:dyDescent="0.3">
      <c r="A256" s="499">
        <v>150000891</v>
      </c>
      <c r="B256" s="477" t="s">
        <v>189</v>
      </c>
      <c r="C256" s="524">
        <v>31.83</v>
      </c>
      <c r="D256" s="524">
        <v>10.35</v>
      </c>
      <c r="E256" s="539">
        <v>0</v>
      </c>
      <c r="F256" s="539">
        <v>0.99</v>
      </c>
      <c r="G256" s="483"/>
      <c r="H256" s="538">
        <v>0</v>
      </c>
      <c r="I256" s="483"/>
      <c r="J256" s="538">
        <v>0</v>
      </c>
      <c r="K256" s="483">
        <v>113.03399999999999</v>
      </c>
      <c r="L256" s="538">
        <v>113.03399999999999</v>
      </c>
      <c r="M256" s="540">
        <v>104.85051558005135</v>
      </c>
      <c r="N256" s="541">
        <v>324.98184608845014</v>
      </c>
      <c r="O256" s="542">
        <v>43.17</v>
      </c>
      <c r="P256" s="542">
        <v>9.4974000000000007</v>
      </c>
      <c r="Q256" s="542">
        <v>2.2424566876455452</v>
      </c>
      <c r="R256" s="542">
        <v>113.03399999999999</v>
      </c>
      <c r="S256" s="542">
        <v>104.85051558005135</v>
      </c>
      <c r="T256" s="542">
        <v>41.215840246558223</v>
      </c>
      <c r="U256" s="542">
        <v>10.971633574195041</v>
      </c>
      <c r="V256" s="543">
        <v>324.98184608845014</v>
      </c>
      <c r="W256" s="544">
        <v>1.1245362264429624</v>
      </c>
      <c r="Y256" s="544">
        <v>0</v>
      </c>
      <c r="Z256" s="476">
        <v>2</v>
      </c>
    </row>
    <row r="257" spans="1:26" x14ac:dyDescent="0.3">
      <c r="A257" s="499">
        <v>150000892</v>
      </c>
      <c r="B257" s="477" t="s">
        <v>400</v>
      </c>
      <c r="C257" s="524">
        <v>558.41</v>
      </c>
      <c r="D257" s="524">
        <v>92.03</v>
      </c>
      <c r="E257" s="539">
        <v>26.37</v>
      </c>
      <c r="F257" s="539">
        <v>176.83</v>
      </c>
      <c r="G257" s="483">
        <v>449.56</v>
      </c>
      <c r="H257" s="538">
        <v>449.56</v>
      </c>
      <c r="I257" s="483">
        <v>111.24</v>
      </c>
      <c r="J257" s="538">
        <v>111.24</v>
      </c>
      <c r="K257" s="483">
        <v>66.94</v>
      </c>
      <c r="L257" s="538">
        <v>66.94</v>
      </c>
      <c r="M257" s="540">
        <v>1480.1147171480163</v>
      </c>
      <c r="N257" s="541">
        <v>4277.9122541938686</v>
      </c>
      <c r="O257" s="542">
        <v>853.64</v>
      </c>
      <c r="P257" s="542">
        <v>187.80080000000001</v>
      </c>
      <c r="Q257" s="542">
        <v>91.305622087023409</v>
      </c>
      <c r="R257" s="542">
        <v>627.74</v>
      </c>
      <c r="S257" s="542">
        <v>1480.1147171480163</v>
      </c>
      <c r="T257" s="542">
        <v>814.99860708992276</v>
      </c>
      <c r="U257" s="542">
        <v>222.31250786890638</v>
      </c>
      <c r="V257" s="543">
        <v>4277.9122541938696</v>
      </c>
      <c r="W257" s="544">
        <v>1.401170397767268</v>
      </c>
      <c r="Y257" s="544">
        <v>0</v>
      </c>
      <c r="Z257" s="476">
        <v>2</v>
      </c>
    </row>
    <row r="258" spans="1:26" x14ac:dyDescent="0.3">
      <c r="A258" s="499">
        <v>150000893</v>
      </c>
      <c r="B258" s="477" t="s">
        <v>314</v>
      </c>
      <c r="C258" s="524">
        <v>352.41</v>
      </c>
      <c r="D258" s="524">
        <v>67.41</v>
      </c>
      <c r="E258" s="539">
        <v>23.98</v>
      </c>
      <c r="F258" s="539">
        <v>219.48</v>
      </c>
      <c r="G258" s="483">
        <v>332.47</v>
      </c>
      <c r="H258" s="538">
        <v>332.47</v>
      </c>
      <c r="I258" s="483"/>
      <c r="J258" s="538">
        <v>0</v>
      </c>
      <c r="K258" s="483">
        <v>75.650000000000006</v>
      </c>
      <c r="L258" s="538">
        <v>75.650000000000006</v>
      </c>
      <c r="M258" s="540">
        <v>979.55737232759861</v>
      </c>
      <c r="N258" s="541">
        <v>3086.1334628897512</v>
      </c>
      <c r="O258" s="542">
        <v>663.28000000000009</v>
      </c>
      <c r="P258" s="542">
        <v>145.92160000000001</v>
      </c>
      <c r="Q258" s="542">
        <v>81.999842414823206</v>
      </c>
      <c r="R258" s="542">
        <v>408.12</v>
      </c>
      <c r="S258" s="542">
        <v>979.55737232759861</v>
      </c>
      <c r="T258" s="542">
        <v>633.2555598502928</v>
      </c>
      <c r="U258" s="542">
        <v>173.99908829703631</v>
      </c>
      <c r="V258" s="543">
        <v>3086.1334628897512</v>
      </c>
      <c r="W258" s="544">
        <v>1.1619668828795562</v>
      </c>
      <c r="Y258" s="544">
        <v>0</v>
      </c>
      <c r="Z258" s="476">
        <v>2</v>
      </c>
    </row>
    <row r="259" spans="1:26" x14ac:dyDescent="0.3">
      <c r="A259" s="499">
        <v>150000894</v>
      </c>
      <c r="B259" s="477" t="s">
        <v>315</v>
      </c>
      <c r="C259" s="524">
        <v>490.65</v>
      </c>
      <c r="D259" s="524">
        <v>114.97</v>
      </c>
      <c r="E259" s="539">
        <v>35.96</v>
      </c>
      <c r="F259" s="539">
        <v>414.51</v>
      </c>
      <c r="G259" s="483">
        <v>468.55</v>
      </c>
      <c r="H259" s="538">
        <v>468.55</v>
      </c>
      <c r="I259" s="483"/>
      <c r="J259" s="538">
        <v>0</v>
      </c>
      <c r="K259" s="483">
        <v>113.9</v>
      </c>
      <c r="L259" s="538">
        <v>113.9</v>
      </c>
      <c r="M259" s="540">
        <v>1506.5500456020504</v>
      </c>
      <c r="N259" s="541">
        <v>4776.1902116479614</v>
      </c>
      <c r="O259" s="542">
        <v>1056.0900000000001</v>
      </c>
      <c r="P259" s="542">
        <v>232.33980000000003</v>
      </c>
      <c r="Q259" s="542">
        <v>115.18559543809189</v>
      </c>
      <c r="R259" s="542">
        <v>582.45000000000005</v>
      </c>
      <c r="S259" s="542">
        <v>1506.5500456020504</v>
      </c>
      <c r="T259" s="542">
        <v>1008.2843809587139</v>
      </c>
      <c r="U259" s="542">
        <v>275.29038964910478</v>
      </c>
      <c r="V259" s="543">
        <v>4776.1902116479614</v>
      </c>
      <c r="W259" s="544">
        <v>1.1078734532448375</v>
      </c>
      <c r="Y259" s="544">
        <v>0</v>
      </c>
      <c r="Z259" s="476">
        <v>2</v>
      </c>
    </row>
    <row r="260" spans="1:26" x14ac:dyDescent="0.3">
      <c r="A260" s="499">
        <v>150000895</v>
      </c>
      <c r="B260" s="477" t="s">
        <v>316</v>
      </c>
      <c r="C260" s="524">
        <v>349.39</v>
      </c>
      <c r="D260" s="524">
        <v>66.680000000000007</v>
      </c>
      <c r="E260" s="539">
        <v>0</v>
      </c>
      <c r="F260" s="539">
        <v>212.22</v>
      </c>
      <c r="G260" s="483">
        <v>330.42</v>
      </c>
      <c r="H260" s="538">
        <v>330.42</v>
      </c>
      <c r="I260" s="483"/>
      <c r="J260" s="538">
        <v>0</v>
      </c>
      <c r="K260" s="483">
        <v>96.3</v>
      </c>
      <c r="L260" s="538">
        <v>96.3</v>
      </c>
      <c r="M260" s="540">
        <v>976.81371376045945</v>
      </c>
      <c r="N260" s="541">
        <v>3013.2411141318335</v>
      </c>
      <c r="O260" s="542">
        <v>628.29</v>
      </c>
      <c r="P260" s="542">
        <v>138.22379999999998</v>
      </c>
      <c r="Q260" s="542">
        <v>78.436972348474399</v>
      </c>
      <c r="R260" s="542">
        <v>426.72</v>
      </c>
      <c r="S260" s="542">
        <v>976.81371376045945</v>
      </c>
      <c r="T260" s="542">
        <v>599.84943869608685</v>
      </c>
      <c r="U260" s="542">
        <v>164.90718932681301</v>
      </c>
      <c r="V260" s="543">
        <v>3013.2411141318339</v>
      </c>
      <c r="W260" s="544">
        <v>1.0208321031000194</v>
      </c>
      <c r="Y260" s="544">
        <v>0</v>
      </c>
      <c r="Z260" s="476">
        <v>2</v>
      </c>
    </row>
    <row r="261" spans="1:26" x14ac:dyDescent="0.3">
      <c r="A261" s="499">
        <v>150000896</v>
      </c>
      <c r="B261" s="477" t="s">
        <v>317</v>
      </c>
      <c r="C261" s="524">
        <v>353.81</v>
      </c>
      <c r="D261" s="524">
        <v>67.41</v>
      </c>
      <c r="E261" s="539">
        <v>0</v>
      </c>
      <c r="F261" s="539">
        <v>218.92</v>
      </c>
      <c r="G261" s="483">
        <v>339.47</v>
      </c>
      <c r="H261" s="538">
        <v>339.47</v>
      </c>
      <c r="I261" s="483"/>
      <c r="J261" s="538">
        <v>0</v>
      </c>
      <c r="K261" s="483">
        <v>65.7</v>
      </c>
      <c r="L261" s="538">
        <v>65.7</v>
      </c>
      <c r="M261" s="540">
        <v>966.35574246883129</v>
      </c>
      <c r="N261" s="541">
        <v>3011.1414266101974</v>
      </c>
      <c r="O261" s="542">
        <v>640.14</v>
      </c>
      <c r="P261" s="542">
        <v>140.83080000000001</v>
      </c>
      <c r="Q261" s="542">
        <v>79.510698091965693</v>
      </c>
      <c r="R261" s="542">
        <v>405.17</v>
      </c>
      <c r="S261" s="542">
        <v>966.35574246883129</v>
      </c>
      <c r="T261" s="542">
        <v>611.16302931275845</v>
      </c>
      <c r="U261" s="542">
        <v>167.97115673664177</v>
      </c>
      <c r="V261" s="543">
        <v>3011.141426610197</v>
      </c>
      <c r="W261" s="544">
        <v>1.0950243194141422</v>
      </c>
      <c r="Y261" s="544">
        <v>0</v>
      </c>
      <c r="Z261" s="476">
        <v>2</v>
      </c>
    </row>
    <row r="262" spans="1:26" x14ac:dyDescent="0.3">
      <c r="A262" s="499">
        <v>150000898</v>
      </c>
      <c r="B262" s="477" t="s">
        <v>190</v>
      </c>
      <c r="C262" s="524">
        <v>64.86</v>
      </c>
      <c r="D262" s="524">
        <v>14.9</v>
      </c>
      <c r="E262" s="539">
        <v>0</v>
      </c>
      <c r="F262" s="539">
        <v>21.12</v>
      </c>
      <c r="G262" s="483">
        <v>53.61</v>
      </c>
      <c r="H262" s="538">
        <v>53.61</v>
      </c>
      <c r="I262" s="483"/>
      <c r="J262" s="538">
        <v>0</v>
      </c>
      <c r="K262" s="483">
        <v>70.790000000000006</v>
      </c>
      <c r="L262" s="538">
        <v>70.790000000000006</v>
      </c>
      <c r="M262" s="540">
        <v>168.218338902135</v>
      </c>
      <c r="N262" s="541">
        <v>552.73889290257625</v>
      </c>
      <c r="O262" s="542">
        <v>100.88000000000001</v>
      </c>
      <c r="P262" s="542">
        <v>22.1936</v>
      </c>
      <c r="Q262" s="542">
        <v>14.085284438211929</v>
      </c>
      <c r="R262" s="542">
        <v>124.4</v>
      </c>
      <c r="S262" s="542">
        <v>168.218338902135</v>
      </c>
      <c r="T262" s="542">
        <v>96.313503916441832</v>
      </c>
      <c r="U262" s="542">
        <v>26.648165645787429</v>
      </c>
      <c r="V262" s="543">
        <v>552.73889290257625</v>
      </c>
      <c r="W262" s="544">
        <v>1.0203951128879383</v>
      </c>
      <c r="Y262" s="544">
        <v>0</v>
      </c>
      <c r="Z262" s="476">
        <v>2</v>
      </c>
    </row>
    <row r="263" spans="1:26" x14ac:dyDescent="0.3">
      <c r="A263" s="499">
        <v>150000899</v>
      </c>
      <c r="B263" s="477" t="s">
        <v>402</v>
      </c>
      <c r="C263" s="524">
        <v>855.06</v>
      </c>
      <c r="D263" s="524">
        <v>139.65</v>
      </c>
      <c r="E263" s="539">
        <v>39.56</v>
      </c>
      <c r="F263" s="539">
        <v>302.81</v>
      </c>
      <c r="G263" s="483">
        <v>666.6</v>
      </c>
      <c r="H263" s="538">
        <v>666.6</v>
      </c>
      <c r="I263" s="483">
        <v>163.18</v>
      </c>
      <c r="J263" s="538">
        <v>163.18</v>
      </c>
      <c r="K263" s="483">
        <v>75.709999999999994</v>
      </c>
      <c r="L263" s="538">
        <v>75.709999999999994</v>
      </c>
      <c r="M263" s="540">
        <v>2213.4554570219502</v>
      </c>
      <c r="N263" s="541">
        <v>6506.6993859775957</v>
      </c>
      <c r="O263" s="542">
        <v>1337.08</v>
      </c>
      <c r="P263" s="542">
        <v>294.1576</v>
      </c>
      <c r="Q263" s="542">
        <v>132.90145865646258</v>
      </c>
      <c r="R263" s="542">
        <v>905.49</v>
      </c>
      <c r="S263" s="542">
        <v>2213.4554570219502</v>
      </c>
      <c r="T263" s="542">
        <v>1276.5549149147109</v>
      </c>
      <c r="U263" s="542">
        <v>347.05995538447178</v>
      </c>
      <c r="V263" s="543">
        <v>6506.6993859775957</v>
      </c>
      <c r="W263" s="544">
        <v>1.0068886599595253</v>
      </c>
      <c r="Y263" s="544">
        <v>0</v>
      </c>
      <c r="Z263" s="476">
        <v>2</v>
      </c>
    </row>
    <row r="264" spans="1:26" x14ac:dyDescent="0.3">
      <c r="A264" s="499">
        <v>150000900</v>
      </c>
      <c r="B264" s="477" t="s">
        <v>425</v>
      </c>
      <c r="C264" s="524">
        <v>379.95</v>
      </c>
      <c r="D264" s="524">
        <v>49.68</v>
      </c>
      <c r="E264" s="539">
        <v>26.97</v>
      </c>
      <c r="F264" s="539">
        <v>166.18</v>
      </c>
      <c r="G264" s="483">
        <v>428.79</v>
      </c>
      <c r="H264" s="538">
        <v>428.79</v>
      </c>
      <c r="I264" s="483">
        <v>109.05</v>
      </c>
      <c r="J264" s="538">
        <v>109.05</v>
      </c>
      <c r="K264" s="483"/>
      <c r="L264" s="538">
        <v>0</v>
      </c>
      <c r="M264" s="540">
        <v>1552.7717844759861</v>
      </c>
      <c r="N264" s="541">
        <v>3695.4332101622422</v>
      </c>
      <c r="O264" s="542">
        <v>622.78</v>
      </c>
      <c r="P264" s="542">
        <v>137.01159999999999</v>
      </c>
      <c r="Q264" s="542">
        <v>86.034324462708298</v>
      </c>
      <c r="R264" s="542">
        <v>537.84</v>
      </c>
      <c r="S264" s="542">
        <v>1552.7717844759861</v>
      </c>
      <c r="T264" s="542">
        <v>594.58885774268083</v>
      </c>
      <c r="U264" s="542">
        <v>164.40664348086679</v>
      </c>
      <c r="V264" s="543">
        <v>3695.4332101622422</v>
      </c>
      <c r="W264" s="544">
        <v>1.0982958775307889</v>
      </c>
      <c r="Y264" s="544">
        <v>0</v>
      </c>
      <c r="Z264" s="476">
        <v>1</v>
      </c>
    </row>
    <row r="265" spans="1:26" x14ac:dyDescent="0.3">
      <c r="A265" s="499">
        <v>150000901</v>
      </c>
      <c r="B265" s="477" t="s">
        <v>424</v>
      </c>
      <c r="C265" s="524">
        <v>1152.4000000000001</v>
      </c>
      <c r="D265" s="524">
        <v>202.33</v>
      </c>
      <c r="E265" s="539">
        <v>56.34</v>
      </c>
      <c r="F265" s="539">
        <v>456.37</v>
      </c>
      <c r="G265" s="483">
        <v>973.48</v>
      </c>
      <c r="H265" s="538">
        <v>973.48</v>
      </c>
      <c r="I265" s="483">
        <v>240.14</v>
      </c>
      <c r="J265" s="538">
        <v>240.14</v>
      </c>
      <c r="K265" s="483">
        <v>133.34</v>
      </c>
      <c r="L265" s="538">
        <v>133.34</v>
      </c>
      <c r="M265" s="540">
        <v>3547.3723676638319</v>
      </c>
      <c r="N265" s="541">
        <v>9615.2278998605798</v>
      </c>
      <c r="O265" s="542">
        <v>1867.44</v>
      </c>
      <c r="P265" s="542">
        <v>410.83679999999993</v>
      </c>
      <c r="Q265" s="542">
        <v>176.07718018402011</v>
      </c>
      <c r="R265" s="542">
        <v>1346.9599999999998</v>
      </c>
      <c r="S265" s="542">
        <v>3547.3723676638319</v>
      </c>
      <c r="T265" s="542">
        <v>1782.907313181207</v>
      </c>
      <c r="U265" s="542">
        <v>483.63423883152024</v>
      </c>
      <c r="V265" s="543">
        <v>9615.2278998605798</v>
      </c>
      <c r="W265" s="544">
        <v>1.0096676970150764</v>
      </c>
      <c r="Y265" s="544">
        <v>0</v>
      </c>
      <c r="Z265" s="476">
        <v>1</v>
      </c>
    </row>
    <row r="266" spans="1:26" x14ac:dyDescent="0.3">
      <c r="A266" s="499">
        <v>150000902</v>
      </c>
      <c r="B266" s="477" t="s">
        <v>403</v>
      </c>
      <c r="C266" s="524">
        <v>361.58</v>
      </c>
      <c r="D266" s="524">
        <v>92.14</v>
      </c>
      <c r="E266" s="539">
        <v>26.37</v>
      </c>
      <c r="F266" s="539">
        <v>286.27999999999997</v>
      </c>
      <c r="G266" s="483">
        <v>386.49</v>
      </c>
      <c r="H266" s="538">
        <v>386.49</v>
      </c>
      <c r="I266" s="483">
        <v>95.33</v>
      </c>
      <c r="J266" s="538">
        <v>95.33</v>
      </c>
      <c r="K266" s="483">
        <v>50.66</v>
      </c>
      <c r="L266" s="538">
        <v>50.66</v>
      </c>
      <c r="M266" s="540">
        <v>1276.0862891552979</v>
      </c>
      <c r="N266" s="541">
        <v>3770.9694802026052</v>
      </c>
      <c r="O266" s="542">
        <v>766.36999999999989</v>
      </c>
      <c r="P266" s="542">
        <v>168.60140000000001</v>
      </c>
      <c r="Q266" s="542">
        <v>94.713500302495603</v>
      </c>
      <c r="R266" s="542">
        <v>532.48</v>
      </c>
      <c r="S266" s="542">
        <v>1276.0862891552979</v>
      </c>
      <c r="T266" s="542">
        <v>731.67902454840919</v>
      </c>
      <c r="U266" s="542">
        <v>201.03926619640288</v>
      </c>
      <c r="V266" s="543">
        <v>3770.9694802026056</v>
      </c>
      <c r="W266" s="544">
        <v>1.0515229544852995</v>
      </c>
      <c r="Y266" s="544">
        <v>0</v>
      </c>
      <c r="Z266" s="476">
        <v>1</v>
      </c>
    </row>
    <row r="267" spans="1:26" x14ac:dyDescent="0.3">
      <c r="A267" s="499">
        <v>150000903</v>
      </c>
      <c r="B267" s="477" t="s">
        <v>404</v>
      </c>
      <c r="C267" s="524">
        <v>364.16</v>
      </c>
      <c r="D267" s="524">
        <v>52.76</v>
      </c>
      <c r="E267" s="539">
        <v>26.37</v>
      </c>
      <c r="F267" s="539">
        <v>289.13</v>
      </c>
      <c r="G267" s="483">
        <v>444.9</v>
      </c>
      <c r="H267" s="538">
        <v>444.9</v>
      </c>
      <c r="I267" s="483">
        <v>114.89</v>
      </c>
      <c r="J267" s="538">
        <v>114.89</v>
      </c>
      <c r="K267" s="483">
        <v>50.66</v>
      </c>
      <c r="L267" s="538">
        <v>50.66</v>
      </c>
      <c r="M267" s="540">
        <v>1451.5735416638797</v>
      </c>
      <c r="N267" s="541">
        <v>3940.0553819267589</v>
      </c>
      <c r="O267" s="542">
        <v>732.42000000000007</v>
      </c>
      <c r="P267" s="542">
        <v>161.13240000000002</v>
      </c>
      <c r="Q267" s="542">
        <v>92.817808442725493</v>
      </c>
      <c r="R267" s="542">
        <v>610.44999999999993</v>
      </c>
      <c r="S267" s="542">
        <v>1451.5735416638797</v>
      </c>
      <c r="T267" s="542">
        <v>699.26582611499134</v>
      </c>
      <c r="U267" s="542">
        <v>192.3958057051629</v>
      </c>
      <c r="V267" s="543">
        <v>3940.0553819267589</v>
      </c>
      <c r="W267" s="544">
        <v>1.1241940480819417</v>
      </c>
      <c r="Y267" s="544">
        <v>0</v>
      </c>
      <c r="Z267" s="476">
        <v>1</v>
      </c>
    </row>
    <row r="268" spans="1:26" x14ac:dyDescent="0.3">
      <c r="A268" s="499">
        <v>150000904</v>
      </c>
      <c r="B268" s="477" t="s">
        <v>405</v>
      </c>
      <c r="C268" s="524">
        <v>540.32000000000005</v>
      </c>
      <c r="D268" s="524">
        <v>93.33</v>
      </c>
      <c r="E268" s="539">
        <v>26.37</v>
      </c>
      <c r="F268" s="539">
        <v>189.53</v>
      </c>
      <c r="G268" s="483">
        <v>473.17</v>
      </c>
      <c r="H268" s="538">
        <v>473.17</v>
      </c>
      <c r="I268" s="483">
        <v>114.07</v>
      </c>
      <c r="J268" s="538">
        <v>114.07</v>
      </c>
      <c r="K268" s="483">
        <v>50.66</v>
      </c>
      <c r="L268" s="538">
        <v>50.66</v>
      </c>
      <c r="M268" s="540">
        <v>1563.2796404688349</v>
      </c>
      <c r="N268" s="541">
        <v>4352.3119824217947</v>
      </c>
      <c r="O268" s="542">
        <v>849.55000000000007</v>
      </c>
      <c r="P268" s="542">
        <v>186.90099999999998</v>
      </c>
      <c r="Q268" s="542">
        <v>83.2138865542166</v>
      </c>
      <c r="R268" s="542">
        <v>637.9</v>
      </c>
      <c r="S268" s="542">
        <v>1563.2796404688349</v>
      </c>
      <c r="T268" s="542">
        <v>811.09374754374676</v>
      </c>
      <c r="U268" s="542">
        <v>220.37370785499672</v>
      </c>
      <c r="V268" s="543">
        <v>4352.3119824217947</v>
      </c>
      <c r="W268" s="544">
        <v>1.1154728742007769</v>
      </c>
      <c r="Y268" s="544">
        <v>0</v>
      </c>
      <c r="Z268" s="476">
        <v>1</v>
      </c>
    </row>
    <row r="269" spans="1:26" x14ac:dyDescent="0.3">
      <c r="A269" s="499">
        <v>150000905</v>
      </c>
      <c r="B269" s="477" t="s">
        <v>426</v>
      </c>
      <c r="C269" s="524">
        <v>392.29</v>
      </c>
      <c r="D269" s="524">
        <v>67.599999999999994</v>
      </c>
      <c r="E269" s="539">
        <v>26.97</v>
      </c>
      <c r="F269" s="539">
        <v>242.91</v>
      </c>
      <c r="G269" s="483">
        <v>556.64</v>
      </c>
      <c r="H269" s="538">
        <v>556.64</v>
      </c>
      <c r="I269" s="483">
        <v>129.33000000000001</v>
      </c>
      <c r="J269" s="538">
        <v>129.33000000000001</v>
      </c>
      <c r="K269" s="483"/>
      <c r="L269" s="538">
        <v>0</v>
      </c>
      <c r="M269" s="540">
        <v>1861.0200428976086</v>
      </c>
      <c r="N269" s="541">
        <v>4392.9622112569978</v>
      </c>
      <c r="O269" s="542">
        <v>729.77</v>
      </c>
      <c r="P269" s="542">
        <v>160.54939999999999</v>
      </c>
      <c r="Q269" s="542">
        <v>69.8055473328358</v>
      </c>
      <c r="R269" s="542">
        <v>685.97</v>
      </c>
      <c r="S269" s="542">
        <v>1861.0200428976086</v>
      </c>
      <c r="T269" s="542">
        <v>696.7357826437526</v>
      </c>
      <c r="U269" s="542">
        <v>189.11143838280063</v>
      </c>
      <c r="V269" s="543">
        <v>4392.9622112569978</v>
      </c>
      <c r="W269" s="544">
        <v>8.5714285714285715E-2</v>
      </c>
      <c r="Y269" s="544"/>
      <c r="Z269" s="476">
        <v>2</v>
      </c>
    </row>
    <row r="270" spans="1:26" x14ac:dyDescent="0.3">
      <c r="A270" s="499">
        <v>150000906</v>
      </c>
      <c r="B270" s="477" t="s">
        <v>406</v>
      </c>
      <c r="C270" s="524">
        <v>354.83</v>
      </c>
      <c r="D270" s="524">
        <v>91.98</v>
      </c>
      <c r="E270" s="539">
        <v>26.37</v>
      </c>
      <c r="F270" s="539">
        <v>285.32</v>
      </c>
      <c r="G270" s="483">
        <v>418.87</v>
      </c>
      <c r="H270" s="538">
        <v>418.87</v>
      </c>
      <c r="I270" s="483">
        <v>101.69</v>
      </c>
      <c r="J270" s="538">
        <v>101.69</v>
      </c>
      <c r="K270" s="483">
        <v>50.66</v>
      </c>
      <c r="L270" s="538">
        <v>50.66</v>
      </c>
      <c r="M270" s="540">
        <v>1402.6010178369163</v>
      </c>
      <c r="N270" s="541">
        <v>3916.7805992797093</v>
      </c>
      <c r="O270" s="542">
        <v>758.5</v>
      </c>
      <c r="P270" s="542">
        <v>166.87</v>
      </c>
      <c r="Q270" s="542">
        <v>94.376951659591896</v>
      </c>
      <c r="R270" s="542">
        <v>571.21999999999991</v>
      </c>
      <c r="S270" s="542">
        <v>1402.6010178369163</v>
      </c>
      <c r="T270" s="542">
        <v>724.1652728055227</v>
      </c>
      <c r="U270" s="542">
        <v>199.0473569776787</v>
      </c>
      <c r="V270" s="543">
        <v>3916.7805992797098</v>
      </c>
      <c r="W270" s="544">
        <v>0.98828293422589175</v>
      </c>
      <c r="Y270" s="544">
        <v>0</v>
      </c>
      <c r="Z270" s="476">
        <v>2</v>
      </c>
    </row>
    <row r="271" spans="1:26" x14ac:dyDescent="0.3">
      <c r="A271" s="499">
        <v>150000907</v>
      </c>
      <c r="B271" s="477" t="s">
        <v>407</v>
      </c>
      <c r="C271" s="524">
        <v>848.84</v>
      </c>
      <c r="D271" s="524">
        <v>139.9</v>
      </c>
      <c r="E271" s="539">
        <v>39.56</v>
      </c>
      <c r="F271" s="539">
        <v>306.04000000000002</v>
      </c>
      <c r="G271" s="483">
        <v>684.54</v>
      </c>
      <c r="H271" s="538">
        <v>684.54</v>
      </c>
      <c r="I271" s="483">
        <v>161.24</v>
      </c>
      <c r="J271" s="538">
        <v>161.24</v>
      </c>
      <c r="K271" s="483">
        <v>98.23</v>
      </c>
      <c r="L271" s="538">
        <v>98.23</v>
      </c>
      <c r="M271" s="540">
        <v>2247.5694662710293</v>
      </c>
      <c r="N271" s="541">
        <v>6569.1675781103777</v>
      </c>
      <c r="O271" s="542">
        <v>1334.34</v>
      </c>
      <c r="P271" s="542">
        <v>293.5548</v>
      </c>
      <c r="Q271" s="542">
        <v>129.73585266409961</v>
      </c>
      <c r="R271" s="542">
        <v>944.01</v>
      </c>
      <c r="S271" s="542">
        <v>2247.5694662710293</v>
      </c>
      <c r="T271" s="542">
        <v>1273.9389454387888</v>
      </c>
      <c r="U271" s="542">
        <v>346.01851373646048</v>
      </c>
      <c r="V271" s="543">
        <v>6569.1675781103786</v>
      </c>
      <c r="W271" s="544">
        <v>1.0215483830653393</v>
      </c>
      <c r="Y271" s="544">
        <v>0</v>
      </c>
      <c r="Z271" s="476">
        <v>2</v>
      </c>
    </row>
    <row r="272" spans="1:26" x14ac:dyDescent="0.3">
      <c r="A272" s="499">
        <v>150000908</v>
      </c>
      <c r="B272" s="477" t="s">
        <v>408</v>
      </c>
      <c r="C272" s="524">
        <v>846.68</v>
      </c>
      <c r="D272" s="524">
        <v>140.18</v>
      </c>
      <c r="E272" s="539">
        <v>39.56</v>
      </c>
      <c r="F272" s="539">
        <v>308.33999999999997</v>
      </c>
      <c r="G272" s="483">
        <v>686.19</v>
      </c>
      <c r="H272" s="538">
        <v>686.19</v>
      </c>
      <c r="I272" s="483">
        <v>161.16</v>
      </c>
      <c r="J272" s="538">
        <v>161.16</v>
      </c>
      <c r="K272" s="483">
        <v>75.709999999999994</v>
      </c>
      <c r="L272" s="538">
        <v>75.709999999999994</v>
      </c>
      <c r="M272" s="540">
        <v>2253.6197678905132</v>
      </c>
      <c r="N272" s="541">
        <v>6555.3814315305699</v>
      </c>
      <c r="O272" s="542">
        <v>1334.7599999999998</v>
      </c>
      <c r="P272" s="542">
        <v>293.6472</v>
      </c>
      <c r="Q272" s="542">
        <v>129.82193813432019</v>
      </c>
      <c r="R272" s="542">
        <v>923.06000000000006</v>
      </c>
      <c r="S272" s="542">
        <v>2253.6197678905132</v>
      </c>
      <c r="T272" s="542">
        <v>1274.3399334606452</v>
      </c>
      <c r="U272" s="542">
        <v>346.13259204509097</v>
      </c>
      <c r="V272" s="543">
        <v>6555.3814315305699</v>
      </c>
      <c r="W272" s="544">
        <v>1.0178789612489438</v>
      </c>
      <c r="Y272" s="544">
        <v>0</v>
      </c>
      <c r="Z272" s="476">
        <v>2</v>
      </c>
    </row>
    <row r="273" spans="1:26" x14ac:dyDescent="0.3">
      <c r="A273" s="499">
        <v>150000909</v>
      </c>
      <c r="B273" s="477" t="s">
        <v>409</v>
      </c>
      <c r="C273" s="524">
        <v>845.8</v>
      </c>
      <c r="D273" s="524">
        <v>139.41</v>
      </c>
      <c r="E273" s="539">
        <v>39.56</v>
      </c>
      <c r="F273" s="539">
        <v>302.01</v>
      </c>
      <c r="G273" s="483">
        <v>688.04</v>
      </c>
      <c r="H273" s="538">
        <v>688.04</v>
      </c>
      <c r="I273" s="483">
        <v>166.5</v>
      </c>
      <c r="J273" s="538">
        <v>166.5</v>
      </c>
      <c r="K273" s="483">
        <v>75.709999999999994</v>
      </c>
      <c r="L273" s="538">
        <v>75.709999999999994</v>
      </c>
      <c r="M273" s="540">
        <v>2257.3504309032337</v>
      </c>
      <c r="N273" s="541">
        <v>6546.3493341685789</v>
      </c>
      <c r="O273" s="542">
        <v>1326.78</v>
      </c>
      <c r="P273" s="542">
        <v>291.89159999999998</v>
      </c>
      <c r="Q273" s="542">
        <v>129.2676195703221</v>
      </c>
      <c r="R273" s="542">
        <v>930.25</v>
      </c>
      <c r="S273" s="542">
        <v>2257.3504309032337</v>
      </c>
      <c r="T273" s="542">
        <v>1266.7211610453678</v>
      </c>
      <c r="U273" s="542">
        <v>344.0885226496556</v>
      </c>
      <c r="V273" s="543">
        <v>6546.3493341685798</v>
      </c>
      <c r="W273" s="544">
        <v>1.0310108161663618</v>
      </c>
      <c r="Y273" s="544">
        <v>0</v>
      </c>
      <c r="Z273" s="476">
        <v>2</v>
      </c>
    </row>
    <row r="274" spans="1:26" x14ac:dyDescent="0.3">
      <c r="A274" s="499">
        <v>150000910</v>
      </c>
      <c r="B274" s="477" t="s">
        <v>410</v>
      </c>
      <c r="C274" s="524">
        <v>841.92</v>
      </c>
      <c r="D274" s="524">
        <v>139.65</v>
      </c>
      <c r="E274" s="539">
        <v>39.56</v>
      </c>
      <c r="F274" s="539">
        <v>304.02</v>
      </c>
      <c r="G274" s="483">
        <v>688.04</v>
      </c>
      <c r="H274" s="538">
        <v>688.04</v>
      </c>
      <c r="I274" s="483">
        <v>162.32</v>
      </c>
      <c r="J274" s="538">
        <v>162.32</v>
      </c>
      <c r="K274" s="483">
        <v>75.709999999999994</v>
      </c>
      <c r="L274" s="538">
        <v>75.709999999999994</v>
      </c>
      <c r="M274" s="540">
        <v>2261.6832735235471</v>
      </c>
      <c r="N274" s="541">
        <v>6542.4062457954096</v>
      </c>
      <c r="O274" s="542">
        <v>1325.1499999999999</v>
      </c>
      <c r="P274" s="542">
        <v>291.53300000000002</v>
      </c>
      <c r="Q274" s="542">
        <v>129.1361134641821</v>
      </c>
      <c r="R274" s="542">
        <v>926.06999999999994</v>
      </c>
      <c r="S274" s="542">
        <v>2261.6832735235471</v>
      </c>
      <c r="T274" s="542">
        <v>1265.1649456272094</v>
      </c>
      <c r="U274" s="542">
        <v>343.66891318047141</v>
      </c>
      <c r="V274" s="543">
        <v>6542.4062457954105</v>
      </c>
      <c r="W274" s="544">
        <v>0.92980688730520522</v>
      </c>
      <c r="Y274" s="544">
        <v>0</v>
      </c>
      <c r="Z274" s="476">
        <v>2</v>
      </c>
    </row>
    <row r="275" spans="1:26" x14ac:dyDescent="0.3">
      <c r="A275" s="499">
        <v>150000911</v>
      </c>
      <c r="B275" s="477" t="s">
        <v>318</v>
      </c>
      <c r="C275" s="524">
        <v>676.71</v>
      </c>
      <c r="D275" s="524">
        <v>135.86000000000001</v>
      </c>
      <c r="E275" s="539">
        <v>67.73</v>
      </c>
      <c r="F275" s="539">
        <v>620.97</v>
      </c>
      <c r="G275" s="483">
        <v>729.4</v>
      </c>
      <c r="H275" s="538">
        <v>729.4</v>
      </c>
      <c r="I275" s="483"/>
      <c r="J275" s="538">
        <v>0</v>
      </c>
      <c r="K275" s="483">
        <v>93.66</v>
      </c>
      <c r="L275" s="538">
        <v>93.66</v>
      </c>
      <c r="M275" s="540">
        <v>2089.4848481025879</v>
      </c>
      <c r="N275" s="541">
        <v>6705.59345898018</v>
      </c>
      <c r="O275" s="542">
        <v>1501.27</v>
      </c>
      <c r="P275" s="542">
        <v>330.27940000000001</v>
      </c>
      <c r="Q275" s="542">
        <v>139.6060723972667</v>
      </c>
      <c r="R275" s="542">
        <v>823.06</v>
      </c>
      <c r="S275" s="542">
        <v>2089.4848481025879</v>
      </c>
      <c r="T275" s="542">
        <v>1433.3125894591262</v>
      </c>
      <c r="U275" s="542">
        <v>388.58054902119943</v>
      </c>
      <c r="V275" s="543">
        <v>6705.5934589801809</v>
      </c>
      <c r="W275" s="544">
        <v>1.1044037452880111</v>
      </c>
      <c r="Y275" s="544">
        <v>0</v>
      </c>
      <c r="Z275" s="476">
        <v>2</v>
      </c>
    </row>
    <row r="276" spans="1:26" x14ac:dyDescent="0.3">
      <c r="A276" s="499">
        <v>150000912</v>
      </c>
      <c r="B276" s="477" t="s">
        <v>319</v>
      </c>
      <c r="C276" s="524">
        <v>530.94000000000005</v>
      </c>
      <c r="D276" s="524">
        <v>102.01</v>
      </c>
      <c r="E276" s="539">
        <v>32.369999999999997</v>
      </c>
      <c r="F276" s="539">
        <v>397.71</v>
      </c>
      <c r="G276" s="483">
        <v>522.33000000000004</v>
      </c>
      <c r="H276" s="538">
        <v>522.33000000000004</v>
      </c>
      <c r="I276" s="483"/>
      <c r="J276" s="538">
        <v>0</v>
      </c>
      <c r="K276" s="483">
        <v>147.07</v>
      </c>
      <c r="L276" s="538">
        <v>147.07</v>
      </c>
      <c r="M276" s="540">
        <v>1591.8635742683039</v>
      </c>
      <c r="N276" s="541">
        <v>4952.6267709241965</v>
      </c>
      <c r="O276" s="542">
        <v>1063.03</v>
      </c>
      <c r="P276" s="542">
        <v>233.86660000000001</v>
      </c>
      <c r="Q276" s="542">
        <v>103.83846837995611</v>
      </c>
      <c r="R276" s="542">
        <v>669.40000000000009</v>
      </c>
      <c r="S276" s="542">
        <v>1591.8635742683039</v>
      </c>
      <c r="T276" s="542">
        <v>1014.9102306532035</v>
      </c>
      <c r="U276" s="542">
        <v>275.71789762273278</v>
      </c>
      <c r="V276" s="543">
        <v>4952.6267709241956</v>
      </c>
      <c r="W276" s="544">
        <v>1.0895759784586321</v>
      </c>
      <c r="Y276" s="544">
        <v>0</v>
      </c>
      <c r="Z276" s="476">
        <v>2</v>
      </c>
    </row>
    <row r="277" spans="1:26" x14ac:dyDescent="0.3">
      <c r="A277" s="499">
        <v>150000913</v>
      </c>
      <c r="B277" s="477" t="s">
        <v>320</v>
      </c>
      <c r="C277" s="524">
        <v>352.38</v>
      </c>
      <c r="D277" s="524">
        <v>67.41</v>
      </c>
      <c r="E277" s="539">
        <v>32.369999999999997</v>
      </c>
      <c r="F277" s="539">
        <v>219.35</v>
      </c>
      <c r="G277" s="483">
        <v>344.53</v>
      </c>
      <c r="H277" s="538">
        <v>344.53</v>
      </c>
      <c r="I277" s="483"/>
      <c r="J277" s="538">
        <v>0</v>
      </c>
      <c r="K277" s="483">
        <v>98.23</v>
      </c>
      <c r="L277" s="538">
        <v>98.23</v>
      </c>
      <c r="M277" s="540">
        <v>990.503501052601</v>
      </c>
      <c r="N277" s="541">
        <v>3151.9238758213387</v>
      </c>
      <c r="O277" s="542">
        <v>671.51</v>
      </c>
      <c r="P277" s="542">
        <v>147.73220000000001</v>
      </c>
      <c r="Q277" s="542">
        <v>82.236233993721299</v>
      </c>
      <c r="R277" s="542">
        <v>442.76</v>
      </c>
      <c r="S277" s="542">
        <v>990.503501052601</v>
      </c>
      <c r="T277" s="542">
        <v>641.11301561191374</v>
      </c>
      <c r="U277" s="542">
        <v>176.06892516310239</v>
      </c>
      <c r="V277" s="543">
        <v>3151.9238758213387</v>
      </c>
      <c r="W277" s="544">
        <v>1.0298544149338862</v>
      </c>
      <c r="Y277" s="544">
        <v>0</v>
      </c>
      <c r="Z277" s="476">
        <v>3</v>
      </c>
    </row>
    <row r="278" spans="1:26" x14ac:dyDescent="0.3">
      <c r="A278" s="499">
        <v>150000914</v>
      </c>
      <c r="B278" s="477" t="s">
        <v>321</v>
      </c>
      <c r="C278" s="524">
        <v>352.38</v>
      </c>
      <c r="D278" s="524">
        <v>67.41</v>
      </c>
      <c r="E278" s="539">
        <v>32.369999999999997</v>
      </c>
      <c r="F278" s="539">
        <v>219.35</v>
      </c>
      <c r="G278" s="483">
        <v>344.53</v>
      </c>
      <c r="H278" s="538">
        <v>344.53</v>
      </c>
      <c r="I278" s="483"/>
      <c r="J278" s="538">
        <v>0</v>
      </c>
      <c r="K278" s="483">
        <v>98.23</v>
      </c>
      <c r="L278" s="538">
        <v>98.23</v>
      </c>
      <c r="M278" s="540">
        <v>984.26078701412314</v>
      </c>
      <c r="N278" s="541">
        <v>3145.6811617828607</v>
      </c>
      <c r="O278" s="542">
        <v>671.51</v>
      </c>
      <c r="P278" s="542">
        <v>147.73220000000001</v>
      </c>
      <c r="Q278" s="542">
        <v>82.236233993721299</v>
      </c>
      <c r="R278" s="542">
        <v>442.76</v>
      </c>
      <c r="S278" s="542">
        <v>984.26078701412314</v>
      </c>
      <c r="T278" s="542">
        <v>641.11301561191374</v>
      </c>
      <c r="U278" s="542">
        <v>176.06892516310239</v>
      </c>
      <c r="V278" s="543">
        <v>3145.6811617828607</v>
      </c>
      <c r="W278" s="544">
        <v>1.1225977457676153</v>
      </c>
      <c r="Y278" s="544">
        <v>0</v>
      </c>
      <c r="Z278" s="476">
        <v>3</v>
      </c>
    </row>
    <row r="279" spans="1:26" x14ac:dyDescent="0.3">
      <c r="A279" s="499">
        <v>150000915</v>
      </c>
      <c r="B279" s="477" t="s">
        <v>322</v>
      </c>
      <c r="C279" s="524">
        <v>352.34</v>
      </c>
      <c r="D279" s="524">
        <v>67.41</v>
      </c>
      <c r="E279" s="539">
        <v>32.369999999999997</v>
      </c>
      <c r="F279" s="539">
        <v>219.31</v>
      </c>
      <c r="G279" s="483">
        <v>344.53</v>
      </c>
      <c r="H279" s="538">
        <v>344.53</v>
      </c>
      <c r="I279" s="483"/>
      <c r="J279" s="538">
        <v>0</v>
      </c>
      <c r="K279" s="483">
        <v>98.23</v>
      </c>
      <c r="L279" s="538">
        <v>98.23</v>
      </c>
      <c r="M279" s="540">
        <v>977.52635234932677</v>
      </c>
      <c r="N279" s="541">
        <v>3138.7466097805473</v>
      </c>
      <c r="O279" s="542">
        <v>671.43000000000006</v>
      </c>
      <c r="P279" s="542">
        <v>147.71459999999999</v>
      </c>
      <c r="Q279" s="542">
        <v>82.230596436526497</v>
      </c>
      <c r="R279" s="542">
        <v>442.76</v>
      </c>
      <c r="S279" s="542">
        <v>977.52635234932677</v>
      </c>
      <c r="T279" s="542">
        <v>641.03663694108388</v>
      </c>
      <c r="U279" s="542">
        <v>176.04842405361015</v>
      </c>
      <c r="V279" s="543">
        <v>3138.7466097805477</v>
      </c>
      <c r="W279" s="544">
        <v>1.129633052193298</v>
      </c>
      <c r="Y279" s="544">
        <v>0</v>
      </c>
      <c r="Z279" s="476">
        <v>3</v>
      </c>
    </row>
    <row r="280" spans="1:26" x14ac:dyDescent="0.3">
      <c r="A280" s="499">
        <v>150000916</v>
      </c>
      <c r="B280" s="477" t="s">
        <v>323</v>
      </c>
      <c r="C280" s="524">
        <v>694.81</v>
      </c>
      <c r="D280" s="524">
        <v>135.81</v>
      </c>
      <c r="E280" s="539">
        <v>67.73</v>
      </c>
      <c r="F280" s="539">
        <v>625.1</v>
      </c>
      <c r="G280" s="483">
        <v>722.23</v>
      </c>
      <c r="H280" s="538">
        <v>722.23</v>
      </c>
      <c r="I280" s="483"/>
      <c r="J280" s="538">
        <v>0</v>
      </c>
      <c r="K280" s="483">
        <v>93.66</v>
      </c>
      <c r="L280" s="538">
        <v>93.66</v>
      </c>
      <c r="M280" s="540">
        <v>2063.2989431546575</v>
      </c>
      <c r="N280" s="541">
        <v>6740.5861836413678</v>
      </c>
      <c r="O280" s="542">
        <v>1523.4499999999998</v>
      </c>
      <c r="P280" s="542">
        <v>335.15899999999999</v>
      </c>
      <c r="Q280" s="542">
        <v>152.7171098123199</v>
      </c>
      <c r="R280" s="542">
        <v>815.89</v>
      </c>
      <c r="S280" s="542">
        <v>2063.2989431546575</v>
      </c>
      <c r="T280" s="542">
        <v>1454.488575946702</v>
      </c>
      <c r="U280" s="542">
        <v>395.58255472768917</v>
      </c>
      <c r="V280" s="543">
        <v>6740.5861836413678</v>
      </c>
      <c r="W280" s="544">
        <v>1.0991614190310914</v>
      </c>
      <c r="Y280" s="544">
        <v>0</v>
      </c>
      <c r="Z280" s="476">
        <v>3</v>
      </c>
    </row>
    <row r="281" spans="1:26" x14ac:dyDescent="0.3">
      <c r="A281" s="499">
        <v>150000917</v>
      </c>
      <c r="B281" s="477" t="s">
        <v>324</v>
      </c>
      <c r="C281" s="524">
        <v>531.76</v>
      </c>
      <c r="D281" s="524">
        <v>102.14</v>
      </c>
      <c r="E281" s="539">
        <v>43.76</v>
      </c>
      <c r="F281" s="539">
        <v>399.54</v>
      </c>
      <c r="G281" s="483">
        <v>540.14</v>
      </c>
      <c r="H281" s="538">
        <v>540.14</v>
      </c>
      <c r="I281" s="483"/>
      <c r="J281" s="538">
        <v>0</v>
      </c>
      <c r="K281" s="483">
        <v>147.06</v>
      </c>
      <c r="L281" s="538">
        <v>147.06</v>
      </c>
      <c r="M281" s="540">
        <v>1584.0174234048743</v>
      </c>
      <c r="N281" s="541">
        <v>4997.551946103009</v>
      </c>
      <c r="O281" s="542">
        <v>1077.2</v>
      </c>
      <c r="P281" s="542">
        <v>236.98399999999998</v>
      </c>
      <c r="Q281" s="542">
        <v>104.4111693281057</v>
      </c>
      <c r="R281" s="542">
        <v>687.2</v>
      </c>
      <c r="S281" s="542">
        <v>1584.0174234048743</v>
      </c>
      <c r="T281" s="542">
        <v>1028.4388027239409</v>
      </c>
      <c r="U281" s="542">
        <v>279.30055064608803</v>
      </c>
      <c r="V281" s="543">
        <v>4997.551946103009</v>
      </c>
      <c r="W281" s="544">
        <v>1.0177009748193981</v>
      </c>
      <c r="Y281" s="544">
        <v>0</v>
      </c>
      <c r="Z281" s="476">
        <v>3</v>
      </c>
    </row>
    <row r="282" spans="1:26" x14ac:dyDescent="0.3">
      <c r="A282" s="499">
        <v>150000918</v>
      </c>
      <c r="B282" s="477" t="s">
        <v>325</v>
      </c>
      <c r="C282" s="524">
        <v>552.37</v>
      </c>
      <c r="D282" s="524">
        <v>114.92</v>
      </c>
      <c r="E282" s="539">
        <v>43.76</v>
      </c>
      <c r="F282" s="539">
        <v>410.55</v>
      </c>
      <c r="G282" s="483">
        <v>559.63</v>
      </c>
      <c r="H282" s="538">
        <v>559.63</v>
      </c>
      <c r="I282" s="483"/>
      <c r="J282" s="538">
        <v>0</v>
      </c>
      <c r="K282" s="483">
        <v>82.91</v>
      </c>
      <c r="L282" s="538">
        <v>82.91</v>
      </c>
      <c r="M282" s="540">
        <v>1635.9331446038598</v>
      </c>
      <c r="N282" s="541">
        <v>5114.6750577204912</v>
      </c>
      <c r="O282" s="542">
        <v>1121.5999999999999</v>
      </c>
      <c r="P282" s="542">
        <v>246.75199999999998</v>
      </c>
      <c r="Q282" s="542">
        <v>106.46498384446892</v>
      </c>
      <c r="R282" s="542">
        <v>642.54</v>
      </c>
      <c r="S282" s="542">
        <v>1635.9331446038598</v>
      </c>
      <c r="T282" s="542">
        <v>1070.8289650345082</v>
      </c>
      <c r="U282" s="542">
        <v>290.55596423765508</v>
      </c>
      <c r="V282" s="543">
        <v>5114.6750577204921</v>
      </c>
      <c r="W282" s="544">
        <v>1.1102824161096576</v>
      </c>
      <c r="Y282" s="544">
        <v>0</v>
      </c>
      <c r="Z282" s="476">
        <v>3</v>
      </c>
    </row>
    <row r="283" spans="1:26" x14ac:dyDescent="0.3">
      <c r="A283" s="499">
        <v>150000919</v>
      </c>
      <c r="B283" s="477" t="s">
        <v>326</v>
      </c>
      <c r="C283" s="524">
        <v>556.15</v>
      </c>
      <c r="D283" s="524">
        <v>114.9</v>
      </c>
      <c r="E283" s="539">
        <v>43.76</v>
      </c>
      <c r="F283" s="539">
        <v>414.99</v>
      </c>
      <c r="G283" s="483">
        <v>550.21</v>
      </c>
      <c r="H283" s="538">
        <v>550.21</v>
      </c>
      <c r="I283" s="483"/>
      <c r="J283" s="538">
        <v>0</v>
      </c>
      <c r="K283" s="483">
        <v>177.92</v>
      </c>
      <c r="L283" s="538">
        <v>177.92</v>
      </c>
      <c r="M283" s="540">
        <v>1627.203321890235</v>
      </c>
      <c r="N283" s="541">
        <v>5222.971556424035</v>
      </c>
      <c r="O283" s="542">
        <v>1129.8</v>
      </c>
      <c r="P283" s="542">
        <v>248.55599999999998</v>
      </c>
      <c r="Q283" s="542">
        <v>116.8479835965483</v>
      </c>
      <c r="R283" s="542">
        <v>728.13</v>
      </c>
      <c r="S283" s="542">
        <v>1627.203321890235</v>
      </c>
      <c r="T283" s="542">
        <v>1078.6577787945678</v>
      </c>
      <c r="U283" s="542">
        <v>293.77647214268387</v>
      </c>
      <c r="V283" s="543">
        <v>5222.971556424035</v>
      </c>
      <c r="W283" s="544">
        <v>1.1708089237504262</v>
      </c>
      <c r="Y283" s="544">
        <v>0</v>
      </c>
      <c r="Z283" s="476">
        <v>3</v>
      </c>
    </row>
    <row r="284" spans="1:26" x14ac:dyDescent="0.3">
      <c r="A284" s="499">
        <v>150000920</v>
      </c>
      <c r="B284" s="477" t="s">
        <v>327</v>
      </c>
      <c r="C284" s="524">
        <v>556.26</v>
      </c>
      <c r="D284" s="524">
        <v>114.92</v>
      </c>
      <c r="E284" s="539">
        <v>43.76</v>
      </c>
      <c r="F284" s="539">
        <v>415.35</v>
      </c>
      <c r="G284" s="483">
        <v>553.9</v>
      </c>
      <c r="H284" s="538">
        <v>553.9</v>
      </c>
      <c r="I284" s="483"/>
      <c r="J284" s="538">
        <v>0</v>
      </c>
      <c r="K284" s="483">
        <v>177.92</v>
      </c>
      <c r="L284" s="538">
        <v>177.92</v>
      </c>
      <c r="M284" s="540">
        <v>1622.6068029920407</v>
      </c>
      <c r="N284" s="541">
        <v>5223.2770075398566</v>
      </c>
      <c r="O284" s="542">
        <v>1130.29</v>
      </c>
      <c r="P284" s="542">
        <v>248.66379999999998</v>
      </c>
      <c r="Q284" s="542">
        <v>116.87017344554211</v>
      </c>
      <c r="R284" s="542">
        <v>731.81999999999994</v>
      </c>
      <c r="S284" s="542">
        <v>1622.6068029920407</v>
      </c>
      <c r="T284" s="542">
        <v>1079.1255981534007</v>
      </c>
      <c r="U284" s="542">
        <v>293.90063294887375</v>
      </c>
      <c r="V284" s="543">
        <v>5223.2770075398576</v>
      </c>
      <c r="W284" s="544">
        <v>1.0474403390176426</v>
      </c>
      <c r="Y284" s="544">
        <v>0</v>
      </c>
      <c r="Z284" s="476">
        <v>3</v>
      </c>
    </row>
    <row r="285" spans="1:26" x14ac:dyDescent="0.3">
      <c r="A285" s="499">
        <v>150000921</v>
      </c>
      <c r="B285" s="477" t="s">
        <v>328</v>
      </c>
      <c r="C285" s="524">
        <v>730.68</v>
      </c>
      <c r="D285" s="524">
        <v>153.46</v>
      </c>
      <c r="E285" s="539">
        <v>67.73</v>
      </c>
      <c r="F285" s="539">
        <v>658.9</v>
      </c>
      <c r="G285" s="483">
        <v>763.26</v>
      </c>
      <c r="H285" s="538">
        <v>763.26</v>
      </c>
      <c r="I285" s="483"/>
      <c r="J285" s="538">
        <v>0</v>
      </c>
      <c r="K285" s="483">
        <v>182.16</v>
      </c>
      <c r="L285" s="538">
        <v>182.16</v>
      </c>
      <c r="M285" s="540">
        <v>2199.9972772711908</v>
      </c>
      <c r="N285" s="541">
        <v>7255.1428901825748</v>
      </c>
      <c r="O285" s="542">
        <v>1610.77</v>
      </c>
      <c r="P285" s="542">
        <v>354.36939999999998</v>
      </c>
      <c r="Q285" s="542">
        <v>185.70765265757649</v>
      </c>
      <c r="R285" s="542">
        <v>945.42</v>
      </c>
      <c r="S285" s="542">
        <v>2199.9972772711908</v>
      </c>
      <c r="T285" s="542">
        <v>1537.8558951574844</v>
      </c>
      <c r="U285" s="542">
        <v>421.02266509632329</v>
      </c>
      <c r="V285" s="543">
        <v>7255.1428901825748</v>
      </c>
      <c r="W285" s="544">
        <v>0.84800237049395033</v>
      </c>
      <c r="Y285" s="544">
        <v>0</v>
      </c>
      <c r="Z285" s="476">
        <v>3</v>
      </c>
    </row>
    <row r="286" spans="1:26" x14ac:dyDescent="0.3">
      <c r="A286" s="499">
        <v>150000922</v>
      </c>
      <c r="B286" s="477" t="s">
        <v>401</v>
      </c>
      <c r="C286" s="524">
        <v>560.67999999999995</v>
      </c>
      <c r="D286" s="524">
        <v>92.71</v>
      </c>
      <c r="E286" s="539">
        <v>26.37</v>
      </c>
      <c r="F286" s="539">
        <v>179.9</v>
      </c>
      <c r="G286" s="483">
        <v>459.06</v>
      </c>
      <c r="H286" s="538">
        <v>459.06</v>
      </c>
      <c r="I286" s="483">
        <v>114.41</v>
      </c>
      <c r="J286" s="538">
        <v>114.41</v>
      </c>
      <c r="K286" s="483">
        <v>50.66</v>
      </c>
      <c r="L286" s="538">
        <v>50.66</v>
      </c>
      <c r="M286" s="540">
        <v>1513.3058594245128</v>
      </c>
      <c r="N286" s="541">
        <v>4322.2269251067255</v>
      </c>
      <c r="O286" s="542">
        <v>859.66</v>
      </c>
      <c r="P286" s="542">
        <v>189.12520000000001</v>
      </c>
      <c r="Q286" s="542">
        <v>91.437872860729598</v>
      </c>
      <c r="R286" s="542">
        <v>624.13</v>
      </c>
      <c r="S286" s="542">
        <v>1513.3058594245128</v>
      </c>
      <c r="T286" s="542">
        <v>820.74610206986904</v>
      </c>
      <c r="U286" s="542">
        <v>223.82189075161395</v>
      </c>
      <c r="V286" s="543">
        <v>4322.2269251067255</v>
      </c>
      <c r="W286" s="544">
        <v>0.96581099078514421</v>
      </c>
      <c r="Y286" s="544">
        <v>0</v>
      </c>
      <c r="Z286" s="476">
        <v>3</v>
      </c>
    </row>
    <row r="287" spans="1:26" x14ac:dyDescent="0.3">
      <c r="A287" s="499">
        <v>150000924</v>
      </c>
      <c r="B287" s="477" t="s">
        <v>174</v>
      </c>
      <c r="C287" s="524">
        <v>80.08</v>
      </c>
      <c r="D287" s="524">
        <v>22.18</v>
      </c>
      <c r="E287" s="539">
        <v>0</v>
      </c>
      <c r="F287" s="539">
        <v>36.61</v>
      </c>
      <c r="G287" s="483">
        <v>54.67</v>
      </c>
      <c r="H287" s="538">
        <v>54.67</v>
      </c>
      <c r="I287" s="483"/>
      <c r="J287" s="538">
        <v>0</v>
      </c>
      <c r="K287" s="483">
        <v>33.11</v>
      </c>
      <c r="L287" s="538">
        <v>33.11</v>
      </c>
      <c r="M287" s="540">
        <v>169.00224134988906</v>
      </c>
      <c r="N287" s="541">
        <v>613.76760603243804</v>
      </c>
      <c r="O287" s="542">
        <v>138.87</v>
      </c>
      <c r="P287" s="542">
        <v>30.551400000000001</v>
      </c>
      <c r="Q287" s="542">
        <v>18.40861527255143</v>
      </c>
      <c r="R287" s="542">
        <v>87.78</v>
      </c>
      <c r="S287" s="542">
        <v>169.00224134988906</v>
      </c>
      <c r="T287" s="542">
        <v>132.5838252267672</v>
      </c>
      <c r="U287" s="542">
        <v>36.571524183230295</v>
      </c>
      <c r="V287" s="543">
        <v>613.76760603243804</v>
      </c>
      <c r="W287" s="544">
        <v>1.0529610700590861</v>
      </c>
      <c r="Y287" s="544">
        <v>0</v>
      </c>
      <c r="Z287" s="476">
        <v>3</v>
      </c>
    </row>
    <row r="288" spans="1:26" x14ac:dyDescent="0.3">
      <c r="A288" s="499">
        <v>150000925</v>
      </c>
      <c r="B288" s="477" t="s">
        <v>176</v>
      </c>
      <c r="C288" s="524">
        <v>80.11</v>
      </c>
      <c r="D288" s="524">
        <v>18.190000000000001</v>
      </c>
      <c r="E288" s="539">
        <v>0</v>
      </c>
      <c r="F288" s="539">
        <v>36.04</v>
      </c>
      <c r="G288" s="483">
        <v>47.93</v>
      </c>
      <c r="H288" s="538">
        <v>47.93</v>
      </c>
      <c r="I288" s="483"/>
      <c r="J288" s="538">
        <v>0</v>
      </c>
      <c r="K288" s="483">
        <v>33.11</v>
      </c>
      <c r="L288" s="538">
        <v>33.11</v>
      </c>
      <c r="M288" s="540">
        <v>170.81946975150078</v>
      </c>
      <c r="N288" s="541">
        <v>597.4313508321851</v>
      </c>
      <c r="O288" s="542">
        <v>134.34</v>
      </c>
      <c r="P288" s="542">
        <v>29.554799999999997</v>
      </c>
      <c r="Q288" s="542">
        <v>18.015933301505299</v>
      </c>
      <c r="R288" s="542">
        <v>81.039999999999992</v>
      </c>
      <c r="S288" s="542">
        <v>170.81946975150078</v>
      </c>
      <c r="T288" s="542">
        <v>128.25888299102692</v>
      </c>
      <c r="U288" s="542">
        <v>35.402264788152081</v>
      </c>
      <c r="V288" s="543">
        <v>597.43135083218499</v>
      </c>
      <c r="W288" s="544">
        <v>0.96716956697107337</v>
      </c>
      <c r="Y288" s="544">
        <v>0</v>
      </c>
      <c r="Z288" s="476">
        <v>3</v>
      </c>
    </row>
    <row r="289" spans="1:26" x14ac:dyDescent="0.3">
      <c r="A289" s="499">
        <v>150000926</v>
      </c>
      <c r="B289" s="477" t="s">
        <v>177</v>
      </c>
      <c r="C289" s="524">
        <v>47.56</v>
      </c>
      <c r="D289" s="524">
        <v>18.190000000000001</v>
      </c>
      <c r="E289" s="539">
        <v>0</v>
      </c>
      <c r="F289" s="539">
        <v>36.04</v>
      </c>
      <c r="G289" s="483"/>
      <c r="H289" s="538">
        <v>0</v>
      </c>
      <c r="I289" s="483"/>
      <c r="J289" s="538">
        <v>0</v>
      </c>
      <c r="K289" s="483">
        <v>30.94</v>
      </c>
      <c r="L289" s="538">
        <v>30.94</v>
      </c>
      <c r="M289" s="540">
        <v>144.13115459841899</v>
      </c>
      <c r="N289" s="541">
        <v>438.70629255250219</v>
      </c>
      <c r="O289" s="542">
        <v>101.78999999999999</v>
      </c>
      <c r="P289" s="542">
        <v>22.393799999999999</v>
      </c>
      <c r="Q289" s="542">
        <v>15.260807897589471</v>
      </c>
      <c r="R289" s="542">
        <v>30.94</v>
      </c>
      <c r="S289" s="542">
        <v>144.13115459841899</v>
      </c>
      <c r="T289" s="542">
        <v>97.182311297131392</v>
      </c>
      <c r="U289" s="542">
        <v>27.00821875936229</v>
      </c>
      <c r="V289" s="543">
        <v>438.70629255250213</v>
      </c>
      <c r="W289" s="544">
        <v>0.99202515953360715</v>
      </c>
      <c r="Y289" s="544">
        <v>0</v>
      </c>
      <c r="Z289" s="476">
        <v>3</v>
      </c>
    </row>
    <row r="290" spans="1:26" x14ac:dyDescent="0.3">
      <c r="A290" s="499">
        <v>150000927</v>
      </c>
      <c r="B290" s="477" t="s">
        <v>178</v>
      </c>
      <c r="C290" s="524">
        <v>94.17</v>
      </c>
      <c r="D290" s="524">
        <v>24.05</v>
      </c>
      <c r="E290" s="539">
        <v>0</v>
      </c>
      <c r="F290" s="539">
        <v>36.61</v>
      </c>
      <c r="G290" s="483">
        <v>75.36</v>
      </c>
      <c r="H290" s="538">
        <v>75.36</v>
      </c>
      <c r="I290" s="483"/>
      <c r="J290" s="538">
        <v>0</v>
      </c>
      <c r="K290" s="483">
        <v>80.08</v>
      </c>
      <c r="L290" s="538">
        <v>80.08</v>
      </c>
      <c r="M290" s="540">
        <v>214.82490261405886</v>
      </c>
      <c r="N290" s="541">
        <v>767.74138679883288</v>
      </c>
      <c r="O290" s="542">
        <v>154.82999999999998</v>
      </c>
      <c r="P290" s="542">
        <v>34.062600000000003</v>
      </c>
      <c r="Q290" s="542">
        <v>20.042859229118932</v>
      </c>
      <c r="R290" s="542">
        <v>155.44</v>
      </c>
      <c r="S290" s="542">
        <v>214.82490261405886</v>
      </c>
      <c r="T290" s="542">
        <v>147.82137005732244</v>
      </c>
      <c r="U290" s="542">
        <v>40.719654898332642</v>
      </c>
      <c r="V290" s="543">
        <v>767.74138679883299</v>
      </c>
      <c r="W290" s="544">
        <v>0.84109636624423156</v>
      </c>
      <c r="Y290" s="544">
        <v>0</v>
      </c>
      <c r="Z290" s="476">
        <v>3</v>
      </c>
    </row>
    <row r="291" spans="1:26" x14ac:dyDescent="0.3">
      <c r="A291" s="499">
        <v>150000928</v>
      </c>
      <c r="B291" s="477" t="s">
        <v>169</v>
      </c>
      <c r="C291" s="524">
        <v>85.24</v>
      </c>
      <c r="D291" s="524">
        <v>19.010000000000002</v>
      </c>
      <c r="E291" s="539">
        <v>0</v>
      </c>
      <c r="F291" s="539">
        <v>36.04</v>
      </c>
      <c r="G291" s="483">
        <v>54.37</v>
      </c>
      <c r="H291" s="538">
        <v>54.37</v>
      </c>
      <c r="I291" s="483"/>
      <c r="J291" s="538">
        <v>0</v>
      </c>
      <c r="K291" s="483">
        <v>33.74</v>
      </c>
      <c r="L291" s="538">
        <v>33.74</v>
      </c>
      <c r="M291" s="540">
        <v>170.74820589261404</v>
      </c>
      <c r="N291" s="541">
        <v>619.5745264993152</v>
      </c>
      <c r="O291" s="542">
        <v>140.29</v>
      </c>
      <c r="P291" s="542">
        <v>30.863800000000001</v>
      </c>
      <c r="Q291" s="542">
        <v>18.669230353312798</v>
      </c>
      <c r="R291" s="542">
        <v>88.11</v>
      </c>
      <c r="S291" s="542">
        <v>170.74820589261404</v>
      </c>
      <c r="T291" s="542">
        <v>133.93954663399708</v>
      </c>
      <c r="U291" s="542">
        <v>36.953743619391318</v>
      </c>
      <c r="V291" s="543">
        <v>619.5745264993152</v>
      </c>
      <c r="W291" s="544">
        <v>0.99502601369786037</v>
      </c>
      <c r="Y291" s="544">
        <v>0</v>
      </c>
      <c r="Z291" s="476">
        <v>3</v>
      </c>
    </row>
    <row r="292" spans="1:26" x14ac:dyDescent="0.3">
      <c r="A292" s="499">
        <v>150000929</v>
      </c>
      <c r="B292" s="477" t="s">
        <v>1096</v>
      </c>
      <c r="C292" s="524">
        <v>89.44</v>
      </c>
      <c r="D292" s="524">
        <v>19.010000000000002</v>
      </c>
      <c r="E292" s="539">
        <v>0</v>
      </c>
      <c r="F292" s="539">
        <v>36.04</v>
      </c>
      <c r="G292" s="483"/>
      <c r="H292" s="538">
        <v>0</v>
      </c>
      <c r="I292" s="483"/>
      <c r="J292" s="538">
        <v>0</v>
      </c>
      <c r="K292" s="483">
        <v>39.369999999999997</v>
      </c>
      <c r="L292" s="538">
        <v>39.369999999999997</v>
      </c>
      <c r="M292" s="540">
        <v>174.16887111917728</v>
      </c>
      <c r="N292" s="541">
        <v>584.80688138475841</v>
      </c>
      <c r="O292" s="542">
        <v>144.49</v>
      </c>
      <c r="P292" s="542">
        <v>31.787800000000001</v>
      </c>
      <c r="Q292" s="542">
        <v>19.006067261665301</v>
      </c>
      <c r="R292" s="542">
        <v>39.369999999999997</v>
      </c>
      <c r="S292" s="542">
        <v>174.16887111917728</v>
      </c>
      <c r="T292" s="542">
        <v>137.94942685256424</v>
      </c>
      <c r="U292" s="542">
        <v>38.034716151351631</v>
      </c>
      <c r="V292" s="543">
        <v>584.80688138475841</v>
      </c>
      <c r="W292" s="544">
        <v>1.0414455221855021</v>
      </c>
      <c r="Y292" s="544">
        <v>0</v>
      </c>
      <c r="Z292" s="476">
        <v>3</v>
      </c>
    </row>
    <row r="293" spans="1:26" x14ac:dyDescent="0.3">
      <c r="A293" s="499">
        <v>150000930</v>
      </c>
      <c r="B293" s="477" t="s">
        <v>172</v>
      </c>
      <c r="C293" s="524">
        <v>28.33</v>
      </c>
      <c r="D293" s="524">
        <v>11.5</v>
      </c>
      <c r="E293" s="539">
        <v>0</v>
      </c>
      <c r="F293" s="539">
        <v>12.33</v>
      </c>
      <c r="G293" s="483">
        <v>41.44</v>
      </c>
      <c r="H293" s="538">
        <v>41.44</v>
      </c>
      <c r="I293" s="483"/>
      <c r="J293" s="538">
        <v>0</v>
      </c>
      <c r="K293" s="483">
        <v>34.729999999999997</v>
      </c>
      <c r="L293" s="538">
        <v>34.729999999999997</v>
      </c>
      <c r="M293" s="540">
        <v>116.83709664479997</v>
      </c>
      <c r="N293" s="541">
        <v>328.10013002952093</v>
      </c>
      <c r="O293" s="542">
        <v>52.16</v>
      </c>
      <c r="P293" s="542">
        <v>11.475199999999999</v>
      </c>
      <c r="Q293" s="542">
        <v>7.8192742184553294</v>
      </c>
      <c r="R293" s="542">
        <v>76.169999999999987</v>
      </c>
      <c r="S293" s="542">
        <v>116.83709664479997</v>
      </c>
      <c r="T293" s="542">
        <v>49.798893381062712</v>
      </c>
      <c r="U293" s="542">
        <v>13.839665785202921</v>
      </c>
      <c r="V293" s="543">
        <v>328.10013002952087</v>
      </c>
      <c r="W293" s="544">
        <v>1.0364698249931332</v>
      </c>
      <c r="Y293" s="544">
        <v>0</v>
      </c>
      <c r="Z293" s="476">
        <v>3</v>
      </c>
    </row>
    <row r="294" spans="1:26" x14ac:dyDescent="0.3">
      <c r="A294" s="499">
        <v>150000931</v>
      </c>
      <c r="B294" s="477" t="s">
        <v>266</v>
      </c>
      <c r="C294" s="524">
        <v>264.92</v>
      </c>
      <c r="D294" s="524">
        <v>55.89</v>
      </c>
      <c r="E294" s="539">
        <v>17.98</v>
      </c>
      <c r="F294" s="539">
        <v>180.49</v>
      </c>
      <c r="G294" s="483">
        <v>258.68</v>
      </c>
      <c r="H294" s="538">
        <v>258.68</v>
      </c>
      <c r="I294" s="483">
        <v>65.27</v>
      </c>
      <c r="J294" s="538">
        <v>65.27</v>
      </c>
      <c r="K294" s="483">
        <v>50.66</v>
      </c>
      <c r="L294" s="538">
        <v>50.66</v>
      </c>
      <c r="M294" s="540">
        <v>816.80140820913175</v>
      </c>
      <c r="N294" s="541">
        <v>2530.1215638172589</v>
      </c>
      <c r="O294" s="542">
        <v>519.28</v>
      </c>
      <c r="P294" s="542">
        <v>114.24160000000001</v>
      </c>
      <c r="Q294" s="542">
        <v>72.269846984889398</v>
      </c>
      <c r="R294" s="542">
        <v>374.61</v>
      </c>
      <c r="S294" s="542">
        <v>816.80140820913175</v>
      </c>
      <c r="T294" s="542">
        <v>495.77395235656149</v>
      </c>
      <c r="U294" s="542">
        <v>137.14475626667596</v>
      </c>
      <c r="V294" s="543">
        <v>2530.1215638172584</v>
      </c>
      <c r="W294" s="544">
        <v>1.0333311762028574</v>
      </c>
      <c r="Y294" s="544">
        <v>0</v>
      </c>
      <c r="Z294" s="476">
        <v>3</v>
      </c>
    </row>
    <row r="295" spans="1:26" x14ac:dyDescent="0.3">
      <c r="A295" s="499">
        <v>150000932</v>
      </c>
      <c r="B295" s="477" t="s">
        <v>173</v>
      </c>
      <c r="C295" s="524">
        <v>14.442</v>
      </c>
      <c r="D295" s="524">
        <v>8.18</v>
      </c>
      <c r="E295" s="539">
        <v>0</v>
      </c>
      <c r="F295" s="539">
        <v>3.71</v>
      </c>
      <c r="G295" s="483">
        <v>40.31</v>
      </c>
      <c r="H295" s="538">
        <v>40.31</v>
      </c>
      <c r="I295" s="483"/>
      <c r="J295" s="538">
        <v>0</v>
      </c>
      <c r="K295" s="483">
        <v>68.06</v>
      </c>
      <c r="L295" s="538">
        <v>68.06</v>
      </c>
      <c r="M295" s="540">
        <v>126.24392601784884</v>
      </c>
      <c r="N295" s="541">
        <v>309.79685831188993</v>
      </c>
      <c r="O295" s="542">
        <v>26.332000000000001</v>
      </c>
      <c r="P295" s="542">
        <v>5.7930400000000004</v>
      </c>
      <c r="Q295" s="542">
        <v>10.215703910979469</v>
      </c>
      <c r="R295" s="542">
        <v>108.37</v>
      </c>
      <c r="S295" s="542">
        <v>126.24392601784884</v>
      </c>
      <c r="T295" s="542">
        <v>25.140039503645387</v>
      </c>
      <c r="U295" s="542">
        <v>7.7021488794162334</v>
      </c>
      <c r="V295" s="543">
        <v>309.79685831188993</v>
      </c>
      <c r="W295" s="544">
        <v>1.030730343496957</v>
      </c>
      <c r="Y295" s="544">
        <v>0</v>
      </c>
      <c r="Z295" s="476">
        <v>3</v>
      </c>
    </row>
    <row r="296" spans="1:26" x14ac:dyDescent="0.3">
      <c r="A296" s="499">
        <v>150000933</v>
      </c>
      <c r="B296" s="477" t="s">
        <v>267</v>
      </c>
      <c r="C296" s="524">
        <v>467.81</v>
      </c>
      <c r="D296" s="524">
        <v>97.61</v>
      </c>
      <c r="E296" s="539">
        <v>29.97</v>
      </c>
      <c r="F296" s="539">
        <v>336.23</v>
      </c>
      <c r="G296" s="483">
        <v>539.11</v>
      </c>
      <c r="H296" s="538">
        <v>539.11</v>
      </c>
      <c r="I296" s="483">
        <v>128.52000000000001</v>
      </c>
      <c r="J296" s="538">
        <v>128.52000000000001</v>
      </c>
      <c r="K296" s="483">
        <v>100.77</v>
      </c>
      <c r="L296" s="538">
        <v>100.77</v>
      </c>
      <c r="M296" s="540">
        <v>1687.1968014940319</v>
      </c>
      <c r="N296" s="541">
        <v>4828.0481839939257</v>
      </c>
      <c r="O296" s="542">
        <v>931.62</v>
      </c>
      <c r="P296" s="542">
        <v>204.95639999999997</v>
      </c>
      <c r="Q296" s="542">
        <v>103.379430791061</v>
      </c>
      <c r="R296" s="542">
        <v>768.4</v>
      </c>
      <c r="S296" s="542">
        <v>1687.1968014940319</v>
      </c>
      <c r="T296" s="542">
        <v>889.44871648131982</v>
      </c>
      <c r="U296" s="542">
        <v>243.04683522751273</v>
      </c>
      <c r="V296" s="543">
        <v>4828.0481839939257</v>
      </c>
      <c r="W296" s="544">
        <v>1.1435030659506999</v>
      </c>
      <c r="Y296" s="544">
        <v>0</v>
      </c>
      <c r="Z296" s="476">
        <v>3</v>
      </c>
    </row>
    <row r="297" spans="1:26" x14ac:dyDescent="0.3">
      <c r="A297" s="499">
        <v>150000934</v>
      </c>
      <c r="B297" s="477" t="s">
        <v>215</v>
      </c>
      <c r="C297" s="524">
        <v>219.15</v>
      </c>
      <c r="D297" s="524">
        <v>31.68</v>
      </c>
      <c r="E297" s="539">
        <v>0</v>
      </c>
      <c r="F297" s="539">
        <v>139.53</v>
      </c>
      <c r="G297" s="483">
        <v>212.44</v>
      </c>
      <c r="H297" s="538">
        <v>212.44</v>
      </c>
      <c r="I297" s="483"/>
      <c r="J297" s="538">
        <v>0</v>
      </c>
      <c r="K297" s="483">
        <v>53.81</v>
      </c>
      <c r="L297" s="538">
        <v>53.81</v>
      </c>
      <c r="M297" s="540">
        <v>705.92909655315145</v>
      </c>
      <c r="N297" s="541">
        <v>1985.22268434428</v>
      </c>
      <c r="O297" s="542">
        <v>390.36</v>
      </c>
      <c r="P297" s="542">
        <v>85.879199999999997</v>
      </c>
      <c r="Q297" s="542">
        <v>60.332963343267402</v>
      </c>
      <c r="R297" s="542">
        <v>266.25</v>
      </c>
      <c r="S297" s="542">
        <v>705.92909655315145</v>
      </c>
      <c r="T297" s="542">
        <v>372.68972431425686</v>
      </c>
      <c r="U297" s="542">
        <v>103.78170013360422</v>
      </c>
      <c r="V297" s="543">
        <v>1985.22268434428</v>
      </c>
      <c r="W297" s="544">
        <v>1.1085852488459358</v>
      </c>
      <c r="Y297" s="544">
        <v>0</v>
      </c>
      <c r="Z297" s="476">
        <v>3</v>
      </c>
    </row>
    <row r="298" spans="1:26" x14ac:dyDescent="0.3">
      <c r="A298" s="499">
        <v>150000935</v>
      </c>
      <c r="B298" s="477" t="s">
        <v>175</v>
      </c>
      <c r="C298" s="524">
        <v>18.506999999999998</v>
      </c>
      <c r="D298" s="524">
        <v>9.4600000000000009</v>
      </c>
      <c r="E298" s="539">
        <v>0</v>
      </c>
      <c r="F298" s="539">
        <v>12.125</v>
      </c>
      <c r="G298" s="483">
        <v>31.96</v>
      </c>
      <c r="H298" s="538">
        <v>31.96</v>
      </c>
      <c r="I298" s="483"/>
      <c r="J298" s="538">
        <v>0</v>
      </c>
      <c r="K298" s="483">
        <v>8.69</v>
      </c>
      <c r="L298" s="538">
        <v>8.69</v>
      </c>
      <c r="M298" s="540">
        <v>101.97858206691599</v>
      </c>
      <c r="N298" s="541">
        <v>247.38932401688766</v>
      </c>
      <c r="O298" s="542">
        <v>40.091999999999999</v>
      </c>
      <c r="P298" s="542">
        <v>8.8202400000000001</v>
      </c>
      <c r="Q298" s="542">
        <v>6.8390703416895207</v>
      </c>
      <c r="R298" s="542">
        <v>40.65</v>
      </c>
      <c r="S298" s="542">
        <v>101.97858206691599</v>
      </c>
      <c r="T298" s="542">
        <v>38.277170886379722</v>
      </c>
      <c r="U298" s="542">
        <v>10.732260721902437</v>
      </c>
      <c r="V298" s="543">
        <v>247.38932401688766</v>
      </c>
      <c r="W298" s="544">
        <v>1.1338589821719891</v>
      </c>
      <c r="Y298" s="544">
        <v>0</v>
      </c>
      <c r="Z298" s="476">
        <v>3</v>
      </c>
    </row>
    <row r="299" spans="1:26" x14ac:dyDescent="0.3">
      <c r="A299" s="499">
        <v>150000936</v>
      </c>
      <c r="B299" s="477" t="s">
        <v>121</v>
      </c>
      <c r="C299" s="524">
        <v>0</v>
      </c>
      <c r="D299" s="524">
        <v>0</v>
      </c>
      <c r="E299" s="539">
        <v>0</v>
      </c>
      <c r="F299" s="539">
        <v>0</v>
      </c>
      <c r="G299" s="483"/>
      <c r="H299" s="538">
        <v>0</v>
      </c>
      <c r="I299" s="483"/>
      <c r="J299" s="538">
        <v>0</v>
      </c>
      <c r="K299" s="483">
        <v>29.35</v>
      </c>
      <c r="L299" s="538">
        <v>29.35</v>
      </c>
      <c r="M299" s="540">
        <v>0</v>
      </c>
      <c r="N299" s="541">
        <v>29.35</v>
      </c>
      <c r="O299" s="542">
        <v>0</v>
      </c>
      <c r="P299" s="542">
        <v>0</v>
      </c>
      <c r="Q299" s="542">
        <v>0</v>
      </c>
      <c r="R299" s="542">
        <v>29.35</v>
      </c>
      <c r="S299" s="542">
        <v>0</v>
      </c>
      <c r="T299" s="542">
        <v>0</v>
      </c>
      <c r="U299" s="542">
        <v>0</v>
      </c>
      <c r="V299" s="543">
        <v>29.35</v>
      </c>
      <c r="W299" s="544">
        <v>1.1387905592379033</v>
      </c>
      <c r="Y299" s="544">
        <v>0</v>
      </c>
      <c r="Z299" s="476">
        <v>3</v>
      </c>
    </row>
    <row r="300" spans="1:26" x14ac:dyDescent="0.3">
      <c r="A300" s="499">
        <v>150000937</v>
      </c>
      <c r="B300" s="477" t="s">
        <v>374</v>
      </c>
      <c r="C300" s="524">
        <v>194.72</v>
      </c>
      <c r="D300" s="524">
        <v>75.86</v>
      </c>
      <c r="E300" s="539">
        <v>38.96</v>
      </c>
      <c r="F300" s="539">
        <v>247.04</v>
      </c>
      <c r="G300" s="483">
        <v>441.65</v>
      </c>
      <c r="H300" s="538">
        <v>441.65</v>
      </c>
      <c r="I300" s="483">
        <v>103.69</v>
      </c>
      <c r="J300" s="538">
        <v>103.69</v>
      </c>
      <c r="K300" s="483">
        <v>78.22</v>
      </c>
      <c r="L300" s="538">
        <v>78.22</v>
      </c>
      <c r="M300" s="540">
        <v>1358.752365463909</v>
      </c>
      <c r="N300" s="541">
        <v>3494.7518178817359</v>
      </c>
      <c r="O300" s="542">
        <v>556.57999999999993</v>
      </c>
      <c r="P300" s="542">
        <v>122.44759999999999</v>
      </c>
      <c r="Q300" s="542">
        <v>147.08381357423951</v>
      </c>
      <c r="R300" s="542">
        <v>623.55999999999995</v>
      </c>
      <c r="S300" s="542">
        <v>1358.752365463909</v>
      </c>
      <c r="T300" s="542">
        <v>531.38550763097942</v>
      </c>
      <c r="U300" s="542">
        <v>154.94253121260817</v>
      </c>
      <c r="V300" s="543">
        <v>3494.7518178817359</v>
      </c>
      <c r="W300" s="544">
        <v>1.1441082633886956</v>
      </c>
      <c r="Y300" s="544">
        <v>0</v>
      </c>
      <c r="Z300" s="476">
        <v>3</v>
      </c>
    </row>
    <row r="301" spans="1:26" x14ac:dyDescent="0.3">
      <c r="A301" s="499">
        <v>150000938</v>
      </c>
      <c r="B301" s="477" t="s">
        <v>375</v>
      </c>
      <c r="C301" s="524">
        <v>1784.68</v>
      </c>
      <c r="D301" s="524">
        <v>280.61</v>
      </c>
      <c r="E301" s="539">
        <v>92.31</v>
      </c>
      <c r="F301" s="539">
        <v>1125.78</v>
      </c>
      <c r="G301" s="483">
        <v>1873.78</v>
      </c>
      <c r="H301" s="538">
        <v>1873.78</v>
      </c>
      <c r="I301" s="483">
        <v>417.97</v>
      </c>
      <c r="J301" s="538">
        <v>417.97</v>
      </c>
      <c r="K301" s="483">
        <v>166.35</v>
      </c>
      <c r="L301" s="538">
        <v>166.35</v>
      </c>
      <c r="M301" s="540">
        <v>5498.8511898393162</v>
      </c>
      <c r="N301" s="541">
        <v>16264.448178683968</v>
      </c>
      <c r="O301" s="542">
        <v>3283.38</v>
      </c>
      <c r="P301" s="542">
        <v>722.34359999999992</v>
      </c>
      <c r="Q301" s="542">
        <v>315.95566850124953</v>
      </c>
      <c r="R301" s="542">
        <v>2458.1</v>
      </c>
      <c r="S301" s="542">
        <v>5498.8511898393162</v>
      </c>
      <c r="T301" s="542">
        <v>3134.7525028664436</v>
      </c>
      <c r="U301" s="542">
        <v>851.06521747695899</v>
      </c>
      <c r="V301" s="543">
        <v>16264.448178683968</v>
      </c>
      <c r="W301" s="544">
        <v>1.1640586164175617</v>
      </c>
      <c r="Y301" s="544">
        <v>0</v>
      </c>
      <c r="Z301" s="476">
        <v>3</v>
      </c>
    </row>
    <row r="302" spans="1:26" x14ac:dyDescent="0.3">
      <c r="A302" s="499">
        <v>150000939</v>
      </c>
      <c r="B302" s="477" t="s">
        <v>336</v>
      </c>
      <c r="C302" s="524">
        <v>447.71</v>
      </c>
      <c r="D302" s="524">
        <v>77.88</v>
      </c>
      <c r="E302" s="539">
        <v>76.12</v>
      </c>
      <c r="F302" s="539">
        <v>239.82</v>
      </c>
      <c r="G302" s="483">
        <v>654.11</v>
      </c>
      <c r="H302" s="538">
        <v>654.11</v>
      </c>
      <c r="I302" s="483">
        <v>136.59</v>
      </c>
      <c r="J302" s="538">
        <v>136.59</v>
      </c>
      <c r="K302" s="483">
        <v>63.19</v>
      </c>
      <c r="L302" s="538">
        <v>63.19</v>
      </c>
      <c r="M302" s="540">
        <v>1830.9645104121284</v>
      </c>
      <c r="N302" s="541">
        <v>4861.6786692692849</v>
      </c>
      <c r="O302" s="542">
        <v>841.53</v>
      </c>
      <c r="P302" s="542">
        <v>185.13660000000002</v>
      </c>
      <c r="Q302" s="542">
        <v>123.7150556194172</v>
      </c>
      <c r="R302" s="542">
        <v>853.8900000000001</v>
      </c>
      <c r="S302" s="542">
        <v>1830.9645104121284</v>
      </c>
      <c r="T302" s="542">
        <v>803.43678579305401</v>
      </c>
      <c r="U302" s="542">
        <v>223.00571744468527</v>
      </c>
      <c r="V302" s="543">
        <v>4861.6786692692849</v>
      </c>
      <c r="W302" s="544">
        <v>1.124182194601959</v>
      </c>
      <c r="Y302" s="544">
        <v>0</v>
      </c>
      <c r="Z302" s="476">
        <v>3</v>
      </c>
    </row>
    <row r="303" spans="1:26" x14ac:dyDescent="0.3">
      <c r="A303" s="499">
        <v>150000940</v>
      </c>
      <c r="B303" s="477" t="s">
        <v>376</v>
      </c>
      <c r="C303" s="524">
        <v>687.6</v>
      </c>
      <c r="D303" s="524">
        <v>119.2</v>
      </c>
      <c r="E303" s="539">
        <v>39.56</v>
      </c>
      <c r="F303" s="539">
        <v>473.15</v>
      </c>
      <c r="G303" s="483">
        <v>1001.6</v>
      </c>
      <c r="H303" s="538">
        <v>1001.6</v>
      </c>
      <c r="I303" s="483">
        <v>195.09</v>
      </c>
      <c r="J303" s="538">
        <v>195.09</v>
      </c>
      <c r="K303" s="483">
        <v>91.1</v>
      </c>
      <c r="L303" s="538">
        <v>91.1</v>
      </c>
      <c r="M303" s="540">
        <v>2654.8673621593234</v>
      </c>
      <c r="N303" s="541">
        <v>7350.8250308763036</v>
      </c>
      <c r="O303" s="542">
        <v>1319.5100000000002</v>
      </c>
      <c r="P303" s="542">
        <v>290.29219999999998</v>
      </c>
      <c r="Q303" s="542">
        <v>189.43396936543348</v>
      </c>
      <c r="R303" s="542">
        <v>1287.79</v>
      </c>
      <c r="S303" s="542">
        <v>2654.8673621593234</v>
      </c>
      <c r="T303" s="542">
        <v>1259.7802493337051</v>
      </c>
      <c r="U303" s="542">
        <v>349.15125001784054</v>
      </c>
      <c r="V303" s="543">
        <v>7350.8250308763027</v>
      </c>
      <c r="W303" s="544">
        <v>1.1140170451560578</v>
      </c>
      <c r="Y303" s="544">
        <v>0</v>
      </c>
      <c r="Z303" s="476">
        <v>3</v>
      </c>
    </row>
    <row r="304" spans="1:26" x14ac:dyDescent="0.3">
      <c r="A304" s="499">
        <v>150000941</v>
      </c>
      <c r="B304" s="477" t="s">
        <v>337</v>
      </c>
      <c r="C304" s="524">
        <v>336.68</v>
      </c>
      <c r="D304" s="524">
        <v>95.26</v>
      </c>
      <c r="E304" s="539">
        <v>36.86</v>
      </c>
      <c r="F304" s="539">
        <v>378.37</v>
      </c>
      <c r="G304" s="483">
        <v>818</v>
      </c>
      <c r="H304" s="538">
        <v>818</v>
      </c>
      <c r="I304" s="483">
        <v>150.96</v>
      </c>
      <c r="J304" s="538">
        <v>150.96</v>
      </c>
      <c r="K304" s="483">
        <v>91.1</v>
      </c>
      <c r="L304" s="538">
        <v>91.1</v>
      </c>
      <c r="M304" s="540">
        <v>2180.6918978987742</v>
      </c>
      <c r="N304" s="541">
        <v>5479.7445710770517</v>
      </c>
      <c r="O304" s="542">
        <v>847.17000000000007</v>
      </c>
      <c r="P304" s="542">
        <v>186.37739999999999</v>
      </c>
      <c r="Q304" s="542">
        <v>167.2491925951395</v>
      </c>
      <c r="R304" s="542">
        <v>1060.06</v>
      </c>
      <c r="S304" s="542">
        <v>2180.6918978987742</v>
      </c>
      <c r="T304" s="542">
        <v>808.8214820865586</v>
      </c>
      <c r="U304" s="542">
        <v>229.37459849658001</v>
      </c>
      <c r="V304" s="543">
        <v>5479.7445710770526</v>
      </c>
      <c r="W304" s="544">
        <v>1.1437080509829933</v>
      </c>
      <c r="Y304" s="544">
        <v>0</v>
      </c>
      <c r="Z304" s="476">
        <v>3</v>
      </c>
    </row>
    <row r="305" spans="1:26" x14ac:dyDescent="0.3">
      <c r="A305" s="499">
        <v>150000943</v>
      </c>
      <c r="B305" s="477" t="s">
        <v>122</v>
      </c>
      <c r="C305" s="524">
        <v>0</v>
      </c>
      <c r="D305" s="524">
        <v>0</v>
      </c>
      <c r="E305" s="539">
        <v>0</v>
      </c>
      <c r="F305" s="539">
        <v>0</v>
      </c>
      <c r="G305" s="483"/>
      <c r="H305" s="538">
        <v>0</v>
      </c>
      <c r="I305" s="483"/>
      <c r="J305" s="538">
        <v>0</v>
      </c>
      <c r="K305" s="483">
        <v>12.805</v>
      </c>
      <c r="L305" s="538">
        <v>12.805</v>
      </c>
      <c r="M305" s="540">
        <v>0</v>
      </c>
      <c r="N305" s="541">
        <v>12.805</v>
      </c>
      <c r="O305" s="542">
        <v>0</v>
      </c>
      <c r="P305" s="542">
        <v>0</v>
      </c>
      <c r="Q305" s="542">
        <v>0</v>
      </c>
      <c r="R305" s="542">
        <v>12.805</v>
      </c>
      <c r="S305" s="542">
        <v>0</v>
      </c>
      <c r="T305" s="542">
        <v>0</v>
      </c>
      <c r="U305" s="542">
        <v>0</v>
      </c>
      <c r="V305" s="543">
        <v>12.805</v>
      </c>
      <c r="W305" s="544">
        <v>1.1470150220782329</v>
      </c>
      <c r="Y305" s="544">
        <v>0</v>
      </c>
      <c r="Z305" s="476">
        <v>3</v>
      </c>
    </row>
    <row r="306" spans="1:26" x14ac:dyDescent="0.3">
      <c r="A306" s="499">
        <v>150000944</v>
      </c>
      <c r="B306" s="477" t="s">
        <v>123</v>
      </c>
      <c r="C306" s="524">
        <v>0</v>
      </c>
      <c r="D306" s="524">
        <v>0</v>
      </c>
      <c r="E306" s="539">
        <v>0</v>
      </c>
      <c r="F306" s="539">
        <v>0</v>
      </c>
      <c r="G306" s="483"/>
      <c r="H306" s="538">
        <v>0</v>
      </c>
      <c r="I306" s="483"/>
      <c r="J306" s="538">
        <v>0</v>
      </c>
      <c r="K306" s="483">
        <v>27.19</v>
      </c>
      <c r="L306" s="538">
        <v>27.19</v>
      </c>
      <c r="M306" s="540">
        <v>0</v>
      </c>
      <c r="N306" s="541">
        <v>27.19</v>
      </c>
      <c r="O306" s="542">
        <v>0</v>
      </c>
      <c r="P306" s="542">
        <v>0</v>
      </c>
      <c r="Q306" s="542">
        <v>0</v>
      </c>
      <c r="R306" s="542">
        <v>27.19</v>
      </c>
      <c r="S306" s="542">
        <v>0</v>
      </c>
      <c r="T306" s="542">
        <v>0</v>
      </c>
      <c r="U306" s="542">
        <v>0</v>
      </c>
      <c r="V306" s="543">
        <v>27.19</v>
      </c>
      <c r="W306" s="544">
        <v>1.1750684522900141</v>
      </c>
      <c r="Y306" s="544">
        <v>0</v>
      </c>
      <c r="Z306" s="476">
        <v>3</v>
      </c>
    </row>
    <row r="307" spans="1:26" x14ac:dyDescent="0.3">
      <c r="A307" s="499">
        <v>150000945</v>
      </c>
      <c r="B307" s="477" t="s">
        <v>421</v>
      </c>
      <c r="C307" s="524">
        <v>840.09</v>
      </c>
      <c r="D307" s="524">
        <v>132.19999999999999</v>
      </c>
      <c r="E307" s="539">
        <v>42.26</v>
      </c>
      <c r="F307" s="539">
        <v>329.11</v>
      </c>
      <c r="G307" s="483">
        <v>808.22</v>
      </c>
      <c r="H307" s="538">
        <v>808.22</v>
      </c>
      <c r="I307" s="483">
        <v>175.81</v>
      </c>
      <c r="J307" s="538">
        <v>175.81</v>
      </c>
      <c r="K307" s="483">
        <v>81.98</v>
      </c>
      <c r="L307" s="538">
        <v>81.98</v>
      </c>
      <c r="M307" s="540">
        <v>2402.5754857355641</v>
      </c>
      <c r="N307" s="541">
        <v>6927.0954347548586</v>
      </c>
      <c r="O307" s="542">
        <v>1343.6599999999999</v>
      </c>
      <c r="P307" s="542">
        <v>295.60519999999997</v>
      </c>
      <c r="Q307" s="542">
        <v>182.09910115389249</v>
      </c>
      <c r="R307" s="542">
        <v>1066.01</v>
      </c>
      <c r="S307" s="542">
        <v>2402.5754857355641</v>
      </c>
      <c r="T307" s="542">
        <v>1282.8370605904663</v>
      </c>
      <c r="U307" s="542">
        <v>354.30858727493592</v>
      </c>
      <c r="V307" s="543">
        <v>6927.0954347548586</v>
      </c>
      <c r="W307" s="544">
        <v>0.95181087428959588</v>
      </c>
      <c r="Y307" s="544">
        <v>0</v>
      </c>
      <c r="Z307" s="476">
        <v>2</v>
      </c>
    </row>
    <row r="308" spans="1:26" x14ac:dyDescent="0.3">
      <c r="A308" s="499">
        <v>150000946</v>
      </c>
      <c r="B308" s="477" t="s">
        <v>124</v>
      </c>
      <c r="C308" s="524">
        <v>0</v>
      </c>
      <c r="D308" s="524">
        <v>0</v>
      </c>
      <c r="E308" s="539">
        <v>0</v>
      </c>
      <c r="F308" s="539">
        <v>0</v>
      </c>
      <c r="G308" s="483"/>
      <c r="H308" s="538">
        <v>0</v>
      </c>
      <c r="I308" s="483"/>
      <c r="J308" s="538">
        <v>0</v>
      </c>
      <c r="K308" s="483">
        <v>27.19</v>
      </c>
      <c r="L308" s="538">
        <v>27.19</v>
      </c>
      <c r="M308" s="540">
        <v>0</v>
      </c>
      <c r="N308" s="541">
        <v>27.19</v>
      </c>
      <c r="O308" s="542">
        <v>0</v>
      </c>
      <c r="P308" s="542">
        <v>0</v>
      </c>
      <c r="Q308" s="542">
        <v>0</v>
      </c>
      <c r="R308" s="542">
        <v>27.19</v>
      </c>
      <c r="S308" s="542">
        <v>0</v>
      </c>
      <c r="T308" s="542">
        <v>0</v>
      </c>
      <c r="U308" s="542">
        <v>0</v>
      </c>
      <c r="V308" s="543">
        <v>27.19</v>
      </c>
      <c r="W308" s="544">
        <v>0.99384357013073477</v>
      </c>
      <c r="Y308" s="544">
        <v>0</v>
      </c>
      <c r="Z308" s="476">
        <v>2</v>
      </c>
    </row>
    <row r="309" spans="1:26" x14ac:dyDescent="0.3">
      <c r="A309" s="499">
        <v>150000947</v>
      </c>
      <c r="B309" s="477" t="s">
        <v>268</v>
      </c>
      <c r="C309" s="524">
        <v>375.88</v>
      </c>
      <c r="D309" s="524">
        <v>79.150000000000006</v>
      </c>
      <c r="E309" s="539">
        <v>23.98</v>
      </c>
      <c r="F309" s="539">
        <v>252.85</v>
      </c>
      <c r="G309" s="483">
        <v>452.35</v>
      </c>
      <c r="H309" s="538">
        <v>452.35</v>
      </c>
      <c r="I309" s="483">
        <v>88.99</v>
      </c>
      <c r="J309" s="538">
        <v>88.99</v>
      </c>
      <c r="K309" s="483">
        <v>75.709999999999994</v>
      </c>
      <c r="L309" s="538">
        <v>75.709999999999994</v>
      </c>
      <c r="M309" s="540">
        <v>1164.202030703126</v>
      </c>
      <c r="N309" s="541">
        <v>3652.3299319097132</v>
      </c>
      <c r="O309" s="542">
        <v>731.86</v>
      </c>
      <c r="P309" s="542">
        <v>161.00919999999999</v>
      </c>
      <c r="Q309" s="542">
        <v>87.794119456351098</v>
      </c>
      <c r="R309" s="542">
        <v>617.05000000000007</v>
      </c>
      <c r="S309" s="542">
        <v>1164.202030703126</v>
      </c>
      <c r="T309" s="542">
        <v>698.73117541918236</v>
      </c>
      <c r="U309" s="542">
        <v>191.68340633105393</v>
      </c>
      <c r="V309" s="543">
        <v>3652.3299319097137</v>
      </c>
      <c r="W309" s="544">
        <v>1.047922324487063</v>
      </c>
      <c r="Y309" s="544">
        <v>0</v>
      </c>
      <c r="Z309" s="476">
        <v>2</v>
      </c>
    </row>
    <row r="310" spans="1:26" x14ac:dyDescent="0.3">
      <c r="A310" s="499">
        <v>150000948</v>
      </c>
      <c r="B310" s="477" t="s">
        <v>383</v>
      </c>
      <c r="C310" s="524">
        <v>568.75</v>
      </c>
      <c r="D310" s="524">
        <v>118.8</v>
      </c>
      <c r="E310" s="539">
        <v>29.37</v>
      </c>
      <c r="F310" s="539">
        <v>394.66</v>
      </c>
      <c r="G310" s="483">
        <v>817.17</v>
      </c>
      <c r="H310" s="538">
        <v>817.17</v>
      </c>
      <c r="I310" s="483">
        <v>167.07</v>
      </c>
      <c r="J310" s="538">
        <v>167.07</v>
      </c>
      <c r="K310" s="483">
        <v>94.48</v>
      </c>
      <c r="L310" s="538">
        <v>94.48</v>
      </c>
      <c r="M310" s="540">
        <v>2357.0521326787184</v>
      </c>
      <c r="N310" s="541">
        <v>6286.6699889625706</v>
      </c>
      <c r="O310" s="542">
        <v>1111.58</v>
      </c>
      <c r="P310" s="542">
        <v>244.54759999999999</v>
      </c>
      <c r="Q310" s="542">
        <v>141.44622311049321</v>
      </c>
      <c r="R310" s="542">
        <v>1078.72</v>
      </c>
      <c r="S310" s="542">
        <v>2357.0521326787184</v>
      </c>
      <c r="T310" s="542">
        <v>1061.2625365130693</v>
      </c>
      <c r="U310" s="542">
        <v>292.06149666028887</v>
      </c>
      <c r="V310" s="543">
        <v>6286.6699889625697</v>
      </c>
      <c r="W310" s="544">
        <v>0.92676597953685746</v>
      </c>
      <c r="Y310" s="544">
        <v>0</v>
      </c>
      <c r="Z310" s="476">
        <v>2</v>
      </c>
    </row>
    <row r="311" spans="1:26" x14ac:dyDescent="0.3">
      <c r="A311" s="499">
        <v>150000949</v>
      </c>
      <c r="B311" s="477" t="s">
        <v>384</v>
      </c>
      <c r="C311" s="524">
        <v>806.97</v>
      </c>
      <c r="D311" s="524">
        <v>165.63</v>
      </c>
      <c r="E311" s="539">
        <v>97.4</v>
      </c>
      <c r="F311" s="539">
        <v>703.69</v>
      </c>
      <c r="G311" s="483">
        <v>1181.8599999999999</v>
      </c>
      <c r="H311" s="538">
        <v>1181.8599999999999</v>
      </c>
      <c r="I311" s="483">
        <v>243.85</v>
      </c>
      <c r="J311" s="538">
        <v>243.85</v>
      </c>
      <c r="K311" s="483">
        <v>119.35</v>
      </c>
      <c r="L311" s="538">
        <v>119.35</v>
      </c>
      <c r="M311" s="540">
        <v>3346.8358687565633</v>
      </c>
      <c r="N311" s="541">
        <v>9440.6846995368214</v>
      </c>
      <c r="O311" s="542">
        <v>1773.69</v>
      </c>
      <c r="P311" s="542">
        <v>390.21180000000004</v>
      </c>
      <c r="Q311" s="542">
        <v>225.48328108671899</v>
      </c>
      <c r="R311" s="542">
        <v>1545.0599999999997</v>
      </c>
      <c r="S311" s="542">
        <v>3346.8358687565633</v>
      </c>
      <c r="T311" s="542">
        <v>1693.4010583024756</v>
      </c>
      <c r="U311" s="542">
        <v>466.00269139106342</v>
      </c>
      <c r="V311" s="543">
        <v>9440.6846995368214</v>
      </c>
      <c r="W311" s="544">
        <v>0.95681175039988842</v>
      </c>
      <c r="Y311" s="544">
        <v>0</v>
      </c>
      <c r="Z311" s="476">
        <v>2</v>
      </c>
    </row>
    <row r="312" spans="1:26" x14ac:dyDescent="0.3">
      <c r="A312" s="499">
        <v>150000951</v>
      </c>
      <c r="B312" s="477" t="s">
        <v>170</v>
      </c>
      <c r="C312" s="524">
        <v>0</v>
      </c>
      <c r="D312" s="524">
        <v>0</v>
      </c>
      <c r="E312" s="539">
        <v>0</v>
      </c>
      <c r="F312" s="539">
        <v>34.119999999999997</v>
      </c>
      <c r="G312" s="483"/>
      <c r="H312" s="538">
        <v>0</v>
      </c>
      <c r="I312" s="483"/>
      <c r="J312" s="538">
        <v>0</v>
      </c>
      <c r="K312" s="483">
        <v>70.7</v>
      </c>
      <c r="L312" s="538">
        <v>70.7</v>
      </c>
      <c r="M312" s="540">
        <v>197.11583368070555</v>
      </c>
      <c r="N312" s="541">
        <v>359.73928184148303</v>
      </c>
      <c r="O312" s="542">
        <v>34.119999999999997</v>
      </c>
      <c r="P312" s="542">
        <v>7.5064000000000002</v>
      </c>
      <c r="Q312" s="542">
        <v>8.3044065918219605</v>
      </c>
      <c r="R312" s="542">
        <v>70.7</v>
      </c>
      <c r="S312" s="542">
        <v>197.11583368070555</v>
      </c>
      <c r="T312" s="542">
        <v>32.575503108931358</v>
      </c>
      <c r="U312" s="542">
        <v>9.4171384600241854</v>
      </c>
      <c r="V312" s="543">
        <v>359.73928184148309</v>
      </c>
      <c r="W312" s="544">
        <v>0.98875819904681528</v>
      </c>
      <c r="Y312" s="544">
        <v>0</v>
      </c>
      <c r="Z312" s="476">
        <v>2</v>
      </c>
    </row>
    <row r="313" spans="1:26" x14ac:dyDescent="0.3">
      <c r="A313" s="499">
        <v>150000954</v>
      </c>
      <c r="B313" s="477" t="s">
        <v>171</v>
      </c>
      <c r="C313" s="524">
        <v>41.22</v>
      </c>
      <c r="D313" s="524">
        <v>8.18</v>
      </c>
      <c r="E313" s="539">
        <v>0</v>
      </c>
      <c r="F313" s="539">
        <v>22.55</v>
      </c>
      <c r="G313" s="483">
        <v>44.84</v>
      </c>
      <c r="H313" s="538">
        <v>44.84</v>
      </c>
      <c r="I313" s="483"/>
      <c r="J313" s="538">
        <v>0</v>
      </c>
      <c r="K313" s="483">
        <v>16.829999999999998</v>
      </c>
      <c r="L313" s="538">
        <v>16.829999999999998</v>
      </c>
      <c r="M313" s="540">
        <v>127.86161561457767</v>
      </c>
      <c r="N313" s="541">
        <v>385.3039425245924</v>
      </c>
      <c r="O313" s="542">
        <v>71.95</v>
      </c>
      <c r="P313" s="542">
        <v>15.829000000000001</v>
      </c>
      <c r="Q313" s="542">
        <v>19.244276880949467</v>
      </c>
      <c r="R313" s="542">
        <v>61.67</v>
      </c>
      <c r="S313" s="542">
        <v>127.86161561457767</v>
      </c>
      <c r="T313" s="542">
        <v>68.69306707759705</v>
      </c>
      <c r="U313" s="542">
        <v>20.055982951468231</v>
      </c>
      <c r="V313" s="543">
        <v>385.30394252459246</v>
      </c>
      <c r="W313" s="544">
        <v>1.017944583214855</v>
      </c>
      <c r="Y313" s="544">
        <v>0</v>
      </c>
      <c r="Z313" s="476">
        <v>2</v>
      </c>
    </row>
    <row r="314" spans="1:26" x14ac:dyDescent="0.3">
      <c r="A314" s="499">
        <v>150000957</v>
      </c>
      <c r="B314" s="477" t="s">
        <v>377</v>
      </c>
      <c r="C314" s="524">
        <v>266.77999999999997</v>
      </c>
      <c r="D314" s="524">
        <v>40.619999999999997</v>
      </c>
      <c r="E314" s="539">
        <v>13.19</v>
      </c>
      <c r="F314" s="539">
        <v>72.95</v>
      </c>
      <c r="G314" s="483">
        <v>263.33999999999997</v>
      </c>
      <c r="H314" s="538">
        <v>263.33999999999997</v>
      </c>
      <c r="I314" s="483">
        <v>61.56</v>
      </c>
      <c r="J314" s="538">
        <v>61.56</v>
      </c>
      <c r="K314" s="483">
        <v>23.85</v>
      </c>
      <c r="L314" s="538">
        <v>23.85</v>
      </c>
      <c r="M314" s="540">
        <v>771.01081568146105</v>
      </c>
      <c r="N314" s="541">
        <v>2098.4077919538372</v>
      </c>
      <c r="O314" s="542">
        <v>393.53999999999996</v>
      </c>
      <c r="P314" s="542">
        <v>86.578800000000001</v>
      </c>
      <c r="Q314" s="542">
        <v>22.544475797856673</v>
      </c>
      <c r="R314" s="542">
        <v>348.75</v>
      </c>
      <c r="S314" s="542">
        <v>771.01081568146105</v>
      </c>
      <c r="T314" s="542">
        <v>375.72577647974344</v>
      </c>
      <c r="U314" s="542">
        <v>100.25792399477609</v>
      </c>
      <c r="V314" s="543">
        <v>2098.4077919538372</v>
      </c>
      <c r="W314" s="544">
        <v>1.0450037544572939</v>
      </c>
      <c r="Y314" s="544">
        <v>0</v>
      </c>
      <c r="Z314" s="476">
        <v>2</v>
      </c>
    </row>
    <row r="315" spans="1:26" x14ac:dyDescent="0.3">
      <c r="A315" s="499">
        <v>150000958</v>
      </c>
      <c r="B315" s="477" t="s">
        <v>380</v>
      </c>
      <c r="C315" s="524">
        <v>266.77999999999997</v>
      </c>
      <c r="D315" s="524">
        <v>40.619999999999997</v>
      </c>
      <c r="E315" s="539">
        <v>13.19</v>
      </c>
      <c r="F315" s="539">
        <v>72.95</v>
      </c>
      <c r="G315" s="483">
        <v>258.73</v>
      </c>
      <c r="H315" s="538">
        <v>258.73</v>
      </c>
      <c r="I315" s="483">
        <v>58.12</v>
      </c>
      <c r="J315" s="538">
        <v>58.12</v>
      </c>
      <c r="K315" s="483">
        <v>8.4</v>
      </c>
      <c r="L315" s="538">
        <v>8.4</v>
      </c>
      <c r="M315" s="540">
        <v>760.77732554532611</v>
      </c>
      <c r="N315" s="541">
        <v>2064.6741384364027</v>
      </c>
      <c r="O315" s="542">
        <v>393.53999999999996</v>
      </c>
      <c r="P315" s="542">
        <v>86.578800000000001</v>
      </c>
      <c r="Q315" s="542">
        <v>22.544329154226673</v>
      </c>
      <c r="R315" s="542">
        <v>325.25</v>
      </c>
      <c r="S315" s="542">
        <v>760.77732554532611</v>
      </c>
      <c r="T315" s="542">
        <v>375.72577647974344</v>
      </c>
      <c r="U315" s="542">
        <v>100.25790725710627</v>
      </c>
      <c r="V315" s="543">
        <v>2064.6741384364027</v>
      </c>
      <c r="W315" s="544">
        <v>1.12021719411957</v>
      </c>
      <c r="Y315" s="544">
        <v>0</v>
      </c>
      <c r="Z315" s="476">
        <v>2</v>
      </c>
    </row>
    <row r="316" spans="1:26" x14ac:dyDescent="0.3">
      <c r="A316" s="499">
        <v>150000960</v>
      </c>
      <c r="B316" s="477" t="s">
        <v>378</v>
      </c>
      <c r="C316" s="524">
        <v>527.13</v>
      </c>
      <c r="D316" s="524">
        <v>81.239999999999995</v>
      </c>
      <c r="E316" s="539">
        <v>26.37</v>
      </c>
      <c r="F316" s="539">
        <v>195.04</v>
      </c>
      <c r="G316" s="483">
        <v>535.01</v>
      </c>
      <c r="H316" s="538">
        <v>535.01</v>
      </c>
      <c r="I316" s="483">
        <v>117.72</v>
      </c>
      <c r="J316" s="538">
        <v>117.72</v>
      </c>
      <c r="K316" s="483">
        <v>23.85</v>
      </c>
      <c r="L316" s="538">
        <v>23.85</v>
      </c>
      <c r="M316" s="540">
        <v>1537.1614361868469</v>
      </c>
      <c r="N316" s="541">
        <v>4380.2960790933857</v>
      </c>
      <c r="O316" s="542">
        <v>829.78</v>
      </c>
      <c r="P316" s="542">
        <v>182.55160000000001</v>
      </c>
      <c r="Q316" s="542">
        <v>140.05072206806901</v>
      </c>
      <c r="R316" s="542">
        <v>676.58</v>
      </c>
      <c r="S316" s="542">
        <v>1537.1614361868469</v>
      </c>
      <c r="T316" s="542">
        <v>792.21866851491973</v>
      </c>
      <c r="U316" s="542">
        <v>221.95365232355059</v>
      </c>
      <c r="V316" s="543">
        <v>4380.2960790933857</v>
      </c>
      <c r="W316" s="544">
        <v>1.2506627942640378</v>
      </c>
      <c r="Y316" s="544">
        <v>0</v>
      </c>
      <c r="Z316" s="476">
        <v>2</v>
      </c>
    </row>
    <row r="317" spans="1:26" x14ac:dyDescent="0.3">
      <c r="A317" s="499">
        <v>150000961</v>
      </c>
      <c r="B317" s="477" t="s">
        <v>381</v>
      </c>
      <c r="C317" s="524">
        <v>525.17999999999995</v>
      </c>
      <c r="D317" s="524">
        <v>81.239999999999995</v>
      </c>
      <c r="E317" s="539">
        <v>26.37</v>
      </c>
      <c r="F317" s="539">
        <v>206.24</v>
      </c>
      <c r="G317" s="483">
        <v>542.63</v>
      </c>
      <c r="H317" s="538">
        <v>542.63</v>
      </c>
      <c r="I317" s="483">
        <v>117.24</v>
      </c>
      <c r="J317" s="538">
        <v>117.24</v>
      </c>
      <c r="K317" s="483">
        <v>8.4</v>
      </c>
      <c r="L317" s="538">
        <v>8.4</v>
      </c>
      <c r="M317" s="540">
        <v>1549.9532988570154</v>
      </c>
      <c r="N317" s="541">
        <v>4568.5434654040046</v>
      </c>
      <c r="O317" s="542">
        <v>839.03</v>
      </c>
      <c r="P317" s="542">
        <v>184.58659999999998</v>
      </c>
      <c r="Q317" s="542">
        <v>284.8740212342135</v>
      </c>
      <c r="R317" s="542">
        <v>668.27</v>
      </c>
      <c r="S317" s="542">
        <v>1549.9532988570154</v>
      </c>
      <c r="T317" s="542">
        <v>801.04995232962119</v>
      </c>
      <c r="U317" s="542">
        <v>240.77959298315437</v>
      </c>
      <c r="V317" s="543">
        <v>4568.5434654040046</v>
      </c>
      <c r="W317" s="544">
        <v>0.15061436672967865</v>
      </c>
      <c r="Y317" s="544"/>
      <c r="Z317" s="476">
        <v>2</v>
      </c>
    </row>
    <row r="318" spans="1:26" x14ac:dyDescent="0.3">
      <c r="A318" s="499">
        <v>150000963</v>
      </c>
      <c r="B318" s="477" t="s">
        <v>379</v>
      </c>
      <c r="C318" s="524">
        <v>266.77999999999997</v>
      </c>
      <c r="D318" s="524">
        <v>40.619999999999997</v>
      </c>
      <c r="E318" s="539">
        <v>13.19</v>
      </c>
      <c r="F318" s="539">
        <v>72.95</v>
      </c>
      <c r="G318" s="483">
        <v>263.11</v>
      </c>
      <c r="H318" s="538">
        <v>263.11</v>
      </c>
      <c r="I318" s="483">
        <v>58.36</v>
      </c>
      <c r="J318" s="538">
        <v>58.36</v>
      </c>
      <c r="K318" s="483">
        <v>23.85</v>
      </c>
      <c r="L318" s="538">
        <v>23.85</v>
      </c>
      <c r="M318" s="540">
        <v>762.7869663659319</v>
      </c>
      <c r="N318" s="541">
        <v>2086.7539426383082</v>
      </c>
      <c r="O318" s="542">
        <v>393.53999999999996</v>
      </c>
      <c r="P318" s="542">
        <v>86.578800000000001</v>
      </c>
      <c r="Q318" s="542">
        <v>22.544475797856673</v>
      </c>
      <c r="R318" s="542">
        <v>345.32000000000005</v>
      </c>
      <c r="S318" s="542">
        <v>762.7869663659319</v>
      </c>
      <c r="T318" s="542">
        <v>375.72577647974344</v>
      </c>
      <c r="U318" s="542">
        <v>100.25792399477609</v>
      </c>
      <c r="V318" s="543">
        <v>2086.7539426383082</v>
      </c>
      <c r="W318" s="544">
        <v>1.0191394522129669</v>
      </c>
      <c r="Y318" s="544">
        <v>0</v>
      </c>
      <c r="Z318" s="476">
        <v>2</v>
      </c>
    </row>
    <row r="319" spans="1:26" x14ac:dyDescent="0.3">
      <c r="A319" s="499">
        <v>150000964</v>
      </c>
      <c r="B319" s="477" t="s">
        <v>382</v>
      </c>
      <c r="C319" s="524">
        <v>266.77999999999997</v>
      </c>
      <c r="D319" s="524">
        <v>40.619999999999997</v>
      </c>
      <c r="E319" s="539">
        <v>13.19</v>
      </c>
      <c r="F319" s="539">
        <v>72.95</v>
      </c>
      <c r="G319" s="483">
        <v>263.77999999999997</v>
      </c>
      <c r="H319" s="538">
        <v>263.77999999999997</v>
      </c>
      <c r="I319" s="483">
        <v>58.1</v>
      </c>
      <c r="J319" s="538">
        <v>58.1</v>
      </c>
      <c r="K319" s="483">
        <v>8.4</v>
      </c>
      <c r="L319" s="538">
        <v>8.4</v>
      </c>
      <c r="M319" s="540">
        <v>759.61928783841665</v>
      </c>
      <c r="N319" s="541">
        <v>2068.546100729493</v>
      </c>
      <c r="O319" s="542">
        <v>393.53999999999996</v>
      </c>
      <c r="P319" s="542">
        <v>86.578800000000001</v>
      </c>
      <c r="Q319" s="542">
        <v>22.544329154226673</v>
      </c>
      <c r="R319" s="542">
        <v>330.28</v>
      </c>
      <c r="S319" s="542">
        <v>759.61928783841665</v>
      </c>
      <c r="T319" s="542">
        <v>375.72577647974344</v>
      </c>
      <c r="U319" s="542">
        <v>100.25790725710627</v>
      </c>
      <c r="V319" s="543">
        <v>2068.546100729493</v>
      </c>
      <c r="W319" s="544">
        <v>0.11149325206791467</v>
      </c>
      <c r="Y319" s="544"/>
      <c r="Z319" s="476">
        <v>2</v>
      </c>
    </row>
    <row r="320" spans="1:26" x14ac:dyDescent="0.3">
      <c r="A320" s="499">
        <v>150000966</v>
      </c>
      <c r="B320" s="477" t="s">
        <v>204</v>
      </c>
      <c r="C320" s="524">
        <v>147.58000000000001</v>
      </c>
      <c r="D320" s="524">
        <v>30.47</v>
      </c>
      <c r="E320" s="539">
        <v>0</v>
      </c>
      <c r="F320" s="539">
        <v>86.37</v>
      </c>
      <c r="G320" s="483">
        <v>132.31</v>
      </c>
      <c r="H320" s="538">
        <v>132.31</v>
      </c>
      <c r="I320" s="483"/>
      <c r="J320" s="538">
        <v>0</v>
      </c>
      <c r="K320" s="483">
        <v>61.82</v>
      </c>
      <c r="L320" s="538">
        <v>61.82</v>
      </c>
      <c r="M320" s="540">
        <v>417.89483170475097</v>
      </c>
      <c r="N320" s="541">
        <v>1302.0783410219756</v>
      </c>
      <c r="O320" s="542">
        <v>264.42</v>
      </c>
      <c r="P320" s="542">
        <v>58.172399999999996</v>
      </c>
      <c r="Q320" s="542">
        <v>44.317669417236999</v>
      </c>
      <c r="R320" s="542">
        <v>194.13</v>
      </c>
      <c r="S320" s="542">
        <v>417.89483170475097</v>
      </c>
      <c r="T320" s="542">
        <v>252.45060176036432</v>
      </c>
      <c r="U320" s="542">
        <v>70.692838139623248</v>
      </c>
      <c r="V320" s="543">
        <v>1302.0783410219756</v>
      </c>
      <c r="W320" s="544">
        <v>1.2970140262870271</v>
      </c>
      <c r="Y320" s="544">
        <v>0</v>
      </c>
      <c r="Z320" s="476">
        <v>2</v>
      </c>
    </row>
    <row r="321" spans="1:26" x14ac:dyDescent="0.3">
      <c r="A321" s="499">
        <v>150000967</v>
      </c>
      <c r="B321" s="477" t="s">
        <v>205</v>
      </c>
      <c r="C321" s="524">
        <v>173.15</v>
      </c>
      <c r="D321" s="524">
        <v>31.46</v>
      </c>
      <c r="E321" s="539">
        <v>0</v>
      </c>
      <c r="F321" s="539">
        <v>88.65</v>
      </c>
      <c r="G321" s="483">
        <v>170.83</v>
      </c>
      <c r="H321" s="538">
        <v>170.83</v>
      </c>
      <c r="I321" s="483"/>
      <c r="J321" s="538">
        <v>0</v>
      </c>
      <c r="K321" s="483">
        <v>65.72</v>
      </c>
      <c r="L321" s="538">
        <v>65.72</v>
      </c>
      <c r="M321" s="540">
        <v>516.0572341282824</v>
      </c>
      <c r="N321" s="541">
        <v>1511.0896879362067</v>
      </c>
      <c r="O321" s="542">
        <v>293.26</v>
      </c>
      <c r="P321" s="542">
        <v>64.517200000000003</v>
      </c>
      <c r="Q321" s="542">
        <v>43.017069473583007</v>
      </c>
      <c r="R321" s="542">
        <v>236.55</v>
      </c>
      <c r="S321" s="542">
        <v>516.0572341282824</v>
      </c>
      <c r="T321" s="542">
        <v>279.9851125945255</v>
      </c>
      <c r="U321" s="542">
        <v>77.70307173981567</v>
      </c>
      <c r="V321" s="543">
        <v>1511.0896879362067</v>
      </c>
      <c r="W321" s="544">
        <v>0.15580556145192104</v>
      </c>
      <c r="Y321" s="544"/>
      <c r="Z321" s="476">
        <v>2</v>
      </c>
    </row>
    <row r="322" spans="1:26" x14ac:dyDescent="0.3">
      <c r="A322" s="499">
        <v>150000968</v>
      </c>
      <c r="B322" s="477" t="s">
        <v>244</v>
      </c>
      <c r="C322" s="524">
        <v>203.73</v>
      </c>
      <c r="D322" s="524">
        <v>35.44</v>
      </c>
      <c r="E322" s="539">
        <v>0</v>
      </c>
      <c r="F322" s="539">
        <v>108.5</v>
      </c>
      <c r="G322" s="483">
        <v>224.37</v>
      </c>
      <c r="H322" s="538">
        <v>224.37</v>
      </c>
      <c r="I322" s="483"/>
      <c r="J322" s="538">
        <v>0</v>
      </c>
      <c r="K322" s="483">
        <v>58.17</v>
      </c>
      <c r="L322" s="538">
        <v>58.17</v>
      </c>
      <c r="M322" s="540">
        <v>754.47047403385022</v>
      </c>
      <c r="N322" s="541">
        <v>1931.2673019178949</v>
      </c>
      <c r="O322" s="542">
        <v>347.66999999999996</v>
      </c>
      <c r="P322" s="542">
        <v>76.487399999999994</v>
      </c>
      <c r="Q322" s="542">
        <v>46.554734016708601</v>
      </c>
      <c r="R322" s="542">
        <v>282.54000000000002</v>
      </c>
      <c r="S322" s="542">
        <v>754.47047403385022</v>
      </c>
      <c r="T322" s="542">
        <v>331.93215609267776</v>
      </c>
      <c r="U322" s="542">
        <v>91.612537774658193</v>
      </c>
      <c r="V322" s="543">
        <v>1931.2673019178949</v>
      </c>
      <c r="W322" s="544">
        <v>1.2318334164942994</v>
      </c>
      <c r="Y322" s="544">
        <v>0</v>
      </c>
      <c r="Z322" s="476">
        <v>2</v>
      </c>
    </row>
    <row r="323" spans="1:26" x14ac:dyDescent="0.3">
      <c r="A323" s="499">
        <v>150000969</v>
      </c>
      <c r="B323" s="477" t="s">
        <v>192</v>
      </c>
      <c r="C323" s="524">
        <v>124.19</v>
      </c>
      <c r="D323" s="524">
        <v>25.65</v>
      </c>
      <c r="E323" s="539">
        <v>0</v>
      </c>
      <c r="F323" s="539">
        <v>63.99</v>
      </c>
      <c r="G323" s="483">
        <v>85.44</v>
      </c>
      <c r="H323" s="538">
        <v>85.44</v>
      </c>
      <c r="I323" s="483"/>
      <c r="J323" s="538">
        <v>0</v>
      </c>
      <c r="K323" s="483">
        <v>25.61</v>
      </c>
      <c r="L323" s="538">
        <v>25.61</v>
      </c>
      <c r="M323" s="540">
        <v>268.41532449688265</v>
      </c>
      <c r="N323" s="541">
        <v>941.23575204539338</v>
      </c>
      <c r="O323" s="542">
        <v>213.83</v>
      </c>
      <c r="P323" s="542">
        <v>47.042599999999993</v>
      </c>
      <c r="Q323" s="542">
        <v>39.196366882893201</v>
      </c>
      <c r="R323" s="542">
        <v>111.05</v>
      </c>
      <c r="S323" s="542">
        <v>268.41532449688265</v>
      </c>
      <c r="T323" s="542">
        <v>204.15063979433739</v>
      </c>
      <c r="U323" s="542">
        <v>57.550820871280123</v>
      </c>
      <c r="V323" s="543">
        <v>941.23575204539338</v>
      </c>
      <c r="W323" s="544">
        <v>1.1426495377441761</v>
      </c>
      <c r="Y323" s="544">
        <v>0</v>
      </c>
      <c r="Z323" s="476">
        <v>2</v>
      </c>
    </row>
    <row r="324" spans="1:26" x14ac:dyDescent="0.3">
      <c r="A324" s="499">
        <v>150000970</v>
      </c>
      <c r="B324" s="477" t="s">
        <v>242</v>
      </c>
      <c r="C324" s="524">
        <v>290.63</v>
      </c>
      <c r="D324" s="524">
        <v>57.37</v>
      </c>
      <c r="E324" s="539">
        <v>0</v>
      </c>
      <c r="F324" s="539">
        <v>163.6</v>
      </c>
      <c r="G324" s="483">
        <v>309.37</v>
      </c>
      <c r="H324" s="538">
        <v>309.37</v>
      </c>
      <c r="I324" s="483"/>
      <c r="J324" s="538">
        <v>0</v>
      </c>
      <c r="K324" s="483">
        <v>98.23</v>
      </c>
      <c r="L324" s="538">
        <v>98.23</v>
      </c>
      <c r="M324" s="540">
        <v>1050.286752272682</v>
      </c>
      <c r="N324" s="541">
        <v>2766.8897552048525</v>
      </c>
      <c r="O324" s="542">
        <v>511.6</v>
      </c>
      <c r="P324" s="542">
        <v>112.55199999999999</v>
      </c>
      <c r="Q324" s="542">
        <v>62.308009154198899</v>
      </c>
      <c r="R324" s="542">
        <v>407.6</v>
      </c>
      <c r="S324" s="542">
        <v>1050.286752272682</v>
      </c>
      <c r="T324" s="542">
        <v>488.44159995689574</v>
      </c>
      <c r="U324" s="542">
        <v>134.1013938210761</v>
      </c>
      <c r="V324" s="543">
        <v>2766.8897552048529</v>
      </c>
      <c r="W324" s="544">
        <v>1.0280540560292153</v>
      </c>
      <c r="Y324" s="544">
        <v>0</v>
      </c>
      <c r="Z324" s="476">
        <v>2</v>
      </c>
    </row>
    <row r="325" spans="1:26" x14ac:dyDescent="0.3">
      <c r="A325" s="499">
        <v>150000971</v>
      </c>
      <c r="B325" s="477" t="s">
        <v>193</v>
      </c>
      <c r="C325" s="524">
        <v>195.62</v>
      </c>
      <c r="D325" s="524">
        <v>39.97</v>
      </c>
      <c r="E325" s="539">
        <v>0</v>
      </c>
      <c r="F325" s="539">
        <v>127.43</v>
      </c>
      <c r="G325" s="483">
        <v>174.56</v>
      </c>
      <c r="H325" s="538">
        <v>174.56</v>
      </c>
      <c r="I325" s="483"/>
      <c r="J325" s="538">
        <v>0</v>
      </c>
      <c r="K325" s="483">
        <v>73.84</v>
      </c>
      <c r="L325" s="538">
        <v>73.84</v>
      </c>
      <c r="M325" s="540">
        <v>523.62189274910929</v>
      </c>
      <c r="N325" s="541">
        <v>1712.6572518233361</v>
      </c>
      <c r="O325" s="542">
        <v>363.02</v>
      </c>
      <c r="P325" s="542">
        <v>79.864400000000003</v>
      </c>
      <c r="Q325" s="542">
        <v>54.799838521979801</v>
      </c>
      <c r="R325" s="542">
        <v>248.4</v>
      </c>
      <c r="S325" s="542">
        <v>523.62189274910929</v>
      </c>
      <c r="T325" s="542">
        <v>346.58731355815542</v>
      </c>
      <c r="U325" s="542">
        <v>96.36380699409176</v>
      </c>
      <c r="V325" s="543">
        <v>1712.6572518233361</v>
      </c>
      <c r="W325" s="544">
        <v>1.037241500717816</v>
      </c>
      <c r="Y325" s="544">
        <v>0</v>
      </c>
      <c r="Z325" s="476">
        <v>2</v>
      </c>
    </row>
    <row r="326" spans="1:26" x14ac:dyDescent="0.3">
      <c r="A326" s="499">
        <v>150000972</v>
      </c>
      <c r="B326" s="477" t="s">
        <v>201</v>
      </c>
      <c r="C326" s="524">
        <v>280.60000000000002</v>
      </c>
      <c r="D326" s="524">
        <v>46.43</v>
      </c>
      <c r="E326" s="539">
        <v>0</v>
      </c>
      <c r="F326" s="539">
        <v>146.46</v>
      </c>
      <c r="G326" s="483">
        <v>273.60000000000002</v>
      </c>
      <c r="H326" s="538">
        <v>273.60000000000002</v>
      </c>
      <c r="I326" s="483"/>
      <c r="J326" s="538">
        <v>0</v>
      </c>
      <c r="K326" s="483">
        <v>98.31</v>
      </c>
      <c r="L326" s="538">
        <v>98.31</v>
      </c>
      <c r="M326" s="540">
        <v>772.3577026144203</v>
      </c>
      <c r="N326" s="541">
        <v>2362.4666144665648</v>
      </c>
      <c r="O326" s="542">
        <v>473.49</v>
      </c>
      <c r="P326" s="542">
        <v>104.1678</v>
      </c>
      <c r="Q326" s="542">
        <v>63.685472817645106</v>
      </c>
      <c r="R326" s="542">
        <v>371.91</v>
      </c>
      <c r="S326" s="542">
        <v>772.3577026144203</v>
      </c>
      <c r="T326" s="542">
        <v>452.0567106403256</v>
      </c>
      <c r="U326" s="542">
        <v>124.79892839417407</v>
      </c>
      <c r="V326" s="543">
        <v>2362.4666144665653</v>
      </c>
      <c r="W326" s="544">
        <v>1.0144623431803734</v>
      </c>
      <c r="Y326" s="544">
        <v>0</v>
      </c>
      <c r="Z326" s="476">
        <v>2</v>
      </c>
    </row>
    <row r="327" spans="1:26" x14ac:dyDescent="0.3">
      <c r="A327" s="499">
        <v>150000973</v>
      </c>
      <c r="B327" s="477" t="s">
        <v>49</v>
      </c>
      <c r="C327" s="524">
        <v>0</v>
      </c>
      <c r="D327" s="524">
        <v>0</v>
      </c>
      <c r="E327" s="539">
        <v>0</v>
      </c>
      <c r="F327" s="539">
        <v>0</v>
      </c>
      <c r="G327" s="483"/>
      <c r="H327" s="538">
        <v>0</v>
      </c>
      <c r="I327" s="483"/>
      <c r="J327" s="538">
        <v>0</v>
      </c>
      <c r="K327" s="483">
        <v>27.19</v>
      </c>
      <c r="L327" s="538">
        <v>27.19</v>
      </c>
      <c r="M327" s="540">
        <v>0</v>
      </c>
      <c r="N327" s="541">
        <v>27.19</v>
      </c>
      <c r="O327" s="542">
        <v>0</v>
      </c>
      <c r="P327" s="542">
        <v>0</v>
      </c>
      <c r="Q327" s="542">
        <v>0</v>
      </c>
      <c r="R327" s="542">
        <v>27.19</v>
      </c>
      <c r="S327" s="542">
        <v>0</v>
      </c>
      <c r="T327" s="542">
        <v>0</v>
      </c>
      <c r="U327" s="542">
        <v>0</v>
      </c>
      <c r="V327" s="543">
        <v>27.19</v>
      </c>
      <c r="W327" s="544">
        <v>1.0117976525531567</v>
      </c>
      <c r="Y327" s="544">
        <v>0</v>
      </c>
      <c r="Z327" s="476">
        <v>2</v>
      </c>
    </row>
    <row r="328" spans="1:26" x14ac:dyDescent="0.3">
      <c r="A328" s="499">
        <v>150000974</v>
      </c>
      <c r="B328" s="477" t="s">
        <v>202</v>
      </c>
      <c r="C328" s="524">
        <v>217.46</v>
      </c>
      <c r="D328" s="524">
        <v>31.84</v>
      </c>
      <c r="E328" s="539">
        <v>0</v>
      </c>
      <c r="F328" s="539">
        <v>139.05000000000001</v>
      </c>
      <c r="G328" s="483">
        <v>269.18</v>
      </c>
      <c r="H328" s="538">
        <v>269.18</v>
      </c>
      <c r="I328" s="483">
        <v>66.87</v>
      </c>
      <c r="J328" s="538">
        <v>66.87</v>
      </c>
      <c r="K328" s="483">
        <v>58.8</v>
      </c>
      <c r="L328" s="538">
        <v>58.8</v>
      </c>
      <c r="M328" s="540">
        <v>825.08226861177036</v>
      </c>
      <c r="N328" s="541">
        <v>2225.0943209134321</v>
      </c>
      <c r="O328" s="542">
        <v>388.35</v>
      </c>
      <c r="P328" s="542">
        <v>85.437000000000012</v>
      </c>
      <c r="Q328" s="542">
        <v>57.630069360950699</v>
      </c>
      <c r="R328" s="542">
        <v>394.85</v>
      </c>
      <c r="S328" s="542">
        <v>825.08226861177036</v>
      </c>
      <c r="T328" s="542">
        <v>370.77071020965695</v>
      </c>
      <c r="U328" s="542">
        <v>102.97427273105414</v>
      </c>
      <c r="V328" s="543">
        <v>2225.0943209134321</v>
      </c>
      <c r="W328" s="544">
        <v>1.0090330021607627</v>
      </c>
      <c r="Y328" s="544">
        <v>0</v>
      </c>
      <c r="Z328" s="476">
        <v>2</v>
      </c>
    </row>
    <row r="329" spans="1:26" x14ac:dyDescent="0.3">
      <c r="A329" s="499">
        <v>150000975</v>
      </c>
      <c r="B329" s="477" t="s">
        <v>203</v>
      </c>
      <c r="C329" s="524">
        <v>326.98</v>
      </c>
      <c r="D329" s="524">
        <v>65.55</v>
      </c>
      <c r="E329" s="539">
        <v>0</v>
      </c>
      <c r="F329" s="539">
        <v>253.19</v>
      </c>
      <c r="G329" s="483">
        <v>381.05</v>
      </c>
      <c r="H329" s="538">
        <v>381.05</v>
      </c>
      <c r="I329" s="483"/>
      <c r="J329" s="538">
        <v>0</v>
      </c>
      <c r="K329" s="483">
        <v>100.18</v>
      </c>
      <c r="L329" s="538">
        <v>100.18</v>
      </c>
      <c r="M329" s="540">
        <v>1159.2242501598873</v>
      </c>
      <c r="N329" s="541">
        <v>3300.8185476628823</v>
      </c>
      <c r="O329" s="542">
        <v>645.72</v>
      </c>
      <c r="P329" s="542">
        <v>142.05839999999998</v>
      </c>
      <c r="Q329" s="542">
        <v>85.998698255180699</v>
      </c>
      <c r="R329" s="542">
        <v>481.23</v>
      </c>
      <c r="S329" s="542">
        <v>1159.2242501598873</v>
      </c>
      <c r="T329" s="542">
        <v>616.49044160314065</v>
      </c>
      <c r="U329" s="542">
        <v>170.09675764467363</v>
      </c>
      <c r="V329" s="543">
        <v>3300.8185476628823</v>
      </c>
      <c r="W329" s="544">
        <v>1.1108328866541612</v>
      </c>
      <c r="Y329" s="544">
        <v>0</v>
      </c>
      <c r="Z329" s="476">
        <v>3</v>
      </c>
    </row>
    <row r="330" spans="1:26" x14ac:dyDescent="0.3">
      <c r="A330" s="499">
        <v>150000976</v>
      </c>
      <c r="B330" s="477" t="s">
        <v>149</v>
      </c>
      <c r="C330" s="524">
        <v>150.19</v>
      </c>
      <c r="D330" s="524">
        <v>28.03</v>
      </c>
      <c r="E330" s="539">
        <v>0</v>
      </c>
      <c r="F330" s="539">
        <v>48.74</v>
      </c>
      <c r="G330" s="483">
        <v>104.78</v>
      </c>
      <c r="H330" s="538">
        <v>104.78</v>
      </c>
      <c r="I330" s="483">
        <v>25.87</v>
      </c>
      <c r="J330" s="538">
        <v>25.87</v>
      </c>
      <c r="K330" s="483">
        <v>16.84</v>
      </c>
      <c r="L330" s="538">
        <v>16.84</v>
      </c>
      <c r="M330" s="540">
        <v>329.41718770392674</v>
      </c>
      <c r="N330" s="541">
        <v>1061.3713554802243</v>
      </c>
      <c r="O330" s="542">
        <v>226.96</v>
      </c>
      <c r="P330" s="542">
        <v>49.931200000000004</v>
      </c>
      <c r="Q330" s="542">
        <v>31.010987467276401</v>
      </c>
      <c r="R330" s="542">
        <v>147.49</v>
      </c>
      <c r="S330" s="542">
        <v>329.41718770392674</v>
      </c>
      <c r="T330" s="542">
        <v>216.68628914428666</v>
      </c>
      <c r="U330" s="542">
        <v>59.875691164734555</v>
      </c>
      <c r="V330" s="543">
        <v>1061.3713554802243</v>
      </c>
      <c r="W330" s="544">
        <v>1.1376372156459129</v>
      </c>
      <c r="Y330" s="544">
        <v>0</v>
      </c>
      <c r="Z330" s="476">
        <v>3</v>
      </c>
    </row>
    <row r="331" spans="1:26" x14ac:dyDescent="0.3">
      <c r="A331" s="499">
        <v>150000977</v>
      </c>
      <c r="B331" s="477" t="s">
        <v>150</v>
      </c>
      <c r="C331" s="524">
        <v>144.37</v>
      </c>
      <c r="D331" s="524">
        <v>28.03</v>
      </c>
      <c r="E331" s="539">
        <v>0</v>
      </c>
      <c r="F331" s="539">
        <v>48.74</v>
      </c>
      <c r="G331" s="483">
        <v>99.3</v>
      </c>
      <c r="H331" s="538">
        <v>99.3</v>
      </c>
      <c r="I331" s="483"/>
      <c r="J331" s="538">
        <v>0</v>
      </c>
      <c r="K331" s="483">
        <v>25.47</v>
      </c>
      <c r="L331" s="538">
        <v>25.47</v>
      </c>
      <c r="M331" s="540">
        <v>323.9655024990916</v>
      </c>
      <c r="N331" s="541">
        <v>1018.7948280241808</v>
      </c>
      <c r="O331" s="542">
        <v>221.14000000000001</v>
      </c>
      <c r="P331" s="542">
        <v>48.650799999999997</v>
      </c>
      <c r="Q331" s="542">
        <v>30.738803978986404</v>
      </c>
      <c r="R331" s="542">
        <v>124.77</v>
      </c>
      <c r="S331" s="542">
        <v>323.9655024990916</v>
      </c>
      <c r="T331" s="542">
        <v>211.12974084141501</v>
      </c>
      <c r="U331" s="542">
        <v>58.399980704687671</v>
      </c>
      <c r="V331" s="543">
        <v>1018.7948280241807</v>
      </c>
      <c r="W331" s="544">
        <v>1.0614408886808153</v>
      </c>
      <c r="Y331" s="544">
        <v>0</v>
      </c>
      <c r="Z331" s="476">
        <v>3</v>
      </c>
    </row>
    <row r="332" spans="1:26" x14ac:dyDescent="0.3">
      <c r="A332" s="499">
        <v>150000978</v>
      </c>
      <c r="B332" s="477" t="s">
        <v>243</v>
      </c>
      <c r="C332" s="524">
        <v>203.73</v>
      </c>
      <c r="D332" s="524">
        <v>35.44</v>
      </c>
      <c r="E332" s="539">
        <v>0</v>
      </c>
      <c r="F332" s="539">
        <v>94.96</v>
      </c>
      <c r="G332" s="483">
        <v>237.27</v>
      </c>
      <c r="H332" s="538">
        <v>237.27</v>
      </c>
      <c r="I332" s="483"/>
      <c r="J332" s="538">
        <v>0</v>
      </c>
      <c r="K332" s="483">
        <v>65.680000000000007</v>
      </c>
      <c r="L332" s="538">
        <v>65.680000000000007</v>
      </c>
      <c r="M332" s="540">
        <v>665.28375463710279</v>
      </c>
      <c r="N332" s="541">
        <v>1832.3823436463622</v>
      </c>
      <c r="O332" s="542">
        <v>334.13</v>
      </c>
      <c r="P332" s="542">
        <v>73.508600000000001</v>
      </c>
      <c r="Q332" s="542">
        <v>48.976837079193103</v>
      </c>
      <c r="R332" s="542">
        <v>302.95000000000005</v>
      </c>
      <c r="S332" s="542">
        <v>665.28375463710279</v>
      </c>
      <c r="T332" s="542">
        <v>319.00506605472549</v>
      </c>
      <c r="U332" s="542">
        <v>88.528085875340551</v>
      </c>
      <c r="V332" s="543">
        <v>1832.382343646362</v>
      </c>
      <c r="W332" s="544">
        <v>1.1460660583232187</v>
      </c>
      <c r="Y332" s="544">
        <v>0</v>
      </c>
      <c r="Z332" s="476">
        <v>3</v>
      </c>
    </row>
    <row r="333" spans="1:26" x14ac:dyDescent="0.3">
      <c r="A333" s="499">
        <v>150000981</v>
      </c>
      <c r="B333" s="477" t="s">
        <v>342</v>
      </c>
      <c r="C333" s="524">
        <v>250.54</v>
      </c>
      <c r="D333" s="524">
        <v>46.65</v>
      </c>
      <c r="E333" s="539">
        <v>13.19</v>
      </c>
      <c r="F333" s="539">
        <v>117.24</v>
      </c>
      <c r="G333" s="483">
        <v>240.97</v>
      </c>
      <c r="H333" s="538">
        <v>240.97</v>
      </c>
      <c r="I333" s="483">
        <v>60.59</v>
      </c>
      <c r="J333" s="538">
        <v>60.59</v>
      </c>
      <c r="K333" s="483">
        <v>41.27</v>
      </c>
      <c r="L333" s="538">
        <v>41.27</v>
      </c>
      <c r="M333" s="540">
        <v>789.02275601508302</v>
      </c>
      <c r="N333" s="541">
        <v>2224.2506116921213</v>
      </c>
      <c r="O333" s="542">
        <v>427.62</v>
      </c>
      <c r="P333" s="542">
        <v>94.076399999999992</v>
      </c>
      <c r="Q333" s="542">
        <v>50.527182084013305</v>
      </c>
      <c r="R333" s="542">
        <v>342.83</v>
      </c>
      <c r="S333" s="542">
        <v>789.02275601508302</v>
      </c>
      <c r="T333" s="542">
        <v>408.26309025325986</v>
      </c>
      <c r="U333" s="542">
        <v>111.91118333976536</v>
      </c>
      <c r="V333" s="543">
        <v>2224.2506116921213</v>
      </c>
      <c r="W333" s="544">
        <v>1.1119724900883206</v>
      </c>
      <c r="Y333" s="544">
        <v>0</v>
      </c>
      <c r="Z333" s="476">
        <v>3</v>
      </c>
    </row>
    <row r="334" spans="1:26" x14ac:dyDescent="0.3">
      <c r="A334" s="499">
        <v>150000982</v>
      </c>
      <c r="B334" s="477" t="s">
        <v>343</v>
      </c>
      <c r="C334" s="524">
        <v>531.61</v>
      </c>
      <c r="D334" s="524">
        <v>139.34</v>
      </c>
      <c r="E334" s="539">
        <v>39.56</v>
      </c>
      <c r="F334" s="539">
        <v>386.9</v>
      </c>
      <c r="G334" s="483">
        <v>647.23</v>
      </c>
      <c r="H334" s="538">
        <v>647.23</v>
      </c>
      <c r="I334" s="483">
        <v>157.82</v>
      </c>
      <c r="J334" s="538">
        <v>157.82</v>
      </c>
      <c r="K334" s="483">
        <v>122.68</v>
      </c>
      <c r="L334" s="538">
        <v>122.68</v>
      </c>
      <c r="M334" s="540">
        <v>2121.2720923590155</v>
      </c>
      <c r="N334" s="541">
        <v>5842.9401425662581</v>
      </c>
      <c r="O334" s="542">
        <v>1097.4099999999999</v>
      </c>
      <c r="P334" s="542">
        <v>241.43020000000001</v>
      </c>
      <c r="Q334" s="542">
        <v>121.1376617277877</v>
      </c>
      <c r="R334" s="542">
        <v>927.73</v>
      </c>
      <c r="S334" s="542">
        <v>2121.2720923590155</v>
      </c>
      <c r="T334" s="542">
        <v>1047.7339644423319</v>
      </c>
      <c r="U334" s="542">
        <v>286.22622403712353</v>
      </c>
      <c r="V334" s="543">
        <v>5842.9401425662581</v>
      </c>
      <c r="W334" s="544">
        <v>1.1393241359967854</v>
      </c>
      <c r="Y334" s="544">
        <v>0</v>
      </c>
      <c r="Z334" s="476">
        <v>3</v>
      </c>
    </row>
    <row r="335" spans="1:26" x14ac:dyDescent="0.3">
      <c r="A335" s="499">
        <v>150000983</v>
      </c>
      <c r="B335" s="477" t="s">
        <v>344</v>
      </c>
      <c r="C335" s="524">
        <v>349.72</v>
      </c>
      <c r="D335" s="524">
        <v>51.99</v>
      </c>
      <c r="E335" s="539">
        <v>26.37</v>
      </c>
      <c r="F335" s="539">
        <v>280.39</v>
      </c>
      <c r="G335" s="483">
        <v>416.74</v>
      </c>
      <c r="H335" s="538">
        <v>416.74</v>
      </c>
      <c r="I335" s="483">
        <v>106.63</v>
      </c>
      <c r="J335" s="538">
        <v>106.63</v>
      </c>
      <c r="K335" s="483">
        <v>57.51</v>
      </c>
      <c r="L335" s="538">
        <v>57.51</v>
      </c>
      <c r="M335" s="540">
        <v>1374.9114454664759</v>
      </c>
      <c r="N335" s="541">
        <v>3772.4093333183191</v>
      </c>
      <c r="O335" s="542">
        <v>708.47</v>
      </c>
      <c r="P335" s="542">
        <v>155.86340000000001</v>
      </c>
      <c r="Q335" s="542">
        <v>89.780300233372401</v>
      </c>
      <c r="R335" s="542">
        <v>580.88</v>
      </c>
      <c r="S335" s="542">
        <v>1374.9114454664759</v>
      </c>
      <c r="T335" s="542">
        <v>676.39996153530478</v>
      </c>
      <c r="U335" s="542">
        <v>186.1042260831656</v>
      </c>
      <c r="V335" s="543">
        <v>3772.4093333183182</v>
      </c>
      <c r="W335" s="544">
        <v>1.1547830386014755</v>
      </c>
      <c r="Y335" s="544">
        <v>0</v>
      </c>
      <c r="Z335" s="476">
        <v>3</v>
      </c>
    </row>
    <row r="336" spans="1:26" x14ac:dyDescent="0.3">
      <c r="A336" s="499">
        <v>150000984</v>
      </c>
      <c r="B336" s="477" t="s">
        <v>345</v>
      </c>
      <c r="C336" s="524">
        <v>873.14</v>
      </c>
      <c r="D336" s="524">
        <v>144.13999999999999</v>
      </c>
      <c r="E336" s="539">
        <v>39.56</v>
      </c>
      <c r="F336" s="539">
        <v>524.71</v>
      </c>
      <c r="G336" s="483">
        <v>1044.29</v>
      </c>
      <c r="H336" s="538">
        <v>1044.29</v>
      </c>
      <c r="I336" s="483">
        <v>246.65</v>
      </c>
      <c r="J336" s="538">
        <v>246.65</v>
      </c>
      <c r="K336" s="483">
        <v>119.56</v>
      </c>
      <c r="L336" s="538">
        <v>119.56</v>
      </c>
      <c r="M336" s="540">
        <v>3487.9169301946304</v>
      </c>
      <c r="N336" s="541">
        <v>8906.4639973760386</v>
      </c>
      <c r="O336" s="542">
        <v>1581.55</v>
      </c>
      <c r="P336" s="542">
        <v>347.94100000000003</v>
      </c>
      <c r="Q336" s="542">
        <v>157.9913202098796</v>
      </c>
      <c r="R336" s="542">
        <v>1410.5</v>
      </c>
      <c r="S336" s="542">
        <v>3487.9169301946304</v>
      </c>
      <c r="T336" s="542">
        <v>1509.9585856368813</v>
      </c>
      <c r="U336" s="542">
        <v>410.60616133464589</v>
      </c>
      <c r="V336" s="543">
        <v>8906.4639973760386</v>
      </c>
      <c r="W336" s="544">
        <v>1.0857434068736316</v>
      </c>
      <c r="Y336" s="544">
        <v>0</v>
      </c>
      <c r="Z336" s="476">
        <v>3</v>
      </c>
    </row>
    <row r="337" spans="1:26" x14ac:dyDescent="0.3">
      <c r="A337" s="499">
        <v>150000986</v>
      </c>
      <c r="B337" s="477" t="s">
        <v>346</v>
      </c>
      <c r="C337" s="524">
        <v>582.87</v>
      </c>
      <c r="D337" s="524">
        <v>96.45</v>
      </c>
      <c r="E337" s="539">
        <v>26.37</v>
      </c>
      <c r="F337" s="539">
        <v>317.85000000000002</v>
      </c>
      <c r="G337" s="483">
        <v>706.64</v>
      </c>
      <c r="H337" s="538">
        <v>706.64</v>
      </c>
      <c r="I337" s="483">
        <v>166.8</v>
      </c>
      <c r="J337" s="538">
        <v>166.8</v>
      </c>
      <c r="K337" s="483">
        <v>81.98</v>
      </c>
      <c r="L337" s="538">
        <v>81.98</v>
      </c>
      <c r="M337" s="540">
        <v>2345.2579640329641</v>
      </c>
      <c r="N337" s="541">
        <v>5902.1940374575252</v>
      </c>
      <c r="O337" s="542">
        <v>1023.5400000000001</v>
      </c>
      <c r="P337" s="542">
        <v>225.17880000000002</v>
      </c>
      <c r="Q337" s="542">
        <v>109.0759949677669</v>
      </c>
      <c r="R337" s="542">
        <v>955.42000000000007</v>
      </c>
      <c r="S337" s="542">
        <v>2345.2579640329641</v>
      </c>
      <c r="T337" s="542">
        <v>977.20780926481837</v>
      </c>
      <c r="U337" s="542">
        <v>266.5134691919755</v>
      </c>
      <c r="V337" s="543">
        <v>5902.1940374575252</v>
      </c>
      <c r="W337" s="544">
        <v>1.0963367368946253</v>
      </c>
      <c r="Y337" s="544">
        <v>0</v>
      </c>
      <c r="Z337" s="476">
        <v>3</v>
      </c>
    </row>
    <row r="338" spans="1:26" x14ac:dyDescent="0.3">
      <c r="A338" s="499">
        <v>150000987</v>
      </c>
      <c r="B338" s="477" t="s">
        <v>50</v>
      </c>
      <c r="C338" s="524">
        <v>0</v>
      </c>
      <c r="D338" s="524">
        <v>0</v>
      </c>
      <c r="E338" s="539">
        <v>0</v>
      </c>
      <c r="F338" s="539">
        <v>0</v>
      </c>
      <c r="G338" s="483"/>
      <c r="H338" s="538">
        <v>0</v>
      </c>
      <c r="I338" s="483"/>
      <c r="J338" s="538">
        <v>0</v>
      </c>
      <c r="K338" s="483">
        <v>6.5640000000000001</v>
      </c>
      <c r="L338" s="538">
        <v>6.5640000000000001</v>
      </c>
      <c r="M338" s="540">
        <v>0</v>
      </c>
      <c r="N338" s="541">
        <v>6.5640000000000001</v>
      </c>
      <c r="O338" s="542">
        <v>0</v>
      </c>
      <c r="P338" s="542">
        <v>0</v>
      </c>
      <c r="Q338" s="542">
        <v>0</v>
      </c>
      <c r="R338" s="542">
        <v>6.5640000000000001</v>
      </c>
      <c r="S338" s="542">
        <v>0</v>
      </c>
      <c r="T338" s="542">
        <v>0</v>
      </c>
      <c r="U338" s="542">
        <v>0</v>
      </c>
      <c r="V338" s="543">
        <v>6.5640000000000001</v>
      </c>
      <c r="W338" s="544">
        <v>1.1525104461528204</v>
      </c>
      <c r="Y338" s="544">
        <v>0</v>
      </c>
      <c r="Z338" s="476">
        <v>3</v>
      </c>
    </row>
    <row r="339" spans="1:26" x14ac:dyDescent="0.3">
      <c r="A339" s="499">
        <v>150000988</v>
      </c>
      <c r="B339" s="477" t="s">
        <v>51</v>
      </c>
      <c r="C339" s="524">
        <v>0</v>
      </c>
      <c r="D339" s="524">
        <v>0</v>
      </c>
      <c r="E339" s="539">
        <v>0</v>
      </c>
      <c r="F339" s="539">
        <v>0</v>
      </c>
      <c r="G339" s="483"/>
      <c r="H339" s="538">
        <v>0</v>
      </c>
      <c r="I339" s="483"/>
      <c r="J339" s="538">
        <v>0</v>
      </c>
      <c r="K339" s="483">
        <v>29.36</v>
      </c>
      <c r="L339" s="538">
        <v>29.36</v>
      </c>
      <c r="M339" s="540">
        <v>0</v>
      </c>
      <c r="N339" s="541">
        <v>29.36</v>
      </c>
      <c r="O339" s="542">
        <v>0</v>
      </c>
      <c r="P339" s="542">
        <v>0</v>
      </c>
      <c r="Q339" s="542">
        <v>0</v>
      </c>
      <c r="R339" s="542">
        <v>29.36</v>
      </c>
      <c r="S339" s="542">
        <v>0</v>
      </c>
      <c r="T339" s="542">
        <v>0</v>
      </c>
      <c r="U339" s="542">
        <v>0</v>
      </c>
      <c r="V339" s="543">
        <v>29.36</v>
      </c>
      <c r="W339" s="544">
        <v>0.92701312235414213</v>
      </c>
      <c r="Y339" s="544">
        <v>0</v>
      </c>
      <c r="Z339" s="476">
        <v>3</v>
      </c>
    </row>
    <row r="340" spans="1:26" x14ac:dyDescent="0.3">
      <c r="A340" s="499">
        <v>150000989</v>
      </c>
      <c r="B340" s="477" t="s">
        <v>37</v>
      </c>
      <c r="C340" s="524">
        <v>0</v>
      </c>
      <c r="D340" s="524">
        <v>0</v>
      </c>
      <c r="E340" s="539">
        <v>0</v>
      </c>
      <c r="F340" s="539">
        <v>0</v>
      </c>
      <c r="G340" s="483"/>
      <c r="H340" s="538">
        <v>0</v>
      </c>
      <c r="I340" s="483"/>
      <c r="J340" s="538">
        <v>0</v>
      </c>
      <c r="K340" s="483">
        <v>27.19</v>
      </c>
      <c r="L340" s="538">
        <v>27.19</v>
      </c>
      <c r="M340" s="540">
        <v>0</v>
      </c>
      <c r="N340" s="541">
        <v>27.19</v>
      </c>
      <c r="O340" s="542">
        <v>0</v>
      </c>
      <c r="P340" s="542">
        <v>0</v>
      </c>
      <c r="Q340" s="542">
        <v>0</v>
      </c>
      <c r="R340" s="542">
        <v>27.19</v>
      </c>
      <c r="S340" s="542">
        <v>0</v>
      </c>
      <c r="T340" s="542">
        <v>0</v>
      </c>
      <c r="U340" s="542">
        <v>0</v>
      </c>
      <c r="V340" s="543">
        <v>27.19</v>
      </c>
      <c r="W340" s="544">
        <v>0.21319796954314718</v>
      </c>
      <c r="Y340" s="544"/>
      <c r="Z340" s="476">
        <v>1</v>
      </c>
    </row>
    <row r="341" spans="1:26" x14ac:dyDescent="0.3">
      <c r="A341" s="499">
        <v>150000991</v>
      </c>
      <c r="B341" s="477" t="s">
        <v>341</v>
      </c>
      <c r="C341" s="524">
        <v>396.35</v>
      </c>
      <c r="D341" s="524">
        <v>62.11</v>
      </c>
      <c r="E341" s="539">
        <v>26.37</v>
      </c>
      <c r="F341" s="539">
        <v>239.18</v>
      </c>
      <c r="G341" s="483">
        <v>306.19</v>
      </c>
      <c r="H341" s="538">
        <v>306.19</v>
      </c>
      <c r="I341" s="483">
        <v>71.48</v>
      </c>
      <c r="J341" s="538">
        <v>71.48</v>
      </c>
      <c r="K341" s="483">
        <v>75.7</v>
      </c>
      <c r="L341" s="538">
        <v>75.7</v>
      </c>
      <c r="M341" s="540">
        <v>1454.7447833843391</v>
      </c>
      <c r="N341" s="541">
        <v>3744.9587308680539</v>
      </c>
      <c r="O341" s="542">
        <v>724.01</v>
      </c>
      <c r="P341" s="542">
        <v>159.28219999999999</v>
      </c>
      <c r="Q341" s="542">
        <v>74.138935397367703</v>
      </c>
      <c r="R341" s="542">
        <v>453.37</v>
      </c>
      <c r="S341" s="542">
        <v>1454.7447833843391</v>
      </c>
      <c r="T341" s="542">
        <v>691.23651834400334</v>
      </c>
      <c r="U341" s="542">
        <v>188.17629374234326</v>
      </c>
      <c r="V341" s="543">
        <v>3744.9587308680534</v>
      </c>
      <c r="W341" s="544">
        <v>0.40246406570841886</v>
      </c>
      <c r="Y341" s="544"/>
      <c r="Z341" s="476">
        <v>1</v>
      </c>
    </row>
    <row r="342" spans="1:26" x14ac:dyDescent="0.3">
      <c r="A342" s="499">
        <v>150000992</v>
      </c>
      <c r="B342" s="477" t="s">
        <v>39</v>
      </c>
      <c r="C342" s="524">
        <v>0</v>
      </c>
      <c r="D342" s="524">
        <v>0</v>
      </c>
      <c r="E342" s="539">
        <v>0</v>
      </c>
      <c r="F342" s="539">
        <v>0</v>
      </c>
      <c r="G342" s="483"/>
      <c r="H342" s="538">
        <v>0</v>
      </c>
      <c r="I342" s="483"/>
      <c r="J342" s="538">
        <v>0</v>
      </c>
      <c r="K342" s="483">
        <v>41.25</v>
      </c>
      <c r="L342" s="538">
        <v>41.25</v>
      </c>
      <c r="M342" s="540">
        <v>0</v>
      </c>
      <c r="N342" s="541">
        <v>41.25</v>
      </c>
      <c r="O342" s="542">
        <v>0</v>
      </c>
      <c r="P342" s="542">
        <v>0</v>
      </c>
      <c r="Q342" s="542">
        <v>0</v>
      </c>
      <c r="R342" s="542">
        <v>41.25</v>
      </c>
      <c r="S342" s="542">
        <v>0</v>
      </c>
      <c r="T342" s="542">
        <v>0</v>
      </c>
      <c r="U342" s="542">
        <v>0</v>
      </c>
      <c r="V342" s="543">
        <v>41.25</v>
      </c>
      <c r="W342" s="544">
        <v>0.99158311428888624</v>
      </c>
      <c r="Y342" s="544">
        <v>0</v>
      </c>
      <c r="Z342" s="476">
        <v>1</v>
      </c>
    </row>
    <row r="343" spans="1:26" x14ac:dyDescent="0.3">
      <c r="A343" s="499">
        <v>150000993</v>
      </c>
      <c r="B343" s="477" t="s">
        <v>41</v>
      </c>
      <c r="C343" s="524">
        <v>0</v>
      </c>
      <c r="D343" s="524">
        <v>0</v>
      </c>
      <c r="E343" s="539">
        <v>0</v>
      </c>
      <c r="F343" s="539">
        <v>0</v>
      </c>
      <c r="G343" s="483"/>
      <c r="H343" s="538">
        <v>0</v>
      </c>
      <c r="I343" s="483"/>
      <c r="J343" s="538">
        <v>0</v>
      </c>
      <c r="K343" s="483">
        <v>31.87</v>
      </c>
      <c r="L343" s="538">
        <v>31.87</v>
      </c>
      <c r="M343" s="540">
        <v>0</v>
      </c>
      <c r="N343" s="541">
        <v>31.87</v>
      </c>
      <c r="O343" s="542">
        <v>0</v>
      </c>
      <c r="P343" s="542">
        <v>0</v>
      </c>
      <c r="Q343" s="542">
        <v>0</v>
      </c>
      <c r="R343" s="542">
        <v>31.87</v>
      </c>
      <c r="S343" s="542">
        <v>0</v>
      </c>
      <c r="T343" s="542">
        <v>0</v>
      </c>
      <c r="U343" s="542">
        <v>0</v>
      </c>
      <c r="V343" s="543">
        <v>31.87</v>
      </c>
      <c r="W343" s="544">
        <v>0.95852753169689942</v>
      </c>
      <c r="Y343" s="544">
        <v>0</v>
      </c>
      <c r="Z343" s="476">
        <v>2</v>
      </c>
    </row>
    <row r="344" spans="1:26" x14ac:dyDescent="0.3">
      <c r="A344" s="499">
        <v>150000994</v>
      </c>
      <c r="B344" s="477" t="s">
        <v>44</v>
      </c>
      <c r="C344" s="524">
        <v>0</v>
      </c>
      <c r="D344" s="524">
        <v>0</v>
      </c>
      <c r="E344" s="539">
        <v>0</v>
      </c>
      <c r="F344" s="539">
        <v>0</v>
      </c>
      <c r="G344" s="483"/>
      <c r="H344" s="538">
        <v>0</v>
      </c>
      <c r="I344" s="483"/>
      <c r="J344" s="538">
        <v>0</v>
      </c>
      <c r="K344" s="483">
        <v>31.24</v>
      </c>
      <c r="L344" s="538">
        <v>31.24</v>
      </c>
      <c r="M344" s="540">
        <v>0</v>
      </c>
      <c r="N344" s="541">
        <v>31.24</v>
      </c>
      <c r="O344" s="542">
        <v>0</v>
      </c>
      <c r="P344" s="542">
        <v>0</v>
      </c>
      <c r="Q344" s="542">
        <v>0</v>
      </c>
      <c r="R344" s="542">
        <v>31.24</v>
      </c>
      <c r="S344" s="542">
        <v>0</v>
      </c>
      <c r="T344" s="542">
        <v>0</v>
      </c>
      <c r="U344" s="542">
        <v>0</v>
      </c>
      <c r="V344" s="543">
        <v>31.24</v>
      </c>
      <c r="W344" s="544">
        <v>0.93027189337516081</v>
      </c>
      <c r="Y344" s="544">
        <v>0</v>
      </c>
      <c r="Z344" s="476">
        <v>2</v>
      </c>
    </row>
    <row r="345" spans="1:26" x14ac:dyDescent="0.3">
      <c r="A345" s="499">
        <v>150000995</v>
      </c>
      <c r="B345" s="477" t="s">
        <v>47</v>
      </c>
      <c r="C345" s="524">
        <v>0</v>
      </c>
      <c r="D345" s="524">
        <v>0</v>
      </c>
      <c r="E345" s="539">
        <v>0</v>
      </c>
      <c r="F345" s="539">
        <v>0</v>
      </c>
      <c r="G345" s="483"/>
      <c r="H345" s="538">
        <v>0</v>
      </c>
      <c r="I345" s="483"/>
      <c r="J345" s="538">
        <v>0</v>
      </c>
      <c r="K345" s="483">
        <v>22.2</v>
      </c>
      <c r="L345" s="538">
        <v>22.2</v>
      </c>
      <c r="M345" s="540">
        <v>0</v>
      </c>
      <c r="N345" s="541">
        <v>22.2</v>
      </c>
      <c r="O345" s="542">
        <v>0</v>
      </c>
      <c r="P345" s="542">
        <v>0</v>
      </c>
      <c r="Q345" s="542">
        <v>0</v>
      </c>
      <c r="R345" s="542">
        <v>22.2</v>
      </c>
      <c r="S345" s="542">
        <v>0</v>
      </c>
      <c r="T345" s="542">
        <v>0</v>
      </c>
      <c r="U345" s="542">
        <v>0</v>
      </c>
      <c r="V345" s="543">
        <v>22.2</v>
      </c>
      <c r="W345" s="544">
        <v>1.0063312470491421</v>
      </c>
      <c r="Y345" s="544">
        <v>0</v>
      </c>
      <c r="Z345" s="476">
        <v>2</v>
      </c>
    </row>
    <row r="346" spans="1:26" x14ac:dyDescent="0.3">
      <c r="A346" s="499">
        <v>150000996</v>
      </c>
      <c r="B346" s="477" t="s">
        <v>245</v>
      </c>
      <c r="C346" s="524">
        <v>385.71</v>
      </c>
      <c r="D346" s="524">
        <v>69.05</v>
      </c>
      <c r="E346" s="539">
        <v>0</v>
      </c>
      <c r="F346" s="539">
        <v>222.71</v>
      </c>
      <c r="G346" s="483">
        <v>375.95</v>
      </c>
      <c r="H346" s="538">
        <v>375.95</v>
      </c>
      <c r="I346" s="483"/>
      <c r="J346" s="538">
        <v>0</v>
      </c>
      <c r="K346" s="483">
        <v>120.81</v>
      </c>
      <c r="L346" s="538">
        <v>120.81</v>
      </c>
      <c r="M346" s="540">
        <v>1228.1506544751364</v>
      </c>
      <c r="N346" s="541">
        <v>3456.9384106337625</v>
      </c>
      <c r="O346" s="542">
        <v>677.47</v>
      </c>
      <c r="P346" s="542">
        <v>149.04340000000002</v>
      </c>
      <c r="Q346" s="542">
        <v>81.272777085300802</v>
      </c>
      <c r="R346" s="542">
        <v>496.76</v>
      </c>
      <c r="S346" s="542">
        <v>1228.1506544751364</v>
      </c>
      <c r="T346" s="542">
        <v>646.80322658873763</v>
      </c>
      <c r="U346" s="542">
        <v>177.43835248458799</v>
      </c>
      <c r="V346" s="543">
        <v>3456.9384106337629</v>
      </c>
      <c r="W346" s="544">
        <v>0.83643130028261925</v>
      </c>
      <c r="Y346" s="544">
        <v>0</v>
      </c>
      <c r="Z346" s="476">
        <v>2</v>
      </c>
    </row>
    <row r="347" spans="1:26" x14ac:dyDescent="0.3">
      <c r="A347" s="499">
        <v>150000999</v>
      </c>
      <c r="B347" s="477" t="s">
        <v>40</v>
      </c>
      <c r="C347" s="524">
        <v>0</v>
      </c>
      <c r="D347" s="524">
        <v>0</v>
      </c>
      <c r="E347" s="539">
        <v>0</v>
      </c>
      <c r="F347" s="539">
        <v>0</v>
      </c>
      <c r="G347" s="483"/>
      <c r="H347" s="538">
        <v>0</v>
      </c>
      <c r="I347" s="483"/>
      <c r="J347" s="538">
        <v>0</v>
      </c>
      <c r="K347" s="483">
        <v>31.87</v>
      </c>
      <c r="L347" s="538">
        <v>31.87</v>
      </c>
      <c r="M347" s="540">
        <v>0</v>
      </c>
      <c r="N347" s="541">
        <v>31.87</v>
      </c>
      <c r="O347" s="542">
        <v>0</v>
      </c>
      <c r="P347" s="542">
        <v>0</v>
      </c>
      <c r="Q347" s="542">
        <v>0</v>
      </c>
      <c r="R347" s="542">
        <v>31.87</v>
      </c>
      <c r="S347" s="542">
        <v>0</v>
      </c>
      <c r="T347" s="542">
        <v>0</v>
      </c>
      <c r="U347" s="542">
        <v>0</v>
      </c>
      <c r="V347" s="543">
        <v>31.87</v>
      </c>
      <c r="W347" s="544">
        <v>0.77396490455379852</v>
      </c>
      <c r="Y347" s="544">
        <v>0</v>
      </c>
      <c r="Z347" s="476">
        <v>2</v>
      </c>
    </row>
    <row r="348" spans="1:26" x14ac:dyDescent="0.3">
      <c r="A348" s="499">
        <v>150001000</v>
      </c>
      <c r="B348" s="477" t="s">
        <v>42</v>
      </c>
      <c r="C348" s="524">
        <v>0</v>
      </c>
      <c r="D348" s="524">
        <v>0</v>
      </c>
      <c r="E348" s="539">
        <v>0</v>
      </c>
      <c r="F348" s="539">
        <v>0</v>
      </c>
      <c r="G348" s="483"/>
      <c r="H348" s="538">
        <v>0</v>
      </c>
      <c r="I348" s="483"/>
      <c r="J348" s="538">
        <v>0</v>
      </c>
      <c r="K348" s="483">
        <v>27.19</v>
      </c>
      <c r="L348" s="538">
        <v>27.19</v>
      </c>
      <c r="M348" s="540">
        <v>0</v>
      </c>
      <c r="N348" s="541">
        <v>27.19</v>
      </c>
      <c r="O348" s="542">
        <v>0</v>
      </c>
      <c r="P348" s="542">
        <v>0</v>
      </c>
      <c r="Q348" s="542">
        <v>0</v>
      </c>
      <c r="R348" s="542">
        <v>27.19</v>
      </c>
      <c r="S348" s="542">
        <v>0</v>
      </c>
      <c r="T348" s="542">
        <v>0</v>
      </c>
      <c r="U348" s="542">
        <v>0</v>
      </c>
      <c r="V348" s="543">
        <v>27.19</v>
      </c>
      <c r="W348" s="544">
        <v>0.21069459757442116</v>
      </c>
      <c r="Y348" s="544"/>
      <c r="Z348" s="476">
        <v>2</v>
      </c>
    </row>
    <row r="349" spans="1:26" x14ac:dyDescent="0.3">
      <c r="A349" s="499">
        <v>150001001</v>
      </c>
      <c r="B349" s="477" t="s">
        <v>45</v>
      </c>
      <c r="C349" s="524">
        <v>0</v>
      </c>
      <c r="D349" s="524">
        <v>0</v>
      </c>
      <c r="E349" s="539">
        <v>0</v>
      </c>
      <c r="F349" s="539">
        <v>0</v>
      </c>
      <c r="G349" s="483"/>
      <c r="H349" s="538">
        <v>0</v>
      </c>
      <c r="I349" s="483"/>
      <c r="J349" s="538">
        <v>0</v>
      </c>
      <c r="K349" s="483">
        <v>38.46</v>
      </c>
      <c r="L349" s="538">
        <v>38.46</v>
      </c>
      <c r="M349" s="540">
        <v>0</v>
      </c>
      <c r="N349" s="541">
        <v>38.46</v>
      </c>
      <c r="O349" s="542">
        <v>0</v>
      </c>
      <c r="P349" s="542">
        <v>0</v>
      </c>
      <c r="Q349" s="542">
        <v>0</v>
      </c>
      <c r="R349" s="542">
        <v>38.46</v>
      </c>
      <c r="S349" s="542">
        <v>0</v>
      </c>
      <c r="T349" s="542">
        <v>0</v>
      </c>
      <c r="U349" s="542">
        <v>0</v>
      </c>
      <c r="V349" s="543">
        <v>38.46</v>
      </c>
      <c r="W349" s="544">
        <v>0.18269005847953215</v>
      </c>
      <c r="Y349" s="544"/>
      <c r="Z349" s="476">
        <v>2</v>
      </c>
    </row>
    <row r="350" spans="1:26" x14ac:dyDescent="0.3">
      <c r="A350" s="499">
        <v>150001002</v>
      </c>
      <c r="B350" s="477" t="s">
        <v>48</v>
      </c>
      <c r="C350" s="524">
        <v>0</v>
      </c>
      <c r="D350" s="524">
        <v>0</v>
      </c>
      <c r="E350" s="539">
        <v>0</v>
      </c>
      <c r="F350" s="539">
        <v>0</v>
      </c>
      <c r="G350" s="483"/>
      <c r="H350" s="538">
        <v>0</v>
      </c>
      <c r="I350" s="483"/>
      <c r="J350" s="538">
        <v>0</v>
      </c>
      <c r="K350" s="483">
        <v>27.19</v>
      </c>
      <c r="L350" s="538">
        <v>27.19</v>
      </c>
      <c r="M350" s="540">
        <v>0</v>
      </c>
      <c r="N350" s="541">
        <v>27.19</v>
      </c>
      <c r="O350" s="542">
        <v>0</v>
      </c>
      <c r="P350" s="542">
        <v>0</v>
      </c>
      <c r="Q350" s="542">
        <v>0</v>
      </c>
      <c r="R350" s="542">
        <v>27.19</v>
      </c>
      <c r="S350" s="542">
        <v>0</v>
      </c>
      <c r="T350" s="542">
        <v>0</v>
      </c>
      <c r="U350" s="542">
        <v>0</v>
      </c>
      <c r="V350" s="543">
        <v>27.19</v>
      </c>
      <c r="W350" s="544">
        <v>1.0745463353836697</v>
      </c>
      <c r="Y350" s="544">
        <v>0</v>
      </c>
      <c r="Z350" s="476">
        <v>2</v>
      </c>
    </row>
    <row r="351" spans="1:26" x14ac:dyDescent="0.3">
      <c r="A351" s="499">
        <v>150001004</v>
      </c>
      <c r="B351" s="477" t="s">
        <v>43</v>
      </c>
      <c r="C351" s="524">
        <v>0</v>
      </c>
      <c r="D351" s="524">
        <v>0</v>
      </c>
      <c r="E351" s="539">
        <v>0</v>
      </c>
      <c r="F351" s="539">
        <v>0</v>
      </c>
      <c r="G351" s="483"/>
      <c r="H351" s="538">
        <v>0</v>
      </c>
      <c r="I351" s="483"/>
      <c r="J351" s="538">
        <v>0</v>
      </c>
      <c r="K351" s="483">
        <v>23.1</v>
      </c>
      <c r="L351" s="538">
        <v>23.1</v>
      </c>
      <c r="M351" s="540">
        <v>0</v>
      </c>
      <c r="N351" s="541">
        <v>23.1</v>
      </c>
      <c r="O351" s="542">
        <v>0</v>
      </c>
      <c r="P351" s="542">
        <v>0</v>
      </c>
      <c r="Q351" s="542">
        <v>0</v>
      </c>
      <c r="R351" s="542">
        <v>23.1</v>
      </c>
      <c r="S351" s="542">
        <v>0</v>
      </c>
      <c r="T351" s="542">
        <v>0</v>
      </c>
      <c r="U351" s="542">
        <v>0</v>
      </c>
      <c r="V351" s="543">
        <v>23.1</v>
      </c>
      <c r="W351" s="544">
        <v>1.00117266768605</v>
      </c>
      <c r="Y351" s="544">
        <v>0</v>
      </c>
      <c r="Z351" s="476">
        <v>2</v>
      </c>
    </row>
    <row r="352" spans="1:26" x14ac:dyDescent="0.3">
      <c r="A352" s="499">
        <v>150001005</v>
      </c>
      <c r="B352" s="477" t="s">
        <v>46</v>
      </c>
      <c r="C352" s="524">
        <v>0</v>
      </c>
      <c r="D352" s="524">
        <v>0</v>
      </c>
      <c r="E352" s="539">
        <v>0</v>
      </c>
      <c r="F352" s="539">
        <v>0</v>
      </c>
      <c r="G352" s="483"/>
      <c r="H352" s="538">
        <v>0</v>
      </c>
      <c r="I352" s="483"/>
      <c r="J352" s="538">
        <v>0</v>
      </c>
      <c r="K352" s="483">
        <v>39.380000000000003</v>
      </c>
      <c r="L352" s="538">
        <v>39.380000000000003</v>
      </c>
      <c r="M352" s="540">
        <v>0</v>
      </c>
      <c r="N352" s="541">
        <v>39.380000000000003</v>
      </c>
      <c r="O352" s="542">
        <v>0</v>
      </c>
      <c r="P352" s="542">
        <v>0</v>
      </c>
      <c r="Q352" s="542">
        <v>0</v>
      </c>
      <c r="R352" s="542">
        <v>39.380000000000003</v>
      </c>
      <c r="S352" s="542">
        <v>0</v>
      </c>
      <c r="T352" s="542">
        <v>0</v>
      </c>
      <c r="U352" s="542">
        <v>0</v>
      </c>
      <c r="V352" s="543">
        <v>39.380000000000003</v>
      </c>
      <c r="W352" s="544">
        <v>1.1330428513479383</v>
      </c>
      <c r="Y352" s="544">
        <v>0</v>
      </c>
      <c r="Z352" s="476">
        <v>2</v>
      </c>
    </row>
    <row r="353" spans="1:26" x14ac:dyDescent="0.3">
      <c r="A353" s="499">
        <v>150001007</v>
      </c>
      <c r="B353" s="477" t="s">
        <v>213</v>
      </c>
      <c r="C353" s="524">
        <v>263.33</v>
      </c>
      <c r="D353" s="524">
        <v>49.08</v>
      </c>
      <c r="E353" s="539">
        <v>0</v>
      </c>
      <c r="F353" s="539">
        <v>122.07</v>
      </c>
      <c r="G353" s="483">
        <v>237.6</v>
      </c>
      <c r="H353" s="538">
        <v>237.6</v>
      </c>
      <c r="I353" s="483"/>
      <c r="J353" s="538">
        <v>0</v>
      </c>
      <c r="K353" s="483">
        <v>122.71</v>
      </c>
      <c r="L353" s="538">
        <v>122.71</v>
      </c>
      <c r="M353" s="540">
        <v>729.10054027017293</v>
      </c>
      <c r="N353" s="541">
        <v>2207.8576632178169</v>
      </c>
      <c r="O353" s="542">
        <v>434.47999999999996</v>
      </c>
      <c r="P353" s="542">
        <v>95.585599999999999</v>
      </c>
      <c r="Q353" s="542">
        <v>58.989149579778797</v>
      </c>
      <c r="R353" s="542">
        <v>360.31</v>
      </c>
      <c r="S353" s="542">
        <v>729.10054027017293</v>
      </c>
      <c r="T353" s="542">
        <v>414.81256127691955</v>
      </c>
      <c r="U353" s="542">
        <v>114.5798120909455</v>
      </c>
      <c r="V353" s="543">
        <v>2207.8576632178165</v>
      </c>
      <c r="W353" s="544">
        <v>1.0176093991207438</v>
      </c>
      <c r="Y353" s="544">
        <v>0</v>
      </c>
      <c r="Z353" s="476">
        <v>2</v>
      </c>
    </row>
    <row r="354" spans="1:26" x14ac:dyDescent="0.3">
      <c r="A354" s="499">
        <v>150001008</v>
      </c>
      <c r="B354" s="477" t="s">
        <v>211</v>
      </c>
      <c r="C354" s="524">
        <v>172.94</v>
      </c>
      <c r="D354" s="524">
        <v>30.8</v>
      </c>
      <c r="E354" s="539">
        <v>0</v>
      </c>
      <c r="F354" s="539">
        <v>88.06</v>
      </c>
      <c r="G354" s="483">
        <v>177.87</v>
      </c>
      <c r="H354" s="538">
        <v>177.87</v>
      </c>
      <c r="I354" s="483"/>
      <c r="J354" s="538">
        <v>0</v>
      </c>
      <c r="K354" s="483">
        <v>38.479999999999997</v>
      </c>
      <c r="L354" s="538">
        <v>38.479999999999997</v>
      </c>
      <c r="M354" s="540">
        <v>529.34794381065819</v>
      </c>
      <c r="N354" s="541">
        <v>1504.7626850562883</v>
      </c>
      <c r="O354" s="542">
        <v>291.8</v>
      </c>
      <c r="P354" s="542">
        <v>64.195999999999998</v>
      </c>
      <c r="Q354" s="542">
        <v>46.714814958847597</v>
      </c>
      <c r="R354" s="542">
        <v>216.35</v>
      </c>
      <c r="S354" s="542">
        <v>529.34794381065819</v>
      </c>
      <c r="T354" s="542">
        <v>278.59120185188073</v>
      </c>
      <c r="U354" s="542">
        <v>77.762724434901898</v>
      </c>
      <c r="V354" s="543">
        <v>1504.7626850562883</v>
      </c>
      <c r="W354" s="544">
        <v>1.0978632301336777</v>
      </c>
      <c r="Y354" s="544">
        <v>0</v>
      </c>
      <c r="Z354" s="476">
        <v>2</v>
      </c>
    </row>
    <row r="355" spans="1:26" x14ac:dyDescent="0.3">
      <c r="A355" s="499">
        <v>150001009</v>
      </c>
      <c r="B355" s="477" t="s">
        <v>212</v>
      </c>
      <c r="C355" s="524">
        <v>171</v>
      </c>
      <c r="D355" s="524">
        <v>30.8</v>
      </c>
      <c r="E355" s="539">
        <v>0</v>
      </c>
      <c r="F355" s="539">
        <v>88.06</v>
      </c>
      <c r="G355" s="483">
        <v>177.87</v>
      </c>
      <c r="H355" s="538">
        <v>177.87</v>
      </c>
      <c r="I355" s="483"/>
      <c r="J355" s="538">
        <v>0</v>
      </c>
      <c r="K355" s="483">
        <v>38.479999999999997</v>
      </c>
      <c r="L355" s="538">
        <v>38.479999999999997</v>
      </c>
      <c r="M355" s="540">
        <v>529.13415223399807</v>
      </c>
      <c r="N355" s="541">
        <v>1499.7472793958921</v>
      </c>
      <c r="O355" s="542">
        <v>289.86</v>
      </c>
      <c r="P355" s="542">
        <v>63.769199999999998</v>
      </c>
      <c r="Q355" s="542">
        <v>46.624087129417596</v>
      </c>
      <c r="R355" s="542">
        <v>216.35</v>
      </c>
      <c r="S355" s="542">
        <v>529.13415223399807</v>
      </c>
      <c r="T355" s="542">
        <v>276.73901908425682</v>
      </c>
      <c r="U355" s="542">
        <v>77.270820948219594</v>
      </c>
      <c r="V355" s="543">
        <v>1499.7472793958921</v>
      </c>
      <c r="W355" s="544">
        <v>1.1981891433686276</v>
      </c>
      <c r="Y355" s="544">
        <v>0</v>
      </c>
      <c r="Z355" s="476">
        <v>2</v>
      </c>
    </row>
    <row r="356" spans="1:26" x14ac:dyDescent="0.3">
      <c r="A356" s="499">
        <v>150001010</v>
      </c>
      <c r="B356" s="477" t="s">
        <v>164</v>
      </c>
      <c r="C356" s="524">
        <v>107.82</v>
      </c>
      <c r="D356" s="524">
        <v>23.5</v>
      </c>
      <c r="E356" s="539">
        <v>0</v>
      </c>
      <c r="F356" s="539">
        <v>64.510000000000005</v>
      </c>
      <c r="G356" s="483">
        <v>84.58</v>
      </c>
      <c r="H356" s="538">
        <v>84.58</v>
      </c>
      <c r="I356" s="483"/>
      <c r="J356" s="538">
        <v>0</v>
      </c>
      <c r="K356" s="483">
        <v>110.22</v>
      </c>
      <c r="L356" s="538">
        <v>110.22</v>
      </c>
      <c r="M356" s="540">
        <v>265.31534663530971</v>
      </c>
      <c r="N356" s="541">
        <v>957.82045045635186</v>
      </c>
      <c r="O356" s="542">
        <v>195.82999999999998</v>
      </c>
      <c r="P356" s="542">
        <v>43.082599999999999</v>
      </c>
      <c r="Q356" s="542">
        <v>20.839444625835398</v>
      </c>
      <c r="R356" s="542">
        <v>194.8</v>
      </c>
      <c r="S356" s="542">
        <v>265.31534663530971</v>
      </c>
      <c r="T356" s="542">
        <v>186.965438857621</v>
      </c>
      <c r="U356" s="542">
        <v>50.987620337585724</v>
      </c>
      <c r="V356" s="543">
        <v>957.82045045635186</v>
      </c>
      <c r="W356" s="544">
        <v>1.0509283616432716</v>
      </c>
      <c r="Y356" s="544">
        <v>0</v>
      </c>
      <c r="Z356" s="476">
        <v>2</v>
      </c>
    </row>
    <row r="357" spans="1:26" x14ac:dyDescent="0.3">
      <c r="A357" s="499">
        <v>150001011</v>
      </c>
      <c r="B357" s="477" t="s">
        <v>165</v>
      </c>
      <c r="C357" s="524">
        <v>70</v>
      </c>
      <c r="D357" s="524">
        <v>11.34</v>
      </c>
      <c r="E357" s="539">
        <v>0</v>
      </c>
      <c r="F357" s="539">
        <v>28.65</v>
      </c>
      <c r="G357" s="483">
        <v>47.36</v>
      </c>
      <c r="H357" s="538">
        <v>47.36</v>
      </c>
      <c r="I357" s="483"/>
      <c r="J357" s="538">
        <v>0</v>
      </c>
      <c r="K357" s="483">
        <v>65.67</v>
      </c>
      <c r="L357" s="538">
        <v>65.67</v>
      </c>
      <c r="M357" s="540">
        <v>150.6874296159985</v>
      </c>
      <c r="N357" s="541">
        <v>547.82801979419264</v>
      </c>
      <c r="O357" s="542">
        <v>109.99000000000001</v>
      </c>
      <c r="P357" s="542">
        <v>24.197800000000001</v>
      </c>
      <c r="Q357" s="542">
        <v>15.80582956762299</v>
      </c>
      <c r="R357" s="542">
        <v>113.03</v>
      </c>
      <c r="S357" s="542">
        <v>150.6874296159985</v>
      </c>
      <c r="T357" s="542">
        <v>105.01112505719109</v>
      </c>
      <c r="U357" s="542">
        <v>29.105835553379997</v>
      </c>
      <c r="V357" s="543">
        <v>547.82801979419253</v>
      </c>
      <c r="W357" s="544">
        <v>1.1219102062117541</v>
      </c>
      <c r="Y357" s="544">
        <v>0</v>
      </c>
      <c r="Z357" s="476">
        <v>2</v>
      </c>
    </row>
    <row r="358" spans="1:26" x14ac:dyDescent="0.3">
      <c r="A358" s="499">
        <v>150001013</v>
      </c>
      <c r="B358" s="477" t="s">
        <v>260</v>
      </c>
      <c r="C358" s="524">
        <v>373.29</v>
      </c>
      <c r="D358" s="524">
        <v>77.16</v>
      </c>
      <c r="E358" s="539">
        <v>0</v>
      </c>
      <c r="F358" s="539">
        <v>233.75</v>
      </c>
      <c r="G358" s="483">
        <v>410.26</v>
      </c>
      <c r="H358" s="538">
        <v>410.26</v>
      </c>
      <c r="I358" s="483"/>
      <c r="J358" s="538">
        <v>0</v>
      </c>
      <c r="K358" s="483">
        <v>155.29</v>
      </c>
      <c r="L358" s="538">
        <v>155.29</v>
      </c>
      <c r="M358" s="540">
        <v>1238.6478208891522</v>
      </c>
      <c r="N358" s="541">
        <v>3552.6035966908212</v>
      </c>
      <c r="O358" s="542">
        <v>684.2</v>
      </c>
      <c r="P358" s="542">
        <v>150.524</v>
      </c>
      <c r="Q358" s="542">
        <v>81.336987550755396</v>
      </c>
      <c r="R358" s="542">
        <v>565.54999999999995</v>
      </c>
      <c r="S358" s="542">
        <v>1238.6478208891522</v>
      </c>
      <c r="T358" s="542">
        <v>653.22858227229881</v>
      </c>
      <c r="U358" s="542">
        <v>179.11620597861454</v>
      </c>
      <c r="V358" s="543">
        <v>3552.6035966908212</v>
      </c>
      <c r="W358" s="544">
        <v>0.98046856524122705</v>
      </c>
      <c r="Y358" s="544">
        <v>0</v>
      </c>
      <c r="Z358" s="476">
        <v>2</v>
      </c>
    </row>
    <row r="359" spans="1:26" x14ac:dyDescent="0.3">
      <c r="A359" s="499">
        <v>150001014</v>
      </c>
      <c r="B359" s="477" t="s">
        <v>166</v>
      </c>
      <c r="C359" s="524">
        <v>27.68</v>
      </c>
      <c r="D359" s="524">
        <v>9.51</v>
      </c>
      <c r="E359" s="539">
        <v>0</v>
      </c>
      <c r="F359" s="539">
        <v>14.27</v>
      </c>
      <c r="G359" s="483">
        <v>38.43</v>
      </c>
      <c r="H359" s="538">
        <v>38.43</v>
      </c>
      <c r="I359" s="483"/>
      <c r="J359" s="538">
        <v>0</v>
      </c>
      <c r="K359" s="483">
        <v>35.619999999999997</v>
      </c>
      <c r="L359" s="538">
        <v>35.619999999999997</v>
      </c>
      <c r="M359" s="540">
        <v>120.8991366013438</v>
      </c>
      <c r="N359" s="541">
        <v>328.09517245065081</v>
      </c>
      <c r="O359" s="542">
        <v>51.459999999999994</v>
      </c>
      <c r="P359" s="542">
        <v>11.321199999999999</v>
      </c>
      <c r="Q359" s="542">
        <v>7.5940510797676204</v>
      </c>
      <c r="R359" s="542">
        <v>74.05</v>
      </c>
      <c r="S359" s="542">
        <v>120.8991366013438</v>
      </c>
      <c r="T359" s="542">
        <v>49.130580011301518</v>
      </c>
      <c r="U359" s="542">
        <v>13.64020475823785</v>
      </c>
      <c r="V359" s="543">
        <v>328.09517245065075</v>
      </c>
      <c r="W359" s="544">
        <v>9.8764983654195421E-2</v>
      </c>
      <c r="Y359" s="544"/>
      <c r="Z359" s="476">
        <v>2</v>
      </c>
    </row>
    <row r="360" spans="1:26" x14ac:dyDescent="0.3">
      <c r="A360" s="499">
        <v>150001015</v>
      </c>
      <c r="B360" s="477" t="s">
        <v>99</v>
      </c>
      <c r="C360" s="524">
        <v>0</v>
      </c>
      <c r="D360" s="524">
        <v>0</v>
      </c>
      <c r="E360" s="539">
        <v>0</v>
      </c>
      <c r="F360" s="539">
        <v>0</v>
      </c>
      <c r="G360" s="483">
        <v>42.43</v>
      </c>
      <c r="H360" s="538">
        <v>42.43</v>
      </c>
      <c r="I360" s="483"/>
      <c r="J360" s="538">
        <v>0</v>
      </c>
      <c r="K360" s="483">
        <v>24.97</v>
      </c>
      <c r="L360" s="538">
        <v>24.97</v>
      </c>
      <c r="M360" s="540">
        <v>0</v>
      </c>
      <c r="N360" s="541">
        <v>67.400000000000006</v>
      </c>
      <c r="O360" s="542">
        <v>0</v>
      </c>
      <c r="P360" s="542">
        <v>0</v>
      </c>
      <c r="Q360" s="542">
        <v>0</v>
      </c>
      <c r="R360" s="542">
        <v>67.400000000000006</v>
      </c>
      <c r="S360" s="542">
        <v>0</v>
      </c>
      <c r="T360" s="542">
        <v>0</v>
      </c>
      <c r="U360" s="542">
        <v>0</v>
      </c>
      <c r="V360" s="543">
        <v>67.400000000000006</v>
      </c>
      <c r="W360" s="544">
        <v>0.54317610379471915</v>
      </c>
      <c r="Y360" s="544">
        <v>0</v>
      </c>
      <c r="Z360" s="476">
        <v>1</v>
      </c>
    </row>
    <row r="361" spans="1:26" x14ac:dyDescent="0.3">
      <c r="A361" s="499">
        <v>150001016</v>
      </c>
      <c r="B361" s="477" t="s">
        <v>261</v>
      </c>
      <c r="C361" s="524">
        <v>201.04</v>
      </c>
      <c r="D361" s="524">
        <v>40.64</v>
      </c>
      <c r="E361" s="539">
        <v>0</v>
      </c>
      <c r="F361" s="539">
        <v>165.56</v>
      </c>
      <c r="G361" s="483">
        <v>337.95</v>
      </c>
      <c r="H361" s="538">
        <v>337.95</v>
      </c>
      <c r="I361" s="483">
        <v>99.8</v>
      </c>
      <c r="J361" s="538">
        <v>99.8</v>
      </c>
      <c r="K361" s="483">
        <v>38.46</v>
      </c>
      <c r="L361" s="538">
        <v>38.46</v>
      </c>
      <c r="M361" s="540">
        <v>1175.2408024446809</v>
      </c>
      <c r="N361" s="541">
        <v>2705.7790252504487</v>
      </c>
      <c r="O361" s="542">
        <v>407.24</v>
      </c>
      <c r="P361" s="542">
        <v>89.592800000000011</v>
      </c>
      <c r="Q361" s="542">
        <v>60.678676048722707</v>
      </c>
      <c r="R361" s="542">
        <v>476.21</v>
      </c>
      <c r="S361" s="542">
        <v>1175.2408024446809</v>
      </c>
      <c r="T361" s="542">
        <v>388.80562385935542</v>
      </c>
      <c r="U361" s="542">
        <v>108.01112289768966</v>
      </c>
      <c r="V361" s="543">
        <v>2705.7790252504487</v>
      </c>
      <c r="W361" s="544">
        <v>0.11570493753718025</v>
      </c>
      <c r="Y361" s="544"/>
      <c r="Z361" s="476">
        <v>3</v>
      </c>
    </row>
    <row r="362" spans="1:26" x14ac:dyDescent="0.3">
      <c r="A362" s="499">
        <v>150001018</v>
      </c>
      <c r="B362" s="477" t="s">
        <v>429</v>
      </c>
      <c r="C362" s="524">
        <v>213.28</v>
      </c>
      <c r="D362" s="524">
        <v>43.44</v>
      </c>
      <c r="E362" s="539">
        <v>0</v>
      </c>
      <c r="F362" s="539">
        <v>162.09</v>
      </c>
      <c r="G362" s="483">
        <v>300.07</v>
      </c>
      <c r="H362" s="538">
        <v>300.07</v>
      </c>
      <c r="I362" s="483">
        <v>88.66</v>
      </c>
      <c r="J362" s="538">
        <v>88.66</v>
      </c>
      <c r="K362" s="483">
        <v>266.64999999999998</v>
      </c>
      <c r="L362" s="538">
        <v>266.64999999999998</v>
      </c>
      <c r="M362" s="540">
        <v>1003.4200754758215</v>
      </c>
      <c r="N362" s="541">
        <v>2741.2454800904488</v>
      </c>
      <c r="O362" s="542">
        <v>418.81000000000006</v>
      </c>
      <c r="P362" s="542">
        <v>92.138199999999998</v>
      </c>
      <c r="Q362" s="542">
        <v>60.753715414627493</v>
      </c>
      <c r="R362" s="542">
        <v>655.38</v>
      </c>
      <c r="S362" s="542">
        <v>1003.4200754758215</v>
      </c>
      <c r="T362" s="542">
        <v>399.85188912812259</v>
      </c>
      <c r="U362" s="542">
        <v>110.89160007187687</v>
      </c>
      <c r="V362" s="543">
        <v>2741.2454800904484</v>
      </c>
      <c r="W362" s="544">
        <v>0.98628854062575833</v>
      </c>
      <c r="Y362" s="544">
        <v>0</v>
      </c>
      <c r="Z362" s="476">
        <v>3</v>
      </c>
    </row>
    <row r="363" spans="1:26" x14ac:dyDescent="0.3">
      <c r="A363" s="499">
        <v>150001019</v>
      </c>
      <c r="B363" s="477" t="s">
        <v>419</v>
      </c>
      <c r="C363" s="524">
        <v>845.73</v>
      </c>
      <c r="D363" s="524">
        <v>132.56</v>
      </c>
      <c r="E363" s="539">
        <v>42.26</v>
      </c>
      <c r="F363" s="539">
        <v>331.58</v>
      </c>
      <c r="G363" s="483">
        <v>866.77</v>
      </c>
      <c r="H363" s="538">
        <v>866.77</v>
      </c>
      <c r="I363" s="483">
        <v>182.11</v>
      </c>
      <c r="J363" s="538">
        <v>182.11</v>
      </c>
      <c r="K363" s="483">
        <v>88.24</v>
      </c>
      <c r="L363" s="538">
        <v>88.24</v>
      </c>
      <c r="M363" s="540">
        <v>2466.3708922109681</v>
      </c>
      <c r="N363" s="541">
        <v>7072.0430146249273</v>
      </c>
      <c r="O363" s="542">
        <v>1352.1299999999999</v>
      </c>
      <c r="P363" s="542">
        <v>297.46859999999998</v>
      </c>
      <c r="Q363" s="542">
        <v>172.69250786239502</v>
      </c>
      <c r="R363" s="542">
        <v>1137.1200000000001</v>
      </c>
      <c r="S363" s="542">
        <v>2466.3708922109681</v>
      </c>
      <c r="T363" s="542">
        <v>1290.9236523645768</v>
      </c>
      <c r="U363" s="542">
        <v>355.33736218698806</v>
      </c>
      <c r="V363" s="543">
        <v>7072.0430146249273</v>
      </c>
      <c r="W363" s="544">
        <v>1.036157578224489</v>
      </c>
      <c r="Y363" s="544">
        <v>0</v>
      </c>
      <c r="Z363" s="476">
        <v>1</v>
      </c>
    </row>
    <row r="364" spans="1:26" x14ac:dyDescent="0.3">
      <c r="A364" s="499">
        <v>150001020</v>
      </c>
      <c r="B364" s="477" t="s">
        <v>100</v>
      </c>
      <c r="C364" s="524">
        <v>0</v>
      </c>
      <c r="D364" s="524">
        <v>0</v>
      </c>
      <c r="E364" s="539">
        <v>0</v>
      </c>
      <c r="F364" s="539">
        <v>0</v>
      </c>
      <c r="G364" s="483"/>
      <c r="H364" s="538">
        <v>0</v>
      </c>
      <c r="I364" s="483"/>
      <c r="J364" s="538">
        <v>0</v>
      </c>
      <c r="K364" s="483">
        <v>32.82</v>
      </c>
      <c r="L364" s="538">
        <v>32.82</v>
      </c>
      <c r="M364" s="540">
        <v>0</v>
      </c>
      <c r="N364" s="541">
        <v>32.82</v>
      </c>
      <c r="O364" s="542">
        <v>0</v>
      </c>
      <c r="P364" s="542">
        <v>0</v>
      </c>
      <c r="Q364" s="542">
        <v>0</v>
      </c>
      <c r="R364" s="542">
        <v>32.82</v>
      </c>
      <c r="S364" s="542">
        <v>0</v>
      </c>
      <c r="T364" s="542">
        <v>0</v>
      </c>
      <c r="U364" s="542">
        <v>0</v>
      </c>
      <c r="V364" s="543">
        <v>32.82</v>
      </c>
      <c r="W364" s="544">
        <v>0.9866102343170905</v>
      </c>
      <c r="Y364" s="544">
        <v>0</v>
      </c>
      <c r="Z364" s="476">
        <v>1</v>
      </c>
    </row>
    <row r="365" spans="1:26" x14ac:dyDescent="0.3">
      <c r="A365" s="499">
        <v>150001021</v>
      </c>
      <c r="B365" s="477" t="s">
        <v>363</v>
      </c>
      <c r="C365" s="524">
        <v>992.54</v>
      </c>
      <c r="D365" s="524">
        <v>283.07</v>
      </c>
      <c r="E365" s="539">
        <v>116.88</v>
      </c>
      <c r="F365" s="539">
        <v>664.77</v>
      </c>
      <c r="G365" s="483">
        <v>1448.61</v>
      </c>
      <c r="H365" s="538">
        <v>1448.61</v>
      </c>
      <c r="I365" s="483">
        <v>315.47000000000003</v>
      </c>
      <c r="J365" s="538">
        <v>315.47000000000003</v>
      </c>
      <c r="K365" s="483">
        <v>169.89</v>
      </c>
      <c r="L365" s="538">
        <v>169.89</v>
      </c>
      <c r="M365" s="540">
        <v>4126.9328264460837</v>
      </c>
      <c r="N365" s="541">
        <v>11414.941378105836</v>
      </c>
      <c r="O365" s="542">
        <v>2057.2599999999998</v>
      </c>
      <c r="P365" s="542">
        <v>452.59720000000004</v>
      </c>
      <c r="Q365" s="542">
        <v>331.54969069674053</v>
      </c>
      <c r="R365" s="542">
        <v>1933.9699999999998</v>
      </c>
      <c r="S365" s="542">
        <v>4126.9328264460837</v>
      </c>
      <c r="T365" s="542">
        <v>1964.1348043927353</v>
      </c>
      <c r="U365" s="542">
        <v>548.49685657027669</v>
      </c>
      <c r="V365" s="543">
        <v>11414.941378105836</v>
      </c>
      <c r="W365" s="544">
        <v>1.0761473509494894</v>
      </c>
      <c r="Y365" s="544">
        <v>0</v>
      </c>
      <c r="Z365" s="476">
        <v>1</v>
      </c>
    </row>
    <row r="366" spans="1:26" x14ac:dyDescent="0.3">
      <c r="A366" s="499">
        <v>150001022</v>
      </c>
      <c r="B366" s="477" t="s">
        <v>364</v>
      </c>
      <c r="C366" s="524">
        <v>331.12</v>
      </c>
      <c r="D366" s="524">
        <v>76.02</v>
      </c>
      <c r="E366" s="539">
        <v>24.57</v>
      </c>
      <c r="F366" s="539">
        <v>197.56</v>
      </c>
      <c r="G366" s="483">
        <v>447.11</v>
      </c>
      <c r="H366" s="538">
        <v>447.11</v>
      </c>
      <c r="I366" s="483">
        <v>95.28</v>
      </c>
      <c r="J366" s="538">
        <v>95.28</v>
      </c>
      <c r="K366" s="483">
        <v>65.67</v>
      </c>
      <c r="L366" s="538">
        <v>65.67</v>
      </c>
      <c r="M366" s="540">
        <v>1343.8475293777485</v>
      </c>
      <c r="N366" s="541">
        <v>3587.1571252259237</v>
      </c>
      <c r="O366" s="542">
        <v>629.27</v>
      </c>
      <c r="P366" s="542">
        <v>138.43940000000001</v>
      </c>
      <c r="Q366" s="542">
        <v>99.231247551480607</v>
      </c>
      <c r="R366" s="542">
        <v>608.05999999999995</v>
      </c>
      <c r="S366" s="542">
        <v>1343.8475293777485</v>
      </c>
      <c r="T366" s="542">
        <v>600.78507741375256</v>
      </c>
      <c r="U366" s="542">
        <v>167.5238708829414</v>
      </c>
      <c r="V366" s="543">
        <v>3587.1571252259232</v>
      </c>
      <c r="W366" s="544">
        <v>1.1148763363862142</v>
      </c>
      <c r="Y366" s="544">
        <v>0</v>
      </c>
      <c r="Z366" s="476">
        <v>1</v>
      </c>
    </row>
    <row r="367" spans="1:26" x14ac:dyDescent="0.3">
      <c r="A367" s="499">
        <v>150001023</v>
      </c>
      <c r="B367" s="477" t="s">
        <v>365</v>
      </c>
      <c r="C367" s="524">
        <v>331.1</v>
      </c>
      <c r="D367" s="524">
        <v>76.02</v>
      </c>
      <c r="E367" s="539">
        <v>24.57</v>
      </c>
      <c r="F367" s="539">
        <v>214.13</v>
      </c>
      <c r="G367" s="483">
        <v>399.18</v>
      </c>
      <c r="H367" s="538">
        <v>399.18</v>
      </c>
      <c r="I367" s="483">
        <v>98.13</v>
      </c>
      <c r="J367" s="538">
        <v>98.13</v>
      </c>
      <c r="K367" s="483">
        <v>65.67</v>
      </c>
      <c r="L367" s="538">
        <v>65.67</v>
      </c>
      <c r="M367" s="540">
        <v>1342.5576535318987</v>
      </c>
      <c r="N367" s="541">
        <v>3588.027562517404</v>
      </c>
      <c r="O367" s="542">
        <v>645.81999999999994</v>
      </c>
      <c r="P367" s="542">
        <v>142.0804</v>
      </c>
      <c r="Q367" s="542">
        <v>105.64016830725311</v>
      </c>
      <c r="R367" s="542">
        <v>562.98</v>
      </c>
      <c r="S367" s="542">
        <v>1342.5576535318987</v>
      </c>
      <c r="T367" s="542">
        <v>616.58591494167786</v>
      </c>
      <c r="U367" s="542">
        <v>172.36342573657407</v>
      </c>
      <c r="V367" s="543">
        <v>3588.0275625174036</v>
      </c>
      <c r="W367" s="544">
        <v>9.2355694227769111E-2</v>
      </c>
      <c r="Y367" s="544"/>
      <c r="Z367" s="476">
        <v>1</v>
      </c>
    </row>
    <row r="368" spans="1:26" x14ac:dyDescent="0.3">
      <c r="A368" s="499">
        <v>150001024</v>
      </c>
      <c r="B368" s="477" t="s">
        <v>366</v>
      </c>
      <c r="C368" s="524">
        <v>524.12</v>
      </c>
      <c r="D368" s="524">
        <v>82.64</v>
      </c>
      <c r="E368" s="539">
        <v>26.37</v>
      </c>
      <c r="F368" s="539">
        <v>195.59</v>
      </c>
      <c r="G368" s="483">
        <v>505.24</v>
      </c>
      <c r="H368" s="538">
        <v>505.24</v>
      </c>
      <c r="I368" s="483">
        <v>116.72</v>
      </c>
      <c r="J368" s="538">
        <v>116.72</v>
      </c>
      <c r="K368" s="483">
        <v>42.22</v>
      </c>
      <c r="L368" s="538">
        <v>42.22</v>
      </c>
      <c r="M368" s="540">
        <v>1529.7927531779587</v>
      </c>
      <c r="N368" s="541">
        <v>4332.9792962591191</v>
      </c>
      <c r="O368" s="542">
        <v>828.72</v>
      </c>
      <c r="P368" s="542">
        <v>182.3184</v>
      </c>
      <c r="Q368" s="542">
        <v>117.63001694890829</v>
      </c>
      <c r="R368" s="542">
        <v>664.18000000000006</v>
      </c>
      <c r="S368" s="542">
        <v>1529.7927531779587</v>
      </c>
      <c r="T368" s="542">
        <v>791.20665112642428</v>
      </c>
      <c r="U368" s="542">
        <v>219.13147500582841</v>
      </c>
      <c r="V368" s="543">
        <v>4332.97929625912</v>
      </c>
      <c r="W368" s="544">
        <v>1.0213721080943154</v>
      </c>
      <c r="Y368" s="544">
        <v>0</v>
      </c>
      <c r="Z368" s="476">
        <v>1</v>
      </c>
    </row>
    <row r="369" spans="1:26" x14ac:dyDescent="0.3">
      <c r="A369" s="499">
        <v>150001025</v>
      </c>
      <c r="B369" s="477" t="s">
        <v>420</v>
      </c>
      <c r="C369" s="524">
        <v>623.08000000000004</v>
      </c>
      <c r="D369" s="524">
        <v>104.56</v>
      </c>
      <c r="E369" s="539">
        <v>28.17</v>
      </c>
      <c r="F369" s="539">
        <v>207.35</v>
      </c>
      <c r="G369" s="483">
        <v>646.54</v>
      </c>
      <c r="H369" s="538">
        <v>646.54</v>
      </c>
      <c r="I369" s="483">
        <v>132.49</v>
      </c>
      <c r="J369" s="538">
        <v>132.49</v>
      </c>
      <c r="K369" s="483">
        <v>42.22</v>
      </c>
      <c r="L369" s="538">
        <v>42.22</v>
      </c>
      <c r="M369" s="540">
        <v>1876.1636129110391</v>
      </c>
      <c r="N369" s="541">
        <v>5170.2187213413836</v>
      </c>
      <c r="O369" s="542">
        <v>963.16000000000008</v>
      </c>
      <c r="P369" s="542">
        <v>211.89519999999996</v>
      </c>
      <c r="Q369" s="542">
        <v>124.86128373773701</v>
      </c>
      <c r="R369" s="542">
        <v>821.25</v>
      </c>
      <c r="S369" s="542">
        <v>1876.1636129110391</v>
      </c>
      <c r="T369" s="542">
        <v>919.5610074559886</v>
      </c>
      <c r="U369" s="542">
        <v>253.32761723661949</v>
      </c>
      <c r="V369" s="543">
        <v>5170.2187213413845</v>
      </c>
      <c r="W369" s="544">
        <v>0.14849187935034802</v>
      </c>
      <c r="Y369" s="544"/>
      <c r="Z369" s="476">
        <v>1</v>
      </c>
    </row>
    <row r="370" spans="1:26" x14ac:dyDescent="0.3">
      <c r="A370" s="499">
        <v>150001026</v>
      </c>
      <c r="B370" s="477" t="s">
        <v>334</v>
      </c>
      <c r="C370" s="524">
        <v>387.11</v>
      </c>
      <c r="D370" s="524">
        <v>130.56</v>
      </c>
      <c r="E370" s="539">
        <v>76.12</v>
      </c>
      <c r="F370" s="539">
        <v>558.91999999999996</v>
      </c>
      <c r="G370" s="483">
        <v>841.78</v>
      </c>
      <c r="H370" s="538">
        <v>841.78</v>
      </c>
      <c r="I370" s="483">
        <v>190.73</v>
      </c>
      <c r="J370" s="538">
        <v>190.73</v>
      </c>
      <c r="K370" s="483">
        <v>71.59</v>
      </c>
      <c r="L370" s="538">
        <v>71.59</v>
      </c>
      <c r="M370" s="540">
        <v>2513.0629725535559</v>
      </c>
      <c r="N370" s="541">
        <v>6615.0204742233254</v>
      </c>
      <c r="O370" s="542">
        <v>1152.71</v>
      </c>
      <c r="P370" s="542">
        <v>253.59619999999998</v>
      </c>
      <c r="Q370" s="542">
        <v>183.90373823567847</v>
      </c>
      <c r="R370" s="542">
        <v>1104.0999999999999</v>
      </c>
      <c r="S370" s="542">
        <v>2513.0629725535559</v>
      </c>
      <c r="T370" s="542">
        <v>1100.5307206534662</v>
      </c>
      <c r="U370" s="542">
        <v>307.11684278062461</v>
      </c>
      <c r="V370" s="543">
        <v>6615.0204742233245</v>
      </c>
      <c r="W370" s="544">
        <v>0.82143589951722096</v>
      </c>
      <c r="Y370" s="544">
        <v>0</v>
      </c>
      <c r="Z370" s="476">
        <v>2</v>
      </c>
    </row>
    <row r="371" spans="1:26" x14ac:dyDescent="0.3">
      <c r="A371" s="499">
        <v>150001027</v>
      </c>
      <c r="B371" s="477" t="s">
        <v>367</v>
      </c>
      <c r="C371" s="524">
        <v>894</v>
      </c>
      <c r="D371" s="524">
        <v>149.21</v>
      </c>
      <c r="E371" s="539">
        <v>155.84</v>
      </c>
      <c r="F371" s="539">
        <v>740.88</v>
      </c>
      <c r="G371" s="483">
        <v>1294.1400000000001</v>
      </c>
      <c r="H371" s="538">
        <v>1294.1400000000001</v>
      </c>
      <c r="I371" s="483">
        <v>289.24</v>
      </c>
      <c r="J371" s="538">
        <v>289.24</v>
      </c>
      <c r="K371" s="483">
        <v>125.82</v>
      </c>
      <c r="L371" s="538">
        <v>125.82</v>
      </c>
      <c r="M371" s="540">
        <v>3699.1465711278533</v>
      </c>
      <c r="N371" s="541">
        <v>10457.635382064298</v>
      </c>
      <c r="O371" s="542">
        <v>1939.9299999999998</v>
      </c>
      <c r="P371" s="542">
        <v>426.78459999999995</v>
      </c>
      <c r="Q371" s="542">
        <v>313.18164057383751</v>
      </c>
      <c r="R371" s="542">
        <v>1709.2</v>
      </c>
      <c r="S371" s="542">
        <v>3699.1465711278533</v>
      </c>
      <c r="T371" s="542">
        <v>1852.1159362869053</v>
      </c>
      <c r="U371" s="542">
        <v>517.27663407570333</v>
      </c>
      <c r="V371" s="543">
        <v>10457.635382064298</v>
      </c>
      <c r="W371" s="544">
        <v>0.19914463452566097</v>
      </c>
      <c r="Y371" s="544"/>
      <c r="Z371" s="476">
        <v>2</v>
      </c>
    </row>
    <row r="372" spans="1:26" x14ac:dyDescent="0.3">
      <c r="A372" s="499">
        <v>150001028</v>
      </c>
      <c r="B372" s="477" t="s">
        <v>101</v>
      </c>
      <c r="C372" s="524">
        <v>0</v>
      </c>
      <c r="D372" s="524">
        <v>0</v>
      </c>
      <c r="E372" s="539">
        <v>0</v>
      </c>
      <c r="F372" s="539">
        <v>0</v>
      </c>
      <c r="G372" s="483"/>
      <c r="H372" s="538">
        <v>0</v>
      </c>
      <c r="I372" s="483"/>
      <c r="J372" s="538">
        <v>0</v>
      </c>
      <c r="K372" s="483">
        <v>33.11</v>
      </c>
      <c r="L372" s="538">
        <v>33.11</v>
      </c>
      <c r="M372" s="540">
        <v>0</v>
      </c>
      <c r="N372" s="541">
        <v>33.11</v>
      </c>
      <c r="O372" s="542">
        <v>0</v>
      </c>
      <c r="P372" s="542">
        <v>0</v>
      </c>
      <c r="Q372" s="542">
        <v>0</v>
      </c>
      <c r="R372" s="542">
        <v>33.11</v>
      </c>
      <c r="S372" s="542">
        <v>0</v>
      </c>
      <c r="T372" s="542">
        <v>0</v>
      </c>
      <c r="U372" s="542">
        <v>0</v>
      </c>
      <c r="V372" s="543">
        <v>33.11</v>
      </c>
      <c r="W372" s="544">
        <v>4.6835443037974683E-2</v>
      </c>
      <c r="Y372" s="544"/>
      <c r="Z372" s="476">
        <v>1</v>
      </c>
    </row>
    <row r="373" spans="1:26" x14ac:dyDescent="0.3">
      <c r="A373" s="499">
        <v>150001029</v>
      </c>
      <c r="B373" s="477" t="s">
        <v>368</v>
      </c>
      <c r="C373" s="524">
        <v>689.54</v>
      </c>
      <c r="D373" s="524">
        <v>119.2</v>
      </c>
      <c r="E373" s="539">
        <v>116.88</v>
      </c>
      <c r="F373" s="539">
        <v>472.12</v>
      </c>
      <c r="G373" s="483">
        <v>1047.6600000000001</v>
      </c>
      <c r="H373" s="538">
        <v>1047.6600000000001</v>
      </c>
      <c r="I373" s="483">
        <v>195.22</v>
      </c>
      <c r="J373" s="538">
        <v>195.22</v>
      </c>
      <c r="K373" s="483">
        <v>75.709999999999994</v>
      </c>
      <c r="L373" s="538">
        <v>75.709999999999994</v>
      </c>
      <c r="M373" s="540">
        <v>2645.7063930994336</v>
      </c>
      <c r="N373" s="541">
        <v>7566.4737943172031</v>
      </c>
      <c r="O373" s="542">
        <v>1397.74</v>
      </c>
      <c r="P373" s="542">
        <v>307.50279999999998</v>
      </c>
      <c r="Q373" s="542">
        <v>193.43889594384399</v>
      </c>
      <c r="R373" s="542">
        <v>1318.5900000000001</v>
      </c>
      <c r="S373" s="542">
        <v>2645.7063930994336</v>
      </c>
      <c r="T373" s="542">
        <v>1334.4690420714455</v>
      </c>
      <c r="U373" s="542">
        <v>369.02666320247948</v>
      </c>
      <c r="V373" s="543">
        <v>7566.4737943172022</v>
      </c>
      <c r="W373" s="544">
        <v>9.3819334389857373E-2</v>
      </c>
      <c r="Y373" s="544"/>
      <c r="Z373" s="476">
        <v>1</v>
      </c>
    </row>
    <row r="374" spans="1:26" x14ac:dyDescent="0.3">
      <c r="A374" s="499">
        <v>150001030</v>
      </c>
      <c r="B374" s="477" t="s">
        <v>335</v>
      </c>
      <c r="C374" s="524">
        <v>336.68</v>
      </c>
      <c r="D374" s="524">
        <v>95.26</v>
      </c>
      <c r="E374" s="539">
        <v>36.86</v>
      </c>
      <c r="F374" s="539">
        <v>377.34</v>
      </c>
      <c r="G374" s="483">
        <v>792.82</v>
      </c>
      <c r="H374" s="538">
        <v>792.82</v>
      </c>
      <c r="I374" s="483">
        <v>161.53</v>
      </c>
      <c r="J374" s="538">
        <v>161.53</v>
      </c>
      <c r="K374" s="483">
        <v>75.709999999999994</v>
      </c>
      <c r="L374" s="538">
        <v>75.709999999999994</v>
      </c>
      <c r="M374" s="540">
        <v>2182.7229178770463</v>
      </c>
      <c r="N374" s="541">
        <v>5450.382333401144</v>
      </c>
      <c r="O374" s="542">
        <v>846.14</v>
      </c>
      <c r="P374" s="542">
        <v>186.1508</v>
      </c>
      <c r="Q374" s="542">
        <v>168.2386432268695</v>
      </c>
      <c r="R374" s="542">
        <v>1030.06</v>
      </c>
      <c r="S374" s="542">
        <v>2182.7229178770463</v>
      </c>
      <c r="T374" s="542">
        <v>807.83810669962418</v>
      </c>
      <c r="U374" s="542">
        <v>229.23186559760342</v>
      </c>
      <c r="V374" s="543">
        <v>5450.3823334011431</v>
      </c>
      <c r="W374" s="544">
        <v>0.97893377315354546</v>
      </c>
      <c r="Y374" s="544">
        <v>0</v>
      </c>
      <c r="Z374" s="476">
        <v>2</v>
      </c>
    </row>
    <row r="375" spans="1:26" x14ac:dyDescent="0.3">
      <c r="A375" s="499">
        <v>150001031</v>
      </c>
      <c r="B375" s="477" t="s">
        <v>103</v>
      </c>
      <c r="C375" s="524">
        <v>0</v>
      </c>
      <c r="D375" s="524">
        <v>0</v>
      </c>
      <c r="E375" s="539">
        <v>0</v>
      </c>
      <c r="F375" s="539">
        <v>0</v>
      </c>
      <c r="G375" s="483"/>
      <c r="H375" s="538">
        <v>0</v>
      </c>
      <c r="I375" s="483"/>
      <c r="J375" s="538">
        <v>0</v>
      </c>
      <c r="K375" s="483">
        <v>25.61</v>
      </c>
      <c r="L375" s="538">
        <v>25.61</v>
      </c>
      <c r="M375" s="540">
        <v>0</v>
      </c>
      <c r="N375" s="541">
        <v>25.61</v>
      </c>
      <c r="O375" s="542">
        <v>0</v>
      </c>
      <c r="P375" s="542">
        <v>0</v>
      </c>
      <c r="Q375" s="542">
        <v>0</v>
      </c>
      <c r="R375" s="542">
        <v>25.61</v>
      </c>
      <c r="S375" s="542">
        <v>0</v>
      </c>
      <c r="T375" s="542">
        <v>0</v>
      </c>
      <c r="U375" s="542">
        <v>0</v>
      </c>
      <c r="V375" s="543">
        <v>25.61</v>
      </c>
      <c r="W375" s="544">
        <v>1.0151343655040139</v>
      </c>
      <c r="Y375" s="544">
        <v>0</v>
      </c>
      <c r="Z375" s="476">
        <v>3</v>
      </c>
    </row>
    <row r="376" spans="1:26" x14ac:dyDescent="0.3">
      <c r="A376" s="499">
        <v>150001032</v>
      </c>
      <c r="B376" s="477" t="s">
        <v>369</v>
      </c>
      <c r="C376" s="524">
        <v>470.53</v>
      </c>
      <c r="D376" s="524">
        <v>63</v>
      </c>
      <c r="E376" s="539">
        <v>58.44</v>
      </c>
      <c r="F376" s="539">
        <v>471.58</v>
      </c>
      <c r="G376" s="483">
        <v>741.77</v>
      </c>
      <c r="H376" s="538">
        <v>741.77</v>
      </c>
      <c r="I376" s="483">
        <v>155.68</v>
      </c>
      <c r="J376" s="538">
        <v>155.68</v>
      </c>
      <c r="K376" s="483">
        <v>73.260000000000005</v>
      </c>
      <c r="L376" s="538">
        <v>73.260000000000005</v>
      </c>
      <c r="M376" s="540">
        <v>2145.0421524906856</v>
      </c>
      <c r="N376" s="541">
        <v>5874.8299713275883</v>
      </c>
      <c r="O376" s="542">
        <v>1063.55</v>
      </c>
      <c r="P376" s="542">
        <v>233.98099999999999</v>
      </c>
      <c r="Q376" s="542">
        <v>163.48517466654869</v>
      </c>
      <c r="R376" s="542">
        <v>970.71</v>
      </c>
      <c r="S376" s="542">
        <v>2145.0421524906856</v>
      </c>
      <c r="T376" s="542">
        <v>1015.4066920135974</v>
      </c>
      <c r="U376" s="542">
        <v>282.65495215675634</v>
      </c>
      <c r="V376" s="543">
        <v>5874.8299713275883</v>
      </c>
      <c r="W376" s="544">
        <v>0.9878048193659984</v>
      </c>
      <c r="Y376" s="544">
        <v>0</v>
      </c>
      <c r="Z376" s="476">
        <v>3</v>
      </c>
    </row>
    <row r="377" spans="1:26" x14ac:dyDescent="0.3">
      <c r="A377" s="499">
        <v>150001033</v>
      </c>
      <c r="B377" s="477" t="s">
        <v>362</v>
      </c>
      <c r="C377" s="524">
        <v>382.55</v>
      </c>
      <c r="D377" s="524">
        <v>65.83</v>
      </c>
      <c r="E377" s="539">
        <v>26.37</v>
      </c>
      <c r="F377" s="539">
        <v>279.05</v>
      </c>
      <c r="G377" s="483">
        <v>495.8</v>
      </c>
      <c r="H377" s="538">
        <v>495.8</v>
      </c>
      <c r="I377" s="483">
        <v>99.52</v>
      </c>
      <c r="J377" s="538">
        <v>99.52</v>
      </c>
      <c r="K377" s="483">
        <v>50.62</v>
      </c>
      <c r="L377" s="538">
        <v>50.62</v>
      </c>
      <c r="M377" s="540">
        <v>1433.9001046599697</v>
      </c>
      <c r="N377" s="541">
        <v>4004.3419015300046</v>
      </c>
      <c r="O377" s="542">
        <v>753.8</v>
      </c>
      <c r="P377" s="542">
        <v>165.83600000000001</v>
      </c>
      <c r="Q377" s="542">
        <v>88.031329933735904</v>
      </c>
      <c r="R377" s="542">
        <v>645.94000000000005</v>
      </c>
      <c r="S377" s="542">
        <v>1433.9001046599697</v>
      </c>
      <c r="T377" s="542">
        <v>719.67802589426901</v>
      </c>
      <c r="U377" s="542">
        <v>197.15644104203034</v>
      </c>
      <c r="V377" s="543">
        <v>4004.3419015300051</v>
      </c>
      <c r="W377" s="544">
        <v>0.97529367932589039</v>
      </c>
      <c r="Y377" s="544">
        <v>0</v>
      </c>
      <c r="Z377" s="476">
        <v>2</v>
      </c>
    </row>
    <row r="378" spans="1:26" x14ac:dyDescent="0.3">
      <c r="A378" s="499">
        <v>150001035</v>
      </c>
      <c r="B378" s="477" t="s">
        <v>262</v>
      </c>
      <c r="C378" s="524">
        <v>353.31</v>
      </c>
      <c r="D378" s="524">
        <v>67.87</v>
      </c>
      <c r="E378" s="539">
        <v>23.98</v>
      </c>
      <c r="F378" s="539">
        <v>223.08</v>
      </c>
      <c r="G378" s="483">
        <v>368.62</v>
      </c>
      <c r="H378" s="538">
        <v>368.62</v>
      </c>
      <c r="I378" s="483">
        <v>77.86</v>
      </c>
      <c r="J378" s="538">
        <v>77.86</v>
      </c>
      <c r="K378" s="483">
        <v>75.709999999999994</v>
      </c>
      <c r="L378" s="538">
        <v>75.709999999999994</v>
      </c>
      <c r="M378" s="540">
        <v>1015.7594126420595</v>
      </c>
      <c r="N378" s="541">
        <v>3246.9438904795052</v>
      </c>
      <c r="O378" s="542">
        <v>668.24</v>
      </c>
      <c r="P378" s="542">
        <v>147.0128</v>
      </c>
      <c r="Q378" s="542">
        <v>80.6719423352978</v>
      </c>
      <c r="R378" s="542">
        <v>522.19000000000005</v>
      </c>
      <c r="S378" s="542">
        <v>1015.7594126420595</v>
      </c>
      <c r="T378" s="542">
        <v>637.99103744174363</v>
      </c>
      <c r="U378" s="542">
        <v>175.07869806040392</v>
      </c>
      <c r="V378" s="543">
        <v>3246.9438904795047</v>
      </c>
      <c r="W378" s="544">
        <v>0.95487240015194619</v>
      </c>
      <c r="Y378" s="544">
        <v>0</v>
      </c>
      <c r="Z378" s="476">
        <v>3</v>
      </c>
    </row>
    <row r="379" spans="1:26" x14ac:dyDescent="0.3">
      <c r="A379" s="499">
        <v>150001036</v>
      </c>
      <c r="B379" s="477" t="s">
        <v>102</v>
      </c>
      <c r="C379" s="524">
        <v>0</v>
      </c>
      <c r="D379" s="524">
        <v>0</v>
      </c>
      <c r="E379" s="539">
        <v>0</v>
      </c>
      <c r="F379" s="539">
        <v>0</v>
      </c>
      <c r="G379" s="483"/>
      <c r="H379" s="538">
        <v>0</v>
      </c>
      <c r="I379" s="483"/>
      <c r="J379" s="538">
        <v>0</v>
      </c>
      <c r="K379" s="483">
        <v>33.11</v>
      </c>
      <c r="L379" s="538">
        <v>33.11</v>
      </c>
      <c r="M379" s="540">
        <v>0</v>
      </c>
      <c r="N379" s="541">
        <v>33.11</v>
      </c>
      <c r="O379" s="542">
        <v>0</v>
      </c>
      <c r="P379" s="542">
        <v>0</v>
      </c>
      <c r="Q379" s="542">
        <v>0</v>
      </c>
      <c r="R379" s="542">
        <v>33.11</v>
      </c>
      <c r="S379" s="542">
        <v>0</v>
      </c>
      <c r="T379" s="542">
        <v>0</v>
      </c>
      <c r="U379" s="542">
        <v>0</v>
      </c>
      <c r="V379" s="543">
        <v>33.11</v>
      </c>
      <c r="W379" s="544">
        <v>0.98114000974388482</v>
      </c>
      <c r="Y379" s="544">
        <v>0</v>
      </c>
      <c r="Z379" s="476">
        <v>2</v>
      </c>
    </row>
    <row r="380" spans="1:26" x14ac:dyDescent="0.3">
      <c r="A380" s="499">
        <v>150001037</v>
      </c>
      <c r="B380" s="477" t="s">
        <v>104</v>
      </c>
      <c r="C380" s="524">
        <v>0</v>
      </c>
      <c r="D380" s="524">
        <v>0</v>
      </c>
      <c r="E380" s="539">
        <v>0</v>
      </c>
      <c r="F380" s="539">
        <v>0</v>
      </c>
      <c r="G380" s="483"/>
      <c r="H380" s="538">
        <v>0</v>
      </c>
      <c r="I380" s="483"/>
      <c r="J380" s="538">
        <v>0</v>
      </c>
      <c r="K380" s="483">
        <v>27.48</v>
      </c>
      <c r="L380" s="538">
        <v>27.48</v>
      </c>
      <c r="M380" s="540">
        <v>0</v>
      </c>
      <c r="N380" s="541">
        <v>27.48</v>
      </c>
      <c r="O380" s="542">
        <v>0</v>
      </c>
      <c r="P380" s="542">
        <v>0</v>
      </c>
      <c r="Q380" s="542">
        <v>0</v>
      </c>
      <c r="R380" s="542">
        <v>27.48</v>
      </c>
      <c r="S380" s="542">
        <v>0</v>
      </c>
      <c r="T380" s="542">
        <v>0</v>
      </c>
      <c r="U380" s="542">
        <v>0</v>
      </c>
      <c r="V380" s="543">
        <v>27.48</v>
      </c>
      <c r="W380" s="544">
        <v>1.0556882418313116</v>
      </c>
      <c r="Y380" s="544">
        <v>0</v>
      </c>
      <c r="Z380" s="476">
        <v>2</v>
      </c>
    </row>
    <row r="381" spans="1:26" x14ac:dyDescent="0.3">
      <c r="A381" s="499">
        <v>150001040</v>
      </c>
      <c r="B381" s="477" t="s">
        <v>216</v>
      </c>
      <c r="C381" s="524">
        <v>297.12</v>
      </c>
      <c r="D381" s="524">
        <v>77</v>
      </c>
      <c r="E381" s="539">
        <v>0</v>
      </c>
      <c r="F381" s="539">
        <v>296.18</v>
      </c>
      <c r="G381" s="483">
        <v>284.37</v>
      </c>
      <c r="H381" s="538">
        <v>284.37</v>
      </c>
      <c r="I381" s="483"/>
      <c r="J381" s="538">
        <v>0</v>
      </c>
      <c r="K381" s="483">
        <v>91.37</v>
      </c>
      <c r="L381" s="538">
        <v>91.37</v>
      </c>
      <c r="M381" s="540">
        <v>884.81207193768614</v>
      </c>
      <c r="N381" s="541">
        <v>2967.4930217683827</v>
      </c>
      <c r="O381" s="542">
        <v>670.3</v>
      </c>
      <c r="P381" s="542">
        <v>147.46600000000001</v>
      </c>
      <c r="Q381" s="542">
        <v>74.3488381430803</v>
      </c>
      <c r="R381" s="542">
        <v>375.74</v>
      </c>
      <c r="S381" s="542">
        <v>884.81207193768614</v>
      </c>
      <c r="T381" s="542">
        <v>639.95778821561225</v>
      </c>
      <c r="U381" s="542">
        <v>174.86832347200442</v>
      </c>
      <c r="V381" s="543">
        <v>2967.4930217683832</v>
      </c>
      <c r="W381" s="544">
        <v>1.0534417868500248</v>
      </c>
      <c r="Y381" s="544">
        <v>0</v>
      </c>
      <c r="Z381" s="476">
        <v>2</v>
      </c>
    </row>
    <row r="382" spans="1:26" x14ac:dyDescent="0.3">
      <c r="A382" s="499">
        <v>150001041</v>
      </c>
      <c r="B382" s="477" t="s">
        <v>196</v>
      </c>
      <c r="C382" s="524">
        <v>81.78</v>
      </c>
      <c r="D382" s="524">
        <v>12.47</v>
      </c>
      <c r="E382" s="539">
        <v>0</v>
      </c>
      <c r="F382" s="539">
        <v>32.479999999999997</v>
      </c>
      <c r="G382" s="483">
        <v>74.91</v>
      </c>
      <c r="H382" s="538">
        <v>74.91</v>
      </c>
      <c r="I382" s="483"/>
      <c r="J382" s="538">
        <v>0</v>
      </c>
      <c r="K382" s="483">
        <v>25.61</v>
      </c>
      <c r="L382" s="538">
        <v>25.61</v>
      </c>
      <c r="M382" s="540">
        <v>214.29042367240837</v>
      </c>
      <c r="N382" s="541">
        <v>658.23664256760503</v>
      </c>
      <c r="O382" s="542">
        <v>126.72999999999999</v>
      </c>
      <c r="P382" s="542">
        <v>27.880600000000001</v>
      </c>
      <c r="Q382" s="542">
        <v>32.639805493954398</v>
      </c>
      <c r="R382" s="542">
        <v>100.52</v>
      </c>
      <c r="S382" s="542">
        <v>214.29042367240837</v>
      </c>
      <c r="T382" s="542">
        <v>120.99336192833738</v>
      </c>
      <c r="U382" s="542">
        <v>35.182451472904866</v>
      </c>
      <c r="V382" s="543">
        <v>658.23664256760503</v>
      </c>
      <c r="W382" s="544">
        <v>0.95165347991413685</v>
      </c>
      <c r="Y382" s="544">
        <v>0</v>
      </c>
      <c r="Z382" s="476">
        <v>2</v>
      </c>
    </row>
    <row r="383" spans="1:26" x14ac:dyDescent="0.3">
      <c r="A383" s="499">
        <v>150001042</v>
      </c>
      <c r="B383" s="477" t="s">
        <v>181</v>
      </c>
      <c r="C383" s="524">
        <v>73.98</v>
      </c>
      <c r="D383" s="524">
        <v>14.08</v>
      </c>
      <c r="E383" s="539">
        <v>0</v>
      </c>
      <c r="F383" s="539">
        <v>36.04</v>
      </c>
      <c r="G383" s="483">
        <v>51.42</v>
      </c>
      <c r="H383" s="538">
        <v>51.42</v>
      </c>
      <c r="I383" s="483"/>
      <c r="J383" s="538">
        <v>0</v>
      </c>
      <c r="K383" s="483">
        <v>50.66</v>
      </c>
      <c r="L383" s="538">
        <v>50.66</v>
      </c>
      <c r="M383" s="540">
        <v>152.18397065261991</v>
      </c>
      <c r="N383" s="541">
        <v>574.12988091694672</v>
      </c>
      <c r="O383" s="542">
        <v>124.1</v>
      </c>
      <c r="P383" s="542">
        <v>27.302</v>
      </c>
      <c r="Q383" s="542">
        <v>17.212691944872802</v>
      </c>
      <c r="R383" s="542">
        <v>102.08</v>
      </c>
      <c r="S383" s="542">
        <v>152.18397065261991</v>
      </c>
      <c r="T383" s="542">
        <v>118.48241312480604</v>
      </c>
      <c r="U383" s="542">
        <v>32.768805194647939</v>
      </c>
      <c r="V383" s="543">
        <v>574.1298809169466</v>
      </c>
      <c r="W383" s="544">
        <v>0.99255625115655555</v>
      </c>
      <c r="Y383" s="544">
        <v>0</v>
      </c>
      <c r="Z383" s="476">
        <v>3</v>
      </c>
    </row>
    <row r="384" spans="1:26" x14ac:dyDescent="0.3">
      <c r="A384" s="499">
        <v>150001043</v>
      </c>
      <c r="B384" s="477" t="s">
        <v>217</v>
      </c>
      <c r="C384" s="524">
        <v>155.35</v>
      </c>
      <c r="D384" s="524">
        <v>30.8</v>
      </c>
      <c r="E384" s="539">
        <v>0</v>
      </c>
      <c r="F384" s="539">
        <v>86.2</v>
      </c>
      <c r="G384" s="483">
        <v>159.86000000000001</v>
      </c>
      <c r="H384" s="538">
        <v>159.86000000000001</v>
      </c>
      <c r="I384" s="483"/>
      <c r="J384" s="538">
        <v>0</v>
      </c>
      <c r="K384" s="483">
        <v>59.96</v>
      </c>
      <c r="L384" s="538">
        <v>59.96</v>
      </c>
      <c r="M384" s="540">
        <v>456.83696739340661</v>
      </c>
      <c r="N384" s="541">
        <v>1383.1005865953439</v>
      </c>
      <c r="O384" s="542">
        <v>272.35000000000002</v>
      </c>
      <c r="P384" s="542">
        <v>59.917000000000002</v>
      </c>
      <c r="Q384" s="542">
        <v>41.783051471738297</v>
      </c>
      <c r="R384" s="542">
        <v>219.82000000000002</v>
      </c>
      <c r="S384" s="542">
        <v>456.83696739340661</v>
      </c>
      <c r="T384" s="542">
        <v>260.02163750637328</v>
      </c>
      <c r="U384" s="542">
        <v>72.371930223825643</v>
      </c>
      <c r="V384" s="543">
        <v>1383.1005865953439</v>
      </c>
      <c r="W384" s="544">
        <v>1.0059224489533334</v>
      </c>
      <c r="Y384" s="544">
        <v>0</v>
      </c>
      <c r="Z384" s="476">
        <v>2</v>
      </c>
    </row>
    <row r="385" spans="1:26" x14ac:dyDescent="0.3">
      <c r="A385" s="499">
        <v>150001044</v>
      </c>
      <c r="B385" s="477" t="s">
        <v>269</v>
      </c>
      <c r="C385" s="524">
        <v>404.7</v>
      </c>
      <c r="D385" s="524">
        <v>77.56</v>
      </c>
      <c r="E385" s="539">
        <v>0</v>
      </c>
      <c r="F385" s="539">
        <v>236.2</v>
      </c>
      <c r="G385" s="483">
        <v>412.34</v>
      </c>
      <c r="H385" s="538">
        <v>412.34</v>
      </c>
      <c r="I385" s="483"/>
      <c r="J385" s="538">
        <v>0</v>
      </c>
      <c r="K385" s="483">
        <v>130.83000000000001</v>
      </c>
      <c r="L385" s="538">
        <v>130.83000000000001</v>
      </c>
      <c r="M385" s="540">
        <v>1249.0772866372256</v>
      </c>
      <c r="N385" s="541">
        <v>3623.2782342832197</v>
      </c>
      <c r="O385" s="542">
        <v>718.46</v>
      </c>
      <c r="P385" s="542">
        <v>158.06119999999999</v>
      </c>
      <c r="Q385" s="542">
        <v>80.991221197764204</v>
      </c>
      <c r="R385" s="542">
        <v>543.16999999999996</v>
      </c>
      <c r="S385" s="542">
        <v>1249.0772866372256</v>
      </c>
      <c r="T385" s="542">
        <v>685.9377480551824</v>
      </c>
      <c r="U385" s="542">
        <v>187.58077839304781</v>
      </c>
      <c r="V385" s="543">
        <v>3623.2782342832202</v>
      </c>
      <c r="W385" s="544">
        <v>1.2060434292449396</v>
      </c>
      <c r="Y385" s="544">
        <v>0</v>
      </c>
      <c r="Z385" s="476">
        <v>3</v>
      </c>
    </row>
    <row r="386" spans="1:26" x14ac:dyDescent="0.3">
      <c r="A386" s="499">
        <v>150001045</v>
      </c>
      <c r="B386" s="477" t="s">
        <v>271</v>
      </c>
      <c r="C386" s="524">
        <v>395.19</v>
      </c>
      <c r="D386" s="524">
        <v>70</v>
      </c>
      <c r="E386" s="539">
        <v>0</v>
      </c>
      <c r="F386" s="539">
        <v>239.74</v>
      </c>
      <c r="G386" s="483">
        <v>442.04</v>
      </c>
      <c r="H386" s="538">
        <v>442.04</v>
      </c>
      <c r="I386" s="483"/>
      <c r="J386" s="538">
        <v>0</v>
      </c>
      <c r="K386" s="483">
        <v>103.1</v>
      </c>
      <c r="L386" s="538">
        <v>103.1</v>
      </c>
      <c r="M386" s="540">
        <v>1272.5587281404046</v>
      </c>
      <c r="N386" s="541">
        <v>3615.2640549249968</v>
      </c>
      <c r="O386" s="542">
        <v>704.93000000000006</v>
      </c>
      <c r="P386" s="542">
        <v>155.08460000000002</v>
      </c>
      <c r="Q386" s="542">
        <v>80.378143428045107</v>
      </c>
      <c r="R386" s="542">
        <v>545.14</v>
      </c>
      <c r="S386" s="542">
        <v>1272.5587281404046</v>
      </c>
      <c r="T386" s="542">
        <v>673.02020535108386</v>
      </c>
      <c r="U386" s="542">
        <v>184.1523780054635</v>
      </c>
      <c r="V386" s="543">
        <v>3615.2640549249973</v>
      </c>
      <c r="W386" s="544">
        <v>0.94423964835331764</v>
      </c>
      <c r="Y386" s="544">
        <v>0</v>
      </c>
      <c r="Z386" s="476">
        <v>2</v>
      </c>
    </row>
    <row r="387" spans="1:26" x14ac:dyDescent="0.3">
      <c r="A387" s="499">
        <v>150001046</v>
      </c>
      <c r="B387" s="477" t="s">
        <v>272</v>
      </c>
      <c r="C387" s="524">
        <v>287.91000000000003</v>
      </c>
      <c r="D387" s="524">
        <v>61.02</v>
      </c>
      <c r="E387" s="539">
        <v>0</v>
      </c>
      <c r="F387" s="539">
        <v>177.33</v>
      </c>
      <c r="G387" s="483">
        <v>292.13</v>
      </c>
      <c r="H387" s="538">
        <v>292.13</v>
      </c>
      <c r="I387" s="483"/>
      <c r="J387" s="538">
        <v>0</v>
      </c>
      <c r="K387" s="483">
        <v>80.58</v>
      </c>
      <c r="L387" s="538">
        <v>80.58</v>
      </c>
      <c r="M387" s="540">
        <v>955.47018802388266</v>
      </c>
      <c r="N387" s="541">
        <v>2671.8427844474681</v>
      </c>
      <c r="O387" s="542">
        <v>526.26</v>
      </c>
      <c r="P387" s="542">
        <v>115.77719999999999</v>
      </c>
      <c r="Q387" s="542">
        <v>61.535293772264296</v>
      </c>
      <c r="R387" s="542">
        <v>372.71</v>
      </c>
      <c r="S387" s="542">
        <v>955.47018802388266</v>
      </c>
      <c r="T387" s="542">
        <v>502.43799138646597</v>
      </c>
      <c r="U387" s="542">
        <v>137.65211126485531</v>
      </c>
      <c r="V387" s="543">
        <v>2671.8427844474681</v>
      </c>
      <c r="W387" s="544">
        <v>1.0220401337517657</v>
      </c>
      <c r="Y387" s="544">
        <v>0</v>
      </c>
      <c r="Z387" s="476">
        <v>2</v>
      </c>
    </row>
    <row r="388" spans="1:26" x14ac:dyDescent="0.3">
      <c r="A388" s="499">
        <v>150001047</v>
      </c>
      <c r="B388" s="477" t="s">
        <v>179</v>
      </c>
      <c r="C388" s="524">
        <v>82.04</v>
      </c>
      <c r="D388" s="524">
        <v>14.35</v>
      </c>
      <c r="E388" s="539">
        <v>0</v>
      </c>
      <c r="F388" s="539">
        <v>35.619999999999997</v>
      </c>
      <c r="G388" s="483">
        <v>94.34</v>
      </c>
      <c r="H388" s="538">
        <v>94.34</v>
      </c>
      <c r="I388" s="483"/>
      <c r="J388" s="538">
        <v>0</v>
      </c>
      <c r="K388" s="483">
        <v>8.77</v>
      </c>
      <c r="L388" s="538">
        <v>8.77</v>
      </c>
      <c r="M388" s="540">
        <v>271.80392098694688</v>
      </c>
      <c r="N388" s="541">
        <v>716.86577528354871</v>
      </c>
      <c r="O388" s="542">
        <v>132.01</v>
      </c>
      <c r="P388" s="542">
        <v>29.042200000000001</v>
      </c>
      <c r="Q388" s="542">
        <v>19.833890556497302</v>
      </c>
      <c r="R388" s="542">
        <v>103.11</v>
      </c>
      <c r="S388" s="542">
        <v>271.80392098694688</v>
      </c>
      <c r="T388" s="542">
        <v>126.03435420310753</v>
      </c>
      <c r="U388" s="542">
        <v>35.03140953699706</v>
      </c>
      <c r="V388" s="543">
        <v>716.86577528354883</v>
      </c>
      <c r="W388" s="544">
        <v>0.97891918541655654</v>
      </c>
      <c r="Y388" s="544">
        <v>0</v>
      </c>
      <c r="Z388" s="476">
        <v>2</v>
      </c>
    </row>
    <row r="389" spans="1:26" x14ac:dyDescent="0.3">
      <c r="A389" s="499">
        <v>150001048</v>
      </c>
      <c r="B389" s="477" t="s">
        <v>125</v>
      </c>
      <c r="C389" s="524">
        <v>0</v>
      </c>
      <c r="D389" s="524">
        <v>0</v>
      </c>
      <c r="E389" s="539">
        <v>0</v>
      </c>
      <c r="F389" s="539">
        <v>0</v>
      </c>
      <c r="G389" s="483"/>
      <c r="H389" s="538">
        <v>0</v>
      </c>
      <c r="I389" s="483"/>
      <c r="J389" s="538">
        <v>0</v>
      </c>
      <c r="K389" s="483">
        <v>46.92</v>
      </c>
      <c r="L389" s="538">
        <v>46.92</v>
      </c>
      <c r="M389" s="540">
        <v>0</v>
      </c>
      <c r="N389" s="541">
        <v>46.92</v>
      </c>
      <c r="O389" s="542">
        <v>0</v>
      </c>
      <c r="P389" s="542">
        <v>0</v>
      </c>
      <c r="Q389" s="542">
        <v>0</v>
      </c>
      <c r="R389" s="542">
        <v>46.92</v>
      </c>
      <c r="S389" s="542">
        <v>0</v>
      </c>
      <c r="T389" s="542">
        <v>0</v>
      </c>
      <c r="U389" s="542">
        <v>0</v>
      </c>
      <c r="V389" s="543">
        <v>46.92</v>
      </c>
      <c r="W389" s="544">
        <v>1.0041673127183761</v>
      </c>
      <c r="Y389" s="544">
        <v>0</v>
      </c>
      <c r="Z389" s="476">
        <v>2</v>
      </c>
    </row>
    <row r="390" spans="1:26" x14ac:dyDescent="0.3">
      <c r="A390" s="499">
        <v>150001049</v>
      </c>
      <c r="B390" s="477" t="s">
        <v>180</v>
      </c>
      <c r="C390" s="524">
        <v>23.045000000000002</v>
      </c>
      <c r="D390" s="524">
        <v>7.85</v>
      </c>
      <c r="E390" s="539">
        <v>0</v>
      </c>
      <c r="F390" s="539">
        <v>10.715</v>
      </c>
      <c r="G390" s="483"/>
      <c r="H390" s="538">
        <v>0</v>
      </c>
      <c r="I390" s="483"/>
      <c r="J390" s="538">
        <v>0</v>
      </c>
      <c r="K390" s="483">
        <v>25.61</v>
      </c>
      <c r="L390" s="538">
        <v>25.61</v>
      </c>
      <c r="M390" s="540">
        <v>90.39820499782175</v>
      </c>
      <c r="N390" s="541">
        <v>224.85150902940117</v>
      </c>
      <c r="O390" s="542">
        <v>41.61</v>
      </c>
      <c r="P390" s="542">
        <v>9.1541999999999994</v>
      </c>
      <c r="Q390" s="542">
        <v>7.2021472592292746</v>
      </c>
      <c r="R390" s="542">
        <v>25.61</v>
      </c>
      <c r="S390" s="542">
        <v>90.39820499782175</v>
      </c>
      <c r="T390" s="542">
        <v>39.726456165376135</v>
      </c>
      <c r="U390" s="542">
        <v>11.150500606973994</v>
      </c>
      <c r="V390" s="543">
        <v>224.85150902940114</v>
      </c>
      <c r="W390" s="544">
        <v>1.0074115041457834</v>
      </c>
      <c r="Y390" s="544">
        <v>0</v>
      </c>
      <c r="Z390" s="476">
        <v>2</v>
      </c>
    </row>
    <row r="391" spans="1:26" x14ac:dyDescent="0.3">
      <c r="A391" s="499">
        <v>150001050</v>
      </c>
      <c r="B391" s="477" t="s">
        <v>270</v>
      </c>
      <c r="C391" s="524">
        <v>407.36</v>
      </c>
      <c r="D391" s="524">
        <v>70</v>
      </c>
      <c r="E391" s="539">
        <v>0</v>
      </c>
      <c r="F391" s="539">
        <v>239.74</v>
      </c>
      <c r="G391" s="483">
        <v>403.33</v>
      </c>
      <c r="H391" s="538">
        <v>403.33</v>
      </c>
      <c r="I391" s="483"/>
      <c r="J391" s="538">
        <v>0</v>
      </c>
      <c r="K391" s="483">
        <v>98.24</v>
      </c>
      <c r="L391" s="538">
        <v>98.24</v>
      </c>
      <c r="M391" s="540">
        <v>1270.0288611499254</v>
      </c>
      <c r="N391" s="541">
        <v>3599.4748251594037</v>
      </c>
      <c r="O391" s="542">
        <v>717.1</v>
      </c>
      <c r="P391" s="542">
        <v>157.762</v>
      </c>
      <c r="Q391" s="542">
        <v>81.11708866478341</v>
      </c>
      <c r="R391" s="542">
        <v>501.57</v>
      </c>
      <c r="S391" s="542">
        <v>1270.0288611499254</v>
      </c>
      <c r="T391" s="542">
        <v>684.63931065107499</v>
      </c>
      <c r="U391" s="542">
        <v>187.25756469362028</v>
      </c>
      <c r="V391" s="543">
        <v>3599.4748251594042</v>
      </c>
      <c r="W391" s="544">
        <v>0.85866349597074565</v>
      </c>
      <c r="Y391" s="544">
        <v>0</v>
      </c>
      <c r="Z391" s="476">
        <v>2</v>
      </c>
    </row>
    <row r="392" spans="1:26" x14ac:dyDescent="0.3">
      <c r="A392" s="499">
        <v>150001053</v>
      </c>
      <c r="B392" s="477" t="s">
        <v>146</v>
      </c>
      <c r="C392" s="524">
        <v>69.87</v>
      </c>
      <c r="D392" s="524">
        <v>11.58</v>
      </c>
      <c r="E392" s="539">
        <v>0</v>
      </c>
      <c r="F392" s="539">
        <v>10.96</v>
      </c>
      <c r="G392" s="483">
        <v>55.39</v>
      </c>
      <c r="H392" s="538">
        <v>55.39</v>
      </c>
      <c r="I392" s="483"/>
      <c r="J392" s="538">
        <v>0</v>
      </c>
      <c r="K392" s="483">
        <v>25.61</v>
      </c>
      <c r="L392" s="538">
        <v>25.61</v>
      </c>
      <c r="M392" s="540">
        <v>132.83583296487171</v>
      </c>
      <c r="N392" s="541">
        <v>455.12750486811518</v>
      </c>
      <c r="O392" s="542">
        <v>92.41</v>
      </c>
      <c r="P392" s="542">
        <v>20.330200000000001</v>
      </c>
      <c r="Q392" s="542">
        <v>15.605327301428261</v>
      </c>
      <c r="R392" s="542">
        <v>81</v>
      </c>
      <c r="S392" s="542">
        <v>132.83583296487171</v>
      </c>
      <c r="T392" s="542">
        <v>88.2269121423314</v>
      </c>
      <c r="U392" s="542">
        <v>24.719232459483838</v>
      </c>
      <c r="V392" s="543">
        <v>455.12750486811524</v>
      </c>
      <c r="W392" s="544">
        <v>1.0169136003602504</v>
      </c>
      <c r="Y392" s="544">
        <v>0</v>
      </c>
      <c r="Z392" s="476">
        <v>2</v>
      </c>
    </row>
    <row r="393" spans="1:26" x14ac:dyDescent="0.3">
      <c r="A393" s="499">
        <v>150001054</v>
      </c>
      <c r="B393" s="477" t="s">
        <v>85</v>
      </c>
      <c r="C393" s="524">
        <v>0</v>
      </c>
      <c r="D393" s="524">
        <v>0</v>
      </c>
      <c r="E393" s="539">
        <v>0</v>
      </c>
      <c r="F393" s="539">
        <v>0</v>
      </c>
      <c r="G393" s="483"/>
      <c r="H393" s="538">
        <v>0</v>
      </c>
      <c r="I393" s="483"/>
      <c r="J393" s="538">
        <v>0</v>
      </c>
      <c r="K393" s="483">
        <v>25.61</v>
      </c>
      <c r="L393" s="538">
        <v>25.61</v>
      </c>
      <c r="M393" s="540">
        <v>0</v>
      </c>
      <c r="N393" s="541">
        <v>25.61</v>
      </c>
      <c r="O393" s="542">
        <v>0</v>
      </c>
      <c r="P393" s="542">
        <v>0</v>
      </c>
      <c r="Q393" s="542">
        <v>0</v>
      </c>
      <c r="R393" s="542">
        <v>25.61</v>
      </c>
      <c r="S393" s="542">
        <v>0</v>
      </c>
      <c r="T393" s="542">
        <v>0</v>
      </c>
      <c r="U393" s="542">
        <v>0</v>
      </c>
      <c r="V393" s="543">
        <v>25.61</v>
      </c>
      <c r="W393" s="544">
        <v>0.87142732467918782</v>
      </c>
      <c r="Y393" s="544">
        <v>0</v>
      </c>
      <c r="Z393" s="476">
        <v>3</v>
      </c>
    </row>
    <row r="394" spans="1:26" x14ac:dyDescent="0.3">
      <c r="A394" s="499">
        <v>150001071</v>
      </c>
      <c r="B394" s="477" t="s">
        <v>167</v>
      </c>
      <c r="C394" s="524">
        <v>59.65</v>
      </c>
      <c r="D394" s="524">
        <v>9.75</v>
      </c>
      <c r="E394" s="539">
        <v>0</v>
      </c>
      <c r="F394" s="539">
        <v>36.42</v>
      </c>
      <c r="G394" s="483">
        <v>55.32</v>
      </c>
      <c r="H394" s="538">
        <v>55.32</v>
      </c>
      <c r="I394" s="483"/>
      <c r="J394" s="538">
        <v>0</v>
      </c>
      <c r="K394" s="483">
        <v>65.069999999999993</v>
      </c>
      <c r="L394" s="538">
        <v>65.069999999999993</v>
      </c>
      <c r="M394" s="540">
        <v>133.20284183813837</v>
      </c>
      <c r="N394" s="541">
        <v>530.80486326134223</v>
      </c>
      <c r="O394" s="542">
        <v>105.82000000000001</v>
      </c>
      <c r="P394" s="542">
        <v>23.2804</v>
      </c>
      <c r="Q394" s="542">
        <v>18.682625968646928</v>
      </c>
      <c r="R394" s="542">
        <v>120.38999999999999</v>
      </c>
      <c r="S394" s="542">
        <v>133.20284183813837</v>
      </c>
      <c r="T394" s="542">
        <v>101.02988684018513</v>
      </c>
      <c r="U394" s="542">
        <v>28.399108614371862</v>
      </c>
      <c r="V394" s="543">
        <v>530.80486326134223</v>
      </c>
      <c r="W394" s="544">
        <v>0.99586785508158837</v>
      </c>
      <c r="Y394" s="544">
        <v>0</v>
      </c>
      <c r="Z394" s="476">
        <v>2</v>
      </c>
    </row>
    <row r="395" spans="1:26" x14ac:dyDescent="0.3">
      <c r="A395" s="499">
        <v>150001094</v>
      </c>
      <c r="B395" s="477" t="s">
        <v>185</v>
      </c>
      <c r="C395" s="524">
        <v>0</v>
      </c>
      <c r="D395" s="524">
        <v>0</v>
      </c>
      <c r="E395" s="539">
        <v>0</v>
      </c>
      <c r="F395" s="539">
        <v>12.17</v>
      </c>
      <c r="G395" s="483"/>
      <c r="H395" s="538">
        <v>0</v>
      </c>
      <c r="I395" s="483"/>
      <c r="J395" s="538">
        <v>0</v>
      </c>
      <c r="K395" s="483">
        <v>15.58</v>
      </c>
      <c r="L395" s="538">
        <v>15.58</v>
      </c>
      <c r="M395" s="540">
        <v>108.64175287282559</v>
      </c>
      <c r="N395" s="541">
        <v>165.61439404700985</v>
      </c>
      <c r="O395" s="542">
        <v>12.17</v>
      </c>
      <c r="P395" s="542">
        <v>2.6774</v>
      </c>
      <c r="Q395" s="542">
        <v>10.685648371139401</v>
      </c>
      <c r="R395" s="542">
        <v>15.58</v>
      </c>
      <c r="S395" s="542">
        <v>108.64175287282559</v>
      </c>
      <c r="T395" s="542">
        <v>11.61910529999105</v>
      </c>
      <c r="U395" s="542">
        <v>4.2404875030538038</v>
      </c>
      <c r="V395" s="543">
        <v>165.61439404700985</v>
      </c>
      <c r="W395" s="544">
        <v>1.1133315662790817</v>
      </c>
      <c r="Y395" s="544">
        <v>0</v>
      </c>
      <c r="Z395" s="476">
        <v>2</v>
      </c>
    </row>
    <row r="396" spans="1:26" x14ac:dyDescent="0.3">
      <c r="A396" s="499">
        <v>150001561</v>
      </c>
      <c r="B396" s="477" t="s">
        <v>399</v>
      </c>
      <c r="C396" s="524">
        <v>656.69</v>
      </c>
      <c r="D396" s="524">
        <v>104.79</v>
      </c>
      <c r="E396" s="539">
        <v>8.99</v>
      </c>
      <c r="F396" s="539">
        <v>214.09</v>
      </c>
      <c r="G396" s="483">
        <v>0</v>
      </c>
      <c r="H396" s="538">
        <v>0</v>
      </c>
      <c r="I396" s="483">
        <v>0</v>
      </c>
      <c r="J396" s="538">
        <v>0</v>
      </c>
      <c r="K396" s="483">
        <v>65.69</v>
      </c>
      <c r="L396" s="538">
        <v>65.69</v>
      </c>
      <c r="M396" s="540">
        <v>1253.0324308054394</v>
      </c>
      <c r="N396" s="541">
        <v>3831.6028858476257</v>
      </c>
      <c r="O396" s="542">
        <v>984.56000000000006</v>
      </c>
      <c r="P396" s="542">
        <v>216.60320000000002</v>
      </c>
      <c r="Q396" s="542">
        <v>114.2917992258452</v>
      </c>
      <c r="R396" s="542">
        <v>65.69</v>
      </c>
      <c r="S396" s="542">
        <v>1253.0324308054394</v>
      </c>
      <c r="T396" s="542">
        <v>939.99230190297362</v>
      </c>
      <c r="U396" s="542">
        <v>257.43315391336699</v>
      </c>
      <c r="V396" s="543">
        <v>3831.6028858476252</v>
      </c>
      <c r="W396" s="544">
        <v>1.0559170369306827</v>
      </c>
      <c r="Y396" s="544">
        <v>0</v>
      </c>
      <c r="Z396" s="476">
        <v>2</v>
      </c>
    </row>
    <row r="397" spans="1:26" x14ac:dyDescent="0.3">
      <c r="A397" s="499">
        <v>150001562</v>
      </c>
      <c r="B397" s="477" t="s">
        <v>208</v>
      </c>
      <c r="C397" s="524">
        <v>299.58</v>
      </c>
      <c r="D397" s="524">
        <v>31.84</v>
      </c>
      <c r="E397" s="539">
        <v>0</v>
      </c>
      <c r="F397" s="539">
        <v>83.71</v>
      </c>
      <c r="G397" s="483"/>
      <c r="H397" s="538">
        <v>0</v>
      </c>
      <c r="I397" s="483"/>
      <c r="J397" s="538">
        <v>0</v>
      </c>
      <c r="K397" s="483">
        <v>24.19</v>
      </c>
      <c r="L397" s="538">
        <v>24.19</v>
      </c>
      <c r="M397" s="540">
        <v>864.39497636663702</v>
      </c>
      <c r="N397" s="541">
        <v>1929.4683478016996</v>
      </c>
      <c r="O397" s="542">
        <v>415.12999999999994</v>
      </c>
      <c r="P397" s="542">
        <v>91.328600000000009</v>
      </c>
      <c r="Q397" s="542">
        <v>31.452542035489881</v>
      </c>
      <c r="R397" s="542">
        <v>24.19</v>
      </c>
      <c r="S397" s="542">
        <v>864.39497636663702</v>
      </c>
      <c r="T397" s="542">
        <v>396.33847026994943</v>
      </c>
      <c r="U397" s="542">
        <v>106.63375912962336</v>
      </c>
      <c r="V397" s="543">
        <v>1929.4683478016996</v>
      </c>
      <c r="W397" s="544">
        <v>1.1894659629805568</v>
      </c>
      <c r="Y397" s="544">
        <v>0</v>
      </c>
      <c r="Z397" s="476">
        <v>2</v>
      </c>
    </row>
    <row r="398" spans="1:26" x14ac:dyDescent="0.3">
      <c r="A398" s="501"/>
      <c r="B398" s="501"/>
      <c r="C398" s="525">
        <v>106563.894</v>
      </c>
      <c r="D398" s="525">
        <v>20237.090000000011</v>
      </c>
      <c r="E398" s="525">
        <v>5378.9299999999957</v>
      </c>
      <c r="F398" s="525">
        <v>65163.959999999992</v>
      </c>
      <c r="G398" s="525">
        <v>115231.59999999989</v>
      </c>
      <c r="H398" s="525">
        <v>115231.59999999989</v>
      </c>
      <c r="I398" s="525">
        <v>15747.629999999994</v>
      </c>
      <c r="J398" s="525">
        <v>15747.629999999994</v>
      </c>
      <c r="K398" s="525">
        <v>25806.970999999983</v>
      </c>
      <c r="L398" s="525">
        <v>25806.970999999983</v>
      </c>
      <c r="M398" s="545">
        <v>353456.21545499994</v>
      </c>
      <c r="N398" s="541">
        <v>1015369.7171863003</v>
      </c>
      <c r="O398" s="541">
        <v>197343.87399999998</v>
      </c>
      <c r="P398" s="541">
        <v>43415.652280000009</v>
      </c>
      <c r="Q398" s="541">
        <v>24208.998949184777</v>
      </c>
      <c r="R398" s="541">
        <v>156786.20099999991</v>
      </c>
      <c r="S398" s="541">
        <v>353456.21545499994</v>
      </c>
      <c r="T398" s="541">
        <v>188410.78490666929</v>
      </c>
      <c r="U398" s="541">
        <v>51747.990595446623</v>
      </c>
      <c r="V398" s="541">
        <v>1015369.7171863003</v>
      </c>
      <c r="Y398" s="544">
        <v>0</v>
      </c>
    </row>
    <row r="399" spans="1:26" s="551" customFormat="1" ht="13.8" x14ac:dyDescent="0.3">
      <c r="A399" s="546"/>
      <c r="B399" s="547" t="s">
        <v>1585</v>
      </c>
      <c r="C399" s="526">
        <v>11.837674488510842</v>
      </c>
      <c r="D399" s="526">
        <v>2.2480417618250512</v>
      </c>
      <c r="E399" s="526">
        <v>0.59751966680652235</v>
      </c>
      <c r="F399" s="526">
        <v>7.2387533704646794</v>
      </c>
      <c r="G399" s="27"/>
      <c r="H399" s="15"/>
      <c r="I399" s="27"/>
      <c r="J399" s="15"/>
      <c r="K399" s="27"/>
      <c r="L399" s="15"/>
      <c r="M399" s="548"/>
      <c r="N399" s="549"/>
      <c r="O399" s="550">
        <v>21.921989287607097</v>
      </c>
      <c r="P399" s="548"/>
      <c r="Q399" s="548"/>
      <c r="R399" s="548"/>
      <c r="S399" s="548"/>
      <c r="T399" s="548"/>
      <c r="U399" s="548"/>
      <c r="V399" s="548"/>
      <c r="Z399" s="552"/>
    </row>
    <row r="400" spans="1:26" ht="18" x14ac:dyDescent="0.3">
      <c r="M400" s="548"/>
      <c r="N400" s="553">
        <v>1.0008813293881693</v>
      </c>
      <c r="V400" s="555"/>
    </row>
    <row r="401" spans="1:26" ht="18" x14ac:dyDescent="0.3">
      <c r="B401" s="11" t="s">
        <v>1586</v>
      </c>
      <c r="C401" s="527">
        <v>32696.870000000003</v>
      </c>
      <c r="D401" s="527">
        <v>6021.0199999999968</v>
      </c>
      <c r="E401" s="527">
        <v>2913.5999999999995</v>
      </c>
      <c r="F401" s="527">
        <v>20964.75</v>
      </c>
      <c r="M401" s="548"/>
      <c r="N401" s="553"/>
      <c r="V401" s="555"/>
      <c r="Z401" s="11"/>
    </row>
    <row r="402" spans="1:26" ht="18" x14ac:dyDescent="0.3">
      <c r="B402" s="11" t="s">
        <v>1587</v>
      </c>
      <c r="C402" s="527">
        <v>38771.203999999983</v>
      </c>
      <c r="D402" s="527">
        <v>7582.43</v>
      </c>
      <c r="E402" s="527">
        <v>531.08000000000004</v>
      </c>
      <c r="F402" s="527">
        <v>23522.829999999998</v>
      </c>
      <c r="M402" s="548"/>
      <c r="N402" s="553"/>
      <c r="V402" s="555"/>
      <c r="Z402" s="11"/>
    </row>
    <row r="403" spans="1:26" ht="18" x14ac:dyDescent="0.3">
      <c r="B403" s="11" t="s">
        <v>1588</v>
      </c>
      <c r="C403" s="527">
        <v>35095.82</v>
      </c>
      <c r="D403" s="527">
        <v>6633.6399999999994</v>
      </c>
      <c r="E403" s="527">
        <v>1934.2499999999998</v>
      </c>
      <c r="F403" s="527">
        <v>20676.380000000005</v>
      </c>
      <c r="M403" s="548"/>
      <c r="N403" s="553"/>
      <c r="V403" s="555"/>
      <c r="Z403" s="11"/>
    </row>
    <row r="404" spans="1:26" ht="18" x14ac:dyDescent="0.3">
      <c r="C404" s="528">
        <v>106563.894</v>
      </c>
      <c r="D404" s="528">
        <v>20237.089999999997</v>
      </c>
      <c r="E404" s="528">
        <v>5378.9299999999994</v>
      </c>
      <c r="F404" s="528">
        <v>65163.960000000006</v>
      </c>
      <c r="M404" s="548"/>
      <c r="N404" s="553"/>
      <c r="V404" s="555"/>
      <c r="Z404" s="11"/>
    </row>
    <row r="405" spans="1:26" ht="18" x14ac:dyDescent="0.3">
      <c r="M405" s="548"/>
      <c r="N405" s="553"/>
      <c r="V405" s="555"/>
      <c r="Z405" s="11"/>
    </row>
    <row r="406" spans="1:26" ht="18" x14ac:dyDescent="0.3">
      <c r="M406" s="548"/>
      <c r="N406" s="553"/>
      <c r="V406" s="555"/>
      <c r="Z406" s="11"/>
    </row>
    <row r="407" spans="1:26" ht="18" x14ac:dyDescent="0.3">
      <c r="M407" s="548"/>
      <c r="N407" s="553"/>
      <c r="V407" s="555"/>
      <c r="Z407" s="11"/>
    </row>
    <row r="408" spans="1:26" ht="18" x14ac:dyDescent="0.3">
      <c r="B408" s="556" t="s">
        <v>1589</v>
      </c>
      <c r="M408" s="548"/>
      <c r="N408" s="553"/>
      <c r="V408" s="555"/>
      <c r="Z408" s="11"/>
    </row>
    <row r="409" spans="1:26" ht="18" x14ac:dyDescent="0.3">
      <c r="B409" s="556"/>
      <c r="M409" s="548">
        <v>353456.22437096608</v>
      </c>
      <c r="N409" s="553"/>
      <c r="V409" s="555"/>
      <c r="Z409" s="11"/>
    </row>
    <row r="410" spans="1:26" ht="18" x14ac:dyDescent="0.3">
      <c r="B410" s="556"/>
      <c r="M410" s="548"/>
      <c r="N410" s="553"/>
      <c r="V410" s="555"/>
      <c r="Z410" s="11"/>
    </row>
    <row r="411" spans="1:26" ht="18" x14ac:dyDescent="0.3">
      <c r="B411" s="556" t="s">
        <v>874</v>
      </c>
      <c r="M411" s="557"/>
      <c r="N411" s="553"/>
      <c r="V411" s="555"/>
      <c r="Z411" s="11"/>
    </row>
    <row r="412" spans="1:26" ht="18" hidden="1" x14ac:dyDescent="0.3">
      <c r="N412" s="559"/>
      <c r="Z412" s="11"/>
    </row>
    <row r="413" spans="1:26" ht="18" hidden="1" x14ac:dyDescent="0.3">
      <c r="N413" s="559"/>
      <c r="Z413" s="11"/>
    </row>
    <row r="414" spans="1:26" ht="13.8" hidden="1" x14ac:dyDescent="0.3">
      <c r="A414" s="11"/>
      <c r="C414" s="11"/>
      <c r="M414" s="561">
        <v>0.35631929443366872</v>
      </c>
      <c r="N414" s="11"/>
      <c r="Z414" s="11"/>
    </row>
    <row r="415" spans="1:26" hidden="1" x14ac:dyDescent="0.3">
      <c r="L415" s="12"/>
      <c r="Z415" s="11"/>
    </row>
    <row r="416" spans="1:26" hidden="1" x14ac:dyDescent="0.3">
      <c r="K416" s="563"/>
      <c r="L416" s="12"/>
      <c r="Z416" s="11"/>
    </row>
    <row r="417" spans="1:26" hidden="1" x14ac:dyDescent="0.3">
      <c r="K417" s="563"/>
      <c r="L417" s="12"/>
      <c r="Z417" s="11"/>
    </row>
    <row r="418" spans="1:26" hidden="1" x14ac:dyDescent="0.3">
      <c r="A418" s="499">
        <v>150000813</v>
      </c>
      <c r="B418" s="477" t="s">
        <v>188</v>
      </c>
      <c r="C418" s="529">
        <v>65.72</v>
      </c>
      <c r="D418" s="529">
        <v>11.54</v>
      </c>
      <c r="E418" s="565">
        <v>0</v>
      </c>
      <c r="F418" s="565">
        <v>34.5</v>
      </c>
      <c r="G418" s="483"/>
      <c r="H418" s="564">
        <v>0</v>
      </c>
      <c r="I418" s="483"/>
      <c r="J418" s="564">
        <v>0</v>
      </c>
      <c r="K418" s="483">
        <v>34.409999999999997</v>
      </c>
      <c r="L418" s="564">
        <v>34.409999999999997</v>
      </c>
      <c r="M418" s="566">
        <v>133.01399261208854</v>
      </c>
      <c r="N418" s="567">
        <v>454.72824469414746</v>
      </c>
      <c r="O418" s="542">
        <v>111.75999999999999</v>
      </c>
      <c r="P418" s="542">
        <v>24.587199999999999</v>
      </c>
      <c r="Q418" s="542">
        <v>14.82303726767843</v>
      </c>
      <c r="R418" s="542">
        <v>34.409999999999997</v>
      </c>
      <c r="S418" s="542">
        <v>133.01399261208854</v>
      </c>
      <c r="T418" s="542">
        <v>106.70100314930154</v>
      </c>
      <c r="U418" s="542">
        <v>29.433011665078908</v>
      </c>
      <c r="V418" s="568">
        <v>454.72824469414741</v>
      </c>
      <c r="W418" s="544">
        <v>1.218130845684831</v>
      </c>
      <c r="Z418" s="11"/>
    </row>
    <row r="419" spans="1:26" hidden="1" x14ac:dyDescent="0.3">
      <c r="C419" s="530">
        <v>32.86</v>
      </c>
      <c r="F419" s="530">
        <v>17.25</v>
      </c>
      <c r="K419" s="563"/>
      <c r="L419" s="12"/>
      <c r="Z419" s="11"/>
    </row>
    <row r="420" spans="1:26" hidden="1" x14ac:dyDescent="0.3">
      <c r="K420" s="563"/>
      <c r="L420" s="12"/>
      <c r="Z420" s="11"/>
    </row>
    <row r="421" spans="1:26" hidden="1" x14ac:dyDescent="0.3">
      <c r="A421" s="499">
        <v>150000606</v>
      </c>
      <c r="B421" s="477" t="s">
        <v>156</v>
      </c>
      <c r="C421" s="529">
        <v>137.46</v>
      </c>
      <c r="D421" s="529">
        <v>24.87</v>
      </c>
      <c r="E421" s="565">
        <v>0</v>
      </c>
      <c r="F421" s="565">
        <v>49.47</v>
      </c>
      <c r="G421" s="483">
        <v>86.07</v>
      </c>
      <c r="H421" s="564">
        <v>86.07</v>
      </c>
      <c r="I421" s="483"/>
      <c r="J421" s="564">
        <v>0</v>
      </c>
      <c r="K421" s="483">
        <v>81.98</v>
      </c>
      <c r="L421" s="564">
        <v>81.98</v>
      </c>
      <c r="M421" s="566">
        <v>273.04747532452035</v>
      </c>
      <c r="N421" s="567">
        <v>989.12262241547819</v>
      </c>
      <c r="O421" s="542">
        <v>211.8</v>
      </c>
      <c r="P421" s="542">
        <v>46.596000000000004</v>
      </c>
      <c r="Q421" s="542">
        <v>31.2739365569042</v>
      </c>
      <c r="R421" s="542">
        <v>168.05</v>
      </c>
      <c r="S421" s="542">
        <v>273.04747532452035</v>
      </c>
      <c r="T421" s="542">
        <v>202.21253102202994</v>
      </c>
      <c r="U421" s="542">
        <v>56.142679512023875</v>
      </c>
      <c r="V421" s="568">
        <v>989.1226224154783</v>
      </c>
      <c r="W421" s="544">
        <v>1.2907772705408826</v>
      </c>
      <c r="Z421" s="11"/>
    </row>
    <row r="422" spans="1:26" hidden="1" x14ac:dyDescent="0.3">
      <c r="C422" s="530">
        <v>68.73</v>
      </c>
      <c r="F422" s="530">
        <v>24.734999999999999</v>
      </c>
      <c r="K422" s="563"/>
      <c r="L422" s="12"/>
      <c r="Z422" s="11"/>
    </row>
    <row r="423" spans="1:26" hidden="1" x14ac:dyDescent="0.3">
      <c r="K423" s="563"/>
      <c r="L423" s="12"/>
      <c r="Z423" s="11"/>
    </row>
    <row r="424" spans="1:26" hidden="1" x14ac:dyDescent="0.3">
      <c r="A424" s="499">
        <v>150000930</v>
      </c>
      <c r="B424" s="477" t="s">
        <v>172</v>
      </c>
      <c r="C424" s="529">
        <v>56.66</v>
      </c>
      <c r="D424" s="529">
        <v>11.5</v>
      </c>
      <c r="E424" s="565">
        <v>0</v>
      </c>
      <c r="F424" s="565">
        <v>24.66</v>
      </c>
      <c r="G424" s="483">
        <v>41.44</v>
      </c>
      <c r="H424" s="564">
        <v>41.44</v>
      </c>
      <c r="I424" s="483"/>
      <c r="J424" s="564">
        <v>0</v>
      </c>
      <c r="K424" s="483">
        <v>34.729999999999997</v>
      </c>
      <c r="L424" s="564">
        <v>34.729999999999997</v>
      </c>
      <c r="M424" s="566">
        <v>116.83709664479997</v>
      </c>
      <c r="N424" s="567">
        <v>434.83655715921634</v>
      </c>
      <c r="O424" s="542">
        <v>92.82</v>
      </c>
      <c r="P424" s="542">
        <v>20.420400000000001</v>
      </c>
      <c r="Q424" s="542">
        <v>15.196381231553159</v>
      </c>
      <c r="R424" s="542">
        <v>76.169999999999987</v>
      </c>
      <c r="S424" s="542">
        <v>116.83709664479997</v>
      </c>
      <c r="T424" s="542">
        <v>88.618352830334373</v>
      </c>
      <c r="U424" s="542">
        <v>24.774326452528801</v>
      </c>
      <c r="V424" s="568">
        <v>434.83655715921628</v>
      </c>
      <c r="W424" s="544">
        <v>1.3261255174114557</v>
      </c>
      <c r="Z424" s="11"/>
    </row>
    <row r="425" spans="1:26" hidden="1" x14ac:dyDescent="0.3">
      <c r="C425" s="530">
        <v>28.33</v>
      </c>
      <c r="F425" s="530">
        <v>12.33</v>
      </c>
      <c r="K425" s="563"/>
      <c r="L425" s="12"/>
      <c r="Z425" s="11"/>
    </row>
    <row r="426" spans="1:26" hidden="1" x14ac:dyDescent="0.3">
      <c r="K426" s="563"/>
      <c r="L426" s="12"/>
      <c r="Z426" s="11"/>
    </row>
    <row r="427" spans="1:26" hidden="1" x14ac:dyDescent="0.3">
      <c r="A427" s="499">
        <v>150000605</v>
      </c>
      <c r="B427" s="477" t="s">
        <v>155</v>
      </c>
      <c r="C427" s="529">
        <v>67.27</v>
      </c>
      <c r="D427" s="529">
        <v>13.82</v>
      </c>
      <c r="E427" s="565">
        <v>0</v>
      </c>
      <c r="F427" s="565">
        <v>24.66</v>
      </c>
      <c r="G427" s="483">
        <v>44.18</v>
      </c>
      <c r="H427" s="564">
        <v>44.18</v>
      </c>
      <c r="I427" s="483"/>
      <c r="J427" s="564">
        <v>0</v>
      </c>
      <c r="K427" s="483">
        <v>55.65</v>
      </c>
      <c r="L427" s="564">
        <v>55.65</v>
      </c>
      <c r="M427" s="566">
        <v>135.04501259036044</v>
      </c>
      <c r="N427" s="567">
        <v>508.76289162049147</v>
      </c>
      <c r="O427" s="542">
        <v>105.75</v>
      </c>
      <c r="P427" s="542">
        <v>23.265000000000001</v>
      </c>
      <c r="Q427" s="542">
        <v>15.85125815589816</v>
      </c>
      <c r="R427" s="542">
        <v>99.83</v>
      </c>
      <c r="S427" s="542">
        <v>135.04501259036044</v>
      </c>
      <c r="T427" s="542">
        <v>100.96305550320901</v>
      </c>
      <c r="U427" s="542">
        <v>28.05856537102386</v>
      </c>
      <c r="V427" s="568">
        <v>508.76289162049147</v>
      </c>
      <c r="W427" s="544">
        <v>1.3423822997902151</v>
      </c>
      <c r="Z427" s="11"/>
    </row>
    <row r="428" spans="1:26" hidden="1" x14ac:dyDescent="0.3">
      <c r="C428" s="530">
        <v>33.634999999999998</v>
      </c>
      <c r="F428" s="530">
        <v>12.33</v>
      </c>
      <c r="K428" s="563"/>
      <c r="L428" s="12"/>
      <c r="Z428" s="11"/>
    </row>
    <row r="429" spans="1:26" hidden="1" x14ac:dyDescent="0.3">
      <c r="Z429" s="11"/>
    </row>
    <row r="430" spans="1:26" hidden="1" x14ac:dyDescent="0.3">
      <c r="A430" s="499">
        <v>150000848</v>
      </c>
      <c r="B430" s="477" t="s">
        <v>186</v>
      </c>
      <c r="C430" s="529">
        <v>32.909999999999997</v>
      </c>
      <c r="D430" s="529">
        <v>7.69</v>
      </c>
      <c r="E430" s="565">
        <v>0</v>
      </c>
      <c r="F430" s="565">
        <v>24.66</v>
      </c>
      <c r="G430" s="483"/>
      <c r="H430" s="564">
        <v>0</v>
      </c>
      <c r="I430" s="483"/>
      <c r="J430" s="564">
        <v>0</v>
      </c>
      <c r="K430" s="483">
        <v>25.61</v>
      </c>
      <c r="L430" s="564">
        <v>25.61</v>
      </c>
      <c r="M430" s="566">
        <v>93.070599706074262</v>
      </c>
      <c r="N430" s="567">
        <v>291.47533546393913</v>
      </c>
      <c r="O430" s="542">
        <v>65.259999999999991</v>
      </c>
      <c r="P430" s="542">
        <v>14.357200000000001</v>
      </c>
      <c r="Q430" s="542">
        <v>13.169601604373989</v>
      </c>
      <c r="R430" s="542">
        <v>25.61</v>
      </c>
      <c r="S430" s="542">
        <v>93.070599706074262</v>
      </c>
      <c r="T430" s="542">
        <v>62.305900729450777</v>
      </c>
      <c r="U430" s="542">
        <v>17.702033424040156</v>
      </c>
      <c r="V430" s="568">
        <v>291.47533546393919</v>
      </c>
      <c r="W430" s="544">
        <v>1.1159086350074241</v>
      </c>
      <c r="Z430" s="11"/>
    </row>
    <row r="431" spans="1:26" hidden="1" x14ac:dyDescent="0.3">
      <c r="C431" s="530">
        <v>16.454999999999998</v>
      </c>
      <c r="F431" s="530">
        <v>12.33</v>
      </c>
      <c r="Z431" s="11"/>
    </row>
    <row r="432" spans="1:26" hidden="1" x14ac:dyDescent="0.3">
      <c r="Z432" s="11"/>
    </row>
    <row r="433" spans="1:26" hidden="1" x14ac:dyDescent="0.3">
      <c r="A433" s="499">
        <v>150001014</v>
      </c>
      <c r="B433" s="477" t="s">
        <v>166</v>
      </c>
      <c r="C433" s="529">
        <v>55.36</v>
      </c>
      <c r="D433" s="529">
        <v>9.51</v>
      </c>
      <c r="E433" s="565">
        <v>0</v>
      </c>
      <c r="F433" s="565">
        <v>28.54</v>
      </c>
      <c r="G433" s="483">
        <v>38.43</v>
      </c>
      <c r="H433" s="564">
        <v>38.43</v>
      </c>
      <c r="I433" s="483"/>
      <c r="J433" s="564">
        <v>0</v>
      </c>
      <c r="K433" s="483">
        <v>35.619999999999997</v>
      </c>
      <c r="L433" s="564">
        <v>35.619999999999997</v>
      </c>
      <c r="M433" s="566">
        <v>120.8991366013438</v>
      </c>
      <c r="N433" s="567">
        <v>437.79156550722769</v>
      </c>
      <c r="O433" s="542">
        <v>93.41</v>
      </c>
      <c r="P433" s="542">
        <v>20.5502</v>
      </c>
      <c r="Q433" s="542">
        <v>14.82248292903774</v>
      </c>
      <c r="R433" s="542">
        <v>74.05</v>
      </c>
      <c r="S433" s="542">
        <v>120.8991366013438</v>
      </c>
      <c r="T433" s="542">
        <v>89.181645527704518</v>
      </c>
      <c r="U433" s="542">
        <v>24.878100449141652</v>
      </c>
      <c r="V433" s="568">
        <v>437.79156550722769</v>
      </c>
      <c r="W433" s="544">
        <v>1.2902787076546645</v>
      </c>
      <c r="Z433" s="11"/>
    </row>
    <row r="434" spans="1:26" hidden="1" x14ac:dyDescent="0.3">
      <c r="C434" s="530">
        <v>27.68</v>
      </c>
      <c r="F434" s="530">
        <v>14.27</v>
      </c>
      <c r="Z434" s="11"/>
    </row>
    <row r="435" spans="1:26" hidden="1" x14ac:dyDescent="0.3">
      <c r="Z435" s="11"/>
    </row>
    <row r="436" spans="1:26" hidden="1" x14ac:dyDescent="0.3">
      <c r="A436" s="499">
        <v>150000614</v>
      </c>
      <c r="B436" s="477" t="s">
        <v>162</v>
      </c>
      <c r="C436" s="529">
        <v>103.84</v>
      </c>
      <c r="D436" s="529">
        <v>18.53</v>
      </c>
      <c r="E436" s="565">
        <v>0</v>
      </c>
      <c r="F436" s="565">
        <v>56.43</v>
      </c>
      <c r="G436" s="483">
        <v>70.430000000000007</v>
      </c>
      <c r="H436" s="564">
        <v>70.430000000000007</v>
      </c>
      <c r="I436" s="483"/>
      <c r="J436" s="564">
        <v>0</v>
      </c>
      <c r="K436" s="483">
        <v>57.53</v>
      </c>
      <c r="L436" s="564">
        <v>57.53</v>
      </c>
      <c r="M436" s="566">
        <v>223.1627741038067</v>
      </c>
      <c r="N436" s="567">
        <v>806.45224570507025</v>
      </c>
      <c r="O436" s="542">
        <v>178.8</v>
      </c>
      <c r="P436" s="542">
        <v>39.335999999999999</v>
      </c>
      <c r="Q436" s="542">
        <v>19.840712416120301</v>
      </c>
      <c r="R436" s="542">
        <v>127.96000000000001</v>
      </c>
      <c r="S436" s="542">
        <v>223.1627741038067</v>
      </c>
      <c r="T436" s="542">
        <v>170.70632930471652</v>
      </c>
      <c r="U436" s="542">
        <v>46.646429880426723</v>
      </c>
      <c r="V436" s="568">
        <v>806.45224570507025</v>
      </c>
      <c r="W436" s="544">
        <v>1.2876452909229927</v>
      </c>
      <c r="Z436" s="11"/>
    </row>
    <row r="437" spans="1:26" hidden="1" x14ac:dyDescent="0.3">
      <c r="C437" s="530">
        <v>51.92</v>
      </c>
      <c r="F437" s="530">
        <v>28.215</v>
      </c>
      <c r="Z437" s="11"/>
    </row>
    <row r="438" spans="1:26" hidden="1" x14ac:dyDescent="0.3">
      <c r="Z438" s="11"/>
    </row>
    <row r="439" spans="1:26" hidden="1" x14ac:dyDescent="0.3">
      <c r="A439" s="499">
        <v>150000495</v>
      </c>
      <c r="B439" s="477" t="s">
        <v>147</v>
      </c>
      <c r="C439" s="529">
        <v>70.760000000000005</v>
      </c>
      <c r="D439" s="529">
        <v>14.37</v>
      </c>
      <c r="E439" s="565">
        <v>0</v>
      </c>
      <c r="F439" s="565">
        <v>36.04</v>
      </c>
      <c r="G439" s="483">
        <v>54.68</v>
      </c>
      <c r="H439" s="564">
        <v>54.68</v>
      </c>
      <c r="I439" s="483"/>
      <c r="J439" s="564">
        <v>0</v>
      </c>
      <c r="K439" s="483">
        <v>8.69</v>
      </c>
      <c r="L439" s="564">
        <v>8.69</v>
      </c>
      <c r="M439" s="566">
        <v>146.06596836719382</v>
      </c>
      <c r="N439" s="567">
        <v>519.63374250171921</v>
      </c>
      <c r="O439" s="542">
        <v>121.17000000000002</v>
      </c>
      <c r="P439" s="542">
        <v>26.657399999999999</v>
      </c>
      <c r="Q439" s="542">
        <v>14.906981132598631</v>
      </c>
      <c r="R439" s="542">
        <v>63.37</v>
      </c>
      <c r="S439" s="542">
        <v>146.06596836719382</v>
      </c>
      <c r="T439" s="542">
        <v>115.68504430566276</v>
      </c>
      <c r="U439" s="542">
        <v>31.77834869626399</v>
      </c>
      <c r="V439" s="568">
        <v>519.63374250171921</v>
      </c>
      <c r="W439" s="544">
        <v>1.2676157941641724</v>
      </c>
      <c r="Z439" s="11"/>
    </row>
    <row r="440" spans="1:26" hidden="1" x14ac:dyDescent="0.3">
      <c r="C440" s="530">
        <v>35.380000000000003</v>
      </c>
      <c r="F440" s="530">
        <v>18.02</v>
      </c>
      <c r="Z440" s="11"/>
    </row>
    <row r="441" spans="1:26" hidden="1" x14ac:dyDescent="0.3">
      <c r="Z441" s="11"/>
    </row>
    <row r="442" spans="1:26" hidden="1" x14ac:dyDescent="0.3">
      <c r="A442" s="499">
        <v>150001049</v>
      </c>
      <c r="B442" s="477" t="s">
        <v>180</v>
      </c>
      <c r="C442" s="529">
        <v>46.09</v>
      </c>
      <c r="D442" s="529">
        <v>7.85</v>
      </c>
      <c r="E442" s="565">
        <v>0</v>
      </c>
      <c r="F442" s="565">
        <v>21.43</v>
      </c>
      <c r="G442" s="483"/>
      <c r="H442" s="564">
        <v>0</v>
      </c>
      <c r="I442" s="483"/>
      <c r="J442" s="564">
        <v>0</v>
      </c>
      <c r="K442" s="483">
        <v>25.61</v>
      </c>
      <c r="L442" s="564">
        <v>25.61</v>
      </c>
      <c r="M442" s="566">
        <v>90.39820499782175</v>
      </c>
      <c r="N442" s="567">
        <v>314.33830389814159</v>
      </c>
      <c r="O442" s="542">
        <v>75.37</v>
      </c>
      <c r="P442" s="542">
        <v>16.581399999999999</v>
      </c>
      <c r="Q442" s="542">
        <v>14.102428606103551</v>
      </c>
      <c r="R442" s="542">
        <v>25.61</v>
      </c>
      <c r="S442" s="542">
        <v>90.39820499782175</v>
      </c>
      <c r="T442" s="542">
        <v>71.958255255573164</v>
      </c>
      <c r="U442" s="542">
        <v>20.318015038643047</v>
      </c>
      <c r="V442" s="568">
        <v>314.33830389814153</v>
      </c>
      <c r="W442" s="544">
        <v>1.2390157820186896</v>
      </c>
      <c r="Z442" s="11"/>
    </row>
    <row r="443" spans="1:26" hidden="1" x14ac:dyDescent="0.3">
      <c r="C443" s="530">
        <v>23.045000000000002</v>
      </c>
      <c r="F443" s="530">
        <v>10.715</v>
      </c>
      <c r="Z443" s="11"/>
    </row>
    <row r="444" spans="1:26" hidden="1" x14ac:dyDescent="0.3">
      <c r="Z444" s="11"/>
    </row>
    <row r="445" spans="1:26" hidden="1" x14ac:dyDescent="0.3">
      <c r="A445" s="499">
        <v>150000496</v>
      </c>
      <c r="B445" s="477" t="s">
        <v>148</v>
      </c>
      <c r="C445" s="529">
        <v>70.760000000000005</v>
      </c>
      <c r="D445" s="529">
        <v>14.37</v>
      </c>
      <c r="E445" s="565">
        <v>0</v>
      </c>
      <c r="F445" s="565">
        <v>36.04</v>
      </c>
      <c r="G445" s="483">
        <v>53.58</v>
      </c>
      <c r="H445" s="564">
        <v>53.58</v>
      </c>
      <c r="I445" s="483"/>
      <c r="J445" s="564">
        <v>0</v>
      </c>
      <c r="K445" s="483">
        <v>50.66</v>
      </c>
      <c r="L445" s="564">
        <v>50.66</v>
      </c>
      <c r="M445" s="566">
        <v>143.9280526005918</v>
      </c>
      <c r="N445" s="567">
        <v>558.36582673511725</v>
      </c>
      <c r="O445" s="542">
        <v>121.17000000000002</v>
      </c>
      <c r="P445" s="542">
        <v>26.657399999999999</v>
      </c>
      <c r="Q445" s="542">
        <v>14.906981132598631</v>
      </c>
      <c r="R445" s="542">
        <v>104.24</v>
      </c>
      <c r="S445" s="542">
        <v>143.9280526005918</v>
      </c>
      <c r="T445" s="542">
        <v>115.68504430566276</v>
      </c>
      <c r="U445" s="542">
        <v>31.77834869626399</v>
      </c>
      <c r="V445" s="568">
        <v>558.36582673511714</v>
      </c>
      <c r="W445" s="544">
        <v>1.3823331437009312</v>
      </c>
      <c r="Z445" s="11"/>
    </row>
    <row r="446" spans="1:26" hidden="1" x14ac:dyDescent="0.3">
      <c r="C446" s="530">
        <v>35.380000000000003</v>
      </c>
      <c r="F446" s="530">
        <v>18.02</v>
      </c>
      <c r="Z446" s="11"/>
    </row>
    <row r="447" spans="1:26" hidden="1" x14ac:dyDescent="0.3">
      <c r="Z447" s="11"/>
    </row>
    <row r="448" spans="1:26" hidden="1" x14ac:dyDescent="0.3">
      <c r="A448" s="499">
        <v>150000932</v>
      </c>
      <c r="B448" s="477" t="s">
        <v>173</v>
      </c>
      <c r="C448" s="529">
        <v>48.14</v>
      </c>
      <c r="D448" s="529">
        <v>8.18</v>
      </c>
      <c r="E448" s="565">
        <v>0</v>
      </c>
      <c r="F448" s="565">
        <v>3.71</v>
      </c>
      <c r="G448" s="483">
        <v>40.31</v>
      </c>
      <c r="H448" s="564">
        <v>40.31</v>
      </c>
      <c r="I448" s="483"/>
      <c r="J448" s="564">
        <v>0</v>
      </c>
      <c r="K448" s="483">
        <v>68.06</v>
      </c>
      <c r="L448" s="564">
        <v>68.06</v>
      </c>
      <c r="M448" s="566">
        <v>126.24392601784884</v>
      </c>
      <c r="N448" s="567">
        <v>394.93069477578524</v>
      </c>
      <c r="O448" s="542">
        <v>60.03</v>
      </c>
      <c r="P448" s="542">
        <v>13.2066</v>
      </c>
      <c r="Q448" s="542">
        <v>13.343801079360968</v>
      </c>
      <c r="R448" s="542">
        <v>108.37</v>
      </c>
      <c r="S448" s="542">
        <v>126.24392601784884</v>
      </c>
      <c r="T448" s="542">
        <v>57.312645123949274</v>
      </c>
      <c r="U448" s="542">
        <v>16.423722554626121</v>
      </c>
      <c r="V448" s="568">
        <v>394.93069477578518</v>
      </c>
      <c r="W448" s="544">
        <v>1.1146787885288885</v>
      </c>
      <c r="Z448" s="11"/>
    </row>
    <row r="449" spans="1:26" hidden="1" x14ac:dyDescent="0.3">
      <c r="C449" s="530">
        <v>14.442</v>
      </c>
      <c r="Z449" s="11"/>
    </row>
    <row r="450" spans="1:26" hidden="1" x14ac:dyDescent="0.3">
      <c r="Z450" s="11"/>
    </row>
    <row r="451" spans="1:26" hidden="1" x14ac:dyDescent="0.3">
      <c r="A451" s="499">
        <v>150000610</v>
      </c>
      <c r="B451" s="477" t="s">
        <v>160</v>
      </c>
      <c r="C451" s="529">
        <v>105.3</v>
      </c>
      <c r="D451" s="529">
        <v>20.010000000000002</v>
      </c>
      <c r="E451" s="565">
        <v>0</v>
      </c>
      <c r="F451" s="565">
        <v>36.04</v>
      </c>
      <c r="G451" s="483">
        <v>55.63</v>
      </c>
      <c r="H451" s="564">
        <v>55.63</v>
      </c>
      <c r="I451" s="483"/>
      <c r="J451" s="564">
        <v>0</v>
      </c>
      <c r="K451" s="483">
        <v>8.6999999999999993</v>
      </c>
      <c r="L451" s="564">
        <v>8.6999999999999993</v>
      </c>
      <c r="M451" s="566">
        <v>169.32292871487937</v>
      </c>
      <c r="N451" s="567">
        <v>647.15119619418238</v>
      </c>
      <c r="O451" s="542">
        <v>161.35</v>
      </c>
      <c r="P451" s="542">
        <v>35.497</v>
      </c>
      <c r="Q451" s="542">
        <v>20.2440221478778</v>
      </c>
      <c r="R451" s="542">
        <v>64.33</v>
      </c>
      <c r="S451" s="542">
        <v>169.32292871487937</v>
      </c>
      <c r="T451" s="542">
        <v>154.04623172995531</v>
      </c>
      <c r="U451" s="542">
        <v>42.361013601469935</v>
      </c>
      <c r="V451" s="568">
        <v>647.15119619418238</v>
      </c>
      <c r="W451" s="544">
        <v>1.3618501603412929</v>
      </c>
      <c r="Z451" s="11"/>
    </row>
    <row r="452" spans="1:26" hidden="1" x14ac:dyDescent="0.3">
      <c r="C452" s="530">
        <v>31.589999999999996</v>
      </c>
      <c r="F452" s="530">
        <v>18.02</v>
      </c>
      <c r="Z452" s="11"/>
    </row>
    <row r="453" spans="1:26" hidden="1" x14ac:dyDescent="0.3">
      <c r="Z453" s="11"/>
    </row>
    <row r="454" spans="1:26" hidden="1" x14ac:dyDescent="0.3">
      <c r="A454" s="499">
        <v>150000935</v>
      </c>
      <c r="B454" s="477" t="s">
        <v>175</v>
      </c>
      <c r="C454" s="529">
        <v>61.69</v>
      </c>
      <c r="D454" s="529">
        <v>9.4600000000000009</v>
      </c>
      <c r="E454" s="565">
        <v>0</v>
      </c>
      <c r="F454" s="565">
        <v>24.25</v>
      </c>
      <c r="G454" s="483">
        <v>31.96</v>
      </c>
      <c r="H454" s="564">
        <v>31.96</v>
      </c>
      <c r="I454" s="483"/>
      <c r="J454" s="564">
        <v>0</v>
      </c>
      <c r="K454" s="483">
        <v>8.69</v>
      </c>
      <c r="L454" s="564">
        <v>8.69</v>
      </c>
      <c r="M454" s="566">
        <v>101.97858206691599</v>
      </c>
      <c r="N454" s="567">
        <v>391.00288118945588</v>
      </c>
      <c r="O454" s="542">
        <v>95.4</v>
      </c>
      <c r="P454" s="542">
        <v>20.988</v>
      </c>
      <c r="Q454" s="542">
        <v>15.459918808354711</v>
      </c>
      <c r="R454" s="542">
        <v>40.65</v>
      </c>
      <c r="S454" s="542">
        <v>101.97858206691599</v>
      </c>
      <c r="T454" s="542">
        <v>91.08156496459705</v>
      </c>
      <c r="U454" s="542">
        <v>25.444815349588147</v>
      </c>
      <c r="V454" s="568">
        <v>391.00288118945588</v>
      </c>
      <c r="W454" s="544">
        <v>1.3661875653020821</v>
      </c>
      <c r="Z454" s="11"/>
    </row>
    <row r="455" spans="1:26" hidden="1" x14ac:dyDescent="0.3">
      <c r="C455" s="530">
        <v>18.506999999999998</v>
      </c>
      <c r="F455" s="530">
        <v>12.125</v>
      </c>
      <c r="Z455" s="11"/>
    </row>
  </sheetData>
  <sortState xmlns:xlrd2="http://schemas.microsoft.com/office/spreadsheetml/2017/richdata2" ref="A3:V397">
    <sortCondition ref="A3:A397"/>
  </sortState>
  <mergeCells count="6">
    <mergeCell ref="K1:L1"/>
    <mergeCell ref="M1:M2"/>
    <mergeCell ref="N1:N2"/>
    <mergeCell ref="O1:V1"/>
    <mergeCell ref="G1:H1"/>
    <mergeCell ref="I1:J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/>
  <dimension ref="A1:F406"/>
  <sheetViews>
    <sheetView workbookViewId="0">
      <selection activeCell="Q420" sqref="Q420"/>
    </sheetView>
  </sheetViews>
  <sheetFormatPr defaultRowHeight="14.4" x14ac:dyDescent="0.3"/>
  <cols>
    <col min="1" max="1" width="17.44140625" customWidth="1"/>
    <col min="2" max="2" width="39.109375" style="200" customWidth="1"/>
    <col min="3" max="3" width="12.109375" customWidth="1"/>
    <col min="4" max="4" width="11" customWidth="1"/>
    <col min="5" max="5" width="10.5546875" customWidth="1"/>
    <col min="6" max="6" width="10.88671875" customWidth="1"/>
  </cols>
  <sheetData>
    <row r="1" spans="1:6" x14ac:dyDescent="0.3">
      <c r="B1" s="200" t="s">
        <v>0</v>
      </c>
    </row>
    <row r="2" spans="1:6" x14ac:dyDescent="0.3">
      <c r="B2" s="32" t="s">
        <v>1089</v>
      </c>
    </row>
    <row r="3" spans="1:6" x14ac:dyDescent="0.3">
      <c r="B3" s="32"/>
    </row>
    <row r="4" spans="1:6" x14ac:dyDescent="0.3">
      <c r="B4" s="218" t="s">
        <v>966</v>
      </c>
    </row>
    <row r="5" spans="1:6" x14ac:dyDescent="0.3">
      <c r="B5" s="218" t="s">
        <v>967</v>
      </c>
    </row>
    <row r="6" spans="1:6" ht="15" thickBot="1" x14ac:dyDescent="0.35"/>
    <row r="7" spans="1:6" x14ac:dyDescent="0.3">
      <c r="B7" s="1379" t="s">
        <v>1</v>
      </c>
      <c r="C7" s="1371" t="s">
        <v>978</v>
      </c>
      <c r="D7" s="1372"/>
      <c r="E7" s="1372"/>
      <c r="F7" s="1373"/>
    </row>
    <row r="8" spans="1:6" x14ac:dyDescent="0.3">
      <c r="B8" s="1380"/>
      <c r="C8" s="30" t="s">
        <v>979</v>
      </c>
      <c r="D8" s="30" t="s">
        <v>980</v>
      </c>
      <c r="E8" s="30" t="s">
        <v>981</v>
      </c>
      <c r="F8" s="30" t="s">
        <v>982</v>
      </c>
    </row>
    <row r="9" spans="1:6" x14ac:dyDescent="0.3">
      <c r="A9" s="328">
        <v>150001053</v>
      </c>
      <c r="B9" s="260" t="s">
        <v>146</v>
      </c>
      <c r="C9" s="30">
        <f>VLOOKUP($A9,'зарплата в цінах'!$A$2:$F$397,3)</f>
        <v>69.87</v>
      </c>
      <c r="D9" s="30">
        <f>VLOOKUP($A9,'зарплата в цінах'!$A$2:$F$397,4)</f>
        <v>11.58</v>
      </c>
      <c r="E9" s="30">
        <f>VLOOKUP($A9,'зарплата в цінах'!$A$2:$F$397,5)</f>
        <v>0</v>
      </c>
      <c r="F9" s="30">
        <f>VLOOKUP($A9,'зарплата в цінах'!$A$2:$F$397,6)</f>
        <v>10.96</v>
      </c>
    </row>
    <row r="10" spans="1:6" x14ac:dyDescent="0.3">
      <c r="A10" s="328">
        <v>150000753</v>
      </c>
      <c r="B10" s="260" t="s">
        <v>239</v>
      </c>
      <c r="C10" s="30">
        <f>VLOOKUP($A10,'зарплата в цінах'!$A$2:$F$397,3)</f>
        <v>235.02</v>
      </c>
      <c r="D10" s="30">
        <f>VLOOKUP($A10,'зарплата в цінах'!$A$2:$F$397,4)</f>
        <v>56.22</v>
      </c>
      <c r="E10" s="30">
        <f>VLOOKUP($A10,'зарплата в цінах'!$A$2:$F$397,5)</f>
        <v>0</v>
      </c>
      <c r="F10" s="30">
        <f>VLOOKUP($A10,'зарплата в цінах'!$A$2:$F$397,6)</f>
        <v>145.88999999999999</v>
      </c>
    </row>
    <row r="11" spans="1:6" x14ac:dyDescent="0.3">
      <c r="A11" s="328">
        <v>150000754</v>
      </c>
      <c r="B11" s="260" t="s">
        <v>240</v>
      </c>
      <c r="C11" s="30">
        <f>VLOOKUP($A11,'зарплата в цінах'!$A$2:$F$397,3)</f>
        <v>348.71</v>
      </c>
      <c r="D11" s="30">
        <f>VLOOKUP($A11,'зарплата в цінах'!$A$2:$F$397,4)</f>
        <v>66.790000000000006</v>
      </c>
      <c r="E11" s="30">
        <f>VLOOKUP($A11,'зарплата в цінах'!$A$2:$F$397,5)</f>
        <v>23.98</v>
      </c>
      <c r="F11" s="30">
        <f>VLOOKUP($A11,'зарплата в цінах'!$A$2:$F$397,6)</f>
        <v>210.13</v>
      </c>
    </row>
    <row r="12" spans="1:6" x14ac:dyDescent="0.3">
      <c r="A12" s="328">
        <v>150000702</v>
      </c>
      <c r="B12" s="260" t="s">
        <v>338</v>
      </c>
      <c r="C12" s="30">
        <f>VLOOKUP($A12,'зарплата в цінах'!$A$2:$F$397,3)</f>
        <v>740</v>
      </c>
      <c r="D12" s="30">
        <f>VLOOKUP($A12,'зарплата в цінах'!$A$2:$F$397,4)</f>
        <v>140.21</v>
      </c>
      <c r="E12" s="30">
        <f>VLOOKUP($A12,'зарплата в цінах'!$A$2:$F$397,5)</f>
        <v>39.56</v>
      </c>
      <c r="F12" s="30">
        <f>VLOOKUP($A12,'зарплата в цінах'!$A$2:$F$397,6)</f>
        <v>395.7</v>
      </c>
    </row>
    <row r="13" spans="1:6" x14ac:dyDescent="0.3">
      <c r="A13" s="328">
        <v>150000703</v>
      </c>
      <c r="B13" s="260" t="s">
        <v>339</v>
      </c>
      <c r="C13" s="30">
        <f>VLOOKUP($A13,'зарплата в цінах'!$A$2:$F$397,3)</f>
        <v>729.53</v>
      </c>
      <c r="D13" s="30">
        <f>VLOOKUP($A13,'зарплата в цінах'!$A$2:$F$397,4)</f>
        <v>138.5</v>
      </c>
      <c r="E13" s="30">
        <f>VLOOKUP($A13,'зарплата в цінах'!$A$2:$F$397,5)</f>
        <v>39.56</v>
      </c>
      <c r="F13" s="30">
        <f>VLOOKUP($A13,'зарплата в цінах'!$A$2:$F$397,6)</f>
        <v>455.64</v>
      </c>
    </row>
    <row r="14" spans="1:6" x14ac:dyDescent="0.3">
      <c r="A14" s="328">
        <v>150000781</v>
      </c>
      <c r="B14" s="434" t="s">
        <v>33</v>
      </c>
      <c r="C14" s="30">
        <f>VLOOKUP($A14,'зарплата в цінах'!$A$2:$F$397,3)</f>
        <v>0</v>
      </c>
      <c r="D14" s="30">
        <f>VLOOKUP($A14,'зарплата в цінах'!$A$2:$F$397,4)</f>
        <v>0</v>
      </c>
      <c r="E14" s="30">
        <f>VLOOKUP($A14,'зарплата в цінах'!$A$2:$F$397,5)</f>
        <v>0</v>
      </c>
      <c r="F14" s="30">
        <f>VLOOKUP($A14,'зарплата в цінах'!$A$2:$F$397,6)</f>
        <v>0</v>
      </c>
    </row>
    <row r="15" spans="1:6" x14ac:dyDescent="0.3">
      <c r="A15" s="328">
        <v>150000488</v>
      </c>
      <c r="B15" s="434" t="s">
        <v>34</v>
      </c>
      <c r="C15" s="30">
        <f>VLOOKUP($A15,'зарплата в цінах'!$A$2:$F$397,3)</f>
        <v>0</v>
      </c>
      <c r="D15" s="30">
        <f>VLOOKUP($A15,'зарплата в цінах'!$A$2:$F$397,4)</f>
        <v>0</v>
      </c>
      <c r="E15" s="30">
        <f>VLOOKUP($A15,'зарплата в цінах'!$A$2:$F$397,5)</f>
        <v>0</v>
      </c>
      <c r="F15" s="30">
        <f>VLOOKUP($A15,'зарплата в цінах'!$A$2:$F$397,6)</f>
        <v>0</v>
      </c>
    </row>
    <row r="16" spans="1:6" x14ac:dyDescent="0.3">
      <c r="A16" s="328">
        <v>150000492</v>
      </c>
      <c r="B16" s="434" t="s">
        <v>35</v>
      </c>
      <c r="C16" s="30">
        <f>VLOOKUP($A16,'зарплата в цінах'!$A$2:$F$397,3)</f>
        <v>0</v>
      </c>
      <c r="D16" s="30">
        <f>VLOOKUP($A16,'зарплата в цінах'!$A$2:$F$397,4)</f>
        <v>0</v>
      </c>
      <c r="E16" s="30">
        <f>VLOOKUP($A16,'зарплата в цінах'!$A$2:$F$397,5)</f>
        <v>0</v>
      </c>
      <c r="F16" s="30">
        <f>VLOOKUP($A16,'зарплата в цінах'!$A$2:$F$397,6)</f>
        <v>0</v>
      </c>
    </row>
    <row r="17" spans="1:6" x14ac:dyDescent="0.3">
      <c r="A17" s="328">
        <v>150000490</v>
      </c>
      <c r="B17" s="434" t="s">
        <v>36</v>
      </c>
      <c r="C17" s="30">
        <f>VLOOKUP($A17,'зарплата в цінах'!$A$2:$F$397,3)</f>
        <v>0</v>
      </c>
      <c r="D17" s="30">
        <f>VLOOKUP($A17,'зарплата в цінах'!$A$2:$F$397,4)</f>
        <v>0</v>
      </c>
      <c r="E17" s="30">
        <f>VLOOKUP($A17,'зарплата в цінах'!$A$2:$F$397,5)</f>
        <v>0</v>
      </c>
      <c r="F17" s="30">
        <f>VLOOKUP($A17,'зарплата в цінах'!$A$2:$F$397,6)</f>
        <v>0</v>
      </c>
    </row>
    <row r="18" spans="1:6" x14ac:dyDescent="0.3">
      <c r="A18" s="328">
        <v>150000497</v>
      </c>
      <c r="B18" s="260" t="s">
        <v>340</v>
      </c>
      <c r="C18" s="30">
        <f>VLOOKUP($A18,'зарплата в цінах'!$A$2:$F$397,3)</f>
        <v>510.4</v>
      </c>
      <c r="D18" s="30">
        <f>VLOOKUP($A18,'зарплата в цінах'!$A$2:$F$397,4)</f>
        <v>77.11</v>
      </c>
      <c r="E18" s="30">
        <f>VLOOKUP($A18,'зарплата в цінах'!$A$2:$F$397,5)</f>
        <v>26.37</v>
      </c>
      <c r="F18" s="30">
        <f>VLOOKUP($A18,'зарплата в цінах'!$A$2:$F$397,6)</f>
        <v>143.61000000000001</v>
      </c>
    </row>
    <row r="19" spans="1:6" x14ac:dyDescent="0.3">
      <c r="A19" s="328">
        <v>150000495</v>
      </c>
      <c r="B19" s="260" t="s">
        <v>147</v>
      </c>
      <c r="C19" s="30">
        <f>VLOOKUP($A19,'зарплата в цінах'!$A$2:$F$397,3)</f>
        <v>35.380000000000003</v>
      </c>
      <c r="D19" s="30">
        <f>VLOOKUP($A19,'зарплата в цінах'!$A$2:$F$397,4)</f>
        <v>14.37</v>
      </c>
      <c r="E19" s="30">
        <f>VLOOKUP($A19,'зарплата в цінах'!$A$2:$F$397,5)</f>
        <v>0</v>
      </c>
      <c r="F19" s="30">
        <f>VLOOKUP($A19,'зарплата в цінах'!$A$2:$F$397,6)</f>
        <v>18.02</v>
      </c>
    </row>
    <row r="20" spans="1:6" x14ac:dyDescent="0.3">
      <c r="A20" s="328">
        <v>150000496</v>
      </c>
      <c r="B20" s="260" t="s">
        <v>148</v>
      </c>
      <c r="C20" s="30">
        <f>VLOOKUP($A20,'зарплата в цінах'!$A$2:$F$397,3)</f>
        <v>35.380000000000003</v>
      </c>
      <c r="D20" s="30">
        <f>VLOOKUP($A20,'зарплата в цінах'!$A$2:$F$397,4)</f>
        <v>14.37</v>
      </c>
      <c r="E20" s="30">
        <f>VLOOKUP($A20,'зарплата в цінах'!$A$2:$F$397,5)</f>
        <v>0</v>
      </c>
      <c r="F20" s="30">
        <f>VLOOKUP($A20,'зарплата в цінах'!$A$2:$F$397,6)</f>
        <v>18.02</v>
      </c>
    </row>
    <row r="21" spans="1:6" x14ac:dyDescent="0.3">
      <c r="A21" s="328">
        <v>150000498</v>
      </c>
      <c r="B21" s="260" t="s">
        <v>241</v>
      </c>
      <c r="C21" s="30">
        <f>VLOOKUP($A21,'зарплата в цінах'!$A$2:$F$397,3)</f>
        <v>548.30999999999995</v>
      </c>
      <c r="D21" s="30">
        <f>VLOOKUP($A21,'зарплата в цінах'!$A$2:$F$397,4)</f>
        <v>115.41</v>
      </c>
      <c r="E21" s="30">
        <f>VLOOKUP($A21,'зарплата в цінах'!$A$2:$F$397,5)</f>
        <v>0</v>
      </c>
      <c r="F21" s="30">
        <f>VLOOKUP($A21,'зарплата в цінах'!$A$2:$F$397,6)</f>
        <v>448.07</v>
      </c>
    </row>
    <row r="22" spans="1:6" x14ac:dyDescent="0.3">
      <c r="A22" s="328">
        <v>150000969</v>
      </c>
      <c r="B22" s="260" t="s">
        <v>192</v>
      </c>
      <c r="C22" s="30">
        <f>VLOOKUP($A22,'зарплата в цінах'!$A$2:$F$397,3)</f>
        <v>124.19</v>
      </c>
      <c r="D22" s="30">
        <f>VLOOKUP($A22,'зарплата в цінах'!$A$2:$F$397,4)</f>
        <v>25.65</v>
      </c>
      <c r="E22" s="30">
        <f>VLOOKUP($A22,'зарплата в цінах'!$A$2:$F$397,5)</f>
        <v>0</v>
      </c>
      <c r="F22" s="30">
        <f>VLOOKUP($A22,'зарплата в цінах'!$A$2:$F$397,6)</f>
        <v>63.99</v>
      </c>
    </row>
    <row r="23" spans="1:6" x14ac:dyDescent="0.3">
      <c r="A23" s="328">
        <v>150000989</v>
      </c>
      <c r="B23" s="434" t="s">
        <v>37</v>
      </c>
      <c r="C23" s="30">
        <f>VLOOKUP($A23,'зарплата в цінах'!$A$2:$F$397,3)</f>
        <v>0</v>
      </c>
      <c r="D23" s="30">
        <f>VLOOKUP($A23,'зарплата в цінах'!$A$2:$F$397,4)</f>
        <v>0</v>
      </c>
      <c r="E23" s="30">
        <f>VLOOKUP($A23,'зарплата в цінах'!$A$2:$F$397,5)</f>
        <v>0</v>
      </c>
      <c r="F23" s="30">
        <f>VLOOKUP($A23,'зарплата в цінах'!$A$2:$F$397,6)</f>
        <v>0</v>
      </c>
    </row>
    <row r="24" spans="1:6" x14ac:dyDescent="0.3">
      <c r="A24" s="328">
        <v>150000970</v>
      </c>
      <c r="B24" s="260" t="s">
        <v>242</v>
      </c>
      <c r="C24" s="30">
        <f>VLOOKUP($A24,'зарплата в цінах'!$A$2:$F$397,3)</f>
        <v>290.63</v>
      </c>
      <c r="D24" s="30">
        <f>VLOOKUP($A24,'зарплата в цінах'!$A$2:$F$397,4)</f>
        <v>57.37</v>
      </c>
      <c r="E24" s="30">
        <f>VLOOKUP($A24,'зарплата в цінах'!$A$2:$F$397,5)</f>
        <v>0</v>
      </c>
      <c r="F24" s="30">
        <f>VLOOKUP($A24,'зарплата в цінах'!$A$2:$F$397,6)</f>
        <v>163.6</v>
      </c>
    </row>
    <row r="25" spans="1:6" x14ac:dyDescent="0.3">
      <c r="A25" s="328">
        <v>150000971</v>
      </c>
      <c r="B25" s="260" t="s">
        <v>193</v>
      </c>
      <c r="C25" s="30">
        <f>VLOOKUP($A25,'зарплата в цінах'!$A$2:$F$397,3)</f>
        <v>195.62</v>
      </c>
      <c r="D25" s="30">
        <f>VLOOKUP($A25,'зарплата в цінах'!$A$2:$F$397,4)</f>
        <v>39.97</v>
      </c>
      <c r="E25" s="30">
        <f>VLOOKUP($A25,'зарплата в цінах'!$A$2:$F$397,5)</f>
        <v>0</v>
      </c>
      <c r="F25" s="30">
        <f>VLOOKUP($A25,'зарплата в цінах'!$A$2:$F$397,6)</f>
        <v>127.43</v>
      </c>
    </row>
    <row r="26" spans="1:6" x14ac:dyDescent="0.3">
      <c r="A26" s="328">
        <v>150000991</v>
      </c>
      <c r="B26" s="260" t="s">
        <v>341</v>
      </c>
      <c r="C26" s="30">
        <f>VLOOKUP($A26,'зарплата в цінах'!$A$2:$F$397,3)</f>
        <v>396.35</v>
      </c>
      <c r="D26" s="30">
        <f>VLOOKUP($A26,'зарплата в цінах'!$A$2:$F$397,4)</f>
        <v>62.11</v>
      </c>
      <c r="E26" s="30">
        <f>VLOOKUP($A26,'зарплата в цінах'!$A$2:$F$397,5)</f>
        <v>26.37</v>
      </c>
      <c r="F26" s="30">
        <f>VLOOKUP($A26,'зарплата в цінах'!$A$2:$F$397,6)</f>
        <v>239.18</v>
      </c>
    </row>
    <row r="27" spans="1:6" x14ac:dyDescent="0.3">
      <c r="A27" s="328">
        <v>150000992</v>
      </c>
      <c r="B27" s="434" t="s">
        <v>39</v>
      </c>
      <c r="C27" s="30">
        <f>VLOOKUP($A27,'зарплата в цінах'!$A$2:$F$397,3)</f>
        <v>0</v>
      </c>
      <c r="D27" s="30">
        <f>VLOOKUP($A27,'зарплата в цінах'!$A$2:$F$397,4)</f>
        <v>0</v>
      </c>
      <c r="E27" s="30">
        <f>VLOOKUP($A27,'зарплата в цінах'!$A$2:$F$397,5)</f>
        <v>0</v>
      </c>
      <c r="F27" s="30">
        <f>VLOOKUP($A27,'зарплата в цінах'!$A$2:$F$397,6)</f>
        <v>0</v>
      </c>
    </row>
    <row r="28" spans="1:6" x14ac:dyDescent="0.3">
      <c r="A28" s="328">
        <v>150000999</v>
      </c>
      <c r="B28" s="434" t="s">
        <v>40</v>
      </c>
      <c r="C28" s="30">
        <f>VLOOKUP($A28,'зарплата в цінах'!$A$2:$F$397,3)</f>
        <v>0</v>
      </c>
      <c r="D28" s="30">
        <f>VLOOKUP($A28,'зарплата в цінах'!$A$2:$F$397,4)</f>
        <v>0</v>
      </c>
      <c r="E28" s="30">
        <f>VLOOKUP($A28,'зарплата в цінах'!$A$2:$F$397,5)</f>
        <v>0</v>
      </c>
      <c r="F28" s="30">
        <f>VLOOKUP($A28,'зарплата в цінах'!$A$2:$F$397,6)</f>
        <v>0</v>
      </c>
    </row>
    <row r="29" spans="1:6" x14ac:dyDescent="0.3">
      <c r="A29" s="328">
        <v>150000993</v>
      </c>
      <c r="B29" s="434" t="s">
        <v>41</v>
      </c>
      <c r="C29" s="30">
        <f>VLOOKUP($A29,'зарплата в цінах'!$A$2:$F$397,3)</f>
        <v>0</v>
      </c>
      <c r="D29" s="30">
        <f>VLOOKUP($A29,'зарплата в цінах'!$A$2:$F$397,4)</f>
        <v>0</v>
      </c>
      <c r="E29" s="30">
        <f>VLOOKUP($A29,'зарплата в цінах'!$A$2:$F$397,5)</f>
        <v>0</v>
      </c>
      <c r="F29" s="30">
        <f>VLOOKUP($A29,'зарплата в цінах'!$A$2:$F$397,6)</f>
        <v>0</v>
      </c>
    </row>
    <row r="30" spans="1:6" x14ac:dyDescent="0.3">
      <c r="A30" s="328">
        <v>150001000</v>
      </c>
      <c r="B30" s="434" t="s">
        <v>42</v>
      </c>
      <c r="C30" s="30">
        <f>VLOOKUP($A30,'зарплата в цінах'!$A$2:$F$397,3)</f>
        <v>0</v>
      </c>
      <c r="D30" s="30">
        <f>VLOOKUP($A30,'зарплата в цінах'!$A$2:$F$397,4)</f>
        <v>0</v>
      </c>
      <c r="E30" s="30">
        <f>VLOOKUP($A30,'зарплата в цінах'!$A$2:$F$397,5)</f>
        <v>0</v>
      </c>
      <c r="F30" s="30">
        <f>VLOOKUP($A30,'зарплата в цінах'!$A$2:$F$397,6)</f>
        <v>0</v>
      </c>
    </row>
    <row r="31" spans="1:6" x14ac:dyDescent="0.3">
      <c r="A31" s="328">
        <v>150001004</v>
      </c>
      <c r="B31" s="434" t="s">
        <v>43</v>
      </c>
      <c r="C31" s="30">
        <f>VLOOKUP($A31,'зарплата в цінах'!$A$2:$F$397,3)</f>
        <v>0</v>
      </c>
      <c r="D31" s="30">
        <f>VLOOKUP($A31,'зарплата в цінах'!$A$2:$F$397,4)</f>
        <v>0</v>
      </c>
      <c r="E31" s="30">
        <f>VLOOKUP($A31,'зарплата в цінах'!$A$2:$F$397,5)</f>
        <v>0</v>
      </c>
      <c r="F31" s="30">
        <f>VLOOKUP($A31,'зарплата в цінах'!$A$2:$F$397,6)</f>
        <v>0</v>
      </c>
    </row>
    <row r="32" spans="1:6" x14ac:dyDescent="0.3">
      <c r="A32" s="328">
        <v>150000994</v>
      </c>
      <c r="B32" s="434" t="s">
        <v>44</v>
      </c>
      <c r="C32" s="30">
        <f>VLOOKUP($A32,'зарплата в цінах'!$A$2:$F$397,3)</f>
        <v>0</v>
      </c>
      <c r="D32" s="30">
        <f>VLOOKUP($A32,'зарплата в цінах'!$A$2:$F$397,4)</f>
        <v>0</v>
      </c>
      <c r="E32" s="30">
        <f>VLOOKUP($A32,'зарплата в цінах'!$A$2:$F$397,5)</f>
        <v>0</v>
      </c>
      <c r="F32" s="30">
        <f>VLOOKUP($A32,'зарплата в цінах'!$A$2:$F$397,6)</f>
        <v>0</v>
      </c>
    </row>
    <row r="33" spans="1:6" x14ac:dyDescent="0.3">
      <c r="A33" s="328">
        <v>150001001</v>
      </c>
      <c r="B33" s="434" t="s">
        <v>45</v>
      </c>
      <c r="C33" s="30">
        <f>VLOOKUP($A33,'зарплата в цінах'!$A$2:$F$397,3)</f>
        <v>0</v>
      </c>
      <c r="D33" s="30">
        <f>VLOOKUP($A33,'зарплата в цінах'!$A$2:$F$397,4)</f>
        <v>0</v>
      </c>
      <c r="E33" s="30">
        <f>VLOOKUP($A33,'зарплата в цінах'!$A$2:$F$397,5)</f>
        <v>0</v>
      </c>
      <c r="F33" s="30">
        <f>VLOOKUP($A33,'зарплата в цінах'!$A$2:$F$397,6)</f>
        <v>0</v>
      </c>
    </row>
    <row r="34" spans="1:6" x14ac:dyDescent="0.3">
      <c r="A34" s="328">
        <v>150001005</v>
      </c>
      <c r="B34" s="434" t="s">
        <v>46</v>
      </c>
      <c r="C34" s="30">
        <f>VLOOKUP($A34,'зарплата в цінах'!$A$2:$F$397,3)</f>
        <v>0</v>
      </c>
      <c r="D34" s="30">
        <f>VLOOKUP($A34,'зарплата в цінах'!$A$2:$F$397,4)</f>
        <v>0</v>
      </c>
      <c r="E34" s="30">
        <f>VLOOKUP($A34,'зарплата в цінах'!$A$2:$F$397,5)</f>
        <v>0</v>
      </c>
      <c r="F34" s="30">
        <f>VLOOKUP($A34,'зарплата в цінах'!$A$2:$F$397,6)</f>
        <v>0</v>
      </c>
    </row>
    <row r="35" spans="1:6" x14ac:dyDescent="0.3">
      <c r="A35" s="328">
        <v>150000995</v>
      </c>
      <c r="B35" s="434" t="s">
        <v>47</v>
      </c>
      <c r="C35" s="30">
        <f>VLOOKUP($A35,'зарплата в цінах'!$A$2:$F$397,3)</f>
        <v>0</v>
      </c>
      <c r="D35" s="30">
        <f>VLOOKUP($A35,'зарплата в цінах'!$A$2:$F$397,4)</f>
        <v>0</v>
      </c>
      <c r="E35" s="30">
        <f>VLOOKUP($A35,'зарплата в цінах'!$A$2:$F$397,5)</f>
        <v>0</v>
      </c>
      <c r="F35" s="30">
        <f>VLOOKUP($A35,'зарплата в цінах'!$A$2:$F$397,6)</f>
        <v>0</v>
      </c>
    </row>
    <row r="36" spans="1:6" x14ac:dyDescent="0.3">
      <c r="A36" s="328">
        <v>150001002</v>
      </c>
      <c r="B36" s="434" t="s">
        <v>48</v>
      </c>
      <c r="C36" s="30">
        <f>VLOOKUP($A36,'зарплата в цінах'!$A$2:$F$397,3)</f>
        <v>0</v>
      </c>
      <c r="D36" s="30">
        <f>VLOOKUP($A36,'зарплата в цінах'!$A$2:$F$397,4)</f>
        <v>0</v>
      </c>
      <c r="E36" s="30">
        <f>VLOOKUP($A36,'зарплата в цінах'!$A$2:$F$397,5)</f>
        <v>0</v>
      </c>
      <c r="F36" s="30">
        <f>VLOOKUP($A36,'зарплата в цінах'!$A$2:$F$397,6)</f>
        <v>0</v>
      </c>
    </row>
    <row r="37" spans="1:6" x14ac:dyDescent="0.3">
      <c r="A37" s="328">
        <v>150000972</v>
      </c>
      <c r="B37" s="260" t="s">
        <v>201</v>
      </c>
      <c r="C37" s="30">
        <f>VLOOKUP($A37,'зарплата в цінах'!$A$2:$F$397,3)</f>
        <v>280.60000000000002</v>
      </c>
      <c r="D37" s="30">
        <f>VLOOKUP($A37,'зарплата в цінах'!$A$2:$F$397,4)</f>
        <v>46.43</v>
      </c>
      <c r="E37" s="30">
        <f>VLOOKUP($A37,'зарплата в цінах'!$A$2:$F$397,5)</f>
        <v>0</v>
      </c>
      <c r="F37" s="30">
        <f>VLOOKUP($A37,'зарплата в цінах'!$A$2:$F$397,6)</f>
        <v>146.46</v>
      </c>
    </row>
    <row r="38" spans="1:6" x14ac:dyDescent="0.3">
      <c r="A38" s="328">
        <v>150000973</v>
      </c>
      <c r="B38" s="434" t="s">
        <v>49</v>
      </c>
      <c r="C38" s="30">
        <f>VLOOKUP($A38,'зарплата в цінах'!$A$2:$F$397,3)</f>
        <v>0</v>
      </c>
      <c r="D38" s="30">
        <f>VLOOKUP($A38,'зарплата в цінах'!$A$2:$F$397,4)</f>
        <v>0</v>
      </c>
      <c r="E38" s="30">
        <f>VLOOKUP($A38,'зарплата в цінах'!$A$2:$F$397,5)</f>
        <v>0</v>
      </c>
      <c r="F38" s="30">
        <f>VLOOKUP($A38,'зарплата в цінах'!$A$2:$F$397,6)</f>
        <v>0</v>
      </c>
    </row>
    <row r="39" spans="1:6" x14ac:dyDescent="0.3">
      <c r="A39" s="328">
        <v>150000974</v>
      </c>
      <c r="B39" s="260" t="s">
        <v>202</v>
      </c>
      <c r="C39" s="30">
        <f>VLOOKUP($A39,'зарплата в цінах'!$A$2:$F$397,3)</f>
        <v>217.46</v>
      </c>
      <c r="D39" s="30">
        <f>VLOOKUP($A39,'зарплата в цінах'!$A$2:$F$397,4)</f>
        <v>31.84</v>
      </c>
      <c r="E39" s="30">
        <f>VLOOKUP($A39,'зарплата в цінах'!$A$2:$F$397,5)</f>
        <v>0</v>
      </c>
      <c r="F39" s="30">
        <f>VLOOKUP($A39,'зарплата в цінах'!$A$2:$F$397,6)</f>
        <v>139.05000000000001</v>
      </c>
    </row>
    <row r="40" spans="1:6" x14ac:dyDescent="0.3">
      <c r="A40" s="328">
        <v>150000975</v>
      </c>
      <c r="B40" s="260" t="s">
        <v>203</v>
      </c>
      <c r="C40" s="30">
        <f>VLOOKUP($A40,'зарплата в цінах'!$A$2:$F$397,3)</f>
        <v>326.98</v>
      </c>
      <c r="D40" s="30">
        <f>VLOOKUP($A40,'зарплата в цінах'!$A$2:$F$397,4)</f>
        <v>65.55</v>
      </c>
      <c r="E40" s="30">
        <f>VLOOKUP($A40,'зарплата в цінах'!$A$2:$F$397,5)</f>
        <v>0</v>
      </c>
      <c r="F40" s="30">
        <f>VLOOKUP($A40,'зарплата в цінах'!$A$2:$F$397,6)</f>
        <v>253.19</v>
      </c>
    </row>
    <row r="41" spans="1:6" x14ac:dyDescent="0.3">
      <c r="A41" s="328">
        <v>150000976</v>
      </c>
      <c r="B41" s="260" t="s">
        <v>149</v>
      </c>
      <c r="C41" s="30">
        <f>VLOOKUP($A41,'зарплата в цінах'!$A$2:$F$397,3)</f>
        <v>150.19</v>
      </c>
      <c r="D41" s="30">
        <f>VLOOKUP($A41,'зарплата в цінах'!$A$2:$F$397,4)</f>
        <v>28.03</v>
      </c>
      <c r="E41" s="30">
        <f>VLOOKUP($A41,'зарплата в цінах'!$A$2:$F$397,5)</f>
        <v>0</v>
      </c>
      <c r="F41" s="30">
        <f>VLOOKUP($A41,'зарплата в цінах'!$A$2:$F$397,6)</f>
        <v>48.74</v>
      </c>
    </row>
    <row r="42" spans="1:6" x14ac:dyDescent="0.3">
      <c r="A42" s="328">
        <v>150000977</v>
      </c>
      <c r="B42" s="260" t="s">
        <v>150</v>
      </c>
      <c r="C42" s="30">
        <f>VLOOKUP($A42,'зарплата в цінах'!$A$2:$F$397,3)</f>
        <v>144.37</v>
      </c>
      <c r="D42" s="30">
        <f>VLOOKUP($A42,'зарплата в цінах'!$A$2:$F$397,4)</f>
        <v>28.03</v>
      </c>
      <c r="E42" s="30">
        <f>VLOOKUP($A42,'зарплата в цінах'!$A$2:$F$397,5)</f>
        <v>0</v>
      </c>
      <c r="F42" s="30">
        <f>VLOOKUP($A42,'зарплата в цінах'!$A$2:$F$397,6)</f>
        <v>48.74</v>
      </c>
    </row>
    <row r="43" spans="1:6" x14ac:dyDescent="0.3">
      <c r="A43" s="328">
        <v>150000978</v>
      </c>
      <c r="B43" s="260" t="s">
        <v>243</v>
      </c>
      <c r="C43" s="30">
        <f>VLOOKUP($A43,'зарплата в цінах'!$A$2:$F$397,3)</f>
        <v>203.73</v>
      </c>
      <c r="D43" s="30">
        <f>VLOOKUP($A43,'зарплата в цінах'!$A$2:$F$397,4)</f>
        <v>35.44</v>
      </c>
      <c r="E43" s="30">
        <f>VLOOKUP($A43,'зарплата в цінах'!$A$2:$F$397,5)</f>
        <v>0</v>
      </c>
      <c r="F43" s="30">
        <f>VLOOKUP($A43,'зарплата в цінах'!$A$2:$F$397,6)</f>
        <v>94.96</v>
      </c>
    </row>
    <row r="44" spans="1:6" x14ac:dyDescent="0.3">
      <c r="A44" s="328">
        <v>150000966</v>
      </c>
      <c r="B44" s="260" t="s">
        <v>204</v>
      </c>
      <c r="C44" s="30">
        <f>VLOOKUP($A44,'зарплата в цінах'!$A$2:$F$397,3)</f>
        <v>147.58000000000001</v>
      </c>
      <c r="D44" s="30">
        <f>VLOOKUP($A44,'зарплата в цінах'!$A$2:$F$397,4)</f>
        <v>30.47</v>
      </c>
      <c r="E44" s="30">
        <f>VLOOKUP($A44,'зарплата в цінах'!$A$2:$F$397,5)</f>
        <v>0</v>
      </c>
      <c r="F44" s="30">
        <f>VLOOKUP($A44,'зарплата в цінах'!$A$2:$F$397,6)</f>
        <v>86.37</v>
      </c>
    </row>
    <row r="45" spans="1:6" x14ac:dyDescent="0.3">
      <c r="A45" s="328">
        <v>150000967</v>
      </c>
      <c r="B45" s="260" t="s">
        <v>205</v>
      </c>
      <c r="C45" s="30">
        <f>VLOOKUP($A45,'зарплата в цінах'!$A$2:$F$397,3)</f>
        <v>173.15</v>
      </c>
      <c r="D45" s="30">
        <f>VLOOKUP($A45,'зарплата в цінах'!$A$2:$F$397,4)</f>
        <v>31.46</v>
      </c>
      <c r="E45" s="30">
        <f>VLOOKUP($A45,'зарплата в цінах'!$A$2:$F$397,5)</f>
        <v>0</v>
      </c>
      <c r="F45" s="30">
        <f>VLOOKUP($A45,'зарплата в цінах'!$A$2:$F$397,6)</f>
        <v>88.65</v>
      </c>
    </row>
    <row r="46" spans="1:6" x14ac:dyDescent="0.3">
      <c r="A46" s="328">
        <v>150000968</v>
      </c>
      <c r="B46" s="260" t="s">
        <v>244</v>
      </c>
      <c r="C46" s="30">
        <f>VLOOKUP($A46,'зарплата в цінах'!$A$2:$F$397,3)</f>
        <v>203.73</v>
      </c>
      <c r="D46" s="30">
        <f>VLOOKUP($A46,'зарплата в цінах'!$A$2:$F$397,4)</f>
        <v>35.44</v>
      </c>
      <c r="E46" s="30">
        <f>VLOOKUP($A46,'зарплата в цінах'!$A$2:$F$397,5)</f>
        <v>0</v>
      </c>
      <c r="F46" s="30">
        <f>VLOOKUP($A46,'зарплата в цінах'!$A$2:$F$397,6)</f>
        <v>108.5</v>
      </c>
    </row>
    <row r="47" spans="1:6" x14ac:dyDescent="0.3">
      <c r="A47" s="328">
        <v>150000981</v>
      </c>
      <c r="B47" s="260" t="s">
        <v>342</v>
      </c>
      <c r="C47" s="30">
        <f>VLOOKUP($A47,'зарплата в цінах'!$A$2:$F$397,3)</f>
        <v>250.54</v>
      </c>
      <c r="D47" s="30">
        <f>VLOOKUP($A47,'зарплата в цінах'!$A$2:$F$397,4)</f>
        <v>46.65</v>
      </c>
      <c r="E47" s="30">
        <f>VLOOKUP($A47,'зарплата в цінах'!$A$2:$F$397,5)</f>
        <v>13.19</v>
      </c>
      <c r="F47" s="30">
        <f>VLOOKUP($A47,'зарплата в цінах'!$A$2:$F$397,6)</f>
        <v>117.24</v>
      </c>
    </row>
    <row r="48" spans="1:6" x14ac:dyDescent="0.3">
      <c r="A48" s="328">
        <v>150000982</v>
      </c>
      <c r="B48" s="260" t="s">
        <v>343</v>
      </c>
      <c r="C48" s="30">
        <f>VLOOKUP($A48,'зарплата в цінах'!$A$2:$F$397,3)</f>
        <v>531.61</v>
      </c>
      <c r="D48" s="30">
        <f>VLOOKUP($A48,'зарплата в цінах'!$A$2:$F$397,4)</f>
        <v>139.34</v>
      </c>
      <c r="E48" s="30">
        <f>VLOOKUP($A48,'зарплата в цінах'!$A$2:$F$397,5)</f>
        <v>39.56</v>
      </c>
      <c r="F48" s="30">
        <f>VLOOKUP($A48,'зарплата в цінах'!$A$2:$F$397,6)</f>
        <v>386.9</v>
      </c>
    </row>
    <row r="49" spans="1:6" x14ac:dyDescent="0.3">
      <c r="A49" s="328">
        <v>150000983</v>
      </c>
      <c r="B49" s="260" t="s">
        <v>344</v>
      </c>
      <c r="C49" s="30">
        <f>VLOOKUP($A49,'зарплата в цінах'!$A$2:$F$397,3)</f>
        <v>349.72</v>
      </c>
      <c r="D49" s="30">
        <f>VLOOKUP($A49,'зарплата в цінах'!$A$2:$F$397,4)</f>
        <v>51.99</v>
      </c>
      <c r="E49" s="30">
        <f>VLOOKUP($A49,'зарплата в цінах'!$A$2:$F$397,5)</f>
        <v>26.37</v>
      </c>
      <c r="F49" s="30">
        <f>VLOOKUP($A49,'зарплата в цінах'!$A$2:$F$397,6)</f>
        <v>280.39</v>
      </c>
    </row>
    <row r="50" spans="1:6" x14ac:dyDescent="0.3">
      <c r="A50" s="328">
        <v>150000984</v>
      </c>
      <c r="B50" s="260" t="s">
        <v>345</v>
      </c>
      <c r="C50" s="30">
        <f>VLOOKUP($A50,'зарплата в цінах'!$A$2:$F$397,3)</f>
        <v>873.14</v>
      </c>
      <c r="D50" s="30">
        <f>VLOOKUP($A50,'зарплата в цінах'!$A$2:$F$397,4)</f>
        <v>144.13999999999999</v>
      </c>
      <c r="E50" s="30">
        <f>VLOOKUP($A50,'зарплата в цінах'!$A$2:$F$397,5)</f>
        <v>39.56</v>
      </c>
      <c r="F50" s="30">
        <f>VLOOKUP($A50,'зарплата в цінах'!$A$2:$F$397,6)</f>
        <v>524.71</v>
      </c>
    </row>
    <row r="51" spans="1:6" x14ac:dyDescent="0.3">
      <c r="A51" s="328">
        <v>150000986</v>
      </c>
      <c r="B51" s="260" t="s">
        <v>346</v>
      </c>
      <c r="C51" s="30">
        <f>VLOOKUP($A51,'зарплата в цінах'!$A$2:$F$397,3)</f>
        <v>582.87</v>
      </c>
      <c r="D51" s="30">
        <f>VLOOKUP($A51,'зарплата в цінах'!$A$2:$F$397,4)</f>
        <v>96.45</v>
      </c>
      <c r="E51" s="30">
        <f>VLOOKUP($A51,'зарплата в цінах'!$A$2:$F$397,5)</f>
        <v>26.37</v>
      </c>
      <c r="F51" s="30">
        <f>VLOOKUP($A51,'зарплата в цінах'!$A$2:$F$397,6)</f>
        <v>317.85000000000002</v>
      </c>
    </row>
    <row r="52" spans="1:6" x14ac:dyDescent="0.3">
      <c r="A52" s="328">
        <v>150000996</v>
      </c>
      <c r="B52" s="260" t="s">
        <v>245</v>
      </c>
      <c r="C52" s="30">
        <f>VLOOKUP($A52,'зарплата в цінах'!$A$2:$F$397,3)</f>
        <v>385.71</v>
      </c>
      <c r="D52" s="30">
        <f>VLOOKUP($A52,'зарплата в цінах'!$A$2:$F$397,4)</f>
        <v>69.05</v>
      </c>
      <c r="E52" s="30">
        <f>VLOOKUP($A52,'зарплата в цінах'!$A$2:$F$397,5)</f>
        <v>0</v>
      </c>
      <c r="F52" s="30">
        <f>VLOOKUP($A52,'зарплата в цінах'!$A$2:$F$397,6)</f>
        <v>222.71</v>
      </c>
    </row>
    <row r="53" spans="1:6" x14ac:dyDescent="0.3">
      <c r="A53" s="328">
        <v>150000987</v>
      </c>
      <c r="B53" s="434" t="s">
        <v>50</v>
      </c>
      <c r="C53" s="30">
        <f>VLOOKUP($A53,'зарплата в цінах'!$A$2:$F$397,3)</f>
        <v>0</v>
      </c>
      <c r="D53" s="30">
        <f>VLOOKUP($A53,'зарплата в цінах'!$A$2:$F$397,4)</f>
        <v>0</v>
      </c>
      <c r="E53" s="30">
        <f>VLOOKUP($A53,'зарплата в цінах'!$A$2:$F$397,5)</f>
        <v>0</v>
      </c>
      <c r="F53" s="30">
        <f>VLOOKUP($A53,'зарплата в цінах'!$A$2:$F$397,6)</f>
        <v>0</v>
      </c>
    </row>
    <row r="54" spans="1:6" x14ac:dyDescent="0.3">
      <c r="A54" s="328">
        <v>150000988</v>
      </c>
      <c r="B54" s="434" t="s">
        <v>51</v>
      </c>
      <c r="C54" s="30">
        <f>VLOOKUP($A54,'зарплата в цінах'!$A$2:$F$397,3)</f>
        <v>0</v>
      </c>
      <c r="D54" s="30">
        <f>VLOOKUP($A54,'зарплата в цінах'!$A$2:$F$397,4)</f>
        <v>0</v>
      </c>
      <c r="E54" s="30">
        <f>VLOOKUP($A54,'зарплата в цінах'!$A$2:$F$397,5)</f>
        <v>0</v>
      </c>
      <c r="F54" s="30">
        <f>VLOOKUP($A54,'зарплата в цінах'!$A$2:$F$397,6)</f>
        <v>0</v>
      </c>
    </row>
    <row r="55" spans="1:6" x14ac:dyDescent="0.3">
      <c r="A55" s="328">
        <v>150000548</v>
      </c>
      <c r="B55" s="260" t="s">
        <v>246</v>
      </c>
      <c r="C55" s="30">
        <f>VLOOKUP($A55,'зарплата в цінах'!$A$2:$F$397,3)</f>
        <v>255.42</v>
      </c>
      <c r="D55" s="30">
        <f>VLOOKUP($A55,'зарплата в цінах'!$A$2:$F$397,4)</f>
        <v>59.71</v>
      </c>
      <c r="E55" s="30">
        <f>VLOOKUP($A55,'зарплата в цінах'!$A$2:$F$397,5)</f>
        <v>17.98</v>
      </c>
      <c r="F55" s="30">
        <f>VLOOKUP($A55,'зарплата в цінах'!$A$2:$F$397,6)</f>
        <v>169.91</v>
      </c>
    </row>
    <row r="56" spans="1:6" x14ac:dyDescent="0.3">
      <c r="A56" s="328">
        <v>150000549</v>
      </c>
      <c r="B56" s="260" t="s">
        <v>206</v>
      </c>
      <c r="C56" s="30">
        <f>VLOOKUP($A56,'зарплата в цінах'!$A$2:$F$397,3)</f>
        <v>185.05</v>
      </c>
      <c r="D56" s="30">
        <f>VLOOKUP($A56,'зарплата в цінах'!$A$2:$F$397,4)</f>
        <v>45.92</v>
      </c>
      <c r="E56" s="30">
        <f>VLOOKUP($A56,'зарплата в цінах'!$A$2:$F$397,5)</f>
        <v>0</v>
      </c>
      <c r="F56" s="30">
        <f>VLOOKUP($A56,'зарплата в цінах'!$A$2:$F$397,6)</f>
        <v>85.66</v>
      </c>
    </row>
    <row r="57" spans="1:6" x14ac:dyDescent="0.3">
      <c r="A57" s="328">
        <v>150000547</v>
      </c>
      <c r="B57" s="260" t="s">
        <v>247</v>
      </c>
      <c r="C57" s="30">
        <f>VLOOKUP($A57,'зарплата в цінах'!$A$2:$F$397,3)</f>
        <v>355.23</v>
      </c>
      <c r="D57" s="30">
        <f>VLOOKUP($A57,'зарплата в цінах'!$A$2:$F$397,4)</f>
        <v>67.87</v>
      </c>
      <c r="E57" s="30">
        <f>VLOOKUP($A57,'зарплата в цінах'!$A$2:$F$397,5)</f>
        <v>23.98</v>
      </c>
      <c r="F57" s="30">
        <f>VLOOKUP($A57,'зарплата в цінах'!$A$2:$F$397,6)</f>
        <v>225.48</v>
      </c>
    </row>
    <row r="58" spans="1:6" x14ac:dyDescent="0.3">
      <c r="A58" s="328">
        <v>150000509</v>
      </c>
      <c r="B58" s="434" t="s">
        <v>52</v>
      </c>
      <c r="C58" s="30">
        <f>VLOOKUP($A58,'зарплата в цінах'!$A$2:$F$397,3)</f>
        <v>0</v>
      </c>
      <c r="D58" s="30">
        <f>VLOOKUP($A58,'зарплата в цінах'!$A$2:$F$397,4)</f>
        <v>0</v>
      </c>
      <c r="E58" s="30">
        <f>VLOOKUP($A58,'зарплата в цінах'!$A$2:$F$397,5)</f>
        <v>0</v>
      </c>
      <c r="F58" s="30">
        <f>VLOOKUP($A58,'зарплата в цінах'!$A$2:$F$397,6)</f>
        <v>0</v>
      </c>
    </row>
    <row r="59" spans="1:6" x14ac:dyDescent="0.3">
      <c r="A59" s="328">
        <v>150000510</v>
      </c>
      <c r="B59" s="260" t="s">
        <v>248</v>
      </c>
      <c r="C59" s="30">
        <f>VLOOKUP($A59,'зарплата в цінах'!$A$2:$F$397,3)</f>
        <v>220</v>
      </c>
      <c r="D59" s="30">
        <f>VLOOKUP($A59,'зарплата в цінах'!$A$2:$F$397,4)</f>
        <v>41.83</v>
      </c>
      <c r="E59" s="30">
        <f>VLOOKUP($A59,'зарплата в цінах'!$A$2:$F$397,5)</f>
        <v>0</v>
      </c>
      <c r="F59" s="30">
        <f>VLOOKUP($A59,'зарплата в цінах'!$A$2:$F$397,6)</f>
        <v>165.28</v>
      </c>
    </row>
    <row r="60" spans="1:6" x14ac:dyDescent="0.3">
      <c r="A60" s="328">
        <v>150000511</v>
      </c>
      <c r="B60" s="260" t="s">
        <v>249</v>
      </c>
      <c r="C60" s="30">
        <f>VLOOKUP($A60,'зарплата в цінах'!$A$2:$F$397,3)</f>
        <v>402.63</v>
      </c>
      <c r="D60" s="30">
        <f>VLOOKUP($A60,'зарплата в цінах'!$A$2:$F$397,4)</f>
        <v>77.2</v>
      </c>
      <c r="E60" s="30">
        <f>VLOOKUP($A60,'зарплата в цінах'!$A$2:$F$397,5)</f>
        <v>0</v>
      </c>
      <c r="F60" s="30">
        <f>VLOOKUP($A60,'зарплата в цінах'!$A$2:$F$397,6)</f>
        <v>233.1</v>
      </c>
    </row>
    <row r="61" spans="1:6" x14ac:dyDescent="0.3">
      <c r="A61" s="328">
        <v>150000512</v>
      </c>
      <c r="B61" s="260" t="s">
        <v>250</v>
      </c>
      <c r="C61" s="30">
        <f>VLOOKUP($A61,'зарплата в цінах'!$A$2:$F$397,3)</f>
        <v>179.84</v>
      </c>
      <c r="D61" s="30">
        <f>VLOOKUP($A61,'зарплата в цінах'!$A$2:$F$397,4)</f>
        <v>39.53</v>
      </c>
      <c r="E61" s="30">
        <f>VLOOKUP($A61,'зарплата в цінах'!$A$2:$F$397,5)</f>
        <v>0</v>
      </c>
      <c r="F61" s="30">
        <f>VLOOKUP($A61,'зарплата в цінах'!$A$2:$F$397,6)</f>
        <v>99.47</v>
      </c>
    </row>
    <row r="62" spans="1:6" x14ac:dyDescent="0.3">
      <c r="A62" s="328">
        <v>150000513</v>
      </c>
      <c r="B62" s="260" t="s">
        <v>333</v>
      </c>
      <c r="C62" s="30">
        <f>VLOOKUP($A62,'зарплата в цінах'!$A$2:$F$397,3)</f>
        <v>268.62</v>
      </c>
      <c r="D62" s="30">
        <f>VLOOKUP($A62,'зарплата в цінах'!$A$2:$F$397,4)</f>
        <v>54.67</v>
      </c>
      <c r="E62" s="30">
        <f>VLOOKUP($A62,'зарплата в цінах'!$A$2:$F$397,5)</f>
        <v>13.79</v>
      </c>
      <c r="F62" s="30">
        <f>VLOOKUP($A62,'зарплата в цінах'!$A$2:$F$397,6)</f>
        <v>123.8</v>
      </c>
    </row>
    <row r="63" spans="1:6" x14ac:dyDescent="0.3">
      <c r="A63" s="328">
        <v>150000538</v>
      </c>
      <c r="B63" s="260" t="s">
        <v>207</v>
      </c>
      <c r="C63" s="30">
        <f>VLOOKUP($A63,'зарплата в цінах'!$A$2:$F$397,3)</f>
        <v>155.51</v>
      </c>
      <c r="D63" s="30">
        <f>VLOOKUP($A63,'зарплата в цінах'!$A$2:$F$397,4)</f>
        <v>24.16</v>
      </c>
      <c r="E63" s="30">
        <f>VLOOKUP($A63,'зарплата в цінах'!$A$2:$F$397,5)</f>
        <v>0</v>
      </c>
      <c r="F63" s="30">
        <f>VLOOKUP($A63,'зарплата в цінах'!$A$2:$F$397,6)</f>
        <v>88.65</v>
      </c>
    </row>
    <row r="64" spans="1:6" x14ac:dyDescent="0.3">
      <c r="A64" s="328">
        <v>150000514</v>
      </c>
      <c r="B64" s="260" t="s">
        <v>151</v>
      </c>
      <c r="C64" s="30">
        <f>VLOOKUP($A64,'зарплата в цінах'!$A$2:$F$397,3)</f>
        <v>48.79</v>
      </c>
      <c r="D64" s="30">
        <f>VLOOKUP($A64,'зарплата в цінах'!$A$2:$F$397,4)</f>
        <v>9.68</v>
      </c>
      <c r="E64" s="30">
        <f>VLOOKUP($A64,'зарплата в цінах'!$A$2:$F$397,5)</f>
        <v>0</v>
      </c>
      <c r="F64" s="30">
        <f>VLOOKUP($A64,'зарплата в цінах'!$A$2:$F$397,6)</f>
        <v>28.65</v>
      </c>
    </row>
    <row r="65" spans="1:6" x14ac:dyDescent="0.3">
      <c r="A65" s="328">
        <v>150000515</v>
      </c>
      <c r="B65" s="434" t="s">
        <v>53</v>
      </c>
      <c r="C65" s="30">
        <f>VLOOKUP($A65,'зарплата в цінах'!$A$2:$F$397,3)</f>
        <v>0</v>
      </c>
      <c r="D65" s="30">
        <f>VLOOKUP($A65,'зарплата в цінах'!$A$2:$F$397,4)</f>
        <v>0</v>
      </c>
      <c r="E65" s="30">
        <f>VLOOKUP($A65,'зарплата в цінах'!$A$2:$F$397,5)</f>
        <v>0</v>
      </c>
      <c r="F65" s="30">
        <f>VLOOKUP($A65,'зарплата в цінах'!$A$2:$F$397,6)</f>
        <v>0</v>
      </c>
    </row>
    <row r="66" spans="1:6" x14ac:dyDescent="0.3">
      <c r="A66" s="328">
        <v>150000539</v>
      </c>
      <c r="B66" s="434" t="s">
        <v>54</v>
      </c>
      <c r="C66" s="30">
        <f>VLOOKUP($A66,'зарплата в цінах'!$A$2:$F$397,3)</f>
        <v>0</v>
      </c>
      <c r="D66" s="30">
        <f>VLOOKUP($A66,'зарплата в цінах'!$A$2:$F$397,4)</f>
        <v>0</v>
      </c>
      <c r="E66" s="30">
        <f>VLOOKUP($A66,'зарплата в цінах'!$A$2:$F$397,5)</f>
        <v>0</v>
      </c>
      <c r="F66" s="30">
        <f>VLOOKUP($A66,'зарплата в цінах'!$A$2:$F$397,6)</f>
        <v>0</v>
      </c>
    </row>
    <row r="67" spans="1:6" x14ac:dyDescent="0.3">
      <c r="A67" s="328">
        <v>150000516</v>
      </c>
      <c r="B67" s="434" t="s">
        <v>55</v>
      </c>
      <c r="C67" s="30">
        <f>VLOOKUP($A67,'зарплата в цінах'!$A$2:$F$397,3)</f>
        <v>0</v>
      </c>
      <c r="D67" s="30">
        <f>VLOOKUP($A67,'зарплата в цінах'!$A$2:$F$397,4)</f>
        <v>0</v>
      </c>
      <c r="E67" s="30">
        <f>VLOOKUP($A67,'зарплата в цінах'!$A$2:$F$397,5)</f>
        <v>0</v>
      </c>
      <c r="F67" s="30">
        <f>VLOOKUP($A67,'зарплата в цінах'!$A$2:$F$397,6)</f>
        <v>0</v>
      </c>
    </row>
    <row r="68" spans="1:6" x14ac:dyDescent="0.3">
      <c r="A68" s="328">
        <v>150000517</v>
      </c>
      <c r="B68" s="260" t="s">
        <v>251</v>
      </c>
      <c r="C68" s="30">
        <f>VLOOKUP($A68,'зарплата в цінах'!$A$2:$F$397,3)</f>
        <v>208.51</v>
      </c>
      <c r="D68" s="30">
        <f>VLOOKUP($A68,'зарплата в цінах'!$A$2:$F$397,4)</f>
        <v>39.42</v>
      </c>
      <c r="E68" s="30">
        <f>VLOOKUP($A68,'зарплата в цінах'!$A$2:$F$397,5)</f>
        <v>0</v>
      </c>
      <c r="F68" s="30">
        <f>VLOOKUP($A68,'зарплата в цінах'!$A$2:$F$397,6)</f>
        <v>93.09</v>
      </c>
    </row>
    <row r="69" spans="1:6" x14ac:dyDescent="0.3">
      <c r="A69" s="328">
        <v>150000518</v>
      </c>
      <c r="B69" s="260" t="s">
        <v>194</v>
      </c>
      <c r="C69" s="30">
        <f>VLOOKUP($A69,'зарплата в цінах'!$A$2:$F$397,3)</f>
        <v>119.86</v>
      </c>
      <c r="D69" s="30">
        <f>VLOOKUP($A69,'зарплата в цінах'!$A$2:$F$397,4)</f>
        <v>26.97</v>
      </c>
      <c r="E69" s="30">
        <f>VLOOKUP($A69,'зарплата в цінах'!$A$2:$F$397,5)</f>
        <v>0</v>
      </c>
      <c r="F69" s="30">
        <f>VLOOKUP($A69,'зарплата в цінах'!$A$2:$F$397,6)</f>
        <v>67.099999999999994</v>
      </c>
    </row>
    <row r="70" spans="1:6" x14ac:dyDescent="0.3">
      <c r="A70" s="328">
        <v>150000519</v>
      </c>
      <c r="B70" s="260" t="s">
        <v>412</v>
      </c>
      <c r="C70" s="30">
        <f>VLOOKUP($A70,'зарплата в цінах'!$A$2:$F$397,3)</f>
        <v>274.45</v>
      </c>
      <c r="D70" s="30">
        <f>VLOOKUP($A70,'зарплата в цінах'!$A$2:$F$397,4)</f>
        <v>43.6</v>
      </c>
      <c r="E70" s="30">
        <f>VLOOKUP($A70,'зарплата в цінах'!$A$2:$F$397,5)</f>
        <v>14.09</v>
      </c>
      <c r="F70" s="30">
        <f>VLOOKUP($A70,'зарплата в цінах'!$A$2:$F$397,6)</f>
        <v>95.38</v>
      </c>
    </row>
    <row r="71" spans="1:6" x14ac:dyDescent="0.3">
      <c r="A71" s="328">
        <v>150000521</v>
      </c>
      <c r="B71" s="260" t="s">
        <v>252</v>
      </c>
      <c r="C71" s="30">
        <f>VLOOKUP($A71,'зарплата в цінах'!$A$2:$F$397,3)</f>
        <v>182.45</v>
      </c>
      <c r="D71" s="30">
        <f>VLOOKUP($A71,'зарплата в цінах'!$A$2:$F$397,4)</f>
        <v>39.42</v>
      </c>
      <c r="E71" s="30">
        <f>VLOOKUP($A71,'зарплата в цінах'!$A$2:$F$397,5)</f>
        <v>0</v>
      </c>
      <c r="F71" s="30">
        <f>VLOOKUP($A71,'зарплата в цінах'!$A$2:$F$397,6)</f>
        <v>100.88</v>
      </c>
    </row>
    <row r="72" spans="1:6" x14ac:dyDescent="0.3">
      <c r="A72" s="328">
        <v>150000522</v>
      </c>
      <c r="B72" s="434" t="s">
        <v>56</v>
      </c>
      <c r="C72" s="30">
        <f>VLOOKUP($A72,'зарплата в цінах'!$A$2:$F$397,3)</f>
        <v>0</v>
      </c>
      <c r="D72" s="30">
        <f>VLOOKUP($A72,'зарплата в цінах'!$A$2:$F$397,4)</f>
        <v>0</v>
      </c>
      <c r="E72" s="30">
        <f>VLOOKUP($A72,'зарплата в цінах'!$A$2:$F$397,5)</f>
        <v>0</v>
      </c>
      <c r="F72" s="30">
        <f>VLOOKUP($A72,'зарплата в цінах'!$A$2:$F$397,6)</f>
        <v>0</v>
      </c>
    </row>
    <row r="73" spans="1:6" x14ac:dyDescent="0.3">
      <c r="A73" s="328">
        <v>150000523</v>
      </c>
      <c r="B73" s="434" t="s">
        <v>57</v>
      </c>
      <c r="C73" s="30">
        <f>VLOOKUP($A73,'зарплата в цінах'!$A$2:$F$397,3)</f>
        <v>0</v>
      </c>
      <c r="D73" s="30">
        <f>VLOOKUP($A73,'зарплата в цінах'!$A$2:$F$397,4)</f>
        <v>0</v>
      </c>
      <c r="E73" s="30">
        <f>VLOOKUP($A73,'зарплата в цінах'!$A$2:$F$397,5)</f>
        <v>0</v>
      </c>
      <c r="F73" s="30">
        <f>VLOOKUP($A73,'зарплата в цінах'!$A$2:$F$397,6)</f>
        <v>0</v>
      </c>
    </row>
    <row r="74" spans="1:6" x14ac:dyDescent="0.3">
      <c r="A74" s="328">
        <v>150000524</v>
      </c>
      <c r="B74" s="434" t="s">
        <v>58</v>
      </c>
      <c r="C74" s="30">
        <f>VLOOKUP($A74,'зарплата в цінах'!$A$2:$F$397,3)</f>
        <v>0</v>
      </c>
      <c r="D74" s="30">
        <f>VLOOKUP($A74,'зарплата в цінах'!$A$2:$F$397,4)</f>
        <v>0</v>
      </c>
      <c r="E74" s="30">
        <f>VLOOKUP($A74,'зарплата в цінах'!$A$2:$F$397,5)</f>
        <v>0</v>
      </c>
      <c r="F74" s="30">
        <f>VLOOKUP($A74,'зарплата в цінах'!$A$2:$F$397,6)</f>
        <v>0</v>
      </c>
    </row>
    <row r="75" spans="1:6" x14ac:dyDescent="0.3">
      <c r="A75" s="328">
        <v>150000541</v>
      </c>
      <c r="B75" s="434" t="s">
        <v>59</v>
      </c>
      <c r="C75" s="30">
        <f>VLOOKUP($A75,'зарплата в цінах'!$A$2:$F$397,3)</f>
        <v>0</v>
      </c>
      <c r="D75" s="30">
        <f>VLOOKUP($A75,'зарплата в цінах'!$A$2:$F$397,4)</f>
        <v>0</v>
      </c>
      <c r="E75" s="30">
        <f>VLOOKUP($A75,'зарплата в цінах'!$A$2:$F$397,5)</f>
        <v>0</v>
      </c>
      <c r="F75" s="30">
        <f>VLOOKUP($A75,'зарплата в цінах'!$A$2:$F$397,6)</f>
        <v>0</v>
      </c>
    </row>
    <row r="76" spans="1:6" x14ac:dyDescent="0.3">
      <c r="A76" s="328">
        <v>150000527</v>
      </c>
      <c r="B76" s="434" t="s">
        <v>60</v>
      </c>
      <c r="C76" s="30">
        <f>VLOOKUP($A76,'зарплата в цінах'!$A$2:$F$397,3)</f>
        <v>0</v>
      </c>
      <c r="D76" s="30">
        <f>VLOOKUP($A76,'зарплата в цінах'!$A$2:$F$397,4)</f>
        <v>0</v>
      </c>
      <c r="E76" s="30">
        <f>VLOOKUP($A76,'зарплата в цінах'!$A$2:$F$397,5)</f>
        <v>0</v>
      </c>
      <c r="F76" s="30">
        <f>VLOOKUP($A76,'зарплата в цінах'!$A$2:$F$397,6)</f>
        <v>0</v>
      </c>
    </row>
    <row r="77" spans="1:6" x14ac:dyDescent="0.3">
      <c r="A77" s="328">
        <v>150000542</v>
      </c>
      <c r="B77" s="434" t="s">
        <v>61</v>
      </c>
      <c r="C77" s="30">
        <f>VLOOKUP($A77,'зарплата в цінах'!$A$2:$F$397,3)</f>
        <v>0</v>
      </c>
      <c r="D77" s="30">
        <f>VLOOKUP($A77,'зарплата в цінах'!$A$2:$F$397,4)</f>
        <v>0</v>
      </c>
      <c r="E77" s="30">
        <f>VLOOKUP($A77,'зарплата в цінах'!$A$2:$F$397,5)</f>
        <v>0</v>
      </c>
      <c r="F77" s="30">
        <f>VLOOKUP($A77,'зарплата в цінах'!$A$2:$F$397,6)</f>
        <v>0</v>
      </c>
    </row>
    <row r="78" spans="1:6" x14ac:dyDescent="0.3">
      <c r="A78" s="328">
        <v>150000529</v>
      </c>
      <c r="B78" s="260" t="s">
        <v>347</v>
      </c>
      <c r="C78" s="30">
        <f>VLOOKUP($A78,'зарплата в цінах'!$A$2:$F$397,3)</f>
        <v>469.96</v>
      </c>
      <c r="D78" s="30">
        <f>VLOOKUP($A78,'зарплата в цінах'!$A$2:$F$397,4)</f>
        <v>79.569999999999993</v>
      </c>
      <c r="E78" s="30">
        <f>VLOOKUP($A78,'зарплата в цінах'!$A$2:$F$397,5)</f>
        <v>77.92</v>
      </c>
      <c r="F78" s="30">
        <f>VLOOKUP($A78,'зарплата в цінах'!$A$2:$F$397,6)</f>
        <v>620.69000000000005</v>
      </c>
    </row>
    <row r="79" spans="1:6" x14ac:dyDescent="0.3">
      <c r="A79" s="328">
        <v>150000530</v>
      </c>
      <c r="B79" s="434" t="s">
        <v>62</v>
      </c>
      <c r="C79" s="30">
        <f>VLOOKUP($A79,'зарплата в цінах'!$A$2:$F$397,3)</f>
        <v>0</v>
      </c>
      <c r="D79" s="30">
        <f>VLOOKUP($A79,'зарплата в цінах'!$A$2:$F$397,4)</f>
        <v>0</v>
      </c>
      <c r="E79" s="30">
        <f>VLOOKUP($A79,'зарплата в цінах'!$A$2:$F$397,5)</f>
        <v>0</v>
      </c>
      <c r="F79" s="30">
        <f>VLOOKUP($A79,'зарплата в цінах'!$A$2:$F$397,6)</f>
        <v>0</v>
      </c>
    </row>
    <row r="80" spans="1:6" x14ac:dyDescent="0.3">
      <c r="A80" s="328">
        <v>150000543</v>
      </c>
      <c r="B80" s="434" t="s">
        <v>63</v>
      </c>
      <c r="C80" s="30">
        <f>VLOOKUP($A80,'зарплата в цінах'!$A$2:$F$397,3)</f>
        <v>0</v>
      </c>
      <c r="D80" s="30">
        <f>VLOOKUP($A80,'зарплата в цінах'!$A$2:$F$397,4)</f>
        <v>0</v>
      </c>
      <c r="E80" s="30">
        <f>VLOOKUP($A80,'зарплата в цінах'!$A$2:$F$397,5)</f>
        <v>0</v>
      </c>
      <c r="F80" s="30">
        <f>VLOOKUP($A80,'зарплата в цінах'!$A$2:$F$397,6)</f>
        <v>0</v>
      </c>
    </row>
    <row r="81" spans="1:6" x14ac:dyDescent="0.3">
      <c r="A81" s="328">
        <v>150000544</v>
      </c>
      <c r="B81" s="434" t="s">
        <v>64</v>
      </c>
      <c r="C81" s="30">
        <f>VLOOKUP($A81,'зарплата в цінах'!$A$2:$F$397,3)</f>
        <v>0</v>
      </c>
      <c r="D81" s="30">
        <f>VLOOKUP($A81,'зарплата в цінах'!$A$2:$F$397,4)</f>
        <v>0</v>
      </c>
      <c r="E81" s="30">
        <f>VLOOKUP($A81,'зарплата в цінах'!$A$2:$F$397,5)</f>
        <v>0</v>
      </c>
      <c r="F81" s="30">
        <f>VLOOKUP($A81,'зарплата в цінах'!$A$2:$F$397,6)</f>
        <v>0</v>
      </c>
    </row>
    <row r="82" spans="1:6" x14ac:dyDescent="0.3">
      <c r="A82" s="328">
        <v>150000531</v>
      </c>
      <c r="B82" s="260" t="s">
        <v>348</v>
      </c>
      <c r="C82" s="30">
        <f>VLOOKUP($A82,'зарплата в цінах'!$A$2:$F$397,3)</f>
        <v>641.33000000000004</v>
      </c>
      <c r="D82" s="30">
        <f>VLOOKUP($A82,'зарплата в цінах'!$A$2:$F$397,4)</f>
        <v>106.93</v>
      </c>
      <c r="E82" s="30">
        <f>VLOOKUP($A82,'зарплата в цінах'!$A$2:$F$397,5)</f>
        <v>116.88</v>
      </c>
      <c r="F82" s="30">
        <f>VLOOKUP($A82,'зарплата в цінах'!$A$2:$F$397,6)</f>
        <v>483.03</v>
      </c>
    </row>
    <row r="83" spans="1:6" x14ac:dyDescent="0.3">
      <c r="A83" s="328">
        <v>150000532</v>
      </c>
      <c r="B83" s="260" t="s">
        <v>253</v>
      </c>
      <c r="C83" s="30">
        <f>VLOOKUP($A83,'зарплата в цінах'!$A$2:$F$397,3)</f>
        <v>269.06</v>
      </c>
      <c r="D83" s="30">
        <f>VLOOKUP($A83,'зарплата в цінах'!$A$2:$F$397,4)</f>
        <v>58.04</v>
      </c>
      <c r="E83" s="30">
        <f>VLOOKUP($A83,'зарплата в цінах'!$A$2:$F$397,5)</f>
        <v>17.98</v>
      </c>
      <c r="F83" s="30">
        <f>VLOOKUP($A83,'зарплата в цінах'!$A$2:$F$397,6)</f>
        <v>157.88999999999999</v>
      </c>
    </row>
    <row r="84" spans="1:6" x14ac:dyDescent="0.3">
      <c r="A84" s="328">
        <v>150000533</v>
      </c>
      <c r="B84" s="260" t="s">
        <v>349</v>
      </c>
      <c r="C84" s="30">
        <f>VLOOKUP($A84,'зарплата в цінах'!$A$2:$F$397,3)</f>
        <v>1046.07</v>
      </c>
      <c r="D84" s="30">
        <f>VLOOKUP($A84,'зарплата в цінах'!$A$2:$F$397,4)</f>
        <v>180.21</v>
      </c>
      <c r="E84" s="30">
        <f>VLOOKUP($A84,'зарплата в цінах'!$A$2:$F$397,5)</f>
        <v>194.8</v>
      </c>
      <c r="F84" s="30">
        <f>VLOOKUP($A84,'зарплата в цінах'!$A$2:$F$397,6)</f>
        <v>919.73</v>
      </c>
    </row>
    <row r="85" spans="1:6" x14ac:dyDescent="0.3">
      <c r="A85" s="328">
        <v>150000534</v>
      </c>
      <c r="B85" s="260" t="s">
        <v>254</v>
      </c>
      <c r="C85" s="30">
        <f>VLOOKUP($A85,'зарплата в цінах'!$A$2:$F$397,3)</f>
        <v>269.08</v>
      </c>
      <c r="D85" s="30">
        <f>VLOOKUP($A85,'зарплата в цінах'!$A$2:$F$397,4)</f>
        <v>58.04</v>
      </c>
      <c r="E85" s="30">
        <f>VLOOKUP($A85,'зарплата в цінах'!$A$2:$F$397,5)</f>
        <v>17.98</v>
      </c>
      <c r="F85" s="30">
        <f>VLOOKUP($A85,'зарплата в цінах'!$A$2:$F$397,6)</f>
        <v>157.88999999999999</v>
      </c>
    </row>
    <row r="86" spans="1:6" x14ac:dyDescent="0.3">
      <c r="A86" s="328">
        <v>150000535</v>
      </c>
      <c r="B86" s="260" t="s">
        <v>350</v>
      </c>
      <c r="C86" s="30">
        <f>VLOOKUP($A86,'зарплата в цінах'!$A$2:$F$397,3)</f>
        <v>1049.95</v>
      </c>
      <c r="D86" s="30">
        <f>VLOOKUP($A86,'зарплата в цінах'!$A$2:$F$397,4)</f>
        <v>180.21</v>
      </c>
      <c r="E86" s="30">
        <f>VLOOKUP($A86,'зарплата в цінах'!$A$2:$F$397,5)</f>
        <v>194.8</v>
      </c>
      <c r="F86" s="30">
        <f>VLOOKUP($A86,'зарплата в цінах'!$A$2:$F$397,6)</f>
        <v>919.73</v>
      </c>
    </row>
    <row r="87" spans="1:6" x14ac:dyDescent="0.3">
      <c r="A87" s="328">
        <v>150000645</v>
      </c>
      <c r="B87" s="434" t="s">
        <v>65</v>
      </c>
      <c r="C87" s="30">
        <f>VLOOKUP($A87,'зарплата в цінах'!$A$2:$F$397,3)</f>
        <v>0</v>
      </c>
      <c r="D87" s="30">
        <f>VLOOKUP($A87,'зарплата в цінах'!$A$2:$F$397,4)</f>
        <v>0</v>
      </c>
      <c r="E87" s="30">
        <f>VLOOKUP($A87,'зарплата в цінах'!$A$2:$F$397,5)</f>
        <v>0</v>
      </c>
      <c r="F87" s="30">
        <f>VLOOKUP($A87,'зарплата в цінах'!$A$2:$F$397,6)</f>
        <v>0</v>
      </c>
    </row>
    <row r="88" spans="1:6" x14ac:dyDescent="0.3">
      <c r="A88" s="328">
        <v>150000643</v>
      </c>
      <c r="B88" s="434" t="s">
        <v>66</v>
      </c>
      <c r="C88" s="30">
        <f>VLOOKUP($A88,'зарплата в цінах'!$A$2:$F$397,3)</f>
        <v>0</v>
      </c>
      <c r="D88" s="30">
        <f>VLOOKUP($A88,'зарплата в цінах'!$A$2:$F$397,4)</f>
        <v>0</v>
      </c>
      <c r="E88" s="30">
        <f>VLOOKUP($A88,'зарплата в цінах'!$A$2:$F$397,5)</f>
        <v>0</v>
      </c>
      <c r="F88" s="30">
        <f>VLOOKUP($A88,'зарплата в цінах'!$A$2:$F$397,6)</f>
        <v>0</v>
      </c>
    </row>
    <row r="89" spans="1:6" x14ac:dyDescent="0.3">
      <c r="A89" s="328">
        <v>150000644</v>
      </c>
      <c r="B89" s="434" t="s">
        <v>67</v>
      </c>
      <c r="C89" s="30">
        <f>VLOOKUP($A89,'зарплата в цінах'!$A$2:$F$397,3)</f>
        <v>0</v>
      </c>
      <c r="D89" s="30">
        <f>VLOOKUP($A89,'зарплата в цінах'!$A$2:$F$397,4)</f>
        <v>0</v>
      </c>
      <c r="E89" s="30">
        <f>VLOOKUP($A89,'зарплата в цінах'!$A$2:$F$397,5)</f>
        <v>0</v>
      </c>
      <c r="F89" s="30">
        <f>VLOOKUP($A89,'зарплата в цінах'!$A$2:$F$397,6)</f>
        <v>0</v>
      </c>
    </row>
    <row r="90" spans="1:6" x14ac:dyDescent="0.3">
      <c r="A90" s="328">
        <v>150000566</v>
      </c>
      <c r="B90" s="434" t="s">
        <v>68</v>
      </c>
      <c r="C90" s="30">
        <f>VLOOKUP($A90,'зарплата в цінах'!$A$2:$F$397,3)</f>
        <v>0</v>
      </c>
      <c r="D90" s="30">
        <f>VLOOKUP($A90,'зарплата в цінах'!$A$2:$F$397,4)</f>
        <v>0</v>
      </c>
      <c r="E90" s="30">
        <f>VLOOKUP($A90,'зарплата в цінах'!$A$2:$F$397,5)</f>
        <v>0</v>
      </c>
      <c r="F90" s="30">
        <f>VLOOKUP($A90,'зарплата в цінах'!$A$2:$F$397,6)</f>
        <v>0</v>
      </c>
    </row>
    <row r="91" spans="1:6" x14ac:dyDescent="0.3">
      <c r="A91" s="328">
        <v>150000571</v>
      </c>
      <c r="B91" s="434" t="s">
        <v>69</v>
      </c>
      <c r="C91" s="30">
        <f>VLOOKUP($A91,'зарплата в цінах'!$A$2:$F$397,3)</f>
        <v>0</v>
      </c>
      <c r="D91" s="30">
        <f>VLOOKUP($A91,'зарплата в цінах'!$A$2:$F$397,4)</f>
        <v>0</v>
      </c>
      <c r="E91" s="30">
        <f>VLOOKUP($A91,'зарплата в цінах'!$A$2:$F$397,5)</f>
        <v>0</v>
      </c>
      <c r="F91" s="30">
        <f>VLOOKUP($A91,'зарплата в цінах'!$A$2:$F$397,6)</f>
        <v>0</v>
      </c>
    </row>
    <row r="92" spans="1:6" x14ac:dyDescent="0.3">
      <c r="A92" s="328">
        <v>150000567</v>
      </c>
      <c r="B92" s="434" t="s">
        <v>70</v>
      </c>
      <c r="C92" s="30">
        <f>VLOOKUP($A92,'зарплата в цінах'!$A$2:$F$397,3)</f>
        <v>0</v>
      </c>
      <c r="D92" s="30">
        <f>VLOOKUP($A92,'зарплата в цінах'!$A$2:$F$397,4)</f>
        <v>0</v>
      </c>
      <c r="E92" s="30">
        <f>VLOOKUP($A92,'зарплата в цінах'!$A$2:$F$397,5)</f>
        <v>0</v>
      </c>
      <c r="F92" s="30">
        <f>VLOOKUP($A92,'зарплата в цінах'!$A$2:$F$397,6)</f>
        <v>0</v>
      </c>
    </row>
    <row r="93" spans="1:6" x14ac:dyDescent="0.3">
      <c r="A93" s="328">
        <v>150000561</v>
      </c>
      <c r="B93" s="434" t="s">
        <v>71</v>
      </c>
      <c r="C93" s="30">
        <f>VLOOKUP($A93,'зарплата в цінах'!$A$2:$F$397,3)</f>
        <v>0</v>
      </c>
      <c r="D93" s="30">
        <f>VLOOKUP($A93,'зарплата в цінах'!$A$2:$F$397,4)</f>
        <v>0</v>
      </c>
      <c r="E93" s="30">
        <f>VLOOKUP($A93,'зарплата в цінах'!$A$2:$F$397,5)</f>
        <v>0</v>
      </c>
      <c r="F93" s="30">
        <f>VLOOKUP($A93,'зарплата в цінах'!$A$2:$F$397,6)</f>
        <v>0</v>
      </c>
    </row>
    <row r="94" spans="1:6" x14ac:dyDescent="0.3">
      <c r="A94" s="328">
        <v>150000569</v>
      </c>
      <c r="B94" s="434" t="s">
        <v>72</v>
      </c>
      <c r="C94" s="30">
        <f>VLOOKUP($A94,'зарплата в цінах'!$A$2:$F$397,3)</f>
        <v>0</v>
      </c>
      <c r="D94" s="30">
        <f>VLOOKUP($A94,'зарплата в цінах'!$A$2:$F$397,4)</f>
        <v>0</v>
      </c>
      <c r="E94" s="30">
        <f>VLOOKUP($A94,'зарплата в цінах'!$A$2:$F$397,5)</f>
        <v>0</v>
      </c>
      <c r="F94" s="30">
        <f>VLOOKUP($A94,'зарплата в цінах'!$A$2:$F$397,6)</f>
        <v>0</v>
      </c>
    </row>
    <row r="95" spans="1:6" x14ac:dyDescent="0.3">
      <c r="A95" s="328">
        <v>150000562</v>
      </c>
      <c r="B95" s="434" t="s">
        <v>73</v>
      </c>
      <c r="C95" s="30">
        <f>VLOOKUP($A95,'зарплата в цінах'!$A$2:$F$397,3)</f>
        <v>0</v>
      </c>
      <c r="D95" s="30">
        <f>VLOOKUP($A95,'зарплата в цінах'!$A$2:$F$397,4)</f>
        <v>0</v>
      </c>
      <c r="E95" s="30">
        <f>VLOOKUP($A95,'зарплата в цінах'!$A$2:$F$397,5)</f>
        <v>0</v>
      </c>
      <c r="F95" s="30">
        <f>VLOOKUP($A95,'зарплата в цінах'!$A$2:$F$397,6)</f>
        <v>0</v>
      </c>
    </row>
    <row r="96" spans="1:6" x14ac:dyDescent="0.3">
      <c r="A96" s="328">
        <v>150000570</v>
      </c>
      <c r="B96" s="434" t="s">
        <v>74</v>
      </c>
      <c r="C96" s="30">
        <f>VLOOKUP($A96,'зарплата в цінах'!$A$2:$F$397,3)</f>
        <v>0</v>
      </c>
      <c r="D96" s="30">
        <f>VLOOKUP($A96,'зарплата в цінах'!$A$2:$F$397,4)</f>
        <v>0</v>
      </c>
      <c r="E96" s="30">
        <f>VLOOKUP($A96,'зарплата в цінах'!$A$2:$F$397,5)</f>
        <v>0</v>
      </c>
      <c r="F96" s="30">
        <f>VLOOKUP($A96,'зарплата в цінах'!$A$2:$F$397,6)</f>
        <v>0</v>
      </c>
    </row>
    <row r="97" spans="1:6" x14ac:dyDescent="0.3">
      <c r="A97" s="328">
        <v>150000572</v>
      </c>
      <c r="B97" s="260" t="s">
        <v>152</v>
      </c>
      <c r="C97" s="30">
        <f>VLOOKUP($A97,'зарплата в цінах'!$A$2:$F$397,3)</f>
        <v>36.22</v>
      </c>
      <c r="D97" s="30">
        <f>VLOOKUP($A97,'зарплата в цінах'!$A$2:$F$397,4)</f>
        <v>6.85</v>
      </c>
      <c r="E97" s="30">
        <f>VLOOKUP($A97,'зарплата в цінах'!$A$2:$F$397,5)</f>
        <v>0</v>
      </c>
      <c r="F97" s="30">
        <f>VLOOKUP($A97,'зарплата в цінах'!$A$2:$F$397,6)</f>
        <v>0.99</v>
      </c>
    </row>
    <row r="98" spans="1:6" x14ac:dyDescent="0.3">
      <c r="A98" s="328">
        <v>150000573</v>
      </c>
      <c r="B98" s="434" t="s">
        <v>75</v>
      </c>
      <c r="C98" s="30">
        <f>VLOOKUP($A98,'зарплата в цінах'!$A$2:$F$397,3)</f>
        <v>0</v>
      </c>
      <c r="D98" s="30">
        <f>VLOOKUP($A98,'зарплата в цінах'!$A$2:$F$397,4)</f>
        <v>0</v>
      </c>
      <c r="E98" s="30">
        <f>VLOOKUP($A98,'зарплата в цінах'!$A$2:$F$397,5)</f>
        <v>0</v>
      </c>
      <c r="F98" s="30">
        <f>VLOOKUP($A98,'зарплата в цінах'!$A$2:$F$397,6)</f>
        <v>0</v>
      </c>
    </row>
    <row r="99" spans="1:6" x14ac:dyDescent="0.3">
      <c r="A99" s="328">
        <v>150000658</v>
      </c>
      <c r="B99" s="260" t="s">
        <v>351</v>
      </c>
      <c r="C99" s="30">
        <f>VLOOKUP($A99,'зарплата в цінах'!$A$2:$F$397,3)</f>
        <v>526.03</v>
      </c>
      <c r="D99" s="30">
        <f>VLOOKUP($A99,'зарплата в цінах'!$A$2:$F$397,4)</f>
        <v>94.94</v>
      </c>
      <c r="E99" s="30">
        <f>VLOOKUP($A99,'зарплата в цінах'!$A$2:$F$397,5)</f>
        <v>26.37</v>
      </c>
      <c r="F99" s="30">
        <f>VLOOKUP($A99,'зарплата в цінах'!$A$2:$F$397,6)</f>
        <v>309.33999999999997</v>
      </c>
    </row>
    <row r="100" spans="1:6" x14ac:dyDescent="0.3">
      <c r="A100" s="328">
        <v>150000659</v>
      </c>
      <c r="B100" s="260" t="s">
        <v>413</v>
      </c>
      <c r="C100" s="30">
        <f>VLOOKUP($A100,'зарплата в цінах'!$A$2:$F$397,3)</f>
        <v>286.45999999999998</v>
      </c>
      <c r="D100" s="30">
        <f>VLOOKUP($A100,'зарплата в цінах'!$A$2:$F$397,4)</f>
        <v>51.38</v>
      </c>
      <c r="E100" s="30">
        <f>VLOOKUP($A100,'зарплата в цінах'!$A$2:$F$397,5)</f>
        <v>8.99</v>
      </c>
      <c r="F100" s="30">
        <f>VLOOKUP($A100,'зарплата в цінах'!$A$2:$F$397,6)</f>
        <v>94.84</v>
      </c>
    </row>
    <row r="101" spans="1:6" x14ac:dyDescent="0.3">
      <c r="A101" s="328">
        <v>150000660</v>
      </c>
      <c r="B101" s="260" t="s">
        <v>414</v>
      </c>
      <c r="C101" s="30">
        <f>VLOOKUP($A101,'зарплата в цінах'!$A$2:$F$397,3)</f>
        <v>516.29</v>
      </c>
      <c r="D101" s="30">
        <f>VLOOKUP($A101,'зарплата в цінах'!$A$2:$F$397,4)</f>
        <v>100.69</v>
      </c>
      <c r="E101" s="30">
        <f>VLOOKUP($A101,'зарплата в цінах'!$A$2:$F$397,5)</f>
        <v>28.17</v>
      </c>
      <c r="F101" s="30">
        <f>VLOOKUP($A101,'зарплата в цінах'!$A$2:$F$397,6)</f>
        <v>195.92</v>
      </c>
    </row>
    <row r="102" spans="1:6" x14ac:dyDescent="0.3">
      <c r="A102" s="328">
        <v>150000597</v>
      </c>
      <c r="B102" s="260" t="s">
        <v>352</v>
      </c>
      <c r="C102" s="30">
        <f>VLOOKUP($A102,'зарплата в цінах'!$A$2:$F$397,3)</f>
        <v>431.71</v>
      </c>
      <c r="D102" s="30">
        <f>VLOOKUP($A102,'зарплата в цінах'!$A$2:$F$397,4)</f>
        <v>73.790000000000006</v>
      </c>
      <c r="E102" s="30">
        <f>VLOOKUP($A102,'зарплата в цінах'!$A$2:$F$397,5)</f>
        <v>26.37</v>
      </c>
      <c r="F102" s="30">
        <f>VLOOKUP($A102,'зарплата в цінах'!$A$2:$F$397,6)</f>
        <v>306.10000000000002</v>
      </c>
    </row>
    <row r="103" spans="1:6" x14ac:dyDescent="0.3">
      <c r="A103" s="328">
        <v>150000598</v>
      </c>
      <c r="B103" s="434" t="s">
        <v>76</v>
      </c>
      <c r="C103" s="30">
        <f>VLOOKUP($A103,'зарплата в цінах'!$A$2:$F$397,3)</f>
        <v>5.03</v>
      </c>
      <c r="D103" s="30">
        <f>VLOOKUP($A103,'зарплата в цінах'!$A$2:$F$397,4)</f>
        <v>0</v>
      </c>
      <c r="E103" s="30">
        <f>VLOOKUP($A103,'зарплата в цінах'!$A$2:$F$397,5)</f>
        <v>0</v>
      </c>
      <c r="F103" s="30">
        <f>VLOOKUP($A103,'зарплата в цінах'!$A$2:$F$397,6)</f>
        <v>0</v>
      </c>
    </row>
    <row r="104" spans="1:6" x14ac:dyDescent="0.3">
      <c r="A104" s="328">
        <v>150000592</v>
      </c>
      <c r="B104" s="260" t="s">
        <v>353</v>
      </c>
      <c r="C104" s="30">
        <f>VLOOKUP($A104,'зарплата в цінах'!$A$2:$F$397,3)</f>
        <v>828.32</v>
      </c>
      <c r="D104" s="30">
        <f>VLOOKUP($A104,'зарплата в цінах'!$A$2:$F$397,4)</f>
        <v>139.26</v>
      </c>
      <c r="E104" s="30">
        <f>VLOOKUP($A104,'зарплата в цінах'!$A$2:$F$397,5)</f>
        <v>155.84</v>
      </c>
      <c r="F104" s="30">
        <f>VLOOKUP($A104,'зарплата в цінах'!$A$2:$F$397,6)</f>
        <v>673.5</v>
      </c>
    </row>
    <row r="105" spans="1:6" x14ac:dyDescent="0.3">
      <c r="A105" s="328">
        <v>150000599</v>
      </c>
      <c r="B105" s="434" t="s">
        <v>77</v>
      </c>
      <c r="C105" s="30">
        <f>VLOOKUP($A105,'зарплата в цінах'!$A$2:$F$397,3)</f>
        <v>0</v>
      </c>
      <c r="D105" s="30">
        <f>VLOOKUP($A105,'зарплата в цінах'!$A$2:$F$397,4)</f>
        <v>0</v>
      </c>
      <c r="E105" s="30">
        <f>VLOOKUP($A105,'зарплата в цінах'!$A$2:$F$397,5)</f>
        <v>0</v>
      </c>
      <c r="F105" s="30">
        <f>VLOOKUP($A105,'зарплата в цінах'!$A$2:$F$397,6)</f>
        <v>0</v>
      </c>
    </row>
    <row r="106" spans="1:6" x14ac:dyDescent="0.3">
      <c r="A106" s="328">
        <v>150000601</v>
      </c>
      <c r="B106" s="434" t="s">
        <v>78</v>
      </c>
      <c r="C106" s="30">
        <f>VLOOKUP($A106,'зарплата в цінах'!$A$2:$F$397,3)</f>
        <v>0</v>
      </c>
      <c r="D106" s="30">
        <f>VLOOKUP($A106,'зарплата в цінах'!$A$2:$F$397,4)</f>
        <v>0</v>
      </c>
      <c r="E106" s="30">
        <f>VLOOKUP($A106,'зарплата в цінах'!$A$2:$F$397,5)</f>
        <v>0</v>
      </c>
      <c r="F106" s="30">
        <f>VLOOKUP($A106,'зарплата в цінах'!$A$2:$F$397,6)</f>
        <v>0</v>
      </c>
    </row>
    <row r="107" spans="1:6" x14ac:dyDescent="0.3">
      <c r="A107" s="328">
        <v>150000593</v>
      </c>
      <c r="B107" s="260" t="s">
        <v>255</v>
      </c>
      <c r="C107" s="30">
        <f>VLOOKUP($A107,'зарплата в цінах'!$A$2:$F$397,3)</f>
        <v>206.64</v>
      </c>
      <c r="D107" s="30">
        <f>VLOOKUP($A107,'зарплата в цінах'!$A$2:$F$397,4)</f>
        <v>39.57</v>
      </c>
      <c r="E107" s="30">
        <f>VLOOKUP($A107,'зарплата в цінах'!$A$2:$F$397,5)</f>
        <v>0</v>
      </c>
      <c r="F107" s="30">
        <f>VLOOKUP($A107,'зарплата в цінах'!$A$2:$F$397,6)</f>
        <v>98.29</v>
      </c>
    </row>
    <row r="108" spans="1:6" x14ac:dyDescent="0.3">
      <c r="A108" s="328">
        <v>150000594</v>
      </c>
      <c r="B108" s="260" t="s">
        <v>354</v>
      </c>
      <c r="C108" s="30">
        <f>VLOOKUP($A108,'зарплата в цінах'!$A$2:$F$397,3)</f>
        <v>818.61</v>
      </c>
      <c r="D108" s="30">
        <f>VLOOKUP($A108,'зарплата в цінах'!$A$2:$F$397,4)</f>
        <v>139.26</v>
      </c>
      <c r="E108" s="30">
        <f>VLOOKUP($A108,'зарплата в цінах'!$A$2:$F$397,5)</f>
        <v>155.84</v>
      </c>
      <c r="F108" s="30">
        <f>VLOOKUP($A108,'зарплата в цінах'!$A$2:$F$397,6)</f>
        <v>673.5</v>
      </c>
    </row>
    <row r="109" spans="1:6" x14ac:dyDescent="0.3">
      <c r="A109" s="328">
        <v>150000834</v>
      </c>
      <c r="B109" s="434" t="s">
        <v>79</v>
      </c>
      <c r="C109" s="30">
        <f>VLOOKUP($A109,'зарплата в цінах'!$A$2:$F$397,3)</f>
        <v>0</v>
      </c>
      <c r="D109" s="30">
        <f>VLOOKUP($A109,'зарплата в цінах'!$A$2:$F$397,4)</f>
        <v>0</v>
      </c>
      <c r="E109" s="30">
        <f>VLOOKUP($A109,'зарплата в цінах'!$A$2:$F$397,5)</f>
        <v>0</v>
      </c>
      <c r="F109" s="30">
        <f>VLOOKUP($A109,'зарплата в цінах'!$A$2:$F$397,6)</f>
        <v>0</v>
      </c>
    </row>
    <row r="110" spans="1:6" x14ac:dyDescent="0.3">
      <c r="A110" s="328">
        <v>150000627</v>
      </c>
      <c r="B110" s="260" t="s">
        <v>355</v>
      </c>
      <c r="C110" s="30">
        <f>VLOOKUP($A110,'зарплата в цінах'!$A$2:$F$397,3)</f>
        <v>330.87</v>
      </c>
      <c r="D110" s="30">
        <f>VLOOKUP($A110,'зарплата в цінах'!$A$2:$F$397,4)</f>
        <v>67.03</v>
      </c>
      <c r="E110" s="30">
        <f>VLOOKUP($A110,'зарплата в цінах'!$A$2:$F$397,5)</f>
        <v>26.37</v>
      </c>
      <c r="F110" s="30">
        <f>VLOOKUP($A110,'зарплата в цінах'!$A$2:$F$397,6)</f>
        <v>237.95</v>
      </c>
    </row>
    <row r="111" spans="1:6" x14ac:dyDescent="0.3">
      <c r="A111" s="328">
        <v>150000628</v>
      </c>
      <c r="B111" s="260" t="s">
        <v>356</v>
      </c>
      <c r="C111" s="30">
        <f>VLOOKUP($A111,'зарплата в цінах'!$A$2:$F$397,3)</f>
        <v>525.76</v>
      </c>
      <c r="D111" s="30">
        <f>VLOOKUP($A111,'зарплата в цінах'!$A$2:$F$397,4)</f>
        <v>81.77</v>
      </c>
      <c r="E111" s="30">
        <f>VLOOKUP($A111,'зарплата в цінах'!$A$2:$F$397,5)</f>
        <v>26.37</v>
      </c>
      <c r="F111" s="30">
        <f>VLOOKUP($A111,'зарплата в цінах'!$A$2:$F$397,6)</f>
        <v>189.02</v>
      </c>
    </row>
    <row r="112" spans="1:6" x14ac:dyDescent="0.3">
      <c r="A112" s="328">
        <v>150000625</v>
      </c>
      <c r="B112" s="260" t="s">
        <v>415</v>
      </c>
      <c r="C112" s="30">
        <f>VLOOKUP($A112,'зарплата в цінах'!$A$2:$F$397,3)</f>
        <v>573.45000000000005</v>
      </c>
      <c r="D112" s="30">
        <f>VLOOKUP($A112,'зарплата в цінах'!$A$2:$F$397,4)</f>
        <v>89.41</v>
      </c>
      <c r="E112" s="30">
        <f>VLOOKUP($A112,'зарплата в цінах'!$A$2:$F$397,5)</f>
        <v>28.17</v>
      </c>
      <c r="F112" s="30">
        <f>VLOOKUP($A112,'зарплата в цінах'!$A$2:$F$397,6)</f>
        <v>207.62</v>
      </c>
    </row>
    <row r="113" spans="1:6" x14ac:dyDescent="0.3">
      <c r="A113" s="328">
        <v>150000629</v>
      </c>
      <c r="B113" s="260" t="s">
        <v>357</v>
      </c>
      <c r="C113" s="30">
        <f>VLOOKUP($A113,'зарплата в цінах'!$A$2:$F$397,3)</f>
        <v>807.59</v>
      </c>
      <c r="D113" s="30">
        <f>VLOOKUP($A113,'зарплата в цінах'!$A$2:$F$397,4)</f>
        <v>135.28</v>
      </c>
      <c r="E113" s="30">
        <f>VLOOKUP($A113,'зарплата в цінах'!$A$2:$F$397,5)</f>
        <v>155.84</v>
      </c>
      <c r="F113" s="30">
        <f>VLOOKUP($A113,'зарплата в цінах'!$A$2:$F$397,6)</f>
        <v>610.46</v>
      </c>
    </row>
    <row r="114" spans="1:6" x14ac:dyDescent="0.3">
      <c r="A114" s="328">
        <v>150000626</v>
      </c>
      <c r="B114" s="260" t="s">
        <v>358</v>
      </c>
      <c r="C114" s="30">
        <f>VLOOKUP($A114,'зарплата в цінах'!$A$2:$F$397,3)</f>
        <v>655.55</v>
      </c>
      <c r="D114" s="30">
        <f>VLOOKUP($A114,'зарплата в цінах'!$A$2:$F$397,4)</f>
        <v>133.35</v>
      </c>
      <c r="E114" s="30">
        <f>VLOOKUP($A114,'зарплата в цінах'!$A$2:$F$397,5)</f>
        <v>77.92</v>
      </c>
      <c r="F114" s="30">
        <f>VLOOKUP($A114,'зарплата в цінах'!$A$2:$F$397,6)</f>
        <v>545.04</v>
      </c>
    </row>
    <row r="115" spans="1:6" x14ac:dyDescent="0.3">
      <c r="A115" s="328">
        <v>150000603</v>
      </c>
      <c r="B115" s="260" t="s">
        <v>153</v>
      </c>
      <c r="C115" s="30">
        <f>VLOOKUP($A115,'зарплата в цінах'!$A$2:$F$397,3)</f>
        <v>65.55</v>
      </c>
      <c r="D115" s="30">
        <f>VLOOKUP($A115,'зарплата в цінах'!$A$2:$F$397,4)</f>
        <v>11.83</v>
      </c>
      <c r="E115" s="30">
        <f>VLOOKUP($A115,'зарплата в цінах'!$A$2:$F$397,5)</f>
        <v>0</v>
      </c>
      <c r="F115" s="30">
        <f>VLOOKUP($A115,'зарплата в цінах'!$A$2:$F$397,6)</f>
        <v>28.83</v>
      </c>
    </row>
    <row r="116" spans="1:6" x14ac:dyDescent="0.3">
      <c r="A116" s="328">
        <v>150001562</v>
      </c>
      <c r="B116" s="260" t="s">
        <v>208</v>
      </c>
      <c r="C116" s="30">
        <f>VLOOKUP($A116,'зарплата в цінах'!$A$2:$F$397,3)</f>
        <v>299.58</v>
      </c>
      <c r="D116" s="30">
        <f>VLOOKUP($A116,'зарплата в цінах'!$A$2:$F$397,4)</f>
        <v>31.84</v>
      </c>
      <c r="E116" s="30">
        <f>VLOOKUP($A116,'зарплата в цінах'!$A$2:$F$397,5)</f>
        <v>0</v>
      </c>
      <c r="F116" s="30">
        <f>VLOOKUP($A116,'зарплата в цінах'!$A$2:$F$397,6)</f>
        <v>83.71</v>
      </c>
    </row>
    <row r="117" spans="1:6" x14ac:dyDescent="0.3">
      <c r="A117" s="328">
        <v>150000604</v>
      </c>
      <c r="B117" s="260" t="s">
        <v>154</v>
      </c>
      <c r="C117" s="30">
        <f>VLOOKUP($A117,'зарплата в цінах'!$A$2:$F$397,3)</f>
        <v>65.06</v>
      </c>
      <c r="D117" s="30">
        <f>VLOOKUP($A117,'зарплата в цінах'!$A$2:$F$397,4)</f>
        <v>11.67</v>
      </c>
      <c r="E117" s="30">
        <f>VLOOKUP($A117,'зарплата в цінах'!$A$2:$F$397,5)</f>
        <v>0</v>
      </c>
      <c r="F117" s="30">
        <f>VLOOKUP($A117,'зарплата в цінах'!$A$2:$F$397,6)</f>
        <v>28.77</v>
      </c>
    </row>
    <row r="118" spans="1:6" x14ac:dyDescent="0.3">
      <c r="A118" s="328">
        <v>150000605</v>
      </c>
      <c r="B118" s="260" t="s">
        <v>155</v>
      </c>
      <c r="C118" s="30">
        <f>VLOOKUP($A118,'зарплата в цінах'!$A$2:$F$397,3)</f>
        <v>33.634999999999998</v>
      </c>
      <c r="D118" s="30">
        <f>VLOOKUP($A118,'зарплата в цінах'!$A$2:$F$397,4)</f>
        <v>13.82</v>
      </c>
      <c r="E118" s="30">
        <f>VLOOKUP($A118,'зарплата в цінах'!$A$2:$F$397,5)</f>
        <v>0</v>
      </c>
      <c r="F118" s="30">
        <f>VLOOKUP($A118,'зарплата в цінах'!$A$2:$F$397,6)</f>
        <v>12.33</v>
      </c>
    </row>
    <row r="119" spans="1:6" x14ac:dyDescent="0.3">
      <c r="A119" s="328">
        <v>150000606</v>
      </c>
      <c r="B119" s="260" t="s">
        <v>156</v>
      </c>
      <c r="C119" s="30">
        <f>VLOOKUP($A119,'зарплата в цінах'!$A$2:$F$397,3)</f>
        <v>68.73</v>
      </c>
      <c r="D119" s="30">
        <f>VLOOKUP($A119,'зарплата в цінах'!$A$2:$F$397,4)</f>
        <v>24.87</v>
      </c>
      <c r="E119" s="30">
        <f>VLOOKUP($A119,'зарплата в цінах'!$A$2:$F$397,5)</f>
        <v>0</v>
      </c>
      <c r="F119" s="30">
        <f>VLOOKUP($A119,'зарплата в цінах'!$A$2:$F$397,6)</f>
        <v>24.734999999999999</v>
      </c>
    </row>
    <row r="120" spans="1:6" x14ac:dyDescent="0.3">
      <c r="A120" s="328">
        <v>150000607</v>
      </c>
      <c r="B120" s="260" t="s">
        <v>157</v>
      </c>
      <c r="C120" s="30">
        <f>VLOOKUP($A120,'зарплата в цінах'!$A$2:$F$397,3)</f>
        <v>143.61000000000001</v>
      </c>
      <c r="D120" s="30">
        <f>VLOOKUP($A120,'зарплата в цінах'!$A$2:$F$397,4)</f>
        <v>29.85</v>
      </c>
      <c r="E120" s="30">
        <f>VLOOKUP($A120,'зарплата в цінах'!$A$2:$F$397,5)</f>
        <v>0</v>
      </c>
      <c r="F120" s="30">
        <f>VLOOKUP($A120,'зарплата в цінах'!$A$2:$F$397,6)</f>
        <v>49.47</v>
      </c>
    </row>
    <row r="121" spans="1:6" x14ac:dyDescent="0.3">
      <c r="A121" s="328">
        <v>150000608</v>
      </c>
      <c r="B121" s="260" t="s">
        <v>158</v>
      </c>
      <c r="C121" s="30">
        <f>VLOOKUP($A121,'зарплата в цінах'!$A$2:$F$397,3)</f>
        <v>108.38</v>
      </c>
      <c r="D121" s="30">
        <f>VLOOKUP($A121,'зарплата в цінах'!$A$2:$F$397,4)</f>
        <v>24.98</v>
      </c>
      <c r="E121" s="30">
        <f>VLOOKUP($A121,'зарплата в цінах'!$A$2:$F$397,5)</f>
        <v>0</v>
      </c>
      <c r="F121" s="30">
        <f>VLOOKUP($A121,'зарплата в цінах'!$A$2:$F$397,6)</f>
        <v>36.61</v>
      </c>
    </row>
    <row r="122" spans="1:6" x14ac:dyDescent="0.3">
      <c r="A122" s="328">
        <v>150000609</v>
      </c>
      <c r="B122" s="260" t="s">
        <v>159</v>
      </c>
      <c r="C122" s="30">
        <f>VLOOKUP($A122,'зарплата в цінах'!$A$2:$F$397,3)</f>
        <v>68.92</v>
      </c>
      <c r="D122" s="30">
        <f>VLOOKUP($A122,'зарплата в цінах'!$A$2:$F$397,4)</f>
        <v>23.99</v>
      </c>
      <c r="E122" s="30">
        <f>VLOOKUP($A122,'зарплата в цінах'!$A$2:$F$397,5)</f>
        <v>0</v>
      </c>
      <c r="F122" s="30">
        <f>VLOOKUP($A122,'зарплата в цінах'!$A$2:$F$397,6)</f>
        <v>36.61</v>
      </c>
    </row>
    <row r="123" spans="1:6" x14ac:dyDescent="0.3">
      <c r="A123" s="328">
        <v>150000610</v>
      </c>
      <c r="B123" s="260" t="s">
        <v>160</v>
      </c>
      <c r="C123" s="30">
        <f>VLOOKUP($A123,'зарплата в цінах'!$A$2:$F$397,3)</f>
        <v>31.589999999999996</v>
      </c>
      <c r="D123" s="30">
        <f>VLOOKUP($A123,'зарплата в цінах'!$A$2:$F$397,4)</f>
        <v>20.010000000000002</v>
      </c>
      <c r="E123" s="30">
        <f>VLOOKUP($A123,'зарплата в цінах'!$A$2:$F$397,5)</f>
        <v>0</v>
      </c>
      <c r="F123" s="30">
        <f>VLOOKUP($A123,'зарплата в цінах'!$A$2:$F$397,6)</f>
        <v>18.02</v>
      </c>
    </row>
    <row r="124" spans="1:6" x14ac:dyDescent="0.3">
      <c r="A124" s="328">
        <v>150000611</v>
      </c>
      <c r="B124" s="260" t="s">
        <v>195</v>
      </c>
      <c r="C124" s="30">
        <f>VLOOKUP($A124,'зарплата в цінах'!$A$2:$F$397,3)</f>
        <v>152.22</v>
      </c>
      <c r="D124" s="30">
        <f>VLOOKUP($A124,'зарплата в цінах'!$A$2:$F$397,4)</f>
        <v>33.01</v>
      </c>
      <c r="E124" s="30">
        <f>VLOOKUP($A124,'зарплата в цінах'!$A$2:$F$397,5)</f>
        <v>0</v>
      </c>
      <c r="F124" s="30">
        <f>VLOOKUP($A124,'зарплата в цінах'!$A$2:$F$397,6)</f>
        <v>59.15</v>
      </c>
    </row>
    <row r="125" spans="1:6" x14ac:dyDescent="0.3">
      <c r="A125" s="328">
        <v>150000623</v>
      </c>
      <c r="B125" s="260" t="s">
        <v>209</v>
      </c>
      <c r="C125" s="30">
        <f>VLOOKUP($A125,'зарплата в цінах'!$A$2:$F$397,3)</f>
        <v>178.06</v>
      </c>
      <c r="D125" s="30">
        <f>VLOOKUP($A125,'зарплата в цінах'!$A$2:$F$397,4)</f>
        <v>31.62</v>
      </c>
      <c r="E125" s="30">
        <f>VLOOKUP($A125,'зарплата в цінах'!$A$2:$F$397,5)</f>
        <v>0</v>
      </c>
      <c r="F125" s="30">
        <f>VLOOKUP($A125,'зарплата в цінах'!$A$2:$F$397,6)</f>
        <v>88.33</v>
      </c>
    </row>
    <row r="126" spans="1:6" x14ac:dyDescent="0.3">
      <c r="A126" s="328">
        <v>150000612</v>
      </c>
      <c r="B126" s="260" t="s">
        <v>161</v>
      </c>
      <c r="C126" s="30">
        <f>VLOOKUP($A126,'зарплата в цінах'!$A$2:$F$397,3)</f>
        <v>59.39</v>
      </c>
      <c r="D126" s="30">
        <f>VLOOKUP($A126,'зарплата в цінах'!$A$2:$F$397,4)</f>
        <v>23.32</v>
      </c>
      <c r="E126" s="30">
        <f>VLOOKUP($A126,'зарплата в цінах'!$A$2:$F$397,5)</f>
        <v>0</v>
      </c>
      <c r="F126" s="30">
        <f>VLOOKUP($A126,'зарплата в цінах'!$A$2:$F$397,6)</f>
        <v>36.61</v>
      </c>
    </row>
    <row r="127" spans="1:6" x14ac:dyDescent="0.3">
      <c r="A127" s="328">
        <v>150000613</v>
      </c>
      <c r="B127" s="260" t="s">
        <v>210</v>
      </c>
      <c r="C127" s="30">
        <f>VLOOKUP($A127,'зарплата в цінах'!$A$2:$F$397,3)</f>
        <v>171.21</v>
      </c>
      <c r="D127" s="30">
        <f>VLOOKUP($A127,'зарплата в цінах'!$A$2:$F$397,4)</f>
        <v>31.46</v>
      </c>
      <c r="E127" s="30">
        <f>VLOOKUP($A127,'зарплата в цінах'!$A$2:$F$397,5)</f>
        <v>0</v>
      </c>
      <c r="F127" s="30">
        <f>VLOOKUP($A127,'зарплата в цінах'!$A$2:$F$397,6)</f>
        <v>89.12</v>
      </c>
    </row>
    <row r="128" spans="1:6" x14ac:dyDescent="0.3">
      <c r="A128" s="328">
        <v>150000614</v>
      </c>
      <c r="B128" s="260" t="s">
        <v>162</v>
      </c>
      <c r="C128" s="30">
        <f>VLOOKUP($A128,'зарплата в цінах'!$A$2:$F$397,3)</f>
        <v>51.92</v>
      </c>
      <c r="D128" s="30">
        <f>VLOOKUP($A128,'зарплата в цінах'!$A$2:$F$397,4)</f>
        <v>18.53</v>
      </c>
      <c r="E128" s="30">
        <f>VLOOKUP($A128,'зарплата в цінах'!$A$2:$F$397,5)</f>
        <v>0</v>
      </c>
      <c r="F128" s="30">
        <f>VLOOKUP($A128,'зарплата в цінах'!$A$2:$F$397,6)</f>
        <v>28.215</v>
      </c>
    </row>
    <row r="129" spans="1:6" x14ac:dyDescent="0.3">
      <c r="A129" s="328">
        <v>150000615</v>
      </c>
      <c r="B129" s="260" t="s">
        <v>256</v>
      </c>
      <c r="C129" s="30">
        <f>VLOOKUP($A129,'зарплата в цінах'!$A$2:$F$397,3)</f>
        <v>304.56</v>
      </c>
      <c r="D129" s="30">
        <f>VLOOKUP($A129,'зарплата в цінах'!$A$2:$F$397,4)</f>
        <v>58.37</v>
      </c>
      <c r="E129" s="30">
        <f>VLOOKUP($A129,'зарплата в цінах'!$A$2:$F$397,5)</f>
        <v>0</v>
      </c>
      <c r="F129" s="30">
        <f>VLOOKUP($A129,'зарплата в цінах'!$A$2:$F$397,6)</f>
        <v>157.76</v>
      </c>
    </row>
    <row r="130" spans="1:6" x14ac:dyDescent="0.3">
      <c r="A130" s="328">
        <v>150000616</v>
      </c>
      <c r="B130" s="260" t="s">
        <v>257</v>
      </c>
      <c r="C130" s="30">
        <f>VLOOKUP($A130,'зарплата в цінах'!$A$2:$F$397,3)</f>
        <v>205.67</v>
      </c>
      <c r="D130" s="30">
        <f>VLOOKUP($A130,'зарплата в цінах'!$A$2:$F$397,4)</f>
        <v>39.42</v>
      </c>
      <c r="E130" s="30">
        <f>VLOOKUP($A130,'зарплата в цінах'!$A$2:$F$397,5)</f>
        <v>0</v>
      </c>
      <c r="F130" s="30">
        <f>VLOOKUP($A130,'зарплата в цінах'!$A$2:$F$397,6)</f>
        <v>99.48</v>
      </c>
    </row>
    <row r="131" spans="1:6" x14ac:dyDescent="0.3">
      <c r="A131" s="328">
        <v>150000618</v>
      </c>
      <c r="B131" s="260" t="s">
        <v>416</v>
      </c>
      <c r="C131" s="30">
        <f>VLOOKUP($A131,'зарплата в цінах'!$A$2:$F$397,3)</f>
        <v>273.3</v>
      </c>
      <c r="D131" s="30">
        <f>VLOOKUP($A131,'зарплата в цінах'!$A$2:$F$397,4)</f>
        <v>43.12</v>
      </c>
      <c r="E131" s="30">
        <f>VLOOKUP($A131,'зарплата в цінах'!$A$2:$F$397,5)</f>
        <v>14.09</v>
      </c>
      <c r="F131" s="30">
        <f>VLOOKUP($A131,'зарплата в цінах'!$A$2:$F$397,6)</f>
        <v>99.83</v>
      </c>
    </row>
    <row r="132" spans="1:6" x14ac:dyDescent="0.3">
      <c r="A132" s="328">
        <v>150000619</v>
      </c>
      <c r="B132" s="260" t="s">
        <v>359</v>
      </c>
      <c r="C132" s="30">
        <f>VLOOKUP($A132,'зарплата в цінах'!$A$2:$F$397,3)</f>
        <v>526.1</v>
      </c>
      <c r="D132" s="30">
        <f>VLOOKUP($A132,'зарплата в цінах'!$A$2:$F$397,4)</f>
        <v>81.08</v>
      </c>
      <c r="E132" s="30">
        <f>VLOOKUP($A132,'зарплата в цінах'!$A$2:$F$397,5)</f>
        <v>26.37</v>
      </c>
      <c r="F132" s="30">
        <f>VLOOKUP($A132,'зарплата в цінах'!$A$2:$F$397,6)</f>
        <v>184.93</v>
      </c>
    </row>
    <row r="133" spans="1:6" x14ac:dyDescent="0.3">
      <c r="A133" s="328">
        <v>150000621</v>
      </c>
      <c r="B133" s="434" t="s">
        <v>80</v>
      </c>
      <c r="C133" s="30">
        <f>VLOOKUP($A133,'зарплата в цінах'!$A$2:$F$397,3)</f>
        <v>0</v>
      </c>
      <c r="D133" s="30">
        <f>VLOOKUP($A133,'зарплата в цінах'!$A$2:$F$397,4)</f>
        <v>0</v>
      </c>
      <c r="E133" s="30">
        <f>VLOOKUP($A133,'зарплата в цінах'!$A$2:$F$397,5)</f>
        <v>0</v>
      </c>
      <c r="F133" s="30">
        <f>VLOOKUP($A133,'зарплата в цінах'!$A$2:$F$397,6)</f>
        <v>0</v>
      </c>
    </row>
    <row r="134" spans="1:6" x14ac:dyDescent="0.3">
      <c r="A134" s="328">
        <v>150000622</v>
      </c>
      <c r="B134" s="434" t="s">
        <v>81</v>
      </c>
      <c r="C134" s="30">
        <f>VLOOKUP($A134,'зарплата в цінах'!$A$2:$F$397,3)</f>
        <v>0</v>
      </c>
      <c r="D134" s="30">
        <f>VLOOKUP($A134,'зарплата в цінах'!$A$2:$F$397,4)</f>
        <v>0</v>
      </c>
      <c r="E134" s="30">
        <f>VLOOKUP($A134,'зарплата в цінах'!$A$2:$F$397,5)</f>
        <v>0</v>
      </c>
      <c r="F134" s="30">
        <f>VLOOKUP($A134,'зарплата в цінах'!$A$2:$F$397,6)</f>
        <v>0</v>
      </c>
    </row>
    <row r="135" spans="1:6" x14ac:dyDescent="0.3">
      <c r="A135" s="328">
        <v>150000587</v>
      </c>
      <c r="B135" s="434" t="s">
        <v>82</v>
      </c>
      <c r="C135" s="30">
        <f>VLOOKUP($A135,'зарплата в цінах'!$A$2:$F$397,3)</f>
        <v>0</v>
      </c>
      <c r="D135" s="30">
        <f>VLOOKUP($A135,'зарплата в цінах'!$A$2:$F$397,4)</f>
        <v>0</v>
      </c>
      <c r="E135" s="30">
        <f>VLOOKUP($A135,'зарплата в цінах'!$A$2:$F$397,5)</f>
        <v>0</v>
      </c>
      <c r="F135" s="30">
        <f>VLOOKUP($A135,'зарплата в цінах'!$A$2:$F$397,6)</f>
        <v>0</v>
      </c>
    </row>
    <row r="136" spans="1:6" x14ac:dyDescent="0.3">
      <c r="A136" s="328">
        <v>150000590</v>
      </c>
      <c r="B136" s="260" t="s">
        <v>163</v>
      </c>
      <c r="C136" s="30">
        <f>VLOOKUP($A136,'зарплата в цінах'!$A$2:$F$397,3)</f>
        <v>69.58</v>
      </c>
      <c r="D136" s="30">
        <f>VLOOKUP($A136,'зарплата в цінах'!$A$2:$F$397,4)</f>
        <v>14.19</v>
      </c>
      <c r="E136" s="30">
        <f>VLOOKUP($A136,'зарплата в цінах'!$A$2:$F$397,5)</f>
        <v>0</v>
      </c>
      <c r="F136" s="30">
        <f>VLOOKUP($A136,'зарплата в цінах'!$A$2:$F$397,6)</f>
        <v>21.41</v>
      </c>
    </row>
    <row r="137" spans="1:6" x14ac:dyDescent="0.3">
      <c r="A137" s="328">
        <v>150000578</v>
      </c>
      <c r="B137" s="434" t="s">
        <v>83</v>
      </c>
      <c r="C137" s="30">
        <f>VLOOKUP($A137,'зарплата в цінах'!$A$2:$F$397,3)</f>
        <v>0</v>
      </c>
      <c r="D137" s="30">
        <f>VLOOKUP($A137,'зарплата в цінах'!$A$2:$F$397,4)</f>
        <v>0</v>
      </c>
      <c r="E137" s="30">
        <f>VLOOKUP($A137,'зарплата в цінах'!$A$2:$F$397,5)</f>
        <v>0</v>
      </c>
      <c r="F137" s="30">
        <f>VLOOKUP($A137,'зарплата в цінах'!$A$2:$F$397,6)</f>
        <v>0</v>
      </c>
    </row>
    <row r="138" spans="1:6" x14ac:dyDescent="0.3">
      <c r="A138" s="328">
        <v>150000580</v>
      </c>
      <c r="B138" s="434" t="s">
        <v>84</v>
      </c>
      <c r="C138" s="30">
        <f>VLOOKUP($A138,'зарплата в цінах'!$A$2:$F$397,3)</f>
        <v>0</v>
      </c>
      <c r="D138" s="30">
        <f>VLOOKUP($A138,'зарплата в цінах'!$A$2:$F$397,4)</f>
        <v>0</v>
      </c>
      <c r="E138" s="30">
        <f>VLOOKUP($A138,'зарплата в цінах'!$A$2:$F$397,5)</f>
        <v>0</v>
      </c>
      <c r="F138" s="30">
        <f>VLOOKUP($A138,'зарплата в цінах'!$A$2:$F$397,6)</f>
        <v>0</v>
      </c>
    </row>
    <row r="139" spans="1:6" x14ac:dyDescent="0.3">
      <c r="A139" s="328">
        <v>150001054</v>
      </c>
      <c r="B139" s="434" t="s">
        <v>85</v>
      </c>
      <c r="C139" s="30">
        <f>VLOOKUP($A139,'зарплата в цінах'!$A$2:$F$397,3)</f>
        <v>0</v>
      </c>
      <c r="D139" s="30">
        <f>VLOOKUP($A139,'зарплата в цінах'!$A$2:$F$397,4)</f>
        <v>0</v>
      </c>
      <c r="E139" s="30">
        <f>VLOOKUP($A139,'зарплата в цінах'!$A$2:$F$397,5)</f>
        <v>0</v>
      </c>
      <c r="F139" s="30">
        <f>VLOOKUP($A139,'зарплата в цінах'!$A$2:$F$397,6)</f>
        <v>0</v>
      </c>
    </row>
    <row r="140" spans="1:6" x14ac:dyDescent="0.3">
      <c r="A140" s="328">
        <v>150000634</v>
      </c>
      <c r="B140" s="434" t="s">
        <v>86</v>
      </c>
      <c r="C140" s="30">
        <f>VLOOKUP($A140,'зарплата в цінах'!$A$2:$F$397,3)</f>
        <v>0</v>
      </c>
      <c r="D140" s="30">
        <f>VLOOKUP($A140,'зарплата в цінах'!$A$2:$F$397,4)</f>
        <v>0</v>
      </c>
      <c r="E140" s="30">
        <f>VLOOKUP($A140,'зарплата в цінах'!$A$2:$F$397,5)</f>
        <v>0</v>
      </c>
      <c r="F140" s="30">
        <f>VLOOKUP($A140,'зарплата в цінах'!$A$2:$F$397,6)</f>
        <v>0</v>
      </c>
    </row>
    <row r="141" spans="1:6" x14ac:dyDescent="0.3">
      <c r="A141" s="328">
        <v>150000636</v>
      </c>
      <c r="B141" s="260" t="s">
        <v>258</v>
      </c>
      <c r="C141" s="30">
        <f>VLOOKUP($A141,'зарплата в цінах'!$A$2:$F$397,3)</f>
        <v>366.64</v>
      </c>
      <c r="D141" s="30">
        <f>VLOOKUP($A141,'зарплата в цінах'!$A$2:$F$397,4)</f>
        <v>75.48</v>
      </c>
      <c r="E141" s="30">
        <f>VLOOKUP($A141,'зарплата в цінах'!$A$2:$F$397,5)</f>
        <v>23.98</v>
      </c>
      <c r="F141" s="30">
        <f>VLOOKUP($A141,'зарплата в цінах'!$A$2:$F$397,6)</f>
        <v>216.24</v>
      </c>
    </row>
    <row r="142" spans="1:6" x14ac:dyDescent="0.3">
      <c r="A142" s="328">
        <v>150000637</v>
      </c>
      <c r="B142" s="434" t="s">
        <v>87</v>
      </c>
      <c r="C142" s="30">
        <f>VLOOKUP($A142,'зарплата в цінах'!$A$2:$F$397,3)</f>
        <v>0</v>
      </c>
      <c r="D142" s="30">
        <f>VLOOKUP($A142,'зарплата в цінах'!$A$2:$F$397,4)</f>
        <v>0</v>
      </c>
      <c r="E142" s="30">
        <f>VLOOKUP($A142,'зарплата в цінах'!$A$2:$F$397,5)</f>
        <v>0</v>
      </c>
      <c r="F142" s="30">
        <f>VLOOKUP($A142,'зарплата в цінах'!$A$2:$F$397,6)</f>
        <v>0</v>
      </c>
    </row>
    <row r="143" spans="1:6" x14ac:dyDescent="0.3">
      <c r="A143" s="328">
        <v>150000555</v>
      </c>
      <c r="B143" s="434" t="s">
        <v>88</v>
      </c>
      <c r="C143" s="30">
        <f>VLOOKUP($A143,'зарплата в цінах'!$A$2:$F$397,3)</f>
        <v>0</v>
      </c>
      <c r="D143" s="30">
        <f>VLOOKUP($A143,'зарплата в цінах'!$A$2:$F$397,4)</f>
        <v>0</v>
      </c>
      <c r="E143" s="30">
        <f>VLOOKUP($A143,'зарплата в цінах'!$A$2:$F$397,5)</f>
        <v>0</v>
      </c>
      <c r="F143" s="30">
        <f>VLOOKUP($A143,'зарплата в цінах'!$A$2:$F$397,6)</f>
        <v>0</v>
      </c>
    </row>
    <row r="144" spans="1:6" x14ac:dyDescent="0.3">
      <c r="A144" s="328">
        <v>150000556</v>
      </c>
      <c r="B144" s="434" t="s">
        <v>89</v>
      </c>
      <c r="C144" s="30">
        <f>VLOOKUP($A144,'зарплата в цінах'!$A$2:$F$397,3)</f>
        <v>0</v>
      </c>
      <c r="D144" s="30">
        <f>VLOOKUP($A144,'зарплата в цінах'!$A$2:$F$397,4)</f>
        <v>0</v>
      </c>
      <c r="E144" s="30">
        <f>VLOOKUP($A144,'зарплата в цінах'!$A$2:$F$397,5)</f>
        <v>0</v>
      </c>
      <c r="F144" s="30">
        <f>VLOOKUP($A144,'зарплата в цінах'!$A$2:$F$397,6)</f>
        <v>0</v>
      </c>
    </row>
    <row r="145" spans="1:6" x14ac:dyDescent="0.3">
      <c r="A145" s="328">
        <v>150000557</v>
      </c>
      <c r="B145" s="434" t="s">
        <v>90</v>
      </c>
      <c r="C145" s="30">
        <f>VLOOKUP($A145,'зарплата в цінах'!$A$2:$F$397,3)</f>
        <v>0</v>
      </c>
      <c r="D145" s="30">
        <f>VLOOKUP($A145,'зарплата в цінах'!$A$2:$F$397,4)</f>
        <v>0</v>
      </c>
      <c r="E145" s="30">
        <f>VLOOKUP($A145,'зарплата в цінах'!$A$2:$F$397,5)</f>
        <v>0</v>
      </c>
      <c r="F145" s="30">
        <f>VLOOKUP($A145,'зарплата в цінах'!$A$2:$F$397,6)</f>
        <v>0</v>
      </c>
    </row>
    <row r="146" spans="1:6" x14ac:dyDescent="0.3">
      <c r="A146" s="328">
        <v>150000552</v>
      </c>
      <c r="B146" s="434" t="s">
        <v>91</v>
      </c>
      <c r="C146" s="30">
        <f>VLOOKUP($A146,'зарплата в цінах'!$A$2:$F$397,3)</f>
        <v>0</v>
      </c>
      <c r="D146" s="30">
        <f>VLOOKUP($A146,'зарплата в цінах'!$A$2:$F$397,4)</f>
        <v>0</v>
      </c>
      <c r="E146" s="30">
        <f>VLOOKUP($A146,'зарплата в цінах'!$A$2:$F$397,5)</f>
        <v>0</v>
      </c>
      <c r="F146" s="30">
        <f>VLOOKUP($A146,'зарплата в цінах'!$A$2:$F$397,6)</f>
        <v>0</v>
      </c>
    </row>
    <row r="147" spans="1:6" x14ac:dyDescent="0.3">
      <c r="A147" s="328">
        <v>150000553</v>
      </c>
      <c r="B147" s="260" t="s">
        <v>259</v>
      </c>
      <c r="C147" s="30">
        <f>VLOOKUP($A147,'зарплата в цінах'!$A$2:$F$397,3)</f>
        <v>378.74</v>
      </c>
      <c r="D147" s="30">
        <f>VLOOKUP($A147,'зарплата в цінах'!$A$2:$F$397,4)</f>
        <v>77.14</v>
      </c>
      <c r="E147" s="30">
        <f>VLOOKUP($A147,'зарплата в цінах'!$A$2:$F$397,5)</f>
        <v>0</v>
      </c>
      <c r="F147" s="30">
        <f>VLOOKUP($A147,'зарплата в цінах'!$A$2:$F$397,6)</f>
        <v>235.24</v>
      </c>
    </row>
    <row r="148" spans="1:6" x14ac:dyDescent="0.3">
      <c r="A148" s="328">
        <v>150000493</v>
      </c>
      <c r="B148" s="260" t="s">
        <v>417</v>
      </c>
      <c r="C148" s="30">
        <f>VLOOKUP($A148,'зарплата в цінах'!$A$2:$F$397,3)</f>
        <v>849.8</v>
      </c>
      <c r="D148" s="30">
        <f>VLOOKUP($A148,'зарплата в цінах'!$A$2:$F$397,4)</f>
        <v>132.47</v>
      </c>
      <c r="E148" s="30">
        <f>VLOOKUP($A148,'зарплата в цінах'!$A$2:$F$397,5)</f>
        <v>42.26</v>
      </c>
      <c r="F148" s="30">
        <f>VLOOKUP($A148,'зарплата в цінах'!$A$2:$F$397,6)</f>
        <v>321.75</v>
      </c>
    </row>
    <row r="149" spans="1:6" x14ac:dyDescent="0.3">
      <c r="A149" s="328">
        <v>150000494</v>
      </c>
      <c r="B149" s="260" t="s">
        <v>418</v>
      </c>
      <c r="C149" s="30">
        <f>VLOOKUP($A149,'зарплата в цінах'!$A$2:$F$397,3)</f>
        <v>959.07</v>
      </c>
      <c r="D149" s="30">
        <f>VLOOKUP($A149,'зарплата в цінах'!$A$2:$F$397,4)</f>
        <v>145.91</v>
      </c>
      <c r="E149" s="30">
        <f>VLOOKUP($A149,'зарплата в цінах'!$A$2:$F$397,5)</f>
        <v>42.26</v>
      </c>
      <c r="F149" s="30">
        <f>VLOOKUP($A149,'зарплата в цінах'!$A$2:$F$397,6)</f>
        <v>334.26</v>
      </c>
    </row>
    <row r="150" spans="1:6" x14ac:dyDescent="0.3">
      <c r="A150" s="328">
        <v>150000688</v>
      </c>
      <c r="B150" s="434" t="s">
        <v>92</v>
      </c>
      <c r="C150" s="30">
        <f>VLOOKUP($A150,'зарплата в цінах'!$A$2:$F$397,3)</f>
        <v>0</v>
      </c>
      <c r="D150" s="30">
        <f>VLOOKUP($A150,'зарплата в цінах'!$A$2:$F$397,4)</f>
        <v>0</v>
      </c>
      <c r="E150" s="30">
        <f>VLOOKUP($A150,'зарплата в цінах'!$A$2:$F$397,5)</f>
        <v>0</v>
      </c>
      <c r="F150" s="30">
        <f>VLOOKUP($A150,'зарплата в цінах'!$A$2:$F$397,6)</f>
        <v>0</v>
      </c>
    </row>
    <row r="151" spans="1:6" x14ac:dyDescent="0.3">
      <c r="A151" s="328">
        <v>150000689</v>
      </c>
      <c r="B151" s="434" t="s">
        <v>93</v>
      </c>
      <c r="C151" s="30">
        <f>VLOOKUP($A151,'зарплата в цінах'!$A$2:$F$397,3)</f>
        <v>0</v>
      </c>
      <c r="D151" s="30">
        <f>VLOOKUP($A151,'зарплата в цінах'!$A$2:$F$397,4)</f>
        <v>0</v>
      </c>
      <c r="E151" s="30">
        <f>VLOOKUP($A151,'зарплата в цінах'!$A$2:$F$397,5)</f>
        <v>0</v>
      </c>
      <c r="F151" s="30">
        <f>VLOOKUP($A151,'зарплата в цінах'!$A$2:$F$397,6)</f>
        <v>0</v>
      </c>
    </row>
    <row r="152" spans="1:6" x14ac:dyDescent="0.3">
      <c r="A152" s="328">
        <v>150000693</v>
      </c>
      <c r="B152" s="434" t="s">
        <v>94</v>
      </c>
      <c r="C152" s="30">
        <f>VLOOKUP($A152,'зарплата в цінах'!$A$2:$F$397,3)</f>
        <v>0</v>
      </c>
      <c r="D152" s="30">
        <f>VLOOKUP($A152,'зарплата в цінах'!$A$2:$F$397,4)</f>
        <v>0</v>
      </c>
      <c r="E152" s="30">
        <f>VLOOKUP($A152,'зарплата в цінах'!$A$2:$F$397,5)</f>
        <v>0</v>
      </c>
      <c r="F152" s="30">
        <f>VLOOKUP($A152,'зарплата в цінах'!$A$2:$F$397,6)</f>
        <v>0</v>
      </c>
    </row>
    <row r="153" spans="1:6" x14ac:dyDescent="0.3">
      <c r="A153" s="328">
        <v>150000690</v>
      </c>
      <c r="B153" s="434" t="s">
        <v>95</v>
      </c>
      <c r="C153" s="30">
        <f>VLOOKUP($A153,'зарплата в цінах'!$A$2:$F$397,3)</f>
        <v>0</v>
      </c>
      <c r="D153" s="30">
        <f>VLOOKUP($A153,'зарплата в цінах'!$A$2:$F$397,4)</f>
        <v>0</v>
      </c>
      <c r="E153" s="30">
        <f>VLOOKUP($A153,'зарплата в цінах'!$A$2:$F$397,5)</f>
        <v>0</v>
      </c>
      <c r="F153" s="30">
        <f>VLOOKUP($A153,'зарплата в цінах'!$A$2:$F$397,6)</f>
        <v>0</v>
      </c>
    </row>
    <row r="154" spans="1:6" x14ac:dyDescent="0.3">
      <c r="A154" s="328">
        <v>150000648</v>
      </c>
      <c r="B154" s="260" t="s">
        <v>361</v>
      </c>
      <c r="C154" s="30">
        <f>VLOOKUP($A154,'зарплата в цінах'!$A$2:$F$397,3)</f>
        <v>286.73</v>
      </c>
      <c r="D154" s="30">
        <f>VLOOKUP($A154,'зарплата в цінах'!$A$2:$F$397,4)</f>
        <v>46.94</v>
      </c>
      <c r="E154" s="30">
        <f>VLOOKUP($A154,'зарплата в цінах'!$A$2:$F$397,5)</f>
        <v>13.19</v>
      </c>
      <c r="F154" s="30">
        <f>VLOOKUP($A154,'зарплата в цінах'!$A$2:$F$397,6)</f>
        <v>113.79</v>
      </c>
    </row>
    <row r="155" spans="1:6" x14ac:dyDescent="0.3">
      <c r="A155" s="328">
        <v>150000647</v>
      </c>
      <c r="B155" s="434" t="s">
        <v>96</v>
      </c>
      <c r="C155" s="30">
        <f>VLOOKUP($A155,'зарплата в цінах'!$A$2:$F$397,3)</f>
        <v>0</v>
      </c>
      <c r="D155" s="30">
        <f>VLOOKUP($A155,'зарплата в цінах'!$A$2:$F$397,4)</f>
        <v>0</v>
      </c>
      <c r="E155" s="30">
        <f>VLOOKUP($A155,'зарплата в цінах'!$A$2:$F$397,5)</f>
        <v>0</v>
      </c>
      <c r="F155" s="30">
        <f>VLOOKUP($A155,'зарплата в цінах'!$A$2:$F$397,6)</f>
        <v>0</v>
      </c>
    </row>
    <row r="156" spans="1:6" x14ac:dyDescent="0.3">
      <c r="A156" s="328">
        <v>150000686</v>
      </c>
      <c r="B156" s="434" t="s">
        <v>97</v>
      </c>
      <c r="C156" s="30">
        <f>VLOOKUP($A156,'зарплата в цінах'!$A$2:$F$397,3)</f>
        <v>0</v>
      </c>
      <c r="D156" s="30">
        <f>VLOOKUP($A156,'зарплата в цінах'!$A$2:$F$397,4)</f>
        <v>0</v>
      </c>
      <c r="E156" s="30">
        <f>VLOOKUP($A156,'зарплата в цінах'!$A$2:$F$397,5)</f>
        <v>0</v>
      </c>
      <c r="F156" s="30">
        <f>VLOOKUP($A156,'зарплата в цінах'!$A$2:$F$397,6)</f>
        <v>0</v>
      </c>
    </row>
    <row r="157" spans="1:6" x14ac:dyDescent="0.3">
      <c r="A157" s="328">
        <v>150000796</v>
      </c>
      <c r="B157" s="434" t="s">
        <v>98</v>
      </c>
      <c r="C157" s="30">
        <f>VLOOKUP($A157,'зарплата в цінах'!$A$2:$F$397,3)</f>
        <v>0</v>
      </c>
      <c r="D157" s="30">
        <f>VLOOKUP($A157,'зарплата в цінах'!$A$2:$F$397,4)</f>
        <v>0</v>
      </c>
      <c r="E157" s="30">
        <f>VLOOKUP($A157,'зарплата в цінах'!$A$2:$F$397,5)</f>
        <v>0</v>
      </c>
      <c r="F157" s="30">
        <f>VLOOKUP($A157,'зарплата в цінах'!$A$2:$F$397,6)</f>
        <v>0</v>
      </c>
    </row>
    <row r="158" spans="1:6" x14ac:dyDescent="0.3">
      <c r="A158" s="328">
        <v>150001008</v>
      </c>
      <c r="B158" s="260" t="s">
        <v>211</v>
      </c>
      <c r="C158" s="30">
        <f>VLOOKUP($A158,'зарплата в цінах'!$A$2:$F$397,3)</f>
        <v>172.94</v>
      </c>
      <c r="D158" s="30">
        <f>VLOOKUP($A158,'зарплата в цінах'!$A$2:$F$397,4)</f>
        <v>30.8</v>
      </c>
      <c r="E158" s="30">
        <f>VLOOKUP($A158,'зарплата в цінах'!$A$2:$F$397,5)</f>
        <v>0</v>
      </c>
      <c r="F158" s="30">
        <f>VLOOKUP($A158,'зарплата в цінах'!$A$2:$F$397,6)</f>
        <v>88.06</v>
      </c>
    </row>
    <row r="159" spans="1:6" x14ac:dyDescent="0.3">
      <c r="A159" s="328">
        <v>150001033</v>
      </c>
      <c r="B159" s="260" t="s">
        <v>362</v>
      </c>
      <c r="C159" s="30">
        <f>VLOOKUP($A159,'зарплата в цінах'!$A$2:$F$397,3)</f>
        <v>382.55</v>
      </c>
      <c r="D159" s="30">
        <f>VLOOKUP($A159,'зарплата в цінах'!$A$2:$F$397,4)</f>
        <v>65.83</v>
      </c>
      <c r="E159" s="30">
        <f>VLOOKUP($A159,'зарплата в цінах'!$A$2:$F$397,5)</f>
        <v>26.37</v>
      </c>
      <c r="F159" s="30">
        <f>VLOOKUP($A159,'зарплата в цінах'!$A$2:$F$397,6)</f>
        <v>279.05</v>
      </c>
    </row>
    <row r="160" spans="1:6" x14ac:dyDescent="0.3">
      <c r="A160" s="328">
        <v>150001009</v>
      </c>
      <c r="B160" s="260" t="s">
        <v>212</v>
      </c>
      <c r="C160" s="30">
        <f>VLOOKUP($A160,'зарплата в цінах'!$A$2:$F$397,3)</f>
        <v>171</v>
      </c>
      <c r="D160" s="30">
        <f>VLOOKUP($A160,'зарплата в цінах'!$A$2:$F$397,4)</f>
        <v>30.8</v>
      </c>
      <c r="E160" s="30">
        <f>VLOOKUP($A160,'зарплата в цінах'!$A$2:$F$397,5)</f>
        <v>0</v>
      </c>
      <c r="F160" s="30">
        <f>VLOOKUP($A160,'зарплата в цінах'!$A$2:$F$397,6)</f>
        <v>88.06</v>
      </c>
    </row>
    <row r="161" spans="1:6" x14ac:dyDescent="0.3">
      <c r="A161" s="328">
        <v>150001010</v>
      </c>
      <c r="B161" s="260" t="s">
        <v>164</v>
      </c>
      <c r="C161" s="30">
        <f>VLOOKUP($A161,'зарплата в цінах'!$A$2:$F$397,3)</f>
        <v>107.82</v>
      </c>
      <c r="D161" s="30">
        <f>VLOOKUP($A161,'зарплата в цінах'!$A$2:$F$397,4)</f>
        <v>23.5</v>
      </c>
      <c r="E161" s="30">
        <f>VLOOKUP($A161,'зарплата в цінах'!$A$2:$F$397,5)</f>
        <v>0</v>
      </c>
      <c r="F161" s="30">
        <f>VLOOKUP($A161,'зарплата в цінах'!$A$2:$F$397,6)</f>
        <v>64.510000000000005</v>
      </c>
    </row>
    <row r="162" spans="1:6" x14ac:dyDescent="0.3">
      <c r="A162" s="328">
        <v>150001011</v>
      </c>
      <c r="B162" s="260" t="s">
        <v>165</v>
      </c>
      <c r="C162" s="30">
        <f>VLOOKUP($A162,'зарплата в цінах'!$A$2:$F$397,3)</f>
        <v>70</v>
      </c>
      <c r="D162" s="30">
        <f>VLOOKUP($A162,'зарплата в цінах'!$A$2:$F$397,4)</f>
        <v>11.34</v>
      </c>
      <c r="E162" s="30">
        <f>VLOOKUP($A162,'зарплата в цінах'!$A$2:$F$397,5)</f>
        <v>0</v>
      </c>
      <c r="F162" s="30">
        <f>VLOOKUP($A162,'зарплата в цінах'!$A$2:$F$397,6)</f>
        <v>28.65</v>
      </c>
    </row>
    <row r="163" spans="1:6" x14ac:dyDescent="0.3">
      <c r="A163" s="429">
        <v>150001013</v>
      </c>
      <c r="B163" s="260" t="s">
        <v>260</v>
      </c>
      <c r="C163" s="30">
        <f>VLOOKUP($A163,'зарплата в цінах'!$A$2:$F$397,3)</f>
        <v>373.29</v>
      </c>
      <c r="D163" s="30">
        <f>VLOOKUP($A163,'зарплата в цінах'!$A$2:$F$397,4)</f>
        <v>77.16</v>
      </c>
      <c r="E163" s="30">
        <f>VLOOKUP($A163,'зарплата в цінах'!$A$2:$F$397,5)</f>
        <v>0</v>
      </c>
      <c r="F163" s="30">
        <f>VLOOKUP($A163,'зарплата в цінах'!$A$2:$F$397,6)</f>
        <v>233.75</v>
      </c>
    </row>
    <row r="164" spans="1:6" x14ac:dyDescent="0.3">
      <c r="A164" s="328">
        <v>150001014</v>
      </c>
      <c r="B164" s="260" t="s">
        <v>166</v>
      </c>
      <c r="C164" s="30">
        <f>VLOOKUP($A164,'зарплата в цінах'!$A$2:$F$397,3)</f>
        <v>27.68</v>
      </c>
      <c r="D164" s="30">
        <f>VLOOKUP($A164,'зарплата в цінах'!$A$2:$F$397,4)</f>
        <v>9.51</v>
      </c>
      <c r="E164" s="30">
        <f>VLOOKUP($A164,'зарплата в цінах'!$A$2:$F$397,5)</f>
        <v>0</v>
      </c>
      <c r="F164" s="30">
        <f>VLOOKUP($A164,'зарплата в цінах'!$A$2:$F$397,6)</f>
        <v>14.27</v>
      </c>
    </row>
    <row r="165" spans="1:6" x14ac:dyDescent="0.3">
      <c r="A165" s="328">
        <v>150001015</v>
      </c>
      <c r="B165" s="434" t="s">
        <v>99</v>
      </c>
      <c r="C165" s="30">
        <f>VLOOKUP($A165,'зарплата в цінах'!$A$2:$F$397,3)</f>
        <v>0</v>
      </c>
      <c r="D165" s="30">
        <f>VLOOKUP($A165,'зарплата в цінах'!$A$2:$F$397,4)</f>
        <v>0</v>
      </c>
      <c r="E165" s="30">
        <f>VLOOKUP($A165,'зарплата в цінах'!$A$2:$F$397,5)</f>
        <v>0</v>
      </c>
      <c r="F165" s="30">
        <f>VLOOKUP($A165,'зарплата в цінах'!$A$2:$F$397,6)</f>
        <v>0</v>
      </c>
    </row>
    <row r="166" spans="1:6" x14ac:dyDescent="0.3">
      <c r="A166" s="328">
        <v>150001016</v>
      </c>
      <c r="B166" s="260" t="s">
        <v>261</v>
      </c>
      <c r="C166" s="30">
        <f>VLOOKUP($A166,'зарплата в цінах'!$A$2:$F$397,3)</f>
        <v>201.04</v>
      </c>
      <c r="D166" s="30">
        <f>VLOOKUP($A166,'зарплата в цінах'!$A$2:$F$397,4)</f>
        <v>40.64</v>
      </c>
      <c r="E166" s="30">
        <f>VLOOKUP($A166,'зарплата в цінах'!$A$2:$F$397,5)</f>
        <v>0</v>
      </c>
      <c r="F166" s="30">
        <f>VLOOKUP($A166,'зарплата в цінах'!$A$2:$F$397,6)</f>
        <v>165.56</v>
      </c>
    </row>
    <row r="167" spans="1:6" x14ac:dyDescent="0.3">
      <c r="A167" s="328">
        <v>150001007</v>
      </c>
      <c r="B167" s="260" t="s">
        <v>213</v>
      </c>
      <c r="C167" s="30">
        <f>VLOOKUP($A167,'зарплата в цінах'!$A$2:$F$397,3)</f>
        <v>263.33</v>
      </c>
      <c r="D167" s="30">
        <f>VLOOKUP($A167,'зарплата в цінах'!$A$2:$F$397,4)</f>
        <v>49.08</v>
      </c>
      <c r="E167" s="30">
        <f>VLOOKUP($A167,'зарплата в цінах'!$A$2:$F$397,5)</f>
        <v>0</v>
      </c>
      <c r="F167" s="30">
        <f>VLOOKUP($A167,'зарплата в цінах'!$A$2:$F$397,6)</f>
        <v>122.07</v>
      </c>
    </row>
    <row r="168" spans="1:6" x14ac:dyDescent="0.3">
      <c r="A168" s="328">
        <v>150001018</v>
      </c>
      <c r="B168" s="435" t="s">
        <v>429</v>
      </c>
      <c r="C168" s="30">
        <f>VLOOKUP($A168,'зарплата в цінах'!$A$2:$F$397,3)</f>
        <v>213.28</v>
      </c>
      <c r="D168" s="30">
        <f>VLOOKUP($A168,'зарплата в цінах'!$A$2:$F$397,4)</f>
        <v>43.44</v>
      </c>
      <c r="E168" s="30">
        <f>VLOOKUP($A168,'зарплата в цінах'!$A$2:$F$397,5)</f>
        <v>0</v>
      </c>
      <c r="F168" s="30">
        <f>VLOOKUP($A168,'зарплата в цінах'!$A$2:$F$397,6)</f>
        <v>162.09</v>
      </c>
    </row>
    <row r="169" spans="1:6" x14ac:dyDescent="0.3">
      <c r="A169" s="328">
        <v>150001019</v>
      </c>
      <c r="B169" s="260" t="s">
        <v>419</v>
      </c>
      <c r="C169" s="30">
        <f>VLOOKUP($A169,'зарплата в цінах'!$A$2:$F$397,3)</f>
        <v>845.73</v>
      </c>
      <c r="D169" s="30">
        <f>VLOOKUP($A169,'зарплата в цінах'!$A$2:$F$397,4)</f>
        <v>132.56</v>
      </c>
      <c r="E169" s="30">
        <f>VLOOKUP($A169,'зарплата в цінах'!$A$2:$F$397,5)</f>
        <v>42.26</v>
      </c>
      <c r="F169" s="30">
        <f>VLOOKUP($A169,'зарплата в цінах'!$A$2:$F$397,6)</f>
        <v>331.58</v>
      </c>
    </row>
    <row r="170" spans="1:6" x14ac:dyDescent="0.3">
      <c r="A170" s="328">
        <v>150001020</v>
      </c>
      <c r="B170" s="434" t="s">
        <v>100</v>
      </c>
      <c r="C170" s="30">
        <f>VLOOKUP($A170,'зарплата в цінах'!$A$2:$F$397,3)</f>
        <v>0</v>
      </c>
      <c r="D170" s="30">
        <f>VLOOKUP($A170,'зарплата в цінах'!$A$2:$F$397,4)</f>
        <v>0</v>
      </c>
      <c r="E170" s="30">
        <f>VLOOKUP($A170,'зарплата в цінах'!$A$2:$F$397,5)</f>
        <v>0</v>
      </c>
      <c r="F170" s="30">
        <f>VLOOKUP($A170,'зарплата в цінах'!$A$2:$F$397,6)</f>
        <v>0</v>
      </c>
    </row>
    <row r="171" spans="1:6" x14ac:dyDescent="0.3">
      <c r="A171" s="328">
        <v>150001021</v>
      </c>
      <c r="B171" s="260" t="s">
        <v>363</v>
      </c>
      <c r="C171" s="30">
        <f>VLOOKUP($A171,'зарплата в цінах'!$A$2:$F$397,3)</f>
        <v>992.54</v>
      </c>
      <c r="D171" s="30">
        <f>VLOOKUP($A171,'зарплата в цінах'!$A$2:$F$397,4)</f>
        <v>283.07</v>
      </c>
      <c r="E171" s="30">
        <f>VLOOKUP($A171,'зарплата в цінах'!$A$2:$F$397,5)</f>
        <v>116.88</v>
      </c>
      <c r="F171" s="30">
        <f>VLOOKUP($A171,'зарплата в цінах'!$A$2:$F$397,6)</f>
        <v>664.77</v>
      </c>
    </row>
    <row r="172" spans="1:6" x14ac:dyDescent="0.3">
      <c r="A172" s="328">
        <v>150001035</v>
      </c>
      <c r="B172" s="260" t="s">
        <v>262</v>
      </c>
      <c r="C172" s="30">
        <f>VLOOKUP($A172,'зарплата в цінах'!$A$2:$F$397,3)</f>
        <v>353.31</v>
      </c>
      <c r="D172" s="30">
        <f>VLOOKUP($A172,'зарплата в цінах'!$A$2:$F$397,4)</f>
        <v>67.87</v>
      </c>
      <c r="E172" s="30">
        <f>VLOOKUP($A172,'зарплата в цінах'!$A$2:$F$397,5)</f>
        <v>23.98</v>
      </c>
      <c r="F172" s="30">
        <f>VLOOKUP($A172,'зарплата в цінах'!$A$2:$F$397,6)</f>
        <v>223.08</v>
      </c>
    </row>
    <row r="173" spans="1:6" x14ac:dyDescent="0.3">
      <c r="A173" s="328">
        <v>150001022</v>
      </c>
      <c r="B173" s="260" t="s">
        <v>364</v>
      </c>
      <c r="C173" s="30">
        <f>VLOOKUP($A173,'зарплата в цінах'!$A$2:$F$397,3)</f>
        <v>331.12</v>
      </c>
      <c r="D173" s="30">
        <f>VLOOKUP($A173,'зарплата в цінах'!$A$2:$F$397,4)</f>
        <v>76.02</v>
      </c>
      <c r="E173" s="30">
        <f>VLOOKUP($A173,'зарплата в цінах'!$A$2:$F$397,5)</f>
        <v>24.57</v>
      </c>
      <c r="F173" s="30">
        <f>VLOOKUP($A173,'зарплата в цінах'!$A$2:$F$397,6)</f>
        <v>197.56</v>
      </c>
    </row>
    <row r="174" spans="1:6" x14ac:dyDescent="0.3">
      <c r="A174" s="328">
        <v>150001023</v>
      </c>
      <c r="B174" s="260" t="s">
        <v>365</v>
      </c>
      <c r="C174" s="30">
        <f>VLOOKUP($A174,'зарплата в цінах'!$A$2:$F$397,3)</f>
        <v>331.1</v>
      </c>
      <c r="D174" s="30">
        <f>VLOOKUP($A174,'зарплата в цінах'!$A$2:$F$397,4)</f>
        <v>76.02</v>
      </c>
      <c r="E174" s="30">
        <f>VLOOKUP($A174,'зарплата в цінах'!$A$2:$F$397,5)</f>
        <v>24.57</v>
      </c>
      <c r="F174" s="30">
        <f>VLOOKUP($A174,'зарплата в цінах'!$A$2:$F$397,6)</f>
        <v>214.13</v>
      </c>
    </row>
    <row r="175" spans="1:6" x14ac:dyDescent="0.3">
      <c r="A175" s="328">
        <v>150001024</v>
      </c>
      <c r="B175" s="260" t="s">
        <v>366</v>
      </c>
      <c r="C175" s="30">
        <f>VLOOKUP($A175,'зарплата в цінах'!$A$2:$F$397,3)</f>
        <v>524.12</v>
      </c>
      <c r="D175" s="30">
        <f>VLOOKUP($A175,'зарплата в цінах'!$A$2:$F$397,4)</f>
        <v>82.64</v>
      </c>
      <c r="E175" s="30">
        <f>VLOOKUP($A175,'зарплата в цінах'!$A$2:$F$397,5)</f>
        <v>26.37</v>
      </c>
      <c r="F175" s="30">
        <f>VLOOKUP($A175,'зарплата в цінах'!$A$2:$F$397,6)</f>
        <v>195.59</v>
      </c>
    </row>
    <row r="176" spans="1:6" x14ac:dyDescent="0.3">
      <c r="A176" s="328">
        <v>150001025</v>
      </c>
      <c r="B176" s="260" t="s">
        <v>420</v>
      </c>
      <c r="C176" s="30">
        <f>VLOOKUP($A176,'зарплата в цінах'!$A$2:$F$397,3)</f>
        <v>623.08000000000004</v>
      </c>
      <c r="D176" s="30">
        <f>VLOOKUP($A176,'зарплата в цінах'!$A$2:$F$397,4)</f>
        <v>104.56</v>
      </c>
      <c r="E176" s="30">
        <f>VLOOKUP($A176,'зарплата в цінах'!$A$2:$F$397,5)</f>
        <v>28.17</v>
      </c>
      <c r="F176" s="30">
        <f>VLOOKUP($A176,'зарплата в цінах'!$A$2:$F$397,6)</f>
        <v>207.35</v>
      </c>
    </row>
    <row r="177" spans="1:6" x14ac:dyDescent="0.3">
      <c r="A177" s="328">
        <v>150001026</v>
      </c>
      <c r="B177" s="260" t="s">
        <v>334</v>
      </c>
      <c r="C177" s="30">
        <f>VLOOKUP($A177,'зарплата в цінах'!$A$2:$F$397,3)</f>
        <v>387.11</v>
      </c>
      <c r="D177" s="30">
        <f>VLOOKUP($A177,'зарплата в цінах'!$A$2:$F$397,4)</f>
        <v>130.56</v>
      </c>
      <c r="E177" s="30">
        <f>VLOOKUP($A177,'зарплата в цінах'!$A$2:$F$397,5)</f>
        <v>76.12</v>
      </c>
      <c r="F177" s="30">
        <f>VLOOKUP($A177,'зарплата в цінах'!$A$2:$F$397,6)</f>
        <v>558.91999999999996</v>
      </c>
    </row>
    <row r="178" spans="1:6" x14ac:dyDescent="0.3">
      <c r="A178" s="328">
        <v>150001027</v>
      </c>
      <c r="B178" s="260" t="s">
        <v>367</v>
      </c>
      <c r="C178" s="30">
        <f>VLOOKUP($A178,'зарплата в цінах'!$A$2:$F$397,3)</f>
        <v>894</v>
      </c>
      <c r="D178" s="30">
        <f>VLOOKUP($A178,'зарплата в цінах'!$A$2:$F$397,4)</f>
        <v>149.21</v>
      </c>
      <c r="E178" s="30">
        <f>VLOOKUP($A178,'зарплата в цінах'!$A$2:$F$397,5)</f>
        <v>155.84</v>
      </c>
      <c r="F178" s="30">
        <f>VLOOKUP($A178,'зарплата в цінах'!$A$2:$F$397,6)</f>
        <v>740.88</v>
      </c>
    </row>
    <row r="179" spans="1:6" x14ac:dyDescent="0.3">
      <c r="A179" s="328">
        <v>150001028</v>
      </c>
      <c r="B179" s="434" t="s">
        <v>101</v>
      </c>
      <c r="C179" s="30">
        <f>VLOOKUP($A179,'зарплата в цінах'!$A$2:$F$397,3)</f>
        <v>0</v>
      </c>
      <c r="D179" s="30">
        <f>VLOOKUP($A179,'зарплата в цінах'!$A$2:$F$397,4)</f>
        <v>0</v>
      </c>
      <c r="E179" s="30">
        <f>VLOOKUP($A179,'зарплата в цінах'!$A$2:$F$397,5)</f>
        <v>0</v>
      </c>
      <c r="F179" s="30">
        <f>VLOOKUP($A179,'зарплата в цінах'!$A$2:$F$397,6)</f>
        <v>0</v>
      </c>
    </row>
    <row r="180" spans="1:6" x14ac:dyDescent="0.3">
      <c r="A180" s="328">
        <v>150001036</v>
      </c>
      <c r="B180" s="434" t="s">
        <v>102</v>
      </c>
      <c r="C180" s="30">
        <f>VLOOKUP($A180,'зарплата в цінах'!$A$2:$F$397,3)</f>
        <v>0</v>
      </c>
      <c r="D180" s="30">
        <f>VLOOKUP($A180,'зарплата в цінах'!$A$2:$F$397,4)</f>
        <v>0</v>
      </c>
      <c r="E180" s="30">
        <f>VLOOKUP($A180,'зарплата в цінах'!$A$2:$F$397,5)</f>
        <v>0</v>
      </c>
      <c r="F180" s="30">
        <f>VLOOKUP($A180,'зарплата в цінах'!$A$2:$F$397,6)</f>
        <v>0</v>
      </c>
    </row>
    <row r="181" spans="1:6" x14ac:dyDescent="0.3">
      <c r="A181" s="328">
        <v>150001029</v>
      </c>
      <c r="B181" s="260" t="s">
        <v>368</v>
      </c>
      <c r="C181" s="30">
        <f>VLOOKUP($A181,'зарплата в цінах'!$A$2:$F$397,3)</f>
        <v>689.54</v>
      </c>
      <c r="D181" s="30">
        <f>VLOOKUP($A181,'зарплата в цінах'!$A$2:$F$397,4)</f>
        <v>119.2</v>
      </c>
      <c r="E181" s="30">
        <f>VLOOKUP($A181,'зарплата в цінах'!$A$2:$F$397,5)</f>
        <v>116.88</v>
      </c>
      <c r="F181" s="30">
        <f>VLOOKUP($A181,'зарплата в цінах'!$A$2:$F$397,6)</f>
        <v>472.12</v>
      </c>
    </row>
    <row r="182" spans="1:6" x14ac:dyDescent="0.3">
      <c r="A182" s="328">
        <v>150001030</v>
      </c>
      <c r="B182" s="260" t="s">
        <v>335</v>
      </c>
      <c r="C182" s="30">
        <f>VLOOKUP($A182,'зарплата в цінах'!$A$2:$F$397,3)</f>
        <v>336.68</v>
      </c>
      <c r="D182" s="30">
        <f>VLOOKUP($A182,'зарплата в цінах'!$A$2:$F$397,4)</f>
        <v>95.26</v>
      </c>
      <c r="E182" s="30">
        <f>VLOOKUP($A182,'зарплата в цінах'!$A$2:$F$397,5)</f>
        <v>36.86</v>
      </c>
      <c r="F182" s="30">
        <f>VLOOKUP($A182,'зарплата в цінах'!$A$2:$F$397,6)</f>
        <v>377.34</v>
      </c>
    </row>
    <row r="183" spans="1:6" x14ac:dyDescent="0.3">
      <c r="A183" s="328">
        <v>150001031</v>
      </c>
      <c r="B183" s="434" t="s">
        <v>103</v>
      </c>
      <c r="C183" s="30">
        <f>VLOOKUP($A183,'зарплата в цінах'!$A$2:$F$397,3)</f>
        <v>0</v>
      </c>
      <c r="D183" s="30">
        <f>VLOOKUP($A183,'зарплата в цінах'!$A$2:$F$397,4)</f>
        <v>0</v>
      </c>
      <c r="E183" s="30">
        <f>VLOOKUP($A183,'зарплата в цінах'!$A$2:$F$397,5)</f>
        <v>0</v>
      </c>
      <c r="F183" s="30">
        <f>VLOOKUP($A183,'зарплата в цінах'!$A$2:$F$397,6)</f>
        <v>0</v>
      </c>
    </row>
    <row r="184" spans="1:6" x14ac:dyDescent="0.3">
      <c r="A184" s="328">
        <v>150001037</v>
      </c>
      <c r="B184" s="434" t="s">
        <v>104</v>
      </c>
      <c r="C184" s="30">
        <f>VLOOKUP($A184,'зарплата в цінах'!$A$2:$F$397,3)</f>
        <v>0</v>
      </c>
      <c r="D184" s="30">
        <f>VLOOKUP($A184,'зарплата в цінах'!$A$2:$F$397,4)</f>
        <v>0</v>
      </c>
      <c r="E184" s="30">
        <f>VLOOKUP($A184,'зарплата в цінах'!$A$2:$F$397,5)</f>
        <v>0</v>
      </c>
      <c r="F184" s="30">
        <f>VLOOKUP($A184,'зарплата в цінах'!$A$2:$F$397,6)</f>
        <v>0</v>
      </c>
    </row>
    <row r="185" spans="1:6" x14ac:dyDescent="0.3">
      <c r="A185" s="328">
        <v>150001032</v>
      </c>
      <c r="B185" s="260" t="s">
        <v>369</v>
      </c>
      <c r="C185" s="30">
        <f>VLOOKUP($A185,'зарплата в цінах'!$A$2:$F$397,3)</f>
        <v>470.53</v>
      </c>
      <c r="D185" s="30">
        <f>VLOOKUP($A185,'зарплата в цінах'!$A$2:$F$397,4)</f>
        <v>63</v>
      </c>
      <c r="E185" s="30">
        <f>VLOOKUP($A185,'зарплата в цінах'!$A$2:$F$397,5)</f>
        <v>58.44</v>
      </c>
      <c r="F185" s="30">
        <f>VLOOKUP($A185,'зарплата в цінах'!$A$2:$F$397,6)</f>
        <v>471.58</v>
      </c>
    </row>
    <row r="186" spans="1:6" x14ac:dyDescent="0.3">
      <c r="A186" s="328">
        <v>150000537</v>
      </c>
      <c r="B186" s="434" t="s">
        <v>105</v>
      </c>
      <c r="C186" s="30">
        <f>VLOOKUP($A186,'зарплата в цінах'!$A$2:$F$397,3)</f>
        <v>0</v>
      </c>
      <c r="D186" s="30">
        <f>VLOOKUP($A186,'зарплата в цінах'!$A$2:$F$397,4)</f>
        <v>0</v>
      </c>
      <c r="E186" s="30">
        <f>VLOOKUP($A186,'зарплата в цінах'!$A$2:$F$397,5)</f>
        <v>0</v>
      </c>
      <c r="F186" s="30">
        <f>VLOOKUP($A186,'зарплата в цінах'!$A$2:$F$397,6)</f>
        <v>0</v>
      </c>
    </row>
    <row r="187" spans="1:6" x14ac:dyDescent="0.3">
      <c r="A187" s="328">
        <v>150000545</v>
      </c>
      <c r="B187" s="434" t="s">
        <v>106</v>
      </c>
      <c r="C187" s="30">
        <f>VLOOKUP($A187,'зарплата в цінах'!$A$2:$F$397,3)</f>
        <v>0</v>
      </c>
      <c r="D187" s="30">
        <f>VLOOKUP($A187,'зарплата в цінах'!$A$2:$F$397,4)</f>
        <v>0</v>
      </c>
      <c r="E187" s="30">
        <f>VLOOKUP($A187,'зарплата в цінах'!$A$2:$F$397,5)</f>
        <v>0</v>
      </c>
      <c r="F187" s="30">
        <f>VLOOKUP($A187,'зарплата в цінах'!$A$2:$F$397,6)</f>
        <v>0</v>
      </c>
    </row>
    <row r="188" spans="1:6" x14ac:dyDescent="0.3">
      <c r="A188" s="328">
        <v>150000546</v>
      </c>
      <c r="B188" s="434" t="s">
        <v>107</v>
      </c>
      <c r="C188" s="30">
        <f>VLOOKUP($A188,'зарплата в цінах'!$A$2:$F$397,3)</f>
        <v>0</v>
      </c>
      <c r="D188" s="30">
        <f>VLOOKUP($A188,'зарплата в цінах'!$A$2:$F$397,4)</f>
        <v>0</v>
      </c>
      <c r="E188" s="30">
        <f>VLOOKUP($A188,'зарплата в цінах'!$A$2:$F$397,5)</f>
        <v>0</v>
      </c>
      <c r="F188" s="30">
        <f>VLOOKUP($A188,'зарплата в цінах'!$A$2:$F$397,6)</f>
        <v>0</v>
      </c>
    </row>
    <row r="189" spans="1:6" x14ac:dyDescent="0.3">
      <c r="A189" s="328">
        <v>150000502</v>
      </c>
      <c r="B189" s="434" t="s">
        <v>108</v>
      </c>
      <c r="C189" s="30">
        <f>VLOOKUP($A189,'зарплата в цінах'!$A$2:$F$397,3)</f>
        <v>0</v>
      </c>
      <c r="D189" s="30">
        <f>VLOOKUP($A189,'зарплата в цінах'!$A$2:$F$397,4)</f>
        <v>0</v>
      </c>
      <c r="E189" s="30">
        <f>VLOOKUP($A189,'зарплата в цінах'!$A$2:$F$397,5)</f>
        <v>0</v>
      </c>
      <c r="F189" s="30">
        <f>VLOOKUP($A189,'зарплата в цінах'!$A$2:$F$397,6)</f>
        <v>0</v>
      </c>
    </row>
    <row r="190" spans="1:6" x14ac:dyDescent="0.3">
      <c r="A190" s="328">
        <v>150000503</v>
      </c>
      <c r="B190" s="434" t="s">
        <v>109</v>
      </c>
      <c r="C190" s="30">
        <f>VLOOKUP($A190,'зарплата в цінах'!$A$2:$F$397,3)</f>
        <v>0.01</v>
      </c>
      <c r="D190" s="30">
        <f>VLOOKUP($A190,'зарплата в цінах'!$A$2:$F$397,4)</f>
        <v>0</v>
      </c>
      <c r="E190" s="30">
        <f>VLOOKUP($A190,'зарплата в цінах'!$A$2:$F$397,5)</f>
        <v>0</v>
      </c>
      <c r="F190" s="30">
        <f>VLOOKUP($A190,'зарплата в цінах'!$A$2:$F$397,6)</f>
        <v>0</v>
      </c>
    </row>
    <row r="191" spans="1:6" x14ac:dyDescent="0.3">
      <c r="A191" s="328">
        <v>150000504</v>
      </c>
      <c r="B191" s="434" t="s">
        <v>110</v>
      </c>
      <c r="C191" s="30">
        <f>VLOOKUP($A191,'зарплата в цінах'!$A$2:$F$397,3)</f>
        <v>0</v>
      </c>
      <c r="D191" s="30">
        <f>VLOOKUP($A191,'зарплата в цінах'!$A$2:$F$397,4)</f>
        <v>0</v>
      </c>
      <c r="E191" s="30">
        <f>VLOOKUP($A191,'зарплата в цінах'!$A$2:$F$397,5)</f>
        <v>0</v>
      </c>
      <c r="F191" s="30">
        <f>VLOOKUP($A191,'зарплата в цінах'!$A$2:$F$397,6)</f>
        <v>0</v>
      </c>
    </row>
    <row r="192" spans="1:6" x14ac:dyDescent="0.3">
      <c r="A192" s="328">
        <v>150000506</v>
      </c>
      <c r="B192" s="434" t="s">
        <v>111</v>
      </c>
      <c r="C192" s="30">
        <f>VLOOKUP($A192,'зарплата в цінах'!$A$2:$F$397,3)</f>
        <v>0</v>
      </c>
      <c r="D192" s="30">
        <f>VLOOKUP($A192,'зарплата в цінах'!$A$2:$F$397,4)</f>
        <v>0</v>
      </c>
      <c r="E192" s="30">
        <f>VLOOKUP($A192,'зарплата в цінах'!$A$2:$F$397,5)</f>
        <v>0</v>
      </c>
      <c r="F192" s="30">
        <f>VLOOKUP($A192,'зарплата в цінах'!$A$2:$F$397,6)</f>
        <v>0</v>
      </c>
    </row>
    <row r="193" spans="1:6" x14ac:dyDescent="0.3">
      <c r="A193" s="328">
        <v>150000505</v>
      </c>
      <c r="B193" s="434" t="s">
        <v>112</v>
      </c>
      <c r="C193" s="30">
        <f>VLOOKUP($A193,'зарплата в цінах'!$A$2:$F$397,3)</f>
        <v>0</v>
      </c>
      <c r="D193" s="30">
        <f>VLOOKUP($A193,'зарплата в цінах'!$A$2:$F$397,4)</f>
        <v>0</v>
      </c>
      <c r="E193" s="30">
        <f>VLOOKUP($A193,'зарплата в цінах'!$A$2:$F$397,5)</f>
        <v>0</v>
      </c>
      <c r="F193" s="30">
        <f>VLOOKUP($A193,'зарплата в цінах'!$A$2:$F$397,6)</f>
        <v>0</v>
      </c>
    </row>
    <row r="194" spans="1:6" x14ac:dyDescent="0.3">
      <c r="A194" s="328">
        <v>150000507</v>
      </c>
      <c r="B194" s="434" t="s">
        <v>113</v>
      </c>
      <c r="C194" s="30">
        <f>VLOOKUP($A194,'зарплата в цінах'!$A$2:$F$397,3)</f>
        <v>0</v>
      </c>
      <c r="D194" s="30">
        <f>VLOOKUP($A194,'зарплата в цінах'!$A$2:$F$397,4)</f>
        <v>0</v>
      </c>
      <c r="E194" s="30">
        <f>VLOOKUP($A194,'зарплата в цінах'!$A$2:$F$397,5)</f>
        <v>0</v>
      </c>
      <c r="F194" s="30">
        <f>VLOOKUP($A194,'зарплата в цінах'!$A$2:$F$397,6)</f>
        <v>0</v>
      </c>
    </row>
    <row r="195" spans="1:6" x14ac:dyDescent="0.3">
      <c r="A195" s="328">
        <v>150000508</v>
      </c>
      <c r="B195" s="434" t="s">
        <v>114</v>
      </c>
      <c r="C195" s="30">
        <f>VLOOKUP($A195,'зарплата в цінах'!$A$2:$F$397,3)</f>
        <v>0</v>
      </c>
      <c r="D195" s="30">
        <f>VLOOKUP($A195,'зарплата в цінах'!$A$2:$F$397,4)</f>
        <v>0</v>
      </c>
      <c r="E195" s="30">
        <f>VLOOKUP($A195,'зарплата в цінах'!$A$2:$F$397,5)</f>
        <v>0</v>
      </c>
      <c r="F195" s="30">
        <f>VLOOKUP($A195,'зарплата в цінах'!$A$2:$F$397,6)</f>
        <v>0</v>
      </c>
    </row>
    <row r="196" spans="1:6" x14ac:dyDescent="0.3">
      <c r="A196" s="328">
        <v>150000501</v>
      </c>
      <c r="B196" s="260" t="s">
        <v>263</v>
      </c>
      <c r="C196" s="30">
        <f>VLOOKUP($A196,'зарплата в цінах'!$A$2:$F$397,3)</f>
        <v>556.35</v>
      </c>
      <c r="D196" s="30">
        <f>VLOOKUP($A196,'зарплата в цінах'!$A$2:$F$397,4)</f>
        <v>116.69</v>
      </c>
      <c r="E196" s="30">
        <f>VLOOKUP($A196,'зарплата в цінах'!$A$2:$F$397,5)</f>
        <v>0</v>
      </c>
      <c r="F196" s="30">
        <f>VLOOKUP($A196,'зарплата в цінах'!$A$2:$F$397,6)</f>
        <v>418.69</v>
      </c>
    </row>
    <row r="197" spans="1:6" x14ac:dyDescent="0.3">
      <c r="A197" s="328">
        <v>150000778</v>
      </c>
      <c r="B197" s="260" t="s">
        <v>214</v>
      </c>
      <c r="C197" s="30">
        <f>VLOOKUP($A197,'зарплата в цінах'!$A$2:$F$397,3)</f>
        <v>241.98</v>
      </c>
      <c r="D197" s="30">
        <f>VLOOKUP($A197,'зарплата в цінах'!$A$2:$F$397,4)</f>
        <v>45.74</v>
      </c>
      <c r="E197" s="30">
        <f>VLOOKUP($A197,'зарплата в цінах'!$A$2:$F$397,5)</f>
        <v>0</v>
      </c>
      <c r="F197" s="30">
        <f>VLOOKUP($A197,'зарплата в цінах'!$A$2:$F$397,6)</f>
        <v>156</v>
      </c>
    </row>
    <row r="198" spans="1:6" x14ac:dyDescent="0.3">
      <c r="A198" s="328">
        <v>150001071</v>
      </c>
      <c r="B198" s="260" t="s">
        <v>167</v>
      </c>
      <c r="C198" s="30">
        <f>VLOOKUP($A198,'зарплата в цінах'!$A$2:$F$397,3)</f>
        <v>59.65</v>
      </c>
      <c r="D198" s="30">
        <f>VLOOKUP($A198,'зарплата в цінах'!$A$2:$F$397,4)</f>
        <v>9.75</v>
      </c>
      <c r="E198" s="30">
        <f>VLOOKUP($A198,'зарплата в цінах'!$A$2:$F$397,5)</f>
        <v>0</v>
      </c>
      <c r="F198" s="30">
        <f>VLOOKUP($A198,'зарплата в цінах'!$A$2:$F$397,6)</f>
        <v>36.42</v>
      </c>
    </row>
    <row r="199" spans="1:6" x14ac:dyDescent="0.3">
      <c r="A199" s="328">
        <v>150000768</v>
      </c>
      <c r="B199" s="434" t="s">
        <v>116</v>
      </c>
      <c r="C199" s="30">
        <f>VLOOKUP($A199,'зарплата в цінах'!$A$2:$F$397,3)</f>
        <v>0</v>
      </c>
      <c r="D199" s="30">
        <f>VLOOKUP($A199,'зарплата в цінах'!$A$2:$F$397,4)</f>
        <v>0</v>
      </c>
      <c r="E199" s="30">
        <f>VLOOKUP($A199,'зарплата в цінах'!$A$2:$F$397,5)</f>
        <v>0</v>
      </c>
      <c r="F199" s="30">
        <f>VLOOKUP($A199,'зарплата в цінах'!$A$2:$F$397,6)</f>
        <v>0</v>
      </c>
    </row>
    <row r="200" spans="1:6" x14ac:dyDescent="0.3">
      <c r="A200" s="328">
        <v>150000763</v>
      </c>
      <c r="B200" s="434" t="s">
        <v>117</v>
      </c>
      <c r="C200" s="30">
        <f>VLOOKUP($A200,'зарплата в цінах'!$A$2:$F$397,3)</f>
        <v>0</v>
      </c>
      <c r="D200" s="30">
        <f>VLOOKUP($A200,'зарплата в цінах'!$A$2:$F$397,4)</f>
        <v>0</v>
      </c>
      <c r="E200" s="30">
        <f>VLOOKUP($A200,'зарплата в цінах'!$A$2:$F$397,5)</f>
        <v>0</v>
      </c>
      <c r="F200" s="30">
        <f>VLOOKUP($A200,'зарплата в цінах'!$A$2:$F$397,6)</f>
        <v>0</v>
      </c>
    </row>
    <row r="201" spans="1:6" x14ac:dyDescent="0.3">
      <c r="A201" s="328">
        <v>150000764</v>
      </c>
      <c r="B201" s="434" t="s">
        <v>118</v>
      </c>
      <c r="C201" s="30">
        <f>VLOOKUP($A201,'зарплата в цінах'!$A$2:$F$397,3)</f>
        <v>0</v>
      </c>
      <c r="D201" s="30">
        <f>VLOOKUP($A201,'зарплата в цінах'!$A$2:$F$397,4)</f>
        <v>0</v>
      </c>
      <c r="E201" s="30">
        <f>VLOOKUP($A201,'зарплата в цінах'!$A$2:$F$397,5)</f>
        <v>0</v>
      </c>
      <c r="F201" s="30">
        <f>VLOOKUP($A201,'зарплата в цінах'!$A$2:$F$397,6)</f>
        <v>0</v>
      </c>
    </row>
    <row r="202" spans="1:6" x14ac:dyDescent="0.3">
      <c r="A202" s="328">
        <v>150000770</v>
      </c>
      <c r="B202" s="434" t="s">
        <v>119</v>
      </c>
      <c r="C202" s="30">
        <f>VLOOKUP($A202,'зарплата в цінах'!$A$2:$F$397,3)</f>
        <v>0</v>
      </c>
      <c r="D202" s="30">
        <f>VLOOKUP($A202,'зарплата в цінах'!$A$2:$F$397,4)</f>
        <v>0</v>
      </c>
      <c r="E202" s="30">
        <f>VLOOKUP($A202,'зарплата в цінах'!$A$2:$F$397,5)</f>
        <v>0</v>
      </c>
      <c r="F202" s="30">
        <f>VLOOKUP($A202,'зарплата в цінах'!$A$2:$F$397,6)</f>
        <v>0</v>
      </c>
    </row>
    <row r="203" spans="1:6" x14ac:dyDescent="0.3">
      <c r="A203" s="328">
        <v>150000777</v>
      </c>
      <c r="B203" s="260" t="s">
        <v>168</v>
      </c>
      <c r="C203" s="30">
        <f>VLOOKUP($A203,'зарплата в цінах'!$A$2:$F$397,3)</f>
        <v>49.68</v>
      </c>
      <c r="D203" s="30">
        <f>VLOOKUP($A203,'зарплата в цінах'!$A$2:$F$397,4)</f>
        <v>7.69</v>
      </c>
      <c r="E203" s="30">
        <f>VLOOKUP($A203,'зарплата в цінах'!$A$2:$F$397,5)</f>
        <v>0</v>
      </c>
      <c r="F203" s="30">
        <f>VLOOKUP($A203,'зарплата в цінах'!$A$2:$F$397,6)</f>
        <v>16.350000000000001</v>
      </c>
    </row>
    <row r="204" spans="1:6" x14ac:dyDescent="0.3">
      <c r="A204" s="328">
        <v>150000765</v>
      </c>
      <c r="B204" s="260" t="s">
        <v>264</v>
      </c>
      <c r="C204" s="30">
        <f>VLOOKUP($A204,'зарплата в цінах'!$A$2:$F$397,3)</f>
        <v>531.69000000000005</v>
      </c>
      <c r="D204" s="30">
        <f>VLOOKUP($A204,'зарплата в цінах'!$A$2:$F$397,4)</f>
        <v>110.9</v>
      </c>
      <c r="E204" s="30">
        <f>VLOOKUP($A204,'зарплата в цінах'!$A$2:$F$397,5)</f>
        <v>43.76</v>
      </c>
      <c r="F204" s="30">
        <f>VLOOKUP($A204,'зарплата в цінах'!$A$2:$F$397,6)</f>
        <v>373.24</v>
      </c>
    </row>
    <row r="205" spans="1:6" x14ac:dyDescent="0.3">
      <c r="A205" s="328">
        <v>150000683</v>
      </c>
      <c r="B205" s="434" t="s">
        <v>115</v>
      </c>
      <c r="C205" s="30">
        <f>VLOOKUP($A205,'зарплата в цінах'!$A$2:$F$397,3)</f>
        <v>0</v>
      </c>
      <c r="D205" s="30">
        <f>VLOOKUP($A205,'зарплата в цінах'!$A$2:$F$397,4)</f>
        <v>0</v>
      </c>
      <c r="E205" s="30">
        <f>VLOOKUP($A205,'зарплата в цінах'!$A$2:$F$397,5)</f>
        <v>0</v>
      </c>
      <c r="F205" s="30">
        <f>VLOOKUP($A205,'зарплата в цінах'!$A$2:$F$397,6)</f>
        <v>0</v>
      </c>
    </row>
    <row r="206" spans="1:6" x14ac:dyDescent="0.3">
      <c r="A206" s="328">
        <v>150000696</v>
      </c>
      <c r="B206" s="260" t="s">
        <v>370</v>
      </c>
      <c r="C206" s="30">
        <f>VLOOKUP($A206,'зарплата в цінах'!$A$2:$F$397,3)</f>
        <v>741.63</v>
      </c>
      <c r="D206" s="30">
        <f>VLOOKUP($A206,'зарплата в цінах'!$A$2:$F$397,4)</f>
        <v>139.52000000000001</v>
      </c>
      <c r="E206" s="30">
        <f>VLOOKUP($A206,'зарплата в цінах'!$A$2:$F$397,5)</f>
        <v>39.56</v>
      </c>
      <c r="F206" s="30">
        <f>VLOOKUP($A206,'зарплата в цінах'!$A$2:$F$397,6)</f>
        <v>391.63</v>
      </c>
    </row>
    <row r="207" spans="1:6" x14ac:dyDescent="0.3">
      <c r="A207" s="328">
        <v>150000697</v>
      </c>
      <c r="B207" s="260" t="s">
        <v>265</v>
      </c>
      <c r="C207" s="30">
        <f>VLOOKUP($A207,'зарплата в цінах'!$A$2:$F$397,3)</f>
        <v>355.93</v>
      </c>
      <c r="D207" s="30">
        <f>VLOOKUP($A207,'зарплата в цінах'!$A$2:$F$397,4)</f>
        <v>90.2</v>
      </c>
      <c r="E207" s="30">
        <f>VLOOKUP($A207,'зарплата в цінах'!$A$2:$F$397,5)</f>
        <v>23.98</v>
      </c>
      <c r="F207" s="30">
        <f>VLOOKUP($A207,'зарплата в цінах'!$A$2:$F$397,6)</f>
        <v>251.93</v>
      </c>
    </row>
    <row r="208" spans="1:6" x14ac:dyDescent="0.3">
      <c r="A208" s="328">
        <v>150000694</v>
      </c>
      <c r="B208" s="260" t="s">
        <v>371</v>
      </c>
      <c r="C208" s="30">
        <f>VLOOKUP($A208,'зарплата в цінах'!$A$2:$F$397,3)</f>
        <v>741.28</v>
      </c>
      <c r="D208" s="30">
        <f>VLOOKUP($A208,'зарплата в цінах'!$A$2:$F$397,4)</f>
        <v>139.44999999999999</v>
      </c>
      <c r="E208" s="30">
        <f>VLOOKUP($A208,'зарплата в цінах'!$A$2:$F$397,5)</f>
        <v>39.56</v>
      </c>
      <c r="F208" s="30">
        <f>VLOOKUP($A208,'зарплата в цінах'!$A$2:$F$397,6)</f>
        <v>390.82</v>
      </c>
    </row>
    <row r="209" spans="1:6" x14ac:dyDescent="0.3">
      <c r="A209" s="328">
        <v>150000695</v>
      </c>
      <c r="B209" s="260" t="s">
        <v>372</v>
      </c>
      <c r="C209" s="30">
        <f>VLOOKUP($A209,'зарплата в цінах'!$A$2:$F$397,3)</f>
        <v>742.25</v>
      </c>
      <c r="D209" s="30">
        <f>VLOOKUP($A209,'зарплата в цінах'!$A$2:$F$397,4)</f>
        <v>130.22</v>
      </c>
      <c r="E209" s="30">
        <f>VLOOKUP($A209,'зарплата в цінах'!$A$2:$F$397,5)</f>
        <v>39.56</v>
      </c>
      <c r="F209" s="30">
        <f>VLOOKUP($A209,'зарплата в цінах'!$A$2:$F$397,6)</f>
        <v>392.99</v>
      </c>
    </row>
    <row r="210" spans="1:6" x14ac:dyDescent="0.3">
      <c r="A210" s="328">
        <v>150000698</v>
      </c>
      <c r="B210" s="434" t="s">
        <v>120</v>
      </c>
      <c r="C210" s="30">
        <f>VLOOKUP($A210,'зарплата в цінах'!$A$2:$F$397,3)</f>
        <v>0</v>
      </c>
      <c r="D210" s="30">
        <f>VLOOKUP($A210,'зарплата в цінах'!$A$2:$F$397,4)</f>
        <v>0</v>
      </c>
      <c r="E210" s="30">
        <f>VLOOKUP($A210,'зарплата в цінах'!$A$2:$F$397,5)</f>
        <v>0</v>
      </c>
      <c r="F210" s="30">
        <f>VLOOKUP($A210,'зарплата в цінах'!$A$2:$F$397,6)</f>
        <v>0</v>
      </c>
    </row>
    <row r="211" spans="1:6" x14ac:dyDescent="0.3">
      <c r="A211" s="328">
        <v>150000699</v>
      </c>
      <c r="B211" s="260" t="s">
        <v>373</v>
      </c>
      <c r="C211" s="30">
        <f>VLOOKUP($A211,'зарплата в цінах'!$A$2:$F$397,3)</f>
        <v>439.28</v>
      </c>
      <c r="D211" s="30">
        <f>VLOOKUP($A211,'зарплата в цінах'!$A$2:$F$397,4)</f>
        <v>58.77</v>
      </c>
      <c r="E211" s="30">
        <f>VLOOKUP($A211,'зарплата в цінах'!$A$2:$F$397,5)</f>
        <v>26.37</v>
      </c>
      <c r="F211" s="30">
        <f>VLOOKUP($A211,'зарплата в цінах'!$A$2:$F$397,6)</f>
        <v>182.64</v>
      </c>
    </row>
    <row r="212" spans="1:6" x14ac:dyDescent="0.3">
      <c r="A212" s="328">
        <v>150000928</v>
      </c>
      <c r="B212" s="260" t="s">
        <v>169</v>
      </c>
      <c r="C212" s="30">
        <f>VLOOKUP($A212,'зарплата в цінах'!$A$2:$F$397,3)</f>
        <v>85.24</v>
      </c>
      <c r="D212" s="30">
        <f>VLOOKUP($A212,'зарплата в цінах'!$A$2:$F$397,4)</f>
        <v>19.010000000000002</v>
      </c>
      <c r="E212" s="30">
        <f>VLOOKUP($A212,'зарплата в цінах'!$A$2:$F$397,5)</f>
        <v>0</v>
      </c>
      <c r="F212" s="30">
        <f>VLOOKUP($A212,'зарплата в цінах'!$A$2:$F$397,6)</f>
        <v>36.04</v>
      </c>
    </row>
    <row r="213" spans="1:6" x14ac:dyDescent="0.3">
      <c r="A213" s="328">
        <v>150000951</v>
      </c>
      <c r="B213" s="260" t="s">
        <v>170</v>
      </c>
      <c r="C213" s="30">
        <f>VLOOKUP($A213,'зарплата в цінах'!$A$2:$F$397,3)</f>
        <v>0</v>
      </c>
      <c r="D213" s="30">
        <f>VLOOKUP($A213,'зарплата в цінах'!$A$2:$F$397,4)</f>
        <v>0</v>
      </c>
      <c r="E213" s="30">
        <f>VLOOKUP($A213,'зарплата в цінах'!$A$2:$F$397,5)</f>
        <v>0</v>
      </c>
      <c r="F213" s="30">
        <f>VLOOKUP($A213,'зарплата в цінах'!$A$2:$F$397,6)</f>
        <v>34.119999999999997</v>
      </c>
    </row>
    <row r="214" spans="1:6" x14ac:dyDescent="0.3">
      <c r="A214" s="328">
        <v>150000954</v>
      </c>
      <c r="B214" s="260" t="s">
        <v>171</v>
      </c>
      <c r="C214" s="30">
        <f>VLOOKUP($A214,'зарплата в цінах'!$A$2:$F$397,3)</f>
        <v>41.22</v>
      </c>
      <c r="D214" s="30">
        <f>VLOOKUP($A214,'зарплата в цінах'!$A$2:$F$397,4)</f>
        <v>8.18</v>
      </c>
      <c r="E214" s="30">
        <f>VLOOKUP($A214,'зарплата в цінах'!$A$2:$F$397,5)</f>
        <v>0</v>
      </c>
      <c r="F214" s="30">
        <f>VLOOKUP($A214,'зарплата в цінах'!$A$2:$F$397,6)</f>
        <v>22.55</v>
      </c>
    </row>
    <row r="215" spans="1:6" x14ac:dyDescent="0.3">
      <c r="A215" s="328">
        <v>150000929</v>
      </c>
      <c r="B215" s="260" t="s">
        <v>1096</v>
      </c>
      <c r="C215" s="30">
        <f>VLOOKUP($A215,'зарплата в цінах'!$A$2:$F$397,3)</f>
        <v>89.44</v>
      </c>
      <c r="D215" s="30">
        <f>VLOOKUP($A215,'зарплата в цінах'!$A$2:$F$397,4)</f>
        <v>19.010000000000002</v>
      </c>
      <c r="E215" s="30">
        <f>VLOOKUP($A215,'зарплата в цінах'!$A$2:$F$397,5)</f>
        <v>0</v>
      </c>
      <c r="F215" s="30">
        <f>VLOOKUP($A215,'зарплата в цінах'!$A$2:$F$397,6)</f>
        <v>36.04</v>
      </c>
    </row>
    <row r="216" spans="1:6" x14ac:dyDescent="0.3">
      <c r="A216" s="328">
        <v>150000930</v>
      </c>
      <c r="B216" s="260" t="s">
        <v>172</v>
      </c>
      <c r="C216" s="30">
        <f>VLOOKUP($A216,'зарплата в цінах'!$A$2:$F$397,3)</f>
        <v>28.33</v>
      </c>
      <c r="D216" s="30">
        <f>VLOOKUP($A216,'зарплата в цінах'!$A$2:$F$397,4)</f>
        <v>11.5</v>
      </c>
      <c r="E216" s="30">
        <f>VLOOKUP($A216,'зарплата в цінах'!$A$2:$F$397,5)</f>
        <v>0</v>
      </c>
      <c r="F216" s="30">
        <f>VLOOKUP($A216,'зарплата в цінах'!$A$2:$F$397,6)</f>
        <v>12.33</v>
      </c>
    </row>
    <row r="217" spans="1:6" x14ac:dyDescent="0.3">
      <c r="A217" s="328">
        <v>150000931</v>
      </c>
      <c r="B217" s="260" t="s">
        <v>266</v>
      </c>
      <c r="C217" s="30">
        <f>VLOOKUP($A217,'зарплата в цінах'!$A$2:$F$397,3)</f>
        <v>264.92</v>
      </c>
      <c r="D217" s="30">
        <f>VLOOKUP($A217,'зарплата в цінах'!$A$2:$F$397,4)</f>
        <v>55.89</v>
      </c>
      <c r="E217" s="30">
        <f>VLOOKUP($A217,'зарплата в цінах'!$A$2:$F$397,5)</f>
        <v>17.98</v>
      </c>
      <c r="F217" s="30">
        <f>VLOOKUP($A217,'зарплата в цінах'!$A$2:$F$397,6)</f>
        <v>180.49</v>
      </c>
    </row>
    <row r="218" spans="1:6" x14ac:dyDescent="0.3">
      <c r="A218" s="328">
        <v>150000932</v>
      </c>
      <c r="B218" s="260" t="s">
        <v>173</v>
      </c>
      <c r="C218" s="30">
        <f>VLOOKUP($A218,'зарплата в цінах'!$A$2:$F$397,3)</f>
        <v>14.442</v>
      </c>
      <c r="D218" s="30">
        <f>VLOOKUP($A218,'зарплата в цінах'!$A$2:$F$397,4)</f>
        <v>8.18</v>
      </c>
      <c r="E218" s="30">
        <f>VLOOKUP($A218,'зарплата в цінах'!$A$2:$F$397,5)</f>
        <v>0</v>
      </c>
      <c r="F218" s="30">
        <f>VLOOKUP($A218,'зарплата в цінах'!$A$2:$F$397,6)</f>
        <v>3.71</v>
      </c>
    </row>
    <row r="219" spans="1:6" x14ac:dyDescent="0.3">
      <c r="A219" s="328">
        <v>150000924</v>
      </c>
      <c r="B219" s="260" t="s">
        <v>174</v>
      </c>
      <c r="C219" s="30">
        <f>VLOOKUP($A219,'зарплата в цінах'!$A$2:$F$397,3)</f>
        <v>80.08</v>
      </c>
      <c r="D219" s="30">
        <f>VLOOKUP($A219,'зарплата в цінах'!$A$2:$F$397,4)</f>
        <v>22.18</v>
      </c>
      <c r="E219" s="30">
        <f>VLOOKUP($A219,'зарплата в цінах'!$A$2:$F$397,5)</f>
        <v>0</v>
      </c>
      <c r="F219" s="30">
        <f>VLOOKUP($A219,'зарплата в цінах'!$A$2:$F$397,6)</f>
        <v>36.61</v>
      </c>
    </row>
    <row r="220" spans="1:6" x14ac:dyDescent="0.3">
      <c r="A220" s="328">
        <v>150000933</v>
      </c>
      <c r="B220" s="260" t="s">
        <v>267</v>
      </c>
      <c r="C220" s="30">
        <f>VLOOKUP($A220,'зарплата в цінах'!$A$2:$F$397,3)</f>
        <v>467.81</v>
      </c>
      <c r="D220" s="30">
        <f>VLOOKUP($A220,'зарплата в цінах'!$A$2:$F$397,4)</f>
        <v>97.61</v>
      </c>
      <c r="E220" s="30">
        <f>VLOOKUP($A220,'зарплата в цінах'!$A$2:$F$397,5)</f>
        <v>29.97</v>
      </c>
      <c r="F220" s="30">
        <f>VLOOKUP($A220,'зарплата в цінах'!$A$2:$F$397,6)</f>
        <v>336.23</v>
      </c>
    </row>
    <row r="221" spans="1:6" x14ac:dyDescent="0.3">
      <c r="A221" s="328">
        <v>150000934</v>
      </c>
      <c r="B221" s="260" t="s">
        <v>215</v>
      </c>
      <c r="C221" s="30">
        <f>VLOOKUP($A221,'зарплата в цінах'!$A$2:$F$397,3)</f>
        <v>219.15</v>
      </c>
      <c r="D221" s="30">
        <f>VLOOKUP($A221,'зарплата в цінах'!$A$2:$F$397,4)</f>
        <v>31.68</v>
      </c>
      <c r="E221" s="30">
        <f>VLOOKUP($A221,'зарплата в цінах'!$A$2:$F$397,5)</f>
        <v>0</v>
      </c>
      <c r="F221" s="30">
        <f>VLOOKUP($A221,'зарплата в цінах'!$A$2:$F$397,6)</f>
        <v>139.53</v>
      </c>
    </row>
    <row r="222" spans="1:6" x14ac:dyDescent="0.3">
      <c r="A222" s="328">
        <v>150000935</v>
      </c>
      <c r="B222" s="260" t="s">
        <v>175</v>
      </c>
      <c r="C222" s="30">
        <f>VLOOKUP($A222,'зарплата в цінах'!$A$2:$F$397,3)</f>
        <v>18.506999999999998</v>
      </c>
      <c r="D222" s="30">
        <f>VLOOKUP($A222,'зарплата в цінах'!$A$2:$F$397,4)</f>
        <v>9.4600000000000009</v>
      </c>
      <c r="E222" s="30">
        <f>VLOOKUP($A222,'зарплата в цінах'!$A$2:$F$397,5)</f>
        <v>0</v>
      </c>
      <c r="F222" s="30">
        <f>VLOOKUP($A222,'зарплата в цінах'!$A$2:$F$397,6)</f>
        <v>12.125</v>
      </c>
    </row>
    <row r="223" spans="1:6" x14ac:dyDescent="0.3">
      <c r="A223" s="328">
        <v>150000936</v>
      </c>
      <c r="B223" s="434" t="s">
        <v>121</v>
      </c>
      <c r="C223" s="30">
        <f>VLOOKUP($A223,'зарплата в цінах'!$A$2:$F$397,3)</f>
        <v>0</v>
      </c>
      <c r="D223" s="30">
        <f>VLOOKUP($A223,'зарплата в цінах'!$A$2:$F$397,4)</f>
        <v>0</v>
      </c>
      <c r="E223" s="30">
        <f>VLOOKUP($A223,'зарплата в цінах'!$A$2:$F$397,5)</f>
        <v>0</v>
      </c>
      <c r="F223" s="30">
        <f>VLOOKUP($A223,'зарплата в цінах'!$A$2:$F$397,6)</f>
        <v>0</v>
      </c>
    </row>
    <row r="224" spans="1:6" x14ac:dyDescent="0.3">
      <c r="A224" s="328">
        <v>150000937</v>
      </c>
      <c r="B224" s="260" t="s">
        <v>374</v>
      </c>
      <c r="C224" s="30">
        <f>VLOOKUP($A224,'зарплата в цінах'!$A$2:$F$397,3)</f>
        <v>194.72</v>
      </c>
      <c r="D224" s="30">
        <f>VLOOKUP($A224,'зарплата в цінах'!$A$2:$F$397,4)</f>
        <v>75.86</v>
      </c>
      <c r="E224" s="30">
        <f>VLOOKUP($A224,'зарплата в цінах'!$A$2:$F$397,5)</f>
        <v>38.96</v>
      </c>
      <c r="F224" s="30">
        <f>VLOOKUP($A224,'зарплата в цінах'!$A$2:$F$397,6)</f>
        <v>247.04</v>
      </c>
    </row>
    <row r="225" spans="1:6" x14ac:dyDescent="0.3">
      <c r="A225" s="328">
        <v>150000938</v>
      </c>
      <c r="B225" s="260" t="s">
        <v>375</v>
      </c>
      <c r="C225" s="30">
        <f>VLOOKUP($A225,'зарплата в цінах'!$A$2:$F$397,3)</f>
        <v>1784.68</v>
      </c>
      <c r="D225" s="30">
        <f>VLOOKUP($A225,'зарплата в цінах'!$A$2:$F$397,4)</f>
        <v>280.61</v>
      </c>
      <c r="E225" s="30">
        <f>VLOOKUP($A225,'зарплата в цінах'!$A$2:$F$397,5)</f>
        <v>92.31</v>
      </c>
      <c r="F225" s="30">
        <f>VLOOKUP($A225,'зарплата в цінах'!$A$2:$F$397,6)</f>
        <v>1125.78</v>
      </c>
    </row>
    <row r="226" spans="1:6" x14ac:dyDescent="0.3">
      <c r="A226" s="328">
        <v>150000925</v>
      </c>
      <c r="B226" s="260" t="s">
        <v>176</v>
      </c>
      <c r="C226" s="30">
        <f>VLOOKUP($A226,'зарплата в цінах'!$A$2:$F$397,3)</f>
        <v>80.11</v>
      </c>
      <c r="D226" s="30">
        <f>VLOOKUP($A226,'зарплата в цінах'!$A$2:$F$397,4)</f>
        <v>18.190000000000001</v>
      </c>
      <c r="E226" s="30">
        <f>VLOOKUP($A226,'зарплата в цінах'!$A$2:$F$397,5)</f>
        <v>0</v>
      </c>
      <c r="F226" s="30">
        <f>VLOOKUP($A226,'зарплата в цінах'!$A$2:$F$397,6)</f>
        <v>36.04</v>
      </c>
    </row>
    <row r="227" spans="1:6" x14ac:dyDescent="0.3">
      <c r="A227" s="328">
        <v>150000939</v>
      </c>
      <c r="B227" s="260" t="s">
        <v>336</v>
      </c>
      <c r="C227" s="30">
        <f>VLOOKUP($A227,'зарплата в цінах'!$A$2:$F$397,3)</f>
        <v>447.71</v>
      </c>
      <c r="D227" s="30">
        <f>VLOOKUP($A227,'зарплата в цінах'!$A$2:$F$397,4)</f>
        <v>77.88</v>
      </c>
      <c r="E227" s="30">
        <f>VLOOKUP($A227,'зарплата в цінах'!$A$2:$F$397,5)</f>
        <v>76.12</v>
      </c>
      <c r="F227" s="30">
        <f>VLOOKUP($A227,'зарплата в цінах'!$A$2:$F$397,6)</f>
        <v>239.82</v>
      </c>
    </row>
    <row r="228" spans="1:6" x14ac:dyDescent="0.3">
      <c r="A228" s="328">
        <v>150000926</v>
      </c>
      <c r="B228" s="260" t="s">
        <v>177</v>
      </c>
      <c r="C228" s="30">
        <f>VLOOKUP($A228,'зарплата в цінах'!$A$2:$F$397,3)</f>
        <v>47.56</v>
      </c>
      <c r="D228" s="30">
        <f>VLOOKUP($A228,'зарплата в цінах'!$A$2:$F$397,4)</f>
        <v>18.190000000000001</v>
      </c>
      <c r="E228" s="30">
        <f>VLOOKUP($A228,'зарплата в цінах'!$A$2:$F$397,5)</f>
        <v>0</v>
      </c>
      <c r="F228" s="30">
        <f>VLOOKUP($A228,'зарплата в цінах'!$A$2:$F$397,6)</f>
        <v>36.04</v>
      </c>
    </row>
    <row r="229" spans="1:6" x14ac:dyDescent="0.3">
      <c r="A229" s="328">
        <v>150000940</v>
      </c>
      <c r="B229" s="260" t="s">
        <v>376</v>
      </c>
      <c r="C229" s="30">
        <f>VLOOKUP($A229,'зарплата в цінах'!$A$2:$F$397,3)</f>
        <v>687.6</v>
      </c>
      <c r="D229" s="30">
        <f>VLOOKUP($A229,'зарплата в цінах'!$A$2:$F$397,4)</f>
        <v>119.2</v>
      </c>
      <c r="E229" s="30">
        <f>VLOOKUP($A229,'зарплата в цінах'!$A$2:$F$397,5)</f>
        <v>39.56</v>
      </c>
      <c r="F229" s="30">
        <f>VLOOKUP($A229,'зарплата в цінах'!$A$2:$F$397,6)</f>
        <v>473.15</v>
      </c>
    </row>
    <row r="230" spans="1:6" x14ac:dyDescent="0.3">
      <c r="A230" s="328">
        <v>150000941</v>
      </c>
      <c r="B230" s="260" t="s">
        <v>337</v>
      </c>
      <c r="C230" s="30">
        <f>VLOOKUP($A230,'зарплата в цінах'!$A$2:$F$397,3)</f>
        <v>336.68</v>
      </c>
      <c r="D230" s="30">
        <f>VLOOKUP($A230,'зарплата в цінах'!$A$2:$F$397,4)</f>
        <v>95.26</v>
      </c>
      <c r="E230" s="30">
        <f>VLOOKUP($A230,'зарплата в цінах'!$A$2:$F$397,5)</f>
        <v>36.86</v>
      </c>
      <c r="F230" s="30">
        <f>VLOOKUP($A230,'зарплата в цінах'!$A$2:$F$397,6)</f>
        <v>378.37</v>
      </c>
    </row>
    <row r="231" spans="1:6" x14ac:dyDescent="0.3">
      <c r="A231" s="328">
        <v>150000957</v>
      </c>
      <c r="B231" s="260" t="s">
        <v>377</v>
      </c>
      <c r="C231" s="30">
        <f>VLOOKUP($A231,'зарплата в цінах'!$A$2:$F$397,3)</f>
        <v>266.77999999999997</v>
      </c>
      <c r="D231" s="30">
        <f>VLOOKUP($A231,'зарплата в цінах'!$A$2:$F$397,4)</f>
        <v>40.619999999999997</v>
      </c>
      <c r="E231" s="30">
        <f>VLOOKUP($A231,'зарплата в цінах'!$A$2:$F$397,5)</f>
        <v>13.19</v>
      </c>
      <c r="F231" s="30">
        <f>VLOOKUP($A231,'зарплата в цінах'!$A$2:$F$397,6)</f>
        <v>72.95</v>
      </c>
    </row>
    <row r="232" spans="1:6" x14ac:dyDescent="0.3">
      <c r="A232" s="328">
        <v>150000960</v>
      </c>
      <c r="B232" s="260" t="s">
        <v>378</v>
      </c>
      <c r="C232" s="30">
        <f>VLOOKUP($A232,'зарплата в цінах'!$A$2:$F$397,3)</f>
        <v>527.13</v>
      </c>
      <c r="D232" s="30">
        <f>VLOOKUP($A232,'зарплата в цінах'!$A$2:$F$397,4)</f>
        <v>81.239999999999995</v>
      </c>
      <c r="E232" s="30">
        <f>VLOOKUP($A232,'зарплата в цінах'!$A$2:$F$397,5)</f>
        <v>26.37</v>
      </c>
      <c r="F232" s="30">
        <f>VLOOKUP($A232,'зарплата в цінах'!$A$2:$F$397,6)</f>
        <v>195.04</v>
      </c>
    </row>
    <row r="233" spans="1:6" x14ac:dyDescent="0.3">
      <c r="A233" s="328">
        <v>150000963</v>
      </c>
      <c r="B233" s="260" t="s">
        <v>379</v>
      </c>
      <c r="C233" s="30">
        <f>VLOOKUP($A233,'зарплата в цінах'!$A$2:$F$397,3)</f>
        <v>266.77999999999997</v>
      </c>
      <c r="D233" s="30">
        <f>VLOOKUP($A233,'зарплата в цінах'!$A$2:$F$397,4)</f>
        <v>40.619999999999997</v>
      </c>
      <c r="E233" s="30">
        <f>VLOOKUP($A233,'зарплата в цінах'!$A$2:$F$397,5)</f>
        <v>13.19</v>
      </c>
      <c r="F233" s="30">
        <f>VLOOKUP($A233,'зарплата в цінах'!$A$2:$F$397,6)</f>
        <v>72.95</v>
      </c>
    </row>
    <row r="234" spans="1:6" x14ac:dyDescent="0.3">
      <c r="A234" s="328">
        <v>150000927</v>
      </c>
      <c r="B234" s="260" t="s">
        <v>178</v>
      </c>
      <c r="C234" s="30">
        <f>VLOOKUP($A234,'зарплата в цінах'!$A$2:$F$397,3)</f>
        <v>94.17</v>
      </c>
      <c r="D234" s="30">
        <f>VLOOKUP($A234,'зарплата в цінах'!$A$2:$F$397,4)</f>
        <v>24.05</v>
      </c>
      <c r="E234" s="30">
        <f>VLOOKUP($A234,'зарплата в цінах'!$A$2:$F$397,5)</f>
        <v>0</v>
      </c>
      <c r="F234" s="30">
        <f>VLOOKUP($A234,'зарплата в цінах'!$A$2:$F$397,6)</f>
        <v>36.61</v>
      </c>
    </row>
    <row r="235" spans="1:6" x14ac:dyDescent="0.3">
      <c r="A235" s="328">
        <v>150000958</v>
      </c>
      <c r="B235" s="260" t="s">
        <v>380</v>
      </c>
      <c r="C235" s="30">
        <f>VLOOKUP($A235,'зарплата в цінах'!$A$2:$F$397,3)</f>
        <v>266.77999999999997</v>
      </c>
      <c r="D235" s="30">
        <f>VLOOKUP($A235,'зарплата в цінах'!$A$2:$F$397,4)</f>
        <v>40.619999999999997</v>
      </c>
      <c r="E235" s="30">
        <f>VLOOKUP($A235,'зарплата в цінах'!$A$2:$F$397,5)</f>
        <v>13.19</v>
      </c>
      <c r="F235" s="30">
        <f>VLOOKUP($A235,'зарплата в цінах'!$A$2:$F$397,6)</f>
        <v>72.95</v>
      </c>
    </row>
    <row r="236" spans="1:6" x14ac:dyDescent="0.3">
      <c r="A236" s="328">
        <v>150000961</v>
      </c>
      <c r="B236" s="260" t="s">
        <v>381</v>
      </c>
      <c r="C236" s="30">
        <f>VLOOKUP($A236,'зарплата в цінах'!$A$2:$F$397,3)</f>
        <v>525.17999999999995</v>
      </c>
      <c r="D236" s="30">
        <f>VLOOKUP($A236,'зарплата в цінах'!$A$2:$F$397,4)</f>
        <v>81.239999999999995</v>
      </c>
      <c r="E236" s="30">
        <f>VLOOKUP($A236,'зарплата в цінах'!$A$2:$F$397,5)</f>
        <v>26.37</v>
      </c>
      <c r="F236" s="30">
        <f>VLOOKUP($A236,'зарплата в цінах'!$A$2:$F$397,6)</f>
        <v>206.24</v>
      </c>
    </row>
    <row r="237" spans="1:6" x14ac:dyDescent="0.3">
      <c r="A237" s="328">
        <v>150000964</v>
      </c>
      <c r="B237" s="260" t="s">
        <v>382</v>
      </c>
      <c r="C237" s="30">
        <f>VLOOKUP($A237,'зарплата в цінах'!$A$2:$F$397,3)</f>
        <v>266.77999999999997</v>
      </c>
      <c r="D237" s="30">
        <f>VLOOKUP($A237,'зарплата в цінах'!$A$2:$F$397,4)</f>
        <v>40.619999999999997</v>
      </c>
      <c r="E237" s="30">
        <f>VLOOKUP($A237,'зарплата в цінах'!$A$2:$F$397,5)</f>
        <v>13.19</v>
      </c>
      <c r="F237" s="30">
        <f>VLOOKUP($A237,'зарплата в цінах'!$A$2:$F$397,6)</f>
        <v>72.95</v>
      </c>
    </row>
    <row r="238" spans="1:6" x14ac:dyDescent="0.3">
      <c r="A238" s="328">
        <v>150000943</v>
      </c>
      <c r="B238" s="434" t="s">
        <v>122</v>
      </c>
      <c r="C238" s="30">
        <f>VLOOKUP($A238,'зарплата в цінах'!$A$2:$F$397,3)</f>
        <v>0</v>
      </c>
      <c r="D238" s="30">
        <f>VLOOKUP($A238,'зарплата в цінах'!$A$2:$F$397,4)</f>
        <v>0</v>
      </c>
      <c r="E238" s="30">
        <f>VLOOKUP($A238,'зарплата в цінах'!$A$2:$F$397,5)</f>
        <v>0</v>
      </c>
      <c r="F238" s="30">
        <f>VLOOKUP($A238,'зарплата в цінах'!$A$2:$F$397,6)</f>
        <v>0</v>
      </c>
    </row>
    <row r="239" spans="1:6" x14ac:dyDescent="0.3">
      <c r="A239" s="328">
        <v>150000944</v>
      </c>
      <c r="B239" s="434" t="s">
        <v>123</v>
      </c>
      <c r="C239" s="30">
        <f>VLOOKUP($A239,'зарплата в цінах'!$A$2:$F$397,3)</f>
        <v>0</v>
      </c>
      <c r="D239" s="30">
        <f>VLOOKUP($A239,'зарплата в цінах'!$A$2:$F$397,4)</f>
        <v>0</v>
      </c>
      <c r="E239" s="30">
        <f>VLOOKUP($A239,'зарплата в цінах'!$A$2:$F$397,5)</f>
        <v>0</v>
      </c>
      <c r="F239" s="30">
        <f>VLOOKUP($A239,'зарплата в цінах'!$A$2:$F$397,6)</f>
        <v>0</v>
      </c>
    </row>
    <row r="240" spans="1:6" x14ac:dyDescent="0.3">
      <c r="A240" s="328">
        <v>150000945</v>
      </c>
      <c r="B240" s="260" t="s">
        <v>421</v>
      </c>
      <c r="C240" s="30">
        <f>VLOOKUP($A240,'зарплата в цінах'!$A$2:$F$397,3)</f>
        <v>840.09</v>
      </c>
      <c r="D240" s="30">
        <f>VLOOKUP($A240,'зарплата в цінах'!$A$2:$F$397,4)</f>
        <v>132.19999999999999</v>
      </c>
      <c r="E240" s="30">
        <f>VLOOKUP($A240,'зарплата в цінах'!$A$2:$F$397,5)</f>
        <v>42.26</v>
      </c>
      <c r="F240" s="30">
        <f>VLOOKUP($A240,'зарплата в цінах'!$A$2:$F$397,6)</f>
        <v>329.11</v>
      </c>
    </row>
    <row r="241" spans="1:6" x14ac:dyDescent="0.3">
      <c r="A241" s="328">
        <v>150000946</v>
      </c>
      <c r="B241" s="434" t="s">
        <v>124</v>
      </c>
      <c r="C241" s="30">
        <f>VLOOKUP($A241,'зарплата в цінах'!$A$2:$F$397,3)</f>
        <v>0</v>
      </c>
      <c r="D241" s="30">
        <f>VLOOKUP($A241,'зарплата в цінах'!$A$2:$F$397,4)</f>
        <v>0</v>
      </c>
      <c r="E241" s="30">
        <f>VLOOKUP($A241,'зарплата в цінах'!$A$2:$F$397,5)</f>
        <v>0</v>
      </c>
      <c r="F241" s="30">
        <f>VLOOKUP($A241,'зарплата в цінах'!$A$2:$F$397,6)</f>
        <v>0</v>
      </c>
    </row>
    <row r="242" spans="1:6" x14ac:dyDescent="0.3">
      <c r="A242" s="328">
        <v>150000947</v>
      </c>
      <c r="B242" s="260" t="s">
        <v>268</v>
      </c>
      <c r="C242" s="30">
        <f>VLOOKUP($A242,'зарплата в цінах'!$A$2:$F$397,3)</f>
        <v>375.88</v>
      </c>
      <c r="D242" s="30">
        <f>VLOOKUP($A242,'зарплата в цінах'!$A$2:$F$397,4)</f>
        <v>79.150000000000006</v>
      </c>
      <c r="E242" s="30">
        <f>VLOOKUP($A242,'зарплата в цінах'!$A$2:$F$397,5)</f>
        <v>23.98</v>
      </c>
      <c r="F242" s="30">
        <f>VLOOKUP($A242,'зарплата в цінах'!$A$2:$F$397,6)</f>
        <v>252.85</v>
      </c>
    </row>
    <row r="243" spans="1:6" x14ac:dyDescent="0.3">
      <c r="A243" s="328">
        <v>150000948</v>
      </c>
      <c r="B243" s="260" t="s">
        <v>383</v>
      </c>
      <c r="C243" s="30">
        <f>VLOOKUP($A243,'зарплата в цінах'!$A$2:$F$397,3)</f>
        <v>568.75</v>
      </c>
      <c r="D243" s="30">
        <f>VLOOKUP($A243,'зарплата в цінах'!$A$2:$F$397,4)</f>
        <v>118.8</v>
      </c>
      <c r="E243" s="30">
        <f>VLOOKUP($A243,'зарплата в цінах'!$A$2:$F$397,5)</f>
        <v>29.37</v>
      </c>
      <c r="F243" s="30">
        <f>VLOOKUP($A243,'зарплата в цінах'!$A$2:$F$397,6)</f>
        <v>394.66</v>
      </c>
    </row>
    <row r="244" spans="1:6" x14ac:dyDescent="0.3">
      <c r="A244" s="328">
        <v>150000949</v>
      </c>
      <c r="B244" s="260" t="s">
        <v>384</v>
      </c>
      <c r="C244" s="30">
        <f>VLOOKUP($A244,'зарплата в цінах'!$A$2:$F$397,3)</f>
        <v>806.97</v>
      </c>
      <c r="D244" s="30">
        <f>VLOOKUP($A244,'зарплата в цінах'!$A$2:$F$397,4)</f>
        <v>165.63</v>
      </c>
      <c r="E244" s="30">
        <f>VLOOKUP($A244,'зарплата в цінах'!$A$2:$F$397,5)</f>
        <v>97.4</v>
      </c>
      <c r="F244" s="30">
        <f>VLOOKUP($A244,'зарплата в цінах'!$A$2:$F$397,6)</f>
        <v>703.69</v>
      </c>
    </row>
    <row r="245" spans="1:6" x14ac:dyDescent="0.3">
      <c r="A245" s="328">
        <v>150001044</v>
      </c>
      <c r="B245" s="260" t="s">
        <v>269</v>
      </c>
      <c r="C245" s="30">
        <f>VLOOKUP($A245,'зарплата в цінах'!$A$2:$F$397,3)</f>
        <v>404.7</v>
      </c>
      <c r="D245" s="30">
        <f>VLOOKUP($A245,'зарплата в цінах'!$A$2:$F$397,4)</f>
        <v>77.56</v>
      </c>
      <c r="E245" s="30">
        <f>VLOOKUP($A245,'зарплата в цінах'!$A$2:$F$397,5)</f>
        <v>0</v>
      </c>
      <c r="F245" s="30">
        <f>VLOOKUP($A245,'зарплата в цінах'!$A$2:$F$397,6)</f>
        <v>236.2</v>
      </c>
    </row>
    <row r="246" spans="1:6" x14ac:dyDescent="0.3">
      <c r="A246" s="328">
        <v>150001050</v>
      </c>
      <c r="B246" s="260" t="s">
        <v>270</v>
      </c>
      <c r="C246" s="30">
        <f>VLOOKUP($A246,'зарплата в цінах'!$A$2:$F$397,3)</f>
        <v>407.36</v>
      </c>
      <c r="D246" s="30">
        <f>VLOOKUP($A246,'зарплата в цінах'!$A$2:$F$397,4)</f>
        <v>70</v>
      </c>
      <c r="E246" s="30">
        <f>VLOOKUP($A246,'зарплата в цінах'!$A$2:$F$397,5)</f>
        <v>0</v>
      </c>
      <c r="F246" s="30">
        <f>VLOOKUP($A246,'зарплата в цінах'!$A$2:$F$397,6)</f>
        <v>239.74</v>
      </c>
    </row>
    <row r="247" spans="1:6" x14ac:dyDescent="0.3">
      <c r="A247" s="328">
        <v>150001045</v>
      </c>
      <c r="B247" s="260" t="s">
        <v>271</v>
      </c>
      <c r="C247" s="30">
        <f>VLOOKUP($A247,'зарплата в цінах'!$A$2:$F$397,3)</f>
        <v>395.19</v>
      </c>
      <c r="D247" s="30">
        <f>VLOOKUP($A247,'зарплата в цінах'!$A$2:$F$397,4)</f>
        <v>70</v>
      </c>
      <c r="E247" s="30">
        <f>VLOOKUP($A247,'зарплата в цінах'!$A$2:$F$397,5)</f>
        <v>0</v>
      </c>
      <c r="F247" s="30">
        <f>VLOOKUP($A247,'зарплата в цінах'!$A$2:$F$397,6)</f>
        <v>239.74</v>
      </c>
    </row>
    <row r="248" spans="1:6" x14ac:dyDescent="0.3">
      <c r="A248" s="328">
        <v>150001046</v>
      </c>
      <c r="B248" s="260" t="s">
        <v>272</v>
      </c>
      <c r="C248" s="30">
        <f>VLOOKUP($A248,'зарплата в цінах'!$A$2:$F$397,3)</f>
        <v>287.91000000000003</v>
      </c>
      <c r="D248" s="30">
        <f>VLOOKUP($A248,'зарплата в цінах'!$A$2:$F$397,4)</f>
        <v>61.02</v>
      </c>
      <c r="E248" s="30">
        <f>VLOOKUP($A248,'зарплата в цінах'!$A$2:$F$397,5)</f>
        <v>0</v>
      </c>
      <c r="F248" s="30">
        <f>VLOOKUP($A248,'зарплата в цінах'!$A$2:$F$397,6)</f>
        <v>177.33</v>
      </c>
    </row>
    <row r="249" spans="1:6" x14ac:dyDescent="0.3">
      <c r="A249" s="328">
        <v>150001040</v>
      </c>
      <c r="B249" s="260" t="s">
        <v>216</v>
      </c>
      <c r="C249" s="30">
        <f>VLOOKUP($A249,'зарплата в цінах'!$A$2:$F$397,3)</f>
        <v>297.12</v>
      </c>
      <c r="D249" s="30">
        <f>VLOOKUP($A249,'зарплата в цінах'!$A$2:$F$397,4)</f>
        <v>77</v>
      </c>
      <c r="E249" s="30">
        <f>VLOOKUP($A249,'зарплата в цінах'!$A$2:$F$397,5)</f>
        <v>0</v>
      </c>
      <c r="F249" s="30">
        <f>VLOOKUP($A249,'зарплата в цінах'!$A$2:$F$397,6)</f>
        <v>296.18</v>
      </c>
    </row>
    <row r="250" spans="1:6" x14ac:dyDescent="0.3">
      <c r="A250" s="328">
        <v>150001047</v>
      </c>
      <c r="B250" s="260" t="s">
        <v>179</v>
      </c>
      <c r="C250" s="30">
        <f>VLOOKUP($A250,'зарплата в цінах'!$A$2:$F$397,3)</f>
        <v>82.04</v>
      </c>
      <c r="D250" s="30">
        <f>VLOOKUP($A250,'зарплата в цінах'!$A$2:$F$397,4)</f>
        <v>14.35</v>
      </c>
      <c r="E250" s="30">
        <f>VLOOKUP($A250,'зарплата в цінах'!$A$2:$F$397,5)</f>
        <v>0</v>
      </c>
      <c r="F250" s="30">
        <f>VLOOKUP($A250,'зарплата в цінах'!$A$2:$F$397,6)</f>
        <v>35.619999999999997</v>
      </c>
    </row>
    <row r="251" spans="1:6" x14ac:dyDescent="0.3">
      <c r="A251" s="328">
        <v>150001048</v>
      </c>
      <c r="B251" s="434" t="s">
        <v>125</v>
      </c>
      <c r="C251" s="30">
        <f>VLOOKUP($A251,'зарплата в цінах'!$A$2:$F$397,3)</f>
        <v>0</v>
      </c>
      <c r="D251" s="30">
        <f>VLOOKUP($A251,'зарплата в цінах'!$A$2:$F$397,4)</f>
        <v>0</v>
      </c>
      <c r="E251" s="30">
        <f>VLOOKUP($A251,'зарплата в цінах'!$A$2:$F$397,5)</f>
        <v>0</v>
      </c>
      <c r="F251" s="30">
        <f>VLOOKUP($A251,'зарплата в цінах'!$A$2:$F$397,6)</f>
        <v>0</v>
      </c>
    </row>
    <row r="252" spans="1:6" x14ac:dyDescent="0.3">
      <c r="A252" s="328">
        <v>150001049</v>
      </c>
      <c r="B252" s="260" t="s">
        <v>180</v>
      </c>
      <c r="C252" s="30">
        <f>VLOOKUP($A252,'зарплата в цінах'!$A$2:$F$397,3)</f>
        <v>23.045000000000002</v>
      </c>
      <c r="D252" s="30">
        <f>VLOOKUP($A252,'зарплата в цінах'!$A$2:$F$397,4)</f>
        <v>7.85</v>
      </c>
      <c r="E252" s="30">
        <f>VLOOKUP($A252,'зарплата в цінах'!$A$2:$F$397,5)</f>
        <v>0</v>
      </c>
      <c r="F252" s="30">
        <f>VLOOKUP($A252,'зарплата в цінах'!$A$2:$F$397,6)</f>
        <v>10.715</v>
      </c>
    </row>
    <row r="253" spans="1:6" x14ac:dyDescent="0.3">
      <c r="A253" s="328">
        <v>150001041</v>
      </c>
      <c r="B253" s="260" t="s">
        <v>196</v>
      </c>
      <c r="C253" s="30">
        <f>VLOOKUP($A253,'зарплата в цінах'!$A$2:$F$397,3)</f>
        <v>81.78</v>
      </c>
      <c r="D253" s="30">
        <f>VLOOKUP($A253,'зарплата в цінах'!$A$2:$F$397,4)</f>
        <v>12.47</v>
      </c>
      <c r="E253" s="30">
        <f>VLOOKUP($A253,'зарплата в цінах'!$A$2:$F$397,5)</f>
        <v>0</v>
      </c>
      <c r="F253" s="30">
        <f>VLOOKUP($A253,'зарплата в цінах'!$A$2:$F$397,6)</f>
        <v>32.479999999999997</v>
      </c>
    </row>
    <row r="254" spans="1:6" x14ac:dyDescent="0.3">
      <c r="A254" s="328">
        <v>150001042</v>
      </c>
      <c r="B254" s="260" t="s">
        <v>181</v>
      </c>
      <c r="C254" s="30">
        <f>VLOOKUP($A254,'зарплата в цінах'!$A$2:$F$397,3)</f>
        <v>73.98</v>
      </c>
      <c r="D254" s="30">
        <f>VLOOKUP($A254,'зарплата в цінах'!$A$2:$F$397,4)</f>
        <v>14.08</v>
      </c>
      <c r="E254" s="30">
        <f>VLOOKUP($A254,'зарплата в цінах'!$A$2:$F$397,5)</f>
        <v>0</v>
      </c>
      <c r="F254" s="30">
        <f>VLOOKUP($A254,'зарплата в цінах'!$A$2:$F$397,6)</f>
        <v>36.04</v>
      </c>
    </row>
    <row r="255" spans="1:6" x14ac:dyDescent="0.3">
      <c r="A255" s="328">
        <v>150001043</v>
      </c>
      <c r="B255" s="260" t="s">
        <v>217</v>
      </c>
      <c r="C255" s="30">
        <f>VLOOKUP($A255,'зарплата в цінах'!$A$2:$F$397,3)</f>
        <v>155.35</v>
      </c>
      <c r="D255" s="30">
        <f>VLOOKUP($A255,'зарплата в цінах'!$A$2:$F$397,4)</f>
        <v>30.8</v>
      </c>
      <c r="E255" s="30">
        <f>VLOOKUP($A255,'зарплата в цінах'!$A$2:$F$397,5)</f>
        <v>0</v>
      </c>
      <c r="F255" s="30">
        <f>VLOOKUP($A255,'зарплата в цінах'!$A$2:$F$397,6)</f>
        <v>86.2</v>
      </c>
    </row>
    <row r="256" spans="1:6" x14ac:dyDescent="0.3">
      <c r="A256" s="328">
        <v>150000672</v>
      </c>
      <c r="B256" s="435" t="s">
        <v>428</v>
      </c>
      <c r="C256" s="30">
        <f>VLOOKUP($A256,'зарплата в цінах'!$A$2:$F$397,3)</f>
        <v>436.83</v>
      </c>
      <c r="D256" s="30">
        <f>VLOOKUP($A256,'зарплата в цінах'!$A$2:$F$397,4)</f>
        <v>87.11</v>
      </c>
      <c r="E256" s="30">
        <f>VLOOKUP($A256,'зарплата в цінах'!$A$2:$F$397,5)</f>
        <v>0</v>
      </c>
      <c r="F256" s="30">
        <f>VLOOKUP($A256,'зарплата в цінах'!$A$2:$F$397,6)</f>
        <v>232.82</v>
      </c>
    </row>
    <row r="257" spans="1:6" x14ac:dyDescent="0.3">
      <c r="A257" s="328">
        <v>150000673</v>
      </c>
      <c r="B257" s="260" t="s">
        <v>182</v>
      </c>
      <c r="C257" s="30">
        <f>VLOOKUP($A257,'зарплата в цінах'!$A$2:$F$397,3)</f>
        <v>119.9</v>
      </c>
      <c r="D257" s="30">
        <f>VLOOKUP($A257,'зарплата в цінах'!$A$2:$F$397,4)</f>
        <v>20.85</v>
      </c>
      <c r="E257" s="30">
        <f>VLOOKUP($A257,'зарплата в цінах'!$A$2:$F$397,5)</f>
        <v>0</v>
      </c>
      <c r="F257" s="30">
        <f>VLOOKUP($A257,'зарплата в цінах'!$A$2:$F$397,6)</f>
        <v>36.61</v>
      </c>
    </row>
    <row r="258" spans="1:6" x14ac:dyDescent="0.3">
      <c r="A258" s="328">
        <v>150000670</v>
      </c>
      <c r="B258" s="434" t="s">
        <v>126</v>
      </c>
      <c r="C258" s="30">
        <f>VLOOKUP($A258,'зарплата в цінах'!$A$2:$F$397,3)</f>
        <v>0</v>
      </c>
      <c r="D258" s="30">
        <f>VLOOKUP($A258,'зарплата в цінах'!$A$2:$F$397,4)</f>
        <v>0</v>
      </c>
      <c r="E258" s="30">
        <f>VLOOKUP($A258,'зарплата в цінах'!$A$2:$F$397,5)</f>
        <v>0</v>
      </c>
      <c r="F258" s="30">
        <f>VLOOKUP($A258,'зарплата в цінах'!$A$2:$F$397,6)</f>
        <v>0</v>
      </c>
    </row>
    <row r="259" spans="1:6" x14ac:dyDescent="0.3">
      <c r="A259" s="328">
        <v>150000676</v>
      </c>
      <c r="B259" s="260" t="s">
        <v>385</v>
      </c>
      <c r="C259" s="30">
        <f>VLOOKUP($A259,'зарплата в цінах'!$A$2:$F$397,3)</f>
        <v>520.98</v>
      </c>
      <c r="D259" s="30">
        <f>VLOOKUP($A259,'зарплата в цінах'!$A$2:$F$397,4)</f>
        <v>80.239999999999995</v>
      </c>
      <c r="E259" s="30">
        <f>VLOOKUP($A259,'зарплата в цінах'!$A$2:$F$397,5)</f>
        <v>26.37</v>
      </c>
      <c r="F259" s="30">
        <f>VLOOKUP($A259,'зарплата в цінах'!$A$2:$F$397,6)</f>
        <v>186.73</v>
      </c>
    </row>
    <row r="260" spans="1:6" x14ac:dyDescent="0.3">
      <c r="A260" s="328">
        <v>150000671</v>
      </c>
      <c r="B260" s="434" t="s">
        <v>127</v>
      </c>
      <c r="C260" s="30">
        <f>VLOOKUP($A260,'зарплата в цінах'!$A$2:$F$397,3)</f>
        <v>0</v>
      </c>
      <c r="D260" s="30">
        <f>VLOOKUP($A260,'зарплата в цінах'!$A$2:$F$397,4)</f>
        <v>0</v>
      </c>
      <c r="E260" s="30">
        <f>VLOOKUP($A260,'зарплата в цінах'!$A$2:$F$397,5)</f>
        <v>0</v>
      </c>
      <c r="F260" s="30">
        <f>VLOOKUP($A260,'зарплата в цінах'!$A$2:$F$397,6)</f>
        <v>0</v>
      </c>
    </row>
    <row r="261" spans="1:6" x14ac:dyDescent="0.3">
      <c r="A261" s="328">
        <v>150000726</v>
      </c>
      <c r="B261" s="260" t="s">
        <v>183</v>
      </c>
      <c r="C261" s="30">
        <f>VLOOKUP($A261,'зарплата в цінах'!$A$2:$F$397,3)</f>
        <v>65.12</v>
      </c>
      <c r="D261" s="30">
        <f>VLOOKUP($A261,'зарплата в цінах'!$A$2:$F$397,4)</f>
        <v>11.34</v>
      </c>
      <c r="E261" s="30">
        <f>VLOOKUP($A261,'зарплата в цінах'!$A$2:$F$397,5)</f>
        <v>0</v>
      </c>
      <c r="F261" s="30">
        <f>VLOOKUP($A261,'зарплата в цінах'!$A$2:$F$397,6)</f>
        <v>28.65</v>
      </c>
    </row>
    <row r="262" spans="1:6" x14ac:dyDescent="0.3">
      <c r="A262" s="328">
        <v>150000727</v>
      </c>
      <c r="B262" s="434" t="s">
        <v>128</v>
      </c>
      <c r="C262" s="30">
        <f>VLOOKUP($A262,'зарплата в цінах'!$A$2:$F$397,3)</f>
        <v>0</v>
      </c>
      <c r="D262" s="30">
        <f>VLOOKUP($A262,'зарплата в цінах'!$A$2:$F$397,4)</f>
        <v>0</v>
      </c>
      <c r="E262" s="30">
        <f>VLOOKUP($A262,'зарплата в цінах'!$A$2:$F$397,5)</f>
        <v>0</v>
      </c>
      <c r="F262" s="30">
        <f>VLOOKUP($A262,'зарплата в цінах'!$A$2:$F$397,6)</f>
        <v>0</v>
      </c>
    </row>
    <row r="263" spans="1:6" x14ac:dyDescent="0.3">
      <c r="A263" s="328">
        <v>150000728</v>
      </c>
      <c r="B263" s="260" t="s">
        <v>184</v>
      </c>
      <c r="C263" s="30">
        <f>VLOOKUP($A263,'зарплата в цінах'!$A$2:$F$397,3)</f>
        <v>66.349999999999994</v>
      </c>
      <c r="D263" s="30">
        <f>VLOOKUP($A263,'зарплата в цінах'!$A$2:$F$397,4)</f>
        <v>11.34</v>
      </c>
      <c r="E263" s="30">
        <f>VLOOKUP($A263,'зарплата в цінах'!$A$2:$F$397,5)</f>
        <v>0</v>
      </c>
      <c r="F263" s="30">
        <f>VLOOKUP($A263,'зарплата в цінах'!$A$2:$F$397,6)</f>
        <v>28.65</v>
      </c>
    </row>
    <row r="264" spans="1:6" x14ac:dyDescent="0.3">
      <c r="A264" s="328">
        <v>150000729</v>
      </c>
      <c r="B264" s="260" t="s">
        <v>273</v>
      </c>
      <c r="C264" s="30">
        <f>VLOOKUP($A264,'зарплата в цінах'!$A$2:$F$397,3)</f>
        <v>282.02</v>
      </c>
      <c r="D264" s="30">
        <f>VLOOKUP($A264,'зарплата в цінах'!$A$2:$F$397,4)</f>
        <v>60.69</v>
      </c>
      <c r="E264" s="30">
        <f>VLOOKUP($A264,'зарплата в цінах'!$A$2:$F$397,5)</f>
        <v>0</v>
      </c>
      <c r="F264" s="30">
        <f>VLOOKUP($A264,'зарплата в цінах'!$A$2:$F$397,6)</f>
        <v>175.25</v>
      </c>
    </row>
    <row r="265" spans="1:6" x14ac:dyDescent="0.3">
      <c r="A265" s="328">
        <v>150000721</v>
      </c>
      <c r="B265" s="260" t="s">
        <v>218</v>
      </c>
      <c r="C265" s="30">
        <f>VLOOKUP($A265,'зарплата в цінах'!$A$2:$F$397,3)</f>
        <v>352.78</v>
      </c>
      <c r="D265" s="30">
        <f>VLOOKUP($A265,'зарплата в цінах'!$A$2:$F$397,4)</f>
        <v>50.19</v>
      </c>
      <c r="E265" s="30">
        <f>VLOOKUP($A265,'зарплата в цінах'!$A$2:$F$397,5)</f>
        <v>0</v>
      </c>
      <c r="F265" s="30">
        <f>VLOOKUP($A265,'зарплата в цінах'!$A$2:$F$397,6)</f>
        <v>137.31</v>
      </c>
    </row>
    <row r="266" spans="1:6" x14ac:dyDescent="0.3">
      <c r="A266" s="328">
        <v>150000722</v>
      </c>
      <c r="B266" s="260" t="s">
        <v>274</v>
      </c>
      <c r="C266" s="30">
        <f>VLOOKUP($A266,'зарплата в цінах'!$A$2:$F$397,3)</f>
        <v>407.19</v>
      </c>
      <c r="D266" s="30">
        <f>VLOOKUP($A266,'зарплата в цінах'!$A$2:$F$397,4)</f>
        <v>70</v>
      </c>
      <c r="E266" s="30">
        <f>VLOOKUP($A266,'зарплата в цінах'!$A$2:$F$397,5)</f>
        <v>0</v>
      </c>
      <c r="F266" s="30">
        <f>VLOOKUP($A266,'зарплата в цінах'!$A$2:$F$397,6)</f>
        <v>277.13</v>
      </c>
    </row>
    <row r="267" spans="1:6" x14ac:dyDescent="0.3">
      <c r="A267" s="328">
        <v>150000723</v>
      </c>
      <c r="B267" s="260" t="s">
        <v>275</v>
      </c>
      <c r="C267" s="30">
        <f>VLOOKUP($A267,'зарплата в цінах'!$A$2:$F$397,3)</f>
        <v>407.22</v>
      </c>
      <c r="D267" s="30">
        <f>VLOOKUP($A267,'зарплата в цінах'!$A$2:$F$397,4)</f>
        <v>70</v>
      </c>
      <c r="E267" s="30">
        <f>VLOOKUP($A267,'зарплата в цінах'!$A$2:$F$397,5)</f>
        <v>0</v>
      </c>
      <c r="F267" s="30">
        <f>VLOOKUP($A267,'зарплата в цінах'!$A$2:$F$397,6)</f>
        <v>239.74</v>
      </c>
    </row>
    <row r="268" spans="1:6" x14ac:dyDescent="0.3">
      <c r="A268" s="328">
        <v>150000724</v>
      </c>
      <c r="B268" s="260" t="s">
        <v>276</v>
      </c>
      <c r="C268" s="30">
        <f>VLOOKUP($A268,'зарплата в цінах'!$A$2:$F$397,3)</f>
        <v>407.36</v>
      </c>
      <c r="D268" s="30">
        <f>VLOOKUP($A268,'зарплата в цінах'!$A$2:$F$397,4)</f>
        <v>70</v>
      </c>
      <c r="E268" s="30">
        <f>VLOOKUP($A268,'зарплата в цінах'!$A$2:$F$397,5)</f>
        <v>0</v>
      </c>
      <c r="F268" s="30">
        <f>VLOOKUP($A268,'зарплата в цінах'!$A$2:$F$397,6)</f>
        <v>239.74</v>
      </c>
    </row>
    <row r="269" spans="1:6" x14ac:dyDescent="0.3">
      <c r="A269" s="328">
        <v>150000725</v>
      </c>
      <c r="B269" s="260" t="s">
        <v>277</v>
      </c>
      <c r="C269" s="30">
        <f>VLOOKUP($A269,'зарплата в цінах'!$A$2:$F$397,3)</f>
        <v>407.21</v>
      </c>
      <c r="D269" s="30">
        <f>VLOOKUP($A269,'зарплата в цінах'!$A$2:$F$397,4)</f>
        <v>70</v>
      </c>
      <c r="E269" s="30">
        <f>VLOOKUP($A269,'зарплата в цінах'!$A$2:$F$397,5)</f>
        <v>0</v>
      </c>
      <c r="F269" s="30">
        <f>VLOOKUP($A269,'зарплата в цінах'!$A$2:$F$397,6)</f>
        <v>239.74</v>
      </c>
    </row>
    <row r="270" spans="1:6" x14ac:dyDescent="0.3">
      <c r="A270" s="328">
        <v>150000710</v>
      </c>
      <c r="B270" s="260" t="s">
        <v>278</v>
      </c>
      <c r="C270" s="30">
        <f>VLOOKUP($A270,'зарплата в цінах'!$A$2:$F$397,3)</f>
        <v>556.15</v>
      </c>
      <c r="D270" s="30">
        <f>VLOOKUP($A270,'зарплата в цінах'!$A$2:$F$397,4)</f>
        <v>114.9</v>
      </c>
      <c r="E270" s="30">
        <f>VLOOKUP($A270,'зарплата в цінах'!$A$2:$F$397,5)</f>
        <v>0</v>
      </c>
      <c r="F270" s="30">
        <f>VLOOKUP($A270,'зарплата в цінах'!$A$2:$F$397,6)</f>
        <v>410.06</v>
      </c>
    </row>
    <row r="271" spans="1:6" x14ac:dyDescent="0.3">
      <c r="A271" s="328">
        <v>150000711</v>
      </c>
      <c r="B271" s="260" t="s">
        <v>279</v>
      </c>
      <c r="C271" s="30">
        <f>VLOOKUP($A271,'зарплата в цінах'!$A$2:$F$397,3)</f>
        <v>556.26</v>
      </c>
      <c r="D271" s="30">
        <f>VLOOKUP($A271,'зарплата в цінах'!$A$2:$F$397,4)</f>
        <v>114.92</v>
      </c>
      <c r="E271" s="30">
        <f>VLOOKUP($A271,'зарплата в цінах'!$A$2:$F$397,5)</f>
        <v>43.76</v>
      </c>
      <c r="F271" s="30">
        <f>VLOOKUP($A271,'зарплата в цінах'!$A$2:$F$397,6)</f>
        <v>410.33</v>
      </c>
    </row>
    <row r="272" spans="1:6" x14ac:dyDescent="0.3">
      <c r="A272" s="328">
        <v>150000712</v>
      </c>
      <c r="B272" s="260" t="s">
        <v>280</v>
      </c>
      <c r="C272" s="30">
        <f>VLOOKUP($A272,'зарплата в цінах'!$A$2:$F$397,3)</f>
        <v>382.87</v>
      </c>
      <c r="D272" s="30">
        <f>VLOOKUP($A272,'зарплата в цінах'!$A$2:$F$397,4)</f>
        <v>77.16</v>
      </c>
      <c r="E272" s="30">
        <f>VLOOKUP($A272,'зарплата в цінах'!$A$2:$F$397,5)</f>
        <v>0</v>
      </c>
      <c r="F272" s="30">
        <f>VLOOKUP($A272,'зарплата в цінах'!$A$2:$F$397,6)</f>
        <v>234.21</v>
      </c>
    </row>
    <row r="273" spans="1:6" x14ac:dyDescent="0.3">
      <c r="A273" s="328">
        <v>150000713</v>
      </c>
      <c r="B273" s="260" t="s">
        <v>281</v>
      </c>
      <c r="C273" s="30">
        <f>VLOOKUP($A273,'зарплата в цінах'!$A$2:$F$397,3)</f>
        <v>728.21</v>
      </c>
      <c r="D273" s="30">
        <f>VLOOKUP($A273,'зарплата в цінах'!$A$2:$F$397,4)</f>
        <v>153.37</v>
      </c>
      <c r="E273" s="30">
        <f>VLOOKUP($A273,'зарплата в цінах'!$A$2:$F$397,5)</f>
        <v>67.73</v>
      </c>
      <c r="F273" s="30">
        <f>VLOOKUP($A273,'зарплата в цінах'!$A$2:$F$397,6)</f>
        <v>654.08000000000004</v>
      </c>
    </row>
    <row r="274" spans="1:6" x14ac:dyDescent="0.3">
      <c r="A274" s="328">
        <v>150000714</v>
      </c>
      <c r="B274" s="260" t="s">
        <v>282</v>
      </c>
      <c r="C274" s="30">
        <f>VLOOKUP($A274,'зарплата в цінах'!$A$2:$F$397,3)</f>
        <v>352.28</v>
      </c>
      <c r="D274" s="30">
        <f>VLOOKUP($A274,'зарплата в цінах'!$A$2:$F$397,4)</f>
        <v>75.37</v>
      </c>
      <c r="E274" s="30">
        <f>VLOOKUP($A274,'зарплата в цінах'!$A$2:$F$397,5)</f>
        <v>0</v>
      </c>
      <c r="F274" s="30">
        <f>VLOOKUP($A274,'зарплата в цінах'!$A$2:$F$397,6)</f>
        <v>219</v>
      </c>
    </row>
    <row r="275" spans="1:6" x14ac:dyDescent="0.3">
      <c r="A275" s="328">
        <v>150000715</v>
      </c>
      <c r="B275" s="260" t="s">
        <v>283</v>
      </c>
      <c r="C275" s="30">
        <f>VLOOKUP($A275,'зарплата в цінах'!$A$2:$F$397,3)</f>
        <v>557.17999999999995</v>
      </c>
      <c r="D275" s="30">
        <f>VLOOKUP($A275,'зарплата в цінах'!$A$2:$F$397,4)</f>
        <v>115.05</v>
      </c>
      <c r="E275" s="30">
        <f>VLOOKUP($A275,'зарплата в цінах'!$A$2:$F$397,5)</f>
        <v>44.66</v>
      </c>
      <c r="F275" s="30">
        <f>VLOOKUP($A275,'зарплата в цінах'!$A$2:$F$397,6)</f>
        <v>411.89</v>
      </c>
    </row>
    <row r="276" spans="1:6" x14ac:dyDescent="0.3">
      <c r="A276" s="328">
        <v>150000719</v>
      </c>
      <c r="B276" s="260" t="s">
        <v>284</v>
      </c>
      <c r="C276" s="30">
        <f>VLOOKUP($A276,'зарплата в цінах'!$A$2:$F$397,3)</f>
        <v>728.94</v>
      </c>
      <c r="D276" s="30">
        <f>VLOOKUP($A276,'зарплата в цінах'!$A$2:$F$397,4)</f>
        <v>153.47999999999999</v>
      </c>
      <c r="E276" s="30">
        <f>VLOOKUP($A276,'зарплата в цінах'!$A$2:$F$397,5)</f>
        <v>67.73</v>
      </c>
      <c r="F276" s="30">
        <f>VLOOKUP($A276,'зарплата в цінах'!$A$2:$F$397,6)</f>
        <v>666.23</v>
      </c>
    </row>
    <row r="277" spans="1:6" x14ac:dyDescent="0.3">
      <c r="A277" s="328">
        <v>150000716</v>
      </c>
      <c r="B277" s="260" t="s">
        <v>285</v>
      </c>
      <c r="C277" s="30">
        <f>VLOOKUP($A277,'зарплата в цінах'!$A$2:$F$397,3)</f>
        <v>417.23</v>
      </c>
      <c r="D277" s="30">
        <f>VLOOKUP($A277,'зарплата в цінах'!$A$2:$F$397,4)</f>
        <v>77.14</v>
      </c>
      <c r="E277" s="30">
        <f>VLOOKUP($A277,'зарплата в цінах'!$A$2:$F$397,5)</f>
        <v>0</v>
      </c>
      <c r="F277" s="30">
        <f>VLOOKUP($A277,'зарплата в цінах'!$A$2:$F$397,6)</f>
        <v>231.99</v>
      </c>
    </row>
    <row r="278" spans="1:6" x14ac:dyDescent="0.3">
      <c r="A278" s="328">
        <v>150000717</v>
      </c>
      <c r="B278" s="260" t="s">
        <v>286</v>
      </c>
      <c r="C278" s="30">
        <f>VLOOKUP($A278,'зарплата в цінах'!$A$2:$F$397,3)</f>
        <v>409.58</v>
      </c>
      <c r="D278" s="30">
        <f>VLOOKUP($A278,'зарплата в цінах'!$A$2:$F$397,4)</f>
        <v>77.14</v>
      </c>
      <c r="E278" s="30">
        <f>VLOOKUP($A278,'зарплата в цінах'!$A$2:$F$397,5)</f>
        <v>0</v>
      </c>
      <c r="F278" s="30">
        <f>VLOOKUP($A278,'зарплата в цінах'!$A$2:$F$397,6)</f>
        <v>232.08</v>
      </c>
    </row>
    <row r="279" spans="1:6" x14ac:dyDescent="0.3">
      <c r="A279" s="328">
        <v>150000718</v>
      </c>
      <c r="B279" s="260" t="s">
        <v>287</v>
      </c>
      <c r="C279" s="30">
        <f>VLOOKUP($A279,'зарплата в цінах'!$A$2:$F$397,3)</f>
        <v>531.71</v>
      </c>
      <c r="D279" s="30">
        <f>VLOOKUP($A279,'зарплата в цінах'!$A$2:$F$397,4)</f>
        <v>114.08</v>
      </c>
      <c r="E279" s="30">
        <f>VLOOKUP($A279,'зарплата в цінах'!$A$2:$F$397,5)</f>
        <v>43.76</v>
      </c>
      <c r="F279" s="30">
        <f>VLOOKUP($A279,'зарплата в цінах'!$A$2:$F$397,6)</f>
        <v>434.54</v>
      </c>
    </row>
    <row r="280" spans="1:6" x14ac:dyDescent="0.3">
      <c r="A280" s="328">
        <v>150000720</v>
      </c>
      <c r="B280" s="260" t="s">
        <v>288</v>
      </c>
      <c r="C280" s="30">
        <f>VLOOKUP($A280,'зарплата в цінах'!$A$2:$F$397,3)</f>
        <v>359.19</v>
      </c>
      <c r="D280" s="30">
        <f>VLOOKUP($A280,'зарплата в цінах'!$A$2:$F$397,4)</f>
        <v>74</v>
      </c>
      <c r="E280" s="30">
        <f>VLOOKUP($A280,'зарплата в цінах'!$A$2:$F$397,5)</f>
        <v>0</v>
      </c>
      <c r="F280" s="30">
        <f>VLOOKUP($A280,'зарплата в цінах'!$A$2:$F$397,6)</f>
        <v>129.47999999999999</v>
      </c>
    </row>
    <row r="281" spans="1:6" x14ac:dyDescent="0.3">
      <c r="A281" s="328">
        <v>150000750</v>
      </c>
      <c r="B281" s="434" t="s">
        <v>129</v>
      </c>
      <c r="C281" s="30">
        <f>VLOOKUP($A281,'зарплата в цінах'!$A$2:$F$397,3)</f>
        <v>0</v>
      </c>
      <c r="D281" s="30">
        <f>VLOOKUP($A281,'зарплата в цінах'!$A$2:$F$397,4)</f>
        <v>0</v>
      </c>
      <c r="E281" s="30">
        <f>VLOOKUP($A281,'зарплата в цінах'!$A$2:$F$397,5)</f>
        <v>0</v>
      </c>
      <c r="F281" s="30">
        <f>VLOOKUP($A281,'зарплата в цінах'!$A$2:$F$397,6)</f>
        <v>0</v>
      </c>
    </row>
    <row r="282" spans="1:6" x14ac:dyDescent="0.3">
      <c r="A282" s="328">
        <v>150000751</v>
      </c>
      <c r="B282" s="434" t="s">
        <v>130</v>
      </c>
      <c r="C282" s="30">
        <f>VLOOKUP($A282,'зарплата в цінах'!$A$2:$F$397,3)</f>
        <v>0</v>
      </c>
      <c r="D282" s="30">
        <f>VLOOKUP($A282,'зарплата в цінах'!$A$2:$F$397,4)</f>
        <v>0</v>
      </c>
      <c r="E282" s="30">
        <f>VLOOKUP($A282,'зарплата в цінах'!$A$2:$F$397,5)</f>
        <v>0</v>
      </c>
      <c r="F282" s="30">
        <f>VLOOKUP($A282,'зарплата в цінах'!$A$2:$F$397,6)</f>
        <v>0</v>
      </c>
    </row>
    <row r="283" spans="1:6" x14ac:dyDescent="0.3">
      <c r="A283" s="328">
        <v>150000752</v>
      </c>
      <c r="B283" s="260" t="s">
        <v>386</v>
      </c>
      <c r="C283" s="30">
        <f>VLOOKUP($A283,'зарплата в цінах'!$A$2:$F$397,3)</f>
        <v>386.56</v>
      </c>
      <c r="D283" s="30">
        <f>VLOOKUP($A283,'зарплата в цінах'!$A$2:$F$397,4)</f>
        <v>65.650000000000006</v>
      </c>
      <c r="E283" s="30">
        <f>VLOOKUP($A283,'зарплата в цінах'!$A$2:$F$397,5)</f>
        <v>26.37</v>
      </c>
      <c r="F283" s="30">
        <f>VLOOKUP($A283,'зарплата в цінах'!$A$2:$F$397,6)</f>
        <v>236.52</v>
      </c>
    </row>
    <row r="284" spans="1:6" x14ac:dyDescent="0.3">
      <c r="A284" s="328">
        <v>150000760</v>
      </c>
      <c r="B284" s="260" t="s">
        <v>387</v>
      </c>
      <c r="C284" s="30">
        <f>VLOOKUP($A284,'зарплата в цінах'!$A$2:$F$397,3)</f>
        <v>901.25</v>
      </c>
      <c r="D284" s="30">
        <f>VLOOKUP($A284,'зарплата в цінах'!$A$2:$F$397,4)</f>
        <v>274.57</v>
      </c>
      <c r="E284" s="30">
        <f>VLOOKUP($A284,'зарплата в цінах'!$A$2:$F$397,5)</f>
        <v>39.56</v>
      </c>
      <c r="F284" s="30">
        <f>VLOOKUP($A284,'зарплата в цінах'!$A$2:$F$397,6)</f>
        <v>778.72</v>
      </c>
    </row>
    <row r="285" spans="1:6" x14ac:dyDescent="0.3">
      <c r="A285" s="328">
        <v>150000758</v>
      </c>
      <c r="B285" s="260" t="s">
        <v>388</v>
      </c>
      <c r="C285" s="30">
        <f>VLOOKUP($A285,'зарплата в цінах'!$A$2:$F$397,3)</f>
        <v>1129.05</v>
      </c>
      <c r="D285" s="30">
        <f>VLOOKUP($A285,'зарплата в цінах'!$A$2:$F$397,4)</f>
        <v>320.32</v>
      </c>
      <c r="E285" s="30">
        <f>VLOOKUP($A285,'зарплата в цінах'!$A$2:$F$397,5)</f>
        <v>46.15</v>
      </c>
      <c r="F285" s="30">
        <f>VLOOKUP($A285,'зарплата в цінах'!$A$2:$F$397,6)</f>
        <v>720.28</v>
      </c>
    </row>
    <row r="286" spans="1:6" x14ac:dyDescent="0.3">
      <c r="A286" s="328">
        <v>150000759</v>
      </c>
      <c r="B286" s="260" t="s">
        <v>389</v>
      </c>
      <c r="C286" s="30">
        <f>VLOOKUP($A286,'зарплата в цінах'!$A$2:$F$397,3)</f>
        <v>493.55</v>
      </c>
      <c r="D286" s="30">
        <f>VLOOKUP($A286,'зарплата в цінах'!$A$2:$F$397,4)</f>
        <v>78.569999999999993</v>
      </c>
      <c r="E286" s="30">
        <f>VLOOKUP($A286,'зарплата в цінах'!$A$2:$F$397,5)</f>
        <v>19.78</v>
      </c>
      <c r="F286" s="30">
        <f>VLOOKUP($A286,'зарплата в цінах'!$A$2:$F$397,6)</f>
        <v>372.02</v>
      </c>
    </row>
    <row r="287" spans="1:6" x14ac:dyDescent="0.3">
      <c r="A287" s="328">
        <v>150000761</v>
      </c>
      <c r="B287" s="260" t="s">
        <v>390</v>
      </c>
      <c r="C287" s="30">
        <f>VLOOKUP($A287,'зарплата в цінах'!$A$2:$F$397,3)</f>
        <v>522.03</v>
      </c>
      <c r="D287" s="30">
        <f>VLOOKUP($A287,'зарплата в цінах'!$A$2:$F$397,4)</f>
        <v>80.42</v>
      </c>
      <c r="E287" s="30">
        <f>VLOOKUP($A287,'зарплата в цінах'!$A$2:$F$397,5)</f>
        <v>26.37</v>
      </c>
      <c r="F287" s="30">
        <f>VLOOKUP($A287,'зарплата в цінах'!$A$2:$F$397,6)</f>
        <v>243.46</v>
      </c>
    </row>
    <row r="288" spans="1:6" x14ac:dyDescent="0.3">
      <c r="A288" s="328">
        <v>150000762</v>
      </c>
      <c r="B288" s="260" t="s">
        <v>391</v>
      </c>
      <c r="C288" s="30">
        <f>VLOOKUP($A288,'зарплата в цінах'!$A$2:$F$397,3)</f>
        <v>288.74</v>
      </c>
      <c r="D288" s="30">
        <f>VLOOKUP($A288,'зарплата в цінах'!$A$2:$F$397,4)</f>
        <v>46.88</v>
      </c>
      <c r="E288" s="30">
        <f>VLOOKUP($A288,'зарплата в цінах'!$A$2:$F$397,5)</f>
        <v>13.19</v>
      </c>
      <c r="F288" s="30">
        <f>VLOOKUP($A288,'зарплата в цінах'!$A$2:$F$397,6)</f>
        <v>93.23</v>
      </c>
    </row>
    <row r="289" spans="1:6" x14ac:dyDescent="0.3">
      <c r="A289" s="328">
        <v>150000638</v>
      </c>
      <c r="B289" s="434" t="s">
        <v>131</v>
      </c>
      <c r="C289" s="30">
        <f>VLOOKUP($A289,'зарплата в цінах'!$A$2:$F$397,3)</f>
        <v>0</v>
      </c>
      <c r="D289" s="30">
        <f>VLOOKUP($A289,'зарплата в цінах'!$A$2:$F$397,4)</f>
        <v>0</v>
      </c>
      <c r="E289" s="30">
        <f>VLOOKUP($A289,'зарплата в цінах'!$A$2:$F$397,5)</f>
        <v>0</v>
      </c>
      <c r="F289" s="30">
        <f>VLOOKUP($A289,'зарплата в цінах'!$A$2:$F$397,6)</f>
        <v>0</v>
      </c>
    </row>
    <row r="290" spans="1:6" x14ac:dyDescent="0.3">
      <c r="A290" s="328">
        <v>150000639</v>
      </c>
      <c r="B290" s="434" t="s">
        <v>132</v>
      </c>
      <c r="C290" s="30">
        <f>VLOOKUP($A290,'зарплата в цінах'!$A$2:$F$397,3)</f>
        <v>0</v>
      </c>
      <c r="D290" s="30">
        <f>VLOOKUP($A290,'зарплата в цінах'!$A$2:$F$397,4)</f>
        <v>0</v>
      </c>
      <c r="E290" s="30">
        <f>VLOOKUP($A290,'зарплата в цінах'!$A$2:$F$397,5)</f>
        <v>0</v>
      </c>
      <c r="F290" s="30">
        <f>VLOOKUP($A290,'зарплата в цінах'!$A$2:$F$397,6)</f>
        <v>0</v>
      </c>
    </row>
    <row r="291" spans="1:6" x14ac:dyDescent="0.3">
      <c r="A291" s="328">
        <v>150000736</v>
      </c>
      <c r="B291" s="260" t="s">
        <v>219</v>
      </c>
      <c r="C291" s="30">
        <f>VLOOKUP($A291,'зарплата в цінах'!$A$2:$F$397,3)</f>
        <v>301.56</v>
      </c>
      <c r="D291" s="30">
        <f>VLOOKUP($A291,'зарплата в цінах'!$A$2:$F$397,4)</f>
        <v>61.84</v>
      </c>
      <c r="E291" s="30">
        <f>VLOOKUP($A291,'зарплата в цінах'!$A$2:$F$397,5)</f>
        <v>0</v>
      </c>
      <c r="F291" s="30">
        <f>VLOOKUP($A291,'зарплата в цінах'!$A$2:$F$397,6)</f>
        <v>216.08</v>
      </c>
    </row>
    <row r="292" spans="1:6" x14ac:dyDescent="0.3">
      <c r="A292" s="328">
        <v>150000743</v>
      </c>
      <c r="B292" s="260" t="s">
        <v>220</v>
      </c>
      <c r="C292" s="30">
        <f>VLOOKUP($A292,'зарплата в цінах'!$A$2:$F$397,3)</f>
        <v>258.88</v>
      </c>
      <c r="D292" s="30">
        <f>VLOOKUP($A292,'зарплата в цінах'!$A$2:$F$397,4)</f>
        <v>46.27</v>
      </c>
      <c r="E292" s="30">
        <f>VLOOKUP($A292,'зарплата в цінах'!$A$2:$F$397,5)</f>
        <v>0</v>
      </c>
      <c r="F292" s="30">
        <f>VLOOKUP($A292,'зарплата в цінах'!$A$2:$F$397,6)</f>
        <v>140.9</v>
      </c>
    </row>
    <row r="293" spans="1:6" x14ac:dyDescent="0.3">
      <c r="A293" s="328">
        <v>150000737</v>
      </c>
      <c r="B293" s="260" t="s">
        <v>221</v>
      </c>
      <c r="C293" s="30">
        <f>VLOOKUP($A293,'зарплата в цінах'!$A$2:$F$397,3)</f>
        <v>335.51</v>
      </c>
      <c r="D293" s="30">
        <f>VLOOKUP($A293,'зарплата в цінах'!$A$2:$F$397,4)</f>
        <v>61.28</v>
      </c>
      <c r="E293" s="30">
        <f>VLOOKUP($A293,'зарплата в цінах'!$A$2:$F$397,5)</f>
        <v>0</v>
      </c>
      <c r="F293" s="30">
        <f>VLOOKUP($A293,'зарплата в цінах'!$A$2:$F$397,6)</f>
        <v>211.35</v>
      </c>
    </row>
    <row r="294" spans="1:6" x14ac:dyDescent="0.3">
      <c r="A294" s="328">
        <v>150000738</v>
      </c>
      <c r="B294" s="260" t="s">
        <v>289</v>
      </c>
      <c r="C294" s="30">
        <f>VLOOKUP($A294,'зарплата в цінах'!$A$2:$F$397,3)</f>
        <v>407.41</v>
      </c>
      <c r="D294" s="30">
        <f>VLOOKUP($A294,'зарплата в цінах'!$A$2:$F$397,4)</f>
        <v>70.02</v>
      </c>
      <c r="E294" s="30">
        <f>VLOOKUP($A294,'зарплата в цінах'!$A$2:$F$397,5)</f>
        <v>0</v>
      </c>
      <c r="F294" s="30">
        <f>VLOOKUP($A294,'зарплата в цінах'!$A$2:$F$397,6)</f>
        <v>239.34</v>
      </c>
    </row>
    <row r="295" spans="1:6" x14ac:dyDescent="0.3">
      <c r="A295" s="328">
        <v>150000739</v>
      </c>
      <c r="B295" s="260" t="s">
        <v>222</v>
      </c>
      <c r="C295" s="30">
        <f>VLOOKUP($A295,'зарплата в цінах'!$A$2:$F$397,3)</f>
        <v>429.19</v>
      </c>
      <c r="D295" s="30">
        <f>VLOOKUP($A295,'зарплата в цінах'!$A$2:$F$397,4)</f>
        <v>77.87</v>
      </c>
      <c r="E295" s="30">
        <f>VLOOKUP($A295,'зарплата в цінах'!$A$2:$F$397,5)</f>
        <v>0</v>
      </c>
      <c r="F295" s="30">
        <f>VLOOKUP($A295,'зарплата в цінах'!$A$2:$F$397,6)</f>
        <v>319.2</v>
      </c>
    </row>
    <row r="296" spans="1:6" x14ac:dyDescent="0.3">
      <c r="A296" s="328">
        <v>150000740</v>
      </c>
      <c r="B296" s="260" t="s">
        <v>197</v>
      </c>
      <c r="C296" s="30">
        <f>VLOOKUP($A296,'зарплата в цінах'!$A$2:$F$397,3)</f>
        <v>186.89</v>
      </c>
      <c r="D296" s="30">
        <f>VLOOKUP($A296,'зарплата в цінах'!$A$2:$F$397,4)</f>
        <v>47.25</v>
      </c>
      <c r="E296" s="30">
        <f>VLOOKUP($A296,'зарплата в цінах'!$A$2:$F$397,5)</f>
        <v>0</v>
      </c>
      <c r="F296" s="30">
        <f>VLOOKUP($A296,'зарплата в цінах'!$A$2:$F$397,6)</f>
        <v>117.52</v>
      </c>
    </row>
    <row r="297" spans="1:6" x14ac:dyDescent="0.3">
      <c r="A297" s="328">
        <v>150000744</v>
      </c>
      <c r="B297" s="260" t="s">
        <v>223</v>
      </c>
      <c r="C297" s="30">
        <f>VLOOKUP($A297,'зарплата в цінах'!$A$2:$F$397,3)</f>
        <v>190.32</v>
      </c>
      <c r="D297" s="30">
        <f>VLOOKUP($A297,'зарплата в цінах'!$A$2:$F$397,4)</f>
        <v>36.81</v>
      </c>
      <c r="E297" s="30">
        <f>VLOOKUP($A297,'зарплата в цінах'!$A$2:$F$397,5)</f>
        <v>0</v>
      </c>
      <c r="F297" s="30">
        <f>VLOOKUP($A297,'зарплата в цінах'!$A$2:$F$397,6)</f>
        <v>81.47</v>
      </c>
    </row>
    <row r="298" spans="1:6" x14ac:dyDescent="0.3">
      <c r="A298" s="328">
        <v>150000741</v>
      </c>
      <c r="B298" s="260" t="s">
        <v>224</v>
      </c>
      <c r="C298" s="30">
        <f>VLOOKUP($A298,'зарплата в цінах'!$A$2:$F$397,3)</f>
        <v>333.61</v>
      </c>
      <c r="D298" s="30">
        <f>VLOOKUP($A298,'зарплата в цінах'!$A$2:$F$397,4)</f>
        <v>53.33</v>
      </c>
      <c r="E298" s="30">
        <f>VLOOKUP($A298,'зарплата в цінах'!$A$2:$F$397,5)</f>
        <v>0</v>
      </c>
      <c r="F298" s="30">
        <f>VLOOKUP($A298,'зарплата в цінах'!$A$2:$F$397,6)</f>
        <v>203.01</v>
      </c>
    </row>
    <row r="299" spans="1:6" x14ac:dyDescent="0.3">
      <c r="A299" s="328">
        <v>150000742</v>
      </c>
      <c r="B299" s="260" t="s">
        <v>290</v>
      </c>
      <c r="C299" s="30">
        <f>VLOOKUP($A299,'зарплата в цінах'!$A$2:$F$397,3)</f>
        <v>205.99</v>
      </c>
      <c r="D299" s="30">
        <f>VLOOKUP($A299,'зарплата в цінах'!$A$2:$F$397,4)</f>
        <v>39.49</v>
      </c>
      <c r="E299" s="30">
        <f>VLOOKUP($A299,'зарплата в цінах'!$A$2:$F$397,5)</f>
        <v>0</v>
      </c>
      <c r="F299" s="30">
        <f>VLOOKUP($A299,'зарплата в цінах'!$A$2:$F$397,6)</f>
        <v>99.28</v>
      </c>
    </row>
    <row r="300" spans="1:6" x14ac:dyDescent="0.3">
      <c r="A300" s="328">
        <v>150000745</v>
      </c>
      <c r="B300" s="434" t="s">
        <v>133</v>
      </c>
      <c r="C300" s="30">
        <f>VLOOKUP($A300,'зарплата в цінах'!$A$2:$F$397,3)</f>
        <v>0</v>
      </c>
      <c r="D300" s="30">
        <f>VLOOKUP($A300,'зарплата в цінах'!$A$2:$F$397,4)</f>
        <v>0</v>
      </c>
      <c r="E300" s="30">
        <f>VLOOKUP($A300,'зарплата в цінах'!$A$2:$F$397,5)</f>
        <v>0</v>
      </c>
      <c r="F300" s="30">
        <f>VLOOKUP($A300,'зарплата в цінах'!$A$2:$F$397,6)</f>
        <v>0</v>
      </c>
    </row>
    <row r="301" spans="1:6" x14ac:dyDescent="0.3">
      <c r="A301" s="328">
        <v>150001094</v>
      </c>
      <c r="B301" s="260" t="s">
        <v>185</v>
      </c>
      <c r="C301" s="30">
        <f>VLOOKUP($A301,'зарплата в цінах'!$A$2:$F$397,3)</f>
        <v>0</v>
      </c>
      <c r="D301" s="30">
        <f>VLOOKUP($A301,'зарплата в цінах'!$A$2:$F$397,4)</f>
        <v>0</v>
      </c>
      <c r="E301" s="30">
        <f>VLOOKUP($A301,'зарплата в цінах'!$A$2:$F$397,5)</f>
        <v>0</v>
      </c>
      <c r="F301" s="30">
        <f>VLOOKUP($A301,'зарплата в цінах'!$A$2:$F$397,6)</f>
        <v>12.17</v>
      </c>
    </row>
    <row r="302" spans="1:6" x14ac:dyDescent="0.3">
      <c r="A302" s="328">
        <v>150000851</v>
      </c>
      <c r="B302" s="434" t="s">
        <v>134</v>
      </c>
      <c r="C302" s="30">
        <f>VLOOKUP($A302,'зарплата в цінах'!$A$2:$F$397,3)</f>
        <v>0</v>
      </c>
      <c r="D302" s="30">
        <f>VLOOKUP($A302,'зарплата в цінах'!$A$2:$F$397,4)</f>
        <v>0</v>
      </c>
      <c r="E302" s="30">
        <f>VLOOKUP($A302,'зарплата в цінах'!$A$2:$F$397,5)</f>
        <v>0</v>
      </c>
      <c r="F302" s="30">
        <f>VLOOKUP($A302,'зарплата в цінах'!$A$2:$F$397,6)</f>
        <v>0</v>
      </c>
    </row>
    <row r="303" spans="1:6" x14ac:dyDescent="0.3">
      <c r="A303" s="328">
        <v>150000795</v>
      </c>
      <c r="B303" s="260" t="s">
        <v>291</v>
      </c>
      <c r="C303" s="30">
        <f>VLOOKUP($A303,'зарплата в цінах'!$A$2:$F$397,3)</f>
        <v>352.33</v>
      </c>
      <c r="D303" s="30">
        <f>VLOOKUP($A303,'зарплата в цінах'!$A$2:$F$397,4)</f>
        <v>67.41</v>
      </c>
      <c r="E303" s="30">
        <f>VLOOKUP($A303,'зарплата в цінах'!$A$2:$F$397,5)</f>
        <v>0</v>
      </c>
      <c r="F303" s="30">
        <f>VLOOKUP($A303,'зарплата в цінах'!$A$2:$F$397,6)</f>
        <v>220.17</v>
      </c>
    </row>
    <row r="304" spans="1:6" x14ac:dyDescent="0.3">
      <c r="A304" s="328">
        <v>150000832</v>
      </c>
      <c r="B304" s="260" t="s">
        <v>422</v>
      </c>
      <c r="C304" s="30">
        <f>VLOOKUP($A304,'зарплата в цінах'!$A$2:$F$397,3)</f>
        <v>556.92999999999995</v>
      </c>
      <c r="D304" s="30">
        <f>VLOOKUP($A304,'зарплата в цінах'!$A$2:$F$397,4)</f>
        <v>86.47</v>
      </c>
      <c r="E304" s="30">
        <f>VLOOKUP($A304,'зарплата в цінах'!$A$2:$F$397,5)</f>
        <v>17.98</v>
      </c>
      <c r="F304" s="30">
        <f>VLOOKUP($A304,'зарплата в цінах'!$A$2:$F$397,6)</f>
        <v>196.53</v>
      </c>
    </row>
    <row r="305" spans="1:6" x14ac:dyDescent="0.3">
      <c r="A305" s="328">
        <v>150000833</v>
      </c>
      <c r="B305" s="260" t="s">
        <v>392</v>
      </c>
      <c r="C305" s="30">
        <f>VLOOKUP($A305,'зарплата в цінах'!$A$2:$F$397,3)</f>
        <v>556.91999999999996</v>
      </c>
      <c r="D305" s="30">
        <f>VLOOKUP($A305,'зарплата в цінах'!$A$2:$F$397,4)</f>
        <v>79.69</v>
      </c>
      <c r="E305" s="30">
        <f>VLOOKUP($A305,'зарплата в цінах'!$A$2:$F$397,5)</f>
        <v>28.17</v>
      </c>
      <c r="F305" s="30">
        <f>VLOOKUP($A305,'зарплата в цінах'!$A$2:$F$397,6)</f>
        <v>189.82</v>
      </c>
    </row>
    <row r="306" spans="1:6" x14ac:dyDescent="0.3">
      <c r="A306" s="328">
        <v>150000836</v>
      </c>
      <c r="B306" s="260" t="s">
        <v>198</v>
      </c>
      <c r="C306" s="30">
        <f>VLOOKUP($A306,'зарплата в цінах'!$A$2:$F$397,3)</f>
        <v>216.97</v>
      </c>
      <c r="D306" s="30">
        <f>VLOOKUP($A306,'зарплата в цінах'!$A$2:$F$397,4)</f>
        <v>48.51</v>
      </c>
      <c r="E306" s="30">
        <f>VLOOKUP($A306,'зарплата в цінах'!$A$2:$F$397,5)</f>
        <v>7.19</v>
      </c>
      <c r="F306" s="30">
        <f>VLOOKUP($A306,'зарплата в цінах'!$A$2:$F$397,6)</f>
        <v>56.27</v>
      </c>
    </row>
    <row r="307" spans="1:6" x14ac:dyDescent="0.3">
      <c r="A307" s="328">
        <v>150000837</v>
      </c>
      <c r="B307" s="260" t="s">
        <v>199</v>
      </c>
      <c r="C307" s="30">
        <f>VLOOKUP($A307,'зарплата в цінах'!$A$2:$F$397,3)</f>
        <v>96.65</v>
      </c>
      <c r="D307" s="30">
        <f>VLOOKUP($A307,'зарплата в цінах'!$A$2:$F$397,4)</f>
        <v>14.66</v>
      </c>
      <c r="E307" s="30">
        <f>VLOOKUP($A307,'зарплата в цінах'!$A$2:$F$397,5)</f>
        <v>0</v>
      </c>
      <c r="F307" s="30">
        <f>VLOOKUP($A307,'зарплата в цінах'!$A$2:$F$397,6)</f>
        <v>37.93</v>
      </c>
    </row>
    <row r="308" spans="1:6" x14ac:dyDescent="0.3">
      <c r="A308" s="328">
        <v>150000839</v>
      </c>
      <c r="B308" s="434" t="s">
        <v>135</v>
      </c>
      <c r="C308" s="30">
        <f>VLOOKUP($A308,'зарплата в цінах'!$A$2:$F$397,3)</f>
        <v>0</v>
      </c>
      <c r="D308" s="30">
        <f>VLOOKUP($A308,'зарплата в цінах'!$A$2:$F$397,4)</f>
        <v>0</v>
      </c>
      <c r="E308" s="30">
        <f>VLOOKUP($A308,'зарплата в цінах'!$A$2:$F$397,5)</f>
        <v>0</v>
      </c>
      <c r="F308" s="30">
        <f>VLOOKUP($A308,'зарплата в цінах'!$A$2:$F$397,6)</f>
        <v>0</v>
      </c>
    </row>
    <row r="309" spans="1:6" x14ac:dyDescent="0.3">
      <c r="A309" s="328">
        <v>150000840</v>
      </c>
      <c r="B309" s="260" t="s">
        <v>393</v>
      </c>
      <c r="C309" s="30">
        <f>VLOOKUP($A309,'зарплата в цінах'!$A$2:$F$397,3)</f>
        <v>527.03</v>
      </c>
      <c r="D309" s="30">
        <f>VLOOKUP($A309,'зарплата в цінах'!$A$2:$F$397,4)</f>
        <v>82.64</v>
      </c>
      <c r="E309" s="30">
        <f>VLOOKUP($A309,'зарплата в цінах'!$A$2:$F$397,5)</f>
        <v>26.37</v>
      </c>
      <c r="F309" s="30">
        <f>VLOOKUP($A309,'зарплата в цінах'!$A$2:$F$397,6)</f>
        <v>196.3</v>
      </c>
    </row>
    <row r="310" spans="1:6" x14ac:dyDescent="0.3">
      <c r="A310" s="328">
        <v>150000841</v>
      </c>
      <c r="B310" s="434" t="s">
        <v>136</v>
      </c>
      <c r="C310" s="30">
        <f>VLOOKUP($A310,'зарплата в цінах'!$A$2:$F$397,3)</f>
        <v>0</v>
      </c>
      <c r="D310" s="30">
        <f>VLOOKUP($A310,'зарплата в цінах'!$A$2:$F$397,4)</f>
        <v>0</v>
      </c>
      <c r="E310" s="30">
        <f>VLOOKUP($A310,'зарплата в цінах'!$A$2:$F$397,5)</f>
        <v>0</v>
      </c>
      <c r="F310" s="30">
        <f>VLOOKUP($A310,'зарплата в цінах'!$A$2:$F$397,6)</f>
        <v>0</v>
      </c>
    </row>
    <row r="311" spans="1:6" x14ac:dyDescent="0.3">
      <c r="A311" s="328">
        <v>150000848</v>
      </c>
      <c r="B311" s="260" t="s">
        <v>186</v>
      </c>
      <c r="C311" s="30">
        <f>VLOOKUP($A311,'зарплата в цінах'!$A$2:$F$397,3)</f>
        <v>16.454999999999998</v>
      </c>
      <c r="D311" s="30">
        <f>VLOOKUP($A311,'зарплата в цінах'!$A$2:$F$397,4)</f>
        <v>7.69</v>
      </c>
      <c r="E311" s="30">
        <f>VLOOKUP($A311,'зарплата в цінах'!$A$2:$F$397,5)</f>
        <v>0</v>
      </c>
      <c r="F311" s="30">
        <f>VLOOKUP($A311,'зарплата в цінах'!$A$2:$F$397,6)</f>
        <v>12.33</v>
      </c>
    </row>
    <row r="312" spans="1:6" x14ac:dyDescent="0.3">
      <c r="A312" s="328">
        <v>150000835</v>
      </c>
      <c r="B312" s="434" t="s">
        <v>137</v>
      </c>
      <c r="C312" s="30">
        <f>VLOOKUP($A312,'зарплата в цінах'!$A$2:$F$397,3)</f>
        <v>0</v>
      </c>
      <c r="D312" s="30">
        <f>VLOOKUP($A312,'зарплата в цінах'!$A$2:$F$397,4)</f>
        <v>0</v>
      </c>
      <c r="E312" s="30">
        <f>VLOOKUP($A312,'зарплата в цінах'!$A$2:$F$397,5)</f>
        <v>0</v>
      </c>
      <c r="F312" s="30">
        <f>VLOOKUP($A312,'зарплата в цінах'!$A$2:$F$397,6)</f>
        <v>0</v>
      </c>
    </row>
    <row r="313" spans="1:6" x14ac:dyDescent="0.3">
      <c r="A313" s="328">
        <v>150000845</v>
      </c>
      <c r="B313" s="434" t="s">
        <v>138</v>
      </c>
      <c r="C313" s="30">
        <f>VLOOKUP($A313,'зарплата в цінах'!$A$2:$F$397,3)</f>
        <v>0</v>
      </c>
      <c r="D313" s="30">
        <f>VLOOKUP($A313,'зарплата в цінах'!$A$2:$F$397,4)</f>
        <v>0</v>
      </c>
      <c r="E313" s="30">
        <f>VLOOKUP($A313,'зарплата в цінах'!$A$2:$F$397,5)</f>
        <v>0</v>
      </c>
      <c r="F313" s="30">
        <f>VLOOKUP($A313,'зарплата в цінах'!$A$2:$F$397,6)</f>
        <v>0</v>
      </c>
    </row>
    <row r="314" spans="1:6" x14ac:dyDescent="0.3">
      <c r="A314" s="328">
        <v>150000846</v>
      </c>
      <c r="B314" s="434" t="s">
        <v>139</v>
      </c>
      <c r="C314" s="30">
        <f>VLOOKUP($A314,'зарплата в цінах'!$A$2:$F$397,3)</f>
        <v>0</v>
      </c>
      <c r="D314" s="30">
        <f>VLOOKUP($A314,'зарплата в цінах'!$A$2:$F$397,4)</f>
        <v>0</v>
      </c>
      <c r="E314" s="30">
        <f>VLOOKUP($A314,'зарплата в цінах'!$A$2:$F$397,5)</f>
        <v>0</v>
      </c>
      <c r="F314" s="30">
        <f>VLOOKUP($A314,'зарплата в цінах'!$A$2:$F$397,6)</f>
        <v>0</v>
      </c>
    </row>
    <row r="315" spans="1:6" x14ac:dyDescent="0.3">
      <c r="A315" s="328">
        <v>150000798</v>
      </c>
      <c r="B315" s="260" t="s">
        <v>225</v>
      </c>
      <c r="C315" s="30">
        <f>VLOOKUP($A315,'зарплата в цінах'!$A$2:$F$397,3)</f>
        <v>131.13999999999999</v>
      </c>
      <c r="D315" s="30">
        <f>VLOOKUP($A315,'зарплата в цінах'!$A$2:$F$397,4)</f>
        <v>23.83</v>
      </c>
      <c r="E315" s="30">
        <f>VLOOKUP($A315,'зарплата в цінах'!$A$2:$F$397,5)</f>
        <v>0</v>
      </c>
      <c r="F315" s="30">
        <f>VLOOKUP($A315,'зарплата в цінах'!$A$2:$F$397,6)</f>
        <v>87.42</v>
      </c>
    </row>
    <row r="316" spans="1:6" x14ac:dyDescent="0.3">
      <c r="A316" s="328">
        <v>150000819</v>
      </c>
      <c r="B316" s="260" t="s">
        <v>423</v>
      </c>
      <c r="C316" s="30">
        <f>VLOOKUP($A316,'зарплата в цінах'!$A$2:$F$397,3)</f>
        <v>885.99</v>
      </c>
      <c r="D316" s="30">
        <f>VLOOKUP($A316,'зарплата в цінах'!$A$2:$F$397,4)</f>
        <v>151.75</v>
      </c>
      <c r="E316" s="30">
        <f>VLOOKUP($A316,'зарплата в цінах'!$A$2:$F$397,5)</f>
        <v>42.26</v>
      </c>
      <c r="F316" s="30">
        <f>VLOOKUP($A316,'зарплата в цінах'!$A$2:$F$397,6)</f>
        <v>312.16000000000003</v>
      </c>
    </row>
    <row r="317" spans="1:6" x14ac:dyDescent="0.3">
      <c r="A317" s="328">
        <v>150000820</v>
      </c>
      <c r="B317" s="260" t="s">
        <v>394</v>
      </c>
      <c r="C317" s="30">
        <f>VLOOKUP($A317,'зарплата в цінах'!$A$2:$F$397,3)</f>
        <v>483.26</v>
      </c>
      <c r="D317" s="30">
        <f>VLOOKUP($A317,'зарплата в цінах'!$A$2:$F$397,4)</f>
        <v>92.98</v>
      </c>
      <c r="E317" s="30">
        <f>VLOOKUP($A317,'зарплата в цінах'!$A$2:$F$397,5)</f>
        <v>26.37</v>
      </c>
      <c r="F317" s="30">
        <f>VLOOKUP($A317,'зарплата в цінах'!$A$2:$F$397,6)</f>
        <v>187.53</v>
      </c>
    </row>
    <row r="318" spans="1:6" x14ac:dyDescent="0.3">
      <c r="A318" s="328">
        <v>150000799</v>
      </c>
      <c r="B318" s="260" t="s">
        <v>292</v>
      </c>
      <c r="C318" s="30">
        <f>VLOOKUP($A318,'зарплата в цінах'!$A$2:$F$397,3)</f>
        <v>222.22</v>
      </c>
      <c r="D318" s="30">
        <f>VLOOKUP($A318,'зарплата в цінах'!$A$2:$F$397,4)</f>
        <v>42.74</v>
      </c>
      <c r="E318" s="30">
        <f>VLOOKUP($A318,'зарплата в цінах'!$A$2:$F$397,5)</f>
        <v>0</v>
      </c>
      <c r="F318" s="30">
        <f>VLOOKUP($A318,'зарплата в цінах'!$A$2:$F$397,6)</f>
        <v>111.9</v>
      </c>
    </row>
    <row r="319" spans="1:6" x14ac:dyDescent="0.3">
      <c r="A319" s="328">
        <v>150000830</v>
      </c>
      <c r="B319" s="260" t="s">
        <v>293</v>
      </c>
      <c r="C319" s="30">
        <f>VLOOKUP($A319,'зарплата в цінах'!$A$2:$F$397,3)</f>
        <v>553.66999999999996</v>
      </c>
      <c r="D319" s="30">
        <f>VLOOKUP($A319,'зарплата в цінах'!$A$2:$F$397,4)</f>
        <v>114.83</v>
      </c>
      <c r="E319" s="30">
        <f>VLOOKUP($A319,'зарплата в цінах'!$A$2:$F$397,5)</f>
        <v>43.76</v>
      </c>
      <c r="F319" s="30">
        <f>VLOOKUP($A319,'зарплата в цінах'!$A$2:$F$397,6)</f>
        <v>423.58</v>
      </c>
    </row>
    <row r="320" spans="1:6" x14ac:dyDescent="0.3">
      <c r="A320" s="328">
        <v>150000800</v>
      </c>
      <c r="B320" s="260" t="s">
        <v>226</v>
      </c>
      <c r="C320" s="30">
        <f>VLOOKUP($A320,'зарплата в цінах'!$A$2:$F$397,3)</f>
        <v>155.51</v>
      </c>
      <c r="D320" s="30">
        <f>VLOOKUP($A320,'зарплата в цінах'!$A$2:$F$397,4)</f>
        <v>24.16</v>
      </c>
      <c r="E320" s="30">
        <f>VLOOKUP($A320,'зарплата в цінах'!$A$2:$F$397,5)</f>
        <v>0</v>
      </c>
      <c r="F320" s="30">
        <f>VLOOKUP($A320,'зарплата в цінах'!$A$2:$F$397,6)</f>
        <v>88.65</v>
      </c>
    </row>
    <row r="321" spans="1:6" x14ac:dyDescent="0.3">
      <c r="A321" s="328">
        <v>150000801</v>
      </c>
      <c r="B321" s="260" t="s">
        <v>294</v>
      </c>
      <c r="C321" s="30">
        <f>VLOOKUP($A321,'зарплата в цінах'!$A$2:$F$397,3)</f>
        <v>487.64</v>
      </c>
      <c r="D321" s="30">
        <f>VLOOKUP($A321,'зарплата в цінах'!$A$2:$F$397,4)</f>
        <v>96.35</v>
      </c>
      <c r="E321" s="30">
        <f>VLOOKUP($A321,'зарплата в цінах'!$A$2:$F$397,5)</f>
        <v>0</v>
      </c>
      <c r="F321" s="30">
        <f>VLOOKUP($A321,'зарплата в цінах'!$A$2:$F$397,6)</f>
        <v>329.75</v>
      </c>
    </row>
    <row r="322" spans="1:6" x14ac:dyDescent="0.3">
      <c r="A322" s="328">
        <v>150000802</v>
      </c>
      <c r="B322" s="260" t="s">
        <v>295</v>
      </c>
      <c r="C322" s="30">
        <f>VLOOKUP($A322,'зарплата в цінах'!$A$2:$F$397,3)</f>
        <v>402.42</v>
      </c>
      <c r="D322" s="30">
        <f>VLOOKUP($A322,'зарплата в цінах'!$A$2:$F$397,4)</f>
        <v>77.16</v>
      </c>
      <c r="E322" s="30">
        <f>VLOOKUP($A322,'зарплата в цінах'!$A$2:$F$397,5)</f>
        <v>0</v>
      </c>
      <c r="F322" s="30">
        <f>VLOOKUP($A322,'зарплата в цінах'!$A$2:$F$397,6)</f>
        <v>232.82</v>
      </c>
    </row>
    <row r="323" spans="1:6" x14ac:dyDescent="0.3">
      <c r="A323" s="328">
        <v>150000803</v>
      </c>
      <c r="B323" s="260" t="s">
        <v>227</v>
      </c>
      <c r="C323" s="30">
        <f>VLOOKUP($A323,'зарплата в цінах'!$A$2:$F$397,3)</f>
        <v>166.56</v>
      </c>
      <c r="D323" s="30">
        <f>VLOOKUP($A323,'зарплата в цінах'!$A$2:$F$397,4)</f>
        <v>30.07</v>
      </c>
      <c r="E323" s="30">
        <f>VLOOKUP($A323,'зарплата в цінах'!$A$2:$F$397,5)</f>
        <v>0</v>
      </c>
      <c r="F323" s="30">
        <f>VLOOKUP($A323,'зарплата в цінах'!$A$2:$F$397,6)</f>
        <v>83.55</v>
      </c>
    </row>
    <row r="324" spans="1:6" x14ac:dyDescent="0.3">
      <c r="A324" s="328">
        <v>150000805</v>
      </c>
      <c r="B324" s="260" t="s">
        <v>296</v>
      </c>
      <c r="C324" s="30">
        <f>VLOOKUP($A324,'зарплата в цінах'!$A$2:$F$397,3)</f>
        <v>385.93</v>
      </c>
      <c r="D324" s="30">
        <f>VLOOKUP($A324,'зарплата в цінах'!$A$2:$F$397,4)</f>
        <v>77.650000000000006</v>
      </c>
      <c r="E324" s="30">
        <f>VLOOKUP($A324,'зарплата в цінах'!$A$2:$F$397,5)</f>
        <v>0</v>
      </c>
      <c r="F324" s="30">
        <f>VLOOKUP($A324,'зарплата в цінах'!$A$2:$F$397,6)</f>
        <v>240.99</v>
      </c>
    </row>
    <row r="325" spans="1:6" x14ac:dyDescent="0.3">
      <c r="A325" s="328">
        <v>150000806</v>
      </c>
      <c r="B325" s="260" t="s">
        <v>228</v>
      </c>
      <c r="C325" s="30">
        <f>VLOOKUP($A325,'зарплата в цінах'!$A$2:$F$397,3)</f>
        <v>275.83999999999997</v>
      </c>
      <c r="D325" s="30">
        <f>VLOOKUP($A325,'зарплата в цінах'!$A$2:$F$397,4)</f>
        <v>57.81</v>
      </c>
      <c r="E325" s="30">
        <f>VLOOKUP($A325,'зарплата в цінах'!$A$2:$F$397,5)</f>
        <v>0</v>
      </c>
      <c r="F325" s="30">
        <f>VLOOKUP($A325,'зарплата в цінах'!$A$2:$F$397,6)</f>
        <v>232.58</v>
      </c>
    </row>
    <row r="326" spans="1:6" x14ac:dyDescent="0.3">
      <c r="A326" s="328">
        <v>150000807</v>
      </c>
      <c r="B326" s="260" t="s">
        <v>187</v>
      </c>
      <c r="C326" s="30">
        <f>VLOOKUP($A326,'зарплата в цінах'!$A$2:$F$397,3)</f>
        <v>64.209999999999994</v>
      </c>
      <c r="D326" s="30">
        <f>VLOOKUP($A326,'зарплата в цінах'!$A$2:$F$397,4)</f>
        <v>11.3</v>
      </c>
      <c r="E326" s="30">
        <f>VLOOKUP($A326,'зарплата в цінах'!$A$2:$F$397,5)</f>
        <v>0</v>
      </c>
      <c r="F326" s="30">
        <f>VLOOKUP($A326,'зарплата в цінах'!$A$2:$F$397,6)</f>
        <v>11.36</v>
      </c>
    </row>
    <row r="327" spans="1:6" x14ac:dyDescent="0.3">
      <c r="A327" s="328">
        <v>150000808</v>
      </c>
      <c r="B327" s="260" t="s">
        <v>297</v>
      </c>
      <c r="C327" s="30">
        <f>VLOOKUP($A327,'зарплата в цінах'!$A$2:$F$397,3)</f>
        <v>205.6</v>
      </c>
      <c r="D327" s="30">
        <f>VLOOKUP($A327,'зарплата в цінах'!$A$2:$F$397,4)</f>
        <v>39.42</v>
      </c>
      <c r="E327" s="30">
        <f>VLOOKUP($A327,'зарплата в цінах'!$A$2:$F$397,5)</f>
        <v>0</v>
      </c>
      <c r="F327" s="30">
        <f>VLOOKUP($A327,'зарплата в цінах'!$A$2:$F$397,6)</f>
        <v>99.01</v>
      </c>
    </row>
    <row r="328" spans="1:6" x14ac:dyDescent="0.3">
      <c r="A328" s="328">
        <v>150000827</v>
      </c>
      <c r="B328" s="260" t="s">
        <v>298</v>
      </c>
      <c r="C328" s="30">
        <f>VLOOKUP($A328,'зарплата в цінах'!$A$2:$F$397,3)</f>
        <v>487.64</v>
      </c>
      <c r="D328" s="30">
        <f>VLOOKUP($A328,'зарплата в цінах'!$A$2:$F$397,4)</f>
        <v>96.46</v>
      </c>
      <c r="E328" s="30">
        <f>VLOOKUP($A328,'зарплата в цінах'!$A$2:$F$397,5)</f>
        <v>0</v>
      </c>
      <c r="F328" s="30">
        <f>VLOOKUP($A328,'зарплата в цінах'!$A$2:$F$397,6)</f>
        <v>320.60000000000002</v>
      </c>
    </row>
    <row r="329" spans="1:6" x14ac:dyDescent="0.3">
      <c r="A329" s="328">
        <v>150000809</v>
      </c>
      <c r="B329" s="260" t="s">
        <v>299</v>
      </c>
      <c r="C329" s="30">
        <f>VLOOKUP($A329,'зарплата в цінах'!$A$2:$F$397,3)</f>
        <v>278.37</v>
      </c>
      <c r="D329" s="30">
        <f>VLOOKUP($A329,'зарплата в цінах'!$A$2:$F$397,4)</f>
        <v>51.96</v>
      </c>
      <c r="E329" s="30">
        <f>VLOOKUP($A329,'зарплата в цінах'!$A$2:$F$397,5)</f>
        <v>0</v>
      </c>
      <c r="F329" s="30">
        <f>VLOOKUP($A329,'зарплата в цінах'!$A$2:$F$397,6)</f>
        <v>148.44999999999999</v>
      </c>
    </row>
    <row r="330" spans="1:6" x14ac:dyDescent="0.3">
      <c r="A330" s="328">
        <v>150000810</v>
      </c>
      <c r="B330" s="260" t="s">
        <v>300</v>
      </c>
      <c r="C330" s="30">
        <f>VLOOKUP($A330,'зарплата в цінах'!$A$2:$F$397,3)</f>
        <v>336.11</v>
      </c>
      <c r="D330" s="30">
        <f>VLOOKUP($A330,'зарплата в цінах'!$A$2:$F$397,4)</f>
        <v>66.790000000000006</v>
      </c>
      <c r="E330" s="30">
        <f>VLOOKUP($A330,'зарплата в цінах'!$A$2:$F$397,5)</f>
        <v>0</v>
      </c>
      <c r="F330" s="30">
        <f>VLOOKUP($A330,'зарплата в цінах'!$A$2:$F$397,6)</f>
        <v>200.83</v>
      </c>
    </row>
    <row r="331" spans="1:6" x14ac:dyDescent="0.3">
      <c r="A331" s="328">
        <v>150000811</v>
      </c>
      <c r="B331" s="260" t="s">
        <v>301</v>
      </c>
      <c r="C331" s="30">
        <f>VLOOKUP($A331,'зарплата в цінах'!$A$2:$F$397,3)</f>
        <v>305.88</v>
      </c>
      <c r="D331" s="30">
        <f>VLOOKUP($A331,'зарплата в цінах'!$A$2:$F$397,4)</f>
        <v>52.31</v>
      </c>
      <c r="E331" s="30">
        <f>VLOOKUP($A331,'зарплата в цінах'!$A$2:$F$397,5)</f>
        <v>0</v>
      </c>
      <c r="F331" s="30">
        <f>VLOOKUP($A331,'зарплата в цінах'!$A$2:$F$397,6)</f>
        <v>160.07</v>
      </c>
    </row>
    <row r="332" spans="1:6" x14ac:dyDescent="0.3">
      <c r="A332" s="328">
        <v>150000812</v>
      </c>
      <c r="B332" s="260" t="s">
        <v>302</v>
      </c>
      <c r="C332" s="30">
        <f>VLOOKUP($A332,'зарплата в цінах'!$A$2:$F$397,3)</f>
        <v>198.78</v>
      </c>
      <c r="D332" s="30">
        <f>VLOOKUP($A332,'зарплата в цінах'!$A$2:$F$397,4)</f>
        <v>39.31</v>
      </c>
      <c r="E332" s="30">
        <f>VLOOKUP($A332,'зарплата в цінах'!$A$2:$F$397,5)</f>
        <v>0</v>
      </c>
      <c r="F332" s="30">
        <f>VLOOKUP($A332,'зарплата в цінах'!$A$2:$F$397,6)</f>
        <v>154.6</v>
      </c>
    </row>
    <row r="333" spans="1:6" x14ac:dyDescent="0.3">
      <c r="A333" s="328">
        <v>150000828</v>
      </c>
      <c r="B333" s="260" t="s">
        <v>303</v>
      </c>
      <c r="C333" s="30">
        <f>VLOOKUP($A333,'зарплата в цінах'!$A$2:$F$397,3)</f>
        <v>305.88</v>
      </c>
      <c r="D333" s="30">
        <f>VLOOKUP($A333,'зарплата в цінах'!$A$2:$F$397,4)</f>
        <v>52.31</v>
      </c>
      <c r="E333" s="30">
        <f>VLOOKUP($A333,'зарплата в цінах'!$A$2:$F$397,5)</f>
        <v>0</v>
      </c>
      <c r="F333" s="30">
        <f>VLOOKUP($A333,'зарплата в цінах'!$A$2:$F$397,6)</f>
        <v>158.66999999999999</v>
      </c>
    </row>
    <row r="334" spans="1:6" x14ac:dyDescent="0.3">
      <c r="A334" s="328">
        <v>150000813</v>
      </c>
      <c r="B334" s="260" t="s">
        <v>188</v>
      </c>
      <c r="C334" s="30">
        <f>VLOOKUP($A334,'зарплата в цінах'!$A$2:$F$397,3)</f>
        <v>32.86</v>
      </c>
      <c r="D334" s="30">
        <f>VLOOKUP($A334,'зарплата в цінах'!$A$2:$F$397,4)</f>
        <v>11.54</v>
      </c>
      <c r="E334" s="30">
        <f>VLOOKUP($A334,'зарплата в цінах'!$A$2:$F$397,5)</f>
        <v>0</v>
      </c>
      <c r="F334" s="30">
        <f>VLOOKUP($A334,'зарплата в цінах'!$A$2:$F$397,6)</f>
        <v>17.25</v>
      </c>
    </row>
    <row r="335" spans="1:6" x14ac:dyDescent="0.3">
      <c r="A335" s="328">
        <v>150000814</v>
      </c>
      <c r="B335" s="260" t="s">
        <v>304</v>
      </c>
      <c r="C335" s="30">
        <f>VLOOKUP($A335,'зарплата в цінах'!$A$2:$F$397,3)</f>
        <v>353.92</v>
      </c>
      <c r="D335" s="30">
        <f>VLOOKUP($A335,'зарплата в цінах'!$A$2:$F$397,4)</f>
        <v>74.349999999999994</v>
      </c>
      <c r="E335" s="30">
        <f>VLOOKUP($A335,'зарплата в цінах'!$A$2:$F$397,5)</f>
        <v>0</v>
      </c>
      <c r="F335" s="30">
        <f>VLOOKUP($A335,'зарплата в цінах'!$A$2:$F$397,6)</f>
        <v>206.54</v>
      </c>
    </row>
    <row r="336" spans="1:6" x14ac:dyDescent="0.3">
      <c r="A336" s="328">
        <v>150000816</v>
      </c>
      <c r="B336" s="260" t="s">
        <v>229</v>
      </c>
      <c r="C336" s="30">
        <f>VLOOKUP($A336,'зарплата в цінах'!$A$2:$F$397,3)</f>
        <v>310.35000000000002</v>
      </c>
      <c r="D336" s="30">
        <f>VLOOKUP($A336,'зарплата в цінах'!$A$2:$F$397,4)</f>
        <v>50.81</v>
      </c>
      <c r="E336" s="30">
        <f>VLOOKUP($A336,'зарплата в цінах'!$A$2:$F$397,5)</f>
        <v>0</v>
      </c>
      <c r="F336" s="30">
        <f>VLOOKUP($A336,'зарплата в цінах'!$A$2:$F$397,6)</f>
        <v>181.7</v>
      </c>
    </row>
    <row r="337" spans="1:6" x14ac:dyDescent="0.3">
      <c r="A337" s="328">
        <v>150000829</v>
      </c>
      <c r="B337" s="260" t="s">
        <v>230</v>
      </c>
      <c r="C337" s="30">
        <f>VLOOKUP($A337,'зарплата в цінах'!$A$2:$F$397,3)</f>
        <v>324.35000000000002</v>
      </c>
      <c r="D337" s="30">
        <f>VLOOKUP($A337,'зарплата в цінах'!$A$2:$F$397,4)</f>
        <v>51</v>
      </c>
      <c r="E337" s="30">
        <f>VLOOKUP($A337,'зарплата в цінах'!$A$2:$F$397,5)</f>
        <v>0</v>
      </c>
      <c r="F337" s="30">
        <f>VLOOKUP($A337,'зарплата в цінах'!$A$2:$F$397,6)</f>
        <v>181.34</v>
      </c>
    </row>
    <row r="338" spans="1:6" x14ac:dyDescent="0.3">
      <c r="A338" s="328">
        <v>150000797</v>
      </c>
      <c r="B338" s="260" t="s">
        <v>231</v>
      </c>
      <c r="C338" s="30">
        <f>VLOOKUP($A338,'зарплата в цінах'!$A$2:$F$397,3)</f>
        <v>579.07000000000005</v>
      </c>
      <c r="D338" s="30">
        <f>VLOOKUP($A338,'зарплата в цінах'!$A$2:$F$397,4)</f>
        <v>125.02</v>
      </c>
      <c r="E338" s="30">
        <f>VLOOKUP($A338,'зарплата в цінах'!$A$2:$F$397,5)</f>
        <v>0</v>
      </c>
      <c r="F338" s="30">
        <f>VLOOKUP($A338,'зарплата в цінах'!$A$2:$F$397,6)</f>
        <v>665.58</v>
      </c>
    </row>
    <row r="339" spans="1:6" x14ac:dyDescent="0.3">
      <c r="A339" s="328">
        <v>150000705</v>
      </c>
      <c r="B339" s="434" t="s">
        <v>141</v>
      </c>
      <c r="C339" s="30">
        <f>VLOOKUP($A339,'зарплата в цінах'!$A$2:$F$397,3)</f>
        <v>0</v>
      </c>
      <c r="D339" s="30">
        <f>VLOOKUP($A339,'зарплата в цінах'!$A$2:$F$397,4)</f>
        <v>0</v>
      </c>
      <c r="E339" s="30">
        <f>VLOOKUP($A339,'зарплата в цінах'!$A$2:$F$397,5)</f>
        <v>0</v>
      </c>
      <c r="F339" s="30">
        <f>VLOOKUP($A339,'зарплата в цінах'!$A$2:$F$397,6)</f>
        <v>0</v>
      </c>
    </row>
    <row r="340" spans="1:6" x14ac:dyDescent="0.3">
      <c r="A340" s="328">
        <v>150000709</v>
      </c>
      <c r="B340" s="434" t="s">
        <v>142</v>
      </c>
      <c r="C340" s="30">
        <f>VLOOKUP($A340,'зарплата в цінах'!$A$2:$F$397,3)</f>
        <v>0</v>
      </c>
      <c r="D340" s="30">
        <f>VLOOKUP($A340,'зарплата в цінах'!$A$2:$F$397,4)</f>
        <v>0</v>
      </c>
      <c r="E340" s="30">
        <f>VLOOKUP($A340,'зарплата в цінах'!$A$2:$F$397,5)</f>
        <v>0</v>
      </c>
      <c r="F340" s="30">
        <f>VLOOKUP($A340,'зарплата в цінах'!$A$2:$F$397,6)</f>
        <v>0</v>
      </c>
    </row>
    <row r="341" spans="1:6" x14ac:dyDescent="0.3">
      <c r="A341" s="328">
        <v>150000706</v>
      </c>
      <c r="B341" s="434" t="s">
        <v>143</v>
      </c>
      <c r="C341" s="30">
        <f>VLOOKUP($A341,'зарплата в цінах'!$A$2:$F$397,3)</f>
        <v>0</v>
      </c>
      <c r="D341" s="30">
        <f>VLOOKUP($A341,'зарплата в цінах'!$A$2:$F$397,4)</f>
        <v>0</v>
      </c>
      <c r="E341" s="30">
        <f>VLOOKUP($A341,'зарплата в цінах'!$A$2:$F$397,5)</f>
        <v>0</v>
      </c>
      <c r="F341" s="30">
        <f>VLOOKUP($A341,'зарплата в цінах'!$A$2:$F$397,6)</f>
        <v>0</v>
      </c>
    </row>
    <row r="342" spans="1:6" x14ac:dyDescent="0.3">
      <c r="A342" s="328">
        <v>150000707</v>
      </c>
      <c r="B342" s="434" t="s">
        <v>144</v>
      </c>
      <c r="C342" s="30">
        <f>VLOOKUP($A342,'зарплата в цінах'!$A$2:$F$397,3)</f>
        <v>0</v>
      </c>
      <c r="D342" s="30">
        <f>VLOOKUP($A342,'зарплата в цінах'!$A$2:$F$397,4)</f>
        <v>0</v>
      </c>
      <c r="E342" s="30">
        <f>VLOOKUP($A342,'зарплата в цінах'!$A$2:$F$397,5)</f>
        <v>0</v>
      </c>
      <c r="F342" s="30">
        <f>VLOOKUP($A342,'зарплата в цінах'!$A$2:$F$397,6)</f>
        <v>0</v>
      </c>
    </row>
    <row r="343" spans="1:6" x14ac:dyDescent="0.3">
      <c r="A343" s="328">
        <v>150000708</v>
      </c>
      <c r="B343" s="434" t="s">
        <v>145</v>
      </c>
      <c r="C343" s="30">
        <f>VLOOKUP($A343,'зарплата в цінах'!$A$2:$F$397,3)</f>
        <v>0</v>
      </c>
      <c r="D343" s="30">
        <f>VLOOKUP($A343,'зарплата в цінах'!$A$2:$F$397,4)</f>
        <v>0</v>
      </c>
      <c r="E343" s="30">
        <f>VLOOKUP($A343,'зарплата в цінах'!$A$2:$F$397,5)</f>
        <v>0</v>
      </c>
      <c r="F343" s="30">
        <f>VLOOKUP($A343,'зарплата в цінах'!$A$2:$F$397,6)</f>
        <v>0</v>
      </c>
    </row>
    <row r="344" spans="1:6" x14ac:dyDescent="0.3">
      <c r="A344" s="328">
        <v>150000591</v>
      </c>
      <c r="B344" s="260" t="s">
        <v>191</v>
      </c>
      <c r="C344" s="30">
        <f>VLOOKUP($A344,'зарплата в цінах'!$A$2:$F$397,3)</f>
        <v>31.36</v>
      </c>
      <c r="D344" s="30">
        <f>VLOOKUP($A344,'зарплата в цінах'!$A$2:$F$397,4)</f>
        <v>5.53</v>
      </c>
      <c r="E344" s="30">
        <f>VLOOKUP($A344,'зарплата в цінах'!$A$2:$F$397,5)</f>
        <v>0</v>
      </c>
      <c r="F344" s="30">
        <f>VLOOKUP($A344,'зарплата в цінах'!$A$2:$F$397,6)</f>
        <v>12.28</v>
      </c>
    </row>
    <row r="345" spans="1:6" x14ac:dyDescent="0.3">
      <c r="A345" s="328">
        <v>150000861</v>
      </c>
      <c r="B345" s="260" t="s">
        <v>232</v>
      </c>
      <c r="C345" s="30">
        <f>VLOOKUP($A345,'зарплата в цінах'!$A$2:$F$397,3)</f>
        <v>399.57</v>
      </c>
      <c r="D345" s="30">
        <f>VLOOKUP($A345,'зарплата в цінах'!$A$2:$F$397,4)</f>
        <v>82.53</v>
      </c>
      <c r="E345" s="30">
        <f>VLOOKUP($A345,'зарплата в цінах'!$A$2:$F$397,5)</f>
        <v>0</v>
      </c>
      <c r="F345" s="30">
        <f>VLOOKUP($A345,'зарплата в цінах'!$A$2:$F$397,6)</f>
        <v>356.51</v>
      </c>
    </row>
    <row r="346" spans="1:6" x14ac:dyDescent="0.3">
      <c r="A346" s="328">
        <v>150000872</v>
      </c>
      <c r="B346" s="260" t="s">
        <v>233</v>
      </c>
      <c r="C346" s="30">
        <f>VLOOKUP($A346,'зарплата в цінах'!$A$2:$F$397,3)</f>
        <v>256.14999999999998</v>
      </c>
      <c r="D346" s="30">
        <f>VLOOKUP($A346,'зарплата в цінах'!$A$2:$F$397,4)</f>
        <v>63.16</v>
      </c>
      <c r="E346" s="30">
        <f>VLOOKUP($A346,'зарплата в цінах'!$A$2:$F$397,5)</f>
        <v>0</v>
      </c>
      <c r="F346" s="30">
        <f>VLOOKUP($A346,'зарплата в цінах'!$A$2:$F$397,6)</f>
        <v>86.41</v>
      </c>
    </row>
    <row r="347" spans="1:6" x14ac:dyDescent="0.3">
      <c r="A347" s="328">
        <v>150000862</v>
      </c>
      <c r="B347" s="260" t="s">
        <v>234</v>
      </c>
      <c r="C347" s="30">
        <f>VLOOKUP($A347,'зарплата в цінах'!$A$2:$F$397,3)</f>
        <v>475.15</v>
      </c>
      <c r="D347" s="30">
        <f>VLOOKUP($A347,'зарплата в цінах'!$A$2:$F$397,4)</f>
        <v>96.84</v>
      </c>
      <c r="E347" s="30">
        <f>VLOOKUP($A347,'зарплата в цінах'!$A$2:$F$397,5)</f>
        <v>0</v>
      </c>
      <c r="F347" s="30">
        <f>VLOOKUP($A347,'зарплата в цінах'!$A$2:$F$397,6)</f>
        <v>454.55</v>
      </c>
    </row>
    <row r="348" spans="1:6" x14ac:dyDescent="0.3">
      <c r="A348" s="328">
        <v>150000863</v>
      </c>
      <c r="B348" s="260" t="s">
        <v>235</v>
      </c>
      <c r="C348" s="30">
        <f>VLOOKUP($A348,'зарплата в цінах'!$A$2:$F$397,3)</f>
        <v>361.59</v>
      </c>
      <c r="D348" s="30">
        <f>VLOOKUP($A348,'зарплата в цінах'!$A$2:$F$397,4)</f>
        <v>77.67</v>
      </c>
      <c r="E348" s="30">
        <f>VLOOKUP($A348,'зарплата в цінах'!$A$2:$F$397,5)</f>
        <v>0</v>
      </c>
      <c r="F348" s="30">
        <f>VLOOKUP($A348,'зарплата в цінах'!$A$2:$F$397,6)</f>
        <v>326.05</v>
      </c>
    </row>
    <row r="349" spans="1:6" x14ac:dyDescent="0.3">
      <c r="A349" s="328">
        <v>150000864</v>
      </c>
      <c r="B349" s="260" t="s">
        <v>200</v>
      </c>
      <c r="C349" s="30">
        <f>VLOOKUP($A349,'зарплата в цінах'!$A$2:$F$397,3)</f>
        <v>356.44</v>
      </c>
      <c r="D349" s="30">
        <f>VLOOKUP($A349,'зарплата в цінах'!$A$2:$F$397,4)</f>
        <v>67.5</v>
      </c>
      <c r="E349" s="30">
        <f>VLOOKUP($A349,'зарплата в цінах'!$A$2:$F$397,5)</f>
        <v>0</v>
      </c>
      <c r="F349" s="30">
        <f>VLOOKUP($A349,'зарплата в цінах'!$A$2:$F$397,6)</f>
        <v>436</v>
      </c>
    </row>
    <row r="350" spans="1:6" x14ac:dyDescent="0.3">
      <c r="A350" s="328">
        <v>150000865</v>
      </c>
      <c r="B350" s="260" t="s">
        <v>305</v>
      </c>
      <c r="C350" s="30">
        <f>VLOOKUP($A350,'зарплата в цінах'!$A$2:$F$397,3)</f>
        <v>925.73</v>
      </c>
      <c r="D350" s="30">
        <f>VLOOKUP($A350,'зарплата в цінах'!$A$2:$F$397,4)</f>
        <v>193.41</v>
      </c>
      <c r="E350" s="30">
        <f>VLOOKUP($A350,'зарплата в цінах'!$A$2:$F$397,5)</f>
        <v>0</v>
      </c>
      <c r="F350" s="30">
        <f>VLOOKUP($A350,'зарплата в цінах'!$A$2:$F$397,6)</f>
        <v>1000.64</v>
      </c>
    </row>
    <row r="351" spans="1:6" x14ac:dyDescent="0.3">
      <c r="A351" s="328">
        <v>150000873</v>
      </c>
      <c r="B351" s="260" t="s">
        <v>306</v>
      </c>
      <c r="C351" s="30">
        <f>VLOOKUP($A351,'зарплата в цінах'!$A$2:$F$397,3)</f>
        <v>302.61</v>
      </c>
      <c r="D351" s="30">
        <f>VLOOKUP($A351,'зарплата в цінах'!$A$2:$F$397,4)</f>
        <v>58.37</v>
      </c>
      <c r="E351" s="30">
        <f>VLOOKUP($A351,'зарплата в цінах'!$A$2:$F$397,5)</f>
        <v>0</v>
      </c>
      <c r="F351" s="30">
        <f>VLOOKUP($A351,'зарплата в цінах'!$A$2:$F$397,6)</f>
        <v>162.09</v>
      </c>
    </row>
    <row r="352" spans="1:6" x14ac:dyDescent="0.3">
      <c r="A352" s="328">
        <v>150000874</v>
      </c>
      <c r="B352" s="260" t="s">
        <v>307</v>
      </c>
      <c r="C352" s="30">
        <f>VLOOKUP($A352,'зарплата в цінах'!$A$2:$F$397,3)</f>
        <v>273.49</v>
      </c>
      <c r="D352" s="30">
        <f>VLOOKUP($A352,'зарплата в цінах'!$A$2:$F$397,4)</f>
        <v>58.37</v>
      </c>
      <c r="E352" s="30">
        <f>VLOOKUP($A352,'зарплата в цінах'!$A$2:$F$397,5)</f>
        <v>17.98</v>
      </c>
      <c r="F352" s="30">
        <f>VLOOKUP($A352,'зарплата в цінах'!$A$2:$F$397,6)</f>
        <v>164.89</v>
      </c>
    </row>
    <row r="353" spans="1:6" x14ac:dyDescent="0.3">
      <c r="A353" s="328">
        <v>150000866</v>
      </c>
      <c r="B353" s="260" t="s">
        <v>308</v>
      </c>
      <c r="C353" s="30">
        <f>VLOOKUP($A353,'зарплата в цінах'!$A$2:$F$397,3)</f>
        <v>591.13</v>
      </c>
      <c r="D353" s="30">
        <f>VLOOKUP($A353,'зарплата в цінах'!$A$2:$F$397,4)</f>
        <v>115.74</v>
      </c>
      <c r="E353" s="30">
        <f>VLOOKUP($A353,'зарплата в цінах'!$A$2:$F$397,5)</f>
        <v>0</v>
      </c>
      <c r="F353" s="30">
        <f>VLOOKUP($A353,'зарплата в цінах'!$A$2:$F$397,6)</f>
        <v>438.56</v>
      </c>
    </row>
    <row r="354" spans="1:6" x14ac:dyDescent="0.3">
      <c r="A354" s="328">
        <v>150000867</v>
      </c>
      <c r="B354" s="260" t="s">
        <v>309</v>
      </c>
      <c r="C354" s="30">
        <f>VLOOKUP($A354,'зарплата в цінах'!$A$2:$F$397,3)</f>
        <v>291.31</v>
      </c>
      <c r="D354" s="30">
        <f>VLOOKUP($A354,'зарплата в цінах'!$A$2:$F$397,4)</f>
        <v>59.36</v>
      </c>
      <c r="E354" s="30">
        <f>VLOOKUP($A354,'зарплата в цінах'!$A$2:$F$397,5)</f>
        <v>0</v>
      </c>
      <c r="F354" s="30">
        <f>VLOOKUP($A354,'зарплата в цінах'!$A$2:$F$397,6)</f>
        <v>169.45</v>
      </c>
    </row>
    <row r="355" spans="1:6" x14ac:dyDescent="0.3">
      <c r="A355" s="328">
        <v>150000868</v>
      </c>
      <c r="B355" s="260" t="s">
        <v>310</v>
      </c>
      <c r="C355" s="30">
        <f>VLOOKUP($A355,'зарплата в цінах'!$A$2:$F$397,3)</f>
        <v>373.25</v>
      </c>
      <c r="D355" s="30">
        <f>VLOOKUP($A355,'зарплата в цінах'!$A$2:$F$397,4)</f>
        <v>77.489999999999995</v>
      </c>
      <c r="E355" s="30">
        <f>VLOOKUP($A355,'зарплата в цінах'!$A$2:$F$397,5)</f>
        <v>0</v>
      </c>
      <c r="F355" s="30">
        <f>VLOOKUP($A355,'зарплата в цінах'!$A$2:$F$397,6)</f>
        <v>236.51</v>
      </c>
    </row>
    <row r="356" spans="1:6" x14ac:dyDescent="0.3">
      <c r="A356" s="328">
        <v>150000869</v>
      </c>
      <c r="B356" s="260" t="s">
        <v>311</v>
      </c>
      <c r="C356" s="30">
        <f>VLOOKUP($A356,'зарплата в цінах'!$A$2:$F$397,3)</f>
        <v>605.51</v>
      </c>
      <c r="D356" s="30">
        <f>VLOOKUP($A356,'зарплата в цінах'!$A$2:$F$397,4)</f>
        <v>138.46</v>
      </c>
      <c r="E356" s="30">
        <f>VLOOKUP($A356,'зарплата в цінах'!$A$2:$F$397,5)</f>
        <v>41.96</v>
      </c>
      <c r="F356" s="30">
        <f>VLOOKUP($A356,'зарплата в цінах'!$A$2:$F$397,6)</f>
        <v>566.66999999999996</v>
      </c>
    </row>
    <row r="357" spans="1:6" x14ac:dyDescent="0.3">
      <c r="A357" s="328">
        <v>150000875</v>
      </c>
      <c r="B357" s="260" t="s">
        <v>312</v>
      </c>
      <c r="C357" s="30">
        <f>VLOOKUP($A357,'зарплата в цінах'!$A$2:$F$397,3)</f>
        <v>430.23</v>
      </c>
      <c r="D357" s="30">
        <f>VLOOKUP($A357,'зарплата в цінах'!$A$2:$F$397,4)</f>
        <v>87.11</v>
      </c>
      <c r="E357" s="30">
        <f>VLOOKUP($A357,'зарплата в цінах'!$A$2:$F$397,5)</f>
        <v>0</v>
      </c>
      <c r="F357" s="30">
        <f>VLOOKUP($A357,'зарплата в цінах'!$A$2:$F$397,6)</f>
        <v>233.64</v>
      </c>
    </row>
    <row r="358" spans="1:6" x14ac:dyDescent="0.3">
      <c r="A358" s="328">
        <v>150000871</v>
      </c>
      <c r="B358" s="434" t="s">
        <v>140</v>
      </c>
      <c r="C358" s="30">
        <f>VLOOKUP($A358,'зарплата в цінах'!$A$2:$F$397,3)</f>
        <v>0</v>
      </c>
      <c r="D358" s="30">
        <f>VLOOKUP($A358,'зарплата в цінах'!$A$2:$F$397,4)</f>
        <v>0</v>
      </c>
      <c r="E358" s="30">
        <f>VLOOKUP($A358,'зарплата в цінах'!$A$2:$F$397,5)</f>
        <v>0</v>
      </c>
      <c r="F358" s="30">
        <f>VLOOKUP($A358,'зарплата в цінах'!$A$2:$F$397,6)</f>
        <v>0</v>
      </c>
    </row>
    <row r="359" spans="1:6" x14ac:dyDescent="0.3">
      <c r="A359" s="328">
        <v>150000886</v>
      </c>
      <c r="B359" s="260" t="s">
        <v>396</v>
      </c>
      <c r="C359" s="30">
        <f>VLOOKUP($A359,'зарплата в цінах'!$A$2:$F$397,3)</f>
        <v>228.81</v>
      </c>
      <c r="D359" s="30">
        <f>VLOOKUP($A359,'зарплата в цінах'!$A$2:$F$397,4)</f>
        <v>33.630000000000003</v>
      </c>
      <c r="E359" s="30">
        <f>VLOOKUP($A359,'зарплата в цінах'!$A$2:$F$397,5)</f>
        <v>13.19</v>
      </c>
      <c r="F359" s="30">
        <f>VLOOKUP($A359,'зарплата в цінах'!$A$2:$F$397,6)</f>
        <v>114.59</v>
      </c>
    </row>
    <row r="360" spans="1:6" x14ac:dyDescent="0.3">
      <c r="A360" s="328">
        <v>150000887</v>
      </c>
      <c r="B360" s="260" t="s">
        <v>397</v>
      </c>
      <c r="C360" s="30">
        <f>VLOOKUP($A360,'зарплата в цінах'!$A$2:$F$397,3)</f>
        <v>781.01</v>
      </c>
      <c r="D360" s="30">
        <f>VLOOKUP($A360,'зарплата в цінах'!$A$2:$F$397,4)</f>
        <v>121.7</v>
      </c>
      <c r="E360" s="30">
        <f>VLOOKUP($A360,'зарплата в цінах'!$A$2:$F$397,5)</f>
        <v>39.56</v>
      </c>
      <c r="F360" s="30">
        <f>VLOOKUP($A360,'зарплата в цінах'!$A$2:$F$397,6)</f>
        <v>320.99</v>
      </c>
    </row>
    <row r="361" spans="1:6" x14ac:dyDescent="0.3">
      <c r="A361" s="328">
        <v>150000888</v>
      </c>
      <c r="B361" s="260" t="s">
        <v>313</v>
      </c>
      <c r="C361" s="30">
        <f>VLOOKUP($A361,'зарплата в цінах'!$A$2:$F$397,3)</f>
        <v>371.35</v>
      </c>
      <c r="D361" s="30">
        <f>VLOOKUP($A361,'зарплата в цінах'!$A$2:$F$397,4)</f>
        <v>77.16</v>
      </c>
      <c r="E361" s="30">
        <f>VLOOKUP($A361,'зарплата в цінах'!$A$2:$F$397,5)</f>
        <v>0</v>
      </c>
      <c r="F361" s="30">
        <f>VLOOKUP($A361,'зарплата в цінах'!$A$2:$F$397,6)</f>
        <v>235.15</v>
      </c>
    </row>
    <row r="362" spans="1:6" x14ac:dyDescent="0.3">
      <c r="A362" s="328">
        <v>150000889</v>
      </c>
      <c r="B362" s="260" t="s">
        <v>427</v>
      </c>
      <c r="C362" s="30">
        <f>VLOOKUP($A362,'зарплата в цінах'!$A$2:$F$397,3)</f>
        <v>741.81</v>
      </c>
      <c r="D362" s="30">
        <f>VLOOKUP($A362,'зарплата в цінах'!$A$2:$F$397,4)</f>
        <v>119.13</v>
      </c>
      <c r="E362" s="30">
        <f>VLOOKUP($A362,'зарплата в цінах'!$A$2:$F$397,5)</f>
        <v>29.97</v>
      </c>
      <c r="F362" s="30">
        <f>VLOOKUP($A362,'зарплата в цінах'!$A$2:$F$397,6)</f>
        <v>192.31</v>
      </c>
    </row>
    <row r="363" spans="1:6" x14ac:dyDescent="0.3">
      <c r="A363" s="328">
        <v>150000890</v>
      </c>
      <c r="B363" s="260" t="s">
        <v>398</v>
      </c>
      <c r="C363" s="30">
        <f>VLOOKUP($A363,'зарплата в цінах'!$A$2:$F$397,3)</f>
        <v>691.12</v>
      </c>
      <c r="D363" s="30">
        <f>VLOOKUP($A363,'зарплата в цінах'!$A$2:$F$397,4)</f>
        <v>137.88999999999999</v>
      </c>
      <c r="E363" s="30">
        <f>VLOOKUP($A363,'зарплата в цінах'!$A$2:$F$397,5)</f>
        <v>52.75</v>
      </c>
      <c r="F363" s="30">
        <f>VLOOKUP($A363,'зарплата в цінах'!$A$2:$F$397,6)</f>
        <v>458.15</v>
      </c>
    </row>
    <row r="364" spans="1:6" x14ac:dyDescent="0.3">
      <c r="A364" s="328">
        <v>150000891</v>
      </c>
      <c r="B364" s="260" t="s">
        <v>189</v>
      </c>
      <c r="C364" s="30">
        <f>VLOOKUP($A364,'зарплата в цінах'!$A$2:$F$397,3)</f>
        <v>31.83</v>
      </c>
      <c r="D364" s="30">
        <f>VLOOKUP($A364,'зарплата в цінах'!$A$2:$F$397,4)</f>
        <v>10.35</v>
      </c>
      <c r="E364" s="30">
        <f>VLOOKUP($A364,'зарплата в цінах'!$A$2:$F$397,5)</f>
        <v>0</v>
      </c>
      <c r="F364" s="30">
        <f>VLOOKUP($A364,'зарплата в цінах'!$A$2:$F$397,6)</f>
        <v>0.99</v>
      </c>
    </row>
    <row r="365" spans="1:6" x14ac:dyDescent="0.3">
      <c r="A365" s="328">
        <v>150001561</v>
      </c>
      <c r="B365" s="260" t="s">
        <v>399</v>
      </c>
      <c r="C365" s="30">
        <f>VLOOKUP($A365,'зарплата в цінах'!$A$2:$F$397,3)</f>
        <v>656.69</v>
      </c>
      <c r="D365" s="30">
        <f>VLOOKUP($A365,'зарплата в цінах'!$A$2:$F$397,4)</f>
        <v>104.79</v>
      </c>
      <c r="E365" s="30">
        <f>VLOOKUP($A365,'зарплата в цінах'!$A$2:$F$397,5)</f>
        <v>8.99</v>
      </c>
      <c r="F365" s="30">
        <f>VLOOKUP($A365,'зарплата в цінах'!$A$2:$F$397,6)</f>
        <v>214.09</v>
      </c>
    </row>
    <row r="366" spans="1:6" x14ac:dyDescent="0.3">
      <c r="A366" s="328">
        <v>150000892</v>
      </c>
      <c r="B366" s="260" t="s">
        <v>400</v>
      </c>
      <c r="C366" s="30">
        <f>VLOOKUP($A366,'зарплата в цінах'!$A$2:$F$397,3)</f>
        <v>558.41</v>
      </c>
      <c r="D366" s="30">
        <f>VLOOKUP($A366,'зарплата в цінах'!$A$2:$F$397,4)</f>
        <v>92.03</v>
      </c>
      <c r="E366" s="30">
        <f>VLOOKUP($A366,'зарплата в цінах'!$A$2:$F$397,5)</f>
        <v>26.37</v>
      </c>
      <c r="F366" s="30">
        <f>VLOOKUP($A366,'зарплата в цінах'!$A$2:$F$397,6)</f>
        <v>176.83</v>
      </c>
    </row>
    <row r="367" spans="1:6" x14ac:dyDescent="0.3">
      <c r="A367" s="328">
        <v>150000893</v>
      </c>
      <c r="B367" s="260" t="s">
        <v>314</v>
      </c>
      <c r="C367" s="30">
        <f>VLOOKUP($A367,'зарплата в цінах'!$A$2:$F$397,3)</f>
        <v>352.41</v>
      </c>
      <c r="D367" s="30">
        <f>VLOOKUP($A367,'зарплата в цінах'!$A$2:$F$397,4)</f>
        <v>67.41</v>
      </c>
      <c r="E367" s="30">
        <f>VLOOKUP($A367,'зарплата в цінах'!$A$2:$F$397,5)</f>
        <v>23.98</v>
      </c>
      <c r="F367" s="30">
        <f>VLOOKUP($A367,'зарплата в цінах'!$A$2:$F$397,6)</f>
        <v>219.48</v>
      </c>
    </row>
    <row r="368" spans="1:6" x14ac:dyDescent="0.3">
      <c r="A368" s="328">
        <v>150000894</v>
      </c>
      <c r="B368" s="260" t="s">
        <v>315</v>
      </c>
      <c r="C368" s="30">
        <f>VLOOKUP($A368,'зарплата в цінах'!$A$2:$F$397,3)</f>
        <v>490.65</v>
      </c>
      <c r="D368" s="30">
        <f>VLOOKUP($A368,'зарплата в цінах'!$A$2:$F$397,4)</f>
        <v>114.97</v>
      </c>
      <c r="E368" s="30">
        <f>VLOOKUP($A368,'зарплата в цінах'!$A$2:$F$397,5)</f>
        <v>35.96</v>
      </c>
      <c r="F368" s="30">
        <f>VLOOKUP($A368,'зарплата в цінах'!$A$2:$F$397,6)</f>
        <v>414.51</v>
      </c>
    </row>
    <row r="369" spans="1:6" x14ac:dyDescent="0.3">
      <c r="A369" s="328">
        <v>150000895</v>
      </c>
      <c r="B369" s="260" t="s">
        <v>316</v>
      </c>
      <c r="C369" s="30">
        <f>VLOOKUP($A369,'зарплата в цінах'!$A$2:$F$397,3)</f>
        <v>349.39</v>
      </c>
      <c r="D369" s="30">
        <f>VLOOKUP($A369,'зарплата в цінах'!$A$2:$F$397,4)</f>
        <v>66.680000000000007</v>
      </c>
      <c r="E369" s="30">
        <f>VLOOKUP($A369,'зарплата в цінах'!$A$2:$F$397,5)</f>
        <v>0</v>
      </c>
      <c r="F369" s="30">
        <f>VLOOKUP($A369,'зарплата в цінах'!$A$2:$F$397,6)</f>
        <v>212.22</v>
      </c>
    </row>
    <row r="370" spans="1:6" x14ac:dyDescent="0.3">
      <c r="A370" s="328">
        <v>150000922</v>
      </c>
      <c r="B370" s="260" t="s">
        <v>401</v>
      </c>
      <c r="C370" s="30">
        <f>VLOOKUP($A370,'зарплата в цінах'!$A$2:$F$397,3)</f>
        <v>560.67999999999995</v>
      </c>
      <c r="D370" s="30">
        <f>VLOOKUP($A370,'зарплата в цінах'!$A$2:$F$397,4)</f>
        <v>92.71</v>
      </c>
      <c r="E370" s="30">
        <f>VLOOKUP($A370,'зарплата в цінах'!$A$2:$F$397,5)</f>
        <v>26.37</v>
      </c>
      <c r="F370" s="30">
        <f>VLOOKUP($A370,'зарплата в цінах'!$A$2:$F$397,6)</f>
        <v>179.9</v>
      </c>
    </row>
    <row r="371" spans="1:6" x14ac:dyDescent="0.3">
      <c r="A371" s="328">
        <v>150000896</v>
      </c>
      <c r="B371" s="260" t="s">
        <v>317</v>
      </c>
      <c r="C371" s="30">
        <f>VLOOKUP($A371,'зарплата в цінах'!$A$2:$F$397,3)</f>
        <v>353.81</v>
      </c>
      <c r="D371" s="30">
        <f>VLOOKUP($A371,'зарплата в цінах'!$A$2:$F$397,4)</f>
        <v>67.41</v>
      </c>
      <c r="E371" s="30">
        <f>VLOOKUP($A371,'зарплата в цінах'!$A$2:$F$397,5)</f>
        <v>0</v>
      </c>
      <c r="F371" s="30">
        <f>VLOOKUP($A371,'зарплата в цінах'!$A$2:$F$397,6)</f>
        <v>218.92</v>
      </c>
    </row>
    <row r="372" spans="1:6" x14ac:dyDescent="0.3">
      <c r="A372" s="328">
        <v>150000898</v>
      </c>
      <c r="B372" s="260" t="s">
        <v>190</v>
      </c>
      <c r="C372" s="30">
        <f>VLOOKUP($A372,'зарплата в цінах'!$A$2:$F$397,3)</f>
        <v>64.86</v>
      </c>
      <c r="D372" s="30">
        <f>VLOOKUP($A372,'зарплата в цінах'!$A$2:$F$397,4)</f>
        <v>14.9</v>
      </c>
      <c r="E372" s="30">
        <f>VLOOKUP($A372,'зарплата в цінах'!$A$2:$F$397,5)</f>
        <v>0</v>
      </c>
      <c r="F372" s="30">
        <f>VLOOKUP($A372,'зарплата в цінах'!$A$2:$F$397,6)</f>
        <v>21.12</v>
      </c>
    </row>
    <row r="373" spans="1:6" x14ac:dyDescent="0.3">
      <c r="A373" s="328">
        <v>150000899</v>
      </c>
      <c r="B373" s="260" t="s">
        <v>402</v>
      </c>
      <c r="C373" s="30">
        <f>VLOOKUP($A373,'зарплата в цінах'!$A$2:$F$397,3)</f>
        <v>855.06</v>
      </c>
      <c r="D373" s="30">
        <f>VLOOKUP($A373,'зарплата в цінах'!$A$2:$F$397,4)</f>
        <v>139.65</v>
      </c>
      <c r="E373" s="30">
        <f>VLOOKUP($A373,'зарплата в цінах'!$A$2:$F$397,5)</f>
        <v>39.56</v>
      </c>
      <c r="F373" s="30">
        <f>VLOOKUP($A373,'зарплата в цінах'!$A$2:$F$397,6)</f>
        <v>302.81</v>
      </c>
    </row>
    <row r="374" spans="1:6" x14ac:dyDescent="0.3">
      <c r="A374" s="328">
        <v>150000900</v>
      </c>
      <c r="B374" s="260" t="s">
        <v>425</v>
      </c>
      <c r="C374" s="30">
        <f>VLOOKUP($A374,'зарплата в цінах'!$A$2:$F$397,3)</f>
        <v>379.95</v>
      </c>
      <c r="D374" s="30">
        <f>VLOOKUP($A374,'зарплата в цінах'!$A$2:$F$397,4)</f>
        <v>49.68</v>
      </c>
      <c r="E374" s="30">
        <f>VLOOKUP($A374,'зарплата в цінах'!$A$2:$F$397,5)</f>
        <v>26.97</v>
      </c>
      <c r="F374" s="30">
        <f>VLOOKUP($A374,'зарплата в цінах'!$A$2:$F$397,6)</f>
        <v>166.18</v>
      </c>
    </row>
    <row r="375" spans="1:6" x14ac:dyDescent="0.3">
      <c r="A375" s="328">
        <v>150000901</v>
      </c>
      <c r="B375" s="260" t="s">
        <v>424</v>
      </c>
      <c r="C375" s="30">
        <f>VLOOKUP($A375,'зарплата в цінах'!$A$2:$F$397,3)</f>
        <v>1152.4000000000001</v>
      </c>
      <c r="D375" s="30">
        <f>VLOOKUP($A375,'зарплата в цінах'!$A$2:$F$397,4)</f>
        <v>202.33</v>
      </c>
      <c r="E375" s="30">
        <f>VLOOKUP($A375,'зарплата в цінах'!$A$2:$F$397,5)</f>
        <v>56.34</v>
      </c>
      <c r="F375" s="30">
        <f>VLOOKUP($A375,'зарплата в цінах'!$A$2:$F$397,6)</f>
        <v>456.37</v>
      </c>
    </row>
    <row r="376" spans="1:6" x14ac:dyDescent="0.3">
      <c r="A376" s="328">
        <v>150000902</v>
      </c>
      <c r="B376" s="260" t="s">
        <v>403</v>
      </c>
      <c r="C376" s="30">
        <f>VLOOKUP($A376,'зарплата в цінах'!$A$2:$F$397,3)</f>
        <v>361.58</v>
      </c>
      <c r="D376" s="30">
        <f>VLOOKUP($A376,'зарплата в цінах'!$A$2:$F$397,4)</f>
        <v>92.14</v>
      </c>
      <c r="E376" s="30">
        <f>VLOOKUP($A376,'зарплата в цінах'!$A$2:$F$397,5)</f>
        <v>26.37</v>
      </c>
      <c r="F376" s="30">
        <f>VLOOKUP($A376,'зарплата в цінах'!$A$2:$F$397,6)</f>
        <v>286.27999999999997</v>
      </c>
    </row>
    <row r="377" spans="1:6" x14ac:dyDescent="0.3">
      <c r="A377" s="328">
        <v>150000903</v>
      </c>
      <c r="B377" s="260" t="s">
        <v>404</v>
      </c>
      <c r="C377" s="30">
        <f>VLOOKUP($A377,'зарплата в цінах'!$A$2:$F$397,3)</f>
        <v>364.16</v>
      </c>
      <c r="D377" s="30">
        <f>VLOOKUP($A377,'зарплата в цінах'!$A$2:$F$397,4)</f>
        <v>52.76</v>
      </c>
      <c r="E377" s="30">
        <f>VLOOKUP($A377,'зарплата в цінах'!$A$2:$F$397,5)</f>
        <v>26.37</v>
      </c>
      <c r="F377" s="30">
        <f>VLOOKUP($A377,'зарплата в цінах'!$A$2:$F$397,6)</f>
        <v>289.13</v>
      </c>
    </row>
    <row r="378" spans="1:6" x14ac:dyDescent="0.3">
      <c r="A378" s="328">
        <v>150000904</v>
      </c>
      <c r="B378" s="260" t="s">
        <v>405</v>
      </c>
      <c r="C378" s="30">
        <f>VLOOKUP($A378,'зарплата в цінах'!$A$2:$F$397,3)</f>
        <v>540.32000000000005</v>
      </c>
      <c r="D378" s="30">
        <f>VLOOKUP($A378,'зарплата в цінах'!$A$2:$F$397,4)</f>
        <v>93.33</v>
      </c>
      <c r="E378" s="30">
        <f>VLOOKUP($A378,'зарплата в цінах'!$A$2:$F$397,5)</f>
        <v>26.37</v>
      </c>
      <c r="F378" s="30">
        <f>VLOOKUP($A378,'зарплата в цінах'!$A$2:$F$397,6)</f>
        <v>189.53</v>
      </c>
    </row>
    <row r="379" spans="1:6" x14ac:dyDescent="0.3">
      <c r="A379" s="328">
        <v>150000905</v>
      </c>
      <c r="B379" s="260" t="s">
        <v>426</v>
      </c>
      <c r="C379" s="30">
        <f>VLOOKUP($A379,'зарплата в цінах'!$A$2:$F$397,3)</f>
        <v>392.29</v>
      </c>
      <c r="D379" s="30">
        <f>VLOOKUP($A379,'зарплата в цінах'!$A$2:$F$397,4)</f>
        <v>67.599999999999994</v>
      </c>
      <c r="E379" s="30">
        <f>VLOOKUP($A379,'зарплата в цінах'!$A$2:$F$397,5)</f>
        <v>26.97</v>
      </c>
      <c r="F379" s="30">
        <f>VLOOKUP($A379,'зарплата в цінах'!$A$2:$F$397,6)</f>
        <v>242.91</v>
      </c>
    </row>
    <row r="380" spans="1:6" x14ac:dyDescent="0.3">
      <c r="A380" s="328">
        <v>150000906</v>
      </c>
      <c r="B380" s="260" t="s">
        <v>406</v>
      </c>
      <c r="C380" s="30">
        <f>VLOOKUP($A380,'зарплата в цінах'!$A$2:$F$397,3)</f>
        <v>354.83</v>
      </c>
      <c r="D380" s="30">
        <f>VLOOKUP($A380,'зарплата в цінах'!$A$2:$F$397,4)</f>
        <v>91.98</v>
      </c>
      <c r="E380" s="30">
        <f>VLOOKUP($A380,'зарплата в цінах'!$A$2:$F$397,5)</f>
        <v>26.37</v>
      </c>
      <c r="F380" s="30">
        <f>VLOOKUP($A380,'зарплата в цінах'!$A$2:$F$397,6)</f>
        <v>285.32</v>
      </c>
    </row>
    <row r="381" spans="1:6" x14ac:dyDescent="0.3">
      <c r="A381" s="328">
        <v>150000907</v>
      </c>
      <c r="B381" s="260" t="s">
        <v>407</v>
      </c>
      <c r="C381" s="30">
        <f>VLOOKUP($A381,'зарплата в цінах'!$A$2:$F$397,3)</f>
        <v>848.84</v>
      </c>
      <c r="D381" s="30">
        <f>VLOOKUP($A381,'зарплата в цінах'!$A$2:$F$397,4)</f>
        <v>139.9</v>
      </c>
      <c r="E381" s="30">
        <f>VLOOKUP($A381,'зарплата в цінах'!$A$2:$F$397,5)</f>
        <v>39.56</v>
      </c>
      <c r="F381" s="30">
        <f>VLOOKUP($A381,'зарплата в цінах'!$A$2:$F$397,6)</f>
        <v>306.04000000000002</v>
      </c>
    </row>
    <row r="382" spans="1:6" x14ac:dyDescent="0.3">
      <c r="A382" s="328">
        <v>150000908</v>
      </c>
      <c r="B382" s="260" t="s">
        <v>408</v>
      </c>
      <c r="C382" s="30">
        <f>VLOOKUP($A382,'зарплата в цінах'!$A$2:$F$397,3)</f>
        <v>846.68</v>
      </c>
      <c r="D382" s="30">
        <f>VLOOKUP($A382,'зарплата в цінах'!$A$2:$F$397,4)</f>
        <v>140.18</v>
      </c>
      <c r="E382" s="30">
        <f>VLOOKUP($A382,'зарплата в цінах'!$A$2:$F$397,5)</f>
        <v>39.56</v>
      </c>
      <c r="F382" s="30">
        <f>VLOOKUP($A382,'зарплата в цінах'!$A$2:$F$397,6)</f>
        <v>308.33999999999997</v>
      </c>
    </row>
    <row r="383" spans="1:6" x14ac:dyDescent="0.3">
      <c r="A383" s="328">
        <v>150000909</v>
      </c>
      <c r="B383" s="260" t="s">
        <v>409</v>
      </c>
      <c r="C383" s="30">
        <f>VLOOKUP($A383,'зарплата в цінах'!$A$2:$F$397,3)</f>
        <v>845.8</v>
      </c>
      <c r="D383" s="30">
        <f>VLOOKUP($A383,'зарплата в цінах'!$A$2:$F$397,4)</f>
        <v>139.41</v>
      </c>
      <c r="E383" s="30">
        <f>VLOOKUP($A383,'зарплата в цінах'!$A$2:$F$397,5)</f>
        <v>39.56</v>
      </c>
      <c r="F383" s="30">
        <f>VLOOKUP($A383,'зарплата в цінах'!$A$2:$F$397,6)</f>
        <v>302.01</v>
      </c>
    </row>
    <row r="384" spans="1:6" x14ac:dyDescent="0.3">
      <c r="A384" s="328">
        <v>150000910</v>
      </c>
      <c r="B384" s="260" t="s">
        <v>410</v>
      </c>
      <c r="C384" s="30">
        <f>VLOOKUP($A384,'зарплата в цінах'!$A$2:$F$397,3)</f>
        <v>841.92</v>
      </c>
      <c r="D384" s="30">
        <f>VLOOKUP($A384,'зарплата в цінах'!$A$2:$F$397,4)</f>
        <v>139.65</v>
      </c>
      <c r="E384" s="30">
        <f>VLOOKUP($A384,'зарплата в цінах'!$A$2:$F$397,5)</f>
        <v>39.56</v>
      </c>
      <c r="F384" s="30">
        <f>VLOOKUP($A384,'зарплата в цінах'!$A$2:$F$397,6)</f>
        <v>304.02</v>
      </c>
    </row>
    <row r="385" spans="1:6" x14ac:dyDescent="0.3">
      <c r="A385" s="328">
        <v>150000911</v>
      </c>
      <c r="B385" s="260" t="s">
        <v>318</v>
      </c>
      <c r="C385" s="30">
        <f>VLOOKUP($A385,'зарплата в цінах'!$A$2:$F$397,3)</f>
        <v>676.71</v>
      </c>
      <c r="D385" s="30">
        <f>VLOOKUP($A385,'зарплата в цінах'!$A$2:$F$397,4)</f>
        <v>135.86000000000001</v>
      </c>
      <c r="E385" s="30">
        <f>VLOOKUP($A385,'зарплата в цінах'!$A$2:$F$397,5)</f>
        <v>67.73</v>
      </c>
      <c r="F385" s="30">
        <f>VLOOKUP($A385,'зарплата в цінах'!$A$2:$F$397,6)</f>
        <v>620.97</v>
      </c>
    </row>
    <row r="386" spans="1:6" x14ac:dyDescent="0.3">
      <c r="A386" s="328">
        <v>150000912</v>
      </c>
      <c r="B386" s="260" t="s">
        <v>319</v>
      </c>
      <c r="C386" s="30">
        <f>VLOOKUP($A386,'зарплата в цінах'!$A$2:$F$397,3)</f>
        <v>530.94000000000005</v>
      </c>
      <c r="D386" s="30">
        <f>VLOOKUP($A386,'зарплата в цінах'!$A$2:$F$397,4)</f>
        <v>102.01</v>
      </c>
      <c r="E386" s="30">
        <f>VLOOKUP($A386,'зарплата в цінах'!$A$2:$F$397,5)</f>
        <v>32.369999999999997</v>
      </c>
      <c r="F386" s="30">
        <f>VLOOKUP($A386,'зарплата в цінах'!$A$2:$F$397,6)</f>
        <v>397.71</v>
      </c>
    </row>
    <row r="387" spans="1:6" x14ac:dyDescent="0.3">
      <c r="A387" s="328">
        <v>150000913</v>
      </c>
      <c r="B387" s="260" t="s">
        <v>320</v>
      </c>
      <c r="C387" s="30">
        <f>VLOOKUP($A387,'зарплата в цінах'!$A$2:$F$397,3)</f>
        <v>352.38</v>
      </c>
      <c r="D387" s="30">
        <f>VLOOKUP($A387,'зарплата в цінах'!$A$2:$F$397,4)</f>
        <v>67.41</v>
      </c>
      <c r="E387" s="30">
        <f>VLOOKUP($A387,'зарплата в цінах'!$A$2:$F$397,5)</f>
        <v>32.369999999999997</v>
      </c>
      <c r="F387" s="30">
        <f>VLOOKUP($A387,'зарплата в цінах'!$A$2:$F$397,6)</f>
        <v>219.35</v>
      </c>
    </row>
    <row r="388" spans="1:6" x14ac:dyDescent="0.3">
      <c r="A388" s="328">
        <v>150000914</v>
      </c>
      <c r="B388" s="260" t="s">
        <v>321</v>
      </c>
      <c r="C388" s="30">
        <f>VLOOKUP($A388,'зарплата в цінах'!$A$2:$F$397,3)</f>
        <v>352.38</v>
      </c>
      <c r="D388" s="30">
        <f>VLOOKUP($A388,'зарплата в цінах'!$A$2:$F$397,4)</f>
        <v>67.41</v>
      </c>
      <c r="E388" s="30">
        <f>VLOOKUP($A388,'зарплата в цінах'!$A$2:$F$397,5)</f>
        <v>32.369999999999997</v>
      </c>
      <c r="F388" s="30">
        <f>VLOOKUP($A388,'зарплата в цінах'!$A$2:$F$397,6)</f>
        <v>219.35</v>
      </c>
    </row>
    <row r="389" spans="1:6" x14ac:dyDescent="0.3">
      <c r="A389" s="328">
        <v>150000915</v>
      </c>
      <c r="B389" s="260" t="s">
        <v>322</v>
      </c>
      <c r="C389" s="30">
        <f>VLOOKUP($A389,'зарплата в цінах'!$A$2:$F$397,3)</f>
        <v>352.34</v>
      </c>
      <c r="D389" s="30">
        <f>VLOOKUP($A389,'зарплата в цінах'!$A$2:$F$397,4)</f>
        <v>67.41</v>
      </c>
      <c r="E389" s="30">
        <f>VLOOKUP($A389,'зарплата в цінах'!$A$2:$F$397,5)</f>
        <v>32.369999999999997</v>
      </c>
      <c r="F389" s="30">
        <f>VLOOKUP($A389,'зарплата в цінах'!$A$2:$F$397,6)</f>
        <v>219.31</v>
      </c>
    </row>
    <row r="390" spans="1:6" x14ac:dyDescent="0.3">
      <c r="A390" s="328">
        <v>150000916</v>
      </c>
      <c r="B390" s="260" t="s">
        <v>323</v>
      </c>
      <c r="C390" s="30">
        <f>VLOOKUP($A390,'зарплата в цінах'!$A$2:$F$397,3)</f>
        <v>694.81</v>
      </c>
      <c r="D390" s="30">
        <f>VLOOKUP($A390,'зарплата в цінах'!$A$2:$F$397,4)</f>
        <v>135.81</v>
      </c>
      <c r="E390" s="30">
        <f>VLOOKUP($A390,'зарплата в цінах'!$A$2:$F$397,5)</f>
        <v>67.73</v>
      </c>
      <c r="F390" s="30">
        <f>VLOOKUP($A390,'зарплата в цінах'!$A$2:$F$397,6)</f>
        <v>625.1</v>
      </c>
    </row>
    <row r="391" spans="1:6" x14ac:dyDescent="0.3">
      <c r="A391" s="328">
        <v>150000917</v>
      </c>
      <c r="B391" s="260" t="s">
        <v>324</v>
      </c>
      <c r="C391" s="30">
        <f>VLOOKUP($A391,'зарплата в цінах'!$A$2:$F$397,3)</f>
        <v>531.76</v>
      </c>
      <c r="D391" s="30">
        <f>VLOOKUP($A391,'зарплата в цінах'!$A$2:$F$397,4)</f>
        <v>102.14</v>
      </c>
      <c r="E391" s="30">
        <f>VLOOKUP($A391,'зарплата в цінах'!$A$2:$F$397,5)</f>
        <v>43.76</v>
      </c>
      <c r="F391" s="30">
        <f>VLOOKUP($A391,'зарплата в цінах'!$A$2:$F$397,6)</f>
        <v>399.54</v>
      </c>
    </row>
    <row r="392" spans="1:6" x14ac:dyDescent="0.3">
      <c r="A392" s="328">
        <v>150000918</v>
      </c>
      <c r="B392" s="260" t="s">
        <v>325</v>
      </c>
      <c r="C392" s="30">
        <f>VLOOKUP($A392,'зарплата в цінах'!$A$2:$F$397,3)</f>
        <v>552.37</v>
      </c>
      <c r="D392" s="30">
        <f>VLOOKUP($A392,'зарплата в цінах'!$A$2:$F$397,4)</f>
        <v>114.92</v>
      </c>
      <c r="E392" s="30">
        <f>VLOOKUP($A392,'зарплата в цінах'!$A$2:$F$397,5)</f>
        <v>43.76</v>
      </c>
      <c r="F392" s="30">
        <f>VLOOKUP($A392,'зарплата в цінах'!$A$2:$F$397,6)</f>
        <v>410.55</v>
      </c>
    </row>
    <row r="393" spans="1:6" x14ac:dyDescent="0.3">
      <c r="A393" s="328">
        <v>150000919</v>
      </c>
      <c r="B393" s="260" t="s">
        <v>326</v>
      </c>
      <c r="C393" s="30">
        <f>VLOOKUP($A393,'зарплата в цінах'!$A$2:$F$397,3)</f>
        <v>556.15</v>
      </c>
      <c r="D393" s="30">
        <f>VLOOKUP($A393,'зарплата в цінах'!$A$2:$F$397,4)</f>
        <v>114.9</v>
      </c>
      <c r="E393" s="30">
        <f>VLOOKUP($A393,'зарплата в цінах'!$A$2:$F$397,5)</f>
        <v>43.76</v>
      </c>
      <c r="F393" s="30">
        <f>VLOOKUP($A393,'зарплата в цінах'!$A$2:$F$397,6)</f>
        <v>414.99</v>
      </c>
    </row>
    <row r="394" spans="1:6" x14ac:dyDescent="0.3">
      <c r="A394" s="328">
        <v>150000920</v>
      </c>
      <c r="B394" s="260" t="s">
        <v>327</v>
      </c>
      <c r="C394" s="30">
        <f>VLOOKUP($A394,'зарплата в цінах'!$A$2:$F$397,3)</f>
        <v>556.26</v>
      </c>
      <c r="D394" s="30">
        <f>VLOOKUP($A394,'зарплата в цінах'!$A$2:$F$397,4)</f>
        <v>114.92</v>
      </c>
      <c r="E394" s="30">
        <f>VLOOKUP($A394,'зарплата в цінах'!$A$2:$F$397,5)</f>
        <v>43.76</v>
      </c>
      <c r="F394" s="30">
        <f>VLOOKUP($A394,'зарплата в цінах'!$A$2:$F$397,6)</f>
        <v>415.35</v>
      </c>
    </row>
    <row r="395" spans="1:6" x14ac:dyDescent="0.3">
      <c r="A395" s="328">
        <v>150000921</v>
      </c>
      <c r="B395" s="260" t="s">
        <v>328</v>
      </c>
      <c r="C395" s="30">
        <f>VLOOKUP($A395,'зарплата в цінах'!$A$2:$F$397,3)</f>
        <v>730.68</v>
      </c>
      <c r="D395" s="30">
        <f>VLOOKUP($A395,'зарплата в цінах'!$A$2:$F$397,4)</f>
        <v>153.46</v>
      </c>
      <c r="E395" s="30">
        <f>VLOOKUP($A395,'зарплата в цінах'!$A$2:$F$397,5)</f>
        <v>67.73</v>
      </c>
      <c r="F395" s="30">
        <f>VLOOKUP($A395,'зарплата в цінах'!$A$2:$F$397,6)</f>
        <v>658.9</v>
      </c>
    </row>
    <row r="396" spans="1:6" x14ac:dyDescent="0.3">
      <c r="A396" s="328">
        <v>150000878</v>
      </c>
      <c r="B396" s="260" t="s">
        <v>236</v>
      </c>
      <c r="C396" s="30">
        <f>VLOOKUP($A396,'зарплата в цінах'!$A$2:$F$397,3)</f>
        <v>225.55</v>
      </c>
      <c r="D396" s="30">
        <f>VLOOKUP($A396,'зарплата в цінах'!$A$2:$F$397,4)</f>
        <v>37.21</v>
      </c>
      <c r="E396" s="30">
        <f>VLOOKUP($A396,'зарплата в цінах'!$A$2:$F$397,5)</f>
        <v>0</v>
      </c>
      <c r="F396" s="30">
        <f>VLOOKUP($A396,'зарплата в цінах'!$A$2:$F$397,6)</f>
        <v>151.97999999999999</v>
      </c>
    </row>
    <row r="397" spans="1:6" x14ac:dyDescent="0.3">
      <c r="A397" s="328">
        <v>150000879</v>
      </c>
      <c r="B397" s="260" t="s">
        <v>329</v>
      </c>
      <c r="C397" s="30">
        <f>VLOOKUP($A397,'зарплата в цінах'!$A$2:$F$397,3)</f>
        <v>434.67</v>
      </c>
      <c r="D397" s="30">
        <f>VLOOKUP($A397,'зарплата в цінах'!$A$2:$F$397,4)</f>
        <v>81.36</v>
      </c>
      <c r="E397" s="30">
        <f>VLOOKUP($A397,'зарплата в цінах'!$A$2:$F$397,5)</f>
        <v>0</v>
      </c>
      <c r="F397" s="30">
        <f>VLOOKUP($A397,'зарплата в цінах'!$A$2:$F$397,6)</f>
        <v>330.1</v>
      </c>
    </row>
    <row r="398" spans="1:6" x14ac:dyDescent="0.3">
      <c r="A398" s="328">
        <v>150000880</v>
      </c>
      <c r="B398" s="260" t="s">
        <v>237</v>
      </c>
      <c r="C398" s="30">
        <f>VLOOKUP($A398,'зарплата в цінах'!$A$2:$F$397,3)</f>
        <v>297.58999999999997</v>
      </c>
      <c r="D398" s="30">
        <f>VLOOKUP($A398,'зарплата в цінах'!$A$2:$F$397,4)</f>
        <v>57.59</v>
      </c>
      <c r="E398" s="30">
        <f>VLOOKUP($A398,'зарплата в цінах'!$A$2:$F$397,5)</f>
        <v>0</v>
      </c>
      <c r="F398" s="30">
        <f>VLOOKUP($A398,'зарплата в цінах'!$A$2:$F$397,6)</f>
        <v>233.51</v>
      </c>
    </row>
    <row r="399" spans="1:6" x14ac:dyDescent="0.3">
      <c r="A399" s="328">
        <v>150000881</v>
      </c>
      <c r="B399" s="260" t="s">
        <v>411</v>
      </c>
      <c r="C399" s="30">
        <f>VLOOKUP($A399,'зарплата в цінах'!$A$2:$F$397,3)</f>
        <v>228.81</v>
      </c>
      <c r="D399" s="30">
        <f>VLOOKUP($A399,'зарплата в цінах'!$A$2:$F$397,4)</f>
        <v>33.65</v>
      </c>
      <c r="E399" s="30">
        <f>VLOOKUP($A399,'зарплата в цінах'!$A$2:$F$397,5)</f>
        <v>13.19</v>
      </c>
      <c r="F399" s="30">
        <f>VLOOKUP($A399,'зарплата в цінах'!$A$2:$F$397,6)</f>
        <v>111.32</v>
      </c>
    </row>
    <row r="400" spans="1:6" x14ac:dyDescent="0.3">
      <c r="A400" s="328">
        <v>150000882</v>
      </c>
      <c r="B400" s="260" t="s">
        <v>330</v>
      </c>
      <c r="C400" s="30">
        <f>VLOOKUP($A400,'зарплата в цінах'!$A$2:$F$397,3)</f>
        <v>289.24</v>
      </c>
      <c r="D400" s="30">
        <f>VLOOKUP($A400,'зарплата в цінах'!$A$2:$F$397,4)</f>
        <v>59.03</v>
      </c>
      <c r="E400" s="30">
        <f>VLOOKUP($A400,'зарплата в цінах'!$A$2:$F$397,5)</f>
        <v>0</v>
      </c>
      <c r="F400" s="30">
        <f>VLOOKUP($A400,'зарплата в цінах'!$A$2:$F$397,6)</f>
        <v>178.2</v>
      </c>
    </row>
    <row r="401" spans="1:6" x14ac:dyDescent="0.3">
      <c r="A401" s="328">
        <v>150000883</v>
      </c>
      <c r="B401" s="260" t="s">
        <v>331</v>
      </c>
      <c r="C401" s="30">
        <f>VLOOKUP($A401,'зарплата в цінах'!$A$2:$F$397,3)</f>
        <v>207.5</v>
      </c>
      <c r="D401" s="30">
        <f>VLOOKUP($A401,'зарплата в цінах'!$A$2:$F$397,4)</f>
        <v>35.11</v>
      </c>
      <c r="E401" s="30">
        <f>VLOOKUP($A401,'зарплата в цінах'!$A$2:$F$397,5)</f>
        <v>0</v>
      </c>
      <c r="F401" s="30">
        <f>VLOOKUP($A401,'зарплата в цінах'!$A$2:$F$397,6)</f>
        <v>95.27</v>
      </c>
    </row>
    <row r="402" spans="1:6" x14ac:dyDescent="0.3">
      <c r="A402" s="328">
        <v>150000884</v>
      </c>
      <c r="B402" s="260" t="s">
        <v>332</v>
      </c>
      <c r="C402" s="30">
        <f>VLOOKUP($A402,'зарплата в цінах'!$A$2:$F$397,3)</f>
        <v>372.37</v>
      </c>
      <c r="D402" s="30">
        <f>VLOOKUP($A402,'зарплата в цінах'!$A$2:$F$397,4)</f>
        <v>77.34</v>
      </c>
      <c r="E402" s="30">
        <f>VLOOKUP($A402,'зарплата в цінах'!$A$2:$F$397,5)</f>
        <v>0</v>
      </c>
      <c r="F402" s="30">
        <f>VLOOKUP($A402,'зарплата в цінах'!$A$2:$F$397,6)</f>
        <v>236.59</v>
      </c>
    </row>
    <row r="403" spans="1:6" x14ac:dyDescent="0.3">
      <c r="A403" s="569">
        <v>150000885</v>
      </c>
      <c r="B403" s="436" t="s">
        <v>238</v>
      </c>
      <c r="C403" s="30">
        <f>VLOOKUP($A403,'зарплата в цінах'!$A$2:$F$397,3)</f>
        <v>178.98</v>
      </c>
      <c r="D403" s="30">
        <f>VLOOKUP($A403,'зарплата в цінах'!$A$2:$F$397,4)</f>
        <v>31.46</v>
      </c>
      <c r="E403" s="30">
        <f>VLOOKUP($A403,'зарплата в цінах'!$A$2:$F$397,5)</f>
        <v>0</v>
      </c>
      <c r="F403" s="30">
        <f>VLOOKUP($A403,'зарплата в цінах'!$A$2:$F$397,6)</f>
        <v>90.52</v>
      </c>
    </row>
    <row r="404" spans="1:6" x14ac:dyDescent="0.3">
      <c r="A404" s="570"/>
      <c r="B404" s="274" t="s">
        <v>824</v>
      </c>
      <c r="C404" s="571">
        <f>SUM(C9:C403)</f>
        <v>106563.89399999999</v>
      </c>
      <c r="D404" s="571">
        <f>SUM(D9:D403)</f>
        <v>20237.090000000004</v>
      </c>
      <c r="E404" s="571">
        <f>SUM(E9:E403)</f>
        <v>5378.93</v>
      </c>
      <c r="F404" s="571">
        <f>SUM(F9:F403)</f>
        <v>65163.959999999992</v>
      </c>
    </row>
    <row r="406" spans="1:6" x14ac:dyDescent="0.3">
      <c r="C406">
        <f>'зарплата в цінах'!C398</f>
        <v>106563.894</v>
      </c>
      <c r="D406">
        <f>'зарплата в цінах'!D398</f>
        <v>20237.090000000011</v>
      </c>
      <c r="E406">
        <f>'зарплата в цінах'!E398</f>
        <v>5378.9299999999957</v>
      </c>
      <c r="F406">
        <f>'зарплата в цінах'!F398</f>
        <v>65163.959999999992</v>
      </c>
    </row>
  </sheetData>
  <mergeCells count="2">
    <mergeCell ref="B7:B8"/>
    <mergeCell ref="C7:F7"/>
  </mergeCells>
  <conditionalFormatting sqref="A163">
    <cfRule type="duplicateValues" dxfId="1" priority="1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>
    <tabColor rgb="FF9900FF"/>
  </sheetPr>
  <dimension ref="A1:T270"/>
  <sheetViews>
    <sheetView topLeftCell="A31" workbookViewId="0">
      <selection activeCell="S47" sqref="S47"/>
    </sheetView>
  </sheetViews>
  <sheetFormatPr defaultRowHeight="14.4" x14ac:dyDescent="0.3"/>
  <cols>
    <col min="1" max="1" width="46.5546875" customWidth="1"/>
    <col min="4" max="4" width="9.33203125" customWidth="1"/>
    <col min="5" max="5" width="9.6640625" customWidth="1"/>
    <col min="6" max="6" width="8.33203125" customWidth="1"/>
    <col min="8" max="8" width="8.109375" customWidth="1"/>
    <col min="9" max="9" width="8.33203125" customWidth="1"/>
    <col min="10" max="10" width="12" customWidth="1"/>
    <col min="11" max="11" width="8.6640625" customWidth="1"/>
    <col min="12" max="12" width="9" customWidth="1"/>
    <col min="13" max="13" width="11.109375" customWidth="1"/>
    <col min="14" max="15" width="10.5546875" customWidth="1"/>
    <col min="16" max="16" width="10.109375" customWidth="1"/>
    <col min="17" max="17" width="11.44140625" style="655" bestFit="1" customWidth="1"/>
    <col min="18" max="18" width="10.5546875" style="655" customWidth="1"/>
    <col min="19" max="19" width="12.33203125" style="655" customWidth="1"/>
    <col min="20" max="20" width="9.109375" style="601"/>
  </cols>
  <sheetData>
    <row r="1" spans="1:20" x14ac:dyDescent="0.3">
      <c r="A1" t="s">
        <v>0</v>
      </c>
      <c r="O1" s="641">
        <f>місяць!A2</f>
        <v>2023</v>
      </c>
      <c r="P1" s="641">
        <v>2021</v>
      </c>
    </row>
    <row r="2" spans="1:20" ht="12" customHeight="1" x14ac:dyDescent="0.3"/>
    <row r="3" spans="1:20" ht="18" x14ac:dyDescent="0.35">
      <c r="A3" s="649" t="s">
        <v>1630</v>
      </c>
    </row>
    <row r="4" spans="1:20" ht="8.25" customHeight="1" thickBot="1" x14ac:dyDescent="0.35"/>
    <row r="5" spans="1:20" ht="16.5" customHeight="1" thickBot="1" x14ac:dyDescent="0.45">
      <c r="A5" s="1424" t="s">
        <v>1629</v>
      </c>
      <c r="B5" s="1439" t="s">
        <v>1586</v>
      </c>
      <c r="C5" s="1428"/>
      <c r="D5" s="1428"/>
      <c r="E5" s="1428"/>
      <c r="F5" s="1428"/>
      <c r="G5" s="1428"/>
      <c r="H5" s="1428"/>
      <c r="I5" s="1428"/>
      <c r="J5" s="1428"/>
      <c r="K5" s="1428"/>
      <c r="L5" s="1428"/>
      <c r="M5" s="1428"/>
      <c r="N5" s="1428"/>
      <c r="O5" s="1428"/>
      <c r="P5" s="1429"/>
    </row>
    <row r="6" spans="1:20" x14ac:dyDescent="0.3">
      <c r="A6" s="1437"/>
      <c r="B6" s="1430" t="s">
        <v>951</v>
      </c>
      <c r="C6" s="1431"/>
      <c r="D6" s="1432"/>
      <c r="E6" s="1440" t="s">
        <v>952</v>
      </c>
      <c r="F6" s="1431"/>
      <c r="G6" s="1441"/>
      <c r="H6" s="1430" t="s">
        <v>953</v>
      </c>
      <c r="I6" s="1431"/>
      <c r="J6" s="1432"/>
      <c r="K6" s="1440" t="s">
        <v>1601</v>
      </c>
      <c r="L6" s="1431"/>
      <c r="M6" s="1441"/>
      <c r="N6" s="1430" t="s">
        <v>957</v>
      </c>
      <c r="O6" s="1431"/>
      <c r="P6" s="1432"/>
    </row>
    <row r="7" spans="1:20" ht="15" thickBot="1" x14ac:dyDescent="0.35">
      <c r="A7" s="1438"/>
      <c r="B7" s="622" t="s">
        <v>1013</v>
      </c>
      <c r="C7" s="610" t="s">
        <v>440</v>
      </c>
      <c r="D7" s="611" t="s">
        <v>1111</v>
      </c>
      <c r="E7" s="617" t="s">
        <v>1013</v>
      </c>
      <c r="F7" s="610" t="s">
        <v>440</v>
      </c>
      <c r="G7" s="628" t="s">
        <v>1111</v>
      </c>
      <c r="H7" s="622" t="s">
        <v>1013</v>
      </c>
      <c r="I7" s="610" t="s">
        <v>440</v>
      </c>
      <c r="J7" s="611" t="s">
        <v>1111</v>
      </c>
      <c r="K7" s="617" t="s">
        <v>1013</v>
      </c>
      <c r="L7" s="610" t="s">
        <v>440</v>
      </c>
      <c r="M7" s="628" t="s">
        <v>1111</v>
      </c>
      <c r="N7" s="622" t="s">
        <v>1013</v>
      </c>
      <c r="O7" s="610" t="s">
        <v>440</v>
      </c>
      <c r="P7" s="611" t="s">
        <v>1111</v>
      </c>
    </row>
    <row r="8" spans="1:20" x14ac:dyDescent="0.3">
      <c r="A8" s="612" t="s">
        <v>1596</v>
      </c>
      <c r="B8" s="623"/>
      <c r="C8" s="608"/>
      <c r="D8" s="609"/>
      <c r="E8" s="618"/>
      <c r="F8" s="608"/>
      <c r="G8" s="629"/>
      <c r="H8" s="623"/>
      <c r="I8" s="608"/>
      <c r="J8" s="609"/>
      <c r="K8" s="618"/>
      <c r="L8" s="608"/>
      <c r="M8" s="629"/>
      <c r="N8" s="623"/>
      <c r="O8" s="608"/>
      <c r="P8" s="609"/>
    </row>
    <row r="9" spans="1:20" x14ac:dyDescent="0.3">
      <c r="A9" s="613" t="s">
        <v>1597</v>
      </c>
      <c r="B9" s="624">
        <v>41632</v>
      </c>
      <c r="C9" s="602">
        <f>'первичка 2'!D376+'первичка 2'!L376+'первичка 2'!Z376</f>
        <v>34680.305803577285</v>
      </c>
      <c r="D9" s="605">
        <f>C9-B9</f>
        <v>-6951.6941964227153</v>
      </c>
      <c r="E9" s="619">
        <v>9159</v>
      </c>
      <c r="F9" s="602">
        <f>'первичка 2'!E376+'первичка 2'!M376+'первичка 2'!AA376</f>
        <v>7239.9159689445487</v>
      </c>
      <c r="G9" s="630">
        <f>F9-E9</f>
        <v>-1919.0840310554513</v>
      </c>
      <c r="H9" s="624">
        <v>2423</v>
      </c>
      <c r="I9" s="602">
        <f>'первичка 2'!F376+'первичка 2'!G376+'первичка 2'!N376+'первичка 2'!AB376</f>
        <v>7649.7899999999963</v>
      </c>
      <c r="J9" s="605">
        <f>I9-H9</f>
        <v>5226.7899999999963</v>
      </c>
      <c r="K9" s="619">
        <v>0</v>
      </c>
      <c r="L9" s="602">
        <f>'первичка 2'!O376+'первичка 2'!AC376</f>
        <v>0</v>
      </c>
      <c r="M9" s="630">
        <f>L9-K9</f>
        <v>0</v>
      </c>
      <c r="N9" s="624">
        <f t="shared" ref="N9:O12" si="0">B9+E9+H9+K9</f>
        <v>53214</v>
      </c>
      <c r="O9" s="602">
        <f t="shared" si="0"/>
        <v>49570.01177252183</v>
      </c>
      <c r="P9" s="605">
        <f>O9-N9</f>
        <v>-3643.9882274781703</v>
      </c>
    </row>
    <row r="10" spans="1:20" x14ac:dyDescent="0.3">
      <c r="A10" s="613" t="s">
        <v>1598</v>
      </c>
      <c r="B10" s="624">
        <v>0</v>
      </c>
      <c r="C10" s="602">
        <v>0</v>
      </c>
      <c r="D10" s="605">
        <f>C10-B10</f>
        <v>0</v>
      </c>
      <c r="E10" s="619">
        <v>0</v>
      </c>
      <c r="F10" s="602">
        <v>0</v>
      </c>
      <c r="G10" s="630">
        <f>F10-E10</f>
        <v>0</v>
      </c>
      <c r="H10" s="624">
        <v>0</v>
      </c>
      <c r="I10" s="602">
        <v>0</v>
      </c>
      <c r="J10" s="605">
        <f>I10-H10</f>
        <v>0</v>
      </c>
      <c r="K10" s="619">
        <v>8223</v>
      </c>
      <c r="L10" s="602">
        <f>'первичка 2'!W376</f>
        <v>8223.8393333333333</v>
      </c>
      <c r="M10" s="630">
        <f>L10-K10</f>
        <v>0.83933333333334303</v>
      </c>
      <c r="N10" s="624">
        <f t="shared" si="0"/>
        <v>8223</v>
      </c>
      <c r="O10" s="602">
        <f t="shared" si="0"/>
        <v>8223.8393333333333</v>
      </c>
      <c r="P10" s="605">
        <f>O10-N10</f>
        <v>0.83933333333334303</v>
      </c>
    </row>
    <row r="11" spans="1:20" x14ac:dyDescent="0.3">
      <c r="A11" s="613" t="s">
        <v>1599</v>
      </c>
      <c r="B11" s="624">
        <v>0</v>
      </c>
      <c r="C11" s="602">
        <v>0</v>
      </c>
      <c r="D11" s="605">
        <f>C11-B11</f>
        <v>0</v>
      </c>
      <c r="E11" s="619">
        <v>0</v>
      </c>
      <c r="F11" s="602">
        <v>0</v>
      </c>
      <c r="G11" s="630">
        <f>F11-E11</f>
        <v>0</v>
      </c>
      <c r="H11" s="624">
        <v>0</v>
      </c>
      <c r="I11" s="602">
        <v>0</v>
      </c>
      <c r="J11" s="605">
        <f>I11-H11</f>
        <v>0</v>
      </c>
      <c r="K11" s="619">
        <v>41918</v>
      </c>
      <c r="L11" s="602">
        <f>'первичка 2'!T376</f>
        <v>41917.468333333338</v>
      </c>
      <c r="M11" s="630">
        <f>L11-K11</f>
        <v>-0.53166666666220408</v>
      </c>
      <c r="N11" s="624">
        <f t="shared" si="0"/>
        <v>41918</v>
      </c>
      <c r="O11" s="602">
        <f t="shared" si="0"/>
        <v>41917.468333333338</v>
      </c>
      <c r="P11" s="605">
        <f>O11-N11</f>
        <v>-0.53166666666220408</v>
      </c>
    </row>
    <row r="12" spans="1:20" x14ac:dyDescent="0.3">
      <c r="A12" s="613" t="s">
        <v>1600</v>
      </c>
      <c r="B12" s="624">
        <v>20965</v>
      </c>
      <c r="C12" s="602">
        <f>'первичка 2'!AH376</f>
        <v>17394.878829866215</v>
      </c>
      <c r="D12" s="605">
        <f>C12-B12</f>
        <v>-3570.1211701337852</v>
      </c>
      <c r="E12" s="619">
        <v>4612</v>
      </c>
      <c r="F12" s="602">
        <f>'первичка 2'!AI376</f>
        <v>3469.6815639678448</v>
      </c>
      <c r="G12" s="630">
        <f>F12-E12</f>
        <v>-1142.3184360321552</v>
      </c>
      <c r="H12" s="624">
        <v>6279</v>
      </c>
      <c r="I12" s="602">
        <f>'первичка 2'!AJ376+'первичка 2'!AK376</f>
        <v>3427.9599999999991</v>
      </c>
      <c r="J12" s="605">
        <f>I12-H12</f>
        <v>-2851.0400000000009</v>
      </c>
      <c r="K12" s="619">
        <v>0</v>
      </c>
      <c r="L12" s="602">
        <f>'первичка 2'!AL376</f>
        <v>12040</v>
      </c>
      <c r="M12" s="630">
        <f>L12-K12</f>
        <v>12040</v>
      </c>
      <c r="N12" s="624">
        <f t="shared" si="0"/>
        <v>31856</v>
      </c>
      <c r="O12" s="602">
        <f t="shared" si="0"/>
        <v>36332.520393834056</v>
      </c>
      <c r="P12" s="605">
        <f>O12-N12</f>
        <v>4476.5203938340564</v>
      </c>
    </row>
    <row r="13" spans="1:20" x14ac:dyDescent="0.3">
      <c r="A13" s="613" t="s">
        <v>1604</v>
      </c>
      <c r="B13" s="624"/>
      <c r="C13" s="602"/>
      <c r="D13" s="605"/>
      <c r="E13" s="619"/>
      <c r="F13" s="602"/>
      <c r="G13" s="630"/>
      <c r="H13" s="624"/>
      <c r="I13" s="602"/>
      <c r="J13" s="605"/>
      <c r="K13" s="619"/>
      <c r="L13" s="602"/>
      <c r="M13" s="630"/>
      <c r="N13" s="624"/>
      <c r="O13" s="602"/>
      <c r="P13" s="605"/>
    </row>
    <row r="14" spans="1:20" s="596" customFormat="1" x14ac:dyDescent="0.3">
      <c r="A14" s="614" t="s">
        <v>957</v>
      </c>
      <c r="B14" s="625">
        <f>SUM(B9:B12)</f>
        <v>62597</v>
      </c>
      <c r="C14" s="603">
        <f t="shared" ref="C14:O14" si="1">SUM(C9:C12)</f>
        <v>52075.184633443496</v>
      </c>
      <c r="D14" s="606">
        <f>C14-B14</f>
        <v>-10521.815366556504</v>
      </c>
      <c r="E14" s="620">
        <f t="shared" si="1"/>
        <v>13771</v>
      </c>
      <c r="F14" s="603">
        <f t="shared" si="1"/>
        <v>10709.597532912394</v>
      </c>
      <c r="G14" s="631">
        <f>F14-E14</f>
        <v>-3061.4024670876061</v>
      </c>
      <c r="H14" s="625">
        <f t="shared" si="1"/>
        <v>8702</v>
      </c>
      <c r="I14" s="603">
        <f t="shared" si="1"/>
        <v>11077.749999999996</v>
      </c>
      <c r="J14" s="606">
        <f>I14-H14</f>
        <v>2375.7499999999964</v>
      </c>
      <c r="K14" s="620">
        <f t="shared" si="1"/>
        <v>50141</v>
      </c>
      <c r="L14" s="603">
        <f t="shared" si="1"/>
        <v>62181.307666666675</v>
      </c>
      <c r="M14" s="630">
        <f>L14-K14</f>
        <v>12040.307666666675</v>
      </c>
      <c r="N14" s="625">
        <f t="shared" si="1"/>
        <v>135211</v>
      </c>
      <c r="O14" s="603">
        <f t="shared" si="1"/>
        <v>136043.83983302256</v>
      </c>
      <c r="P14" s="606">
        <f>O14-N14</f>
        <v>832.83983302256092</v>
      </c>
      <c r="Q14" s="655"/>
      <c r="R14" s="655"/>
      <c r="S14" s="655"/>
      <c r="T14" s="601"/>
    </row>
    <row r="15" spans="1:20" x14ac:dyDescent="0.3">
      <c r="A15" s="613"/>
      <c r="B15" s="624"/>
      <c r="C15" s="602"/>
      <c r="D15" s="605"/>
      <c r="E15" s="619"/>
      <c r="F15" s="602"/>
      <c r="G15" s="630"/>
      <c r="H15" s="624"/>
      <c r="I15" s="602"/>
      <c r="J15" s="605"/>
      <c r="K15" s="619"/>
      <c r="L15" s="602"/>
      <c r="M15" s="630"/>
      <c r="N15" s="624"/>
      <c r="O15" s="602"/>
      <c r="P15" s="605"/>
    </row>
    <row r="16" spans="1:20" x14ac:dyDescent="0.3">
      <c r="A16" s="614" t="s">
        <v>1609</v>
      </c>
      <c r="B16" s="624"/>
      <c r="C16" s="602"/>
      <c r="D16" s="605"/>
      <c r="E16" s="619"/>
      <c r="F16" s="602"/>
      <c r="G16" s="630"/>
      <c r="H16" s="624"/>
      <c r="I16" s="602"/>
      <c r="J16" s="605"/>
      <c r="K16" s="620">
        <v>119063</v>
      </c>
      <c r="L16" s="603">
        <f>'первичка 2'!AT376</f>
        <v>69107.969624497069</v>
      </c>
      <c r="M16" s="631">
        <f>L16-K16</f>
        <v>-49955.030375502931</v>
      </c>
      <c r="N16" s="625">
        <f>B16+E16+H16+K16</f>
        <v>119063</v>
      </c>
      <c r="O16" s="603">
        <f>C16+F16+I16+L16</f>
        <v>69107.969624497069</v>
      </c>
      <c r="P16" s="606">
        <f>O16-N16</f>
        <v>-49955.030375502931</v>
      </c>
    </row>
    <row r="17" spans="1:20" x14ac:dyDescent="0.3">
      <c r="A17" s="613"/>
      <c r="B17" s="624"/>
      <c r="C17" s="602"/>
      <c r="D17" s="605"/>
      <c r="E17" s="619"/>
      <c r="F17" s="602"/>
      <c r="G17" s="630"/>
      <c r="H17" s="624"/>
      <c r="I17" s="602"/>
      <c r="J17" s="605"/>
      <c r="K17" s="619"/>
      <c r="L17" s="602"/>
      <c r="M17" s="630"/>
      <c r="N17" s="624"/>
      <c r="O17" s="602"/>
      <c r="P17" s="605"/>
    </row>
    <row r="18" spans="1:20" x14ac:dyDescent="0.3">
      <c r="A18" s="614" t="s">
        <v>926</v>
      </c>
      <c r="B18" s="624"/>
      <c r="C18" s="602"/>
      <c r="D18" s="605"/>
      <c r="E18" s="619"/>
      <c r="F18" s="602"/>
      <c r="G18" s="630"/>
      <c r="H18" s="624"/>
      <c r="I18" s="602"/>
      <c r="J18" s="605"/>
      <c r="K18" s="620">
        <v>205656</v>
      </c>
      <c r="L18" s="603">
        <f>'первичка 1'!Y370</f>
        <v>202711.79499999998</v>
      </c>
      <c r="M18" s="631">
        <f>L18-K18</f>
        <v>-2944.2050000000163</v>
      </c>
      <c r="N18" s="625">
        <f>B18+E18+H18+K18</f>
        <v>205656</v>
      </c>
      <c r="O18" s="603">
        <f>C18+F18+I18+L18</f>
        <v>202711.79499999998</v>
      </c>
      <c r="P18" s="606">
        <f>O18-N18</f>
        <v>-2944.2050000000163</v>
      </c>
    </row>
    <row r="19" spans="1:20" x14ac:dyDescent="0.3">
      <c r="A19" s="614" t="s">
        <v>927</v>
      </c>
      <c r="B19" s="624"/>
      <c r="C19" s="602"/>
      <c r="D19" s="605"/>
      <c r="E19" s="619"/>
      <c r="F19" s="602"/>
      <c r="G19" s="630"/>
      <c r="H19" s="624"/>
      <c r="I19" s="602"/>
      <c r="J19" s="605"/>
      <c r="K19" s="620">
        <v>4250</v>
      </c>
      <c r="L19" s="603">
        <f>'первичка 1'!AC370</f>
        <v>6431.5699999999988</v>
      </c>
      <c r="M19" s="631">
        <f>L19-K19</f>
        <v>2181.5699999999988</v>
      </c>
      <c r="N19" s="625">
        <f>B19+E19+H19+K19</f>
        <v>4250</v>
      </c>
      <c r="O19" s="603">
        <f>C19+F19+I19+L19</f>
        <v>6431.5699999999988</v>
      </c>
      <c r="P19" s="606">
        <f>O19-N19</f>
        <v>2181.5699999999988</v>
      </c>
    </row>
    <row r="20" spans="1:20" x14ac:dyDescent="0.3">
      <c r="A20" s="614"/>
      <c r="B20" s="624"/>
      <c r="C20" s="602"/>
      <c r="D20" s="605"/>
      <c r="E20" s="619"/>
      <c r="F20" s="602"/>
      <c r="G20" s="630"/>
      <c r="H20" s="624"/>
      <c r="I20" s="602"/>
      <c r="J20" s="605"/>
      <c r="K20" s="620"/>
      <c r="L20" s="603"/>
      <c r="M20" s="631"/>
      <c r="N20" s="625"/>
      <c r="O20" s="603"/>
      <c r="P20" s="606"/>
    </row>
    <row r="21" spans="1:20" x14ac:dyDescent="0.3">
      <c r="A21" s="614" t="s">
        <v>928</v>
      </c>
      <c r="B21" s="624"/>
      <c r="C21" s="602"/>
      <c r="D21" s="605"/>
      <c r="E21" s="619"/>
      <c r="F21" s="602"/>
      <c r="G21" s="630"/>
      <c r="H21" s="624"/>
      <c r="I21" s="602"/>
      <c r="J21" s="605"/>
      <c r="K21" s="620">
        <v>24537</v>
      </c>
      <c r="L21" s="603">
        <f>'первичка 1'!AL370</f>
        <v>30026.25</v>
      </c>
      <c r="M21" s="631">
        <f>L21-K21</f>
        <v>5489.25</v>
      </c>
      <c r="N21" s="625">
        <f>B21+E21+H21+K21</f>
        <v>24537</v>
      </c>
      <c r="O21" s="603">
        <f>C21+F21+I21+L21</f>
        <v>30026.25</v>
      </c>
      <c r="P21" s="606">
        <f>O21-N21</f>
        <v>5489.25</v>
      </c>
    </row>
    <row r="22" spans="1:20" x14ac:dyDescent="0.3">
      <c r="A22" s="613"/>
      <c r="B22" s="624"/>
      <c r="C22" s="602"/>
      <c r="D22" s="605"/>
      <c r="E22" s="619"/>
      <c r="F22" s="602"/>
      <c r="G22" s="630"/>
      <c r="H22" s="624"/>
      <c r="I22" s="602"/>
      <c r="J22" s="605"/>
      <c r="K22" s="619"/>
      <c r="L22" s="602"/>
      <c r="M22" s="630"/>
      <c r="N22" s="624"/>
      <c r="O22" s="602"/>
      <c r="P22" s="605"/>
    </row>
    <row r="23" spans="1:20" x14ac:dyDescent="0.3">
      <c r="A23" s="614" t="s">
        <v>1602</v>
      </c>
      <c r="B23" s="625">
        <f>55615+4675</f>
        <v>60290</v>
      </c>
      <c r="C23" s="603">
        <v>84493</v>
      </c>
      <c r="D23" s="606">
        <f>C23-B23</f>
        <v>24203</v>
      </c>
      <c r="E23" s="620">
        <f>12235+1029</f>
        <v>13264</v>
      </c>
      <c r="F23" s="603">
        <v>18334</v>
      </c>
      <c r="G23" s="631">
        <f>F23-E23</f>
        <v>5070</v>
      </c>
      <c r="H23" s="625">
        <v>76305</v>
      </c>
      <c r="I23" s="603">
        <v>47611</v>
      </c>
      <c r="J23" s="606">
        <f>I23-H23</f>
        <v>-28694</v>
      </c>
      <c r="K23" s="633">
        <f>223475+39855</f>
        <v>263330</v>
      </c>
      <c r="L23" s="603">
        <v>317088</v>
      </c>
      <c r="M23" s="631">
        <f>L23-K23</f>
        <v>53758</v>
      </c>
      <c r="N23" s="625">
        <f>B23+E23+H23+K23</f>
        <v>413189</v>
      </c>
      <c r="O23" s="603">
        <f>C23+F23+I23+L23</f>
        <v>467526</v>
      </c>
      <c r="P23" s="606">
        <f>O23-N23</f>
        <v>54337</v>
      </c>
    </row>
    <row r="24" spans="1:20" ht="9.75" customHeight="1" x14ac:dyDescent="0.3">
      <c r="A24" s="613"/>
      <c r="B24" s="624"/>
      <c r="C24" s="602"/>
      <c r="D24" s="605"/>
      <c r="E24" s="619"/>
      <c r="F24" s="602"/>
      <c r="G24" s="630"/>
      <c r="H24" s="624"/>
      <c r="I24" s="602"/>
      <c r="J24" s="605"/>
      <c r="K24" s="619"/>
      <c r="L24" s="602"/>
      <c r="M24" s="630"/>
      <c r="N24" s="624"/>
      <c r="O24" s="602"/>
      <c r="P24" s="605"/>
    </row>
    <row r="25" spans="1:20" x14ac:dyDescent="0.3">
      <c r="A25" s="614" t="s">
        <v>1603</v>
      </c>
      <c r="B25" s="624"/>
      <c r="C25" s="602"/>
      <c r="D25" s="605"/>
      <c r="E25" s="619"/>
      <c r="F25" s="602"/>
      <c r="G25" s="630"/>
      <c r="H25" s="624"/>
      <c r="I25" s="602"/>
      <c r="J25" s="605"/>
      <c r="K25" s="619"/>
      <c r="L25" s="602"/>
      <c r="M25" s="630"/>
      <c r="N25" s="624"/>
      <c r="O25" s="602"/>
      <c r="P25" s="605"/>
    </row>
    <row r="26" spans="1:20" x14ac:dyDescent="0.3">
      <c r="A26" s="613" t="s">
        <v>1597</v>
      </c>
      <c r="B26" s="624">
        <v>5308</v>
      </c>
      <c r="C26" s="602">
        <v>7593</v>
      </c>
      <c r="D26" s="605">
        <f t="shared" ref="D26:D31" si="2">C26-B26</f>
        <v>2285</v>
      </c>
      <c r="E26" s="619">
        <v>1167</v>
      </c>
      <c r="F26" s="602">
        <v>1670</v>
      </c>
      <c r="G26" s="630">
        <f t="shared" ref="G26:G31" si="3">F26-E26</f>
        <v>503</v>
      </c>
      <c r="H26" s="624">
        <v>6250</v>
      </c>
      <c r="I26" s="602">
        <v>15665</v>
      </c>
      <c r="J26" s="605">
        <f t="shared" ref="J26:J31" si="4">I26-H26</f>
        <v>9415</v>
      </c>
      <c r="K26" s="619">
        <v>0</v>
      </c>
      <c r="L26" s="602">
        <v>0</v>
      </c>
      <c r="M26" s="630">
        <f t="shared" ref="M26:M31" si="5">L26-K26</f>
        <v>0</v>
      </c>
      <c r="N26" s="624">
        <f t="shared" ref="N26:O30" si="6">B26+E26+H26+K26</f>
        <v>12725</v>
      </c>
      <c r="O26" s="602">
        <f t="shared" si="6"/>
        <v>24928</v>
      </c>
      <c r="P26" s="605">
        <f t="shared" ref="P26:P31" si="7">O26-N26</f>
        <v>12203</v>
      </c>
    </row>
    <row r="27" spans="1:20" x14ac:dyDescent="0.3">
      <c r="A27" s="613" t="s">
        <v>1598</v>
      </c>
      <c r="B27" s="624">
        <v>1122</v>
      </c>
      <c r="C27" s="602">
        <v>226</v>
      </c>
      <c r="D27" s="605">
        <f t="shared" si="2"/>
        <v>-896</v>
      </c>
      <c r="E27" s="619">
        <v>247</v>
      </c>
      <c r="F27" s="602">
        <v>50</v>
      </c>
      <c r="G27" s="630">
        <f t="shared" si="3"/>
        <v>-197</v>
      </c>
      <c r="H27" s="624">
        <v>862</v>
      </c>
      <c r="I27" s="602">
        <v>514</v>
      </c>
      <c r="J27" s="605">
        <f t="shared" si="4"/>
        <v>-348</v>
      </c>
      <c r="K27" s="619">
        <v>0</v>
      </c>
      <c r="L27" s="602">
        <v>0</v>
      </c>
      <c r="M27" s="630">
        <f t="shared" si="5"/>
        <v>0</v>
      </c>
      <c r="N27" s="624">
        <f t="shared" si="6"/>
        <v>2231</v>
      </c>
      <c r="O27" s="602">
        <f t="shared" si="6"/>
        <v>790</v>
      </c>
      <c r="P27" s="605">
        <f t="shared" si="7"/>
        <v>-1441</v>
      </c>
    </row>
    <row r="28" spans="1:20" x14ac:dyDescent="0.3">
      <c r="A28" s="613" t="s">
        <v>1599</v>
      </c>
      <c r="B28" s="624">
        <v>2799</v>
      </c>
      <c r="C28" s="602">
        <v>0</v>
      </c>
      <c r="D28" s="605">
        <f t="shared" si="2"/>
        <v>-2799</v>
      </c>
      <c r="E28" s="619">
        <v>616</v>
      </c>
      <c r="F28" s="602">
        <v>0</v>
      </c>
      <c r="G28" s="630">
        <f t="shared" si="3"/>
        <v>-616</v>
      </c>
      <c r="H28" s="624">
        <v>1776</v>
      </c>
      <c r="I28" s="602">
        <v>0</v>
      </c>
      <c r="J28" s="605">
        <f t="shared" si="4"/>
        <v>-1776</v>
      </c>
      <c r="K28" s="619">
        <v>0</v>
      </c>
      <c r="L28" s="602">
        <v>3070</v>
      </c>
      <c r="M28" s="630">
        <f t="shared" si="5"/>
        <v>3070</v>
      </c>
      <c r="N28" s="624">
        <f t="shared" si="6"/>
        <v>5191</v>
      </c>
      <c r="O28" s="602">
        <f t="shared" si="6"/>
        <v>3070</v>
      </c>
      <c r="P28" s="605">
        <f t="shared" si="7"/>
        <v>-2121</v>
      </c>
    </row>
    <row r="29" spans="1:20" x14ac:dyDescent="0.3">
      <c r="A29" s="613" t="s">
        <v>1600</v>
      </c>
      <c r="B29" s="624">
        <v>1617</v>
      </c>
      <c r="C29" s="602">
        <v>1890</v>
      </c>
      <c r="D29" s="605">
        <f t="shared" si="2"/>
        <v>273</v>
      </c>
      <c r="E29" s="619">
        <v>356</v>
      </c>
      <c r="F29" s="602">
        <v>416</v>
      </c>
      <c r="G29" s="630">
        <f t="shared" si="3"/>
        <v>60</v>
      </c>
      <c r="H29" s="624">
        <v>1420</v>
      </c>
      <c r="I29" s="602">
        <v>779</v>
      </c>
      <c r="J29" s="605">
        <f t="shared" si="4"/>
        <v>-641</v>
      </c>
      <c r="K29" s="619">
        <v>0</v>
      </c>
      <c r="L29" s="602">
        <v>0</v>
      </c>
      <c r="M29" s="630">
        <f t="shared" si="5"/>
        <v>0</v>
      </c>
      <c r="N29" s="624">
        <f t="shared" si="6"/>
        <v>3393</v>
      </c>
      <c r="O29" s="602">
        <f t="shared" si="6"/>
        <v>3085</v>
      </c>
      <c r="P29" s="605">
        <f t="shared" si="7"/>
        <v>-308</v>
      </c>
    </row>
    <row r="30" spans="1:20" x14ac:dyDescent="0.3">
      <c r="A30" s="613" t="s">
        <v>1604</v>
      </c>
      <c r="B30" s="624">
        <v>1330</v>
      </c>
      <c r="C30" s="602">
        <v>0</v>
      </c>
      <c r="D30" s="605">
        <f t="shared" si="2"/>
        <v>-1330</v>
      </c>
      <c r="E30" s="619">
        <v>292</v>
      </c>
      <c r="F30" s="602">
        <v>0</v>
      </c>
      <c r="G30" s="630">
        <f t="shared" si="3"/>
        <v>-292</v>
      </c>
      <c r="H30" s="624">
        <v>425</v>
      </c>
      <c r="I30" s="602">
        <v>0</v>
      </c>
      <c r="J30" s="605">
        <f t="shared" si="4"/>
        <v>-425</v>
      </c>
      <c r="K30" s="619">
        <v>0</v>
      </c>
      <c r="L30" s="602">
        <v>0</v>
      </c>
      <c r="M30" s="630">
        <f t="shared" si="5"/>
        <v>0</v>
      </c>
      <c r="N30" s="624">
        <f t="shared" si="6"/>
        <v>2047</v>
      </c>
      <c r="O30" s="602">
        <f t="shared" si="6"/>
        <v>0</v>
      </c>
      <c r="P30" s="605">
        <f t="shared" si="7"/>
        <v>-2047</v>
      </c>
    </row>
    <row r="31" spans="1:20" s="596" customFormat="1" x14ac:dyDescent="0.3">
      <c r="A31" s="614" t="s">
        <v>957</v>
      </c>
      <c r="B31" s="625">
        <f>SUM(B26:B30)</f>
        <v>12176</v>
      </c>
      <c r="C31" s="603">
        <f>SUM(C26:C30)</f>
        <v>9709</v>
      </c>
      <c r="D31" s="606">
        <f t="shared" si="2"/>
        <v>-2467</v>
      </c>
      <c r="E31" s="620">
        <f>SUM(E26:E30)</f>
        <v>2678</v>
      </c>
      <c r="F31" s="603">
        <f>SUM(F26:F30)</f>
        <v>2136</v>
      </c>
      <c r="G31" s="631">
        <f t="shared" si="3"/>
        <v>-542</v>
      </c>
      <c r="H31" s="625">
        <f>SUM(H26:H30)</f>
        <v>10733</v>
      </c>
      <c r="I31" s="603">
        <f>SUM(I26:I30)</f>
        <v>16958</v>
      </c>
      <c r="J31" s="606">
        <f t="shared" si="4"/>
        <v>6225</v>
      </c>
      <c r="K31" s="620">
        <f>SUM(K26:K30)</f>
        <v>0</v>
      </c>
      <c r="L31" s="603">
        <f>SUM(L26:L30)</f>
        <v>3070</v>
      </c>
      <c r="M31" s="631">
        <f t="shared" si="5"/>
        <v>3070</v>
      </c>
      <c r="N31" s="625">
        <f>SUM(N26:N30)</f>
        <v>25587</v>
      </c>
      <c r="O31" s="603">
        <f>SUM(O26:O30)</f>
        <v>31873</v>
      </c>
      <c r="P31" s="606">
        <f t="shared" si="7"/>
        <v>6286</v>
      </c>
      <c r="Q31" s="655"/>
      <c r="R31" s="655"/>
      <c r="S31" s="655"/>
      <c r="T31" s="601"/>
    </row>
    <row r="32" spans="1:20" ht="9" customHeight="1" x14ac:dyDescent="0.3">
      <c r="A32" s="613"/>
      <c r="B32" s="624"/>
      <c r="C32" s="602"/>
      <c r="D32" s="605"/>
      <c r="E32" s="619"/>
      <c r="F32" s="602"/>
      <c r="G32" s="630"/>
      <c r="H32" s="624"/>
      <c r="I32" s="602"/>
      <c r="J32" s="605"/>
      <c r="K32" s="619"/>
      <c r="L32" s="602"/>
      <c r="M32" s="630"/>
      <c r="N32" s="624"/>
      <c r="O32" s="602"/>
      <c r="P32" s="605"/>
    </row>
    <row r="33" spans="1:20" x14ac:dyDescent="0.3">
      <c r="A33" s="613"/>
      <c r="B33" s="624"/>
      <c r="C33" s="602"/>
      <c r="D33" s="605"/>
      <c r="E33" s="619"/>
      <c r="F33" s="602"/>
      <c r="G33" s="630"/>
      <c r="H33" s="624"/>
      <c r="I33" s="602"/>
      <c r="J33" s="605"/>
      <c r="K33" s="619"/>
      <c r="L33" s="602"/>
      <c r="M33" s="630"/>
      <c r="N33" s="624"/>
      <c r="O33" s="602"/>
      <c r="P33" s="605"/>
    </row>
    <row r="34" spans="1:20" s="596" customFormat="1" x14ac:dyDescent="0.3">
      <c r="A34" s="614" t="s">
        <v>14</v>
      </c>
      <c r="B34" s="625">
        <v>172511</v>
      </c>
      <c r="C34" s="603">
        <f>'первичка 1'!D370</f>
        <v>203224.07072812755</v>
      </c>
      <c r="D34" s="606">
        <f>C34-B34</f>
        <v>30713.070728127554</v>
      </c>
      <c r="E34" s="620">
        <v>37952</v>
      </c>
      <c r="F34" s="603">
        <f>'первичка 1'!E370</f>
        <v>44709.332897306835</v>
      </c>
      <c r="G34" s="631">
        <f>F34-E34</f>
        <v>6757.3328973068346</v>
      </c>
      <c r="H34" s="625">
        <v>20960</v>
      </c>
      <c r="I34" s="603">
        <f>'первичка 1'!F370</f>
        <v>11413.049999999996</v>
      </c>
      <c r="J34" s="606">
        <f>I34-H34</f>
        <v>-9546.9500000000044</v>
      </c>
      <c r="K34" s="620">
        <v>0</v>
      </c>
      <c r="L34" s="603">
        <f>'первичка 1'!G370</f>
        <v>0</v>
      </c>
      <c r="M34" s="631">
        <f>L34-K34</f>
        <v>0</v>
      </c>
      <c r="N34" s="625">
        <f>B34+E34+H34+K34</f>
        <v>231423</v>
      </c>
      <c r="O34" s="603">
        <f>C34+F34+I34+L34</f>
        <v>259346.45362543437</v>
      </c>
      <c r="P34" s="606">
        <f>O34-N34</f>
        <v>27923.453625434369</v>
      </c>
      <c r="Q34" s="655"/>
      <c r="R34" s="655"/>
      <c r="S34" s="655"/>
      <c r="T34" s="601"/>
    </row>
    <row r="35" spans="1:20" x14ac:dyDescent="0.3">
      <c r="A35" s="613"/>
      <c r="B35" s="624"/>
      <c r="C35" s="602"/>
      <c r="D35" s="605"/>
      <c r="E35" s="619"/>
      <c r="F35" s="602"/>
      <c r="G35" s="630"/>
      <c r="H35" s="624"/>
      <c r="I35" s="602"/>
      <c r="J35" s="605"/>
      <c r="K35" s="619"/>
      <c r="L35" s="602"/>
      <c r="M35" s="630"/>
      <c r="N35" s="624"/>
      <c r="O35" s="602"/>
      <c r="P35" s="605"/>
    </row>
    <row r="36" spans="1:20" s="596" customFormat="1" x14ac:dyDescent="0.3">
      <c r="A36" s="614" t="s">
        <v>1605</v>
      </c>
      <c r="B36" s="625">
        <v>95753</v>
      </c>
      <c r="C36" s="603">
        <f>'первичка 1'!L370</f>
        <v>117115.4808975698</v>
      </c>
      <c r="D36" s="606">
        <f>C36-B36</f>
        <v>21362.480897569796</v>
      </c>
      <c r="E36" s="620">
        <v>21066</v>
      </c>
      <c r="F36" s="603">
        <f>'первичка 1'!M370</f>
        <v>25765.284525568535</v>
      </c>
      <c r="G36" s="631">
        <f>F36-E36</f>
        <v>4699.2845255685352</v>
      </c>
      <c r="H36" s="625">
        <v>4079</v>
      </c>
      <c r="I36" s="603">
        <f>'первичка 1'!N370+'первичка 1'!O370</f>
        <v>8607.7929524720184</v>
      </c>
      <c r="J36" s="606">
        <f>I36-H36</f>
        <v>4528.7929524720184</v>
      </c>
      <c r="K36" s="620">
        <v>0</v>
      </c>
      <c r="L36" s="603">
        <v>0</v>
      </c>
      <c r="M36" s="631">
        <f>L36-K36</f>
        <v>0</v>
      </c>
      <c r="N36" s="625">
        <f>B36+E36+H36+K36</f>
        <v>120898</v>
      </c>
      <c r="O36" s="603">
        <f>C36+F36+I36+L36</f>
        <v>151488.55837561036</v>
      </c>
      <c r="P36" s="606">
        <f>O36-N36</f>
        <v>30590.558375610359</v>
      </c>
      <c r="Q36" s="655"/>
      <c r="R36" s="655"/>
      <c r="S36" s="655"/>
      <c r="T36" s="601"/>
    </row>
    <row r="37" spans="1:20" x14ac:dyDescent="0.3">
      <c r="A37" s="613"/>
      <c r="B37" s="624"/>
      <c r="C37" s="602"/>
      <c r="D37" s="605"/>
      <c r="E37" s="619"/>
      <c r="F37" s="602"/>
      <c r="G37" s="630"/>
      <c r="H37" s="624"/>
      <c r="I37" s="602"/>
      <c r="J37" s="605"/>
      <c r="K37" s="619"/>
      <c r="L37" s="602"/>
      <c r="M37" s="630"/>
      <c r="N37" s="624"/>
      <c r="O37" s="602"/>
      <c r="P37" s="605"/>
    </row>
    <row r="38" spans="1:20" s="596" customFormat="1" x14ac:dyDescent="0.3">
      <c r="A38" s="614" t="s">
        <v>959</v>
      </c>
      <c r="B38" s="625"/>
      <c r="C38" s="603"/>
      <c r="D38" s="606"/>
      <c r="E38" s="620"/>
      <c r="F38" s="603"/>
      <c r="G38" s="631"/>
      <c r="H38" s="625"/>
      <c r="I38" s="603"/>
      <c r="J38" s="606"/>
      <c r="K38" s="620">
        <v>7263</v>
      </c>
      <c r="L38" s="603">
        <f>'первичка 1'!S370</f>
        <v>7263.2999999999984</v>
      </c>
      <c r="M38" s="631">
        <f>L38-K38</f>
        <v>0.29999999999836291</v>
      </c>
      <c r="N38" s="625">
        <f>B38+E38+H38+K38</f>
        <v>7263</v>
      </c>
      <c r="O38" s="603">
        <f>C38+F38+I38+L38</f>
        <v>7263.2999999999984</v>
      </c>
      <c r="P38" s="606">
        <f>O38-N38</f>
        <v>0.29999999999836291</v>
      </c>
      <c r="Q38" s="655"/>
      <c r="R38" s="655"/>
      <c r="S38" s="655"/>
      <c r="T38" s="601"/>
    </row>
    <row r="39" spans="1:20" s="596" customFormat="1" x14ac:dyDescent="0.3">
      <c r="A39" s="614" t="s">
        <v>962</v>
      </c>
      <c r="B39" s="625"/>
      <c r="C39" s="603"/>
      <c r="D39" s="606"/>
      <c r="E39" s="620"/>
      <c r="F39" s="603"/>
      <c r="G39" s="631"/>
      <c r="H39" s="625"/>
      <c r="I39" s="603"/>
      <c r="J39" s="606"/>
      <c r="K39" s="620">
        <v>894</v>
      </c>
      <c r="L39" s="603">
        <f>'первичка 1'!V370</f>
        <v>0</v>
      </c>
      <c r="M39" s="631">
        <f>L39-K39</f>
        <v>-894</v>
      </c>
      <c r="N39" s="625">
        <f>B39+E39+H39+K39</f>
        <v>894</v>
      </c>
      <c r="O39" s="603">
        <f>C39+F39+I39+L39</f>
        <v>0</v>
      </c>
      <c r="P39" s="606">
        <f>O39-N39</f>
        <v>-894</v>
      </c>
      <c r="Q39" s="655"/>
      <c r="R39" s="655"/>
      <c r="S39" s="655"/>
      <c r="T39" s="601"/>
    </row>
    <row r="40" spans="1:20" x14ac:dyDescent="0.3">
      <c r="A40" s="613"/>
      <c r="B40" s="624"/>
      <c r="C40" s="602"/>
      <c r="D40" s="605"/>
      <c r="E40" s="619"/>
      <c r="F40" s="602"/>
      <c r="G40" s="630"/>
      <c r="H40" s="624"/>
      <c r="I40" s="602"/>
      <c r="J40" s="605"/>
      <c r="K40" s="619"/>
      <c r="L40" s="602"/>
      <c r="M40" s="630"/>
      <c r="N40" s="624"/>
      <c r="O40" s="602"/>
      <c r="P40" s="605"/>
    </row>
    <row r="41" spans="1:20" s="596" customFormat="1" x14ac:dyDescent="0.3">
      <c r="A41" s="614" t="s">
        <v>964</v>
      </c>
      <c r="B41" s="625"/>
      <c r="C41" s="603"/>
      <c r="D41" s="606"/>
      <c r="E41" s="620"/>
      <c r="F41" s="603"/>
      <c r="G41" s="631"/>
      <c r="H41" s="625"/>
      <c r="I41" s="603"/>
      <c r="J41" s="606"/>
      <c r="K41" s="620">
        <v>60373</v>
      </c>
      <c r="L41" s="603">
        <f>'первичка 1'!AF370</f>
        <v>51900.200000000004</v>
      </c>
      <c r="M41" s="631">
        <f>L41-K41</f>
        <v>-8472.7999999999956</v>
      </c>
      <c r="N41" s="625">
        <f>B41+E41+H41+K41</f>
        <v>60373</v>
      </c>
      <c r="O41" s="603">
        <f>C41+F41+I41+L41</f>
        <v>51900.200000000004</v>
      </c>
      <c r="P41" s="606">
        <f>O41-N41</f>
        <v>-8472.7999999999956</v>
      </c>
      <c r="Q41" s="655"/>
      <c r="R41" s="655"/>
      <c r="S41" s="655"/>
      <c r="T41" s="601"/>
    </row>
    <row r="42" spans="1:20" s="596" customFormat="1" x14ac:dyDescent="0.3">
      <c r="A42" s="614" t="s">
        <v>1606</v>
      </c>
      <c r="B42" s="625"/>
      <c r="C42" s="603"/>
      <c r="D42" s="626"/>
      <c r="E42" s="620"/>
      <c r="F42" s="603"/>
      <c r="G42" s="631"/>
      <c r="H42" s="625"/>
      <c r="I42" s="603"/>
      <c r="J42" s="606"/>
      <c r="K42" s="620">
        <v>46296</v>
      </c>
      <c r="L42" s="603">
        <f>'первичка 1'!AI370</f>
        <v>56247.399999999987</v>
      </c>
      <c r="M42" s="631">
        <f>L42-K42</f>
        <v>9951.3999999999869</v>
      </c>
      <c r="N42" s="625">
        <f>B42+E42+H42+K42</f>
        <v>46296</v>
      </c>
      <c r="O42" s="603">
        <f>C42+F42+I42+L42</f>
        <v>56247.399999999987</v>
      </c>
      <c r="P42" s="606">
        <f>O42-N42</f>
        <v>9951.3999999999869</v>
      </c>
      <c r="Q42" s="655"/>
      <c r="R42" s="655"/>
      <c r="S42" s="655"/>
      <c r="T42" s="601"/>
    </row>
    <row r="43" spans="1:20" x14ac:dyDescent="0.3">
      <c r="A43" s="613"/>
      <c r="B43" s="624"/>
      <c r="C43" s="602"/>
      <c r="D43" s="605"/>
      <c r="E43" s="619"/>
      <c r="F43" s="602"/>
      <c r="G43" s="630"/>
      <c r="H43" s="624"/>
      <c r="I43" s="602"/>
      <c r="J43" s="605"/>
      <c r="K43" s="619"/>
      <c r="L43" s="602"/>
      <c r="M43" s="630"/>
      <c r="N43" s="624"/>
      <c r="O43" s="602"/>
      <c r="P43" s="605"/>
    </row>
    <row r="44" spans="1:20" s="597" customFormat="1" ht="15.6" x14ac:dyDescent="0.3">
      <c r="A44" s="615" t="s">
        <v>1607</v>
      </c>
      <c r="B44" s="625">
        <f>B14+B18+B19+B21+B23+B31+B34+B36+B38+B39+B41+B42</f>
        <v>403327</v>
      </c>
      <c r="C44" s="603">
        <f>C14+C18+C19+C21+C23+C31+C34+C36+C38+C39+C41+C42</f>
        <v>466616.73625914083</v>
      </c>
      <c r="D44" s="606">
        <f>C44-B44</f>
        <v>63289.736259140831</v>
      </c>
      <c r="E44" s="620">
        <f>E14+E18+E19+E21+E23+E31+E34+E36+E38+E39+E41+E42</f>
        <v>88731</v>
      </c>
      <c r="F44" s="603">
        <f>F14+F18+F19+F21+F23+F31+F34+F36+F38+F39+F41+F42</f>
        <v>101654.21495578777</v>
      </c>
      <c r="G44" s="631">
        <f>F44-E44</f>
        <v>12923.214955787771</v>
      </c>
      <c r="H44" s="625">
        <f>H14+H18+H19+H21+H23+H31+H34+H36+H38+H39+H41+H42</f>
        <v>120779</v>
      </c>
      <c r="I44" s="603">
        <f>I14+I18+I19+I21+I23+I31+I34+I36+I38+I39+I41+I42</f>
        <v>95667.592952472012</v>
      </c>
      <c r="J44" s="606">
        <f>I44-H44</f>
        <v>-25111.407047527988</v>
      </c>
      <c r="K44" s="620">
        <f>K14+K18+K19+K21+K23+K31+K34+K36+K38+K39+K41+K42+K16</f>
        <v>781803</v>
      </c>
      <c r="L44" s="603">
        <f>L14+L18+L19+L21+L23+L31+L34+L36+L38+L39+L41+L42+L16</f>
        <v>806027.79229116382</v>
      </c>
      <c r="M44" s="631">
        <f>L44-K44</f>
        <v>24224.792291163816</v>
      </c>
      <c r="N44" s="625">
        <f>N14+N18+N19+N21+N23+N31+N34+N36+N38+N39+N41+N42+N16</f>
        <v>1394640</v>
      </c>
      <c r="O44" s="603">
        <f>O14+O18+O19+O21+O23+O31+O34+O36+O38+O39+O41+O42+O16</f>
        <v>1469966.336458564</v>
      </c>
      <c r="P44" s="606">
        <f>O44-N44</f>
        <v>75326.336458564037</v>
      </c>
      <c r="Q44" s="655"/>
      <c r="R44" s="655"/>
      <c r="S44" s="655"/>
      <c r="T44" s="601"/>
    </row>
    <row r="45" spans="1:20" x14ac:dyDescent="0.3">
      <c r="A45" s="613"/>
      <c r="B45" s="627"/>
      <c r="C45" s="570"/>
      <c r="D45" s="607"/>
      <c r="E45" s="621"/>
      <c r="F45" s="570"/>
      <c r="G45" s="632"/>
      <c r="H45" s="627"/>
      <c r="I45" s="570"/>
      <c r="J45" s="607"/>
      <c r="K45" s="621"/>
      <c r="L45" s="570"/>
      <c r="M45" s="632"/>
      <c r="N45" s="627"/>
      <c r="O45" s="570"/>
      <c r="P45" s="607"/>
    </row>
    <row r="46" spans="1:20" s="596" customFormat="1" x14ac:dyDescent="0.3">
      <c r="A46" s="614" t="s">
        <v>1628</v>
      </c>
      <c r="B46" s="665">
        <v>72739</v>
      </c>
      <c r="C46" s="595">
        <f>75617+6805</f>
        <v>82422</v>
      </c>
      <c r="D46" s="653">
        <f>C46-B46</f>
        <v>9683</v>
      </c>
      <c r="E46" s="666">
        <v>15857</v>
      </c>
      <c r="F46" s="595">
        <f>16636+1497</f>
        <v>18133</v>
      </c>
      <c r="G46" s="654">
        <f>F46-E46</f>
        <v>2276</v>
      </c>
      <c r="H46" s="665">
        <v>17441</v>
      </c>
      <c r="I46" s="595">
        <f>169+3637+25+417+66+2338</f>
        <v>6652</v>
      </c>
      <c r="J46" s="653">
        <f>I46-H46</f>
        <v>-10789</v>
      </c>
      <c r="K46" s="666">
        <v>29650</v>
      </c>
      <c r="L46" s="595">
        <f>3310+8321+421+168+25191+2392+1430+1620+1700</f>
        <v>44553</v>
      </c>
      <c r="M46" s="654">
        <f>L46-K46</f>
        <v>14903</v>
      </c>
      <c r="N46" s="665">
        <f>135687</f>
        <v>135687</v>
      </c>
      <c r="O46" s="667">
        <f>C46+F46+I46+L46</f>
        <v>151760</v>
      </c>
      <c r="P46" s="653">
        <f>O46-N46</f>
        <v>16073</v>
      </c>
      <c r="Q46" s="655"/>
      <c r="R46" s="655"/>
      <c r="S46" s="655"/>
      <c r="T46" s="601"/>
    </row>
    <row r="47" spans="1:20" x14ac:dyDescent="0.3">
      <c r="A47" s="616" t="s">
        <v>1626</v>
      </c>
      <c r="B47" s="624"/>
      <c r="C47" s="602"/>
      <c r="D47" s="605"/>
      <c r="E47" s="619"/>
      <c r="F47" s="602"/>
      <c r="G47" s="630"/>
      <c r="H47" s="624"/>
      <c r="I47" s="602"/>
      <c r="J47" s="605"/>
      <c r="K47" s="619"/>
      <c r="L47" s="602"/>
      <c r="M47" s="630"/>
      <c r="N47" s="624">
        <f>31485</f>
        <v>31485</v>
      </c>
      <c r="O47" s="602">
        <f>C211</f>
        <v>17906.996887604771</v>
      </c>
      <c r="P47" s="605">
        <f>O47-N47</f>
        <v>-13578.003112395229</v>
      </c>
    </row>
    <row r="48" spans="1:20" x14ac:dyDescent="0.3">
      <c r="A48" s="616" t="s">
        <v>1623</v>
      </c>
      <c r="B48" s="624"/>
      <c r="C48" s="602"/>
      <c r="D48" s="605"/>
      <c r="E48" s="619"/>
      <c r="F48" s="602"/>
      <c r="G48" s="630"/>
      <c r="H48" s="624"/>
      <c r="I48" s="602"/>
      <c r="J48" s="605"/>
      <c r="K48" s="619"/>
      <c r="L48" s="602"/>
      <c r="M48" s="630"/>
      <c r="N48" s="624">
        <v>121089</v>
      </c>
      <c r="O48" s="602">
        <f>C212</f>
        <v>54033.459331257058</v>
      </c>
      <c r="P48" s="605">
        <f>O48-N48</f>
        <v>-67055.540668742935</v>
      </c>
    </row>
    <row r="49" spans="1:17" customFormat="1" x14ac:dyDescent="0.3">
      <c r="A49" s="634" t="s">
        <v>1624</v>
      </c>
      <c r="B49" s="638"/>
      <c r="C49" s="639"/>
      <c r="D49" s="640"/>
      <c r="E49" s="646"/>
      <c r="F49" s="639"/>
      <c r="G49" s="663"/>
      <c r="H49" s="638"/>
      <c r="I49" s="639"/>
      <c r="J49" s="640"/>
      <c r="K49" s="646"/>
      <c r="L49" s="639"/>
      <c r="M49" s="663"/>
      <c r="N49" s="638">
        <v>52477</v>
      </c>
      <c r="O49" s="639">
        <f>C213</f>
        <v>54844.926645834443</v>
      </c>
      <c r="P49" s="640">
        <f>O49-N49</f>
        <v>2367.9266458344428</v>
      </c>
      <c r="Q49" s="655"/>
    </row>
    <row r="50" spans="1:17" customFormat="1" ht="15" thickBot="1" x14ac:dyDescent="0.35">
      <c r="A50" s="634" t="s">
        <v>1627</v>
      </c>
      <c r="B50" s="638"/>
      <c r="C50" s="639"/>
      <c r="D50" s="640"/>
      <c r="E50" s="646"/>
      <c r="F50" s="639"/>
      <c r="G50" s="663"/>
      <c r="H50" s="638"/>
      <c r="I50" s="639"/>
      <c r="J50" s="640"/>
      <c r="K50" s="646"/>
      <c r="L50" s="639"/>
      <c r="M50" s="663"/>
      <c r="N50" s="638"/>
      <c r="O50" s="639">
        <f>C214</f>
        <v>-8636</v>
      </c>
      <c r="P50" s="640"/>
      <c r="Q50" s="655"/>
    </row>
    <row r="51" spans="1:17" customFormat="1" ht="15" thickBot="1" x14ac:dyDescent="0.35">
      <c r="A51" s="645" t="s">
        <v>1625</v>
      </c>
      <c r="B51" s="668">
        <f>B44+B46</f>
        <v>476066</v>
      </c>
      <c r="C51" s="669">
        <f>C44+C46</f>
        <v>549038.73625914077</v>
      </c>
      <c r="D51" s="644">
        <f>C51-B51</f>
        <v>72972.736259140773</v>
      </c>
      <c r="E51" s="668">
        <f>E44+E46</f>
        <v>104588</v>
      </c>
      <c r="F51" s="669">
        <f>F44+F46</f>
        <v>119787.21495578777</v>
      </c>
      <c r="G51" s="644">
        <f>F51-E51</f>
        <v>15199.214955787771</v>
      </c>
      <c r="H51" s="668">
        <f>H44+H46</f>
        <v>138220</v>
      </c>
      <c r="I51" s="669">
        <f>I44+I46</f>
        <v>102319.59295247201</v>
      </c>
      <c r="J51" s="644">
        <f>I51-H51</f>
        <v>-35900.407047527988</v>
      </c>
      <c r="K51" s="668">
        <f>K44+K46</f>
        <v>811453</v>
      </c>
      <c r="L51" s="669">
        <f>L44+L46</f>
        <v>850580.79229116382</v>
      </c>
      <c r="M51" s="644">
        <f>L51-K51</f>
        <v>39127.792291163816</v>
      </c>
      <c r="N51" s="670">
        <f>N44+N46+N47+N48+N49</f>
        <v>1735378</v>
      </c>
      <c r="O51" s="669">
        <f>O44+O46+O47+O48+O49+O50</f>
        <v>1739875.7193232602</v>
      </c>
      <c r="P51" s="644">
        <f>O51-N51</f>
        <v>4497.719323260244</v>
      </c>
      <c r="Q51" s="664"/>
    </row>
    <row r="52" spans="1:17" customFormat="1" ht="15" thickBot="1" x14ac:dyDescent="0.35">
      <c r="P52" s="642">
        <f>O51/N51</f>
        <v>1.0025917807666458</v>
      </c>
      <c r="Q52" s="655"/>
    </row>
    <row r="54" spans="1:17" customFormat="1" ht="18.600000000000001" thickBot="1" x14ac:dyDescent="0.4">
      <c r="A54" s="649" t="str">
        <f>A3</f>
        <v>Фактичні витрати з утримання будинків і прибудинкової території</v>
      </c>
      <c r="O54" s="641">
        <f>O1</f>
        <v>2023</v>
      </c>
      <c r="P54" s="641">
        <f>P1</f>
        <v>2021</v>
      </c>
      <c r="Q54" s="655"/>
    </row>
    <row r="55" spans="1:17" customFormat="1" ht="21.6" thickBot="1" x14ac:dyDescent="0.45">
      <c r="A55" s="1424" t="s">
        <v>1629</v>
      </c>
      <c r="B55" s="1427" t="s">
        <v>1587</v>
      </c>
      <c r="C55" s="1428"/>
      <c r="D55" s="1428"/>
      <c r="E55" s="1428"/>
      <c r="F55" s="1428"/>
      <c r="G55" s="1428"/>
      <c r="H55" s="1428"/>
      <c r="I55" s="1428"/>
      <c r="J55" s="1428"/>
      <c r="K55" s="1428"/>
      <c r="L55" s="1428"/>
      <c r="M55" s="1428"/>
      <c r="N55" s="1428"/>
      <c r="O55" s="1428"/>
      <c r="P55" s="1429"/>
      <c r="Q55" s="655"/>
    </row>
    <row r="56" spans="1:17" customFormat="1" x14ac:dyDescent="0.3">
      <c r="A56" s="1425"/>
      <c r="B56" s="1430" t="s">
        <v>951</v>
      </c>
      <c r="C56" s="1431"/>
      <c r="D56" s="1432"/>
      <c r="E56" s="1433" t="s">
        <v>952</v>
      </c>
      <c r="F56" s="1434"/>
      <c r="G56" s="1435"/>
      <c r="H56" s="1430" t="s">
        <v>953</v>
      </c>
      <c r="I56" s="1431"/>
      <c r="J56" s="1432"/>
      <c r="K56" s="1430" t="s">
        <v>1601</v>
      </c>
      <c r="L56" s="1431"/>
      <c r="M56" s="1432"/>
      <c r="N56" s="1430" t="s">
        <v>957</v>
      </c>
      <c r="O56" s="1431"/>
      <c r="P56" s="1432"/>
      <c r="Q56" s="655"/>
    </row>
    <row r="57" spans="1:17" customFormat="1" ht="15" thickBot="1" x14ac:dyDescent="0.35">
      <c r="A57" s="1426"/>
      <c r="B57" s="622" t="s">
        <v>1013</v>
      </c>
      <c r="C57" s="610" t="s">
        <v>440</v>
      </c>
      <c r="D57" s="611" t="s">
        <v>1111</v>
      </c>
      <c r="E57" s="617" t="s">
        <v>1013</v>
      </c>
      <c r="F57" s="610" t="s">
        <v>440</v>
      </c>
      <c r="G57" s="628" t="s">
        <v>1111</v>
      </c>
      <c r="H57" s="622" t="s">
        <v>1013</v>
      </c>
      <c r="I57" s="610" t="s">
        <v>440</v>
      </c>
      <c r="J57" s="611" t="s">
        <v>1111</v>
      </c>
      <c r="K57" s="622" t="s">
        <v>1013</v>
      </c>
      <c r="L57" s="610" t="s">
        <v>440</v>
      </c>
      <c r="M57" s="611" t="s">
        <v>1111</v>
      </c>
      <c r="N57" s="622" t="s">
        <v>1013</v>
      </c>
      <c r="O57" s="610" t="s">
        <v>440</v>
      </c>
      <c r="P57" s="611" t="s">
        <v>1111</v>
      </c>
      <c r="Q57" s="655"/>
    </row>
    <row r="58" spans="1:17" customFormat="1" x14ac:dyDescent="0.3">
      <c r="A58" s="612" t="s">
        <v>1596</v>
      </c>
      <c r="B58" s="623"/>
      <c r="C58" s="608"/>
      <c r="D58" s="609"/>
      <c r="E58" s="618"/>
      <c r="F58" s="608"/>
      <c r="G58" s="629"/>
      <c r="H58" s="623"/>
      <c r="I58" s="608"/>
      <c r="J58" s="609"/>
      <c r="K58" s="623"/>
      <c r="L58" s="608"/>
      <c r="M58" s="609"/>
      <c r="N58" s="623"/>
      <c r="O58" s="608"/>
      <c r="P58" s="609"/>
      <c r="Q58" s="655"/>
    </row>
    <row r="59" spans="1:17" customFormat="1" x14ac:dyDescent="0.3">
      <c r="A59" s="613" t="s">
        <v>1597</v>
      </c>
      <c r="B59" s="624">
        <v>46884</v>
      </c>
      <c r="C59" s="602">
        <f>'первичка 2'!D377+'первичка 2'!L377+'первичка 2'!Z377</f>
        <v>52464.519123688289</v>
      </c>
      <c r="D59" s="605">
        <f>C59-B59</f>
        <v>5580.5191236882893</v>
      </c>
      <c r="E59" s="619">
        <v>10315</v>
      </c>
      <c r="F59" s="602">
        <f>'первичка 2'!E377+'первичка 2'!M377+'первичка 2'!AA377</f>
        <v>10952.123687085235</v>
      </c>
      <c r="G59" s="630">
        <f>F59-E59</f>
        <v>637.12368708523536</v>
      </c>
      <c r="H59" s="624">
        <v>2986</v>
      </c>
      <c r="I59" s="602">
        <f>'первичка 2'!F377+'первичка 2'!G377+'первичка 2'!N377+'первичка 2'!AB377</f>
        <v>7455.813000000001</v>
      </c>
      <c r="J59" s="605">
        <f>I59-H59</f>
        <v>4469.813000000001</v>
      </c>
      <c r="K59" s="624">
        <v>0</v>
      </c>
      <c r="L59" s="602">
        <f>'первичка 2'!O377+'первичка 2'!AC377</f>
        <v>0</v>
      </c>
      <c r="M59" s="605">
        <f>L59-K59</f>
        <v>0</v>
      </c>
      <c r="N59" s="624">
        <f t="shared" ref="N59:O62" si="8">B59+E59+H59+K59</f>
        <v>60185</v>
      </c>
      <c r="O59" s="602">
        <f t="shared" si="8"/>
        <v>70872.455810773521</v>
      </c>
      <c r="P59" s="605">
        <f>O59-N59</f>
        <v>10687.455810773521</v>
      </c>
      <c r="Q59" s="655"/>
    </row>
    <row r="60" spans="1:17" customFormat="1" x14ac:dyDescent="0.3">
      <c r="A60" s="613" t="s">
        <v>1598</v>
      </c>
      <c r="B60" s="624">
        <v>0</v>
      </c>
      <c r="C60" s="602">
        <v>0</v>
      </c>
      <c r="D60" s="605">
        <f>C60-B60</f>
        <v>0</v>
      </c>
      <c r="E60" s="619">
        <v>0</v>
      </c>
      <c r="F60" s="602">
        <v>0</v>
      </c>
      <c r="G60" s="630">
        <f>F60-E60</f>
        <v>0</v>
      </c>
      <c r="H60" s="624">
        <v>0</v>
      </c>
      <c r="I60" s="602">
        <v>0</v>
      </c>
      <c r="J60" s="605">
        <f>I60-H60</f>
        <v>0</v>
      </c>
      <c r="K60" s="624">
        <v>2852</v>
      </c>
      <c r="L60" s="602">
        <f>'первичка 2'!W377</f>
        <v>2852.7999999999997</v>
      </c>
      <c r="M60" s="605">
        <f>L60-K60</f>
        <v>0.79999999999972715</v>
      </c>
      <c r="N60" s="624">
        <f t="shared" si="8"/>
        <v>2852</v>
      </c>
      <c r="O60" s="602">
        <f t="shared" si="8"/>
        <v>2852.7999999999997</v>
      </c>
      <c r="P60" s="605">
        <f>O60-N60</f>
        <v>0.79999999999972715</v>
      </c>
      <c r="Q60" s="655"/>
    </row>
    <row r="61" spans="1:17" customFormat="1" x14ac:dyDescent="0.3">
      <c r="A61" s="613" t="s">
        <v>1599</v>
      </c>
      <c r="B61" s="624">
        <v>0</v>
      </c>
      <c r="C61" s="602">
        <v>0</v>
      </c>
      <c r="D61" s="605">
        <f>C61-B61</f>
        <v>0</v>
      </c>
      <c r="E61" s="619">
        <v>0</v>
      </c>
      <c r="F61" s="602">
        <v>0</v>
      </c>
      <c r="G61" s="630">
        <f>F61-E61</f>
        <v>0</v>
      </c>
      <c r="H61" s="624">
        <v>0</v>
      </c>
      <c r="I61" s="602">
        <v>0</v>
      </c>
      <c r="J61" s="605">
        <f>I61-H61</f>
        <v>0</v>
      </c>
      <c r="K61" s="624">
        <v>39450</v>
      </c>
      <c r="L61" s="602">
        <f>'первичка 2'!T377</f>
        <v>39450.693000000007</v>
      </c>
      <c r="M61" s="605">
        <f>L61-K61</f>
        <v>0.69300000000657747</v>
      </c>
      <c r="N61" s="624">
        <f t="shared" si="8"/>
        <v>39450</v>
      </c>
      <c r="O61" s="602">
        <f t="shared" si="8"/>
        <v>39450.693000000007</v>
      </c>
      <c r="P61" s="605">
        <f>O61-N61</f>
        <v>0.69300000000657747</v>
      </c>
      <c r="Q61" s="655"/>
    </row>
    <row r="62" spans="1:17" customFormat="1" x14ac:dyDescent="0.3">
      <c r="A62" s="613" t="s">
        <v>1600</v>
      </c>
      <c r="B62" s="624">
        <v>23523</v>
      </c>
      <c r="C62" s="602">
        <f>'первичка 2'!AH377</f>
        <v>24390.630241513842</v>
      </c>
      <c r="D62" s="605">
        <f>C62-B62</f>
        <v>867.63024151384161</v>
      </c>
      <c r="E62" s="619">
        <v>5175</v>
      </c>
      <c r="F62" s="602">
        <f>'первичка 2'!AI377</f>
        <v>4865.0939687625296</v>
      </c>
      <c r="G62" s="630">
        <f>F62-E62</f>
        <v>-309.90603123747042</v>
      </c>
      <c r="H62" s="624">
        <v>5671</v>
      </c>
      <c r="I62" s="602">
        <f>'первичка 2'!AJ377+'первичка 2'!AK377</f>
        <v>3344.8600000000015</v>
      </c>
      <c r="J62" s="605">
        <f>I62-H62</f>
        <v>-2326.1399999999985</v>
      </c>
      <c r="K62" s="624">
        <v>0</v>
      </c>
      <c r="L62" s="602">
        <f>'первичка 2'!AL377</f>
        <v>8295.65</v>
      </c>
      <c r="M62" s="605">
        <f>L62-K62</f>
        <v>8295.65</v>
      </c>
      <c r="N62" s="624">
        <f t="shared" si="8"/>
        <v>34369</v>
      </c>
      <c r="O62" s="602">
        <f t="shared" si="8"/>
        <v>40896.234210276372</v>
      </c>
      <c r="P62" s="605">
        <f>O62-N62</f>
        <v>6527.2342102763723</v>
      </c>
      <c r="Q62" s="655"/>
    </row>
    <row r="63" spans="1:17" customFormat="1" x14ac:dyDescent="0.3">
      <c r="A63" s="613" t="s">
        <v>1604</v>
      </c>
      <c r="B63" s="624"/>
      <c r="C63" s="602"/>
      <c r="D63" s="605"/>
      <c r="E63" s="619"/>
      <c r="F63" s="602"/>
      <c r="G63" s="630"/>
      <c r="H63" s="624"/>
      <c r="I63" s="602"/>
      <c r="J63" s="605"/>
      <c r="K63" s="624"/>
      <c r="L63" s="602">
        <f>'первичка 2'!AQ377</f>
        <v>0</v>
      </c>
      <c r="M63" s="605"/>
      <c r="N63" s="624"/>
      <c r="O63" s="602">
        <f>C63+F63+I63+L63</f>
        <v>0</v>
      </c>
      <c r="P63" s="605"/>
      <c r="Q63" s="655"/>
    </row>
    <row r="64" spans="1:17" customFormat="1" x14ac:dyDescent="0.3">
      <c r="A64" s="614" t="s">
        <v>957</v>
      </c>
      <c r="B64" s="625">
        <f>SUM(B59:B62)</f>
        <v>70407</v>
      </c>
      <c r="C64" s="603">
        <f>SUM(C59:C62)</f>
        <v>76855.149365202131</v>
      </c>
      <c r="D64" s="606">
        <f>C64-B64</f>
        <v>6448.1493652021309</v>
      </c>
      <c r="E64" s="620">
        <f>SUM(E59:E62)</f>
        <v>15490</v>
      </c>
      <c r="F64" s="603">
        <f>SUM(F59:F62)</f>
        <v>15817.217655847766</v>
      </c>
      <c r="G64" s="631">
        <f>F64-E64</f>
        <v>327.21765584776585</v>
      </c>
      <c r="H64" s="625">
        <f>SUM(H59:H62)</f>
        <v>8657</v>
      </c>
      <c r="I64" s="603">
        <f>SUM(I59:I62)</f>
        <v>10800.673000000003</v>
      </c>
      <c r="J64" s="606">
        <f>I64-H64</f>
        <v>2143.6730000000025</v>
      </c>
      <c r="K64" s="625">
        <f>SUM(K59:K62)</f>
        <v>42302</v>
      </c>
      <c r="L64" s="603">
        <f>SUM(L59:L63)</f>
        <v>50599.143000000011</v>
      </c>
      <c r="M64" s="605">
        <f>L64-K64</f>
        <v>8297.1430000000109</v>
      </c>
      <c r="N64" s="625">
        <f>SUM(N59:N62)</f>
        <v>136856</v>
      </c>
      <c r="O64" s="603">
        <f>SUM(O59:O63)</f>
        <v>154072.18302104989</v>
      </c>
      <c r="P64" s="606">
        <f>O64-N64</f>
        <v>17216.183021049888</v>
      </c>
      <c r="Q64" s="655"/>
    </row>
    <row r="65" spans="1:17" customFormat="1" x14ac:dyDescent="0.3">
      <c r="A65" s="613"/>
      <c r="B65" s="624"/>
      <c r="C65" s="602"/>
      <c r="D65" s="605"/>
      <c r="E65" s="619"/>
      <c r="F65" s="602"/>
      <c r="G65" s="630"/>
      <c r="H65" s="624"/>
      <c r="I65" s="602"/>
      <c r="J65" s="605"/>
      <c r="K65" s="624"/>
      <c r="L65" s="602"/>
      <c r="M65" s="605"/>
      <c r="N65" s="624"/>
      <c r="O65" s="602"/>
      <c r="P65" s="605"/>
      <c r="Q65" s="655"/>
    </row>
    <row r="66" spans="1:17" customFormat="1" x14ac:dyDescent="0.3">
      <c r="A66" s="614" t="s">
        <v>1609</v>
      </c>
      <c r="B66" s="624"/>
      <c r="C66" s="602"/>
      <c r="D66" s="605"/>
      <c r="E66" s="619"/>
      <c r="F66" s="602"/>
      <c r="G66" s="630"/>
      <c r="H66" s="624"/>
      <c r="I66" s="602"/>
      <c r="J66" s="605"/>
      <c r="K66" s="625">
        <v>125798</v>
      </c>
      <c r="L66" s="603">
        <f>'первичка 2'!AT377</f>
        <v>210882.62452374995</v>
      </c>
      <c r="M66" s="606">
        <f>L66-K66</f>
        <v>85084.624523749953</v>
      </c>
      <c r="N66" s="625">
        <f>B66+E66+H66+K66</f>
        <v>125798</v>
      </c>
      <c r="O66" s="603">
        <f>C66+F66+I66+L66</f>
        <v>210882.62452374995</v>
      </c>
      <c r="P66" s="606">
        <f>O66-N66</f>
        <v>85084.624523749953</v>
      </c>
      <c r="Q66" s="655"/>
    </row>
    <row r="67" spans="1:17" customFormat="1" x14ac:dyDescent="0.3">
      <c r="A67" s="613"/>
      <c r="B67" s="624"/>
      <c r="C67" s="602"/>
      <c r="D67" s="605"/>
      <c r="E67" s="619"/>
      <c r="F67" s="602"/>
      <c r="G67" s="630"/>
      <c r="H67" s="624"/>
      <c r="I67" s="602"/>
      <c r="J67" s="605"/>
      <c r="K67" s="624"/>
      <c r="L67" s="602"/>
      <c r="M67" s="605"/>
      <c r="N67" s="624"/>
      <c r="O67" s="602"/>
      <c r="P67" s="605"/>
      <c r="Q67" s="655"/>
    </row>
    <row r="68" spans="1:17" customFormat="1" x14ac:dyDescent="0.3">
      <c r="A68" s="614" t="s">
        <v>926</v>
      </c>
      <c r="B68" s="624"/>
      <c r="C68" s="602"/>
      <c r="D68" s="605"/>
      <c r="E68" s="619"/>
      <c r="F68" s="602"/>
      <c r="G68" s="630"/>
      <c r="H68" s="624"/>
      <c r="I68" s="602"/>
      <c r="J68" s="605"/>
      <c r="K68" s="625">
        <v>59450</v>
      </c>
      <c r="L68" s="603">
        <f>'первичка 1'!Y371</f>
        <v>59618.289999999994</v>
      </c>
      <c r="M68" s="606">
        <f>L68-K68</f>
        <v>168.2899999999936</v>
      </c>
      <c r="N68" s="625">
        <f>B68+E68+H68+K68</f>
        <v>59450</v>
      </c>
      <c r="O68" s="603">
        <f>C68+F68+I68+L68</f>
        <v>59618.289999999994</v>
      </c>
      <c r="P68" s="606">
        <f>O68-N68</f>
        <v>168.2899999999936</v>
      </c>
      <c r="Q68" s="655"/>
    </row>
    <row r="69" spans="1:17" customFormat="1" x14ac:dyDescent="0.3">
      <c r="A69" s="614" t="s">
        <v>927</v>
      </c>
      <c r="B69" s="624"/>
      <c r="C69" s="602"/>
      <c r="D69" s="605"/>
      <c r="E69" s="619"/>
      <c r="F69" s="602"/>
      <c r="G69" s="630"/>
      <c r="H69" s="624"/>
      <c r="I69" s="602"/>
      <c r="J69" s="605"/>
      <c r="K69" s="625">
        <v>1188</v>
      </c>
      <c r="L69" s="603">
        <f>'первичка 1'!AC371</f>
        <v>1684.9700000000003</v>
      </c>
      <c r="M69" s="606">
        <f>L69-K69</f>
        <v>496.97000000000025</v>
      </c>
      <c r="N69" s="625">
        <f>B69+E69+H69+K69</f>
        <v>1188</v>
      </c>
      <c r="O69" s="603">
        <f>C69+F69+I69+L69</f>
        <v>1684.9700000000003</v>
      </c>
      <c r="P69" s="606">
        <f>O69-N69</f>
        <v>496.97000000000025</v>
      </c>
      <c r="Q69" s="655"/>
    </row>
    <row r="70" spans="1:17" customFormat="1" x14ac:dyDescent="0.3">
      <c r="A70" s="614"/>
      <c r="B70" s="624"/>
      <c r="C70" s="602"/>
      <c r="D70" s="605"/>
      <c r="E70" s="619"/>
      <c r="F70" s="602"/>
      <c r="G70" s="630"/>
      <c r="H70" s="624"/>
      <c r="I70" s="602"/>
      <c r="J70" s="605"/>
      <c r="K70" s="625"/>
      <c r="L70" s="603"/>
      <c r="M70" s="606"/>
      <c r="N70" s="625"/>
      <c r="O70" s="603"/>
      <c r="P70" s="606"/>
      <c r="Q70" s="655"/>
    </row>
    <row r="71" spans="1:17" customFormat="1" x14ac:dyDescent="0.3">
      <c r="A71" s="614" t="s">
        <v>928</v>
      </c>
      <c r="B71" s="624"/>
      <c r="C71" s="602"/>
      <c r="D71" s="605"/>
      <c r="E71" s="619"/>
      <c r="F71" s="602"/>
      <c r="G71" s="630"/>
      <c r="H71" s="624"/>
      <c r="I71" s="602"/>
      <c r="J71" s="605"/>
      <c r="K71" s="625">
        <v>55367</v>
      </c>
      <c r="L71" s="603">
        <f>'первичка 1'!AL371</f>
        <v>65003.75</v>
      </c>
      <c r="M71" s="606">
        <f>L71-K71</f>
        <v>9636.75</v>
      </c>
      <c r="N71" s="625">
        <f>B71+E71+H71+K71</f>
        <v>55367</v>
      </c>
      <c r="O71" s="603">
        <f>C71+F71+I71+L71</f>
        <v>65003.75</v>
      </c>
      <c r="P71" s="606">
        <f>O71-N71</f>
        <v>9636.75</v>
      </c>
      <c r="Q71" s="655"/>
    </row>
    <row r="72" spans="1:17" customFormat="1" x14ac:dyDescent="0.3">
      <c r="A72" s="613"/>
      <c r="B72" s="624"/>
      <c r="C72" s="602"/>
      <c r="D72" s="605"/>
      <c r="E72" s="619"/>
      <c r="F72" s="602"/>
      <c r="G72" s="630"/>
      <c r="H72" s="624"/>
      <c r="I72" s="602"/>
      <c r="J72" s="605"/>
      <c r="K72" s="624"/>
      <c r="L72" s="602"/>
      <c r="M72" s="605"/>
      <c r="N72" s="624"/>
      <c r="O72" s="602"/>
      <c r="P72" s="605"/>
      <c r="Q72" s="655"/>
    </row>
    <row r="73" spans="1:17" customFormat="1" x14ac:dyDescent="0.3">
      <c r="A73" s="614" t="s">
        <v>1602</v>
      </c>
      <c r="B73" s="625">
        <f>78591+10088</f>
        <v>88679</v>
      </c>
      <c r="C73" s="603">
        <v>106098</v>
      </c>
      <c r="D73" s="606">
        <f>C73-B73</f>
        <v>17419</v>
      </c>
      <c r="E73" s="620">
        <f>17290+2219</f>
        <v>19509</v>
      </c>
      <c r="F73" s="603">
        <v>23022</v>
      </c>
      <c r="G73" s="631">
        <f>F73-E73</f>
        <v>3513</v>
      </c>
      <c r="H73" s="625">
        <v>96498</v>
      </c>
      <c r="I73" s="603">
        <v>85909</v>
      </c>
      <c r="J73" s="606">
        <f>I73-H73</f>
        <v>-10589</v>
      </c>
      <c r="K73" s="625">
        <f>70820+43157</f>
        <v>113977</v>
      </c>
      <c r="L73" s="603">
        <v>24933</v>
      </c>
      <c r="M73" s="606">
        <f>L73-K73</f>
        <v>-89044</v>
      </c>
      <c r="N73" s="625">
        <f>B73+E73+H73+K73</f>
        <v>318663</v>
      </c>
      <c r="O73" s="603">
        <f>C73+F73+I73+L73</f>
        <v>239962</v>
      </c>
      <c r="P73" s="606">
        <f>O73-N73</f>
        <v>-78701</v>
      </c>
      <c r="Q73" s="655"/>
    </row>
    <row r="74" spans="1:17" customFormat="1" x14ac:dyDescent="0.3">
      <c r="A74" s="613"/>
      <c r="B74" s="624"/>
      <c r="C74" s="602"/>
      <c r="D74" s="605"/>
      <c r="E74" s="619"/>
      <c r="F74" s="602"/>
      <c r="G74" s="630"/>
      <c r="H74" s="624"/>
      <c r="I74" s="602"/>
      <c r="J74" s="605"/>
      <c r="K74" s="624"/>
      <c r="L74" s="602"/>
      <c r="M74" s="605"/>
      <c r="N74" s="624"/>
      <c r="O74" s="602"/>
      <c r="P74" s="605"/>
      <c r="Q74" s="655"/>
    </row>
    <row r="75" spans="1:17" customFormat="1" x14ac:dyDescent="0.3">
      <c r="A75" s="614" t="s">
        <v>1603</v>
      </c>
      <c r="B75" s="624"/>
      <c r="C75" s="602"/>
      <c r="D75" s="605"/>
      <c r="E75" s="619"/>
      <c r="F75" s="602"/>
      <c r="G75" s="630"/>
      <c r="H75" s="624"/>
      <c r="I75" s="602"/>
      <c r="J75" s="605"/>
      <c r="K75" s="624"/>
      <c r="L75" s="602"/>
      <c r="M75" s="605"/>
      <c r="N75" s="624"/>
      <c r="O75" s="602"/>
      <c r="P75" s="605"/>
      <c r="Q75" s="655"/>
    </row>
    <row r="76" spans="1:17" customFormat="1" x14ac:dyDescent="0.3">
      <c r="A76" s="613" t="s">
        <v>1597</v>
      </c>
      <c r="B76" s="624">
        <v>9861</v>
      </c>
      <c r="C76" s="602">
        <v>6040</v>
      </c>
      <c r="D76" s="605">
        <f t="shared" ref="D76:D81" si="9">C76-B76</f>
        <v>-3821</v>
      </c>
      <c r="E76" s="619">
        <v>2169</v>
      </c>
      <c r="F76" s="602">
        <v>1329</v>
      </c>
      <c r="G76" s="630">
        <f t="shared" ref="G76:G81" si="10">F76-E76</f>
        <v>-840</v>
      </c>
      <c r="H76" s="624">
        <v>11478</v>
      </c>
      <c r="I76" s="602">
        <v>13395</v>
      </c>
      <c r="J76" s="605">
        <f t="shared" ref="J76:J81" si="11">I76-H76</f>
        <v>1917</v>
      </c>
      <c r="K76" s="624">
        <v>0</v>
      </c>
      <c r="L76" s="602">
        <v>1093</v>
      </c>
      <c r="M76" s="605">
        <f t="shared" ref="M76:M81" si="12">L76-K76</f>
        <v>1093</v>
      </c>
      <c r="N76" s="624">
        <f t="shared" ref="N76:O80" si="13">B76+E76+H76+K76</f>
        <v>23508</v>
      </c>
      <c r="O76" s="602">
        <f t="shared" si="13"/>
        <v>21857</v>
      </c>
      <c r="P76" s="605">
        <f t="shared" ref="P76:P81" si="14">O76-N76</f>
        <v>-1651</v>
      </c>
      <c r="Q76" s="655"/>
    </row>
    <row r="77" spans="1:17" customFormat="1" x14ac:dyDescent="0.3">
      <c r="A77" s="613" t="s">
        <v>1598</v>
      </c>
      <c r="B77" s="624">
        <v>556</v>
      </c>
      <c r="C77" s="602">
        <v>0</v>
      </c>
      <c r="D77" s="605">
        <f t="shared" si="9"/>
        <v>-556</v>
      </c>
      <c r="E77" s="619">
        <v>122</v>
      </c>
      <c r="F77" s="602">
        <v>0</v>
      </c>
      <c r="G77" s="630">
        <f t="shared" si="10"/>
        <v>-122</v>
      </c>
      <c r="H77" s="624">
        <v>434</v>
      </c>
      <c r="I77" s="602">
        <v>0</v>
      </c>
      <c r="J77" s="605">
        <f t="shared" si="11"/>
        <v>-434</v>
      </c>
      <c r="K77" s="624">
        <v>0</v>
      </c>
      <c r="L77" s="602">
        <v>0</v>
      </c>
      <c r="M77" s="605">
        <f t="shared" si="12"/>
        <v>0</v>
      </c>
      <c r="N77" s="624">
        <f t="shared" si="13"/>
        <v>1112</v>
      </c>
      <c r="O77" s="602">
        <f t="shared" si="13"/>
        <v>0</v>
      </c>
      <c r="P77" s="605">
        <f t="shared" si="14"/>
        <v>-1112</v>
      </c>
      <c r="Q77" s="655"/>
    </row>
    <row r="78" spans="1:17" customFormat="1" x14ac:dyDescent="0.3">
      <c r="A78" s="613" t="s">
        <v>1599</v>
      </c>
      <c r="B78" s="624">
        <v>5646</v>
      </c>
      <c r="C78" s="602">
        <v>0</v>
      </c>
      <c r="D78" s="605">
        <f t="shared" si="9"/>
        <v>-5646</v>
      </c>
      <c r="E78" s="619">
        <v>1242</v>
      </c>
      <c r="F78" s="602">
        <v>0</v>
      </c>
      <c r="G78" s="630">
        <f t="shared" si="10"/>
        <v>-1242</v>
      </c>
      <c r="H78" s="624">
        <v>3697</v>
      </c>
      <c r="I78" s="602">
        <v>0</v>
      </c>
      <c r="J78" s="605">
        <f t="shared" si="11"/>
        <v>-3697</v>
      </c>
      <c r="K78" s="624">
        <v>0</v>
      </c>
      <c r="L78" s="602">
        <v>0</v>
      </c>
      <c r="M78" s="605">
        <f t="shared" si="12"/>
        <v>0</v>
      </c>
      <c r="N78" s="624">
        <f t="shared" si="13"/>
        <v>10585</v>
      </c>
      <c r="O78" s="602">
        <f t="shared" si="13"/>
        <v>0</v>
      </c>
      <c r="P78" s="605">
        <f t="shared" si="14"/>
        <v>-10585</v>
      </c>
      <c r="Q78" s="655"/>
    </row>
    <row r="79" spans="1:17" customFormat="1" x14ac:dyDescent="0.3">
      <c r="A79" s="613" t="s">
        <v>1600</v>
      </c>
      <c r="B79" s="624">
        <v>2431</v>
      </c>
      <c r="C79" s="602">
        <v>20718</v>
      </c>
      <c r="D79" s="605">
        <f t="shared" si="9"/>
        <v>18287</v>
      </c>
      <c r="E79" s="619">
        <v>535</v>
      </c>
      <c r="F79" s="602">
        <v>4558</v>
      </c>
      <c r="G79" s="630">
        <f t="shared" si="10"/>
        <v>4023</v>
      </c>
      <c r="H79" s="624">
        <v>2168</v>
      </c>
      <c r="I79" s="602">
        <v>10068</v>
      </c>
      <c r="J79" s="605">
        <f t="shared" si="11"/>
        <v>7900</v>
      </c>
      <c r="K79" s="624">
        <v>0</v>
      </c>
      <c r="L79" s="602">
        <v>0</v>
      </c>
      <c r="M79" s="605">
        <f t="shared" si="12"/>
        <v>0</v>
      </c>
      <c r="N79" s="624">
        <f t="shared" si="13"/>
        <v>5134</v>
      </c>
      <c r="O79" s="602">
        <f t="shared" si="13"/>
        <v>35344</v>
      </c>
      <c r="P79" s="605">
        <f t="shared" si="14"/>
        <v>30210</v>
      </c>
      <c r="Q79" s="655"/>
    </row>
    <row r="80" spans="1:17" customFormat="1" x14ac:dyDescent="0.3">
      <c r="A80" s="613" t="s">
        <v>1604</v>
      </c>
      <c r="B80" s="624">
        <v>59</v>
      </c>
      <c r="C80" s="602">
        <v>0</v>
      </c>
      <c r="D80" s="605">
        <f t="shared" si="9"/>
        <v>-59</v>
      </c>
      <c r="E80" s="619">
        <v>13</v>
      </c>
      <c r="F80" s="602">
        <v>0</v>
      </c>
      <c r="G80" s="630">
        <f t="shared" si="10"/>
        <v>-13</v>
      </c>
      <c r="H80" s="624">
        <v>19</v>
      </c>
      <c r="I80" s="602">
        <v>0</v>
      </c>
      <c r="J80" s="605">
        <f t="shared" si="11"/>
        <v>-19</v>
      </c>
      <c r="K80" s="624">
        <v>0</v>
      </c>
      <c r="L80" s="602">
        <v>0</v>
      </c>
      <c r="M80" s="605">
        <f t="shared" si="12"/>
        <v>0</v>
      </c>
      <c r="N80" s="624">
        <f t="shared" si="13"/>
        <v>91</v>
      </c>
      <c r="O80" s="602">
        <f t="shared" si="13"/>
        <v>0</v>
      </c>
      <c r="P80" s="605">
        <f t="shared" si="14"/>
        <v>-91</v>
      </c>
      <c r="Q80" s="655"/>
    </row>
    <row r="81" spans="1:19" customFormat="1" x14ac:dyDescent="0.3">
      <c r="A81" s="614" t="s">
        <v>957</v>
      </c>
      <c r="B81" s="625">
        <f>SUM(B76:B80)</f>
        <v>18553</v>
      </c>
      <c r="C81" s="603">
        <f>SUM(C76:C80)</f>
        <v>26758</v>
      </c>
      <c r="D81" s="606">
        <f t="shared" si="9"/>
        <v>8205</v>
      </c>
      <c r="E81" s="620">
        <f>SUM(E76:E80)</f>
        <v>4081</v>
      </c>
      <c r="F81" s="603">
        <f>SUM(F76:F80)</f>
        <v>5887</v>
      </c>
      <c r="G81" s="631">
        <f t="shared" si="10"/>
        <v>1806</v>
      </c>
      <c r="H81" s="625">
        <f>SUM(H76:H80)</f>
        <v>17796</v>
      </c>
      <c r="I81" s="603">
        <f>SUM(I76:I80)</f>
        <v>23463</v>
      </c>
      <c r="J81" s="606">
        <f t="shared" si="11"/>
        <v>5667</v>
      </c>
      <c r="K81" s="625">
        <f>SUM(K76:K80)</f>
        <v>0</v>
      </c>
      <c r="L81" s="603">
        <f>SUM(L76:L80)</f>
        <v>1093</v>
      </c>
      <c r="M81" s="606">
        <f t="shared" si="12"/>
        <v>1093</v>
      </c>
      <c r="N81" s="625">
        <f>SUM(N76:N80)</f>
        <v>40430</v>
      </c>
      <c r="O81" s="603">
        <f>SUM(O76:O80)</f>
        <v>57201</v>
      </c>
      <c r="P81" s="606">
        <f t="shared" si="14"/>
        <v>16771</v>
      </c>
    </row>
    <row r="82" spans="1:19" customFormat="1" x14ac:dyDescent="0.3">
      <c r="A82" s="613"/>
      <c r="B82" s="624"/>
      <c r="C82" s="602"/>
      <c r="D82" s="605"/>
      <c r="E82" s="619"/>
      <c r="F82" s="602"/>
      <c r="G82" s="630"/>
      <c r="H82" s="624"/>
      <c r="I82" s="602"/>
      <c r="J82" s="605"/>
      <c r="K82" s="624"/>
      <c r="L82" s="602"/>
      <c r="M82" s="605"/>
      <c r="N82" s="624"/>
      <c r="O82" s="602"/>
      <c r="P82" s="605"/>
    </row>
    <row r="83" spans="1:19" customFormat="1" x14ac:dyDescent="0.3">
      <c r="A83" s="613"/>
      <c r="B83" s="624"/>
      <c r="C83" s="602"/>
      <c r="D83" s="605"/>
      <c r="E83" s="619"/>
      <c r="F83" s="602"/>
      <c r="G83" s="630"/>
      <c r="H83" s="624"/>
      <c r="I83" s="602"/>
      <c r="J83" s="605"/>
      <c r="K83" s="624"/>
      <c r="L83" s="602"/>
      <c r="M83" s="605"/>
      <c r="N83" s="624"/>
      <c r="O83" s="602"/>
      <c r="P83" s="605"/>
    </row>
    <row r="84" spans="1:19" customFormat="1" x14ac:dyDescent="0.3">
      <c r="A84" s="614" t="s">
        <v>14</v>
      </c>
      <c r="B84" s="625">
        <v>162130</v>
      </c>
      <c r="C84" s="603">
        <f>'первичка 1'!D371</f>
        <v>208593.12200226975</v>
      </c>
      <c r="D84" s="606">
        <f>C84-B84</f>
        <v>46463.122002269753</v>
      </c>
      <c r="E84" s="620">
        <v>35669</v>
      </c>
      <c r="F84" s="603">
        <f>'первичка 1'!E371</f>
        <v>45890.525164041159</v>
      </c>
      <c r="G84" s="631">
        <f>F84-E84</f>
        <v>10221.525164041159</v>
      </c>
      <c r="H84" s="625">
        <v>19902</v>
      </c>
      <c r="I84" s="603">
        <f>'первичка 1'!F371</f>
        <v>16628.7</v>
      </c>
      <c r="J84" s="606">
        <f>I84-H84</f>
        <v>-3273.2999999999993</v>
      </c>
      <c r="K84" s="625">
        <v>0</v>
      </c>
      <c r="L84" s="603">
        <f>'первичка 1'!G371</f>
        <v>0</v>
      </c>
      <c r="M84" s="606">
        <f>L84-K84</f>
        <v>0</v>
      </c>
      <c r="N84" s="625">
        <f>B84+E84+H84+K84</f>
        <v>217701</v>
      </c>
      <c r="O84" s="603">
        <f>C84+F84+I84+L84</f>
        <v>271112.34716631094</v>
      </c>
      <c r="P84" s="606">
        <f>O84-N84</f>
        <v>53411.347166310938</v>
      </c>
    </row>
    <row r="85" spans="1:19" customFormat="1" x14ac:dyDescent="0.3">
      <c r="A85" s="613"/>
      <c r="B85" s="624"/>
      <c r="C85" s="602"/>
      <c r="D85" s="605"/>
      <c r="E85" s="619"/>
      <c r="F85" s="602"/>
      <c r="G85" s="630"/>
      <c r="H85" s="624"/>
      <c r="I85" s="602"/>
      <c r="J85" s="605"/>
      <c r="K85" s="624"/>
      <c r="L85" s="602"/>
      <c r="M85" s="605"/>
      <c r="N85" s="624"/>
      <c r="O85" s="602"/>
      <c r="P85" s="605"/>
    </row>
    <row r="86" spans="1:19" customFormat="1" x14ac:dyDescent="0.3">
      <c r="A86" s="614" t="s">
        <v>1605</v>
      </c>
      <c r="B86" s="625">
        <v>79550</v>
      </c>
      <c r="C86" s="603">
        <f>'первичка 1'!L371</f>
        <v>102319.19886095823</v>
      </c>
      <c r="D86" s="606">
        <f>C86-B86</f>
        <v>22769.198860958233</v>
      </c>
      <c r="E86" s="620">
        <v>17501</v>
      </c>
      <c r="F86" s="603">
        <f>'первичка 1'!M371</f>
        <v>22510.117798914507</v>
      </c>
      <c r="G86" s="631">
        <f>F86-E86</f>
        <v>5009.1177989145071</v>
      </c>
      <c r="H86" s="625">
        <v>4063</v>
      </c>
      <c r="I86" s="603">
        <f>'первичка 1'!N371+'первичка 1'!O371</f>
        <v>9349.1636589728205</v>
      </c>
      <c r="J86" s="606">
        <f>I86-H86</f>
        <v>5286.1636589728205</v>
      </c>
      <c r="K86" s="625">
        <v>0</v>
      </c>
      <c r="L86" s="603">
        <v>0</v>
      </c>
      <c r="M86" s="606">
        <f>L86-K86</f>
        <v>0</v>
      </c>
      <c r="N86" s="625">
        <f>B86+E86+H86+K86</f>
        <v>101114</v>
      </c>
      <c r="O86" s="603">
        <f>C86+F86+I86+L86</f>
        <v>134178.48031884557</v>
      </c>
      <c r="P86" s="606">
        <f>O86-N86</f>
        <v>33064.48031884557</v>
      </c>
    </row>
    <row r="87" spans="1:19" customFormat="1" x14ac:dyDescent="0.3">
      <c r="A87" s="613"/>
      <c r="B87" s="624"/>
      <c r="C87" s="602"/>
      <c r="D87" s="605"/>
      <c r="E87" s="619"/>
      <c r="F87" s="602"/>
      <c r="G87" s="630"/>
      <c r="H87" s="624"/>
      <c r="I87" s="602"/>
      <c r="J87" s="605"/>
      <c r="K87" s="624"/>
      <c r="L87" s="602"/>
      <c r="M87" s="605"/>
      <c r="N87" s="624"/>
      <c r="O87" s="602"/>
      <c r="P87" s="605"/>
    </row>
    <row r="88" spans="1:19" customFormat="1" x14ac:dyDescent="0.3">
      <c r="A88" s="614" t="s">
        <v>959</v>
      </c>
      <c r="B88" s="625"/>
      <c r="C88" s="603"/>
      <c r="D88" s="606"/>
      <c r="E88" s="620"/>
      <c r="F88" s="603"/>
      <c r="G88" s="631"/>
      <c r="H88" s="625"/>
      <c r="I88" s="603"/>
      <c r="J88" s="606"/>
      <c r="K88" s="625">
        <v>8670</v>
      </c>
      <c r="L88" s="603">
        <f>'первичка 1'!S371</f>
        <v>8669.9513999999999</v>
      </c>
      <c r="M88" s="606">
        <f>L88-K88</f>
        <v>-4.860000000007858E-2</v>
      </c>
      <c r="N88" s="625">
        <f>B88+E88+H88+K88</f>
        <v>8670</v>
      </c>
      <c r="O88" s="603">
        <f>C88+F88+I88+L88</f>
        <v>8669.9513999999999</v>
      </c>
      <c r="P88" s="606">
        <f>O88-N88</f>
        <v>-4.860000000007858E-2</v>
      </c>
    </row>
    <row r="89" spans="1:19" customFormat="1" x14ac:dyDescent="0.3">
      <c r="A89" s="614" t="s">
        <v>962</v>
      </c>
      <c r="B89" s="625"/>
      <c r="C89" s="603"/>
      <c r="D89" s="606"/>
      <c r="E89" s="620"/>
      <c r="F89" s="603"/>
      <c r="G89" s="631"/>
      <c r="H89" s="625"/>
      <c r="I89" s="603"/>
      <c r="J89" s="606"/>
      <c r="K89" s="625">
        <v>1067</v>
      </c>
      <c r="L89" s="603">
        <f>'первичка 1'!V371</f>
        <v>0</v>
      </c>
      <c r="M89" s="606">
        <f>L89-K89</f>
        <v>-1067</v>
      </c>
      <c r="N89" s="625">
        <f>B89+E89+H89+K89</f>
        <v>1067</v>
      </c>
      <c r="O89" s="603">
        <f>C89+F89+I89+L89</f>
        <v>0</v>
      </c>
      <c r="P89" s="606">
        <f>O89-N89</f>
        <v>-1067</v>
      </c>
    </row>
    <row r="90" spans="1:19" customFormat="1" x14ac:dyDescent="0.3">
      <c r="A90" s="613"/>
      <c r="B90" s="624"/>
      <c r="C90" s="602"/>
      <c r="D90" s="605"/>
      <c r="E90" s="619"/>
      <c r="F90" s="602"/>
      <c r="G90" s="630"/>
      <c r="H90" s="624"/>
      <c r="I90" s="602"/>
      <c r="J90" s="605"/>
      <c r="K90" s="624"/>
      <c r="L90" s="602"/>
      <c r="M90" s="605"/>
      <c r="N90" s="624"/>
      <c r="O90" s="602"/>
      <c r="P90" s="605"/>
    </row>
    <row r="91" spans="1:19" customFormat="1" x14ac:dyDescent="0.3">
      <c r="A91" s="614" t="s">
        <v>964</v>
      </c>
      <c r="B91" s="625"/>
      <c r="C91" s="603"/>
      <c r="D91" s="606"/>
      <c r="E91" s="620"/>
      <c r="F91" s="603"/>
      <c r="G91" s="631"/>
      <c r="H91" s="625"/>
      <c r="I91" s="603"/>
      <c r="J91" s="606"/>
      <c r="K91" s="625">
        <v>43629</v>
      </c>
      <c r="L91" s="726">
        <f>'первичка 1'!AF371-1306</f>
        <v>42462.999999999993</v>
      </c>
      <c r="M91" s="606">
        <f>L91-K91</f>
        <v>-1166.0000000000073</v>
      </c>
      <c r="N91" s="625">
        <f>B91+E91+H91+K91</f>
        <v>43629</v>
      </c>
      <c r="O91" s="603">
        <f>C91+F91+I91+L91</f>
        <v>42462.999999999993</v>
      </c>
      <c r="P91" s="606">
        <f>O91-N91</f>
        <v>-1166.0000000000073</v>
      </c>
      <c r="Q91" s="739" t="s">
        <v>1686</v>
      </c>
      <c r="R91" s="739"/>
      <c r="S91" s="739"/>
    </row>
    <row r="92" spans="1:19" customFormat="1" x14ac:dyDescent="0.3">
      <c r="A92" s="614" t="s">
        <v>1606</v>
      </c>
      <c r="B92" s="625"/>
      <c r="C92" s="603"/>
      <c r="D92" s="626"/>
      <c r="E92" s="620"/>
      <c r="F92" s="603"/>
      <c r="G92" s="631"/>
      <c r="H92" s="625"/>
      <c r="I92" s="603"/>
      <c r="J92" s="606"/>
      <c r="K92" s="625">
        <v>13667</v>
      </c>
      <c r="L92" s="603">
        <f>'первичка 1'!AI371</f>
        <v>20152</v>
      </c>
      <c r="M92" s="606">
        <f>L92-K92</f>
        <v>6485</v>
      </c>
      <c r="N92" s="625">
        <f>B92+E92+H92+K92</f>
        <v>13667</v>
      </c>
      <c r="O92" s="603">
        <f>C92+F92+I92+L92</f>
        <v>20152</v>
      </c>
      <c r="P92" s="606">
        <f>O92-N92</f>
        <v>6485</v>
      </c>
    </row>
    <row r="93" spans="1:19" customFormat="1" x14ac:dyDescent="0.3">
      <c r="A93" s="613"/>
      <c r="B93" s="624"/>
      <c r="C93" s="602"/>
      <c r="D93" s="605"/>
      <c r="E93" s="619"/>
      <c r="F93" s="602"/>
      <c r="G93" s="630"/>
      <c r="H93" s="624"/>
      <c r="I93" s="602"/>
      <c r="J93" s="605"/>
      <c r="K93" s="624"/>
      <c r="L93" s="602"/>
      <c r="M93" s="605"/>
      <c r="N93" s="624"/>
      <c r="O93" s="602"/>
      <c r="P93" s="605"/>
    </row>
    <row r="94" spans="1:19" customFormat="1" ht="15.6" x14ac:dyDescent="0.3">
      <c r="A94" s="615" t="s">
        <v>1607</v>
      </c>
      <c r="B94" s="625">
        <f>B64+B68+B69+B71+B73+B81+B84+B86+B88+B89+B91+B92</f>
        <v>419319</v>
      </c>
      <c r="C94" s="603">
        <f>C64+C68+C69+C71+C73+C81+C84+C86+C88+C89+C91+C92</f>
        <v>520623.47022843012</v>
      </c>
      <c r="D94" s="606">
        <f>C94-B94</f>
        <v>101304.47022843012</v>
      </c>
      <c r="E94" s="620">
        <f>E64+E68+E69+E71+E73+E81+E84+E86+E88+E89+E91+E92</f>
        <v>92250</v>
      </c>
      <c r="F94" s="603">
        <f>F64+F68+F69+F71+F73+F81+F84+F86+F88+F89+F91+F92</f>
        <v>113126.86061880343</v>
      </c>
      <c r="G94" s="631">
        <f>F94-E94</f>
        <v>20876.860618803432</v>
      </c>
      <c r="H94" s="625">
        <f>H64+H68+H69+H71+H73+H81+H84+H86+H88+H89+H91+H92</f>
        <v>146916</v>
      </c>
      <c r="I94" s="603">
        <f>I64+I68+I69+I71+I73+I81+I84+I86+I88+I89+I91+I92</f>
        <v>146150.53665897285</v>
      </c>
      <c r="J94" s="606">
        <f>I94-H94</f>
        <v>-765.463341027149</v>
      </c>
      <c r="K94" s="625">
        <f>K64+K68+K69+K71+K73+K81+K84+K86+K88+K89+K91+K92+K66</f>
        <v>465115</v>
      </c>
      <c r="L94" s="603">
        <f>L64+L68+L69+L71+L73+L81+L84+L86+L88+L89+L91+L92+L66</f>
        <v>485099.72892374988</v>
      </c>
      <c r="M94" s="606">
        <f>L94-K94</f>
        <v>19984.728923749877</v>
      </c>
      <c r="N94" s="625">
        <f>N64+N68+N69+N71+N73+N81+N84+N86+N88+N89+N91+N92+N66</f>
        <v>1123600</v>
      </c>
      <c r="O94" s="603">
        <f>O64+O68+O69+O71+O73+O81+O84+O86+O88+O89+O91+O92+O66</f>
        <v>1265000.5964299564</v>
      </c>
      <c r="P94" s="606">
        <f>O94-N94</f>
        <v>141400.59642995638</v>
      </c>
    </row>
    <row r="95" spans="1:19" customFormat="1" x14ac:dyDescent="0.3">
      <c r="A95" s="613"/>
      <c r="B95" s="627"/>
      <c r="C95" s="570"/>
      <c r="D95" s="607"/>
      <c r="E95" s="621"/>
      <c r="F95" s="570"/>
      <c r="G95" s="632"/>
      <c r="H95" s="627"/>
      <c r="I95" s="570"/>
      <c r="J95" s="607"/>
      <c r="K95" s="627"/>
      <c r="L95" s="570"/>
      <c r="M95" s="607"/>
      <c r="N95" s="627"/>
      <c r="O95" s="570"/>
      <c r="P95" s="607"/>
    </row>
    <row r="96" spans="1:19" customFormat="1" x14ac:dyDescent="0.3">
      <c r="A96" s="614" t="s">
        <v>1608</v>
      </c>
      <c r="B96" s="665">
        <v>72739</v>
      </c>
      <c r="C96" s="595">
        <f>86852+7817</f>
        <v>94669</v>
      </c>
      <c r="D96" s="653">
        <f>C96-B96</f>
        <v>21930</v>
      </c>
      <c r="E96" s="666">
        <v>15857</v>
      </c>
      <c r="F96" s="595">
        <f>19108+1720</f>
        <v>20828</v>
      </c>
      <c r="G96" s="653">
        <f>F96-E96</f>
        <v>4971</v>
      </c>
      <c r="H96" s="665">
        <v>15061</v>
      </c>
      <c r="I96" s="595">
        <f>1064+3637+25+1177+3459+1414</f>
        <v>10776</v>
      </c>
      <c r="J96" s="653">
        <f>I96-H96</f>
        <v>-4285</v>
      </c>
      <c r="K96" s="665">
        <v>35223</v>
      </c>
      <c r="L96" s="595">
        <f>1169+11031+73+209+6273+25191+2392+88+315+1430+340+2550+525</f>
        <v>51586</v>
      </c>
      <c r="M96" s="653">
        <f>L96-K96</f>
        <v>16363</v>
      </c>
      <c r="N96" s="665">
        <f>138880</f>
        <v>138880</v>
      </c>
      <c r="O96" s="667">
        <f>C96+F96+I96+L96</f>
        <v>177859</v>
      </c>
      <c r="P96" s="653">
        <f>O96-N96</f>
        <v>38979</v>
      </c>
    </row>
    <row r="97" spans="1:16" customFormat="1" x14ac:dyDescent="0.3">
      <c r="A97" s="616" t="s">
        <v>1626</v>
      </c>
      <c r="B97" s="624"/>
      <c r="C97" s="602"/>
      <c r="D97" s="605"/>
      <c r="E97" s="619"/>
      <c r="F97" s="602"/>
      <c r="G97" s="630"/>
      <c r="H97" s="624"/>
      <c r="I97" s="602"/>
      <c r="J97" s="605"/>
      <c r="K97" s="624"/>
      <c r="L97" s="602"/>
      <c r="M97" s="605"/>
      <c r="N97" s="624">
        <v>30259</v>
      </c>
      <c r="O97" s="602">
        <f>D211+D215</f>
        <v>50095.065223314763</v>
      </c>
      <c r="P97" s="605">
        <f>O97-N97</f>
        <v>19836.065223314763</v>
      </c>
    </row>
    <row r="98" spans="1:16" customFormat="1" x14ac:dyDescent="0.3">
      <c r="A98" s="616" t="s">
        <v>1623</v>
      </c>
      <c r="B98" s="624"/>
      <c r="C98" s="602"/>
      <c r="D98" s="605"/>
      <c r="E98" s="619"/>
      <c r="F98" s="602"/>
      <c r="G98" s="630"/>
      <c r="H98" s="624"/>
      <c r="I98" s="602"/>
      <c r="J98" s="605"/>
      <c r="K98" s="624"/>
      <c r="L98" s="602"/>
      <c r="M98" s="605"/>
      <c r="N98" s="624">
        <v>116342</v>
      </c>
      <c r="O98" s="602">
        <f>D212</f>
        <v>132230.87008490541</v>
      </c>
      <c r="P98" s="605">
        <f>O98-N98</f>
        <v>15888.870084905415</v>
      </c>
    </row>
    <row r="99" spans="1:16" customFormat="1" x14ac:dyDescent="0.3">
      <c r="A99" s="634" t="s">
        <v>1624</v>
      </c>
      <c r="B99" s="638"/>
      <c r="C99" s="639"/>
      <c r="D99" s="640"/>
      <c r="E99" s="646"/>
      <c r="F99" s="639"/>
      <c r="G99" s="663"/>
      <c r="H99" s="638"/>
      <c r="I99" s="639"/>
      <c r="J99" s="640"/>
      <c r="K99" s="638"/>
      <c r="L99" s="639"/>
      <c r="M99" s="640"/>
      <c r="N99" s="638">
        <v>62143</v>
      </c>
      <c r="O99" s="639">
        <f>D213</f>
        <v>64948.184947831156</v>
      </c>
      <c r="P99" s="640">
        <f>O99-N99</f>
        <v>2805.184947831156</v>
      </c>
    </row>
    <row r="100" spans="1:16" customFormat="1" ht="15" thickBot="1" x14ac:dyDescent="0.35">
      <c r="A100" s="634" t="s">
        <v>1627</v>
      </c>
      <c r="B100" s="638"/>
      <c r="C100" s="639"/>
      <c r="D100" s="640"/>
      <c r="E100" s="646"/>
      <c r="F100" s="639"/>
      <c r="G100" s="663"/>
      <c r="H100" s="638"/>
      <c r="I100" s="639"/>
      <c r="J100" s="640"/>
      <c r="K100" s="646"/>
      <c r="L100" s="639"/>
      <c r="M100" s="663"/>
      <c r="N100" s="638"/>
      <c r="O100" s="639">
        <f>D214</f>
        <v>-8636</v>
      </c>
      <c r="P100" s="640"/>
    </row>
    <row r="101" spans="1:16" customFormat="1" ht="15" thickBot="1" x14ac:dyDescent="0.35">
      <c r="A101" s="645" t="s">
        <v>1625</v>
      </c>
      <c r="B101" s="668">
        <f>B94+B96</f>
        <v>492058</v>
      </c>
      <c r="C101" s="669">
        <f>C94+C96</f>
        <v>615292.47022843012</v>
      </c>
      <c r="D101" s="644">
        <f>C101-B101</f>
        <v>123234.47022843012</v>
      </c>
      <c r="E101" s="668">
        <f>E94+E96</f>
        <v>108107</v>
      </c>
      <c r="F101" s="669">
        <f>F94+F96</f>
        <v>133954.86061880342</v>
      </c>
      <c r="G101" s="644">
        <f>F101-E101</f>
        <v>25847.860618803417</v>
      </c>
      <c r="H101" s="668">
        <f>H94+H96</f>
        <v>161977</v>
      </c>
      <c r="I101" s="669">
        <f>I94+I96</f>
        <v>156926.53665897285</v>
      </c>
      <c r="J101" s="644">
        <f>I101-H101</f>
        <v>-5050.463341027149</v>
      </c>
      <c r="K101" s="668">
        <f>K94+K96</f>
        <v>500338</v>
      </c>
      <c r="L101" s="669">
        <f>L94+L96</f>
        <v>536685.72892374988</v>
      </c>
      <c r="M101" s="644">
        <f>L101-K101</f>
        <v>36347.728923749877</v>
      </c>
      <c r="N101" s="648">
        <f>N94+N96+N97+N98+N99</f>
        <v>1471224</v>
      </c>
      <c r="O101" s="643">
        <f>O94+O96+O97+O98+O99+O100</f>
        <v>1681497.7166860076</v>
      </c>
      <c r="P101" s="644">
        <f>O101-N101</f>
        <v>210273.71668600757</v>
      </c>
    </row>
    <row r="102" spans="1:16" customFormat="1" ht="15" thickBot="1" x14ac:dyDescent="0.35">
      <c r="N102" s="604"/>
      <c r="P102" s="642">
        <f>O101/N101</f>
        <v>1.1429243382965528</v>
      </c>
    </row>
    <row r="103" spans="1:16" customFormat="1" ht="18" x14ac:dyDescent="0.35">
      <c r="A103" s="649" t="str">
        <f>A54</f>
        <v>Фактичні витрати з утримання будинків і прибудинкової території</v>
      </c>
      <c r="N103" s="604"/>
      <c r="O103" s="641">
        <f>O54</f>
        <v>2023</v>
      </c>
      <c r="P103" s="641">
        <f>P54</f>
        <v>2021</v>
      </c>
    </row>
    <row r="104" spans="1:16" customFormat="1" ht="15" thickBot="1" x14ac:dyDescent="0.35">
      <c r="N104" s="604"/>
    </row>
    <row r="105" spans="1:16" customFormat="1" ht="21.6" thickBot="1" x14ac:dyDescent="0.45">
      <c r="A105" s="1424" t="s">
        <v>1629</v>
      </c>
      <c r="B105" s="1427" t="s">
        <v>1588</v>
      </c>
      <c r="C105" s="1428"/>
      <c r="D105" s="1428"/>
      <c r="E105" s="1428"/>
      <c r="F105" s="1428"/>
      <c r="G105" s="1428"/>
      <c r="H105" s="1428"/>
      <c r="I105" s="1428"/>
      <c r="J105" s="1428"/>
      <c r="K105" s="1428"/>
      <c r="L105" s="1428"/>
      <c r="M105" s="1428"/>
      <c r="N105" s="1428"/>
      <c r="O105" s="1428"/>
      <c r="P105" s="1429"/>
    </row>
    <row r="106" spans="1:16" customFormat="1" x14ac:dyDescent="0.3">
      <c r="A106" s="1425"/>
      <c r="B106" s="1430" t="s">
        <v>951</v>
      </c>
      <c r="C106" s="1431"/>
      <c r="D106" s="1432"/>
      <c r="E106" s="1433" t="s">
        <v>952</v>
      </c>
      <c r="F106" s="1434"/>
      <c r="G106" s="1435"/>
      <c r="H106" s="1430" t="s">
        <v>953</v>
      </c>
      <c r="I106" s="1431"/>
      <c r="J106" s="1432"/>
      <c r="K106" s="1430" t="s">
        <v>1601</v>
      </c>
      <c r="L106" s="1431"/>
      <c r="M106" s="1432"/>
      <c r="N106" s="1433" t="s">
        <v>957</v>
      </c>
      <c r="O106" s="1434"/>
      <c r="P106" s="1436"/>
    </row>
    <row r="107" spans="1:16" customFormat="1" ht="15" thickBot="1" x14ac:dyDescent="0.35">
      <c r="A107" s="1426"/>
      <c r="B107" s="622" t="s">
        <v>1013</v>
      </c>
      <c r="C107" s="610" t="s">
        <v>440</v>
      </c>
      <c r="D107" s="611" t="s">
        <v>1111</v>
      </c>
      <c r="E107" s="617" t="s">
        <v>1013</v>
      </c>
      <c r="F107" s="610" t="s">
        <v>440</v>
      </c>
      <c r="G107" s="628" t="s">
        <v>1111</v>
      </c>
      <c r="H107" s="622" t="s">
        <v>1013</v>
      </c>
      <c r="I107" s="610" t="s">
        <v>440</v>
      </c>
      <c r="J107" s="611" t="s">
        <v>1111</v>
      </c>
      <c r="K107" s="622" t="s">
        <v>1013</v>
      </c>
      <c r="L107" s="610" t="s">
        <v>440</v>
      </c>
      <c r="M107" s="611" t="s">
        <v>1111</v>
      </c>
      <c r="N107" s="617" t="s">
        <v>1013</v>
      </c>
      <c r="O107" s="610" t="s">
        <v>440</v>
      </c>
      <c r="P107" s="611" t="s">
        <v>1111</v>
      </c>
    </row>
    <row r="108" spans="1:16" customFormat="1" x14ac:dyDescent="0.3">
      <c r="A108" s="612" t="s">
        <v>1596</v>
      </c>
      <c r="B108" s="623"/>
      <c r="C108" s="608"/>
      <c r="D108" s="609"/>
      <c r="E108" s="618"/>
      <c r="F108" s="608"/>
      <c r="G108" s="629"/>
      <c r="H108" s="623"/>
      <c r="I108" s="608"/>
      <c r="J108" s="609"/>
      <c r="K108" s="623"/>
      <c r="L108" s="608"/>
      <c r="M108" s="609"/>
      <c r="N108" s="618"/>
      <c r="O108" s="608"/>
      <c r="P108" s="609"/>
    </row>
    <row r="109" spans="1:16" customFormat="1" x14ac:dyDescent="0.3">
      <c r="A109" s="613" t="s">
        <v>1597</v>
      </c>
      <c r="B109" s="624">
        <v>43664</v>
      </c>
      <c r="C109" s="602">
        <f>'первичка 2'!D378+'первичка 2'!L378+'первичка 2'!Z378</f>
        <v>53026.197230736667</v>
      </c>
      <c r="D109" s="605">
        <f>C109-B109</f>
        <v>9362.1972307366668</v>
      </c>
      <c r="E109" s="619">
        <v>9606</v>
      </c>
      <c r="F109" s="602">
        <f>'первичка 2'!E378+'первичка 2'!M378+'первичка 2'!AA378</f>
        <v>11069.960343970208</v>
      </c>
      <c r="G109" s="630">
        <f>F109-E109</f>
        <v>1463.9603439702078</v>
      </c>
      <c r="H109" s="624">
        <v>2592</v>
      </c>
      <c r="I109" s="602">
        <f>'первичка 2'!F378+'первичка 2'!G378+'первичка 2'!N378+'первичка 2'!AB378</f>
        <v>8173.2130000000025</v>
      </c>
      <c r="J109" s="605">
        <f>I109-H109</f>
        <v>5581.2130000000025</v>
      </c>
      <c r="K109" s="624">
        <v>0</v>
      </c>
      <c r="L109" s="602">
        <f>'первичка 2'!O429+'первичка 2'!AC429</f>
        <v>0</v>
      </c>
      <c r="M109" s="605">
        <f>L109-K109</f>
        <v>0</v>
      </c>
      <c r="N109" s="619">
        <f t="shared" ref="N109:O112" si="15">B109+E109+H109+K109</f>
        <v>55862</v>
      </c>
      <c r="O109" s="602">
        <f t="shared" si="15"/>
        <v>72269.370574706874</v>
      </c>
      <c r="P109" s="605">
        <f>O109-N109</f>
        <v>16407.370574706874</v>
      </c>
    </row>
    <row r="110" spans="1:16" customFormat="1" x14ac:dyDescent="0.3">
      <c r="A110" s="613" t="s">
        <v>1598</v>
      </c>
      <c r="B110" s="624">
        <v>0</v>
      </c>
      <c r="C110" s="602">
        <v>0</v>
      </c>
      <c r="D110" s="605">
        <f>C110-B110</f>
        <v>0</v>
      </c>
      <c r="E110" s="619">
        <v>0</v>
      </c>
      <c r="F110" s="602">
        <v>0</v>
      </c>
      <c r="G110" s="630">
        <f>F110-E110</f>
        <v>0</v>
      </c>
      <c r="H110" s="624">
        <v>0</v>
      </c>
      <c r="I110" s="602">
        <v>0</v>
      </c>
      <c r="J110" s="605">
        <f>I110-H110</f>
        <v>0</v>
      </c>
      <c r="K110" s="624">
        <v>4672</v>
      </c>
      <c r="L110" s="602">
        <f>'первичка 2'!W378</f>
        <v>4670.67</v>
      </c>
      <c r="M110" s="605">
        <f>L110-K110</f>
        <v>-1.3299999999999272</v>
      </c>
      <c r="N110" s="619">
        <f t="shared" si="15"/>
        <v>4672</v>
      </c>
      <c r="O110" s="602">
        <f t="shared" si="15"/>
        <v>4670.67</v>
      </c>
      <c r="P110" s="605">
        <f>O110-N110</f>
        <v>-1.3299999999999272</v>
      </c>
    </row>
    <row r="111" spans="1:16" customFormat="1" x14ac:dyDescent="0.3">
      <c r="A111" s="613" t="s">
        <v>1599</v>
      </c>
      <c r="B111" s="624">
        <v>0</v>
      </c>
      <c r="C111" s="602">
        <v>0</v>
      </c>
      <c r="D111" s="605">
        <f>C111-B111</f>
        <v>0</v>
      </c>
      <c r="E111" s="619">
        <v>0</v>
      </c>
      <c r="F111" s="602">
        <v>0</v>
      </c>
      <c r="G111" s="630">
        <f>F111-E111</f>
        <v>0</v>
      </c>
      <c r="H111" s="624">
        <v>0</v>
      </c>
      <c r="I111" s="602">
        <v>0</v>
      </c>
      <c r="J111" s="605">
        <f>I111-H111</f>
        <v>0</v>
      </c>
      <c r="K111" s="624">
        <v>33864</v>
      </c>
      <c r="L111" s="602">
        <f>'первичка 2'!T378</f>
        <v>33865.87999999999</v>
      </c>
      <c r="M111" s="605">
        <f>L111-K111</f>
        <v>1.8799999999901047</v>
      </c>
      <c r="N111" s="619">
        <f t="shared" si="15"/>
        <v>33864</v>
      </c>
      <c r="O111" s="602">
        <f t="shared" si="15"/>
        <v>33865.87999999999</v>
      </c>
      <c r="P111" s="605">
        <f>O111-N111</f>
        <v>1.8799999999901047</v>
      </c>
    </row>
    <row r="112" spans="1:16" customFormat="1" x14ac:dyDescent="0.3">
      <c r="A112" s="613" t="s">
        <v>1600</v>
      </c>
      <c r="B112" s="624">
        <v>20676</v>
      </c>
      <c r="C112" s="602">
        <f>'первичка 2'!AH378</f>
        <v>26807.740125258657</v>
      </c>
      <c r="D112" s="605">
        <f>C112-B112</f>
        <v>6131.7401252586569</v>
      </c>
      <c r="E112" s="619">
        <v>4549</v>
      </c>
      <c r="F112" s="602">
        <f>'первичка 2'!AI378</f>
        <v>5347.2244672696233</v>
      </c>
      <c r="G112" s="630">
        <f>F112-E112</f>
        <v>798.22446726962335</v>
      </c>
      <c r="H112" s="624">
        <v>4258</v>
      </c>
      <c r="I112" s="602">
        <f>'первичка 2'!AJ378+'первичка 2'!AK378</f>
        <v>4880.6900000000023</v>
      </c>
      <c r="J112" s="605">
        <f>I112-H112</f>
        <v>622.69000000000233</v>
      </c>
      <c r="K112" s="624">
        <v>0</v>
      </c>
      <c r="L112" s="602">
        <f>'первичка 2'!AL378</f>
        <v>6510.33</v>
      </c>
      <c r="M112" s="605">
        <f>L112-K112</f>
        <v>6510.33</v>
      </c>
      <c r="N112" s="619">
        <f t="shared" si="15"/>
        <v>29483</v>
      </c>
      <c r="O112" s="602">
        <f t="shared" si="15"/>
        <v>43545.984592528286</v>
      </c>
      <c r="P112" s="605">
        <f>O112-N112</f>
        <v>14062.984592528286</v>
      </c>
    </row>
    <row r="113" spans="1:16" customFormat="1" x14ac:dyDescent="0.3">
      <c r="A113" s="613" t="s">
        <v>1604</v>
      </c>
      <c r="B113" s="624"/>
      <c r="C113" s="602"/>
      <c r="D113" s="605"/>
      <c r="E113" s="619"/>
      <c r="F113" s="602"/>
      <c r="G113" s="630"/>
      <c r="H113" s="624"/>
      <c r="I113" s="602"/>
      <c r="J113" s="605"/>
      <c r="K113" s="624"/>
      <c r="L113" s="602">
        <f>'первичка 2'!AQ378</f>
        <v>0</v>
      </c>
      <c r="M113" s="605"/>
      <c r="N113" s="619"/>
      <c r="O113" s="602">
        <f>C113+F113+I113+L113</f>
        <v>0</v>
      </c>
      <c r="P113" s="605"/>
    </row>
    <row r="114" spans="1:16" customFormat="1" x14ac:dyDescent="0.3">
      <c r="A114" s="614" t="s">
        <v>957</v>
      </c>
      <c r="B114" s="625">
        <f>SUM(B109:B112)</f>
        <v>64340</v>
      </c>
      <c r="C114" s="603">
        <f>SUM(C109:C112)</f>
        <v>79833.937355995324</v>
      </c>
      <c r="D114" s="606">
        <f>C114-B114</f>
        <v>15493.937355995324</v>
      </c>
      <c r="E114" s="620">
        <f>SUM(E109:E112)</f>
        <v>14155</v>
      </c>
      <c r="F114" s="603">
        <f>SUM(F109:F112)</f>
        <v>16417.184811239829</v>
      </c>
      <c r="G114" s="631">
        <f>F114-E114</f>
        <v>2262.1848112398293</v>
      </c>
      <c r="H114" s="625">
        <f>SUM(H109:H112)</f>
        <v>6850</v>
      </c>
      <c r="I114" s="603">
        <f>SUM(I109:I112)</f>
        <v>13053.903000000006</v>
      </c>
      <c r="J114" s="606">
        <f>I114-H114</f>
        <v>6203.9030000000057</v>
      </c>
      <c r="K114" s="625">
        <f>SUM(K109:K112)</f>
        <v>38536</v>
      </c>
      <c r="L114" s="603">
        <f>SUM(L109:L113)</f>
        <v>45046.87999999999</v>
      </c>
      <c r="M114" s="605">
        <f>L114-K114</f>
        <v>6510.8799999999901</v>
      </c>
      <c r="N114" s="620">
        <f>SUM(N109:N112)</f>
        <v>123881</v>
      </c>
      <c r="O114" s="603">
        <f>SUM(O109:O113)</f>
        <v>154351.90516723515</v>
      </c>
      <c r="P114" s="606">
        <f>O114-N114</f>
        <v>30470.905167235149</v>
      </c>
    </row>
    <row r="115" spans="1:16" customFormat="1" x14ac:dyDescent="0.3">
      <c r="A115" s="613"/>
      <c r="B115" s="624"/>
      <c r="C115" s="602"/>
      <c r="D115" s="605"/>
      <c r="E115" s="619"/>
      <c r="F115" s="602"/>
      <c r="G115" s="630"/>
      <c r="H115" s="624"/>
      <c r="I115" s="602"/>
      <c r="J115" s="605"/>
      <c r="K115" s="624"/>
      <c r="L115" s="602"/>
      <c r="M115" s="605"/>
      <c r="N115" s="619"/>
      <c r="O115" s="602"/>
      <c r="P115" s="605"/>
    </row>
    <row r="116" spans="1:16" customFormat="1" x14ac:dyDescent="0.3">
      <c r="A116" s="614" t="s">
        <v>1609</v>
      </c>
      <c r="B116" s="624"/>
      <c r="C116" s="602"/>
      <c r="D116" s="605"/>
      <c r="E116" s="619"/>
      <c r="F116" s="602"/>
      <c r="G116" s="630"/>
      <c r="H116" s="624"/>
      <c r="I116" s="602"/>
      <c r="J116" s="605"/>
      <c r="K116" s="625">
        <v>108595</v>
      </c>
      <c r="L116" s="603">
        <f>'первичка 2'!AT378</f>
        <v>113177.4058517527</v>
      </c>
      <c r="M116" s="606">
        <f>L116-K116</f>
        <v>4582.405851752701</v>
      </c>
      <c r="N116" s="620">
        <f>B116+E116+H116+K116</f>
        <v>108595</v>
      </c>
      <c r="O116" s="603">
        <f>C116+F116+I116+L116</f>
        <v>113177.4058517527</v>
      </c>
      <c r="P116" s="606">
        <f>O116-N116</f>
        <v>4582.405851752701</v>
      </c>
    </row>
    <row r="117" spans="1:16" customFormat="1" x14ac:dyDescent="0.3">
      <c r="A117" s="613"/>
      <c r="B117" s="624"/>
      <c r="C117" s="602"/>
      <c r="D117" s="605"/>
      <c r="E117" s="619"/>
      <c r="F117" s="602"/>
      <c r="G117" s="630"/>
      <c r="H117" s="624"/>
      <c r="I117" s="602"/>
      <c r="J117" s="605"/>
      <c r="K117" s="624"/>
      <c r="L117" s="602"/>
      <c r="M117" s="605"/>
      <c r="N117" s="619"/>
      <c r="O117" s="602"/>
      <c r="P117" s="605"/>
    </row>
    <row r="118" spans="1:16" customFormat="1" x14ac:dyDescent="0.3">
      <c r="A118" s="614" t="s">
        <v>926</v>
      </c>
      <c r="B118" s="624"/>
      <c r="C118" s="602"/>
      <c r="D118" s="605"/>
      <c r="E118" s="619"/>
      <c r="F118" s="602"/>
      <c r="G118" s="630"/>
      <c r="H118" s="624"/>
      <c r="I118" s="602"/>
      <c r="J118" s="605"/>
      <c r="K118" s="625">
        <v>123999</v>
      </c>
      <c r="L118" s="603">
        <f>'первичка 1'!Y372</f>
        <v>123936.49500000001</v>
      </c>
      <c r="M118" s="606">
        <f>L118-K118</f>
        <v>-62.504999999990105</v>
      </c>
      <c r="N118" s="620">
        <f>B118+E118+H118+K118</f>
        <v>123999</v>
      </c>
      <c r="O118" s="603">
        <f>C118+F118+I118+L118</f>
        <v>123936.49500000001</v>
      </c>
      <c r="P118" s="606">
        <f>O118-N118</f>
        <v>-62.504999999990105</v>
      </c>
    </row>
    <row r="119" spans="1:16" customFormat="1" x14ac:dyDescent="0.3">
      <c r="A119" s="614" t="s">
        <v>927</v>
      </c>
      <c r="B119" s="624"/>
      <c r="C119" s="602"/>
      <c r="D119" s="605"/>
      <c r="E119" s="619"/>
      <c r="F119" s="602"/>
      <c r="G119" s="630"/>
      <c r="H119" s="624"/>
      <c r="I119" s="602"/>
      <c r="J119" s="605"/>
      <c r="K119" s="625">
        <v>236</v>
      </c>
      <c r="L119" s="603">
        <f>'первичка 1'!AC372</f>
        <v>2127.8410000000003</v>
      </c>
      <c r="M119" s="606">
        <f>L119-K119</f>
        <v>1891.8410000000003</v>
      </c>
      <c r="N119" s="620">
        <f>B119+E119+H119+K119</f>
        <v>236</v>
      </c>
      <c r="O119" s="603">
        <f>C119+F119+I119+L119</f>
        <v>2127.8410000000003</v>
      </c>
      <c r="P119" s="606">
        <f>O119-N119</f>
        <v>1891.8410000000003</v>
      </c>
    </row>
    <row r="120" spans="1:16" customFormat="1" x14ac:dyDescent="0.3">
      <c r="A120" s="614"/>
      <c r="B120" s="624"/>
      <c r="C120" s="602"/>
      <c r="D120" s="605"/>
      <c r="E120" s="619"/>
      <c r="F120" s="602"/>
      <c r="G120" s="630"/>
      <c r="H120" s="624"/>
      <c r="I120" s="602"/>
      <c r="J120" s="605"/>
      <c r="K120" s="625"/>
      <c r="L120" s="603"/>
      <c r="M120" s="606"/>
      <c r="N120" s="620"/>
      <c r="O120" s="603"/>
      <c r="P120" s="606"/>
    </row>
    <row r="121" spans="1:16" customFormat="1" x14ac:dyDescent="0.3">
      <c r="A121" s="614" t="s">
        <v>928</v>
      </c>
      <c r="B121" s="624"/>
      <c r="C121" s="602"/>
      <c r="D121" s="605"/>
      <c r="E121" s="619"/>
      <c r="F121" s="602"/>
      <c r="G121" s="630"/>
      <c r="H121" s="624"/>
      <c r="I121" s="602"/>
      <c r="J121" s="605"/>
      <c r="K121" s="625">
        <v>34666</v>
      </c>
      <c r="L121" s="603">
        <f>'первичка 1'!AL372</f>
        <v>75118.75</v>
      </c>
      <c r="M121" s="606">
        <f>L121-K121</f>
        <v>40452.75</v>
      </c>
      <c r="N121" s="620">
        <f>B121+E121+H121+K121</f>
        <v>34666</v>
      </c>
      <c r="O121" s="603">
        <f>C121+F121+I121+L121</f>
        <v>75118.75</v>
      </c>
      <c r="P121" s="606">
        <f>O121-N121</f>
        <v>40452.75</v>
      </c>
    </row>
    <row r="122" spans="1:16" customFormat="1" x14ac:dyDescent="0.3">
      <c r="A122" s="613"/>
      <c r="B122" s="624"/>
      <c r="C122" s="602"/>
      <c r="D122" s="605"/>
      <c r="E122" s="619"/>
      <c r="F122" s="602"/>
      <c r="G122" s="630"/>
      <c r="H122" s="624"/>
      <c r="I122" s="602"/>
      <c r="J122" s="605"/>
      <c r="K122" s="624"/>
      <c r="L122" s="602"/>
      <c r="M122" s="605"/>
      <c r="N122" s="619"/>
      <c r="O122" s="602"/>
      <c r="P122" s="605"/>
    </row>
    <row r="123" spans="1:16" customFormat="1" x14ac:dyDescent="0.3">
      <c r="A123" s="614" t="s">
        <v>1602</v>
      </c>
      <c r="B123" s="625">
        <f>69613+6328</f>
        <v>75941</v>
      </c>
      <c r="C123" s="603">
        <v>54948</v>
      </c>
      <c r="D123" s="606">
        <f>C123-B123</f>
        <v>-20993</v>
      </c>
      <c r="E123" s="620">
        <f>15315+1392</f>
        <v>16707</v>
      </c>
      <c r="F123" s="603">
        <v>11923</v>
      </c>
      <c r="G123" s="631">
        <f>F123-E123</f>
        <v>-4784</v>
      </c>
      <c r="H123" s="625">
        <v>91477</v>
      </c>
      <c r="I123" s="603">
        <v>42478</v>
      </c>
      <c r="J123" s="606">
        <f>I123-H123</f>
        <v>-48999</v>
      </c>
      <c r="K123" s="625">
        <f>135273+9188</f>
        <v>144461</v>
      </c>
      <c r="L123" s="603">
        <v>151344</v>
      </c>
      <c r="M123" s="606">
        <f>L123-K123</f>
        <v>6883</v>
      </c>
      <c r="N123" s="620">
        <f>B123+E123+H123+K123</f>
        <v>328586</v>
      </c>
      <c r="O123" s="603">
        <f>C123+F123+I123+L123</f>
        <v>260693</v>
      </c>
      <c r="P123" s="606">
        <f>O123-N123</f>
        <v>-67893</v>
      </c>
    </row>
    <row r="124" spans="1:16" customFormat="1" x14ac:dyDescent="0.3">
      <c r="A124" s="613"/>
      <c r="B124" s="624"/>
      <c r="C124" s="602"/>
      <c r="D124" s="605"/>
      <c r="E124" s="619"/>
      <c r="F124" s="602"/>
      <c r="G124" s="630"/>
      <c r="H124" s="624"/>
      <c r="I124" s="602"/>
      <c r="J124" s="605"/>
      <c r="K124" s="624"/>
      <c r="L124" s="602"/>
      <c r="M124" s="605"/>
      <c r="N124" s="619"/>
      <c r="O124" s="602"/>
      <c r="P124" s="605"/>
    </row>
    <row r="125" spans="1:16" customFormat="1" x14ac:dyDescent="0.3">
      <c r="A125" s="614" t="s">
        <v>1603</v>
      </c>
      <c r="B125" s="624"/>
      <c r="C125" s="602"/>
      <c r="D125" s="605"/>
      <c r="E125" s="619"/>
      <c r="F125" s="602"/>
      <c r="G125" s="630"/>
      <c r="H125" s="624"/>
      <c r="I125" s="602"/>
      <c r="J125" s="605"/>
      <c r="K125" s="624"/>
      <c r="L125" s="602"/>
      <c r="M125" s="605"/>
      <c r="N125" s="619"/>
      <c r="O125" s="602"/>
      <c r="P125" s="605"/>
    </row>
    <row r="126" spans="1:16" customFormat="1" x14ac:dyDescent="0.3">
      <c r="A126" s="613" t="s">
        <v>1597</v>
      </c>
      <c r="B126" s="624">
        <v>7813</v>
      </c>
      <c r="C126" s="602">
        <v>5647</v>
      </c>
      <c r="D126" s="605">
        <f t="shared" ref="D126:D131" si="16">C126-B126</f>
        <v>-2166</v>
      </c>
      <c r="E126" s="619">
        <v>1718</v>
      </c>
      <c r="F126" s="602">
        <v>1242</v>
      </c>
      <c r="G126" s="630">
        <f t="shared" ref="G126:G131" si="17">F126-E126</f>
        <v>-476</v>
      </c>
      <c r="H126" s="624">
        <v>9266</v>
      </c>
      <c r="I126" s="602">
        <v>19182</v>
      </c>
      <c r="J126" s="605">
        <f t="shared" ref="J126:J131" si="18">I126-H126</f>
        <v>9916</v>
      </c>
      <c r="K126" s="624">
        <v>0</v>
      </c>
      <c r="L126" s="602">
        <v>11066</v>
      </c>
      <c r="M126" s="605">
        <f t="shared" ref="M126:M131" si="19">L126-K126</f>
        <v>11066</v>
      </c>
      <c r="N126" s="619">
        <f t="shared" ref="N126:O130" si="20">B126+E126+H126+K126</f>
        <v>18797</v>
      </c>
      <c r="O126" s="602">
        <f t="shared" si="20"/>
        <v>37137</v>
      </c>
      <c r="P126" s="605">
        <f t="shared" ref="P126:P131" si="21">O126-N126</f>
        <v>18340</v>
      </c>
    </row>
    <row r="127" spans="1:16" customFormat="1" x14ac:dyDescent="0.3">
      <c r="A127" s="613" t="s">
        <v>1598</v>
      </c>
      <c r="B127" s="624">
        <v>893</v>
      </c>
      <c r="C127" s="602">
        <v>0</v>
      </c>
      <c r="D127" s="605">
        <f t="shared" si="16"/>
        <v>-893</v>
      </c>
      <c r="E127" s="619">
        <v>196</v>
      </c>
      <c r="F127" s="602">
        <v>0</v>
      </c>
      <c r="G127" s="630">
        <f t="shared" si="17"/>
        <v>-196</v>
      </c>
      <c r="H127" s="624">
        <v>666</v>
      </c>
      <c r="I127" s="602">
        <v>0</v>
      </c>
      <c r="J127" s="605">
        <f t="shared" si="18"/>
        <v>-666</v>
      </c>
      <c r="K127" s="624">
        <v>0</v>
      </c>
      <c r="L127" s="602">
        <v>998</v>
      </c>
      <c r="M127" s="605">
        <f t="shared" si="19"/>
        <v>998</v>
      </c>
      <c r="N127" s="619">
        <f t="shared" si="20"/>
        <v>1755</v>
      </c>
      <c r="O127" s="602">
        <f t="shared" si="20"/>
        <v>998</v>
      </c>
      <c r="P127" s="605">
        <f t="shared" si="21"/>
        <v>-757</v>
      </c>
    </row>
    <row r="128" spans="1:16" customFormat="1" x14ac:dyDescent="0.3">
      <c r="A128" s="613" t="s">
        <v>1599</v>
      </c>
      <c r="B128" s="624">
        <v>4271</v>
      </c>
      <c r="C128" s="602">
        <v>3857</v>
      </c>
      <c r="D128" s="605">
        <f t="shared" si="16"/>
        <v>-414</v>
      </c>
      <c r="E128" s="619">
        <v>940</v>
      </c>
      <c r="F128" s="602">
        <v>848</v>
      </c>
      <c r="G128" s="630">
        <f t="shared" si="17"/>
        <v>-92</v>
      </c>
      <c r="H128" s="624">
        <v>3186</v>
      </c>
      <c r="I128" s="602">
        <v>14456</v>
      </c>
      <c r="J128" s="605">
        <f t="shared" si="18"/>
        <v>11270</v>
      </c>
      <c r="K128" s="624">
        <v>0</v>
      </c>
      <c r="L128" s="602">
        <v>294</v>
      </c>
      <c r="M128" s="605">
        <f t="shared" si="19"/>
        <v>294</v>
      </c>
      <c r="N128" s="619">
        <f t="shared" si="20"/>
        <v>8397</v>
      </c>
      <c r="O128" s="602">
        <f t="shared" si="20"/>
        <v>19455</v>
      </c>
      <c r="P128" s="605">
        <f t="shared" si="21"/>
        <v>11058</v>
      </c>
    </row>
    <row r="129" spans="1:16" customFormat="1" x14ac:dyDescent="0.3">
      <c r="A129" s="613" t="s">
        <v>1600</v>
      </c>
      <c r="B129" s="624">
        <v>2250</v>
      </c>
      <c r="C129" s="602">
        <v>4970</v>
      </c>
      <c r="D129" s="605">
        <f t="shared" si="16"/>
        <v>2720</v>
      </c>
      <c r="E129" s="619">
        <v>495</v>
      </c>
      <c r="F129" s="602">
        <v>1093</v>
      </c>
      <c r="G129" s="630">
        <f t="shared" si="17"/>
        <v>598</v>
      </c>
      <c r="H129" s="624">
        <v>1996</v>
      </c>
      <c r="I129" s="602">
        <v>2526</v>
      </c>
      <c r="J129" s="605">
        <f t="shared" si="18"/>
        <v>530</v>
      </c>
      <c r="K129" s="624">
        <v>0</v>
      </c>
      <c r="L129" s="602">
        <v>0</v>
      </c>
      <c r="M129" s="605">
        <f t="shared" si="19"/>
        <v>0</v>
      </c>
      <c r="N129" s="619">
        <f t="shared" si="20"/>
        <v>4741</v>
      </c>
      <c r="O129" s="602">
        <f t="shared" si="20"/>
        <v>8589</v>
      </c>
      <c r="P129" s="605">
        <f t="shared" si="21"/>
        <v>3848</v>
      </c>
    </row>
    <row r="130" spans="1:16" customFormat="1" x14ac:dyDescent="0.3">
      <c r="A130" s="613" t="s">
        <v>1604</v>
      </c>
      <c r="B130" s="714">
        <v>0</v>
      </c>
      <c r="C130" s="602">
        <v>0</v>
      </c>
      <c r="D130" s="605">
        <f t="shared" si="16"/>
        <v>0</v>
      </c>
      <c r="E130" s="619">
        <v>0</v>
      </c>
      <c r="F130" s="602">
        <v>0</v>
      </c>
      <c r="G130" s="630">
        <f t="shared" si="17"/>
        <v>0</v>
      </c>
      <c r="H130" s="624">
        <v>0</v>
      </c>
      <c r="I130" s="602">
        <v>0</v>
      </c>
      <c r="J130" s="605">
        <f t="shared" si="18"/>
        <v>0</v>
      </c>
      <c r="K130" s="624">
        <v>0</v>
      </c>
      <c r="L130" s="602">
        <v>0</v>
      </c>
      <c r="M130" s="605">
        <f t="shared" si="19"/>
        <v>0</v>
      </c>
      <c r="N130" s="619">
        <f t="shared" si="20"/>
        <v>0</v>
      </c>
      <c r="O130" s="602">
        <f t="shared" si="20"/>
        <v>0</v>
      </c>
      <c r="P130" s="605">
        <f t="shared" si="21"/>
        <v>0</v>
      </c>
    </row>
    <row r="131" spans="1:16" customFormat="1" x14ac:dyDescent="0.3">
      <c r="A131" s="614" t="s">
        <v>957</v>
      </c>
      <c r="B131" s="625">
        <f>SUM(B126:B130)</f>
        <v>15227</v>
      </c>
      <c r="C131" s="603">
        <f>SUM(C126:C130)</f>
        <v>14474</v>
      </c>
      <c r="D131" s="606">
        <f t="shared" si="16"/>
        <v>-753</v>
      </c>
      <c r="E131" s="620">
        <f>SUM(E126:E130)</f>
        <v>3349</v>
      </c>
      <c r="F131" s="603">
        <f>SUM(F126:F130)</f>
        <v>3183</v>
      </c>
      <c r="G131" s="631">
        <f t="shared" si="17"/>
        <v>-166</v>
      </c>
      <c r="H131" s="625">
        <f>SUM(H126:H130)</f>
        <v>15114</v>
      </c>
      <c r="I131" s="603">
        <f>SUM(I126:I130)</f>
        <v>36164</v>
      </c>
      <c r="J131" s="606">
        <f t="shared" si="18"/>
        <v>21050</v>
      </c>
      <c r="K131" s="625">
        <f>SUM(K126:K130)</f>
        <v>0</v>
      </c>
      <c r="L131" s="603">
        <f>SUM(L126:L130)</f>
        <v>12358</v>
      </c>
      <c r="M131" s="606">
        <f t="shared" si="19"/>
        <v>12358</v>
      </c>
      <c r="N131" s="620">
        <f>SUM(N126:N130)</f>
        <v>33690</v>
      </c>
      <c r="O131" s="603">
        <f>SUM(O126:O130)</f>
        <v>66179</v>
      </c>
      <c r="P131" s="606">
        <f t="shared" si="21"/>
        <v>32489</v>
      </c>
    </row>
    <row r="132" spans="1:16" customFormat="1" x14ac:dyDescent="0.3">
      <c r="A132" s="613"/>
      <c r="B132" s="624"/>
      <c r="C132" s="602"/>
      <c r="D132" s="605"/>
      <c r="E132" s="619"/>
      <c r="F132" s="602"/>
      <c r="G132" s="630"/>
      <c r="H132" s="624"/>
      <c r="I132" s="602"/>
      <c r="J132" s="605"/>
      <c r="K132" s="624"/>
      <c r="L132" s="602"/>
      <c r="M132" s="605"/>
      <c r="N132" s="619"/>
      <c r="O132" s="602"/>
      <c r="P132" s="605"/>
    </row>
    <row r="133" spans="1:16" customFormat="1" x14ac:dyDescent="0.3">
      <c r="A133" s="613"/>
      <c r="B133" s="624"/>
      <c r="C133" s="602"/>
      <c r="D133" s="605"/>
      <c r="E133" s="619"/>
      <c r="F133" s="602"/>
      <c r="G133" s="630"/>
      <c r="H133" s="624"/>
      <c r="I133" s="602"/>
      <c r="J133" s="605"/>
      <c r="K133" s="624"/>
      <c r="L133" s="602"/>
      <c r="M133" s="605"/>
      <c r="N133" s="619"/>
      <c r="O133" s="602"/>
      <c r="P133" s="605"/>
    </row>
    <row r="134" spans="1:16" customFormat="1" x14ac:dyDescent="0.3">
      <c r="A134" s="614" t="s">
        <v>14</v>
      </c>
      <c r="B134" s="625">
        <v>119857</v>
      </c>
      <c r="C134" s="603">
        <f>'первичка 1'!D372</f>
        <v>132477.80726960284</v>
      </c>
      <c r="D134" s="606">
        <f>C134-B134</f>
        <v>12620.807269602839</v>
      </c>
      <c r="E134" s="620">
        <v>26369</v>
      </c>
      <c r="F134" s="603">
        <f>'первичка 1'!E372</f>
        <v>29145.141938651996</v>
      </c>
      <c r="G134" s="631">
        <f>F134-E134</f>
        <v>2776.1419386519956</v>
      </c>
      <c r="H134" s="625">
        <v>15227</v>
      </c>
      <c r="I134" s="603">
        <f>'первичка 1'!F372</f>
        <v>13640.159999999998</v>
      </c>
      <c r="J134" s="606">
        <f>I134-H134</f>
        <v>-1586.840000000002</v>
      </c>
      <c r="K134" s="625">
        <v>0</v>
      </c>
      <c r="L134" s="603">
        <f>'первичка 1'!G372</f>
        <v>0</v>
      </c>
      <c r="M134" s="606">
        <f>L134-K134</f>
        <v>0</v>
      </c>
      <c r="N134" s="620">
        <f>B134+E134+H134+K134</f>
        <v>161453</v>
      </c>
      <c r="O134" s="603">
        <f>C134+F134+I134+L134</f>
        <v>175263.10920825484</v>
      </c>
      <c r="P134" s="606">
        <f>O134-N134</f>
        <v>13810.109208254842</v>
      </c>
    </row>
    <row r="135" spans="1:16" customFormat="1" x14ac:dyDescent="0.3">
      <c r="A135" s="613"/>
      <c r="B135" s="624"/>
      <c r="C135" s="602"/>
      <c r="D135" s="605"/>
      <c r="E135" s="619"/>
      <c r="F135" s="602"/>
      <c r="G135" s="630"/>
      <c r="H135" s="624"/>
      <c r="I135" s="602"/>
      <c r="J135" s="605"/>
      <c r="K135" s="624"/>
      <c r="L135" s="602"/>
      <c r="M135" s="605"/>
      <c r="N135" s="619"/>
      <c r="O135" s="602"/>
      <c r="P135" s="605"/>
    </row>
    <row r="136" spans="1:16" customFormat="1" x14ac:dyDescent="0.3">
      <c r="A136" s="614" t="s">
        <v>1605</v>
      </c>
      <c r="B136" s="625">
        <v>76588</v>
      </c>
      <c r="C136" s="603">
        <f>'первичка 1'!L372</f>
        <v>108912.32024147184</v>
      </c>
      <c r="D136" s="606">
        <f>C136-B136</f>
        <v>32324.32024147184</v>
      </c>
      <c r="E136" s="620">
        <v>16849</v>
      </c>
      <c r="F136" s="603">
        <f>'первичка 1'!M372</f>
        <v>23960.59767551695</v>
      </c>
      <c r="G136" s="631">
        <f>F136-E136</f>
        <v>7111.5976755169504</v>
      </c>
      <c r="H136" s="625">
        <v>3541</v>
      </c>
      <c r="I136" s="603">
        <f>'первичка 1'!N372+'первичка 1'!O372</f>
        <v>6670.70338855516</v>
      </c>
      <c r="J136" s="606">
        <f>I136-H136</f>
        <v>3129.70338855516</v>
      </c>
      <c r="K136" s="625">
        <v>0</v>
      </c>
      <c r="L136" s="603">
        <v>0</v>
      </c>
      <c r="M136" s="606">
        <f>L136-K136</f>
        <v>0</v>
      </c>
      <c r="N136" s="620">
        <f>B136+E136+H136+K136</f>
        <v>96978</v>
      </c>
      <c r="O136" s="603">
        <f>C136+F136+I136+L136</f>
        <v>139543.62130554393</v>
      </c>
      <c r="P136" s="606">
        <f>O136-N136</f>
        <v>42565.621305543929</v>
      </c>
    </row>
    <row r="137" spans="1:16" customFormat="1" x14ac:dyDescent="0.3">
      <c r="A137" s="613"/>
      <c r="B137" s="624"/>
      <c r="C137" s="602"/>
      <c r="D137" s="605"/>
      <c r="E137" s="619"/>
      <c r="F137" s="602"/>
      <c r="G137" s="630"/>
      <c r="H137" s="624"/>
      <c r="I137" s="602"/>
      <c r="J137" s="605"/>
      <c r="K137" s="624"/>
      <c r="L137" s="602"/>
      <c r="M137" s="605"/>
      <c r="N137" s="619"/>
      <c r="O137" s="602"/>
      <c r="P137" s="605"/>
    </row>
    <row r="138" spans="1:16" customFormat="1" x14ac:dyDescent="0.3">
      <c r="A138" s="614" t="s">
        <v>959</v>
      </c>
      <c r="B138" s="625"/>
      <c r="C138" s="603"/>
      <c r="D138" s="606"/>
      <c r="E138" s="620"/>
      <c r="F138" s="603"/>
      <c r="G138" s="631"/>
      <c r="H138" s="625"/>
      <c r="I138" s="603"/>
      <c r="J138" s="606"/>
      <c r="K138" s="625">
        <v>8762</v>
      </c>
      <c r="L138" s="603">
        <f>'первичка 1'!S372</f>
        <v>8761.5725999999995</v>
      </c>
      <c r="M138" s="606">
        <f>L138-K138</f>
        <v>-0.42740000000048894</v>
      </c>
      <c r="N138" s="620">
        <f>B138+E138+H138+K138</f>
        <v>8762</v>
      </c>
      <c r="O138" s="603">
        <f>C138+F138+I138+L138</f>
        <v>8761.5725999999995</v>
      </c>
      <c r="P138" s="606">
        <f>O138-N138</f>
        <v>-0.42740000000048894</v>
      </c>
    </row>
    <row r="139" spans="1:16" customFormat="1" x14ac:dyDescent="0.3">
      <c r="A139" s="614" t="s">
        <v>962</v>
      </c>
      <c r="B139" s="625"/>
      <c r="C139" s="603"/>
      <c r="D139" s="606"/>
      <c r="E139" s="620"/>
      <c r="F139" s="603"/>
      <c r="G139" s="631"/>
      <c r="H139" s="625"/>
      <c r="I139" s="603"/>
      <c r="J139" s="606"/>
      <c r="K139" s="625">
        <v>1079</v>
      </c>
      <c r="L139" s="603">
        <f>'первичка 1'!V372</f>
        <v>0</v>
      </c>
      <c r="M139" s="606">
        <f>L139-K139</f>
        <v>-1079</v>
      </c>
      <c r="N139" s="620">
        <f>B139+E139+H139+K139</f>
        <v>1079</v>
      </c>
      <c r="O139" s="603">
        <f>C139+F139+I139+L139</f>
        <v>0</v>
      </c>
      <c r="P139" s="606">
        <f>O139-N139</f>
        <v>-1079</v>
      </c>
    </row>
    <row r="140" spans="1:16" customFormat="1" x14ac:dyDescent="0.3">
      <c r="A140" s="613"/>
      <c r="B140" s="624"/>
      <c r="C140" s="602"/>
      <c r="D140" s="605"/>
      <c r="E140" s="619"/>
      <c r="F140" s="602"/>
      <c r="G140" s="630"/>
      <c r="H140" s="624"/>
      <c r="I140" s="602"/>
      <c r="J140" s="605"/>
      <c r="K140" s="624"/>
      <c r="L140" s="602"/>
      <c r="M140" s="605"/>
      <c r="N140" s="619"/>
      <c r="O140" s="602"/>
      <c r="P140" s="605"/>
    </row>
    <row r="141" spans="1:16" customFormat="1" x14ac:dyDescent="0.3">
      <c r="A141" s="614" t="s">
        <v>964</v>
      </c>
      <c r="B141" s="625"/>
      <c r="C141" s="603"/>
      <c r="D141" s="606"/>
      <c r="E141" s="620"/>
      <c r="F141" s="603"/>
      <c r="G141" s="631"/>
      <c r="H141" s="625"/>
      <c r="I141" s="603"/>
      <c r="J141" s="606"/>
      <c r="K141" s="625">
        <v>56143</v>
      </c>
      <c r="L141" s="603">
        <f>'первичка 1'!AF372</f>
        <v>51917.799999999996</v>
      </c>
      <c r="M141" s="606">
        <f>L141-K141</f>
        <v>-4225.2000000000044</v>
      </c>
      <c r="N141" s="620">
        <f>B141+E141+H141+K141</f>
        <v>56143</v>
      </c>
      <c r="O141" s="603">
        <f>C141+F141+I141+L141</f>
        <v>51917.799999999996</v>
      </c>
      <c r="P141" s="606">
        <f>O141-N141</f>
        <v>-4225.2000000000044</v>
      </c>
    </row>
    <row r="142" spans="1:16" customFormat="1" x14ac:dyDescent="0.3">
      <c r="A142" s="614" t="s">
        <v>1606</v>
      </c>
      <c r="B142" s="625"/>
      <c r="C142" s="603"/>
      <c r="D142" s="626"/>
      <c r="E142" s="620"/>
      <c r="F142" s="603"/>
      <c r="G142" s="631"/>
      <c r="H142" s="625"/>
      <c r="I142" s="603"/>
      <c r="J142" s="606"/>
      <c r="K142" s="625">
        <v>27433</v>
      </c>
      <c r="L142" s="603">
        <f>'первичка 1'!AI372</f>
        <v>32856.999999999993</v>
      </c>
      <c r="M142" s="606">
        <f>L142-K142</f>
        <v>5423.9999999999927</v>
      </c>
      <c r="N142" s="620">
        <f>B142+E142+H142+K142</f>
        <v>27433</v>
      </c>
      <c r="O142" s="603">
        <f>C142+F142+I142+L142</f>
        <v>32856.999999999993</v>
      </c>
      <c r="P142" s="606">
        <f>O142-N142</f>
        <v>5423.9999999999927</v>
      </c>
    </row>
    <row r="143" spans="1:16" customFormat="1" x14ac:dyDescent="0.3">
      <c r="A143" s="613"/>
      <c r="B143" s="624"/>
      <c r="C143" s="602"/>
      <c r="D143" s="605"/>
      <c r="E143" s="619"/>
      <c r="F143" s="602"/>
      <c r="G143" s="630"/>
      <c r="H143" s="624"/>
      <c r="I143" s="602"/>
      <c r="J143" s="605"/>
      <c r="K143" s="624"/>
      <c r="L143" s="602"/>
      <c r="M143" s="605"/>
      <c r="N143" s="619"/>
      <c r="O143" s="602"/>
      <c r="P143" s="605"/>
    </row>
    <row r="144" spans="1:16" customFormat="1" ht="15.6" x14ac:dyDescent="0.3">
      <c r="A144" s="615" t="s">
        <v>1607</v>
      </c>
      <c r="B144" s="625">
        <f>B114+B118+B119+B121+B123+B131+B134+B136+B138+B139+B141+B142</f>
        <v>351953</v>
      </c>
      <c r="C144" s="603">
        <f>C114+C118+C119+C121+C123+C131+C134+C136+C138+C139+C141+C142</f>
        <v>390646.06486707006</v>
      </c>
      <c r="D144" s="606">
        <f>C144-B144</f>
        <v>38693.064867070061</v>
      </c>
      <c r="E144" s="620">
        <f>E114+E118+E119+E121+E123+E131+E134+E136+E138+E139+E141+E142</f>
        <v>77429</v>
      </c>
      <c r="F144" s="603">
        <f>F114+F118+F119+F121+F123+F131+F134+F136+F138+F139+F141+F142</f>
        <v>84628.924425408783</v>
      </c>
      <c r="G144" s="631">
        <f>F144-E144</f>
        <v>7199.9244254087826</v>
      </c>
      <c r="H144" s="625">
        <f>H114+H118+H119+H121+H123+H131+H134+H136+H138+H139+H141+H142</f>
        <v>132209</v>
      </c>
      <c r="I144" s="603">
        <f>I114+I118+I119+I121+I123+I131+I134+I136+I138+I139+I141+I142</f>
        <v>112006.76638855517</v>
      </c>
      <c r="J144" s="606">
        <f>I144-H144</f>
        <v>-20202.233611444826</v>
      </c>
      <c r="K144" s="625">
        <f>K114+K118+K119+K121+K123+K131+K134+K136+K138+K139+K141+K142+K116</f>
        <v>543910</v>
      </c>
      <c r="L144" s="603">
        <f>L114+L118+L119+L121+L123+L131+L134+L136+L138+L139+L141+L142+L116</f>
        <v>616645.74445175275</v>
      </c>
      <c r="M144" s="606">
        <f>L144-K144</f>
        <v>72735.744451752747</v>
      </c>
      <c r="N144" s="620">
        <f>N114+N118+N119+N121+N123+N131+N134+N136+N138+N139+N141+N142+N116</f>
        <v>1105501</v>
      </c>
      <c r="O144" s="603">
        <f>O114+O118+O119+O121+O123+O131+O134+O136+O138+O139+O141+O142+O116</f>
        <v>1203927.5001327866</v>
      </c>
      <c r="P144" s="606">
        <f>O144-N144</f>
        <v>98426.500132786576</v>
      </c>
    </row>
    <row r="145" spans="1:16" customFormat="1" x14ac:dyDescent="0.3">
      <c r="A145" s="613"/>
      <c r="B145" s="627"/>
      <c r="C145" s="570"/>
      <c r="D145" s="607"/>
      <c r="E145" s="621"/>
      <c r="F145" s="570"/>
      <c r="G145" s="632"/>
      <c r="H145" s="627"/>
      <c r="I145" s="570"/>
      <c r="J145" s="607"/>
      <c r="K145" s="627"/>
      <c r="L145" s="570"/>
      <c r="M145" s="607"/>
      <c r="N145" s="621"/>
      <c r="O145" s="570"/>
      <c r="P145" s="607"/>
    </row>
    <row r="146" spans="1:16" customFormat="1" x14ac:dyDescent="0.3">
      <c r="A146" s="671" t="s">
        <v>1608</v>
      </c>
      <c r="B146" s="674">
        <v>63227</v>
      </c>
      <c r="C146" s="667">
        <f>76157+6854</f>
        <v>83011</v>
      </c>
      <c r="D146" s="673">
        <f>C146-B146</f>
        <v>19784</v>
      </c>
      <c r="E146" s="672">
        <v>13783</v>
      </c>
      <c r="F146" s="667">
        <f>16755+1508</f>
        <v>18263</v>
      </c>
      <c r="G146" s="673">
        <f>F146-E146</f>
        <v>4480</v>
      </c>
      <c r="H146" s="674">
        <v>13794</v>
      </c>
      <c r="I146" s="667">
        <f>925+3637+25+631+2060+612</f>
        <v>7890</v>
      </c>
      <c r="J146" s="673">
        <f>I146-H146</f>
        <v>-5904</v>
      </c>
      <c r="K146" s="674">
        <v>36124</v>
      </c>
      <c r="L146" s="667">
        <f>1764+1158+18+9939-602+164+8573+25192+2392+1430+1620+1550+1700+1625</f>
        <v>56523</v>
      </c>
      <c r="M146" s="673">
        <f>L146-K146</f>
        <v>20399</v>
      </c>
      <c r="N146" s="672">
        <v>126929</v>
      </c>
      <c r="O146" s="667">
        <f>C146+F146+I146+L146</f>
        <v>165687</v>
      </c>
      <c r="P146" s="673">
        <f>O146-N146</f>
        <v>38758</v>
      </c>
    </row>
    <row r="147" spans="1:16" customFormat="1" x14ac:dyDescent="0.3">
      <c r="A147" s="616" t="s">
        <v>1626</v>
      </c>
      <c r="B147" s="624"/>
      <c r="C147" s="602"/>
      <c r="D147" s="605"/>
      <c r="E147" s="619"/>
      <c r="F147" s="602"/>
      <c r="G147" s="630"/>
      <c r="H147" s="624"/>
      <c r="I147" s="602"/>
      <c r="J147" s="605"/>
      <c r="K147" s="624"/>
      <c r="L147" s="602"/>
      <c r="M147" s="605"/>
      <c r="N147" s="619">
        <v>28880</v>
      </c>
      <c r="O147" s="602">
        <f>E211+E215</f>
        <v>36301.937889080473</v>
      </c>
      <c r="P147" s="605">
        <f>O147-N147</f>
        <v>7421.9378890804728</v>
      </c>
    </row>
    <row r="148" spans="1:16" customFormat="1" x14ac:dyDescent="0.3">
      <c r="A148" s="616" t="s">
        <v>1623</v>
      </c>
      <c r="B148" s="624"/>
      <c r="C148" s="602"/>
      <c r="D148" s="605"/>
      <c r="E148" s="619"/>
      <c r="F148" s="602"/>
      <c r="G148" s="630"/>
      <c r="H148" s="624"/>
      <c r="I148" s="602"/>
      <c r="J148" s="605"/>
      <c r="K148" s="624"/>
      <c r="L148" s="602"/>
      <c r="M148" s="605"/>
      <c r="N148" s="619">
        <v>111070</v>
      </c>
      <c r="O148" s="602">
        <f>E212</f>
        <v>83670.67058383752</v>
      </c>
      <c r="P148" s="605">
        <f>O148-N148</f>
        <v>-27399.32941616248</v>
      </c>
    </row>
    <row r="149" spans="1:16" customFormat="1" x14ac:dyDescent="0.3">
      <c r="A149" s="634" t="s">
        <v>1624</v>
      </c>
      <c r="B149" s="638"/>
      <c r="C149" s="639"/>
      <c r="D149" s="640"/>
      <c r="E149" s="646"/>
      <c r="F149" s="639"/>
      <c r="G149" s="663"/>
      <c r="H149" s="638"/>
      <c r="I149" s="639"/>
      <c r="J149" s="640"/>
      <c r="K149" s="638"/>
      <c r="L149" s="639"/>
      <c r="M149" s="640"/>
      <c r="N149" s="646">
        <v>53914</v>
      </c>
      <c r="O149" s="602">
        <f>E213</f>
        <v>56346.888406334416</v>
      </c>
      <c r="P149" s="640">
        <f>O149-N149</f>
        <v>2432.8884063344158</v>
      </c>
    </row>
    <row r="150" spans="1:16" customFormat="1" ht="15" thickBot="1" x14ac:dyDescent="0.35">
      <c r="A150" s="634" t="s">
        <v>1627</v>
      </c>
      <c r="B150" s="638"/>
      <c r="C150" s="639"/>
      <c r="D150" s="640"/>
      <c r="E150" s="646"/>
      <c r="F150" s="639"/>
      <c r="G150" s="663"/>
      <c r="H150" s="638"/>
      <c r="I150" s="639"/>
      <c r="J150" s="640"/>
      <c r="K150" s="646"/>
      <c r="L150" s="639"/>
      <c r="M150" s="663"/>
      <c r="N150" s="638"/>
      <c r="O150" s="602">
        <f>E214</f>
        <v>-8636</v>
      </c>
      <c r="P150" s="640"/>
    </row>
    <row r="151" spans="1:16" customFormat="1" ht="15" thickBot="1" x14ac:dyDescent="0.35">
      <c r="A151" s="645" t="s">
        <v>1625</v>
      </c>
      <c r="B151" s="668">
        <f>B144+B146</f>
        <v>415180</v>
      </c>
      <c r="C151" s="669">
        <f>C144+C146</f>
        <v>473657.06486707006</v>
      </c>
      <c r="D151" s="644">
        <f>C151-B151</f>
        <v>58477.064867070061</v>
      </c>
      <c r="E151" s="668">
        <f>E144+E146</f>
        <v>91212</v>
      </c>
      <c r="F151" s="669">
        <f>F144+F146</f>
        <v>102891.92442540878</v>
      </c>
      <c r="G151" s="644">
        <f>F151-E151</f>
        <v>11679.924425408783</v>
      </c>
      <c r="H151" s="668">
        <f>H144+H146</f>
        <v>146003</v>
      </c>
      <c r="I151" s="669">
        <f>I144+I146</f>
        <v>119896.76638855517</v>
      </c>
      <c r="J151" s="644">
        <f>I151-H151</f>
        <v>-26106.233611444826</v>
      </c>
      <c r="K151" s="668">
        <f>K144+K146</f>
        <v>580034</v>
      </c>
      <c r="L151" s="669">
        <f>L144+L146</f>
        <v>673168.74445175275</v>
      </c>
      <c r="M151" s="644">
        <f>L151-K151</f>
        <v>93134.744451752747</v>
      </c>
      <c r="N151" s="647">
        <f>N144+N146+N147+N148+N149</f>
        <v>1426294</v>
      </c>
      <c r="O151" s="643">
        <f>O144+O146+O147+O148+O149+O150</f>
        <v>1537297.9970120389</v>
      </c>
      <c r="P151" s="644">
        <f>O151-N151</f>
        <v>111003.99701203895</v>
      </c>
    </row>
    <row r="152" spans="1:16" customFormat="1" ht="15" thickBot="1" x14ac:dyDescent="0.35">
      <c r="P152" s="642">
        <f>O151/N151</f>
        <v>1.0778268695037903</v>
      </c>
    </row>
    <row r="153" spans="1:16" customFormat="1" ht="18" x14ac:dyDescent="0.35">
      <c r="A153" s="649" t="str">
        <f>A103</f>
        <v>Фактичні витрати з утримання будинків і прибудинкової території</v>
      </c>
      <c r="O153" s="641">
        <f>O103</f>
        <v>2023</v>
      </c>
      <c r="P153" s="641">
        <f>P103</f>
        <v>2021</v>
      </c>
    </row>
    <row r="154" spans="1:16" customFormat="1" ht="15" thickBot="1" x14ac:dyDescent="0.35"/>
    <row r="155" spans="1:16" customFormat="1" ht="21.6" thickBot="1" x14ac:dyDescent="0.45">
      <c r="A155" s="1424" t="s">
        <v>1629</v>
      </c>
      <c r="B155" s="1427" t="s">
        <v>948</v>
      </c>
      <c r="C155" s="1428"/>
      <c r="D155" s="1428"/>
      <c r="E155" s="1428"/>
      <c r="F155" s="1428"/>
      <c r="G155" s="1428"/>
      <c r="H155" s="1428"/>
      <c r="I155" s="1428"/>
      <c r="J155" s="1428"/>
      <c r="K155" s="1428"/>
      <c r="L155" s="1428"/>
      <c r="M155" s="1428"/>
      <c r="N155" s="1428"/>
      <c r="O155" s="1428"/>
      <c r="P155" s="1429"/>
    </row>
    <row r="156" spans="1:16" customFormat="1" x14ac:dyDescent="0.3">
      <c r="A156" s="1425"/>
      <c r="B156" s="1430" t="s">
        <v>951</v>
      </c>
      <c r="C156" s="1431"/>
      <c r="D156" s="1432"/>
      <c r="E156" s="1433" t="s">
        <v>952</v>
      </c>
      <c r="F156" s="1434"/>
      <c r="G156" s="1435"/>
      <c r="H156" s="1430" t="s">
        <v>953</v>
      </c>
      <c r="I156" s="1431"/>
      <c r="J156" s="1432"/>
      <c r="K156" s="1430" t="s">
        <v>1601</v>
      </c>
      <c r="L156" s="1431"/>
      <c r="M156" s="1432"/>
      <c r="N156" s="1433" t="s">
        <v>957</v>
      </c>
      <c r="O156" s="1434"/>
      <c r="P156" s="1436"/>
    </row>
    <row r="157" spans="1:16" customFormat="1" ht="15" thickBot="1" x14ac:dyDescent="0.35">
      <c r="A157" s="1426"/>
      <c r="B157" s="622" t="s">
        <v>1013</v>
      </c>
      <c r="C157" s="610" t="s">
        <v>440</v>
      </c>
      <c r="D157" s="611" t="s">
        <v>1111</v>
      </c>
      <c r="E157" s="617" t="s">
        <v>1013</v>
      </c>
      <c r="F157" s="610" t="s">
        <v>440</v>
      </c>
      <c r="G157" s="628" t="s">
        <v>1111</v>
      </c>
      <c r="H157" s="622" t="s">
        <v>1013</v>
      </c>
      <c r="I157" s="610" t="s">
        <v>440</v>
      </c>
      <c r="J157" s="611" t="s">
        <v>1111</v>
      </c>
      <c r="K157" s="622" t="s">
        <v>1013</v>
      </c>
      <c r="L157" s="610" t="s">
        <v>440</v>
      </c>
      <c r="M157" s="611" t="s">
        <v>1111</v>
      </c>
      <c r="N157" s="617" t="s">
        <v>1013</v>
      </c>
      <c r="O157" s="610" t="s">
        <v>440</v>
      </c>
      <c r="P157" s="611" t="s">
        <v>1111</v>
      </c>
    </row>
    <row r="158" spans="1:16" customFormat="1" x14ac:dyDescent="0.3">
      <c r="A158" s="612" t="s">
        <v>1596</v>
      </c>
      <c r="B158" s="623"/>
      <c r="C158" s="608"/>
      <c r="D158" s="609"/>
      <c r="E158" s="618"/>
      <c r="F158" s="608"/>
      <c r="G158" s="629"/>
      <c r="H158" s="623"/>
      <c r="I158" s="608"/>
      <c r="J158" s="609"/>
      <c r="K158" s="623"/>
      <c r="L158" s="608"/>
      <c r="M158" s="609"/>
      <c r="N158" s="618"/>
      <c r="O158" s="608"/>
      <c r="P158" s="609"/>
    </row>
    <row r="159" spans="1:16" customFormat="1" x14ac:dyDescent="0.3">
      <c r="A159" s="613" t="s">
        <v>1597</v>
      </c>
      <c r="B159" s="650">
        <f t="shared" ref="B159:C162" si="22">B9+B59+B109</f>
        <v>132180</v>
      </c>
      <c r="C159" s="602">
        <f t="shared" si="22"/>
        <v>140171.02215800225</v>
      </c>
      <c r="D159" s="605">
        <f>C159-B159</f>
        <v>7991.022158002248</v>
      </c>
      <c r="E159" s="650">
        <f t="shared" ref="E159:F162" si="23">E9+E59+E109</f>
        <v>29080</v>
      </c>
      <c r="F159" s="602">
        <f t="shared" si="23"/>
        <v>29261.999999999993</v>
      </c>
      <c r="G159" s="630">
        <f>F159-E159</f>
        <v>181.99999999999272</v>
      </c>
      <c r="H159" s="650">
        <f t="shared" ref="H159:I162" si="24">H9+H59+H109</f>
        <v>8001</v>
      </c>
      <c r="I159" s="602">
        <f t="shared" si="24"/>
        <v>23278.815999999999</v>
      </c>
      <c r="J159" s="605">
        <f>I159-H159</f>
        <v>15277.815999999999</v>
      </c>
      <c r="K159" s="650">
        <f t="shared" ref="K159:L163" si="25">K9+K59+K109</f>
        <v>0</v>
      </c>
      <c r="L159" s="602">
        <f t="shared" si="25"/>
        <v>0</v>
      </c>
      <c r="M159" s="605">
        <f>L159-K159</f>
        <v>0</v>
      </c>
      <c r="N159" s="619">
        <f t="shared" ref="N159:O163" si="26">B159+E159+H159+K159</f>
        <v>169261</v>
      </c>
      <c r="O159" s="602">
        <f t="shared" si="26"/>
        <v>192711.83815800224</v>
      </c>
      <c r="P159" s="605">
        <f t="shared" ref="P159:P164" si="27">O159-N159</f>
        <v>23450.83815800224</v>
      </c>
    </row>
    <row r="160" spans="1:16" customFormat="1" x14ac:dyDescent="0.3">
      <c r="A160" s="613" t="s">
        <v>1598</v>
      </c>
      <c r="B160" s="650">
        <f t="shared" si="22"/>
        <v>0</v>
      </c>
      <c r="C160" s="602">
        <f t="shared" si="22"/>
        <v>0</v>
      </c>
      <c r="D160" s="605">
        <f>C160-B160</f>
        <v>0</v>
      </c>
      <c r="E160" s="650">
        <f t="shared" si="23"/>
        <v>0</v>
      </c>
      <c r="F160" s="602">
        <f t="shared" si="23"/>
        <v>0</v>
      </c>
      <c r="G160" s="630">
        <f>F160-E160</f>
        <v>0</v>
      </c>
      <c r="H160" s="650">
        <f t="shared" si="24"/>
        <v>0</v>
      </c>
      <c r="I160" s="602">
        <f t="shared" si="24"/>
        <v>0</v>
      </c>
      <c r="J160" s="605">
        <f>I160-H160</f>
        <v>0</v>
      </c>
      <c r="K160" s="650">
        <f t="shared" si="25"/>
        <v>15747</v>
      </c>
      <c r="L160" s="602">
        <f t="shared" si="25"/>
        <v>15747.309333333333</v>
      </c>
      <c r="M160" s="605">
        <f>L160-K160</f>
        <v>0.3093333333326882</v>
      </c>
      <c r="N160" s="619">
        <f t="shared" si="26"/>
        <v>15747</v>
      </c>
      <c r="O160" s="602">
        <f t="shared" si="26"/>
        <v>15747.309333333333</v>
      </c>
      <c r="P160" s="605">
        <f t="shared" si="27"/>
        <v>0.3093333333326882</v>
      </c>
    </row>
    <row r="161" spans="1:20" x14ac:dyDescent="0.3">
      <c r="A161" s="613" t="s">
        <v>1599</v>
      </c>
      <c r="B161" s="650">
        <f t="shared" si="22"/>
        <v>0</v>
      </c>
      <c r="C161" s="602">
        <f t="shared" si="22"/>
        <v>0</v>
      </c>
      <c r="D161" s="605">
        <f>C161-B161</f>
        <v>0</v>
      </c>
      <c r="E161" s="650">
        <f t="shared" si="23"/>
        <v>0</v>
      </c>
      <c r="F161" s="602">
        <f t="shared" si="23"/>
        <v>0</v>
      </c>
      <c r="G161" s="630">
        <f>F161-E161</f>
        <v>0</v>
      </c>
      <c r="H161" s="650">
        <f t="shared" si="24"/>
        <v>0</v>
      </c>
      <c r="I161" s="602">
        <f t="shared" si="24"/>
        <v>0</v>
      </c>
      <c r="J161" s="605">
        <f>I161-H161</f>
        <v>0</v>
      </c>
      <c r="K161" s="650">
        <f t="shared" si="25"/>
        <v>115232</v>
      </c>
      <c r="L161" s="602">
        <f t="shared" si="25"/>
        <v>115234.04133333334</v>
      </c>
      <c r="M161" s="605">
        <f>L161-K161</f>
        <v>2.041333333341754</v>
      </c>
      <c r="N161" s="619">
        <f t="shared" si="26"/>
        <v>115232</v>
      </c>
      <c r="O161" s="602">
        <f t="shared" si="26"/>
        <v>115234.04133333334</v>
      </c>
      <c r="P161" s="605">
        <f t="shared" si="27"/>
        <v>2.041333333341754</v>
      </c>
      <c r="Q161"/>
      <c r="R161"/>
      <c r="S161"/>
      <c r="T161"/>
    </row>
    <row r="162" spans="1:20" x14ac:dyDescent="0.3">
      <c r="A162" s="613" t="s">
        <v>1600</v>
      </c>
      <c r="B162" s="650">
        <f t="shared" si="22"/>
        <v>65164</v>
      </c>
      <c r="C162" s="602">
        <f t="shared" si="22"/>
        <v>68593.249196638717</v>
      </c>
      <c r="D162" s="605">
        <f>C162-B162</f>
        <v>3429.249196638717</v>
      </c>
      <c r="E162" s="650">
        <f t="shared" si="23"/>
        <v>14336</v>
      </c>
      <c r="F162" s="602">
        <f t="shared" si="23"/>
        <v>13681.999999999998</v>
      </c>
      <c r="G162" s="630">
        <f>F162-E162</f>
        <v>-654.00000000000182</v>
      </c>
      <c r="H162" s="650">
        <f t="shared" si="24"/>
        <v>16208</v>
      </c>
      <c r="I162" s="602">
        <f t="shared" si="24"/>
        <v>11653.510000000002</v>
      </c>
      <c r="J162" s="605">
        <f>I162-H162</f>
        <v>-4554.489999999998</v>
      </c>
      <c r="K162" s="650">
        <f t="shared" si="25"/>
        <v>0</v>
      </c>
      <c r="L162" s="602">
        <f t="shared" si="25"/>
        <v>26845.980000000003</v>
      </c>
      <c r="M162" s="605">
        <f>L162-K162</f>
        <v>26845.980000000003</v>
      </c>
      <c r="N162" s="619">
        <f t="shared" si="26"/>
        <v>95708</v>
      </c>
      <c r="O162" s="602">
        <f t="shared" si="26"/>
        <v>120774.73919663872</v>
      </c>
      <c r="P162" s="605">
        <f t="shared" si="27"/>
        <v>25066.739196638722</v>
      </c>
      <c r="Q162"/>
      <c r="R162"/>
      <c r="S162"/>
      <c r="T162"/>
    </row>
    <row r="163" spans="1:20" x14ac:dyDescent="0.3">
      <c r="A163" s="613" t="s">
        <v>1604</v>
      </c>
      <c r="B163" s="650"/>
      <c r="C163" s="602"/>
      <c r="D163" s="605"/>
      <c r="E163" s="701"/>
      <c r="F163" s="602"/>
      <c r="G163" s="630"/>
      <c r="H163" s="650"/>
      <c r="I163" s="602"/>
      <c r="J163" s="605"/>
      <c r="K163" s="650">
        <f t="shared" si="25"/>
        <v>0</v>
      </c>
      <c r="L163" s="602">
        <f t="shared" si="25"/>
        <v>0</v>
      </c>
      <c r="M163" s="605"/>
      <c r="N163" s="619">
        <f t="shared" si="26"/>
        <v>0</v>
      </c>
      <c r="O163" s="602">
        <f t="shared" si="26"/>
        <v>0</v>
      </c>
      <c r="P163" s="605">
        <f t="shared" si="27"/>
        <v>0</v>
      </c>
      <c r="Q163"/>
      <c r="R163"/>
      <c r="S163"/>
      <c r="T163"/>
    </row>
    <row r="164" spans="1:20" x14ac:dyDescent="0.3">
      <c r="A164" s="614" t="s">
        <v>957</v>
      </c>
      <c r="B164" s="625">
        <f>SUM(B159:B162)</f>
        <v>197344</v>
      </c>
      <c r="C164" s="603">
        <f>SUM(C159:C162)</f>
        <v>208764.27135464095</v>
      </c>
      <c r="D164" s="606">
        <f>C164-B164</f>
        <v>11420.27135464095</v>
      </c>
      <c r="E164" s="620">
        <f>SUM(E159:E162)</f>
        <v>43416</v>
      </c>
      <c r="F164" s="603">
        <f>SUM(F159:F162)</f>
        <v>42943.999999999993</v>
      </c>
      <c r="G164" s="631">
        <f>F164-E164</f>
        <v>-472.00000000000728</v>
      </c>
      <c r="H164" s="625">
        <f>SUM(H159:H162)</f>
        <v>24209</v>
      </c>
      <c r="I164" s="603">
        <f>SUM(I159:I162)</f>
        <v>34932.326000000001</v>
      </c>
      <c r="J164" s="606">
        <f>I164-H164</f>
        <v>10723.326000000001</v>
      </c>
      <c r="K164" s="625">
        <f>SUM(K159:K163)</f>
        <v>130979</v>
      </c>
      <c r="L164" s="603">
        <f>SUM(L159:L163)</f>
        <v>157827.33066666668</v>
      </c>
      <c r="M164" s="605">
        <f>L164-K164</f>
        <v>26848.330666666676</v>
      </c>
      <c r="N164" s="620">
        <f>SUM(N159:N163)</f>
        <v>395948</v>
      </c>
      <c r="O164" s="603">
        <f>SUM(O159:O163)</f>
        <v>444467.92802130769</v>
      </c>
      <c r="P164" s="606">
        <f t="shared" si="27"/>
        <v>48519.928021307685</v>
      </c>
      <c r="Q164"/>
      <c r="R164" s="604">
        <f>O164+O166</f>
        <v>837635.92802130745</v>
      </c>
      <c r="S164" s="724">
        <f>'первичка 2'!D368+'первичка 2'!E368+'первичка 2'!F368+'первичка 2'!G368+'первичка 2'!L368+'первичка 2'!M368+'первичка 2'!N368+'первичка 2'!O368+'первичка 2'!T368+'первичка 2'!W368+'первичка 2'!Z368+'первичка 2'!AA368+'первичка 2'!AB368+'первичка 2'!AH368+'первичка 2'!AI368+'первичка 2'!AJ368+'первичка 2'!AK368+'первичка 2'!AL368+'первичка 2'!AQ368+'первичка 2'!AT368</f>
        <v>837635.92802130757</v>
      </c>
      <c r="T164" s="724">
        <f>S164-R164</f>
        <v>0</v>
      </c>
    </row>
    <row r="165" spans="1:20" x14ac:dyDescent="0.3">
      <c r="A165" s="613"/>
      <c r="B165" s="624"/>
      <c r="C165" s="602"/>
      <c r="D165" s="605"/>
      <c r="E165" s="619"/>
      <c r="F165" s="602"/>
      <c r="G165" s="630"/>
      <c r="H165" s="624"/>
      <c r="I165" s="602"/>
      <c r="J165" s="605"/>
      <c r="K165" s="624"/>
      <c r="L165" s="602"/>
      <c r="M165" s="605"/>
      <c r="N165" s="619"/>
      <c r="O165" s="602"/>
      <c r="P165" s="605"/>
      <c r="Q165"/>
      <c r="R165"/>
      <c r="S165"/>
      <c r="T165"/>
    </row>
    <row r="166" spans="1:20" x14ac:dyDescent="0.3">
      <c r="A166" s="614" t="s">
        <v>1609</v>
      </c>
      <c r="B166" s="624"/>
      <c r="C166" s="602"/>
      <c r="D166" s="605"/>
      <c r="E166" s="619"/>
      <c r="F166" s="602"/>
      <c r="G166" s="630"/>
      <c r="H166" s="624"/>
      <c r="I166" s="602"/>
      <c r="J166" s="605"/>
      <c r="K166" s="651">
        <f>K16+K66+K116</f>
        <v>353456</v>
      </c>
      <c r="L166" s="603">
        <f>L16+L66+L116</f>
        <v>393167.99999999977</v>
      </c>
      <c r="M166" s="606">
        <f>L166-K166</f>
        <v>39711.999999999767</v>
      </c>
      <c r="N166" s="620">
        <f>B166+E166+H166+K166</f>
        <v>353456</v>
      </c>
      <c r="O166" s="603">
        <f>C166+F166+I166+L166</f>
        <v>393167.99999999977</v>
      </c>
      <c r="P166" s="606">
        <f>O166-N166</f>
        <v>39711.999999999767</v>
      </c>
      <c r="Q166"/>
      <c r="S166" s="655">
        <f>'первичка 2'!AT368</f>
        <v>393167.99999999988</v>
      </c>
    </row>
    <row r="167" spans="1:20" x14ac:dyDescent="0.3">
      <c r="A167" s="613"/>
      <c r="B167" s="624"/>
      <c r="C167" s="602"/>
      <c r="D167" s="605"/>
      <c r="E167" s="619"/>
      <c r="F167" s="602"/>
      <c r="G167" s="630"/>
      <c r="H167" s="624"/>
      <c r="I167" s="602"/>
      <c r="J167" s="605"/>
      <c r="K167" s="624"/>
      <c r="L167" s="602"/>
      <c r="M167" s="605"/>
      <c r="N167" s="619"/>
      <c r="O167" s="602"/>
      <c r="P167" s="605"/>
      <c r="Q167"/>
      <c r="R167"/>
      <c r="S167"/>
      <c r="T167"/>
    </row>
    <row r="168" spans="1:20" x14ac:dyDescent="0.3">
      <c r="A168" s="614" t="s">
        <v>926</v>
      </c>
      <c r="B168" s="624"/>
      <c r="C168" s="602"/>
      <c r="D168" s="605"/>
      <c r="E168" s="619"/>
      <c r="F168" s="602"/>
      <c r="G168" s="630"/>
      <c r="H168" s="624"/>
      <c r="I168" s="602"/>
      <c r="J168" s="605"/>
      <c r="K168" s="651">
        <f>K18+K68+K118</f>
        <v>389105</v>
      </c>
      <c r="L168" s="603">
        <f>L18+L68+L118</f>
        <v>386266.57999999996</v>
      </c>
      <c r="M168" s="606">
        <f>L168-K168</f>
        <v>-2838.4200000000419</v>
      </c>
      <c r="N168" s="620">
        <f>B168+E168+H168+K168</f>
        <v>389105</v>
      </c>
      <c r="O168" s="708">
        <f>C168+F168+I168+L168</f>
        <v>386266.57999999996</v>
      </c>
      <c r="P168" s="606">
        <f>O168-N168</f>
        <v>-2838.4200000000419</v>
      </c>
      <c r="Q168"/>
      <c r="R168"/>
      <c r="S168" s="724">
        <f>'первичка 1'!Y368</f>
        <v>386266.58000000007</v>
      </c>
      <c r="T168"/>
    </row>
    <row r="169" spans="1:20" x14ac:dyDescent="0.3">
      <c r="A169" s="614" t="s">
        <v>927</v>
      </c>
      <c r="B169" s="624"/>
      <c r="C169" s="602"/>
      <c r="D169" s="605"/>
      <c r="E169" s="619"/>
      <c r="F169" s="602"/>
      <c r="G169" s="630"/>
      <c r="H169" s="624"/>
      <c r="I169" s="602"/>
      <c r="J169" s="605"/>
      <c r="K169" s="651">
        <f>K19+K69+K119</f>
        <v>5674</v>
      </c>
      <c r="L169" s="603">
        <f>L19+L69+L119</f>
        <v>10244.380999999999</v>
      </c>
      <c r="M169" s="606">
        <f>L169-K169</f>
        <v>4570.3809999999994</v>
      </c>
      <c r="N169" s="620">
        <f>B169+E169+H169+K169</f>
        <v>5674</v>
      </c>
      <c r="O169" s="708">
        <f>C169+F169+I169+L169</f>
        <v>10244.380999999999</v>
      </c>
      <c r="P169" s="606">
        <f>O169-N169</f>
        <v>4570.3809999999994</v>
      </c>
      <c r="Q169"/>
      <c r="R169"/>
      <c r="S169" s="724">
        <f>'первичка 1'!AC368</f>
        <v>10244.380999999998</v>
      </c>
      <c r="T169"/>
    </row>
    <row r="170" spans="1:20" x14ac:dyDescent="0.3">
      <c r="A170" s="614"/>
      <c r="B170" s="624"/>
      <c r="C170" s="602"/>
      <c r="D170" s="605"/>
      <c r="E170" s="619"/>
      <c r="F170" s="602"/>
      <c r="G170" s="630"/>
      <c r="H170" s="624"/>
      <c r="I170" s="602"/>
      <c r="J170" s="605"/>
      <c r="K170" s="625"/>
      <c r="L170" s="603"/>
      <c r="M170" s="606"/>
      <c r="N170" s="620"/>
      <c r="O170" s="603"/>
      <c r="P170" s="606"/>
      <c r="Q170"/>
      <c r="R170"/>
      <c r="S170"/>
      <c r="T170"/>
    </row>
    <row r="171" spans="1:20" x14ac:dyDescent="0.3">
      <c r="A171" s="614" t="s">
        <v>928</v>
      </c>
      <c r="B171" s="624"/>
      <c r="C171" s="602"/>
      <c r="D171" s="605"/>
      <c r="E171" s="619"/>
      <c r="F171" s="602"/>
      <c r="G171" s="630"/>
      <c r="H171" s="624"/>
      <c r="I171" s="602"/>
      <c r="J171" s="605"/>
      <c r="K171" s="651">
        <f>K21+K71+K121</f>
        <v>114570</v>
      </c>
      <c r="L171" s="603">
        <f>L21+L71+L121</f>
        <v>170148.75</v>
      </c>
      <c r="M171" s="606">
        <f>L171-K171</f>
        <v>55578.75</v>
      </c>
      <c r="N171" s="620">
        <f>B171+E171+H171+K171</f>
        <v>114570</v>
      </c>
      <c r="O171" s="708">
        <f>C171+F171+I171+L171</f>
        <v>170148.75</v>
      </c>
      <c r="P171" s="606">
        <f>O171-N171</f>
        <v>55578.75</v>
      </c>
      <c r="Q171"/>
      <c r="R171"/>
      <c r="S171" s="724">
        <f>'первичка 1'!AL368</f>
        <v>170148.75</v>
      </c>
      <c r="T171"/>
    </row>
    <row r="172" spans="1:20" x14ac:dyDescent="0.3">
      <c r="A172" s="613"/>
      <c r="B172" s="624"/>
      <c r="C172" s="602"/>
      <c r="D172" s="605"/>
      <c r="E172" s="619"/>
      <c r="F172" s="602"/>
      <c r="G172" s="630"/>
      <c r="H172" s="624"/>
      <c r="I172" s="602"/>
      <c r="J172" s="605"/>
      <c r="K172" s="624"/>
      <c r="L172" s="602"/>
      <c r="M172" s="605"/>
      <c r="N172" s="619"/>
      <c r="O172" s="602"/>
      <c r="P172" s="605"/>
      <c r="Q172"/>
      <c r="R172"/>
      <c r="S172"/>
      <c r="T172"/>
    </row>
    <row r="173" spans="1:20" x14ac:dyDescent="0.3">
      <c r="A173" s="614" t="s">
        <v>1602</v>
      </c>
      <c r="B173" s="652">
        <f>B23+B73+B123</f>
        <v>224910</v>
      </c>
      <c r="C173" s="595">
        <f>C23+C73+C123</f>
        <v>245539</v>
      </c>
      <c r="D173" s="653">
        <f>C173-B173</f>
        <v>20629</v>
      </c>
      <c r="E173" s="652">
        <f>E23+E73+E123</f>
        <v>49480</v>
      </c>
      <c r="F173" s="595">
        <f>F23+F73+F123</f>
        <v>53279</v>
      </c>
      <c r="G173" s="654">
        <f>F173-E173</f>
        <v>3799</v>
      </c>
      <c r="H173" s="652">
        <f>H23+H73+H123</f>
        <v>264280</v>
      </c>
      <c r="I173" s="595">
        <f>I23+I73+I123</f>
        <v>175998</v>
      </c>
      <c r="J173" s="653">
        <f>I173-H173</f>
        <v>-88282</v>
      </c>
      <c r="K173" s="652">
        <f>K23+K73+K123</f>
        <v>521768</v>
      </c>
      <c r="L173" s="595">
        <f>L23+L73+L123</f>
        <v>493365</v>
      </c>
      <c r="M173" s="653">
        <f>L173-K173</f>
        <v>-28403</v>
      </c>
      <c r="N173" s="620">
        <f>B173+E173+H173+K173</f>
        <v>1060438</v>
      </c>
      <c r="O173" s="708">
        <f>C173+F173+I173+L173</f>
        <v>968181</v>
      </c>
      <c r="P173" s="606">
        <f>O173-N173</f>
        <v>-92257</v>
      </c>
      <c r="Q173"/>
      <c r="R173"/>
      <c r="S173"/>
      <c r="T173" s="604"/>
    </row>
    <row r="174" spans="1:20" x14ac:dyDescent="0.3">
      <c r="A174" s="613"/>
      <c r="B174" s="624"/>
      <c r="C174" s="602"/>
      <c r="D174" s="605"/>
      <c r="E174" s="619"/>
      <c r="F174" s="602"/>
      <c r="G174" s="630"/>
      <c r="H174" s="624"/>
      <c r="I174" s="602"/>
      <c r="J174" s="605"/>
      <c r="K174" s="624"/>
      <c r="L174" s="602"/>
      <c r="M174" s="605"/>
      <c r="N174" s="619"/>
      <c r="O174" s="602"/>
      <c r="P174" s="605"/>
      <c r="Q174"/>
      <c r="R174"/>
      <c r="S174"/>
      <c r="T174"/>
    </row>
    <row r="175" spans="1:20" x14ac:dyDescent="0.3">
      <c r="A175" s="614" t="s">
        <v>1603</v>
      </c>
      <c r="B175" s="624"/>
      <c r="C175" s="602"/>
      <c r="D175" s="605"/>
      <c r="E175" s="619"/>
      <c r="F175" s="602"/>
      <c r="G175" s="630"/>
      <c r="H175" s="624"/>
      <c r="I175" s="602"/>
      <c r="J175" s="605"/>
      <c r="K175" s="624"/>
      <c r="L175" s="602"/>
      <c r="M175" s="605"/>
      <c r="N175" s="619"/>
      <c r="O175" s="602"/>
      <c r="P175" s="605"/>
      <c r="Q175"/>
      <c r="R175"/>
      <c r="S175"/>
      <c r="T175"/>
    </row>
    <row r="176" spans="1:20" x14ac:dyDescent="0.3">
      <c r="A176" s="613" t="s">
        <v>1597</v>
      </c>
      <c r="B176" s="650">
        <f t="shared" ref="B176:C180" si="28">B26+B76+B126</f>
        <v>22982</v>
      </c>
      <c r="C176" s="602">
        <f t="shared" si="28"/>
        <v>19280</v>
      </c>
      <c r="D176" s="605">
        <f t="shared" ref="D176:D181" si="29">C176-B176</f>
        <v>-3702</v>
      </c>
      <c r="E176" s="650">
        <f t="shared" ref="E176:F180" si="30">E26+E76+E126</f>
        <v>5054</v>
      </c>
      <c r="F176" s="602">
        <f t="shared" si="30"/>
        <v>4241</v>
      </c>
      <c r="G176" s="630">
        <f t="shared" ref="G176:G181" si="31">F176-E176</f>
        <v>-813</v>
      </c>
      <c r="H176" s="650">
        <f t="shared" ref="H176:I180" si="32">H26+H76+H126</f>
        <v>26994</v>
      </c>
      <c r="I176" s="602">
        <f t="shared" si="32"/>
        <v>48242</v>
      </c>
      <c r="J176" s="605">
        <f t="shared" ref="J176:J181" si="33">I176-H176</f>
        <v>21248</v>
      </c>
      <c r="K176" s="650">
        <f t="shared" ref="K176:L180" si="34">K26+K76+K126</f>
        <v>0</v>
      </c>
      <c r="L176" s="602">
        <f t="shared" si="34"/>
        <v>12159</v>
      </c>
      <c r="M176" s="605">
        <f t="shared" ref="M176:M181" si="35">L176-K176</f>
        <v>12159</v>
      </c>
      <c r="N176" s="619">
        <f t="shared" ref="N176:O180" si="36">B176+E176+H176+K176</f>
        <v>55030</v>
      </c>
      <c r="O176" s="602">
        <f t="shared" si="36"/>
        <v>83922</v>
      </c>
      <c r="P176" s="605">
        <f t="shared" ref="P176:P181" si="37">O176-N176</f>
        <v>28892</v>
      </c>
      <c r="Q176"/>
      <c r="R176"/>
      <c r="S176"/>
      <c r="T176"/>
    </row>
    <row r="177" spans="1:16" customFormat="1" x14ac:dyDescent="0.3">
      <c r="A177" s="613" t="s">
        <v>1598</v>
      </c>
      <c r="B177" s="650">
        <f t="shared" si="28"/>
        <v>2571</v>
      </c>
      <c r="C177" s="602">
        <f t="shared" si="28"/>
        <v>226</v>
      </c>
      <c r="D177" s="605">
        <f t="shared" si="29"/>
        <v>-2345</v>
      </c>
      <c r="E177" s="650">
        <f t="shared" si="30"/>
        <v>565</v>
      </c>
      <c r="F177" s="602">
        <f t="shared" si="30"/>
        <v>50</v>
      </c>
      <c r="G177" s="630">
        <f t="shared" si="31"/>
        <v>-515</v>
      </c>
      <c r="H177" s="650">
        <f t="shared" si="32"/>
        <v>1962</v>
      </c>
      <c r="I177" s="602">
        <f t="shared" si="32"/>
        <v>514</v>
      </c>
      <c r="J177" s="605">
        <f t="shared" si="33"/>
        <v>-1448</v>
      </c>
      <c r="K177" s="650">
        <f t="shared" si="34"/>
        <v>0</v>
      </c>
      <c r="L177" s="602">
        <f t="shared" si="34"/>
        <v>998</v>
      </c>
      <c r="M177" s="605">
        <f t="shared" si="35"/>
        <v>998</v>
      </c>
      <c r="N177" s="619">
        <f t="shared" si="36"/>
        <v>5098</v>
      </c>
      <c r="O177" s="602">
        <f t="shared" si="36"/>
        <v>1788</v>
      </c>
      <c r="P177" s="605">
        <f t="shared" si="37"/>
        <v>-3310</v>
      </c>
    </row>
    <row r="178" spans="1:16" customFormat="1" x14ac:dyDescent="0.3">
      <c r="A178" s="613" t="s">
        <v>1599</v>
      </c>
      <c r="B178" s="650">
        <f t="shared" si="28"/>
        <v>12716</v>
      </c>
      <c r="C178" s="602">
        <f t="shared" si="28"/>
        <v>3857</v>
      </c>
      <c r="D178" s="605">
        <f t="shared" si="29"/>
        <v>-8859</v>
      </c>
      <c r="E178" s="650">
        <f t="shared" si="30"/>
        <v>2798</v>
      </c>
      <c r="F178" s="602">
        <f t="shared" si="30"/>
        <v>848</v>
      </c>
      <c r="G178" s="630">
        <f t="shared" si="31"/>
        <v>-1950</v>
      </c>
      <c r="H178" s="650">
        <f t="shared" si="32"/>
        <v>8659</v>
      </c>
      <c r="I178" s="602">
        <f t="shared" si="32"/>
        <v>14456</v>
      </c>
      <c r="J178" s="605">
        <f t="shared" si="33"/>
        <v>5797</v>
      </c>
      <c r="K178" s="650">
        <f t="shared" si="34"/>
        <v>0</v>
      </c>
      <c r="L178" s="602">
        <f t="shared" si="34"/>
        <v>3364</v>
      </c>
      <c r="M178" s="605">
        <f t="shared" si="35"/>
        <v>3364</v>
      </c>
      <c r="N178" s="619">
        <f t="shared" si="36"/>
        <v>24173</v>
      </c>
      <c r="O178" s="602">
        <f t="shared" si="36"/>
        <v>22525</v>
      </c>
      <c r="P178" s="605">
        <f t="shared" si="37"/>
        <v>-1648</v>
      </c>
    </row>
    <row r="179" spans="1:16" customFormat="1" x14ac:dyDescent="0.3">
      <c r="A179" s="613" t="s">
        <v>1600</v>
      </c>
      <c r="B179" s="650">
        <f t="shared" si="28"/>
        <v>6298</v>
      </c>
      <c r="C179" s="602">
        <f t="shared" si="28"/>
        <v>27578</v>
      </c>
      <c r="D179" s="605">
        <f t="shared" si="29"/>
        <v>21280</v>
      </c>
      <c r="E179" s="650">
        <f t="shared" si="30"/>
        <v>1386</v>
      </c>
      <c r="F179" s="602">
        <f t="shared" si="30"/>
        <v>6067</v>
      </c>
      <c r="G179" s="630">
        <f t="shared" si="31"/>
        <v>4681</v>
      </c>
      <c r="H179" s="650">
        <f t="shared" si="32"/>
        <v>5584</v>
      </c>
      <c r="I179" s="602">
        <f t="shared" si="32"/>
        <v>13373</v>
      </c>
      <c r="J179" s="605">
        <f t="shared" si="33"/>
        <v>7789</v>
      </c>
      <c r="K179" s="650">
        <f t="shared" si="34"/>
        <v>0</v>
      </c>
      <c r="L179" s="602">
        <f t="shared" si="34"/>
        <v>0</v>
      </c>
      <c r="M179" s="605">
        <f t="shared" si="35"/>
        <v>0</v>
      </c>
      <c r="N179" s="619">
        <f t="shared" si="36"/>
        <v>13268</v>
      </c>
      <c r="O179" s="602">
        <f t="shared" si="36"/>
        <v>47018</v>
      </c>
      <c r="P179" s="605">
        <f t="shared" si="37"/>
        <v>33750</v>
      </c>
    </row>
    <row r="180" spans="1:16" customFormat="1" x14ac:dyDescent="0.3">
      <c r="A180" s="613" t="s">
        <v>1604</v>
      </c>
      <c r="B180" s="650">
        <f t="shared" si="28"/>
        <v>1389</v>
      </c>
      <c r="C180" s="602">
        <f t="shared" si="28"/>
        <v>0</v>
      </c>
      <c r="D180" s="605">
        <f t="shared" si="29"/>
        <v>-1389</v>
      </c>
      <c r="E180" s="650">
        <f t="shared" si="30"/>
        <v>305</v>
      </c>
      <c r="F180" s="602">
        <f t="shared" si="30"/>
        <v>0</v>
      </c>
      <c r="G180" s="630">
        <f t="shared" si="31"/>
        <v>-305</v>
      </c>
      <c r="H180" s="650">
        <f t="shared" si="32"/>
        <v>444</v>
      </c>
      <c r="I180" s="602">
        <f t="shared" si="32"/>
        <v>0</v>
      </c>
      <c r="J180" s="605">
        <f t="shared" si="33"/>
        <v>-444</v>
      </c>
      <c r="K180" s="650">
        <f t="shared" si="34"/>
        <v>0</v>
      </c>
      <c r="L180" s="602">
        <f t="shared" si="34"/>
        <v>0</v>
      </c>
      <c r="M180" s="605">
        <f t="shared" si="35"/>
        <v>0</v>
      </c>
      <c r="N180" s="619">
        <f t="shared" si="36"/>
        <v>2138</v>
      </c>
      <c r="O180" s="602">
        <f t="shared" si="36"/>
        <v>0</v>
      </c>
      <c r="P180" s="605">
        <f t="shared" si="37"/>
        <v>-2138</v>
      </c>
    </row>
    <row r="181" spans="1:16" customFormat="1" x14ac:dyDescent="0.3">
      <c r="A181" s="614" t="s">
        <v>957</v>
      </c>
      <c r="B181" s="625">
        <f>SUM(B176:B180)</f>
        <v>45956</v>
      </c>
      <c r="C181" s="603">
        <f>SUM(C176:C180)</f>
        <v>50941</v>
      </c>
      <c r="D181" s="606">
        <f t="shared" si="29"/>
        <v>4985</v>
      </c>
      <c r="E181" s="620">
        <f>SUM(E176:E180)</f>
        <v>10108</v>
      </c>
      <c r="F181" s="603">
        <f>SUM(F176:F180)</f>
        <v>11206</v>
      </c>
      <c r="G181" s="631">
        <f t="shared" si="31"/>
        <v>1098</v>
      </c>
      <c r="H181" s="625">
        <f>SUM(H176:H180)</f>
        <v>43643</v>
      </c>
      <c r="I181" s="603">
        <f>SUM(I176:I180)</f>
        <v>76585</v>
      </c>
      <c r="J181" s="606">
        <f t="shared" si="33"/>
        <v>32942</v>
      </c>
      <c r="K181" s="625">
        <f>SUM(K176:K180)</f>
        <v>0</v>
      </c>
      <c r="L181" s="603">
        <f>SUM(L176:L180)</f>
        <v>16521</v>
      </c>
      <c r="M181" s="606">
        <f t="shared" si="35"/>
        <v>16521</v>
      </c>
      <c r="N181" s="620">
        <f>SUM(N176:N180)</f>
        <v>99707</v>
      </c>
      <c r="O181" s="708">
        <f>SUM(O176:O180)</f>
        <v>155253</v>
      </c>
      <c r="P181" s="606">
        <f t="shared" si="37"/>
        <v>55546</v>
      </c>
    </row>
    <row r="182" spans="1:16" customFormat="1" x14ac:dyDescent="0.3">
      <c r="A182" s="613"/>
      <c r="B182" s="624"/>
      <c r="C182" s="602"/>
      <c r="D182" s="605"/>
      <c r="E182" s="619"/>
      <c r="F182" s="602"/>
      <c r="G182" s="630"/>
      <c r="H182" s="624"/>
      <c r="I182" s="602"/>
      <c r="J182" s="605"/>
      <c r="K182" s="624"/>
      <c r="L182" s="602"/>
      <c r="M182" s="605"/>
      <c r="N182" s="619"/>
      <c r="O182" s="602"/>
      <c r="P182" s="605"/>
    </row>
    <row r="183" spans="1:16" customFormat="1" x14ac:dyDescent="0.3">
      <c r="A183" s="613"/>
      <c r="B183" s="624"/>
      <c r="C183" s="602"/>
      <c r="D183" s="605"/>
      <c r="E183" s="619"/>
      <c r="F183" s="602"/>
      <c r="G183" s="630"/>
      <c r="H183" s="624"/>
      <c r="I183" s="602"/>
      <c r="J183" s="605"/>
      <c r="K183" s="624"/>
      <c r="L183" s="602"/>
      <c r="M183" s="605"/>
      <c r="N183" s="619"/>
      <c r="O183" s="602"/>
      <c r="P183" s="605"/>
    </row>
    <row r="184" spans="1:16" customFormat="1" x14ac:dyDescent="0.3">
      <c r="A184" s="614" t="s">
        <v>14</v>
      </c>
      <c r="B184" s="652">
        <f>B34+B84+B134</f>
        <v>454498</v>
      </c>
      <c r="C184" s="595">
        <f>C34+C84+C134</f>
        <v>544295.00000000023</v>
      </c>
      <c r="D184" s="653">
        <f>C184-B184</f>
        <v>89797.000000000233</v>
      </c>
      <c r="E184" s="652">
        <f>E34+E84+E134</f>
        <v>99990</v>
      </c>
      <c r="F184" s="595">
        <f>F34+F84+F134</f>
        <v>119745</v>
      </c>
      <c r="G184" s="654">
        <f>F184-E184</f>
        <v>19755</v>
      </c>
      <c r="H184" s="652">
        <f>H34+H84+H134</f>
        <v>56089</v>
      </c>
      <c r="I184" s="595">
        <f>I34+I84+I134</f>
        <v>41681.909999999996</v>
      </c>
      <c r="J184" s="653">
        <f>I184-H184</f>
        <v>-14407.090000000004</v>
      </c>
      <c r="K184" s="652">
        <f>K34+K84+K134</f>
        <v>0</v>
      </c>
      <c r="L184" s="595">
        <f>L34+L84+L134</f>
        <v>0</v>
      </c>
      <c r="M184" s="653">
        <f>L184-K184</f>
        <v>0</v>
      </c>
      <c r="N184" s="620">
        <f>B184+E184+H184+K184</f>
        <v>610577</v>
      </c>
      <c r="O184" s="708">
        <f>C184+F184+I184+L184</f>
        <v>705721.91000000027</v>
      </c>
      <c r="P184" s="606">
        <f>O184-N184</f>
        <v>95144.910000000265</v>
      </c>
    </row>
    <row r="185" spans="1:16" customFormat="1" x14ac:dyDescent="0.3">
      <c r="A185" s="613"/>
      <c r="B185" s="624"/>
      <c r="C185" s="602"/>
      <c r="D185" s="605"/>
      <c r="E185" s="619"/>
      <c r="F185" s="602"/>
      <c r="G185" s="630"/>
      <c r="H185" s="624"/>
      <c r="I185" s="602"/>
      <c r="J185" s="605"/>
      <c r="K185" s="624"/>
      <c r="L185" s="602"/>
      <c r="M185" s="605"/>
      <c r="N185" s="619"/>
      <c r="O185" s="707"/>
      <c r="P185" s="605"/>
    </row>
    <row r="186" spans="1:16" customFormat="1" x14ac:dyDescent="0.3">
      <c r="A186" s="614" t="s">
        <v>1605</v>
      </c>
      <c r="B186" s="652">
        <f>B36+B86+B136</f>
        <v>251891</v>
      </c>
      <c r="C186" s="595">
        <f>C36+C86+C136</f>
        <v>328346.99999999988</v>
      </c>
      <c r="D186" s="653">
        <f>C186-B186</f>
        <v>76455.999999999884</v>
      </c>
      <c r="E186" s="652">
        <f>E36+E86+E136</f>
        <v>55416</v>
      </c>
      <c r="F186" s="595">
        <f>F36+F86+F136</f>
        <v>72236</v>
      </c>
      <c r="G186" s="654">
        <f>F186-E186</f>
        <v>16820</v>
      </c>
      <c r="H186" s="652">
        <f>H36+H86+H136</f>
        <v>11683</v>
      </c>
      <c r="I186" s="595">
        <f>I36+I86+I136</f>
        <v>24627.66</v>
      </c>
      <c r="J186" s="653">
        <f>I186-H186</f>
        <v>12944.66</v>
      </c>
      <c r="K186" s="652">
        <f>K36+K86+K136</f>
        <v>0</v>
      </c>
      <c r="L186" s="595">
        <f>L36+L86+L136</f>
        <v>0</v>
      </c>
      <c r="M186" s="653">
        <f>L186-K186</f>
        <v>0</v>
      </c>
      <c r="N186" s="620">
        <f>B186+E186+H186+K186</f>
        <v>318990</v>
      </c>
      <c r="O186" s="708">
        <f>C186+F186+I186+L186</f>
        <v>425210.65999999986</v>
      </c>
      <c r="P186" s="606">
        <f>O186-N186</f>
        <v>106220.65999999986</v>
      </c>
    </row>
    <row r="187" spans="1:16" customFormat="1" x14ac:dyDescent="0.3">
      <c r="A187" s="613"/>
      <c r="B187" s="624"/>
      <c r="C187" s="602"/>
      <c r="D187" s="605"/>
      <c r="E187" s="619"/>
      <c r="F187" s="602"/>
      <c r="G187" s="630"/>
      <c r="H187" s="624"/>
      <c r="I187" s="602"/>
      <c r="J187" s="605"/>
      <c r="K187" s="624"/>
      <c r="L187" s="602"/>
      <c r="M187" s="605"/>
      <c r="N187" s="619"/>
      <c r="O187" s="602"/>
      <c r="P187" s="605"/>
    </row>
    <row r="188" spans="1:16" customFormat="1" x14ac:dyDescent="0.3">
      <c r="A188" s="614" t="s">
        <v>959</v>
      </c>
      <c r="B188" s="625"/>
      <c r="C188" s="603"/>
      <c r="D188" s="606"/>
      <c r="E188" s="620"/>
      <c r="F188" s="603"/>
      <c r="G188" s="631"/>
      <c r="H188" s="625"/>
      <c r="I188" s="603"/>
      <c r="J188" s="606"/>
      <c r="K188" s="651">
        <f>K38+K88+K138</f>
        <v>24695</v>
      </c>
      <c r="L188" s="603">
        <f>L38+L88+L138</f>
        <v>24694.823999999997</v>
      </c>
      <c r="M188" s="606">
        <f>L188-K188</f>
        <v>-0.17600000000311411</v>
      </c>
      <c r="N188" s="620">
        <f>B188+E188+H188+K188</f>
        <v>24695</v>
      </c>
      <c r="O188" s="708">
        <f>C188+F188+I188+L188</f>
        <v>24694.823999999997</v>
      </c>
      <c r="P188" s="606">
        <f>O188-N188</f>
        <v>-0.17600000000311411</v>
      </c>
    </row>
    <row r="189" spans="1:16" customFormat="1" x14ac:dyDescent="0.3">
      <c r="A189" s="614" t="s">
        <v>962</v>
      </c>
      <c r="B189" s="625"/>
      <c r="C189" s="603"/>
      <c r="D189" s="606"/>
      <c r="E189" s="620"/>
      <c r="F189" s="603"/>
      <c r="G189" s="631"/>
      <c r="H189" s="625"/>
      <c r="I189" s="603"/>
      <c r="J189" s="606"/>
      <c r="K189" s="651">
        <f>K39+K89+K139</f>
        <v>3040</v>
      </c>
      <c r="L189" s="603">
        <f>L39+L89+L139</f>
        <v>0</v>
      </c>
      <c r="M189" s="606">
        <f>L189-K189</f>
        <v>-3040</v>
      </c>
      <c r="N189" s="620">
        <f>B189+E189+H189+K189</f>
        <v>3040</v>
      </c>
      <c r="O189" s="708">
        <f>C189+F189+I189+L189</f>
        <v>0</v>
      </c>
      <c r="P189" s="606">
        <f>O189-N189</f>
        <v>-3040</v>
      </c>
    </row>
    <row r="190" spans="1:16" customFormat="1" x14ac:dyDescent="0.3">
      <c r="A190" s="613"/>
      <c r="B190" s="624"/>
      <c r="C190" s="602"/>
      <c r="D190" s="605"/>
      <c r="E190" s="619"/>
      <c r="F190" s="602"/>
      <c r="G190" s="630"/>
      <c r="H190" s="624"/>
      <c r="I190" s="602"/>
      <c r="J190" s="605"/>
      <c r="K190" s="624"/>
      <c r="L190" s="602"/>
      <c r="M190" s="605"/>
      <c r="N190" s="619"/>
      <c r="O190" s="602"/>
      <c r="P190" s="605"/>
    </row>
    <row r="191" spans="1:16" customFormat="1" x14ac:dyDescent="0.3">
      <c r="A191" s="614" t="s">
        <v>964</v>
      </c>
      <c r="B191" s="625"/>
      <c r="C191" s="603"/>
      <c r="D191" s="606"/>
      <c r="E191" s="620"/>
      <c r="F191" s="603"/>
      <c r="G191" s="631"/>
      <c r="H191" s="625"/>
      <c r="I191" s="603"/>
      <c r="J191" s="606"/>
      <c r="K191" s="651">
        <f>K41+K91+K141</f>
        <v>160145</v>
      </c>
      <c r="L191" s="603">
        <f>L41+L91+L141</f>
        <v>146281</v>
      </c>
      <c r="M191" s="606">
        <f>L191-K191</f>
        <v>-13864</v>
      </c>
      <c r="N191" s="620">
        <f>B191+E191+H191+K191</f>
        <v>160145</v>
      </c>
      <c r="O191" s="708">
        <f>C191+F191+I191+L191</f>
        <v>146281</v>
      </c>
      <c r="P191" s="606">
        <f>O191-N191</f>
        <v>-13864</v>
      </c>
    </row>
    <row r="192" spans="1:16" customFormat="1" x14ac:dyDescent="0.3">
      <c r="A192" s="614" t="s">
        <v>1606</v>
      </c>
      <c r="B192" s="625"/>
      <c r="C192" s="603"/>
      <c r="D192" s="626"/>
      <c r="E192" s="620"/>
      <c r="F192" s="603"/>
      <c r="G192" s="631"/>
      <c r="H192" s="625"/>
      <c r="I192" s="603"/>
      <c r="J192" s="606"/>
      <c r="K192" s="651">
        <f>K42+K92+K142</f>
        <v>87396</v>
      </c>
      <c r="L192" s="603">
        <f>L42+L92+L142</f>
        <v>109256.4</v>
      </c>
      <c r="M192" s="606">
        <f>L192-K192</f>
        <v>21860.399999999994</v>
      </c>
      <c r="N192" s="620">
        <f>B192+E192+H192+K192</f>
        <v>87396</v>
      </c>
      <c r="O192" s="708">
        <f>C192+F192+I192+L192</f>
        <v>109256.4</v>
      </c>
      <c r="P192" s="606">
        <f>O192-N192</f>
        <v>21860.399999999994</v>
      </c>
    </row>
    <row r="193" spans="1:16" customFormat="1" x14ac:dyDescent="0.3">
      <c r="A193" s="613"/>
      <c r="B193" s="624"/>
      <c r="C193" s="602"/>
      <c r="D193" s="605"/>
      <c r="E193" s="619"/>
      <c r="F193" s="602"/>
      <c r="G193" s="630"/>
      <c r="H193" s="624"/>
      <c r="I193" s="602"/>
      <c r="J193" s="605"/>
      <c r="K193" s="624"/>
      <c r="L193" s="602"/>
      <c r="M193" s="605"/>
      <c r="N193" s="619"/>
      <c r="O193" s="602"/>
      <c r="P193" s="605"/>
    </row>
    <row r="194" spans="1:16" customFormat="1" ht="15.6" x14ac:dyDescent="0.3">
      <c r="A194" s="615" t="s">
        <v>1607</v>
      </c>
      <c r="B194" s="625">
        <f>B164+B168+B169+B171+B173+B181+B184+B186+B188+B189+B191+B192</f>
        <v>1174599</v>
      </c>
      <c r="C194" s="603">
        <f>C164+C168+C169+C171+C173+C181+C184+C186+C188+C189+C191+C192</f>
        <v>1377886.2713546413</v>
      </c>
      <c r="D194" s="606">
        <f>C194-B194</f>
        <v>203287.2713546413</v>
      </c>
      <c r="E194" s="620">
        <f>E164+E168+E169+E171+E173+E181+E184+E186+E188+E189+E191+E192</f>
        <v>258410</v>
      </c>
      <c r="F194" s="603">
        <f>F164+F168+F169+F171+F173+F181+F184+F186+F188+F189+F191+F192</f>
        <v>299410</v>
      </c>
      <c r="G194" s="631">
        <f>F194-E194</f>
        <v>41000</v>
      </c>
      <c r="H194" s="625">
        <f>H164+H168+H169+H171+H173+H181+H184+H186+H188+H189+H191+H192</f>
        <v>399904</v>
      </c>
      <c r="I194" s="603">
        <f>I164+I168+I169+I171+I173+I181+I184+I186+I188+I189+I191+I192</f>
        <v>353824.89599999995</v>
      </c>
      <c r="J194" s="606">
        <f>I194-H194</f>
        <v>-46079.10400000005</v>
      </c>
      <c r="K194" s="625">
        <f>K164+K168+K169+K171+K173+K181+K184+K186+K188+K189+K191+K192+K166</f>
        <v>1790828</v>
      </c>
      <c r="L194" s="603">
        <f>L164+L168+L169+L171+L173+L181+L184+L186+L188+L189+L191+L192+L166</f>
        <v>1907773.2656666664</v>
      </c>
      <c r="M194" s="606">
        <f>L194-K194</f>
        <v>116945.26566666644</v>
      </c>
      <c r="N194" s="620">
        <f>N164+N168+N169+N171+N173+N181+N184+N186+N188+N189+N191+N192+N166</f>
        <v>3623741</v>
      </c>
      <c r="O194" s="603">
        <f>O164+O168+O169+O171+O173+O181+O184+O186+O188+O189+O191+O192+O166</f>
        <v>3938894.433021307</v>
      </c>
      <c r="P194" s="606">
        <f>O194-N194</f>
        <v>315153.43302130699</v>
      </c>
    </row>
    <row r="195" spans="1:16" customFormat="1" x14ac:dyDescent="0.3">
      <c r="A195" s="613"/>
      <c r="B195" s="627"/>
      <c r="C195" s="570"/>
      <c r="D195" s="607"/>
      <c r="E195" s="621"/>
      <c r="F195" s="570"/>
      <c r="G195" s="632"/>
      <c r="H195" s="627"/>
      <c r="I195" s="570"/>
      <c r="J195" s="607"/>
      <c r="K195" s="627"/>
      <c r="L195" s="570"/>
      <c r="M195" s="607"/>
      <c r="N195" s="621"/>
      <c r="O195" s="570"/>
      <c r="P195" s="607"/>
    </row>
    <row r="196" spans="1:16" customFormat="1" x14ac:dyDescent="0.3">
      <c r="A196" s="614" t="s">
        <v>1643</v>
      </c>
      <c r="B196" s="652">
        <f>B46+B96+B146</f>
        <v>208705</v>
      </c>
      <c r="C196" s="595">
        <f>C46+C96+C146</f>
        <v>260102</v>
      </c>
      <c r="D196" s="653">
        <f>C196-B196</f>
        <v>51397</v>
      </c>
      <c r="E196" s="652">
        <f>E46+E96+E146</f>
        <v>45497</v>
      </c>
      <c r="F196" s="595">
        <f>F46+F96+F146</f>
        <v>57224</v>
      </c>
      <c r="G196" s="653">
        <f>F196-E196</f>
        <v>11727</v>
      </c>
      <c r="H196" s="652">
        <f>H46+H96+H146</f>
        <v>46296</v>
      </c>
      <c r="I196" s="595">
        <f>I46+I96+I146</f>
        <v>25318</v>
      </c>
      <c r="J196" s="653">
        <f>I196-H196</f>
        <v>-20978</v>
      </c>
      <c r="K196" s="652">
        <f>K46+K96+K146</f>
        <v>100997</v>
      </c>
      <c r="L196" s="595">
        <f>L46+L96+L146</f>
        <v>152662</v>
      </c>
      <c r="M196" s="653">
        <f>L196-K196</f>
        <v>51665</v>
      </c>
      <c r="N196" s="666">
        <f t="shared" ref="N196:O199" si="38">N46+N96+N146</f>
        <v>401496</v>
      </c>
      <c r="O196" s="709">
        <f t="shared" si="38"/>
        <v>495306</v>
      </c>
      <c r="P196" s="653">
        <f>O196-N196</f>
        <v>93810</v>
      </c>
    </row>
    <row r="197" spans="1:16" customFormat="1" x14ac:dyDescent="0.3">
      <c r="A197" s="616" t="s">
        <v>1626</v>
      </c>
      <c r="B197" s="627"/>
      <c r="C197" s="570"/>
      <c r="D197" s="607"/>
      <c r="E197" s="627"/>
      <c r="F197" s="570"/>
      <c r="G197" s="607"/>
      <c r="H197" s="627"/>
      <c r="I197" s="570"/>
      <c r="J197" s="607"/>
      <c r="K197" s="627"/>
      <c r="L197" s="570"/>
      <c r="M197" s="607"/>
      <c r="N197" s="619">
        <f t="shared" si="38"/>
        <v>90624</v>
      </c>
      <c r="O197" s="710">
        <f t="shared" si="38"/>
        <v>104304</v>
      </c>
      <c r="P197" s="605">
        <f>O197-N197</f>
        <v>13680</v>
      </c>
    </row>
    <row r="198" spans="1:16" customFormat="1" x14ac:dyDescent="0.3">
      <c r="A198" s="616" t="s">
        <v>1623</v>
      </c>
      <c r="B198" s="627"/>
      <c r="C198" s="570"/>
      <c r="D198" s="607"/>
      <c r="E198" s="627"/>
      <c r="F198" s="570"/>
      <c r="G198" s="607"/>
      <c r="H198" s="627"/>
      <c r="I198" s="570"/>
      <c r="J198" s="607"/>
      <c r="K198" s="627"/>
      <c r="L198" s="570"/>
      <c r="M198" s="607"/>
      <c r="N198" s="619">
        <f t="shared" si="38"/>
        <v>348501</v>
      </c>
      <c r="O198" s="710">
        <f t="shared" si="38"/>
        <v>269935</v>
      </c>
      <c r="P198" s="605">
        <f>O198-N198</f>
        <v>-78566</v>
      </c>
    </row>
    <row r="199" spans="1:16" customFormat="1" x14ac:dyDescent="0.3">
      <c r="A199" s="634" t="s">
        <v>1624</v>
      </c>
      <c r="B199" s="635"/>
      <c r="C199" s="636"/>
      <c r="D199" s="637"/>
      <c r="E199" s="635"/>
      <c r="F199" s="636"/>
      <c r="G199" s="637"/>
      <c r="H199" s="635"/>
      <c r="I199" s="636"/>
      <c r="J199" s="637"/>
      <c r="K199" s="635"/>
      <c r="L199" s="636"/>
      <c r="M199" s="637"/>
      <c r="N199" s="619">
        <f t="shared" si="38"/>
        <v>168534</v>
      </c>
      <c r="O199" s="710">
        <f t="shared" si="38"/>
        <v>176140</v>
      </c>
      <c r="P199" s="640">
        <f>O199-N199</f>
        <v>7606</v>
      </c>
    </row>
    <row r="200" spans="1:16" customFormat="1" ht="15" thickBot="1" x14ac:dyDescent="0.35">
      <c r="A200" s="634" t="s">
        <v>1627</v>
      </c>
      <c r="B200" s="635"/>
      <c r="C200" s="636"/>
      <c r="D200" s="637"/>
      <c r="E200" s="635"/>
      <c r="F200" s="636"/>
      <c r="G200" s="637"/>
      <c r="H200" s="635"/>
      <c r="I200" s="636"/>
      <c r="J200" s="637"/>
      <c r="K200" s="635"/>
      <c r="L200" s="636"/>
      <c r="M200" s="637"/>
      <c r="N200" s="638"/>
      <c r="O200" s="710">
        <f>O50+O100+O150</f>
        <v>-25908</v>
      </c>
      <c r="P200" s="640"/>
    </row>
    <row r="201" spans="1:16" customFormat="1" ht="15" thickBot="1" x14ac:dyDescent="0.35">
      <c r="A201" s="645" t="s">
        <v>1625</v>
      </c>
      <c r="B201" s="668">
        <f>B194+B196</f>
        <v>1383304</v>
      </c>
      <c r="C201" s="669">
        <f>C194+C196</f>
        <v>1637988.2713546413</v>
      </c>
      <c r="D201" s="644">
        <f>C201-B201</f>
        <v>254684.2713546413</v>
      </c>
      <c r="E201" s="668">
        <f>E194+E196</f>
        <v>303907</v>
      </c>
      <c r="F201" s="669">
        <f>F194+F196</f>
        <v>356634</v>
      </c>
      <c r="G201" s="644">
        <f>F201-E201</f>
        <v>52727</v>
      </c>
      <c r="H201" s="668">
        <f>H194+H196</f>
        <v>446200</v>
      </c>
      <c r="I201" s="669">
        <f>I194+I196</f>
        <v>379142.89599999995</v>
      </c>
      <c r="J201" s="644">
        <f>I201-H201</f>
        <v>-67057.10400000005</v>
      </c>
      <c r="K201" s="668">
        <f>K194+K196</f>
        <v>1891825</v>
      </c>
      <c r="L201" s="669">
        <f>L194+L196</f>
        <v>2060435.2656666664</v>
      </c>
      <c r="M201" s="644">
        <f>L201-K201</f>
        <v>168610.26566666644</v>
      </c>
      <c r="N201" s="647">
        <f>N194+N196+N197+N198+N199</f>
        <v>4632896</v>
      </c>
      <c r="O201" s="643">
        <f>O194+O196+O197+O198+O199+O200</f>
        <v>4958671.433021307</v>
      </c>
      <c r="P201" s="644">
        <f>O201-N201</f>
        <v>325775.43302130699</v>
      </c>
    </row>
    <row r="202" spans="1:16" customFormat="1" ht="15" thickBot="1" x14ac:dyDescent="0.35">
      <c r="P202" s="642">
        <f>O201/N201</f>
        <v>1.0703178817355941</v>
      </c>
    </row>
    <row r="203" spans="1:16" customFormat="1" x14ac:dyDescent="0.3">
      <c r="P203" s="711"/>
    </row>
    <row r="204" spans="1:16" customFormat="1" x14ac:dyDescent="0.3">
      <c r="K204" s="570" t="s">
        <v>1676</v>
      </c>
      <c r="L204" s="570"/>
      <c r="M204" s="570"/>
      <c r="N204" s="570"/>
      <c r="O204" s="602">
        <f>558029-57625</f>
        <v>500404</v>
      </c>
    </row>
    <row r="205" spans="1:16" customFormat="1" x14ac:dyDescent="0.3">
      <c r="K205" s="570" t="s">
        <v>1677</v>
      </c>
      <c r="L205" s="570"/>
      <c r="M205" s="570"/>
      <c r="N205" s="570"/>
      <c r="O205" s="602">
        <v>-6748</v>
      </c>
    </row>
    <row r="206" spans="1:16" customFormat="1" x14ac:dyDescent="0.3">
      <c r="K206" s="712" t="s">
        <v>1678</v>
      </c>
      <c r="L206" s="712"/>
      <c r="M206" s="712"/>
      <c r="N206" s="712"/>
      <c r="O206" s="595">
        <f>O201+O204+O205</f>
        <v>5452327.433021307</v>
      </c>
    </row>
    <row r="207" spans="1:16" customFormat="1" x14ac:dyDescent="0.3">
      <c r="K207" s="712" t="s">
        <v>1679</v>
      </c>
      <c r="L207" s="712"/>
      <c r="M207" s="712"/>
      <c r="N207" s="712"/>
      <c r="O207" s="595">
        <f>'побудинковий звіт'!CS368</f>
        <v>60775374.616602287</v>
      </c>
    </row>
    <row r="208" spans="1:16" customFormat="1" x14ac:dyDescent="0.3">
      <c r="O208" s="713">
        <f>O206-O207</f>
        <v>-55323047.18358098</v>
      </c>
    </row>
    <row r="210" spans="1:7" customFormat="1" x14ac:dyDescent="0.3">
      <c r="A210" s="570"/>
      <c r="B210" s="705"/>
      <c r="C210" s="705" t="s">
        <v>1672</v>
      </c>
      <c r="D210" s="705" t="s">
        <v>1673</v>
      </c>
      <c r="E210" s="705" t="s">
        <v>1674</v>
      </c>
      <c r="F210" s="705"/>
      <c r="G210" s="722" t="s">
        <v>1685</v>
      </c>
    </row>
    <row r="211" spans="1:7" customFormat="1" x14ac:dyDescent="0.3">
      <c r="A211" s="570" t="s">
        <v>1668</v>
      </c>
      <c r="B211" s="707">
        <f>G211-O196</f>
        <v>89458</v>
      </c>
      <c r="C211" s="602">
        <f>B211/B222*B219</f>
        <v>17906.996887604771</v>
      </c>
      <c r="D211" s="602">
        <f>B211/B222*B220</f>
        <v>43822.065223314763</v>
      </c>
      <c r="E211" s="602">
        <f>B211/B222*B221</f>
        <v>27728.937889080473</v>
      </c>
      <c r="F211" s="707">
        <f>SUM(C211:E211)</f>
        <v>89458</v>
      </c>
      <c r="G211" s="723">
        <f>599610-14846</f>
        <v>584764</v>
      </c>
    </row>
    <row r="212" spans="1:7" customFormat="1" x14ac:dyDescent="0.3">
      <c r="A212" s="570" t="s">
        <v>1670</v>
      </c>
      <c r="B212" s="707">
        <v>269935</v>
      </c>
      <c r="C212" s="602">
        <f>B212/B222*B219</f>
        <v>54033.459331257058</v>
      </c>
      <c r="D212" s="602">
        <f>B212/B222*B220</f>
        <v>132230.87008490541</v>
      </c>
      <c r="E212" s="602">
        <f>B212/B222*B221</f>
        <v>83670.67058383752</v>
      </c>
      <c r="F212" s="707">
        <f>SUM(C212:E212)</f>
        <v>269935</v>
      </c>
    </row>
    <row r="213" spans="1:7" customFormat="1" x14ac:dyDescent="0.3">
      <c r="A213" s="570" t="s">
        <v>1669</v>
      </c>
      <c r="B213" s="707">
        <v>176140</v>
      </c>
      <c r="C213" s="602">
        <f>B213/C222*C219</f>
        <v>54844.926645834443</v>
      </c>
      <c r="D213" s="602">
        <f>B213/C222*C220</f>
        <v>64948.184947831156</v>
      </c>
      <c r="E213" s="602">
        <f>B213/C222*C221</f>
        <v>56346.888406334416</v>
      </c>
      <c r="F213" s="707">
        <f>SUM(C213:E213)</f>
        <v>176140</v>
      </c>
    </row>
    <row r="214" spans="1:7" customFormat="1" x14ac:dyDescent="0.3">
      <c r="A214" s="570" t="s">
        <v>1671</v>
      </c>
      <c r="B214" s="707">
        <v>-25908</v>
      </c>
      <c r="C214" s="602">
        <f>B214/3</f>
        <v>-8636</v>
      </c>
      <c r="D214" s="602">
        <f>B214/3</f>
        <v>-8636</v>
      </c>
      <c r="E214" s="602">
        <f>B214/3</f>
        <v>-8636</v>
      </c>
      <c r="F214" s="707">
        <f>SUM(C214:E214)</f>
        <v>-25908</v>
      </c>
    </row>
    <row r="215" spans="1:7" customFormat="1" x14ac:dyDescent="0.3">
      <c r="A215" s="570" t="s">
        <v>1675</v>
      </c>
      <c r="B215" s="707">
        <v>14846</v>
      </c>
      <c r="C215" s="602">
        <v>0</v>
      </c>
      <c r="D215" s="602">
        <v>6273</v>
      </c>
      <c r="E215" s="602">
        <v>8573</v>
      </c>
      <c r="F215" s="707">
        <f>SUM(C215:E215)</f>
        <v>14846</v>
      </c>
    </row>
    <row r="216" spans="1:7" customFormat="1" x14ac:dyDescent="0.3">
      <c r="B216" s="706"/>
      <c r="C216" s="706"/>
      <c r="D216" s="706"/>
      <c r="E216" s="706"/>
      <c r="F216" s="706"/>
    </row>
    <row r="217" spans="1:7" customFormat="1" x14ac:dyDescent="0.3">
      <c r="B217" s="706"/>
      <c r="C217" s="706"/>
      <c r="D217" s="706"/>
      <c r="E217" s="706"/>
      <c r="F217" s="706"/>
    </row>
    <row r="218" spans="1:7" customFormat="1" x14ac:dyDescent="0.3">
      <c r="A218" s="570"/>
      <c r="B218" s="602" t="s">
        <v>939</v>
      </c>
      <c r="C218" s="602" t="s">
        <v>1093</v>
      </c>
      <c r="D218" s="602"/>
      <c r="E218" s="602"/>
      <c r="F218" s="706"/>
    </row>
    <row r="219" spans="1:7" customFormat="1" x14ac:dyDescent="0.3">
      <c r="A219" s="570" t="s">
        <v>1672</v>
      </c>
      <c r="B219" s="602">
        <f>'зведена таблиця'!G7</f>
        <v>201333.93999999994</v>
      </c>
      <c r="C219" s="602">
        <v>5879</v>
      </c>
      <c r="D219" s="602"/>
      <c r="E219" s="602"/>
      <c r="F219" s="706"/>
    </row>
    <row r="220" spans="1:7" customFormat="1" x14ac:dyDescent="0.3">
      <c r="A220" s="570" t="s">
        <v>1673</v>
      </c>
      <c r="B220" s="602">
        <f>'зведена таблиця'!J7</f>
        <v>492705.12000000017</v>
      </c>
      <c r="C220" s="602">
        <v>6962</v>
      </c>
      <c r="D220" s="602"/>
      <c r="E220" s="602"/>
      <c r="F220" s="706"/>
    </row>
    <row r="221" spans="1:7" customFormat="1" x14ac:dyDescent="0.3">
      <c r="A221" s="570" t="s">
        <v>1674</v>
      </c>
      <c r="B221" s="602">
        <f>'зведена таблиця'!M7</f>
        <v>311765.08</v>
      </c>
      <c r="C221" s="602">
        <v>6040</v>
      </c>
      <c r="D221" s="602"/>
      <c r="E221" s="602"/>
      <c r="F221" s="706"/>
    </row>
    <row r="222" spans="1:7" customFormat="1" x14ac:dyDescent="0.3">
      <c r="A222" s="570"/>
      <c r="B222" s="602">
        <f>SUM(B219:B221)</f>
        <v>1005804.1400000001</v>
      </c>
      <c r="C222" s="602">
        <f>SUM(C219:C221)</f>
        <v>18881</v>
      </c>
      <c r="D222" s="602"/>
      <c r="E222" s="602"/>
      <c r="F222" s="706"/>
    </row>
    <row r="225" spans="1:16" customFormat="1" x14ac:dyDescent="0.3">
      <c r="A225" t="s">
        <v>1667</v>
      </c>
    </row>
    <row r="227" spans="1:16" customFormat="1" ht="15" thickBot="1" x14ac:dyDescent="0.35"/>
    <row r="228" spans="1:16" customFormat="1" ht="21.6" thickBot="1" x14ac:dyDescent="0.45">
      <c r="A228" s="1424" t="s">
        <v>1629</v>
      </c>
      <c r="B228" s="1439" t="s">
        <v>1586</v>
      </c>
      <c r="C228" s="1428"/>
      <c r="D228" s="1428"/>
      <c r="E228" s="1428"/>
      <c r="F228" s="1428"/>
      <c r="G228" s="1428"/>
      <c r="H228" s="1428"/>
      <c r="I228" s="1428"/>
      <c r="J228" s="1428"/>
      <c r="K228" s="1428"/>
      <c r="L228" s="1428"/>
      <c r="M228" s="1428"/>
      <c r="N228" s="1428"/>
      <c r="O228" s="1428"/>
      <c r="P228" s="1429"/>
    </row>
    <row r="229" spans="1:16" customFormat="1" x14ac:dyDescent="0.3">
      <c r="A229" s="1437"/>
      <c r="B229" s="1430" t="s">
        <v>951</v>
      </c>
      <c r="C229" s="1431"/>
      <c r="D229" s="1432"/>
      <c r="E229" s="1440" t="s">
        <v>952</v>
      </c>
      <c r="F229" s="1431"/>
      <c r="G229" s="1441"/>
      <c r="H229" s="1430" t="s">
        <v>953</v>
      </c>
      <c r="I229" s="1431"/>
      <c r="J229" s="1432"/>
      <c r="K229" s="1440" t="s">
        <v>1601</v>
      </c>
      <c r="L229" s="1431"/>
      <c r="M229" s="1441"/>
      <c r="N229" s="1430" t="s">
        <v>957</v>
      </c>
      <c r="O229" s="1431"/>
      <c r="P229" s="1432"/>
    </row>
    <row r="230" spans="1:16" customFormat="1" ht="15" thickBot="1" x14ac:dyDescent="0.35">
      <c r="A230" s="1438"/>
      <c r="B230" s="622" t="s">
        <v>1013</v>
      </c>
      <c r="C230" s="610" t="s">
        <v>440</v>
      </c>
      <c r="D230" s="611" t="s">
        <v>1111</v>
      </c>
      <c r="E230" s="617" t="s">
        <v>1013</v>
      </c>
      <c r="F230" s="610" t="s">
        <v>440</v>
      </c>
      <c r="G230" s="628" t="s">
        <v>1111</v>
      </c>
      <c r="H230" s="622" t="s">
        <v>1013</v>
      </c>
      <c r="I230" s="610" t="s">
        <v>440</v>
      </c>
      <c r="J230" s="611" t="s">
        <v>1111</v>
      </c>
      <c r="K230" s="617" t="s">
        <v>1013</v>
      </c>
      <c r="L230" s="610" t="s">
        <v>440</v>
      </c>
      <c r="M230" s="628" t="s">
        <v>1111</v>
      </c>
      <c r="N230" s="622" t="s">
        <v>1013</v>
      </c>
      <c r="O230" s="610" t="s">
        <v>440</v>
      </c>
      <c r="P230" s="611" t="s">
        <v>1111</v>
      </c>
    </row>
    <row r="231" spans="1:16" customFormat="1" x14ac:dyDescent="0.3">
      <c r="A231" s="613"/>
      <c r="B231" s="624"/>
      <c r="C231" s="602"/>
      <c r="D231" s="605"/>
      <c r="E231" s="619"/>
      <c r="F231" s="602"/>
      <c r="G231" s="630"/>
      <c r="H231" s="624"/>
      <c r="I231" s="602"/>
      <c r="J231" s="605"/>
      <c r="K231" s="619"/>
      <c r="L231" s="602"/>
      <c r="M231" s="630"/>
      <c r="N231" s="624"/>
      <c r="O231" s="602"/>
      <c r="P231" s="605"/>
    </row>
    <row r="232" spans="1:16" customFormat="1" x14ac:dyDescent="0.3">
      <c r="A232" s="614" t="s">
        <v>1602</v>
      </c>
      <c r="B232" s="625">
        <f>55615+4675</f>
        <v>60290</v>
      </c>
      <c r="C232" s="603"/>
      <c r="D232" s="606">
        <f>C232-B232</f>
        <v>-60290</v>
      </c>
      <c r="E232" s="620">
        <f>12235+1029</f>
        <v>13264</v>
      </c>
      <c r="F232" s="603"/>
      <c r="G232" s="631">
        <f>F232-E232</f>
        <v>-13264</v>
      </c>
      <c r="H232" s="625">
        <v>76305</v>
      </c>
      <c r="I232" s="603"/>
      <c r="J232" s="606">
        <f>I232-H232</f>
        <v>-76305</v>
      </c>
      <c r="K232" s="633">
        <f>223475+39855</f>
        <v>263330</v>
      </c>
      <c r="L232" s="603"/>
      <c r="M232" s="631">
        <f>L232-K232</f>
        <v>-263330</v>
      </c>
      <c r="N232" s="625">
        <f>B232+E232+H232+K232</f>
        <v>413189</v>
      </c>
      <c r="O232" s="603">
        <f>C232+F232+I232+L232</f>
        <v>0</v>
      </c>
      <c r="P232" s="606">
        <f>O232-N232</f>
        <v>-413189</v>
      </c>
    </row>
    <row r="233" spans="1:16" customFormat="1" x14ac:dyDescent="0.3">
      <c r="A233" s="613"/>
      <c r="B233" s="624"/>
      <c r="C233" s="602"/>
      <c r="D233" s="605"/>
      <c r="E233" s="619"/>
      <c r="F233" s="602"/>
      <c r="G233" s="630"/>
      <c r="H233" s="624"/>
      <c r="I233" s="602"/>
      <c r="J233" s="605"/>
      <c r="K233" s="619"/>
      <c r="L233" s="602"/>
      <c r="M233" s="630"/>
      <c r="N233" s="624"/>
      <c r="O233" s="602"/>
      <c r="P233" s="605"/>
    </row>
    <row r="234" spans="1:16" customFormat="1" x14ac:dyDescent="0.3">
      <c r="A234" s="614" t="s">
        <v>1603</v>
      </c>
      <c r="B234" s="624"/>
      <c r="C234" s="602"/>
      <c r="D234" s="605"/>
      <c r="E234" s="619"/>
      <c r="F234" s="602"/>
      <c r="G234" s="630"/>
      <c r="H234" s="624"/>
      <c r="I234" s="602"/>
      <c r="J234" s="605"/>
      <c r="K234" s="619"/>
      <c r="L234" s="602"/>
      <c r="M234" s="630"/>
      <c r="N234" s="624"/>
      <c r="O234" s="602"/>
      <c r="P234" s="605"/>
    </row>
    <row r="235" spans="1:16" customFormat="1" x14ac:dyDescent="0.3">
      <c r="A235" s="613" t="s">
        <v>1597</v>
      </c>
      <c r="B235" s="624">
        <v>5308</v>
      </c>
      <c r="C235" s="602"/>
      <c r="D235" s="605">
        <f t="shared" ref="D235:D240" si="39">C235-B235</f>
        <v>-5308</v>
      </c>
      <c r="E235" s="619">
        <v>1167</v>
      </c>
      <c r="F235" s="602"/>
      <c r="G235" s="630">
        <f t="shared" ref="G235:G240" si="40">F235-E235</f>
        <v>-1167</v>
      </c>
      <c r="H235" s="624">
        <v>6250</v>
      </c>
      <c r="I235" s="602"/>
      <c r="J235" s="605">
        <f t="shared" ref="J235:J240" si="41">I235-H235</f>
        <v>-6250</v>
      </c>
      <c r="K235" s="619">
        <v>0</v>
      </c>
      <c r="L235" s="602"/>
      <c r="M235" s="630">
        <f t="shared" ref="M235:M240" si="42">L235-K235</f>
        <v>0</v>
      </c>
      <c r="N235" s="624">
        <f t="shared" ref="N235:O239" si="43">B235+E235+H235+K235</f>
        <v>12725</v>
      </c>
      <c r="O235" s="602">
        <f t="shared" si="43"/>
        <v>0</v>
      </c>
      <c r="P235" s="605">
        <f t="shared" ref="P235:P240" si="44">O235-N235</f>
        <v>-12725</v>
      </c>
    </row>
    <row r="236" spans="1:16" customFormat="1" x14ac:dyDescent="0.3">
      <c r="A236" s="613" t="s">
        <v>1598</v>
      </c>
      <c r="B236" s="624">
        <v>1122</v>
      </c>
      <c r="C236" s="602"/>
      <c r="D236" s="605">
        <f t="shared" si="39"/>
        <v>-1122</v>
      </c>
      <c r="E236" s="619">
        <v>247</v>
      </c>
      <c r="F236" s="602"/>
      <c r="G236" s="630">
        <f t="shared" si="40"/>
        <v>-247</v>
      </c>
      <c r="H236" s="624">
        <v>862</v>
      </c>
      <c r="I236" s="602"/>
      <c r="J236" s="605">
        <f t="shared" si="41"/>
        <v>-862</v>
      </c>
      <c r="K236" s="619">
        <v>0</v>
      </c>
      <c r="L236" s="602"/>
      <c r="M236" s="630">
        <f t="shared" si="42"/>
        <v>0</v>
      </c>
      <c r="N236" s="624">
        <f t="shared" si="43"/>
        <v>2231</v>
      </c>
      <c r="O236" s="602">
        <f t="shared" si="43"/>
        <v>0</v>
      </c>
      <c r="P236" s="605">
        <f t="shared" si="44"/>
        <v>-2231</v>
      </c>
    </row>
    <row r="237" spans="1:16" customFormat="1" x14ac:dyDescent="0.3">
      <c r="A237" s="613" t="s">
        <v>1599</v>
      </c>
      <c r="B237" s="624">
        <v>2799</v>
      </c>
      <c r="C237" s="602"/>
      <c r="D237" s="605">
        <f t="shared" si="39"/>
        <v>-2799</v>
      </c>
      <c r="E237" s="619">
        <v>616</v>
      </c>
      <c r="F237" s="602"/>
      <c r="G237" s="630">
        <f t="shared" si="40"/>
        <v>-616</v>
      </c>
      <c r="H237" s="624">
        <v>1776</v>
      </c>
      <c r="I237" s="602"/>
      <c r="J237" s="605">
        <f t="shared" si="41"/>
        <v>-1776</v>
      </c>
      <c r="K237" s="619">
        <v>0</v>
      </c>
      <c r="L237" s="602"/>
      <c r="M237" s="630">
        <f t="shared" si="42"/>
        <v>0</v>
      </c>
      <c r="N237" s="624">
        <f t="shared" si="43"/>
        <v>5191</v>
      </c>
      <c r="O237" s="602">
        <f t="shared" si="43"/>
        <v>0</v>
      </c>
      <c r="P237" s="605">
        <f t="shared" si="44"/>
        <v>-5191</v>
      </c>
    </row>
    <row r="238" spans="1:16" customFormat="1" x14ac:dyDescent="0.3">
      <c r="A238" s="613" t="s">
        <v>1600</v>
      </c>
      <c r="B238" s="624">
        <v>1617</v>
      </c>
      <c r="C238" s="602"/>
      <c r="D238" s="605">
        <f t="shared" si="39"/>
        <v>-1617</v>
      </c>
      <c r="E238" s="619">
        <v>356</v>
      </c>
      <c r="F238" s="602"/>
      <c r="G238" s="630">
        <f t="shared" si="40"/>
        <v>-356</v>
      </c>
      <c r="H238" s="624">
        <v>1420</v>
      </c>
      <c r="I238" s="602"/>
      <c r="J238" s="605">
        <f t="shared" si="41"/>
        <v>-1420</v>
      </c>
      <c r="K238" s="619">
        <v>0</v>
      </c>
      <c r="L238" s="602"/>
      <c r="M238" s="630">
        <f t="shared" si="42"/>
        <v>0</v>
      </c>
      <c r="N238" s="624">
        <f t="shared" si="43"/>
        <v>3393</v>
      </c>
      <c r="O238" s="602">
        <f t="shared" si="43"/>
        <v>0</v>
      </c>
      <c r="P238" s="605">
        <f t="shared" si="44"/>
        <v>-3393</v>
      </c>
    </row>
    <row r="239" spans="1:16" customFormat="1" x14ac:dyDescent="0.3">
      <c r="A239" s="613" t="s">
        <v>1604</v>
      </c>
      <c r="B239" s="624">
        <v>1330</v>
      </c>
      <c r="C239" s="602"/>
      <c r="D239" s="605">
        <f t="shared" si="39"/>
        <v>-1330</v>
      </c>
      <c r="E239" s="619">
        <v>292</v>
      </c>
      <c r="F239" s="602"/>
      <c r="G239" s="630">
        <f t="shared" si="40"/>
        <v>-292</v>
      </c>
      <c r="H239" s="624">
        <v>425</v>
      </c>
      <c r="I239" s="602"/>
      <c r="J239" s="605">
        <f t="shared" si="41"/>
        <v>-425</v>
      </c>
      <c r="K239" s="619">
        <v>0</v>
      </c>
      <c r="L239" s="602"/>
      <c r="M239" s="630">
        <f t="shared" si="42"/>
        <v>0</v>
      </c>
      <c r="N239" s="624">
        <f t="shared" si="43"/>
        <v>2047</v>
      </c>
      <c r="O239" s="602">
        <f t="shared" si="43"/>
        <v>0</v>
      </c>
      <c r="P239" s="605">
        <f t="shared" si="44"/>
        <v>-2047</v>
      </c>
    </row>
    <row r="240" spans="1:16" customFormat="1" x14ac:dyDescent="0.3">
      <c r="A240" s="614" t="s">
        <v>957</v>
      </c>
      <c r="B240" s="625">
        <f>SUM(B235:B239)</f>
        <v>12176</v>
      </c>
      <c r="C240" s="603"/>
      <c r="D240" s="606">
        <f t="shared" si="39"/>
        <v>-12176</v>
      </c>
      <c r="E240" s="620">
        <f>SUM(E235:E239)</f>
        <v>2678</v>
      </c>
      <c r="F240" s="603">
        <f>SUM(F235:F239)</f>
        <v>0</v>
      </c>
      <c r="G240" s="631">
        <f t="shared" si="40"/>
        <v>-2678</v>
      </c>
      <c r="H240" s="625">
        <f>SUM(H235:H239)</f>
        <v>10733</v>
      </c>
      <c r="I240" s="603">
        <f>SUM(I235:I239)</f>
        <v>0</v>
      </c>
      <c r="J240" s="606">
        <f t="shared" si="41"/>
        <v>-10733</v>
      </c>
      <c r="K240" s="620">
        <f>SUM(K235:K239)</f>
        <v>0</v>
      </c>
      <c r="L240" s="603">
        <f>SUM(L235:L239)</f>
        <v>0</v>
      </c>
      <c r="M240" s="631">
        <f t="shared" si="42"/>
        <v>0</v>
      </c>
      <c r="N240" s="625">
        <f>SUM(N235:N239)</f>
        <v>25587</v>
      </c>
      <c r="O240" s="603">
        <f>SUM(O235:O239)</f>
        <v>0</v>
      </c>
      <c r="P240" s="606">
        <f t="shared" si="44"/>
        <v>-25587</v>
      </c>
    </row>
    <row r="242" spans="1:16" customFormat="1" ht="15" thickBot="1" x14ac:dyDescent="0.35"/>
    <row r="243" spans="1:16" customFormat="1" ht="21.6" thickBot="1" x14ac:dyDescent="0.45">
      <c r="A243" s="1424" t="s">
        <v>1629</v>
      </c>
      <c r="B243" s="1427" t="s">
        <v>1587</v>
      </c>
      <c r="C243" s="1428"/>
      <c r="D243" s="1428"/>
      <c r="E243" s="1428"/>
      <c r="F243" s="1428"/>
      <c r="G243" s="1428"/>
      <c r="H243" s="1428"/>
      <c r="I243" s="1428"/>
      <c r="J243" s="1428"/>
      <c r="K243" s="1428"/>
      <c r="L243" s="1428"/>
      <c r="M243" s="1428"/>
      <c r="N243" s="1428"/>
      <c r="O243" s="1428"/>
      <c r="P243" s="1429"/>
    </row>
    <row r="244" spans="1:16" customFormat="1" x14ac:dyDescent="0.3">
      <c r="A244" s="1425"/>
      <c r="B244" s="1430" t="s">
        <v>951</v>
      </c>
      <c r="C244" s="1431"/>
      <c r="D244" s="1432"/>
      <c r="E244" s="1433" t="s">
        <v>952</v>
      </c>
      <c r="F244" s="1434"/>
      <c r="G244" s="1435"/>
      <c r="H244" s="1430" t="s">
        <v>953</v>
      </c>
      <c r="I244" s="1431"/>
      <c r="J244" s="1432"/>
      <c r="K244" s="1430" t="s">
        <v>1601</v>
      </c>
      <c r="L244" s="1431"/>
      <c r="M244" s="1432"/>
      <c r="N244" s="1430" t="s">
        <v>957</v>
      </c>
      <c r="O244" s="1431"/>
      <c r="P244" s="1432"/>
    </row>
    <row r="245" spans="1:16" customFormat="1" ht="15" thickBot="1" x14ac:dyDescent="0.35">
      <c r="A245" s="1426"/>
      <c r="B245" s="622" t="s">
        <v>1013</v>
      </c>
      <c r="C245" s="610" t="s">
        <v>440</v>
      </c>
      <c r="D245" s="611" t="s">
        <v>1111</v>
      </c>
      <c r="E245" s="617" t="s">
        <v>1013</v>
      </c>
      <c r="F245" s="610" t="s">
        <v>440</v>
      </c>
      <c r="G245" s="628" t="s">
        <v>1111</v>
      </c>
      <c r="H245" s="622" t="s">
        <v>1013</v>
      </c>
      <c r="I245" s="610" t="s">
        <v>440</v>
      </c>
      <c r="J245" s="611" t="s">
        <v>1111</v>
      </c>
      <c r="K245" s="622" t="s">
        <v>1013</v>
      </c>
      <c r="L245" s="610" t="s">
        <v>440</v>
      </c>
      <c r="M245" s="611" t="s">
        <v>1111</v>
      </c>
      <c r="N245" s="622" t="s">
        <v>1013</v>
      </c>
      <c r="O245" s="610" t="s">
        <v>440</v>
      </c>
      <c r="P245" s="611" t="s">
        <v>1111</v>
      </c>
    </row>
    <row r="246" spans="1:16" customFormat="1" x14ac:dyDescent="0.3">
      <c r="A246" s="613"/>
      <c r="B246" s="624"/>
      <c r="C246" s="602"/>
      <c r="D246" s="605"/>
      <c r="E246" s="619"/>
      <c r="F246" s="602"/>
      <c r="G246" s="630"/>
      <c r="H246" s="624"/>
      <c r="I246" s="602"/>
      <c r="J246" s="605"/>
      <c r="K246" s="624"/>
      <c r="L246" s="602"/>
      <c r="M246" s="605"/>
      <c r="N246" s="624"/>
      <c r="O246" s="602"/>
      <c r="P246" s="605"/>
    </row>
    <row r="247" spans="1:16" customFormat="1" x14ac:dyDescent="0.3">
      <c r="A247" s="614" t="s">
        <v>1602</v>
      </c>
      <c r="B247" s="625">
        <f>78591+10088</f>
        <v>88679</v>
      </c>
      <c r="C247" s="603"/>
      <c r="D247" s="606"/>
      <c r="E247" s="620">
        <f>17290+2219</f>
        <v>19509</v>
      </c>
      <c r="F247" s="603"/>
      <c r="G247" s="631">
        <f>F247-E247</f>
        <v>-19509</v>
      </c>
      <c r="H247" s="625">
        <v>96498</v>
      </c>
      <c r="I247" s="603"/>
      <c r="J247" s="606"/>
      <c r="K247" s="625">
        <f>70820+43157</f>
        <v>113977</v>
      </c>
      <c r="L247" s="603"/>
      <c r="M247" s="606">
        <f>L247-K247</f>
        <v>-113977</v>
      </c>
      <c r="N247" s="625">
        <f>B247+E247+H247+K247</f>
        <v>318663</v>
      </c>
      <c r="O247" s="603">
        <f>C247+F247+I247+L247</f>
        <v>0</v>
      </c>
      <c r="P247" s="606">
        <f>O247-N247</f>
        <v>-318663</v>
      </c>
    </row>
    <row r="248" spans="1:16" customFormat="1" x14ac:dyDescent="0.3">
      <c r="A248" s="613"/>
      <c r="B248" s="624"/>
      <c r="C248" s="602"/>
      <c r="D248" s="605"/>
      <c r="E248" s="619"/>
      <c r="F248" s="602"/>
      <c r="G248" s="630"/>
      <c r="H248" s="624"/>
      <c r="I248" s="602"/>
      <c r="J248" s="605"/>
      <c r="K248" s="624"/>
      <c r="L248" s="602"/>
      <c r="M248" s="605"/>
      <c r="N248" s="624"/>
      <c r="O248" s="602"/>
      <c r="P248" s="605"/>
    </row>
    <row r="249" spans="1:16" customFormat="1" x14ac:dyDescent="0.3">
      <c r="A249" s="614" t="s">
        <v>1603</v>
      </c>
      <c r="B249" s="624"/>
      <c r="C249" s="602"/>
      <c r="D249" s="605"/>
      <c r="E249" s="619"/>
      <c r="F249" s="602"/>
      <c r="G249" s="630"/>
      <c r="H249" s="624"/>
      <c r="I249" s="602"/>
      <c r="J249" s="605"/>
      <c r="K249" s="624"/>
      <c r="L249" s="602"/>
      <c r="M249" s="605"/>
      <c r="N249" s="624"/>
      <c r="O249" s="602"/>
      <c r="P249" s="605"/>
    </row>
    <row r="250" spans="1:16" customFormat="1" x14ac:dyDescent="0.3">
      <c r="A250" s="613" t="s">
        <v>1597</v>
      </c>
      <c r="B250" s="624">
        <v>9861</v>
      </c>
      <c r="C250" s="602"/>
      <c r="D250" s="605"/>
      <c r="E250" s="619">
        <v>2169</v>
      </c>
      <c r="F250" s="602"/>
      <c r="G250" s="630">
        <f t="shared" ref="G250:G255" si="45">F250-E250</f>
        <v>-2169</v>
      </c>
      <c r="H250" s="624">
        <v>11478</v>
      </c>
      <c r="I250" s="602"/>
      <c r="J250" s="605"/>
      <c r="K250" s="624">
        <v>0</v>
      </c>
      <c r="L250" s="602"/>
      <c r="M250" s="605">
        <f t="shared" ref="M250:M255" si="46">L250-K250</f>
        <v>0</v>
      </c>
      <c r="N250" s="624">
        <f t="shared" ref="N250:O254" si="47">B250+E250+H250+K250</f>
        <v>23508</v>
      </c>
      <c r="O250" s="602">
        <f t="shared" si="47"/>
        <v>0</v>
      </c>
      <c r="P250" s="605">
        <f t="shared" ref="P250:P255" si="48">O250-N250</f>
        <v>-23508</v>
      </c>
    </row>
    <row r="251" spans="1:16" customFormat="1" x14ac:dyDescent="0.3">
      <c r="A251" s="613" t="s">
        <v>1598</v>
      </c>
      <c r="B251" s="624">
        <v>556</v>
      </c>
      <c r="C251" s="602"/>
      <c r="D251" s="605"/>
      <c r="E251" s="619">
        <v>122</v>
      </c>
      <c r="F251" s="602"/>
      <c r="G251" s="630">
        <f t="shared" si="45"/>
        <v>-122</v>
      </c>
      <c r="H251" s="624">
        <v>434</v>
      </c>
      <c r="I251" s="602"/>
      <c r="J251" s="605"/>
      <c r="K251" s="624">
        <v>0</v>
      </c>
      <c r="L251" s="602"/>
      <c r="M251" s="605">
        <f t="shared" si="46"/>
        <v>0</v>
      </c>
      <c r="N251" s="624">
        <f t="shared" si="47"/>
        <v>1112</v>
      </c>
      <c r="O251" s="602">
        <f t="shared" si="47"/>
        <v>0</v>
      </c>
      <c r="P251" s="605">
        <f t="shared" si="48"/>
        <v>-1112</v>
      </c>
    </row>
    <row r="252" spans="1:16" customFormat="1" x14ac:dyDescent="0.3">
      <c r="A252" s="613" t="s">
        <v>1599</v>
      </c>
      <c r="B252" s="624">
        <v>5646</v>
      </c>
      <c r="C252" s="602"/>
      <c r="D252" s="605"/>
      <c r="E252" s="619">
        <v>1242</v>
      </c>
      <c r="F252" s="602"/>
      <c r="G252" s="630">
        <f t="shared" si="45"/>
        <v>-1242</v>
      </c>
      <c r="H252" s="624">
        <v>3697</v>
      </c>
      <c r="I252" s="602"/>
      <c r="J252" s="605"/>
      <c r="K252" s="624">
        <v>0</v>
      </c>
      <c r="L252" s="602"/>
      <c r="M252" s="605">
        <f t="shared" si="46"/>
        <v>0</v>
      </c>
      <c r="N252" s="624">
        <f t="shared" si="47"/>
        <v>10585</v>
      </c>
      <c r="O252" s="602">
        <f t="shared" si="47"/>
        <v>0</v>
      </c>
      <c r="P252" s="605">
        <f t="shared" si="48"/>
        <v>-10585</v>
      </c>
    </row>
    <row r="253" spans="1:16" customFormat="1" x14ac:dyDescent="0.3">
      <c r="A253" s="613" t="s">
        <v>1600</v>
      </c>
      <c r="B253" s="624">
        <v>2431</v>
      </c>
      <c r="C253" s="602"/>
      <c r="D253" s="605"/>
      <c r="E253" s="619">
        <v>535</v>
      </c>
      <c r="F253" s="602"/>
      <c r="G253" s="630">
        <f t="shared" si="45"/>
        <v>-535</v>
      </c>
      <c r="H253" s="624">
        <v>2168</v>
      </c>
      <c r="I253" s="602"/>
      <c r="J253" s="605"/>
      <c r="K253" s="624">
        <v>0</v>
      </c>
      <c r="L253" s="602"/>
      <c r="M253" s="605">
        <f t="shared" si="46"/>
        <v>0</v>
      </c>
      <c r="N253" s="624">
        <f t="shared" si="47"/>
        <v>5134</v>
      </c>
      <c r="O253" s="602">
        <f t="shared" si="47"/>
        <v>0</v>
      </c>
      <c r="P253" s="605">
        <f t="shared" si="48"/>
        <v>-5134</v>
      </c>
    </row>
    <row r="254" spans="1:16" customFormat="1" x14ac:dyDescent="0.3">
      <c r="A254" s="613" t="s">
        <v>1604</v>
      </c>
      <c r="B254" s="624">
        <v>59</v>
      </c>
      <c r="C254" s="602"/>
      <c r="D254" s="605"/>
      <c r="E254" s="619">
        <v>13</v>
      </c>
      <c r="F254" s="602"/>
      <c r="G254" s="630">
        <f t="shared" si="45"/>
        <v>-13</v>
      </c>
      <c r="H254" s="624">
        <v>19</v>
      </c>
      <c r="I254" s="602"/>
      <c r="J254" s="605"/>
      <c r="K254" s="624">
        <v>0</v>
      </c>
      <c r="L254" s="602"/>
      <c r="M254" s="605">
        <f t="shared" si="46"/>
        <v>0</v>
      </c>
      <c r="N254" s="624">
        <f t="shared" si="47"/>
        <v>91</v>
      </c>
      <c r="O254" s="602">
        <f t="shared" si="47"/>
        <v>0</v>
      </c>
      <c r="P254" s="605">
        <f t="shared" si="48"/>
        <v>-91</v>
      </c>
    </row>
    <row r="255" spans="1:16" customFormat="1" x14ac:dyDescent="0.3">
      <c r="A255" s="614" t="s">
        <v>957</v>
      </c>
      <c r="B255" s="625">
        <f>SUM(B250:B254)</f>
        <v>18553</v>
      </c>
      <c r="C255" s="603"/>
      <c r="D255" s="606"/>
      <c r="E255" s="620">
        <f>SUM(E250:E254)</f>
        <v>4081</v>
      </c>
      <c r="F255" s="603"/>
      <c r="G255" s="631">
        <f t="shared" si="45"/>
        <v>-4081</v>
      </c>
      <c r="H255" s="625">
        <f>SUM(H250:H254)</f>
        <v>17796</v>
      </c>
      <c r="I255" s="603"/>
      <c r="J255" s="606"/>
      <c r="K255" s="625">
        <f>SUM(K250:K254)</f>
        <v>0</v>
      </c>
      <c r="L255" s="603"/>
      <c r="M255" s="606">
        <f t="shared" si="46"/>
        <v>0</v>
      </c>
      <c r="N255" s="625">
        <f>SUM(N250:N254)</f>
        <v>40430</v>
      </c>
      <c r="O255" s="603">
        <f>SUM(O250:O254)</f>
        <v>0</v>
      </c>
      <c r="P255" s="606">
        <f t="shared" si="48"/>
        <v>-40430</v>
      </c>
    </row>
    <row r="257" spans="1:16" customFormat="1" ht="15" thickBot="1" x14ac:dyDescent="0.35"/>
    <row r="258" spans="1:16" customFormat="1" ht="21.6" thickBot="1" x14ac:dyDescent="0.45">
      <c r="A258" s="1424" t="s">
        <v>1629</v>
      </c>
      <c r="B258" s="1427" t="s">
        <v>1588</v>
      </c>
      <c r="C258" s="1428"/>
      <c r="D258" s="1428"/>
      <c r="E258" s="1428"/>
      <c r="F258" s="1428"/>
      <c r="G258" s="1428"/>
      <c r="H258" s="1428"/>
      <c r="I258" s="1428"/>
      <c r="J258" s="1428"/>
      <c r="K258" s="1428"/>
      <c r="L258" s="1428"/>
      <c r="M258" s="1428"/>
      <c r="N258" s="1428"/>
      <c r="O258" s="1428"/>
      <c r="P258" s="1429"/>
    </row>
    <row r="259" spans="1:16" customFormat="1" x14ac:dyDescent="0.3">
      <c r="A259" s="1425"/>
      <c r="B259" s="1430" t="s">
        <v>951</v>
      </c>
      <c r="C259" s="1431"/>
      <c r="D259" s="1432"/>
      <c r="E259" s="1433" t="s">
        <v>952</v>
      </c>
      <c r="F259" s="1434"/>
      <c r="G259" s="1435"/>
      <c r="H259" s="1430" t="s">
        <v>953</v>
      </c>
      <c r="I259" s="1431"/>
      <c r="J259" s="1432"/>
      <c r="K259" s="1430" t="s">
        <v>1601</v>
      </c>
      <c r="L259" s="1431"/>
      <c r="M259" s="1432"/>
      <c r="N259" s="1433" t="s">
        <v>957</v>
      </c>
      <c r="O259" s="1434"/>
      <c r="P259" s="1436"/>
    </row>
    <row r="260" spans="1:16" customFormat="1" ht="15" thickBot="1" x14ac:dyDescent="0.35">
      <c r="A260" s="1426"/>
      <c r="B260" s="622" t="s">
        <v>1013</v>
      </c>
      <c r="C260" s="610" t="s">
        <v>440</v>
      </c>
      <c r="D260" s="611" t="s">
        <v>1111</v>
      </c>
      <c r="E260" s="617" t="s">
        <v>1013</v>
      </c>
      <c r="F260" s="610" t="s">
        <v>440</v>
      </c>
      <c r="G260" s="628" t="s">
        <v>1111</v>
      </c>
      <c r="H260" s="622" t="s">
        <v>1013</v>
      </c>
      <c r="I260" s="610" t="s">
        <v>440</v>
      </c>
      <c r="J260" s="611" t="s">
        <v>1111</v>
      </c>
      <c r="K260" s="622" t="s">
        <v>1013</v>
      </c>
      <c r="L260" s="610" t="s">
        <v>440</v>
      </c>
      <c r="M260" s="611" t="s">
        <v>1111</v>
      </c>
      <c r="N260" s="617" t="s">
        <v>1013</v>
      </c>
      <c r="O260" s="610" t="s">
        <v>440</v>
      </c>
      <c r="P260" s="611" t="s">
        <v>1111</v>
      </c>
    </row>
    <row r="261" spans="1:16" customFormat="1" x14ac:dyDescent="0.3">
      <c r="A261" s="613"/>
      <c r="B261" s="624"/>
      <c r="C261" s="602"/>
      <c r="D261" s="605"/>
      <c r="E261" s="619"/>
      <c r="F261" s="602"/>
      <c r="G261" s="630"/>
      <c r="H261" s="624"/>
      <c r="I261" s="602"/>
      <c r="J261" s="605"/>
      <c r="K261" s="624"/>
      <c r="L261" s="602"/>
      <c r="M261" s="605"/>
      <c r="N261" s="619"/>
      <c r="O261" s="602"/>
      <c r="P261" s="605"/>
    </row>
    <row r="262" spans="1:16" customFormat="1" x14ac:dyDescent="0.3">
      <c r="A262" s="614" t="s">
        <v>1602</v>
      </c>
      <c r="B262" s="625">
        <f>69613+6328</f>
        <v>75941</v>
      </c>
      <c r="C262" s="603"/>
      <c r="D262" s="606">
        <f>C262-B262</f>
        <v>-75941</v>
      </c>
      <c r="E262" s="620">
        <f>15315+1392</f>
        <v>16707</v>
      </c>
      <c r="F262" s="603"/>
      <c r="G262" s="631">
        <f>F262-E262</f>
        <v>-16707</v>
      </c>
      <c r="H262" s="625">
        <v>91477</v>
      </c>
      <c r="I262" s="603"/>
      <c r="J262" s="606">
        <f>I262-H262</f>
        <v>-91477</v>
      </c>
      <c r="K262" s="625">
        <f>135273+9188</f>
        <v>144461</v>
      </c>
      <c r="L262" s="603"/>
      <c r="M262" s="606">
        <f>L262-K262</f>
        <v>-144461</v>
      </c>
      <c r="N262" s="620">
        <f>B262+E262+H262+K262</f>
        <v>328586</v>
      </c>
      <c r="O262" s="603">
        <f>C262+F262+I262+L262</f>
        <v>0</v>
      </c>
      <c r="P262" s="606">
        <f>O262-N262</f>
        <v>-328586</v>
      </c>
    </row>
    <row r="263" spans="1:16" customFormat="1" x14ac:dyDescent="0.3">
      <c r="A263" s="613"/>
      <c r="B263" s="624"/>
      <c r="C263" s="602"/>
      <c r="D263" s="605"/>
      <c r="E263" s="619"/>
      <c r="F263" s="602"/>
      <c r="G263" s="630"/>
      <c r="H263" s="624"/>
      <c r="I263" s="602"/>
      <c r="J263" s="605"/>
      <c r="K263" s="624"/>
      <c r="L263" s="602"/>
      <c r="M263" s="605"/>
      <c r="N263" s="619"/>
      <c r="O263" s="602"/>
      <c r="P263" s="605"/>
    </row>
    <row r="264" spans="1:16" customFormat="1" x14ac:dyDescent="0.3">
      <c r="A264" s="614" t="s">
        <v>1603</v>
      </c>
      <c r="B264" s="624"/>
      <c r="C264" s="602"/>
      <c r="D264" s="605"/>
      <c r="E264" s="619"/>
      <c r="F264" s="602"/>
      <c r="G264" s="630"/>
      <c r="H264" s="624"/>
      <c r="I264" s="602"/>
      <c r="J264" s="605"/>
      <c r="K264" s="624"/>
      <c r="L264" s="602"/>
      <c r="M264" s="605"/>
      <c r="N264" s="619"/>
      <c r="O264" s="602"/>
      <c r="P264" s="605"/>
    </row>
    <row r="265" spans="1:16" customFormat="1" x14ac:dyDescent="0.3">
      <c r="A265" s="613" t="s">
        <v>1597</v>
      </c>
      <c r="B265" s="624">
        <v>7813</v>
      </c>
      <c r="C265" s="602"/>
      <c r="D265" s="605">
        <f t="shared" ref="D265:D270" si="49">C265-B265</f>
        <v>-7813</v>
      </c>
      <c r="E265" s="619">
        <v>1718</v>
      </c>
      <c r="F265" s="602"/>
      <c r="G265" s="630">
        <f t="shared" ref="G265:G270" si="50">F265-E265</f>
        <v>-1718</v>
      </c>
      <c r="H265" s="624">
        <v>9266</v>
      </c>
      <c r="I265" s="602"/>
      <c r="J265" s="605">
        <f t="shared" ref="J265:J270" si="51">I265-H265</f>
        <v>-9266</v>
      </c>
      <c r="K265" s="624">
        <v>0</v>
      </c>
      <c r="L265" s="602"/>
      <c r="M265" s="605">
        <f t="shared" ref="M265:M270" si="52">L265-K265</f>
        <v>0</v>
      </c>
      <c r="N265" s="619">
        <f t="shared" ref="N265:O269" si="53">B265+E265+H265+K265</f>
        <v>18797</v>
      </c>
      <c r="O265" s="602">
        <f t="shared" si="53"/>
        <v>0</v>
      </c>
      <c r="P265" s="605">
        <f t="shared" ref="P265:P270" si="54">O265-N265</f>
        <v>-18797</v>
      </c>
    </row>
    <row r="266" spans="1:16" customFormat="1" x14ac:dyDescent="0.3">
      <c r="A266" s="613" t="s">
        <v>1598</v>
      </c>
      <c r="B266" s="624">
        <v>893</v>
      </c>
      <c r="C266" s="602"/>
      <c r="D266" s="605">
        <f t="shared" si="49"/>
        <v>-893</v>
      </c>
      <c r="E266" s="619">
        <v>196</v>
      </c>
      <c r="F266" s="602"/>
      <c r="G266" s="630">
        <f t="shared" si="50"/>
        <v>-196</v>
      </c>
      <c r="H266" s="624">
        <v>666</v>
      </c>
      <c r="I266" s="602"/>
      <c r="J266" s="605">
        <f t="shared" si="51"/>
        <v>-666</v>
      </c>
      <c r="K266" s="624">
        <v>0</v>
      </c>
      <c r="L266" s="602"/>
      <c r="M266" s="605">
        <f t="shared" si="52"/>
        <v>0</v>
      </c>
      <c r="N266" s="619">
        <f t="shared" si="53"/>
        <v>1755</v>
      </c>
      <c r="O266" s="602">
        <f t="shared" si="53"/>
        <v>0</v>
      </c>
      <c r="P266" s="605">
        <f t="shared" si="54"/>
        <v>-1755</v>
      </c>
    </row>
    <row r="267" spans="1:16" customFormat="1" x14ac:dyDescent="0.3">
      <c r="A267" s="613" t="s">
        <v>1599</v>
      </c>
      <c r="B267" s="624">
        <v>4271</v>
      </c>
      <c r="C267" s="602"/>
      <c r="D267" s="605">
        <f t="shared" si="49"/>
        <v>-4271</v>
      </c>
      <c r="E267" s="619">
        <v>940</v>
      </c>
      <c r="F267" s="602"/>
      <c r="G267" s="630">
        <f t="shared" si="50"/>
        <v>-940</v>
      </c>
      <c r="H267" s="624">
        <v>3186</v>
      </c>
      <c r="I267" s="602"/>
      <c r="J267" s="605">
        <f t="shared" si="51"/>
        <v>-3186</v>
      </c>
      <c r="K267" s="624">
        <v>0</v>
      </c>
      <c r="L267" s="602"/>
      <c r="M267" s="605">
        <f t="shared" si="52"/>
        <v>0</v>
      </c>
      <c r="N267" s="619">
        <f t="shared" si="53"/>
        <v>8397</v>
      </c>
      <c r="O267" s="602">
        <f t="shared" si="53"/>
        <v>0</v>
      </c>
      <c r="P267" s="605">
        <f t="shared" si="54"/>
        <v>-8397</v>
      </c>
    </row>
    <row r="268" spans="1:16" customFormat="1" x14ac:dyDescent="0.3">
      <c r="A268" s="613" t="s">
        <v>1600</v>
      </c>
      <c r="B268" s="624">
        <v>2250</v>
      </c>
      <c r="C268" s="602"/>
      <c r="D268" s="605">
        <f t="shared" si="49"/>
        <v>-2250</v>
      </c>
      <c r="E268" s="619">
        <v>495</v>
      </c>
      <c r="F268" s="602"/>
      <c r="G268" s="630">
        <f t="shared" si="50"/>
        <v>-495</v>
      </c>
      <c r="H268" s="624">
        <v>1996</v>
      </c>
      <c r="I268" s="602"/>
      <c r="J268" s="605">
        <f t="shared" si="51"/>
        <v>-1996</v>
      </c>
      <c r="K268" s="624">
        <v>0</v>
      </c>
      <c r="L268" s="602"/>
      <c r="M268" s="605">
        <f t="shared" si="52"/>
        <v>0</v>
      </c>
      <c r="N268" s="619">
        <f t="shared" si="53"/>
        <v>4741</v>
      </c>
      <c r="O268" s="602">
        <f t="shared" si="53"/>
        <v>0</v>
      </c>
      <c r="P268" s="605">
        <f t="shared" si="54"/>
        <v>-4741</v>
      </c>
    </row>
    <row r="269" spans="1:16" customFormat="1" x14ac:dyDescent="0.3">
      <c r="A269" s="613" t="s">
        <v>1604</v>
      </c>
      <c r="B269" s="624">
        <v>0</v>
      </c>
      <c r="C269" s="602"/>
      <c r="D269" s="605">
        <f t="shared" si="49"/>
        <v>0</v>
      </c>
      <c r="E269" s="619">
        <v>0</v>
      </c>
      <c r="F269" s="602"/>
      <c r="G269" s="630">
        <f t="shared" si="50"/>
        <v>0</v>
      </c>
      <c r="H269" s="624">
        <v>0</v>
      </c>
      <c r="I269" s="602"/>
      <c r="J269" s="605">
        <f t="shared" si="51"/>
        <v>0</v>
      </c>
      <c r="K269" s="624">
        <v>0</v>
      </c>
      <c r="L269" s="602"/>
      <c r="M269" s="605">
        <f t="shared" si="52"/>
        <v>0</v>
      </c>
      <c r="N269" s="619">
        <f t="shared" si="53"/>
        <v>0</v>
      </c>
      <c r="O269" s="602">
        <f t="shared" si="53"/>
        <v>0</v>
      </c>
      <c r="P269" s="605">
        <f t="shared" si="54"/>
        <v>0</v>
      </c>
    </row>
    <row r="270" spans="1:16" customFormat="1" x14ac:dyDescent="0.3">
      <c r="A270" s="614" t="s">
        <v>957</v>
      </c>
      <c r="B270" s="625">
        <f>SUM(B265:B269)</f>
        <v>15227</v>
      </c>
      <c r="C270" s="603"/>
      <c r="D270" s="606">
        <f t="shared" si="49"/>
        <v>-15227</v>
      </c>
      <c r="E270" s="620">
        <f>SUM(E265:E269)</f>
        <v>3349</v>
      </c>
      <c r="F270" s="603"/>
      <c r="G270" s="631">
        <f t="shared" si="50"/>
        <v>-3349</v>
      </c>
      <c r="H270" s="625">
        <f>SUM(H265:H269)</f>
        <v>15114</v>
      </c>
      <c r="I270" s="603"/>
      <c r="J270" s="606">
        <f t="shared" si="51"/>
        <v>-15114</v>
      </c>
      <c r="K270" s="625">
        <f>SUM(K265:K269)</f>
        <v>0</v>
      </c>
      <c r="L270" s="603"/>
      <c r="M270" s="606">
        <f t="shared" si="52"/>
        <v>0</v>
      </c>
      <c r="N270" s="620">
        <f>SUM(N265:N269)</f>
        <v>33690</v>
      </c>
      <c r="O270" s="603">
        <f>SUM(O265:O269)</f>
        <v>0</v>
      </c>
      <c r="P270" s="606">
        <f t="shared" si="54"/>
        <v>-33690</v>
      </c>
    </row>
  </sheetData>
  <mergeCells count="49">
    <mergeCell ref="A155:A157"/>
    <mergeCell ref="B155:P155"/>
    <mergeCell ref="B156:D156"/>
    <mergeCell ref="E156:G156"/>
    <mergeCell ref="H156:J156"/>
    <mergeCell ref="K156:M156"/>
    <mergeCell ref="N156:P156"/>
    <mergeCell ref="B5:P5"/>
    <mergeCell ref="A5:A7"/>
    <mergeCell ref="B55:P55"/>
    <mergeCell ref="A55:A57"/>
    <mergeCell ref="B105:P105"/>
    <mergeCell ref="A105:A107"/>
    <mergeCell ref="B106:D106"/>
    <mergeCell ref="E106:G106"/>
    <mergeCell ref="H106:J106"/>
    <mergeCell ref="K106:M106"/>
    <mergeCell ref="N106:P106"/>
    <mergeCell ref="B56:D56"/>
    <mergeCell ref="E56:G56"/>
    <mergeCell ref="H56:J56"/>
    <mergeCell ref="K56:M56"/>
    <mergeCell ref="N56:P56"/>
    <mergeCell ref="B6:D6"/>
    <mergeCell ref="E6:G6"/>
    <mergeCell ref="H6:J6"/>
    <mergeCell ref="N6:P6"/>
    <mergeCell ref="K6:M6"/>
    <mergeCell ref="A228:A230"/>
    <mergeCell ref="B228:P228"/>
    <mergeCell ref="B229:D229"/>
    <mergeCell ref="E229:G229"/>
    <mergeCell ref="H229:J229"/>
    <mergeCell ref="K229:M229"/>
    <mergeCell ref="N229:P229"/>
    <mergeCell ref="A243:A245"/>
    <mergeCell ref="B243:P243"/>
    <mergeCell ref="B244:D244"/>
    <mergeCell ref="E244:G244"/>
    <mergeCell ref="H244:J244"/>
    <mergeCell ref="K244:M244"/>
    <mergeCell ref="N244:P244"/>
    <mergeCell ref="A258:A260"/>
    <mergeCell ref="B258:P258"/>
    <mergeCell ref="B259:D259"/>
    <mergeCell ref="E259:G259"/>
    <mergeCell ref="H259:J259"/>
    <mergeCell ref="K259:M259"/>
    <mergeCell ref="N259:P259"/>
  </mergeCells>
  <pageMargins left="0.31496062992125984" right="0.11811023622047245" top="0.15748031496062992" bottom="0.15748031496062992" header="0.31496062992125984" footer="0.31496062992125984"/>
  <pageSetup paperSize="9" scale="75" orientation="landscape" verticalDpi="0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>
    <tabColor rgb="FF00B0F0"/>
  </sheetPr>
  <dimension ref="A1:H21"/>
  <sheetViews>
    <sheetView workbookViewId="0">
      <selection activeCell="P22" sqref="P22"/>
    </sheetView>
  </sheetViews>
  <sheetFormatPr defaultColWidth="9.109375" defaultRowHeight="13.8" x14ac:dyDescent="0.3"/>
  <cols>
    <col min="1" max="1" width="37.6640625" style="303" customWidth="1"/>
    <col min="2" max="2" width="15" style="1" customWidth="1"/>
    <col min="3" max="3" width="15.33203125" style="1" customWidth="1"/>
    <col min="4" max="4" width="14.88671875" style="1" customWidth="1"/>
    <col min="5" max="5" width="17.44140625" style="1" customWidth="1"/>
    <col min="6" max="6" width="14.5546875" style="1" customWidth="1"/>
    <col min="7" max="7" width="14.33203125" style="1" customWidth="1"/>
    <col min="8" max="8" width="15.5546875" style="1" customWidth="1"/>
    <col min="9" max="16384" width="9.109375" style="1"/>
  </cols>
  <sheetData>
    <row r="1" spans="1:8" x14ac:dyDescent="0.3">
      <c r="A1" s="303" t="s">
        <v>0</v>
      </c>
    </row>
    <row r="3" spans="1:8" ht="15.6" x14ac:dyDescent="0.3">
      <c r="A3" s="6" t="s">
        <v>1639</v>
      </c>
    </row>
    <row r="5" spans="1:8" ht="14.4" x14ac:dyDescent="0.3">
      <c r="H5" s="660" t="s">
        <v>1638</v>
      </c>
    </row>
    <row r="6" spans="1:8" ht="40.5" customHeight="1" x14ac:dyDescent="0.3">
      <c r="A6" s="656" t="s">
        <v>1629</v>
      </c>
      <c r="B6" s="495" t="s">
        <v>1586</v>
      </c>
      <c r="C6" s="495" t="s">
        <v>1587</v>
      </c>
      <c r="D6" s="495" t="s">
        <v>1588</v>
      </c>
      <c r="E6" s="310" t="s">
        <v>438</v>
      </c>
      <c r="F6" s="495" t="s">
        <v>1635</v>
      </c>
      <c r="G6" s="495" t="s">
        <v>1636</v>
      </c>
      <c r="H6" s="495" t="s">
        <v>957</v>
      </c>
    </row>
    <row r="7" spans="1:8" ht="27.6" x14ac:dyDescent="0.3">
      <c r="A7" s="656" t="s">
        <v>1631</v>
      </c>
      <c r="B7" s="5">
        <f>'ЕЛЕМЕНТИ ВИТРАТ'!H14</f>
        <v>8702</v>
      </c>
      <c r="C7" s="5">
        <f>'ЕЛЕМЕНТИ ВИТРАТ'!H64</f>
        <v>8657</v>
      </c>
      <c r="D7" s="5">
        <f>'ЕЛЕМЕНТИ ВИТРАТ'!H114</f>
        <v>6850</v>
      </c>
      <c r="E7" s="5"/>
      <c r="F7" s="5"/>
      <c r="G7" s="5"/>
      <c r="H7" s="5">
        <f>SUM(B7:G7)</f>
        <v>24209</v>
      </c>
    </row>
    <row r="8" spans="1:8" ht="27.6" x14ac:dyDescent="0.3">
      <c r="A8" s="656" t="s">
        <v>1632</v>
      </c>
      <c r="B8" s="5">
        <f>'ЕЛЕМЕНТИ ВИТРАТ'!H31</f>
        <v>10733</v>
      </c>
      <c r="C8" s="5">
        <f>'ЕЛЕМЕНТИ ВИТРАТ'!H81</f>
        <v>17796</v>
      </c>
      <c r="D8" s="5">
        <f>'ЕЛЕМЕНТИ ВИТРАТ'!H131</f>
        <v>15114</v>
      </c>
      <c r="E8" s="5"/>
      <c r="F8" s="5"/>
      <c r="G8" s="5"/>
      <c r="H8" s="5">
        <f t="shared" ref="H8:H13" si="0">SUM(B8:G8)</f>
        <v>43643</v>
      </c>
    </row>
    <row r="9" spans="1:8" ht="27.6" x14ac:dyDescent="0.3">
      <c r="A9" s="656" t="s">
        <v>930</v>
      </c>
      <c r="B9" s="5">
        <f>'ЕЛЕМЕНТИ ВИТРАТ'!H23</f>
        <v>76305</v>
      </c>
      <c r="C9" s="5">
        <f>'ЕЛЕМЕНТИ ВИТРАТ'!H73</f>
        <v>96498</v>
      </c>
      <c r="D9" s="5">
        <f>'ЕЛЕМЕНТИ ВИТРАТ'!H123</f>
        <v>91477</v>
      </c>
      <c r="E9" s="5"/>
      <c r="F9" s="5"/>
      <c r="G9" s="5"/>
      <c r="H9" s="5">
        <f t="shared" si="0"/>
        <v>264280</v>
      </c>
    </row>
    <row r="10" spans="1:8" ht="27.6" x14ac:dyDescent="0.3">
      <c r="A10" s="656" t="s">
        <v>1633</v>
      </c>
      <c r="B10" s="5">
        <f>'ЕЛЕМЕНТИ ВИТРАТ'!H34+'ЕЛЕМЕНТИ ВИТРАТ'!H36-5531-597</f>
        <v>18911</v>
      </c>
      <c r="C10" s="5">
        <f>'ЕЛЕМЕНТИ ВИТРАТ'!H84+'ЕЛЕМЕНТИ ВИТРАТ'!H86-3608-532</f>
        <v>19825</v>
      </c>
      <c r="D10" s="5">
        <f>'ЕЛЕМЕНТИ ВИТРАТ'!H134+'ЕЛЕМЕНТИ ВИТРАТ'!H136-5471-522</f>
        <v>12775</v>
      </c>
      <c r="E10" s="5"/>
      <c r="F10" s="5"/>
      <c r="G10" s="5"/>
      <c r="H10" s="5">
        <f t="shared" si="0"/>
        <v>51511</v>
      </c>
    </row>
    <row r="11" spans="1:8" ht="23.25" customHeight="1" x14ac:dyDescent="0.3">
      <c r="A11" s="656" t="s">
        <v>1634</v>
      </c>
      <c r="B11" s="5">
        <v>3000</v>
      </c>
      <c r="C11" s="5">
        <v>3000</v>
      </c>
      <c r="D11" s="5">
        <v>3000</v>
      </c>
      <c r="E11" s="5">
        <v>8642</v>
      </c>
      <c r="F11" s="5">
        <v>86718</v>
      </c>
      <c r="G11" s="5">
        <v>5147</v>
      </c>
      <c r="H11" s="5">
        <f t="shared" si="0"/>
        <v>109507</v>
      </c>
    </row>
    <row r="12" spans="1:8" ht="18.75" customHeight="1" x14ac:dyDescent="0.3">
      <c r="A12" s="662" t="s">
        <v>1637</v>
      </c>
      <c r="B12" s="658">
        <v>5531</v>
      </c>
      <c r="C12" s="658">
        <v>3608</v>
      </c>
      <c r="D12" s="658">
        <v>5471</v>
      </c>
      <c r="E12" s="658"/>
      <c r="F12" s="658"/>
      <c r="G12" s="658"/>
      <c r="H12" s="658">
        <f>SUM(B12:G12)</f>
        <v>14610</v>
      </c>
    </row>
    <row r="13" spans="1:8" ht="21.75" customHeight="1" x14ac:dyDescent="0.3">
      <c r="A13" s="656" t="s">
        <v>968</v>
      </c>
      <c r="B13" s="5">
        <v>6458</v>
      </c>
      <c r="C13" s="5">
        <v>6458</v>
      </c>
      <c r="D13" s="5">
        <v>6458</v>
      </c>
      <c r="E13" s="5">
        <v>4160</v>
      </c>
      <c r="F13" s="5">
        <v>20380</v>
      </c>
      <c r="G13" s="5">
        <v>15875</v>
      </c>
      <c r="H13" s="5">
        <f t="shared" si="0"/>
        <v>59789</v>
      </c>
    </row>
    <row r="14" spans="1:8" ht="32.25" customHeight="1" x14ac:dyDescent="0.3">
      <c r="A14" s="657" t="s">
        <v>1642</v>
      </c>
      <c r="B14" s="9">
        <f>SUM(B7:B13)</f>
        <v>129640</v>
      </c>
      <c r="C14" s="9">
        <f t="shared" ref="C14:H14" si="1">SUM(C7:C13)</f>
        <v>155842</v>
      </c>
      <c r="D14" s="9">
        <f t="shared" si="1"/>
        <v>141145</v>
      </c>
      <c r="E14" s="9">
        <f t="shared" si="1"/>
        <v>12802</v>
      </c>
      <c r="F14" s="9">
        <f t="shared" si="1"/>
        <v>107098</v>
      </c>
      <c r="G14" s="9">
        <f t="shared" si="1"/>
        <v>21022</v>
      </c>
      <c r="H14" s="9">
        <f t="shared" si="1"/>
        <v>567549</v>
      </c>
    </row>
    <row r="15" spans="1:8" ht="25.5" customHeight="1" x14ac:dyDescent="0.3">
      <c r="A15" s="661" t="s">
        <v>1640</v>
      </c>
      <c r="B15" s="659">
        <f t="shared" ref="B15:G15" si="2">B14-B12</f>
        <v>124109</v>
      </c>
      <c r="C15" s="659">
        <f t="shared" si="2"/>
        <v>152234</v>
      </c>
      <c r="D15" s="659">
        <f t="shared" si="2"/>
        <v>135674</v>
      </c>
      <c r="E15" s="659">
        <f t="shared" si="2"/>
        <v>12802</v>
      </c>
      <c r="F15" s="659">
        <f t="shared" si="2"/>
        <v>107098</v>
      </c>
      <c r="G15" s="659">
        <f t="shared" si="2"/>
        <v>21022</v>
      </c>
      <c r="H15" s="659">
        <f>SUM(B15:G15)</f>
        <v>552939</v>
      </c>
    </row>
    <row r="18" spans="1:8" x14ac:dyDescent="0.3">
      <c r="A18" s="303" t="s">
        <v>874</v>
      </c>
      <c r="D18" s="1" t="s">
        <v>1641</v>
      </c>
    </row>
    <row r="19" spans="1:8" x14ac:dyDescent="0.3">
      <c r="B19" s="33"/>
      <c r="C19" s="33"/>
      <c r="D19" s="33"/>
      <c r="E19" s="33"/>
      <c r="F19" s="33"/>
      <c r="G19" s="33"/>
      <c r="H19" s="33"/>
    </row>
    <row r="20" spans="1:8" x14ac:dyDescent="0.3">
      <c r="B20" s="33"/>
      <c r="C20" s="33"/>
      <c r="D20" s="33"/>
      <c r="E20" s="33"/>
      <c r="F20" s="33"/>
      <c r="G20" s="33"/>
      <c r="H20" s="33"/>
    </row>
    <row r="21" spans="1:8" x14ac:dyDescent="0.3">
      <c r="B21" s="33"/>
      <c r="C21" s="33"/>
      <c r="D21" s="33"/>
      <c r="E21" s="33"/>
      <c r="F21" s="33"/>
      <c r="G21" s="33"/>
      <c r="H21" s="33"/>
    </row>
  </sheetData>
  <pageMargins left="0.51181102362204722" right="0.11811023622047245" top="0.15748031496062992" bottom="0.15748031496062992" header="0.31496062992125984" footer="0.31496062992125984"/>
  <pageSetup paperSize="9" scale="95" orientation="landscape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1:D416"/>
  <sheetViews>
    <sheetView workbookViewId="0">
      <selection activeCell="A2" sqref="A2:A416"/>
    </sheetView>
  </sheetViews>
  <sheetFormatPr defaultRowHeight="14.4" x14ac:dyDescent="0.3"/>
  <cols>
    <col min="1" max="1" width="21" customWidth="1"/>
    <col min="2" max="2" width="13.33203125" customWidth="1"/>
    <col min="3" max="3" width="46.44140625" customWidth="1"/>
    <col min="4" max="4" width="15.44140625" style="512" customWidth="1"/>
  </cols>
  <sheetData>
    <row r="1" spans="1:4" x14ac:dyDescent="0.3">
      <c r="A1" s="243"/>
      <c r="B1" s="243"/>
      <c r="C1" s="7" t="s">
        <v>1</v>
      </c>
      <c r="D1" s="694"/>
    </row>
    <row r="2" spans="1:4" x14ac:dyDescent="0.3">
      <c r="A2" s="243">
        <v>150000488</v>
      </c>
      <c r="B2" s="243">
        <v>3</v>
      </c>
      <c r="C2" s="7" t="s">
        <v>34</v>
      </c>
      <c r="D2" s="695">
        <v>0</v>
      </c>
    </row>
    <row r="3" spans="1:4" x14ac:dyDescent="0.3">
      <c r="A3" s="243">
        <v>150000490</v>
      </c>
      <c r="B3" s="243">
        <v>3</v>
      </c>
      <c r="C3" s="7" t="s">
        <v>36</v>
      </c>
      <c r="D3" s="694">
        <v>0</v>
      </c>
    </row>
    <row r="4" spans="1:4" x14ac:dyDescent="0.3">
      <c r="A4" s="243">
        <v>150000492</v>
      </c>
      <c r="B4" s="243">
        <v>3</v>
      </c>
      <c r="C4" s="7" t="s">
        <v>35</v>
      </c>
      <c r="D4" s="694">
        <v>0</v>
      </c>
    </row>
    <row r="5" spans="1:4" x14ac:dyDescent="0.3">
      <c r="A5" s="243">
        <v>150000493</v>
      </c>
      <c r="B5" s="243">
        <v>1</v>
      </c>
      <c r="C5" s="7" t="s">
        <v>417</v>
      </c>
      <c r="D5" s="694">
        <v>0</v>
      </c>
    </row>
    <row r="6" spans="1:4" x14ac:dyDescent="0.3">
      <c r="A6" s="243">
        <v>150000494</v>
      </c>
      <c r="B6" s="243">
        <v>1</v>
      </c>
      <c r="C6" s="7" t="s">
        <v>418</v>
      </c>
      <c r="D6" s="694">
        <v>0</v>
      </c>
    </row>
    <row r="7" spans="1:4" x14ac:dyDescent="0.3">
      <c r="A7" s="243">
        <v>150000495</v>
      </c>
      <c r="B7" s="243">
        <v>1</v>
      </c>
      <c r="C7" s="7" t="s">
        <v>147</v>
      </c>
      <c r="D7" s="694">
        <v>8.3800000000000008</v>
      </c>
    </row>
    <row r="8" spans="1:4" x14ac:dyDescent="0.3">
      <c r="A8" s="243">
        <v>150000496</v>
      </c>
      <c r="B8" s="243">
        <v>1</v>
      </c>
      <c r="C8" s="7" t="s">
        <v>148</v>
      </c>
      <c r="D8" s="694">
        <v>8.3800000000000008</v>
      </c>
    </row>
    <row r="9" spans="1:4" x14ac:dyDescent="0.3">
      <c r="A9" s="243">
        <v>150000497</v>
      </c>
      <c r="B9" s="243">
        <v>1</v>
      </c>
      <c r="C9" s="7" t="s">
        <v>340</v>
      </c>
      <c r="D9" s="694">
        <v>0</v>
      </c>
    </row>
    <row r="10" spans="1:4" x14ac:dyDescent="0.3">
      <c r="A10" s="243">
        <v>150000498</v>
      </c>
      <c r="B10" s="243">
        <v>1</v>
      </c>
      <c r="C10" s="7" t="s">
        <v>241</v>
      </c>
      <c r="D10" s="694">
        <f>31.36+21.4</f>
        <v>52.76</v>
      </c>
    </row>
    <row r="11" spans="1:4" x14ac:dyDescent="0.3">
      <c r="A11" s="243">
        <v>150000501</v>
      </c>
      <c r="B11" s="696">
        <v>2</v>
      </c>
      <c r="C11" s="7" t="s">
        <v>263</v>
      </c>
      <c r="D11" s="694">
        <v>0</v>
      </c>
    </row>
    <row r="12" spans="1:4" x14ac:dyDescent="0.3">
      <c r="A12" s="243">
        <v>150000502</v>
      </c>
      <c r="B12" s="243">
        <v>3</v>
      </c>
      <c r="C12" s="7" t="s">
        <v>108</v>
      </c>
      <c r="D12" s="694">
        <v>0</v>
      </c>
    </row>
    <row r="13" spans="1:4" x14ac:dyDescent="0.3">
      <c r="A13" s="243">
        <v>150000503</v>
      </c>
      <c r="B13" s="243">
        <v>3</v>
      </c>
      <c r="C13" s="7" t="s">
        <v>109</v>
      </c>
      <c r="D13" s="694">
        <v>0</v>
      </c>
    </row>
    <row r="14" spans="1:4" x14ac:dyDescent="0.3">
      <c r="A14" s="243">
        <v>150000504</v>
      </c>
      <c r="B14" s="243">
        <v>3</v>
      </c>
      <c r="C14" s="7" t="s">
        <v>110</v>
      </c>
      <c r="D14" s="694">
        <v>0</v>
      </c>
    </row>
    <row r="15" spans="1:4" x14ac:dyDescent="0.3">
      <c r="A15" s="243">
        <v>150000505</v>
      </c>
      <c r="B15" s="243">
        <v>3</v>
      </c>
      <c r="C15" s="7" t="s">
        <v>112</v>
      </c>
      <c r="D15" s="694">
        <v>0</v>
      </c>
    </row>
    <row r="16" spans="1:4" x14ac:dyDescent="0.3">
      <c r="A16" s="243">
        <v>150000506</v>
      </c>
      <c r="B16" s="243">
        <v>3</v>
      </c>
      <c r="C16" s="7" t="s">
        <v>111</v>
      </c>
      <c r="D16" s="694">
        <v>0</v>
      </c>
    </row>
    <row r="17" spans="1:4" x14ac:dyDescent="0.3">
      <c r="A17" s="243">
        <v>150000507</v>
      </c>
      <c r="B17" s="243">
        <v>3</v>
      </c>
      <c r="C17" s="7" t="s">
        <v>113</v>
      </c>
      <c r="D17" s="694">
        <v>0</v>
      </c>
    </row>
    <row r="18" spans="1:4" x14ac:dyDescent="0.3">
      <c r="A18" s="243">
        <v>150000508</v>
      </c>
      <c r="B18" s="243">
        <v>3</v>
      </c>
      <c r="C18" s="7" t="s">
        <v>114</v>
      </c>
      <c r="D18" s="694">
        <v>0</v>
      </c>
    </row>
    <row r="19" spans="1:4" x14ac:dyDescent="0.3">
      <c r="A19" s="243">
        <v>150000509</v>
      </c>
      <c r="B19" s="696">
        <v>2</v>
      </c>
      <c r="C19" s="7" t="s">
        <v>52</v>
      </c>
      <c r="D19" s="694">
        <v>0</v>
      </c>
    </row>
    <row r="20" spans="1:4" x14ac:dyDescent="0.3">
      <c r="A20" s="243">
        <v>150000510</v>
      </c>
      <c r="B20" s="696">
        <v>2</v>
      </c>
      <c r="C20" s="7" t="s">
        <v>248</v>
      </c>
      <c r="D20" s="697">
        <f>28</f>
        <v>28</v>
      </c>
    </row>
    <row r="21" spans="1:4" x14ac:dyDescent="0.3">
      <c r="A21" s="243">
        <v>150000511</v>
      </c>
      <c r="B21" s="696">
        <v>2</v>
      </c>
      <c r="C21" s="7" t="s">
        <v>249</v>
      </c>
      <c r="D21" s="694">
        <v>0</v>
      </c>
    </row>
    <row r="22" spans="1:4" x14ac:dyDescent="0.3">
      <c r="A22" s="243">
        <v>150000512</v>
      </c>
      <c r="B22" s="696">
        <v>2</v>
      </c>
      <c r="C22" s="7" t="s">
        <v>250</v>
      </c>
      <c r="D22" s="694">
        <v>0</v>
      </c>
    </row>
    <row r="23" spans="1:4" x14ac:dyDescent="0.3">
      <c r="A23" s="243">
        <v>150000513</v>
      </c>
      <c r="B23" s="696">
        <v>2</v>
      </c>
      <c r="C23" s="7" t="s">
        <v>333</v>
      </c>
      <c r="D23" s="694">
        <v>0</v>
      </c>
    </row>
    <row r="24" spans="1:4" x14ac:dyDescent="0.3">
      <c r="A24" s="243">
        <v>150000514</v>
      </c>
      <c r="B24" s="696">
        <v>2</v>
      </c>
      <c r="C24" s="7" t="s">
        <v>151</v>
      </c>
      <c r="D24" s="694">
        <v>0</v>
      </c>
    </row>
    <row r="25" spans="1:4" x14ac:dyDescent="0.3">
      <c r="A25" s="243">
        <v>150000515</v>
      </c>
      <c r="B25" s="696">
        <v>2</v>
      </c>
      <c r="C25" s="7" t="s">
        <v>53</v>
      </c>
      <c r="D25" s="694">
        <v>0</v>
      </c>
    </row>
    <row r="26" spans="1:4" x14ac:dyDescent="0.3">
      <c r="A26" s="243">
        <v>150000516</v>
      </c>
      <c r="B26" s="696">
        <v>2</v>
      </c>
      <c r="C26" s="7" t="s">
        <v>55</v>
      </c>
      <c r="D26" s="694">
        <v>0</v>
      </c>
    </row>
    <row r="27" spans="1:4" x14ac:dyDescent="0.3">
      <c r="A27" s="243">
        <v>150000517</v>
      </c>
      <c r="B27" s="696">
        <v>2</v>
      </c>
      <c r="C27" s="7" t="s">
        <v>251</v>
      </c>
      <c r="D27" s="697">
        <f>16.2</f>
        <v>16.2</v>
      </c>
    </row>
    <row r="28" spans="1:4" x14ac:dyDescent="0.3">
      <c r="A28" s="243">
        <v>150000518</v>
      </c>
      <c r="B28" s="696">
        <v>2</v>
      </c>
      <c r="C28" s="7" t="s">
        <v>194</v>
      </c>
      <c r="D28" s="697">
        <f>21.9</f>
        <v>21.9</v>
      </c>
    </row>
    <row r="29" spans="1:4" x14ac:dyDescent="0.3">
      <c r="A29" s="243">
        <v>150000519</v>
      </c>
      <c r="B29" s="696">
        <v>2</v>
      </c>
      <c r="C29" s="7" t="s">
        <v>412</v>
      </c>
      <c r="D29" s="694">
        <v>0</v>
      </c>
    </row>
    <row r="30" spans="1:4" x14ac:dyDescent="0.3">
      <c r="A30" s="243">
        <v>150000521</v>
      </c>
      <c r="B30" s="696">
        <v>2</v>
      </c>
      <c r="C30" s="7" t="s">
        <v>252</v>
      </c>
      <c r="D30" s="694">
        <v>0</v>
      </c>
    </row>
    <row r="31" spans="1:4" x14ac:dyDescent="0.3">
      <c r="A31" s="243">
        <v>150000522</v>
      </c>
      <c r="B31" s="243">
        <v>1</v>
      </c>
      <c r="C31" s="7" t="s">
        <v>56</v>
      </c>
      <c r="D31" s="694">
        <v>0</v>
      </c>
    </row>
    <row r="32" spans="1:4" x14ac:dyDescent="0.3">
      <c r="A32" s="243">
        <v>150000523</v>
      </c>
      <c r="B32" s="243">
        <v>1</v>
      </c>
      <c r="C32" s="7" t="s">
        <v>57</v>
      </c>
      <c r="D32" s="694">
        <v>0</v>
      </c>
    </row>
    <row r="33" spans="1:4" x14ac:dyDescent="0.3">
      <c r="A33" s="243">
        <v>150000524</v>
      </c>
      <c r="B33" s="243">
        <v>1</v>
      </c>
      <c r="C33" s="7" t="s">
        <v>58</v>
      </c>
      <c r="D33" s="694">
        <v>0</v>
      </c>
    </row>
    <row r="34" spans="1:4" x14ac:dyDescent="0.3">
      <c r="A34" s="243">
        <v>150000525</v>
      </c>
      <c r="B34" s="243">
        <v>1</v>
      </c>
      <c r="C34" s="7" t="s">
        <v>1645</v>
      </c>
      <c r="D34" s="694">
        <v>0</v>
      </c>
    </row>
    <row r="35" spans="1:4" x14ac:dyDescent="0.3">
      <c r="A35" s="243">
        <v>150000526</v>
      </c>
      <c r="B35" s="243">
        <v>1</v>
      </c>
      <c r="C35" s="7" t="s">
        <v>1646</v>
      </c>
      <c r="D35" s="694">
        <v>0</v>
      </c>
    </row>
    <row r="36" spans="1:4" x14ac:dyDescent="0.3">
      <c r="A36" s="243">
        <v>150000527</v>
      </c>
      <c r="B36" s="243">
        <v>1</v>
      </c>
      <c r="C36" s="7" t="s">
        <v>60</v>
      </c>
      <c r="D36" s="694">
        <v>0</v>
      </c>
    </row>
    <row r="37" spans="1:4" x14ac:dyDescent="0.3">
      <c r="A37" s="243">
        <v>150000528</v>
      </c>
      <c r="B37" s="243">
        <v>1</v>
      </c>
      <c r="C37" s="7" t="s">
        <v>1647</v>
      </c>
      <c r="D37" s="694">
        <v>0</v>
      </c>
    </row>
    <row r="38" spans="1:4" x14ac:dyDescent="0.3">
      <c r="A38" s="243">
        <v>150000529</v>
      </c>
      <c r="B38" s="243">
        <v>1</v>
      </c>
      <c r="C38" s="7" t="s">
        <v>347</v>
      </c>
      <c r="D38" s="694">
        <v>32.57</v>
      </c>
    </row>
    <row r="39" spans="1:4" x14ac:dyDescent="0.3">
      <c r="A39" s="243">
        <v>150000530</v>
      </c>
      <c r="B39" s="243">
        <v>1</v>
      </c>
      <c r="C39" s="7" t="s">
        <v>62</v>
      </c>
      <c r="D39" s="694">
        <v>0</v>
      </c>
    </row>
    <row r="40" spans="1:4" x14ac:dyDescent="0.3">
      <c r="A40" s="243">
        <v>150000531</v>
      </c>
      <c r="B40" s="243">
        <v>1</v>
      </c>
      <c r="C40" s="7" t="s">
        <v>348</v>
      </c>
      <c r="D40" s="694">
        <v>17.5</v>
      </c>
    </row>
    <row r="41" spans="1:4" x14ac:dyDescent="0.3">
      <c r="A41" s="243">
        <v>150000532</v>
      </c>
      <c r="B41" s="243">
        <v>1</v>
      </c>
      <c r="C41" s="7" t="s">
        <v>253</v>
      </c>
      <c r="D41" s="694">
        <v>0</v>
      </c>
    </row>
    <row r="42" spans="1:4" x14ac:dyDescent="0.3">
      <c r="A42" s="243">
        <v>150000533</v>
      </c>
      <c r="B42" s="243">
        <v>1</v>
      </c>
      <c r="C42" s="7" t="s">
        <v>349</v>
      </c>
      <c r="D42" s="694">
        <v>1.1200000000000001</v>
      </c>
    </row>
    <row r="43" spans="1:4" x14ac:dyDescent="0.3">
      <c r="A43" s="243">
        <v>150000534</v>
      </c>
      <c r="B43" s="243">
        <v>1</v>
      </c>
      <c r="C43" s="7" t="s">
        <v>254</v>
      </c>
      <c r="D43" s="694">
        <v>0</v>
      </c>
    </row>
    <row r="44" spans="1:4" x14ac:dyDescent="0.3">
      <c r="A44" s="243">
        <v>150000535</v>
      </c>
      <c r="B44" s="243">
        <v>1</v>
      </c>
      <c r="C44" s="7" t="s">
        <v>350</v>
      </c>
      <c r="D44" s="694">
        <v>0</v>
      </c>
    </row>
    <row r="45" spans="1:4" x14ac:dyDescent="0.3">
      <c r="A45" s="243">
        <v>150000537</v>
      </c>
      <c r="B45" s="696">
        <v>2</v>
      </c>
      <c r="C45" s="7" t="s">
        <v>105</v>
      </c>
      <c r="D45" s="694">
        <v>0</v>
      </c>
    </row>
    <row r="46" spans="1:4" x14ac:dyDescent="0.3">
      <c r="A46" s="243">
        <v>150000538</v>
      </c>
      <c r="B46" s="696">
        <v>2</v>
      </c>
      <c r="C46" s="7" t="s">
        <v>207</v>
      </c>
      <c r="D46" s="694">
        <v>0</v>
      </c>
    </row>
    <row r="47" spans="1:4" x14ac:dyDescent="0.3">
      <c r="A47" s="243">
        <v>150000539</v>
      </c>
      <c r="B47" s="696">
        <v>2</v>
      </c>
      <c r="C47" s="7" t="s">
        <v>54</v>
      </c>
      <c r="D47" s="694">
        <v>0</v>
      </c>
    </row>
    <row r="48" spans="1:4" x14ac:dyDescent="0.3">
      <c r="A48" s="243">
        <v>150000541</v>
      </c>
      <c r="B48" s="243">
        <v>1</v>
      </c>
      <c r="C48" s="7" t="s">
        <v>59</v>
      </c>
      <c r="D48" s="694">
        <v>0</v>
      </c>
    </row>
    <row r="49" spans="1:4" x14ac:dyDescent="0.3">
      <c r="A49" s="243">
        <v>150000542</v>
      </c>
      <c r="B49" s="243">
        <v>1</v>
      </c>
      <c r="C49" s="7" t="s">
        <v>61</v>
      </c>
      <c r="D49" s="694">
        <v>0</v>
      </c>
    </row>
    <row r="50" spans="1:4" x14ac:dyDescent="0.3">
      <c r="A50" s="243">
        <v>150000543</v>
      </c>
      <c r="B50" s="243">
        <v>1</v>
      </c>
      <c r="C50" s="7" t="s">
        <v>63</v>
      </c>
      <c r="D50" s="694">
        <v>0</v>
      </c>
    </row>
    <row r="51" spans="1:4" x14ac:dyDescent="0.3">
      <c r="A51" s="243">
        <v>150000544</v>
      </c>
      <c r="B51" s="243">
        <v>1</v>
      </c>
      <c r="C51" s="7" t="s">
        <v>64</v>
      </c>
      <c r="D51" s="694">
        <v>0</v>
      </c>
    </row>
    <row r="52" spans="1:4" x14ac:dyDescent="0.3">
      <c r="A52" s="243">
        <v>150000545</v>
      </c>
      <c r="B52" s="696">
        <v>2</v>
      </c>
      <c r="C52" s="7" t="s">
        <v>106</v>
      </c>
      <c r="D52" s="694">
        <v>0</v>
      </c>
    </row>
    <row r="53" spans="1:4" x14ac:dyDescent="0.3">
      <c r="A53" s="243">
        <v>150000546</v>
      </c>
      <c r="B53" s="696">
        <v>2</v>
      </c>
      <c r="C53" s="7" t="s">
        <v>107</v>
      </c>
      <c r="D53" s="694">
        <v>0</v>
      </c>
    </row>
    <row r="54" spans="1:4" x14ac:dyDescent="0.3">
      <c r="A54" s="243">
        <v>150000547</v>
      </c>
      <c r="B54" s="243">
        <v>1</v>
      </c>
      <c r="C54" s="7" t="s">
        <v>247</v>
      </c>
      <c r="D54" s="694">
        <v>0</v>
      </c>
    </row>
    <row r="55" spans="1:4" x14ac:dyDescent="0.3">
      <c r="A55" s="243">
        <v>150000548</v>
      </c>
      <c r="B55" s="243">
        <v>1</v>
      </c>
      <c r="C55" s="7" t="s">
        <v>246</v>
      </c>
      <c r="D55" s="694">
        <v>0</v>
      </c>
    </row>
    <row r="56" spans="1:4" x14ac:dyDescent="0.3">
      <c r="A56" s="243">
        <v>150000549</v>
      </c>
      <c r="B56" s="243">
        <v>1</v>
      </c>
      <c r="C56" s="7" t="s">
        <v>206</v>
      </c>
      <c r="D56" s="694">
        <v>0</v>
      </c>
    </row>
    <row r="57" spans="1:4" x14ac:dyDescent="0.3">
      <c r="A57" s="243">
        <v>150000551</v>
      </c>
      <c r="B57" s="243">
        <v>3</v>
      </c>
      <c r="C57" s="7" t="s">
        <v>1660</v>
      </c>
      <c r="D57" s="694">
        <v>0</v>
      </c>
    </row>
    <row r="58" spans="1:4" x14ac:dyDescent="0.3">
      <c r="A58" s="243">
        <v>150000552</v>
      </c>
      <c r="B58" s="243">
        <v>3</v>
      </c>
      <c r="C58" s="7" t="s">
        <v>91</v>
      </c>
      <c r="D58" s="694">
        <v>0</v>
      </c>
    </row>
    <row r="59" spans="1:4" x14ac:dyDescent="0.3">
      <c r="A59" s="243">
        <v>150000553</v>
      </c>
      <c r="B59" s="243">
        <v>3</v>
      </c>
      <c r="C59" s="7" t="s">
        <v>259</v>
      </c>
      <c r="D59" s="697">
        <f>17.5</f>
        <v>17.5</v>
      </c>
    </row>
    <row r="60" spans="1:4" x14ac:dyDescent="0.3">
      <c r="A60" s="243">
        <v>150000555</v>
      </c>
      <c r="B60" s="243">
        <v>3</v>
      </c>
      <c r="C60" s="7" t="s">
        <v>88</v>
      </c>
      <c r="D60" s="694">
        <v>0</v>
      </c>
    </row>
    <row r="61" spans="1:4" x14ac:dyDescent="0.3">
      <c r="A61" s="243">
        <v>150000556</v>
      </c>
      <c r="B61" s="243">
        <v>3</v>
      </c>
      <c r="C61" s="7" t="s">
        <v>89</v>
      </c>
      <c r="D61" s="694">
        <v>0</v>
      </c>
    </row>
    <row r="62" spans="1:4" x14ac:dyDescent="0.3">
      <c r="A62" s="243">
        <v>150000557</v>
      </c>
      <c r="B62" s="243">
        <v>3</v>
      </c>
      <c r="C62" s="7" t="s">
        <v>90</v>
      </c>
      <c r="D62" s="694">
        <v>0</v>
      </c>
    </row>
    <row r="63" spans="1:4" x14ac:dyDescent="0.3">
      <c r="A63" s="243">
        <v>150000561</v>
      </c>
      <c r="B63" s="243">
        <v>1</v>
      </c>
      <c r="C63" s="7" t="s">
        <v>71</v>
      </c>
      <c r="D63" s="694">
        <v>0</v>
      </c>
    </row>
    <row r="64" spans="1:4" x14ac:dyDescent="0.3">
      <c r="A64" s="243">
        <v>150000562</v>
      </c>
      <c r="B64" s="243">
        <v>1</v>
      </c>
      <c r="C64" s="7" t="s">
        <v>73</v>
      </c>
      <c r="D64" s="694">
        <v>0</v>
      </c>
    </row>
    <row r="65" spans="1:4" x14ac:dyDescent="0.3">
      <c r="A65" s="243">
        <v>150000565</v>
      </c>
      <c r="B65" s="243">
        <v>1</v>
      </c>
      <c r="C65" s="7" t="s">
        <v>1648</v>
      </c>
      <c r="D65" s="694">
        <v>0</v>
      </c>
    </row>
    <row r="66" spans="1:4" x14ac:dyDescent="0.3">
      <c r="A66" s="243">
        <v>150000566</v>
      </c>
      <c r="B66" s="243">
        <v>1</v>
      </c>
      <c r="C66" s="7" t="s">
        <v>68</v>
      </c>
      <c r="D66" s="694">
        <v>0</v>
      </c>
    </row>
    <row r="67" spans="1:4" x14ac:dyDescent="0.3">
      <c r="A67" s="243">
        <v>150000567</v>
      </c>
      <c r="B67" s="243">
        <v>1</v>
      </c>
      <c r="C67" s="7" t="s">
        <v>70</v>
      </c>
      <c r="D67" s="694">
        <v>0</v>
      </c>
    </row>
    <row r="68" spans="1:4" x14ac:dyDescent="0.3">
      <c r="A68" s="243">
        <v>150000569</v>
      </c>
      <c r="B68" s="243">
        <v>1</v>
      </c>
      <c r="C68" s="7" t="s">
        <v>72</v>
      </c>
      <c r="D68" s="694">
        <v>0</v>
      </c>
    </row>
    <row r="69" spans="1:4" x14ac:dyDescent="0.3">
      <c r="A69" s="243">
        <v>150000570</v>
      </c>
      <c r="B69" s="243">
        <v>1</v>
      </c>
      <c r="C69" s="7" t="s">
        <v>74</v>
      </c>
      <c r="D69" s="694">
        <v>0</v>
      </c>
    </row>
    <row r="70" spans="1:4" x14ac:dyDescent="0.3">
      <c r="A70" s="243">
        <v>150000571</v>
      </c>
      <c r="B70" s="243">
        <v>1</v>
      </c>
      <c r="C70" s="7" t="s">
        <v>69</v>
      </c>
      <c r="D70" s="694">
        <v>0</v>
      </c>
    </row>
    <row r="71" spans="1:4" x14ac:dyDescent="0.3">
      <c r="A71" s="243">
        <v>150000572</v>
      </c>
      <c r="B71" s="243">
        <v>1</v>
      </c>
      <c r="C71" s="7" t="s">
        <v>152</v>
      </c>
      <c r="D71" s="694">
        <v>0</v>
      </c>
    </row>
    <row r="72" spans="1:4" x14ac:dyDescent="0.3">
      <c r="A72" s="243">
        <v>150000573</v>
      </c>
      <c r="B72" s="243">
        <v>1</v>
      </c>
      <c r="C72" s="7" t="s">
        <v>75</v>
      </c>
      <c r="D72" s="694">
        <v>0</v>
      </c>
    </row>
    <row r="73" spans="1:4" x14ac:dyDescent="0.3">
      <c r="A73" s="243">
        <v>150000578</v>
      </c>
      <c r="B73" s="243">
        <v>3</v>
      </c>
      <c r="C73" s="7" t="s">
        <v>83</v>
      </c>
      <c r="D73" s="694">
        <v>0</v>
      </c>
    </row>
    <row r="74" spans="1:4" x14ac:dyDescent="0.3">
      <c r="A74" s="243">
        <v>150000580</v>
      </c>
      <c r="B74" s="243">
        <v>3</v>
      </c>
      <c r="C74" s="7" t="s">
        <v>84</v>
      </c>
      <c r="D74" s="694">
        <v>0</v>
      </c>
    </row>
    <row r="75" spans="1:4" x14ac:dyDescent="0.3">
      <c r="A75" s="243">
        <v>150000586</v>
      </c>
      <c r="B75" s="243">
        <v>3</v>
      </c>
      <c r="C75" s="7" t="s">
        <v>1661</v>
      </c>
      <c r="D75" s="694">
        <v>0</v>
      </c>
    </row>
    <row r="76" spans="1:4" x14ac:dyDescent="0.3">
      <c r="A76" s="243">
        <v>150000587</v>
      </c>
      <c r="B76" s="243">
        <v>3</v>
      </c>
      <c r="C76" s="7" t="s">
        <v>82</v>
      </c>
      <c r="D76" s="694">
        <v>0</v>
      </c>
    </row>
    <row r="77" spans="1:4" x14ac:dyDescent="0.3">
      <c r="A77" s="243">
        <v>150000590</v>
      </c>
      <c r="B77" s="243">
        <v>3</v>
      </c>
      <c r="C77" s="7" t="s">
        <v>163</v>
      </c>
      <c r="D77" s="694">
        <v>0</v>
      </c>
    </row>
    <row r="78" spans="1:4" x14ac:dyDescent="0.3">
      <c r="A78" s="243">
        <v>150000591</v>
      </c>
      <c r="B78" s="243">
        <v>3</v>
      </c>
      <c r="C78" s="7" t="s">
        <v>191</v>
      </c>
      <c r="D78" s="694">
        <v>0</v>
      </c>
    </row>
    <row r="79" spans="1:4" x14ac:dyDescent="0.3">
      <c r="A79" s="243">
        <v>150000592</v>
      </c>
      <c r="B79" s="243">
        <v>1</v>
      </c>
      <c r="C79" s="7" t="s">
        <v>353</v>
      </c>
      <c r="D79" s="694">
        <f>43.97+3.34</f>
        <v>47.31</v>
      </c>
    </row>
    <row r="80" spans="1:4" x14ac:dyDescent="0.3">
      <c r="A80" s="243">
        <v>150000593</v>
      </c>
      <c r="B80" s="243">
        <v>1</v>
      </c>
      <c r="C80" s="7" t="s">
        <v>255</v>
      </c>
      <c r="D80" s="694">
        <v>18.64</v>
      </c>
    </row>
    <row r="81" spans="1:4" x14ac:dyDescent="0.3">
      <c r="A81" s="243">
        <v>150000594</v>
      </c>
      <c r="B81" s="243">
        <v>1</v>
      </c>
      <c r="C81" s="7" t="s">
        <v>354</v>
      </c>
      <c r="D81" s="694">
        <v>0</v>
      </c>
    </row>
    <row r="82" spans="1:4" x14ac:dyDescent="0.3">
      <c r="A82" s="243">
        <v>150000596</v>
      </c>
      <c r="B82" s="243">
        <v>1</v>
      </c>
      <c r="C82" s="7" t="s">
        <v>1095</v>
      </c>
      <c r="D82" s="694">
        <v>0</v>
      </c>
    </row>
    <row r="83" spans="1:4" x14ac:dyDescent="0.3">
      <c r="A83" s="243">
        <v>150000597</v>
      </c>
      <c r="B83" s="243">
        <v>1</v>
      </c>
      <c r="C83" s="7" t="s">
        <v>352</v>
      </c>
      <c r="D83" s="694">
        <v>0</v>
      </c>
    </row>
    <row r="84" spans="1:4" x14ac:dyDescent="0.3">
      <c r="A84" s="243">
        <v>150000598</v>
      </c>
      <c r="B84" s="243">
        <v>1</v>
      </c>
      <c r="C84" s="7" t="s">
        <v>76</v>
      </c>
      <c r="D84" s="694">
        <v>0</v>
      </c>
    </row>
    <row r="85" spans="1:4" x14ac:dyDescent="0.3">
      <c r="A85" s="243">
        <v>150000599</v>
      </c>
      <c r="B85" s="243">
        <v>1</v>
      </c>
      <c r="C85" s="7" t="s">
        <v>77</v>
      </c>
      <c r="D85" s="694">
        <v>0</v>
      </c>
    </row>
    <row r="86" spans="1:4" x14ac:dyDescent="0.3">
      <c r="A86" s="243">
        <v>150000600</v>
      </c>
      <c r="B86" s="243">
        <v>1</v>
      </c>
      <c r="C86" s="7" t="s">
        <v>1649</v>
      </c>
      <c r="D86" s="694">
        <v>0</v>
      </c>
    </row>
    <row r="87" spans="1:4" x14ac:dyDescent="0.3">
      <c r="A87" s="243">
        <v>150000601</v>
      </c>
      <c r="B87" s="243">
        <v>1</v>
      </c>
      <c r="C87" s="7" t="s">
        <v>78</v>
      </c>
      <c r="D87" s="694">
        <v>0</v>
      </c>
    </row>
    <row r="88" spans="1:4" x14ac:dyDescent="0.3">
      <c r="A88" s="243">
        <v>150000603</v>
      </c>
      <c r="B88" s="696">
        <v>2</v>
      </c>
      <c r="C88" s="7" t="s">
        <v>153</v>
      </c>
      <c r="D88" s="694">
        <v>0</v>
      </c>
    </row>
    <row r="89" spans="1:4" x14ac:dyDescent="0.3">
      <c r="A89" s="243">
        <v>150000604</v>
      </c>
      <c r="B89" s="696">
        <v>2</v>
      </c>
      <c r="C89" s="7" t="s">
        <v>154</v>
      </c>
      <c r="D89" s="694">
        <v>0</v>
      </c>
    </row>
    <row r="90" spans="1:4" x14ac:dyDescent="0.3">
      <c r="A90" s="243">
        <v>150000605</v>
      </c>
      <c r="B90" s="696">
        <v>2</v>
      </c>
      <c r="C90" s="7" t="s">
        <v>155</v>
      </c>
      <c r="D90" s="694">
        <v>0</v>
      </c>
    </row>
    <row r="91" spans="1:4" x14ac:dyDescent="0.3">
      <c r="A91" s="243">
        <v>150000606</v>
      </c>
      <c r="B91" s="696">
        <v>2</v>
      </c>
      <c r="C91" s="7" t="s">
        <v>156</v>
      </c>
      <c r="D91" s="694">
        <v>0</v>
      </c>
    </row>
    <row r="92" spans="1:4" x14ac:dyDescent="0.3">
      <c r="A92" s="243">
        <v>150000607</v>
      </c>
      <c r="B92" s="696">
        <v>2</v>
      </c>
      <c r="C92" s="7" t="s">
        <v>157</v>
      </c>
      <c r="D92" s="694">
        <v>0</v>
      </c>
    </row>
    <row r="93" spans="1:4" x14ac:dyDescent="0.3">
      <c r="A93" s="243">
        <v>150000608</v>
      </c>
      <c r="B93" s="696">
        <v>2</v>
      </c>
      <c r="C93" s="7" t="s">
        <v>158</v>
      </c>
      <c r="D93" s="694">
        <v>0</v>
      </c>
    </row>
    <row r="94" spans="1:4" x14ac:dyDescent="0.3">
      <c r="A94" s="243">
        <v>150000609</v>
      </c>
      <c r="B94" s="696">
        <v>2</v>
      </c>
      <c r="C94" s="7" t="s">
        <v>159</v>
      </c>
      <c r="D94" s="694">
        <v>0</v>
      </c>
    </row>
    <row r="95" spans="1:4" x14ac:dyDescent="0.3">
      <c r="A95" s="243">
        <v>150000610</v>
      </c>
      <c r="B95" s="696">
        <v>2</v>
      </c>
      <c r="C95" s="7" t="s">
        <v>160</v>
      </c>
      <c r="D95" s="694">
        <v>0</v>
      </c>
    </row>
    <row r="96" spans="1:4" x14ac:dyDescent="0.3">
      <c r="A96" s="243">
        <v>150000611</v>
      </c>
      <c r="B96" s="696">
        <v>2</v>
      </c>
      <c r="C96" s="7" t="s">
        <v>195</v>
      </c>
      <c r="D96" s="694">
        <v>0</v>
      </c>
    </row>
    <row r="97" spans="1:4" x14ac:dyDescent="0.3">
      <c r="A97" s="243">
        <v>150000612</v>
      </c>
      <c r="B97" s="696">
        <v>2</v>
      </c>
      <c r="C97" s="7" t="s">
        <v>161</v>
      </c>
      <c r="D97" s="694">
        <v>0</v>
      </c>
    </row>
    <row r="98" spans="1:4" x14ac:dyDescent="0.3">
      <c r="A98" s="243">
        <v>150000613</v>
      </c>
      <c r="B98" s="696">
        <v>2</v>
      </c>
      <c r="C98" s="7" t="s">
        <v>210</v>
      </c>
      <c r="D98" s="694">
        <v>0</v>
      </c>
    </row>
    <row r="99" spans="1:4" x14ac:dyDescent="0.3">
      <c r="A99" s="243">
        <v>150000614</v>
      </c>
      <c r="B99" s="696">
        <v>2</v>
      </c>
      <c r="C99" s="7" t="s">
        <v>162</v>
      </c>
      <c r="D99" s="694">
        <v>0</v>
      </c>
    </row>
    <row r="100" spans="1:4" x14ac:dyDescent="0.3">
      <c r="A100" s="243">
        <v>150000615</v>
      </c>
      <c r="B100" s="696">
        <v>2</v>
      </c>
      <c r="C100" s="7" t="s">
        <v>256</v>
      </c>
      <c r="D100" s="694">
        <v>0</v>
      </c>
    </row>
    <row r="101" spans="1:4" x14ac:dyDescent="0.3">
      <c r="A101" s="243">
        <v>150000616</v>
      </c>
      <c r="B101" s="696">
        <v>2</v>
      </c>
      <c r="C101" s="7" t="s">
        <v>257</v>
      </c>
      <c r="D101" s="697">
        <f>10.5</f>
        <v>10.5</v>
      </c>
    </row>
    <row r="102" spans="1:4" x14ac:dyDescent="0.3">
      <c r="A102" s="243">
        <v>150000618</v>
      </c>
      <c r="B102" s="696">
        <v>2</v>
      </c>
      <c r="C102" s="7" t="s">
        <v>416</v>
      </c>
      <c r="D102" s="694">
        <v>0</v>
      </c>
    </row>
    <row r="103" spans="1:4" x14ac:dyDescent="0.3">
      <c r="A103" s="243">
        <v>150000619</v>
      </c>
      <c r="B103" s="696">
        <v>2</v>
      </c>
      <c r="C103" s="7" t="s">
        <v>359</v>
      </c>
      <c r="D103" s="694">
        <v>0</v>
      </c>
    </row>
    <row r="104" spans="1:4" x14ac:dyDescent="0.3">
      <c r="A104" s="243">
        <v>150000621</v>
      </c>
      <c r="B104" s="696">
        <v>2</v>
      </c>
      <c r="C104" s="7" t="s">
        <v>80</v>
      </c>
      <c r="D104" s="694">
        <v>0</v>
      </c>
    </row>
    <row r="105" spans="1:4" x14ac:dyDescent="0.3">
      <c r="A105" s="243">
        <v>150000622</v>
      </c>
      <c r="B105" s="696">
        <v>2</v>
      </c>
      <c r="C105" s="7" t="s">
        <v>81</v>
      </c>
      <c r="D105" s="694">
        <v>0</v>
      </c>
    </row>
    <row r="106" spans="1:4" x14ac:dyDescent="0.3">
      <c r="A106" s="243">
        <v>150000623</v>
      </c>
      <c r="B106" s="696">
        <v>2</v>
      </c>
      <c r="C106" s="7" t="s">
        <v>209</v>
      </c>
      <c r="D106" s="694">
        <v>0</v>
      </c>
    </row>
    <row r="107" spans="1:4" x14ac:dyDescent="0.3">
      <c r="A107" s="243">
        <v>150000625</v>
      </c>
      <c r="B107" s="243">
        <v>1</v>
      </c>
      <c r="C107" s="7" t="s">
        <v>415</v>
      </c>
      <c r="D107" s="694">
        <v>8.6300000000000008</v>
      </c>
    </row>
    <row r="108" spans="1:4" x14ac:dyDescent="0.3">
      <c r="A108" s="243">
        <v>150000626</v>
      </c>
      <c r="B108" s="243">
        <v>1</v>
      </c>
      <c r="C108" s="7" t="s">
        <v>358</v>
      </c>
      <c r="D108" s="694">
        <v>40.950000000000003</v>
      </c>
    </row>
    <row r="109" spans="1:4" x14ac:dyDescent="0.3">
      <c r="A109" s="243">
        <v>150000627</v>
      </c>
      <c r="B109" s="243">
        <v>1</v>
      </c>
      <c r="C109" s="7" t="s">
        <v>355</v>
      </c>
      <c r="D109" s="694">
        <v>0</v>
      </c>
    </row>
    <row r="110" spans="1:4" x14ac:dyDescent="0.3">
      <c r="A110" s="243">
        <v>150000628</v>
      </c>
      <c r="B110" s="243">
        <v>1</v>
      </c>
      <c r="C110" s="7" t="s">
        <v>356</v>
      </c>
      <c r="D110" s="694">
        <v>5.25</v>
      </c>
    </row>
    <row r="111" spans="1:4" x14ac:dyDescent="0.3">
      <c r="A111" s="243">
        <v>150000629</v>
      </c>
      <c r="B111" s="243">
        <v>1</v>
      </c>
      <c r="C111" s="7" t="s">
        <v>357</v>
      </c>
      <c r="D111" s="694">
        <v>8.6300000000000008</v>
      </c>
    </row>
    <row r="112" spans="1:4" x14ac:dyDescent="0.3">
      <c r="A112" s="243">
        <v>150000634</v>
      </c>
      <c r="B112" s="243">
        <v>3</v>
      </c>
      <c r="C112" s="7" t="s">
        <v>86</v>
      </c>
      <c r="D112" s="694">
        <v>0</v>
      </c>
    </row>
    <row r="113" spans="1:4" x14ac:dyDescent="0.3">
      <c r="A113" s="243">
        <v>150000636</v>
      </c>
      <c r="B113" s="243">
        <v>3</v>
      </c>
      <c r="C113" s="7" t="s">
        <v>258</v>
      </c>
      <c r="D113" s="694">
        <v>0</v>
      </c>
    </row>
    <row r="114" spans="1:4" x14ac:dyDescent="0.3">
      <c r="A114" s="243">
        <v>150000637</v>
      </c>
      <c r="B114" s="243">
        <v>3</v>
      </c>
      <c r="C114" s="7" t="s">
        <v>87</v>
      </c>
      <c r="D114" s="694">
        <v>0</v>
      </c>
    </row>
    <row r="115" spans="1:4" x14ac:dyDescent="0.3">
      <c r="A115" s="243">
        <v>150000638</v>
      </c>
      <c r="B115" s="696">
        <v>2</v>
      </c>
      <c r="C115" s="7" t="s">
        <v>131</v>
      </c>
      <c r="D115" s="694">
        <v>0</v>
      </c>
    </row>
    <row r="116" spans="1:4" x14ac:dyDescent="0.3">
      <c r="A116" s="243">
        <v>150000639</v>
      </c>
      <c r="B116" s="696">
        <v>2</v>
      </c>
      <c r="C116" s="7" t="s">
        <v>132</v>
      </c>
      <c r="D116" s="694">
        <v>0</v>
      </c>
    </row>
    <row r="117" spans="1:4" x14ac:dyDescent="0.3">
      <c r="A117" s="243">
        <v>150000640</v>
      </c>
      <c r="B117" s="696">
        <v>2</v>
      </c>
      <c r="C117" s="7" t="s">
        <v>1658</v>
      </c>
      <c r="D117" s="694">
        <v>0</v>
      </c>
    </row>
    <row r="118" spans="1:4" x14ac:dyDescent="0.3">
      <c r="A118" s="243">
        <v>150000643</v>
      </c>
      <c r="B118" s="243">
        <v>3</v>
      </c>
      <c r="C118" s="7" t="s">
        <v>66</v>
      </c>
      <c r="D118" s="694">
        <v>0</v>
      </c>
    </row>
    <row r="119" spans="1:4" x14ac:dyDescent="0.3">
      <c r="A119" s="243">
        <v>150000644</v>
      </c>
      <c r="B119" s="243">
        <v>3</v>
      </c>
      <c r="C119" s="7" t="s">
        <v>67</v>
      </c>
      <c r="D119" s="694">
        <v>0</v>
      </c>
    </row>
    <row r="120" spans="1:4" x14ac:dyDescent="0.3">
      <c r="A120" s="243">
        <v>150000645</v>
      </c>
      <c r="B120" s="243">
        <v>3</v>
      </c>
      <c r="C120" s="7" t="s">
        <v>65</v>
      </c>
      <c r="D120" s="694">
        <v>0</v>
      </c>
    </row>
    <row r="121" spans="1:4" x14ac:dyDescent="0.3">
      <c r="A121" s="243">
        <v>150000647</v>
      </c>
      <c r="B121" s="243">
        <v>3</v>
      </c>
      <c r="C121" s="7" t="s">
        <v>96</v>
      </c>
      <c r="D121" s="694">
        <v>0</v>
      </c>
    </row>
    <row r="122" spans="1:4" x14ac:dyDescent="0.3">
      <c r="A122" s="243">
        <v>150000648</v>
      </c>
      <c r="B122" s="243">
        <v>3</v>
      </c>
      <c r="C122" s="7" t="s">
        <v>361</v>
      </c>
      <c r="D122" s="694">
        <v>0</v>
      </c>
    </row>
    <row r="123" spans="1:4" x14ac:dyDescent="0.3">
      <c r="A123" s="243">
        <v>150000658</v>
      </c>
      <c r="B123" s="243">
        <v>3</v>
      </c>
      <c r="C123" s="7" t="s">
        <v>351</v>
      </c>
      <c r="D123" s="697">
        <f>9.56</f>
        <v>9.56</v>
      </c>
    </row>
    <row r="124" spans="1:4" x14ac:dyDescent="0.3">
      <c r="A124" s="243">
        <v>150000659</v>
      </c>
      <c r="B124" s="243">
        <v>3</v>
      </c>
      <c r="C124" s="7" t="s">
        <v>413</v>
      </c>
      <c r="D124" s="694">
        <v>0</v>
      </c>
    </row>
    <row r="125" spans="1:4" x14ac:dyDescent="0.3">
      <c r="A125" s="243">
        <v>150000660</v>
      </c>
      <c r="B125" s="243">
        <v>3</v>
      </c>
      <c r="C125" s="7" t="s">
        <v>414</v>
      </c>
      <c r="D125" s="694">
        <v>0</v>
      </c>
    </row>
    <row r="126" spans="1:4" x14ac:dyDescent="0.3">
      <c r="A126" s="243">
        <v>150000670</v>
      </c>
      <c r="B126" s="696">
        <v>2</v>
      </c>
      <c r="C126" s="7" t="s">
        <v>126</v>
      </c>
      <c r="D126" s="694">
        <v>0</v>
      </c>
    </row>
    <row r="127" spans="1:4" x14ac:dyDescent="0.3">
      <c r="A127" s="243">
        <v>150000671</v>
      </c>
      <c r="B127" s="696">
        <v>2</v>
      </c>
      <c r="C127" s="7" t="s">
        <v>127</v>
      </c>
      <c r="D127" s="694">
        <v>0</v>
      </c>
    </row>
    <row r="128" spans="1:4" x14ac:dyDescent="0.3">
      <c r="A128" s="243">
        <v>150000672</v>
      </c>
      <c r="B128" s="696">
        <v>2</v>
      </c>
      <c r="C128" s="7" t="s">
        <v>428</v>
      </c>
      <c r="D128" s="697">
        <f>24.5+19.25</f>
        <v>43.75</v>
      </c>
    </row>
    <row r="129" spans="1:4" x14ac:dyDescent="0.3">
      <c r="A129" s="243">
        <v>150000673</v>
      </c>
      <c r="B129" s="696">
        <v>2</v>
      </c>
      <c r="C129" s="7" t="s">
        <v>182</v>
      </c>
      <c r="D129" s="694">
        <v>0</v>
      </c>
    </row>
    <row r="130" spans="1:4" x14ac:dyDescent="0.3">
      <c r="A130" s="243">
        <v>150000676</v>
      </c>
      <c r="B130" s="696">
        <v>2</v>
      </c>
      <c r="C130" s="7" t="s">
        <v>385</v>
      </c>
      <c r="D130" s="694">
        <v>0</v>
      </c>
    </row>
    <row r="131" spans="1:4" x14ac:dyDescent="0.3">
      <c r="A131" s="243">
        <v>150000683</v>
      </c>
      <c r="B131" s="243">
        <v>3</v>
      </c>
      <c r="C131" s="7" t="s">
        <v>115</v>
      </c>
      <c r="D131" s="694">
        <v>0</v>
      </c>
    </row>
    <row r="132" spans="1:4" x14ac:dyDescent="0.3">
      <c r="A132" s="243">
        <v>150000686</v>
      </c>
      <c r="B132" s="243">
        <v>3</v>
      </c>
      <c r="C132" s="7" t="s">
        <v>97</v>
      </c>
      <c r="D132" s="694">
        <v>0</v>
      </c>
    </row>
    <row r="133" spans="1:4" x14ac:dyDescent="0.3">
      <c r="A133" s="243">
        <v>150000688</v>
      </c>
      <c r="B133" s="243">
        <v>3</v>
      </c>
      <c r="C133" s="7" t="s">
        <v>92</v>
      </c>
      <c r="D133" s="694">
        <v>0</v>
      </c>
    </row>
    <row r="134" spans="1:4" x14ac:dyDescent="0.3">
      <c r="A134" s="243">
        <v>150000689</v>
      </c>
      <c r="B134" s="243">
        <v>3</v>
      </c>
      <c r="C134" s="7" t="s">
        <v>93</v>
      </c>
      <c r="D134" s="694">
        <v>0</v>
      </c>
    </row>
    <row r="135" spans="1:4" x14ac:dyDescent="0.3">
      <c r="A135" s="243">
        <v>150000690</v>
      </c>
      <c r="B135" s="243">
        <v>3</v>
      </c>
      <c r="C135" s="7" t="s">
        <v>95</v>
      </c>
      <c r="D135" s="694">
        <v>0</v>
      </c>
    </row>
    <row r="136" spans="1:4" x14ac:dyDescent="0.3">
      <c r="A136" s="243">
        <v>150000693</v>
      </c>
      <c r="B136" s="243">
        <v>3</v>
      </c>
      <c r="C136" s="7" t="s">
        <v>94</v>
      </c>
      <c r="D136" s="694">
        <v>0</v>
      </c>
    </row>
    <row r="137" spans="1:4" x14ac:dyDescent="0.3">
      <c r="A137" s="243">
        <v>150000694</v>
      </c>
      <c r="B137" s="243">
        <v>3</v>
      </c>
      <c r="C137" s="7" t="s">
        <v>371</v>
      </c>
      <c r="D137" s="697">
        <f>35</f>
        <v>35</v>
      </c>
    </row>
    <row r="138" spans="1:4" x14ac:dyDescent="0.3">
      <c r="A138" s="243">
        <v>150000695</v>
      </c>
      <c r="B138" s="243">
        <v>3</v>
      </c>
      <c r="C138" s="7" t="s">
        <v>372</v>
      </c>
      <c r="D138" s="697">
        <f>19.37</f>
        <v>19.37</v>
      </c>
    </row>
    <row r="139" spans="1:4" x14ac:dyDescent="0.3">
      <c r="A139" s="243">
        <v>150000696</v>
      </c>
      <c r="B139" s="243">
        <v>3</v>
      </c>
      <c r="C139" s="7" t="s">
        <v>370</v>
      </c>
      <c r="D139" s="697">
        <f>9.63</f>
        <v>9.6300000000000008</v>
      </c>
    </row>
    <row r="140" spans="1:4" x14ac:dyDescent="0.3">
      <c r="A140" s="243">
        <v>150000697</v>
      </c>
      <c r="B140" s="243">
        <v>3</v>
      </c>
      <c r="C140" s="7" t="s">
        <v>265</v>
      </c>
      <c r="D140" s="694">
        <v>0</v>
      </c>
    </row>
    <row r="141" spans="1:4" x14ac:dyDescent="0.3">
      <c r="A141" s="243">
        <v>150000698</v>
      </c>
      <c r="B141" s="243">
        <v>3</v>
      </c>
      <c r="C141" s="7" t="s">
        <v>120</v>
      </c>
      <c r="D141" s="694">
        <v>0</v>
      </c>
    </row>
    <row r="142" spans="1:4" x14ac:dyDescent="0.3">
      <c r="A142" s="243">
        <v>150000699</v>
      </c>
      <c r="B142" s="243">
        <v>3</v>
      </c>
      <c r="C142" s="7" t="s">
        <v>373</v>
      </c>
      <c r="D142" s="697">
        <f>24.5</f>
        <v>24.5</v>
      </c>
    </row>
    <row r="143" spans="1:4" x14ac:dyDescent="0.3">
      <c r="A143" s="243">
        <v>150000701</v>
      </c>
      <c r="B143" s="243">
        <v>3</v>
      </c>
      <c r="C143" s="7" t="s">
        <v>1663</v>
      </c>
      <c r="D143" s="694">
        <v>0</v>
      </c>
    </row>
    <row r="144" spans="1:4" x14ac:dyDescent="0.3">
      <c r="A144" s="243">
        <v>150000702</v>
      </c>
      <c r="B144" s="243">
        <v>3</v>
      </c>
      <c r="C144" s="7" t="s">
        <v>338</v>
      </c>
      <c r="D144" s="694">
        <v>0</v>
      </c>
    </row>
    <row r="145" spans="1:4" x14ac:dyDescent="0.3">
      <c r="A145" s="243">
        <v>150000703</v>
      </c>
      <c r="B145" s="243">
        <v>3</v>
      </c>
      <c r="C145" s="7" t="s">
        <v>339</v>
      </c>
      <c r="D145" s="697">
        <v>37.36</v>
      </c>
    </row>
    <row r="146" spans="1:4" x14ac:dyDescent="0.3">
      <c r="A146" s="243">
        <v>150000705</v>
      </c>
      <c r="B146" s="243">
        <v>3</v>
      </c>
      <c r="C146" s="7" t="s">
        <v>141</v>
      </c>
      <c r="D146" s="694">
        <v>0</v>
      </c>
    </row>
    <row r="147" spans="1:4" x14ac:dyDescent="0.3">
      <c r="A147" s="243">
        <v>150000706</v>
      </c>
      <c r="B147" s="243">
        <v>3</v>
      </c>
      <c r="C147" s="7" t="s">
        <v>143</v>
      </c>
      <c r="D147" s="694">
        <v>0</v>
      </c>
    </row>
    <row r="148" spans="1:4" x14ac:dyDescent="0.3">
      <c r="A148" s="243">
        <v>150000707</v>
      </c>
      <c r="B148" s="243">
        <v>3</v>
      </c>
      <c r="C148" s="7" t="s">
        <v>144</v>
      </c>
      <c r="D148" s="694">
        <v>0</v>
      </c>
    </row>
    <row r="149" spans="1:4" x14ac:dyDescent="0.3">
      <c r="A149" s="243">
        <v>150000708</v>
      </c>
      <c r="B149" s="243">
        <v>3</v>
      </c>
      <c r="C149" s="7" t="s">
        <v>145</v>
      </c>
      <c r="D149" s="694">
        <v>0</v>
      </c>
    </row>
    <row r="150" spans="1:4" x14ac:dyDescent="0.3">
      <c r="A150" s="243">
        <v>150000709</v>
      </c>
      <c r="B150" s="243">
        <v>3</v>
      </c>
      <c r="C150" s="7" t="s">
        <v>142</v>
      </c>
      <c r="D150" s="694">
        <v>0</v>
      </c>
    </row>
    <row r="151" spans="1:4" x14ac:dyDescent="0.3">
      <c r="A151" s="243">
        <v>150000710</v>
      </c>
      <c r="B151" s="243">
        <v>3</v>
      </c>
      <c r="C151" s="7" t="s">
        <v>278</v>
      </c>
      <c r="D151" s="694">
        <v>0</v>
      </c>
    </row>
    <row r="152" spans="1:4" x14ac:dyDescent="0.3">
      <c r="A152" s="243">
        <v>150000711</v>
      </c>
      <c r="B152" s="243">
        <v>3</v>
      </c>
      <c r="C152" s="7" t="s">
        <v>279</v>
      </c>
      <c r="D152" s="694">
        <v>0</v>
      </c>
    </row>
    <row r="153" spans="1:4" x14ac:dyDescent="0.3">
      <c r="A153" s="243">
        <v>150000712</v>
      </c>
      <c r="B153" s="243">
        <v>3</v>
      </c>
      <c r="C153" s="7" t="s">
        <v>280</v>
      </c>
      <c r="D153" s="694">
        <v>0</v>
      </c>
    </row>
    <row r="154" spans="1:4" x14ac:dyDescent="0.3">
      <c r="A154" s="243">
        <v>150000713</v>
      </c>
      <c r="B154" s="243">
        <v>3</v>
      </c>
      <c r="C154" s="7" t="s">
        <v>281</v>
      </c>
      <c r="D154" s="694">
        <v>0</v>
      </c>
    </row>
    <row r="155" spans="1:4" x14ac:dyDescent="0.3">
      <c r="A155" s="243">
        <v>150000714</v>
      </c>
      <c r="B155" s="243">
        <v>3</v>
      </c>
      <c r="C155" s="7" t="s">
        <v>282</v>
      </c>
      <c r="D155" s="694">
        <v>0</v>
      </c>
    </row>
    <row r="156" spans="1:4" x14ac:dyDescent="0.3">
      <c r="A156" s="243">
        <v>150000715</v>
      </c>
      <c r="B156" s="243">
        <v>3</v>
      </c>
      <c r="C156" s="7" t="s">
        <v>283</v>
      </c>
      <c r="D156" s="694">
        <v>0</v>
      </c>
    </row>
    <row r="157" spans="1:4" x14ac:dyDescent="0.3">
      <c r="A157" s="243">
        <v>150000716</v>
      </c>
      <c r="B157" s="243">
        <v>3</v>
      </c>
      <c r="C157" s="7" t="s">
        <v>285</v>
      </c>
      <c r="D157" s="694">
        <v>0</v>
      </c>
    </row>
    <row r="158" spans="1:4" x14ac:dyDescent="0.3">
      <c r="A158" s="243">
        <v>150000717</v>
      </c>
      <c r="B158" s="243">
        <v>3</v>
      </c>
      <c r="C158" s="7" t="s">
        <v>286</v>
      </c>
      <c r="D158" s="694">
        <v>0</v>
      </c>
    </row>
    <row r="159" spans="1:4" x14ac:dyDescent="0.3">
      <c r="A159" s="243">
        <v>150000718</v>
      </c>
      <c r="B159" s="243">
        <v>3</v>
      </c>
      <c r="C159" s="7" t="s">
        <v>287</v>
      </c>
      <c r="D159" s="697">
        <f>7+3.5+30.44+31.5</f>
        <v>72.44</v>
      </c>
    </row>
    <row r="160" spans="1:4" x14ac:dyDescent="0.3">
      <c r="A160" s="243">
        <v>150000719</v>
      </c>
      <c r="B160" s="243">
        <v>3</v>
      </c>
      <c r="C160" s="7" t="s">
        <v>284</v>
      </c>
      <c r="D160" s="694">
        <v>0</v>
      </c>
    </row>
    <row r="161" spans="1:4" x14ac:dyDescent="0.3">
      <c r="A161" s="243">
        <v>150000720</v>
      </c>
      <c r="B161" s="243">
        <v>3</v>
      </c>
      <c r="C161" s="7" t="s">
        <v>288</v>
      </c>
      <c r="D161" s="694">
        <v>0</v>
      </c>
    </row>
    <row r="162" spans="1:4" x14ac:dyDescent="0.3">
      <c r="A162" s="243">
        <v>150000721</v>
      </c>
      <c r="B162" s="696">
        <v>2</v>
      </c>
      <c r="C162" s="7" t="s">
        <v>218</v>
      </c>
      <c r="D162" s="697">
        <f>38.94</f>
        <v>38.94</v>
      </c>
    </row>
    <row r="163" spans="1:4" x14ac:dyDescent="0.3">
      <c r="A163" s="243">
        <v>150000722</v>
      </c>
      <c r="B163" s="696">
        <v>2</v>
      </c>
      <c r="C163" s="7" t="s">
        <v>274</v>
      </c>
      <c r="D163" s="694">
        <v>0</v>
      </c>
    </row>
    <row r="164" spans="1:4" x14ac:dyDescent="0.3">
      <c r="A164" s="243">
        <v>150000723</v>
      </c>
      <c r="B164" s="696">
        <v>2</v>
      </c>
      <c r="C164" s="7" t="s">
        <v>275</v>
      </c>
      <c r="D164" s="697">
        <f>457.6</f>
        <v>457.6</v>
      </c>
    </row>
    <row r="165" spans="1:4" x14ac:dyDescent="0.3">
      <c r="A165" s="243">
        <v>150000724</v>
      </c>
      <c r="B165" s="696">
        <v>2</v>
      </c>
      <c r="C165" s="7" t="s">
        <v>276</v>
      </c>
      <c r="D165" s="694">
        <v>0</v>
      </c>
    </row>
    <row r="166" spans="1:4" x14ac:dyDescent="0.3">
      <c r="A166" s="243">
        <v>150000725</v>
      </c>
      <c r="B166" s="696">
        <v>2</v>
      </c>
      <c r="C166" s="7" t="s">
        <v>277</v>
      </c>
      <c r="D166" s="694">
        <v>0</v>
      </c>
    </row>
    <row r="167" spans="1:4" x14ac:dyDescent="0.3">
      <c r="A167" s="243">
        <v>150000726</v>
      </c>
      <c r="B167" s="696">
        <v>2</v>
      </c>
      <c r="C167" s="7" t="s">
        <v>183</v>
      </c>
      <c r="D167" s="694">
        <v>0</v>
      </c>
    </row>
    <row r="168" spans="1:4" x14ac:dyDescent="0.3">
      <c r="A168" s="243">
        <v>150000727</v>
      </c>
      <c r="B168" s="696">
        <v>2</v>
      </c>
      <c r="C168" s="7" t="s">
        <v>128</v>
      </c>
      <c r="D168" s="694">
        <v>0</v>
      </c>
    </row>
    <row r="169" spans="1:4" x14ac:dyDescent="0.3">
      <c r="A169" s="243">
        <v>150000728</v>
      </c>
      <c r="B169" s="696">
        <v>2</v>
      </c>
      <c r="C169" s="7" t="s">
        <v>184</v>
      </c>
      <c r="D169" s="694">
        <v>0</v>
      </c>
    </row>
    <row r="170" spans="1:4" x14ac:dyDescent="0.3">
      <c r="A170" s="243">
        <v>150000729</v>
      </c>
      <c r="B170" s="696">
        <v>2</v>
      </c>
      <c r="C170" s="7" t="s">
        <v>273</v>
      </c>
      <c r="D170" s="694">
        <v>0</v>
      </c>
    </row>
    <row r="171" spans="1:4" x14ac:dyDescent="0.3">
      <c r="A171" s="243">
        <v>150000735</v>
      </c>
      <c r="B171" s="243">
        <v>1</v>
      </c>
      <c r="C171" s="7" t="s">
        <v>1657</v>
      </c>
      <c r="D171" s="694">
        <v>0</v>
      </c>
    </row>
    <row r="172" spans="1:4" x14ac:dyDescent="0.3">
      <c r="A172" s="243">
        <v>150000736</v>
      </c>
      <c r="B172" s="696">
        <v>2</v>
      </c>
      <c r="C172" s="7" t="s">
        <v>219</v>
      </c>
      <c r="D172" s="694">
        <v>0</v>
      </c>
    </row>
    <row r="173" spans="1:4" x14ac:dyDescent="0.3">
      <c r="A173" s="243">
        <v>150000737</v>
      </c>
      <c r="B173" s="696">
        <v>2</v>
      </c>
      <c r="C173" s="7" t="s">
        <v>221</v>
      </c>
      <c r="D173" s="694">
        <v>0</v>
      </c>
    </row>
    <row r="174" spans="1:4" x14ac:dyDescent="0.3">
      <c r="A174" s="243">
        <v>150000738</v>
      </c>
      <c r="B174" s="696">
        <v>2</v>
      </c>
      <c r="C174" s="7" t="s">
        <v>289</v>
      </c>
      <c r="D174" s="694">
        <v>0</v>
      </c>
    </row>
    <row r="175" spans="1:4" x14ac:dyDescent="0.3">
      <c r="A175" s="243">
        <v>150000739</v>
      </c>
      <c r="B175" s="696">
        <v>2</v>
      </c>
      <c r="C175" s="7" t="s">
        <v>222</v>
      </c>
      <c r="D175" s="697">
        <f>211.37</f>
        <v>211.37</v>
      </c>
    </row>
    <row r="176" spans="1:4" x14ac:dyDescent="0.3">
      <c r="A176" s="243">
        <v>150000740</v>
      </c>
      <c r="B176" s="696">
        <v>2</v>
      </c>
      <c r="C176" s="7" t="s">
        <v>197</v>
      </c>
      <c r="D176" s="694">
        <v>0</v>
      </c>
    </row>
    <row r="177" spans="1:4" x14ac:dyDescent="0.3">
      <c r="A177" s="243">
        <v>150000741</v>
      </c>
      <c r="B177" s="696">
        <v>2</v>
      </c>
      <c r="C177" s="7" t="s">
        <v>224</v>
      </c>
      <c r="D177" s="694">
        <v>0</v>
      </c>
    </row>
    <row r="178" spans="1:4" x14ac:dyDescent="0.3">
      <c r="A178" s="243">
        <v>150000742</v>
      </c>
      <c r="B178" s="696">
        <v>2</v>
      </c>
      <c r="C178" s="7" t="s">
        <v>290</v>
      </c>
      <c r="D178" s="694">
        <v>0</v>
      </c>
    </row>
    <row r="179" spans="1:4" x14ac:dyDescent="0.3">
      <c r="A179" s="243">
        <v>150000743</v>
      </c>
      <c r="B179" s="696">
        <v>2</v>
      </c>
      <c r="C179" s="7" t="s">
        <v>220</v>
      </c>
      <c r="D179" s="697">
        <f>38.08</f>
        <v>38.08</v>
      </c>
    </row>
    <row r="180" spans="1:4" x14ac:dyDescent="0.3">
      <c r="A180" s="243">
        <v>150000744</v>
      </c>
      <c r="B180" s="696">
        <v>2</v>
      </c>
      <c r="C180" s="7" t="s">
        <v>223</v>
      </c>
      <c r="D180" s="694">
        <v>0</v>
      </c>
    </row>
    <row r="181" spans="1:4" x14ac:dyDescent="0.3">
      <c r="A181" s="243">
        <v>150000745</v>
      </c>
      <c r="B181" s="696">
        <v>2</v>
      </c>
      <c r="C181" s="7" t="s">
        <v>133</v>
      </c>
      <c r="D181" s="694">
        <v>0</v>
      </c>
    </row>
    <row r="182" spans="1:4" x14ac:dyDescent="0.3">
      <c r="A182" s="243">
        <v>150000747</v>
      </c>
      <c r="B182" s="243">
        <v>1</v>
      </c>
      <c r="C182" s="7" t="s">
        <v>1654</v>
      </c>
      <c r="D182" s="694">
        <v>0</v>
      </c>
    </row>
    <row r="183" spans="1:4" x14ac:dyDescent="0.3">
      <c r="A183" s="243">
        <v>150000748</v>
      </c>
      <c r="B183" s="243">
        <v>1</v>
      </c>
      <c r="C183" s="7" t="s">
        <v>1655</v>
      </c>
      <c r="D183" s="694">
        <v>0</v>
      </c>
    </row>
    <row r="184" spans="1:4" x14ac:dyDescent="0.3">
      <c r="A184" s="243">
        <v>150000749</v>
      </c>
      <c r="B184" s="243">
        <v>1</v>
      </c>
      <c r="C184" s="7" t="s">
        <v>1656</v>
      </c>
      <c r="D184" s="694">
        <v>0</v>
      </c>
    </row>
    <row r="185" spans="1:4" x14ac:dyDescent="0.3">
      <c r="A185" s="243">
        <v>150000750</v>
      </c>
      <c r="B185" s="243">
        <v>1</v>
      </c>
      <c r="C185" s="7" t="s">
        <v>129</v>
      </c>
      <c r="D185" s="694">
        <v>0</v>
      </c>
    </row>
    <row r="186" spans="1:4" x14ac:dyDescent="0.3">
      <c r="A186" s="243">
        <v>150000751</v>
      </c>
      <c r="B186" s="243">
        <v>1</v>
      </c>
      <c r="C186" s="7" t="s">
        <v>130</v>
      </c>
      <c r="D186" s="694">
        <v>0</v>
      </c>
    </row>
    <row r="187" spans="1:4" x14ac:dyDescent="0.3">
      <c r="A187" s="243">
        <v>150000752</v>
      </c>
      <c r="B187" s="243">
        <v>1</v>
      </c>
      <c r="C187" s="7" t="s">
        <v>386</v>
      </c>
      <c r="D187" s="694">
        <v>0</v>
      </c>
    </row>
    <row r="188" spans="1:4" x14ac:dyDescent="0.3">
      <c r="A188" s="243">
        <v>150000753</v>
      </c>
      <c r="B188" s="696">
        <v>2</v>
      </c>
      <c r="C188" s="7" t="s">
        <v>239</v>
      </c>
      <c r="D188" s="694">
        <v>0</v>
      </c>
    </row>
    <row r="189" spans="1:4" x14ac:dyDescent="0.3">
      <c r="A189" s="243">
        <v>150000754</v>
      </c>
      <c r="B189" s="696">
        <v>2</v>
      </c>
      <c r="C189" s="7" t="s">
        <v>240</v>
      </c>
      <c r="D189" s="697">
        <v>30.08</v>
      </c>
    </row>
    <row r="190" spans="1:4" x14ac:dyDescent="0.3">
      <c r="A190" s="243">
        <v>150000758</v>
      </c>
      <c r="B190" s="696">
        <v>2</v>
      </c>
      <c r="C190" s="7" t="s">
        <v>388</v>
      </c>
      <c r="D190" s="694">
        <v>0</v>
      </c>
    </row>
    <row r="191" spans="1:4" x14ac:dyDescent="0.3">
      <c r="A191" s="243">
        <v>150000759</v>
      </c>
      <c r="B191" s="696">
        <v>2</v>
      </c>
      <c r="C191" s="7" t="s">
        <v>389</v>
      </c>
      <c r="D191" s="694">
        <v>0</v>
      </c>
    </row>
    <row r="192" spans="1:4" x14ac:dyDescent="0.3">
      <c r="A192" s="243">
        <v>150000760</v>
      </c>
      <c r="B192" s="696">
        <v>2</v>
      </c>
      <c r="C192" s="7" t="s">
        <v>387</v>
      </c>
      <c r="D192" s="697">
        <f>32.38+19.25</f>
        <v>51.63</v>
      </c>
    </row>
    <row r="193" spans="1:4" x14ac:dyDescent="0.3">
      <c r="A193" s="243">
        <v>150000761</v>
      </c>
      <c r="B193" s="696">
        <v>2</v>
      </c>
      <c r="C193" s="7" t="s">
        <v>390</v>
      </c>
      <c r="D193" s="697">
        <f>24.5+16.63</f>
        <v>41.129999999999995</v>
      </c>
    </row>
    <row r="194" spans="1:4" x14ac:dyDescent="0.3">
      <c r="A194" s="243">
        <v>150000762</v>
      </c>
      <c r="B194" s="696">
        <v>2</v>
      </c>
      <c r="C194" s="7" t="s">
        <v>391</v>
      </c>
      <c r="D194" s="694">
        <v>0</v>
      </c>
    </row>
    <row r="195" spans="1:4" x14ac:dyDescent="0.3">
      <c r="A195" s="243">
        <v>150000763</v>
      </c>
      <c r="B195" s="243">
        <v>3</v>
      </c>
      <c r="C195" s="7" t="s">
        <v>117</v>
      </c>
      <c r="D195" s="694">
        <v>0</v>
      </c>
    </row>
    <row r="196" spans="1:4" x14ac:dyDescent="0.3">
      <c r="A196" s="243">
        <v>150000764</v>
      </c>
      <c r="B196" s="243">
        <v>3</v>
      </c>
      <c r="C196" s="7" t="s">
        <v>118</v>
      </c>
      <c r="D196" s="694">
        <v>0</v>
      </c>
    </row>
    <row r="197" spans="1:4" x14ac:dyDescent="0.3">
      <c r="A197" s="243">
        <v>150000765</v>
      </c>
      <c r="B197" s="696">
        <v>2</v>
      </c>
      <c r="C197" s="7" t="s">
        <v>264</v>
      </c>
      <c r="D197" s="697">
        <f>50.75+15.75</f>
        <v>66.5</v>
      </c>
    </row>
    <row r="198" spans="1:4" x14ac:dyDescent="0.3">
      <c r="A198" s="243">
        <v>150000767</v>
      </c>
      <c r="B198" s="243">
        <v>3</v>
      </c>
      <c r="C198" s="7" t="s">
        <v>1662</v>
      </c>
      <c r="D198" s="694">
        <v>0</v>
      </c>
    </row>
    <row r="199" spans="1:4" x14ac:dyDescent="0.3">
      <c r="A199" s="243">
        <v>150000768</v>
      </c>
      <c r="B199" s="243">
        <v>3</v>
      </c>
      <c r="C199" s="7" t="s">
        <v>116</v>
      </c>
      <c r="D199" s="694">
        <v>0</v>
      </c>
    </row>
    <row r="200" spans="1:4" x14ac:dyDescent="0.3">
      <c r="A200" s="243">
        <v>150000770</v>
      </c>
      <c r="B200" s="243">
        <v>3</v>
      </c>
      <c r="C200" s="7" t="s">
        <v>119</v>
      </c>
      <c r="D200" s="694">
        <v>0</v>
      </c>
    </row>
    <row r="201" spans="1:4" x14ac:dyDescent="0.3">
      <c r="A201" s="243">
        <v>150000777</v>
      </c>
      <c r="B201" s="243">
        <v>3</v>
      </c>
      <c r="C201" s="7" t="s">
        <v>168</v>
      </c>
      <c r="D201" s="694">
        <v>0</v>
      </c>
    </row>
    <row r="202" spans="1:4" x14ac:dyDescent="0.3">
      <c r="A202" s="243">
        <v>150000778</v>
      </c>
      <c r="B202" s="243">
        <v>3</v>
      </c>
      <c r="C202" s="7" t="s">
        <v>214</v>
      </c>
      <c r="D202" s="694">
        <v>0</v>
      </c>
    </row>
    <row r="203" spans="1:4" x14ac:dyDescent="0.3">
      <c r="A203" s="243">
        <v>150000781</v>
      </c>
      <c r="B203" s="243">
        <v>3</v>
      </c>
      <c r="C203" s="7" t="s">
        <v>33</v>
      </c>
      <c r="D203" s="694">
        <v>0</v>
      </c>
    </row>
    <row r="204" spans="1:4" x14ac:dyDescent="0.3">
      <c r="A204" s="243">
        <v>150000795</v>
      </c>
      <c r="B204" s="243">
        <v>3</v>
      </c>
      <c r="C204" s="7" t="s">
        <v>291</v>
      </c>
      <c r="D204" s="694">
        <v>0</v>
      </c>
    </row>
    <row r="205" spans="1:4" x14ac:dyDescent="0.3">
      <c r="A205" s="243">
        <v>150000796</v>
      </c>
      <c r="B205" s="243">
        <v>3</v>
      </c>
      <c r="C205" s="7" t="s">
        <v>98</v>
      </c>
      <c r="D205" s="694">
        <v>0</v>
      </c>
    </row>
    <row r="206" spans="1:4" x14ac:dyDescent="0.3">
      <c r="A206" s="243">
        <v>150000797</v>
      </c>
      <c r="B206" s="696">
        <v>2</v>
      </c>
      <c r="C206" s="7" t="s">
        <v>231</v>
      </c>
      <c r="D206" s="697">
        <f>45.12</f>
        <v>45.12</v>
      </c>
    </row>
    <row r="207" spans="1:4" x14ac:dyDescent="0.3">
      <c r="A207" s="243">
        <v>150000798</v>
      </c>
      <c r="B207" s="696">
        <v>2</v>
      </c>
      <c r="C207" s="7" t="s">
        <v>225</v>
      </c>
      <c r="D207" s="694">
        <v>0</v>
      </c>
    </row>
    <row r="208" spans="1:4" x14ac:dyDescent="0.3">
      <c r="A208" s="243">
        <v>150000799</v>
      </c>
      <c r="B208" s="696">
        <v>2</v>
      </c>
      <c r="C208" s="7" t="s">
        <v>292</v>
      </c>
      <c r="D208" s="694">
        <v>0</v>
      </c>
    </row>
    <row r="209" spans="1:4" x14ac:dyDescent="0.3">
      <c r="A209" s="243">
        <v>150000800</v>
      </c>
      <c r="B209" s="696">
        <v>2</v>
      </c>
      <c r="C209" s="7" t="s">
        <v>226</v>
      </c>
      <c r="D209" s="694">
        <v>0</v>
      </c>
    </row>
    <row r="210" spans="1:4" x14ac:dyDescent="0.3">
      <c r="A210" s="243">
        <v>150000801</v>
      </c>
      <c r="B210" s="696">
        <v>2</v>
      </c>
      <c r="C210" s="7" t="s">
        <v>294</v>
      </c>
      <c r="D210" s="694">
        <v>0</v>
      </c>
    </row>
    <row r="211" spans="1:4" x14ac:dyDescent="0.3">
      <c r="A211" s="243">
        <v>150000802</v>
      </c>
      <c r="B211" s="696">
        <v>2</v>
      </c>
      <c r="C211" s="7" t="s">
        <v>295</v>
      </c>
      <c r="D211" s="694">
        <v>0</v>
      </c>
    </row>
    <row r="212" spans="1:4" x14ac:dyDescent="0.3">
      <c r="A212" s="243">
        <v>150000803</v>
      </c>
      <c r="B212" s="696">
        <v>2</v>
      </c>
      <c r="C212" s="7" t="s">
        <v>227</v>
      </c>
      <c r="D212" s="694">
        <v>0</v>
      </c>
    </row>
    <row r="213" spans="1:4" x14ac:dyDescent="0.3">
      <c r="A213" s="243">
        <v>150000805</v>
      </c>
      <c r="B213" s="243">
        <v>3</v>
      </c>
      <c r="C213" s="7" t="s">
        <v>296</v>
      </c>
      <c r="D213" s="697">
        <f>47.04</f>
        <v>47.04</v>
      </c>
    </row>
    <row r="214" spans="1:4" x14ac:dyDescent="0.3">
      <c r="A214" s="243">
        <v>150000806</v>
      </c>
      <c r="B214" s="696">
        <v>2</v>
      </c>
      <c r="C214" s="7" t="s">
        <v>228</v>
      </c>
      <c r="D214" s="694">
        <v>0</v>
      </c>
    </row>
    <row r="215" spans="1:4" x14ac:dyDescent="0.3">
      <c r="A215" s="243">
        <v>150000807</v>
      </c>
      <c r="B215" s="243">
        <v>3</v>
      </c>
      <c r="C215" s="7" t="s">
        <v>187</v>
      </c>
      <c r="D215" s="694">
        <v>0</v>
      </c>
    </row>
    <row r="216" spans="1:4" x14ac:dyDescent="0.3">
      <c r="A216" s="243">
        <v>150000808</v>
      </c>
      <c r="B216" s="696">
        <v>2</v>
      </c>
      <c r="C216" s="7" t="s">
        <v>297</v>
      </c>
      <c r="D216" s="694">
        <v>0</v>
      </c>
    </row>
    <row r="217" spans="1:4" x14ac:dyDescent="0.3">
      <c r="A217" s="243">
        <v>150000809</v>
      </c>
      <c r="B217" s="696">
        <v>2</v>
      </c>
      <c r="C217" s="7" t="s">
        <v>299</v>
      </c>
      <c r="D217" s="694">
        <v>0</v>
      </c>
    </row>
    <row r="218" spans="1:4" x14ac:dyDescent="0.3">
      <c r="A218" s="243">
        <v>150000810</v>
      </c>
      <c r="B218" s="696">
        <v>2</v>
      </c>
      <c r="C218" s="7" t="s">
        <v>300</v>
      </c>
      <c r="D218" s="697">
        <f>25.38</f>
        <v>25.38</v>
      </c>
    </row>
    <row r="219" spans="1:4" x14ac:dyDescent="0.3">
      <c r="A219" s="243">
        <v>150000811</v>
      </c>
      <c r="B219" s="696">
        <v>2</v>
      </c>
      <c r="C219" s="7" t="s">
        <v>301</v>
      </c>
      <c r="D219" s="697">
        <f>35</f>
        <v>35</v>
      </c>
    </row>
    <row r="220" spans="1:4" x14ac:dyDescent="0.3">
      <c r="A220" s="243">
        <v>150000812</v>
      </c>
      <c r="B220" s="696">
        <v>2</v>
      </c>
      <c r="C220" s="7" t="s">
        <v>302</v>
      </c>
      <c r="D220" s="694">
        <v>0</v>
      </c>
    </row>
    <row r="221" spans="1:4" x14ac:dyDescent="0.3">
      <c r="A221" s="243">
        <v>150000813</v>
      </c>
      <c r="B221" s="243">
        <v>3</v>
      </c>
      <c r="C221" s="7" t="s">
        <v>188</v>
      </c>
      <c r="D221" s="694">
        <v>0</v>
      </c>
    </row>
    <row r="222" spans="1:4" x14ac:dyDescent="0.3">
      <c r="A222" s="243">
        <v>150000814</v>
      </c>
      <c r="B222" s="696">
        <v>2</v>
      </c>
      <c r="C222" s="7" t="s">
        <v>304</v>
      </c>
      <c r="D222" s="697">
        <f>15.75</f>
        <v>15.75</v>
      </c>
    </row>
    <row r="223" spans="1:4" x14ac:dyDescent="0.3">
      <c r="A223" s="243">
        <v>150000816</v>
      </c>
      <c r="B223" s="696">
        <v>2</v>
      </c>
      <c r="C223" s="7" t="s">
        <v>229</v>
      </c>
      <c r="D223" s="697">
        <f>5.25</f>
        <v>5.25</v>
      </c>
    </row>
    <row r="224" spans="1:4" x14ac:dyDescent="0.3">
      <c r="A224" s="243">
        <v>150000819</v>
      </c>
      <c r="B224" s="243">
        <v>3</v>
      </c>
      <c r="C224" s="7" t="s">
        <v>423</v>
      </c>
      <c r="D224" s="694">
        <v>0</v>
      </c>
    </row>
    <row r="225" spans="1:4" x14ac:dyDescent="0.3">
      <c r="A225" s="243">
        <v>150000820</v>
      </c>
      <c r="B225" s="243">
        <v>3</v>
      </c>
      <c r="C225" s="7" t="s">
        <v>394</v>
      </c>
      <c r="D225" s="694">
        <v>0</v>
      </c>
    </row>
    <row r="226" spans="1:4" x14ac:dyDescent="0.3">
      <c r="A226" s="243">
        <v>150000827</v>
      </c>
      <c r="B226" s="696">
        <v>2</v>
      </c>
      <c r="C226" s="7" t="s">
        <v>298</v>
      </c>
      <c r="D226" s="694">
        <v>0</v>
      </c>
    </row>
    <row r="227" spans="1:4" x14ac:dyDescent="0.3">
      <c r="A227" s="243">
        <v>150000828</v>
      </c>
      <c r="B227" s="696">
        <v>2</v>
      </c>
      <c r="C227" s="7" t="s">
        <v>303</v>
      </c>
      <c r="D227" s="694">
        <v>0</v>
      </c>
    </row>
    <row r="228" spans="1:4" x14ac:dyDescent="0.3">
      <c r="A228" s="243">
        <v>150000829</v>
      </c>
      <c r="B228" s="696">
        <v>2</v>
      </c>
      <c r="C228" s="7" t="s">
        <v>230</v>
      </c>
      <c r="D228" s="697">
        <f>22.75</f>
        <v>22.75</v>
      </c>
    </row>
    <row r="229" spans="1:4" x14ac:dyDescent="0.3">
      <c r="A229" s="243">
        <v>150000830</v>
      </c>
      <c r="B229" s="243">
        <v>3</v>
      </c>
      <c r="C229" s="7" t="s">
        <v>293</v>
      </c>
      <c r="D229" s="694">
        <v>0</v>
      </c>
    </row>
    <row r="230" spans="1:4" x14ac:dyDescent="0.3">
      <c r="A230" s="243">
        <v>150000832</v>
      </c>
      <c r="B230" s="243">
        <v>1</v>
      </c>
      <c r="C230" s="7" t="s">
        <v>422</v>
      </c>
      <c r="D230" s="694">
        <v>0</v>
      </c>
    </row>
    <row r="231" spans="1:4" x14ac:dyDescent="0.3">
      <c r="A231" s="243">
        <v>150000833</v>
      </c>
      <c r="B231" s="243">
        <v>1</v>
      </c>
      <c r="C231" s="7" t="s">
        <v>392</v>
      </c>
      <c r="D231" s="694">
        <v>0</v>
      </c>
    </row>
    <row r="232" spans="1:4" x14ac:dyDescent="0.3">
      <c r="A232" s="243">
        <v>150000834</v>
      </c>
      <c r="B232" s="243">
        <v>1</v>
      </c>
      <c r="C232" s="7" t="s">
        <v>79</v>
      </c>
      <c r="D232" s="694">
        <v>0</v>
      </c>
    </row>
    <row r="233" spans="1:4" x14ac:dyDescent="0.3">
      <c r="A233" s="243">
        <v>150000835</v>
      </c>
      <c r="B233" s="696">
        <v>2</v>
      </c>
      <c r="C233" s="7" t="s">
        <v>137</v>
      </c>
      <c r="D233" s="694">
        <v>0</v>
      </c>
    </row>
    <row r="234" spans="1:4" x14ac:dyDescent="0.3">
      <c r="A234" s="243">
        <v>150000836</v>
      </c>
      <c r="B234" s="243">
        <v>1</v>
      </c>
      <c r="C234" s="7" t="s">
        <v>198</v>
      </c>
      <c r="D234" s="694">
        <v>0</v>
      </c>
    </row>
    <row r="235" spans="1:4" x14ac:dyDescent="0.3">
      <c r="A235" s="243">
        <v>150000837</v>
      </c>
      <c r="B235" s="243">
        <v>1</v>
      </c>
      <c r="C235" s="7" t="s">
        <v>199</v>
      </c>
      <c r="D235" s="694">
        <v>0</v>
      </c>
    </row>
    <row r="236" spans="1:4" x14ac:dyDescent="0.3">
      <c r="A236" s="243">
        <v>150000839</v>
      </c>
      <c r="B236" s="243">
        <v>1</v>
      </c>
      <c r="C236" s="7" t="s">
        <v>135</v>
      </c>
      <c r="D236" s="694">
        <v>0</v>
      </c>
    </row>
    <row r="237" spans="1:4" x14ac:dyDescent="0.3">
      <c r="A237" s="243">
        <v>150000840</v>
      </c>
      <c r="B237" s="243">
        <v>1</v>
      </c>
      <c r="C237" s="7" t="s">
        <v>393</v>
      </c>
      <c r="D237" s="694">
        <f>7.44+19.54+36.75</f>
        <v>63.730000000000004</v>
      </c>
    </row>
    <row r="238" spans="1:4" x14ac:dyDescent="0.3">
      <c r="A238" s="243">
        <v>150000841</v>
      </c>
      <c r="B238" s="243">
        <v>1</v>
      </c>
      <c r="C238" s="7" t="s">
        <v>136</v>
      </c>
      <c r="D238" s="694">
        <v>0</v>
      </c>
    </row>
    <row r="239" spans="1:4" x14ac:dyDescent="0.3">
      <c r="A239" s="243">
        <v>150000842</v>
      </c>
      <c r="B239" s="696">
        <v>2</v>
      </c>
      <c r="C239" s="7" t="s">
        <v>1659</v>
      </c>
      <c r="D239" s="694">
        <v>0</v>
      </c>
    </row>
    <row r="240" spans="1:4" x14ac:dyDescent="0.3">
      <c r="A240" s="243">
        <v>150000845</v>
      </c>
      <c r="B240" s="243">
        <v>1</v>
      </c>
      <c r="C240" s="7" t="s">
        <v>138</v>
      </c>
      <c r="D240" s="694">
        <v>0</v>
      </c>
    </row>
    <row r="241" spans="1:4" x14ac:dyDescent="0.3">
      <c r="A241" s="243">
        <v>150000846</v>
      </c>
      <c r="B241" s="243">
        <v>1</v>
      </c>
      <c r="C241" s="7" t="s">
        <v>139</v>
      </c>
      <c r="D241" s="694">
        <v>0</v>
      </c>
    </row>
    <row r="242" spans="1:4" x14ac:dyDescent="0.3">
      <c r="A242" s="243">
        <v>150000848</v>
      </c>
      <c r="B242" s="696">
        <v>2</v>
      </c>
      <c r="C242" s="7" t="s">
        <v>186</v>
      </c>
      <c r="D242" s="694">
        <v>0</v>
      </c>
    </row>
    <row r="243" spans="1:4" x14ac:dyDescent="0.3">
      <c r="A243" s="243">
        <v>150000851</v>
      </c>
      <c r="B243" s="243">
        <v>3</v>
      </c>
      <c r="C243" s="7" t="s">
        <v>134</v>
      </c>
      <c r="D243" s="694">
        <v>0</v>
      </c>
    </row>
    <row r="244" spans="1:4" x14ac:dyDescent="0.3">
      <c r="A244" s="243">
        <v>150000861</v>
      </c>
      <c r="B244" s="696">
        <v>2</v>
      </c>
      <c r="C244" s="7" t="s">
        <v>232</v>
      </c>
      <c r="D244" s="694">
        <v>0</v>
      </c>
    </row>
    <row r="245" spans="1:4" x14ac:dyDescent="0.3">
      <c r="A245" s="243">
        <v>150000862</v>
      </c>
      <c r="B245" s="696">
        <v>2</v>
      </c>
      <c r="C245" s="7" t="s">
        <v>234</v>
      </c>
      <c r="D245" s="697">
        <f>45.12</f>
        <v>45.12</v>
      </c>
    </row>
    <row r="246" spans="1:4" x14ac:dyDescent="0.3">
      <c r="A246" s="243">
        <v>150000863</v>
      </c>
      <c r="B246" s="696">
        <v>2</v>
      </c>
      <c r="C246" s="7" t="s">
        <v>235</v>
      </c>
      <c r="D246" s="697">
        <f>26.25</f>
        <v>26.25</v>
      </c>
    </row>
    <row r="247" spans="1:4" x14ac:dyDescent="0.3">
      <c r="A247" s="243">
        <v>150000864</v>
      </c>
      <c r="B247" s="696">
        <v>2</v>
      </c>
      <c r="C247" s="7" t="s">
        <v>200</v>
      </c>
      <c r="D247" s="697">
        <f>20.13</f>
        <v>20.13</v>
      </c>
    </row>
    <row r="248" spans="1:4" x14ac:dyDescent="0.3">
      <c r="A248" s="243">
        <v>150000865</v>
      </c>
      <c r="B248" s="696">
        <v>2</v>
      </c>
      <c r="C248" s="7" t="s">
        <v>305</v>
      </c>
      <c r="D248" s="694">
        <v>0</v>
      </c>
    </row>
    <row r="249" spans="1:4" x14ac:dyDescent="0.3">
      <c r="A249" s="243">
        <v>150000866</v>
      </c>
      <c r="B249" s="243">
        <v>1</v>
      </c>
      <c r="C249" s="7" t="s">
        <v>308</v>
      </c>
      <c r="D249" s="694">
        <v>0</v>
      </c>
    </row>
    <row r="250" spans="1:4" x14ac:dyDescent="0.3">
      <c r="A250" s="243">
        <v>150000867</v>
      </c>
      <c r="B250" s="243">
        <v>1</v>
      </c>
      <c r="C250" s="7" t="s">
        <v>309</v>
      </c>
      <c r="D250" s="694">
        <v>0</v>
      </c>
    </row>
    <row r="251" spans="1:4" x14ac:dyDescent="0.3">
      <c r="A251" s="243">
        <v>150000868</v>
      </c>
      <c r="B251" s="243">
        <v>1</v>
      </c>
      <c r="C251" s="7" t="s">
        <v>310</v>
      </c>
      <c r="D251" s="694">
        <v>19.54</v>
      </c>
    </row>
    <row r="252" spans="1:4" x14ac:dyDescent="0.3">
      <c r="A252" s="243">
        <v>150000869</v>
      </c>
      <c r="B252" s="243">
        <v>1</v>
      </c>
      <c r="C252" s="7" t="s">
        <v>311</v>
      </c>
      <c r="D252" s="694">
        <v>0</v>
      </c>
    </row>
    <row r="253" spans="1:4" x14ac:dyDescent="0.3">
      <c r="A253" s="243">
        <v>150000871</v>
      </c>
      <c r="B253" s="696">
        <v>2</v>
      </c>
      <c r="C253" s="7" t="s">
        <v>140</v>
      </c>
      <c r="D253" s="694">
        <v>0</v>
      </c>
    </row>
    <row r="254" spans="1:4" x14ac:dyDescent="0.3">
      <c r="A254" s="243">
        <v>150000872</v>
      </c>
      <c r="B254" s="696">
        <v>2</v>
      </c>
      <c r="C254" s="7" t="s">
        <v>233</v>
      </c>
      <c r="D254" s="694">
        <v>0</v>
      </c>
    </row>
    <row r="255" spans="1:4" x14ac:dyDescent="0.3">
      <c r="A255" s="243">
        <v>150000873</v>
      </c>
      <c r="B255" s="696">
        <v>2</v>
      </c>
      <c r="C255" s="7" t="s">
        <v>306</v>
      </c>
      <c r="D255" s="694">
        <v>0</v>
      </c>
    </row>
    <row r="256" spans="1:4" x14ac:dyDescent="0.3">
      <c r="A256" s="243">
        <v>150000874</v>
      </c>
      <c r="B256" s="696">
        <v>2</v>
      </c>
      <c r="C256" s="7" t="s">
        <v>307</v>
      </c>
      <c r="D256" s="694">
        <v>0</v>
      </c>
    </row>
    <row r="257" spans="1:4" x14ac:dyDescent="0.3">
      <c r="A257" s="243">
        <v>150000875</v>
      </c>
      <c r="B257" s="243">
        <v>1</v>
      </c>
      <c r="C257" s="7" t="s">
        <v>312</v>
      </c>
      <c r="D257" s="694">
        <v>0</v>
      </c>
    </row>
    <row r="258" spans="1:4" x14ac:dyDescent="0.3">
      <c r="A258" s="243">
        <v>150000878</v>
      </c>
      <c r="B258" s="696">
        <v>2</v>
      </c>
      <c r="C258" s="7" t="s">
        <v>236</v>
      </c>
      <c r="D258" s="697">
        <f>49.14+44.23+4.38</f>
        <v>97.75</v>
      </c>
    </row>
    <row r="259" spans="1:4" x14ac:dyDescent="0.3">
      <c r="A259" s="243">
        <v>150000879</v>
      </c>
      <c r="B259" s="696">
        <v>2</v>
      </c>
      <c r="C259" s="7" t="s">
        <v>329</v>
      </c>
      <c r="D259" s="694">
        <v>0</v>
      </c>
    </row>
    <row r="260" spans="1:4" x14ac:dyDescent="0.3">
      <c r="A260" s="243">
        <v>150000880</v>
      </c>
      <c r="B260" s="696">
        <v>2</v>
      </c>
      <c r="C260" s="7" t="s">
        <v>237</v>
      </c>
      <c r="D260" s="697">
        <f>39.34</f>
        <v>39.340000000000003</v>
      </c>
    </row>
    <row r="261" spans="1:4" x14ac:dyDescent="0.3">
      <c r="A261" s="243">
        <v>150000881</v>
      </c>
      <c r="B261" s="696">
        <v>2</v>
      </c>
      <c r="C261" s="7" t="s">
        <v>411</v>
      </c>
      <c r="D261" s="694">
        <v>0</v>
      </c>
    </row>
    <row r="262" spans="1:4" x14ac:dyDescent="0.3">
      <c r="A262" s="243">
        <v>150000882</v>
      </c>
      <c r="B262" s="696">
        <v>2</v>
      </c>
      <c r="C262" s="7" t="s">
        <v>330</v>
      </c>
      <c r="D262" s="697">
        <f>34.58</f>
        <v>34.58</v>
      </c>
    </row>
    <row r="263" spans="1:4" x14ac:dyDescent="0.3">
      <c r="A263" s="243">
        <v>150000883</v>
      </c>
      <c r="B263" s="696">
        <v>2</v>
      </c>
      <c r="C263" s="7" t="s">
        <v>331</v>
      </c>
      <c r="D263" s="694">
        <v>0</v>
      </c>
    </row>
    <row r="264" spans="1:4" x14ac:dyDescent="0.3">
      <c r="A264" s="243">
        <v>150000884</v>
      </c>
      <c r="B264" s="696">
        <v>2</v>
      </c>
      <c r="C264" s="7" t="s">
        <v>332</v>
      </c>
      <c r="D264" s="694">
        <v>0</v>
      </c>
    </row>
    <row r="265" spans="1:4" x14ac:dyDescent="0.3">
      <c r="A265" s="243">
        <v>150000885</v>
      </c>
      <c r="B265" s="696">
        <v>2</v>
      </c>
      <c r="C265" s="7" t="s">
        <v>238</v>
      </c>
      <c r="D265" s="694">
        <v>0</v>
      </c>
    </row>
    <row r="266" spans="1:4" x14ac:dyDescent="0.3">
      <c r="A266" s="243">
        <v>150000886</v>
      </c>
      <c r="B266" s="696">
        <v>2</v>
      </c>
      <c r="C266" s="7" t="s">
        <v>396</v>
      </c>
      <c r="D266" s="697">
        <f>2.38</f>
        <v>2.38</v>
      </c>
    </row>
    <row r="267" spans="1:4" x14ac:dyDescent="0.3">
      <c r="A267" s="243">
        <v>150000887</v>
      </c>
      <c r="B267" s="696">
        <v>2</v>
      </c>
      <c r="C267" s="7" t="s">
        <v>397</v>
      </c>
      <c r="D267" s="697">
        <f>23.06</f>
        <v>23.06</v>
      </c>
    </row>
    <row r="268" spans="1:4" x14ac:dyDescent="0.3">
      <c r="A268" s="243">
        <v>150000888</v>
      </c>
      <c r="B268" s="696">
        <v>2</v>
      </c>
      <c r="C268" s="7" t="s">
        <v>313</v>
      </c>
      <c r="D268" s="694">
        <v>0</v>
      </c>
    </row>
    <row r="269" spans="1:4" x14ac:dyDescent="0.3">
      <c r="A269" s="243">
        <v>150000889</v>
      </c>
      <c r="B269" s="696">
        <v>2</v>
      </c>
      <c r="C269" s="7" t="s">
        <v>427</v>
      </c>
      <c r="D269" s="694">
        <v>0</v>
      </c>
    </row>
    <row r="270" spans="1:4" x14ac:dyDescent="0.3">
      <c r="A270" s="243">
        <v>150000890</v>
      </c>
      <c r="B270" s="696">
        <v>2</v>
      </c>
      <c r="C270" s="7" t="s">
        <v>398</v>
      </c>
      <c r="D270" s="694">
        <v>0</v>
      </c>
    </row>
    <row r="271" spans="1:4" x14ac:dyDescent="0.3">
      <c r="A271" s="243">
        <v>150000891</v>
      </c>
      <c r="B271" s="696">
        <v>2</v>
      </c>
      <c r="C271" s="7" t="s">
        <v>189</v>
      </c>
      <c r="D271" s="694">
        <v>0</v>
      </c>
    </row>
    <row r="272" spans="1:4" x14ac:dyDescent="0.3">
      <c r="A272" s="243">
        <v>150000892</v>
      </c>
      <c r="B272" s="243">
        <v>3</v>
      </c>
      <c r="C272" s="7" t="s">
        <v>400</v>
      </c>
      <c r="D272" s="697">
        <f>9.63+11.07</f>
        <v>20.700000000000003</v>
      </c>
    </row>
    <row r="273" spans="1:4" x14ac:dyDescent="0.3">
      <c r="A273" s="243">
        <v>150000893</v>
      </c>
      <c r="B273" s="243">
        <v>3</v>
      </c>
      <c r="C273" s="7" t="s">
        <v>314</v>
      </c>
      <c r="D273" s="697">
        <f>49.81</f>
        <v>49.81</v>
      </c>
    </row>
    <row r="274" spans="1:4" x14ac:dyDescent="0.3">
      <c r="A274" s="243">
        <v>150000894</v>
      </c>
      <c r="B274" s="243">
        <v>3</v>
      </c>
      <c r="C274" s="7" t="s">
        <v>315</v>
      </c>
      <c r="D274" s="694">
        <v>0</v>
      </c>
    </row>
    <row r="275" spans="1:4" x14ac:dyDescent="0.3">
      <c r="A275" s="243">
        <v>150000895</v>
      </c>
      <c r="B275" s="243">
        <v>3</v>
      </c>
      <c r="C275" s="7" t="s">
        <v>316</v>
      </c>
      <c r="D275" s="694">
        <v>0</v>
      </c>
    </row>
    <row r="276" spans="1:4" x14ac:dyDescent="0.3">
      <c r="A276" s="243">
        <v>150000896</v>
      </c>
      <c r="B276" s="243">
        <v>3</v>
      </c>
      <c r="C276" s="7" t="s">
        <v>317</v>
      </c>
      <c r="D276" s="697">
        <f>12.45</f>
        <v>12.45</v>
      </c>
    </row>
    <row r="277" spans="1:4" x14ac:dyDescent="0.3">
      <c r="A277" s="243">
        <v>150000898</v>
      </c>
      <c r="B277" s="243">
        <v>3</v>
      </c>
      <c r="C277" s="7" t="s">
        <v>190</v>
      </c>
      <c r="D277" s="694">
        <v>0</v>
      </c>
    </row>
    <row r="278" spans="1:4" x14ac:dyDescent="0.3">
      <c r="A278" s="243">
        <v>150000899</v>
      </c>
      <c r="B278" s="243">
        <v>3</v>
      </c>
      <c r="C278" s="7" t="s">
        <v>402</v>
      </c>
      <c r="D278" s="694">
        <v>0</v>
      </c>
    </row>
    <row r="279" spans="1:4" x14ac:dyDescent="0.3">
      <c r="A279" s="243">
        <v>150000900</v>
      </c>
      <c r="B279" s="243">
        <v>3</v>
      </c>
      <c r="C279" s="7" t="s">
        <v>425</v>
      </c>
      <c r="D279" s="694">
        <v>0</v>
      </c>
    </row>
    <row r="280" spans="1:4" x14ac:dyDescent="0.3">
      <c r="A280" s="243">
        <v>150000901</v>
      </c>
      <c r="B280" s="243">
        <v>3</v>
      </c>
      <c r="C280" s="7" t="s">
        <v>424</v>
      </c>
      <c r="D280" s="694">
        <v>0</v>
      </c>
    </row>
    <row r="281" spans="1:4" x14ac:dyDescent="0.3">
      <c r="A281" s="243">
        <v>150000902</v>
      </c>
      <c r="B281" s="243">
        <v>3</v>
      </c>
      <c r="C281" s="7" t="s">
        <v>403</v>
      </c>
      <c r="D281" s="694">
        <v>0</v>
      </c>
    </row>
    <row r="282" spans="1:4" x14ac:dyDescent="0.3">
      <c r="A282" s="243">
        <v>150000903</v>
      </c>
      <c r="B282" s="243">
        <v>3</v>
      </c>
      <c r="C282" s="7" t="s">
        <v>404</v>
      </c>
      <c r="D282" s="694">
        <v>0</v>
      </c>
    </row>
    <row r="283" spans="1:4" x14ac:dyDescent="0.3">
      <c r="A283" s="243">
        <v>150000904</v>
      </c>
      <c r="B283" s="243">
        <v>3</v>
      </c>
      <c r="C283" s="7" t="s">
        <v>405</v>
      </c>
      <c r="D283" s="694">
        <v>0</v>
      </c>
    </row>
    <row r="284" spans="1:4" x14ac:dyDescent="0.3">
      <c r="A284" s="243">
        <v>150000905</v>
      </c>
      <c r="B284" s="243">
        <v>3</v>
      </c>
      <c r="C284" s="7" t="s">
        <v>426</v>
      </c>
      <c r="D284" s="694">
        <v>0</v>
      </c>
    </row>
    <row r="285" spans="1:4" x14ac:dyDescent="0.3">
      <c r="A285" s="243">
        <v>150000906</v>
      </c>
      <c r="B285" s="243">
        <v>3</v>
      </c>
      <c r="C285" s="7" t="s">
        <v>406</v>
      </c>
      <c r="D285" s="694">
        <v>0</v>
      </c>
    </row>
    <row r="286" spans="1:4" x14ac:dyDescent="0.3">
      <c r="A286" s="243">
        <v>150000907</v>
      </c>
      <c r="B286" s="243">
        <v>3</v>
      </c>
      <c r="C286" s="7" t="s">
        <v>407</v>
      </c>
      <c r="D286" s="697">
        <f>30.63+225.08+30.63</f>
        <v>286.34000000000003</v>
      </c>
    </row>
    <row r="287" spans="1:4" x14ac:dyDescent="0.3">
      <c r="A287" s="243">
        <v>150000908</v>
      </c>
      <c r="B287" s="243">
        <v>3</v>
      </c>
      <c r="C287" s="7" t="s">
        <v>408</v>
      </c>
      <c r="D287" s="697">
        <f>242.92</f>
        <v>242.92</v>
      </c>
    </row>
    <row r="288" spans="1:4" x14ac:dyDescent="0.3">
      <c r="A288" s="243">
        <v>150000909</v>
      </c>
      <c r="B288" s="243">
        <v>3</v>
      </c>
      <c r="C288" s="7" t="s">
        <v>409</v>
      </c>
      <c r="D288" s="697">
        <f>231.37</f>
        <v>231.37</v>
      </c>
    </row>
    <row r="289" spans="1:4" x14ac:dyDescent="0.3">
      <c r="A289" s="243">
        <v>150000910</v>
      </c>
      <c r="B289" s="243">
        <v>3</v>
      </c>
      <c r="C289" s="7" t="s">
        <v>410</v>
      </c>
      <c r="D289" s="697">
        <f>185.01</f>
        <v>185.01</v>
      </c>
    </row>
    <row r="290" spans="1:4" x14ac:dyDescent="0.3">
      <c r="A290" s="243">
        <v>150000911</v>
      </c>
      <c r="B290" s="243">
        <v>3</v>
      </c>
      <c r="C290" s="7" t="s">
        <v>318</v>
      </c>
      <c r="D290" s="697">
        <f>44.69</f>
        <v>44.69</v>
      </c>
    </row>
    <row r="291" spans="1:4" x14ac:dyDescent="0.3">
      <c r="A291" s="243">
        <v>150000912</v>
      </c>
      <c r="B291" s="243">
        <v>3</v>
      </c>
      <c r="C291" s="7" t="s">
        <v>319</v>
      </c>
      <c r="D291" s="697">
        <f>30.63</f>
        <v>30.63</v>
      </c>
    </row>
    <row r="292" spans="1:4" x14ac:dyDescent="0.3">
      <c r="A292" s="243">
        <v>150000913</v>
      </c>
      <c r="B292" s="243">
        <v>3</v>
      </c>
      <c r="C292" s="7" t="s">
        <v>320</v>
      </c>
      <c r="D292" s="697">
        <f>24.5</f>
        <v>24.5</v>
      </c>
    </row>
    <row r="293" spans="1:4" x14ac:dyDescent="0.3">
      <c r="A293" s="243">
        <v>150000914</v>
      </c>
      <c r="B293" s="243">
        <v>3</v>
      </c>
      <c r="C293" s="7" t="s">
        <v>321</v>
      </c>
      <c r="D293" s="697">
        <f>8.75+7.88</f>
        <v>16.63</v>
      </c>
    </row>
    <row r="294" spans="1:4" x14ac:dyDescent="0.3">
      <c r="A294" s="243">
        <v>150000915</v>
      </c>
      <c r="B294" s="243">
        <v>3</v>
      </c>
      <c r="C294" s="7" t="s">
        <v>322</v>
      </c>
      <c r="D294" s="697">
        <f>30.63</f>
        <v>30.63</v>
      </c>
    </row>
    <row r="295" spans="1:4" x14ac:dyDescent="0.3">
      <c r="A295" s="243">
        <v>150000916</v>
      </c>
      <c r="B295" s="243">
        <v>3</v>
      </c>
      <c r="C295" s="7" t="s">
        <v>323</v>
      </c>
      <c r="D295" s="697">
        <f>69.18</f>
        <v>69.180000000000007</v>
      </c>
    </row>
    <row r="296" spans="1:4" x14ac:dyDescent="0.3">
      <c r="A296" s="243">
        <v>150000917</v>
      </c>
      <c r="B296" s="243">
        <v>3</v>
      </c>
      <c r="C296" s="7" t="s">
        <v>324</v>
      </c>
      <c r="D296" s="694">
        <v>0</v>
      </c>
    </row>
    <row r="297" spans="1:4" x14ac:dyDescent="0.3">
      <c r="A297" s="243">
        <v>150000918</v>
      </c>
      <c r="B297" s="243">
        <v>3</v>
      </c>
      <c r="C297" s="7" t="s">
        <v>325</v>
      </c>
      <c r="D297" s="697">
        <f>40.13+6.92</f>
        <v>47.050000000000004</v>
      </c>
    </row>
    <row r="298" spans="1:4" x14ac:dyDescent="0.3">
      <c r="A298" s="243">
        <v>150000919</v>
      </c>
      <c r="B298" s="243">
        <v>3</v>
      </c>
      <c r="C298" s="7" t="s">
        <v>326</v>
      </c>
      <c r="D298" s="697">
        <f>4.15</f>
        <v>4.1500000000000004</v>
      </c>
    </row>
    <row r="299" spans="1:4" x14ac:dyDescent="0.3">
      <c r="A299" s="243">
        <v>150000920</v>
      </c>
      <c r="B299" s="243">
        <v>3</v>
      </c>
      <c r="C299" s="7" t="s">
        <v>327</v>
      </c>
      <c r="D299" s="697">
        <f>47.25</f>
        <v>47.25</v>
      </c>
    </row>
    <row r="300" spans="1:4" x14ac:dyDescent="0.3">
      <c r="A300" s="243">
        <v>150000921</v>
      </c>
      <c r="B300" s="243">
        <v>3</v>
      </c>
      <c r="C300" s="7" t="s">
        <v>328</v>
      </c>
      <c r="D300" s="694">
        <v>0</v>
      </c>
    </row>
    <row r="301" spans="1:4" x14ac:dyDescent="0.3">
      <c r="A301" s="243">
        <v>150000922</v>
      </c>
      <c r="B301" s="243">
        <v>3</v>
      </c>
      <c r="C301" s="7" t="s">
        <v>401</v>
      </c>
      <c r="D301" s="694">
        <v>0</v>
      </c>
    </row>
    <row r="302" spans="1:4" x14ac:dyDescent="0.3">
      <c r="A302" s="243">
        <v>150000924</v>
      </c>
      <c r="B302" s="696">
        <v>2</v>
      </c>
      <c r="C302" s="7" t="s">
        <v>174</v>
      </c>
      <c r="D302" s="694">
        <v>0</v>
      </c>
    </row>
    <row r="303" spans="1:4" x14ac:dyDescent="0.3">
      <c r="A303" s="243">
        <v>150000925</v>
      </c>
      <c r="B303" s="696">
        <v>2</v>
      </c>
      <c r="C303" s="7" t="s">
        <v>176</v>
      </c>
      <c r="D303" s="694">
        <v>0</v>
      </c>
    </row>
    <row r="304" spans="1:4" x14ac:dyDescent="0.3">
      <c r="A304" s="243">
        <v>150000926</v>
      </c>
      <c r="B304" s="696">
        <v>2</v>
      </c>
      <c r="C304" s="7" t="s">
        <v>177</v>
      </c>
      <c r="D304" s="694">
        <v>0</v>
      </c>
    </row>
    <row r="305" spans="1:4" x14ac:dyDescent="0.3">
      <c r="A305" s="243">
        <v>150000927</v>
      </c>
      <c r="B305" s="696">
        <v>2</v>
      </c>
      <c r="C305" s="7" t="s">
        <v>178</v>
      </c>
      <c r="D305" s="694">
        <v>0</v>
      </c>
    </row>
    <row r="306" spans="1:4" x14ac:dyDescent="0.3">
      <c r="A306" s="243">
        <v>150000928</v>
      </c>
      <c r="B306" s="696">
        <v>2</v>
      </c>
      <c r="C306" s="7" t="s">
        <v>169</v>
      </c>
      <c r="D306" s="694">
        <v>0</v>
      </c>
    </row>
    <row r="307" spans="1:4" x14ac:dyDescent="0.3">
      <c r="A307" s="243">
        <v>150000929</v>
      </c>
      <c r="B307" s="696">
        <v>2</v>
      </c>
      <c r="C307" s="7" t="s">
        <v>1096</v>
      </c>
      <c r="D307" s="697">
        <f>15.97</f>
        <v>15.97</v>
      </c>
    </row>
    <row r="308" spans="1:4" x14ac:dyDescent="0.3">
      <c r="A308" s="243">
        <v>150000930</v>
      </c>
      <c r="B308" s="696">
        <v>2</v>
      </c>
      <c r="C308" s="7" t="s">
        <v>172</v>
      </c>
      <c r="D308" s="694">
        <v>0</v>
      </c>
    </row>
    <row r="309" spans="1:4" x14ac:dyDescent="0.3">
      <c r="A309" s="243">
        <v>150000931</v>
      </c>
      <c r="B309" s="696">
        <v>2</v>
      </c>
      <c r="C309" s="7" t="s">
        <v>266</v>
      </c>
      <c r="D309" s="694">
        <v>0</v>
      </c>
    </row>
    <row r="310" spans="1:4" x14ac:dyDescent="0.3">
      <c r="A310" s="243">
        <v>150000932</v>
      </c>
      <c r="B310" s="696">
        <v>2</v>
      </c>
      <c r="C310" s="7" t="s">
        <v>173</v>
      </c>
      <c r="D310" s="694">
        <v>0</v>
      </c>
    </row>
    <row r="311" spans="1:4" x14ac:dyDescent="0.3">
      <c r="A311" s="243">
        <v>150000933</v>
      </c>
      <c r="B311" s="696">
        <v>2</v>
      </c>
      <c r="C311" s="7" t="s">
        <v>267</v>
      </c>
      <c r="D311" s="694">
        <v>0</v>
      </c>
    </row>
    <row r="312" spans="1:4" x14ac:dyDescent="0.3">
      <c r="A312" s="243">
        <v>150000934</v>
      </c>
      <c r="B312" s="696">
        <v>2</v>
      </c>
      <c r="C312" s="7" t="s">
        <v>215</v>
      </c>
      <c r="D312" s="694">
        <v>0</v>
      </c>
    </row>
    <row r="313" spans="1:4" x14ac:dyDescent="0.3">
      <c r="A313" s="243">
        <v>150000935</v>
      </c>
      <c r="B313" s="696">
        <v>2</v>
      </c>
      <c r="C313" s="7" t="s">
        <v>175</v>
      </c>
      <c r="D313" s="694">
        <v>0</v>
      </c>
    </row>
    <row r="314" spans="1:4" x14ac:dyDescent="0.3">
      <c r="A314" s="243">
        <v>150000936</v>
      </c>
      <c r="B314" s="243">
        <v>1</v>
      </c>
      <c r="C314" s="7" t="s">
        <v>121</v>
      </c>
      <c r="D314" s="694">
        <v>0</v>
      </c>
    </row>
    <row r="315" spans="1:4" x14ac:dyDescent="0.3">
      <c r="A315" s="243">
        <v>150000937</v>
      </c>
      <c r="B315" s="243">
        <v>1</v>
      </c>
      <c r="C315" s="7" t="s">
        <v>374</v>
      </c>
      <c r="D315" s="694">
        <v>0</v>
      </c>
    </row>
    <row r="316" spans="1:4" x14ac:dyDescent="0.3">
      <c r="A316" s="243">
        <v>150000938</v>
      </c>
      <c r="B316" s="243">
        <v>1</v>
      </c>
      <c r="C316" s="7" t="s">
        <v>375</v>
      </c>
      <c r="D316" s="694">
        <f>30.88+20.51</f>
        <v>51.39</v>
      </c>
    </row>
    <row r="317" spans="1:4" x14ac:dyDescent="0.3">
      <c r="A317" s="243">
        <v>150000939</v>
      </c>
      <c r="B317" s="243">
        <v>1</v>
      </c>
      <c r="C317" s="7" t="s">
        <v>336</v>
      </c>
      <c r="D317" s="694">
        <v>0</v>
      </c>
    </row>
    <row r="318" spans="1:4" x14ac:dyDescent="0.3">
      <c r="A318" s="243">
        <v>150000940</v>
      </c>
      <c r="B318" s="243">
        <v>1</v>
      </c>
      <c r="C318" s="7" t="s">
        <v>376</v>
      </c>
      <c r="D318" s="694">
        <v>0</v>
      </c>
    </row>
    <row r="319" spans="1:4" x14ac:dyDescent="0.3">
      <c r="A319" s="243">
        <v>150000941</v>
      </c>
      <c r="B319" s="243">
        <v>1</v>
      </c>
      <c r="C319" s="7" t="s">
        <v>337</v>
      </c>
      <c r="D319" s="694">
        <v>0</v>
      </c>
    </row>
    <row r="320" spans="1:4" x14ac:dyDescent="0.3">
      <c r="A320" s="243">
        <v>150000943</v>
      </c>
      <c r="B320" s="243">
        <v>1</v>
      </c>
      <c r="C320" s="7" t="s">
        <v>122</v>
      </c>
      <c r="D320" s="694">
        <v>0</v>
      </c>
    </row>
    <row r="321" spans="1:4" x14ac:dyDescent="0.3">
      <c r="A321" s="243">
        <v>150000944</v>
      </c>
      <c r="B321" s="243">
        <v>1</v>
      </c>
      <c r="C321" s="7" t="s">
        <v>123</v>
      </c>
      <c r="D321" s="694">
        <v>0</v>
      </c>
    </row>
    <row r="322" spans="1:4" x14ac:dyDescent="0.3">
      <c r="A322" s="243">
        <v>150000945</v>
      </c>
      <c r="B322" s="243">
        <v>1</v>
      </c>
      <c r="C322" s="7" t="s">
        <v>421</v>
      </c>
      <c r="D322" s="694">
        <v>0</v>
      </c>
    </row>
    <row r="323" spans="1:4" x14ac:dyDescent="0.3">
      <c r="A323" s="243">
        <v>150000946</v>
      </c>
      <c r="B323" s="243">
        <v>1</v>
      </c>
      <c r="C323" s="7" t="s">
        <v>124</v>
      </c>
      <c r="D323" s="694">
        <v>0</v>
      </c>
    </row>
    <row r="324" spans="1:4" x14ac:dyDescent="0.3">
      <c r="A324" s="243">
        <v>150000947</v>
      </c>
      <c r="B324" s="243">
        <v>1</v>
      </c>
      <c r="C324" s="7" t="s">
        <v>268</v>
      </c>
      <c r="D324" s="694">
        <v>0</v>
      </c>
    </row>
    <row r="325" spans="1:4" x14ac:dyDescent="0.3">
      <c r="A325" s="243">
        <v>150000948</v>
      </c>
      <c r="B325" s="243">
        <v>1</v>
      </c>
      <c r="C325" s="7" t="s">
        <v>383</v>
      </c>
      <c r="D325" s="694">
        <f>3.72+35.67+37.57</f>
        <v>76.960000000000008</v>
      </c>
    </row>
    <row r="326" spans="1:4" x14ac:dyDescent="0.3">
      <c r="A326" s="243">
        <v>150000949</v>
      </c>
      <c r="B326" s="243">
        <v>1</v>
      </c>
      <c r="C326" s="7" t="s">
        <v>384</v>
      </c>
      <c r="D326" s="694">
        <v>21.72</v>
      </c>
    </row>
    <row r="327" spans="1:4" x14ac:dyDescent="0.3">
      <c r="A327" s="243">
        <v>150000951</v>
      </c>
      <c r="B327" s="243">
        <v>1</v>
      </c>
      <c r="C327" s="7" t="s">
        <v>170</v>
      </c>
      <c r="D327" s="694">
        <v>0</v>
      </c>
    </row>
    <row r="328" spans="1:4" x14ac:dyDescent="0.3">
      <c r="A328" s="243">
        <v>150000954</v>
      </c>
      <c r="B328" s="243">
        <v>1</v>
      </c>
      <c r="C328" s="7" t="s">
        <v>171</v>
      </c>
      <c r="D328" s="694">
        <v>0</v>
      </c>
    </row>
    <row r="329" spans="1:4" x14ac:dyDescent="0.3">
      <c r="A329" s="243">
        <v>150000957</v>
      </c>
      <c r="B329" s="243">
        <v>1</v>
      </c>
      <c r="C329" s="7" t="s">
        <v>377</v>
      </c>
      <c r="D329" s="694">
        <f>19.46+22.52+9.31+9.63</f>
        <v>60.920000000000009</v>
      </c>
    </row>
    <row r="330" spans="1:4" x14ac:dyDescent="0.3">
      <c r="A330" s="243">
        <v>150000958</v>
      </c>
      <c r="B330" s="243">
        <v>1</v>
      </c>
      <c r="C330" s="7" t="s">
        <v>380</v>
      </c>
      <c r="D330" s="694">
        <v>21</v>
      </c>
    </row>
    <row r="331" spans="1:4" x14ac:dyDescent="0.3">
      <c r="A331" s="243">
        <v>150000960</v>
      </c>
      <c r="B331" s="243">
        <v>1</v>
      </c>
      <c r="C331" s="7" t="s">
        <v>378</v>
      </c>
      <c r="D331" s="694">
        <f>13.56+7+13.03</f>
        <v>33.590000000000003</v>
      </c>
    </row>
    <row r="332" spans="1:4" x14ac:dyDescent="0.3">
      <c r="A332" s="243">
        <v>150000961</v>
      </c>
      <c r="B332" s="243">
        <v>1</v>
      </c>
      <c r="C332" s="7" t="s">
        <v>381</v>
      </c>
      <c r="D332" s="694">
        <v>15.35</v>
      </c>
    </row>
    <row r="333" spans="1:4" x14ac:dyDescent="0.3">
      <c r="A333" s="243">
        <v>150000963</v>
      </c>
      <c r="B333" s="243">
        <v>1</v>
      </c>
      <c r="C333" s="7" t="s">
        <v>379</v>
      </c>
      <c r="D333" s="694">
        <v>26.25</v>
      </c>
    </row>
    <row r="334" spans="1:4" x14ac:dyDescent="0.3">
      <c r="A334" s="243">
        <v>150000964</v>
      </c>
      <c r="B334" s="243">
        <v>1</v>
      </c>
      <c r="C334" s="7" t="s">
        <v>382</v>
      </c>
      <c r="D334" s="694">
        <v>8.35</v>
      </c>
    </row>
    <row r="335" spans="1:4" x14ac:dyDescent="0.3">
      <c r="A335" s="243">
        <v>150000966</v>
      </c>
      <c r="B335" s="696">
        <v>2</v>
      </c>
      <c r="C335" s="7" t="s">
        <v>204</v>
      </c>
      <c r="D335" s="694">
        <v>0</v>
      </c>
    </row>
    <row r="336" spans="1:4" x14ac:dyDescent="0.3">
      <c r="A336" s="243">
        <v>150000967</v>
      </c>
      <c r="B336" s="696">
        <v>2</v>
      </c>
      <c r="C336" s="7" t="s">
        <v>205</v>
      </c>
      <c r="D336" s="697">
        <f>19.25</f>
        <v>19.25</v>
      </c>
    </row>
    <row r="337" spans="1:4" x14ac:dyDescent="0.3">
      <c r="A337" s="243">
        <v>150000968</v>
      </c>
      <c r="B337" s="696">
        <v>2</v>
      </c>
      <c r="C337" s="7" t="s">
        <v>244</v>
      </c>
      <c r="D337" s="697">
        <f>26.25</f>
        <v>26.25</v>
      </c>
    </row>
    <row r="338" spans="1:4" x14ac:dyDescent="0.3">
      <c r="A338" s="243">
        <v>150000969</v>
      </c>
      <c r="B338" s="696">
        <v>2</v>
      </c>
      <c r="C338" s="7" t="s">
        <v>192</v>
      </c>
      <c r="D338" s="694">
        <v>0</v>
      </c>
    </row>
    <row r="339" spans="1:4" x14ac:dyDescent="0.3">
      <c r="A339" s="243">
        <v>150000970</v>
      </c>
      <c r="B339" s="696">
        <v>2</v>
      </c>
      <c r="C339" s="7" t="s">
        <v>242</v>
      </c>
      <c r="D339" s="694">
        <v>0</v>
      </c>
    </row>
    <row r="340" spans="1:4" x14ac:dyDescent="0.3">
      <c r="A340" s="243">
        <v>150000971</v>
      </c>
      <c r="B340" s="696">
        <v>2</v>
      </c>
      <c r="C340" s="7" t="s">
        <v>193</v>
      </c>
      <c r="D340" s="694">
        <v>0</v>
      </c>
    </row>
    <row r="341" spans="1:4" x14ac:dyDescent="0.3">
      <c r="A341" s="243">
        <v>150000972</v>
      </c>
      <c r="B341" s="696">
        <v>2</v>
      </c>
      <c r="C341" s="7" t="s">
        <v>201</v>
      </c>
      <c r="D341" s="697">
        <f>24.5</f>
        <v>24.5</v>
      </c>
    </row>
    <row r="342" spans="1:4" x14ac:dyDescent="0.3">
      <c r="A342" s="243">
        <v>150000973</v>
      </c>
      <c r="B342" s="696">
        <v>2</v>
      </c>
      <c r="C342" s="7" t="s">
        <v>49</v>
      </c>
      <c r="D342" s="694">
        <v>0</v>
      </c>
    </row>
    <row r="343" spans="1:4" x14ac:dyDescent="0.3">
      <c r="A343" s="243">
        <v>150000974</v>
      </c>
      <c r="B343" s="696">
        <v>2</v>
      </c>
      <c r="C343" s="7" t="s">
        <v>202</v>
      </c>
      <c r="D343" s="694">
        <v>0</v>
      </c>
    </row>
    <row r="344" spans="1:4" x14ac:dyDescent="0.3">
      <c r="A344" s="243">
        <v>150000975</v>
      </c>
      <c r="B344" s="696">
        <v>2</v>
      </c>
      <c r="C344" s="7" t="s">
        <v>203</v>
      </c>
      <c r="D344" s="694">
        <v>0</v>
      </c>
    </row>
    <row r="345" spans="1:4" x14ac:dyDescent="0.3">
      <c r="A345" s="243">
        <v>150000976</v>
      </c>
      <c r="B345" s="696">
        <v>2</v>
      </c>
      <c r="C345" s="7" t="s">
        <v>149</v>
      </c>
      <c r="D345" s="694">
        <v>0</v>
      </c>
    </row>
    <row r="346" spans="1:4" x14ac:dyDescent="0.3">
      <c r="A346" s="243">
        <v>150000977</v>
      </c>
      <c r="B346" s="696">
        <v>2</v>
      </c>
      <c r="C346" s="7" t="s">
        <v>150</v>
      </c>
      <c r="D346" s="694">
        <v>0</v>
      </c>
    </row>
    <row r="347" spans="1:4" x14ac:dyDescent="0.3">
      <c r="A347" s="243">
        <v>150000978</v>
      </c>
      <c r="B347" s="696">
        <v>2</v>
      </c>
      <c r="C347" s="7" t="s">
        <v>243</v>
      </c>
      <c r="D347" s="694">
        <v>0</v>
      </c>
    </row>
    <row r="348" spans="1:4" x14ac:dyDescent="0.3">
      <c r="A348" s="243">
        <v>150000981</v>
      </c>
      <c r="B348" s="243">
        <v>3</v>
      </c>
      <c r="C348" s="7" t="s">
        <v>342</v>
      </c>
      <c r="D348" s="697">
        <f>33.38</f>
        <v>33.380000000000003</v>
      </c>
    </row>
    <row r="349" spans="1:4" x14ac:dyDescent="0.3">
      <c r="A349" s="243">
        <v>150000982</v>
      </c>
      <c r="B349" s="243">
        <v>3</v>
      </c>
      <c r="C349" s="7" t="s">
        <v>343</v>
      </c>
      <c r="D349" s="697">
        <f>65.03</f>
        <v>65.03</v>
      </c>
    </row>
    <row r="350" spans="1:4" x14ac:dyDescent="0.3">
      <c r="A350" s="243">
        <v>150000983</v>
      </c>
      <c r="B350" s="243">
        <v>3</v>
      </c>
      <c r="C350" s="7" t="s">
        <v>344</v>
      </c>
      <c r="D350" s="694">
        <v>0</v>
      </c>
    </row>
    <row r="351" spans="1:4" x14ac:dyDescent="0.3">
      <c r="A351" s="243">
        <v>150000984</v>
      </c>
      <c r="B351" s="243">
        <v>3</v>
      </c>
      <c r="C351" s="7" t="s">
        <v>345</v>
      </c>
      <c r="D351" s="694">
        <v>0</v>
      </c>
    </row>
    <row r="352" spans="1:4" x14ac:dyDescent="0.3">
      <c r="A352" s="243">
        <v>150000986</v>
      </c>
      <c r="B352" s="243">
        <v>3</v>
      </c>
      <c r="C352" s="7" t="s">
        <v>346</v>
      </c>
      <c r="D352" s="697">
        <f>13.84</f>
        <v>13.84</v>
      </c>
    </row>
    <row r="353" spans="1:4" x14ac:dyDescent="0.3">
      <c r="A353" s="243">
        <v>150000987</v>
      </c>
      <c r="B353" s="243">
        <v>3</v>
      </c>
      <c r="C353" s="7" t="s">
        <v>50</v>
      </c>
      <c r="D353" s="694">
        <v>0</v>
      </c>
    </row>
    <row r="354" spans="1:4" x14ac:dyDescent="0.3">
      <c r="A354" s="243">
        <v>150000988</v>
      </c>
      <c r="B354" s="243">
        <v>3</v>
      </c>
      <c r="C354" s="7" t="s">
        <v>51</v>
      </c>
      <c r="D354" s="694">
        <v>0</v>
      </c>
    </row>
    <row r="355" spans="1:4" x14ac:dyDescent="0.3">
      <c r="A355" s="243">
        <v>150000989</v>
      </c>
      <c r="B355" s="243">
        <v>3</v>
      </c>
      <c r="C355" s="7" t="s">
        <v>37</v>
      </c>
      <c r="D355" s="694">
        <v>0</v>
      </c>
    </row>
    <row r="356" spans="1:4" x14ac:dyDescent="0.3">
      <c r="A356" s="243">
        <v>150000991</v>
      </c>
      <c r="B356" s="243">
        <v>3</v>
      </c>
      <c r="C356" s="7" t="s">
        <v>341</v>
      </c>
      <c r="D356" s="694">
        <v>0</v>
      </c>
    </row>
    <row r="357" spans="1:4" x14ac:dyDescent="0.3">
      <c r="A357" s="243">
        <v>150000992</v>
      </c>
      <c r="B357" s="243">
        <v>3</v>
      </c>
      <c r="C357" s="7" t="s">
        <v>39</v>
      </c>
      <c r="D357" s="694">
        <v>0</v>
      </c>
    </row>
    <row r="358" spans="1:4" x14ac:dyDescent="0.3">
      <c r="A358" s="243">
        <v>150000993</v>
      </c>
      <c r="B358" s="243">
        <v>3</v>
      </c>
      <c r="C358" s="7" t="s">
        <v>41</v>
      </c>
      <c r="D358" s="694">
        <v>0</v>
      </c>
    </row>
    <row r="359" spans="1:4" x14ac:dyDescent="0.3">
      <c r="A359" s="243">
        <v>150000994</v>
      </c>
      <c r="B359" s="243">
        <v>3</v>
      </c>
      <c r="C359" s="7" t="s">
        <v>44</v>
      </c>
      <c r="D359" s="694">
        <v>0</v>
      </c>
    </row>
    <row r="360" spans="1:4" x14ac:dyDescent="0.3">
      <c r="A360" s="243">
        <v>150000995</v>
      </c>
      <c r="B360" s="243">
        <v>3</v>
      </c>
      <c r="C360" s="7" t="s">
        <v>47</v>
      </c>
      <c r="D360" s="694">
        <v>0</v>
      </c>
    </row>
    <row r="361" spans="1:4" x14ac:dyDescent="0.3">
      <c r="A361" s="243">
        <v>150000996</v>
      </c>
      <c r="B361" s="696">
        <v>2</v>
      </c>
      <c r="C361" s="7" t="s">
        <v>245</v>
      </c>
      <c r="D361" s="694">
        <v>0</v>
      </c>
    </row>
    <row r="362" spans="1:4" x14ac:dyDescent="0.3">
      <c r="A362" s="243">
        <v>150000999</v>
      </c>
      <c r="B362" s="243">
        <v>3</v>
      </c>
      <c r="C362" s="7" t="s">
        <v>40</v>
      </c>
      <c r="D362" s="694">
        <v>0</v>
      </c>
    </row>
    <row r="363" spans="1:4" x14ac:dyDescent="0.3">
      <c r="A363" s="243">
        <v>150001000</v>
      </c>
      <c r="B363" s="243">
        <v>3</v>
      </c>
      <c r="C363" s="7" t="s">
        <v>42</v>
      </c>
      <c r="D363" s="694">
        <v>0</v>
      </c>
    </row>
    <row r="364" spans="1:4" x14ac:dyDescent="0.3">
      <c r="A364" s="243">
        <v>150001001</v>
      </c>
      <c r="B364" s="243">
        <v>3</v>
      </c>
      <c r="C364" s="7" t="s">
        <v>45</v>
      </c>
      <c r="D364" s="694">
        <v>0</v>
      </c>
    </row>
    <row r="365" spans="1:4" x14ac:dyDescent="0.3">
      <c r="A365" s="243">
        <v>150001002</v>
      </c>
      <c r="B365" s="243">
        <v>3</v>
      </c>
      <c r="C365" s="7" t="s">
        <v>48</v>
      </c>
      <c r="D365" s="694">
        <v>0</v>
      </c>
    </row>
    <row r="366" spans="1:4" x14ac:dyDescent="0.3">
      <c r="A366" s="243">
        <v>150001004</v>
      </c>
      <c r="B366" s="243">
        <v>3</v>
      </c>
      <c r="C366" s="7" t="s">
        <v>43</v>
      </c>
      <c r="D366" s="694">
        <v>0</v>
      </c>
    </row>
    <row r="367" spans="1:4" x14ac:dyDescent="0.3">
      <c r="A367" s="243">
        <v>150001005</v>
      </c>
      <c r="B367" s="243">
        <v>3</v>
      </c>
      <c r="C367" s="7" t="s">
        <v>46</v>
      </c>
      <c r="D367" s="694">
        <v>0</v>
      </c>
    </row>
    <row r="368" spans="1:4" x14ac:dyDescent="0.3">
      <c r="A368" s="243">
        <v>150001007</v>
      </c>
      <c r="B368" s="696">
        <v>2</v>
      </c>
      <c r="C368" s="7" t="s">
        <v>213</v>
      </c>
      <c r="D368" s="694">
        <v>0</v>
      </c>
    </row>
    <row r="369" spans="1:4" x14ac:dyDescent="0.3">
      <c r="A369" s="243">
        <v>150001008</v>
      </c>
      <c r="B369" s="696">
        <v>2</v>
      </c>
      <c r="C369" s="7" t="s">
        <v>211</v>
      </c>
      <c r="D369" s="697">
        <f>442.51</f>
        <v>442.51</v>
      </c>
    </row>
    <row r="370" spans="1:4" x14ac:dyDescent="0.3">
      <c r="A370" s="243">
        <v>150001009</v>
      </c>
      <c r="B370" s="696">
        <v>2</v>
      </c>
      <c r="C370" s="7" t="s">
        <v>212</v>
      </c>
      <c r="D370" s="694">
        <v>0</v>
      </c>
    </row>
    <row r="371" spans="1:4" x14ac:dyDescent="0.3">
      <c r="A371" s="243">
        <v>150001010</v>
      </c>
      <c r="B371" s="696">
        <v>2</v>
      </c>
      <c r="C371" s="7" t="s">
        <v>164</v>
      </c>
      <c r="D371" s="694">
        <v>0</v>
      </c>
    </row>
    <row r="372" spans="1:4" x14ac:dyDescent="0.3">
      <c r="A372" s="243">
        <v>150001011</v>
      </c>
      <c r="B372" s="696">
        <v>2</v>
      </c>
      <c r="C372" s="7" t="s">
        <v>165</v>
      </c>
      <c r="D372" s="694">
        <v>0</v>
      </c>
    </row>
    <row r="373" spans="1:4" x14ac:dyDescent="0.3">
      <c r="A373" s="243">
        <v>150001013</v>
      </c>
      <c r="B373" s="696">
        <v>2</v>
      </c>
      <c r="C373" s="7" t="s">
        <v>260</v>
      </c>
      <c r="D373" s="694">
        <v>0</v>
      </c>
    </row>
    <row r="374" spans="1:4" x14ac:dyDescent="0.3">
      <c r="A374" s="243">
        <v>150001014</v>
      </c>
      <c r="B374" s="696">
        <v>2</v>
      </c>
      <c r="C374" s="7" t="s">
        <v>166</v>
      </c>
      <c r="D374" s="694">
        <v>0</v>
      </c>
    </row>
    <row r="375" spans="1:4" x14ac:dyDescent="0.3">
      <c r="A375" s="243">
        <v>150001015</v>
      </c>
      <c r="B375" s="696">
        <v>2</v>
      </c>
      <c r="C375" s="7" t="s">
        <v>99</v>
      </c>
      <c r="D375" s="694">
        <v>0</v>
      </c>
    </row>
    <row r="376" spans="1:4" x14ac:dyDescent="0.3">
      <c r="A376" s="243">
        <v>150001016</v>
      </c>
      <c r="B376" s="696">
        <v>2</v>
      </c>
      <c r="C376" s="7" t="s">
        <v>261</v>
      </c>
      <c r="D376" s="694">
        <v>0</v>
      </c>
    </row>
    <row r="377" spans="1:4" x14ac:dyDescent="0.3">
      <c r="A377" s="243">
        <v>150001017</v>
      </c>
      <c r="B377" s="243">
        <v>1</v>
      </c>
      <c r="C377" s="7" t="s">
        <v>1650</v>
      </c>
      <c r="D377" s="694">
        <v>0</v>
      </c>
    </row>
    <row r="378" spans="1:4" x14ac:dyDescent="0.3">
      <c r="A378" s="243">
        <v>150001018</v>
      </c>
      <c r="B378" s="696">
        <v>2</v>
      </c>
      <c r="C378" s="7" t="s">
        <v>429</v>
      </c>
      <c r="D378" s="697">
        <f>14.88</f>
        <v>14.88</v>
      </c>
    </row>
    <row r="379" spans="1:4" x14ac:dyDescent="0.3">
      <c r="A379" s="243">
        <v>150001019</v>
      </c>
      <c r="B379" s="243">
        <v>1</v>
      </c>
      <c r="C379" s="7" t="s">
        <v>419</v>
      </c>
      <c r="D379" s="694">
        <v>0</v>
      </c>
    </row>
    <row r="380" spans="1:4" x14ac:dyDescent="0.3">
      <c r="A380" s="243">
        <v>150001020</v>
      </c>
      <c r="B380" s="696">
        <v>2</v>
      </c>
      <c r="C380" s="7" t="s">
        <v>100</v>
      </c>
      <c r="D380" s="694">
        <v>0</v>
      </c>
    </row>
    <row r="381" spans="1:4" x14ac:dyDescent="0.3">
      <c r="A381" s="243">
        <v>150001021</v>
      </c>
      <c r="B381" s="243">
        <v>1</v>
      </c>
      <c r="C381" s="7" t="s">
        <v>363</v>
      </c>
      <c r="D381" s="694">
        <v>0</v>
      </c>
    </row>
    <row r="382" spans="1:4" x14ac:dyDescent="0.3">
      <c r="A382" s="243">
        <v>150001022</v>
      </c>
      <c r="B382" s="243">
        <v>1</v>
      </c>
      <c r="C382" s="7" t="s">
        <v>364</v>
      </c>
      <c r="D382" s="694">
        <v>0</v>
      </c>
    </row>
    <row r="383" spans="1:4" x14ac:dyDescent="0.3">
      <c r="A383" s="243">
        <v>150001023</v>
      </c>
      <c r="B383" s="243">
        <v>1</v>
      </c>
      <c r="C383" s="7" t="s">
        <v>365</v>
      </c>
      <c r="D383" s="694">
        <v>19.18</v>
      </c>
    </row>
    <row r="384" spans="1:4" x14ac:dyDescent="0.3">
      <c r="A384" s="243">
        <v>150001024</v>
      </c>
      <c r="B384" s="243">
        <v>1</v>
      </c>
      <c r="C384" s="7" t="s">
        <v>366</v>
      </c>
      <c r="D384" s="694">
        <v>0</v>
      </c>
    </row>
    <row r="385" spans="1:4" x14ac:dyDescent="0.3">
      <c r="A385" s="243">
        <v>150001025</v>
      </c>
      <c r="B385" s="243">
        <v>1</v>
      </c>
      <c r="C385" s="7" t="s">
        <v>420</v>
      </c>
      <c r="D385" s="694">
        <v>0</v>
      </c>
    </row>
    <row r="386" spans="1:4" x14ac:dyDescent="0.3">
      <c r="A386" s="243">
        <v>150001026</v>
      </c>
      <c r="B386" s="243">
        <v>1</v>
      </c>
      <c r="C386" s="7" t="s">
        <v>334</v>
      </c>
      <c r="D386" s="694">
        <v>0</v>
      </c>
    </row>
    <row r="387" spans="1:4" x14ac:dyDescent="0.3">
      <c r="A387" s="243">
        <v>150001027</v>
      </c>
      <c r="B387" s="243">
        <v>1</v>
      </c>
      <c r="C387" s="7" t="s">
        <v>367</v>
      </c>
      <c r="D387" s="694">
        <v>0</v>
      </c>
    </row>
    <row r="388" spans="1:4" x14ac:dyDescent="0.3">
      <c r="A388" s="243">
        <v>150001028</v>
      </c>
      <c r="B388" s="243">
        <v>1</v>
      </c>
      <c r="C388" s="7" t="s">
        <v>101</v>
      </c>
      <c r="D388" s="694">
        <v>0</v>
      </c>
    </row>
    <row r="389" spans="1:4" x14ac:dyDescent="0.3">
      <c r="A389" s="243">
        <v>150001029</v>
      </c>
      <c r="B389" s="243">
        <v>1</v>
      </c>
      <c r="C389" s="7" t="s">
        <v>368</v>
      </c>
      <c r="D389" s="694">
        <v>0</v>
      </c>
    </row>
    <row r="390" spans="1:4" x14ac:dyDescent="0.3">
      <c r="A390" s="243">
        <v>150001030</v>
      </c>
      <c r="B390" s="243">
        <v>1</v>
      </c>
      <c r="C390" s="7" t="s">
        <v>335</v>
      </c>
      <c r="D390" s="694">
        <v>0.93</v>
      </c>
    </row>
    <row r="391" spans="1:4" x14ac:dyDescent="0.3">
      <c r="A391" s="243">
        <v>150001031</v>
      </c>
      <c r="B391" s="243">
        <v>1</v>
      </c>
      <c r="C391" s="7" t="s">
        <v>103</v>
      </c>
      <c r="D391" s="694">
        <v>0</v>
      </c>
    </row>
    <row r="392" spans="1:4" x14ac:dyDescent="0.3">
      <c r="A392" s="243">
        <v>150001032</v>
      </c>
      <c r="B392" s="243">
        <v>1</v>
      </c>
      <c r="C392" s="7" t="s">
        <v>369</v>
      </c>
      <c r="D392" s="694">
        <v>0</v>
      </c>
    </row>
    <row r="393" spans="1:4" x14ac:dyDescent="0.3">
      <c r="A393" s="243">
        <v>150001033</v>
      </c>
      <c r="B393" s="243">
        <v>1</v>
      </c>
      <c r="C393" s="7" t="s">
        <v>362</v>
      </c>
      <c r="D393" s="694">
        <v>24.2</v>
      </c>
    </row>
    <row r="394" spans="1:4" x14ac:dyDescent="0.3">
      <c r="A394" s="243">
        <v>150001034</v>
      </c>
      <c r="B394" s="243">
        <v>1</v>
      </c>
      <c r="C394" s="7" t="s">
        <v>1651</v>
      </c>
      <c r="D394" s="694">
        <v>0</v>
      </c>
    </row>
    <row r="395" spans="1:4" x14ac:dyDescent="0.3">
      <c r="A395" s="243">
        <v>150001035</v>
      </c>
      <c r="B395" s="243">
        <v>1</v>
      </c>
      <c r="C395" s="7" t="s">
        <v>262</v>
      </c>
      <c r="D395" s="694">
        <v>0</v>
      </c>
    </row>
    <row r="396" spans="1:4" x14ac:dyDescent="0.3">
      <c r="A396" s="243">
        <v>150001036</v>
      </c>
      <c r="B396" s="243">
        <v>1</v>
      </c>
      <c r="C396" s="7" t="s">
        <v>102</v>
      </c>
      <c r="D396" s="694">
        <v>0</v>
      </c>
    </row>
    <row r="397" spans="1:4" x14ac:dyDescent="0.3">
      <c r="A397" s="243">
        <v>150001037</v>
      </c>
      <c r="B397" s="243">
        <v>1</v>
      </c>
      <c r="C397" s="7" t="s">
        <v>104</v>
      </c>
      <c r="D397" s="694">
        <v>0</v>
      </c>
    </row>
    <row r="398" spans="1:4" x14ac:dyDescent="0.3">
      <c r="A398" s="243">
        <v>150001038</v>
      </c>
      <c r="B398" s="243">
        <v>1</v>
      </c>
      <c r="C398" s="7" t="s">
        <v>1652</v>
      </c>
      <c r="D398" s="694">
        <v>0</v>
      </c>
    </row>
    <row r="399" spans="1:4" x14ac:dyDescent="0.3">
      <c r="A399" s="243">
        <v>150001039</v>
      </c>
      <c r="B399" s="243">
        <v>1</v>
      </c>
      <c r="C399" s="7" t="s">
        <v>1653</v>
      </c>
      <c r="D399" s="694">
        <v>0</v>
      </c>
    </row>
    <row r="400" spans="1:4" x14ac:dyDescent="0.3">
      <c r="A400" s="243">
        <v>150001040</v>
      </c>
      <c r="B400" s="696">
        <v>2</v>
      </c>
      <c r="C400" s="7" t="s">
        <v>216</v>
      </c>
      <c r="D400" s="694">
        <v>0</v>
      </c>
    </row>
    <row r="401" spans="1:4" x14ac:dyDescent="0.3">
      <c r="A401" s="243">
        <v>150001041</v>
      </c>
      <c r="B401" s="696">
        <v>2</v>
      </c>
      <c r="C401" s="7" t="s">
        <v>196</v>
      </c>
      <c r="D401" s="694">
        <v>0</v>
      </c>
    </row>
    <row r="402" spans="1:4" x14ac:dyDescent="0.3">
      <c r="A402" s="243">
        <v>150001042</v>
      </c>
      <c r="B402" s="696">
        <v>2</v>
      </c>
      <c r="C402" s="7" t="s">
        <v>181</v>
      </c>
      <c r="D402" s="694">
        <v>0</v>
      </c>
    </row>
    <row r="403" spans="1:4" x14ac:dyDescent="0.3">
      <c r="A403" s="243">
        <v>150001043</v>
      </c>
      <c r="B403" s="696">
        <v>2</v>
      </c>
      <c r="C403" s="7" t="s">
        <v>217</v>
      </c>
      <c r="D403" s="694">
        <v>0</v>
      </c>
    </row>
    <row r="404" spans="1:4" x14ac:dyDescent="0.3">
      <c r="A404" s="243">
        <v>150001044</v>
      </c>
      <c r="B404" s="696">
        <v>2</v>
      </c>
      <c r="C404" s="7" t="s">
        <v>269</v>
      </c>
      <c r="D404" s="694">
        <v>0</v>
      </c>
    </row>
    <row r="405" spans="1:4" x14ac:dyDescent="0.3">
      <c r="A405" s="243">
        <v>150001045</v>
      </c>
      <c r="B405" s="696">
        <v>2</v>
      </c>
      <c r="C405" s="7" t="s">
        <v>271</v>
      </c>
      <c r="D405" s="694">
        <v>0</v>
      </c>
    </row>
    <row r="406" spans="1:4" x14ac:dyDescent="0.3">
      <c r="A406" s="243">
        <v>150001046</v>
      </c>
      <c r="B406" s="696">
        <v>2</v>
      </c>
      <c r="C406" s="7" t="s">
        <v>272</v>
      </c>
      <c r="D406" s="694">
        <v>0</v>
      </c>
    </row>
    <row r="407" spans="1:4" x14ac:dyDescent="0.3">
      <c r="A407" s="243">
        <v>150001047</v>
      </c>
      <c r="B407" s="696">
        <v>2</v>
      </c>
      <c r="C407" s="7" t="s">
        <v>179</v>
      </c>
      <c r="D407" s="694">
        <v>0</v>
      </c>
    </row>
    <row r="408" spans="1:4" x14ac:dyDescent="0.3">
      <c r="A408" s="243">
        <v>150001048</v>
      </c>
      <c r="B408" s="696">
        <v>2</v>
      </c>
      <c r="C408" s="7" t="s">
        <v>125</v>
      </c>
      <c r="D408" s="694">
        <v>0</v>
      </c>
    </row>
    <row r="409" spans="1:4" x14ac:dyDescent="0.3">
      <c r="A409" s="243">
        <v>150001049</v>
      </c>
      <c r="B409" s="696">
        <v>2</v>
      </c>
      <c r="C409" s="7" t="s">
        <v>180</v>
      </c>
      <c r="D409" s="694">
        <v>0</v>
      </c>
    </row>
    <row r="410" spans="1:4" x14ac:dyDescent="0.3">
      <c r="A410" s="243">
        <v>150001050</v>
      </c>
      <c r="B410" s="696">
        <v>2</v>
      </c>
      <c r="C410" s="7" t="s">
        <v>270</v>
      </c>
      <c r="D410" s="694">
        <v>0</v>
      </c>
    </row>
    <row r="411" spans="1:4" x14ac:dyDescent="0.3">
      <c r="A411" s="243">
        <v>150001053</v>
      </c>
      <c r="B411" s="243">
        <v>3</v>
      </c>
      <c r="C411" s="7" t="s">
        <v>146</v>
      </c>
      <c r="D411" s="694">
        <v>0</v>
      </c>
    </row>
    <row r="412" spans="1:4" x14ac:dyDescent="0.3">
      <c r="A412" s="243">
        <v>150001054</v>
      </c>
      <c r="B412" s="243">
        <v>3</v>
      </c>
      <c r="C412" s="7" t="s">
        <v>85</v>
      </c>
      <c r="D412" s="694">
        <v>0</v>
      </c>
    </row>
    <row r="413" spans="1:4" x14ac:dyDescent="0.3">
      <c r="A413" s="243">
        <v>150001071</v>
      </c>
      <c r="B413" s="243">
        <v>3</v>
      </c>
      <c r="C413" s="7" t="s">
        <v>167</v>
      </c>
      <c r="D413" s="694">
        <v>0</v>
      </c>
    </row>
    <row r="414" spans="1:4" x14ac:dyDescent="0.3">
      <c r="A414" s="243">
        <v>150001094</v>
      </c>
      <c r="B414" s="243">
        <v>1</v>
      </c>
      <c r="C414" s="7" t="s">
        <v>185</v>
      </c>
      <c r="D414" s="694">
        <v>0</v>
      </c>
    </row>
    <row r="415" spans="1:4" x14ac:dyDescent="0.3">
      <c r="A415" s="243">
        <v>150001561</v>
      </c>
      <c r="B415" s="696">
        <v>2</v>
      </c>
      <c r="C415" s="7" t="s">
        <v>399</v>
      </c>
      <c r="D415" s="694">
        <v>0</v>
      </c>
    </row>
    <row r="416" spans="1:4" x14ac:dyDescent="0.3">
      <c r="A416" s="243">
        <v>150001562</v>
      </c>
      <c r="B416" s="696">
        <v>2</v>
      </c>
      <c r="C416" s="7" t="s">
        <v>208</v>
      </c>
      <c r="D416" s="694">
        <v>0</v>
      </c>
    </row>
  </sheetData>
  <autoFilter ref="A1:D416" xr:uid="{00000000-0009-0000-0000-000015000000}">
    <sortState xmlns:xlrd2="http://schemas.microsoft.com/office/spreadsheetml/2017/richdata2" ref="A2:D416">
      <sortCondition ref="A2:A416"/>
    </sortState>
  </autoFilter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/>
  <dimension ref="A1:B414"/>
  <sheetViews>
    <sheetView topLeftCell="A363" workbookViewId="0">
      <selection activeCell="P26" sqref="P26"/>
    </sheetView>
  </sheetViews>
  <sheetFormatPr defaultRowHeight="14.4" x14ac:dyDescent="0.3"/>
  <cols>
    <col min="1" max="1" width="13.109375" style="327" customWidth="1"/>
    <col min="2" max="2" width="8.88671875" style="2" customWidth="1"/>
  </cols>
  <sheetData>
    <row r="1" spans="1:2" x14ac:dyDescent="0.3">
      <c r="A1" s="1" t="s">
        <v>0</v>
      </c>
    </row>
    <row r="3" spans="1:2" ht="15.6" x14ac:dyDescent="0.3">
      <c r="A3" s="6" t="s">
        <v>1083</v>
      </c>
      <c r="B3" s="122"/>
    </row>
    <row r="5" spans="1:2" ht="17.399999999999999" x14ac:dyDescent="0.3">
      <c r="B5" s="331">
        <f>A5+1</f>
        <v>1</v>
      </c>
    </row>
    <row r="6" spans="1:2" x14ac:dyDescent="0.3">
      <c r="A6" s="689" t="s">
        <v>1103</v>
      </c>
      <c r="B6" s="29"/>
    </row>
    <row r="7" spans="1:2" x14ac:dyDescent="0.3">
      <c r="A7" s="441">
        <v>150000488</v>
      </c>
      <c r="B7" s="29">
        <v>3</v>
      </c>
    </row>
    <row r="8" spans="1:2" x14ac:dyDescent="0.3">
      <c r="A8" s="441">
        <v>150000490</v>
      </c>
      <c r="B8" s="29">
        <v>3</v>
      </c>
    </row>
    <row r="9" spans="1:2" x14ac:dyDescent="0.3">
      <c r="A9" s="441">
        <v>150000492</v>
      </c>
      <c r="B9" s="29">
        <v>3</v>
      </c>
    </row>
    <row r="10" spans="1:2" x14ac:dyDescent="0.3">
      <c r="A10" s="441">
        <v>150000493</v>
      </c>
      <c r="B10" s="29">
        <v>1</v>
      </c>
    </row>
    <row r="11" spans="1:2" x14ac:dyDescent="0.3">
      <c r="A11" s="441">
        <v>150000494</v>
      </c>
      <c r="B11" s="29">
        <v>1</v>
      </c>
    </row>
    <row r="12" spans="1:2" x14ac:dyDescent="0.3">
      <c r="A12" s="441">
        <v>150000495</v>
      </c>
      <c r="B12" s="29">
        <v>1</v>
      </c>
    </row>
    <row r="13" spans="1:2" x14ac:dyDescent="0.3">
      <c r="A13" s="441">
        <v>150000496</v>
      </c>
      <c r="B13" s="29">
        <v>1</v>
      </c>
    </row>
    <row r="14" spans="1:2" x14ac:dyDescent="0.3">
      <c r="A14" s="441">
        <v>150000497</v>
      </c>
      <c r="B14" s="29">
        <v>1</v>
      </c>
    </row>
    <row r="15" spans="1:2" x14ac:dyDescent="0.3">
      <c r="A15" s="441">
        <v>150000498</v>
      </c>
      <c r="B15" s="29">
        <v>1</v>
      </c>
    </row>
    <row r="16" spans="1:2" x14ac:dyDescent="0.3">
      <c r="A16" s="441">
        <v>150000501</v>
      </c>
      <c r="B16" s="29">
        <v>2</v>
      </c>
    </row>
    <row r="17" spans="1:2" x14ac:dyDescent="0.3">
      <c r="A17" s="441">
        <v>150000502</v>
      </c>
      <c r="B17" s="29">
        <v>3</v>
      </c>
    </row>
    <row r="18" spans="1:2" x14ac:dyDescent="0.3">
      <c r="A18" s="441">
        <v>150000503</v>
      </c>
      <c r="B18" s="29">
        <v>3</v>
      </c>
    </row>
    <row r="19" spans="1:2" x14ac:dyDescent="0.3">
      <c r="A19" s="441">
        <v>150000504</v>
      </c>
      <c r="B19" s="29">
        <v>3</v>
      </c>
    </row>
    <row r="20" spans="1:2" x14ac:dyDescent="0.3">
      <c r="A20" s="441">
        <v>150000505</v>
      </c>
      <c r="B20" s="29">
        <v>3</v>
      </c>
    </row>
    <row r="21" spans="1:2" x14ac:dyDescent="0.3">
      <c r="A21" s="441">
        <v>150000506</v>
      </c>
      <c r="B21" s="29">
        <v>3</v>
      </c>
    </row>
    <row r="22" spans="1:2" x14ac:dyDescent="0.3">
      <c r="A22" s="441">
        <v>150000507</v>
      </c>
      <c r="B22" s="29">
        <v>3</v>
      </c>
    </row>
    <row r="23" spans="1:2" x14ac:dyDescent="0.3">
      <c r="A23" s="441">
        <v>150000508</v>
      </c>
      <c r="B23" s="29">
        <v>3</v>
      </c>
    </row>
    <row r="24" spans="1:2" x14ac:dyDescent="0.3">
      <c r="A24" s="441">
        <v>150000509</v>
      </c>
      <c r="B24" s="29">
        <v>2</v>
      </c>
    </row>
    <row r="25" spans="1:2" x14ac:dyDescent="0.3">
      <c r="A25" s="441">
        <v>150000510</v>
      </c>
      <c r="B25" s="29">
        <v>2</v>
      </c>
    </row>
    <row r="26" spans="1:2" x14ac:dyDescent="0.3">
      <c r="A26" s="441">
        <v>150000511</v>
      </c>
      <c r="B26" s="29">
        <v>2</v>
      </c>
    </row>
    <row r="27" spans="1:2" x14ac:dyDescent="0.3">
      <c r="A27" s="441">
        <v>150000512</v>
      </c>
      <c r="B27" s="29">
        <v>2</v>
      </c>
    </row>
    <row r="28" spans="1:2" x14ac:dyDescent="0.3">
      <c r="A28" s="441">
        <v>150000513</v>
      </c>
      <c r="B28" s="29">
        <v>2</v>
      </c>
    </row>
    <row r="29" spans="1:2" x14ac:dyDescent="0.3">
      <c r="A29" s="441">
        <v>150000514</v>
      </c>
      <c r="B29" s="29">
        <v>2</v>
      </c>
    </row>
    <row r="30" spans="1:2" x14ac:dyDescent="0.3">
      <c r="A30" s="441">
        <v>150000515</v>
      </c>
      <c r="B30" s="29">
        <v>2</v>
      </c>
    </row>
    <row r="31" spans="1:2" x14ac:dyDescent="0.3">
      <c r="A31" s="441">
        <v>150000516</v>
      </c>
      <c r="B31" s="29">
        <v>2</v>
      </c>
    </row>
    <row r="32" spans="1:2" x14ac:dyDescent="0.3">
      <c r="A32" s="441">
        <v>150000517</v>
      </c>
      <c r="B32" s="29">
        <v>2</v>
      </c>
    </row>
    <row r="33" spans="1:2" x14ac:dyDescent="0.3">
      <c r="A33" s="441">
        <v>150000518</v>
      </c>
      <c r="B33" s="29">
        <v>2</v>
      </c>
    </row>
    <row r="34" spans="1:2" x14ac:dyDescent="0.3">
      <c r="A34" s="441">
        <v>150000519</v>
      </c>
      <c r="B34" s="29">
        <v>2</v>
      </c>
    </row>
    <row r="35" spans="1:2" x14ac:dyDescent="0.3">
      <c r="A35" s="441">
        <v>150000521</v>
      </c>
      <c r="B35" s="29">
        <v>2</v>
      </c>
    </row>
    <row r="36" spans="1:2" x14ac:dyDescent="0.3">
      <c r="A36" s="441">
        <v>150000522</v>
      </c>
      <c r="B36" s="29">
        <v>1</v>
      </c>
    </row>
    <row r="37" spans="1:2" x14ac:dyDescent="0.3">
      <c r="A37" s="441">
        <v>150000523</v>
      </c>
      <c r="B37" s="29">
        <v>1</v>
      </c>
    </row>
    <row r="38" spans="1:2" x14ac:dyDescent="0.3">
      <c r="A38" s="441">
        <v>150000524</v>
      </c>
      <c r="B38" s="29">
        <v>1</v>
      </c>
    </row>
    <row r="39" spans="1:2" x14ac:dyDescent="0.3">
      <c r="A39" s="441">
        <v>150000527</v>
      </c>
      <c r="B39" s="29">
        <v>1</v>
      </c>
    </row>
    <row r="40" spans="1:2" x14ac:dyDescent="0.3">
      <c r="A40" s="441">
        <v>150000529</v>
      </c>
      <c r="B40" s="29">
        <v>1</v>
      </c>
    </row>
    <row r="41" spans="1:2" x14ac:dyDescent="0.3">
      <c r="A41" s="441">
        <v>150000530</v>
      </c>
      <c r="B41" s="29">
        <v>1</v>
      </c>
    </row>
    <row r="42" spans="1:2" x14ac:dyDescent="0.3">
      <c r="A42" s="441">
        <v>150000531</v>
      </c>
      <c r="B42" s="29">
        <v>1</v>
      </c>
    </row>
    <row r="43" spans="1:2" x14ac:dyDescent="0.3">
      <c r="A43" s="441">
        <v>150000532</v>
      </c>
      <c r="B43" s="29">
        <v>1</v>
      </c>
    </row>
    <row r="44" spans="1:2" x14ac:dyDescent="0.3">
      <c r="A44" s="441">
        <v>150000533</v>
      </c>
      <c r="B44" s="29">
        <v>1</v>
      </c>
    </row>
    <row r="45" spans="1:2" x14ac:dyDescent="0.3">
      <c r="A45" s="441">
        <v>150000534</v>
      </c>
      <c r="B45" s="29">
        <v>1</v>
      </c>
    </row>
    <row r="46" spans="1:2" x14ac:dyDescent="0.3">
      <c r="A46" s="441">
        <v>150000535</v>
      </c>
      <c r="B46" s="29">
        <v>1</v>
      </c>
    </row>
    <row r="47" spans="1:2" x14ac:dyDescent="0.3">
      <c r="A47" s="441">
        <v>150000537</v>
      </c>
      <c r="B47" s="29">
        <v>2</v>
      </c>
    </row>
    <row r="48" spans="1:2" x14ac:dyDescent="0.3">
      <c r="A48" s="441">
        <v>150000538</v>
      </c>
      <c r="B48" s="29">
        <v>2</v>
      </c>
    </row>
    <row r="49" spans="1:2" x14ac:dyDescent="0.3">
      <c r="A49" s="441">
        <v>150000539</v>
      </c>
      <c r="B49" s="29">
        <v>2</v>
      </c>
    </row>
    <row r="50" spans="1:2" x14ac:dyDescent="0.3">
      <c r="A50" s="441">
        <v>150000541</v>
      </c>
      <c r="B50" s="29">
        <v>1</v>
      </c>
    </row>
    <row r="51" spans="1:2" x14ac:dyDescent="0.3">
      <c r="A51" s="441">
        <v>150000542</v>
      </c>
      <c r="B51" s="29">
        <v>1</v>
      </c>
    </row>
    <row r="52" spans="1:2" x14ac:dyDescent="0.3">
      <c r="A52" s="441">
        <v>150000543</v>
      </c>
      <c r="B52" s="29">
        <v>1</v>
      </c>
    </row>
    <row r="53" spans="1:2" x14ac:dyDescent="0.3">
      <c r="A53" s="441">
        <v>150000544</v>
      </c>
      <c r="B53" s="29">
        <v>1</v>
      </c>
    </row>
    <row r="54" spans="1:2" x14ac:dyDescent="0.3">
      <c r="A54" s="441">
        <v>150000545</v>
      </c>
      <c r="B54" s="29">
        <v>2</v>
      </c>
    </row>
    <row r="55" spans="1:2" x14ac:dyDescent="0.3">
      <c r="A55" s="441">
        <v>150000546</v>
      </c>
      <c r="B55" s="29">
        <v>2</v>
      </c>
    </row>
    <row r="56" spans="1:2" x14ac:dyDescent="0.3">
      <c r="A56" s="441">
        <v>150000547</v>
      </c>
      <c r="B56" s="29">
        <v>1</v>
      </c>
    </row>
    <row r="57" spans="1:2" x14ac:dyDescent="0.3">
      <c r="A57" s="441">
        <v>150000548</v>
      </c>
      <c r="B57" s="29">
        <v>1</v>
      </c>
    </row>
    <row r="58" spans="1:2" x14ac:dyDescent="0.3">
      <c r="A58" s="441">
        <v>150000549</v>
      </c>
      <c r="B58" s="29">
        <v>1</v>
      </c>
    </row>
    <row r="59" spans="1:2" x14ac:dyDescent="0.3">
      <c r="A59" s="441">
        <v>150000552</v>
      </c>
      <c r="B59" s="29">
        <v>3</v>
      </c>
    </row>
    <row r="60" spans="1:2" x14ac:dyDescent="0.3">
      <c r="A60" s="441">
        <v>150000553</v>
      </c>
      <c r="B60" s="29">
        <v>3</v>
      </c>
    </row>
    <row r="61" spans="1:2" x14ac:dyDescent="0.3">
      <c r="A61" s="441">
        <v>150000555</v>
      </c>
      <c r="B61" s="29">
        <v>3</v>
      </c>
    </row>
    <row r="62" spans="1:2" x14ac:dyDescent="0.3">
      <c r="A62" s="441">
        <v>150000556</v>
      </c>
      <c r="B62" s="29">
        <v>3</v>
      </c>
    </row>
    <row r="63" spans="1:2" x14ac:dyDescent="0.3">
      <c r="A63" s="441">
        <v>150000557</v>
      </c>
      <c r="B63" s="29">
        <v>3</v>
      </c>
    </row>
    <row r="64" spans="1:2" x14ac:dyDescent="0.3">
      <c r="A64" s="441">
        <v>150000561</v>
      </c>
      <c r="B64" s="29">
        <v>1</v>
      </c>
    </row>
    <row r="65" spans="1:2" x14ac:dyDescent="0.3">
      <c r="A65" s="441">
        <v>150000562</v>
      </c>
      <c r="B65" s="29">
        <v>1</v>
      </c>
    </row>
    <row r="66" spans="1:2" x14ac:dyDescent="0.3">
      <c r="A66" s="441">
        <v>150000566</v>
      </c>
      <c r="B66" s="29">
        <v>1</v>
      </c>
    </row>
    <row r="67" spans="1:2" x14ac:dyDescent="0.3">
      <c r="A67" s="441">
        <v>150000567</v>
      </c>
      <c r="B67" s="29">
        <v>1</v>
      </c>
    </row>
    <row r="68" spans="1:2" x14ac:dyDescent="0.3">
      <c r="A68" s="441">
        <v>150000569</v>
      </c>
      <c r="B68" s="29">
        <v>1</v>
      </c>
    </row>
    <row r="69" spans="1:2" x14ac:dyDescent="0.3">
      <c r="A69" s="441">
        <v>150000570</v>
      </c>
      <c r="B69" s="29">
        <v>1</v>
      </c>
    </row>
    <row r="70" spans="1:2" x14ac:dyDescent="0.3">
      <c r="A70" s="441">
        <v>150000571</v>
      </c>
      <c r="B70" s="29">
        <v>1</v>
      </c>
    </row>
    <row r="71" spans="1:2" x14ac:dyDescent="0.3">
      <c r="A71" s="441">
        <v>150000572</v>
      </c>
      <c r="B71" s="29">
        <v>1</v>
      </c>
    </row>
    <row r="72" spans="1:2" x14ac:dyDescent="0.3">
      <c r="A72" s="441">
        <v>150000573</v>
      </c>
      <c r="B72" s="29">
        <v>1</v>
      </c>
    </row>
    <row r="73" spans="1:2" x14ac:dyDescent="0.3">
      <c r="A73" s="441">
        <v>150000578</v>
      </c>
      <c r="B73" s="29">
        <v>3</v>
      </c>
    </row>
    <row r="74" spans="1:2" x14ac:dyDescent="0.3">
      <c r="A74" s="441">
        <v>150000580</v>
      </c>
      <c r="B74" s="29">
        <v>3</v>
      </c>
    </row>
    <row r="75" spans="1:2" x14ac:dyDescent="0.3">
      <c r="A75" s="441">
        <v>150000587</v>
      </c>
      <c r="B75" s="29">
        <v>3</v>
      </c>
    </row>
    <row r="76" spans="1:2" x14ac:dyDescent="0.3">
      <c r="A76" s="441">
        <v>150000590</v>
      </c>
      <c r="B76" s="29">
        <v>3</v>
      </c>
    </row>
    <row r="77" spans="1:2" x14ac:dyDescent="0.3">
      <c r="A77" s="441">
        <v>150000591</v>
      </c>
      <c r="B77" s="29">
        <v>3</v>
      </c>
    </row>
    <row r="78" spans="1:2" x14ac:dyDescent="0.3">
      <c r="A78" s="441">
        <v>150000592</v>
      </c>
      <c r="B78" s="29">
        <v>1</v>
      </c>
    </row>
    <row r="79" spans="1:2" x14ac:dyDescent="0.3">
      <c r="A79" s="441">
        <v>150000593</v>
      </c>
      <c r="B79" s="29">
        <v>1</v>
      </c>
    </row>
    <row r="80" spans="1:2" x14ac:dyDescent="0.3">
      <c r="A80" s="441">
        <v>150000594</v>
      </c>
      <c r="B80" s="29">
        <v>1</v>
      </c>
    </row>
    <row r="81" spans="1:2" x14ac:dyDescent="0.3">
      <c r="A81" s="441">
        <v>150000597</v>
      </c>
      <c r="B81" s="29">
        <v>1</v>
      </c>
    </row>
    <row r="82" spans="1:2" x14ac:dyDescent="0.3">
      <c r="A82" s="441">
        <v>150000598</v>
      </c>
      <c r="B82" s="29">
        <v>1</v>
      </c>
    </row>
    <row r="83" spans="1:2" x14ac:dyDescent="0.3">
      <c r="A83" s="441">
        <v>150000599</v>
      </c>
      <c r="B83" s="29">
        <v>1</v>
      </c>
    </row>
    <row r="84" spans="1:2" x14ac:dyDescent="0.3">
      <c r="A84" s="441">
        <v>150000601</v>
      </c>
      <c r="B84" s="29">
        <v>1</v>
      </c>
    </row>
    <row r="85" spans="1:2" x14ac:dyDescent="0.3">
      <c r="A85" s="441">
        <v>150000603</v>
      </c>
      <c r="B85" s="29">
        <v>2</v>
      </c>
    </row>
    <row r="86" spans="1:2" x14ac:dyDescent="0.3">
      <c r="A86" s="441">
        <v>150000604</v>
      </c>
      <c r="B86" s="29">
        <v>2</v>
      </c>
    </row>
    <row r="87" spans="1:2" x14ac:dyDescent="0.3">
      <c r="A87" s="441">
        <v>150000605</v>
      </c>
      <c r="B87" s="29">
        <v>2</v>
      </c>
    </row>
    <row r="88" spans="1:2" x14ac:dyDescent="0.3">
      <c r="A88" s="441">
        <v>150000606</v>
      </c>
      <c r="B88" s="29">
        <v>2</v>
      </c>
    </row>
    <row r="89" spans="1:2" x14ac:dyDescent="0.3">
      <c r="A89" s="441">
        <v>150000607</v>
      </c>
      <c r="B89" s="29">
        <v>2</v>
      </c>
    </row>
    <row r="90" spans="1:2" x14ac:dyDescent="0.3">
      <c r="A90" s="441">
        <v>150000608</v>
      </c>
      <c r="B90" s="29">
        <v>2</v>
      </c>
    </row>
    <row r="91" spans="1:2" x14ac:dyDescent="0.3">
      <c r="A91" s="441">
        <v>150000609</v>
      </c>
      <c r="B91" s="29">
        <v>2</v>
      </c>
    </row>
    <row r="92" spans="1:2" x14ac:dyDescent="0.3">
      <c r="A92" s="441">
        <v>150000610</v>
      </c>
      <c r="B92" s="29">
        <v>2</v>
      </c>
    </row>
    <row r="93" spans="1:2" x14ac:dyDescent="0.3">
      <c r="A93" s="441">
        <v>150000611</v>
      </c>
      <c r="B93" s="29">
        <v>2</v>
      </c>
    </row>
    <row r="94" spans="1:2" x14ac:dyDescent="0.3">
      <c r="A94" s="441">
        <v>150000612</v>
      </c>
      <c r="B94" s="29">
        <v>2</v>
      </c>
    </row>
    <row r="95" spans="1:2" x14ac:dyDescent="0.3">
      <c r="A95" s="441">
        <v>150000613</v>
      </c>
      <c r="B95" s="29">
        <v>2</v>
      </c>
    </row>
    <row r="96" spans="1:2" x14ac:dyDescent="0.3">
      <c r="A96" s="441">
        <v>150000614</v>
      </c>
      <c r="B96" s="29">
        <v>2</v>
      </c>
    </row>
    <row r="97" spans="1:2" x14ac:dyDescent="0.3">
      <c r="A97" s="441">
        <v>150000615</v>
      </c>
      <c r="B97" s="29">
        <v>2</v>
      </c>
    </row>
    <row r="98" spans="1:2" x14ac:dyDescent="0.3">
      <c r="A98" s="441">
        <v>150000616</v>
      </c>
      <c r="B98" s="29">
        <v>2</v>
      </c>
    </row>
    <row r="99" spans="1:2" x14ac:dyDescent="0.3">
      <c r="A99" s="441">
        <v>150000618</v>
      </c>
      <c r="B99" s="29">
        <v>2</v>
      </c>
    </row>
    <row r="100" spans="1:2" x14ac:dyDescent="0.3">
      <c r="A100" s="441">
        <v>150000619</v>
      </c>
      <c r="B100" s="29">
        <v>2</v>
      </c>
    </row>
    <row r="101" spans="1:2" x14ac:dyDescent="0.3">
      <c r="A101" s="441">
        <v>150000621</v>
      </c>
      <c r="B101" s="29">
        <v>2</v>
      </c>
    </row>
    <row r="102" spans="1:2" x14ac:dyDescent="0.3">
      <c r="A102" s="441">
        <v>150000622</v>
      </c>
      <c r="B102" s="29">
        <v>2</v>
      </c>
    </row>
    <row r="103" spans="1:2" x14ac:dyDescent="0.3">
      <c r="A103" s="441">
        <v>150000623</v>
      </c>
      <c r="B103" s="29">
        <v>2</v>
      </c>
    </row>
    <row r="104" spans="1:2" x14ac:dyDescent="0.3">
      <c r="A104" s="441">
        <v>150000625</v>
      </c>
      <c r="B104" s="29">
        <v>1</v>
      </c>
    </row>
    <row r="105" spans="1:2" x14ac:dyDescent="0.3">
      <c r="A105" s="441">
        <v>150000626</v>
      </c>
      <c r="B105" s="29">
        <v>1</v>
      </c>
    </row>
    <row r="106" spans="1:2" x14ac:dyDescent="0.3">
      <c r="A106" s="441">
        <v>150000627</v>
      </c>
      <c r="B106" s="29">
        <v>1</v>
      </c>
    </row>
    <row r="107" spans="1:2" x14ac:dyDescent="0.3">
      <c r="A107" s="441">
        <v>150000628</v>
      </c>
      <c r="B107" s="29">
        <v>1</v>
      </c>
    </row>
    <row r="108" spans="1:2" x14ac:dyDescent="0.3">
      <c r="A108" s="441">
        <v>150000629</v>
      </c>
      <c r="B108" s="29">
        <v>1</v>
      </c>
    </row>
    <row r="109" spans="1:2" x14ac:dyDescent="0.3">
      <c r="A109" s="441">
        <v>150000634</v>
      </c>
      <c r="B109" s="29">
        <v>3</v>
      </c>
    </row>
    <row r="110" spans="1:2" x14ac:dyDescent="0.3">
      <c r="A110" s="441">
        <v>150000636</v>
      </c>
      <c r="B110" s="29">
        <v>3</v>
      </c>
    </row>
    <row r="111" spans="1:2" x14ac:dyDescent="0.3">
      <c r="A111" s="441">
        <v>150000637</v>
      </c>
      <c r="B111" s="29">
        <v>3</v>
      </c>
    </row>
    <row r="112" spans="1:2" x14ac:dyDescent="0.3">
      <c r="A112" s="441">
        <v>150000638</v>
      </c>
      <c r="B112" s="29">
        <v>2</v>
      </c>
    </row>
    <row r="113" spans="1:2" x14ac:dyDescent="0.3">
      <c r="A113" s="441">
        <v>150000639</v>
      </c>
      <c r="B113" s="29">
        <v>2</v>
      </c>
    </row>
    <row r="114" spans="1:2" x14ac:dyDescent="0.3">
      <c r="A114" s="441">
        <v>150000643</v>
      </c>
      <c r="B114" s="29">
        <v>3</v>
      </c>
    </row>
    <row r="115" spans="1:2" x14ac:dyDescent="0.3">
      <c r="A115" s="441">
        <v>150000644</v>
      </c>
      <c r="B115" s="29">
        <v>3</v>
      </c>
    </row>
    <row r="116" spans="1:2" x14ac:dyDescent="0.3">
      <c r="A116" s="441">
        <v>150000645</v>
      </c>
      <c r="B116" s="29">
        <v>3</v>
      </c>
    </row>
    <row r="117" spans="1:2" x14ac:dyDescent="0.3">
      <c r="A117" s="441">
        <v>150000647</v>
      </c>
      <c r="B117" s="29">
        <v>3</v>
      </c>
    </row>
    <row r="118" spans="1:2" x14ac:dyDescent="0.3">
      <c r="A118" s="441">
        <v>150000648</v>
      </c>
      <c r="B118" s="29">
        <v>3</v>
      </c>
    </row>
    <row r="119" spans="1:2" x14ac:dyDescent="0.3">
      <c r="A119" s="441">
        <v>150000658</v>
      </c>
      <c r="B119" s="29">
        <v>3</v>
      </c>
    </row>
    <row r="120" spans="1:2" x14ac:dyDescent="0.3">
      <c r="A120" s="441">
        <v>150000659</v>
      </c>
      <c r="B120" s="29">
        <v>3</v>
      </c>
    </row>
    <row r="121" spans="1:2" x14ac:dyDescent="0.3">
      <c r="A121" s="441">
        <v>150000660</v>
      </c>
      <c r="B121" s="29">
        <v>3</v>
      </c>
    </row>
    <row r="122" spans="1:2" x14ac:dyDescent="0.3">
      <c r="A122" s="441">
        <v>150000670</v>
      </c>
      <c r="B122" s="29">
        <v>2</v>
      </c>
    </row>
    <row r="123" spans="1:2" x14ac:dyDescent="0.3">
      <c r="A123" s="441">
        <v>150000671</v>
      </c>
      <c r="B123" s="29">
        <v>2</v>
      </c>
    </row>
    <row r="124" spans="1:2" x14ac:dyDescent="0.3">
      <c r="A124" s="441">
        <v>150000672</v>
      </c>
      <c r="B124" s="29">
        <v>2</v>
      </c>
    </row>
    <row r="125" spans="1:2" x14ac:dyDescent="0.3">
      <c r="A125" s="441">
        <v>150000673</v>
      </c>
      <c r="B125" s="29">
        <v>2</v>
      </c>
    </row>
    <row r="126" spans="1:2" x14ac:dyDescent="0.3">
      <c r="A126" s="441">
        <v>150000676</v>
      </c>
      <c r="B126" s="29">
        <v>2</v>
      </c>
    </row>
    <row r="127" spans="1:2" x14ac:dyDescent="0.3">
      <c r="A127" s="441">
        <v>150000683</v>
      </c>
      <c r="B127" s="29">
        <v>3</v>
      </c>
    </row>
    <row r="128" spans="1:2" x14ac:dyDescent="0.3">
      <c r="A128" s="441">
        <v>150000686</v>
      </c>
      <c r="B128" s="29">
        <v>3</v>
      </c>
    </row>
    <row r="129" spans="1:2" x14ac:dyDescent="0.3">
      <c r="A129" s="441">
        <v>150000688</v>
      </c>
      <c r="B129" s="29">
        <v>3</v>
      </c>
    </row>
    <row r="130" spans="1:2" x14ac:dyDescent="0.3">
      <c r="A130" s="441">
        <v>150000689</v>
      </c>
      <c r="B130" s="29">
        <v>3</v>
      </c>
    </row>
    <row r="131" spans="1:2" x14ac:dyDescent="0.3">
      <c r="A131" s="441">
        <v>150000690</v>
      </c>
      <c r="B131" s="29">
        <v>3</v>
      </c>
    </row>
    <row r="132" spans="1:2" x14ac:dyDescent="0.3">
      <c r="A132" s="441">
        <v>150000693</v>
      </c>
      <c r="B132" s="29">
        <v>3</v>
      </c>
    </row>
    <row r="133" spans="1:2" x14ac:dyDescent="0.3">
      <c r="A133" s="441">
        <v>150000694</v>
      </c>
      <c r="B133" s="29">
        <v>3</v>
      </c>
    </row>
    <row r="134" spans="1:2" x14ac:dyDescent="0.3">
      <c r="A134" s="441">
        <v>150000695</v>
      </c>
      <c r="B134" s="29">
        <v>3</v>
      </c>
    </row>
    <row r="135" spans="1:2" x14ac:dyDescent="0.3">
      <c r="A135" s="441">
        <v>150000696</v>
      </c>
      <c r="B135" s="29">
        <v>3</v>
      </c>
    </row>
    <row r="136" spans="1:2" x14ac:dyDescent="0.3">
      <c r="A136" s="441">
        <v>150000697</v>
      </c>
      <c r="B136" s="29">
        <v>3</v>
      </c>
    </row>
    <row r="137" spans="1:2" x14ac:dyDescent="0.3">
      <c r="A137" s="441">
        <v>150000698</v>
      </c>
      <c r="B137" s="29">
        <v>3</v>
      </c>
    </row>
    <row r="138" spans="1:2" x14ac:dyDescent="0.3">
      <c r="A138" s="441">
        <v>150000699</v>
      </c>
      <c r="B138" s="29">
        <v>3</v>
      </c>
    </row>
    <row r="139" spans="1:2" x14ac:dyDescent="0.3">
      <c r="A139" s="441">
        <v>150000702</v>
      </c>
      <c r="B139" s="29">
        <v>3</v>
      </c>
    </row>
    <row r="140" spans="1:2" x14ac:dyDescent="0.3">
      <c r="A140" s="441">
        <v>150000703</v>
      </c>
      <c r="B140" s="29">
        <v>3</v>
      </c>
    </row>
    <row r="141" spans="1:2" x14ac:dyDescent="0.3">
      <c r="A141" s="441">
        <v>150000705</v>
      </c>
      <c r="B141" s="29">
        <v>3</v>
      </c>
    </row>
    <row r="142" spans="1:2" x14ac:dyDescent="0.3">
      <c r="A142" s="441">
        <v>150000706</v>
      </c>
      <c r="B142" s="29">
        <v>3</v>
      </c>
    </row>
    <row r="143" spans="1:2" x14ac:dyDescent="0.3">
      <c r="A143" s="441">
        <v>150000707</v>
      </c>
      <c r="B143" s="29">
        <v>3</v>
      </c>
    </row>
    <row r="144" spans="1:2" x14ac:dyDescent="0.3">
      <c r="A144" s="441">
        <v>150000708</v>
      </c>
      <c r="B144" s="29">
        <v>3</v>
      </c>
    </row>
    <row r="145" spans="1:2" x14ac:dyDescent="0.3">
      <c r="A145" s="441">
        <v>150000709</v>
      </c>
      <c r="B145" s="29">
        <v>3</v>
      </c>
    </row>
    <row r="146" spans="1:2" x14ac:dyDescent="0.3">
      <c r="A146" s="441">
        <v>150000710</v>
      </c>
      <c r="B146" s="29">
        <v>3</v>
      </c>
    </row>
    <row r="147" spans="1:2" x14ac:dyDescent="0.3">
      <c r="A147" s="441">
        <v>150000711</v>
      </c>
      <c r="B147" s="29">
        <v>3</v>
      </c>
    </row>
    <row r="148" spans="1:2" x14ac:dyDescent="0.3">
      <c r="A148" s="441">
        <v>150000712</v>
      </c>
      <c r="B148" s="29">
        <v>3</v>
      </c>
    </row>
    <row r="149" spans="1:2" x14ac:dyDescent="0.3">
      <c r="A149" s="441">
        <v>150000713</v>
      </c>
      <c r="B149" s="29">
        <v>3</v>
      </c>
    </row>
    <row r="150" spans="1:2" x14ac:dyDescent="0.3">
      <c r="A150" s="441">
        <v>150000714</v>
      </c>
      <c r="B150" s="29">
        <v>3</v>
      </c>
    </row>
    <row r="151" spans="1:2" x14ac:dyDescent="0.3">
      <c r="A151" s="441">
        <v>150000715</v>
      </c>
      <c r="B151" s="29">
        <v>3</v>
      </c>
    </row>
    <row r="152" spans="1:2" x14ac:dyDescent="0.3">
      <c r="A152" s="441">
        <v>150000716</v>
      </c>
      <c r="B152" s="29">
        <v>3</v>
      </c>
    </row>
    <row r="153" spans="1:2" x14ac:dyDescent="0.3">
      <c r="A153" s="441">
        <v>150000717</v>
      </c>
      <c r="B153" s="29">
        <v>3</v>
      </c>
    </row>
    <row r="154" spans="1:2" x14ac:dyDescent="0.3">
      <c r="A154" s="441">
        <v>150000718</v>
      </c>
      <c r="B154" s="29">
        <v>3</v>
      </c>
    </row>
    <row r="155" spans="1:2" x14ac:dyDescent="0.3">
      <c r="A155" s="441">
        <v>150000719</v>
      </c>
      <c r="B155" s="29">
        <v>3</v>
      </c>
    </row>
    <row r="156" spans="1:2" x14ac:dyDescent="0.3">
      <c r="A156" s="441">
        <v>150000720</v>
      </c>
      <c r="B156" s="29">
        <v>3</v>
      </c>
    </row>
    <row r="157" spans="1:2" x14ac:dyDescent="0.3">
      <c r="A157" s="441">
        <v>150000721</v>
      </c>
      <c r="B157" s="29">
        <v>2</v>
      </c>
    </row>
    <row r="158" spans="1:2" x14ac:dyDescent="0.3">
      <c r="A158" s="441">
        <v>150000722</v>
      </c>
      <c r="B158" s="29">
        <v>2</v>
      </c>
    </row>
    <row r="159" spans="1:2" x14ac:dyDescent="0.3">
      <c r="A159" s="441">
        <v>150000723</v>
      </c>
      <c r="B159" s="29">
        <v>2</v>
      </c>
    </row>
    <row r="160" spans="1:2" x14ac:dyDescent="0.3">
      <c r="A160" s="441">
        <v>150000724</v>
      </c>
      <c r="B160" s="29">
        <v>2</v>
      </c>
    </row>
    <row r="161" spans="1:2" x14ac:dyDescent="0.3">
      <c r="A161" s="441">
        <v>150000725</v>
      </c>
      <c r="B161" s="29">
        <v>2</v>
      </c>
    </row>
    <row r="162" spans="1:2" x14ac:dyDescent="0.3">
      <c r="A162" s="441">
        <v>150000726</v>
      </c>
      <c r="B162" s="29">
        <v>2</v>
      </c>
    </row>
    <row r="163" spans="1:2" x14ac:dyDescent="0.3">
      <c r="A163" s="441">
        <v>150000727</v>
      </c>
      <c r="B163" s="29">
        <v>2</v>
      </c>
    </row>
    <row r="164" spans="1:2" x14ac:dyDescent="0.3">
      <c r="A164" s="441">
        <v>150000728</v>
      </c>
      <c r="B164" s="29">
        <v>2</v>
      </c>
    </row>
    <row r="165" spans="1:2" x14ac:dyDescent="0.3">
      <c r="A165" s="441">
        <v>150000729</v>
      </c>
      <c r="B165" s="29">
        <v>2</v>
      </c>
    </row>
    <row r="166" spans="1:2" x14ac:dyDescent="0.3">
      <c r="A166" s="441">
        <v>150000736</v>
      </c>
      <c r="B166" s="29">
        <v>2</v>
      </c>
    </row>
    <row r="167" spans="1:2" x14ac:dyDescent="0.3">
      <c r="A167" s="441">
        <v>150000737</v>
      </c>
      <c r="B167" s="29">
        <v>2</v>
      </c>
    </row>
    <row r="168" spans="1:2" x14ac:dyDescent="0.3">
      <c r="A168" s="441">
        <v>150000738</v>
      </c>
      <c r="B168" s="29">
        <v>2</v>
      </c>
    </row>
    <row r="169" spans="1:2" x14ac:dyDescent="0.3">
      <c r="A169" s="441">
        <v>150000739</v>
      </c>
      <c r="B169" s="29">
        <v>2</v>
      </c>
    </row>
    <row r="170" spans="1:2" x14ac:dyDescent="0.3">
      <c r="A170" s="441">
        <v>150000740</v>
      </c>
      <c r="B170" s="29">
        <v>2</v>
      </c>
    </row>
    <row r="171" spans="1:2" x14ac:dyDescent="0.3">
      <c r="A171" s="441">
        <v>150000741</v>
      </c>
      <c r="B171" s="29">
        <v>2</v>
      </c>
    </row>
    <row r="172" spans="1:2" x14ac:dyDescent="0.3">
      <c r="A172" s="441">
        <v>150000742</v>
      </c>
      <c r="B172" s="29">
        <v>2</v>
      </c>
    </row>
    <row r="173" spans="1:2" x14ac:dyDescent="0.3">
      <c r="A173" s="441">
        <v>150000743</v>
      </c>
      <c r="B173" s="29">
        <v>2</v>
      </c>
    </row>
    <row r="174" spans="1:2" x14ac:dyDescent="0.3">
      <c r="A174" s="441">
        <v>150000744</v>
      </c>
      <c r="B174" s="29">
        <v>2</v>
      </c>
    </row>
    <row r="175" spans="1:2" x14ac:dyDescent="0.3">
      <c r="A175" s="441">
        <v>150000745</v>
      </c>
      <c r="B175" s="29">
        <v>2</v>
      </c>
    </row>
    <row r="176" spans="1:2" x14ac:dyDescent="0.3">
      <c r="A176" s="441">
        <v>150000750</v>
      </c>
      <c r="B176" s="29">
        <v>1</v>
      </c>
    </row>
    <row r="177" spans="1:2" x14ac:dyDescent="0.3">
      <c r="A177" s="441">
        <v>150000751</v>
      </c>
      <c r="B177" s="29">
        <v>1</v>
      </c>
    </row>
    <row r="178" spans="1:2" x14ac:dyDescent="0.3">
      <c r="A178" s="441">
        <v>150000752</v>
      </c>
      <c r="B178" s="29">
        <v>1</v>
      </c>
    </row>
    <row r="179" spans="1:2" x14ac:dyDescent="0.3">
      <c r="A179" s="441">
        <v>150000753</v>
      </c>
      <c r="B179" s="29">
        <v>2</v>
      </c>
    </row>
    <row r="180" spans="1:2" x14ac:dyDescent="0.3">
      <c r="A180" s="441">
        <v>150000754</v>
      </c>
      <c r="B180" s="29">
        <v>2</v>
      </c>
    </row>
    <row r="181" spans="1:2" x14ac:dyDescent="0.3">
      <c r="A181" s="441">
        <v>150000758</v>
      </c>
      <c r="B181" s="29">
        <v>2</v>
      </c>
    </row>
    <row r="182" spans="1:2" x14ac:dyDescent="0.3">
      <c r="A182" s="441">
        <v>150000759</v>
      </c>
      <c r="B182" s="29">
        <v>2</v>
      </c>
    </row>
    <row r="183" spans="1:2" x14ac:dyDescent="0.3">
      <c r="A183" s="441">
        <v>150000760</v>
      </c>
      <c r="B183" s="29">
        <v>2</v>
      </c>
    </row>
    <row r="184" spans="1:2" x14ac:dyDescent="0.3">
      <c r="A184" s="441">
        <v>150000761</v>
      </c>
      <c r="B184" s="29">
        <v>2</v>
      </c>
    </row>
    <row r="185" spans="1:2" x14ac:dyDescent="0.3">
      <c r="A185" s="441">
        <v>150000762</v>
      </c>
      <c r="B185" s="29">
        <v>2</v>
      </c>
    </row>
    <row r="186" spans="1:2" x14ac:dyDescent="0.3">
      <c r="A186" s="441">
        <v>150000763</v>
      </c>
      <c r="B186" s="29">
        <v>3</v>
      </c>
    </row>
    <row r="187" spans="1:2" x14ac:dyDescent="0.3">
      <c r="A187" s="441">
        <v>150000764</v>
      </c>
      <c r="B187" s="29">
        <v>3</v>
      </c>
    </row>
    <row r="188" spans="1:2" x14ac:dyDescent="0.3">
      <c r="A188" s="441">
        <v>150000765</v>
      </c>
      <c r="B188" s="29">
        <v>2</v>
      </c>
    </row>
    <row r="189" spans="1:2" x14ac:dyDescent="0.3">
      <c r="A189" s="441">
        <v>150000768</v>
      </c>
      <c r="B189" s="29">
        <v>3</v>
      </c>
    </row>
    <row r="190" spans="1:2" x14ac:dyDescent="0.3">
      <c r="A190" s="441">
        <v>150000770</v>
      </c>
      <c r="B190" s="29">
        <v>3</v>
      </c>
    </row>
    <row r="191" spans="1:2" x14ac:dyDescent="0.3">
      <c r="A191" s="441">
        <v>150000777</v>
      </c>
      <c r="B191" s="29">
        <v>3</v>
      </c>
    </row>
    <row r="192" spans="1:2" x14ac:dyDescent="0.3">
      <c r="A192" s="441">
        <v>150000778</v>
      </c>
      <c r="B192" s="29">
        <v>3</v>
      </c>
    </row>
    <row r="193" spans="1:2" x14ac:dyDescent="0.3">
      <c r="A193" s="441">
        <v>150000781</v>
      </c>
      <c r="B193" s="29">
        <v>3</v>
      </c>
    </row>
    <row r="194" spans="1:2" x14ac:dyDescent="0.3">
      <c r="A194" s="441">
        <v>150000795</v>
      </c>
      <c r="B194" s="29">
        <v>3</v>
      </c>
    </row>
    <row r="195" spans="1:2" x14ac:dyDescent="0.3">
      <c r="A195" s="441">
        <v>150000796</v>
      </c>
      <c r="B195" s="29">
        <v>3</v>
      </c>
    </row>
    <row r="196" spans="1:2" x14ac:dyDescent="0.3">
      <c r="A196" s="441">
        <v>150000797</v>
      </c>
      <c r="B196" s="29">
        <v>2</v>
      </c>
    </row>
    <row r="197" spans="1:2" x14ac:dyDescent="0.3">
      <c r="A197" s="441">
        <v>150000798</v>
      </c>
      <c r="B197" s="29">
        <v>2</v>
      </c>
    </row>
    <row r="198" spans="1:2" x14ac:dyDescent="0.3">
      <c r="A198" s="441">
        <v>150000799</v>
      </c>
      <c r="B198" s="29">
        <v>2</v>
      </c>
    </row>
    <row r="199" spans="1:2" x14ac:dyDescent="0.3">
      <c r="A199" s="441">
        <v>150000800</v>
      </c>
      <c r="B199" s="29">
        <v>2</v>
      </c>
    </row>
    <row r="200" spans="1:2" x14ac:dyDescent="0.3">
      <c r="A200" s="441">
        <v>150000801</v>
      </c>
      <c r="B200" s="29">
        <v>2</v>
      </c>
    </row>
    <row r="201" spans="1:2" x14ac:dyDescent="0.3">
      <c r="A201" s="441">
        <v>150000802</v>
      </c>
      <c r="B201" s="29">
        <v>2</v>
      </c>
    </row>
    <row r="202" spans="1:2" x14ac:dyDescent="0.3">
      <c r="A202" s="441">
        <v>150000803</v>
      </c>
      <c r="B202" s="29">
        <v>2</v>
      </c>
    </row>
    <row r="203" spans="1:2" x14ac:dyDescent="0.3">
      <c r="A203" s="441">
        <v>150000805</v>
      </c>
      <c r="B203" s="29">
        <v>3</v>
      </c>
    </row>
    <row r="204" spans="1:2" x14ac:dyDescent="0.3">
      <c r="A204" s="441">
        <v>150000806</v>
      </c>
      <c r="B204" s="29">
        <v>2</v>
      </c>
    </row>
    <row r="205" spans="1:2" x14ac:dyDescent="0.3">
      <c r="A205" s="441">
        <v>150000807</v>
      </c>
      <c r="B205" s="29">
        <v>3</v>
      </c>
    </row>
    <row r="206" spans="1:2" x14ac:dyDescent="0.3">
      <c r="A206" s="441">
        <v>150000808</v>
      </c>
      <c r="B206" s="29">
        <v>2</v>
      </c>
    </row>
    <row r="207" spans="1:2" x14ac:dyDescent="0.3">
      <c r="A207" s="441">
        <v>150000809</v>
      </c>
      <c r="B207" s="29">
        <v>2</v>
      </c>
    </row>
    <row r="208" spans="1:2" x14ac:dyDescent="0.3">
      <c r="A208" s="441">
        <v>150000810</v>
      </c>
      <c r="B208" s="29">
        <v>2</v>
      </c>
    </row>
    <row r="209" spans="1:2" x14ac:dyDescent="0.3">
      <c r="A209" s="441">
        <v>150000811</v>
      </c>
      <c r="B209" s="29">
        <v>2</v>
      </c>
    </row>
    <row r="210" spans="1:2" x14ac:dyDescent="0.3">
      <c r="A210" s="441">
        <v>150000812</v>
      </c>
      <c r="B210" s="29">
        <v>2</v>
      </c>
    </row>
    <row r="211" spans="1:2" x14ac:dyDescent="0.3">
      <c r="A211" s="441">
        <v>150000813</v>
      </c>
      <c r="B211" s="29">
        <v>3</v>
      </c>
    </row>
    <row r="212" spans="1:2" x14ac:dyDescent="0.3">
      <c r="A212" s="441">
        <v>150000814</v>
      </c>
      <c r="B212" s="29">
        <v>2</v>
      </c>
    </row>
    <row r="213" spans="1:2" x14ac:dyDescent="0.3">
      <c r="A213" s="441">
        <v>150000816</v>
      </c>
      <c r="B213" s="29">
        <v>2</v>
      </c>
    </row>
    <row r="214" spans="1:2" x14ac:dyDescent="0.3">
      <c r="A214" s="441">
        <v>150000819</v>
      </c>
      <c r="B214" s="29">
        <v>3</v>
      </c>
    </row>
    <row r="215" spans="1:2" x14ac:dyDescent="0.3">
      <c r="A215" s="441">
        <v>150000820</v>
      </c>
      <c r="B215" s="29">
        <v>3</v>
      </c>
    </row>
    <row r="216" spans="1:2" x14ac:dyDescent="0.3">
      <c r="A216" s="441">
        <v>150000827</v>
      </c>
      <c r="B216" s="29">
        <v>2</v>
      </c>
    </row>
    <row r="217" spans="1:2" x14ac:dyDescent="0.3">
      <c r="A217" s="441">
        <v>150000828</v>
      </c>
      <c r="B217" s="29">
        <v>2</v>
      </c>
    </row>
    <row r="218" spans="1:2" x14ac:dyDescent="0.3">
      <c r="A218" s="441">
        <v>150000829</v>
      </c>
      <c r="B218" s="29">
        <v>2</v>
      </c>
    </row>
    <row r="219" spans="1:2" x14ac:dyDescent="0.3">
      <c r="A219" s="441">
        <v>150000830</v>
      </c>
      <c r="B219" s="29">
        <v>3</v>
      </c>
    </row>
    <row r="220" spans="1:2" x14ac:dyDescent="0.3">
      <c r="A220" s="441">
        <v>150000832</v>
      </c>
      <c r="B220" s="29">
        <v>1</v>
      </c>
    </row>
    <row r="221" spans="1:2" x14ac:dyDescent="0.3">
      <c r="A221" s="441">
        <v>150000833</v>
      </c>
      <c r="B221" s="29">
        <v>1</v>
      </c>
    </row>
    <row r="222" spans="1:2" x14ac:dyDescent="0.3">
      <c r="A222" s="441">
        <v>150000834</v>
      </c>
      <c r="B222" s="29">
        <v>1</v>
      </c>
    </row>
    <row r="223" spans="1:2" x14ac:dyDescent="0.3">
      <c r="A223" s="441">
        <v>150000835</v>
      </c>
      <c r="B223" s="29">
        <v>2</v>
      </c>
    </row>
    <row r="224" spans="1:2" x14ac:dyDescent="0.3">
      <c r="A224" s="441">
        <v>150000836</v>
      </c>
      <c r="B224" s="29">
        <v>1</v>
      </c>
    </row>
    <row r="225" spans="1:2" x14ac:dyDescent="0.3">
      <c r="A225" s="441">
        <v>150000837</v>
      </c>
      <c r="B225" s="29">
        <v>1</v>
      </c>
    </row>
    <row r="226" spans="1:2" x14ac:dyDescent="0.3">
      <c r="A226" s="441">
        <v>150000839</v>
      </c>
      <c r="B226" s="29">
        <v>1</v>
      </c>
    </row>
    <row r="227" spans="1:2" x14ac:dyDescent="0.3">
      <c r="A227" s="441">
        <v>150000840</v>
      </c>
      <c r="B227" s="29">
        <v>1</v>
      </c>
    </row>
    <row r="228" spans="1:2" x14ac:dyDescent="0.3">
      <c r="A228" s="441">
        <v>150000841</v>
      </c>
      <c r="B228" s="29">
        <v>1</v>
      </c>
    </row>
    <row r="229" spans="1:2" x14ac:dyDescent="0.3">
      <c r="A229" s="441">
        <v>150000845</v>
      </c>
      <c r="B229" s="29">
        <v>1</v>
      </c>
    </row>
    <row r="230" spans="1:2" x14ac:dyDescent="0.3">
      <c r="A230" s="441">
        <v>150000846</v>
      </c>
      <c r="B230" s="29">
        <v>1</v>
      </c>
    </row>
    <row r="231" spans="1:2" x14ac:dyDescent="0.3">
      <c r="A231" s="441">
        <v>150000848</v>
      </c>
      <c r="B231" s="29">
        <v>2</v>
      </c>
    </row>
    <row r="232" spans="1:2" x14ac:dyDescent="0.3">
      <c r="A232" s="441">
        <v>150000851</v>
      </c>
      <c r="B232" s="29">
        <v>3</v>
      </c>
    </row>
    <row r="233" spans="1:2" x14ac:dyDescent="0.3">
      <c r="A233" s="441">
        <v>150000861</v>
      </c>
      <c r="B233" s="29">
        <v>2</v>
      </c>
    </row>
    <row r="234" spans="1:2" x14ac:dyDescent="0.3">
      <c r="A234" s="441">
        <v>150000862</v>
      </c>
      <c r="B234" s="29">
        <v>2</v>
      </c>
    </row>
    <row r="235" spans="1:2" x14ac:dyDescent="0.3">
      <c r="A235" s="441">
        <v>150000863</v>
      </c>
      <c r="B235" s="29">
        <v>2</v>
      </c>
    </row>
    <row r="236" spans="1:2" x14ac:dyDescent="0.3">
      <c r="A236" s="441">
        <v>150000864</v>
      </c>
      <c r="B236" s="29">
        <v>2</v>
      </c>
    </row>
    <row r="237" spans="1:2" x14ac:dyDescent="0.3">
      <c r="A237" s="441">
        <v>150000865</v>
      </c>
      <c r="B237" s="29">
        <v>2</v>
      </c>
    </row>
    <row r="238" spans="1:2" x14ac:dyDescent="0.3">
      <c r="A238" s="441">
        <v>150000866</v>
      </c>
      <c r="B238" s="29">
        <v>1</v>
      </c>
    </row>
    <row r="239" spans="1:2" x14ac:dyDescent="0.3">
      <c r="A239" s="441">
        <v>150000867</v>
      </c>
      <c r="B239" s="29">
        <v>1</v>
      </c>
    </row>
    <row r="240" spans="1:2" x14ac:dyDescent="0.3">
      <c r="A240" s="441">
        <v>150000868</v>
      </c>
      <c r="B240" s="29">
        <v>1</v>
      </c>
    </row>
    <row r="241" spans="1:2" x14ac:dyDescent="0.3">
      <c r="A241" s="441">
        <v>150000869</v>
      </c>
      <c r="B241" s="29">
        <v>1</v>
      </c>
    </row>
    <row r="242" spans="1:2" x14ac:dyDescent="0.3">
      <c r="A242" s="441">
        <v>150000871</v>
      </c>
      <c r="B242" s="29">
        <v>2</v>
      </c>
    </row>
    <row r="243" spans="1:2" x14ac:dyDescent="0.3">
      <c r="A243" s="441">
        <v>150000872</v>
      </c>
      <c r="B243" s="29">
        <v>2</v>
      </c>
    </row>
    <row r="244" spans="1:2" x14ac:dyDescent="0.3">
      <c r="A244" s="441">
        <v>150000873</v>
      </c>
      <c r="B244" s="29">
        <v>2</v>
      </c>
    </row>
    <row r="245" spans="1:2" x14ac:dyDescent="0.3">
      <c r="A245" s="441">
        <v>150000874</v>
      </c>
      <c r="B245" s="29">
        <v>2</v>
      </c>
    </row>
    <row r="246" spans="1:2" x14ac:dyDescent="0.3">
      <c r="A246" s="441">
        <v>150000875</v>
      </c>
      <c r="B246" s="29">
        <v>1</v>
      </c>
    </row>
    <row r="247" spans="1:2" x14ac:dyDescent="0.3">
      <c r="A247" s="441">
        <v>150000878</v>
      </c>
      <c r="B247" s="29">
        <v>2</v>
      </c>
    </row>
    <row r="248" spans="1:2" x14ac:dyDescent="0.3">
      <c r="A248" s="441">
        <v>150000879</v>
      </c>
      <c r="B248" s="29">
        <v>2</v>
      </c>
    </row>
    <row r="249" spans="1:2" x14ac:dyDescent="0.3">
      <c r="A249" s="441">
        <v>150000880</v>
      </c>
      <c r="B249" s="29">
        <v>2</v>
      </c>
    </row>
    <row r="250" spans="1:2" x14ac:dyDescent="0.3">
      <c r="A250" s="441">
        <v>150000881</v>
      </c>
      <c r="B250" s="29">
        <v>2</v>
      </c>
    </row>
    <row r="251" spans="1:2" x14ac:dyDescent="0.3">
      <c r="A251" s="441">
        <v>150000882</v>
      </c>
      <c r="B251" s="29">
        <v>2</v>
      </c>
    </row>
    <row r="252" spans="1:2" x14ac:dyDescent="0.3">
      <c r="A252" s="441">
        <v>150000883</v>
      </c>
      <c r="B252" s="29">
        <v>2</v>
      </c>
    </row>
    <row r="253" spans="1:2" x14ac:dyDescent="0.3">
      <c r="A253" s="441">
        <v>150000884</v>
      </c>
      <c r="B253" s="29">
        <v>2</v>
      </c>
    </row>
    <row r="254" spans="1:2" x14ac:dyDescent="0.3">
      <c r="A254" s="441">
        <v>150000885</v>
      </c>
      <c r="B254" s="29">
        <v>2</v>
      </c>
    </row>
    <row r="255" spans="1:2" x14ac:dyDescent="0.3">
      <c r="A255" s="441">
        <v>150000886</v>
      </c>
      <c r="B255" s="29">
        <v>2</v>
      </c>
    </row>
    <row r="256" spans="1:2" x14ac:dyDescent="0.3">
      <c r="A256" s="441">
        <v>150000887</v>
      </c>
      <c r="B256" s="29">
        <v>2</v>
      </c>
    </row>
    <row r="257" spans="1:2" x14ac:dyDescent="0.3">
      <c r="A257" s="441">
        <v>150000888</v>
      </c>
      <c r="B257" s="29">
        <v>2</v>
      </c>
    </row>
    <row r="258" spans="1:2" x14ac:dyDescent="0.3">
      <c r="A258" s="441">
        <v>150000889</v>
      </c>
      <c r="B258" s="29">
        <v>2</v>
      </c>
    </row>
    <row r="259" spans="1:2" x14ac:dyDescent="0.3">
      <c r="A259" s="441">
        <v>150000890</v>
      </c>
      <c r="B259" s="29">
        <v>2</v>
      </c>
    </row>
    <row r="260" spans="1:2" x14ac:dyDescent="0.3">
      <c r="A260" s="441">
        <v>150000891</v>
      </c>
      <c r="B260" s="29">
        <v>2</v>
      </c>
    </row>
    <row r="261" spans="1:2" x14ac:dyDescent="0.3">
      <c r="A261" s="441">
        <v>150000892</v>
      </c>
      <c r="B261" s="29">
        <v>3</v>
      </c>
    </row>
    <row r="262" spans="1:2" x14ac:dyDescent="0.3">
      <c r="A262" s="441">
        <v>150000893</v>
      </c>
      <c r="B262" s="29">
        <v>3</v>
      </c>
    </row>
    <row r="263" spans="1:2" x14ac:dyDescent="0.3">
      <c r="A263" s="441">
        <v>150000894</v>
      </c>
      <c r="B263" s="29">
        <v>3</v>
      </c>
    </row>
    <row r="264" spans="1:2" x14ac:dyDescent="0.3">
      <c r="A264" s="441">
        <v>150000895</v>
      </c>
      <c r="B264" s="29">
        <v>3</v>
      </c>
    </row>
    <row r="265" spans="1:2" x14ac:dyDescent="0.3">
      <c r="A265" s="441">
        <v>150000896</v>
      </c>
      <c r="B265" s="29">
        <v>3</v>
      </c>
    </row>
    <row r="266" spans="1:2" x14ac:dyDescent="0.3">
      <c r="A266" s="441">
        <v>150000898</v>
      </c>
      <c r="B266" s="29">
        <v>3</v>
      </c>
    </row>
    <row r="267" spans="1:2" x14ac:dyDescent="0.3">
      <c r="A267" s="441">
        <v>150000899</v>
      </c>
      <c r="B267" s="29">
        <v>3</v>
      </c>
    </row>
    <row r="268" spans="1:2" x14ac:dyDescent="0.3">
      <c r="A268" s="441">
        <v>150000900</v>
      </c>
      <c r="B268" s="29">
        <v>3</v>
      </c>
    </row>
    <row r="269" spans="1:2" x14ac:dyDescent="0.3">
      <c r="A269" s="441">
        <v>150000901</v>
      </c>
      <c r="B269" s="29">
        <v>3</v>
      </c>
    </row>
    <row r="270" spans="1:2" x14ac:dyDescent="0.3">
      <c r="A270" s="441">
        <v>150000902</v>
      </c>
      <c r="B270" s="29">
        <v>3</v>
      </c>
    </row>
    <row r="271" spans="1:2" x14ac:dyDescent="0.3">
      <c r="A271" s="441">
        <v>150000903</v>
      </c>
      <c r="B271" s="29">
        <v>3</v>
      </c>
    </row>
    <row r="272" spans="1:2" x14ac:dyDescent="0.3">
      <c r="A272" s="441">
        <v>150000904</v>
      </c>
      <c r="B272" s="29">
        <v>3</v>
      </c>
    </row>
    <row r="273" spans="1:2" x14ac:dyDescent="0.3">
      <c r="A273" s="441">
        <v>150000905</v>
      </c>
      <c r="B273" s="29">
        <v>3</v>
      </c>
    </row>
    <row r="274" spans="1:2" x14ac:dyDescent="0.3">
      <c r="A274" s="441">
        <v>150000906</v>
      </c>
      <c r="B274" s="29">
        <v>3</v>
      </c>
    </row>
    <row r="275" spans="1:2" x14ac:dyDescent="0.3">
      <c r="A275" s="441">
        <v>150000907</v>
      </c>
      <c r="B275" s="29">
        <v>3</v>
      </c>
    </row>
    <row r="276" spans="1:2" x14ac:dyDescent="0.3">
      <c r="A276" s="441">
        <v>150000908</v>
      </c>
      <c r="B276" s="29">
        <v>3</v>
      </c>
    </row>
    <row r="277" spans="1:2" x14ac:dyDescent="0.3">
      <c r="A277" s="441">
        <v>150000909</v>
      </c>
      <c r="B277" s="29">
        <v>3</v>
      </c>
    </row>
    <row r="278" spans="1:2" x14ac:dyDescent="0.3">
      <c r="A278" s="441">
        <v>150000910</v>
      </c>
      <c r="B278" s="29">
        <v>3</v>
      </c>
    </row>
    <row r="279" spans="1:2" x14ac:dyDescent="0.3">
      <c r="A279" s="441">
        <v>150000911</v>
      </c>
      <c r="B279" s="29">
        <v>3</v>
      </c>
    </row>
    <row r="280" spans="1:2" x14ac:dyDescent="0.3">
      <c r="A280" s="441">
        <v>150000912</v>
      </c>
      <c r="B280" s="29">
        <v>3</v>
      </c>
    </row>
    <row r="281" spans="1:2" x14ac:dyDescent="0.3">
      <c r="A281" s="441">
        <v>150000913</v>
      </c>
      <c r="B281" s="29">
        <v>3</v>
      </c>
    </row>
    <row r="282" spans="1:2" x14ac:dyDescent="0.3">
      <c r="A282" s="441">
        <v>150000914</v>
      </c>
      <c r="B282" s="29">
        <v>3</v>
      </c>
    </row>
    <row r="283" spans="1:2" x14ac:dyDescent="0.3">
      <c r="A283" s="441">
        <v>150000915</v>
      </c>
      <c r="B283" s="29">
        <v>3</v>
      </c>
    </row>
    <row r="284" spans="1:2" x14ac:dyDescent="0.3">
      <c r="A284" s="441">
        <v>150000916</v>
      </c>
      <c r="B284" s="29">
        <v>3</v>
      </c>
    </row>
    <row r="285" spans="1:2" x14ac:dyDescent="0.3">
      <c r="A285" s="441">
        <v>150000917</v>
      </c>
      <c r="B285" s="29">
        <v>3</v>
      </c>
    </row>
    <row r="286" spans="1:2" x14ac:dyDescent="0.3">
      <c r="A286" s="441">
        <v>150000918</v>
      </c>
      <c r="B286" s="29">
        <v>3</v>
      </c>
    </row>
    <row r="287" spans="1:2" x14ac:dyDescent="0.3">
      <c r="A287" s="441">
        <v>150000919</v>
      </c>
      <c r="B287" s="29">
        <v>3</v>
      </c>
    </row>
    <row r="288" spans="1:2" x14ac:dyDescent="0.3">
      <c r="A288" s="441">
        <v>150000920</v>
      </c>
      <c r="B288" s="29">
        <v>3</v>
      </c>
    </row>
    <row r="289" spans="1:2" x14ac:dyDescent="0.3">
      <c r="A289" s="441">
        <v>150000921</v>
      </c>
      <c r="B289" s="29">
        <v>3</v>
      </c>
    </row>
    <row r="290" spans="1:2" x14ac:dyDescent="0.3">
      <c r="A290" s="441">
        <v>150000922</v>
      </c>
      <c r="B290" s="29">
        <v>3</v>
      </c>
    </row>
    <row r="291" spans="1:2" x14ac:dyDescent="0.3">
      <c r="A291" s="441">
        <v>150000924</v>
      </c>
      <c r="B291" s="29">
        <v>2</v>
      </c>
    </row>
    <row r="292" spans="1:2" x14ac:dyDescent="0.3">
      <c r="A292" s="441">
        <v>150000925</v>
      </c>
      <c r="B292" s="29">
        <v>2</v>
      </c>
    </row>
    <row r="293" spans="1:2" x14ac:dyDescent="0.3">
      <c r="A293" s="441">
        <v>150000926</v>
      </c>
      <c r="B293" s="29">
        <v>2</v>
      </c>
    </row>
    <row r="294" spans="1:2" x14ac:dyDescent="0.3">
      <c r="A294" s="441">
        <v>150000927</v>
      </c>
      <c r="B294" s="29">
        <v>2</v>
      </c>
    </row>
    <row r="295" spans="1:2" x14ac:dyDescent="0.3">
      <c r="A295" s="441">
        <v>150000928</v>
      </c>
      <c r="B295" s="29">
        <v>2</v>
      </c>
    </row>
    <row r="296" spans="1:2" x14ac:dyDescent="0.3">
      <c r="A296" s="441">
        <v>150000929</v>
      </c>
      <c r="B296" s="29">
        <v>2</v>
      </c>
    </row>
    <row r="297" spans="1:2" x14ac:dyDescent="0.3">
      <c r="A297" s="441">
        <v>150000930</v>
      </c>
      <c r="B297" s="29">
        <v>2</v>
      </c>
    </row>
    <row r="298" spans="1:2" x14ac:dyDescent="0.3">
      <c r="A298" s="441">
        <v>150000931</v>
      </c>
      <c r="B298" s="29">
        <v>2</v>
      </c>
    </row>
    <row r="299" spans="1:2" x14ac:dyDescent="0.3">
      <c r="A299" s="441">
        <v>150000932</v>
      </c>
      <c r="B299" s="29">
        <v>2</v>
      </c>
    </row>
    <row r="300" spans="1:2" x14ac:dyDescent="0.3">
      <c r="A300" s="441">
        <v>150000933</v>
      </c>
      <c r="B300" s="29">
        <v>2</v>
      </c>
    </row>
    <row r="301" spans="1:2" x14ac:dyDescent="0.3">
      <c r="A301" s="441">
        <v>150000934</v>
      </c>
      <c r="B301" s="29">
        <v>2</v>
      </c>
    </row>
    <row r="302" spans="1:2" x14ac:dyDescent="0.3">
      <c r="A302" s="441">
        <v>150000935</v>
      </c>
      <c r="B302" s="29">
        <v>2</v>
      </c>
    </row>
    <row r="303" spans="1:2" x14ac:dyDescent="0.3">
      <c r="A303" s="441">
        <v>150000936</v>
      </c>
      <c r="B303" s="29">
        <v>1</v>
      </c>
    </row>
    <row r="304" spans="1:2" x14ac:dyDescent="0.3">
      <c r="A304" s="441">
        <v>150000937</v>
      </c>
      <c r="B304" s="29">
        <v>1</v>
      </c>
    </row>
    <row r="305" spans="1:2" x14ac:dyDescent="0.3">
      <c r="A305" s="441">
        <v>150000938</v>
      </c>
      <c r="B305" s="29">
        <v>1</v>
      </c>
    </row>
    <row r="306" spans="1:2" x14ac:dyDescent="0.3">
      <c r="A306" s="441">
        <v>150000939</v>
      </c>
      <c r="B306" s="29">
        <v>1</v>
      </c>
    </row>
    <row r="307" spans="1:2" x14ac:dyDescent="0.3">
      <c r="A307" s="441">
        <v>150000940</v>
      </c>
      <c r="B307" s="29">
        <v>1</v>
      </c>
    </row>
    <row r="308" spans="1:2" x14ac:dyDescent="0.3">
      <c r="A308" s="441">
        <v>150000941</v>
      </c>
      <c r="B308" s="29">
        <v>1</v>
      </c>
    </row>
    <row r="309" spans="1:2" x14ac:dyDescent="0.3">
      <c r="A309" s="441">
        <v>150000943</v>
      </c>
      <c r="B309" s="29">
        <v>1</v>
      </c>
    </row>
    <row r="310" spans="1:2" x14ac:dyDescent="0.3">
      <c r="A310" s="441">
        <v>150000944</v>
      </c>
      <c r="B310" s="29">
        <v>1</v>
      </c>
    </row>
    <row r="311" spans="1:2" x14ac:dyDescent="0.3">
      <c r="A311" s="441">
        <v>150000945</v>
      </c>
      <c r="B311" s="29">
        <v>1</v>
      </c>
    </row>
    <row r="312" spans="1:2" x14ac:dyDescent="0.3">
      <c r="A312" s="441">
        <v>150000946</v>
      </c>
      <c r="B312" s="29">
        <v>1</v>
      </c>
    </row>
    <row r="313" spans="1:2" x14ac:dyDescent="0.3">
      <c r="A313" s="441">
        <v>150000947</v>
      </c>
      <c r="B313" s="29">
        <v>1</v>
      </c>
    </row>
    <row r="314" spans="1:2" x14ac:dyDescent="0.3">
      <c r="A314" s="441">
        <v>150000948</v>
      </c>
      <c r="B314" s="29">
        <v>1</v>
      </c>
    </row>
    <row r="315" spans="1:2" x14ac:dyDescent="0.3">
      <c r="A315" s="441">
        <v>150000949</v>
      </c>
      <c r="B315" s="29">
        <v>1</v>
      </c>
    </row>
    <row r="316" spans="1:2" x14ac:dyDescent="0.3">
      <c r="A316" s="441">
        <v>150000951</v>
      </c>
      <c r="B316" s="29">
        <v>1</v>
      </c>
    </row>
    <row r="317" spans="1:2" x14ac:dyDescent="0.3">
      <c r="A317" s="441">
        <v>150000954</v>
      </c>
      <c r="B317" s="29">
        <v>1</v>
      </c>
    </row>
    <row r="318" spans="1:2" x14ac:dyDescent="0.3">
      <c r="A318" s="441">
        <v>150000957</v>
      </c>
      <c r="B318" s="29">
        <v>1</v>
      </c>
    </row>
    <row r="319" spans="1:2" x14ac:dyDescent="0.3">
      <c r="A319" s="441">
        <v>150000958</v>
      </c>
      <c r="B319" s="29">
        <v>1</v>
      </c>
    </row>
    <row r="320" spans="1:2" x14ac:dyDescent="0.3">
      <c r="A320" s="441">
        <v>150000960</v>
      </c>
      <c r="B320" s="29">
        <v>1</v>
      </c>
    </row>
    <row r="321" spans="1:2" x14ac:dyDescent="0.3">
      <c r="A321" s="441">
        <v>150000961</v>
      </c>
      <c r="B321" s="29">
        <v>1</v>
      </c>
    </row>
    <row r="322" spans="1:2" x14ac:dyDescent="0.3">
      <c r="A322" s="441">
        <v>150000963</v>
      </c>
      <c r="B322" s="29">
        <v>1</v>
      </c>
    </row>
    <row r="323" spans="1:2" x14ac:dyDescent="0.3">
      <c r="A323" s="441">
        <v>150000964</v>
      </c>
      <c r="B323" s="29">
        <v>1</v>
      </c>
    </row>
    <row r="324" spans="1:2" x14ac:dyDescent="0.3">
      <c r="A324" s="441">
        <v>150000966</v>
      </c>
      <c r="B324" s="29">
        <v>2</v>
      </c>
    </row>
    <row r="325" spans="1:2" x14ac:dyDescent="0.3">
      <c r="A325" s="441">
        <v>150000967</v>
      </c>
      <c r="B325" s="29">
        <v>2</v>
      </c>
    </row>
    <row r="326" spans="1:2" x14ac:dyDescent="0.3">
      <c r="A326" s="441">
        <v>150000968</v>
      </c>
      <c r="B326" s="29">
        <v>2</v>
      </c>
    </row>
    <row r="327" spans="1:2" x14ac:dyDescent="0.3">
      <c r="A327" s="441">
        <v>150000969</v>
      </c>
      <c r="B327" s="29">
        <v>2</v>
      </c>
    </row>
    <row r="328" spans="1:2" x14ac:dyDescent="0.3">
      <c r="A328" s="441">
        <v>150000970</v>
      </c>
      <c r="B328" s="29">
        <v>2</v>
      </c>
    </row>
    <row r="329" spans="1:2" x14ac:dyDescent="0.3">
      <c r="A329" s="441">
        <v>150000971</v>
      </c>
      <c r="B329" s="29">
        <v>2</v>
      </c>
    </row>
    <row r="330" spans="1:2" x14ac:dyDescent="0.3">
      <c r="A330" s="441">
        <v>150000972</v>
      </c>
      <c r="B330" s="29">
        <v>2</v>
      </c>
    </row>
    <row r="331" spans="1:2" x14ac:dyDescent="0.3">
      <c r="A331" s="441">
        <v>150000973</v>
      </c>
      <c r="B331" s="29">
        <v>2</v>
      </c>
    </row>
    <row r="332" spans="1:2" x14ac:dyDescent="0.3">
      <c r="A332" s="441">
        <v>150000974</v>
      </c>
      <c r="B332" s="29">
        <v>2</v>
      </c>
    </row>
    <row r="333" spans="1:2" x14ac:dyDescent="0.3">
      <c r="A333" s="441">
        <v>150000975</v>
      </c>
      <c r="B333" s="29">
        <v>2</v>
      </c>
    </row>
    <row r="334" spans="1:2" x14ac:dyDescent="0.3">
      <c r="A334" s="441">
        <v>150000976</v>
      </c>
      <c r="B334" s="29">
        <v>2</v>
      </c>
    </row>
    <row r="335" spans="1:2" x14ac:dyDescent="0.3">
      <c r="A335" s="441">
        <v>150000977</v>
      </c>
      <c r="B335" s="29">
        <v>2</v>
      </c>
    </row>
    <row r="336" spans="1:2" x14ac:dyDescent="0.3">
      <c r="A336" s="441">
        <v>150000978</v>
      </c>
      <c r="B336" s="29">
        <v>2</v>
      </c>
    </row>
    <row r="337" spans="1:2" x14ac:dyDescent="0.3">
      <c r="A337" s="441">
        <v>150000981</v>
      </c>
      <c r="B337" s="29">
        <v>3</v>
      </c>
    </row>
    <row r="338" spans="1:2" x14ac:dyDescent="0.3">
      <c r="A338" s="441">
        <v>150000982</v>
      </c>
      <c r="B338" s="29">
        <v>3</v>
      </c>
    </row>
    <row r="339" spans="1:2" x14ac:dyDescent="0.3">
      <c r="A339" s="441">
        <v>150000983</v>
      </c>
      <c r="B339" s="29">
        <v>3</v>
      </c>
    </row>
    <row r="340" spans="1:2" x14ac:dyDescent="0.3">
      <c r="A340" s="441">
        <v>150000984</v>
      </c>
      <c r="B340" s="29">
        <v>3</v>
      </c>
    </row>
    <row r="341" spans="1:2" x14ac:dyDescent="0.3">
      <c r="A341" s="441">
        <v>150000986</v>
      </c>
      <c r="B341" s="29">
        <v>3</v>
      </c>
    </row>
    <row r="342" spans="1:2" x14ac:dyDescent="0.3">
      <c r="A342" s="441">
        <v>150000987</v>
      </c>
      <c r="B342" s="29">
        <v>3</v>
      </c>
    </row>
    <row r="343" spans="1:2" x14ac:dyDescent="0.3">
      <c r="A343" s="441">
        <v>150000988</v>
      </c>
      <c r="B343" s="29">
        <v>3</v>
      </c>
    </row>
    <row r="344" spans="1:2" x14ac:dyDescent="0.3">
      <c r="A344" s="441">
        <v>150000989</v>
      </c>
      <c r="B344" s="29">
        <v>3</v>
      </c>
    </row>
    <row r="345" spans="1:2" x14ac:dyDescent="0.3">
      <c r="A345" s="441">
        <v>150000991</v>
      </c>
      <c r="B345" s="29">
        <v>3</v>
      </c>
    </row>
    <row r="346" spans="1:2" x14ac:dyDescent="0.3">
      <c r="A346" s="441">
        <v>150000992</v>
      </c>
      <c r="B346" s="29">
        <v>3</v>
      </c>
    </row>
    <row r="347" spans="1:2" x14ac:dyDescent="0.3">
      <c r="A347" s="441">
        <v>150000993</v>
      </c>
      <c r="B347" s="29">
        <v>3</v>
      </c>
    </row>
    <row r="348" spans="1:2" x14ac:dyDescent="0.3">
      <c r="A348" s="441">
        <v>150000994</v>
      </c>
      <c r="B348" s="29">
        <v>3</v>
      </c>
    </row>
    <row r="349" spans="1:2" x14ac:dyDescent="0.3">
      <c r="A349" s="441">
        <v>150000995</v>
      </c>
      <c r="B349" s="29">
        <v>3</v>
      </c>
    </row>
    <row r="350" spans="1:2" x14ac:dyDescent="0.3">
      <c r="A350" s="441">
        <v>150000996</v>
      </c>
      <c r="B350" s="29">
        <v>2</v>
      </c>
    </row>
    <row r="351" spans="1:2" x14ac:dyDescent="0.3">
      <c r="A351" s="441">
        <v>150000999</v>
      </c>
      <c r="B351" s="29">
        <v>3</v>
      </c>
    </row>
    <row r="352" spans="1:2" x14ac:dyDescent="0.3">
      <c r="A352" s="441">
        <v>150001000</v>
      </c>
      <c r="B352" s="29">
        <v>3</v>
      </c>
    </row>
    <row r="353" spans="1:2" x14ac:dyDescent="0.3">
      <c r="A353" s="441">
        <v>150001001</v>
      </c>
      <c r="B353" s="29">
        <v>3</v>
      </c>
    </row>
    <row r="354" spans="1:2" x14ac:dyDescent="0.3">
      <c r="A354" s="441">
        <v>150001002</v>
      </c>
      <c r="B354" s="29">
        <v>3</v>
      </c>
    </row>
    <row r="355" spans="1:2" x14ac:dyDescent="0.3">
      <c r="A355" s="441">
        <v>150001004</v>
      </c>
      <c r="B355" s="29">
        <v>3</v>
      </c>
    </row>
    <row r="356" spans="1:2" x14ac:dyDescent="0.3">
      <c r="A356" s="441">
        <v>150001005</v>
      </c>
      <c r="B356" s="29">
        <v>3</v>
      </c>
    </row>
    <row r="357" spans="1:2" x14ac:dyDescent="0.3">
      <c r="A357" s="441">
        <v>150001007</v>
      </c>
      <c r="B357" s="29">
        <v>2</v>
      </c>
    </row>
    <row r="358" spans="1:2" x14ac:dyDescent="0.3">
      <c r="A358" s="441">
        <v>150001008</v>
      </c>
      <c r="B358" s="29">
        <v>2</v>
      </c>
    </row>
    <row r="359" spans="1:2" x14ac:dyDescent="0.3">
      <c r="A359" s="441">
        <v>150001009</v>
      </c>
      <c r="B359" s="29">
        <v>2</v>
      </c>
    </row>
    <row r="360" spans="1:2" x14ac:dyDescent="0.3">
      <c r="A360" s="441">
        <v>150001010</v>
      </c>
      <c r="B360" s="29">
        <v>2</v>
      </c>
    </row>
    <row r="361" spans="1:2" x14ac:dyDescent="0.3">
      <c r="A361" s="441">
        <v>150001011</v>
      </c>
      <c r="B361" s="29">
        <v>2</v>
      </c>
    </row>
    <row r="362" spans="1:2" x14ac:dyDescent="0.3">
      <c r="A362" s="442">
        <v>150001013</v>
      </c>
      <c r="B362" s="29">
        <v>2</v>
      </c>
    </row>
    <row r="363" spans="1:2" x14ac:dyDescent="0.3">
      <c r="A363" s="441">
        <v>150001014</v>
      </c>
      <c r="B363" s="29">
        <v>2</v>
      </c>
    </row>
    <row r="364" spans="1:2" x14ac:dyDescent="0.3">
      <c r="A364" s="441">
        <v>150001015</v>
      </c>
      <c r="B364" s="29">
        <v>2</v>
      </c>
    </row>
    <row r="365" spans="1:2" x14ac:dyDescent="0.3">
      <c r="A365" s="441">
        <v>150001016</v>
      </c>
      <c r="B365" s="29">
        <v>2</v>
      </c>
    </row>
    <row r="366" spans="1:2" x14ac:dyDescent="0.3">
      <c r="A366" s="441">
        <v>150001018</v>
      </c>
      <c r="B366" s="29">
        <v>2</v>
      </c>
    </row>
    <row r="367" spans="1:2" x14ac:dyDescent="0.3">
      <c r="A367" s="441">
        <v>150001019</v>
      </c>
      <c r="B367" s="29">
        <v>1</v>
      </c>
    </row>
    <row r="368" spans="1:2" x14ac:dyDescent="0.3">
      <c r="A368" s="441">
        <v>150001020</v>
      </c>
      <c r="B368" s="29">
        <v>2</v>
      </c>
    </row>
    <row r="369" spans="1:2" x14ac:dyDescent="0.3">
      <c r="A369" s="441">
        <v>150001021</v>
      </c>
      <c r="B369" s="29">
        <v>1</v>
      </c>
    </row>
    <row r="370" spans="1:2" x14ac:dyDescent="0.3">
      <c r="A370" s="441">
        <v>150001022</v>
      </c>
      <c r="B370" s="29">
        <v>1</v>
      </c>
    </row>
    <row r="371" spans="1:2" x14ac:dyDescent="0.3">
      <c r="A371" s="441">
        <v>150001023</v>
      </c>
      <c r="B371" s="29">
        <v>1</v>
      </c>
    </row>
    <row r="372" spans="1:2" x14ac:dyDescent="0.3">
      <c r="A372" s="441">
        <v>150001024</v>
      </c>
      <c r="B372" s="29">
        <v>1</v>
      </c>
    </row>
    <row r="373" spans="1:2" x14ac:dyDescent="0.3">
      <c r="A373" s="441">
        <v>150001025</v>
      </c>
      <c r="B373" s="29">
        <v>1</v>
      </c>
    </row>
    <row r="374" spans="1:2" x14ac:dyDescent="0.3">
      <c r="A374" s="441">
        <v>150001026</v>
      </c>
      <c r="B374" s="29">
        <v>1</v>
      </c>
    </row>
    <row r="375" spans="1:2" x14ac:dyDescent="0.3">
      <c r="A375" s="441">
        <v>150001027</v>
      </c>
      <c r="B375" s="29">
        <v>1</v>
      </c>
    </row>
    <row r="376" spans="1:2" x14ac:dyDescent="0.3">
      <c r="A376" s="441">
        <v>150001028</v>
      </c>
      <c r="B376" s="29">
        <v>1</v>
      </c>
    </row>
    <row r="377" spans="1:2" x14ac:dyDescent="0.3">
      <c r="A377" s="441">
        <v>150001029</v>
      </c>
      <c r="B377" s="29">
        <v>1</v>
      </c>
    </row>
    <row r="378" spans="1:2" x14ac:dyDescent="0.3">
      <c r="A378" s="441">
        <v>150001030</v>
      </c>
      <c r="B378" s="29">
        <v>1</v>
      </c>
    </row>
    <row r="379" spans="1:2" x14ac:dyDescent="0.3">
      <c r="A379" s="441">
        <v>150001031</v>
      </c>
      <c r="B379" s="29">
        <v>1</v>
      </c>
    </row>
    <row r="380" spans="1:2" x14ac:dyDescent="0.3">
      <c r="A380" s="441">
        <v>150001032</v>
      </c>
      <c r="B380" s="29">
        <v>1</v>
      </c>
    </row>
    <row r="381" spans="1:2" x14ac:dyDescent="0.3">
      <c r="A381" s="441">
        <v>150001033</v>
      </c>
      <c r="B381" s="29">
        <v>1</v>
      </c>
    </row>
    <row r="382" spans="1:2" x14ac:dyDescent="0.3">
      <c r="A382" s="441">
        <v>150001035</v>
      </c>
      <c r="B382" s="29">
        <v>1</v>
      </c>
    </row>
    <row r="383" spans="1:2" x14ac:dyDescent="0.3">
      <c r="A383" s="441">
        <v>150001036</v>
      </c>
      <c r="B383" s="29">
        <v>1</v>
      </c>
    </row>
    <row r="384" spans="1:2" x14ac:dyDescent="0.3">
      <c r="A384" s="441">
        <v>150001037</v>
      </c>
      <c r="B384" s="29">
        <v>1</v>
      </c>
    </row>
    <row r="385" spans="1:2" x14ac:dyDescent="0.3">
      <c r="A385" s="441">
        <v>150001040</v>
      </c>
      <c r="B385" s="29">
        <v>2</v>
      </c>
    </row>
    <row r="386" spans="1:2" x14ac:dyDescent="0.3">
      <c r="A386" s="441">
        <v>150001041</v>
      </c>
      <c r="B386" s="29">
        <v>2</v>
      </c>
    </row>
    <row r="387" spans="1:2" x14ac:dyDescent="0.3">
      <c r="A387" s="441">
        <v>150001042</v>
      </c>
      <c r="B387" s="29">
        <v>2</v>
      </c>
    </row>
    <row r="388" spans="1:2" x14ac:dyDescent="0.3">
      <c r="A388" s="441">
        <v>150001043</v>
      </c>
      <c r="B388" s="29">
        <v>2</v>
      </c>
    </row>
    <row r="389" spans="1:2" x14ac:dyDescent="0.3">
      <c r="A389" s="441">
        <v>150001044</v>
      </c>
      <c r="B389" s="29">
        <v>2</v>
      </c>
    </row>
    <row r="390" spans="1:2" x14ac:dyDescent="0.3">
      <c r="A390" s="441">
        <v>150001045</v>
      </c>
      <c r="B390" s="29">
        <v>2</v>
      </c>
    </row>
    <row r="391" spans="1:2" x14ac:dyDescent="0.3">
      <c r="A391" s="441">
        <v>150001046</v>
      </c>
      <c r="B391" s="29">
        <v>2</v>
      </c>
    </row>
    <row r="392" spans="1:2" x14ac:dyDescent="0.3">
      <c r="A392" s="441">
        <v>150001047</v>
      </c>
      <c r="B392" s="29">
        <v>2</v>
      </c>
    </row>
    <row r="393" spans="1:2" x14ac:dyDescent="0.3">
      <c r="A393" s="441">
        <v>150001048</v>
      </c>
      <c r="B393" s="29">
        <v>2</v>
      </c>
    </row>
    <row r="394" spans="1:2" x14ac:dyDescent="0.3">
      <c r="A394" s="441">
        <v>150001049</v>
      </c>
      <c r="B394" s="29">
        <v>2</v>
      </c>
    </row>
    <row r="395" spans="1:2" x14ac:dyDescent="0.3">
      <c r="A395" s="441">
        <v>150001050</v>
      </c>
      <c r="B395" s="29">
        <v>2</v>
      </c>
    </row>
    <row r="396" spans="1:2" x14ac:dyDescent="0.3">
      <c r="A396" s="441">
        <v>150001053</v>
      </c>
      <c r="B396" s="29">
        <v>3</v>
      </c>
    </row>
    <row r="397" spans="1:2" x14ac:dyDescent="0.3">
      <c r="A397" s="441">
        <v>150001054</v>
      </c>
      <c r="B397" s="29">
        <v>3</v>
      </c>
    </row>
    <row r="398" spans="1:2" x14ac:dyDescent="0.3">
      <c r="A398" s="441">
        <v>150001071</v>
      </c>
      <c r="B398" s="29">
        <v>3</v>
      </c>
    </row>
    <row r="399" spans="1:2" x14ac:dyDescent="0.3">
      <c r="A399" s="441">
        <v>150001094</v>
      </c>
      <c r="B399" s="29">
        <v>1</v>
      </c>
    </row>
    <row r="400" spans="1:2" x14ac:dyDescent="0.3">
      <c r="A400" s="441">
        <v>150001561</v>
      </c>
      <c r="B400" s="29">
        <v>2</v>
      </c>
    </row>
    <row r="401" spans="1:2" x14ac:dyDescent="0.3">
      <c r="A401" s="441">
        <v>150001562</v>
      </c>
      <c r="B401" s="29">
        <v>2</v>
      </c>
    </row>
    <row r="402" spans="1:2" ht="15" thickBot="1" x14ac:dyDescent="0.35">
      <c r="A402" s="693"/>
    </row>
    <row r="405" spans="1:2" x14ac:dyDescent="0.3">
      <c r="A405" s="292"/>
    </row>
    <row r="406" spans="1:2" x14ac:dyDescent="0.3">
      <c r="A406" s="292"/>
    </row>
    <row r="407" spans="1:2" x14ac:dyDescent="0.3">
      <c r="A407" s="292"/>
      <c r="B407" s="286"/>
    </row>
    <row r="408" spans="1:2" x14ac:dyDescent="0.3">
      <c r="A408" s="330"/>
      <c r="B408" s="122"/>
    </row>
    <row r="411" spans="1:2" x14ac:dyDescent="0.3">
      <c r="A411" s="292"/>
    </row>
    <row r="412" spans="1:2" x14ac:dyDescent="0.3">
      <c r="A412" s="292"/>
    </row>
    <row r="413" spans="1:2" x14ac:dyDescent="0.3">
      <c r="A413" s="292"/>
    </row>
    <row r="414" spans="1:2" x14ac:dyDescent="0.3">
      <c r="A414" s="292"/>
    </row>
  </sheetData>
  <sortState xmlns:xlrd2="http://schemas.microsoft.com/office/spreadsheetml/2017/richdata2" ref="A7:B401">
    <sortCondition ref="A7:A401"/>
  </sortState>
  <conditionalFormatting sqref="A161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8">
    <tabColor rgb="FFFF0066"/>
  </sheetPr>
  <dimension ref="A2"/>
  <sheetViews>
    <sheetView workbookViewId="0">
      <selection activeCell="H24" sqref="H24"/>
    </sheetView>
  </sheetViews>
  <sheetFormatPr defaultRowHeight="14.4" x14ac:dyDescent="0.3"/>
  <sheetData>
    <row r="2" spans="1:1" x14ac:dyDescent="0.3">
      <c r="A2">
        <v>2023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theme="5" tint="-0.249977111117893"/>
  </sheetPr>
  <dimension ref="A1:EH401"/>
  <sheetViews>
    <sheetView zoomScale="80" zoomScaleNormal="80" workbookViewId="0">
      <pane xSplit="4" ySplit="8" topLeftCell="E355" activePane="bottomRight" state="frozen"/>
      <selection pane="topRight" activeCell="E1" sqref="E1"/>
      <selection pane="bottomLeft" activeCell="A9" sqref="A9"/>
      <selection pane="bottomRight" activeCell="G9" sqref="G9:H367"/>
    </sheetView>
  </sheetViews>
  <sheetFormatPr defaultColWidth="8.88671875" defaultRowHeight="14.4" x14ac:dyDescent="0.3"/>
  <cols>
    <col min="1" max="1" width="13.109375" style="327" customWidth="1"/>
    <col min="2" max="2" width="8.88671875" style="1" customWidth="1"/>
    <col min="3" max="3" width="39.33203125" style="1" customWidth="1"/>
    <col min="4" max="4" width="37.109375" style="1" customWidth="1"/>
    <col min="5" max="5" width="15.6640625" style="104" customWidth="1"/>
    <col min="6" max="6" width="14.33203125" style="103" customWidth="1"/>
    <col min="7" max="7" width="11.6640625" style="53" customWidth="1"/>
    <col min="8" max="8" width="12.44140625" style="318" customWidth="1"/>
    <col min="9" max="9" width="10.88671875" style="8" customWidth="1"/>
    <col min="10" max="10" width="12.109375" style="8" customWidth="1"/>
    <col min="11" max="11" width="9.5546875" style="8" customWidth="1"/>
    <col min="12" max="12" width="12.44140625" style="8" customWidth="1"/>
    <col min="13" max="13" width="10.88671875" style="8" customWidth="1"/>
    <col min="14" max="14" width="10.109375" style="8" customWidth="1"/>
    <col min="15" max="17" width="10.88671875" style="8" customWidth="1"/>
    <col min="18" max="20" width="11.44140625" style="8" customWidth="1"/>
    <col min="21" max="23" width="10.6640625" style="8" customWidth="1"/>
    <col min="24" max="26" width="12.109375" style="8" customWidth="1"/>
    <col min="27" max="29" width="10.6640625" style="8" customWidth="1"/>
    <col min="30" max="32" width="14.109375" style="8" customWidth="1"/>
    <col min="33" max="33" width="14.109375" style="54" customWidth="1"/>
    <col min="34" max="35" width="14.109375" style="8" customWidth="1"/>
    <col min="36" max="38" width="10.33203125" style="8" customWidth="1"/>
    <col min="39" max="41" width="10.44140625" style="8" customWidth="1"/>
    <col min="42" max="44" width="11.109375" style="8" customWidth="1"/>
    <col min="45" max="47" width="12.109375" style="8" customWidth="1"/>
    <col min="48" max="50" width="11.33203125" style="8" customWidth="1"/>
    <col min="51" max="51" width="10.33203125" style="8" customWidth="1"/>
    <col min="52" max="52" width="8.109375" style="8" customWidth="1"/>
    <col min="53" max="54" width="10.88671875" style="8" customWidth="1"/>
    <col min="55" max="56" width="12.44140625" style="8" customWidth="1"/>
    <col min="57" max="59" width="12.109375" style="8" customWidth="1"/>
    <col min="60" max="62" width="11.5546875" style="8" customWidth="1"/>
    <col min="63" max="65" width="11.109375" style="8" customWidth="1"/>
    <col min="66" max="68" width="10.5546875" style="8" customWidth="1"/>
    <col min="69" max="69" width="10.5546875" style="54" customWidth="1"/>
    <col min="70" max="71" width="10.5546875" style="8" customWidth="1"/>
    <col min="72" max="74" width="11.6640625" style="8" customWidth="1"/>
    <col min="75" max="75" width="11.44140625" style="54" customWidth="1"/>
    <col min="76" max="77" width="11.44140625" style="8" customWidth="1"/>
    <col min="78" max="80" width="12.44140625" style="8" customWidth="1"/>
    <col min="81" max="81" width="10.6640625" style="8" customWidth="1"/>
    <col min="82" max="82" width="8.44140625" style="8" customWidth="1"/>
    <col min="83" max="83" width="11.33203125" style="8" customWidth="1"/>
    <col min="84" max="84" width="10.6640625" style="8" customWidth="1"/>
    <col min="85" max="85" width="10.44140625" style="8" customWidth="1"/>
    <col min="86" max="86" width="10.6640625" style="8" customWidth="1"/>
    <col min="87" max="89" width="12.44140625" style="8" customWidth="1"/>
    <col min="90" max="95" width="11.33203125" style="8" customWidth="1"/>
    <col min="96" max="96" width="12.6640625" style="8" customWidth="1"/>
    <col min="97" max="97" width="10.6640625" style="8" customWidth="1"/>
    <col min="98" max="98" width="11.44140625" style="8" customWidth="1"/>
    <col min="99" max="99" width="12.44140625" style="8" customWidth="1"/>
    <col min="100" max="100" width="12.88671875" style="54" customWidth="1"/>
    <col min="101" max="101" width="13" style="8" customWidth="1"/>
    <col min="102" max="103" width="10.33203125" style="8" customWidth="1"/>
    <col min="104" max="104" width="10.44140625" style="8" customWidth="1"/>
    <col min="105" max="105" width="22.88671875" style="8" customWidth="1"/>
    <col min="106" max="106" width="8.88671875" style="2" customWidth="1"/>
    <col min="107" max="107" width="15.6640625" style="426" customWidth="1"/>
    <col min="108" max="108" width="14.109375" style="427" customWidth="1"/>
    <col min="109" max="109" width="16.5546875" customWidth="1"/>
    <col min="110" max="110" width="22.5546875" style="2" customWidth="1"/>
    <col min="111" max="111" width="22.88671875" style="754" customWidth="1"/>
    <col min="112" max="112" width="22.88671875" style="54" customWidth="1"/>
    <col min="113" max="113" width="22.88671875" style="280" customWidth="1"/>
    <col min="114" max="114" width="22.88671875" style="8" customWidth="1"/>
    <col min="115" max="115" width="10.88671875" style="311" customWidth="1"/>
    <col min="116" max="116" width="11.88671875" style="311" customWidth="1"/>
    <col min="117" max="117" width="10.88671875" style="1" customWidth="1"/>
    <col min="118" max="118" width="16.44140625" style="103" customWidth="1"/>
    <col min="119" max="119" width="14" style="103" customWidth="1"/>
    <col min="120" max="120" width="16" style="1" customWidth="1"/>
    <col min="121" max="121" width="14.33203125" style="1" customWidth="1"/>
    <col min="122" max="122" width="16" style="2" customWidth="1"/>
    <col min="123" max="123" width="14" style="158" customWidth="1"/>
    <col min="124" max="124" width="14.109375" style="2" customWidth="1"/>
    <col min="125" max="125" width="13.88671875" style="754" customWidth="1"/>
    <col min="126" max="126" width="13" style="8" customWidth="1"/>
    <col min="127" max="127" width="16.44140625" style="926" customWidth="1"/>
    <col min="128" max="128" width="12.77734375" style="1" customWidth="1"/>
    <col min="129" max="129" width="12.44140625" style="8" customWidth="1"/>
    <col min="130" max="130" width="12.5546875" style="8" customWidth="1"/>
    <col min="131" max="131" width="15.88671875" style="118" customWidth="1"/>
    <col min="132" max="132" width="8.88671875" style="1" customWidth="1"/>
    <col min="133" max="133" width="17.33203125" style="104" customWidth="1"/>
    <col min="134" max="134" width="8.88671875" style="1"/>
    <col min="135" max="135" width="22.6640625" style="798" customWidth="1"/>
    <col min="136" max="136" width="19.6640625" style="1" customWidth="1"/>
    <col min="137" max="137" width="8.88671875" style="1"/>
    <col min="138" max="138" width="22.6640625" style="798" customWidth="1"/>
    <col min="139" max="16384" width="8.88671875" style="1"/>
  </cols>
  <sheetData>
    <row r="1" spans="1:138" ht="17.399999999999999" x14ac:dyDescent="0.3">
      <c r="A1" s="1" t="s">
        <v>0</v>
      </c>
      <c r="E1" s="910" t="s">
        <v>1794</v>
      </c>
      <c r="F1" s="108"/>
      <c r="G1" s="911"/>
      <c r="H1" s="913"/>
      <c r="I1" s="424"/>
      <c r="J1" s="424"/>
      <c r="BU1" s="916"/>
      <c r="CA1" s="916"/>
    </row>
    <row r="2" spans="1:138" x14ac:dyDescent="0.3">
      <c r="BU2" s="733">
        <f>100%-CA2</f>
        <v>0.75</v>
      </c>
      <c r="CA2" s="733">
        <f>'первичка 1'!BH395</f>
        <v>0.25</v>
      </c>
      <c r="CV2" s="443"/>
      <c r="CW2" s="444" t="s">
        <v>1128</v>
      </c>
      <c r="CX2" s="424">
        <f>'зведена таблиця'!C52</f>
        <v>74577885.01000005</v>
      </c>
      <c r="DA2" s="280" t="s">
        <v>1690</v>
      </c>
    </row>
    <row r="3" spans="1:138" ht="24" x14ac:dyDescent="0.3">
      <c r="A3" s="6" t="s">
        <v>1083</v>
      </c>
      <c r="G3" s="1091">
        <f>місяць!A2</f>
        <v>2023</v>
      </c>
      <c r="H3" s="158"/>
      <c r="AS3" s="914" t="s">
        <v>1795</v>
      </c>
      <c r="BU3" s="440" t="s">
        <v>1126</v>
      </c>
      <c r="CV3" s="443"/>
      <c r="CW3" s="424"/>
      <c r="CX3" s="424">
        <f>CU368</f>
        <v>72869904.16498518</v>
      </c>
      <c r="CY3" s="8">
        <f>CX2-CX3</f>
        <v>1707980.8450148702</v>
      </c>
      <c r="DA3" s="280" t="s">
        <v>1689</v>
      </c>
      <c r="DB3" s="122"/>
      <c r="DF3" s="122"/>
      <c r="DG3" s="786"/>
      <c r="DH3" s="522" t="s">
        <v>1567</v>
      </c>
      <c r="DJ3" s="54"/>
      <c r="DY3" s="428" t="s">
        <v>1118</v>
      </c>
    </row>
    <row r="4" spans="1:138" x14ac:dyDescent="0.3">
      <c r="CV4" s="445"/>
      <c r="CW4" s="424"/>
      <c r="CX4" s="446">
        <f>CX2/CX3-1</f>
        <v>2.3438768920950093E-2</v>
      </c>
      <c r="DG4" s="786"/>
      <c r="DH4" s="522" t="s">
        <v>1694</v>
      </c>
      <c r="DJ4" s="54"/>
      <c r="DK4" s="312" t="s">
        <v>1167</v>
      </c>
    </row>
    <row r="5" spans="1:138" ht="18.600000000000001" thickBot="1" x14ac:dyDescent="0.35">
      <c r="C5" s="1">
        <v>1</v>
      </c>
      <c r="D5" s="331">
        <f>C5+1</f>
        <v>2</v>
      </c>
      <c r="E5" s="698">
        <f t="shared" ref="E5:BP5" si="0">D5+1</f>
        <v>3</v>
      </c>
      <c r="F5" s="331">
        <f t="shared" si="0"/>
        <v>4</v>
      </c>
      <c r="G5" s="331">
        <f t="shared" si="0"/>
        <v>5</v>
      </c>
      <c r="H5" s="331">
        <f t="shared" si="0"/>
        <v>6</v>
      </c>
      <c r="I5" s="331">
        <f t="shared" si="0"/>
        <v>7</v>
      </c>
      <c r="J5" s="331">
        <f t="shared" si="0"/>
        <v>8</v>
      </c>
      <c r="K5" s="331">
        <f t="shared" si="0"/>
        <v>9</v>
      </c>
      <c r="L5" s="331">
        <f t="shared" si="0"/>
        <v>10</v>
      </c>
      <c r="M5" s="331">
        <f t="shared" si="0"/>
        <v>11</v>
      </c>
      <c r="N5" s="331">
        <f t="shared" si="0"/>
        <v>12</v>
      </c>
      <c r="O5" s="331">
        <f t="shared" si="0"/>
        <v>13</v>
      </c>
      <c r="P5" s="331">
        <f t="shared" si="0"/>
        <v>14</v>
      </c>
      <c r="Q5" s="331">
        <f t="shared" si="0"/>
        <v>15</v>
      </c>
      <c r="R5" s="331">
        <f t="shared" si="0"/>
        <v>16</v>
      </c>
      <c r="S5" s="331">
        <f t="shared" si="0"/>
        <v>17</v>
      </c>
      <c r="T5" s="331">
        <f t="shared" si="0"/>
        <v>18</v>
      </c>
      <c r="U5" s="331">
        <f t="shared" si="0"/>
        <v>19</v>
      </c>
      <c r="V5" s="331">
        <f t="shared" si="0"/>
        <v>20</v>
      </c>
      <c r="W5" s="331">
        <f t="shared" si="0"/>
        <v>21</v>
      </c>
      <c r="X5" s="331">
        <f t="shared" si="0"/>
        <v>22</v>
      </c>
      <c r="Y5" s="331">
        <f t="shared" si="0"/>
        <v>23</v>
      </c>
      <c r="Z5" s="331">
        <f t="shared" si="0"/>
        <v>24</v>
      </c>
      <c r="AA5" s="331">
        <f t="shared" si="0"/>
        <v>25</v>
      </c>
      <c r="AB5" s="331">
        <f t="shared" si="0"/>
        <v>26</v>
      </c>
      <c r="AC5" s="331">
        <f t="shared" si="0"/>
        <v>27</v>
      </c>
      <c r="AD5" s="331">
        <f t="shared" si="0"/>
        <v>28</v>
      </c>
      <c r="AE5" s="331">
        <f t="shared" si="0"/>
        <v>29</v>
      </c>
      <c r="AF5" s="331">
        <f t="shared" si="0"/>
        <v>30</v>
      </c>
      <c r="AG5" s="331">
        <f t="shared" si="0"/>
        <v>31</v>
      </c>
      <c r="AH5" s="331">
        <f t="shared" si="0"/>
        <v>32</v>
      </c>
      <c r="AI5" s="331">
        <f t="shared" si="0"/>
        <v>33</v>
      </c>
      <c r="AJ5" s="331">
        <f t="shared" si="0"/>
        <v>34</v>
      </c>
      <c r="AK5" s="331">
        <f t="shared" si="0"/>
        <v>35</v>
      </c>
      <c r="AL5" s="331">
        <f t="shared" si="0"/>
        <v>36</v>
      </c>
      <c r="AM5" s="331">
        <f t="shared" si="0"/>
        <v>37</v>
      </c>
      <c r="AN5" s="331">
        <f t="shared" si="0"/>
        <v>38</v>
      </c>
      <c r="AO5" s="331">
        <f t="shared" si="0"/>
        <v>39</v>
      </c>
      <c r="AP5" s="331">
        <f t="shared" si="0"/>
        <v>40</v>
      </c>
      <c r="AQ5" s="331">
        <f t="shared" si="0"/>
        <v>41</v>
      </c>
      <c r="AR5" s="331">
        <f t="shared" si="0"/>
        <v>42</v>
      </c>
      <c r="AS5" s="331">
        <f t="shared" si="0"/>
        <v>43</v>
      </c>
      <c r="AT5" s="331">
        <f t="shared" si="0"/>
        <v>44</v>
      </c>
      <c r="AU5" s="331">
        <f t="shared" si="0"/>
        <v>45</v>
      </c>
      <c r="AV5" s="331">
        <f t="shared" si="0"/>
        <v>46</v>
      </c>
      <c r="AW5" s="331">
        <f t="shared" si="0"/>
        <v>47</v>
      </c>
      <c r="AX5" s="331">
        <f t="shared" si="0"/>
        <v>48</v>
      </c>
      <c r="AY5" s="331">
        <f t="shared" si="0"/>
        <v>49</v>
      </c>
      <c r="AZ5" s="331">
        <f t="shared" si="0"/>
        <v>50</v>
      </c>
      <c r="BA5" s="331">
        <f t="shared" si="0"/>
        <v>51</v>
      </c>
      <c r="BB5" s="331">
        <f t="shared" si="0"/>
        <v>52</v>
      </c>
      <c r="BC5" s="331">
        <f t="shared" si="0"/>
        <v>53</v>
      </c>
      <c r="BD5" s="331">
        <f t="shared" si="0"/>
        <v>54</v>
      </c>
      <c r="BE5" s="331">
        <f t="shared" si="0"/>
        <v>55</v>
      </c>
      <c r="BF5" s="331">
        <f t="shared" si="0"/>
        <v>56</v>
      </c>
      <c r="BG5" s="331">
        <f t="shared" si="0"/>
        <v>57</v>
      </c>
      <c r="BH5" s="331">
        <f t="shared" si="0"/>
        <v>58</v>
      </c>
      <c r="BI5" s="331">
        <f t="shared" si="0"/>
        <v>59</v>
      </c>
      <c r="BJ5" s="331">
        <f t="shared" si="0"/>
        <v>60</v>
      </c>
      <c r="BK5" s="331">
        <f t="shared" si="0"/>
        <v>61</v>
      </c>
      <c r="BL5" s="331">
        <f t="shared" si="0"/>
        <v>62</v>
      </c>
      <c r="BM5" s="331">
        <f t="shared" si="0"/>
        <v>63</v>
      </c>
      <c r="BN5" s="331">
        <f t="shared" si="0"/>
        <v>64</v>
      </c>
      <c r="BO5" s="331">
        <f t="shared" si="0"/>
        <v>65</v>
      </c>
      <c r="BP5" s="331">
        <f t="shared" si="0"/>
        <v>66</v>
      </c>
      <c r="BQ5" s="331">
        <f t="shared" ref="BQ5:DG5" si="1">BP5+1</f>
        <v>67</v>
      </c>
      <c r="BR5" s="331">
        <f t="shared" si="1"/>
        <v>68</v>
      </c>
      <c r="BS5" s="331">
        <f t="shared" si="1"/>
        <v>69</v>
      </c>
      <c r="BT5" s="331">
        <f t="shared" si="1"/>
        <v>70</v>
      </c>
      <c r="BU5" s="331">
        <f t="shared" si="1"/>
        <v>71</v>
      </c>
      <c r="BV5" s="331">
        <f t="shared" si="1"/>
        <v>72</v>
      </c>
      <c r="BW5" s="331">
        <f t="shared" si="1"/>
        <v>73</v>
      </c>
      <c r="BX5" s="331">
        <f t="shared" si="1"/>
        <v>74</v>
      </c>
      <c r="BY5" s="331">
        <f t="shared" si="1"/>
        <v>75</v>
      </c>
      <c r="BZ5" s="331">
        <f t="shared" si="1"/>
        <v>76</v>
      </c>
      <c r="CA5" s="331">
        <f t="shared" si="1"/>
        <v>77</v>
      </c>
      <c r="CB5" s="331">
        <f t="shared" si="1"/>
        <v>78</v>
      </c>
      <c r="CC5" s="331">
        <f t="shared" si="1"/>
        <v>79</v>
      </c>
      <c r="CD5" s="331">
        <f t="shared" si="1"/>
        <v>80</v>
      </c>
      <c r="CE5" s="331">
        <f t="shared" si="1"/>
        <v>81</v>
      </c>
      <c r="CF5" s="331">
        <f t="shared" si="1"/>
        <v>82</v>
      </c>
      <c r="CG5" s="331">
        <f t="shared" si="1"/>
        <v>83</v>
      </c>
      <c r="CH5" s="331">
        <f t="shared" si="1"/>
        <v>84</v>
      </c>
      <c r="CI5" s="331">
        <f t="shared" si="1"/>
        <v>85</v>
      </c>
      <c r="CJ5" s="331">
        <f t="shared" si="1"/>
        <v>86</v>
      </c>
      <c r="CK5" s="331">
        <f t="shared" si="1"/>
        <v>87</v>
      </c>
      <c r="CL5" s="331">
        <f t="shared" si="1"/>
        <v>88</v>
      </c>
      <c r="CM5" s="331">
        <f t="shared" si="1"/>
        <v>89</v>
      </c>
      <c r="CN5" s="331">
        <f t="shared" si="1"/>
        <v>90</v>
      </c>
      <c r="CO5" s="331">
        <f t="shared" si="1"/>
        <v>91</v>
      </c>
      <c r="CP5" s="331">
        <f t="shared" si="1"/>
        <v>92</v>
      </c>
      <c r="CQ5" s="331">
        <f t="shared" si="1"/>
        <v>93</v>
      </c>
      <c r="CR5" s="331">
        <f t="shared" si="1"/>
        <v>94</v>
      </c>
      <c r="CS5" s="331">
        <f t="shared" si="1"/>
        <v>95</v>
      </c>
      <c r="CT5" s="331">
        <f t="shared" si="1"/>
        <v>96</v>
      </c>
      <c r="CU5" s="331">
        <f t="shared" si="1"/>
        <v>97</v>
      </c>
      <c r="CV5" s="331">
        <f t="shared" si="1"/>
        <v>98</v>
      </c>
      <c r="CW5" s="331">
        <f t="shared" si="1"/>
        <v>99</v>
      </c>
      <c r="CX5" s="331">
        <f t="shared" si="1"/>
        <v>100</v>
      </c>
      <c r="CY5" s="331">
        <f t="shared" si="1"/>
        <v>101</v>
      </c>
      <c r="CZ5" s="331">
        <f t="shared" si="1"/>
        <v>102</v>
      </c>
      <c r="DA5" s="331">
        <f t="shared" si="1"/>
        <v>103</v>
      </c>
      <c r="DB5" s="331">
        <f t="shared" si="1"/>
        <v>104</v>
      </c>
      <c r="DC5" s="331">
        <f t="shared" si="1"/>
        <v>105</v>
      </c>
      <c r="DD5" s="331">
        <f t="shared" si="1"/>
        <v>106</v>
      </c>
      <c r="DE5" s="331">
        <f t="shared" si="1"/>
        <v>107</v>
      </c>
      <c r="DF5" s="331">
        <f t="shared" si="1"/>
        <v>108</v>
      </c>
      <c r="DG5" s="755">
        <f t="shared" si="1"/>
        <v>109</v>
      </c>
      <c r="DH5" s="331">
        <f t="shared" ref="DH5:EC5" si="2">DG5+1</f>
        <v>110</v>
      </c>
      <c r="DI5" s="781">
        <f t="shared" si="2"/>
        <v>111</v>
      </c>
      <c r="DJ5" s="331">
        <f t="shared" si="2"/>
        <v>112</v>
      </c>
      <c r="DK5" s="331">
        <f t="shared" si="2"/>
        <v>113</v>
      </c>
      <c r="DL5" s="331">
        <f t="shared" si="2"/>
        <v>114</v>
      </c>
      <c r="DM5" s="331">
        <f t="shared" si="2"/>
        <v>115</v>
      </c>
      <c r="DN5" s="331">
        <f t="shared" si="2"/>
        <v>116</v>
      </c>
      <c r="DO5" s="331">
        <f t="shared" si="2"/>
        <v>117</v>
      </c>
      <c r="DP5" s="331">
        <f t="shared" si="2"/>
        <v>118</v>
      </c>
      <c r="DQ5" s="331">
        <f t="shared" si="2"/>
        <v>119</v>
      </c>
      <c r="DR5" s="331">
        <f t="shared" si="2"/>
        <v>120</v>
      </c>
      <c r="DS5" s="331">
        <f t="shared" si="2"/>
        <v>121</v>
      </c>
      <c r="DT5" s="331">
        <f t="shared" si="2"/>
        <v>122</v>
      </c>
      <c r="DU5" s="755">
        <f t="shared" si="2"/>
        <v>123</v>
      </c>
      <c r="DV5" s="331">
        <f t="shared" si="2"/>
        <v>124</v>
      </c>
      <c r="DW5" s="927">
        <f t="shared" si="2"/>
        <v>125</v>
      </c>
      <c r="DX5" s="331">
        <f t="shared" si="2"/>
        <v>126</v>
      </c>
      <c r="DY5" s="331">
        <f t="shared" si="2"/>
        <v>127</v>
      </c>
      <c r="DZ5" s="331">
        <f t="shared" si="2"/>
        <v>128</v>
      </c>
      <c r="EA5" s="781">
        <f t="shared" si="2"/>
        <v>129</v>
      </c>
      <c r="EB5" s="331">
        <f t="shared" si="2"/>
        <v>130</v>
      </c>
      <c r="EC5" s="331">
        <f t="shared" si="2"/>
        <v>131</v>
      </c>
      <c r="ED5" s="331">
        <f>EC5+1</f>
        <v>132</v>
      </c>
      <c r="EE5" s="331">
        <f>ED5+1</f>
        <v>133</v>
      </c>
      <c r="EF5" s="331">
        <f>EE5+1</f>
        <v>134</v>
      </c>
      <c r="EG5" s="331">
        <f>EF5+1</f>
        <v>135</v>
      </c>
      <c r="EH5" s="331">
        <f>EG5+1</f>
        <v>136</v>
      </c>
    </row>
    <row r="6" spans="1:138" s="303" customFormat="1" ht="35.25" customHeight="1" thickBot="1" x14ac:dyDescent="0.35">
      <c r="A6" s="1203" t="s">
        <v>1103</v>
      </c>
      <c r="B6" s="1212" t="s">
        <v>821</v>
      </c>
      <c r="C6" s="1212" t="s">
        <v>1739</v>
      </c>
      <c r="D6" s="1215" t="s">
        <v>1740</v>
      </c>
      <c r="E6" s="1183" t="s">
        <v>430</v>
      </c>
      <c r="F6" s="1218" t="s">
        <v>3</v>
      </c>
      <c r="G6" s="1221" t="s">
        <v>4</v>
      </c>
      <c r="H6" s="1224" t="s">
        <v>5</v>
      </c>
      <c r="I6" s="1189" t="s">
        <v>443</v>
      </c>
      <c r="J6" s="1190"/>
      <c r="K6" s="1190"/>
      <c r="L6" s="1190"/>
      <c r="M6" s="1190"/>
      <c r="N6" s="1190"/>
      <c r="O6" s="1190"/>
      <c r="P6" s="1190"/>
      <c r="Q6" s="1190"/>
      <c r="R6" s="1190"/>
      <c r="S6" s="1190"/>
      <c r="T6" s="1190"/>
      <c r="U6" s="1190"/>
      <c r="V6" s="1190"/>
      <c r="W6" s="1190"/>
      <c r="X6" s="1190"/>
      <c r="Y6" s="1190"/>
      <c r="Z6" s="1190"/>
      <c r="AA6" s="1190"/>
      <c r="AB6" s="1190"/>
      <c r="AC6" s="1190"/>
      <c r="AD6" s="1190"/>
      <c r="AE6" s="1190"/>
      <c r="AF6" s="1190"/>
      <c r="AG6" s="1190"/>
      <c r="AH6" s="1190"/>
      <c r="AI6" s="1191"/>
      <c r="AJ6" s="1141" t="s">
        <v>7</v>
      </c>
      <c r="AK6" s="1142"/>
      <c r="AL6" s="1143"/>
      <c r="AM6" s="1147" t="s">
        <v>8</v>
      </c>
      <c r="AN6" s="1142"/>
      <c r="AO6" s="1142"/>
      <c r="AP6" s="1150" t="s">
        <v>9</v>
      </c>
      <c r="AQ6" s="1142"/>
      <c r="AR6" s="1142"/>
      <c r="AS6" s="1159" t="s">
        <v>11</v>
      </c>
      <c r="AT6" s="1207"/>
      <c r="AU6" s="1208"/>
      <c r="AV6" s="1165" t="s">
        <v>451</v>
      </c>
      <c r="AW6" s="1165"/>
      <c r="AX6" s="1165"/>
      <c r="AY6" s="1165"/>
      <c r="AZ6" s="1165"/>
      <c r="BA6" s="1165"/>
      <c r="BB6" s="1165"/>
      <c r="BC6" s="1165"/>
      <c r="BD6" s="1165"/>
      <c r="BE6" s="1165"/>
      <c r="BF6" s="1165"/>
      <c r="BG6" s="1165"/>
      <c r="BH6" s="1165"/>
      <c r="BI6" s="1165"/>
      <c r="BJ6" s="1165"/>
      <c r="BK6" s="1165"/>
      <c r="BL6" s="1165"/>
      <c r="BM6" s="1165"/>
      <c r="BN6" s="1165"/>
      <c r="BO6" s="1165"/>
      <c r="BP6" s="1165"/>
      <c r="BQ6" s="1166"/>
      <c r="BR6" s="1166"/>
      <c r="BS6" s="1167"/>
      <c r="BT6" s="1150" t="s">
        <v>14</v>
      </c>
      <c r="BU6" s="1151"/>
      <c r="BV6" s="1152"/>
      <c r="BW6" s="1150" t="s">
        <v>15</v>
      </c>
      <c r="BX6" s="1151"/>
      <c r="BY6" s="1152"/>
      <c r="BZ6" s="1175" t="s">
        <v>16</v>
      </c>
      <c r="CA6" s="1176"/>
      <c r="CB6" s="1176"/>
      <c r="CC6" s="1150" t="s">
        <v>17</v>
      </c>
      <c r="CD6" s="1151"/>
      <c r="CE6" s="1152"/>
      <c r="CF6" s="1147" t="s">
        <v>18</v>
      </c>
      <c r="CG6" s="1151"/>
      <c r="CH6" s="1151"/>
      <c r="CI6" s="1156" t="s">
        <v>19</v>
      </c>
      <c r="CJ6" s="1157"/>
      <c r="CK6" s="1157"/>
      <c r="CL6" s="1157"/>
      <c r="CM6" s="1157"/>
      <c r="CN6" s="1157"/>
      <c r="CO6" s="1157"/>
      <c r="CP6" s="1157"/>
      <c r="CQ6" s="1158"/>
      <c r="CR6" s="1150" t="s">
        <v>21</v>
      </c>
      <c r="CS6" s="1192"/>
      <c r="CT6" s="1193"/>
      <c r="CU6" s="1197" t="s">
        <v>1010</v>
      </c>
      <c r="CV6" s="1198"/>
      <c r="CW6" s="1199"/>
      <c r="CX6" s="1159" t="s">
        <v>1011</v>
      </c>
      <c r="CY6" s="1235"/>
      <c r="CZ6" s="1236"/>
      <c r="DA6" s="1240" t="s">
        <v>1812</v>
      </c>
      <c r="DB6" s="2"/>
      <c r="DC6" s="1245" t="s">
        <v>1813</v>
      </c>
      <c r="DD6" s="1246"/>
      <c r="DE6" s="1247" t="s">
        <v>1680</v>
      </c>
      <c r="DF6" s="1251" t="s">
        <v>1681</v>
      </c>
      <c r="DG6" s="1232" t="s">
        <v>1709</v>
      </c>
      <c r="DH6" s="1248" t="s">
        <v>1697</v>
      </c>
      <c r="DI6" s="782" t="s">
        <v>1703</v>
      </c>
      <c r="DJ6" s="468"/>
      <c r="DK6" s="1230" t="s">
        <v>1090</v>
      </c>
      <c r="DL6" s="1230" t="s">
        <v>1091</v>
      </c>
      <c r="DM6" s="1230" t="s">
        <v>1092</v>
      </c>
      <c r="DN6" s="1255" t="s">
        <v>1695</v>
      </c>
      <c r="DO6" s="1256"/>
      <c r="DP6" s="1256"/>
      <c r="DR6" s="321"/>
      <c r="DS6" s="765" t="s">
        <v>1696</v>
      </c>
      <c r="DT6" s="321"/>
      <c r="DU6" s="756"/>
      <c r="DV6" s="321"/>
      <c r="DW6" s="928"/>
      <c r="DY6" s="1253" t="s">
        <v>1119</v>
      </c>
      <c r="DZ6" s="1254"/>
      <c r="EA6" s="795" t="s">
        <v>1711</v>
      </c>
      <c r="EC6" s="590"/>
      <c r="EE6" s="1227" t="s">
        <v>1715</v>
      </c>
      <c r="EH6" s="1227" t="s">
        <v>1725</v>
      </c>
    </row>
    <row r="7" spans="1:138" s="303" customFormat="1" ht="38.700000000000003" customHeight="1" thickBot="1" x14ac:dyDescent="0.35">
      <c r="A7" s="1204"/>
      <c r="B7" s="1213"/>
      <c r="C7" s="1213"/>
      <c r="D7" s="1216"/>
      <c r="E7" s="1184"/>
      <c r="F7" s="1219"/>
      <c r="G7" s="1222"/>
      <c r="H7" s="1225"/>
      <c r="I7" s="1186" t="s">
        <v>431</v>
      </c>
      <c r="J7" s="1187"/>
      <c r="K7" s="1187"/>
      <c r="L7" s="1186" t="s">
        <v>432</v>
      </c>
      <c r="M7" s="1187"/>
      <c r="N7" s="1188"/>
      <c r="O7" s="1206" t="s">
        <v>433</v>
      </c>
      <c r="P7" s="1187"/>
      <c r="Q7" s="1187"/>
      <c r="R7" s="1186" t="s">
        <v>434</v>
      </c>
      <c r="S7" s="1187"/>
      <c r="T7" s="1188"/>
      <c r="U7" s="1206" t="s">
        <v>435</v>
      </c>
      <c r="V7" s="1187"/>
      <c r="W7" s="1187"/>
      <c r="X7" s="1186" t="s">
        <v>436</v>
      </c>
      <c r="Y7" s="1187"/>
      <c r="Z7" s="1188"/>
      <c r="AA7" s="1206" t="s">
        <v>437</v>
      </c>
      <c r="AB7" s="1187"/>
      <c r="AC7" s="1187"/>
      <c r="AD7" s="1186" t="s">
        <v>438</v>
      </c>
      <c r="AE7" s="1187"/>
      <c r="AF7" s="1187"/>
      <c r="AG7" s="1186" t="s">
        <v>442</v>
      </c>
      <c r="AH7" s="1187"/>
      <c r="AI7" s="1188"/>
      <c r="AJ7" s="1144"/>
      <c r="AK7" s="1145"/>
      <c r="AL7" s="1146"/>
      <c r="AM7" s="1145"/>
      <c r="AN7" s="1145"/>
      <c r="AO7" s="1145"/>
      <c r="AP7" s="1179"/>
      <c r="AQ7" s="1145"/>
      <c r="AR7" s="1145"/>
      <c r="AS7" s="1209"/>
      <c r="AT7" s="1210"/>
      <c r="AU7" s="1211"/>
      <c r="AV7" s="1159" t="s">
        <v>444</v>
      </c>
      <c r="AW7" s="1170"/>
      <c r="AX7" s="1171"/>
      <c r="AY7" s="1168" t="s">
        <v>445</v>
      </c>
      <c r="AZ7" s="1169"/>
      <c r="BA7" s="1169"/>
      <c r="BB7" s="1159" t="s">
        <v>446</v>
      </c>
      <c r="BC7" s="1170"/>
      <c r="BD7" s="1171"/>
      <c r="BE7" s="1168" t="s">
        <v>447</v>
      </c>
      <c r="BF7" s="1169"/>
      <c r="BG7" s="1169"/>
      <c r="BH7" s="1159" t="s">
        <v>448</v>
      </c>
      <c r="BI7" s="1170"/>
      <c r="BJ7" s="1171"/>
      <c r="BK7" s="1168" t="s">
        <v>449</v>
      </c>
      <c r="BL7" s="1169"/>
      <c r="BM7" s="1169"/>
      <c r="BN7" s="1159" t="s">
        <v>450</v>
      </c>
      <c r="BO7" s="1170"/>
      <c r="BP7" s="1171"/>
      <c r="BQ7" s="1162" t="s">
        <v>452</v>
      </c>
      <c r="BR7" s="1163"/>
      <c r="BS7" s="1164"/>
      <c r="BT7" s="1180"/>
      <c r="BU7" s="1181"/>
      <c r="BV7" s="1182"/>
      <c r="BW7" s="1172"/>
      <c r="BX7" s="1173"/>
      <c r="BY7" s="1174"/>
      <c r="BZ7" s="1177"/>
      <c r="CA7" s="1178"/>
      <c r="CB7" s="1178"/>
      <c r="CC7" s="1153"/>
      <c r="CD7" s="1154"/>
      <c r="CE7" s="1155"/>
      <c r="CF7" s="1154"/>
      <c r="CG7" s="1154"/>
      <c r="CH7" s="1154"/>
      <c r="CI7" s="1148" t="s">
        <v>31</v>
      </c>
      <c r="CJ7" s="1149"/>
      <c r="CK7" s="1149"/>
      <c r="CL7" s="1159" t="s">
        <v>32</v>
      </c>
      <c r="CM7" s="1160"/>
      <c r="CN7" s="1161"/>
      <c r="CO7" s="1159" t="s">
        <v>453</v>
      </c>
      <c r="CP7" s="1160"/>
      <c r="CQ7" s="1161"/>
      <c r="CR7" s="1194"/>
      <c r="CS7" s="1195"/>
      <c r="CT7" s="1196"/>
      <c r="CU7" s="1200"/>
      <c r="CV7" s="1201"/>
      <c r="CW7" s="1202"/>
      <c r="CX7" s="1237"/>
      <c r="CY7" s="1238"/>
      <c r="CZ7" s="1239"/>
      <c r="DA7" s="1241"/>
      <c r="DB7" s="2"/>
      <c r="DC7" s="1243" t="s">
        <v>1100</v>
      </c>
      <c r="DD7" s="1244"/>
      <c r="DE7" s="1244"/>
      <c r="DF7" s="1252"/>
      <c r="DG7" s="1233"/>
      <c r="DH7" s="1249"/>
      <c r="DI7" s="783" t="s">
        <v>1704</v>
      </c>
      <c r="DJ7" s="467"/>
      <c r="DK7" s="1231"/>
      <c r="DL7" s="1231"/>
      <c r="DM7" s="1231"/>
      <c r="DN7" s="749"/>
      <c r="DO7" s="749" t="s">
        <v>1693</v>
      </c>
      <c r="DP7" s="656"/>
      <c r="DR7" s="321"/>
      <c r="DS7" s="747"/>
      <c r="DT7" s="321"/>
      <c r="DU7" s="756"/>
      <c r="DV7" s="321"/>
      <c r="DW7" s="928"/>
      <c r="DY7" s="425" t="s">
        <v>1013</v>
      </c>
      <c r="DZ7" s="425" t="s">
        <v>440</v>
      </c>
      <c r="EA7" s="795"/>
      <c r="EC7" s="590"/>
      <c r="EE7" s="1228"/>
      <c r="EH7" s="1228"/>
    </row>
    <row r="8" spans="1:138" s="89" customFormat="1" ht="72" customHeight="1" thickBot="1" x14ac:dyDescent="0.35">
      <c r="A8" s="1205"/>
      <c r="B8" s="1214"/>
      <c r="C8" s="1214"/>
      <c r="D8" s="1217"/>
      <c r="E8" s="1185"/>
      <c r="F8" s="1220"/>
      <c r="G8" s="1223"/>
      <c r="H8" s="1226"/>
      <c r="I8" s="83" t="s">
        <v>439</v>
      </c>
      <c r="J8" s="84" t="s">
        <v>440</v>
      </c>
      <c r="K8" s="85" t="s">
        <v>441</v>
      </c>
      <c r="L8" s="94" t="s">
        <v>439</v>
      </c>
      <c r="M8" s="95" t="s">
        <v>440</v>
      </c>
      <c r="N8" s="96" t="s">
        <v>441</v>
      </c>
      <c r="O8" s="97" t="s">
        <v>439</v>
      </c>
      <c r="P8" s="95" t="s">
        <v>440</v>
      </c>
      <c r="Q8" s="98" t="s">
        <v>441</v>
      </c>
      <c r="R8" s="94" t="s">
        <v>439</v>
      </c>
      <c r="S8" s="95" t="s">
        <v>440</v>
      </c>
      <c r="T8" s="96" t="s">
        <v>441</v>
      </c>
      <c r="U8" s="97" t="s">
        <v>439</v>
      </c>
      <c r="V8" s="95" t="s">
        <v>440</v>
      </c>
      <c r="W8" s="98" t="s">
        <v>441</v>
      </c>
      <c r="X8" s="94" t="s">
        <v>439</v>
      </c>
      <c r="Y8" s="95" t="s">
        <v>440</v>
      </c>
      <c r="Z8" s="96" t="s">
        <v>441</v>
      </c>
      <c r="AA8" s="97" t="s">
        <v>439</v>
      </c>
      <c r="AB8" s="95" t="s">
        <v>440</v>
      </c>
      <c r="AC8" s="98" t="s">
        <v>441</v>
      </c>
      <c r="AD8" s="94" t="s">
        <v>439</v>
      </c>
      <c r="AE8" s="95" t="s">
        <v>440</v>
      </c>
      <c r="AF8" s="98" t="s">
        <v>441</v>
      </c>
      <c r="AG8" s="99" t="s">
        <v>439</v>
      </c>
      <c r="AH8" s="95" t="s">
        <v>440</v>
      </c>
      <c r="AI8" s="96" t="s">
        <v>441</v>
      </c>
      <c r="AJ8" s="304" t="s">
        <v>439</v>
      </c>
      <c r="AK8" s="92" t="s">
        <v>440</v>
      </c>
      <c r="AL8" s="93" t="s">
        <v>441</v>
      </c>
      <c r="AM8" s="304" t="s">
        <v>439</v>
      </c>
      <c r="AN8" s="92" t="s">
        <v>440</v>
      </c>
      <c r="AO8" s="100" t="s">
        <v>441</v>
      </c>
      <c r="AP8" s="101" t="s">
        <v>439</v>
      </c>
      <c r="AQ8" s="92" t="s">
        <v>440</v>
      </c>
      <c r="AR8" s="100" t="s">
        <v>441</v>
      </c>
      <c r="AS8" s="101" t="s">
        <v>439</v>
      </c>
      <c r="AT8" s="92" t="s">
        <v>440</v>
      </c>
      <c r="AU8" s="93" t="s">
        <v>441</v>
      </c>
      <c r="AV8" s="101" t="s">
        <v>439</v>
      </c>
      <c r="AW8" s="92" t="s">
        <v>440</v>
      </c>
      <c r="AX8" s="93" t="s">
        <v>441</v>
      </c>
      <c r="AY8" s="304" t="s">
        <v>439</v>
      </c>
      <c r="AZ8" s="92" t="s">
        <v>440</v>
      </c>
      <c r="BA8" s="100" t="s">
        <v>441</v>
      </c>
      <c r="BB8" s="101" t="s">
        <v>439</v>
      </c>
      <c r="BC8" s="92" t="s">
        <v>440</v>
      </c>
      <c r="BD8" s="93" t="s">
        <v>441</v>
      </c>
      <c r="BE8" s="304" t="s">
        <v>439</v>
      </c>
      <c r="BF8" s="92" t="s">
        <v>440</v>
      </c>
      <c r="BG8" s="100" t="s">
        <v>441</v>
      </c>
      <c r="BH8" s="101" t="s">
        <v>439</v>
      </c>
      <c r="BI8" s="92" t="s">
        <v>440</v>
      </c>
      <c r="BJ8" s="93" t="s">
        <v>441</v>
      </c>
      <c r="BK8" s="304" t="s">
        <v>439</v>
      </c>
      <c r="BL8" s="92" t="s">
        <v>440</v>
      </c>
      <c r="BM8" s="100" t="s">
        <v>441</v>
      </c>
      <c r="BN8" s="101" t="s">
        <v>439</v>
      </c>
      <c r="BO8" s="92" t="s">
        <v>440</v>
      </c>
      <c r="BP8" s="93" t="s">
        <v>441</v>
      </c>
      <c r="BQ8" s="91" t="s">
        <v>439</v>
      </c>
      <c r="BR8" s="92" t="s">
        <v>440</v>
      </c>
      <c r="BS8" s="93" t="s">
        <v>441</v>
      </c>
      <c r="BT8" s="101" t="s">
        <v>439</v>
      </c>
      <c r="BU8" s="92" t="s">
        <v>440</v>
      </c>
      <c r="BV8" s="93" t="s">
        <v>441</v>
      </c>
      <c r="BW8" s="91" t="s">
        <v>439</v>
      </c>
      <c r="BX8" s="92" t="s">
        <v>440</v>
      </c>
      <c r="BY8" s="93" t="s">
        <v>441</v>
      </c>
      <c r="BZ8" s="91" t="s">
        <v>439</v>
      </c>
      <c r="CA8" s="92" t="s">
        <v>440</v>
      </c>
      <c r="CB8" s="100" t="s">
        <v>441</v>
      </c>
      <c r="CC8" s="91" t="s">
        <v>439</v>
      </c>
      <c r="CD8" s="92" t="s">
        <v>440</v>
      </c>
      <c r="CE8" s="93" t="s">
        <v>441</v>
      </c>
      <c r="CF8" s="102" t="s">
        <v>439</v>
      </c>
      <c r="CG8" s="92" t="s">
        <v>440</v>
      </c>
      <c r="CH8" s="100" t="s">
        <v>441</v>
      </c>
      <c r="CI8" s="91" t="s">
        <v>439</v>
      </c>
      <c r="CJ8" s="92" t="s">
        <v>440</v>
      </c>
      <c r="CK8" s="100" t="s">
        <v>441</v>
      </c>
      <c r="CL8" s="91" t="s">
        <v>439</v>
      </c>
      <c r="CM8" s="92" t="s">
        <v>440</v>
      </c>
      <c r="CN8" s="93" t="s">
        <v>441</v>
      </c>
      <c r="CO8" s="91" t="s">
        <v>439</v>
      </c>
      <c r="CP8" s="92" t="s">
        <v>440</v>
      </c>
      <c r="CQ8" s="93" t="s">
        <v>441</v>
      </c>
      <c r="CR8" s="91" t="s">
        <v>439</v>
      </c>
      <c r="CS8" s="92" t="s">
        <v>440</v>
      </c>
      <c r="CT8" s="93" t="s">
        <v>441</v>
      </c>
      <c r="CU8" s="99" t="s">
        <v>1012</v>
      </c>
      <c r="CV8" s="157" t="s">
        <v>440</v>
      </c>
      <c r="CW8" s="98" t="s">
        <v>441</v>
      </c>
      <c r="CX8" s="71" t="s">
        <v>1013</v>
      </c>
      <c r="CY8" s="161" t="s">
        <v>440</v>
      </c>
      <c r="CZ8" s="162" t="s">
        <v>441</v>
      </c>
      <c r="DA8" s="1242"/>
      <c r="DB8" s="2"/>
      <c r="DC8" s="715" t="s">
        <v>1101</v>
      </c>
      <c r="DD8" s="716" t="s">
        <v>1102</v>
      </c>
      <c r="DE8" s="1244"/>
      <c r="DF8" s="1252"/>
      <c r="DG8" s="1234"/>
      <c r="DH8" s="1250"/>
      <c r="DI8" s="783"/>
      <c r="DJ8" s="467"/>
      <c r="DK8" s="1231"/>
      <c r="DL8" s="1231"/>
      <c r="DM8" s="1231"/>
      <c r="DN8" s="749" t="s">
        <v>1093</v>
      </c>
      <c r="DO8" s="749" t="s">
        <v>1094</v>
      </c>
      <c r="DP8" s="310" t="s">
        <v>1046</v>
      </c>
      <c r="DR8" s="310" t="s">
        <v>1565</v>
      </c>
      <c r="DS8" s="747" t="s">
        <v>1566</v>
      </c>
      <c r="DT8" s="310" t="s">
        <v>1046</v>
      </c>
      <c r="DU8" s="757"/>
      <c r="DV8" s="5"/>
      <c r="DW8" s="929" t="s">
        <v>1705</v>
      </c>
      <c r="DX8" s="89" t="s">
        <v>1671</v>
      </c>
      <c r="DY8" s="425"/>
      <c r="DZ8" s="425"/>
      <c r="EA8" s="796"/>
      <c r="EC8" s="591"/>
      <c r="EE8" s="1229"/>
      <c r="EH8" s="1229"/>
    </row>
    <row r="9" spans="1:138" ht="14.1" customHeight="1" x14ac:dyDescent="0.3">
      <c r="A9" s="328">
        <v>150001053</v>
      </c>
      <c r="B9" s="44" t="s">
        <v>457</v>
      </c>
      <c r="C9" s="86" t="s">
        <v>146</v>
      </c>
      <c r="D9" s="86" t="s">
        <v>146</v>
      </c>
      <c r="E9" s="40">
        <f t="shared" ref="E9:E72" si="3">F9+H9</f>
        <v>372.8</v>
      </c>
      <c r="F9" s="520">
        <v>372.8</v>
      </c>
      <c r="G9" s="521"/>
      <c r="H9" s="800">
        <v>0</v>
      </c>
      <c r="I9" s="42">
        <f>'[1]побудинковий звіт'!I9+'[2]побудинковий звіт'!I9-'[3]побудинковий звіт'!I9</f>
        <v>2107.1628709859037</v>
      </c>
      <c r="J9" s="42">
        <f>'[1]побудинковий звіт'!J9+'[2]побудинковий звіт'!J9-'[3]побудинковий звіт'!J9</f>
        <v>1895.7930209810597</v>
      </c>
      <c r="K9" s="76">
        <f>J9-I9</f>
        <v>-211.36985000484401</v>
      </c>
      <c r="L9" s="42">
        <f>'[1]побудинковий звіт'!L9+'[2]побудинковий звіт'!L9-'[3]побудинковий звіт'!L9</f>
        <v>342.65040412158851</v>
      </c>
      <c r="M9" s="42">
        <f>'[1]побудинковий звіт'!M9+'[2]побудинковий звіт'!M9-'[3]побудинковий звіт'!M9</f>
        <v>328.09480836344983</v>
      </c>
      <c r="N9" s="76">
        <f>M9-L9</f>
        <v>-14.555595758138679</v>
      </c>
      <c r="O9" s="42">
        <f>'[1]побудинковий звіт'!O9+'[2]побудинковий звіт'!O9-'[3]побудинковий звіт'!O9</f>
        <v>664.68</v>
      </c>
      <c r="P9" s="42">
        <f>'[1]побудинковий звіт'!P9+'[2]побудинковий звіт'!P9-'[3]побудинковий звіт'!P9</f>
        <v>664.68</v>
      </c>
      <c r="Q9" s="76">
        <f>P9-O9</f>
        <v>0</v>
      </c>
      <c r="R9" s="42">
        <f>'[1]побудинковий звіт'!R9+'[2]побудинковий звіт'!R9-'[3]побудинковий звіт'!R9</f>
        <v>0</v>
      </c>
      <c r="S9" s="42">
        <f>'[1]побудинковий звіт'!S9+'[2]побудинковий звіт'!S9-'[3]побудинковий звіт'!S9</f>
        <v>0</v>
      </c>
      <c r="T9" s="76">
        <f>S9-R9</f>
        <v>0</v>
      </c>
      <c r="U9" s="42">
        <f>'[1]побудинковий звіт'!U9+'[2]побудинковий звіт'!U9-'[3]побудинковий звіт'!U9</f>
        <v>0</v>
      </c>
      <c r="V9" s="42">
        <f>'[1]побудинковий звіт'!V9+'[2]побудинковий звіт'!V9-'[3]побудинковий звіт'!V9</f>
        <v>0</v>
      </c>
      <c r="W9" s="76">
        <f>V9-U9</f>
        <v>0</v>
      </c>
      <c r="X9" s="42">
        <f>'[1]побудинковий звіт'!X9+'[2]побудинковий звіт'!X9-'[3]побудинковий звіт'!X9</f>
        <v>445.68678773142949</v>
      </c>
      <c r="Y9" s="42">
        <f>'[1]побудинковий звіт'!Y9+'[2]побудинковий звіт'!Y9-'[3]побудинковий звіт'!Y9</f>
        <v>298.30188607758362</v>
      </c>
      <c r="Z9" s="76">
        <f>Y9-X9</f>
        <v>-147.38490165384587</v>
      </c>
      <c r="AA9" s="42">
        <f>'[1]побудинковий звіт'!AA9+'[2]побудинковий звіт'!AA9-'[3]побудинковий звіт'!AA9</f>
        <v>0</v>
      </c>
      <c r="AB9" s="42">
        <f>'[1]побудинковий звіт'!AB9+'[2]побудинковий звіт'!AB9-'[3]побудинковий звіт'!AB9</f>
        <v>0</v>
      </c>
      <c r="AC9" s="76">
        <f>AB9-AA9</f>
        <v>0</v>
      </c>
      <c r="AD9" s="42">
        <f>'[1]побудинковий звіт'!AD9+'[2]побудинковий звіт'!AD9-'[3]побудинковий звіт'!AD9</f>
        <v>1594.0299955784608</v>
      </c>
      <c r="AE9" s="42">
        <f>'[1]побудинковий звіт'!AE9+'[2]побудинковий звіт'!AE9-'[3]побудинковий звіт'!AE9</f>
        <v>1469.206829089165</v>
      </c>
      <c r="AF9" s="74">
        <f>AE9-AD9</f>
        <v>-124.82316648929577</v>
      </c>
      <c r="AG9" s="87">
        <f t="shared" ref="AG9:AH63" si="4">I9+L9+O9+R9+U9+X9+AA9+AD9</f>
        <v>5154.2100584173822</v>
      </c>
      <c r="AH9" s="57">
        <f t="shared" si="4"/>
        <v>4656.0765445112584</v>
      </c>
      <c r="AI9" s="76">
        <f>AH9-AG9</f>
        <v>-498.13351390612388</v>
      </c>
      <c r="AJ9" s="42">
        <f>'[1]побудинковий звіт'!AJ9+'[2]побудинковий звіт'!AJ9-'[3]побудинковий звіт'!AJ9</f>
        <v>0</v>
      </c>
      <c r="AK9" s="42">
        <f>'[1]побудинковий звіт'!AK9+'[2]побудинковий звіт'!AK9-'[3]побудинковий звіт'!AK9</f>
        <v>0</v>
      </c>
      <c r="AL9" s="76">
        <f>AK9-AJ9</f>
        <v>0</v>
      </c>
      <c r="AM9" s="42">
        <f>'[1]побудинковий звіт'!AM9+'[2]побудинковий звіт'!AM9-'[3]побудинковий звіт'!AM9</f>
        <v>0</v>
      </c>
      <c r="AN9" s="42">
        <f>'[1]побудинковий звіт'!AN9+'[2]побудинковий звіт'!AN9-'[3]побудинковий звіт'!AN9</f>
        <v>0</v>
      </c>
      <c r="AO9" s="76">
        <f>AN9-AM9</f>
        <v>0</v>
      </c>
      <c r="AP9" s="42">
        <f>'[1]побудинковий звіт'!AP9+'[2]побудинковий звіт'!AP9-'[3]побудинковий звіт'!AP9</f>
        <v>1515.2282286298394</v>
      </c>
      <c r="AQ9" s="42">
        <f>'[1]побудинковий звіт'!AQ9+'[2]побудинковий звіт'!AQ9-'[3]побудинковий звіт'!AQ9</f>
        <v>1132.3831949631285</v>
      </c>
      <c r="AR9" s="76">
        <f>AQ9-AP9</f>
        <v>-382.84503366671083</v>
      </c>
      <c r="AS9" s="42">
        <f>'[1]побудинковий звіт'!AS9+'[2]побудинковий звіт'!AS9-'[3]побудинковий звіт'!AS9</f>
        <v>6431.158197127098</v>
      </c>
      <c r="AT9" s="42">
        <f>'[1]побудинковий звіт'!AT9+'[2]побудинковий звіт'!AT9-'[3]побудинковий звіт'!AT9</f>
        <v>537</v>
      </c>
      <c r="AU9" s="88">
        <f>AT9-AS9</f>
        <v>-5894.158197127098</v>
      </c>
      <c r="AV9" s="42">
        <f>'[1]побудинковий звіт'!AV9+'[2]побудинковий звіт'!AV9-'[3]побудинковий звіт'!AV9</f>
        <v>393.88469205461456</v>
      </c>
      <c r="AW9" s="42">
        <f>'[1]побудинковий звіт'!AW9+'[2]побудинковий звіт'!AW9-'[3]побудинковий звіт'!AW9</f>
        <v>0</v>
      </c>
      <c r="AX9" s="59">
        <f>AW9-AV9</f>
        <v>-393.88469205461456</v>
      </c>
      <c r="AY9" s="42">
        <f>'[1]побудинковий звіт'!AY9+'[2]побудинковий звіт'!AY9-'[3]побудинковий звіт'!AY9</f>
        <v>441.90731036293744</v>
      </c>
      <c r="AZ9" s="42">
        <f>'[1]побудинковий звіт'!AZ9+'[2]побудинковий звіт'!AZ9-'[3]побудинковий звіт'!AZ9</f>
        <v>0</v>
      </c>
      <c r="BA9" s="39">
        <f>AZ9-AY9</f>
        <v>-441.90731036293744</v>
      </c>
      <c r="BB9" s="42">
        <f>'[1]побудинковий звіт'!BB9+'[2]побудинковий звіт'!BB9-'[3]побудинковий звіт'!BB9</f>
        <v>261.26962980340727</v>
      </c>
      <c r="BC9" s="42">
        <f>'[1]побудинковий звіт'!BC9+'[2]побудинковий звіт'!BC9-'[3]побудинковий звіт'!BC9</f>
        <v>0</v>
      </c>
      <c r="BD9" s="59">
        <f>BC9-BB9</f>
        <v>-261.26962980340727</v>
      </c>
      <c r="BE9" s="42">
        <f>'[1]побудинковий звіт'!BE9+'[2]побудинковий звіт'!BE9-'[3]побудинковий звіт'!BE9</f>
        <v>0</v>
      </c>
      <c r="BF9" s="42">
        <f>'[1]побудинковий звіт'!BF9+'[2]побудинковий звіт'!BF9-'[3]побудинковий звіт'!BF9</f>
        <v>0</v>
      </c>
      <c r="BG9" s="59">
        <f>BF9-BE9</f>
        <v>0</v>
      </c>
      <c r="BH9" s="42">
        <f>'[1]побудинковий звіт'!BH9+'[2]побудинковий звіт'!BH9-'[3]побудинковий звіт'!BH9</f>
        <v>0</v>
      </c>
      <c r="BI9" s="42">
        <f>'[1]побудинковий звіт'!BI9+'[2]побудинковий звіт'!BI9-'[3]побудинковий звіт'!BI9</f>
        <v>0</v>
      </c>
      <c r="BJ9" s="59">
        <f>BI9-BH9</f>
        <v>0</v>
      </c>
      <c r="BK9" s="42">
        <f>'[1]побудинковий звіт'!BK9+'[2]побудинковий звіт'!BK9-'[3]побудинковий звіт'!BK9</f>
        <v>158.07341495569472</v>
      </c>
      <c r="BL9" s="42">
        <f>'[1]побудинковий звіт'!BL9+'[2]побудинковий звіт'!BL9-'[3]побудинковий звіт'!BL9</f>
        <v>0</v>
      </c>
      <c r="BM9" s="59">
        <f>BL9-BK9</f>
        <v>-158.07341495569472</v>
      </c>
      <c r="BN9" s="42">
        <f>'[1]побудинковий звіт'!BN9+'[2]побудинковий звіт'!BN9-'[3]побудинковий звіт'!BN9</f>
        <v>0</v>
      </c>
      <c r="BO9" s="42">
        <f>'[1]побудинковий звіт'!BO9+'[2]побудинковий звіт'!BO9-'[3]побудинковий звіт'!BO9</f>
        <v>0</v>
      </c>
      <c r="BP9" s="59">
        <f>BO9-BN9</f>
        <v>0</v>
      </c>
      <c r="BQ9" s="87">
        <f t="shared" ref="BQ9:BQ32" si="5">AV9+AY9+BB9+BE9+BH9+BK9+BN9</f>
        <v>1255.1350471766541</v>
      </c>
      <c r="BR9" s="43">
        <f t="shared" ref="BR9:BR32" si="6">AW9+AZ9+BC9+BF9+BI9+BL9+BO9</f>
        <v>0</v>
      </c>
      <c r="BS9" s="59">
        <f>BR9-BQ9</f>
        <v>-1255.1350471766541</v>
      </c>
      <c r="BT9" s="42">
        <f>'[1]побудинковий звіт'!BT9+'[2]побудинковий звіт'!BT9-'[3]побудинковий звіт'!BT9</f>
        <v>4109.5989680430603</v>
      </c>
      <c r="BU9" s="42">
        <f>'[1]побудинковий звіт'!BU9+'[2]побудинковий звіт'!BU9-'[3]побудинковий звіт'!BU9</f>
        <v>9920.0574477162991</v>
      </c>
      <c r="BV9" s="76">
        <f>BU9-BT9</f>
        <v>5810.4584796732388</v>
      </c>
      <c r="BW9" s="42">
        <f>'[1]побудинковий звіт'!BW9+'[2]побудинковий звіт'!BW9-'[3]побудинковий звіт'!BW9</f>
        <v>2129.3268579952905</v>
      </c>
      <c r="BX9" s="42">
        <f>'[1]побудинковий звіт'!BX9+'[2]побудинковий звіт'!BX9-'[3]побудинковий звіт'!BX9</f>
        <v>3236.4477912955963</v>
      </c>
      <c r="BY9" s="76">
        <f>BX9-BW9</f>
        <v>1107.1209333003058</v>
      </c>
      <c r="BZ9" s="42">
        <f>'[1]побудинковий звіт'!BZ9+'[2]побудинковий звіт'!BZ9-'[3]побудинковий звіт'!BZ9</f>
        <v>657.11390557480672</v>
      </c>
      <c r="CA9" s="42">
        <f>'[1]побудинковий звіт'!CA9+'[2]побудинковий звіт'!CA9-'[3]побудинковий звіт'!CA9</f>
        <v>2334.6062573844492</v>
      </c>
      <c r="CB9" s="76">
        <f>CA9-BZ9</f>
        <v>1677.4923518096425</v>
      </c>
      <c r="CC9" s="42">
        <f>'[1]побудинковий звіт'!CC9+'[2]побудинковий звіт'!CC9-'[3]побудинковий звіт'!CC9</f>
        <v>0</v>
      </c>
      <c r="CD9" s="42">
        <f>'[1]побудинковий звіт'!CD9+'[2]побудинковий звіт'!CD9-'[3]побудинковий звіт'!CD9</f>
        <v>0</v>
      </c>
      <c r="CE9" s="76">
        <f>CD9-CC9</f>
        <v>0</v>
      </c>
      <c r="CF9" s="42">
        <f>'[1]побудинковий звіт'!CF9+'[2]побудинковий звіт'!CF9-'[3]побудинковий звіт'!CF9</f>
        <v>0</v>
      </c>
      <c r="CG9" s="42">
        <f>'[1]побудинковий звіт'!CG9+'[2]побудинковий звіт'!CG9-'[3]побудинковий звіт'!CG9</f>
        <v>0</v>
      </c>
      <c r="CH9" s="76">
        <f>CG9-CF9</f>
        <v>0</v>
      </c>
      <c r="CI9" s="42">
        <f>'[1]побудинковий звіт'!CI9+'[2]побудинковий звіт'!CI9-'[3]побудинковий звіт'!CI9</f>
        <v>0</v>
      </c>
      <c r="CJ9" s="42">
        <f>'[1]побудинковий звіт'!CJ9+'[2]побудинковий звіт'!CJ9-'[3]побудинковий звіт'!CJ9</f>
        <v>0</v>
      </c>
      <c r="CK9" s="76">
        <f>CJ9-CI9</f>
        <v>0</v>
      </c>
      <c r="CL9" s="42">
        <f>'[1]побудинковий звіт'!CL9+'[2]побудинковий звіт'!CL9-'[3]побудинковий звіт'!CL9</f>
        <v>0</v>
      </c>
      <c r="CM9" s="42">
        <f>'[1]побудинковий звіт'!CM9+'[2]побудинковий звіт'!CM9-'[3]побудинковий звіт'!CM9</f>
        <v>0</v>
      </c>
      <c r="CN9" s="76">
        <f>CM9-CL9</f>
        <v>0</v>
      </c>
      <c r="CO9" s="42">
        <f t="shared" ref="CO9:CO63" si="7">CI9+CL9</f>
        <v>0</v>
      </c>
      <c r="CP9" s="43">
        <f>CJ9+CM9</f>
        <v>0</v>
      </c>
      <c r="CQ9" s="76">
        <f>CP9-CO9</f>
        <v>0</v>
      </c>
      <c r="CR9" s="79">
        <f t="shared" ref="CR9:CS63" si="8">AG9+AJ9+AM9+AP9+AS9+BQ9+BT9+BW9+BZ9+CC9+CF9+CO9</f>
        <v>21251.771262964128</v>
      </c>
      <c r="CS9" s="43">
        <f t="shared" si="8"/>
        <v>21816.571235870731</v>
      </c>
      <c r="CT9" s="76">
        <f>CS9-CR9</f>
        <v>564.79997290660322</v>
      </c>
      <c r="CU9" s="87">
        <f>CR9*1.2</f>
        <v>25502.125515556952</v>
      </c>
      <c r="CV9" s="70">
        <f>CS9*1.2</f>
        <v>26179.885483044876</v>
      </c>
      <c r="CW9" s="74">
        <f>CV9-CU9</f>
        <v>677.75996748792386</v>
      </c>
      <c r="CX9" s="42">
        <f>'[1]побудинковий звіт'!CX9+'[2]побудинковий звіт'!CX9-'[3]побудинковий звіт'!CX9</f>
        <v>0.27448444303627184</v>
      </c>
      <c r="CY9" s="42">
        <f>'[1]побудинковий звіт'!CY9+'[2]побудинковий звіт'!CY9-'[3]побудинковий звіт'!CY9</f>
        <v>-677.48548304487826</v>
      </c>
      <c r="CZ9" s="59">
        <f>CY9-CX9</f>
        <v>-677.75996748791454</v>
      </c>
      <c r="DA9" s="264">
        <f>'[4]побудинковий звіт'!DA9</f>
        <v>22131.961307982205</v>
      </c>
      <c r="DB9" s="2">
        <v>3</v>
      </c>
      <c r="DC9" s="717">
        <f>'[4]побудинковий звіт'!DC9</f>
        <v>2364.5500000000002</v>
      </c>
      <c r="DD9" s="717">
        <f>'[4]побудинковий звіт'!DD9</f>
        <v>0</v>
      </c>
      <c r="DE9" s="717">
        <f>'[4]побудинковий звіт'!DE9</f>
        <v>239.35000000000036</v>
      </c>
      <c r="DF9" s="717">
        <f>'[4]побудинковий звіт'!DF9</f>
        <v>0</v>
      </c>
      <c r="DG9" s="787">
        <v>20518.390529656863</v>
      </c>
      <c r="DH9" s="764">
        <f>(CU9+CX9)*12</f>
        <v>306028.79999999981</v>
      </c>
      <c r="DI9" s="784"/>
      <c r="DJ9" s="43"/>
      <c r="DK9" s="317">
        <f>VLOOKUP($A9,ціни!$A$4:$G$401,5)</f>
        <v>5.7005824203229967</v>
      </c>
      <c r="DL9" s="317"/>
      <c r="DM9" s="317">
        <f>VLOOKUP($A9,ціни!$A$4:$G$401,7)</f>
        <v>5.1294110528349899</v>
      </c>
      <c r="DN9" s="30">
        <f>F9*DK9</f>
        <v>2125.177126296413</v>
      </c>
      <c r="DO9" s="30">
        <f>H9*DM9</f>
        <v>0</v>
      </c>
      <c r="DP9" s="316">
        <f>DN9+DO9</f>
        <v>2125.177126296413</v>
      </c>
      <c r="DQ9" s="104"/>
      <c r="DR9" s="30">
        <f>VLOOKUP(A9,'ДЗ нас '!$A$1:$C$359,2)</f>
        <v>2125.1999999999998</v>
      </c>
      <c r="DS9" s="748"/>
      <c r="DT9" s="30">
        <f>DR9+DS9</f>
        <v>2125.1999999999998</v>
      </c>
      <c r="DU9" s="257">
        <f>VLOOKUP(A9,'новий кошторис с 01.06'!$A$4:$AI$399,35)*1.2</f>
        <v>2125.1771262964135</v>
      </c>
      <c r="DV9" s="30">
        <f>DT9-DU9</f>
        <v>2.2873703586355987E-2</v>
      </c>
      <c r="DW9" s="930">
        <f>'[5]побудинковий звіт'!DW9+'[6]побудинковий звіт'!DW9</f>
        <v>0</v>
      </c>
      <c r="DY9" s="5">
        <f t="shared" ref="DY9:DY71" si="9">(AS9+BQ9)*1.2</f>
        <v>9223.551893164502</v>
      </c>
      <c r="DZ9" s="5">
        <f t="shared" ref="DZ9:DZ71" si="10">(AT9+BR9)*1.2</f>
        <v>644.4</v>
      </c>
      <c r="EA9" s="752">
        <f>DE9+DF9</f>
        <v>239.35000000000036</v>
      </c>
      <c r="EC9" s="592">
        <f t="shared" ref="EC9:EC71" si="11">AS9*12</f>
        <v>77173.89836552518</v>
      </c>
      <c r="EE9" s="758">
        <v>-2238</v>
      </c>
      <c r="EF9" s="738">
        <f t="shared" ref="EF9:EF71" si="12">EE9+DG9</f>
        <v>18280.390529656863</v>
      </c>
      <c r="EH9" s="813">
        <v>18653.739760113393</v>
      </c>
    </row>
    <row r="10" spans="1:138" x14ac:dyDescent="0.3">
      <c r="A10" s="328">
        <v>150000753</v>
      </c>
      <c r="B10" s="44" t="s">
        <v>458</v>
      </c>
      <c r="C10" s="45" t="s">
        <v>239</v>
      </c>
      <c r="D10" s="45" t="s">
        <v>239</v>
      </c>
      <c r="E10" s="40">
        <f t="shared" si="3"/>
        <v>1840.7</v>
      </c>
      <c r="F10" s="490">
        <v>1840.7</v>
      </c>
      <c r="G10" s="30"/>
      <c r="H10" s="30">
        <v>0</v>
      </c>
      <c r="I10" s="42">
        <f>'[1]побудинковий звіт'!I10+'[2]побудинковий звіт'!I10-'[3]побудинковий звіт'!I10</f>
        <v>7050.7012363215863</v>
      </c>
      <c r="J10" s="42">
        <f>'[1]побудинковий звіт'!J10+'[2]побудинковий звіт'!J10-'[3]побудинковий звіт'!J10</f>
        <v>7018.7377488756883</v>
      </c>
      <c r="K10" s="56">
        <f t="shared" ref="K10:K64" si="13">J10-I10</f>
        <v>-31.963487445897954</v>
      </c>
      <c r="L10" s="42">
        <f>'[1]побудинковий звіт'!L10+'[2]побудинковий звіт'!L10-'[3]побудинковий звіт'!L10</f>
        <v>1663.5298713303443</v>
      </c>
      <c r="M10" s="42">
        <f>'[1]побудинковий звіт'!M10+'[2]побудинковий звіт'!M10-'[3]побудинковий звіт'!M10</f>
        <v>1678.4278873932944</v>
      </c>
      <c r="N10" s="56">
        <f t="shared" ref="N10:N64" si="14">M10-L10</f>
        <v>14.898016062950092</v>
      </c>
      <c r="O10" s="42">
        <f>'[1]побудинковий звіт'!O10+'[2]побудинковий звіт'!O10-'[3]побудинковий звіт'!O10</f>
        <v>2431.6799999999994</v>
      </c>
      <c r="P10" s="42">
        <f>'[1]побудинковий звіт'!P10+'[2]побудинковий звіт'!P10-'[3]побудинковий звіт'!P10</f>
        <v>2431.5600000000004</v>
      </c>
      <c r="Q10" s="56">
        <f t="shared" ref="Q10:Q64" si="15">P10-O10</f>
        <v>-0.11999999999898137</v>
      </c>
      <c r="R10" s="42">
        <f>'[1]побудинковий звіт'!R10+'[2]побудинковий звіт'!R10-'[3]побудинковий звіт'!R10</f>
        <v>0</v>
      </c>
      <c r="S10" s="42">
        <f>'[1]побудинковий звіт'!S10+'[2]побудинковий звіт'!S10-'[3]побудинковий звіт'!S10</f>
        <v>0</v>
      </c>
      <c r="T10" s="56">
        <f t="shared" ref="T10:T64" si="16">S10-R10</f>
        <v>0</v>
      </c>
      <c r="U10" s="42">
        <f>'[1]побудинковий звіт'!U10+'[2]побудинковий звіт'!U10-'[3]побудинковий звіт'!U10</f>
        <v>0</v>
      </c>
      <c r="V10" s="42">
        <f>'[1]побудинковий звіт'!V10+'[2]побудинковий звіт'!V10-'[3]побудинковий звіт'!V10</f>
        <v>0</v>
      </c>
      <c r="W10" s="56">
        <f t="shared" ref="W10:W64" si="17">V10-U10</f>
        <v>0</v>
      </c>
      <c r="X10" s="42">
        <f>'[1]побудинковий звіт'!X10+'[2]побудинковий звіт'!X10-'[3]побудинковий звіт'!X10</f>
        <v>4736.1956915141809</v>
      </c>
      <c r="Y10" s="42">
        <f>'[1]побудинковий звіт'!Y10+'[2]побудинковий звіт'!Y10-'[3]побудинковий звіт'!Y10</f>
        <v>3673.3482143613587</v>
      </c>
      <c r="Z10" s="56">
        <f t="shared" ref="Z10:Z64" si="18">Y10-X10</f>
        <v>-1062.8474771528222</v>
      </c>
      <c r="AA10" s="42">
        <f>'[1]побудинковий звіт'!AA10+'[2]побудинковий звіт'!AA10-'[3]побудинковий звіт'!AA10</f>
        <v>0</v>
      </c>
      <c r="AB10" s="42">
        <f>'[1]побудинковий звіт'!AB10+'[2]побудинковий звіт'!AB10-'[3]побудинковий звіт'!AB10</f>
        <v>0</v>
      </c>
      <c r="AC10" s="56">
        <f t="shared" ref="AC10:AC64" si="19">AB10-AA10</f>
        <v>0</v>
      </c>
      <c r="AD10" s="42">
        <f>'[1]побудинковий звіт'!AD10+'[2]побудинковий звіт'!AD10-'[3]побудинковий звіт'!AD10</f>
        <v>7870.523103168649</v>
      </c>
      <c r="AE10" s="42">
        <f>'[1]побудинковий звіт'!AE10+'[2]побудинковий звіт'!AE10-'[3]побудинковий звіт'!AE10</f>
        <v>7254.3624699128741</v>
      </c>
      <c r="AF10" s="37">
        <f t="shared" ref="AF10:AF64" si="20">AE10-AD10</f>
        <v>-616.16063325577488</v>
      </c>
      <c r="AG10" s="87">
        <f t="shared" si="4"/>
        <v>23752.62990233476</v>
      </c>
      <c r="AH10" s="57">
        <f t="shared" si="4"/>
        <v>22056.436320543216</v>
      </c>
      <c r="AI10" s="56">
        <f t="shared" ref="AI10:AI64" si="21">AH10-AG10</f>
        <v>-1696.1935817915437</v>
      </c>
      <c r="AJ10" s="42">
        <f>'[1]побудинковий звіт'!AJ10+'[2]побудинковий звіт'!AJ10-'[3]побудинковий звіт'!AJ10</f>
        <v>0</v>
      </c>
      <c r="AK10" s="42">
        <f>'[1]побудинковий звіт'!AK10+'[2]побудинковий звіт'!AK10-'[3]побудинковий звіт'!AK10</f>
        <v>0</v>
      </c>
      <c r="AL10" s="56">
        <f t="shared" ref="AL10:AL64" si="22">AK10-AJ10</f>
        <v>0</v>
      </c>
      <c r="AM10" s="42">
        <f>'[1]побудинковий звіт'!AM10+'[2]побудинковий звіт'!AM10-'[3]побудинковий звіт'!AM10</f>
        <v>0</v>
      </c>
      <c r="AN10" s="42">
        <f>'[1]побудинковий звіт'!AN10+'[2]побудинковий звіт'!AN10-'[3]побудинковий звіт'!AN10</f>
        <v>0</v>
      </c>
      <c r="AO10" s="56">
        <f t="shared" ref="AO10:AO64" si="23">AN10-AM10</f>
        <v>0</v>
      </c>
      <c r="AP10" s="42">
        <f>'[1]побудинковий звіт'!AP10+'[2]побудинковий звіт'!AP10-'[3]побудинковий звіт'!AP10</f>
        <v>4261.5793930214249</v>
      </c>
      <c r="AQ10" s="42">
        <f>'[1]побудинковий звіт'!AQ10+'[2]побудинковий звіт'!AQ10-'[3]побудинковий звіт'!AQ10</f>
        <v>3953.7646512831225</v>
      </c>
      <c r="AR10" s="56">
        <f t="shared" ref="AR10:AR64" si="24">AQ10-AP10</f>
        <v>-307.81474173830247</v>
      </c>
      <c r="AS10" s="42">
        <f>'[1]побудинковий звіт'!AS10+'[2]побудинковий звіт'!AS10-'[3]побудинковий звіт'!AS10</f>
        <v>26907.61422153543</v>
      </c>
      <c r="AT10" s="42">
        <f>'[1]побудинковий звіт'!AT10+'[2]побудинковий звіт'!AT10-'[3]побудинковий звіт'!AT10</f>
        <v>5945</v>
      </c>
      <c r="AU10" s="58">
        <f>AT10-AS10</f>
        <v>-20962.61422153543</v>
      </c>
      <c r="AV10" s="42">
        <f>'[1]побудинковий звіт'!AV10+'[2]побудинковий звіт'!AV10-'[3]побудинковий звіт'!AV10</f>
        <v>1275.680154624456</v>
      </c>
      <c r="AW10" s="42">
        <f>'[1]побудинковий звіт'!AW10+'[2]побудинковий звіт'!AW10-'[3]побудинковий звіт'!AW10</f>
        <v>864</v>
      </c>
      <c r="AX10" s="59">
        <f>AW10-AV10</f>
        <v>-411.68015462445601</v>
      </c>
      <c r="AY10" s="42">
        <f>'[1]побудинковий звіт'!AY10+'[2]побудинковий звіт'!AY10-'[3]побудинковий звіт'!AY10</f>
        <v>2144.1599713385599</v>
      </c>
      <c r="AZ10" s="42">
        <f>'[1]побудинковий звіт'!AZ10+'[2]побудинковий звіт'!AZ10-'[3]побудинковий звіт'!AZ10</f>
        <v>0</v>
      </c>
      <c r="BA10" s="37">
        <f>AZ10-AY10</f>
        <v>-2144.1599713385599</v>
      </c>
      <c r="BB10" s="42">
        <f>'[1]побудинковий звіт'!BB10+'[2]побудинковий звіт'!BB10-'[3]побудинковий звіт'!BB10</f>
        <v>1455.2971221181449</v>
      </c>
      <c r="BC10" s="42">
        <f>'[1]побудинковий звіт'!BC10+'[2]побудинковий звіт'!BC10-'[3]побудинковий звіт'!BC10</f>
        <v>1767</v>
      </c>
      <c r="BD10" s="59">
        <f>BC10-BB10</f>
        <v>311.7028778818551</v>
      </c>
      <c r="BE10" s="42">
        <f>'[1]побудинковий звіт'!BE10+'[2]побудинковий звіт'!BE10-'[3]побудинковий звіт'!BE10</f>
        <v>0</v>
      </c>
      <c r="BF10" s="42">
        <f>'[1]побудинковий звіт'!BF10+'[2]побудинковий звіт'!BF10-'[3]побудинковий звіт'!BF10</f>
        <v>0</v>
      </c>
      <c r="BG10" s="39">
        <f>BF10-BE10</f>
        <v>0</v>
      </c>
      <c r="BH10" s="42">
        <f>'[1]побудинковий звіт'!BH10+'[2]побудинковий звіт'!BH10-'[3]побудинковий звіт'!BH10</f>
        <v>0</v>
      </c>
      <c r="BI10" s="42">
        <f>'[1]побудинковий звіт'!BI10+'[2]побудинковий звіт'!BI10-'[3]побудинковий звіт'!BI10</f>
        <v>0</v>
      </c>
      <c r="BJ10" s="59">
        <f>BI10-BH10</f>
        <v>0</v>
      </c>
      <c r="BK10" s="42">
        <f>'[1]побудинковий звіт'!BK10+'[2]побудинковий звіт'!BK10-'[3]побудинковий звіт'!BK10</f>
        <v>649.84801623748729</v>
      </c>
      <c r="BL10" s="42">
        <f>'[1]побудинковий звіт'!BL10+'[2]побудинковий звіт'!BL10-'[3]побудинковий звіт'!BL10</f>
        <v>460</v>
      </c>
      <c r="BM10" s="39">
        <f>BL10-BK10</f>
        <v>-189.84801623748729</v>
      </c>
      <c r="BN10" s="42">
        <f>'[1]побудинковий звіт'!BN10+'[2]побудинковий звіт'!BN10-'[3]побудинковий звіт'!BN10</f>
        <v>402.89454441995588</v>
      </c>
      <c r="BO10" s="42">
        <f>'[1]побудинковий звіт'!BO10+'[2]побудинковий звіт'!BO10-'[3]побудинковий звіт'!BO10</f>
        <v>0</v>
      </c>
      <c r="BP10" s="59">
        <f>BO10-BN10</f>
        <v>-402.89454441995588</v>
      </c>
      <c r="BQ10" s="87">
        <f t="shared" si="5"/>
        <v>5927.879808738604</v>
      </c>
      <c r="BR10" s="43">
        <f t="shared" si="6"/>
        <v>3091</v>
      </c>
      <c r="BS10" s="59">
        <f>BR10-BQ10</f>
        <v>-2836.879808738604</v>
      </c>
      <c r="BT10" s="42">
        <f>'[1]побудинковий звіт'!BT10+'[2]побудинковий звіт'!BT10-'[3]побудинковий звіт'!BT10</f>
        <v>14772.110599058335</v>
      </c>
      <c r="BU10" s="42">
        <f>'[1]побудинковий звіт'!BU10+'[2]побудинковий звіт'!BU10-'[3]побудинковий звіт'!BU10</f>
        <v>25824.385450429076</v>
      </c>
      <c r="BV10" s="56">
        <f t="shared" ref="BV10:BV64" si="25">BU10-BT10</f>
        <v>11052.274851370741</v>
      </c>
      <c r="BW10" s="42">
        <f>'[1]побудинковий звіт'!BW10+'[2]побудинковий звіт'!BW10-'[3]побудинковий звіт'!BW10</f>
        <v>14431.737996116255</v>
      </c>
      <c r="BX10" s="42">
        <f>'[1]побудинковий звіт'!BX10+'[2]побудинковий звіт'!BX10-'[3]побудинковий звіт'!BX10</f>
        <v>15180.581104605822</v>
      </c>
      <c r="BY10" s="56">
        <f t="shared" ref="BY10:BY64" si="26">BX10-BW10</f>
        <v>748.84310848956738</v>
      </c>
      <c r="BZ10" s="42">
        <f>'[1]побудинковий звіт'!BZ10+'[2]побудинковий звіт'!BZ10-'[3]побудинковий звіт'!BZ10</f>
        <v>9217.3970417236924</v>
      </c>
      <c r="CA10" s="42">
        <f>'[1]побудинковий звіт'!CA10+'[2]побудинковий звіт'!CA10-'[3]побудинковий звіт'!CA10</f>
        <v>5495.6957806139508</v>
      </c>
      <c r="CB10" s="56">
        <f t="shared" ref="CB10:CB64" si="27">CA10-BZ10</f>
        <v>-3721.7012611097416</v>
      </c>
      <c r="CC10" s="42">
        <f>'[1]побудинковий звіт'!CC10+'[2]побудинковий звіт'!CC10-'[3]побудинковий звіт'!CC10</f>
        <v>1151.8230207610407</v>
      </c>
      <c r="CD10" s="42">
        <f>'[1]побудинковий звіт'!CD10+'[2]побудинковий звіт'!CD10-'[3]побудинковий звіт'!CD10</f>
        <v>1141.6924116494824</v>
      </c>
      <c r="CE10" s="56">
        <f t="shared" ref="CE10:CE64" si="28">CD10-CC10</f>
        <v>-10.130609111558215</v>
      </c>
      <c r="CF10" s="42">
        <f>'[1]побудинковий звіт'!CF10+'[2]побудинковий звіт'!CF10-'[3]побудинковий звіт'!CF10</f>
        <v>141.7963946012645</v>
      </c>
      <c r="CG10" s="42">
        <f>'[1]побудинковий звіт'!CG10+'[2]побудинковий звіт'!CG10-'[3]побудинковий звіт'!CG10</f>
        <v>0</v>
      </c>
      <c r="CH10" s="56">
        <f t="shared" ref="CH10:CH64" si="29">CG10-CF10</f>
        <v>-141.7963946012645</v>
      </c>
      <c r="CI10" s="42">
        <f>'[1]побудинковий звіт'!CI10+'[2]побудинковий звіт'!CI10-'[3]побудинковий звіт'!CI10</f>
        <v>1609.7071652385237</v>
      </c>
      <c r="CJ10" s="42">
        <f>'[1]побудинковий звіт'!CJ10+'[2]побудинковий звіт'!CJ10-'[3]побудинковий звіт'!CJ10</f>
        <v>1257.1783339329186</v>
      </c>
      <c r="CK10" s="56">
        <f t="shared" ref="CK10:CK64" si="30">CJ10-CI10</f>
        <v>-352.52883130560508</v>
      </c>
      <c r="CL10" s="42">
        <f>'[1]побудинковий звіт'!CL10+'[2]побудинковий звіт'!CL10-'[3]побудинковий звіт'!CL10</f>
        <v>0</v>
      </c>
      <c r="CM10" s="42">
        <f>'[1]побудинковий звіт'!CM10+'[2]побудинковий звіт'!CM10-'[3]побудинковий звіт'!CM10</f>
        <v>0</v>
      </c>
      <c r="CN10" s="56">
        <f t="shared" ref="CN10:CN64" si="31">CM10-CL10</f>
        <v>0</v>
      </c>
      <c r="CO10" s="42">
        <f t="shared" si="7"/>
        <v>1609.7071652385237</v>
      </c>
      <c r="CP10" s="43">
        <f t="shared" ref="CP10:CP64" si="32">CJ10+CM10</f>
        <v>1257.1783339329186</v>
      </c>
      <c r="CQ10" s="56">
        <f t="shared" ref="CQ10:CQ64" si="33">CP10-CO10</f>
        <v>-352.52883130560508</v>
      </c>
      <c r="CR10" s="78">
        <f t="shared" si="8"/>
        <v>102174.27554312932</v>
      </c>
      <c r="CS10" s="5">
        <f t="shared" si="8"/>
        <v>83945.734053057589</v>
      </c>
      <c r="CT10" s="56">
        <f t="shared" ref="CT10:CT64" si="34">CS10-CR10</f>
        <v>-18228.54149007173</v>
      </c>
      <c r="CU10" s="87">
        <f t="shared" ref="CU10:CU64" si="35">CR10*1.2</f>
        <v>122609.13065175517</v>
      </c>
      <c r="CV10" s="70">
        <f t="shared" ref="CV10:CV64" si="36">CS10*1.2</f>
        <v>100734.88086366911</v>
      </c>
      <c r="CW10" s="37">
        <f t="shared" ref="CW10:CW64" si="37">CV10-CU10</f>
        <v>-21874.249788086061</v>
      </c>
      <c r="CX10" s="42">
        <f>'[1]побудинковий звіт'!CX10+'[2]побудинковий звіт'!CX10-'[3]побудинковий звіт'!CX10</f>
        <v>2359.9493482448233</v>
      </c>
      <c r="CY10" s="42">
        <f>'[1]побудинковий звіт'!CY10+'[2]побудинковий звіт'!CY10-'[3]побудинковий звіт'!CY10</f>
        <v>24234.199136330895</v>
      </c>
      <c r="CZ10" s="56">
        <f t="shared" ref="CZ10:CZ64" si="38">CY10-CX10</f>
        <v>21874.249788086072</v>
      </c>
      <c r="DA10" s="264">
        <f>'[4]побудинковий звіт'!DA10</f>
        <v>15851.067426333102</v>
      </c>
      <c r="DB10" s="2">
        <v>2</v>
      </c>
      <c r="DC10" s="717">
        <f>'[4]побудинковий звіт'!DC10</f>
        <v>24134.16</v>
      </c>
      <c r="DD10" s="717">
        <f>'[4]побудинковий звіт'!DD10</f>
        <v>0</v>
      </c>
      <c r="DE10" s="717">
        <f>'[4]побудинковий звіт'!DE10</f>
        <v>13720.07</v>
      </c>
      <c r="DF10" s="717">
        <f>'[4]побудинковий звіт'!DF10</f>
        <v>0</v>
      </c>
      <c r="DG10" s="787">
        <v>48217.572068238631</v>
      </c>
      <c r="DH10" s="761">
        <f t="shared" ref="DH10:DH72" si="39">(CU10+CX10)*12</f>
        <v>1499628.96</v>
      </c>
      <c r="DI10" s="784"/>
      <c r="DJ10" s="5"/>
      <c r="DK10" s="317">
        <f>VLOOKUP($A10,ціни!$A$4:$G$401,5)</f>
        <v>5.65630394841358</v>
      </c>
      <c r="DL10" s="317"/>
      <c r="DM10" s="317">
        <f>VLOOKUP($A10,ціни!$A$4:$G$401,7)</f>
        <v>4.8573719650353837</v>
      </c>
      <c r="DN10" s="30">
        <f>F10*DK10</f>
        <v>10411.558677844878</v>
      </c>
      <c r="DO10" s="30">
        <f>H10*DM10</f>
        <v>0</v>
      </c>
      <c r="DP10" s="316">
        <f t="shared" ref="DP10:DP65" si="40">DN10+DO10</f>
        <v>10411.558677844878</v>
      </c>
      <c r="DQ10" s="104"/>
      <c r="DR10" s="30">
        <f>VLOOKUP(A10,'ДЗ нас '!$A$1:$C$359,2)</f>
        <v>10414.09</v>
      </c>
      <c r="DS10" s="748"/>
      <c r="DT10" s="30">
        <f t="shared" ref="DT10:DT65" si="41">DR10+DS10</f>
        <v>10414.09</v>
      </c>
      <c r="DU10" s="257">
        <f>VLOOKUP(A10,'новий кошторис с 01.06'!$A$4:$AI$399,35)*1.2</f>
        <v>10450.384902551266</v>
      </c>
      <c r="DV10" s="30">
        <f t="shared" ref="DV10:DV65" si="42">DT10-DU10</f>
        <v>-36.294902551266205</v>
      </c>
      <c r="DW10" s="930">
        <f>'[5]побудинковий звіт'!DW10+'[6]побудинковий звіт'!DW10</f>
        <v>236</v>
      </c>
      <c r="DY10" s="5">
        <f t="shared" si="9"/>
        <v>39402.59283632884</v>
      </c>
      <c r="DZ10" s="5">
        <f t="shared" si="10"/>
        <v>10843.199999999999</v>
      </c>
      <c r="EA10" s="752">
        <f t="shared" ref="EA10:EA72" si="43">DE10+DF10</f>
        <v>13720.07</v>
      </c>
      <c r="EC10" s="592">
        <f t="shared" si="11"/>
        <v>322891.37065842515</v>
      </c>
      <c r="EE10" s="758">
        <v>-33533</v>
      </c>
      <c r="EF10" s="738">
        <f t="shared" si="12"/>
        <v>14684.572068238631</v>
      </c>
      <c r="EH10" s="813">
        <v>38003.874549059285</v>
      </c>
    </row>
    <row r="11" spans="1:138" x14ac:dyDescent="0.3">
      <c r="A11" s="328">
        <v>150000754</v>
      </c>
      <c r="B11" s="44" t="s">
        <v>459</v>
      </c>
      <c r="C11" s="45" t="s">
        <v>240</v>
      </c>
      <c r="D11" s="45" t="s">
        <v>240</v>
      </c>
      <c r="E11" s="40">
        <f t="shared" si="3"/>
        <v>2805.68</v>
      </c>
      <c r="F11" s="490">
        <v>2805.68</v>
      </c>
      <c r="G11" s="30"/>
      <c r="H11" s="30">
        <v>0</v>
      </c>
      <c r="I11" s="42">
        <f>'[1]побудинковий звіт'!I11+'[2]побудинковий звіт'!I11-'[3]побудинковий звіт'!I11</f>
        <v>10447.029281851068</v>
      </c>
      <c r="J11" s="42">
        <f>'[1]побудинковий звіт'!J11+'[2]побудинковий звіт'!J11-'[3]побудинковий звіт'!J11</f>
        <v>10419.562357805386</v>
      </c>
      <c r="K11" s="56">
        <f t="shared" si="13"/>
        <v>-27.46692404568239</v>
      </c>
      <c r="L11" s="42">
        <f>'[1]побудинковий звіт'!L11+'[2]побудинковий звіт'!L11-'[3]побудинковий звіт'!L11</f>
        <v>1976.2910896517483</v>
      </c>
      <c r="M11" s="42">
        <f>'[1]побудинковий звіт'!M11+'[2]побудинковий звіт'!M11-'[3]побудинковий звіт'!M11</f>
        <v>1993.9914371931368</v>
      </c>
      <c r="N11" s="56">
        <f t="shared" si="14"/>
        <v>17.70034754138851</v>
      </c>
      <c r="O11" s="42">
        <f>'[1]побудинковий звіт'!O11+'[2]побудинковий звіт'!O11-'[3]побудинковий звіт'!O11</f>
        <v>3900.24</v>
      </c>
      <c r="P11" s="42">
        <f>'[1]побудинковий звіт'!P11+'[2]побудинковий звіт'!P11-'[3]побудинковий звіт'!P11</f>
        <v>3901.4399999999996</v>
      </c>
      <c r="Q11" s="56">
        <f t="shared" si="15"/>
        <v>1.1999999999998181</v>
      </c>
      <c r="R11" s="42">
        <f>'[1]побудинковий звіт'!R11+'[2]побудинковий звіт'!R11-'[3]побудинковий звіт'!R11</f>
        <v>0</v>
      </c>
      <c r="S11" s="42">
        <f>'[1]побудинковий звіт'!S11+'[2]побудинковий звіт'!S11-'[3]побудинковий звіт'!S11</f>
        <v>0</v>
      </c>
      <c r="T11" s="56">
        <f t="shared" si="16"/>
        <v>0</v>
      </c>
      <c r="U11" s="42">
        <f>'[1]побудинковий звіт'!U11+'[2]побудинковий звіт'!U11-'[3]побудинковий звіт'!U11</f>
        <v>709.3549077326212</v>
      </c>
      <c r="V11" s="42">
        <f>'[1]побудинковий звіт'!V11+'[2]побудинковий звіт'!V11-'[3]побудинковий звіт'!V11</f>
        <v>1892.372104754661</v>
      </c>
      <c r="W11" s="56">
        <f t="shared" si="17"/>
        <v>1183.0171970220399</v>
      </c>
      <c r="X11" s="42">
        <f>'[1]побудинковий звіт'!X11+'[2]побудинковий звіт'!X11-'[3]побудинковий звіт'!X11</f>
        <v>6731.5049806478719</v>
      </c>
      <c r="Y11" s="42">
        <f>'[1]побудинковий звіт'!Y11+'[2]побудинковий звіт'!Y11-'[3]побудинковий звіт'!Y11</f>
        <v>5272.3353397147839</v>
      </c>
      <c r="Z11" s="56">
        <f t="shared" si="18"/>
        <v>-1459.169640933088</v>
      </c>
      <c r="AA11" s="42">
        <f>'[1]побудинковий звіт'!AA11+'[2]побудинковий звіт'!AA11-'[3]побудинковий звіт'!AA11</f>
        <v>0</v>
      </c>
      <c r="AB11" s="42">
        <f>'[1]побудинковий звіт'!AB11+'[2]побудинковий звіт'!AB11-'[3]побудинковий звіт'!AB11</f>
        <v>0</v>
      </c>
      <c r="AC11" s="56">
        <f t="shared" si="19"/>
        <v>0</v>
      </c>
      <c r="AD11" s="42">
        <f>'[1]побудинковий звіт'!AD11+'[2]побудинковий звіт'!AD11-'[3]побудинковий звіт'!AD11</f>
        <v>11996.61501607987</v>
      </c>
      <c r="AE11" s="42">
        <f>'[1]побудинковий звіт'!AE11+'[2]побудинковий звіт'!AE11-'[3]побудинковий звіт'!AE11</f>
        <v>11056.755980476166</v>
      </c>
      <c r="AF11" s="37">
        <f t="shared" si="20"/>
        <v>-939.85903560370389</v>
      </c>
      <c r="AG11" s="87">
        <f t="shared" si="4"/>
        <v>35761.035275963179</v>
      </c>
      <c r="AH11" s="57">
        <f t="shared" si="4"/>
        <v>34536.457219944132</v>
      </c>
      <c r="AI11" s="56">
        <f t="shared" si="21"/>
        <v>-1224.5780560190469</v>
      </c>
      <c r="AJ11" s="42">
        <f>'[1]побудинковий звіт'!AJ11+'[2]побудинковий звіт'!AJ11-'[3]побудинковий звіт'!AJ11</f>
        <v>0</v>
      </c>
      <c r="AK11" s="42">
        <f>'[1]побудинковий звіт'!AK11+'[2]побудинковий звіт'!AK11-'[3]побудинковий звіт'!AK11</f>
        <v>0</v>
      </c>
      <c r="AL11" s="56">
        <f t="shared" si="22"/>
        <v>0</v>
      </c>
      <c r="AM11" s="42">
        <f>'[1]побудинковий звіт'!AM11+'[2]побудинковий звіт'!AM11-'[3]побудинковий звіт'!AM11</f>
        <v>0</v>
      </c>
      <c r="AN11" s="42">
        <f>'[1]побудинковий звіт'!AN11+'[2]побудинковий звіт'!AN11-'[3]побудинковий звіт'!AN11</f>
        <v>0</v>
      </c>
      <c r="AO11" s="56">
        <f t="shared" si="23"/>
        <v>0</v>
      </c>
      <c r="AP11" s="42">
        <f>'[1]побудинковий звіт'!AP11+'[2]побудинковий звіт'!AP11-'[3]побудинковий звіт'!AP11</f>
        <v>5113.8952716257081</v>
      </c>
      <c r="AQ11" s="42">
        <f>'[1]побудинковий звіт'!AQ11+'[2]побудинковий звіт'!AQ11-'[3]побудинковий звіт'!AQ11</f>
        <v>8023.9785658373585</v>
      </c>
      <c r="AR11" s="56">
        <f t="shared" si="24"/>
        <v>2910.0832942116504</v>
      </c>
      <c r="AS11" s="42">
        <f>'[1]побудинковий звіт'!AS11+'[2]побудинковий звіт'!AS11-'[3]побудинковий звіт'!AS11</f>
        <v>49233.65327572891</v>
      </c>
      <c r="AT11" s="42">
        <f>'[1]побудинковий звіт'!AT11+'[2]побудинковий звіт'!AT11-'[3]побудинковий звіт'!AT11</f>
        <v>71965.103545316728</v>
      </c>
      <c r="AU11" s="58">
        <f t="shared" ref="AU11:AU64" si="44">AT11-AS11</f>
        <v>22731.450269587818</v>
      </c>
      <c r="AV11" s="42">
        <f>'[1]побудинковий звіт'!AV11+'[2]побудинковий звіт'!AV11-'[3]побудинковий звіт'!AV11</f>
        <v>1736.5007848946891</v>
      </c>
      <c r="AW11" s="42">
        <f>'[1]побудинковий звіт'!AW11+'[2]побудинковий звіт'!AW11-'[3]побудинковий звіт'!AW11</f>
        <v>0</v>
      </c>
      <c r="AX11" s="59">
        <f t="shared" ref="AX11:AX64" si="45">AW11-AV11</f>
        <v>-1736.5007848946891</v>
      </c>
      <c r="AY11" s="42">
        <f>'[1]побудинковий звіт'!AY11+'[2]побудинковий звіт'!AY11-'[3]побудинковий звіт'!AY11</f>
        <v>2547.2603672051073</v>
      </c>
      <c r="AZ11" s="42">
        <f>'[1]побудинковий звіт'!AZ11+'[2]побудинковий звіт'!AZ11-'[3]побудинковий звіт'!AZ11</f>
        <v>0</v>
      </c>
      <c r="BA11" s="37">
        <f t="shared" ref="BA11:BA64" si="46">AZ11-AY11</f>
        <v>-2547.2603672051073</v>
      </c>
      <c r="BB11" s="42">
        <f>'[1]побудинковий звіт'!BB11+'[2]побудинковий звіт'!BB11-'[3]побудинковий звіт'!BB11</f>
        <v>2008.1575743951048</v>
      </c>
      <c r="BC11" s="42">
        <f>'[1]побудинковий звіт'!BC11+'[2]побудинковий звіт'!BC11-'[3]побудинковий звіт'!BC11</f>
        <v>0</v>
      </c>
      <c r="BD11" s="59">
        <f t="shared" ref="BD11:BD64" si="47">BC11-BB11</f>
        <v>-2008.1575743951048</v>
      </c>
      <c r="BE11" s="42">
        <f>'[1]побудинковий звіт'!BE11+'[2]побудинковий звіт'!BE11-'[3]побудинковий звіт'!BE11</f>
        <v>0</v>
      </c>
      <c r="BF11" s="42">
        <f>'[1]побудинковий звіт'!BF11+'[2]побудинковий звіт'!BF11-'[3]побудинковий звіт'!BF11</f>
        <v>0</v>
      </c>
      <c r="BG11" s="39">
        <f t="shared" ref="BG11:BG64" si="48">BF11-BE11</f>
        <v>0</v>
      </c>
      <c r="BH11" s="42">
        <f>'[1]побудинковий звіт'!BH11+'[2]побудинковий звіт'!BH11-'[3]побудинковий звіт'!BH11</f>
        <v>719.6828414324732</v>
      </c>
      <c r="BI11" s="42">
        <f>'[1]побудинковий звіт'!BI11+'[2]побудинковий звіт'!BI11-'[3]побудинковий звіт'!BI11</f>
        <v>0</v>
      </c>
      <c r="BJ11" s="59">
        <f t="shared" ref="BJ11:BJ64" si="49">BI11-BH11</f>
        <v>-719.6828414324732</v>
      </c>
      <c r="BK11" s="42">
        <f>'[1]побудинковий звіт'!BK11+'[2]побудинковий звіт'!BK11-'[3]побудинковий звіт'!BK11</f>
        <v>954.36378428623402</v>
      </c>
      <c r="BL11" s="42">
        <f>'[1]побудинковий звіт'!BL11+'[2]побудинковий звіт'!BL11-'[3]побудинковий звіт'!BL11</f>
        <v>6143</v>
      </c>
      <c r="BM11" s="39">
        <f t="shared" ref="BM11:BM64" si="50">BL11-BK11</f>
        <v>5188.6362157137664</v>
      </c>
      <c r="BN11" s="42">
        <f>'[1]побудинковий звіт'!BN11+'[2]побудинковий звіт'!BN11-'[3]побудинковий звіт'!BN11</f>
        <v>0</v>
      </c>
      <c r="BO11" s="42">
        <f>'[1]побудинковий звіт'!BO11+'[2]побудинковий звіт'!BO11-'[3]побудинковий звіт'!BO11</f>
        <v>0</v>
      </c>
      <c r="BP11" s="59">
        <f t="shared" ref="BP11:BP64" si="51">BO11-BN11</f>
        <v>0</v>
      </c>
      <c r="BQ11" s="87">
        <f t="shared" si="5"/>
        <v>7965.9653522136086</v>
      </c>
      <c r="BR11" s="43">
        <f t="shared" si="6"/>
        <v>6143</v>
      </c>
      <c r="BS11" s="59">
        <f t="shared" ref="BS11:BS64" si="52">BR11-BQ11</f>
        <v>-1822.9653522136086</v>
      </c>
      <c r="BT11" s="42">
        <f>'[1]побудинковий звіт'!BT11+'[2]побудинковий звіт'!BT11-'[3]побудинковий звіт'!BT11</f>
        <v>26830.44165415753</v>
      </c>
      <c r="BU11" s="42">
        <f>'[1]побудинковий звіт'!BU11+'[2]побудинковий звіт'!BU11-'[3]побудинковий звіт'!BU11</f>
        <v>45673.937077807721</v>
      </c>
      <c r="BV11" s="56">
        <f t="shared" si="25"/>
        <v>18843.495423650191</v>
      </c>
      <c r="BW11" s="42">
        <f>'[1]побудинковий звіт'!BW11+'[2]побудинковий звіт'!BW11-'[3]побудинковий звіт'!BW11</f>
        <v>16444.649035341215</v>
      </c>
      <c r="BX11" s="42">
        <f>'[1]побудинковий звіт'!BX11+'[2]побудинковий звіт'!BX11-'[3]побудинковий звіт'!BX11</f>
        <v>17250.252118098659</v>
      </c>
      <c r="BY11" s="56">
        <f t="shared" si="26"/>
        <v>805.60308275744319</v>
      </c>
      <c r="BZ11" s="42">
        <f>'[1]побудинковий звіт'!BZ11+'[2]побудинковий звіт'!BZ11-'[3]побудинковий звіт'!BZ11</f>
        <v>11540.932350380426</v>
      </c>
      <c r="CA11" s="42">
        <f>'[1]побудинковий звіт'!CA11+'[2]побудинковий звіт'!CA11-'[3]побудинковий звіт'!CA11</f>
        <v>8861.346335471384</v>
      </c>
      <c r="CB11" s="56">
        <f t="shared" si="27"/>
        <v>-2679.5860149090422</v>
      </c>
      <c r="CC11" s="42">
        <f>'[1]побудинковий звіт'!CC11+'[2]побудинковий звіт'!CC11-'[3]побудинковий звіт'!CC11</f>
        <v>1689.7914336752249</v>
      </c>
      <c r="CD11" s="42">
        <f>'[1]побудинковий звіт'!CD11+'[2]побудинковий звіт'!CD11-'[3]побудинковий звіт'!CD11</f>
        <v>1674.9292402773947</v>
      </c>
      <c r="CE11" s="56">
        <f t="shared" si="28"/>
        <v>-14.862193397830197</v>
      </c>
      <c r="CF11" s="42">
        <f>'[1]побудинковий звіт'!CF11+'[2]побудинковий звіт'!CF11-'[3]побудинковий звіт'!CF11</f>
        <v>208.02356664562419</v>
      </c>
      <c r="CG11" s="42">
        <f>'[1]побудинковий звіт'!CG11+'[2]побудинковий звіт'!CG11-'[3]побудинковий звіт'!CG11</f>
        <v>0</v>
      </c>
      <c r="CH11" s="56">
        <f t="shared" si="29"/>
        <v>-208.02356664562419</v>
      </c>
      <c r="CI11" s="42">
        <f>'[1]побудинковий звіт'!CI11+'[2]побудинковий звіт'!CI11-'[3]побудинковий звіт'!CI11</f>
        <v>9321.3275382416832</v>
      </c>
      <c r="CJ11" s="42">
        <f>'[1]побудинковий звіт'!CJ11+'[2]побудинковий звіт'!CJ11-'[3]побудинковий звіт'!CJ11</f>
        <v>4331.0157186878087</v>
      </c>
      <c r="CK11" s="56">
        <f t="shared" si="30"/>
        <v>-4990.3118195538746</v>
      </c>
      <c r="CL11" s="42">
        <f>'[1]побудинковий звіт'!CL11+'[2]побудинковий звіт'!CL11-'[3]побудинковий звіт'!CL11</f>
        <v>0</v>
      </c>
      <c r="CM11" s="42">
        <f>'[1]побудинковий звіт'!CM11+'[2]побудинковий звіт'!CM11-'[3]побудинковий звіт'!CM11</f>
        <v>0</v>
      </c>
      <c r="CN11" s="56">
        <f t="shared" si="31"/>
        <v>0</v>
      </c>
      <c r="CO11" s="42">
        <f t="shared" si="7"/>
        <v>9321.3275382416832</v>
      </c>
      <c r="CP11" s="43">
        <f t="shared" si="32"/>
        <v>4331.0157186878087</v>
      </c>
      <c r="CQ11" s="56">
        <f t="shared" si="33"/>
        <v>-4990.3118195538746</v>
      </c>
      <c r="CR11" s="78">
        <f t="shared" si="8"/>
        <v>164109.71475397312</v>
      </c>
      <c r="CS11" s="5">
        <f t="shared" si="8"/>
        <v>198460.01982144118</v>
      </c>
      <c r="CT11" s="56">
        <f t="shared" si="34"/>
        <v>34350.305067468056</v>
      </c>
      <c r="CU11" s="87">
        <f t="shared" si="35"/>
        <v>196931.65770476774</v>
      </c>
      <c r="CV11" s="70">
        <f t="shared" si="36"/>
        <v>238152.0237857294</v>
      </c>
      <c r="CW11" s="37">
        <f t="shared" si="37"/>
        <v>41220.366080961656</v>
      </c>
      <c r="CX11" s="42">
        <f>'[1]побудинковий звіт'!CX11+'[2]побудинковий звіт'!CX11-'[3]побудинковий звіт'!CX11</f>
        <v>9190.8722952322714</v>
      </c>
      <c r="CY11" s="42">
        <f>'[1]побудинковий звіт'!CY11+'[2]побудинковий звіт'!CY11-'[3]побудинковий звіт'!CY11</f>
        <v>-32029.49378572945</v>
      </c>
      <c r="CZ11" s="56">
        <f t="shared" si="38"/>
        <v>-41220.366080961721</v>
      </c>
      <c r="DA11" s="264">
        <f>'[4]побудинковий звіт'!DA11</f>
        <v>96725.094136022948</v>
      </c>
      <c r="DB11" s="2">
        <v>2</v>
      </c>
      <c r="DC11" s="717">
        <f>'[4]побудинковий звіт'!DC11</f>
        <v>64018.35</v>
      </c>
      <c r="DD11" s="717">
        <f>'[4]побудинковий звіт'!DD11</f>
        <v>0</v>
      </c>
      <c r="DE11" s="717">
        <f>'[4]побудинковий звіт'!DE11</f>
        <v>46842.75</v>
      </c>
      <c r="DF11" s="717">
        <f>'[4]побудинковий звіт'!DF11</f>
        <v>0</v>
      </c>
      <c r="DG11" s="787">
        <v>4099.6603578430368</v>
      </c>
      <c r="DH11" s="761">
        <f t="shared" si="39"/>
        <v>2473470.3600000003</v>
      </c>
      <c r="DI11" s="784"/>
      <c r="DJ11" s="5"/>
      <c r="DK11" s="317">
        <f>VLOOKUP($A11,ціни!$A$4:$G$401,5)</f>
        <v>6.1299571249096054</v>
      </c>
      <c r="DL11" s="317"/>
      <c r="DM11" s="317">
        <f>VLOOKUP($A11,ціни!$A$4:$G$401,7)</f>
        <v>5.5157034613044331</v>
      </c>
      <c r="DN11" s="30">
        <f>F11*DK11</f>
        <v>17198.69810621638</v>
      </c>
      <c r="DO11" s="30">
        <f>H11*DM11</f>
        <v>0</v>
      </c>
      <c r="DP11" s="316">
        <f t="shared" si="40"/>
        <v>17198.69810621638</v>
      </c>
      <c r="DQ11" s="104"/>
      <c r="DR11" s="30">
        <f>VLOOKUP(A11,'ДЗ нас '!$A$1:$C$359,2)</f>
        <v>17175.599999999999</v>
      </c>
      <c r="DS11" s="748"/>
      <c r="DT11" s="30">
        <f t="shared" si="41"/>
        <v>17175.599999999999</v>
      </c>
      <c r="DU11" s="257">
        <f>VLOOKUP(A11,'новий кошторис с 01.06'!$A$4:$AI$399,35)*1.2</f>
        <v>17356.243432380194</v>
      </c>
      <c r="DV11" s="30">
        <f t="shared" si="42"/>
        <v>-180.64343238019501</v>
      </c>
      <c r="DW11" s="930">
        <f>'[5]побудинковий звіт'!DW11+'[6]побудинковий звіт'!DW11</f>
        <v>204</v>
      </c>
      <c r="DY11" s="5">
        <f t="shared" si="9"/>
        <v>68639.542353531011</v>
      </c>
      <c r="DZ11" s="5">
        <f t="shared" si="10"/>
        <v>93729.724254380068</v>
      </c>
      <c r="EA11" s="752">
        <f t="shared" si="43"/>
        <v>46842.75</v>
      </c>
      <c r="EC11" s="592">
        <f t="shared" si="11"/>
        <v>590803.83930874686</v>
      </c>
      <c r="EE11" s="758">
        <v>30598</v>
      </c>
      <c r="EF11" s="738">
        <f t="shared" si="12"/>
        <v>34697.660357843037</v>
      </c>
      <c r="EH11" s="813">
        <v>53707.6442947701</v>
      </c>
    </row>
    <row r="12" spans="1:138" x14ac:dyDescent="0.3">
      <c r="A12" s="328">
        <v>150000702</v>
      </c>
      <c r="B12" s="44" t="s">
        <v>460</v>
      </c>
      <c r="C12" s="45" t="s">
        <v>338</v>
      </c>
      <c r="D12" s="45" t="s">
        <v>338</v>
      </c>
      <c r="E12" s="40">
        <f t="shared" si="3"/>
        <v>6095.61</v>
      </c>
      <c r="F12" s="490">
        <v>6095.61</v>
      </c>
      <c r="G12" s="30">
        <v>601.05999999999995</v>
      </c>
      <c r="H12" s="30">
        <v>0</v>
      </c>
      <c r="I12" s="42">
        <f>'[1]побудинковий звіт'!I12+'[2]побудинковий звіт'!I12-'[3]побудинковий звіт'!I12</f>
        <v>22143.709704643246</v>
      </c>
      <c r="J12" s="42">
        <f>'[1]побудинковий звіт'!J12+'[2]побудинковий звіт'!J12-'[3]побудинковий звіт'!J12</f>
        <v>20213.07257879707</v>
      </c>
      <c r="K12" s="56">
        <f t="shared" si="13"/>
        <v>-1930.6371258461768</v>
      </c>
      <c r="L12" s="42">
        <f>'[1]побудинковий звіт'!L12+'[2]побудинковий звіт'!L12-'[3]побудинковий звіт'!L12</f>
        <v>4148.7647799238448</v>
      </c>
      <c r="M12" s="42">
        <f>'[1]побудинковий звіт'!M12+'[2]побудинковий звіт'!M12-'[3]побудинковий звіт'!M12</f>
        <v>4026.1822718476415</v>
      </c>
      <c r="N12" s="56">
        <f t="shared" si="14"/>
        <v>-122.58250807620334</v>
      </c>
      <c r="O12" s="42">
        <f>'[1]побудинковий звіт'!O12+'[2]побудинковий звіт'!O12-'[3]побудинковий звіт'!O12</f>
        <v>7893</v>
      </c>
      <c r="P12" s="42">
        <f>'[1]побудинковий звіт'!P12+'[2]побудинковий звіт'!P12-'[3]побудинковий звіт'!P12</f>
        <v>7893.6</v>
      </c>
      <c r="Q12" s="56">
        <f t="shared" si="15"/>
        <v>0.6000000000003638</v>
      </c>
      <c r="R12" s="42">
        <f>'[1]побудинковий звіт'!R12+'[2]побудинковий звіт'!R12-'[3]побудинковий звіт'!R12</f>
        <v>1902.7199999999998</v>
      </c>
      <c r="S12" s="42">
        <f>'[1]побудинковий звіт'!S12+'[2]побудинковий звіт'!S12-'[3]побудинковий звіт'!S12</f>
        <v>1901.7599999999998</v>
      </c>
      <c r="T12" s="56">
        <f t="shared" si="16"/>
        <v>-0.96000000000003638</v>
      </c>
      <c r="U12" s="42">
        <f>'[1]побудинковий звіт'!U12+'[2]побудинковий звіт'!U12-'[3]побудинковий звіт'!U12</f>
        <v>1170.2323882178873</v>
      </c>
      <c r="V12" s="42">
        <f>'[1]побудинковий звіт'!V12+'[2]побудинковий звіт'!V12-'[3]побудинковий звіт'!V12</f>
        <v>862.15682943845627</v>
      </c>
      <c r="W12" s="56">
        <f t="shared" si="17"/>
        <v>-308.07555877943105</v>
      </c>
      <c r="X12" s="42">
        <f>'[1]побудинковий звіт'!X12+'[2]побудинковий звіт'!X12-'[3]побудинковий звіт'!X12</f>
        <v>12453.177955269339</v>
      </c>
      <c r="Y12" s="42">
        <f>'[1]побудинковий звіт'!Y12+'[2]побудинковий звіт'!Y12-'[3]побудинковий звіт'!Y12</f>
        <v>15205.007773375535</v>
      </c>
      <c r="Z12" s="56">
        <f t="shared" si="18"/>
        <v>2751.8298181061964</v>
      </c>
      <c r="AA12" s="42">
        <f>'[1]побудинковий звіт'!AA12+'[2]побудинковий звіт'!AA12-'[3]побудинковий звіт'!AA12</f>
        <v>0</v>
      </c>
      <c r="AB12" s="42">
        <f>'[1]побудинковий звіт'!AB12+'[2]побудинковий звіт'!AB12-'[3]побудинковий звіт'!AB12</f>
        <v>0</v>
      </c>
      <c r="AC12" s="56">
        <f t="shared" si="19"/>
        <v>0</v>
      </c>
      <c r="AD12" s="42">
        <f>'[1]побудинковий звіт'!AD12+'[2]побудинковий звіт'!AD12-'[3]побудинковий звіт'!AD12</f>
        <v>26063.801452113781</v>
      </c>
      <c r="AE12" s="42">
        <f>'[1]побудинковий звіт'!AE12+'[2]побудинковий звіт'!AE12-'[3]побудинковий звіт'!AE12</f>
        <v>24022.83218740399</v>
      </c>
      <c r="AF12" s="37">
        <f t="shared" si="20"/>
        <v>-2040.9692647097909</v>
      </c>
      <c r="AG12" s="87">
        <f t="shared" si="4"/>
        <v>75775.406280168099</v>
      </c>
      <c r="AH12" s="57">
        <f t="shared" si="4"/>
        <v>74124.611640862684</v>
      </c>
      <c r="AI12" s="56">
        <f t="shared" si="21"/>
        <v>-1650.7946393054153</v>
      </c>
      <c r="AJ12" s="42">
        <f>'[1]побудинковий звіт'!AJ12+'[2]побудинковий звіт'!AJ12-'[3]побудинковий звіт'!AJ12</f>
        <v>62217.855868637133</v>
      </c>
      <c r="AK12" s="42">
        <f>'[1]побудинковий звіт'!AK12+'[2]побудинковий звіт'!AK12-'[3]побудинковий звіт'!AK12</f>
        <v>61670.488579936806</v>
      </c>
      <c r="AL12" s="56">
        <f t="shared" si="22"/>
        <v>-547.36728870032675</v>
      </c>
      <c r="AM12" s="42">
        <f>'[1]побудинковий звіт'!AM12+'[2]побудинковий звіт'!AM12-'[3]побудинковий звіт'!AM12</f>
        <v>0</v>
      </c>
      <c r="AN12" s="42">
        <f>'[1]побудинковий звіт'!AN12+'[2]побудинковий звіт'!AN12-'[3]побудинковий звіт'!AN12</f>
        <v>0</v>
      </c>
      <c r="AO12" s="56">
        <f t="shared" si="23"/>
        <v>0</v>
      </c>
      <c r="AP12" s="42">
        <f>'[1]побудинковий звіт'!AP12+'[2]побудинковий звіт'!AP12-'[3]побудинковий звіт'!AP12</f>
        <v>4971.8426251916617</v>
      </c>
      <c r="AQ12" s="42">
        <f>'[1]побудинковий звіт'!AQ12+'[2]побудинковий звіт'!AQ12-'[3]побудинковий звіт'!AQ12</f>
        <v>4733.1205949455943</v>
      </c>
      <c r="AR12" s="56">
        <f t="shared" si="24"/>
        <v>-238.72203024606733</v>
      </c>
      <c r="AS12" s="42">
        <f>'[1]побудинковий звіт'!AS12+'[2]побудинковий звіт'!AS12-'[3]побудинковий звіт'!AS12</f>
        <v>141898.69863195342</v>
      </c>
      <c r="AT12" s="42">
        <f>'[1]побудинковий звіт'!AT12+'[2]побудинковий звіт'!AT12-'[3]побудинковий звіт'!AT12</f>
        <v>350119</v>
      </c>
      <c r="AU12" s="58">
        <f t="shared" si="44"/>
        <v>208220.30136804658</v>
      </c>
      <c r="AV12" s="42">
        <f>'[1]побудинковий звіт'!AV12+'[2]побудинковий звіт'!AV12-'[3]побудинковий звіт'!AV12</f>
        <v>1171.1209214259991</v>
      </c>
      <c r="AW12" s="42">
        <f>'[1]побудинковий звіт'!AW12+'[2]побудинковий звіт'!AW12-'[3]побудинковий звіт'!AW12</f>
        <v>0</v>
      </c>
      <c r="AX12" s="59">
        <f t="shared" si="45"/>
        <v>-1171.1209214259991</v>
      </c>
      <c r="AY12" s="42">
        <f>'[1]побудинковий звіт'!AY12+'[2]побудинковий звіт'!AY12-'[3]побудинковий звіт'!AY12</f>
        <v>1645.433502069015</v>
      </c>
      <c r="AZ12" s="42">
        <f>'[1]побудинковий звіт'!AZ12+'[2]побудинковий звіт'!AZ12-'[3]побудинковий звіт'!AZ12</f>
        <v>3695</v>
      </c>
      <c r="BA12" s="37">
        <f t="shared" si="46"/>
        <v>2049.566497930985</v>
      </c>
      <c r="BB12" s="42">
        <f>'[1]побудинковий звіт'!BB12+'[2]побудинковий звіт'!BB12-'[3]побудинковий звіт'!BB12</f>
        <v>1986.6789211948194</v>
      </c>
      <c r="BC12" s="42">
        <f>'[1]побудинковий звіт'!BC12+'[2]побудинковий звіт'!BC12-'[3]побудинковий звіт'!BC12</f>
        <v>0</v>
      </c>
      <c r="BD12" s="59">
        <f t="shared" si="47"/>
        <v>-1986.6789211948194</v>
      </c>
      <c r="BE12" s="42">
        <f>'[1]побудинковий звіт'!BE12+'[2]побудинковий звіт'!BE12-'[3]побудинковий звіт'!BE12</f>
        <v>646.23445642325851</v>
      </c>
      <c r="BF12" s="42">
        <f>'[1]побудинковий звіт'!BF12+'[2]побудинковий звіт'!BF12-'[3]побудинковий звіт'!BF12</f>
        <v>0</v>
      </c>
      <c r="BG12" s="39">
        <f t="shared" si="48"/>
        <v>-646.23445642325851</v>
      </c>
      <c r="BH12" s="42">
        <f>'[1]побудинковий звіт'!BH12+'[2]побудинковий звіт'!BH12-'[3]побудинковий звіт'!BH12</f>
        <v>356.19052365989728</v>
      </c>
      <c r="BI12" s="42">
        <f>'[1]побудинковий звіт'!BI12+'[2]побудинковий звіт'!BI12-'[3]побудинковий звіт'!BI12</f>
        <v>76</v>
      </c>
      <c r="BJ12" s="59">
        <f t="shared" si="49"/>
        <v>-280.19052365989728</v>
      </c>
      <c r="BK12" s="42">
        <f>'[1]побудинковий звіт'!BK12+'[2]побудинковий звіт'!BK12-'[3]побудинковий звіт'!BK12</f>
        <v>838.65387638673394</v>
      </c>
      <c r="BL12" s="42">
        <f>'[1]побудинковий звіт'!BL12+'[2]побудинковий звіт'!BL12-'[3]побудинковий звіт'!BL12</f>
        <v>439</v>
      </c>
      <c r="BM12" s="39">
        <f t="shared" si="50"/>
        <v>-399.65387638673394</v>
      </c>
      <c r="BN12" s="42">
        <f>'[1]побудинковий звіт'!BN12+'[2]побудинковий звіт'!BN12-'[3]побудинковий звіт'!BN12</f>
        <v>0</v>
      </c>
      <c r="BO12" s="42">
        <f>'[1]побудинковий звіт'!BO12+'[2]побудинковий звіт'!BO12-'[3]побудинковий звіт'!BO12</f>
        <v>0</v>
      </c>
      <c r="BP12" s="59">
        <f t="shared" si="51"/>
        <v>0</v>
      </c>
      <c r="BQ12" s="87">
        <f t="shared" si="5"/>
        <v>6644.3122011597243</v>
      </c>
      <c r="BR12" s="43">
        <f t="shared" si="6"/>
        <v>4210</v>
      </c>
      <c r="BS12" s="59">
        <f t="shared" si="52"/>
        <v>-2434.3122011597243</v>
      </c>
      <c r="BT12" s="42">
        <f>'[1]побудинковий звіт'!BT12+'[2]побудинковий звіт'!BT12-'[3]побудинковий звіт'!BT12</f>
        <v>49263.02877620628</v>
      </c>
      <c r="BU12" s="42">
        <f>'[1]побудинковий звіт'!BU12+'[2]побудинковий звіт'!BU12-'[3]побудинковий звіт'!BU12</f>
        <v>38007.226424468783</v>
      </c>
      <c r="BV12" s="56">
        <f t="shared" si="25"/>
        <v>-11255.802351737497</v>
      </c>
      <c r="BW12" s="42">
        <f>'[1]побудинковий звіт'!BW12+'[2]побудинковий звіт'!BW12-'[3]побудинковий звіт'!BW12</f>
        <v>55197.369979832336</v>
      </c>
      <c r="BX12" s="42">
        <f>'[1]побудинковий звіт'!BX12+'[2]побудинковий звіт'!BX12-'[3]побудинковий звіт'!BX12</f>
        <v>51814.266965104107</v>
      </c>
      <c r="BY12" s="56">
        <f t="shared" si="26"/>
        <v>-3383.103014728229</v>
      </c>
      <c r="BZ12" s="42">
        <f>'[1]побудинковий звіт'!BZ12+'[2]побудинковий звіт'!BZ12-'[3]побудинковий звіт'!BZ12</f>
        <v>7047.4370349679893</v>
      </c>
      <c r="CA12" s="42">
        <f>'[1]побудинковий звіт'!CA12+'[2]побудинковий звіт'!CA12-'[3]побудинковий звіт'!CA12</f>
        <v>10137.830442546892</v>
      </c>
      <c r="CB12" s="56">
        <f t="shared" si="27"/>
        <v>3090.393407578903</v>
      </c>
      <c r="CC12" s="42">
        <f>'[1]побудинковий звіт'!CC12+'[2]побудинковий звіт'!CC12-'[3]побудинковий звіт'!CC12</f>
        <v>2175.6983872751325</v>
      </c>
      <c r="CD12" s="42">
        <f>'[1]побудинковий звіт'!CD12+'[2]побудинковий звіт'!CD12-'[3]побудинковий звіт'!CD12</f>
        <v>2156.5625048445413</v>
      </c>
      <c r="CE12" s="56">
        <f t="shared" si="28"/>
        <v>-19.135882430591209</v>
      </c>
      <c r="CF12" s="42">
        <f>'[1]побудинковий звіт'!CF12+'[2]побудинковий звіт'!CF12-'[3]побудинковий звіт'!CF12</f>
        <v>267.84165752440077</v>
      </c>
      <c r="CG12" s="42">
        <f>'[1]побудинковий звіт'!CG12+'[2]побудинковий звіт'!CG12-'[3]побудинковий звіт'!CG12</f>
        <v>0</v>
      </c>
      <c r="CH12" s="56">
        <f t="shared" si="29"/>
        <v>-267.84165752440077</v>
      </c>
      <c r="CI12" s="42">
        <f>'[1]побудинковий звіт'!CI12+'[2]побудинковий звіт'!CI12-'[3]побудинковий звіт'!CI12</f>
        <v>13981.991307362528</v>
      </c>
      <c r="CJ12" s="42">
        <f>'[1]побудинковий звіт'!CJ12+'[2]побудинковий звіт'!CJ12-'[3]побудинковий звіт'!CJ12</f>
        <v>12658.646969255386</v>
      </c>
      <c r="CK12" s="56">
        <f t="shared" si="30"/>
        <v>-1323.3443381071429</v>
      </c>
      <c r="CL12" s="42">
        <f>'[1]побудинковий звіт'!CL12+'[2]побудинковий звіт'!CL12-'[3]побудинковий звіт'!CL12</f>
        <v>21001.063248809573</v>
      </c>
      <c r="CM12" s="42">
        <f>'[1]побудинковий звіт'!CM12+'[2]побудинковий звіт'!CM12-'[3]побудинковий звіт'!CM12</f>
        <v>18989.943092270187</v>
      </c>
      <c r="CN12" s="56">
        <f t="shared" si="31"/>
        <v>-2011.1201565393858</v>
      </c>
      <c r="CO12" s="42">
        <f t="shared" si="7"/>
        <v>34983.054556172101</v>
      </c>
      <c r="CP12" s="43">
        <f t="shared" si="32"/>
        <v>31648.590061525574</v>
      </c>
      <c r="CQ12" s="56">
        <f t="shared" si="33"/>
        <v>-3334.4644946465269</v>
      </c>
      <c r="CR12" s="78">
        <f t="shared" si="8"/>
        <v>440442.54599908827</v>
      </c>
      <c r="CS12" s="5">
        <f t="shared" si="8"/>
        <v>628621.69721423497</v>
      </c>
      <c r="CT12" s="56">
        <f t="shared" si="34"/>
        <v>188179.1512151467</v>
      </c>
      <c r="CU12" s="87">
        <f t="shared" si="35"/>
        <v>528531.05519890587</v>
      </c>
      <c r="CV12" s="70">
        <f t="shared" si="36"/>
        <v>754346.03665708192</v>
      </c>
      <c r="CW12" s="37">
        <f t="shared" si="37"/>
        <v>225814.98145817604</v>
      </c>
      <c r="CX12" s="42">
        <f>'[1]побудинковий звіт'!CX12+'[2]побудинковий звіт'!CX12-'[3]побудинковий звіт'!CX12</f>
        <v>7924.5048010938917</v>
      </c>
      <c r="CY12" s="42">
        <f>'[1]побудинковий звіт'!CY12+'[2]побудинковий звіт'!CY12-'[3]побудинковий звіт'!CY12</f>
        <v>-217890.47665708201</v>
      </c>
      <c r="CZ12" s="56">
        <f t="shared" si="38"/>
        <v>-225814.9814581759</v>
      </c>
      <c r="DA12" s="264">
        <f>'[4]побудинковий звіт'!DA12</f>
        <v>175393.91089384642</v>
      </c>
      <c r="DB12" s="2">
        <v>3</v>
      </c>
      <c r="DC12" s="717">
        <f>'[4]побудинковий звіт'!DC12</f>
        <v>107112.53</v>
      </c>
      <c r="DD12" s="717">
        <f>'[4]побудинковий звіт'!DD12</f>
        <v>0</v>
      </c>
      <c r="DE12" s="717">
        <f>'[4]побудинковий звіт'!DE12</f>
        <v>62407.9</v>
      </c>
      <c r="DF12" s="717">
        <f>'[4]побудинковий звіт'!DF12</f>
        <v>0</v>
      </c>
      <c r="DG12" s="787">
        <v>-23136.694721064297</v>
      </c>
      <c r="DH12" s="761">
        <f t="shared" si="39"/>
        <v>6437466.7199999979</v>
      </c>
      <c r="DI12" s="784"/>
      <c r="DJ12" s="5"/>
      <c r="DK12" s="317">
        <f>VLOOKUP($A12,ціни!$A$4:$G$401,5)</f>
        <v>5.9482476944041096</v>
      </c>
      <c r="DL12" s="317">
        <f>VLOOKUP($A12,ціни!$A$4:$G$401,6)</f>
        <v>7.4855383352065115</v>
      </c>
      <c r="DM12" s="317">
        <f>VLOOKUP($A12,ціни!$A$4:$G$401,7)</f>
        <v>4.9623037621392525</v>
      </c>
      <c r="DN12" s="30">
        <f>DK12*G12+(F12-G12)*DL12</f>
        <v>44704.918418907466</v>
      </c>
      <c r="DO12" s="30">
        <f>DM12*H12</f>
        <v>0</v>
      </c>
      <c r="DP12" s="316">
        <f t="shared" si="40"/>
        <v>44704.918418907466</v>
      </c>
      <c r="DQ12" s="104"/>
      <c r="DR12" s="30">
        <f>VLOOKUP(A12,'ДЗ нас '!$A$1:$C$359,2)</f>
        <v>44704.63</v>
      </c>
      <c r="DS12" s="748"/>
      <c r="DT12" s="30">
        <f t="shared" si="41"/>
        <v>44704.63</v>
      </c>
      <c r="DU12" s="257">
        <f>VLOOKUP(A12,'новий кошторис с 01.06'!$A$4:$AI$399,35)*1.2</f>
        <v>44837.051182707197</v>
      </c>
      <c r="DV12" s="30">
        <f t="shared" si="42"/>
        <v>-132.42118270719948</v>
      </c>
      <c r="DW12" s="930">
        <f>'[5]побудинковий звіт'!DW12+'[6]побудинковий звіт'!DW12</f>
        <v>276</v>
      </c>
      <c r="DY12" s="5">
        <f t="shared" si="9"/>
        <v>178251.61299973575</v>
      </c>
      <c r="DZ12" s="5">
        <f t="shared" si="10"/>
        <v>425194.8</v>
      </c>
      <c r="EA12" s="752">
        <f t="shared" si="43"/>
        <v>62407.9</v>
      </c>
      <c r="EC12" s="592">
        <f t="shared" si="11"/>
        <v>1702784.3835834409</v>
      </c>
      <c r="EE12" s="758">
        <v>-65304</v>
      </c>
      <c r="EF12" s="738">
        <f t="shared" si="12"/>
        <v>-88440.694721064297</v>
      </c>
      <c r="EH12" s="813">
        <v>-80083.318847997638</v>
      </c>
    </row>
    <row r="13" spans="1:138" x14ac:dyDescent="0.3">
      <c r="A13" s="328">
        <v>150000703</v>
      </c>
      <c r="B13" s="44" t="s">
        <v>461</v>
      </c>
      <c r="C13" s="45" t="s">
        <v>339</v>
      </c>
      <c r="D13" s="45" t="s">
        <v>339</v>
      </c>
      <c r="E13" s="40">
        <f t="shared" si="3"/>
        <v>6316</v>
      </c>
      <c r="F13" s="490">
        <v>6316</v>
      </c>
      <c r="G13" s="30">
        <v>712.5</v>
      </c>
      <c r="H13" s="30">
        <v>0</v>
      </c>
      <c r="I13" s="42">
        <f>'[1]побудинковий звіт'!I13+'[2]побудинковий звіт'!I13-'[3]побудинковий звіт'!I13</f>
        <v>21822.328855203268</v>
      </c>
      <c r="J13" s="42">
        <f>'[1]побудинковий звіт'!J13+'[2]побудинковий звіт'!J13-'[3]побудинковий звіт'!J13</f>
        <v>20111.536390042904</v>
      </c>
      <c r="K13" s="56">
        <f t="shared" si="13"/>
        <v>-1710.7924651603644</v>
      </c>
      <c r="L13" s="42">
        <f>'[1]побудинковий звіт'!L13+'[2]побудинковий звіт'!L13-'[3]побудинковий звіт'!L13</f>
        <v>4098.1703672127951</v>
      </c>
      <c r="M13" s="42">
        <f>'[1]побудинковий звіт'!M13+'[2]побудинковий звіт'!M13-'[3]побудинковий звіт'!M13</f>
        <v>4037.5839148972</v>
      </c>
      <c r="N13" s="56">
        <f t="shared" si="14"/>
        <v>-60.586452315595125</v>
      </c>
      <c r="O13" s="42">
        <f>'[1]побудинковий звіт'!O13+'[2]побудинковий звіт'!O13-'[3]побудинковий звіт'!O13</f>
        <v>8294.52</v>
      </c>
      <c r="P13" s="42">
        <f>'[1]побудинковий звіт'!P13+'[2]побудинковий звіт'!P13-'[3]побудинковий звіт'!P13</f>
        <v>8293.6800000000021</v>
      </c>
      <c r="Q13" s="56">
        <f t="shared" si="15"/>
        <v>-0.83999999999832653</v>
      </c>
      <c r="R13" s="42">
        <f>'[1]побудинковий звіт'!R13+'[2]побудинковий звіт'!R13-'[3]побудинковий звіт'!R13</f>
        <v>1932.48</v>
      </c>
      <c r="S13" s="42">
        <f>'[1]побудинковий звіт'!S13+'[2]побудинковий звіт'!S13-'[3]побудинковий звіт'!S13</f>
        <v>1932.8399999999997</v>
      </c>
      <c r="T13" s="56">
        <f t="shared" si="16"/>
        <v>0.35999999999967258</v>
      </c>
      <c r="U13" s="42">
        <f>'[1]побудинковий звіт'!U13+'[2]побудинковий звіт'!U13-'[3]побудинковий звіт'!U13</f>
        <v>1170.2323882178873</v>
      </c>
      <c r="V13" s="42">
        <f>'[1]побудинковий звіт'!V13+'[2]побудинковий звіт'!V13-'[3]побудинковий звіт'!V13</f>
        <v>862.15682943845627</v>
      </c>
      <c r="W13" s="56">
        <f t="shared" si="17"/>
        <v>-308.07555877943105</v>
      </c>
      <c r="X13" s="42">
        <f>'[1]побудинковий звіт'!X13+'[2]побудинковий звіт'!X13-'[3]побудинковий звіт'!X13</f>
        <v>14311.687918399553</v>
      </c>
      <c r="Y13" s="42">
        <f>'[1]побудинковий звіт'!Y13+'[2]побудинковий звіт'!Y13-'[3]побудинковий звіт'!Y13</f>
        <v>18208.756177959338</v>
      </c>
      <c r="Z13" s="56">
        <f t="shared" si="18"/>
        <v>3897.0682595597846</v>
      </c>
      <c r="AA13" s="42">
        <f>'[1]побудинковий звіт'!AA13+'[2]побудинковий звіт'!AA13-'[3]побудинковий звіт'!AA13</f>
        <v>0</v>
      </c>
      <c r="AB13" s="42">
        <f>'[1]побудинковий звіт'!AB13+'[2]побудинковий звіт'!AB13-'[3]побудинковий звіт'!AB13</f>
        <v>0</v>
      </c>
      <c r="AC13" s="56">
        <f t="shared" si="19"/>
        <v>0</v>
      </c>
      <c r="AD13" s="42">
        <f>'[1]побудинковий звіт'!AD13+'[2]побудинковий звіт'!AD13-'[3]побудинковий звіт'!AD13</f>
        <v>27006.151963716617</v>
      </c>
      <c r="AE13" s="42">
        <f>'[1]побудинковий звіт'!AE13+'[2]побудинковий звіт'!AE13-'[3]побудинковий звіт'!AE13</f>
        <v>24891.458710855059</v>
      </c>
      <c r="AF13" s="37">
        <f t="shared" si="20"/>
        <v>-2114.693252861558</v>
      </c>
      <c r="AG13" s="87">
        <f t="shared" si="4"/>
        <v>78635.571492750125</v>
      </c>
      <c r="AH13" s="57">
        <f t="shared" si="4"/>
        <v>78338.012023192961</v>
      </c>
      <c r="AI13" s="56">
        <f t="shared" si="21"/>
        <v>-297.55946955716354</v>
      </c>
      <c r="AJ13" s="42">
        <f>'[1]побудинковий звіт'!AJ13+'[2]побудинковий звіт'!AJ13-'[3]побудинковий звіт'!AJ13</f>
        <v>62217.855868637133</v>
      </c>
      <c r="AK13" s="42">
        <f>'[1]побудинковий звіт'!AK13+'[2]побудинковий звіт'!AK13-'[3]побудинковий звіт'!AK13</f>
        <v>61505.968024372356</v>
      </c>
      <c r="AL13" s="56">
        <f t="shared" si="22"/>
        <v>-711.8878442647765</v>
      </c>
      <c r="AM13" s="42">
        <f>'[1]побудинковий звіт'!AM13+'[2]побудинковий звіт'!AM13-'[3]побудинковий звіт'!AM13</f>
        <v>0</v>
      </c>
      <c r="AN13" s="42">
        <f>'[1]побудинковий звіт'!AN13+'[2]побудинковий звіт'!AN13-'[3]побудинковий звіт'!AN13</f>
        <v>390.63100156347082</v>
      </c>
      <c r="AO13" s="56">
        <f t="shared" si="23"/>
        <v>390.63100156347082</v>
      </c>
      <c r="AP13" s="42">
        <f>'[1]побудинковий звіт'!AP13+'[2]побудинковий звіт'!AP13-'[3]побудинковий звіт'!AP13</f>
        <v>5019.1935073363438</v>
      </c>
      <c r="AQ13" s="42">
        <f>'[1]побудинковий звіт'!AQ13+'[2]побудинковий звіт'!AQ13-'[3]побудинковий звіт'!AQ13</f>
        <v>4826.7692179597261</v>
      </c>
      <c r="AR13" s="56">
        <f t="shared" si="24"/>
        <v>-192.42428937661771</v>
      </c>
      <c r="AS13" s="42">
        <f>'[1]побудинковий звіт'!AS13+'[2]побудинковий звіт'!AS13-'[3]побудинковий звіт'!AS13</f>
        <v>141935.43443123068</v>
      </c>
      <c r="AT13" s="42">
        <f>'[1]побудинковий звіт'!AT13+'[2]побудинковий звіт'!AT13-'[3]побудинковий звіт'!AT13</f>
        <v>369171.66317995457</v>
      </c>
      <c r="AU13" s="58">
        <f t="shared" si="44"/>
        <v>227236.22874872389</v>
      </c>
      <c r="AV13" s="42">
        <f>'[1]побудинковий звіт'!AV13+'[2]побудинковий звіт'!AV13-'[3]побудинковий звіт'!AV13</f>
        <v>1149.6382596650008</v>
      </c>
      <c r="AW13" s="42">
        <f>'[1]побудинковий звіт'!AW13+'[2]побудинковий звіт'!AW13-'[3]побудинковий звіт'!AW13</f>
        <v>0</v>
      </c>
      <c r="AX13" s="59">
        <f t="shared" si="45"/>
        <v>-1149.6382596650008</v>
      </c>
      <c r="AY13" s="42">
        <f>'[1]побудинковий звіт'!AY13+'[2]побудинковий звіт'!AY13-'[3]побудинковий звіт'!AY13</f>
        <v>1625.9951276560384</v>
      </c>
      <c r="AZ13" s="42">
        <f>'[1]побудинковий звіт'!AZ13+'[2]побудинковий звіт'!AZ13-'[3]побудинковий звіт'!AZ13</f>
        <v>3310</v>
      </c>
      <c r="BA13" s="37">
        <f t="shared" si="46"/>
        <v>1684.0048723439616</v>
      </c>
      <c r="BB13" s="42">
        <f>'[1]побудинковий звіт'!BB13+'[2]побудинковий звіт'!BB13-'[3]побудинковий звіт'!BB13</f>
        <v>2085.3863774385813</v>
      </c>
      <c r="BC13" s="42">
        <f>'[1]побудинковий звіт'!BC13+'[2]побудинковий звіт'!BC13-'[3]побудинковий звіт'!BC13</f>
        <v>0</v>
      </c>
      <c r="BD13" s="59">
        <f t="shared" si="47"/>
        <v>-2085.3863774385813</v>
      </c>
      <c r="BE13" s="42">
        <f>'[1]побудинковий звіт'!BE13+'[2]побудинковий звіт'!BE13-'[3]побудинковий звіт'!BE13</f>
        <v>652.43151498238683</v>
      </c>
      <c r="BF13" s="42">
        <f>'[1]побудинковий звіт'!BF13+'[2]побудинковий звіт'!BF13-'[3]побудинковий звіт'!BF13</f>
        <v>0</v>
      </c>
      <c r="BG13" s="39">
        <f t="shared" si="48"/>
        <v>-652.43151498238683</v>
      </c>
      <c r="BH13" s="42">
        <f>'[1]побудинковий звіт'!BH13+'[2]побудинковий звіт'!BH13-'[3]побудинковий звіт'!BH13</f>
        <v>356.19052365989728</v>
      </c>
      <c r="BI13" s="42">
        <f>'[1]побудинковий звіт'!BI13+'[2]побудинковий звіт'!BI13-'[3]побудинковий звіт'!BI13</f>
        <v>76</v>
      </c>
      <c r="BJ13" s="59">
        <f t="shared" si="49"/>
        <v>-280.19052365989728</v>
      </c>
      <c r="BK13" s="42">
        <f>'[1]побудинковий звіт'!BK13+'[2]побудинковий звіт'!BK13-'[3]побудинковий звіт'!BK13</f>
        <v>817.69904065707556</v>
      </c>
      <c r="BL13" s="42">
        <f>'[1]побудинковий звіт'!BL13+'[2]побудинковий звіт'!BL13-'[3]побудинковий звіт'!BL13</f>
        <v>21610</v>
      </c>
      <c r="BM13" s="39">
        <f t="shared" si="50"/>
        <v>20792.300959342923</v>
      </c>
      <c r="BN13" s="42">
        <f>'[1]побудинковий звіт'!BN13+'[2]побудинковий звіт'!BN13-'[3]побудинковий звіт'!BN13</f>
        <v>0</v>
      </c>
      <c r="BO13" s="42">
        <f>'[1]побудинковий звіт'!BO13+'[2]побудинковий звіт'!BO13-'[3]побудинковий звіт'!BO13</f>
        <v>3674</v>
      </c>
      <c r="BP13" s="59">
        <f t="shared" si="51"/>
        <v>3674</v>
      </c>
      <c r="BQ13" s="87">
        <f t="shared" si="5"/>
        <v>6687.3408440589801</v>
      </c>
      <c r="BR13" s="43">
        <f t="shared" si="6"/>
        <v>28670</v>
      </c>
      <c r="BS13" s="59">
        <f t="shared" si="52"/>
        <v>21982.659155941019</v>
      </c>
      <c r="BT13" s="42">
        <f>'[1]побудинковий звіт'!BT13+'[2]побудинковий звіт'!BT13-'[3]побудинковий звіт'!BT13</f>
        <v>51449.560104059317</v>
      </c>
      <c r="BU13" s="42">
        <f>'[1]побудинковий звіт'!BU13+'[2]побудинковий звіт'!BU13-'[3]побудинковий звіт'!BU13</f>
        <v>44843.933522170133</v>
      </c>
      <c r="BV13" s="56">
        <f t="shared" si="25"/>
        <v>-6605.6265818891843</v>
      </c>
      <c r="BW13" s="42">
        <f>'[1]побудинковий звіт'!BW13+'[2]побудинковий звіт'!BW13-'[3]побудинковий звіт'!BW13</f>
        <v>55751.284638078803</v>
      </c>
      <c r="BX13" s="42">
        <f>'[1]побудинковий звіт'!BX13+'[2]побудинковий звіт'!BX13-'[3]побудинковий звіт'!BX13</f>
        <v>52196.98896141474</v>
      </c>
      <c r="BY13" s="56">
        <f t="shared" si="26"/>
        <v>-3554.2956766640636</v>
      </c>
      <c r="BZ13" s="42">
        <f>'[1]побудинковий звіт'!BZ13+'[2]побудинковий звіт'!BZ13-'[3]побудинковий звіт'!BZ13</f>
        <v>7774.393215854032</v>
      </c>
      <c r="CA13" s="42">
        <f>'[1]побудинковий звіт'!CA13+'[2]побудинковий звіт'!CA13-'[3]побудинковий звіт'!CA13</f>
        <v>10408.732753074142</v>
      </c>
      <c r="CB13" s="56">
        <f t="shared" si="27"/>
        <v>2634.3395372201103</v>
      </c>
      <c r="CC13" s="42">
        <f>'[1]побудинковий звіт'!CC13+'[2]побудинковий звіт'!CC13-'[3]побудинковий звіт'!CC13</f>
        <v>2679.2532931849637</v>
      </c>
      <c r="CD13" s="42">
        <f>'[1]побудинковий звіт'!CD13+'[2]побудинковий звіт'!CD13-'[3]побудинковий звіт'!CD13</f>
        <v>2655.6885029916079</v>
      </c>
      <c r="CE13" s="56">
        <f t="shared" si="28"/>
        <v>-23.564790193355748</v>
      </c>
      <c r="CF13" s="42">
        <f>'[1]побудинковий звіт'!CF13+'[2]побудинковий звіт'!CF13-'[3]побудинковий звіт'!CF13</f>
        <v>329.8323182898157</v>
      </c>
      <c r="CG13" s="42">
        <f>'[1]побудинковий звіт'!CG13+'[2]побудинковий звіт'!CG13-'[3]побудинковий звіт'!CG13</f>
        <v>0</v>
      </c>
      <c r="CH13" s="56">
        <f t="shared" si="29"/>
        <v>-329.8323182898157</v>
      </c>
      <c r="CI13" s="42">
        <f>'[1]побудинковий звіт'!CI13+'[2]побудинковий звіт'!CI13-'[3]побудинковий звіт'!CI13</f>
        <v>9920.2883439118286</v>
      </c>
      <c r="CJ13" s="42">
        <f>'[1]побудинковий звіт'!CJ13+'[2]побудинковий звіт'!CJ13-'[3]побудинковий звіт'!CJ13</f>
        <v>9158.1631472599711</v>
      </c>
      <c r="CK13" s="56">
        <f t="shared" si="30"/>
        <v>-762.12519665185755</v>
      </c>
      <c r="CL13" s="42">
        <f>'[1]побудинковий звіт'!CL13+'[2]побудинковий звіт'!CL13-'[3]побудинковий звіт'!CL13</f>
        <v>14880.432515867749</v>
      </c>
      <c r="CM13" s="42">
        <f>'[1]побудинковий звіт'!CM13+'[2]побудинковий звіт'!CM13-'[3]побудинковий звіт'!CM13</f>
        <v>13743.321843094498</v>
      </c>
      <c r="CN13" s="56">
        <f t="shared" si="31"/>
        <v>-1137.1106727732513</v>
      </c>
      <c r="CO13" s="42">
        <f t="shared" si="7"/>
        <v>24800.720859779576</v>
      </c>
      <c r="CP13" s="43">
        <f t="shared" si="32"/>
        <v>22901.484990354467</v>
      </c>
      <c r="CQ13" s="56">
        <f t="shared" si="33"/>
        <v>-1899.2358694251088</v>
      </c>
      <c r="CR13" s="78">
        <f t="shared" si="8"/>
        <v>437280.44057325972</v>
      </c>
      <c r="CS13" s="5">
        <f t="shared" si="8"/>
        <v>675909.87217704824</v>
      </c>
      <c r="CT13" s="56">
        <f t="shared" si="34"/>
        <v>238629.43160378851</v>
      </c>
      <c r="CU13" s="87">
        <f t="shared" si="35"/>
        <v>524736.52868791169</v>
      </c>
      <c r="CV13" s="70">
        <f t="shared" si="36"/>
        <v>811091.84661245788</v>
      </c>
      <c r="CW13" s="37">
        <f t="shared" si="37"/>
        <v>286355.31792454619</v>
      </c>
      <c r="CX13" s="42">
        <f>'[1]побудинковий звіт'!CX13+'[2]побудинковий звіт'!CX13-'[3]побудинковий звіт'!CX13</f>
        <v>13138.271312088211</v>
      </c>
      <c r="CY13" s="42">
        <f>'[1]побудинковий звіт'!CY13+'[2]побудинковий звіт'!CY13-'[3]побудинковий звіт'!CY13</f>
        <v>-273217.04661245772</v>
      </c>
      <c r="CZ13" s="56">
        <f t="shared" si="38"/>
        <v>-286355.31792454596</v>
      </c>
      <c r="DA13" s="264">
        <f>'[4]побудинковий звіт'!DA13</f>
        <v>40170.983496376575</v>
      </c>
      <c r="DB13" s="2">
        <v>3</v>
      </c>
      <c r="DC13" s="717">
        <f>'[4]побудинковий звіт'!DC13</f>
        <v>126793.19</v>
      </c>
      <c r="DD13" s="717">
        <f>'[4]побудинковий звіт'!DD13</f>
        <v>0</v>
      </c>
      <c r="DE13" s="717">
        <f>'[4]побудинковий звіт'!DE13</f>
        <v>81970.290000000008</v>
      </c>
      <c r="DF13" s="717">
        <f>'[4]побудинковий звіт'!DF13</f>
        <v>0</v>
      </c>
      <c r="DG13" s="787">
        <v>-157709.17921246565</v>
      </c>
      <c r="DH13" s="761">
        <f t="shared" si="39"/>
        <v>6454497.5999999996</v>
      </c>
      <c r="DI13" s="784"/>
      <c r="DJ13" s="5"/>
      <c r="DK13" s="317">
        <f>VLOOKUP($A13,ціни!$A$4:$G$401,5)</f>
        <v>5.8452632836205494</v>
      </c>
      <c r="DL13" s="317">
        <f>VLOOKUP($A13,ціни!$A$4:$G$401,6)</f>
        <v>7.2555558792146861</v>
      </c>
      <c r="DM13" s="317">
        <f>VLOOKUP($A13,ціни!$A$4:$G$401,7)</f>
        <v>4.8749049911248123</v>
      </c>
      <c r="DN13" s="30">
        <f>DK13*G13+(F13-G13)*DL13</f>
        <v>44821.257458759137</v>
      </c>
      <c r="DO13" s="30">
        <f>DM13*H13</f>
        <v>0</v>
      </c>
      <c r="DP13" s="316">
        <f t="shared" si="40"/>
        <v>44821.257458759137</v>
      </c>
      <c r="DQ13" s="104"/>
      <c r="DR13" s="30">
        <f>VLOOKUP(A13,'ДЗ нас '!$A$1:$C$359,2)</f>
        <v>44876.59</v>
      </c>
      <c r="DS13" s="748"/>
      <c r="DT13" s="30">
        <f t="shared" si="41"/>
        <v>44876.59</v>
      </c>
      <c r="DU13" s="257">
        <f>VLOOKUP(A13,'новий кошторис с 01.06'!$A$4:$AI$399,35)*1.2</f>
        <v>45039.897739045766</v>
      </c>
      <c r="DV13" s="30">
        <f t="shared" si="42"/>
        <v>-163.30773904576927</v>
      </c>
      <c r="DW13" s="930">
        <f>'[5]побудинковий звіт'!DW13+'[6]побудинковий звіт'!DW13</f>
        <v>276</v>
      </c>
      <c r="DY13" s="5">
        <f t="shared" si="9"/>
        <v>178347.33033034758</v>
      </c>
      <c r="DZ13" s="5">
        <f t="shared" si="10"/>
        <v>477409.99581594544</v>
      </c>
      <c r="EA13" s="752">
        <f t="shared" si="43"/>
        <v>81970.290000000008</v>
      </c>
      <c r="EC13" s="592">
        <f t="shared" si="11"/>
        <v>1703225.2131747683</v>
      </c>
      <c r="EE13" s="758">
        <v>34484</v>
      </c>
      <c r="EF13" s="738">
        <f t="shared" si="12"/>
        <v>-123225.17921246565</v>
      </c>
      <c r="EH13" s="813">
        <v>-192392.44459653684</v>
      </c>
    </row>
    <row r="14" spans="1:138" x14ac:dyDescent="0.3">
      <c r="A14" s="328">
        <v>150000781</v>
      </c>
      <c r="B14" s="44" t="s">
        <v>462</v>
      </c>
      <c r="C14" s="45" t="s">
        <v>33</v>
      </c>
      <c r="D14" s="45" t="s">
        <v>33</v>
      </c>
      <c r="E14" s="40">
        <f t="shared" si="3"/>
        <v>263.3</v>
      </c>
      <c r="F14" s="490">
        <v>263.3</v>
      </c>
      <c r="G14" s="30"/>
      <c r="H14" s="30">
        <v>0</v>
      </c>
      <c r="I14" s="42">
        <f>'[1]побудинковий звіт'!I14+'[2]побудинковий звіт'!I14-'[3]побудинковий звіт'!I14</f>
        <v>0</v>
      </c>
      <c r="J14" s="42">
        <f>'[1]побудинковий звіт'!J14+'[2]побудинковий звіт'!J14-'[3]побудинковий звіт'!J14</f>
        <v>0</v>
      </c>
      <c r="K14" s="56">
        <f t="shared" si="13"/>
        <v>0</v>
      </c>
      <c r="L14" s="42">
        <f>'[1]побудинковий звіт'!L14+'[2]побудинковий звіт'!L14-'[3]побудинковий звіт'!L14</f>
        <v>0</v>
      </c>
      <c r="M14" s="42">
        <f>'[1]побудинковий звіт'!M14+'[2]побудинковий звіт'!M14-'[3]побудинковий звіт'!M14</f>
        <v>0</v>
      </c>
      <c r="N14" s="56">
        <f t="shared" si="14"/>
        <v>0</v>
      </c>
      <c r="O14" s="42">
        <f>'[1]побудинковий звіт'!O14+'[2]побудинковий звіт'!O14-'[3]побудинковий звіт'!O14</f>
        <v>0</v>
      </c>
      <c r="P14" s="42">
        <f>'[1]побудинковий звіт'!P14+'[2]побудинковий звіт'!P14-'[3]побудинковий звіт'!P14</f>
        <v>0</v>
      </c>
      <c r="Q14" s="56">
        <f t="shared" si="15"/>
        <v>0</v>
      </c>
      <c r="R14" s="42">
        <f>'[1]побудинковий звіт'!R14+'[2]побудинковий звіт'!R14-'[3]побудинковий звіт'!R14</f>
        <v>0</v>
      </c>
      <c r="S14" s="42">
        <f>'[1]побудинковий звіт'!S14+'[2]побудинковий звіт'!S14-'[3]побудинковий звіт'!S14</f>
        <v>0</v>
      </c>
      <c r="T14" s="56">
        <f t="shared" si="16"/>
        <v>0</v>
      </c>
      <c r="U14" s="42">
        <f>'[1]побудинковий звіт'!U14+'[2]побудинковий звіт'!U14-'[3]побудинковий звіт'!U14</f>
        <v>0</v>
      </c>
      <c r="V14" s="42">
        <f>'[1]побудинковий звіт'!V14+'[2]побудинковий звіт'!V14-'[3]побудинковий звіт'!V14</f>
        <v>0</v>
      </c>
      <c r="W14" s="56">
        <f t="shared" si="17"/>
        <v>0</v>
      </c>
      <c r="X14" s="42">
        <f>'[1]побудинковий звіт'!X14+'[2]побудинковий звіт'!X14-'[3]побудинковий звіт'!X14</f>
        <v>0</v>
      </c>
      <c r="Y14" s="42">
        <f>'[1]побудинковий звіт'!Y14+'[2]побудинковий звіт'!Y14-'[3]побудинковий звіт'!Y14</f>
        <v>0</v>
      </c>
      <c r="Z14" s="56">
        <f t="shared" si="18"/>
        <v>0</v>
      </c>
      <c r="AA14" s="42">
        <f>'[1]побудинковий звіт'!AA14+'[2]побудинковий звіт'!AA14-'[3]побудинковий звіт'!AA14</f>
        <v>0</v>
      </c>
      <c r="AB14" s="42">
        <f>'[1]побудинковий звіт'!AB14+'[2]побудинковий звіт'!AB14-'[3]побудинковий звіт'!AB14</f>
        <v>0</v>
      </c>
      <c r="AC14" s="56">
        <f t="shared" si="19"/>
        <v>0</v>
      </c>
      <c r="AD14" s="42">
        <f>'[1]побудинковий звіт'!AD14+'[2]побудинковий звіт'!AD14-'[3]побудинковий звіт'!AD14</f>
        <v>0</v>
      </c>
      <c r="AE14" s="42">
        <f>'[1]побудинковий звіт'!AE14+'[2]побудинковий звіт'!AE14-'[3]побудинковий звіт'!AE14</f>
        <v>175.38922277043503</v>
      </c>
      <c r="AF14" s="37">
        <f t="shared" si="20"/>
        <v>175.38922277043503</v>
      </c>
      <c r="AG14" s="87">
        <f t="shared" si="4"/>
        <v>0</v>
      </c>
      <c r="AH14" s="57">
        <f t="shared" si="4"/>
        <v>175.38922277043503</v>
      </c>
      <c r="AI14" s="56">
        <f t="shared" si="21"/>
        <v>175.38922277043503</v>
      </c>
      <c r="AJ14" s="42">
        <f>'[1]побудинковий звіт'!AJ14+'[2]побудинковий звіт'!AJ14-'[3]побудинковий звіт'!AJ14</f>
        <v>0</v>
      </c>
      <c r="AK14" s="42">
        <f>'[1]побудинковий звіт'!AK14+'[2]побудинковий звіт'!AK14-'[3]побудинковий звіт'!AK14</f>
        <v>0</v>
      </c>
      <c r="AL14" s="56">
        <f t="shared" si="22"/>
        <v>0</v>
      </c>
      <c r="AM14" s="42">
        <f>'[1]побудинковий звіт'!AM14+'[2]побудинковий звіт'!AM14-'[3]побудинковий звіт'!AM14</f>
        <v>0</v>
      </c>
      <c r="AN14" s="42">
        <f>'[1]побудинковий звіт'!AN14+'[2]побудинковий звіт'!AN14-'[3]побудинковий звіт'!AN14</f>
        <v>0</v>
      </c>
      <c r="AO14" s="56">
        <f t="shared" si="23"/>
        <v>0</v>
      </c>
      <c r="AP14" s="42">
        <f>'[1]побудинковий звіт'!AP14+'[2]побудинковий звіт'!AP14-'[3]побудинковий звіт'!AP14</f>
        <v>426.15793930214227</v>
      </c>
      <c r="AQ14" s="42">
        <f>'[1]побудинковий звіт'!AQ14+'[2]побудинковий звіт'!AQ14-'[3]побудинковий звіт'!AQ14</f>
        <v>163.50097099840306</v>
      </c>
      <c r="AR14" s="56">
        <f t="shared" si="24"/>
        <v>-262.65696830373918</v>
      </c>
      <c r="AS14" s="42">
        <f>'[1]побудинковий звіт'!AS14+'[2]побудинковий звіт'!AS14-'[3]побудинковий звіт'!AS14</f>
        <v>3760.1545370985978</v>
      </c>
      <c r="AT14" s="42">
        <f>'[1]побудинковий звіт'!AT14+'[2]побудинковий звіт'!AT14-'[3]побудинковий звіт'!AT14</f>
        <v>0</v>
      </c>
      <c r="AU14" s="58">
        <f t="shared" si="44"/>
        <v>-3760.1545370985978</v>
      </c>
      <c r="AV14" s="42">
        <f>'[1]побудинковий звіт'!AV14+'[2]побудинковий звіт'!AV14-'[3]побудинковий звіт'!AV14</f>
        <v>0</v>
      </c>
      <c r="AW14" s="42">
        <f>'[1]побудинковий звіт'!AW14+'[2]побудинковий звіт'!AW14-'[3]побудинковий звіт'!AW14</f>
        <v>0</v>
      </c>
      <c r="AX14" s="59">
        <f t="shared" si="45"/>
        <v>0</v>
      </c>
      <c r="AY14" s="42">
        <f>'[1]побудинковий звіт'!AY14+'[2]побудинковий звіт'!AY14-'[3]побудинковий звіт'!AY14</f>
        <v>0</v>
      </c>
      <c r="AZ14" s="42">
        <f>'[1]побудинковий звіт'!AZ14+'[2]побудинковий звіт'!AZ14-'[3]побудинковий звіт'!AZ14</f>
        <v>0</v>
      </c>
      <c r="BA14" s="37">
        <f t="shared" si="46"/>
        <v>0</v>
      </c>
      <c r="BB14" s="42">
        <f>'[1]побудинковий звіт'!BB14+'[2]побудинковий звіт'!BB14-'[3]побудинковий звіт'!BB14</f>
        <v>0</v>
      </c>
      <c r="BC14" s="42">
        <f>'[1]побудинковий звіт'!BC14+'[2]побудинковий звіт'!BC14-'[3]побудинковий звіт'!BC14</f>
        <v>0</v>
      </c>
      <c r="BD14" s="59">
        <f t="shared" si="47"/>
        <v>0</v>
      </c>
      <c r="BE14" s="42">
        <f>'[1]побудинковий звіт'!BE14+'[2]побудинковий звіт'!BE14-'[3]побудинковий звіт'!BE14</f>
        <v>0</v>
      </c>
      <c r="BF14" s="42">
        <f>'[1]побудинковий звіт'!BF14+'[2]побудинковий звіт'!BF14-'[3]побудинковий звіт'!BF14</f>
        <v>0</v>
      </c>
      <c r="BG14" s="39">
        <f t="shared" si="48"/>
        <v>0</v>
      </c>
      <c r="BH14" s="42">
        <f>'[1]побудинковий звіт'!BH14+'[2]побудинковий звіт'!BH14-'[3]побудинковий звіт'!BH14</f>
        <v>0</v>
      </c>
      <c r="BI14" s="42">
        <f>'[1]побудинковий звіт'!BI14+'[2]побудинковий звіт'!BI14-'[3]побудинковий звіт'!BI14</f>
        <v>0</v>
      </c>
      <c r="BJ14" s="59">
        <f t="shared" si="49"/>
        <v>0</v>
      </c>
      <c r="BK14" s="42">
        <f>'[1]побудинковий звіт'!BK14+'[2]побудинковий звіт'!BK14-'[3]побудинковий звіт'!BK14</f>
        <v>0</v>
      </c>
      <c r="BL14" s="42">
        <f>'[1]побудинковий звіт'!BL14+'[2]побудинковий звіт'!BL14-'[3]побудинковий звіт'!BL14</f>
        <v>0</v>
      </c>
      <c r="BM14" s="39">
        <f t="shared" si="50"/>
        <v>0</v>
      </c>
      <c r="BN14" s="42">
        <f>'[1]побудинковий звіт'!BN14+'[2]побудинковий звіт'!BN14-'[3]побудинковий звіт'!BN14</f>
        <v>0</v>
      </c>
      <c r="BO14" s="42">
        <f>'[1]побудинковий звіт'!BO14+'[2]побудинковий звіт'!BO14-'[3]побудинковий звіт'!BO14</f>
        <v>0</v>
      </c>
      <c r="BP14" s="59">
        <f t="shared" si="51"/>
        <v>0</v>
      </c>
      <c r="BQ14" s="87">
        <f t="shared" si="5"/>
        <v>0</v>
      </c>
      <c r="BR14" s="43">
        <f t="shared" si="6"/>
        <v>0</v>
      </c>
      <c r="BS14" s="59">
        <f t="shared" si="52"/>
        <v>0</v>
      </c>
      <c r="BT14" s="42">
        <f>'[1]побудинковий звіт'!BT14+'[2]побудинковий звіт'!BT14-'[3]побудинковий звіт'!BT14</f>
        <v>0</v>
      </c>
      <c r="BU14" s="42">
        <f>'[1]побудинковий звіт'!BU14+'[2]побудинковий звіт'!BU14-'[3]побудинковий звіт'!BU14</f>
        <v>0</v>
      </c>
      <c r="BV14" s="56">
        <f t="shared" si="25"/>
        <v>0</v>
      </c>
      <c r="BW14" s="42">
        <f>'[1]побудинковий звіт'!BW14+'[2]побудинковий звіт'!BW14-'[3]побудинковий звіт'!BW14</f>
        <v>0</v>
      </c>
      <c r="BX14" s="42">
        <f>'[1]побудинковий звіт'!BX14+'[2]побудинковий звіт'!BX14-'[3]побудинковий звіт'!BX14</f>
        <v>8.4818019462502559</v>
      </c>
      <c r="BY14" s="56">
        <f t="shared" si="26"/>
        <v>8.4818019462502559</v>
      </c>
      <c r="BZ14" s="42">
        <f>'[1]побудинковий звіт'!BZ14+'[2]побудинковий звіт'!BZ14-'[3]побудинковий звіт'!BZ14</f>
        <v>0</v>
      </c>
      <c r="CA14" s="42">
        <f>'[1]побудинковий звіт'!CA14+'[2]побудинковий звіт'!CA14-'[3]побудинковий звіт'!CA14</f>
        <v>0</v>
      </c>
      <c r="CB14" s="56">
        <f t="shared" si="27"/>
        <v>0</v>
      </c>
      <c r="CC14" s="42">
        <f>'[1]побудинковий звіт'!CC14+'[2]побудинковий звіт'!CC14-'[3]побудинковий звіт'!CC14</f>
        <v>0</v>
      </c>
      <c r="CD14" s="42">
        <f>'[1]побудинковий звіт'!CD14+'[2]побудинковий звіт'!CD14-'[3]побудинковий звіт'!CD14</f>
        <v>0</v>
      </c>
      <c r="CE14" s="56">
        <f t="shared" si="28"/>
        <v>0</v>
      </c>
      <c r="CF14" s="42">
        <f>'[1]побудинковий звіт'!CF14+'[2]побудинковий звіт'!CF14-'[3]побудинковий звіт'!CF14</f>
        <v>0</v>
      </c>
      <c r="CG14" s="42">
        <f>'[1]побудинковий звіт'!CG14+'[2]побудинковий звіт'!CG14-'[3]побудинковий звіт'!CG14</f>
        <v>0</v>
      </c>
      <c r="CH14" s="56">
        <f t="shared" si="29"/>
        <v>0</v>
      </c>
      <c r="CI14" s="42">
        <f>'[1]побудинковий звіт'!CI14+'[2]побудинковий звіт'!CI14-'[3]побудинковий звіт'!CI14</f>
        <v>0</v>
      </c>
      <c r="CJ14" s="42">
        <f>'[1]побудинковий звіт'!CJ14+'[2]побудинковий звіт'!CJ14-'[3]побудинковий звіт'!CJ14</f>
        <v>0</v>
      </c>
      <c r="CK14" s="56">
        <f t="shared" si="30"/>
        <v>0</v>
      </c>
      <c r="CL14" s="42">
        <f>'[1]побудинковий звіт'!CL14+'[2]побудинковий звіт'!CL14-'[3]побудинковий звіт'!CL14</f>
        <v>0</v>
      </c>
      <c r="CM14" s="42">
        <f>'[1]побудинковий звіт'!CM14+'[2]побудинковий звіт'!CM14-'[3]побудинковий звіт'!CM14</f>
        <v>0</v>
      </c>
      <c r="CN14" s="56">
        <f t="shared" si="31"/>
        <v>0</v>
      </c>
      <c r="CO14" s="42">
        <f t="shared" si="7"/>
        <v>0</v>
      </c>
      <c r="CP14" s="43">
        <f t="shared" si="32"/>
        <v>0</v>
      </c>
      <c r="CQ14" s="56">
        <f t="shared" si="33"/>
        <v>0</v>
      </c>
      <c r="CR14" s="78">
        <f t="shared" si="8"/>
        <v>4186.3124764007398</v>
      </c>
      <c r="CS14" s="5">
        <f t="shared" si="8"/>
        <v>347.37199571508836</v>
      </c>
      <c r="CT14" s="56">
        <f t="shared" si="34"/>
        <v>-3838.9404806856514</v>
      </c>
      <c r="CU14" s="87">
        <f t="shared" si="35"/>
        <v>5023.5749716808878</v>
      </c>
      <c r="CV14" s="70">
        <f t="shared" si="36"/>
        <v>416.84639485810601</v>
      </c>
      <c r="CW14" s="37">
        <f t="shared" si="37"/>
        <v>-4606.7285768227821</v>
      </c>
      <c r="CX14" s="42">
        <f>'[1]побудинковий звіт'!CX14+'[2]побудинковий звіт'!CX14-'[3]побудинковий звіт'!CX14</f>
        <v>226.18502831911314</v>
      </c>
      <c r="CY14" s="42">
        <f>'[1]побудинковий звіт'!CY14+'[2]побудинковий звіт'!CY14-'[3]побудинковий звіт'!CY14</f>
        <v>4832.9136051418945</v>
      </c>
      <c r="CZ14" s="56">
        <f t="shared" si="38"/>
        <v>4606.7285768227812</v>
      </c>
      <c r="DA14" s="264">
        <f>'[4]побудинковий звіт'!DA14</f>
        <v>-13186.362423184084</v>
      </c>
      <c r="DB14" s="2">
        <v>3</v>
      </c>
      <c r="DC14" s="717">
        <f>'[4]побудинковий звіт'!DC14</f>
        <v>3217.64</v>
      </c>
      <c r="DD14" s="717">
        <f>'[4]побудинковий звіт'!DD14</f>
        <v>0</v>
      </c>
      <c r="DE14" s="717">
        <f>'[4]побудинковий звіт'!DE14</f>
        <v>2780.16</v>
      </c>
      <c r="DF14" s="717">
        <f>'[4]побудинковий звіт'!DF14</f>
        <v>0</v>
      </c>
      <c r="DG14" s="787">
        <v>-6921.1129278960798</v>
      </c>
      <c r="DH14" s="761">
        <f t="shared" si="39"/>
        <v>62997.12000000001</v>
      </c>
      <c r="DI14" s="784"/>
      <c r="DJ14" s="5"/>
      <c r="DK14" s="317">
        <f>VLOOKUP($A14,ціни!$A$4:$G$401,5)</f>
        <v>1.6614874811389189</v>
      </c>
      <c r="DL14" s="317"/>
      <c r="DM14" s="317">
        <f>VLOOKUP($A14,ціни!$A$4:$G$401,7)</f>
        <v>1.6614874811389189</v>
      </c>
      <c r="DN14" s="30">
        <f>F14*DK14</f>
        <v>437.46965378387733</v>
      </c>
      <c r="DO14" s="30">
        <f>H14*DM14</f>
        <v>0</v>
      </c>
      <c r="DP14" s="316">
        <f t="shared" si="40"/>
        <v>437.46965378387733</v>
      </c>
      <c r="DQ14" s="104"/>
      <c r="DR14" s="30">
        <f>VLOOKUP(A14,'ДЗ нас '!$A$1:$C$359,2)</f>
        <v>437.48</v>
      </c>
      <c r="DS14" s="748"/>
      <c r="DT14" s="30">
        <f t="shared" si="41"/>
        <v>437.48</v>
      </c>
      <c r="DU14" s="257">
        <f>VLOOKUP(A14,'новий кошторис с 01.06'!$A$4:$AI$399,35)*1.2</f>
        <v>441.23733501263797</v>
      </c>
      <c r="DV14" s="30">
        <f t="shared" si="42"/>
        <v>-3.7573350126379523</v>
      </c>
      <c r="DW14" s="930">
        <f>'[5]побудинковий звіт'!DW14+'[6]побудинковий звіт'!DW14</f>
        <v>0</v>
      </c>
      <c r="DY14" s="5">
        <f t="shared" si="9"/>
        <v>4512.1854445183171</v>
      </c>
      <c r="DZ14" s="5">
        <f t="shared" si="10"/>
        <v>0</v>
      </c>
      <c r="EA14" s="752">
        <f t="shared" si="43"/>
        <v>2780.16</v>
      </c>
      <c r="EC14" s="592">
        <f t="shared" si="11"/>
        <v>45121.854445183169</v>
      </c>
      <c r="EE14" s="758">
        <v>-3035</v>
      </c>
      <c r="EF14" s="738">
        <f t="shared" si="12"/>
        <v>-9956.1129278960798</v>
      </c>
      <c r="EH14" s="813">
        <v>-9205.1629507728831</v>
      </c>
    </row>
    <row r="15" spans="1:138" x14ac:dyDescent="0.3">
      <c r="A15" s="328">
        <v>150000497</v>
      </c>
      <c r="B15" s="44" t="s">
        <v>463</v>
      </c>
      <c r="C15" s="45" t="s">
        <v>340</v>
      </c>
      <c r="D15" s="45" t="s">
        <v>340</v>
      </c>
      <c r="E15" s="40">
        <f t="shared" si="3"/>
        <v>4163.4000000000005</v>
      </c>
      <c r="F15" s="490">
        <v>4099.3</v>
      </c>
      <c r="G15" s="30">
        <v>274</v>
      </c>
      <c r="H15" s="30">
        <v>64.099999999999994</v>
      </c>
      <c r="I15" s="42">
        <f>'[1]побудинковий звіт'!I15+'[2]побудинковий звіт'!I15-'[3]побудинковий звіт'!I15</f>
        <v>15237.081027044591</v>
      </c>
      <c r="J15" s="42">
        <f>'[1]побудинковий звіт'!J15+'[2]побудинковий звіт'!J15-'[3]побудинковий звіт'!J15</f>
        <v>13179.65905966685</v>
      </c>
      <c r="K15" s="56">
        <f t="shared" si="13"/>
        <v>-2057.4219673777407</v>
      </c>
      <c r="L15" s="42">
        <f>'[1]побудинковий звіт'!L15+'[2]побудинковий звіт'!L15-'[3]побудинковий звіт'!L15</f>
        <v>2281.6903186868381</v>
      </c>
      <c r="M15" s="42">
        <f>'[1]побудинковий звіт'!M15+'[2]побудинковий звіт'!M15-'[3]побудинковий звіт'!M15</f>
        <v>2179.5172291657873</v>
      </c>
      <c r="N15" s="56">
        <f t="shared" si="14"/>
        <v>-102.17308952105077</v>
      </c>
      <c r="O15" s="42">
        <f>'[1]побудинковий звіт'!O15+'[2]побудинковий звіт'!O15-'[3]побудинковий звіт'!O15</f>
        <v>6631.0800000000008</v>
      </c>
      <c r="P15" s="42">
        <f>'[1]побудинковий звіт'!P15+'[2]побудинковий звіт'!P15-'[3]побудинковий звіт'!P15</f>
        <v>6631.2000000000016</v>
      </c>
      <c r="Q15" s="56">
        <f t="shared" si="15"/>
        <v>0.12000000000080036</v>
      </c>
      <c r="R15" s="42">
        <f>'[1]побудинковий звіт'!R15+'[2]побудинковий звіт'!R15-'[3]побудинковий звіт'!R15</f>
        <v>1319.2800000000002</v>
      </c>
      <c r="S15" s="42">
        <f>'[1]побудинковий звіт'!S15+'[2]побудинковий звіт'!S15-'[3]побудинковий звіт'!S15</f>
        <v>1319.5200000000002</v>
      </c>
      <c r="T15" s="56">
        <f t="shared" si="16"/>
        <v>0.24000000000000909</v>
      </c>
      <c r="U15" s="42">
        <f>'[1]побудинковий звіт'!U15+'[2]побудинковий звіт'!U15-'[3]побудинковий звіт'!U15</f>
        <v>780.05784393801946</v>
      </c>
      <c r="V15" s="42">
        <f>'[1]побудинковий звіт'!V15+'[2]побудинковий звіт'!V15-'[3]побудинковий звіт'!V15</f>
        <v>386.17554362296005</v>
      </c>
      <c r="W15" s="56">
        <f t="shared" si="17"/>
        <v>-393.88230031505941</v>
      </c>
      <c r="X15" s="42">
        <f>'[1]побудинковий звіт'!X15+'[2]побудинковий звіт'!X15-'[3]побудинковий звіт'!X15</f>
        <v>5537.402992514184</v>
      </c>
      <c r="Y15" s="42">
        <f>'[1]побудинковий звіт'!Y15+'[2]побудинковий звіт'!Y15-'[3]побудинковий звіт'!Y15</f>
        <v>3351.2308607369569</v>
      </c>
      <c r="Z15" s="56">
        <f t="shared" si="18"/>
        <v>-2186.1721317772272</v>
      </c>
      <c r="AA15" s="42">
        <f>'[1]побудинковий звіт'!AA15+'[2]побудинковий звіт'!AA15-'[3]побудинковий звіт'!AA15</f>
        <v>0</v>
      </c>
      <c r="AB15" s="42">
        <f>'[1]побудинковий звіт'!AB15+'[2]побудинковий звіт'!AB15-'[3]побудинковий звіт'!AB15</f>
        <v>0</v>
      </c>
      <c r="AC15" s="56">
        <f t="shared" si="19"/>
        <v>0</v>
      </c>
      <c r="AD15" s="42">
        <f>'[1]побудинковий звіт'!AD15+'[2]побудинковий звіт'!AD15-'[3]побудинковий звіт'!AD15</f>
        <v>17801.997005341636</v>
      </c>
      <c r="AE15" s="42">
        <f>'[1]побудинковий звіт'!AE15+'[2]побудинковий звіт'!AE15-'[3]побудинковий звіт'!AE15</f>
        <v>16388.389233712311</v>
      </c>
      <c r="AF15" s="37">
        <f t="shared" si="20"/>
        <v>-1413.6077716293257</v>
      </c>
      <c r="AG15" s="87">
        <f t="shared" si="4"/>
        <v>49588.589187525271</v>
      </c>
      <c r="AH15" s="57">
        <f t="shared" si="4"/>
        <v>43435.691926904867</v>
      </c>
      <c r="AI15" s="56">
        <f t="shared" si="21"/>
        <v>-6152.8972606204043</v>
      </c>
      <c r="AJ15" s="42">
        <f>'[1]побудинковий звіт'!AJ15+'[2]побудинковий звіт'!AJ15-'[3]побудинковий звіт'!AJ15</f>
        <v>57609.066383578771</v>
      </c>
      <c r="AK15" s="42">
        <f>'[1]побудинковий звіт'!AK15+'[2]побудинковий звіт'!AK15-'[3]побудинковий звіт'!AK15</f>
        <v>57102.241616139538</v>
      </c>
      <c r="AL15" s="56">
        <f t="shared" si="22"/>
        <v>-506.82476743923326</v>
      </c>
      <c r="AM15" s="42">
        <f>'[1]побудинковий звіт'!AM15+'[2]побудинковий звіт'!AM15-'[3]побудинковий звіт'!AM15</f>
        <v>0</v>
      </c>
      <c r="AN15" s="42">
        <f>'[1]побудинковий звіт'!AN15+'[2]побудинковий звіт'!AN15-'[3]побудинковий звіт'!AN15</f>
        <v>0</v>
      </c>
      <c r="AO15" s="56">
        <f t="shared" si="23"/>
        <v>0</v>
      </c>
      <c r="AP15" s="42">
        <f>'[1]побудинковий звіт'!AP15+'[2]побудинковий звіт'!AP15-'[3]побудинковий звіт'!AP15</f>
        <v>3361.9126322724574</v>
      </c>
      <c r="AQ15" s="42">
        <f>'[1]побудинковий звіт'!AQ15+'[2]побудинковий звіт'!AQ15-'[3]побудинковий звіт'!AQ15</f>
        <v>3260.9333815215973</v>
      </c>
      <c r="AR15" s="56">
        <f t="shared" si="24"/>
        <v>-100.97925075086005</v>
      </c>
      <c r="AS15" s="42">
        <f>'[1]побудинковий звіт'!AS15+'[2]побудинковий звіт'!AS15-'[3]побудинковий звіт'!AS15</f>
        <v>61354.24266351141</v>
      </c>
      <c r="AT15" s="42">
        <f>'[1]побудинковий звіт'!AT15+'[2]побудинковий звіт'!AT15-'[3]побудинковий звіт'!AT15</f>
        <v>113799</v>
      </c>
      <c r="AU15" s="58">
        <f t="shared" si="44"/>
        <v>52444.75733648859</v>
      </c>
      <c r="AV15" s="42">
        <f>'[1]побудинковий звіт'!AV15+'[2]побудинковий звіт'!AV15-'[3]побудинковий звіт'!AV15</f>
        <v>1138.6768985519086</v>
      </c>
      <c r="AW15" s="42">
        <f>'[1]побудинковий звіт'!AW15+'[2]побудинковий звіт'!AW15-'[3]побудинковий звіт'!AW15</f>
        <v>10570</v>
      </c>
      <c r="AX15" s="59">
        <f t="shared" si="45"/>
        <v>9431.3231014480916</v>
      </c>
      <c r="AY15" s="42">
        <f>'[1]побудинковий звіт'!AY15+'[2]побудинковий звіт'!AY15-'[3]побудинковий звіт'!AY15</f>
        <v>1370.8439651512381</v>
      </c>
      <c r="AZ15" s="42">
        <f>'[1]побудинковий звіт'!AZ15+'[2]побудинковий звіт'!AZ15-'[3]побудинковий звіт'!AZ15</f>
        <v>2092</v>
      </c>
      <c r="BA15" s="37">
        <f t="shared" si="46"/>
        <v>721.15603484876192</v>
      </c>
      <c r="BB15" s="42">
        <f>'[1]побудинковий звіт'!BB15+'[2]побудинковий звіт'!BB15-'[3]побудинковий звіт'!BB15</f>
        <v>1348.876858526321</v>
      </c>
      <c r="BC15" s="42">
        <f>'[1]побудинковий звіт'!BC15+'[2]побудинковий звіт'!BC15-'[3]побудинковий звіт'!BC15</f>
        <v>663</v>
      </c>
      <c r="BD15" s="59">
        <f t="shared" si="47"/>
        <v>-685.87685852632103</v>
      </c>
      <c r="BE15" s="42">
        <f>'[1]побудинковий звіт'!BE15+'[2]побудинковий звіт'!BE15-'[3]побудинковий звіт'!BE15</f>
        <v>632.59131205310621</v>
      </c>
      <c r="BF15" s="42">
        <f>'[1]побудинковий звіт'!BF15+'[2]побудинковий звіт'!BF15-'[3]побудинковий звіт'!BF15</f>
        <v>1562</v>
      </c>
      <c r="BG15" s="39">
        <f t="shared" si="48"/>
        <v>929.40868794689379</v>
      </c>
      <c r="BH15" s="42">
        <f>'[1]побудинковий звіт'!BH15+'[2]побудинковий звіт'!BH15-'[3]побудинковий звіт'!BH15</f>
        <v>395.76741189229665</v>
      </c>
      <c r="BI15" s="42">
        <f>'[1]побудинковий звіт'!BI15+'[2]побудинковий звіт'!BI15-'[3]побудинковий звіт'!BI15</f>
        <v>0</v>
      </c>
      <c r="BJ15" s="59">
        <f t="shared" si="49"/>
        <v>-395.76741189229665</v>
      </c>
      <c r="BK15" s="42">
        <f>'[1]побудинковий звіт'!BK15+'[2]побудинковий звіт'!BK15-'[3]побудинковий звіт'!BK15</f>
        <v>707.09293208318377</v>
      </c>
      <c r="BL15" s="42">
        <f>'[1]побудинковий звіт'!BL15+'[2]побудинковий звіт'!BL15-'[3]побудинковий звіт'!BL15</f>
        <v>8355.4661192619114</v>
      </c>
      <c r="BM15" s="39">
        <f t="shared" si="50"/>
        <v>7648.3731871787277</v>
      </c>
      <c r="BN15" s="42">
        <f>'[1]побудинковий звіт'!BN15+'[2]побудинковий звіт'!BN15-'[3]побудинковий звіт'!BN15</f>
        <v>323.17389556343255</v>
      </c>
      <c r="BO15" s="42">
        <f>'[1]побудинковий звіт'!BO15+'[2]побудинковий звіт'!BO15-'[3]побудинковий звіт'!BO15</f>
        <v>5921</v>
      </c>
      <c r="BP15" s="59">
        <f t="shared" si="51"/>
        <v>5597.8261044365672</v>
      </c>
      <c r="BQ15" s="87">
        <f t="shared" si="5"/>
        <v>5917.0232738214872</v>
      </c>
      <c r="BR15" s="43">
        <f t="shared" si="6"/>
        <v>29163.46611926191</v>
      </c>
      <c r="BS15" s="59">
        <f t="shared" si="52"/>
        <v>23246.442845440422</v>
      </c>
      <c r="BT15" s="42">
        <f>'[1]побудинковий звіт'!BT15+'[2]побудинковий звіт'!BT15-'[3]побудинковий звіт'!BT15</f>
        <v>68154.352746088392</v>
      </c>
      <c r="BU15" s="42">
        <f>'[1]побудинковий звіт'!BU15+'[2]побудинковий звіт'!BU15-'[3]побудинковий звіт'!BU15</f>
        <v>78269.604036027566</v>
      </c>
      <c r="BV15" s="56">
        <f t="shared" si="25"/>
        <v>10115.251289939173</v>
      </c>
      <c r="BW15" s="42">
        <f>'[1]побудинковий звіт'!BW15+'[2]побудинковий звіт'!BW15-'[3]побудинковий звіт'!BW15</f>
        <v>40473.332268932259</v>
      </c>
      <c r="BX15" s="42">
        <f>'[1]побудинковий звіт'!BX15+'[2]побудинковий звіт'!BX15-'[3]побудинковий звіт'!BX15</f>
        <v>45389.075155040686</v>
      </c>
      <c r="BY15" s="56">
        <f t="shared" si="26"/>
        <v>4915.7428861084263</v>
      </c>
      <c r="BZ15" s="42">
        <f>'[1]побудинковий звіт'!BZ15+'[2]побудинковий звіт'!BZ15-'[3]побудинковий звіт'!BZ15</f>
        <v>12942.356027680198</v>
      </c>
      <c r="CA15" s="42">
        <f>'[1]побудинковий звіт'!CA15+'[2]побудинковий звіт'!CA15-'[3]побудинковий звіт'!CA15</f>
        <v>20150.489847757504</v>
      </c>
      <c r="CB15" s="56">
        <f t="shared" si="27"/>
        <v>7208.1338200773062</v>
      </c>
      <c r="CC15" s="42">
        <f>'[1]побудинковий звіт'!CC15+'[2]побудинковий звіт'!CC15-'[3]побудинковий звіт'!CC15</f>
        <v>1700.0860725226803</v>
      </c>
      <c r="CD15" s="42">
        <f>'[1]побудинковий звіт'!CD15+'[2]побудинковий звіт'!CD15-'[3]побудинковий звіт'!CD15</f>
        <v>1685.1333348656817</v>
      </c>
      <c r="CE15" s="56">
        <f t="shared" si="28"/>
        <v>-14.952737656998579</v>
      </c>
      <c r="CF15" s="42">
        <f>'[1]побудинковий звіт'!CF15+'[2]побудинковий звіт'!CF15-'[3]побудинковий звіт'!CF15</f>
        <v>209.29089907949657</v>
      </c>
      <c r="CG15" s="42">
        <f>'[1]побудинковий звіт'!CG15+'[2]побудинковий звіт'!CG15-'[3]побудинковий звіт'!CG15</f>
        <v>0</v>
      </c>
      <c r="CH15" s="56">
        <f t="shared" si="29"/>
        <v>-209.29089907949657</v>
      </c>
      <c r="CI15" s="42">
        <f>'[1]побудинковий звіт'!CI15+'[2]побудинковий звіт'!CI15-'[3]побудинковий звіт'!CI15</f>
        <v>12840.222271553805</v>
      </c>
      <c r="CJ15" s="42">
        <f>'[1]побудинковий звіт'!CJ15+'[2]побудинковий звіт'!CJ15-'[3]побудинковий звіт'!CJ15</f>
        <v>10663.976382606585</v>
      </c>
      <c r="CK15" s="56">
        <f t="shared" si="30"/>
        <v>-2176.24588894722</v>
      </c>
      <c r="CL15" s="42">
        <f>'[1]побудинковий звіт'!CL15+'[2]побудинковий звіт'!CL15-'[3]побудинковий звіт'!CL15</f>
        <v>13495.33565275553</v>
      </c>
      <c r="CM15" s="42">
        <f>'[1]побудинковий звіт'!CM15+'[2]побудинковий звіт'!CM15-'[3]побудинковий звіт'!CM15</f>
        <v>16006.819279694355</v>
      </c>
      <c r="CN15" s="56">
        <f t="shared" si="31"/>
        <v>2511.4836269388252</v>
      </c>
      <c r="CO15" s="42">
        <f t="shared" si="7"/>
        <v>26335.557924309334</v>
      </c>
      <c r="CP15" s="43">
        <f t="shared" si="32"/>
        <v>26670.795662300938</v>
      </c>
      <c r="CQ15" s="56">
        <f t="shared" si="33"/>
        <v>335.23773799160335</v>
      </c>
      <c r="CR15" s="78">
        <f t="shared" si="8"/>
        <v>327645.81007932173</v>
      </c>
      <c r="CS15" s="5">
        <f t="shared" si="8"/>
        <v>418926.43107982032</v>
      </c>
      <c r="CT15" s="56">
        <f t="shared" si="34"/>
        <v>91280.621000498591</v>
      </c>
      <c r="CU15" s="87">
        <f t="shared" si="35"/>
        <v>393174.97209518607</v>
      </c>
      <c r="CV15" s="70">
        <f t="shared" si="36"/>
        <v>502711.71729578439</v>
      </c>
      <c r="CW15" s="37">
        <f t="shared" si="37"/>
        <v>109536.74520059832</v>
      </c>
      <c r="CX15" s="42">
        <f>'[1]побудинковий звіт'!CX15+'[2]побудинковий звіт'!CX15-'[3]побудинковий звіт'!CX15</f>
        <v>6035.8279048138938</v>
      </c>
      <c r="CY15" s="42">
        <f>'[1]побудинковий звіт'!CY15+'[2]побудинковий звіт'!CY15-'[3]побудинковий звіт'!CY15</f>
        <v>-103500.9172957844</v>
      </c>
      <c r="CZ15" s="56">
        <f t="shared" si="38"/>
        <v>-109536.74520059829</v>
      </c>
      <c r="DA15" s="264">
        <f>'[4]побудинковий звіт'!DA15</f>
        <v>37059.265037846286</v>
      </c>
      <c r="DB15" s="2">
        <v>1</v>
      </c>
      <c r="DC15" s="717">
        <f>'[4]побудинковий звіт'!DC15</f>
        <v>82985.539999999994</v>
      </c>
      <c r="DD15" s="717">
        <f>'[4]побудинковий звіт'!DD15</f>
        <v>0</v>
      </c>
      <c r="DE15" s="717">
        <f>'[4]побудинковий звіт'!DE15</f>
        <v>50068.609999999993</v>
      </c>
      <c r="DF15" s="717">
        <f>'[4]побудинковий звіт'!DF15</f>
        <v>-376.63</v>
      </c>
      <c r="DG15" s="787">
        <v>-80936.66504804953</v>
      </c>
      <c r="DH15" s="761">
        <f t="shared" si="39"/>
        <v>4790529.5999999996</v>
      </c>
      <c r="DI15" s="784"/>
      <c r="DJ15" s="5"/>
      <c r="DK15" s="317">
        <f>VLOOKUP($A15,ціни!$A$4:$G$401,5)</f>
        <v>6.2696809416747836</v>
      </c>
      <c r="DL15" s="317">
        <f>VLOOKUP($A15,ціни!$A$4:$G$401,6)</f>
        <v>8.1563556617458719</v>
      </c>
      <c r="DM15" s="317">
        <f>VLOOKUP($A15,ціни!$A$4:$G$401,7)</f>
        <v>5.2675480835534882</v>
      </c>
      <c r="DN15" s="30">
        <f>DK15*G15+(F15-G15)*DL15</f>
        <v>32918.399890895373</v>
      </c>
      <c r="DO15" s="30">
        <f>DM15*H15</f>
        <v>337.64983215577854</v>
      </c>
      <c r="DP15" s="316">
        <f t="shared" si="40"/>
        <v>33256.049723051154</v>
      </c>
      <c r="DQ15" s="104"/>
      <c r="DR15" s="30">
        <f>VLOOKUP(A15,'ДЗ нас '!$A$1:$C$359,2)</f>
        <v>32916.93</v>
      </c>
      <c r="DS15" s="748">
        <f>VLOOKUP(A15,'ДЗ нежит'!$A$1:$D$153,4,0)</f>
        <v>376.63</v>
      </c>
      <c r="DT15" s="30">
        <f t="shared" si="41"/>
        <v>33293.56</v>
      </c>
      <c r="DU15" s="257">
        <f>VLOOKUP(A15,'новий кошторис с 01.06'!$A$4:$AI$399,35)*1.2</f>
        <v>33354.343466074955</v>
      </c>
      <c r="DV15" s="30">
        <f t="shared" si="42"/>
        <v>-60.783466074957687</v>
      </c>
      <c r="DW15" s="930">
        <f>'[5]побудинковий звіт'!DW15+'[6]побудинковий звіт'!DW15</f>
        <v>202</v>
      </c>
      <c r="DY15" s="5">
        <f t="shared" si="9"/>
        <v>80725.519124799466</v>
      </c>
      <c r="DZ15" s="5">
        <f t="shared" si="10"/>
        <v>171554.95934311431</v>
      </c>
      <c r="EA15" s="752">
        <f t="shared" si="43"/>
        <v>49691.979999999996</v>
      </c>
      <c r="EC15" s="592">
        <f t="shared" si="11"/>
        <v>736250.91196213686</v>
      </c>
      <c r="EE15" s="758">
        <v>22536</v>
      </c>
      <c r="EF15" s="738">
        <f t="shared" si="12"/>
        <v>-58400.66504804953</v>
      </c>
      <c r="EH15" s="813">
        <v>-67368.594597629155</v>
      </c>
    </row>
    <row r="16" spans="1:138" x14ac:dyDescent="0.3">
      <c r="A16" s="328">
        <v>150000495</v>
      </c>
      <c r="B16" s="44" t="s">
        <v>464</v>
      </c>
      <c r="C16" s="45" t="s">
        <v>147</v>
      </c>
      <c r="D16" s="45" t="s">
        <v>147</v>
      </c>
      <c r="E16" s="40">
        <f t="shared" si="3"/>
        <v>409.93</v>
      </c>
      <c r="F16" s="490">
        <v>409.93</v>
      </c>
      <c r="G16" s="30"/>
      <c r="H16" s="30">
        <v>0</v>
      </c>
      <c r="I16" s="42">
        <f>'[1]побудинковий звіт'!I16+'[2]побудинковий звіт'!I16-'[3]побудинковий звіт'!I16</f>
        <v>1055.2366362775244</v>
      </c>
      <c r="J16" s="42">
        <f>'[1]побудинковий звіт'!J16+'[2]побудинковий звіт'!J16-'[3]побудинковий звіт'!J16</f>
        <v>906.77915381738467</v>
      </c>
      <c r="K16" s="56">
        <f t="shared" si="13"/>
        <v>-148.45748246013977</v>
      </c>
      <c r="L16" s="42">
        <f>'[1]побудинковий звіт'!L16+'[2]побудинковий звіт'!L16-'[3]побудинковий звіт'!L16</f>
        <v>425.20310390660103</v>
      </c>
      <c r="M16" s="42">
        <f>'[1]побудинковий звіт'!M16+'[2]побудинковий звіт'!M16-'[3]побудинковий звіт'!M16</f>
        <v>382.7630382937183</v>
      </c>
      <c r="N16" s="56">
        <f t="shared" si="14"/>
        <v>-42.440065612882734</v>
      </c>
      <c r="O16" s="42">
        <f>'[1]побудинковий звіт'!O16+'[2]побудинковий звіт'!O16-'[3]побудинковий звіт'!O16</f>
        <v>656.15999999999985</v>
      </c>
      <c r="P16" s="42">
        <f>'[1]побудинковий звіт'!P16+'[2]побудинковий звіт'!P16-'[3]побудинковий звіт'!P16</f>
        <v>656.04</v>
      </c>
      <c r="Q16" s="56">
        <f t="shared" si="15"/>
        <v>-0.11999999999989086</v>
      </c>
      <c r="R16" s="42">
        <f>'[1]побудинковий звіт'!R16+'[2]побудинковий звіт'!R16-'[3]побудинковий звіт'!R16</f>
        <v>0</v>
      </c>
      <c r="S16" s="42">
        <f>'[1]побудинковий звіт'!S16+'[2]побудинковий звіт'!S16-'[3]побудинковий звіт'!S16</f>
        <v>0</v>
      </c>
      <c r="T16" s="56">
        <f t="shared" si="16"/>
        <v>0</v>
      </c>
      <c r="U16" s="42">
        <f>'[1]побудинковий звіт'!U16+'[2]побудинковий звіт'!U16-'[3]побудинковий звіт'!U16</f>
        <v>0</v>
      </c>
      <c r="V16" s="42">
        <f>'[1]побудинковий звіт'!V16+'[2]побудинковий звіт'!V16-'[3]побудинковий звіт'!V16</f>
        <v>0</v>
      </c>
      <c r="W16" s="56">
        <f t="shared" si="17"/>
        <v>0</v>
      </c>
      <c r="X16" s="42">
        <f>'[1]побудинковий звіт'!X16+'[2]побудинковий звіт'!X16-'[3]побудинковий звіт'!X16</f>
        <v>593.34845657632729</v>
      </c>
      <c r="Y16" s="42">
        <f>'[1]побудинковий звіт'!Y16+'[2]побудинковий звіт'!Y16-'[3]побудинковий звіт'!Y16</f>
        <v>426.51629628044458</v>
      </c>
      <c r="Z16" s="56">
        <f t="shared" si="18"/>
        <v>-166.83216029588272</v>
      </c>
      <c r="AA16" s="42">
        <f>'[1]побудинковий звіт'!AA16+'[2]побудинковий звіт'!AA16-'[3]побудинковий звіт'!AA16</f>
        <v>0</v>
      </c>
      <c r="AB16" s="42">
        <f>'[1]побудинковий звіт'!AB16+'[2]побудинковий звіт'!AB16-'[3]побудинковий звіт'!AB16</f>
        <v>0</v>
      </c>
      <c r="AC16" s="56">
        <f t="shared" si="19"/>
        <v>0</v>
      </c>
      <c r="AD16" s="42">
        <f>'[1]побудинковий звіт'!AD16+'[2]побудинковий звіт'!AD16-'[3]побудинковий звіт'!AD16</f>
        <v>1752.7916204063258</v>
      </c>
      <c r="AE16" s="42">
        <f>'[1]побудинковий звіт'!AE16+'[2]побудинковий звіт'!AE16-'[3]побудинковий звіт'!AE16</f>
        <v>1615.5363611816563</v>
      </c>
      <c r="AF16" s="37">
        <f t="shared" si="20"/>
        <v>-137.25525922466954</v>
      </c>
      <c r="AG16" s="87">
        <f t="shared" si="4"/>
        <v>4482.7398171667783</v>
      </c>
      <c r="AH16" s="57">
        <f t="shared" si="4"/>
        <v>3987.6348495732036</v>
      </c>
      <c r="AI16" s="56">
        <f t="shared" si="21"/>
        <v>-495.10496759357466</v>
      </c>
      <c r="AJ16" s="42">
        <f>'[1]побудинковий звіт'!AJ16+'[2]побудинковий звіт'!AJ16-'[3]побудинковий звіт'!AJ16</f>
        <v>0</v>
      </c>
      <c r="AK16" s="42">
        <f>'[1]побудинковий звіт'!AK16+'[2]побудинковий звіт'!AK16-'[3]побудинковий звіт'!AK16</f>
        <v>0</v>
      </c>
      <c r="AL16" s="56">
        <f t="shared" si="22"/>
        <v>0</v>
      </c>
      <c r="AM16" s="42">
        <f>'[1]побудинковий звіт'!AM16+'[2]побудинковий звіт'!AM16-'[3]побудинковий звіт'!AM16</f>
        <v>0</v>
      </c>
      <c r="AN16" s="42">
        <f>'[1]побудинковий звіт'!AN16+'[2]побудинковий звіт'!AN16-'[3]побудинковий звіт'!AN16</f>
        <v>0</v>
      </c>
      <c r="AO16" s="56">
        <f t="shared" si="23"/>
        <v>0</v>
      </c>
      <c r="AP16" s="42">
        <f>'[1]побудинковий звіт'!AP16+'[2]побудинковий звіт'!AP16-'[3]побудинковий звіт'!AP16</f>
        <v>1136.4211714723797</v>
      </c>
      <c r="AQ16" s="42">
        <f>'[1]побудинковий звіт'!AQ16+'[2]побудинковий звіт'!AQ16-'[3]побудинковий звіт'!AQ16</f>
        <v>984.0365084606666</v>
      </c>
      <c r="AR16" s="56">
        <f t="shared" si="24"/>
        <v>-152.38466301171309</v>
      </c>
      <c r="AS16" s="42">
        <f>'[1]побудинковий звіт'!AS16+'[2]побудинковий звіт'!AS16-'[3]побудинковий звіт'!AS16</f>
        <v>5275.4233081419625</v>
      </c>
      <c r="AT16" s="42">
        <f>'[1]побудинковий звіт'!AT16+'[2]побудинковий звіт'!AT16-'[3]побудинковий звіт'!AT16</f>
        <v>3325.3007882232137</v>
      </c>
      <c r="AU16" s="58">
        <f t="shared" si="44"/>
        <v>-1950.1225199187488</v>
      </c>
      <c r="AV16" s="42">
        <f>'[1]побудинковий звіт'!AV16+'[2]побудинковий звіт'!AV16-'[3]побудинковий звіт'!AV16</f>
        <v>406.17784979833885</v>
      </c>
      <c r="AW16" s="42">
        <f>'[1]побудинковий звіт'!AW16+'[2]побудинковий звіт'!AW16-'[3]побудинковий звіт'!AW16</f>
        <v>0</v>
      </c>
      <c r="AX16" s="59">
        <f t="shared" si="45"/>
        <v>-406.17784979833885</v>
      </c>
      <c r="AY16" s="42">
        <f>'[1]побудинковий звіт'!AY16+'[2]побудинковий звіт'!AY16-'[3]побудинковий звіт'!AY16</f>
        <v>548.01401471969587</v>
      </c>
      <c r="AZ16" s="42">
        <f>'[1]побудинковий звіт'!AZ16+'[2]побудинковий звіт'!AZ16-'[3]побудинковий звіт'!AZ16</f>
        <v>0</v>
      </c>
      <c r="BA16" s="37">
        <f t="shared" si="46"/>
        <v>-548.01401471969587</v>
      </c>
      <c r="BB16" s="42">
        <f>'[1]побудинковий звіт'!BB16+'[2]побудинковий звіт'!BB16-'[3]побудинковий звіт'!BB16</f>
        <v>189.01238177322887</v>
      </c>
      <c r="BC16" s="42">
        <f>'[1]побудинковий звіт'!BC16+'[2]побудинковий звіт'!BC16-'[3]побудинковий звіт'!BC16</f>
        <v>0</v>
      </c>
      <c r="BD16" s="59">
        <f t="shared" si="47"/>
        <v>-189.01238177322887</v>
      </c>
      <c r="BE16" s="42">
        <f>'[1]побудинковий звіт'!BE16+'[2]побудинковий звіт'!BE16-'[3]побудинковий звіт'!BE16</f>
        <v>0</v>
      </c>
      <c r="BF16" s="42">
        <f>'[1]побудинковий звіт'!BF16+'[2]побудинковий звіт'!BF16-'[3]побудинковий звіт'!BF16</f>
        <v>0</v>
      </c>
      <c r="BG16" s="39">
        <f t="shared" si="48"/>
        <v>0</v>
      </c>
      <c r="BH16" s="42">
        <f>'[1]побудинковий звіт'!BH16+'[2]побудинковий звіт'!BH16-'[3]побудинковий звіт'!BH16</f>
        <v>0</v>
      </c>
      <c r="BI16" s="42">
        <f>'[1]побудинковий звіт'!BI16+'[2]побудинковий звіт'!BI16-'[3]побудинковий звіт'!BI16</f>
        <v>377</v>
      </c>
      <c r="BJ16" s="59">
        <f t="shared" si="49"/>
        <v>377</v>
      </c>
      <c r="BK16" s="42">
        <f>'[1]побудинковий звіт'!BK16+'[2]побудинковий звіт'!BK16-'[3]побудинковий звіт'!BK16</f>
        <v>118.62766249183653</v>
      </c>
      <c r="BL16" s="42">
        <f>'[1]побудинковий звіт'!BL16+'[2]побудинковий звіт'!BL16-'[3]побудинковий звіт'!BL16</f>
        <v>0</v>
      </c>
      <c r="BM16" s="39">
        <f t="shared" si="50"/>
        <v>-118.62766249183653</v>
      </c>
      <c r="BN16" s="42">
        <f>'[1]побудинковий звіт'!BN16+'[2]побудинковий звіт'!BN16-'[3]побудинковий звіт'!BN16</f>
        <v>167.44238903209089</v>
      </c>
      <c r="BO16" s="42">
        <f>'[1]побудинковий звіт'!BO16+'[2]побудинковий звіт'!BO16-'[3]побудинковий звіт'!BO16</f>
        <v>0</v>
      </c>
      <c r="BP16" s="59">
        <f t="shared" si="51"/>
        <v>-167.44238903209089</v>
      </c>
      <c r="BQ16" s="87">
        <f t="shared" si="5"/>
        <v>1429.2742978151909</v>
      </c>
      <c r="BR16" s="43">
        <f t="shared" si="6"/>
        <v>377</v>
      </c>
      <c r="BS16" s="59">
        <f t="shared" si="52"/>
        <v>-1052.2742978151909</v>
      </c>
      <c r="BT16" s="42">
        <f>'[1]побудинковий звіт'!BT16+'[2]побудинковий звіт'!BT16-'[3]побудинковий звіт'!BT16</f>
        <v>6611.8340365098447</v>
      </c>
      <c r="BU16" s="42">
        <f>'[1]побудинковий звіт'!BU16+'[2]побудинковий звіт'!BU16-'[3]побудинковий звіт'!BU16</f>
        <v>9549.0780740289665</v>
      </c>
      <c r="BV16" s="56">
        <f t="shared" si="25"/>
        <v>2937.2440375191218</v>
      </c>
      <c r="BW16" s="42">
        <f>'[1]побудинковий звіт'!BW16+'[2]побудинковий звіт'!BW16-'[3]побудинковий звіт'!BW16</f>
        <v>3719.5427875735927</v>
      </c>
      <c r="BX16" s="42">
        <f>'[1]побудинковий звіт'!BX16+'[2]побудинковий звіт'!BX16-'[3]побудинковий звіт'!BX16</f>
        <v>4553.8481469833523</v>
      </c>
      <c r="BY16" s="56">
        <f t="shared" si="26"/>
        <v>834.3053594097596</v>
      </c>
      <c r="BZ16" s="42">
        <f>'[1]побудинковий звіт'!BZ16+'[2]побудинковий звіт'!BZ16-'[3]побудинковий звіт'!BZ16</f>
        <v>1802.182760570545</v>
      </c>
      <c r="CA16" s="42">
        <f>'[1]побудинковий звіт'!CA16+'[2]побудинковий звіт'!CA16-'[3]побудинковий звіт'!CA16</f>
        <v>2082.3310323057949</v>
      </c>
      <c r="CB16" s="56">
        <f t="shared" si="27"/>
        <v>280.14827173524986</v>
      </c>
      <c r="CC16" s="42">
        <f>'[1]побудинковий звіт'!CC16+'[2]побудинковий звіт'!CC16-'[3]побудинковий звіт'!CC16</f>
        <v>0</v>
      </c>
      <c r="CD16" s="42">
        <f>'[1]побудинковий звіт'!CD16+'[2]побудинковий звіт'!CD16-'[3]побудинковий звіт'!CD16</f>
        <v>0</v>
      </c>
      <c r="CE16" s="56">
        <f t="shared" si="28"/>
        <v>0</v>
      </c>
      <c r="CF16" s="42">
        <f>'[1]побудинковий звіт'!CF16+'[2]побудинковий звіт'!CF16-'[3]побудинковий звіт'!CF16</f>
        <v>0</v>
      </c>
      <c r="CG16" s="42">
        <f>'[1]побудинковий звіт'!CG16+'[2]побудинковий звіт'!CG16-'[3]побудинковий звіт'!CG16</f>
        <v>0</v>
      </c>
      <c r="CH16" s="56">
        <f t="shared" si="29"/>
        <v>0</v>
      </c>
      <c r="CI16" s="42">
        <f>'[1]побудинковий звіт'!CI16+'[2]побудинковий звіт'!CI16-'[3]побудинковий звіт'!CI16</f>
        <v>1310.2267624034496</v>
      </c>
      <c r="CJ16" s="42">
        <f>'[1]побудинковий звіт'!CJ16+'[2]побудинковий звіт'!CJ16-'[3]побудинковий звіт'!CJ16</f>
        <v>728.66143591459502</v>
      </c>
      <c r="CK16" s="56">
        <f t="shared" si="30"/>
        <v>-581.56532648885457</v>
      </c>
      <c r="CL16" s="42">
        <f>'[1]побудинковий звіт'!CL16+'[2]побудинковий звіт'!CL16-'[3]побудинковий звіт'!CL16</f>
        <v>0</v>
      </c>
      <c r="CM16" s="42">
        <f>'[1]побудинковий звіт'!CM16+'[2]побудинковий звіт'!CM16-'[3]побудинковий звіт'!CM16</f>
        <v>0</v>
      </c>
      <c r="CN16" s="56">
        <f t="shared" si="31"/>
        <v>0</v>
      </c>
      <c r="CO16" s="42">
        <f t="shared" si="7"/>
        <v>1310.2267624034496</v>
      </c>
      <c r="CP16" s="43">
        <f t="shared" si="32"/>
        <v>728.66143591459502</v>
      </c>
      <c r="CQ16" s="56">
        <f t="shared" si="33"/>
        <v>-581.56532648885457</v>
      </c>
      <c r="CR16" s="78">
        <f t="shared" si="8"/>
        <v>25767.64494165374</v>
      </c>
      <c r="CS16" s="5">
        <f t="shared" si="8"/>
        <v>25587.890835489794</v>
      </c>
      <c r="CT16" s="56">
        <f t="shared" si="34"/>
        <v>-179.75410616394583</v>
      </c>
      <c r="CU16" s="87">
        <f t="shared" si="35"/>
        <v>30921.173929984485</v>
      </c>
      <c r="CV16" s="70">
        <f t="shared" si="36"/>
        <v>30705.46900258775</v>
      </c>
      <c r="CW16" s="37">
        <f t="shared" si="37"/>
        <v>-215.704927396735</v>
      </c>
      <c r="CX16" s="42">
        <f>'[1]побудинковий звіт'!CX16+'[2]побудинковий звіт'!CX16-'[3]побудинковий звіт'!CX16</f>
        <v>0.18607001550481073</v>
      </c>
      <c r="CY16" s="42">
        <f>'[1]побудинковий звіт'!CY16+'[2]побудинковий звіт'!CY16-'[3]побудинковий звіт'!CY16</f>
        <v>215.89099741224777</v>
      </c>
      <c r="CZ16" s="56">
        <f t="shared" si="38"/>
        <v>215.70492739674296</v>
      </c>
      <c r="DA16" s="264">
        <f>'[4]побудинковий звіт'!DA16</f>
        <v>-4788.7387059627836</v>
      </c>
      <c r="DB16" s="2">
        <v>1</v>
      </c>
      <c r="DC16" s="717">
        <f>'[4]побудинковий звіт'!DC16</f>
        <v>22626.7</v>
      </c>
      <c r="DD16" s="717">
        <f>'[4]побудинковий звіт'!DD16</f>
        <v>0</v>
      </c>
      <c r="DE16" s="717">
        <f>'[4]побудинковий звіт'!DE16</f>
        <v>20049.920000000002</v>
      </c>
      <c r="DF16" s="717">
        <f>'[4]побудинковий звіт'!DF16</f>
        <v>0</v>
      </c>
      <c r="DG16" s="787">
        <v>-4854.5867319041863</v>
      </c>
      <c r="DH16" s="761">
        <f t="shared" si="39"/>
        <v>371056.31999999989</v>
      </c>
      <c r="DI16" s="784"/>
      <c r="DJ16" s="5"/>
      <c r="DK16" s="317">
        <f>VLOOKUP($A16,ціни!$A$4:$G$401,5)</f>
        <v>6.2858646455867451</v>
      </c>
      <c r="DL16" s="317"/>
      <c r="DM16" s="317">
        <f>VLOOKUP($A16,ціни!$A$4:$G$401,7)</f>
        <v>5.378504172439234</v>
      </c>
      <c r="DN16" s="30">
        <f t="shared" ref="DN16:DN22" si="53">F16*DK16</f>
        <v>2576.7644941653743</v>
      </c>
      <c r="DO16" s="30">
        <f t="shared" ref="DO16:DO22" si="54">H16*DM16</f>
        <v>0</v>
      </c>
      <c r="DP16" s="316">
        <f t="shared" si="40"/>
        <v>2576.7644941653743</v>
      </c>
      <c r="DQ16" s="104"/>
      <c r="DR16" s="30">
        <f>VLOOKUP(A16,'ДЗ нас '!$A$1:$C$359,2)</f>
        <v>2576.7800000000002</v>
      </c>
      <c r="DS16" s="748"/>
      <c r="DT16" s="30">
        <f t="shared" si="41"/>
        <v>2576.7800000000002</v>
      </c>
      <c r="DU16" s="257">
        <f>VLOOKUP(A16,'новий кошторис с 01.06'!$A$4:$AI$399,35)*1.2</f>
        <v>2576.7644941653748</v>
      </c>
      <c r="DV16" s="30">
        <f t="shared" si="42"/>
        <v>1.5505834625400894E-2</v>
      </c>
      <c r="DW16" s="930">
        <f>'[5]побудинковий звіт'!DW16+'[6]побудинковий звіт'!DW16</f>
        <v>0</v>
      </c>
      <c r="DY16" s="5">
        <f t="shared" si="9"/>
        <v>8045.6371271485841</v>
      </c>
      <c r="DZ16" s="5">
        <f t="shared" si="10"/>
        <v>4442.7609458678562</v>
      </c>
      <c r="EA16" s="752">
        <f t="shared" si="43"/>
        <v>20049.920000000002</v>
      </c>
      <c r="EC16" s="592">
        <f t="shared" si="11"/>
        <v>63305.07969770355</v>
      </c>
      <c r="EE16" s="758">
        <v>5259</v>
      </c>
      <c r="EF16" s="738">
        <f t="shared" si="12"/>
        <v>404.41326809581369</v>
      </c>
      <c r="EH16" s="813">
        <v>-3465.1098473404422</v>
      </c>
    </row>
    <row r="17" spans="1:138" x14ac:dyDescent="0.3">
      <c r="A17" s="328">
        <v>150000496</v>
      </c>
      <c r="B17" s="44" t="s">
        <v>465</v>
      </c>
      <c r="C17" s="45" t="s">
        <v>148</v>
      </c>
      <c r="D17" s="45" t="s">
        <v>148</v>
      </c>
      <c r="E17" s="40">
        <f t="shared" si="3"/>
        <v>403.93</v>
      </c>
      <c r="F17" s="490">
        <v>403.93</v>
      </c>
      <c r="G17" s="30"/>
      <c r="H17" s="30">
        <v>0</v>
      </c>
      <c r="I17" s="42">
        <f>'[1]побудинковий звіт'!I17+'[2]побудинковий звіт'!I17-'[3]побудинковий звіт'!I17</f>
        <v>1055.2366362775244</v>
      </c>
      <c r="J17" s="42">
        <f>'[1]побудинковий звіт'!J17+'[2]побудинковий звіт'!J17-'[3]побудинковий звіт'!J17</f>
        <v>906.06339482843941</v>
      </c>
      <c r="K17" s="56">
        <f t="shared" si="13"/>
        <v>-149.17324144908503</v>
      </c>
      <c r="L17" s="42">
        <f>'[1]побудинковий звіт'!L17+'[2]побудинковий звіт'!L17-'[3]побудинковий звіт'!L17</f>
        <v>425.20310390660103</v>
      </c>
      <c r="M17" s="42">
        <f>'[1]побудинковий звіт'!M17+'[2]побудинковий звіт'!M17-'[3]побудинковий звіт'!M17</f>
        <v>392.08963981131745</v>
      </c>
      <c r="N17" s="56">
        <f t="shared" si="14"/>
        <v>-33.113464095283575</v>
      </c>
      <c r="O17" s="42">
        <f>'[1]побудинковий звіт'!O17+'[2]побудинковий звіт'!O17-'[3]побудинковий звіт'!O17</f>
        <v>642.96</v>
      </c>
      <c r="P17" s="42">
        <f>'[1]побудинковий звіт'!P17+'[2]побудинковий звіт'!P17-'[3]побудинковий звіт'!P17</f>
        <v>643.08000000000015</v>
      </c>
      <c r="Q17" s="56">
        <f t="shared" si="15"/>
        <v>0.12000000000011823</v>
      </c>
      <c r="R17" s="42">
        <f>'[1]побудинковий звіт'!R17+'[2]побудинковий звіт'!R17-'[3]побудинковий звіт'!R17</f>
        <v>0</v>
      </c>
      <c r="S17" s="42">
        <f>'[1]побудинковий звіт'!S17+'[2]побудинковий звіт'!S17-'[3]побудинковий звіт'!S17</f>
        <v>0</v>
      </c>
      <c r="T17" s="56">
        <f t="shared" si="16"/>
        <v>0</v>
      </c>
      <c r="U17" s="42">
        <f>'[1]побудинковий звіт'!U17+'[2]побудинковий звіт'!U17-'[3]побудинковий звіт'!U17</f>
        <v>0</v>
      </c>
      <c r="V17" s="42">
        <f>'[1]побудинковий звіт'!V17+'[2]побудинковий звіт'!V17-'[3]побудинковий звіт'!V17</f>
        <v>0</v>
      </c>
      <c r="W17" s="56">
        <f t="shared" si="17"/>
        <v>0</v>
      </c>
      <c r="X17" s="42">
        <f>'[1]побудинковий звіт'!X17+'[2]побудинковий звіт'!X17-'[3]побудинковий звіт'!X17</f>
        <v>593.34845657632729</v>
      </c>
      <c r="Y17" s="42">
        <f>'[1]побудинковий звіт'!Y17+'[2]побудинковий звіт'!Y17-'[3]побудинковий звіт'!Y17</f>
        <v>426.16023157642633</v>
      </c>
      <c r="Z17" s="56">
        <f t="shared" si="18"/>
        <v>-167.18822499990097</v>
      </c>
      <c r="AA17" s="42">
        <f>'[1]побудинковий звіт'!AA17+'[2]побудинковий звіт'!AA17-'[3]побудинковий звіт'!AA17</f>
        <v>0</v>
      </c>
      <c r="AB17" s="42">
        <f>'[1]побудинковий звіт'!AB17+'[2]побудинковий звіт'!AB17-'[3]побудинковий звіт'!AB17</f>
        <v>0</v>
      </c>
      <c r="AC17" s="56">
        <f t="shared" si="19"/>
        <v>0</v>
      </c>
      <c r="AD17" s="42">
        <f>'[1]побудинковий звіт'!AD17+'[2]побудинковий звіт'!AD17-'[3]побудинковий звіт'!AD17</f>
        <v>1727.1366312071018</v>
      </c>
      <c r="AE17" s="42">
        <f>'[1]побудинковий звіт'!AE17+'[2]побудинковий звіт'!AE17-'[3]побудинковий звіт'!AE17</f>
        <v>1591.890328524642</v>
      </c>
      <c r="AF17" s="37">
        <f t="shared" si="20"/>
        <v>-135.24630268245983</v>
      </c>
      <c r="AG17" s="87">
        <f t="shared" si="4"/>
        <v>4443.8848279675549</v>
      </c>
      <c r="AH17" s="57">
        <f t="shared" si="4"/>
        <v>3959.2835947408253</v>
      </c>
      <c r="AI17" s="56">
        <f t="shared" si="21"/>
        <v>-484.60123322672962</v>
      </c>
      <c r="AJ17" s="42">
        <f>'[1]побудинковий звіт'!AJ17+'[2]побудинковий звіт'!AJ17-'[3]побудинковий звіт'!AJ17</f>
        <v>0</v>
      </c>
      <c r="AK17" s="42">
        <f>'[1]побудинковий звіт'!AK17+'[2]побудинковий звіт'!AK17-'[3]побудинковий звіт'!AK17</f>
        <v>0</v>
      </c>
      <c r="AL17" s="56">
        <f t="shared" si="22"/>
        <v>0</v>
      </c>
      <c r="AM17" s="42">
        <f>'[1]побудинковий звіт'!AM17+'[2]побудинковий звіт'!AM17-'[3]побудинковий звіт'!AM17</f>
        <v>0</v>
      </c>
      <c r="AN17" s="42">
        <f>'[1]побудинковий звіт'!AN17+'[2]побудинковий звіт'!AN17-'[3]побудинковий звіт'!AN17</f>
        <v>0</v>
      </c>
      <c r="AO17" s="56">
        <f t="shared" si="23"/>
        <v>0</v>
      </c>
      <c r="AP17" s="42">
        <f>'[1]побудинковий звіт'!AP17+'[2]побудинковий звіт'!AP17-'[3]побудинковий звіт'!AP17</f>
        <v>1136.4211714723797</v>
      </c>
      <c r="AQ17" s="42">
        <f>'[1]побудинковий звіт'!AQ17+'[2]побудинковий звіт'!AQ17-'[3]побудинковий звіт'!AQ17</f>
        <v>1053.9018523004847</v>
      </c>
      <c r="AR17" s="56">
        <f t="shared" si="24"/>
        <v>-82.519319171894949</v>
      </c>
      <c r="AS17" s="42">
        <f>'[1]побудинковий звіт'!AS17+'[2]побудинковий звіт'!AS17-'[3]побудинковий звіт'!AS17</f>
        <v>5093.9400068961404</v>
      </c>
      <c r="AT17" s="42">
        <f>'[1]побудинковий звіт'!AT17+'[2]побудинковий звіт'!AT17-'[3]побудинковий звіт'!AT17</f>
        <v>3281.3007882232137</v>
      </c>
      <c r="AU17" s="58">
        <f t="shared" si="44"/>
        <v>-1812.6392186729267</v>
      </c>
      <c r="AV17" s="42">
        <f>'[1]побудинковий звіт'!AV17+'[2]побудинковий звіт'!AV17-'[3]побудинковий звіт'!AV17</f>
        <v>406.17784979833885</v>
      </c>
      <c r="AW17" s="42">
        <f>'[1]побудинковий звіт'!AW17+'[2]побудинковий звіт'!AW17-'[3]побудинковий звіт'!AW17</f>
        <v>0</v>
      </c>
      <c r="AX17" s="59">
        <f t="shared" si="45"/>
        <v>-406.17784979833885</v>
      </c>
      <c r="AY17" s="42">
        <f>'[1]побудинковий звіт'!AY17+'[2]побудинковий звіт'!AY17-'[3]побудинковий звіт'!AY17</f>
        <v>548.01401471969587</v>
      </c>
      <c r="AZ17" s="42">
        <f>'[1]побудинковий звіт'!AZ17+'[2]побудинковий звіт'!AZ17-'[3]побудинковий звіт'!AZ17</f>
        <v>0</v>
      </c>
      <c r="BA17" s="37">
        <f t="shared" si="46"/>
        <v>-548.01401471969587</v>
      </c>
      <c r="BB17" s="42">
        <f>'[1]побудинковий звіт'!BB17+'[2]побудинковий звіт'!BB17-'[3]побудинковий звіт'!BB17</f>
        <v>183.69665744080805</v>
      </c>
      <c r="BC17" s="42">
        <f>'[1]побудинковий звіт'!BC17+'[2]побудинковий звіт'!BC17-'[3]побудинковий звіт'!BC17</f>
        <v>0</v>
      </c>
      <c r="BD17" s="59">
        <f t="shared" si="47"/>
        <v>-183.69665744080805</v>
      </c>
      <c r="BE17" s="42">
        <f>'[1]побудинковий звіт'!BE17+'[2]побудинковий звіт'!BE17-'[3]побудинковий звіт'!BE17</f>
        <v>0</v>
      </c>
      <c r="BF17" s="42">
        <f>'[1]побудинковий звіт'!BF17+'[2]побудинковий звіт'!BF17-'[3]побудинковий звіт'!BF17</f>
        <v>0</v>
      </c>
      <c r="BG17" s="39">
        <f t="shared" si="48"/>
        <v>0</v>
      </c>
      <c r="BH17" s="42">
        <f>'[1]побудинковий звіт'!BH17+'[2]побудинковий звіт'!BH17-'[3]побудинковий звіт'!BH17</f>
        <v>0</v>
      </c>
      <c r="BI17" s="42">
        <f>'[1]побудинковий звіт'!BI17+'[2]побудинковий звіт'!BI17-'[3]побудинковий звіт'!BI17</f>
        <v>750</v>
      </c>
      <c r="BJ17" s="59">
        <f t="shared" si="49"/>
        <v>750</v>
      </c>
      <c r="BK17" s="42">
        <f>'[1]побудинковий звіт'!BK17+'[2]побудинковий звіт'!BK17-'[3]побудинковий звіт'!BK17</f>
        <v>118.62766249183653</v>
      </c>
      <c r="BL17" s="42">
        <f>'[1]побудинковий звіт'!BL17+'[2]побудинковий звіт'!BL17-'[3]побудинковий звіт'!BL17</f>
        <v>0</v>
      </c>
      <c r="BM17" s="39">
        <f t="shared" si="50"/>
        <v>-118.62766249183653</v>
      </c>
      <c r="BN17" s="42">
        <f>'[1]побудинковий звіт'!BN17+'[2]побудинковий звіт'!BN17-'[3]побудинковий звіт'!BN17</f>
        <v>163.44184337256877</v>
      </c>
      <c r="BO17" s="42">
        <f>'[1]побудинковий звіт'!BO17+'[2]побудинковий звіт'!BO17-'[3]побудинковий звіт'!BO17</f>
        <v>0</v>
      </c>
      <c r="BP17" s="59">
        <f t="shared" si="51"/>
        <v>-163.44184337256877</v>
      </c>
      <c r="BQ17" s="87">
        <f t="shared" si="5"/>
        <v>1419.9580278232479</v>
      </c>
      <c r="BR17" s="43">
        <f t="shared" si="6"/>
        <v>750</v>
      </c>
      <c r="BS17" s="59">
        <f t="shared" si="52"/>
        <v>-669.9580278232479</v>
      </c>
      <c r="BT17" s="42">
        <f>'[1]побудинковий звіт'!BT17+'[2]побудинковий звіт'!BT17-'[3]побудинковий звіт'!BT17</f>
        <v>5330.8053077489249</v>
      </c>
      <c r="BU17" s="42">
        <f>'[1]побудинковий звіт'!BU17+'[2]побудинковий звіт'!BU17-'[3]побудинковий звіт'!BU17</f>
        <v>8935.7944796055726</v>
      </c>
      <c r="BV17" s="56">
        <f t="shared" si="25"/>
        <v>3604.9891718566478</v>
      </c>
      <c r="BW17" s="42">
        <f>'[1]побудинковий звіт'!BW17+'[2]побудинковий звіт'!BW17-'[3]побудинковий звіт'!BW17</f>
        <v>3791.2828893486626</v>
      </c>
      <c r="BX17" s="42">
        <f>'[1]побудинковий звіт'!BX17+'[2]побудинковий звіт'!BX17-'[3]побудинковий звіт'!BX17</f>
        <v>4605.4461601607909</v>
      </c>
      <c r="BY17" s="56">
        <f t="shared" si="26"/>
        <v>814.1632708121283</v>
      </c>
      <c r="BZ17" s="42">
        <f>'[1]побудинковий звіт'!BZ17+'[2]побудинковий звіт'!BZ17-'[3]побудинковий звіт'!BZ17</f>
        <v>2072.9305127051307</v>
      </c>
      <c r="CA17" s="42">
        <f>'[1]побудинковий звіт'!CA17+'[2]побудинковий звіт'!CA17-'[3]побудинковий звіт'!CA17</f>
        <v>2057.4528963816938</v>
      </c>
      <c r="CB17" s="56">
        <f t="shared" si="27"/>
        <v>-15.477616323436905</v>
      </c>
      <c r="CC17" s="42">
        <f>'[1]побудинковий звіт'!CC17+'[2]побудинковий звіт'!CC17-'[3]побудинковий звіт'!CC17</f>
        <v>0</v>
      </c>
      <c r="CD17" s="42">
        <f>'[1]побудинковий звіт'!CD17+'[2]побудинковий звіт'!CD17-'[3]побудинковий звіт'!CD17</f>
        <v>0</v>
      </c>
      <c r="CE17" s="56">
        <f t="shared" si="28"/>
        <v>0</v>
      </c>
      <c r="CF17" s="42">
        <f>'[1]побудинковий звіт'!CF17+'[2]побудинковий звіт'!CF17-'[3]побудинковий звіт'!CF17</f>
        <v>0</v>
      </c>
      <c r="CG17" s="42">
        <f>'[1]побудинковий звіт'!CG17+'[2]побудинковий звіт'!CG17-'[3]побудинковий звіт'!CG17</f>
        <v>0</v>
      </c>
      <c r="CH17" s="56">
        <f t="shared" si="29"/>
        <v>0</v>
      </c>
      <c r="CI17" s="42">
        <f>'[1]побудинковий звіт'!CI17+'[2]побудинковий звіт'!CI17-'[3]побудинковий звіт'!CI17</f>
        <v>1853.034992542021</v>
      </c>
      <c r="CJ17" s="42">
        <f>'[1]побудинковий звіт'!CJ17+'[2]побудинковий звіт'!CJ17-'[3]побудинковий звіт'!CJ17</f>
        <v>1707.2068954434856</v>
      </c>
      <c r="CK17" s="56">
        <f t="shared" si="30"/>
        <v>-145.82809709853541</v>
      </c>
      <c r="CL17" s="42">
        <f>'[1]побудинковий звіт'!CL17+'[2]побудинковий звіт'!CL17-'[3]побудинковий звіт'!CL17</f>
        <v>0</v>
      </c>
      <c r="CM17" s="42">
        <f>'[1]побудинковий звіт'!CM17+'[2]побудинковий звіт'!CM17-'[3]побудинковий звіт'!CM17</f>
        <v>0</v>
      </c>
      <c r="CN17" s="56">
        <f t="shared" si="31"/>
        <v>0</v>
      </c>
      <c r="CO17" s="42">
        <f t="shared" si="7"/>
        <v>1853.034992542021</v>
      </c>
      <c r="CP17" s="43">
        <f t="shared" si="32"/>
        <v>1707.2068954434856</v>
      </c>
      <c r="CQ17" s="56">
        <f t="shared" si="33"/>
        <v>-145.82809709853541</v>
      </c>
      <c r="CR17" s="78">
        <f t="shared" si="8"/>
        <v>25142.25773650406</v>
      </c>
      <c r="CS17" s="5">
        <f t="shared" si="8"/>
        <v>26350.386666856066</v>
      </c>
      <c r="CT17" s="56">
        <f t="shared" si="34"/>
        <v>1208.1289303520061</v>
      </c>
      <c r="CU17" s="87">
        <f t="shared" si="35"/>
        <v>30170.70928380487</v>
      </c>
      <c r="CV17" s="70">
        <f t="shared" si="36"/>
        <v>31620.464000227279</v>
      </c>
      <c r="CW17" s="37">
        <f t="shared" si="37"/>
        <v>1449.7547164224088</v>
      </c>
      <c r="CX17" s="42">
        <f>'[1]побудинковий звіт'!CX17+'[2]побудинковий звіт'!CX17-'[3]побудинковий звіт'!CX17</f>
        <v>754.13071619513357</v>
      </c>
      <c r="CY17" s="42">
        <f>'[1]побудинковий звіт'!CY17+'[2]побудинковий звіт'!CY17-'[3]побудинковий звіт'!CY17</f>
        <v>-695.62400022727525</v>
      </c>
      <c r="CZ17" s="56">
        <f t="shared" si="38"/>
        <v>-1449.7547164224088</v>
      </c>
      <c r="DA17" s="264">
        <f>'[4]побудинковий звіт'!DA17</f>
        <v>-6919.3206964819447</v>
      </c>
      <c r="DB17" s="2">
        <v>1</v>
      </c>
      <c r="DC17" s="717">
        <f>'[4]побудинковий звіт'!DC17</f>
        <v>21780.3</v>
      </c>
      <c r="DD17" s="717">
        <f>'[4]побудинковий звіт'!DD17</f>
        <v>0</v>
      </c>
      <c r="DE17" s="717">
        <f>'[4]побудинковий звіт'!DE17</f>
        <v>19203.23</v>
      </c>
      <c r="DF17" s="717">
        <f>'[4]побудинковий звіт'!DF17</f>
        <v>0</v>
      </c>
      <c r="DG17" s="787">
        <v>-8242.9651000454178</v>
      </c>
      <c r="DH17" s="761">
        <f t="shared" si="39"/>
        <v>371098.08000000007</v>
      </c>
      <c r="DI17" s="784"/>
      <c r="DJ17" s="5"/>
      <c r="DK17" s="317">
        <f>VLOOKUP($A17,ціни!$A$4:$G$401,5)</f>
        <v>6.3800198499533733</v>
      </c>
      <c r="DL17" s="317"/>
      <c r="DM17" s="317">
        <f>VLOOKUP($A17,ціни!$A$4:$G$401,7)</f>
        <v>5.4179558879841263</v>
      </c>
      <c r="DN17" s="30">
        <f t="shared" si="53"/>
        <v>2577.0814179916661</v>
      </c>
      <c r="DO17" s="30">
        <f t="shared" si="54"/>
        <v>0</v>
      </c>
      <c r="DP17" s="316">
        <f t="shared" si="40"/>
        <v>2577.0814179916661</v>
      </c>
      <c r="DQ17" s="104"/>
      <c r="DR17" s="30">
        <f>VLOOKUP(A17,'ДЗ нас '!$A$1:$C$359,2)</f>
        <v>2577.0700000000002</v>
      </c>
      <c r="DS17" s="748"/>
      <c r="DT17" s="30">
        <f t="shared" si="41"/>
        <v>2577.0700000000002</v>
      </c>
      <c r="DU17" s="257">
        <f>VLOOKUP(A17,'новий кошторис с 01.06'!$A$4:$AI$399,35)*1.2</f>
        <v>2589.6525468599184</v>
      </c>
      <c r="DV17" s="30">
        <f t="shared" si="42"/>
        <v>-12.582546859918239</v>
      </c>
      <c r="DW17" s="930">
        <f>'[5]побудинковий звіт'!DW17+'[6]побудинковий звіт'!DW17</f>
        <v>0</v>
      </c>
      <c r="DY17" s="5">
        <f t="shared" si="9"/>
        <v>7816.6776416632656</v>
      </c>
      <c r="DZ17" s="5">
        <f t="shared" si="10"/>
        <v>4837.5609458678564</v>
      </c>
      <c r="EA17" s="752">
        <f t="shared" si="43"/>
        <v>19203.23</v>
      </c>
      <c r="EC17" s="592">
        <f t="shared" si="11"/>
        <v>61127.280082753685</v>
      </c>
      <c r="EE17" s="758">
        <v>33567</v>
      </c>
      <c r="EF17" s="738">
        <f t="shared" si="12"/>
        <v>25324.034899954582</v>
      </c>
      <c r="EH17" s="813">
        <v>-6606.3346939808735</v>
      </c>
    </row>
    <row r="18" spans="1:138" x14ac:dyDescent="0.3">
      <c r="A18" s="328">
        <v>150000498</v>
      </c>
      <c r="B18" s="44" t="s">
        <v>466</v>
      </c>
      <c r="C18" s="45" t="s">
        <v>241</v>
      </c>
      <c r="D18" s="45" t="s">
        <v>241</v>
      </c>
      <c r="E18" s="40">
        <f t="shared" si="3"/>
        <v>4890.7</v>
      </c>
      <c r="F18" s="490">
        <v>4845</v>
      </c>
      <c r="G18" s="30"/>
      <c r="H18" s="30">
        <v>45.7</v>
      </c>
      <c r="I18" s="42">
        <f>'[1]побудинковий звіт'!I18+'[2]побудинковий звіт'!I18-'[3]побудинковий звіт'!I18</f>
        <v>16436.958024670679</v>
      </c>
      <c r="J18" s="42">
        <f>'[1]побудинковий звіт'!J18+'[2]побудинковий звіт'!J18-'[3]побудинковий звіт'!J18</f>
        <v>13904.916975528646</v>
      </c>
      <c r="K18" s="56">
        <f t="shared" si="13"/>
        <v>-2532.0410491420334</v>
      </c>
      <c r="L18" s="42">
        <f>'[1]побудинковий звіт'!L18+'[2]побудинковий звіт'!L18-'[3]побудинковий звіт'!L18</f>
        <v>3414.9376799555971</v>
      </c>
      <c r="M18" s="42">
        <f>'[1]побудинковий звіт'!M18+'[2]побудинковий звіт'!M18-'[3]побудинковий звіт'!M18</f>
        <v>3172.6180826458303</v>
      </c>
      <c r="N18" s="56">
        <f t="shared" si="14"/>
        <v>-242.31959730976678</v>
      </c>
      <c r="O18" s="42">
        <f>'[1]побудинковий звіт'!O18+'[2]побудинковий звіт'!O18-'[3]побудинковий звіт'!O18</f>
        <v>7684.2000000000016</v>
      </c>
      <c r="P18" s="42">
        <f>'[1]побудинковий звіт'!P18+'[2]побудинковий звіт'!P18-'[3]побудинковий звіт'!P18</f>
        <v>7682.2800000000034</v>
      </c>
      <c r="Q18" s="56">
        <f t="shared" si="15"/>
        <v>-1.9199999999982538</v>
      </c>
      <c r="R18" s="42">
        <f>'[1]побудинковий звіт'!R18+'[2]побудинковий звіт'!R18-'[3]побудинковий звіт'!R18</f>
        <v>0</v>
      </c>
      <c r="S18" s="42">
        <f>'[1]побудинковий звіт'!S18+'[2]побудинковий звіт'!S18-'[3]побудинковий звіт'!S18</f>
        <v>0</v>
      </c>
      <c r="T18" s="56">
        <f t="shared" si="16"/>
        <v>0</v>
      </c>
      <c r="U18" s="42">
        <f>'[1]побудинковий звіт'!U18+'[2]побудинковий звіт'!U18-'[3]побудинковий звіт'!U18</f>
        <v>0</v>
      </c>
      <c r="V18" s="42">
        <f>'[1]побудинковий звіт'!V18+'[2]побудинковий звіт'!V18-'[3]побудинковий звіт'!V18</f>
        <v>0</v>
      </c>
      <c r="W18" s="56">
        <f t="shared" si="17"/>
        <v>0</v>
      </c>
      <c r="X18" s="42">
        <f>'[1]побудинковий звіт'!X18+'[2]побудинковий звіт'!X18-'[3]побудинковий звіт'!X18</f>
        <v>14155.605980698678</v>
      </c>
      <c r="Y18" s="42">
        <f>'[1]побудинковий звіт'!Y18+'[2]побудинковий звіт'!Y18-'[3]побудинковий звіт'!Y18</f>
        <v>10221.953596855923</v>
      </c>
      <c r="Z18" s="56">
        <f t="shared" si="18"/>
        <v>-3933.6523838427547</v>
      </c>
      <c r="AA18" s="42">
        <f>'[1]побудинковий звіт'!AA18+'[2]побудинковий звіт'!AA18-'[3]побудинковий звіт'!AA18</f>
        <v>0</v>
      </c>
      <c r="AB18" s="42">
        <f>'[1]побудинковий звіт'!AB18+'[2]побудинковий звіт'!AB18-'[3]побудинковий звіт'!AB18</f>
        <v>0</v>
      </c>
      <c r="AC18" s="56">
        <f t="shared" si="19"/>
        <v>0</v>
      </c>
      <c r="AD18" s="42">
        <f>'[1]побудинковий звіт'!AD18+'[2]побудинковий звіт'!AD18-'[3]побудинковий звіт'!AD18</f>
        <v>20911.80927944092</v>
      </c>
      <c r="AE18" s="42">
        <f>'[1]побудинковий звіт'!AE18+'[2]побудинковий звіт'!AE18-'[3]побудинковий звіт'!AE18</f>
        <v>19274.172818420026</v>
      </c>
      <c r="AF18" s="37">
        <f t="shared" si="20"/>
        <v>-1637.6364610208948</v>
      </c>
      <c r="AG18" s="87">
        <f t="shared" si="4"/>
        <v>62603.510964765868</v>
      </c>
      <c r="AH18" s="57">
        <f t="shared" si="4"/>
        <v>54255.941473450424</v>
      </c>
      <c r="AI18" s="56">
        <f t="shared" si="21"/>
        <v>-8347.5694913154439</v>
      </c>
      <c r="AJ18" s="42">
        <f>'[1]побудинковий звіт'!AJ18+'[2]побудинковий звіт'!AJ18-'[3]побудинковий звіт'!AJ18</f>
        <v>0</v>
      </c>
      <c r="AK18" s="42">
        <f>'[1]побудинковий звіт'!AK18+'[2]побудинковий звіт'!AK18-'[3]побудинковий звіт'!AK18</f>
        <v>0</v>
      </c>
      <c r="AL18" s="56">
        <f t="shared" si="22"/>
        <v>0</v>
      </c>
      <c r="AM18" s="42">
        <f>'[1]побудинковий звіт'!AM18+'[2]побудинковий звіт'!AM18-'[3]побудинковий звіт'!AM18</f>
        <v>0</v>
      </c>
      <c r="AN18" s="42">
        <f>'[1]побудинковий звіт'!AN18+'[2]побудинковий звіт'!AN18-'[3]побудинковий звіт'!AN18</f>
        <v>0</v>
      </c>
      <c r="AO18" s="56">
        <f t="shared" si="23"/>
        <v>0</v>
      </c>
      <c r="AP18" s="42">
        <f>'[1]побудинковий звіт'!AP18+'[2]побудинковий звіт'!AP18-'[3]побудинковий звіт'!AP18</f>
        <v>15625.791107745223</v>
      </c>
      <c r="AQ18" s="42">
        <f>'[1]побудинковий звіт'!AQ18+'[2]побудинковий звіт'!AQ18-'[3]побудинковий звіт'!AQ18</f>
        <v>15262.75876382468</v>
      </c>
      <c r="AR18" s="56">
        <f t="shared" si="24"/>
        <v>-363.03234392054219</v>
      </c>
      <c r="AS18" s="42">
        <f>'[1]побудинковий звіт'!AS18+'[2]побудинковий звіт'!AS18-'[3]побудинковий звіт'!AS18</f>
        <v>44404.637292385327</v>
      </c>
      <c r="AT18" s="42">
        <f>'[1]побудинковий звіт'!AT18+'[2]побудинковий звіт'!AT18-'[3]побудинковий звіт'!AT18</f>
        <v>6656.0393301499726</v>
      </c>
      <c r="AU18" s="58">
        <f t="shared" si="44"/>
        <v>-37748.597962235355</v>
      </c>
      <c r="AV18" s="42">
        <f>'[1]побудинковий звіт'!AV18+'[2]побудинковий звіт'!AV18-'[3]побудинковий звіт'!AV18</f>
        <v>2835.3453908674055</v>
      </c>
      <c r="AW18" s="42">
        <f>'[1]побудинковий звіт'!AW18+'[2]побудинковий звіт'!AW18-'[3]побудинковий звіт'!AW18</f>
        <v>556</v>
      </c>
      <c r="AX18" s="59">
        <f t="shared" si="45"/>
        <v>-2279.3453908674055</v>
      </c>
      <c r="AY18" s="42">
        <f>'[1]побудинковий звіт'!AY18+'[2]побудинковий звіт'!AY18-'[3]побудинковий звіт'!AY18</f>
        <v>4401.3023463595528</v>
      </c>
      <c r="AZ18" s="42">
        <f>'[1]побудинковий звіт'!AZ18+'[2]побудинковий звіт'!AZ18-'[3]побудинковий звіт'!AZ18</f>
        <v>0</v>
      </c>
      <c r="BA18" s="37">
        <f t="shared" si="46"/>
        <v>-4401.3023463595528</v>
      </c>
      <c r="BB18" s="42">
        <f>'[1]побудинковий звіт'!BB18+'[2]побудинковий звіт'!BB18-'[3]побудинковий звіт'!BB18</f>
        <v>2648.0499950002359</v>
      </c>
      <c r="BC18" s="42">
        <f>'[1]побудинковий звіт'!BC18+'[2]побудинковий звіт'!BC18-'[3]побудинковий звіт'!BC18</f>
        <v>780</v>
      </c>
      <c r="BD18" s="59">
        <f t="shared" si="47"/>
        <v>-1868.0499950002359</v>
      </c>
      <c r="BE18" s="42">
        <f>'[1]побудинковий звіт'!BE18+'[2]побудинковий звіт'!BE18-'[3]побудинковий звіт'!BE18</f>
        <v>0</v>
      </c>
      <c r="BF18" s="42">
        <f>'[1]побудинковий звіт'!BF18+'[2]побудинковий звіт'!BF18-'[3]побудинковий звіт'!BF18</f>
        <v>0</v>
      </c>
      <c r="BG18" s="39">
        <f t="shared" si="48"/>
        <v>0</v>
      </c>
      <c r="BH18" s="42">
        <f>'[1]побудинковий звіт'!BH18+'[2]побудинковий звіт'!BH18-'[3]побудинковий звіт'!BH18</f>
        <v>0</v>
      </c>
      <c r="BI18" s="42">
        <f>'[1]побудинковий звіт'!BI18+'[2]побудинковий звіт'!BI18-'[3]побудинковий звіт'!BI18</f>
        <v>1500</v>
      </c>
      <c r="BJ18" s="59">
        <f t="shared" si="49"/>
        <v>1500</v>
      </c>
      <c r="BK18" s="42">
        <f>'[1]побудинковий звіт'!BK18+'[2]побудинковий звіт'!BK18-'[3]побудинковий звіт'!BK18</f>
        <v>1987.2495874348169</v>
      </c>
      <c r="BL18" s="42">
        <f>'[1]побудинковий звіт'!BL18+'[2]побудинковий звіт'!BL18-'[3]побудинковий звіт'!BL18</f>
        <v>453</v>
      </c>
      <c r="BM18" s="39">
        <f t="shared" si="50"/>
        <v>-1534.2495874348169</v>
      </c>
      <c r="BN18" s="42">
        <f>'[1]побудинковий звіт'!BN18+'[2]побудинковий звіт'!BN18-'[3]побудинковий звіт'!BN18</f>
        <v>961.52059537125365</v>
      </c>
      <c r="BO18" s="42">
        <f>'[1]побудинковий звіт'!BO18+'[2]побудинковий звіт'!BO18-'[3]побудинковий звіт'!BO18</f>
        <v>0</v>
      </c>
      <c r="BP18" s="59">
        <f t="shared" si="51"/>
        <v>-961.52059537125365</v>
      </c>
      <c r="BQ18" s="87">
        <f t="shared" si="5"/>
        <v>12833.467915033265</v>
      </c>
      <c r="BR18" s="43">
        <f t="shared" si="6"/>
        <v>3289</v>
      </c>
      <c r="BS18" s="59">
        <f t="shared" si="52"/>
        <v>-9544.4679150332649</v>
      </c>
      <c r="BT18" s="42">
        <f>'[1]побудинковий звіт'!BT18+'[2]побудинковий звіт'!BT18-'[3]побудинковий звіт'!BT18</f>
        <v>76201.977094679649</v>
      </c>
      <c r="BU18" s="42">
        <f>'[1]побудинковий звіт'!BU18+'[2]побудинковий звіт'!BU18-'[3]побудинковий звіт'!BU18</f>
        <v>110540.59893708178</v>
      </c>
      <c r="BV18" s="56">
        <f t="shared" si="25"/>
        <v>34338.621842402135</v>
      </c>
      <c r="BW18" s="42">
        <f>'[1]побудинковий звіт'!BW18+'[2]побудинковий звіт'!BW18-'[3]побудинковий звіт'!BW18</f>
        <v>25973.472753969705</v>
      </c>
      <c r="BX18" s="42">
        <f>'[1]побудинковий звіт'!BX18+'[2]побудинковий звіт'!BX18-'[3]побудинковий звіт'!BX18</f>
        <v>29787.80199419722</v>
      </c>
      <c r="BY18" s="56">
        <f t="shared" si="26"/>
        <v>3814.3292402275147</v>
      </c>
      <c r="BZ18" s="42">
        <f>'[1]побудинковий звіт'!BZ18+'[2]побудинковий звіт'!BZ18-'[3]побудинковий звіт'!BZ18</f>
        <v>37854.744592733339</v>
      </c>
      <c r="CA18" s="42">
        <f>'[1]побудинковий звіт'!CA18+'[2]побудинковий звіт'!CA18-'[3]побудинковий звіт'!CA18</f>
        <v>25104.644017381732</v>
      </c>
      <c r="CB18" s="56">
        <f t="shared" si="27"/>
        <v>-12750.100575351607</v>
      </c>
      <c r="CC18" s="42">
        <f>'[1]побудинковий звіт'!CC18+'[2]побудинковий звіт'!CC18-'[3]побудинковий звіт'!CC18</f>
        <v>1810.3857744597049</v>
      </c>
      <c r="CD18" s="42">
        <f>'[1]побудинковий звіт'!CD18+'[2]побудинковий звіт'!CD18-'[3]побудинковий звіт'!CD18</f>
        <v>1794.4629197401853</v>
      </c>
      <c r="CE18" s="56">
        <f t="shared" si="28"/>
        <v>-15.922854719519592</v>
      </c>
      <c r="CF18" s="42">
        <f>'[1]побудинковий звіт'!CF18+'[2]побудинковий звіт'!CF18-'[3]побудинковий звіт'!CF18</f>
        <v>222.8694608709865</v>
      </c>
      <c r="CG18" s="42">
        <f>'[1]побудинковий звіт'!CG18+'[2]побудинковий звіт'!CG18-'[3]побудинковий звіт'!CG18</f>
        <v>0</v>
      </c>
      <c r="CH18" s="56">
        <f t="shared" si="29"/>
        <v>-222.8694608709865</v>
      </c>
      <c r="CI18" s="42">
        <f>'[1]побудинковий звіт'!CI18+'[2]побудинковий звіт'!CI18-'[3]побудинковий звіт'!CI18</f>
        <v>10350.791422987251</v>
      </c>
      <c r="CJ18" s="42">
        <f>'[1]побудинковий звіт'!CJ18+'[2]побудинковий звіт'!CJ18-'[3]побудинковий звіт'!CJ18</f>
        <v>7490.1037679424371</v>
      </c>
      <c r="CK18" s="56">
        <f t="shared" si="30"/>
        <v>-2860.6876550448142</v>
      </c>
      <c r="CL18" s="42">
        <f>'[1]побудинковий звіт'!CL18+'[2]побудинковий звіт'!CL18-'[3]побудинковий звіт'!CL18</f>
        <v>0</v>
      </c>
      <c r="CM18" s="42">
        <f>'[1]побудинковий звіт'!CM18+'[2]побудинковий звіт'!CM18-'[3]побудинковий звіт'!CM18</f>
        <v>0</v>
      </c>
      <c r="CN18" s="56">
        <f t="shared" si="31"/>
        <v>0</v>
      </c>
      <c r="CO18" s="42">
        <f t="shared" si="7"/>
        <v>10350.791422987251</v>
      </c>
      <c r="CP18" s="43">
        <f t="shared" si="32"/>
        <v>7490.1037679424371</v>
      </c>
      <c r="CQ18" s="56">
        <f t="shared" si="33"/>
        <v>-2860.6876550448142</v>
      </c>
      <c r="CR18" s="78">
        <f t="shared" si="8"/>
        <v>287881.64837963029</v>
      </c>
      <c r="CS18" s="5">
        <f t="shared" si="8"/>
        <v>254181.35120376843</v>
      </c>
      <c r="CT18" s="56">
        <f t="shared" si="34"/>
        <v>-33700.297175861866</v>
      </c>
      <c r="CU18" s="87">
        <f t="shared" si="35"/>
        <v>345457.97805555636</v>
      </c>
      <c r="CV18" s="70">
        <f t="shared" si="36"/>
        <v>305017.62144452211</v>
      </c>
      <c r="CW18" s="37">
        <f t="shared" si="37"/>
        <v>-40440.356611034251</v>
      </c>
      <c r="CX18" s="42">
        <f>'[1]побудинковий звіт'!CX18+'[2]побудинковий звіт'!CX18-'[3]побудинковий звіт'!CX18</f>
        <v>15581.181944443728</v>
      </c>
      <c r="CY18" s="42">
        <f>'[1]побудинковий звіт'!CY18+'[2]побудинковий звіт'!CY18-'[3]побудинковий звіт'!CY18</f>
        <v>56021.538555477877</v>
      </c>
      <c r="CZ18" s="56">
        <f t="shared" si="38"/>
        <v>40440.356611034149</v>
      </c>
      <c r="DA18" s="264">
        <f>'[4]побудинковий звіт'!DA18</f>
        <v>86948.884768970558</v>
      </c>
      <c r="DB18" s="2">
        <v>1</v>
      </c>
      <c r="DC18" s="717">
        <f>'[4]побудинковий звіт'!DC18</f>
        <v>62553.95</v>
      </c>
      <c r="DD18" s="717">
        <f>'[4]побудинковий звіт'!DD18</f>
        <v>0</v>
      </c>
      <c r="DE18" s="717">
        <f>'[4]побудинковий звіт'!DE18</f>
        <v>32720.629999999997</v>
      </c>
      <c r="DF18" s="717">
        <f>'[4]побудинковий звіт'!DF18</f>
        <v>-255.74</v>
      </c>
      <c r="DG18" s="787">
        <v>97462.371303336229</v>
      </c>
      <c r="DH18" s="761">
        <f t="shared" si="39"/>
        <v>4332469.9200000009</v>
      </c>
      <c r="DI18" s="784"/>
      <c r="DJ18" s="5"/>
      <c r="DK18" s="317">
        <f>VLOOKUP($A18,ціни!$A$4:$G$401,5)</f>
        <v>6.1564262684822832</v>
      </c>
      <c r="DL18" s="317"/>
      <c r="DM18" s="317">
        <f>VLOOKUP($A18,ціни!$A$4:$G$401,7)</f>
        <v>5.5962141110437216</v>
      </c>
      <c r="DN18" s="30">
        <f t="shared" si="53"/>
        <v>29827.885270796662</v>
      </c>
      <c r="DO18" s="30">
        <f t="shared" si="54"/>
        <v>255.74698487469809</v>
      </c>
      <c r="DP18" s="316">
        <f t="shared" si="40"/>
        <v>30083.63225567136</v>
      </c>
      <c r="DQ18" s="104"/>
      <c r="DR18" s="30">
        <f>VLOOKUP(A18,'ДЗ нас '!$A$1:$C$359,2)</f>
        <v>29833.32</v>
      </c>
      <c r="DS18" s="748">
        <f>VLOOKUP(A18,'ДЗ нежит'!$A$1:$D$153,4,0)</f>
        <v>255.74</v>
      </c>
      <c r="DT18" s="30">
        <f t="shared" si="41"/>
        <v>30089.06</v>
      </c>
      <c r="DU18" s="257">
        <f>VLOOKUP(A18,'новий кошторис с 01.06'!$A$4:$AI$399,35)*1.2</f>
        <v>30342.725739213027</v>
      </c>
      <c r="DV18" s="30">
        <f t="shared" si="42"/>
        <v>-253.66573921302552</v>
      </c>
      <c r="DW18" s="930">
        <f>'[5]побудинковий звіт'!DW18+'[6]побудинковий звіт'!DW18</f>
        <v>276</v>
      </c>
      <c r="DY18" s="5">
        <f t="shared" si="9"/>
        <v>68685.726248902312</v>
      </c>
      <c r="DZ18" s="5">
        <f t="shared" si="10"/>
        <v>11934.047196179965</v>
      </c>
      <c r="EA18" s="752">
        <f t="shared" si="43"/>
        <v>32464.889999999996</v>
      </c>
      <c r="EC18" s="592">
        <f t="shared" si="11"/>
        <v>532855.64750862389</v>
      </c>
      <c r="EE18" s="758">
        <v>-45308</v>
      </c>
      <c r="EF18" s="738">
        <f t="shared" si="12"/>
        <v>52154.371303336229</v>
      </c>
      <c r="EH18" s="813">
        <v>130563.10472088867</v>
      </c>
    </row>
    <row r="19" spans="1:138" x14ac:dyDescent="0.3">
      <c r="A19" s="328">
        <v>150000969</v>
      </c>
      <c r="B19" s="44" t="s">
        <v>467</v>
      </c>
      <c r="C19" s="45" t="s">
        <v>192</v>
      </c>
      <c r="D19" s="45" t="s">
        <v>192</v>
      </c>
      <c r="E19" s="40">
        <f t="shared" si="3"/>
        <v>853.2</v>
      </c>
      <c r="F19" s="490">
        <v>664</v>
      </c>
      <c r="G19" s="30"/>
      <c r="H19" s="30">
        <v>189.20000000000002</v>
      </c>
      <c r="I19" s="42">
        <f>'[1]побудинковий звіт'!I19+'[2]побудинковий звіт'!I19-'[3]побудинковий звіт'!I19</f>
        <v>3726.2338068811064</v>
      </c>
      <c r="J19" s="42">
        <f>'[1]побудинковий звіт'!J19+'[2]побудинковий звіт'!J19-'[3]побудинковий звіт'!J19</f>
        <v>3693.1253259987952</v>
      </c>
      <c r="K19" s="56">
        <f t="shared" si="13"/>
        <v>-33.108480882311142</v>
      </c>
      <c r="L19" s="42">
        <f>'[1]побудинковий звіт'!L19+'[2]побудинковий звіт'!L19-'[3]побудинковий звіт'!L19</f>
        <v>758.97157692637211</v>
      </c>
      <c r="M19" s="42">
        <f>'[1]побудинковий звіт'!M19+'[2]побудинковий звіт'!M19-'[3]побудинковий звіт'!M19</f>
        <v>765.77152813301313</v>
      </c>
      <c r="N19" s="56">
        <f t="shared" si="14"/>
        <v>6.7999512066410261</v>
      </c>
      <c r="O19" s="42">
        <f>'[1]побудинковий звіт'!O19+'[2]побудинковий звіт'!O19-'[3]побудинковий звіт'!O19</f>
        <v>1025.2800000000002</v>
      </c>
      <c r="P19" s="42">
        <f>'[1]побудинковий звіт'!P19+'[2]побудинковий звіт'!P19-'[3]побудинковий звіт'!P19</f>
        <v>805.81961290322602</v>
      </c>
      <c r="Q19" s="56">
        <f t="shared" si="15"/>
        <v>-219.46038709677418</v>
      </c>
      <c r="R19" s="42">
        <f>'[1]побудинковий звіт'!R19+'[2]побудинковий звіт'!R19-'[3]побудинковий звіт'!R19</f>
        <v>0</v>
      </c>
      <c r="S19" s="42">
        <f>'[1]побудинковий звіт'!S19+'[2]побудинковий звіт'!S19-'[3]побудинковий звіт'!S19</f>
        <v>0</v>
      </c>
      <c r="T19" s="56">
        <f t="shared" si="16"/>
        <v>0</v>
      </c>
      <c r="U19" s="42">
        <f>'[1]побудинковий звіт'!U19+'[2]побудинковий звіт'!U19-'[3]побудинковий звіт'!U19</f>
        <v>0</v>
      </c>
      <c r="V19" s="42">
        <f>'[1]побудинковий звіт'!V19+'[2]побудинковий звіт'!V19-'[3]побудинковий звіт'!V19</f>
        <v>0</v>
      </c>
      <c r="W19" s="56">
        <f t="shared" si="17"/>
        <v>0</v>
      </c>
      <c r="X19" s="42">
        <f>'[1]побудинковий звіт'!X19+'[2]побудинковий звіт'!X19-'[3]побудинковий звіт'!X19</f>
        <v>2256.0397467746502</v>
      </c>
      <c r="Y19" s="42">
        <f>'[1]побудинковий звіт'!Y19+'[2]побудинковий звіт'!Y19-'[3]побудинковий звіт'!Y19</f>
        <v>1610.407299652338</v>
      </c>
      <c r="Z19" s="56">
        <f t="shared" si="18"/>
        <v>-645.63244712231221</v>
      </c>
      <c r="AA19" s="42">
        <f>'[1]побудинковий звіт'!AA19+'[2]побудинковий звіт'!AA19-'[3]побудинковий звіт'!AA19</f>
        <v>0</v>
      </c>
      <c r="AB19" s="42">
        <f>'[1]побудинковий звіт'!AB19+'[2]побудинковий звіт'!AB19-'[3]побудинковий звіт'!AB19</f>
        <v>0</v>
      </c>
      <c r="AC19" s="56">
        <f t="shared" si="19"/>
        <v>0</v>
      </c>
      <c r="AD19" s="42">
        <f>'[1]побудинковий звіт'!AD19+'[2]побудинковий звіт'!AD19-'[3]побудинковий звіт'!AD19</f>
        <v>3220.9838939625911</v>
      </c>
      <c r="AE19" s="42">
        <f>'[1]побудинковий звіт'!AE19+'[2]побудинковий звіт'!AE19-'[3]побудинковий звіт'!AE19</f>
        <v>3295.9205215533734</v>
      </c>
      <c r="AF19" s="37">
        <f t="shared" si="20"/>
        <v>74.936627590782336</v>
      </c>
      <c r="AG19" s="87">
        <f t="shared" si="4"/>
        <v>10987.509024544721</v>
      </c>
      <c r="AH19" s="57">
        <f t="shared" si="4"/>
        <v>10171.044288240746</v>
      </c>
      <c r="AI19" s="56">
        <f t="shared" si="21"/>
        <v>-816.46473630397486</v>
      </c>
      <c r="AJ19" s="42">
        <f>'[1]побудинковий звіт'!AJ19+'[2]побудинковий звіт'!AJ19-'[3]побудинковий звіт'!AJ19</f>
        <v>0</v>
      </c>
      <c r="AK19" s="42">
        <f>'[1]побудинковий звіт'!AK19+'[2]побудинковий звіт'!AK19-'[3]побудинковий звіт'!AK19</f>
        <v>0</v>
      </c>
      <c r="AL19" s="56">
        <f t="shared" si="22"/>
        <v>0</v>
      </c>
      <c r="AM19" s="42">
        <f>'[1]побудинковий звіт'!AM19+'[2]побудинковий звіт'!AM19-'[3]побудинковий звіт'!AM19</f>
        <v>0</v>
      </c>
      <c r="AN19" s="42">
        <f>'[1]побудинковий звіт'!AN19+'[2]побудинковий звіт'!AN19-'[3]побудинковий звіт'!AN19</f>
        <v>0</v>
      </c>
      <c r="AO19" s="56">
        <f t="shared" si="23"/>
        <v>0</v>
      </c>
      <c r="AP19" s="42">
        <f>'[1]побудинковий звіт'!AP19+'[2]побудинковий звіт'!AP19-'[3]побудинковий звіт'!AP19</f>
        <v>2983.1055751149961</v>
      </c>
      <c r="AQ19" s="42">
        <f>'[1]побудинковий звіт'!AQ19+'[2]побудинковий звіт'!AQ19-'[3]побудинковий звіт'!AQ19</f>
        <v>2199.0737154436843</v>
      </c>
      <c r="AR19" s="56">
        <f t="shared" si="24"/>
        <v>-784.03185967131185</v>
      </c>
      <c r="AS19" s="42">
        <f>'[1]побудинковий звіт'!AS19+'[2]побудинковий звіт'!AS19-'[3]побудинковий звіт'!AS19</f>
        <v>9705.774006003523</v>
      </c>
      <c r="AT19" s="42">
        <f>'[1]побудинковий звіт'!AT19+'[2]побудинковий звіт'!AT19-'[3]побудинковий звіт'!AT19</f>
        <v>9649</v>
      </c>
      <c r="AU19" s="58">
        <f t="shared" si="44"/>
        <v>-56.774006003523027</v>
      </c>
      <c r="AV19" s="42">
        <f>'[1]побудинковий звіт'!AV19+'[2]побудинковий звіт'!AV19-'[3]побудинковий звіт'!AV19</f>
        <v>622.70701360390399</v>
      </c>
      <c r="AW19" s="42">
        <f>'[1]побудинковий звіт'!AW19+'[2]побудинковий звіт'!AW19-'[3]побудинковий звіт'!AW19</f>
        <v>0</v>
      </c>
      <c r="AX19" s="59">
        <f t="shared" si="45"/>
        <v>-622.70701360390399</v>
      </c>
      <c r="AY19" s="42">
        <f>'[1]побудинковий звіт'!AY19+'[2]побудинковий звіт'!AY19-'[3]побудинковий звіт'!AY19</f>
        <v>978.03471864550954</v>
      </c>
      <c r="AZ19" s="42">
        <f>'[1]побудинковий звіт'!AZ19+'[2]побудинковий звіт'!AZ19-'[3]побудинковий звіт'!AZ19</f>
        <v>0</v>
      </c>
      <c r="BA19" s="37">
        <f t="shared" si="46"/>
        <v>-978.03471864550954</v>
      </c>
      <c r="BB19" s="42">
        <f>'[1]побудинковий звіт'!BB19+'[2]побудинковий звіт'!BB19-'[3]побудинковий звіт'!BB19</f>
        <v>428.57095447096913</v>
      </c>
      <c r="BC19" s="42">
        <f>'[1]побудинковий звіт'!BC19+'[2]побудинковий звіт'!BC19-'[3]побудинковий звіт'!BC19</f>
        <v>3938</v>
      </c>
      <c r="BD19" s="59">
        <f t="shared" si="47"/>
        <v>3509.4290455290311</v>
      </c>
      <c r="BE19" s="42">
        <f>'[1]побудинковий звіт'!BE19+'[2]побудинковий звіт'!BE19-'[3]побудинковий звіт'!BE19</f>
        <v>0</v>
      </c>
      <c r="BF19" s="42">
        <f>'[1]побудинковий звіт'!BF19+'[2]побудинковий звіт'!BF19-'[3]побудинковий звіт'!BF19</f>
        <v>0</v>
      </c>
      <c r="BG19" s="39">
        <f t="shared" si="48"/>
        <v>0</v>
      </c>
      <c r="BH19" s="42">
        <f>'[1]побудинковий звіт'!BH19+'[2]побудинковий звіт'!BH19-'[3]побудинковий звіт'!BH19</f>
        <v>0</v>
      </c>
      <c r="BI19" s="42">
        <f>'[1]побудинковий звіт'!BI19+'[2]побудинковий звіт'!BI19-'[3]побудинковий звіт'!BI19</f>
        <v>0</v>
      </c>
      <c r="BJ19" s="59">
        <f t="shared" si="49"/>
        <v>0</v>
      </c>
      <c r="BK19" s="42">
        <f>'[1]побудинковий звіт'!BK19+'[2]побудинковий звіт'!BK19-'[3]побудинковий звіт'!BK19</f>
        <v>237.15890333675827</v>
      </c>
      <c r="BL19" s="42">
        <f>'[1]побудинковий звіт'!BL19+'[2]побудинковий звіт'!BL19-'[3]побудинковий звіт'!BL19</f>
        <v>127</v>
      </c>
      <c r="BM19" s="39">
        <f t="shared" si="50"/>
        <v>-110.15890333675827</v>
      </c>
      <c r="BN19" s="42">
        <f>'[1]побудинковий звіт'!BN19+'[2]побудинковий звіт'!BN19-'[3]побудинковий звіт'!BN19</f>
        <v>0</v>
      </c>
      <c r="BO19" s="42">
        <f>'[1]побудинковий звіт'!BO19+'[2]побудинковий звіт'!BO19-'[3]побудинковий звіт'!BO19</f>
        <v>0</v>
      </c>
      <c r="BP19" s="59">
        <f t="shared" si="51"/>
        <v>0</v>
      </c>
      <c r="BQ19" s="87">
        <f t="shared" si="5"/>
        <v>2266.4715900571409</v>
      </c>
      <c r="BR19" s="43">
        <f t="shared" si="6"/>
        <v>4065</v>
      </c>
      <c r="BS19" s="59">
        <f t="shared" si="52"/>
        <v>1798.5284099428591</v>
      </c>
      <c r="BT19" s="42">
        <f>'[1]побудинковий звіт'!BT19+'[2]побудинковий звіт'!BT19-'[3]побудинковий звіт'!BT19</f>
        <v>8677.5241041882527</v>
      </c>
      <c r="BU19" s="42">
        <f>'[1]побудинковий звіт'!BU19+'[2]побудинковий звіт'!BU19-'[3]побудинковий звіт'!BU19</f>
        <v>15062.305119729126</v>
      </c>
      <c r="BV19" s="56">
        <f t="shared" si="25"/>
        <v>6384.7810155408733</v>
      </c>
      <c r="BW19" s="42">
        <f>'[1]побудинковий звіт'!BW19+'[2]побудинковий звіт'!BW19-'[3]побудинковий звіт'!BW19</f>
        <v>5550.9116399336999</v>
      </c>
      <c r="BX19" s="42">
        <f>'[1]побудинковий звіт'!BX19+'[2]побудинковий звіт'!BX19-'[3]побудинковий звіт'!BX19</f>
        <v>7401.4835877939613</v>
      </c>
      <c r="BY19" s="56">
        <f t="shared" si="26"/>
        <v>1850.5719478602614</v>
      </c>
      <c r="BZ19" s="42">
        <f>'[1]побудинковий звіт'!BZ19+'[2]побудинковий звіт'!BZ19-'[3]побудинковий звіт'!BZ19</f>
        <v>3723.9077426571539</v>
      </c>
      <c r="CA19" s="42">
        <f>'[1]побудинковий звіт'!CA19+'[2]побудинковий звіт'!CA19-'[3]побудинковий звіт'!CA19</f>
        <v>3033.3944148941805</v>
      </c>
      <c r="CB19" s="56">
        <f t="shared" si="27"/>
        <v>-690.5133277629734</v>
      </c>
      <c r="CC19" s="42">
        <f>'[1]побудинковий звіт'!CC19+'[2]побудинковий звіт'!CC19-'[3]побудинковий звіт'!CC19</f>
        <v>455.90543467303712</v>
      </c>
      <c r="CD19" s="42">
        <f>'[1]побудинковий звіт'!CD19+'[2]побудинковий звіт'!CD19-'[3]побудинковий звіт'!CD19</f>
        <v>451.89561748128142</v>
      </c>
      <c r="CE19" s="56">
        <f t="shared" si="28"/>
        <v>-4.0098171917557011</v>
      </c>
      <c r="CF19" s="42">
        <f>'[1]побудинковий звіт'!CF19+'[2]побудинковий звіт'!CF19-'[3]побудинковий звіт'!CF19</f>
        <v>56.124722071491298</v>
      </c>
      <c r="CG19" s="42">
        <f>'[1]побудинковий звіт'!CG19+'[2]побудинковий звіт'!CG19-'[3]побудинковий звіт'!CG19</f>
        <v>0</v>
      </c>
      <c r="CH19" s="56">
        <f t="shared" si="29"/>
        <v>-56.124722071491298</v>
      </c>
      <c r="CI19" s="42">
        <f>'[1]побудинковий звіт'!CI19+'[2]побудинковий звіт'!CI19-'[3]побудинковий звіт'!CI19</f>
        <v>1740.7298414788679</v>
      </c>
      <c r="CJ19" s="42">
        <f>'[1]побудинковий звіт'!CJ19+'[2]побудинковий звіт'!CJ19-'[3]побудинковий звіт'!CJ19</f>
        <v>1253.1510559279604</v>
      </c>
      <c r="CK19" s="56">
        <f t="shared" si="30"/>
        <v>-487.57878555090747</v>
      </c>
      <c r="CL19" s="42">
        <f>'[1]побудинковий звіт'!CL19+'[2]побудинковий звіт'!CL19-'[3]побудинковий звіт'!CL19</f>
        <v>0</v>
      </c>
      <c r="CM19" s="42">
        <f>'[1]побудинковий звіт'!CM19+'[2]побудинковий звіт'!CM19-'[3]побудинковий звіт'!CM19</f>
        <v>0</v>
      </c>
      <c r="CN19" s="56">
        <f t="shared" si="31"/>
        <v>0</v>
      </c>
      <c r="CO19" s="42">
        <f t="shared" si="7"/>
        <v>1740.7298414788679</v>
      </c>
      <c r="CP19" s="43">
        <f t="shared" si="32"/>
        <v>1253.1510559279604</v>
      </c>
      <c r="CQ19" s="56">
        <f t="shared" si="33"/>
        <v>-487.57878555090747</v>
      </c>
      <c r="CR19" s="78">
        <f t="shared" si="8"/>
        <v>46147.963680722882</v>
      </c>
      <c r="CS19" s="5">
        <f t="shared" si="8"/>
        <v>53286.34779951095</v>
      </c>
      <c r="CT19" s="56">
        <f t="shared" si="34"/>
        <v>7138.384118788068</v>
      </c>
      <c r="CU19" s="87">
        <f t="shared" si="35"/>
        <v>55377.556416867454</v>
      </c>
      <c r="CV19" s="70">
        <f t="shared" si="36"/>
        <v>63943.61735941314</v>
      </c>
      <c r="CW19" s="37">
        <f t="shared" si="37"/>
        <v>8566.060942545686</v>
      </c>
      <c r="CX19" s="42">
        <f>'[1]побудинковий звіт'!CX19+'[2]побудинковий звіт'!CX19-'[3]побудинковий звіт'!CX19</f>
        <v>-822.93641686746196</v>
      </c>
      <c r="CY19" s="42">
        <f>'[1]побудинковий звіт'!CY19+'[2]побудинковий звіт'!CY19-'[3]побудинковий звіт'!CY19</f>
        <v>-9388.9973594131206</v>
      </c>
      <c r="CZ19" s="56">
        <f t="shared" si="38"/>
        <v>-8566.0609425456587</v>
      </c>
      <c r="DA19" s="264">
        <f>'[4]побудинковий звіт'!DA19</f>
        <v>6462.3361921331816</v>
      </c>
      <c r="DB19" s="2">
        <v>2</v>
      </c>
      <c r="DC19" s="717">
        <f>'[4]побудинковий звіт'!DC19</f>
        <v>4633.28</v>
      </c>
      <c r="DD19" s="717">
        <f>'[4]побудинковий звіт'!DD19</f>
        <v>1928.3300000000004</v>
      </c>
      <c r="DE19" s="717">
        <f>'[4]побудинковий звіт'!DE19</f>
        <v>1118.54</v>
      </c>
      <c r="DF19" s="717">
        <f>'[4]побудинковий звіт'!DF19</f>
        <v>908.6900000000004</v>
      </c>
      <c r="DG19" s="787">
        <v>3712.9503804038395</v>
      </c>
      <c r="DH19" s="761">
        <f t="shared" si="39"/>
        <v>654655.43999999994</v>
      </c>
      <c r="DI19" s="784"/>
      <c r="DJ19" s="5"/>
      <c r="DK19" s="317">
        <f>VLOOKUP($A19,ціни!$A$4:$G$401,5)</f>
        <v>6.2252083390203738</v>
      </c>
      <c r="DL19" s="317"/>
      <c r="DM19" s="317">
        <f>VLOOKUP($A19,ціни!$A$4:$G$401,7)</f>
        <v>5.3892276703556599</v>
      </c>
      <c r="DN19" s="30">
        <f t="shared" si="53"/>
        <v>4133.5383371095286</v>
      </c>
      <c r="DO19" s="30">
        <f t="shared" si="54"/>
        <v>1019.6418752312909</v>
      </c>
      <c r="DP19" s="316">
        <f t="shared" si="40"/>
        <v>5153.1802123408197</v>
      </c>
      <c r="DQ19" s="104"/>
      <c r="DR19" s="30">
        <f>VLOOKUP(A19,'ДЗ нас '!$A$1:$C$359,2)</f>
        <v>3514.74</v>
      </c>
      <c r="DS19" s="748">
        <f>VLOOKUP(A19,'ДЗ нежит'!$A$1:$D$153,4,0)</f>
        <v>1019.64</v>
      </c>
      <c r="DT19" s="30">
        <f t="shared" si="41"/>
        <v>4534.38</v>
      </c>
      <c r="DU19" s="257">
        <f>VLOOKUP(A19,'новий кошторис с 01.06'!$A$4:$AI$399,35)*1.2</f>
        <v>4614.7963680722887</v>
      </c>
      <c r="DV19" s="30">
        <f t="shared" si="42"/>
        <v>-80.416368072288606</v>
      </c>
      <c r="DW19" s="930">
        <f>'[5]побудинковий звіт'!DW19+'[6]побудинковий звіт'!DW19</f>
        <v>204</v>
      </c>
      <c r="DY19" s="5">
        <f t="shared" si="9"/>
        <v>14366.694715272797</v>
      </c>
      <c r="DZ19" s="5">
        <f t="shared" si="10"/>
        <v>16456.8</v>
      </c>
      <c r="EA19" s="752">
        <f t="shared" si="43"/>
        <v>2027.2300000000005</v>
      </c>
      <c r="EC19" s="592">
        <f t="shared" si="11"/>
        <v>116469.28807204228</v>
      </c>
      <c r="EE19" s="758">
        <v>6921</v>
      </c>
      <c r="EF19" s="738">
        <f t="shared" si="12"/>
        <v>10633.95038040384</v>
      </c>
      <c r="EH19" s="813">
        <v>-3338.8786893936558</v>
      </c>
    </row>
    <row r="20" spans="1:138" x14ac:dyDescent="0.3">
      <c r="A20" s="328">
        <v>150000989</v>
      </c>
      <c r="B20" s="44" t="s">
        <v>468</v>
      </c>
      <c r="C20" s="45" t="s">
        <v>37</v>
      </c>
      <c r="D20" s="45" t="s">
        <v>37</v>
      </c>
      <c r="E20" s="40">
        <f t="shared" si="3"/>
        <v>422.90000000000003</v>
      </c>
      <c r="F20" s="490">
        <v>372.8</v>
      </c>
      <c r="G20" s="30"/>
      <c r="H20" s="30">
        <v>50.1</v>
      </c>
      <c r="I20" s="42">
        <f>'[1]побудинковий звіт'!I20+'[2]побудинковий звіт'!I20-'[3]побудинковий звіт'!I20</f>
        <v>0</v>
      </c>
      <c r="J20" s="42">
        <f>'[1]побудинковий звіт'!J20+'[2]побудинковий звіт'!J20-'[3]побудинковий звіт'!J20</f>
        <v>0</v>
      </c>
      <c r="K20" s="56">
        <f t="shared" si="13"/>
        <v>0</v>
      </c>
      <c r="L20" s="42">
        <f>'[1]побудинковий звіт'!L20+'[2]побудинковий звіт'!L20-'[3]побудинковий звіт'!L20</f>
        <v>0</v>
      </c>
      <c r="M20" s="42">
        <f>'[1]побудинковий звіт'!M20+'[2]побудинковий звіт'!M20-'[3]побудинковий звіт'!M20</f>
        <v>0</v>
      </c>
      <c r="N20" s="56">
        <f t="shared" si="14"/>
        <v>0</v>
      </c>
      <c r="O20" s="42">
        <f>'[1]побудинковий звіт'!O20+'[2]побудинковий звіт'!O20-'[3]побудинковий звіт'!O20</f>
        <v>0</v>
      </c>
      <c r="P20" s="42">
        <f>'[1]побудинковий звіт'!P20+'[2]побудинковий звіт'!P20-'[3]побудинковий звіт'!P20</f>
        <v>0</v>
      </c>
      <c r="Q20" s="56">
        <f t="shared" si="15"/>
        <v>0</v>
      </c>
      <c r="R20" s="42">
        <f>'[1]побудинковий звіт'!R20+'[2]побудинковий звіт'!R20-'[3]побудинковий звіт'!R20</f>
        <v>0</v>
      </c>
      <c r="S20" s="42">
        <f>'[1]побудинковий звіт'!S20+'[2]побудинковий звіт'!S20-'[3]побудинковий звіт'!S20</f>
        <v>0</v>
      </c>
      <c r="T20" s="56">
        <f t="shared" si="16"/>
        <v>0</v>
      </c>
      <c r="U20" s="42">
        <f>'[1]побудинковий звіт'!U20+'[2]побудинковий звіт'!U20-'[3]побудинковий звіт'!U20</f>
        <v>0</v>
      </c>
      <c r="V20" s="42">
        <f>'[1]побудинковий звіт'!V20+'[2]побудинковий звіт'!V20-'[3]побудинковий звіт'!V20</f>
        <v>0</v>
      </c>
      <c r="W20" s="56">
        <f t="shared" si="17"/>
        <v>0</v>
      </c>
      <c r="X20" s="42">
        <f>'[1]побудинковий звіт'!X20+'[2]побудинковий звіт'!X20-'[3]побудинковий звіт'!X20</f>
        <v>0</v>
      </c>
      <c r="Y20" s="42">
        <f>'[1]побудинковий звіт'!Y20+'[2]побудинковий звіт'!Y20-'[3]побудинковий звіт'!Y20</f>
        <v>0</v>
      </c>
      <c r="Z20" s="56">
        <f t="shared" si="18"/>
        <v>0</v>
      </c>
      <c r="AA20" s="42">
        <f>'[1]побудинковий звіт'!AA20+'[2]побудинковий звіт'!AA20-'[3]побудинковий звіт'!AA20</f>
        <v>0</v>
      </c>
      <c r="AB20" s="42">
        <f>'[1]побудинковий звіт'!AB20+'[2]побудинковий звіт'!AB20-'[3]побудинковий звіт'!AB20</f>
        <v>0</v>
      </c>
      <c r="AC20" s="56">
        <f t="shared" si="19"/>
        <v>0</v>
      </c>
      <c r="AD20" s="42">
        <f>'[1]побудинковий звіт'!AD20+'[2]побудинковий звіт'!AD20-'[3]побудинковий звіт'!AD20</f>
        <v>0</v>
      </c>
      <c r="AE20" s="42">
        <f>'[1]побудинковий звіт'!AE20+'[2]побудинковий звіт'!AE20-'[3]побудинковий звіт'!AE20</f>
        <v>171.12605898110434</v>
      </c>
      <c r="AF20" s="37">
        <f t="shared" si="20"/>
        <v>171.12605898110434</v>
      </c>
      <c r="AG20" s="87">
        <f t="shared" si="4"/>
        <v>0</v>
      </c>
      <c r="AH20" s="57">
        <f t="shared" si="4"/>
        <v>171.12605898110434</v>
      </c>
      <c r="AI20" s="56">
        <f t="shared" si="21"/>
        <v>171.12605898110434</v>
      </c>
      <c r="AJ20" s="42">
        <f>'[1]побудинковий звіт'!AJ20+'[2]побудинковий звіт'!AJ20-'[3]побудинковий звіт'!AJ20</f>
        <v>0</v>
      </c>
      <c r="AK20" s="42">
        <f>'[1]побудинковий звіт'!AK20+'[2]побудинковий звіт'!AK20-'[3]побудинковий звіт'!AK20</f>
        <v>0</v>
      </c>
      <c r="AL20" s="56">
        <f t="shared" si="22"/>
        <v>0</v>
      </c>
      <c r="AM20" s="42">
        <f>'[1]побудинковий звіт'!AM20+'[2]побудинковий звіт'!AM20-'[3]побудинковий звіт'!AM20</f>
        <v>0</v>
      </c>
      <c r="AN20" s="42">
        <f>'[1]побудинковий звіт'!AN20+'[2]побудинковий звіт'!AN20-'[3]побудинковий звіт'!AN20</f>
        <v>0</v>
      </c>
      <c r="AO20" s="56">
        <f t="shared" si="23"/>
        <v>0</v>
      </c>
      <c r="AP20" s="42">
        <f>'[1]побудинковий звіт'!AP20+'[2]побудинковий звіт'!AP20-'[3]побудинковий звіт'!AP20</f>
        <v>473.50882144682492</v>
      </c>
      <c r="AQ20" s="42">
        <f>'[1]побудинковий звіт'!AQ20+'[2]побудинковий звіт'!AQ20-'[3]побудинковий звіт'!AQ20</f>
        <v>116.78640785600219</v>
      </c>
      <c r="AR20" s="56">
        <f t="shared" si="24"/>
        <v>-356.72241359082273</v>
      </c>
      <c r="AS20" s="42">
        <f>'[1]побудинковий звіт'!AS20+'[2]побудинковий звіт'!AS20-'[3]побудинковий звіт'!AS20</f>
        <v>2786.0722045278262</v>
      </c>
      <c r="AT20" s="42">
        <f>'[1]побудинковий звіт'!AT20+'[2]побудинковий звіт'!AT20-'[3]побудинковий звіт'!AT20</f>
        <v>705</v>
      </c>
      <c r="AU20" s="58">
        <f t="shared" si="44"/>
        <v>-2081.0722045278262</v>
      </c>
      <c r="AV20" s="42">
        <f>'[1]побудинковий звіт'!AV20+'[2]побудинковий звіт'!AV20-'[3]побудинковий звіт'!AV20</f>
        <v>0</v>
      </c>
      <c r="AW20" s="42">
        <f>'[1]побудинковий звіт'!AW20+'[2]побудинковий звіт'!AW20-'[3]побудинковий звіт'!AW20</f>
        <v>0</v>
      </c>
      <c r="AX20" s="59">
        <f t="shared" si="45"/>
        <v>0</v>
      </c>
      <c r="AY20" s="42">
        <f>'[1]побудинковий звіт'!AY20+'[2]побудинковий звіт'!AY20-'[3]побудинковий звіт'!AY20</f>
        <v>0</v>
      </c>
      <c r="AZ20" s="42">
        <f>'[1]побудинковий звіт'!AZ20+'[2]побудинковий звіт'!AZ20-'[3]побудинковий звіт'!AZ20</f>
        <v>0</v>
      </c>
      <c r="BA20" s="37">
        <f t="shared" si="46"/>
        <v>0</v>
      </c>
      <c r="BB20" s="42">
        <f>'[1]побудинковий звіт'!BB20+'[2]побудинковий звіт'!BB20-'[3]побудинковий звіт'!BB20</f>
        <v>0</v>
      </c>
      <c r="BC20" s="42">
        <f>'[1]побудинковий звіт'!BC20+'[2]побудинковий звіт'!BC20-'[3]побудинковий звіт'!BC20</f>
        <v>0</v>
      </c>
      <c r="BD20" s="59">
        <f t="shared" si="47"/>
        <v>0</v>
      </c>
      <c r="BE20" s="42">
        <f>'[1]побудинковий звіт'!BE20+'[2]побудинковий звіт'!BE20-'[3]побудинковий звіт'!BE20</f>
        <v>0</v>
      </c>
      <c r="BF20" s="42">
        <f>'[1]побудинковий звіт'!BF20+'[2]побудинковий звіт'!BF20-'[3]побудинковий звіт'!BF20</f>
        <v>0</v>
      </c>
      <c r="BG20" s="39">
        <f t="shared" si="48"/>
        <v>0</v>
      </c>
      <c r="BH20" s="42">
        <f>'[1]побудинковий звіт'!BH20+'[2]побудинковий звіт'!BH20-'[3]побудинковий звіт'!BH20</f>
        <v>0</v>
      </c>
      <c r="BI20" s="42">
        <f>'[1]побудинковий звіт'!BI20+'[2]побудинковий звіт'!BI20-'[3]побудинковий звіт'!BI20</f>
        <v>0</v>
      </c>
      <c r="BJ20" s="59">
        <f t="shared" si="49"/>
        <v>0</v>
      </c>
      <c r="BK20" s="42">
        <f>'[1]побудинковий звіт'!BK20+'[2]побудинковий звіт'!BK20-'[3]побудинковий звіт'!BK20</f>
        <v>0</v>
      </c>
      <c r="BL20" s="42">
        <f>'[1]побудинковий звіт'!BL20+'[2]побудинковий звіт'!BL20-'[3]побудинковий звіт'!BL20</f>
        <v>0</v>
      </c>
      <c r="BM20" s="39">
        <f t="shared" si="50"/>
        <v>0</v>
      </c>
      <c r="BN20" s="42">
        <f>'[1]побудинковий звіт'!BN20+'[2]побудинковий звіт'!BN20-'[3]побудинковий звіт'!BN20</f>
        <v>0</v>
      </c>
      <c r="BO20" s="42">
        <f>'[1]побудинковий звіт'!BO20+'[2]побудинковий звіт'!BO20-'[3]побудинковий звіт'!BO20</f>
        <v>0</v>
      </c>
      <c r="BP20" s="59">
        <f t="shared" si="51"/>
        <v>0</v>
      </c>
      <c r="BQ20" s="87">
        <f t="shared" si="5"/>
        <v>0</v>
      </c>
      <c r="BR20" s="43">
        <f t="shared" si="6"/>
        <v>0</v>
      </c>
      <c r="BS20" s="59">
        <f t="shared" si="52"/>
        <v>0</v>
      </c>
      <c r="BT20" s="42">
        <f>'[1]побудинковий звіт'!BT20+'[2]побудинковий звіт'!BT20-'[3]побудинковий звіт'!BT20</f>
        <v>95.708043016790015</v>
      </c>
      <c r="BU20" s="42">
        <f>'[1]побудинковий звіт'!BU20+'[2]побудинковий звіт'!BU20-'[3]побудинковий звіт'!BU20</f>
        <v>285.92538805739144</v>
      </c>
      <c r="BV20" s="56">
        <f t="shared" si="25"/>
        <v>190.21734504060143</v>
      </c>
      <c r="BW20" s="42">
        <f>'[1]побудинковий звіт'!BW20+'[2]побудинковий звіт'!BW20-'[3]побудинковий звіт'!BW20</f>
        <v>0</v>
      </c>
      <c r="BX20" s="42">
        <f>'[1]побудинковий звіт'!BX20+'[2]побудинковий звіт'!BX20-'[3]побудинковий звіт'!BX20</f>
        <v>8.2756358526080156</v>
      </c>
      <c r="BY20" s="56">
        <f t="shared" si="26"/>
        <v>8.2756358526080156</v>
      </c>
      <c r="BZ20" s="42">
        <f>'[1]побудинковий звіт'!BZ20+'[2]побудинковий звіт'!BZ20-'[3]побудинковий звіт'!BZ20</f>
        <v>0</v>
      </c>
      <c r="CA20" s="42">
        <f>'[1]побудинковий звіт'!CA20+'[2]побудинковий звіт'!CA20-'[3]побудинковий звіт'!CA20</f>
        <v>68.92077825937352</v>
      </c>
      <c r="CB20" s="56">
        <f t="shared" si="27"/>
        <v>68.92077825937352</v>
      </c>
      <c r="CC20" s="42">
        <f>'[1]побудинковий звіт'!CC20+'[2]побудинковий звіт'!CC20-'[3]побудинковий звіт'!CC20</f>
        <v>0</v>
      </c>
      <c r="CD20" s="42">
        <f>'[1]побудинковий звіт'!CD20+'[2]побудинковий звіт'!CD20-'[3]побудинковий звіт'!CD20</f>
        <v>0</v>
      </c>
      <c r="CE20" s="56">
        <f t="shared" si="28"/>
        <v>0</v>
      </c>
      <c r="CF20" s="42">
        <f>'[1]побудинковий звіт'!CF20+'[2]побудинковий звіт'!CF20-'[3]побудинковий звіт'!CF20</f>
        <v>0</v>
      </c>
      <c r="CG20" s="42">
        <f>'[1]побудинковий звіт'!CG20+'[2]побудинковий звіт'!CG20-'[3]побудинковий звіт'!CG20</f>
        <v>0</v>
      </c>
      <c r="CH20" s="56">
        <f t="shared" si="29"/>
        <v>0</v>
      </c>
      <c r="CI20" s="42">
        <f>'[1]побудинковий звіт'!CI20+'[2]побудинковий звіт'!CI20-'[3]побудинковий звіт'!CI20</f>
        <v>0</v>
      </c>
      <c r="CJ20" s="42">
        <f>'[1]побудинковий звіт'!CJ20+'[2]побудинковий звіт'!CJ20-'[3]побудинковий звіт'!CJ20</f>
        <v>0</v>
      </c>
      <c r="CK20" s="56">
        <f t="shared" si="30"/>
        <v>0</v>
      </c>
      <c r="CL20" s="42">
        <f>'[1]побудинковий звіт'!CL20+'[2]побудинковий звіт'!CL20-'[3]побудинковий звіт'!CL20</f>
        <v>0</v>
      </c>
      <c r="CM20" s="42">
        <f>'[1]побудинковий звіт'!CM20+'[2]побудинковий звіт'!CM20-'[3]побудинковий звіт'!CM20</f>
        <v>0</v>
      </c>
      <c r="CN20" s="56">
        <f t="shared" si="31"/>
        <v>0</v>
      </c>
      <c r="CO20" s="42">
        <f t="shared" si="7"/>
        <v>0</v>
      </c>
      <c r="CP20" s="43">
        <f t="shared" si="32"/>
        <v>0</v>
      </c>
      <c r="CQ20" s="56">
        <f t="shared" si="33"/>
        <v>0</v>
      </c>
      <c r="CR20" s="78">
        <f t="shared" si="8"/>
        <v>3355.2890689914411</v>
      </c>
      <c r="CS20" s="5">
        <f t="shared" si="8"/>
        <v>1356.0342690064795</v>
      </c>
      <c r="CT20" s="56">
        <f t="shared" si="34"/>
        <v>-1999.2547999849617</v>
      </c>
      <c r="CU20" s="87">
        <f t="shared" si="35"/>
        <v>4026.3468827897291</v>
      </c>
      <c r="CV20" s="70">
        <f t="shared" si="36"/>
        <v>1627.2411228077754</v>
      </c>
      <c r="CW20" s="37">
        <f t="shared" si="37"/>
        <v>-2399.1057599819537</v>
      </c>
      <c r="CX20" s="42">
        <f>'[1]побудинковий звіт'!CX20+'[2]побудинковий звіт'!CX20-'[3]побудинковий звіт'!CX20</f>
        <v>100.69311721027043</v>
      </c>
      <c r="CY20" s="42">
        <f>'[1]побудинковий звіт'!CY20+'[2]побудинковий звіт'!CY20-'[3]побудинковий звіт'!CY20</f>
        <v>2499.7988771922251</v>
      </c>
      <c r="CZ20" s="56">
        <f t="shared" si="38"/>
        <v>2399.1057599819546</v>
      </c>
      <c r="DA20" s="264">
        <f>'[4]побудинковий звіт'!DA20</f>
        <v>-5069.6812890638439</v>
      </c>
      <c r="DB20" s="2">
        <v>3</v>
      </c>
      <c r="DC20" s="717">
        <f>'[4]побудинковий звіт'!DC20</f>
        <v>339.77</v>
      </c>
      <c r="DD20" s="717">
        <f>'[4]побудинковий звіт'!DD20</f>
        <v>0</v>
      </c>
      <c r="DE20" s="717">
        <f>'[4]побудинковий звіт'!DE20</f>
        <v>62.919999999999959</v>
      </c>
      <c r="DF20" s="717">
        <f>'[4]побудинковий звіт'!DF20</f>
        <v>-67.069999999999993</v>
      </c>
      <c r="DG20" s="787">
        <v>-1623.5876142254965</v>
      </c>
      <c r="DH20" s="761">
        <f t="shared" si="39"/>
        <v>49524.479999999989</v>
      </c>
      <c r="DI20" s="784"/>
      <c r="DJ20" s="5"/>
      <c r="DK20" s="317">
        <f>VLOOKUP($A20,ціни!$A$4:$G$401,5)</f>
        <v>1.3386677419003647</v>
      </c>
      <c r="DL20" s="317"/>
      <c r="DM20" s="317">
        <f>VLOOKUP($A20,ціни!$A$4:$G$401,7)</f>
        <v>1.3386677419003647</v>
      </c>
      <c r="DN20" s="30">
        <f t="shared" si="53"/>
        <v>499.05533418045599</v>
      </c>
      <c r="DO20" s="30">
        <f t="shared" si="54"/>
        <v>67.067253869208272</v>
      </c>
      <c r="DP20" s="316">
        <f t="shared" si="40"/>
        <v>566.12258804966427</v>
      </c>
      <c r="DQ20" s="104"/>
      <c r="DR20" s="30">
        <f>VLOOKUP(A20,'ДЗ нас '!$A$1:$C$359,2)</f>
        <v>276.85000000000002</v>
      </c>
      <c r="DS20" s="748">
        <f>VLOOKUP(A20,'ДЗ нежит'!$A$1:$D$153,4,0)</f>
        <v>67.069999999999993</v>
      </c>
      <c r="DT20" s="30">
        <f t="shared" si="41"/>
        <v>343.92</v>
      </c>
      <c r="DU20" s="257">
        <f>VLOOKUP(A20,'новий кошторис с 01.06'!$A$4:$AI$399,35)*1.2</f>
        <v>345.59477410611845</v>
      </c>
      <c r="DV20" s="30">
        <f t="shared" si="42"/>
        <v>-1.6747741061184342</v>
      </c>
      <c r="DW20" s="930">
        <f>'[5]побудинковий звіт'!DW20+'[6]побудинковий звіт'!DW20</f>
        <v>0</v>
      </c>
      <c r="DY20" s="5">
        <f t="shared" si="9"/>
        <v>3343.2866454333912</v>
      </c>
      <c r="DZ20" s="5">
        <f t="shared" si="10"/>
        <v>846</v>
      </c>
      <c r="EA20" s="752">
        <f t="shared" si="43"/>
        <v>-4.1500000000000341</v>
      </c>
      <c r="EC20" s="592">
        <f t="shared" si="11"/>
        <v>33432.866454333911</v>
      </c>
      <c r="EE20" s="758">
        <v>-651</v>
      </c>
      <c r="EF20" s="738">
        <f t="shared" si="12"/>
        <v>-2274.5876142254965</v>
      </c>
      <c r="EH20" s="813">
        <v>-3063.0814461793298</v>
      </c>
    </row>
    <row r="21" spans="1:138" x14ac:dyDescent="0.3">
      <c r="A21" s="328">
        <v>150000970</v>
      </c>
      <c r="B21" s="44" t="s">
        <v>469</v>
      </c>
      <c r="C21" s="45" t="s">
        <v>242</v>
      </c>
      <c r="D21" s="45" t="s">
        <v>242</v>
      </c>
      <c r="E21" s="40">
        <f t="shared" si="3"/>
        <v>2321.5</v>
      </c>
      <c r="F21" s="490">
        <v>1840.7</v>
      </c>
      <c r="G21" s="30"/>
      <c r="H21" s="30">
        <v>480.79999999999995</v>
      </c>
      <c r="I21" s="42">
        <f>'[1]побудинковий звіт'!I21+'[2]побудинковий звіт'!I21-'[3]побудинковий звіт'!I21</f>
        <v>8709.3776392531163</v>
      </c>
      <c r="J21" s="42">
        <f>'[1]побудинковий звіт'!J21+'[2]побудинковий звіт'!J21-'[3]побудинковий звіт'!J21</f>
        <v>8727.3436298025317</v>
      </c>
      <c r="K21" s="56">
        <f t="shared" si="13"/>
        <v>17.965990549415437</v>
      </c>
      <c r="L21" s="42">
        <f>'[1]побудинковий звіт'!L21+'[2]побудинковий звіт'!L21-'[3]побудинковий звіт'!L21</f>
        <v>1697.5582399658852</v>
      </c>
      <c r="M21" s="42">
        <f>'[1]побудинковий звіт'!M21+'[2]побудинковий звіт'!M21-'[3]побудинковий звіт'!M21</f>
        <v>1712.7607239372696</v>
      </c>
      <c r="N21" s="56">
        <f t="shared" si="14"/>
        <v>15.202483971384481</v>
      </c>
      <c r="O21" s="42">
        <f>'[1]побудинковий звіт'!O21+'[2]побудинковий звіт'!O21-'[3]побудинковий звіт'!O21</f>
        <v>3712.4399999999996</v>
      </c>
      <c r="P21" s="42">
        <f>'[1]побудинковий звіт'!P21+'[2]побудинковий звіт'!P21-'[3]побудинковий звіт'!P21</f>
        <v>2918.1581989247316</v>
      </c>
      <c r="Q21" s="56">
        <f t="shared" si="15"/>
        <v>-794.28180107526805</v>
      </c>
      <c r="R21" s="42">
        <f>'[1]побудинковий звіт'!R21+'[2]побудинковий звіт'!R21-'[3]побудинковий звіт'!R21</f>
        <v>0</v>
      </c>
      <c r="S21" s="42">
        <f>'[1]побудинковий звіт'!S21+'[2]побудинковий звіт'!S21-'[3]побудинковий звіт'!S21</f>
        <v>0</v>
      </c>
      <c r="T21" s="56">
        <f t="shared" si="16"/>
        <v>0</v>
      </c>
      <c r="U21" s="42">
        <f>'[1]побудинковий звіт'!U21+'[2]побудинковий звіт'!U21-'[3]побудинковий звіт'!U21</f>
        <v>0</v>
      </c>
      <c r="V21" s="42">
        <f>'[1]побудинковий звіт'!V21+'[2]побудинковий звіт'!V21-'[3]побудинковий звіт'!V21</f>
        <v>0</v>
      </c>
      <c r="W21" s="56">
        <f t="shared" si="17"/>
        <v>0</v>
      </c>
      <c r="X21" s="42">
        <f>'[1]побудинковий звіт'!X21+'[2]побудинковий звіт'!X21-'[3]побудинковий звіт'!X21</f>
        <v>5301.1001559670458</v>
      </c>
      <c r="Y21" s="42">
        <f>'[1]побудинковий звіт'!Y21+'[2]побудинковий звіт'!Y21-'[3]побудинковий звіт'!Y21</f>
        <v>4060.2541626802849</v>
      </c>
      <c r="Z21" s="56">
        <f t="shared" si="18"/>
        <v>-1240.8459932867609</v>
      </c>
      <c r="AA21" s="42">
        <f>'[1]побудинковий звіт'!AA21+'[2]побудинковий звіт'!AA21-'[3]побудинковий звіт'!AA21</f>
        <v>0</v>
      </c>
      <c r="AB21" s="42">
        <f>'[1]побудинковий звіт'!AB21+'[2]побудинковий звіт'!AB21-'[3]побудинковий звіт'!AB21</f>
        <v>0</v>
      </c>
      <c r="AC21" s="56">
        <f t="shared" si="19"/>
        <v>0</v>
      </c>
      <c r="AD21" s="42">
        <f>'[1]побудинковий звіт'!AD21+'[2]побудинковий звіт'!AD21-'[3]побудинковий звіт'!AD21</f>
        <v>12603.44102727218</v>
      </c>
      <c r="AE21" s="42">
        <f>'[1]побудинковий звіт'!AE21+'[2]побудинковий звіт'!AE21-'[3]побудинковий звіт'!AE21</f>
        <v>12098.991571549337</v>
      </c>
      <c r="AF21" s="37">
        <f t="shared" si="20"/>
        <v>-504.44945572284269</v>
      </c>
      <c r="AG21" s="87">
        <f t="shared" si="4"/>
        <v>32023.917062458226</v>
      </c>
      <c r="AH21" s="57">
        <f t="shared" si="4"/>
        <v>29517.508286894157</v>
      </c>
      <c r="AI21" s="56">
        <f t="shared" si="21"/>
        <v>-2506.4087755640685</v>
      </c>
      <c r="AJ21" s="42">
        <f>'[1]побудинковий звіт'!AJ21+'[2]побудинковий звіт'!AJ21-'[3]побудинковий звіт'!AJ21</f>
        <v>0</v>
      </c>
      <c r="AK21" s="42">
        <f>'[1]побудинковий звіт'!AK21+'[2]побудинковий звіт'!AK21-'[3]побудинковий звіт'!AK21</f>
        <v>0</v>
      </c>
      <c r="AL21" s="56">
        <f t="shared" si="22"/>
        <v>0</v>
      </c>
      <c r="AM21" s="42">
        <f>'[1]побудинковий звіт'!AM21+'[2]побудинковий звіт'!AM21-'[3]побудинковий звіт'!AM21</f>
        <v>0</v>
      </c>
      <c r="AN21" s="42">
        <f>'[1]побудинковий звіт'!AN21+'[2]побудинковий звіт'!AN21-'[3]побудинковий звіт'!AN21</f>
        <v>0</v>
      </c>
      <c r="AO21" s="56">
        <f t="shared" si="23"/>
        <v>0</v>
      </c>
      <c r="AP21" s="42">
        <f>'[1]побудинковий звіт'!AP21+'[2]побудинковий звіт'!AP21-'[3]побудинковий звіт'!AP21</f>
        <v>7670.8429074385649</v>
      </c>
      <c r="AQ21" s="42">
        <f>'[1]побудинковий звіт'!AQ21+'[2]побудинковий звіт'!AQ21-'[3]побудинковий звіт'!AQ21</f>
        <v>5829.2105422489858</v>
      </c>
      <c r="AR21" s="56">
        <f t="shared" si="24"/>
        <v>-1841.6323651895791</v>
      </c>
      <c r="AS21" s="42">
        <f>'[1]побудинковий звіт'!AS21+'[2]побудинковий звіт'!AS21-'[3]побудинковий звіт'!AS21</f>
        <v>31307.075740986947</v>
      </c>
      <c r="AT21" s="42">
        <f>'[1]побудинковий звіт'!AT21+'[2]побудинковий звіт'!AT21-'[3]побудинковий звіт'!AT21</f>
        <v>1175</v>
      </c>
      <c r="AU21" s="58">
        <f t="shared" si="44"/>
        <v>-30132.075740986947</v>
      </c>
      <c r="AV21" s="42">
        <f>'[1]побудинковий звіт'!AV21+'[2]побудинковий звіт'!AV21-'[3]побудинковий звіт'!AV21</f>
        <v>1410.4226414909742</v>
      </c>
      <c r="AW21" s="42">
        <f>'[1]побудинковий звіт'!AW21+'[2]побудинковий звіт'!AW21-'[3]побудинковий звіт'!AW21</f>
        <v>0</v>
      </c>
      <c r="AX21" s="59">
        <f t="shared" si="45"/>
        <v>-1410.4226414909742</v>
      </c>
      <c r="AY21" s="42">
        <f>'[1]побудинковий звіт'!AY21+'[2]побудинковий звіт'!AY21-'[3]побудинковий звіт'!AY21</f>
        <v>2187.9777929463976</v>
      </c>
      <c r="AZ21" s="42">
        <f>'[1]побудинковий звіт'!AZ21+'[2]побудинковий звіт'!AZ21-'[3]побудинковий звіт'!AZ21</f>
        <v>0</v>
      </c>
      <c r="BA21" s="37">
        <f t="shared" si="46"/>
        <v>-2187.9777929463976</v>
      </c>
      <c r="BB21" s="42">
        <f>'[1]побудинковий звіт'!BB21+'[2]побудинковий звіт'!BB21-'[3]побудинковий звіт'!BB21</f>
        <v>2012.4976716116134</v>
      </c>
      <c r="BC21" s="42">
        <f>'[1]побудинковий звіт'!BC21+'[2]побудинковий звіт'!BC21-'[3]побудинковий звіт'!BC21</f>
        <v>0</v>
      </c>
      <c r="BD21" s="59">
        <f t="shared" si="47"/>
        <v>-2012.4976716116134</v>
      </c>
      <c r="BE21" s="42">
        <f>'[1]побудинковий звіт'!BE21+'[2]побудинковий звіт'!BE21-'[3]побудинковий звіт'!BE21</f>
        <v>0</v>
      </c>
      <c r="BF21" s="42">
        <f>'[1]побудинковий звіт'!BF21+'[2]побудинковий звіт'!BF21-'[3]побудинковий звіт'!BF21</f>
        <v>0</v>
      </c>
      <c r="BG21" s="39">
        <f t="shared" si="48"/>
        <v>0</v>
      </c>
      <c r="BH21" s="42">
        <f>'[1]побудинковий звіт'!BH21+'[2]побудинковий звіт'!BH21-'[3]побудинковий звіт'!BH21</f>
        <v>0</v>
      </c>
      <c r="BI21" s="42">
        <f>'[1]побудинковий звіт'!BI21+'[2]побудинковий звіт'!BI21-'[3]побудинковий звіт'!BI21</f>
        <v>1088</v>
      </c>
      <c r="BJ21" s="59">
        <f t="shared" si="49"/>
        <v>1088</v>
      </c>
      <c r="BK21" s="42">
        <f>'[1]побудинковий звіт'!BK21+'[2]побудинковий звіт'!BK21-'[3]побудинковий звіт'!BK21</f>
        <v>681.63919774673582</v>
      </c>
      <c r="BL21" s="42">
        <f>'[1]побудинковий звіт'!BL21+'[2]побудинковий звіт'!BL21-'[3]побудинковий звіт'!BL21</f>
        <v>130</v>
      </c>
      <c r="BM21" s="39">
        <f t="shared" si="50"/>
        <v>-551.63919774673582</v>
      </c>
      <c r="BN21" s="42">
        <f>'[1]побудинковий звіт'!BN21+'[2]побудинковий звіт'!BN21-'[3]побудинковий звіт'!BN21</f>
        <v>0</v>
      </c>
      <c r="BO21" s="42">
        <f>'[1]побудинковий звіт'!BO21+'[2]побудинковий звіт'!BO21-'[3]побудинковий звіт'!BO21</f>
        <v>0</v>
      </c>
      <c r="BP21" s="59">
        <f t="shared" si="51"/>
        <v>0</v>
      </c>
      <c r="BQ21" s="87">
        <f t="shared" si="5"/>
        <v>6292.5373037957206</v>
      </c>
      <c r="BR21" s="43">
        <f t="shared" si="6"/>
        <v>1218</v>
      </c>
      <c r="BS21" s="59">
        <f t="shared" si="52"/>
        <v>-5074.5373037957206</v>
      </c>
      <c r="BT21" s="42">
        <f>'[1]побудинковий звіт'!BT21+'[2]побудинковий звіт'!BT21-'[3]побудинковий звіт'!BT21</f>
        <v>26084.519846066654</v>
      </c>
      <c r="BU21" s="42">
        <f>'[1]побудинковий звіт'!BU21+'[2]побудинковий звіт'!BU21-'[3]побудинковий звіт'!BU21</f>
        <v>39384.465733204139</v>
      </c>
      <c r="BV21" s="56">
        <f t="shared" si="25"/>
        <v>13299.945887137485</v>
      </c>
      <c r="BW21" s="42">
        <f>'[1]побудинковий звіт'!BW21+'[2]побудинковий звіт'!BW21-'[3]побудинковий звіт'!BW21</f>
        <v>11741.661571886912</v>
      </c>
      <c r="BX21" s="42">
        <f>'[1]побудинковий звіт'!BX21+'[2]побудинковий звіт'!BX21-'[3]побудинковий звіт'!BX21</f>
        <v>13408.062316960632</v>
      </c>
      <c r="BY21" s="56">
        <f t="shared" si="26"/>
        <v>1666.400745073719</v>
      </c>
      <c r="BZ21" s="42">
        <f>'[1]побудинковий звіт'!BZ21+'[2]побудинковий звіт'!BZ21-'[3]побудинковий звіт'!BZ21</f>
        <v>11523.595920320047</v>
      </c>
      <c r="CA21" s="42">
        <f>'[1]побудинковий звіт'!CA21+'[2]побудинковий звіт'!CA21-'[3]побудинковий звіт'!CA21</f>
        <v>8015.1483348927068</v>
      </c>
      <c r="CB21" s="56">
        <f t="shared" si="27"/>
        <v>-3508.4475854273405</v>
      </c>
      <c r="CC21" s="42">
        <f>'[1]побудинковий звіт'!CC21+'[2]побудинковий звіт'!CC21-'[3]побудинковий звіт'!CC21</f>
        <v>1390.3645094835138</v>
      </c>
      <c r="CD21" s="42">
        <f>'[1]побудинковий звіт'!CD21+'[2]побудинковий звіт'!CD21-'[3]побудинковий звіт'!CD21</f>
        <v>1378.1358605380758</v>
      </c>
      <c r="CE21" s="56">
        <f t="shared" si="28"/>
        <v>-12.228648945437953</v>
      </c>
      <c r="CF21" s="42">
        <f>'[1]побудинковий звіт'!CF21+'[2]побудинковий звіт'!CF21-'[3]побудинковий звіт'!CF21</f>
        <v>171.16229756899315</v>
      </c>
      <c r="CG21" s="42">
        <f>'[1]побудинковий звіт'!CG21+'[2]побудинковий звіт'!CG21-'[3]побудинковий звіт'!CG21</f>
        <v>0</v>
      </c>
      <c r="CH21" s="56">
        <f t="shared" si="29"/>
        <v>-171.16229756899315</v>
      </c>
      <c r="CI21" s="42">
        <f>'[1]побудинковий звіт'!CI21+'[2]побудинковий звіт'!CI21-'[3]побудинковий звіт'!CI21</f>
        <v>3724.7875102612338</v>
      </c>
      <c r="CJ21" s="42">
        <f>'[1]побудинковий звіт'!CJ21+'[2]побудинковий звіт'!CJ21-'[3]побудинковий звіт'!CJ21</f>
        <v>8226.4814754404742</v>
      </c>
      <c r="CK21" s="56">
        <f t="shared" si="30"/>
        <v>4501.69396517924</v>
      </c>
      <c r="CL21" s="42">
        <f>'[1]побудинковий звіт'!CL21+'[2]побудинковий звіт'!CL21-'[3]побудинковий звіт'!CL21</f>
        <v>0</v>
      </c>
      <c r="CM21" s="42">
        <f>'[1]побудинковий звіт'!CM21+'[2]побудинковий звіт'!CM21-'[3]побудинковий звіт'!CM21</f>
        <v>0</v>
      </c>
      <c r="CN21" s="56">
        <f t="shared" si="31"/>
        <v>0</v>
      </c>
      <c r="CO21" s="42">
        <f t="shared" si="7"/>
        <v>3724.7875102612338</v>
      </c>
      <c r="CP21" s="43">
        <f t="shared" si="32"/>
        <v>8226.4814754404742</v>
      </c>
      <c r="CQ21" s="56">
        <f t="shared" si="33"/>
        <v>4501.69396517924</v>
      </c>
      <c r="CR21" s="78">
        <f t="shared" si="8"/>
        <v>131930.46467026681</v>
      </c>
      <c r="CS21" s="5">
        <f t="shared" si="8"/>
        <v>108152.01255017916</v>
      </c>
      <c r="CT21" s="56">
        <f t="shared" si="34"/>
        <v>-23778.452120087648</v>
      </c>
      <c r="CU21" s="87">
        <f t="shared" si="35"/>
        <v>158316.55760432017</v>
      </c>
      <c r="CV21" s="70">
        <f t="shared" si="36"/>
        <v>129782.41506021499</v>
      </c>
      <c r="CW21" s="37">
        <f t="shared" si="37"/>
        <v>-28534.142544105183</v>
      </c>
      <c r="CX21" s="42">
        <f>'[1]побудинковий звіт'!CX21+'[2]побудинковий звіт'!CX21-'[3]побудинковий звіт'!CX21</f>
        <v>14099.922395679816</v>
      </c>
      <c r="CY21" s="42">
        <f>'[1]побудинковий звіт'!CY21+'[2]побудинковий звіт'!CY21-'[3]побудинковий звіт'!CY21</f>
        <v>42634.064939785028</v>
      </c>
      <c r="CZ21" s="56">
        <f t="shared" si="38"/>
        <v>28534.142544105212</v>
      </c>
      <c r="DA21" s="264">
        <f>'[4]побудинковий звіт'!DA21</f>
        <v>528.01358384905325</v>
      </c>
      <c r="DB21" s="2">
        <v>2</v>
      </c>
      <c r="DC21" s="717">
        <f>'[4]побудинковий звіт'!DC21</f>
        <v>36069.199999999997</v>
      </c>
      <c r="DD21" s="717">
        <f>'[4]побудинковий звіт'!DD21</f>
        <v>4090.94</v>
      </c>
      <c r="DE21" s="717">
        <f>'[4]побудинковий звіт'!DE21</f>
        <v>23759.67</v>
      </c>
      <c r="DF21" s="717">
        <f>'[4]побудинковий звіт'!DF21</f>
        <v>2032.4300000000003</v>
      </c>
      <c r="DG21" s="787">
        <v>22128.260137070669</v>
      </c>
      <c r="DH21" s="761">
        <f t="shared" si="39"/>
        <v>2068997.7599999998</v>
      </c>
      <c r="DI21" s="784"/>
      <c r="DJ21" s="5"/>
      <c r="DK21" s="317">
        <f>VLOOKUP($A21,ціни!$A$4:$G$401,5)</f>
        <v>4.7575133213467931</v>
      </c>
      <c r="DL21" s="317"/>
      <c r="DM21" s="317">
        <f>VLOOKUP($A21,ціни!$A$4:$G$401,7)</f>
        <v>4.2813897154735692</v>
      </c>
      <c r="DN21" s="30">
        <f t="shared" si="53"/>
        <v>8757.1547706030415</v>
      </c>
      <c r="DO21" s="30">
        <f t="shared" si="54"/>
        <v>2058.4921751996917</v>
      </c>
      <c r="DP21" s="316">
        <f t="shared" si="40"/>
        <v>10815.646945802733</v>
      </c>
      <c r="DQ21" s="104"/>
      <c r="DR21" s="30">
        <f>VLOOKUP(A21,'ДЗ нас '!$A$1:$C$359,2)</f>
        <v>12309.53</v>
      </c>
      <c r="DS21" s="748">
        <f>VLOOKUP(A21,'ДЗ нежит'!$A$1:$D$153,4,0)</f>
        <v>2058.5099999999998</v>
      </c>
      <c r="DT21" s="30">
        <f t="shared" si="41"/>
        <v>14368.04</v>
      </c>
      <c r="DU21" s="257">
        <f>VLOOKUP(A21,'новий кошторис с 01.06'!$A$4:$AI$399,35)*1.2</f>
        <v>13984.629255048285</v>
      </c>
      <c r="DV21" s="30">
        <f t="shared" si="42"/>
        <v>383.41074495171597</v>
      </c>
      <c r="DW21" s="930">
        <f>'[5]побудинковий звіт'!DW21+'[6]побудинковий звіт'!DW21</f>
        <v>204</v>
      </c>
      <c r="DY21" s="5">
        <f t="shared" si="9"/>
        <v>45119.5356537392</v>
      </c>
      <c r="DZ21" s="5">
        <f t="shared" si="10"/>
        <v>2871.6</v>
      </c>
      <c r="EA21" s="752">
        <f t="shared" si="43"/>
        <v>25792.1</v>
      </c>
      <c r="EC21" s="592">
        <f t="shared" si="11"/>
        <v>375684.9088918434</v>
      </c>
      <c r="EE21" s="758">
        <v>26932</v>
      </c>
      <c r="EF21" s="738">
        <f t="shared" si="12"/>
        <v>49060.260137070669</v>
      </c>
      <c r="EH21" s="813">
        <v>25117.032458931499</v>
      </c>
    </row>
    <row r="22" spans="1:138" x14ac:dyDescent="0.3">
      <c r="A22" s="328">
        <v>150000971</v>
      </c>
      <c r="B22" s="44" t="s">
        <v>470</v>
      </c>
      <c r="C22" s="45" t="s">
        <v>193</v>
      </c>
      <c r="D22" s="45" t="s">
        <v>193</v>
      </c>
      <c r="E22" s="40">
        <f t="shared" si="3"/>
        <v>3171.81</v>
      </c>
      <c r="F22" s="490">
        <v>2805.68</v>
      </c>
      <c r="G22" s="30"/>
      <c r="H22" s="30">
        <v>366.12999999999994</v>
      </c>
      <c r="I22" s="42">
        <f>'[1]побудинковий звіт'!I22+'[2]побудинковий звіт'!I22-'[3]побудинковий звіт'!I22</f>
        <v>5880.6635193820057</v>
      </c>
      <c r="J22" s="42">
        <f>'[1]побудинковий звіт'!J22+'[2]побудинковий звіт'!J22-'[3]побудинковий звіт'!J22</f>
        <v>5833.593355058154</v>
      </c>
      <c r="K22" s="56">
        <f t="shared" si="13"/>
        <v>-47.070164323851714</v>
      </c>
      <c r="L22" s="42">
        <f>'[1]побудинковий звіт'!L22+'[2]побудинковий звіт'!L22-'[3]побудинковий звіт'!L22</f>
        <v>1182.6983618245154</v>
      </c>
      <c r="M22" s="42">
        <f>'[1]побудинковий звіт'!M22+'[2]побудинковий звіт'!M22-'[3]побудинковий звіт'!M22</f>
        <v>1193.2899797066877</v>
      </c>
      <c r="N22" s="56">
        <f t="shared" si="14"/>
        <v>10.591617882172386</v>
      </c>
      <c r="O22" s="42">
        <f>'[1]побудинковий звіт'!O22+'[2]побудинковий звіт'!O22-'[3]побудинковий звіт'!O22</f>
        <v>2094.7199999999998</v>
      </c>
      <c r="P22" s="42">
        <f>'[1]побудинковий звіт'!P22+'[2]побудинковий звіт'!P22-'[3]побудинковий звіт'!P22</f>
        <v>1646.6115651612904</v>
      </c>
      <c r="Q22" s="56">
        <f t="shared" si="15"/>
        <v>-448.1084348387094</v>
      </c>
      <c r="R22" s="42">
        <f>'[1]побудинковий звіт'!R22+'[2]побудинковий звіт'!R22-'[3]побудинковий звіт'!R22</f>
        <v>0</v>
      </c>
      <c r="S22" s="42">
        <f>'[1]побудинковий звіт'!S22+'[2]побудинковий звіт'!S22-'[3]побудинковий звіт'!S22</f>
        <v>0</v>
      </c>
      <c r="T22" s="56">
        <f t="shared" si="16"/>
        <v>0</v>
      </c>
      <c r="U22" s="42">
        <f>'[1]побудинковий звіт'!U22+'[2]побудинковий звіт'!U22-'[3]побудинковий звіт'!U22</f>
        <v>0</v>
      </c>
      <c r="V22" s="42">
        <f>'[1]побудинковий звіт'!V22+'[2]побудинковий звіт'!V22-'[3]побудинковий звіт'!V22</f>
        <v>0</v>
      </c>
      <c r="W22" s="56">
        <f t="shared" si="17"/>
        <v>0</v>
      </c>
      <c r="X22" s="42">
        <f>'[1]побудинковий звіт'!X22+'[2]побудинковий звіт'!X22-'[3]побудинковий звіт'!X22</f>
        <v>4224.2624276842016</v>
      </c>
      <c r="Y22" s="42">
        <f>'[1]побудинковий звіт'!Y22+'[2]побудинковий звіт'!Y22-'[3]побудинковий звіт'!Y22</f>
        <v>3215.1011028058979</v>
      </c>
      <c r="Z22" s="56">
        <f t="shared" si="18"/>
        <v>-1009.1613248783037</v>
      </c>
      <c r="AA22" s="42">
        <f>'[1]побудинковий звіт'!AA22+'[2]побудинковий звіт'!AA22-'[3]побудинковий звіт'!AA22</f>
        <v>0</v>
      </c>
      <c r="AB22" s="42">
        <f>'[1]побудинковий звіт'!AB22+'[2]побудинковий звіт'!AB22-'[3]побудинковий звіт'!AB22</f>
        <v>0</v>
      </c>
      <c r="AC22" s="56">
        <f t="shared" si="19"/>
        <v>0</v>
      </c>
      <c r="AD22" s="42">
        <f>'[1]побудинковий звіт'!AD22+'[2]побудинковий звіт'!AD22-'[3]побудинковий звіт'!AD22</f>
        <v>6283.4627129893106</v>
      </c>
      <c r="AE22" s="42">
        <f>'[1]побудинковий звіт'!AE22+'[2]побудинковий звіт'!AE22-'[3]побудинковий звіт'!AE22</f>
        <v>5875.2305241623872</v>
      </c>
      <c r="AF22" s="37">
        <f t="shared" si="20"/>
        <v>-408.23218882692345</v>
      </c>
      <c r="AG22" s="87">
        <f t="shared" si="4"/>
        <v>19665.807021880035</v>
      </c>
      <c r="AH22" s="57">
        <f t="shared" si="4"/>
        <v>17763.826526894416</v>
      </c>
      <c r="AI22" s="56">
        <f t="shared" si="21"/>
        <v>-1901.9804949856189</v>
      </c>
      <c r="AJ22" s="42">
        <f>'[1]побудинковий звіт'!AJ22+'[2]побудинковий звіт'!AJ22-'[3]побудинковий звіт'!AJ22</f>
        <v>0</v>
      </c>
      <c r="AK22" s="42">
        <f>'[1]побудинковий звіт'!AK22+'[2]побудинковий звіт'!AK22-'[3]побудинковий звіт'!AK22</f>
        <v>0</v>
      </c>
      <c r="AL22" s="56">
        <f t="shared" si="22"/>
        <v>0</v>
      </c>
      <c r="AM22" s="42">
        <f>'[1]побудинковий звіт'!AM22+'[2]побудинковий звіт'!AM22-'[3]побудинковий звіт'!AM22</f>
        <v>0</v>
      </c>
      <c r="AN22" s="42">
        <f>'[1]побудинковий звіт'!AN22+'[2]побудинковий звіт'!AN22-'[3]побудинковий звіт'!AN22</f>
        <v>0</v>
      </c>
      <c r="AO22" s="56">
        <f t="shared" si="23"/>
        <v>0</v>
      </c>
      <c r="AP22" s="42">
        <f>'[1]побудинковий звіт'!AP22+'[2]побудинковий звіт'!AP22-'[3]побудинковий звіт'!AP22</f>
        <v>4119.5267465873767</v>
      </c>
      <c r="AQ22" s="42">
        <f>'[1]побудинковий звіт'!AQ22+'[2]побудинковий звіт'!AQ22-'[3]побудинковий звіт'!AQ22</f>
        <v>3478.1632840270795</v>
      </c>
      <c r="AR22" s="56">
        <f t="shared" si="24"/>
        <v>-641.36346256029719</v>
      </c>
      <c r="AS22" s="42">
        <f>'[1]побудинковий звіт'!AS22+'[2]побудинковий звіт'!AS22-'[3]побудинковий звіт'!AS22</f>
        <v>22248.50193394117</v>
      </c>
      <c r="AT22" s="42">
        <f>'[1]побудинковий звіт'!AT22+'[2]побудинковий звіт'!AT22-'[3]побудинковий звіт'!AT22</f>
        <v>44572</v>
      </c>
      <c r="AU22" s="58">
        <f t="shared" si="44"/>
        <v>22323.49806605883</v>
      </c>
      <c r="AV22" s="42">
        <f>'[1]побудинковий звіт'!AV22+'[2]побудинковий звіт'!AV22-'[3]побудинковий звіт'!AV22</f>
        <v>986.5383280712781</v>
      </c>
      <c r="AW22" s="42">
        <f>'[1]побудинковий звіт'!AW22+'[2]побудинковий звіт'!AW22-'[3]побудинковий звіт'!AW22</f>
        <v>0</v>
      </c>
      <c r="AX22" s="59">
        <f t="shared" si="45"/>
        <v>-986.5383280712781</v>
      </c>
      <c r="AY22" s="42">
        <f>'[1]побудинковий звіт'!AY22+'[2]побудинковий звіт'!AY22-'[3]побудинковий звіт'!AY22</f>
        <v>1524.4756759165948</v>
      </c>
      <c r="AZ22" s="42">
        <f>'[1]побудинковий звіт'!AZ22+'[2]побудинковий звіт'!AZ22-'[3]побудинковий звіт'!AZ22</f>
        <v>1750</v>
      </c>
      <c r="BA22" s="37">
        <f t="shared" si="46"/>
        <v>225.52432408340519</v>
      </c>
      <c r="BB22" s="42">
        <f>'[1]побудинковий звіт'!BB22+'[2]побудинковий звіт'!BB22-'[3]побудинковий звіт'!BB22</f>
        <v>895.34576072880895</v>
      </c>
      <c r="BC22" s="42">
        <f>'[1]побудинковий звіт'!BC22+'[2]побудинковий звіт'!BC22-'[3]побудинковий звіт'!BC22</f>
        <v>0</v>
      </c>
      <c r="BD22" s="59">
        <f t="shared" si="47"/>
        <v>-895.34576072880895</v>
      </c>
      <c r="BE22" s="42">
        <f>'[1]побудинковий звіт'!BE22+'[2]побудинковий звіт'!BE22-'[3]побудинковий звіт'!BE22</f>
        <v>0</v>
      </c>
      <c r="BF22" s="42">
        <f>'[1]побудинковий звіт'!BF22+'[2]побудинковий звіт'!BF22-'[3]побудинковий звіт'!BF22</f>
        <v>0</v>
      </c>
      <c r="BG22" s="39">
        <f t="shared" si="48"/>
        <v>0</v>
      </c>
      <c r="BH22" s="42">
        <f>'[1]побудинковий звіт'!BH22+'[2]побудинковий звіт'!BH22-'[3]побудинковий звіт'!BH22</f>
        <v>0</v>
      </c>
      <c r="BI22" s="42">
        <f>'[1]побудинковий звіт'!BI22+'[2]побудинковий звіт'!BI22-'[3]побудинковий звіт'!BI22</f>
        <v>0</v>
      </c>
      <c r="BJ22" s="59">
        <f t="shared" si="49"/>
        <v>0</v>
      </c>
      <c r="BK22" s="42">
        <f>'[1]побудинковий звіт'!BK22+'[2]побудинковий звіт'!BK22-'[3]побудинковий звіт'!BK22</f>
        <v>524.02558227152133</v>
      </c>
      <c r="BL22" s="42">
        <f>'[1]побудинковий звіт'!BL22+'[2]побудинковий звіт'!BL22-'[3]побудинковий звіт'!BL22</f>
        <v>998.12744007748609</v>
      </c>
      <c r="BM22" s="39">
        <f t="shared" si="50"/>
        <v>474.10185780596476</v>
      </c>
      <c r="BN22" s="42">
        <f>'[1]побудинковий звіт'!BN22+'[2]побудинковий звіт'!BN22-'[3]побудинковий звіт'!BN22</f>
        <v>0</v>
      </c>
      <c r="BO22" s="42">
        <f>'[1]побудинковий звіт'!BO22+'[2]побудинковий звіт'!BO22-'[3]побудинковий звіт'!BO22</f>
        <v>0</v>
      </c>
      <c r="BP22" s="59">
        <f t="shared" si="51"/>
        <v>0</v>
      </c>
      <c r="BQ22" s="87">
        <f t="shared" si="5"/>
        <v>3930.3853469882029</v>
      </c>
      <c r="BR22" s="43">
        <f t="shared" si="6"/>
        <v>2748.127440077486</v>
      </c>
      <c r="BS22" s="59">
        <f t="shared" si="52"/>
        <v>-1182.2579069107169</v>
      </c>
      <c r="BT22" s="42">
        <f>'[1]побудинковий звіт'!BT22+'[2]побудинковий звіт'!BT22-'[3]побудинковий звіт'!BT22</f>
        <v>13784.140374224564</v>
      </c>
      <c r="BU22" s="42">
        <f>'[1]побудинковий звіт'!BU22+'[2]побудинковий звіт'!BU22-'[3]побудинковий звіт'!BU22</f>
        <v>17303.239357753235</v>
      </c>
      <c r="BV22" s="56">
        <f t="shared" si="25"/>
        <v>3519.0989835286709</v>
      </c>
      <c r="BW22" s="42">
        <f>'[1]побудинковий звіт'!BW22+'[2]побудинковий звіт'!BW22-'[3]побудинковий звіт'!BW22</f>
        <v>13508.542971654135</v>
      </c>
      <c r="BX22" s="42">
        <f>'[1]побудинковий звіт'!BX22+'[2]побудинковий звіт'!BX22-'[3]побудинковий звіт'!BX22</f>
        <v>16949.700211088075</v>
      </c>
      <c r="BY22" s="56">
        <f t="shared" si="26"/>
        <v>3441.15723943394</v>
      </c>
      <c r="BZ22" s="42">
        <f>'[1]побудинковий звіт'!BZ22+'[2]побудинковий звіт'!BZ22-'[3]побудинковий звіт'!BZ22</f>
        <v>4905.8473253006678</v>
      </c>
      <c r="CA22" s="42">
        <f>'[1]побудинковий звіт'!CA22+'[2]побудинковий звіт'!CA22-'[3]побудинковий звіт'!CA22</f>
        <v>4090.8240554615149</v>
      </c>
      <c r="CB22" s="56">
        <f t="shared" si="27"/>
        <v>-815.02326983915282</v>
      </c>
      <c r="CC22" s="42">
        <f>'[1]побудинковий звіт'!CC22+'[2]побудинковий звіт'!CC22-'[3]побудинковий звіт'!CC22</f>
        <v>1967.7466825565275</v>
      </c>
      <c r="CD22" s="42">
        <f>'[1]побудинковий звіт'!CD22+'[2]побудинковий звіт'!CD22-'[3]побудинковий звіт'!CD22</f>
        <v>1950.4397941611439</v>
      </c>
      <c r="CE22" s="56">
        <f t="shared" si="28"/>
        <v>-17.306888395383567</v>
      </c>
      <c r="CF22" s="42">
        <f>'[1]побудинковий звіт'!CF22+'[2]побудинковий звіт'!CF22-'[3]побудинковий звіт'!CF22</f>
        <v>242.24154236017858</v>
      </c>
      <c r="CG22" s="42">
        <f>'[1]побудинковий звіт'!CG22+'[2]побудинковий звіт'!CG22-'[3]побудинковий звіт'!CG22</f>
        <v>0</v>
      </c>
      <c r="CH22" s="56">
        <f t="shared" si="29"/>
        <v>-242.24154236017858</v>
      </c>
      <c r="CI22" s="42">
        <f>'[1]побудинковий звіт'!CI22+'[2]побудинковий звіт'!CI22-'[3]побудинковий звіт'!CI22</f>
        <v>3518.8947333121209</v>
      </c>
      <c r="CJ22" s="42">
        <f>'[1]побудинковий звіт'!CJ22+'[2]побудинковий звіт'!CJ22-'[3]побудинковий звіт'!CJ22</f>
        <v>1550.906588241035</v>
      </c>
      <c r="CK22" s="56">
        <f t="shared" si="30"/>
        <v>-1967.9881450710859</v>
      </c>
      <c r="CL22" s="42">
        <f>'[1]побудинковий звіт'!CL22+'[2]побудинковий звіт'!CL22-'[3]побудинковий звіт'!CL22</f>
        <v>0</v>
      </c>
      <c r="CM22" s="42">
        <f>'[1]побудинковий звіт'!CM22+'[2]побудинковий звіт'!CM22-'[3]побудинковий звіт'!CM22</f>
        <v>0</v>
      </c>
      <c r="CN22" s="56">
        <f t="shared" si="31"/>
        <v>0</v>
      </c>
      <c r="CO22" s="42">
        <f t="shared" si="7"/>
        <v>3518.8947333121209</v>
      </c>
      <c r="CP22" s="43">
        <f t="shared" si="32"/>
        <v>1550.906588241035</v>
      </c>
      <c r="CQ22" s="56">
        <f t="shared" si="33"/>
        <v>-1967.9881450710859</v>
      </c>
      <c r="CR22" s="78">
        <f t="shared" si="8"/>
        <v>87891.63467880497</v>
      </c>
      <c r="CS22" s="5">
        <f t="shared" si="8"/>
        <v>110407.22725770398</v>
      </c>
      <c r="CT22" s="56">
        <f t="shared" si="34"/>
        <v>22515.592578899013</v>
      </c>
      <c r="CU22" s="87">
        <f t="shared" si="35"/>
        <v>105469.96161456597</v>
      </c>
      <c r="CV22" s="70">
        <f t="shared" si="36"/>
        <v>132488.67270924477</v>
      </c>
      <c r="CW22" s="37">
        <f t="shared" si="37"/>
        <v>27018.711094678802</v>
      </c>
      <c r="CX22" s="42">
        <f>'[1]побудинковий звіт'!CX22+'[2]побудинковий звіт'!CX22-'[3]побудинковий звіт'!CX22</f>
        <v>1229.0683854340405</v>
      </c>
      <c r="CY22" s="42">
        <f>'[1]побудинковий звіт'!CY22+'[2]побудинковий звіт'!CY22-'[3]побудинковий звіт'!CY22</f>
        <v>-25789.642709244781</v>
      </c>
      <c r="CZ22" s="56">
        <f t="shared" si="38"/>
        <v>-27018.711094678823</v>
      </c>
      <c r="DA22" s="264">
        <f>'[4]побудинковий звіт'!DA22</f>
        <v>-16759.027063479574</v>
      </c>
      <c r="DB22" s="2">
        <v>2</v>
      </c>
      <c r="DC22" s="717">
        <f>'[4]побудинковий звіт'!DC22</f>
        <v>21815.99</v>
      </c>
      <c r="DD22" s="717">
        <f>'[4]побудинковий звіт'!DD22</f>
        <v>25547.82</v>
      </c>
      <c r="DE22" s="717">
        <f>'[4]побудинковий звіт'!DE22</f>
        <v>14816.810000000001</v>
      </c>
      <c r="DF22" s="717">
        <f>'[4]побудинковий звіт'!DF22</f>
        <v>23666.79</v>
      </c>
      <c r="DG22" s="787">
        <v>-33261.525089854666</v>
      </c>
      <c r="DH22" s="761">
        <f t="shared" si="39"/>
        <v>1280388.3600000001</v>
      </c>
      <c r="DI22" s="784"/>
      <c r="DJ22" s="5"/>
      <c r="DK22" s="317">
        <f>VLOOKUP($A22,ціни!$A$4:$G$401,5)</f>
        <v>6.3478899867385463</v>
      </c>
      <c r="DL22" s="317"/>
      <c r="DM22" s="317">
        <f>VLOOKUP($A22,ціни!$A$4:$G$401,7)</f>
        <v>5.1376180195544219</v>
      </c>
      <c r="DN22" s="30">
        <f t="shared" si="53"/>
        <v>17810.147977992605</v>
      </c>
      <c r="DO22" s="30">
        <f t="shared" si="54"/>
        <v>1881.0360854994601</v>
      </c>
      <c r="DP22" s="316">
        <f t="shared" si="40"/>
        <v>19691.184063492066</v>
      </c>
      <c r="DQ22" s="104"/>
      <c r="DR22" s="30">
        <f>VLOOKUP(A22,'ДЗ нас '!$A$1:$C$359,2)</f>
        <v>6999.18</v>
      </c>
      <c r="DS22" s="748">
        <f>VLOOKUP(A22,'ДЗ нежит'!$A$1:$D$153,4,0)</f>
        <v>1881.0299999999997</v>
      </c>
      <c r="DT22" s="30">
        <f t="shared" si="41"/>
        <v>8880.2099999999991</v>
      </c>
      <c r="DU22" s="257">
        <f>VLOOKUP(A22,'новий кошторис с 01.06'!$A$4:$AI$399,35)*1.2</f>
        <v>8947.3684103023461</v>
      </c>
      <c r="DV22" s="30">
        <f t="shared" si="42"/>
        <v>-67.158410302346965</v>
      </c>
      <c r="DW22" s="930">
        <f>'[5]побудинковий звіт'!DW22+'[6]побудинковий звіт'!DW22</f>
        <v>202</v>
      </c>
      <c r="DY22" s="5">
        <f t="shared" si="9"/>
        <v>31414.664737115243</v>
      </c>
      <c r="DZ22" s="5">
        <f t="shared" si="10"/>
        <v>56784.152928092983</v>
      </c>
      <c r="EA22" s="752">
        <f t="shared" si="43"/>
        <v>38483.600000000006</v>
      </c>
      <c r="EC22" s="592">
        <f t="shared" si="11"/>
        <v>266982.02320729406</v>
      </c>
      <c r="EE22" s="758">
        <v>20819</v>
      </c>
      <c r="EF22" s="738">
        <f t="shared" si="12"/>
        <v>-12442.525089854666</v>
      </c>
      <c r="EH22" s="813">
        <v>-45317.409498198729</v>
      </c>
    </row>
    <row r="23" spans="1:138" x14ac:dyDescent="0.3">
      <c r="A23" s="328">
        <v>150000991</v>
      </c>
      <c r="B23" s="44" t="s">
        <v>471</v>
      </c>
      <c r="C23" s="45" t="s">
        <v>341</v>
      </c>
      <c r="D23" s="45" t="s">
        <v>341</v>
      </c>
      <c r="E23" s="40">
        <f t="shared" si="3"/>
        <v>6095.61</v>
      </c>
      <c r="F23" s="490">
        <v>6095.61</v>
      </c>
      <c r="G23" s="30">
        <v>442.1</v>
      </c>
      <c r="H23" s="30">
        <v>0</v>
      </c>
      <c r="I23" s="42">
        <f>'[1]побудинковий звіт'!I23+'[2]побудинковий звіт'!I23-'[3]побудинковий звіт'!I23</f>
        <v>11921.111067238078</v>
      </c>
      <c r="J23" s="42">
        <f>'[1]побудинковий звіт'!J23+'[2]побудинковий звіт'!J23-'[3]побудинковий звіт'!J23</f>
        <v>10758.094739887161</v>
      </c>
      <c r="K23" s="56">
        <f t="shared" si="13"/>
        <v>-1163.016327350917</v>
      </c>
      <c r="L23" s="42">
        <f>'[1]побудинковий звіт'!L23+'[2]побудинковий звіт'!L23-'[3]побудинковий звіт'!L23</f>
        <v>1837.8167790701932</v>
      </c>
      <c r="M23" s="42">
        <f>'[1]побудинковий звіт'!M23+'[2]побудинковий звіт'!M23-'[3]побудинковий звіт'!M23</f>
        <v>1884.3213895881313</v>
      </c>
      <c r="N23" s="56">
        <f t="shared" si="14"/>
        <v>46.50461051793809</v>
      </c>
      <c r="O23" s="42">
        <f>'[1]побудинковий звіт'!O23+'[2]побудинковий звіт'!O23-'[3]побудинковий звіт'!O23</f>
        <v>3674.2799999999997</v>
      </c>
      <c r="P23" s="42">
        <f>'[1]побудинковий звіт'!P23+'[2]побудинковий звіт'!P23-'[3]побудинковий звіт'!P23</f>
        <v>3675.4800000000005</v>
      </c>
      <c r="Q23" s="56">
        <f t="shared" si="15"/>
        <v>1.2000000000007276</v>
      </c>
      <c r="R23" s="42">
        <f>'[1]побудинковий звіт'!R23+'[2]побудинковий звіт'!R23-'[3]побудинковий звіт'!R23</f>
        <v>857.7600000000001</v>
      </c>
      <c r="S23" s="42">
        <f>'[1]побудинковий звіт'!S23+'[2]побудинковий звіт'!S23-'[3]побудинковий звіт'!S23</f>
        <v>856.68</v>
      </c>
      <c r="T23" s="56">
        <f t="shared" si="16"/>
        <v>-1.0800000000001546</v>
      </c>
      <c r="U23" s="42">
        <f>'[1]побудинковий звіт'!U23+'[2]побудинковий звіт'!U23-'[3]побудинковий звіт'!U23</f>
        <v>780.05784393801946</v>
      </c>
      <c r="V23" s="42">
        <f>'[1]побудинковий звіт'!V23+'[2]побудинковий звіт'!V23-'[3]побудинковий звіт'!V23</f>
        <v>529.67087313499223</v>
      </c>
      <c r="W23" s="56">
        <f t="shared" si="17"/>
        <v>-250.38697080302722</v>
      </c>
      <c r="X23" s="42">
        <f>'[1]побудинковий звіт'!X23+'[2]побудинковий звіт'!X23-'[3]побудинковий звіт'!X23</f>
        <v>7503.1416795582854</v>
      </c>
      <c r="Y23" s="42">
        <f>'[1]побудинковий звіт'!Y23+'[2]побудинковий звіт'!Y23-'[3]побудинковий звіт'!Y23</f>
        <v>6886.012269899662</v>
      </c>
      <c r="Z23" s="56">
        <f t="shared" si="18"/>
        <v>-617.12940965862344</v>
      </c>
      <c r="AA23" s="42">
        <f>'[1]побудинковий звіт'!AA23+'[2]побудинковий звіт'!AA23-'[3]побудинковий звіт'!AA23</f>
        <v>0</v>
      </c>
      <c r="AB23" s="42">
        <f>'[1]побудинковий звіт'!AB23+'[2]побудинковий звіт'!AB23-'[3]побудинковий звіт'!AB23</f>
        <v>0</v>
      </c>
      <c r="AC23" s="56">
        <f t="shared" si="19"/>
        <v>0</v>
      </c>
      <c r="AD23" s="42">
        <f>'[1]побудинковий звіт'!AD23+'[2]побудинковий звіт'!AD23-'[3]побудинковий звіт'!AD23</f>
        <v>17456.937400612074</v>
      </c>
      <c r="AE23" s="42">
        <f>'[1]побудинковий звіт'!AE23+'[2]побудинковий звіт'!AE23-'[3]побудинковий звіт'!AE23</f>
        <v>16091.480434316667</v>
      </c>
      <c r="AF23" s="37">
        <f t="shared" si="20"/>
        <v>-1365.4569662954073</v>
      </c>
      <c r="AG23" s="87">
        <f t="shared" si="4"/>
        <v>44031.104770416649</v>
      </c>
      <c r="AH23" s="57">
        <f t="shared" si="4"/>
        <v>40681.739706826615</v>
      </c>
      <c r="AI23" s="56">
        <f t="shared" si="21"/>
        <v>-3349.365063590034</v>
      </c>
      <c r="AJ23" s="42">
        <f>'[1]побудинковий звіт'!AJ23+'[2]побудинковий звіт'!AJ23-'[3]побудинковий звіт'!AJ23</f>
        <v>36590.756272284496</v>
      </c>
      <c r="AK23" s="42">
        <f>'[1]побудинковий звіт'!AK23+'[2]побудинковий звіт'!AK23-'[3]побудинковий звіт'!AK23</f>
        <v>33824.611088540209</v>
      </c>
      <c r="AL23" s="56">
        <f t="shared" si="22"/>
        <v>-2766.1451837442874</v>
      </c>
      <c r="AM23" s="42">
        <f>'[1]побудинковий звіт'!AM23+'[2]побудинковий звіт'!AM23-'[3]побудинковий звіт'!AM23</f>
        <v>0</v>
      </c>
      <c r="AN23" s="42">
        <f>'[1]побудинковий звіт'!AN23+'[2]побудинковий звіт'!AN23-'[3]побудинковий звіт'!AN23</f>
        <v>5429.7639384403728</v>
      </c>
      <c r="AO23" s="56">
        <f t="shared" si="23"/>
        <v>5429.7639384403728</v>
      </c>
      <c r="AP23" s="42">
        <f>'[1]побудинковий звіт'!AP23+'[2]побудинковий звіт'!AP23-'[3]побудинковий звіт'!AP23</f>
        <v>2556.9476358128541</v>
      </c>
      <c r="AQ23" s="42">
        <f>'[1]побудинковий звіт'!AQ23+'[2]побудинковий звіт'!AQ23-'[3]побудинковий звіт'!AQ23</f>
        <v>5013.284464877037</v>
      </c>
      <c r="AR23" s="56">
        <f t="shared" si="24"/>
        <v>2456.3368290641829</v>
      </c>
      <c r="AS23" s="42">
        <f>'[1]побудинковий звіт'!AS23+'[2]побудинковий звіт'!AS23-'[3]побудинковий звіт'!AS23</f>
        <v>86150.234961449532</v>
      </c>
      <c r="AT23" s="42">
        <f>'[1]побудинковий звіт'!AT23+'[2]побудинковий звіт'!AT23-'[3]побудинковий звіт'!AT23</f>
        <v>122115</v>
      </c>
      <c r="AU23" s="58">
        <f t="shared" si="44"/>
        <v>35964.765038550468</v>
      </c>
      <c r="AV23" s="42">
        <f>'[1]побудинковий звіт'!AV23+'[2]побудинковий звіт'!AV23-'[3]побудинковий звіт'!AV23</f>
        <v>1065.1080528000637</v>
      </c>
      <c r="AW23" s="42">
        <f>'[1]побудинковий звіт'!AW23+'[2]побудинковий звіт'!AW23-'[3]побудинковий звіт'!AW23</f>
        <v>0</v>
      </c>
      <c r="AX23" s="59">
        <f t="shared" si="45"/>
        <v>-1065.1080528000637</v>
      </c>
      <c r="AY23" s="42">
        <f>'[1]побудинковий звіт'!AY23+'[2]побудинковий звіт'!AY23-'[3]побудинковий звіт'!AY23</f>
        <v>1202.5998747442443</v>
      </c>
      <c r="AZ23" s="42">
        <f>'[1]побудинковий звіт'!AZ23+'[2]побудинковий звіт'!AZ23-'[3]побудинковий звіт'!AZ23</f>
        <v>0</v>
      </c>
      <c r="BA23" s="37">
        <f t="shared" si="46"/>
        <v>-1202.5998747442443</v>
      </c>
      <c r="BB23" s="42">
        <f>'[1]побудинковий звіт'!BB23+'[2]побудинковий звіт'!BB23-'[3]побудинковий звіт'!BB23</f>
        <v>1024.0808864585176</v>
      </c>
      <c r="BC23" s="42">
        <f>'[1]побудинковий звіт'!BC23+'[2]побудинковий звіт'!BC23-'[3]побудинковий звіт'!BC23</f>
        <v>0</v>
      </c>
      <c r="BD23" s="59">
        <f t="shared" si="47"/>
        <v>-1024.0808864585176</v>
      </c>
      <c r="BE23" s="42">
        <f>'[1]побудинковий звіт'!BE23+'[2]побудинковий звіт'!BE23-'[3]побудинковий звіт'!BE23</f>
        <v>607.04393653984562</v>
      </c>
      <c r="BF23" s="42">
        <f>'[1]побудинковий звіт'!BF23+'[2]побудинковий звіт'!BF23-'[3]побудинковий звіт'!BF23</f>
        <v>0</v>
      </c>
      <c r="BG23" s="39">
        <f t="shared" si="48"/>
        <v>-607.04393653984562</v>
      </c>
      <c r="BH23" s="42">
        <f>'[1]побудинковий звіт'!BH23+'[2]побудинковий звіт'!BH23-'[3]побудинковий звіт'!BH23</f>
        <v>395.76741189229665</v>
      </c>
      <c r="BI23" s="42">
        <f>'[1]побудинковий звіт'!BI23+'[2]побудинковий звіт'!BI23-'[3]побудинковий звіт'!BI23</f>
        <v>0</v>
      </c>
      <c r="BJ23" s="59">
        <f t="shared" si="49"/>
        <v>-395.76741189229665</v>
      </c>
      <c r="BK23" s="42">
        <f>'[1]побудинковий звіт'!BK23+'[2]побудинковий звіт'!BK23-'[3]побудинковий звіт'!BK23</f>
        <v>1251.243363109031</v>
      </c>
      <c r="BL23" s="42">
        <f>'[1]побудинковий звіт'!BL23+'[2]побудинковий звіт'!BL23-'[3]побудинковий звіт'!BL23</f>
        <v>0</v>
      </c>
      <c r="BM23" s="39">
        <f t="shared" si="50"/>
        <v>-1251.243363109031</v>
      </c>
      <c r="BN23" s="42">
        <f>'[1]побудинковий звіт'!BN23+'[2]побудинковий звіт'!BN23-'[3]побудинковий звіт'!BN23</f>
        <v>0</v>
      </c>
      <c r="BO23" s="42">
        <f>'[1]побудинковий звіт'!BO23+'[2]побудинковий звіт'!BO23-'[3]побудинковий звіт'!BO23</f>
        <v>0</v>
      </c>
      <c r="BP23" s="59">
        <f t="shared" si="51"/>
        <v>0</v>
      </c>
      <c r="BQ23" s="87">
        <f t="shared" si="5"/>
        <v>5545.8435255439981</v>
      </c>
      <c r="BR23" s="43">
        <f t="shared" si="6"/>
        <v>0</v>
      </c>
      <c r="BS23" s="59">
        <f t="shared" si="52"/>
        <v>-5545.8435255439981</v>
      </c>
      <c r="BT23" s="42">
        <f>'[1]побудинковий звіт'!BT23+'[2]побудинковий звіт'!BT23-'[3]побудинковий звіт'!BT23</f>
        <v>55567.520645574601</v>
      </c>
      <c r="BU23" s="42">
        <f>'[1]побудинковий звіт'!BU23+'[2]побудинковий звіт'!BU23-'[3]побудинковий звіт'!BU23</f>
        <v>44783.061037306499</v>
      </c>
      <c r="BV23" s="56">
        <f t="shared" si="25"/>
        <v>-10784.459608268102</v>
      </c>
      <c r="BW23" s="42">
        <f>'[1]побудинковий звіт'!BW23+'[2]побудинковий звіт'!BW23-'[3]побудинковий звіт'!BW23</f>
        <v>24024.497681998633</v>
      </c>
      <c r="BX23" s="42">
        <f>'[1]побудинковий звіт'!BX23+'[2]побудинковий звіт'!BX23-'[3]побудинковий звіт'!BX23</f>
        <v>30834.352149575257</v>
      </c>
      <c r="BY23" s="56">
        <f t="shared" si="26"/>
        <v>6809.8544675766243</v>
      </c>
      <c r="BZ23" s="42">
        <f>'[1]побудинковий звіт'!BZ23+'[2]побудинковий звіт'!BZ23-'[3]побудинковий звіт'!BZ23</f>
        <v>5189.6256783226618</v>
      </c>
      <c r="CA23" s="42">
        <f>'[1]побудинковий звіт'!CA23+'[2]побудинковий звіт'!CA23-'[3]побудинковий звіт'!CA23</f>
        <v>9961.7910161320106</v>
      </c>
      <c r="CB23" s="56">
        <f t="shared" si="27"/>
        <v>4772.1653378093488</v>
      </c>
      <c r="CC23" s="42">
        <f>'[1]побудинковий звіт'!CC23+'[2]побудинковий звіт'!CC23-'[3]побудинковий звіт'!CC23</f>
        <v>1794.2084848422744</v>
      </c>
      <c r="CD23" s="42">
        <f>'[1]побудинковий звіт'!CD23+'[2]побудинковий звіт'!CD23-'[3]побудинковий звіт'!CD23</f>
        <v>1778.4279139585919</v>
      </c>
      <c r="CE23" s="56">
        <f t="shared" si="28"/>
        <v>-15.780570883682458</v>
      </c>
      <c r="CF23" s="42">
        <f>'[1]побудинковий звіт'!CF23+'[2]побудинковий звіт'!CF23-'[3]побудинковий звіт'!CF23</f>
        <v>220.87793847490121</v>
      </c>
      <c r="CG23" s="42">
        <f>'[1]побудинковий звіт'!CG23+'[2]побудинковий звіт'!CG23-'[3]побудинковий звіт'!CG23</f>
        <v>0</v>
      </c>
      <c r="CH23" s="56">
        <f t="shared" si="29"/>
        <v>-220.87793847490121</v>
      </c>
      <c r="CI23" s="42">
        <f>'[1]побудинковий звіт'!CI23+'[2]побудинковий звіт'!CI23-'[3]побудинковий звіт'!CI23</f>
        <v>9551.5530979211453</v>
      </c>
      <c r="CJ23" s="42">
        <f>'[1]побудинковий звіт'!CJ23+'[2]побудинковий звіт'!CJ23-'[3]побудинковий звіт'!CJ23</f>
        <v>14739.719247547255</v>
      </c>
      <c r="CK23" s="56">
        <f t="shared" si="30"/>
        <v>5188.1661496261095</v>
      </c>
      <c r="CL23" s="42">
        <f>'[1]побудинковий звіт'!CL23+'[2]побудинковий звіт'!CL23-'[3]побудинковий звіт'!CL23</f>
        <v>11866.910962339813</v>
      </c>
      <c r="CM23" s="42">
        <f>'[1]побудинковий звіт'!CM23+'[2]побудинковий звіт'!CM23-'[3]побудинковий звіт'!CM23</f>
        <v>16156.684871654605</v>
      </c>
      <c r="CN23" s="56">
        <f t="shared" si="31"/>
        <v>4289.773909314792</v>
      </c>
      <c r="CO23" s="42">
        <f t="shared" si="7"/>
        <v>21418.464060260958</v>
      </c>
      <c r="CP23" s="43">
        <f t="shared" si="32"/>
        <v>30896.404119201859</v>
      </c>
      <c r="CQ23" s="56">
        <f t="shared" si="33"/>
        <v>9477.9400589409015</v>
      </c>
      <c r="CR23" s="78">
        <f t="shared" si="8"/>
        <v>283090.08165498159</v>
      </c>
      <c r="CS23" s="5">
        <f t="shared" si="8"/>
        <v>325318.43543485849</v>
      </c>
      <c r="CT23" s="56">
        <f t="shared" si="34"/>
        <v>42228.353779876896</v>
      </c>
      <c r="CU23" s="87">
        <f t="shared" si="35"/>
        <v>339708.09798597789</v>
      </c>
      <c r="CV23" s="70">
        <f t="shared" si="36"/>
        <v>390382.1225218302</v>
      </c>
      <c r="CW23" s="37">
        <f t="shared" si="37"/>
        <v>50674.02453585231</v>
      </c>
      <c r="CX23" s="42">
        <f>'[1]побудинковий звіт'!CX23+'[2]побудинковий звіт'!CX23-'[3]побудинковий звіт'!CX23</f>
        <v>-8357.4079859779413</v>
      </c>
      <c r="CY23" s="42">
        <f>'[1]побудинковий звіт'!CY23+'[2]побудинковий звіт'!CY23-'[3]побудинковий звіт'!CY23</f>
        <v>-59031.432521830124</v>
      </c>
      <c r="CZ23" s="56">
        <f t="shared" si="38"/>
        <v>-50674.024535852179</v>
      </c>
      <c r="DA23" s="264">
        <f>'[4]побудинковий звіт'!DA23</f>
        <v>72211.405341371748</v>
      </c>
      <c r="DB23" s="2">
        <v>3</v>
      </c>
      <c r="DC23" s="717">
        <f>'[4]побудинковий звіт'!DC23</f>
        <v>61881.25</v>
      </c>
      <c r="DD23" s="717">
        <f>'[4]побудинковий звіт'!DD23</f>
        <v>0</v>
      </c>
      <c r="DE23" s="717">
        <f>'[4]побудинковий звіт'!DE23</f>
        <v>34624.06</v>
      </c>
      <c r="DF23" s="717">
        <f>'[4]побудинковий звіт'!DF23</f>
        <v>0</v>
      </c>
      <c r="DG23" s="787">
        <v>-95167.904494036513</v>
      </c>
      <c r="DH23" s="761">
        <f t="shared" si="39"/>
        <v>3976208.2799999993</v>
      </c>
      <c r="DI23" s="784"/>
      <c r="DJ23" s="5"/>
      <c r="DK23" s="317">
        <f>VLOOKUP($A23,ціни!$A$4:$G$401,5)</f>
        <v>5.5669406455463317</v>
      </c>
      <c r="DL23" s="317">
        <f>VLOOKUP($A23,ціни!$A$4:$G$401,6)</f>
        <v>6.9086241200423295</v>
      </c>
      <c r="DM23" s="317">
        <f>VLOOKUP($A23,ціни!$A$4:$G$401,7)</f>
        <v>4.9320505683068916</v>
      </c>
      <c r="DN23" s="30">
        <f>DK23*G23+(F23-G23)*DL23</f>
        <v>41519.120008296537</v>
      </c>
      <c r="DO23" s="30">
        <f>DM23*H23</f>
        <v>0</v>
      </c>
      <c r="DP23" s="316">
        <f t="shared" si="40"/>
        <v>41519.120008296537</v>
      </c>
      <c r="DQ23" s="104"/>
      <c r="DR23" s="30">
        <f>VLOOKUP(A23,'ДЗ нас '!$A$1:$C$359,2)</f>
        <v>27656.799999999999</v>
      </c>
      <c r="DS23" s="748"/>
      <c r="DT23" s="30">
        <f t="shared" si="41"/>
        <v>27656.799999999999</v>
      </c>
      <c r="DU23" s="257">
        <f>VLOOKUP(A23,'новий кошторис с 01.06'!$A$4:$AI$399,35)*1.2</f>
        <v>27656.511083886937</v>
      </c>
      <c r="DV23" s="30">
        <f t="shared" si="42"/>
        <v>0.28891611306244158</v>
      </c>
      <c r="DW23" s="930">
        <f>'[5]побудинковий звіт'!DW23+'[6]побудинковий звіт'!DW23</f>
        <v>264</v>
      </c>
      <c r="DY23" s="5">
        <f t="shared" si="9"/>
        <v>110035.29418439223</v>
      </c>
      <c r="DZ23" s="5">
        <f t="shared" si="10"/>
        <v>146538</v>
      </c>
      <c r="EA23" s="752">
        <f t="shared" si="43"/>
        <v>34624.06</v>
      </c>
      <c r="EC23" s="592">
        <f t="shared" si="11"/>
        <v>1033802.8195373944</v>
      </c>
      <c r="EE23" s="758">
        <v>2279</v>
      </c>
      <c r="EF23" s="738">
        <f t="shared" si="12"/>
        <v>-92888.904494036513</v>
      </c>
      <c r="EH23" s="813">
        <v>24404.857217531098</v>
      </c>
    </row>
    <row r="24" spans="1:138" x14ac:dyDescent="0.3">
      <c r="A24" s="328">
        <v>150000992</v>
      </c>
      <c r="B24" s="44" t="s">
        <v>472</v>
      </c>
      <c r="C24" s="45" t="s">
        <v>39</v>
      </c>
      <c r="D24" s="45" t="s">
        <v>39</v>
      </c>
      <c r="E24" s="40">
        <f t="shared" si="3"/>
        <v>6316</v>
      </c>
      <c r="F24" s="490">
        <v>6316</v>
      </c>
      <c r="G24" s="30"/>
      <c r="H24" s="30">
        <v>0</v>
      </c>
      <c r="I24" s="42">
        <f>'[1]побудинковий звіт'!I24+'[2]побудинковий звіт'!I24-'[3]побудинковий звіт'!I24</f>
        <v>0</v>
      </c>
      <c r="J24" s="42">
        <f>'[1]побудинковий звіт'!J24+'[2]побудинковий звіт'!J24-'[3]побудинковий звіт'!J24</f>
        <v>0</v>
      </c>
      <c r="K24" s="56">
        <f t="shared" si="13"/>
        <v>0</v>
      </c>
      <c r="L24" s="42">
        <f>'[1]побудинковий звіт'!L24+'[2]побудинковий звіт'!L24-'[3]побудинковий звіт'!L24</f>
        <v>0</v>
      </c>
      <c r="M24" s="42">
        <f>'[1]побудинковий звіт'!M24+'[2]побудинковий звіт'!M24-'[3]побудинковий звіт'!M24</f>
        <v>0</v>
      </c>
      <c r="N24" s="56">
        <f t="shared" si="14"/>
        <v>0</v>
      </c>
      <c r="O24" s="42">
        <f>'[1]побудинковий звіт'!O24+'[2]побудинковий звіт'!O24-'[3]побудинковий звіт'!O24</f>
        <v>0</v>
      </c>
      <c r="P24" s="42">
        <f>'[1]побудинковий звіт'!P24+'[2]побудинковий звіт'!P24-'[3]побудинковий звіт'!P24</f>
        <v>0</v>
      </c>
      <c r="Q24" s="56">
        <f t="shared" si="15"/>
        <v>0</v>
      </c>
      <c r="R24" s="42">
        <f>'[1]побудинковий звіт'!R24+'[2]побудинковий звіт'!R24-'[3]побудинковий звіт'!R24</f>
        <v>0</v>
      </c>
      <c r="S24" s="42">
        <f>'[1]побудинковий звіт'!S24+'[2]побудинковий звіт'!S24-'[3]побудинковий звіт'!S24</f>
        <v>0</v>
      </c>
      <c r="T24" s="56">
        <f t="shared" si="16"/>
        <v>0</v>
      </c>
      <c r="U24" s="42">
        <f>'[1]побудинковий звіт'!U24+'[2]побудинковий звіт'!U24-'[3]побудинковий звіт'!U24</f>
        <v>0</v>
      </c>
      <c r="V24" s="42">
        <f>'[1]побудинковий звіт'!V24+'[2]побудинковий звіт'!V24-'[3]побудинковий звіт'!V24</f>
        <v>0</v>
      </c>
      <c r="W24" s="56">
        <f t="shared" si="17"/>
        <v>0</v>
      </c>
      <c r="X24" s="42">
        <f>'[1]побудинковий звіт'!X24+'[2]побудинковий звіт'!X24-'[3]побудинковий звіт'!X24</f>
        <v>0</v>
      </c>
      <c r="Y24" s="42">
        <f>'[1]побудинковий звіт'!Y24+'[2]побудинковий звіт'!Y24-'[3]побудинковий звіт'!Y24</f>
        <v>0</v>
      </c>
      <c r="Z24" s="56">
        <f t="shared" si="18"/>
        <v>0</v>
      </c>
      <c r="AA24" s="42">
        <f>'[1]побудинковий звіт'!AA24+'[2]побудинковий звіт'!AA24-'[3]побудинковий звіт'!AA24</f>
        <v>0</v>
      </c>
      <c r="AB24" s="42">
        <f>'[1]побудинковий звіт'!AB24+'[2]побудинковий звіт'!AB24-'[3]побудинковий звіт'!AB24</f>
        <v>0</v>
      </c>
      <c r="AC24" s="56">
        <f t="shared" si="19"/>
        <v>0</v>
      </c>
      <c r="AD24" s="42">
        <f>'[1]побудинковий звіт'!AD24+'[2]побудинковий звіт'!AD24-'[3]побудинковий звіт'!AD24</f>
        <v>0</v>
      </c>
      <c r="AE24" s="42">
        <f>'[1]побудинковий звіт'!AE24+'[2]побудинковий звіт'!AE24-'[3]побудинковий звіт'!AE24</f>
        <v>175.45583470464331</v>
      </c>
      <c r="AF24" s="37">
        <f t="shared" si="20"/>
        <v>175.45583470464331</v>
      </c>
      <c r="AG24" s="87">
        <f t="shared" si="4"/>
        <v>0</v>
      </c>
      <c r="AH24" s="57">
        <f t="shared" si="4"/>
        <v>175.45583470464331</v>
      </c>
      <c r="AI24" s="56">
        <f t="shared" si="21"/>
        <v>175.45583470464331</v>
      </c>
      <c r="AJ24" s="42">
        <f>'[1]побудинковий звіт'!AJ24+'[2]побудинковий звіт'!AJ24-'[3]побудинковий звіт'!AJ24</f>
        <v>0</v>
      </c>
      <c r="AK24" s="42">
        <f>'[1]побудинковий звіт'!AK24+'[2]побудинковий звіт'!AK24-'[3]побудинковий звіт'!AK24</f>
        <v>0</v>
      </c>
      <c r="AL24" s="56">
        <f t="shared" si="22"/>
        <v>0</v>
      </c>
      <c r="AM24" s="42">
        <f>'[1]побудинковий звіт'!AM24+'[2]побудинковий звіт'!AM24-'[3]побудинковий звіт'!AM24</f>
        <v>0</v>
      </c>
      <c r="AN24" s="42">
        <f>'[1]побудинковий звіт'!AN24+'[2]побудинковий звіт'!AN24-'[3]побудинковий звіт'!AN24</f>
        <v>0</v>
      </c>
      <c r="AO24" s="56">
        <f t="shared" si="23"/>
        <v>0</v>
      </c>
      <c r="AP24" s="42">
        <f>'[1]побудинковий звіт'!AP24+'[2]побудинковий звіт'!AP24-'[3]побудинковий звіт'!AP24</f>
        <v>473.50882144682492</v>
      </c>
      <c r="AQ24" s="42">
        <f>'[1]побудинковий звіт'!AQ24+'[2]побудинковий звіт'!AQ24-'[3]побудинковий звіт'!AQ24</f>
        <v>140.14368942720262</v>
      </c>
      <c r="AR24" s="56">
        <f t="shared" si="24"/>
        <v>-333.36513201962231</v>
      </c>
      <c r="AS24" s="42">
        <f>'[1]побудинковий звіт'!AS24+'[2]побудинковий звіт'!AS24-'[3]побудинковий звіт'!AS24</f>
        <v>3063.3724718601352</v>
      </c>
      <c r="AT24" s="42">
        <f>'[1]побудинковий звіт'!AT24+'[2]побудинковий звіт'!AT24-'[3]побудинковий звіт'!AT24</f>
        <v>2229</v>
      </c>
      <c r="AU24" s="58">
        <f t="shared" si="44"/>
        <v>-834.37247186013519</v>
      </c>
      <c r="AV24" s="42">
        <f>'[1]побудинковий звіт'!AV24+'[2]побудинковий звіт'!AV24-'[3]побудинковий звіт'!AV24</f>
        <v>0</v>
      </c>
      <c r="AW24" s="42">
        <f>'[1]побудинковий звіт'!AW24+'[2]побудинковий звіт'!AW24-'[3]побудинковий звіт'!AW24</f>
        <v>0</v>
      </c>
      <c r="AX24" s="59">
        <f t="shared" si="45"/>
        <v>0</v>
      </c>
      <c r="AY24" s="42">
        <f>'[1]побудинковий звіт'!AY24+'[2]побудинковий звіт'!AY24-'[3]побудинковий звіт'!AY24</f>
        <v>0</v>
      </c>
      <c r="AZ24" s="42">
        <f>'[1]побудинковий звіт'!AZ24+'[2]побудинковий звіт'!AZ24-'[3]побудинковий звіт'!AZ24</f>
        <v>0</v>
      </c>
      <c r="BA24" s="37">
        <f t="shared" si="46"/>
        <v>0</v>
      </c>
      <c r="BB24" s="42">
        <f>'[1]побудинковий звіт'!BB24+'[2]побудинковий звіт'!BB24-'[3]побудинковий звіт'!BB24</f>
        <v>0</v>
      </c>
      <c r="BC24" s="42">
        <f>'[1]побудинковий звіт'!BC24+'[2]побудинковий звіт'!BC24-'[3]побудинковий звіт'!BC24</f>
        <v>0</v>
      </c>
      <c r="BD24" s="59">
        <f t="shared" si="47"/>
        <v>0</v>
      </c>
      <c r="BE24" s="42">
        <f>'[1]побудинковий звіт'!BE24+'[2]побудинковий звіт'!BE24-'[3]побудинковий звіт'!BE24</f>
        <v>0</v>
      </c>
      <c r="BF24" s="42">
        <f>'[1]побудинковий звіт'!BF24+'[2]побудинковий звіт'!BF24-'[3]побудинковий звіт'!BF24</f>
        <v>0</v>
      </c>
      <c r="BG24" s="39">
        <f t="shared" si="48"/>
        <v>0</v>
      </c>
      <c r="BH24" s="42">
        <f>'[1]побудинковий звіт'!BH24+'[2]побудинковий звіт'!BH24-'[3]побудинковий звіт'!BH24</f>
        <v>0</v>
      </c>
      <c r="BI24" s="42">
        <f>'[1]побудинковий звіт'!BI24+'[2]побудинковий звіт'!BI24-'[3]побудинковий звіт'!BI24</f>
        <v>0</v>
      </c>
      <c r="BJ24" s="59">
        <f t="shared" si="49"/>
        <v>0</v>
      </c>
      <c r="BK24" s="42">
        <f>'[1]побудинковий звіт'!BK24+'[2]побудинковий звіт'!BK24-'[3]побудинковий звіт'!BK24</f>
        <v>0</v>
      </c>
      <c r="BL24" s="42">
        <f>'[1]побудинковий звіт'!BL24+'[2]побудинковий звіт'!BL24-'[3]побудинковий звіт'!BL24</f>
        <v>0</v>
      </c>
      <c r="BM24" s="39">
        <f t="shared" si="50"/>
        <v>0</v>
      </c>
      <c r="BN24" s="42">
        <f>'[1]побудинковий звіт'!BN24+'[2]побудинковий звіт'!BN24-'[3]побудинковий звіт'!BN24</f>
        <v>0</v>
      </c>
      <c r="BO24" s="42">
        <f>'[1]побудинковий звіт'!BO24+'[2]побудинковий звіт'!BO24-'[3]побудинковий звіт'!BO24</f>
        <v>0</v>
      </c>
      <c r="BP24" s="59">
        <f t="shared" si="51"/>
        <v>0</v>
      </c>
      <c r="BQ24" s="87">
        <f t="shared" si="5"/>
        <v>0</v>
      </c>
      <c r="BR24" s="43">
        <f t="shared" si="6"/>
        <v>0</v>
      </c>
      <c r="BS24" s="59">
        <f t="shared" si="52"/>
        <v>0</v>
      </c>
      <c r="BT24" s="42">
        <f>'[1]побудинковий звіт'!BT24+'[2]побудинковий звіт'!BT24-'[3]побудинковий звіт'!BT24</f>
        <v>167.48907527938252</v>
      </c>
      <c r="BU24" s="42">
        <f>'[1]побудинковий звіт'!BU24+'[2]побудинковий звіт'!BU24-'[3]побудинковий звіт'!BU24</f>
        <v>717.1792830470265</v>
      </c>
      <c r="BV24" s="56">
        <f t="shared" si="25"/>
        <v>549.69020776764398</v>
      </c>
      <c r="BW24" s="42">
        <f>'[1]побудинковий звіт'!BW24+'[2]побудинковий звіт'!BW24-'[3]побудинковий звіт'!BW24</f>
        <v>0</v>
      </c>
      <c r="BX24" s="42">
        <f>'[1]побудинковий звіт'!BX24+'[2]побудинковий звіт'!BX24-'[3]побудинковий звіт'!BX24</f>
        <v>8.4850232914634098</v>
      </c>
      <c r="BY24" s="56">
        <f t="shared" si="26"/>
        <v>8.4850232914634098</v>
      </c>
      <c r="BZ24" s="42">
        <f>'[1]побудинковий звіт'!BZ24+'[2]побудинковий звіт'!BZ24-'[3]побудинковий звіт'!BZ24</f>
        <v>0</v>
      </c>
      <c r="CA24" s="42">
        <f>'[1]побудинковий звіт'!CA24+'[2]побудинковий звіт'!CA24-'[3]побудинковий звіт'!CA24</f>
        <v>172.87221213521346</v>
      </c>
      <c r="CB24" s="56">
        <f t="shared" si="27"/>
        <v>172.87221213521346</v>
      </c>
      <c r="CC24" s="42">
        <f>'[1]побудинковий звіт'!CC24+'[2]побудинковий звіт'!CC24-'[3]побудинковий звіт'!CC24</f>
        <v>0</v>
      </c>
      <c r="CD24" s="42">
        <f>'[1]побудинковий звіт'!CD24+'[2]побудинковий звіт'!CD24-'[3]побудинковий звіт'!CD24</f>
        <v>0</v>
      </c>
      <c r="CE24" s="56">
        <f t="shared" si="28"/>
        <v>0</v>
      </c>
      <c r="CF24" s="42">
        <f>'[1]побудинковий звіт'!CF24+'[2]побудинковий звіт'!CF24-'[3]побудинковий звіт'!CF24</f>
        <v>0</v>
      </c>
      <c r="CG24" s="42">
        <f>'[1]побудинковий звіт'!CG24+'[2]побудинковий звіт'!CG24-'[3]побудинковий звіт'!CG24</f>
        <v>0</v>
      </c>
      <c r="CH24" s="56">
        <f t="shared" si="29"/>
        <v>0</v>
      </c>
      <c r="CI24" s="42">
        <f>'[1]побудинковий звіт'!CI24+'[2]побудинковий звіт'!CI24-'[3]побудинковий звіт'!CI24</f>
        <v>0</v>
      </c>
      <c r="CJ24" s="42">
        <f>'[1]побудинковий звіт'!CJ24+'[2]побудинковий звіт'!CJ24-'[3]побудинковий звіт'!CJ24</f>
        <v>0</v>
      </c>
      <c r="CK24" s="56">
        <f t="shared" si="30"/>
        <v>0</v>
      </c>
      <c r="CL24" s="42">
        <f>'[1]побудинковий звіт'!CL24+'[2]побудинковий звіт'!CL24-'[3]побудинковий звіт'!CL24</f>
        <v>0</v>
      </c>
      <c r="CM24" s="42">
        <f>'[1]побудинковий звіт'!CM24+'[2]побудинковий звіт'!CM24-'[3]побудинковий звіт'!CM24</f>
        <v>0</v>
      </c>
      <c r="CN24" s="56">
        <f t="shared" si="31"/>
        <v>0</v>
      </c>
      <c r="CO24" s="42">
        <f t="shared" si="7"/>
        <v>0</v>
      </c>
      <c r="CP24" s="43">
        <f t="shared" si="32"/>
        <v>0</v>
      </c>
      <c r="CQ24" s="56">
        <f t="shared" si="33"/>
        <v>0</v>
      </c>
      <c r="CR24" s="78">
        <f t="shared" si="8"/>
        <v>3704.3703685863429</v>
      </c>
      <c r="CS24" s="5">
        <f t="shared" si="8"/>
        <v>3443.1360426055494</v>
      </c>
      <c r="CT24" s="56">
        <f t="shared" si="34"/>
        <v>-261.23432598079353</v>
      </c>
      <c r="CU24" s="87">
        <f t="shared" si="35"/>
        <v>4445.2444423036113</v>
      </c>
      <c r="CV24" s="70">
        <f t="shared" si="36"/>
        <v>4131.7632511266593</v>
      </c>
      <c r="CW24" s="37">
        <f t="shared" si="37"/>
        <v>-313.48119117695205</v>
      </c>
      <c r="CX24" s="42">
        <f>'[1]побудинковий звіт'!CX24+'[2]побудинковий звіт'!CX24-'[3]побудинковий звіт'!CX24</f>
        <v>111.0355576963882</v>
      </c>
      <c r="CY24" s="42">
        <f>'[1]побудинковий звіт'!CY24+'[2]побудинковий звіт'!CY24-'[3]побудинковий звіт'!CY24</f>
        <v>424.5167488733407</v>
      </c>
      <c r="CZ24" s="56">
        <f t="shared" si="38"/>
        <v>313.48119117695251</v>
      </c>
      <c r="DA24" s="264">
        <f>'[4]побудинковий звіт'!DA24</f>
        <v>-3927.4213500858928</v>
      </c>
      <c r="DB24" s="2">
        <v>3</v>
      </c>
      <c r="DC24" s="717">
        <f>'[4]побудинковий звіт'!DC24</f>
        <v>2657.61</v>
      </c>
      <c r="DD24" s="717">
        <f>'[4]побудинковий звіт'!DD24</f>
        <v>0</v>
      </c>
      <c r="DE24" s="717">
        <f>'[4]побудинковий звіт'!DE24</f>
        <v>2277.92</v>
      </c>
      <c r="DF24" s="717">
        <f>'[4]побудинковий звіт'!DF24</f>
        <v>0</v>
      </c>
      <c r="DG24" s="787">
        <v>-2578.6779709667644</v>
      </c>
      <c r="DH24" s="761">
        <f t="shared" si="39"/>
        <v>54675.360000000001</v>
      </c>
      <c r="DI24" s="784"/>
      <c r="DJ24" s="5"/>
      <c r="DK24" s="317">
        <f>VLOOKUP($A24,ціни!$A$4:$G$401,5)</f>
        <v>1.4415260545941542</v>
      </c>
      <c r="DL24" s="317"/>
      <c r="DM24" s="317">
        <f>VLOOKUP($A24,ціни!$A$4:$G$401,7)</f>
        <v>1.4415260545941542</v>
      </c>
      <c r="DN24" s="30">
        <f t="shared" ref="DN24:DN40" si="55">F24*DK24</f>
        <v>9104.6785608166774</v>
      </c>
      <c r="DO24" s="30">
        <f t="shared" ref="DO24:DO40" si="56">H24*DM24</f>
        <v>0</v>
      </c>
      <c r="DP24" s="316">
        <f t="shared" si="40"/>
        <v>9104.6785608166774</v>
      </c>
      <c r="DQ24" s="104"/>
      <c r="DR24" s="30">
        <f>VLOOKUP(A24,'ДЗ нас '!$A$1:$C$359,2)</f>
        <v>379.69</v>
      </c>
      <c r="DS24" s="748"/>
      <c r="DT24" s="30">
        <f t="shared" si="41"/>
        <v>379.69</v>
      </c>
      <c r="DU24" s="257">
        <f>VLOOKUP(A24,'новий кошторис с 01.06'!$A$4:$AI$399,35)*1.2</f>
        <v>381.55014796439337</v>
      </c>
      <c r="DV24" s="30">
        <f t="shared" si="42"/>
        <v>-1.8601479643933772</v>
      </c>
      <c r="DW24" s="930">
        <f>'[5]побудинковий звіт'!DW24+'[6]побудинковий звіт'!DW24</f>
        <v>204</v>
      </c>
      <c r="DY24" s="5">
        <f t="shared" si="9"/>
        <v>3676.046966232162</v>
      </c>
      <c r="DZ24" s="5">
        <f t="shared" si="10"/>
        <v>2674.7999999999997</v>
      </c>
      <c r="EA24" s="752">
        <f t="shared" si="43"/>
        <v>2277.92</v>
      </c>
      <c r="EC24" s="592">
        <f t="shared" si="11"/>
        <v>36760.469662321622</v>
      </c>
      <c r="EE24" s="758">
        <v>-1312</v>
      </c>
      <c r="EF24" s="738">
        <f t="shared" si="12"/>
        <v>-3890.6779709667644</v>
      </c>
      <c r="EH24" s="813">
        <v>-3962.4922638592698</v>
      </c>
    </row>
    <row r="25" spans="1:138" x14ac:dyDescent="0.3">
      <c r="A25" s="328">
        <v>150000999</v>
      </c>
      <c r="B25" s="44" t="s">
        <v>473</v>
      </c>
      <c r="C25" s="45" t="s">
        <v>40</v>
      </c>
      <c r="D25" s="45" t="s">
        <v>40</v>
      </c>
      <c r="E25" s="40">
        <f t="shared" si="3"/>
        <v>263.3</v>
      </c>
      <c r="F25" s="490">
        <v>263.3</v>
      </c>
      <c r="G25" s="30"/>
      <c r="H25" s="30">
        <v>0</v>
      </c>
      <c r="I25" s="42">
        <f>'[1]побудинковий звіт'!I25+'[2]побудинковий звіт'!I25-'[3]побудинковий звіт'!I25</f>
        <v>0</v>
      </c>
      <c r="J25" s="42">
        <f>'[1]побудинковий звіт'!J25+'[2]побудинковий звіт'!J25-'[3]побудинковий звіт'!J25</f>
        <v>0</v>
      </c>
      <c r="K25" s="56">
        <f t="shared" si="13"/>
        <v>0</v>
      </c>
      <c r="L25" s="42">
        <f>'[1]побудинковий звіт'!L25+'[2]побудинковий звіт'!L25-'[3]побудинковий звіт'!L25</f>
        <v>0</v>
      </c>
      <c r="M25" s="42">
        <f>'[1]побудинковий звіт'!M25+'[2]побудинковий звіт'!M25-'[3]побудинковий звіт'!M25</f>
        <v>0</v>
      </c>
      <c r="N25" s="56">
        <f t="shared" si="14"/>
        <v>0</v>
      </c>
      <c r="O25" s="42">
        <f>'[1]побудинковий звіт'!O25+'[2]побудинковий звіт'!O25-'[3]побудинковий звіт'!O25</f>
        <v>0</v>
      </c>
      <c r="P25" s="42">
        <f>'[1]побудинковий звіт'!P25+'[2]побудинковий звіт'!P25-'[3]побудинковий звіт'!P25</f>
        <v>0</v>
      </c>
      <c r="Q25" s="56">
        <f t="shared" si="15"/>
        <v>0</v>
      </c>
      <c r="R25" s="42">
        <f>'[1]побудинковий звіт'!R25+'[2]побудинковий звіт'!R25-'[3]побудинковий звіт'!R25</f>
        <v>0</v>
      </c>
      <c r="S25" s="42">
        <f>'[1]побудинковий звіт'!S25+'[2]побудинковий звіт'!S25-'[3]побудинковий звіт'!S25</f>
        <v>0</v>
      </c>
      <c r="T25" s="56">
        <f t="shared" si="16"/>
        <v>0</v>
      </c>
      <c r="U25" s="42">
        <f>'[1]побудинковий звіт'!U25+'[2]побудинковий звіт'!U25-'[3]побудинковий звіт'!U25</f>
        <v>0</v>
      </c>
      <c r="V25" s="42">
        <f>'[1]побудинковий звіт'!V25+'[2]побудинковий звіт'!V25-'[3]побудинковий звіт'!V25</f>
        <v>0</v>
      </c>
      <c r="W25" s="56">
        <f t="shared" si="17"/>
        <v>0</v>
      </c>
      <c r="X25" s="42">
        <f>'[1]побудинковий звіт'!X25+'[2]побудинковий звіт'!X25-'[3]побудинковий звіт'!X25</f>
        <v>0</v>
      </c>
      <c r="Y25" s="42">
        <f>'[1]побудинковий звіт'!Y25+'[2]побудинковий звіт'!Y25-'[3]побудинковий звіт'!Y25</f>
        <v>1877.5197335124285</v>
      </c>
      <c r="Z25" s="56">
        <f t="shared" si="18"/>
        <v>1877.5197335124285</v>
      </c>
      <c r="AA25" s="42">
        <f>'[1]побудинковий звіт'!AA25+'[2]побудинковий звіт'!AA25-'[3]побудинковий звіт'!AA25</f>
        <v>0</v>
      </c>
      <c r="AB25" s="42">
        <f>'[1]побудинковий звіт'!AB25+'[2]побудинковий звіт'!AB25-'[3]побудинковий звіт'!AB25</f>
        <v>0</v>
      </c>
      <c r="AC25" s="56">
        <f t="shared" si="19"/>
        <v>0</v>
      </c>
      <c r="AD25" s="42">
        <f>'[1]побудинковий звіт'!AD25+'[2]побудинковий звіт'!AD25-'[3]побудинковий звіт'!AD25</f>
        <v>0</v>
      </c>
      <c r="AE25" s="42">
        <f>'[1]побудинковий звіт'!AE25+'[2]побудинковий звіт'!AE25-'[3]побудинковий звіт'!AE25</f>
        <v>198.90323554596242</v>
      </c>
      <c r="AF25" s="37">
        <f t="shared" si="20"/>
        <v>198.90323554596242</v>
      </c>
      <c r="AG25" s="87">
        <f t="shared" si="4"/>
        <v>0</v>
      </c>
      <c r="AH25" s="57">
        <f t="shared" si="4"/>
        <v>2076.4229690583911</v>
      </c>
      <c r="AI25" s="56">
        <f t="shared" si="21"/>
        <v>2076.4229690583911</v>
      </c>
      <c r="AJ25" s="42">
        <f>'[1]побудинковий звіт'!AJ25+'[2]побудинковий звіт'!AJ25-'[3]побудинковий звіт'!AJ25</f>
        <v>0</v>
      </c>
      <c r="AK25" s="42">
        <f>'[1]побудинковий звіт'!AK25+'[2]побудинковий звіт'!AK25-'[3]побудинковий звіт'!AK25</f>
        <v>0</v>
      </c>
      <c r="AL25" s="56">
        <f t="shared" si="22"/>
        <v>0</v>
      </c>
      <c r="AM25" s="42">
        <f>'[1]побудинковий звіт'!AM25+'[2]побудинковий звіт'!AM25-'[3]побудинковий звіт'!AM25</f>
        <v>0</v>
      </c>
      <c r="AN25" s="42">
        <f>'[1]побудинковий звіт'!AN25+'[2]побудинковий звіт'!AN25-'[3]побудинковий звіт'!AN25</f>
        <v>0</v>
      </c>
      <c r="AO25" s="56">
        <f t="shared" si="23"/>
        <v>0</v>
      </c>
      <c r="AP25" s="42">
        <f>'[1]побудинковий звіт'!AP25+'[2]побудинковий звіт'!AP25-'[3]побудинковий звіт'!AP25</f>
        <v>473.50882144682492</v>
      </c>
      <c r="AQ25" s="42">
        <f>'[1]побудинковий звіт'!AQ25+'[2]побудинковий звіт'!AQ25-'[3]побудинковий звіт'!AQ25</f>
        <v>140.14368942720262</v>
      </c>
      <c r="AR25" s="56">
        <f t="shared" si="24"/>
        <v>-333.36513201962231</v>
      </c>
      <c r="AS25" s="42">
        <f>'[1]побудинковий звіт'!AS25+'[2]побудинковий звіт'!AS25-'[3]побудинковий звіт'!AS25</f>
        <v>3448.1801480274876</v>
      </c>
      <c r="AT25" s="42">
        <f>'[1]побудинковий звіт'!AT25+'[2]побудинковий звіт'!AT25-'[3]побудинковий звіт'!AT25</f>
        <v>0</v>
      </c>
      <c r="AU25" s="58">
        <f t="shared" si="44"/>
        <v>-3448.1801480274876</v>
      </c>
      <c r="AV25" s="42">
        <f>'[1]побудинковий звіт'!AV25+'[2]побудинковий звіт'!AV25-'[3]побудинковий звіт'!AV25</f>
        <v>0</v>
      </c>
      <c r="AW25" s="42">
        <f>'[1]побудинковий звіт'!AW25+'[2]побудинковий звіт'!AW25-'[3]побудинковий звіт'!AW25</f>
        <v>0</v>
      </c>
      <c r="AX25" s="59">
        <f t="shared" si="45"/>
        <v>0</v>
      </c>
      <c r="AY25" s="42">
        <f>'[1]побудинковий звіт'!AY25+'[2]побудинковий звіт'!AY25-'[3]побудинковий звіт'!AY25</f>
        <v>0</v>
      </c>
      <c r="AZ25" s="42">
        <f>'[1]побудинковий звіт'!AZ25+'[2]побудинковий звіт'!AZ25-'[3]побудинковий звіт'!AZ25</f>
        <v>0</v>
      </c>
      <c r="BA25" s="37">
        <f t="shared" si="46"/>
        <v>0</v>
      </c>
      <c r="BB25" s="42">
        <f>'[1]побудинковий звіт'!BB25+'[2]побудинковий звіт'!BB25-'[3]побудинковий звіт'!BB25</f>
        <v>0</v>
      </c>
      <c r="BC25" s="42">
        <f>'[1]побудинковий звіт'!BC25+'[2]побудинковий звіт'!BC25-'[3]побудинковий звіт'!BC25</f>
        <v>0</v>
      </c>
      <c r="BD25" s="59">
        <f t="shared" si="47"/>
        <v>0</v>
      </c>
      <c r="BE25" s="42">
        <f>'[1]побудинковий звіт'!BE25+'[2]побудинковий звіт'!BE25-'[3]побудинковий звіт'!BE25</f>
        <v>0</v>
      </c>
      <c r="BF25" s="42">
        <f>'[1]побудинковий звіт'!BF25+'[2]побудинковий звіт'!BF25-'[3]побудинковий звіт'!BF25</f>
        <v>0</v>
      </c>
      <c r="BG25" s="39">
        <f t="shared" si="48"/>
        <v>0</v>
      </c>
      <c r="BH25" s="42">
        <f>'[1]побудинковий звіт'!BH25+'[2]побудинковий звіт'!BH25-'[3]побудинковий звіт'!BH25</f>
        <v>0</v>
      </c>
      <c r="BI25" s="42">
        <f>'[1]побудинковий звіт'!BI25+'[2]побудинковий звіт'!BI25-'[3]побудинковий звіт'!BI25</f>
        <v>0</v>
      </c>
      <c r="BJ25" s="59">
        <f t="shared" si="49"/>
        <v>0</v>
      </c>
      <c r="BK25" s="42">
        <f>'[1]побудинковий звіт'!BK25+'[2]побудинковий звіт'!BK25-'[3]побудинковий звіт'!BK25</f>
        <v>0</v>
      </c>
      <c r="BL25" s="42">
        <f>'[1]побудинковий звіт'!BL25+'[2]побудинковий звіт'!BL25-'[3]побудинковий звіт'!BL25</f>
        <v>0</v>
      </c>
      <c r="BM25" s="39">
        <f t="shared" si="50"/>
        <v>0</v>
      </c>
      <c r="BN25" s="42">
        <f>'[1]побудинковий звіт'!BN25+'[2]побудинковий звіт'!BN25-'[3]побудинковий звіт'!BN25</f>
        <v>0</v>
      </c>
      <c r="BO25" s="42">
        <f>'[1]побудинковий звіт'!BO25+'[2]побудинковий звіт'!BO25-'[3]побудинковий звіт'!BO25</f>
        <v>0</v>
      </c>
      <c r="BP25" s="59">
        <f t="shared" si="51"/>
        <v>0</v>
      </c>
      <c r="BQ25" s="87">
        <f t="shared" si="5"/>
        <v>0</v>
      </c>
      <c r="BR25" s="43">
        <f t="shared" si="6"/>
        <v>0</v>
      </c>
      <c r="BS25" s="59">
        <f t="shared" si="52"/>
        <v>0</v>
      </c>
      <c r="BT25" s="42">
        <f>'[1]побудинковий звіт'!BT25+'[2]побудинковий звіт'!BT25-'[3]побудинковий звіт'!BT25</f>
        <v>215.34309678777765</v>
      </c>
      <c r="BU25" s="42">
        <f>'[1]побудинковий звіт'!BU25+'[2]побудинковий звіт'!BU25-'[3]побудинковий звіт'!BU25</f>
        <v>896.53043268743909</v>
      </c>
      <c r="BV25" s="56">
        <f t="shared" si="25"/>
        <v>681.18733589966143</v>
      </c>
      <c r="BW25" s="42">
        <f>'[1]побудинковий звіт'!BW25+'[2]побудинковий звіт'!BW25-'[3]побудинковий звіт'!BW25</f>
        <v>0</v>
      </c>
      <c r="BX25" s="42">
        <f>'[1]побудинковий звіт'!BX25+'[2]побудинковий звіт'!BX25-'[3]побудинковий звіт'!BX25</f>
        <v>9.6189368064957321</v>
      </c>
      <c r="BY25" s="56">
        <f t="shared" si="26"/>
        <v>9.6189368064957321</v>
      </c>
      <c r="BZ25" s="42">
        <f>'[1]побудинковий звіт'!BZ25+'[2]побудинковий звіт'!BZ25-'[3]побудинковий звіт'!BZ25</f>
        <v>0</v>
      </c>
      <c r="CA25" s="42">
        <f>'[1]побудинковий звіт'!CA25+'[2]побудинковий звіт'!CA25-'[3]побудинковий звіт'!CA25</f>
        <v>216.10384294251156</v>
      </c>
      <c r="CB25" s="56">
        <f t="shared" si="27"/>
        <v>216.10384294251156</v>
      </c>
      <c r="CC25" s="42">
        <f>'[1]побудинковий звіт'!CC25+'[2]побудинковий звіт'!CC25-'[3]побудинковий звіт'!CC25</f>
        <v>0</v>
      </c>
      <c r="CD25" s="42">
        <f>'[1]побудинковий звіт'!CD25+'[2]побудинковий звіт'!CD25-'[3]побудинковий звіт'!CD25</f>
        <v>0</v>
      </c>
      <c r="CE25" s="56">
        <f t="shared" si="28"/>
        <v>0</v>
      </c>
      <c r="CF25" s="42">
        <f>'[1]побудинковий звіт'!CF25+'[2]побудинковий звіт'!CF25-'[3]побудинковий звіт'!CF25</f>
        <v>0</v>
      </c>
      <c r="CG25" s="42">
        <f>'[1]побудинковий звіт'!CG25+'[2]побудинковий звіт'!CG25-'[3]побудинковий звіт'!CG25</f>
        <v>0</v>
      </c>
      <c r="CH25" s="56">
        <f t="shared" si="29"/>
        <v>0</v>
      </c>
      <c r="CI25" s="42">
        <f>'[1]побудинковий звіт'!CI25+'[2]побудинковий звіт'!CI25-'[3]побудинковий звіт'!CI25</f>
        <v>0</v>
      </c>
      <c r="CJ25" s="42">
        <f>'[1]побудинковий звіт'!CJ25+'[2]побудинковий звіт'!CJ25-'[3]побудинковий звіт'!CJ25</f>
        <v>0</v>
      </c>
      <c r="CK25" s="56">
        <f t="shared" si="30"/>
        <v>0</v>
      </c>
      <c r="CL25" s="42">
        <f>'[1]побудинковий звіт'!CL25+'[2]побудинковий звіт'!CL25-'[3]побудинковий звіт'!CL25</f>
        <v>0</v>
      </c>
      <c r="CM25" s="42">
        <f>'[1]побудинковий звіт'!CM25+'[2]побудинковий звіт'!CM25-'[3]побудинковий звіт'!CM25</f>
        <v>0</v>
      </c>
      <c r="CN25" s="56">
        <f t="shared" si="31"/>
        <v>0</v>
      </c>
      <c r="CO25" s="42">
        <f t="shared" si="7"/>
        <v>0</v>
      </c>
      <c r="CP25" s="43">
        <f t="shared" si="32"/>
        <v>0</v>
      </c>
      <c r="CQ25" s="56">
        <f t="shared" si="33"/>
        <v>0</v>
      </c>
      <c r="CR25" s="78">
        <f t="shared" si="8"/>
        <v>4137.0320662620907</v>
      </c>
      <c r="CS25" s="5">
        <f t="shared" si="8"/>
        <v>3338.8198709220401</v>
      </c>
      <c r="CT25" s="56">
        <f t="shared" si="34"/>
        <v>-798.21219534005058</v>
      </c>
      <c r="CU25" s="87">
        <f t="shared" si="35"/>
        <v>4964.4384795145088</v>
      </c>
      <c r="CV25" s="70">
        <f t="shared" si="36"/>
        <v>4006.5838451064478</v>
      </c>
      <c r="CW25" s="37">
        <f t="shared" si="37"/>
        <v>-957.85463440806097</v>
      </c>
      <c r="CX25" s="42">
        <f>'[1]побудинковий звіт'!CX25+'[2]побудинковий звіт'!CX25-'[3]побудинковий звіт'!CX25</f>
        <v>74.601520485492074</v>
      </c>
      <c r="CY25" s="42">
        <f>'[1]побудинковий звіт'!CY25+'[2]побудинковий звіт'!CY25-'[3]побудинковий звіт'!CY25</f>
        <v>1032.4561548935524</v>
      </c>
      <c r="CZ25" s="56">
        <f t="shared" si="38"/>
        <v>957.85463440806029</v>
      </c>
      <c r="DA25" s="264">
        <f>'[4]побудинковий звіт'!DA25</f>
        <v>-6067.3898584126855</v>
      </c>
      <c r="DB25" s="2">
        <v>3</v>
      </c>
      <c r="DC25" s="717">
        <f>'[4]побудинковий звіт'!DC25</f>
        <v>610.97</v>
      </c>
      <c r="DD25" s="717">
        <f>'[4]побудинковий звіт'!DD25</f>
        <v>0</v>
      </c>
      <c r="DE25" s="717">
        <f>'[4]побудинковий звіт'!DE25</f>
        <v>191.05</v>
      </c>
      <c r="DF25" s="717">
        <f>'[4]побудинковий звіт'!DF25</f>
        <v>0</v>
      </c>
      <c r="DG25" s="787">
        <v>-3998.0100843049695</v>
      </c>
      <c r="DH25" s="761">
        <f t="shared" si="39"/>
        <v>60468.48000000001</v>
      </c>
      <c r="DI25" s="784"/>
      <c r="DJ25" s="5"/>
      <c r="DK25" s="317">
        <f>VLOOKUP($A25,ціни!$A$4:$G$401,5)</f>
        <v>1.4062583882304156</v>
      </c>
      <c r="DL25" s="317"/>
      <c r="DM25" s="317">
        <f>VLOOKUP($A25,ціни!$A$4:$G$401,7)</f>
        <v>1.4062583882304156</v>
      </c>
      <c r="DN25" s="30">
        <f t="shared" si="55"/>
        <v>370.26783362106846</v>
      </c>
      <c r="DO25" s="30">
        <f t="shared" si="56"/>
        <v>0</v>
      </c>
      <c r="DP25" s="316">
        <f t="shared" si="40"/>
        <v>370.26783362106846</v>
      </c>
      <c r="DQ25" s="104"/>
      <c r="DR25" s="30">
        <f>VLOOKUP(A25,'ДЗ нас '!$A$1:$C$359,2)</f>
        <v>419.92</v>
      </c>
      <c r="DS25" s="748"/>
      <c r="DT25" s="30">
        <f t="shared" si="41"/>
        <v>419.92</v>
      </c>
      <c r="DU25" s="257">
        <f>VLOOKUP(A25,'новий кошторис с 01.06'!$A$4:$AI$399,35)*1.2</f>
        <v>421.14986434548075</v>
      </c>
      <c r="DV25" s="30">
        <f t="shared" si="42"/>
        <v>-1.2298643454807348</v>
      </c>
      <c r="DW25" s="930">
        <f>'[5]побудинковий звіт'!DW25+'[6]побудинковий звіт'!DW25</f>
        <v>204</v>
      </c>
      <c r="DY25" s="5">
        <f t="shared" si="9"/>
        <v>4137.8161776329853</v>
      </c>
      <c r="DZ25" s="5">
        <f t="shared" si="10"/>
        <v>0</v>
      </c>
      <c r="EA25" s="752">
        <f t="shared" si="43"/>
        <v>191.05</v>
      </c>
      <c r="EC25" s="592">
        <f t="shared" si="11"/>
        <v>41378.161776329849</v>
      </c>
      <c r="EE25" s="758">
        <v>-618</v>
      </c>
      <c r="EF25" s="738">
        <f t="shared" si="12"/>
        <v>-4616.0100843049695</v>
      </c>
      <c r="EH25" s="813">
        <v>-5471.1722772841667</v>
      </c>
    </row>
    <row r="26" spans="1:138" x14ac:dyDescent="0.3">
      <c r="A26" s="328">
        <v>150000993</v>
      </c>
      <c r="B26" s="44" t="s">
        <v>474</v>
      </c>
      <c r="C26" s="45" t="s">
        <v>41</v>
      </c>
      <c r="D26" s="45" t="s">
        <v>41</v>
      </c>
      <c r="E26" s="40">
        <f t="shared" si="3"/>
        <v>4099.3</v>
      </c>
      <c r="F26" s="490">
        <v>4099.3</v>
      </c>
      <c r="G26" s="30"/>
      <c r="H26" s="30">
        <v>0</v>
      </c>
      <c r="I26" s="42">
        <f>'[1]побудинковий звіт'!I26+'[2]побудинковий звіт'!I26-'[3]побудинковий звіт'!I26</f>
        <v>0</v>
      </c>
      <c r="J26" s="42">
        <f>'[1]побудинковий звіт'!J26+'[2]побудинковий звіт'!J26-'[3]побудинковий звіт'!J26</f>
        <v>0</v>
      </c>
      <c r="K26" s="56">
        <f t="shared" si="13"/>
        <v>0</v>
      </c>
      <c r="L26" s="42">
        <f>'[1]побудинковий звіт'!L26+'[2]побудинковий звіт'!L26-'[3]побудинковий звіт'!L26</f>
        <v>0</v>
      </c>
      <c r="M26" s="42">
        <f>'[1]побудинковий звіт'!M26+'[2]побудинковий звіт'!M26-'[3]побудинковий звіт'!M26</f>
        <v>0</v>
      </c>
      <c r="N26" s="56">
        <f t="shared" si="14"/>
        <v>0</v>
      </c>
      <c r="O26" s="42">
        <f>'[1]побудинковий звіт'!O26+'[2]побудинковий звіт'!O26-'[3]побудинковий звіт'!O26</f>
        <v>0</v>
      </c>
      <c r="P26" s="42">
        <f>'[1]побудинковий звіт'!P26+'[2]побудинковий звіт'!P26-'[3]побудинковий звіт'!P26</f>
        <v>0</v>
      </c>
      <c r="Q26" s="56">
        <f t="shared" si="15"/>
        <v>0</v>
      </c>
      <c r="R26" s="42">
        <f>'[1]побудинковий звіт'!R26+'[2]побудинковий звіт'!R26-'[3]побудинковий звіт'!R26</f>
        <v>0</v>
      </c>
      <c r="S26" s="42">
        <f>'[1]побудинковий звіт'!S26+'[2]побудинковий звіт'!S26-'[3]побудинковий звіт'!S26</f>
        <v>0</v>
      </c>
      <c r="T26" s="56">
        <f t="shared" si="16"/>
        <v>0</v>
      </c>
      <c r="U26" s="42">
        <f>'[1]побудинковий звіт'!U26+'[2]побудинковий звіт'!U26-'[3]побудинковий звіт'!U26</f>
        <v>0</v>
      </c>
      <c r="V26" s="42">
        <f>'[1]побудинковий звіт'!V26+'[2]побудинковий звіт'!V26-'[3]побудинковий звіт'!V26</f>
        <v>0</v>
      </c>
      <c r="W26" s="56">
        <f t="shared" si="17"/>
        <v>0</v>
      </c>
      <c r="X26" s="42">
        <f>'[1]побудинковий звіт'!X26+'[2]побудинковий звіт'!X26-'[3]побудинковий звіт'!X26</f>
        <v>0</v>
      </c>
      <c r="Y26" s="42">
        <f>'[1]побудинковий звіт'!Y26+'[2]побудинковий звіт'!Y26-'[3]побудинковий звіт'!Y26</f>
        <v>0</v>
      </c>
      <c r="Z26" s="56">
        <f t="shared" si="18"/>
        <v>0</v>
      </c>
      <c r="AA26" s="42">
        <f>'[1]побудинковий звіт'!AA26+'[2]побудинковий звіт'!AA26-'[3]побудинковий звіт'!AA26</f>
        <v>0</v>
      </c>
      <c r="AB26" s="42">
        <f>'[1]побудинковий звіт'!AB26+'[2]побудинковий звіт'!AB26-'[3]побудинковий звіт'!AB26</f>
        <v>0</v>
      </c>
      <c r="AC26" s="56">
        <f t="shared" si="19"/>
        <v>0</v>
      </c>
      <c r="AD26" s="42">
        <f>'[1]побудинковий звіт'!AD26+'[2]побудинковий звіт'!AD26-'[3]побудинковий звіт'!AD26</f>
        <v>0</v>
      </c>
      <c r="AE26" s="42">
        <f>'[1]побудинковий звіт'!AE26+'[2]побудинковий звіт'!AE26-'[3]побудинковий звіт'!AE26</f>
        <v>198.77001167754582</v>
      </c>
      <c r="AF26" s="37">
        <f t="shared" si="20"/>
        <v>198.77001167754582</v>
      </c>
      <c r="AG26" s="87">
        <f t="shared" si="4"/>
        <v>0</v>
      </c>
      <c r="AH26" s="57">
        <f t="shared" si="4"/>
        <v>198.77001167754582</v>
      </c>
      <c r="AI26" s="56">
        <f t="shared" si="21"/>
        <v>198.77001167754582</v>
      </c>
      <c r="AJ26" s="42">
        <f>'[1]побудинковий звіт'!AJ26+'[2]побудинковий звіт'!AJ26-'[3]побудинковий звіт'!AJ26</f>
        <v>0</v>
      </c>
      <c r="AK26" s="42">
        <f>'[1]побудинковий звіт'!AK26+'[2]побудинковий звіт'!AK26-'[3]побудинковий звіт'!AK26</f>
        <v>0</v>
      </c>
      <c r="AL26" s="56">
        <f t="shared" si="22"/>
        <v>0</v>
      </c>
      <c r="AM26" s="42">
        <f>'[1]побудинковий звіт'!AM26+'[2]побудинковий звіт'!AM26-'[3]побудинковий звіт'!AM26</f>
        <v>0</v>
      </c>
      <c r="AN26" s="42">
        <f>'[1]побудинковий звіт'!AN26+'[2]побудинковий звіт'!AN26-'[3]побудинковий звіт'!AN26</f>
        <v>0</v>
      </c>
      <c r="AO26" s="56">
        <f t="shared" si="23"/>
        <v>0</v>
      </c>
      <c r="AP26" s="42">
        <f>'[1]побудинковий звіт'!AP26+'[2]побудинковий звіт'!AP26-'[3]побудинковий звіт'!AP26</f>
        <v>568.21058573618984</v>
      </c>
      <c r="AQ26" s="42">
        <f>'[1]побудинковий звіт'!AQ26+'[2]побудинковий звіт'!AQ26-'[3]побудинковий звіт'!AQ26</f>
        <v>280.28737885440523</v>
      </c>
      <c r="AR26" s="56">
        <f t="shared" si="24"/>
        <v>-287.92320688178461</v>
      </c>
      <c r="AS26" s="42">
        <f>'[1]побудинковий звіт'!AS26+'[2]побудинковий звіт'!AS26-'[3]побудинковий звіт'!AS26</f>
        <v>3422.606005975415</v>
      </c>
      <c r="AT26" s="42">
        <f>'[1]побудинковий звіт'!AT26+'[2]побудинковий звіт'!AT26-'[3]побудинковий звіт'!AT26</f>
        <v>733</v>
      </c>
      <c r="AU26" s="58">
        <f t="shared" si="44"/>
        <v>-2689.606005975415</v>
      </c>
      <c r="AV26" s="42">
        <f>'[1]побудинковий звіт'!AV26+'[2]побудинковий звіт'!AV26-'[3]побудинковий звіт'!AV26</f>
        <v>0</v>
      </c>
      <c r="AW26" s="42">
        <f>'[1]побудинковий звіт'!AW26+'[2]побудинковий звіт'!AW26-'[3]побудинковий звіт'!AW26</f>
        <v>0</v>
      </c>
      <c r="AX26" s="59">
        <f t="shared" si="45"/>
        <v>0</v>
      </c>
      <c r="AY26" s="42">
        <f>'[1]побудинковий звіт'!AY26+'[2]побудинковий звіт'!AY26-'[3]побудинковий звіт'!AY26</f>
        <v>0</v>
      </c>
      <c r="AZ26" s="42">
        <f>'[1]побудинковий звіт'!AZ26+'[2]побудинковий звіт'!AZ26-'[3]побудинковий звіт'!AZ26</f>
        <v>0</v>
      </c>
      <c r="BA26" s="37">
        <f t="shared" si="46"/>
        <v>0</v>
      </c>
      <c r="BB26" s="42">
        <f>'[1]побудинковий звіт'!BB26+'[2]побудинковий звіт'!BB26-'[3]побудинковий звіт'!BB26</f>
        <v>0</v>
      </c>
      <c r="BC26" s="42">
        <f>'[1]побудинковий звіт'!BC26+'[2]побудинковий звіт'!BC26-'[3]побудинковий звіт'!BC26</f>
        <v>0</v>
      </c>
      <c r="BD26" s="59">
        <f t="shared" si="47"/>
        <v>0</v>
      </c>
      <c r="BE26" s="42">
        <f>'[1]побудинковий звіт'!BE26+'[2]побудинковий звіт'!BE26-'[3]побудинковий звіт'!BE26</f>
        <v>0</v>
      </c>
      <c r="BF26" s="42">
        <f>'[1]побудинковий звіт'!BF26+'[2]побудинковий звіт'!BF26-'[3]побудинковий звіт'!BF26</f>
        <v>0</v>
      </c>
      <c r="BG26" s="39">
        <f t="shared" si="48"/>
        <v>0</v>
      </c>
      <c r="BH26" s="42">
        <f>'[1]побудинковий звіт'!BH26+'[2]побудинковий звіт'!BH26-'[3]побудинковий звіт'!BH26</f>
        <v>0</v>
      </c>
      <c r="BI26" s="42">
        <f>'[1]побудинковий звіт'!BI26+'[2]побудинковий звіт'!BI26-'[3]побудинковий звіт'!BI26</f>
        <v>0</v>
      </c>
      <c r="BJ26" s="59">
        <f t="shared" si="49"/>
        <v>0</v>
      </c>
      <c r="BK26" s="42">
        <f>'[1]побудинковий звіт'!BK26+'[2]побудинковий звіт'!BK26-'[3]побудинковий звіт'!BK26</f>
        <v>0</v>
      </c>
      <c r="BL26" s="42">
        <f>'[1]побудинковий звіт'!BL26+'[2]побудинковий звіт'!BL26-'[3]побудинковий звіт'!BL26</f>
        <v>0</v>
      </c>
      <c r="BM26" s="39">
        <f t="shared" si="50"/>
        <v>0</v>
      </c>
      <c r="BN26" s="42">
        <f>'[1]побудинковий звіт'!BN26+'[2]побудинковий звіт'!BN26-'[3]побудинковий звіт'!BN26</f>
        <v>0</v>
      </c>
      <c r="BO26" s="42">
        <f>'[1]побудинковий звіт'!BO26+'[2]побудинковий звіт'!BO26-'[3]побудинковий звіт'!BO26</f>
        <v>0</v>
      </c>
      <c r="BP26" s="59">
        <f t="shared" si="51"/>
        <v>0</v>
      </c>
      <c r="BQ26" s="87">
        <f t="shared" si="5"/>
        <v>0</v>
      </c>
      <c r="BR26" s="43">
        <f t="shared" si="6"/>
        <v>0</v>
      </c>
      <c r="BS26" s="59">
        <f t="shared" si="52"/>
        <v>0</v>
      </c>
      <c r="BT26" s="42">
        <f>'[1]побудинковий звіт'!BT26+'[2]побудинковий звіт'!BT26-'[3]побудинковий звіт'!BT26</f>
        <v>167.48907527938252</v>
      </c>
      <c r="BU26" s="42">
        <f>'[1]побудинковий звіт'!BU26+'[2]побудинковий звіт'!BU26-'[3]побудинковий звіт'!BU26</f>
        <v>762.01707045712976</v>
      </c>
      <c r="BV26" s="56">
        <f t="shared" si="25"/>
        <v>594.52799517774724</v>
      </c>
      <c r="BW26" s="42">
        <f>'[1]побудинковий звіт'!BW26+'[2]побудинковий звіт'!BW26-'[3]побудинковий звіт'!BW26</f>
        <v>0</v>
      </c>
      <c r="BX26" s="42">
        <f>'[1]побудинковий звіт'!BX26+'[2]побудинковий звіт'!BX26-'[3]побудинковий звіт'!BX26</f>
        <v>9.6124941160694082</v>
      </c>
      <c r="BY26" s="56">
        <f t="shared" si="26"/>
        <v>9.6124941160694082</v>
      </c>
      <c r="BZ26" s="42">
        <f>'[1]побудинковий звіт'!BZ26+'[2]побудинковий звіт'!BZ26-'[3]побудинковий звіт'!BZ26</f>
        <v>0</v>
      </c>
      <c r="CA26" s="42">
        <f>'[1]побудинковий звіт'!CA26+'[2]побудинковий звіт'!CA26-'[3]побудинковий звіт'!CA26</f>
        <v>183.68011983703798</v>
      </c>
      <c r="CB26" s="56">
        <f t="shared" si="27"/>
        <v>183.68011983703798</v>
      </c>
      <c r="CC26" s="42">
        <f>'[1]побудинковий звіт'!CC26+'[2]побудинковий звіт'!CC26-'[3]побудинковий звіт'!CC26</f>
        <v>0</v>
      </c>
      <c r="CD26" s="42">
        <f>'[1]побудинковий звіт'!CD26+'[2]побудинковий звіт'!CD26-'[3]побудинковий звіт'!CD26</f>
        <v>0</v>
      </c>
      <c r="CE26" s="56">
        <f t="shared" si="28"/>
        <v>0</v>
      </c>
      <c r="CF26" s="42">
        <f>'[1]побудинковий звіт'!CF26+'[2]побудинковий звіт'!CF26-'[3]побудинковий звіт'!CF26</f>
        <v>0</v>
      </c>
      <c r="CG26" s="42">
        <f>'[1]побудинковий звіт'!CG26+'[2]побудинковий звіт'!CG26-'[3]побудинковий звіт'!CG26</f>
        <v>0</v>
      </c>
      <c r="CH26" s="56">
        <f t="shared" si="29"/>
        <v>0</v>
      </c>
      <c r="CI26" s="42">
        <f>'[1]побудинковий звіт'!CI26+'[2]побудинковий звіт'!CI26-'[3]побудинковий звіт'!CI26</f>
        <v>0</v>
      </c>
      <c r="CJ26" s="42">
        <f>'[1]побудинковий звіт'!CJ26+'[2]побудинковий звіт'!CJ26-'[3]побудинковий звіт'!CJ26</f>
        <v>0</v>
      </c>
      <c r="CK26" s="56">
        <f t="shared" si="30"/>
        <v>0</v>
      </c>
      <c r="CL26" s="42">
        <f>'[1]побудинковий звіт'!CL26+'[2]побудинковий звіт'!CL26-'[3]побудинковий звіт'!CL26</f>
        <v>0</v>
      </c>
      <c r="CM26" s="42">
        <f>'[1]побудинковий звіт'!CM26+'[2]побудинковий звіт'!CM26-'[3]побудинковий звіт'!CM26</f>
        <v>0</v>
      </c>
      <c r="CN26" s="56">
        <f t="shared" si="31"/>
        <v>0</v>
      </c>
      <c r="CO26" s="42">
        <f t="shared" si="7"/>
        <v>0</v>
      </c>
      <c r="CP26" s="43">
        <f t="shared" si="32"/>
        <v>0</v>
      </c>
      <c r="CQ26" s="56">
        <f t="shared" si="33"/>
        <v>0</v>
      </c>
      <c r="CR26" s="78">
        <f t="shared" si="8"/>
        <v>4158.3056669909874</v>
      </c>
      <c r="CS26" s="5">
        <f t="shared" si="8"/>
        <v>2167.3670749421881</v>
      </c>
      <c r="CT26" s="56">
        <f t="shared" si="34"/>
        <v>-1990.9385920487994</v>
      </c>
      <c r="CU26" s="87">
        <f t="shared" si="35"/>
        <v>4989.9668003891848</v>
      </c>
      <c r="CV26" s="70">
        <f t="shared" si="36"/>
        <v>2600.8404899306256</v>
      </c>
      <c r="CW26" s="37">
        <f t="shared" si="37"/>
        <v>-2389.1263104585591</v>
      </c>
      <c r="CX26" s="42">
        <f>'[1]побудинковий звіт'!CX26+'[2]побудинковий звіт'!CX26-'[3]побудинковий звіт'!CX26</f>
        <v>74.873199610814709</v>
      </c>
      <c r="CY26" s="42">
        <f>'[1]побудинковий звіт'!CY26+'[2]побудинковий звіт'!CY26-'[3]побудинковий звіт'!CY26</f>
        <v>2463.9995100693741</v>
      </c>
      <c r="CZ26" s="56">
        <f t="shared" si="38"/>
        <v>2389.1263104585596</v>
      </c>
      <c r="DA26" s="264">
        <f>'[4]побудинковий звіт'!DA26</f>
        <v>-8272.9077785962654</v>
      </c>
      <c r="DB26" s="2">
        <v>3</v>
      </c>
      <c r="DC26" s="717">
        <f>'[4]побудинковий звіт'!DC26</f>
        <v>422.07</v>
      </c>
      <c r="DD26" s="717">
        <f>'[4]побудинковий звіт'!DD26</f>
        <v>0</v>
      </c>
      <c r="DE26" s="717">
        <f>'[4]побудинковий звіт'!DE26</f>
        <v>0</v>
      </c>
      <c r="DF26" s="717">
        <f>'[4]побудинковий звіт'!DF26</f>
        <v>0</v>
      </c>
      <c r="DG26" s="787">
        <v>-4663.8948197575191</v>
      </c>
      <c r="DH26" s="761">
        <f t="shared" si="39"/>
        <v>60778.079999999987</v>
      </c>
      <c r="DI26" s="784"/>
      <c r="DJ26" s="5"/>
      <c r="DK26" s="317">
        <f>VLOOKUP($A26,ціни!$A$4:$G$401,5)</f>
        <v>1.4144370817680472</v>
      </c>
      <c r="DL26" s="317"/>
      <c r="DM26" s="317">
        <f>VLOOKUP($A26,ціни!$A$4:$G$401,7)</f>
        <v>1.4144370817680472</v>
      </c>
      <c r="DN26" s="30">
        <f t="shared" si="55"/>
        <v>5798.2019292917557</v>
      </c>
      <c r="DO26" s="30">
        <f t="shared" si="56"/>
        <v>0</v>
      </c>
      <c r="DP26" s="316">
        <f t="shared" si="40"/>
        <v>5798.2019292917557</v>
      </c>
      <c r="DQ26" s="104"/>
      <c r="DR26" s="30">
        <f>VLOOKUP(A26,'ДЗ нас '!$A$1:$C$359,2)</f>
        <v>422.07</v>
      </c>
      <c r="DS26" s="748"/>
      <c r="DT26" s="30">
        <f t="shared" si="41"/>
        <v>422.07</v>
      </c>
      <c r="DU26" s="257">
        <f>VLOOKUP(A26,'новий кошторис с 01.06'!$A$4:$AI$399,35)*1.2</f>
        <v>423.31551689968256</v>
      </c>
      <c r="DV26" s="30">
        <f t="shared" si="42"/>
        <v>-1.2455168996825705</v>
      </c>
      <c r="DW26" s="930">
        <f>'[5]побудинковий звіт'!DW26+'[6]побудинковий звіт'!DW26</f>
        <v>0</v>
      </c>
      <c r="DY26" s="5">
        <f t="shared" si="9"/>
        <v>4107.127207170498</v>
      </c>
      <c r="DZ26" s="5">
        <f t="shared" si="10"/>
        <v>879.6</v>
      </c>
      <c r="EA26" s="752">
        <f t="shared" si="43"/>
        <v>0</v>
      </c>
      <c r="EC26" s="592">
        <f t="shared" si="11"/>
        <v>41071.272071704981</v>
      </c>
      <c r="EE26" s="758">
        <v>-783</v>
      </c>
      <c r="EF26" s="738">
        <f t="shared" si="12"/>
        <v>-5446.8948197575191</v>
      </c>
      <c r="EH26" s="813">
        <v>-6283.6899857241979</v>
      </c>
    </row>
    <row r="27" spans="1:138" x14ac:dyDescent="0.3">
      <c r="A27" s="328">
        <v>150001000</v>
      </c>
      <c r="B27" s="44" t="s">
        <v>475</v>
      </c>
      <c r="C27" s="45" t="s">
        <v>42</v>
      </c>
      <c r="D27" s="45" t="s">
        <v>42</v>
      </c>
      <c r="E27" s="40">
        <f t="shared" si="3"/>
        <v>409.93</v>
      </c>
      <c r="F27" s="490">
        <v>409.93</v>
      </c>
      <c r="G27" s="30"/>
      <c r="H27" s="30">
        <v>0</v>
      </c>
      <c r="I27" s="42">
        <f>'[1]побудинковий звіт'!I27+'[2]побудинковий звіт'!I27-'[3]побудинковий звіт'!I27</f>
        <v>0</v>
      </c>
      <c r="J27" s="42">
        <f>'[1]побудинковий звіт'!J27+'[2]побудинковий звіт'!J27-'[3]побудинковий звіт'!J27</f>
        <v>0</v>
      </c>
      <c r="K27" s="56">
        <f t="shared" si="13"/>
        <v>0</v>
      </c>
      <c r="L27" s="42">
        <f>'[1]побудинковий звіт'!L27+'[2]побудинковий звіт'!L27-'[3]побудинковий звіт'!L27</f>
        <v>0</v>
      </c>
      <c r="M27" s="42">
        <f>'[1]побудинковий звіт'!M27+'[2]побудинковий звіт'!M27-'[3]побудинковий звіт'!M27</f>
        <v>0</v>
      </c>
      <c r="N27" s="56">
        <f t="shared" si="14"/>
        <v>0</v>
      </c>
      <c r="O27" s="42">
        <f>'[1]побудинковий звіт'!O27+'[2]побудинковий звіт'!O27-'[3]побудинковий звіт'!O27</f>
        <v>0</v>
      </c>
      <c r="P27" s="42">
        <f>'[1]побудинковий звіт'!P27+'[2]побудинковий звіт'!P27-'[3]побудинковий звіт'!P27</f>
        <v>0</v>
      </c>
      <c r="Q27" s="56">
        <f t="shared" si="15"/>
        <v>0</v>
      </c>
      <c r="R27" s="42">
        <f>'[1]побудинковий звіт'!R27+'[2]побудинковий звіт'!R27-'[3]побудинковий звіт'!R27</f>
        <v>0</v>
      </c>
      <c r="S27" s="42">
        <f>'[1]побудинковий звіт'!S27+'[2]побудинковий звіт'!S27-'[3]побудинковий звіт'!S27</f>
        <v>0</v>
      </c>
      <c r="T27" s="56">
        <f t="shared" si="16"/>
        <v>0</v>
      </c>
      <c r="U27" s="42">
        <f>'[1]побудинковий звіт'!U27+'[2]побудинковий звіт'!U27-'[3]побудинковий звіт'!U27</f>
        <v>0</v>
      </c>
      <c r="V27" s="42">
        <f>'[1]побудинковий звіт'!V27+'[2]побудинковий звіт'!V27-'[3]побудинковий звіт'!V27</f>
        <v>0</v>
      </c>
      <c r="W27" s="56">
        <f t="shared" si="17"/>
        <v>0</v>
      </c>
      <c r="X27" s="42">
        <f>'[1]побудинковий звіт'!X27+'[2]побудинковий звіт'!X27-'[3]побудинковий звіт'!X27</f>
        <v>0</v>
      </c>
      <c r="Y27" s="42">
        <f>'[1]побудинковий звіт'!Y27+'[2]побудинковий звіт'!Y27-'[3]побудинковий звіт'!Y27</f>
        <v>0</v>
      </c>
      <c r="Z27" s="56">
        <f t="shared" si="18"/>
        <v>0</v>
      </c>
      <c r="AA27" s="42">
        <f>'[1]побудинковий звіт'!AA27+'[2]побудинковий звіт'!AA27-'[3]побудинковий звіт'!AA27</f>
        <v>0</v>
      </c>
      <c r="AB27" s="42">
        <f>'[1]побудинковий звіт'!AB27+'[2]побудинковий звіт'!AB27-'[3]побудинковий звіт'!AB27</f>
        <v>0</v>
      </c>
      <c r="AC27" s="56">
        <f t="shared" si="19"/>
        <v>0</v>
      </c>
      <c r="AD27" s="42">
        <f>'[1]побудинковий звіт'!AD27+'[2]побудинковий звіт'!AD27-'[3]побудинковий звіт'!AD27</f>
        <v>0</v>
      </c>
      <c r="AE27" s="42">
        <f>'[1]побудинковий звіт'!AE27+'[2]побудинковий звіт'!AE27-'[3]побудинковий звіт'!AE27</f>
        <v>933.14349088945562</v>
      </c>
      <c r="AF27" s="37">
        <f t="shared" si="20"/>
        <v>933.14349088945562</v>
      </c>
      <c r="AG27" s="87">
        <f t="shared" si="4"/>
        <v>0</v>
      </c>
      <c r="AH27" s="57">
        <f t="shared" si="4"/>
        <v>933.14349088945562</v>
      </c>
      <c r="AI27" s="56">
        <f t="shared" si="21"/>
        <v>933.14349088945562</v>
      </c>
      <c r="AJ27" s="42">
        <f>'[1]побудинковий звіт'!AJ27+'[2]побудинковий звіт'!AJ27-'[3]побудинковий звіт'!AJ27</f>
        <v>0</v>
      </c>
      <c r="AK27" s="42">
        <f>'[1]побудинковий звіт'!AK27+'[2]побудинковий звіт'!AK27-'[3]побудинковий звіт'!AK27</f>
        <v>0</v>
      </c>
      <c r="AL27" s="56">
        <f t="shared" si="22"/>
        <v>0</v>
      </c>
      <c r="AM27" s="42">
        <f>'[1]побудинковий звіт'!AM27+'[2]побудинковий звіт'!AM27-'[3]побудинковий звіт'!AM27</f>
        <v>0</v>
      </c>
      <c r="AN27" s="42">
        <f>'[1]побудинковий звіт'!AN27+'[2]побудинковий звіт'!AN27-'[3]побудинковий звіт'!AN27</f>
        <v>0</v>
      </c>
      <c r="AO27" s="56">
        <f t="shared" si="23"/>
        <v>0</v>
      </c>
      <c r="AP27" s="42">
        <f>'[1]побудинковий звіт'!AP27+'[2]побудинковий звіт'!AP27-'[3]побудинковий звіт'!AP27</f>
        <v>473.50882144682492</v>
      </c>
      <c r="AQ27" s="42">
        <f>'[1]побудинковий звіт'!AQ27+'[2]побудинковий звіт'!AQ27-'[3]побудинковий звіт'!AQ27</f>
        <v>140.14368942720262</v>
      </c>
      <c r="AR27" s="56">
        <f t="shared" si="24"/>
        <v>-333.36513201962231</v>
      </c>
      <c r="AS27" s="42">
        <f>'[1]побудинковий звіт'!AS27+'[2]побудинковий звіт'!AS27-'[3]побудинковий звіт'!AS27</f>
        <v>3300.7426716829732</v>
      </c>
      <c r="AT27" s="42">
        <f>'[1]побудинковий звіт'!AT27+'[2]побудинковий звіт'!AT27-'[3]побудинковий звіт'!AT27</f>
        <v>0</v>
      </c>
      <c r="AU27" s="58">
        <f t="shared" si="44"/>
        <v>-3300.7426716829732</v>
      </c>
      <c r="AV27" s="42">
        <f>'[1]побудинковий звіт'!AV27+'[2]побудинковий звіт'!AV27-'[3]побудинковий звіт'!AV27</f>
        <v>0</v>
      </c>
      <c r="AW27" s="42">
        <f>'[1]побудинковий звіт'!AW27+'[2]побудинковий звіт'!AW27-'[3]побудинковий звіт'!AW27</f>
        <v>0</v>
      </c>
      <c r="AX27" s="59">
        <f t="shared" si="45"/>
        <v>0</v>
      </c>
      <c r="AY27" s="42">
        <f>'[1]побудинковий звіт'!AY27+'[2]побудинковий звіт'!AY27-'[3]побудинковий звіт'!AY27</f>
        <v>0</v>
      </c>
      <c r="AZ27" s="42">
        <f>'[1]побудинковий звіт'!AZ27+'[2]побудинковий звіт'!AZ27-'[3]побудинковий звіт'!AZ27</f>
        <v>0</v>
      </c>
      <c r="BA27" s="37">
        <f t="shared" si="46"/>
        <v>0</v>
      </c>
      <c r="BB27" s="42">
        <f>'[1]побудинковий звіт'!BB27+'[2]побудинковий звіт'!BB27-'[3]побудинковий звіт'!BB27</f>
        <v>0</v>
      </c>
      <c r="BC27" s="42">
        <f>'[1]побудинковий звіт'!BC27+'[2]побудинковий звіт'!BC27-'[3]побудинковий звіт'!BC27</f>
        <v>0</v>
      </c>
      <c r="BD27" s="59">
        <f t="shared" si="47"/>
        <v>0</v>
      </c>
      <c r="BE27" s="42">
        <f>'[1]побудинковий звіт'!BE27+'[2]побудинковий звіт'!BE27-'[3]побудинковий звіт'!BE27</f>
        <v>0</v>
      </c>
      <c r="BF27" s="42">
        <f>'[1]побудинковий звіт'!BF27+'[2]побудинковий звіт'!BF27-'[3]побудинковий звіт'!BF27</f>
        <v>0</v>
      </c>
      <c r="BG27" s="39">
        <f t="shared" si="48"/>
        <v>0</v>
      </c>
      <c r="BH27" s="42">
        <f>'[1]побудинковий звіт'!BH27+'[2]побудинковий звіт'!BH27-'[3]побудинковий звіт'!BH27</f>
        <v>0</v>
      </c>
      <c r="BI27" s="42">
        <f>'[1]побудинковий звіт'!BI27+'[2]побудинковий звіт'!BI27-'[3]побудинковий звіт'!BI27</f>
        <v>0</v>
      </c>
      <c r="BJ27" s="59">
        <f t="shared" si="49"/>
        <v>0</v>
      </c>
      <c r="BK27" s="42">
        <f>'[1]побудинковий звіт'!BK27+'[2]побудинковий звіт'!BK27-'[3]побудинковий звіт'!BK27</f>
        <v>0</v>
      </c>
      <c r="BL27" s="42">
        <f>'[1]побудинковий звіт'!BL27+'[2]побудинковий звіт'!BL27-'[3]побудинковий звіт'!BL27</f>
        <v>0</v>
      </c>
      <c r="BM27" s="39">
        <f t="shared" si="50"/>
        <v>0</v>
      </c>
      <c r="BN27" s="42">
        <f>'[1]побудинковий звіт'!BN27+'[2]побудинковий звіт'!BN27-'[3]побудинковий звіт'!BN27</f>
        <v>0</v>
      </c>
      <c r="BO27" s="42">
        <f>'[1]побудинковий звіт'!BO27+'[2]побудинковий звіт'!BO27-'[3]побудинковий звіт'!BO27</f>
        <v>0</v>
      </c>
      <c r="BP27" s="59">
        <f t="shared" si="51"/>
        <v>0</v>
      </c>
      <c r="BQ27" s="87">
        <f t="shared" si="5"/>
        <v>0</v>
      </c>
      <c r="BR27" s="43">
        <f t="shared" si="6"/>
        <v>0</v>
      </c>
      <c r="BS27" s="59">
        <f t="shared" si="52"/>
        <v>0</v>
      </c>
      <c r="BT27" s="42">
        <f>'[1]побудинковий звіт'!BT27+'[2]побудинковий звіт'!BT27-'[3]побудинковий звіт'!BT27</f>
        <v>95.708043016790015</v>
      </c>
      <c r="BU27" s="42">
        <f>'[1]побудинковий звіт'!BU27+'[2]побудинковий звіт'!BU27-'[3]побудинковий звіт'!BU27</f>
        <v>448.37787410103135</v>
      </c>
      <c r="BV27" s="56">
        <f t="shared" si="25"/>
        <v>352.66983108424131</v>
      </c>
      <c r="BW27" s="42">
        <f>'[1]побудинковий звіт'!BW27+'[2]побудинковий звіт'!BW27-'[3]побудинковий звіт'!BW27</f>
        <v>0</v>
      </c>
      <c r="BX27" s="42">
        <f>'[1]побудинковий звіт'!BX27+'[2]побудинковий звіт'!BX27-'[3]побудинковий звіт'!BX27</f>
        <v>7.6267381979566125</v>
      </c>
      <c r="BY27" s="56">
        <f t="shared" si="26"/>
        <v>7.6267381979566125</v>
      </c>
      <c r="BZ27" s="42">
        <f>'[1]побудинковий звіт'!BZ27+'[2]побудинковий звіт'!BZ27-'[3]побудинковий звіт'!BZ27</f>
        <v>0</v>
      </c>
      <c r="CA27" s="42">
        <f>'[1]побудинковий звіт'!CA27+'[2]побудинковий звіт'!CA27-'[3]побудинковий звіт'!CA27</f>
        <v>108.0790770182453</v>
      </c>
      <c r="CB27" s="56">
        <f t="shared" si="27"/>
        <v>108.0790770182453</v>
      </c>
      <c r="CC27" s="42">
        <f>'[1]побудинковий звіт'!CC27+'[2]побудинковий звіт'!CC27-'[3]побудинковий звіт'!CC27</f>
        <v>0</v>
      </c>
      <c r="CD27" s="42">
        <f>'[1]побудинковий звіт'!CD27+'[2]побудинковий звіт'!CD27-'[3]побудинковий звіт'!CD27</f>
        <v>0</v>
      </c>
      <c r="CE27" s="56">
        <f t="shared" si="28"/>
        <v>0</v>
      </c>
      <c r="CF27" s="42">
        <f>'[1]побудинковий звіт'!CF27+'[2]побудинковий звіт'!CF27-'[3]побудинковий звіт'!CF27</f>
        <v>0</v>
      </c>
      <c r="CG27" s="42">
        <f>'[1]побудинковий звіт'!CG27+'[2]побудинковий звіт'!CG27-'[3]побудинковий звіт'!CG27</f>
        <v>0</v>
      </c>
      <c r="CH27" s="56">
        <f t="shared" si="29"/>
        <v>0</v>
      </c>
      <c r="CI27" s="42">
        <f>'[1]побудинковий звіт'!CI27+'[2]побудинковий звіт'!CI27-'[3]побудинковий звіт'!CI27</f>
        <v>37.435050354384273</v>
      </c>
      <c r="CJ27" s="42">
        <f>'[1]побудинковий звіт'!CJ27+'[2]побудинковий звіт'!CJ27-'[3]побудинковий звіт'!CJ27</f>
        <v>399.55274336337175</v>
      </c>
      <c r="CK27" s="56">
        <f t="shared" si="30"/>
        <v>362.11769300898749</v>
      </c>
      <c r="CL27" s="42">
        <f>'[1]побудинковий звіт'!CL27+'[2]побудинковий звіт'!CL27-'[3]побудинковий звіт'!CL27</f>
        <v>0</v>
      </c>
      <c r="CM27" s="42">
        <f>'[1]побудинковий звіт'!CM27+'[2]побудинковий звіт'!CM27-'[3]побудинковий звіт'!CM27</f>
        <v>0</v>
      </c>
      <c r="CN27" s="56">
        <f t="shared" si="31"/>
        <v>0</v>
      </c>
      <c r="CO27" s="42">
        <f t="shared" si="7"/>
        <v>37.435050354384273</v>
      </c>
      <c r="CP27" s="43">
        <f t="shared" si="32"/>
        <v>399.55274336337175</v>
      </c>
      <c r="CQ27" s="56">
        <f t="shared" si="33"/>
        <v>362.11769300898749</v>
      </c>
      <c r="CR27" s="78">
        <f t="shared" si="8"/>
        <v>3907.3945865009723</v>
      </c>
      <c r="CS27" s="5">
        <f t="shared" si="8"/>
        <v>2036.9236129972633</v>
      </c>
      <c r="CT27" s="56">
        <f t="shared" si="34"/>
        <v>-1870.470973503709</v>
      </c>
      <c r="CU27" s="87">
        <f t="shared" si="35"/>
        <v>4688.8735038011664</v>
      </c>
      <c r="CV27" s="70">
        <f t="shared" si="36"/>
        <v>2444.308335596716</v>
      </c>
      <c r="CW27" s="37">
        <f t="shared" si="37"/>
        <v>-2244.5651682044504</v>
      </c>
      <c r="CX27" s="42">
        <f>'[1]побудинковий звіт'!CX27+'[2]побудинковий звіт'!CX27-'[3]побудинковий звіт'!CX27</f>
        <v>229.68649619883399</v>
      </c>
      <c r="CY27" s="42">
        <f>'[1]побудинковий звіт'!CY27+'[2]побудинковий звіт'!CY27-'[3]побудинковий звіт'!CY27</f>
        <v>2474.2516644032848</v>
      </c>
      <c r="CZ27" s="56">
        <f t="shared" si="38"/>
        <v>2244.5651682044509</v>
      </c>
      <c r="DA27" s="264">
        <f>'[4]побудинковий звіт'!DA27</f>
        <v>-7941.2921909433717</v>
      </c>
      <c r="DB27" s="2">
        <v>3</v>
      </c>
      <c r="DC27" s="717">
        <f>'[4]побудинковий звіт'!DC27</f>
        <v>2041.61</v>
      </c>
      <c r="DD27" s="717">
        <f>'[4]побудинковий звіт'!DD27</f>
        <v>0</v>
      </c>
      <c r="DE27" s="717">
        <f>'[4]побудинковий звіт'!DE27</f>
        <v>1631.73</v>
      </c>
      <c r="DF27" s="717">
        <f>'[4]побудинковий звіт'!DF27</f>
        <v>0</v>
      </c>
      <c r="DG27" s="787">
        <v>-3338.8446284474285</v>
      </c>
      <c r="DH27" s="761">
        <f t="shared" si="39"/>
        <v>59022.720000000001</v>
      </c>
      <c r="DI27" s="784"/>
      <c r="DJ27" s="5"/>
      <c r="DK27" s="317">
        <f>VLOOKUP($A27,ціни!$A$4:$G$401,5)</f>
        <v>1.7250643611717429</v>
      </c>
      <c r="DL27" s="317"/>
      <c r="DM27" s="317">
        <f>VLOOKUP($A27,ціни!$A$4:$G$401,7)</f>
        <v>1.7250643611717429</v>
      </c>
      <c r="DN27" s="30">
        <f t="shared" si="55"/>
        <v>707.15563357513258</v>
      </c>
      <c r="DO27" s="30">
        <f t="shared" si="56"/>
        <v>0</v>
      </c>
      <c r="DP27" s="316">
        <f t="shared" si="40"/>
        <v>707.15563357513258</v>
      </c>
      <c r="DQ27" s="104"/>
      <c r="DR27" s="30">
        <f>VLOOKUP(A27,'ДЗ нас '!$A$1:$C$359,2)</f>
        <v>409.88</v>
      </c>
      <c r="DS27" s="748"/>
      <c r="DT27" s="30">
        <f t="shared" si="41"/>
        <v>409.88</v>
      </c>
      <c r="DU27" s="257">
        <f>VLOOKUP(A27,'новий кошторис с 01.06'!$A$4:$AI$399,35)*1.2</f>
        <v>411.83938941720243</v>
      </c>
      <c r="DV27" s="30">
        <f t="shared" si="42"/>
        <v>-1.9593894172024306</v>
      </c>
      <c r="DW27" s="930">
        <f>'[5]побудинковий звіт'!DW27+'[6]побудинковий звіт'!DW27</f>
        <v>0</v>
      </c>
      <c r="DY27" s="5">
        <f t="shared" si="9"/>
        <v>3960.8912060195676</v>
      </c>
      <c r="DZ27" s="5">
        <f t="shared" si="10"/>
        <v>0</v>
      </c>
      <c r="EA27" s="752">
        <f t="shared" si="43"/>
        <v>1631.73</v>
      </c>
      <c r="EC27" s="592">
        <f t="shared" si="11"/>
        <v>39608.912060195682</v>
      </c>
      <c r="EE27" s="758">
        <v>2164</v>
      </c>
      <c r="EF27" s="738">
        <f t="shared" si="12"/>
        <v>-1174.8446284474285</v>
      </c>
      <c r="EH27" s="813">
        <v>-5130.7435981579838</v>
      </c>
    </row>
    <row r="28" spans="1:138" x14ac:dyDescent="0.3">
      <c r="A28" s="328">
        <v>150001004</v>
      </c>
      <c r="B28" s="44" t="s">
        <v>476</v>
      </c>
      <c r="C28" s="45" t="s">
        <v>43</v>
      </c>
      <c r="D28" s="45" t="s">
        <v>43</v>
      </c>
      <c r="E28" s="40">
        <f t="shared" si="3"/>
        <v>403.93</v>
      </c>
      <c r="F28" s="490">
        <v>403.93</v>
      </c>
      <c r="G28" s="30"/>
      <c r="H28" s="30">
        <v>0</v>
      </c>
      <c r="I28" s="42">
        <f>'[1]побудинковий звіт'!I28+'[2]побудинковий звіт'!I28-'[3]побудинковий звіт'!I28</f>
        <v>0</v>
      </c>
      <c r="J28" s="42">
        <f>'[1]побудинковий звіт'!J28+'[2]побудинковий звіт'!J28-'[3]побудинковий звіт'!J28</f>
        <v>0</v>
      </c>
      <c r="K28" s="56">
        <f t="shared" si="13"/>
        <v>0</v>
      </c>
      <c r="L28" s="42">
        <f>'[1]побудинковий звіт'!L28+'[2]побудинковий звіт'!L28-'[3]побудинковий звіт'!L28</f>
        <v>0</v>
      </c>
      <c r="M28" s="42">
        <f>'[1]побудинковий звіт'!M28+'[2]побудинковий звіт'!M28-'[3]побудинковий звіт'!M28</f>
        <v>0</v>
      </c>
      <c r="N28" s="56">
        <f t="shared" si="14"/>
        <v>0</v>
      </c>
      <c r="O28" s="42">
        <f>'[1]побудинковий звіт'!O28+'[2]побудинковий звіт'!O28-'[3]побудинковий звіт'!O28</f>
        <v>0</v>
      </c>
      <c r="P28" s="42">
        <f>'[1]побудинковий звіт'!P28+'[2]побудинковий звіт'!P28-'[3]побудинковий звіт'!P28</f>
        <v>0</v>
      </c>
      <c r="Q28" s="56">
        <f t="shared" si="15"/>
        <v>0</v>
      </c>
      <c r="R28" s="42">
        <f>'[1]побудинковий звіт'!R28+'[2]побудинковий звіт'!R28-'[3]побудинковий звіт'!R28</f>
        <v>0</v>
      </c>
      <c r="S28" s="42">
        <f>'[1]побудинковий звіт'!S28+'[2]побудинковий звіт'!S28-'[3]побудинковий звіт'!S28</f>
        <v>0</v>
      </c>
      <c r="T28" s="56">
        <f t="shared" si="16"/>
        <v>0</v>
      </c>
      <c r="U28" s="42">
        <f>'[1]побудинковий звіт'!U28+'[2]побудинковий звіт'!U28-'[3]побудинковий звіт'!U28</f>
        <v>0</v>
      </c>
      <c r="V28" s="42">
        <f>'[1]побудинковий звіт'!V28+'[2]побудинковий звіт'!V28-'[3]побудинковий звіт'!V28</f>
        <v>0</v>
      </c>
      <c r="W28" s="56">
        <f t="shared" si="17"/>
        <v>0</v>
      </c>
      <c r="X28" s="42">
        <f>'[1]побудинковий звіт'!X28+'[2]побудинковий звіт'!X28-'[3]побудинковий звіт'!X28</f>
        <v>0</v>
      </c>
      <c r="Y28" s="42">
        <f>'[1]побудинковий звіт'!Y28+'[2]побудинковий звіт'!Y28-'[3]побудинковий звіт'!Y28</f>
        <v>0</v>
      </c>
      <c r="Z28" s="56">
        <f t="shared" si="18"/>
        <v>0</v>
      </c>
      <c r="AA28" s="42">
        <f>'[1]побудинковий звіт'!AA28+'[2]побудинковий звіт'!AA28-'[3]побудинковий звіт'!AA28</f>
        <v>0</v>
      </c>
      <c r="AB28" s="42">
        <f>'[1]побудинковий звіт'!AB28+'[2]побудинковий звіт'!AB28-'[3]побудинковий звіт'!AB28</f>
        <v>0</v>
      </c>
      <c r="AC28" s="56">
        <f t="shared" si="19"/>
        <v>0</v>
      </c>
      <c r="AD28" s="42">
        <f>'[1]побудинковий звіт'!AD28+'[2]побудинковий звіт'!AD28-'[3]побудинковий звіт'!AD28</f>
        <v>0</v>
      </c>
      <c r="AE28" s="42">
        <f>'[1]побудинковий звіт'!AE28+'[2]побудинковий звіт'!AE28-'[3]побудинковий звіт'!AE28</f>
        <v>210.29387629558047</v>
      </c>
      <c r="AF28" s="37">
        <f t="shared" si="20"/>
        <v>210.29387629558047</v>
      </c>
      <c r="AG28" s="87">
        <f t="shared" si="4"/>
        <v>0</v>
      </c>
      <c r="AH28" s="57">
        <f t="shared" si="4"/>
        <v>210.29387629558047</v>
      </c>
      <c r="AI28" s="56">
        <f t="shared" si="21"/>
        <v>210.29387629558047</v>
      </c>
      <c r="AJ28" s="42">
        <f>'[1]побудинковий звіт'!AJ28+'[2]побудинковий звіт'!AJ28-'[3]побудинковий звіт'!AJ28</f>
        <v>0</v>
      </c>
      <c r="AK28" s="42">
        <f>'[1]побудинковий звіт'!AK28+'[2]побудинковий звіт'!AK28-'[3]побудинковий звіт'!AK28</f>
        <v>0</v>
      </c>
      <c r="AL28" s="56">
        <f t="shared" si="22"/>
        <v>0</v>
      </c>
      <c r="AM28" s="42">
        <f>'[1]побудинковий звіт'!AM28+'[2]побудинковий звіт'!AM28-'[3]побудинковий звіт'!AM28</f>
        <v>0</v>
      </c>
      <c r="AN28" s="42">
        <f>'[1]побудинковий звіт'!AN28+'[2]побудинковий звіт'!AN28-'[3]побудинковий звіт'!AN28</f>
        <v>0</v>
      </c>
      <c r="AO28" s="56">
        <f t="shared" si="23"/>
        <v>0</v>
      </c>
      <c r="AP28" s="42">
        <f>'[1]побудинковий звіт'!AP28+'[2]побудинковий звіт'!AP28-'[3]побудинковий звіт'!AP28</f>
        <v>520.85970359150735</v>
      </c>
      <c r="AQ28" s="42">
        <f>'[1]побудинковий звіт'!AQ28+'[2]побудинковий звіт'!AQ28-'[3]побудинковий звіт'!AQ28</f>
        <v>140.14368942720262</v>
      </c>
      <c r="AR28" s="56">
        <f t="shared" si="24"/>
        <v>-380.71601416430474</v>
      </c>
      <c r="AS28" s="42">
        <f>'[1]побудинковий звіт'!AS28+'[2]побудинковий звіт'!AS28-'[3]побудинковий звіт'!AS28</f>
        <v>3610.927304385797</v>
      </c>
      <c r="AT28" s="42">
        <f>'[1]побудинковий звіт'!AT28+'[2]побудинковий звіт'!AT28-'[3]побудинковий звіт'!AT28</f>
        <v>8376</v>
      </c>
      <c r="AU28" s="58">
        <f t="shared" si="44"/>
        <v>4765.0726956142025</v>
      </c>
      <c r="AV28" s="42">
        <f>'[1]побудинковий звіт'!AV28+'[2]побудинковий звіт'!AV28-'[3]побудинковий звіт'!AV28</f>
        <v>0</v>
      </c>
      <c r="AW28" s="42">
        <f>'[1]побудинковий звіт'!AW28+'[2]побудинковий звіт'!AW28-'[3]побудинковий звіт'!AW28</f>
        <v>0</v>
      </c>
      <c r="AX28" s="59">
        <f t="shared" si="45"/>
        <v>0</v>
      </c>
      <c r="AY28" s="42">
        <f>'[1]побудинковий звіт'!AY28+'[2]побудинковий звіт'!AY28-'[3]побудинковий звіт'!AY28</f>
        <v>0</v>
      </c>
      <c r="AZ28" s="42">
        <f>'[1]побудинковий звіт'!AZ28+'[2]побудинковий звіт'!AZ28-'[3]побудинковий звіт'!AZ28</f>
        <v>0</v>
      </c>
      <c r="BA28" s="37">
        <f t="shared" si="46"/>
        <v>0</v>
      </c>
      <c r="BB28" s="42">
        <f>'[1]побудинковий звіт'!BB28+'[2]побудинковий звіт'!BB28-'[3]побудинковий звіт'!BB28</f>
        <v>0</v>
      </c>
      <c r="BC28" s="42">
        <f>'[1]побудинковий звіт'!BC28+'[2]побудинковий звіт'!BC28-'[3]побудинковий звіт'!BC28</f>
        <v>0</v>
      </c>
      <c r="BD28" s="59">
        <f t="shared" si="47"/>
        <v>0</v>
      </c>
      <c r="BE28" s="42">
        <f>'[1]побудинковий звіт'!BE28+'[2]побудинковий звіт'!BE28-'[3]побудинковий звіт'!BE28</f>
        <v>0</v>
      </c>
      <c r="BF28" s="42">
        <f>'[1]побудинковий звіт'!BF28+'[2]побудинковий звіт'!BF28-'[3]побудинковий звіт'!BF28</f>
        <v>0</v>
      </c>
      <c r="BG28" s="39">
        <f t="shared" si="48"/>
        <v>0</v>
      </c>
      <c r="BH28" s="42">
        <f>'[1]побудинковий звіт'!BH28+'[2]побудинковий звіт'!BH28-'[3]побудинковий звіт'!BH28</f>
        <v>0</v>
      </c>
      <c r="BI28" s="42">
        <f>'[1]побудинковий звіт'!BI28+'[2]побудинковий звіт'!BI28-'[3]побудинковий звіт'!BI28</f>
        <v>0</v>
      </c>
      <c r="BJ28" s="59">
        <f t="shared" si="49"/>
        <v>0</v>
      </c>
      <c r="BK28" s="42">
        <f>'[1]побудинковий звіт'!BK28+'[2]побудинковий звіт'!BK28-'[3]побудинковий звіт'!BK28</f>
        <v>0</v>
      </c>
      <c r="BL28" s="42">
        <f>'[1]побудинковий звіт'!BL28+'[2]побудинковий звіт'!BL28-'[3]побудинковий звіт'!BL28</f>
        <v>0</v>
      </c>
      <c r="BM28" s="39">
        <f t="shared" si="50"/>
        <v>0</v>
      </c>
      <c r="BN28" s="42">
        <f>'[1]побудинковий звіт'!BN28+'[2]побудинковий звіт'!BN28-'[3]побудинковий звіт'!BN28</f>
        <v>0</v>
      </c>
      <c r="BO28" s="42">
        <f>'[1]побудинковий звіт'!BO28+'[2]побудинковий звіт'!BO28-'[3]побудинковий звіт'!BO28</f>
        <v>0</v>
      </c>
      <c r="BP28" s="59">
        <f t="shared" si="51"/>
        <v>0</v>
      </c>
      <c r="BQ28" s="87">
        <f t="shared" si="5"/>
        <v>0</v>
      </c>
      <c r="BR28" s="43">
        <f t="shared" si="6"/>
        <v>0</v>
      </c>
      <c r="BS28" s="59">
        <f t="shared" si="52"/>
        <v>0</v>
      </c>
      <c r="BT28" s="42">
        <f>'[1]побудинковий звіт'!BT28+'[2]побудинковий звіт'!BT28-'[3]побудинковий звіт'!BT28</f>
        <v>143.56206452518504</v>
      </c>
      <c r="BU28" s="42">
        <f>'[1]побудинковий звіт'!BU28+'[2]побудинковий звіт'!BU28-'[3]побудинковий звіт'!BU28</f>
        <v>582.66592081671729</v>
      </c>
      <c r="BV28" s="56">
        <f t="shared" si="25"/>
        <v>439.10385629153222</v>
      </c>
      <c r="BW28" s="42">
        <f>'[1]побудинковий звіт'!BW28+'[2]побудинковий звіт'!BW28-'[3]побудинковий звіт'!BW28</f>
        <v>0</v>
      </c>
      <c r="BX28" s="42">
        <f>'[1]побудинковий звіт'!BX28+'[2]побудинковий звіт'!BX28-'[3]побудинковий звіт'!BX28</f>
        <v>10.169786837946088</v>
      </c>
      <c r="BY28" s="56">
        <f t="shared" si="26"/>
        <v>10.169786837946088</v>
      </c>
      <c r="BZ28" s="42">
        <f>'[1]побудинковий звіт'!BZ28+'[2]побудинковий звіт'!BZ28-'[3]побудинковий звіт'!BZ28</f>
        <v>0</v>
      </c>
      <c r="CA28" s="42">
        <f>'[1]побудинковий звіт'!CA28+'[2]побудинковий звіт'!CA28-'[3]побудинковий звіт'!CA28</f>
        <v>140.44848902973985</v>
      </c>
      <c r="CB28" s="56">
        <f t="shared" si="27"/>
        <v>140.44848902973985</v>
      </c>
      <c r="CC28" s="42">
        <f>'[1]побудинковий звіт'!CC28+'[2]побудинковий звіт'!CC28-'[3]побудинковий звіт'!CC28</f>
        <v>0</v>
      </c>
      <c r="CD28" s="42">
        <f>'[1]побудинковий звіт'!CD28+'[2]побудинковий звіт'!CD28-'[3]побудинковий звіт'!CD28</f>
        <v>0</v>
      </c>
      <c r="CE28" s="56">
        <f t="shared" si="28"/>
        <v>0</v>
      </c>
      <c r="CF28" s="42">
        <f>'[1]побудинковий звіт'!CF28+'[2]побудинковий звіт'!CF28-'[3]побудинковий звіт'!CF28</f>
        <v>0</v>
      </c>
      <c r="CG28" s="42">
        <f>'[1]побудинковий звіт'!CG28+'[2]побудинковий звіт'!CG28-'[3]побудинковий звіт'!CG28</f>
        <v>0</v>
      </c>
      <c r="CH28" s="56">
        <f t="shared" si="29"/>
        <v>0</v>
      </c>
      <c r="CI28" s="42">
        <f>'[1]побудинковий звіт'!CI28+'[2]побудинковий звіт'!CI28-'[3]побудинковий звіт'!CI28</f>
        <v>0</v>
      </c>
      <c r="CJ28" s="42">
        <f>'[1]побудинковий звіт'!CJ28+'[2]побудинковий звіт'!CJ28-'[3]побудинковий звіт'!CJ28</f>
        <v>0</v>
      </c>
      <c r="CK28" s="56">
        <f t="shared" si="30"/>
        <v>0</v>
      </c>
      <c r="CL28" s="42">
        <f>'[1]побудинковий звіт'!CL28+'[2]побудинковий звіт'!CL28-'[3]побудинковий звіт'!CL28</f>
        <v>0</v>
      </c>
      <c r="CM28" s="42">
        <f>'[1]побудинковий звіт'!CM28+'[2]побудинковий звіт'!CM28-'[3]побудинковий звіт'!CM28</f>
        <v>0</v>
      </c>
      <c r="CN28" s="56">
        <f t="shared" si="31"/>
        <v>0</v>
      </c>
      <c r="CO28" s="42">
        <f t="shared" si="7"/>
        <v>0</v>
      </c>
      <c r="CP28" s="43">
        <f t="shared" si="32"/>
        <v>0</v>
      </c>
      <c r="CQ28" s="56">
        <f t="shared" si="33"/>
        <v>0</v>
      </c>
      <c r="CR28" s="78">
        <f t="shared" si="8"/>
        <v>4275.3490725024894</v>
      </c>
      <c r="CS28" s="5">
        <f t="shared" si="8"/>
        <v>9459.7217624071855</v>
      </c>
      <c r="CT28" s="56">
        <f t="shared" si="34"/>
        <v>5184.372689904696</v>
      </c>
      <c r="CU28" s="87">
        <f t="shared" si="35"/>
        <v>5130.4188870029875</v>
      </c>
      <c r="CV28" s="70">
        <f t="shared" si="36"/>
        <v>11351.666114888621</v>
      </c>
      <c r="CW28" s="37">
        <f t="shared" si="37"/>
        <v>6221.2472278856339</v>
      </c>
      <c r="CX28" s="42">
        <f>'[1]побудинковий звіт'!CX28+'[2]побудинковий звіт'!CX28-'[3]побудинковий звіт'!CX28</f>
        <v>128.2211129970126</v>
      </c>
      <c r="CY28" s="42">
        <f>'[1]побудинковий звіт'!CY28+'[2]побудинковий звіт'!CY28-'[3]побудинковий звіт'!CY28</f>
        <v>-6093.026114888622</v>
      </c>
      <c r="CZ28" s="56">
        <f t="shared" si="38"/>
        <v>-6221.2472278856349</v>
      </c>
      <c r="DA28" s="264">
        <f>'[4]побудинковий звіт'!DA28</f>
        <v>1548.1248340959455</v>
      </c>
      <c r="DB28" s="2">
        <v>3</v>
      </c>
      <c r="DC28" s="717">
        <f>'[4]побудинковий звіт'!DC28</f>
        <v>453.08</v>
      </c>
      <c r="DD28" s="717">
        <f>'[4]побудинковий звіт'!DD28</f>
        <v>0</v>
      </c>
      <c r="DE28" s="717">
        <f>'[4]побудинковий звіт'!DE28</f>
        <v>14.859999999999957</v>
      </c>
      <c r="DF28" s="717">
        <f>'[4]побудинковий звіт'!DF28</f>
        <v>0</v>
      </c>
      <c r="DG28" s="787">
        <v>-3412.586272178758</v>
      </c>
      <c r="DH28" s="761">
        <f t="shared" si="39"/>
        <v>63103.680000000008</v>
      </c>
      <c r="DI28" s="784"/>
      <c r="DJ28" s="5"/>
      <c r="DK28" s="317">
        <f>VLOOKUP($A28,ціни!$A$4:$G$401,5)</f>
        <v>1.3881003482150942</v>
      </c>
      <c r="DL28" s="317"/>
      <c r="DM28" s="317">
        <f>VLOOKUP($A28,ціни!$A$4:$G$401,7)</f>
        <v>1.3881003482150942</v>
      </c>
      <c r="DN28" s="30">
        <f t="shared" si="55"/>
        <v>560.695373654523</v>
      </c>
      <c r="DO28" s="30">
        <f t="shared" si="56"/>
        <v>0</v>
      </c>
      <c r="DP28" s="316">
        <f t="shared" si="40"/>
        <v>560.695373654523</v>
      </c>
      <c r="DQ28" s="104"/>
      <c r="DR28" s="30">
        <f>VLOOKUP(A28,'ДЗ нас '!$A$1:$C$359,2)</f>
        <v>438.22</v>
      </c>
      <c r="DS28" s="748"/>
      <c r="DT28" s="30">
        <f t="shared" si="41"/>
        <v>438.22</v>
      </c>
      <c r="DU28" s="257">
        <f>VLOOKUP(A28,'новий кошторис с 01.06'!$A$4:$AI$399,35)*1.2</f>
        <v>440.36095446775647</v>
      </c>
      <c r="DV28" s="30">
        <f t="shared" si="42"/>
        <v>-2.140954467756444</v>
      </c>
      <c r="DW28" s="930">
        <f>'[5]побудинковий звіт'!DW28+'[6]побудинковий звіт'!DW28</f>
        <v>0</v>
      </c>
      <c r="DY28" s="5">
        <f t="shared" si="9"/>
        <v>4333.1127652629566</v>
      </c>
      <c r="DZ28" s="5">
        <f t="shared" si="10"/>
        <v>10051.199999999999</v>
      </c>
      <c r="EA28" s="752">
        <f t="shared" si="43"/>
        <v>14.859999999999957</v>
      </c>
      <c r="EC28" s="592">
        <f t="shared" si="11"/>
        <v>43331.127652629562</v>
      </c>
      <c r="EE28" s="758">
        <v>-706</v>
      </c>
      <c r="EF28" s="738">
        <f t="shared" si="12"/>
        <v>-4118.586272178758</v>
      </c>
      <c r="EH28" s="813">
        <v>-5127.6689699335639</v>
      </c>
    </row>
    <row r="29" spans="1:138" x14ac:dyDescent="0.3">
      <c r="A29" s="328">
        <v>150000994</v>
      </c>
      <c r="B29" s="44" t="s">
        <v>477</v>
      </c>
      <c r="C29" s="45" t="s">
        <v>44</v>
      </c>
      <c r="D29" s="45" t="s">
        <v>44</v>
      </c>
      <c r="E29" s="40">
        <f t="shared" si="3"/>
        <v>4845</v>
      </c>
      <c r="F29" s="490">
        <v>4845</v>
      </c>
      <c r="G29" s="30"/>
      <c r="H29" s="30">
        <v>0</v>
      </c>
      <c r="I29" s="42">
        <f>'[1]побудинковий звіт'!I29+'[2]побудинковий звіт'!I29-'[3]побудинковий звіт'!I29</f>
        <v>0</v>
      </c>
      <c r="J29" s="42">
        <f>'[1]побудинковий звіт'!J29+'[2]побудинковий звіт'!J29-'[3]побудинковий звіт'!J29</f>
        <v>0</v>
      </c>
      <c r="K29" s="56">
        <f t="shared" si="13"/>
        <v>0</v>
      </c>
      <c r="L29" s="42">
        <f>'[1]побудинковий звіт'!L29+'[2]побудинковий звіт'!L29-'[3]побудинковий звіт'!L29</f>
        <v>0</v>
      </c>
      <c r="M29" s="42">
        <f>'[1]побудинковий звіт'!M29+'[2]побудинковий звіт'!M29-'[3]побудинковий звіт'!M29</f>
        <v>0</v>
      </c>
      <c r="N29" s="56">
        <f t="shared" si="14"/>
        <v>0</v>
      </c>
      <c r="O29" s="42">
        <f>'[1]побудинковий звіт'!O29+'[2]побудинковий звіт'!O29-'[3]побудинковий звіт'!O29</f>
        <v>0</v>
      </c>
      <c r="P29" s="42">
        <f>'[1]побудинковий звіт'!P29+'[2]побудинковий звіт'!P29-'[3]побудинковий звіт'!P29</f>
        <v>0</v>
      </c>
      <c r="Q29" s="56">
        <f t="shared" si="15"/>
        <v>0</v>
      </c>
      <c r="R29" s="42">
        <f>'[1]побудинковий звіт'!R29+'[2]побудинковий звіт'!R29-'[3]побудинковий звіт'!R29</f>
        <v>0</v>
      </c>
      <c r="S29" s="42">
        <f>'[1]побудинковий звіт'!S29+'[2]побудинковий звіт'!S29-'[3]побудинковий звіт'!S29</f>
        <v>0</v>
      </c>
      <c r="T29" s="56">
        <f t="shared" si="16"/>
        <v>0</v>
      </c>
      <c r="U29" s="42">
        <f>'[1]побудинковий звіт'!U29+'[2]побудинковий звіт'!U29-'[3]побудинковий звіт'!U29</f>
        <v>0</v>
      </c>
      <c r="V29" s="42">
        <f>'[1]побудинковий звіт'!V29+'[2]побудинковий звіт'!V29-'[3]побудинковий звіт'!V29</f>
        <v>0</v>
      </c>
      <c r="W29" s="56">
        <f t="shared" si="17"/>
        <v>0</v>
      </c>
      <c r="X29" s="42">
        <f>'[1]побудинковий звіт'!X29+'[2]побудинковий звіт'!X29-'[3]побудинковий звіт'!X29</f>
        <v>0</v>
      </c>
      <c r="Y29" s="42">
        <f>'[1]побудинковий звіт'!Y29+'[2]побудинковий звіт'!Y29-'[3]побудинковий звіт'!Y29</f>
        <v>0</v>
      </c>
      <c r="Z29" s="56">
        <f t="shared" si="18"/>
        <v>0</v>
      </c>
      <c r="AA29" s="42">
        <f>'[1]побудинковий звіт'!AA29+'[2]побудинковий звіт'!AA29-'[3]побудинковий звіт'!AA29</f>
        <v>0</v>
      </c>
      <c r="AB29" s="42">
        <f>'[1]побудинковий звіт'!AB29+'[2]побудинковий звіт'!AB29-'[3]побудинковий звіт'!AB29</f>
        <v>0</v>
      </c>
      <c r="AC29" s="56">
        <f t="shared" si="19"/>
        <v>0</v>
      </c>
      <c r="AD29" s="42">
        <f>'[1]побудинковий звіт'!AD29+'[2]побудинковий звіт'!AD29-'[3]побудинковий звіт'!AD29</f>
        <v>0</v>
      </c>
      <c r="AE29" s="42">
        <f>'[1]побудинковий звіт'!AE29+'[2]побудинковий звіт'!AE29-'[3]побудинковий звіт'!AE29</f>
        <v>945.51553964079187</v>
      </c>
      <c r="AF29" s="37">
        <f t="shared" si="20"/>
        <v>945.51553964079187</v>
      </c>
      <c r="AG29" s="87">
        <f t="shared" si="4"/>
        <v>0</v>
      </c>
      <c r="AH29" s="57">
        <f t="shared" si="4"/>
        <v>945.51553964079187</v>
      </c>
      <c r="AI29" s="56">
        <f t="shared" si="21"/>
        <v>945.51553964079187</v>
      </c>
      <c r="AJ29" s="42">
        <f>'[1]побудинковий звіт'!AJ29+'[2]побудинковий звіт'!AJ29-'[3]побудинковий звіт'!AJ29</f>
        <v>0</v>
      </c>
      <c r="AK29" s="42">
        <f>'[1]побудинковий звіт'!AK29+'[2]побудинковий звіт'!AK29-'[3]побудинковий звіт'!AK29</f>
        <v>0</v>
      </c>
      <c r="AL29" s="56">
        <f t="shared" si="22"/>
        <v>0</v>
      </c>
      <c r="AM29" s="42">
        <f>'[1]побудинковий звіт'!AM29+'[2]побудинковий звіт'!AM29-'[3]побудинковий звіт'!AM29</f>
        <v>0</v>
      </c>
      <c r="AN29" s="42">
        <f>'[1]побудинковий звіт'!AN29+'[2]побудинковий звіт'!AN29-'[3]побудинковий звіт'!AN29</f>
        <v>0</v>
      </c>
      <c r="AO29" s="56">
        <f t="shared" si="23"/>
        <v>0</v>
      </c>
      <c r="AP29" s="42">
        <f>'[1]побудинковий звіт'!AP29+'[2]побудинковий звіт'!AP29-'[3]побудинковий звіт'!AP29</f>
        <v>568.21058573618984</v>
      </c>
      <c r="AQ29" s="42">
        <f>'[1]побудинковий звіт'!AQ29+'[2]побудинковий звіт'!AQ29-'[3]побудинковий звіт'!AQ29</f>
        <v>280.28737885440523</v>
      </c>
      <c r="AR29" s="56">
        <f t="shared" si="24"/>
        <v>-287.92320688178461</v>
      </c>
      <c r="AS29" s="42">
        <f>'[1]побудинковий звіт'!AS29+'[2]побудинковий звіт'!AS29-'[3]побудинковий звіт'!AS29</f>
        <v>3172.9908744899853</v>
      </c>
      <c r="AT29" s="42">
        <f>'[1]побудинковий звіт'!AT29+'[2]побудинковий звіт'!AT29-'[3]побудинковий звіт'!AT29</f>
        <v>4383</v>
      </c>
      <c r="AU29" s="58">
        <f t="shared" si="44"/>
        <v>1210.0091255100147</v>
      </c>
      <c r="AV29" s="42">
        <f>'[1]побудинковий звіт'!AV29+'[2]побудинковий звіт'!AV29-'[3]побудинковий звіт'!AV29</f>
        <v>0</v>
      </c>
      <c r="AW29" s="42">
        <f>'[1]побудинковий звіт'!AW29+'[2]побудинковий звіт'!AW29-'[3]побудинковий звіт'!AW29</f>
        <v>0</v>
      </c>
      <c r="AX29" s="59">
        <f t="shared" si="45"/>
        <v>0</v>
      </c>
      <c r="AY29" s="42">
        <f>'[1]побудинковий звіт'!AY29+'[2]побудинковий звіт'!AY29-'[3]побудинковий звіт'!AY29</f>
        <v>0</v>
      </c>
      <c r="AZ29" s="42">
        <f>'[1]побудинковий звіт'!AZ29+'[2]побудинковий звіт'!AZ29-'[3]побудинковий звіт'!AZ29</f>
        <v>0</v>
      </c>
      <c r="BA29" s="37">
        <f t="shared" si="46"/>
        <v>0</v>
      </c>
      <c r="BB29" s="42">
        <f>'[1]побудинковий звіт'!BB29+'[2]побудинковий звіт'!BB29-'[3]побудинковий звіт'!BB29</f>
        <v>0</v>
      </c>
      <c r="BC29" s="42">
        <f>'[1]побудинковий звіт'!BC29+'[2]побудинковий звіт'!BC29-'[3]побудинковий звіт'!BC29</f>
        <v>0</v>
      </c>
      <c r="BD29" s="59">
        <f t="shared" si="47"/>
        <v>0</v>
      </c>
      <c r="BE29" s="42">
        <f>'[1]побудинковий звіт'!BE29+'[2]побудинковий звіт'!BE29-'[3]побудинковий звіт'!BE29</f>
        <v>0</v>
      </c>
      <c r="BF29" s="42">
        <f>'[1]побудинковий звіт'!BF29+'[2]побудинковий звіт'!BF29-'[3]побудинковий звіт'!BF29</f>
        <v>0</v>
      </c>
      <c r="BG29" s="39">
        <f t="shared" si="48"/>
        <v>0</v>
      </c>
      <c r="BH29" s="42">
        <f>'[1]побудинковий звіт'!BH29+'[2]побудинковий звіт'!BH29-'[3]побудинковий звіт'!BH29</f>
        <v>0</v>
      </c>
      <c r="BI29" s="42">
        <f>'[1]побудинковий звіт'!BI29+'[2]побудинковий звіт'!BI29-'[3]побудинковий звіт'!BI29</f>
        <v>0</v>
      </c>
      <c r="BJ29" s="59">
        <f t="shared" si="49"/>
        <v>0</v>
      </c>
      <c r="BK29" s="42">
        <f>'[1]побудинковий звіт'!BK29+'[2]побудинковий звіт'!BK29-'[3]побудинковий звіт'!BK29</f>
        <v>0</v>
      </c>
      <c r="BL29" s="42">
        <f>'[1]побудинковий звіт'!BL29+'[2]побудинковий звіт'!BL29-'[3]побудинковий звіт'!BL29</f>
        <v>0</v>
      </c>
      <c r="BM29" s="39">
        <f t="shared" si="50"/>
        <v>0</v>
      </c>
      <c r="BN29" s="42">
        <f>'[1]побудинковий звіт'!BN29+'[2]побудинковий звіт'!BN29-'[3]побудинковий звіт'!BN29</f>
        <v>0</v>
      </c>
      <c r="BO29" s="42">
        <f>'[1]побудинковий звіт'!BO29+'[2]побудинковий звіт'!BO29-'[3]побудинковий звіт'!BO29</f>
        <v>0</v>
      </c>
      <c r="BP29" s="59">
        <f t="shared" si="51"/>
        <v>0</v>
      </c>
      <c r="BQ29" s="87">
        <f t="shared" si="5"/>
        <v>0</v>
      </c>
      <c r="BR29" s="43">
        <f t="shared" si="6"/>
        <v>0</v>
      </c>
      <c r="BS29" s="59">
        <f t="shared" si="52"/>
        <v>0</v>
      </c>
      <c r="BT29" s="42">
        <f>'[1]побудинковий звіт'!BT29+'[2]побудинковий звіт'!BT29-'[3]побудинковий звіт'!BT29</f>
        <v>95.708043016790015</v>
      </c>
      <c r="BU29" s="42">
        <f>'[1]побудинковий звіт'!BU29+'[2]побудинковий звіт'!BU29-'[3]побудинковий звіт'!BU29</f>
        <v>414.12991587823905</v>
      </c>
      <c r="BV29" s="56">
        <f t="shared" si="25"/>
        <v>318.42187286144906</v>
      </c>
      <c r="BW29" s="42">
        <f>'[1]побудинковий звіт'!BW29+'[2]побудинковий звіт'!BW29-'[3]побудинковий звіт'!BW29</f>
        <v>0</v>
      </c>
      <c r="BX29" s="42">
        <f>'[1]побудинковий звіт'!BX29+'[2]побудинковий звіт'!BX29-'[3]побудинковий звіт'!BX29</f>
        <v>7.7284102949056859</v>
      </c>
      <c r="BY29" s="56">
        <f t="shared" si="26"/>
        <v>7.7284102949056859</v>
      </c>
      <c r="BZ29" s="42">
        <f>'[1]побудинковий звіт'!BZ29+'[2]побудинковий звіт'!BZ29-'[3]побудинковий звіт'!BZ29</f>
        <v>0</v>
      </c>
      <c r="CA29" s="42">
        <f>'[1]побудинковий звіт'!CA29+'[2]побудинковий звіт'!CA29-'[3]побудинковий звіт'!CA29</f>
        <v>99.823790733434592</v>
      </c>
      <c r="CB29" s="56">
        <f t="shared" si="27"/>
        <v>99.823790733434592</v>
      </c>
      <c r="CC29" s="42">
        <f>'[1]побудинковий звіт'!CC29+'[2]побудинковий звіт'!CC29-'[3]побудинковий звіт'!CC29</f>
        <v>0</v>
      </c>
      <c r="CD29" s="42">
        <f>'[1]побудинковий звіт'!CD29+'[2]побудинковий звіт'!CD29-'[3]побудинковий звіт'!CD29</f>
        <v>0</v>
      </c>
      <c r="CE29" s="56">
        <f t="shared" si="28"/>
        <v>0</v>
      </c>
      <c r="CF29" s="42">
        <f>'[1]побудинковий звіт'!CF29+'[2]побудинковий звіт'!CF29-'[3]побудинковий звіт'!CF29</f>
        <v>0</v>
      </c>
      <c r="CG29" s="42">
        <f>'[1]побудинковий звіт'!CG29+'[2]побудинковий звіт'!CG29-'[3]побудинковий звіт'!CG29</f>
        <v>0</v>
      </c>
      <c r="CH29" s="56">
        <f t="shared" si="29"/>
        <v>0</v>
      </c>
      <c r="CI29" s="42">
        <f>'[1]побудинковий звіт'!CI29+'[2]побудинковий звіт'!CI29-'[3]побудинковий звіт'!CI29</f>
        <v>374.35050354384271</v>
      </c>
      <c r="CJ29" s="42">
        <f>'[1]побудинковий звіт'!CJ29+'[2]побудинковий звіт'!CJ29-'[3]побудинковий звіт'!CJ29</f>
        <v>139.27971019598982</v>
      </c>
      <c r="CK29" s="56">
        <f t="shared" si="30"/>
        <v>-235.07079334785288</v>
      </c>
      <c r="CL29" s="42">
        <f>'[1]побудинковий звіт'!CL29+'[2]побудинковий звіт'!CL29-'[3]побудинковий звіт'!CL29</f>
        <v>0</v>
      </c>
      <c r="CM29" s="42">
        <f>'[1]побудинковий звіт'!CM29+'[2]побудинковий звіт'!CM29-'[3]побудинковий звіт'!CM29</f>
        <v>0</v>
      </c>
      <c r="CN29" s="56">
        <f t="shared" si="31"/>
        <v>0</v>
      </c>
      <c r="CO29" s="42">
        <f t="shared" si="7"/>
        <v>374.35050354384271</v>
      </c>
      <c r="CP29" s="43">
        <f t="shared" si="32"/>
        <v>139.27971019598982</v>
      </c>
      <c r="CQ29" s="56">
        <f t="shared" si="33"/>
        <v>-235.07079334785288</v>
      </c>
      <c r="CR29" s="78">
        <f t="shared" si="8"/>
        <v>4211.2600067868079</v>
      </c>
      <c r="CS29" s="5">
        <f t="shared" si="8"/>
        <v>6269.7647455977667</v>
      </c>
      <c r="CT29" s="56">
        <f t="shared" si="34"/>
        <v>2058.5047388109588</v>
      </c>
      <c r="CU29" s="87">
        <f t="shared" si="35"/>
        <v>5053.5120081441692</v>
      </c>
      <c r="CV29" s="70">
        <f t="shared" si="36"/>
        <v>7523.7176947173193</v>
      </c>
      <c r="CW29" s="37">
        <f t="shared" si="37"/>
        <v>2470.2056865731502</v>
      </c>
      <c r="CX29" s="42">
        <f>'[1]побудинковий звіт'!CX29+'[2]побудинковий звіт'!CX29-'[3]побудинковий звіт'!CX29</f>
        <v>4.1279918558309419</v>
      </c>
      <c r="CY29" s="42">
        <f>'[1]побудинковий звіт'!CY29+'[2]побудинковий звіт'!CY29-'[3]побудинковий звіт'!CY29</f>
        <v>-2466.0776947173185</v>
      </c>
      <c r="CZ29" s="56">
        <f t="shared" si="38"/>
        <v>-2470.2056865731493</v>
      </c>
      <c r="DA29" s="264">
        <f>'[4]побудинковий звіт'!DA29</f>
        <v>-3306.6059654087303</v>
      </c>
      <c r="DB29" s="2">
        <v>3</v>
      </c>
      <c r="DC29" s="717">
        <f>'[4]побудинковий звіт'!DC29</f>
        <v>306.38</v>
      </c>
      <c r="DD29" s="717">
        <f>'[4]побудинковий звіт'!DD29</f>
        <v>0</v>
      </c>
      <c r="DE29" s="717">
        <f>'[4]побудинковий звіт'!DE29</f>
        <v>-115.09000000000003</v>
      </c>
      <c r="DF29" s="717">
        <f>'[4]побудинковий звіт'!DF29</f>
        <v>0</v>
      </c>
      <c r="DG29" s="787">
        <v>-3139.1266978597032</v>
      </c>
      <c r="DH29" s="761">
        <f t="shared" si="39"/>
        <v>60691.680000000008</v>
      </c>
      <c r="DI29" s="784"/>
      <c r="DJ29" s="5"/>
      <c r="DK29" s="317">
        <f>VLOOKUP($A29,ціни!$A$4:$G$401,5)</f>
        <v>1.7554230957844135</v>
      </c>
      <c r="DL29" s="317"/>
      <c r="DM29" s="317">
        <f>VLOOKUP($A29,ціни!$A$4:$G$401,7)</f>
        <v>1.7554230957844135</v>
      </c>
      <c r="DN29" s="30">
        <f t="shared" si="55"/>
        <v>8505.0248990754826</v>
      </c>
      <c r="DO29" s="30">
        <f t="shared" si="56"/>
        <v>0</v>
      </c>
      <c r="DP29" s="316">
        <f t="shared" si="40"/>
        <v>8505.0248990754826</v>
      </c>
      <c r="DQ29" s="104"/>
      <c r="DR29" s="30">
        <f>VLOOKUP(A29,'ДЗ нас '!$A$1:$C$359,2)</f>
        <v>421.47</v>
      </c>
      <c r="DS29" s="748"/>
      <c r="DT29" s="30">
        <f t="shared" si="41"/>
        <v>421.47</v>
      </c>
      <c r="DU29" s="257">
        <f>VLOOKUP(A29,'новий кошторис с 01.06'!$A$4:$AI$399,35)*1.2</f>
        <v>421.12600067868078</v>
      </c>
      <c r="DV29" s="30">
        <f t="shared" si="42"/>
        <v>0.34399932131924515</v>
      </c>
      <c r="DW29" s="930">
        <f>'[5]побудинковий звіт'!DW29+'[6]побудинковий звіт'!DW29</f>
        <v>0</v>
      </c>
      <c r="DY29" s="5">
        <f t="shared" si="9"/>
        <v>3807.5890493879824</v>
      </c>
      <c r="DZ29" s="5">
        <f t="shared" si="10"/>
        <v>5259.5999999999995</v>
      </c>
      <c r="EA29" s="752">
        <f t="shared" si="43"/>
        <v>-115.09000000000003</v>
      </c>
      <c r="EC29" s="592">
        <f t="shared" si="11"/>
        <v>38075.890493879822</v>
      </c>
      <c r="EE29" s="758">
        <v>2019</v>
      </c>
      <c r="EF29" s="738">
        <f t="shared" si="12"/>
        <v>-1120.1266978597032</v>
      </c>
      <c r="EH29" s="813">
        <v>-4404.9593934273144</v>
      </c>
    </row>
    <row r="30" spans="1:138" x14ac:dyDescent="0.3">
      <c r="A30" s="328">
        <v>150000995</v>
      </c>
      <c r="B30" s="44" t="s">
        <v>478</v>
      </c>
      <c r="C30" s="45" t="s">
        <v>47</v>
      </c>
      <c r="D30" s="45" t="s">
        <v>47</v>
      </c>
      <c r="E30" s="40">
        <f t="shared" si="3"/>
        <v>664</v>
      </c>
      <c r="F30" s="490">
        <v>664</v>
      </c>
      <c r="G30" s="30"/>
      <c r="H30" s="30">
        <v>0</v>
      </c>
      <c r="I30" s="42">
        <f>'[1]побудинковий звіт'!I30+'[2]побудинковий звіт'!I30-'[3]побудинковий звіт'!I30</f>
        <v>0</v>
      </c>
      <c r="J30" s="42">
        <f>'[1]побудинковий звіт'!J30+'[2]побудинковий звіт'!J30-'[3]побудинковий звіт'!J30</f>
        <v>0</v>
      </c>
      <c r="K30" s="56">
        <f t="shared" si="13"/>
        <v>0</v>
      </c>
      <c r="L30" s="42">
        <f>'[1]побудинковий звіт'!L30+'[2]побудинковий звіт'!L30-'[3]побудинковий звіт'!L30</f>
        <v>0</v>
      </c>
      <c r="M30" s="42">
        <f>'[1]побудинковий звіт'!M30+'[2]побудинковий звіт'!M30-'[3]побудинковий звіт'!M30</f>
        <v>0</v>
      </c>
      <c r="N30" s="56">
        <f t="shared" si="14"/>
        <v>0</v>
      </c>
      <c r="O30" s="42">
        <f>'[1]побудинковий звіт'!O30+'[2]побудинковий звіт'!O30-'[3]побудинковий звіт'!O30</f>
        <v>0</v>
      </c>
      <c r="P30" s="42">
        <f>'[1]побудинковий звіт'!P30+'[2]побудинковий звіт'!P30-'[3]побудинковий звіт'!P30</f>
        <v>0</v>
      </c>
      <c r="Q30" s="56">
        <f t="shared" si="15"/>
        <v>0</v>
      </c>
      <c r="R30" s="42">
        <f>'[1]побудинковий звіт'!R30+'[2]побудинковий звіт'!R30-'[3]побудинковий звіт'!R30</f>
        <v>0</v>
      </c>
      <c r="S30" s="42">
        <f>'[1]побудинковий звіт'!S30+'[2]побудинковий звіт'!S30-'[3]побудинковий звіт'!S30</f>
        <v>0</v>
      </c>
      <c r="T30" s="56">
        <f t="shared" si="16"/>
        <v>0</v>
      </c>
      <c r="U30" s="42">
        <f>'[1]побудинковий звіт'!U30+'[2]побудинковий звіт'!U30-'[3]побудинковий звіт'!U30</f>
        <v>0</v>
      </c>
      <c r="V30" s="42">
        <f>'[1]побудинковий звіт'!V30+'[2]побудинковий звіт'!V30-'[3]побудинковий звіт'!V30</f>
        <v>0</v>
      </c>
      <c r="W30" s="56">
        <f t="shared" si="17"/>
        <v>0</v>
      </c>
      <c r="X30" s="42">
        <f>'[1]побудинковий звіт'!X30+'[2]побудинковий звіт'!X30-'[3]побудинковий звіт'!X30</f>
        <v>0</v>
      </c>
      <c r="Y30" s="42">
        <f>'[1]побудинковий звіт'!Y30+'[2]побудинковий звіт'!Y30-'[3]побудинковий звіт'!Y30</f>
        <v>0</v>
      </c>
      <c r="Z30" s="56">
        <f t="shared" si="18"/>
        <v>0</v>
      </c>
      <c r="AA30" s="42">
        <f>'[1]побудинковий звіт'!AA30+'[2]побудинковий звіт'!AA30-'[3]побудинковий звіт'!AA30</f>
        <v>0</v>
      </c>
      <c r="AB30" s="42">
        <f>'[1]побудинковий звіт'!AB30+'[2]побудинковий звіт'!AB30-'[3]побудинковий звіт'!AB30</f>
        <v>0</v>
      </c>
      <c r="AC30" s="56">
        <f t="shared" si="19"/>
        <v>0</v>
      </c>
      <c r="AD30" s="42">
        <f>'[1]побудинковий звіт'!AD30+'[2]побудинковий звіт'!AD30-'[3]побудинковий звіт'!AD30</f>
        <v>0</v>
      </c>
      <c r="AE30" s="42">
        <f>'[1]побудинковий звіт'!AE30+'[2]побудинковий звіт'!AE30-'[3]побудинковий звіт'!AE30</f>
        <v>90.291615834196762</v>
      </c>
      <c r="AF30" s="37">
        <f t="shared" si="20"/>
        <v>90.291615834196762</v>
      </c>
      <c r="AG30" s="87">
        <f t="shared" si="4"/>
        <v>0</v>
      </c>
      <c r="AH30" s="57">
        <f t="shared" si="4"/>
        <v>90.291615834196762</v>
      </c>
      <c r="AI30" s="56">
        <f t="shared" si="21"/>
        <v>90.291615834196762</v>
      </c>
      <c r="AJ30" s="42">
        <f>'[1]побудинковий звіт'!AJ30+'[2]побудинковий звіт'!AJ30-'[3]побудинковий звіт'!AJ30</f>
        <v>0</v>
      </c>
      <c r="AK30" s="42">
        <f>'[1]побудинковий звіт'!AK30+'[2]побудинковий звіт'!AK30-'[3]побудинковий звіт'!AK30</f>
        <v>0</v>
      </c>
      <c r="AL30" s="56">
        <f t="shared" si="22"/>
        <v>0</v>
      </c>
      <c r="AM30" s="42">
        <f>'[1]побудинковий звіт'!AM30+'[2]побудинковий звіт'!AM30-'[3]побудинковий звіт'!AM30</f>
        <v>0</v>
      </c>
      <c r="AN30" s="42">
        <f>'[1]побудинковий звіт'!AN30+'[2]побудинковий звіт'!AN30-'[3]побудинковий звіт'!AN30</f>
        <v>0</v>
      </c>
      <c r="AO30" s="56">
        <f t="shared" si="23"/>
        <v>0</v>
      </c>
      <c r="AP30" s="42">
        <f>'[1]побудинковий звіт'!AP30+'[2]побудинковий звіт'!AP30-'[3]побудинковий звіт'!AP30</f>
        <v>284.10529286809492</v>
      </c>
      <c r="AQ30" s="42">
        <f>'[1]побудинковий звіт'!AQ30+'[2]побудинковий звіт'!AQ30-'[3]побудинковий звіт'!AQ30</f>
        <v>186.85825256960351</v>
      </c>
      <c r="AR30" s="56">
        <f t="shared" si="24"/>
        <v>-97.247040298491413</v>
      </c>
      <c r="AS30" s="42">
        <f>'[1]побудинковий звіт'!AS30+'[2]побудинковий звіт'!AS30-'[3]побудинковий звіт'!AS30</f>
        <v>2079.51285890175</v>
      </c>
      <c r="AT30" s="42">
        <f>'[1]побудинковий звіт'!AT30+'[2]побудинковий звіт'!AT30-'[3]побудинковий звіт'!AT30</f>
        <v>0</v>
      </c>
      <c r="AU30" s="58">
        <f t="shared" si="44"/>
        <v>-2079.51285890175</v>
      </c>
      <c r="AV30" s="42">
        <f>'[1]побудинковий звіт'!AV30+'[2]побудинковий звіт'!AV30-'[3]побудинковий звіт'!AV30</f>
        <v>0</v>
      </c>
      <c r="AW30" s="42">
        <f>'[1]побудинковий звіт'!AW30+'[2]побудинковий звіт'!AW30-'[3]побудинковий звіт'!AW30</f>
        <v>0</v>
      </c>
      <c r="AX30" s="59">
        <f t="shared" si="45"/>
        <v>0</v>
      </c>
      <c r="AY30" s="42">
        <f>'[1]побудинковий звіт'!AY30+'[2]побудинковий звіт'!AY30-'[3]побудинковий звіт'!AY30</f>
        <v>0</v>
      </c>
      <c r="AZ30" s="42">
        <f>'[1]побудинковий звіт'!AZ30+'[2]побудинковий звіт'!AZ30-'[3]побудинковий звіт'!AZ30</f>
        <v>0</v>
      </c>
      <c r="BA30" s="37">
        <f t="shared" si="46"/>
        <v>0</v>
      </c>
      <c r="BB30" s="42">
        <f>'[1]побудинковий звіт'!BB30+'[2]побудинковий звіт'!BB30-'[3]побудинковий звіт'!BB30</f>
        <v>0</v>
      </c>
      <c r="BC30" s="42">
        <f>'[1]побудинковий звіт'!BC30+'[2]побудинковий звіт'!BC30-'[3]побудинковий звіт'!BC30</f>
        <v>0</v>
      </c>
      <c r="BD30" s="59">
        <f t="shared" si="47"/>
        <v>0</v>
      </c>
      <c r="BE30" s="42">
        <f>'[1]побудинковий звіт'!BE30+'[2]побудинковий звіт'!BE30-'[3]побудинковий звіт'!BE30</f>
        <v>0</v>
      </c>
      <c r="BF30" s="42">
        <f>'[1]побудинковий звіт'!BF30+'[2]побудинковий звіт'!BF30-'[3]побудинковий звіт'!BF30</f>
        <v>0</v>
      </c>
      <c r="BG30" s="39">
        <f t="shared" si="48"/>
        <v>0</v>
      </c>
      <c r="BH30" s="42">
        <f>'[1]побудинковий звіт'!BH30+'[2]побудинковий звіт'!BH30-'[3]побудинковий звіт'!BH30</f>
        <v>0</v>
      </c>
      <c r="BI30" s="42">
        <f>'[1]побудинковий звіт'!BI30+'[2]побудинковий звіт'!BI30-'[3]побудинковий звіт'!BI30</f>
        <v>0</v>
      </c>
      <c r="BJ30" s="59">
        <f t="shared" si="49"/>
        <v>0</v>
      </c>
      <c r="BK30" s="42">
        <f>'[1]побудинковий звіт'!BK30+'[2]побудинковий звіт'!BK30-'[3]побудинковий звіт'!BK30</f>
        <v>0</v>
      </c>
      <c r="BL30" s="42">
        <f>'[1]побудинковий звіт'!BL30+'[2]побудинковий звіт'!BL30-'[3]побудинковий звіт'!BL30</f>
        <v>0</v>
      </c>
      <c r="BM30" s="39">
        <f t="shared" si="50"/>
        <v>0</v>
      </c>
      <c r="BN30" s="42">
        <f>'[1]побудинковий звіт'!BN30+'[2]побудинковий звіт'!BN30-'[3]побудинковий звіт'!BN30</f>
        <v>0</v>
      </c>
      <c r="BO30" s="42">
        <f>'[1]побудинковий звіт'!BO30+'[2]побудинковий звіт'!BO30-'[3]побудинковий звіт'!BO30</f>
        <v>0</v>
      </c>
      <c r="BP30" s="59">
        <f t="shared" si="51"/>
        <v>0</v>
      </c>
      <c r="BQ30" s="87">
        <f t="shared" si="5"/>
        <v>0</v>
      </c>
      <c r="BR30" s="43">
        <f t="shared" si="6"/>
        <v>0</v>
      </c>
      <c r="BS30" s="59">
        <f t="shared" si="52"/>
        <v>0</v>
      </c>
      <c r="BT30" s="42">
        <f>'[1]побудинковий звіт'!BT30+'[2]побудинковий звіт'!BT30-'[3]побудинковий звіт'!BT30</f>
        <v>71.781032262592518</v>
      </c>
      <c r="BU30" s="42">
        <f>'[1]побудинковий звіт'!BU30+'[2]побудинковий звіт'!BU30-'[3]побудинковий звіт'!BU30</f>
        <v>276.01150541395145</v>
      </c>
      <c r="BV30" s="56">
        <f t="shared" si="25"/>
        <v>204.23047315135892</v>
      </c>
      <c r="BW30" s="42">
        <f>'[1]побудинковий звіт'!BW30+'[2]побудинковий звіт'!BW30-'[3]побудинковий звіт'!BW30</f>
        <v>0</v>
      </c>
      <c r="BX30" s="42">
        <f>'[1]побудинковий звіт'!BX30+'[2]побудинковий звіт'!BX30-'[3]побудинковий звіт'!BX30</f>
        <v>4.3679425447775113</v>
      </c>
      <c r="BY30" s="56">
        <f t="shared" si="26"/>
        <v>4.3679425447775113</v>
      </c>
      <c r="BZ30" s="42">
        <f>'[1]побудинковий звіт'!BZ30+'[2]побудинковий звіт'!BZ30-'[3]побудинковий звіт'!BZ30</f>
        <v>0</v>
      </c>
      <c r="CA30" s="42">
        <f>'[1]побудинковий звіт'!CA30+'[2]побудинковий звіт'!CA30-'[3]побудинковий звіт'!CA30</f>
        <v>66.531090124296725</v>
      </c>
      <c r="CB30" s="56">
        <f t="shared" si="27"/>
        <v>66.531090124296725</v>
      </c>
      <c r="CC30" s="42">
        <f>'[1]побудинковий звіт'!CC30+'[2]побудинковий звіт'!CC30-'[3]побудинковий звіт'!CC30</f>
        <v>0</v>
      </c>
      <c r="CD30" s="42">
        <f>'[1]побудинковий звіт'!CD30+'[2]побудинковий звіт'!CD30-'[3]побудинковий звіт'!CD30</f>
        <v>0</v>
      </c>
      <c r="CE30" s="56">
        <f t="shared" si="28"/>
        <v>0</v>
      </c>
      <c r="CF30" s="42">
        <f>'[1]побудинковий звіт'!CF30+'[2]побудинковий звіт'!CF30-'[3]побудинковий звіт'!CF30</f>
        <v>0</v>
      </c>
      <c r="CG30" s="42">
        <f>'[1]побудинковий звіт'!CG30+'[2]побудинковий звіт'!CG30-'[3]побудинковий звіт'!CG30</f>
        <v>0</v>
      </c>
      <c r="CH30" s="56">
        <f t="shared" si="29"/>
        <v>0</v>
      </c>
      <c r="CI30" s="42">
        <f>'[1]побудинковий звіт'!CI30+'[2]побудинковий звіт'!CI30-'[3]побудинковий звіт'!CI30</f>
        <v>112.30515106315281</v>
      </c>
      <c r="CJ30" s="42">
        <f>'[1]побудинковий звіт'!CJ30+'[2]побудинковий звіт'!CJ30-'[3]побудинковий звіт'!CJ30</f>
        <v>0</v>
      </c>
      <c r="CK30" s="56">
        <f t="shared" si="30"/>
        <v>-112.30515106315281</v>
      </c>
      <c r="CL30" s="42">
        <f>'[1]побудинковий звіт'!CL30+'[2]побудинковий звіт'!CL30-'[3]побудинковий звіт'!CL30</f>
        <v>0</v>
      </c>
      <c r="CM30" s="42">
        <f>'[1]побудинковий звіт'!CM30+'[2]побудинковий звіт'!CM30-'[3]побудинковий звіт'!CM30</f>
        <v>0</v>
      </c>
      <c r="CN30" s="56">
        <f t="shared" si="31"/>
        <v>0</v>
      </c>
      <c r="CO30" s="42">
        <f t="shared" si="7"/>
        <v>112.30515106315281</v>
      </c>
      <c r="CP30" s="43">
        <f t="shared" si="32"/>
        <v>0</v>
      </c>
      <c r="CQ30" s="56">
        <f t="shared" si="33"/>
        <v>-112.30515106315281</v>
      </c>
      <c r="CR30" s="78">
        <f t="shared" si="8"/>
        <v>2547.7043350955901</v>
      </c>
      <c r="CS30" s="5">
        <f t="shared" si="8"/>
        <v>624.06040648682597</v>
      </c>
      <c r="CT30" s="56">
        <f t="shared" si="34"/>
        <v>-1923.6439286087641</v>
      </c>
      <c r="CU30" s="87">
        <f t="shared" si="35"/>
        <v>3057.2452021147078</v>
      </c>
      <c r="CV30" s="70">
        <f t="shared" si="36"/>
        <v>748.87248778419109</v>
      </c>
      <c r="CW30" s="37">
        <f t="shared" si="37"/>
        <v>-2308.3727143305168</v>
      </c>
      <c r="CX30" s="42">
        <f>'[1]побудинковий звіт'!CX30+'[2]побудинковий звіт'!CX30-'[3]побудинковий звіт'!CX30</f>
        <v>43.554797885291237</v>
      </c>
      <c r="CY30" s="42">
        <f>'[1]побудинковий звіт'!CY30+'[2]побудинковий звіт'!CY30-'[3]побудинковий звіт'!CY30</f>
        <v>2351.9275122158087</v>
      </c>
      <c r="CZ30" s="56">
        <f t="shared" si="38"/>
        <v>2308.3727143305177</v>
      </c>
      <c r="DA30" s="264">
        <f>'[4]побудинковий звіт'!DA30</f>
        <v>-6479.7225429480768</v>
      </c>
      <c r="DB30" s="2">
        <v>3</v>
      </c>
      <c r="DC30" s="717">
        <f>'[4]побудинковий звіт'!DC30</f>
        <v>208.44</v>
      </c>
      <c r="DD30" s="717">
        <f>'[4]побудинковий звіт'!DD30</f>
        <v>0</v>
      </c>
      <c r="DE30" s="717">
        <f>'[4]побудинковий звіт'!DE30</f>
        <v>-49.95999999999998</v>
      </c>
      <c r="DF30" s="717">
        <f>'[4]побудинковий звіт'!DF30</f>
        <v>0</v>
      </c>
      <c r="DG30" s="787">
        <v>-3115.2834258145149</v>
      </c>
      <c r="DH30" s="761">
        <f t="shared" si="39"/>
        <v>37209.599999999991</v>
      </c>
      <c r="DI30" s="784"/>
      <c r="DJ30" s="5"/>
      <c r="DK30" s="317">
        <f>VLOOKUP($A30,ціни!$A$4:$G$401,5)</f>
        <v>1.9070205753112273</v>
      </c>
      <c r="DL30" s="317"/>
      <c r="DM30" s="317">
        <f>VLOOKUP($A30,ціни!$A$4:$G$401,7)</f>
        <v>1.9070205753112273</v>
      </c>
      <c r="DN30" s="30">
        <f t="shared" si="55"/>
        <v>1266.2616620066549</v>
      </c>
      <c r="DO30" s="30">
        <f t="shared" si="56"/>
        <v>0</v>
      </c>
      <c r="DP30" s="316">
        <f t="shared" si="40"/>
        <v>1266.2616620066549</v>
      </c>
      <c r="DQ30" s="104"/>
      <c r="DR30" s="30">
        <f>VLOOKUP(A30,'ДЗ нас '!$A$1:$C$359,2)</f>
        <v>258.39999999999998</v>
      </c>
      <c r="DS30" s="748"/>
      <c r="DT30" s="30">
        <f t="shared" si="41"/>
        <v>258.39999999999998</v>
      </c>
      <c r="DU30" s="257">
        <f>VLOOKUP(A30,'новий кошторис с 01.06'!$A$4:$AI$399,35)*1.2</f>
        <v>259.35630131273109</v>
      </c>
      <c r="DV30" s="30">
        <f t="shared" si="42"/>
        <v>-0.95630131273111374</v>
      </c>
      <c r="DW30" s="930">
        <f>'[5]побудинковий звіт'!DW30+'[6]побудинковий звіт'!DW30</f>
        <v>0</v>
      </c>
      <c r="DY30" s="5">
        <f t="shared" si="9"/>
        <v>2495.4154306820997</v>
      </c>
      <c r="DZ30" s="5">
        <f t="shared" si="10"/>
        <v>0</v>
      </c>
      <c r="EA30" s="752">
        <f t="shared" si="43"/>
        <v>-49.95999999999998</v>
      </c>
      <c r="EC30" s="592">
        <f t="shared" si="11"/>
        <v>24954.154306821001</v>
      </c>
      <c r="EE30" s="758">
        <v>2198</v>
      </c>
      <c r="EF30" s="738">
        <f t="shared" si="12"/>
        <v>-917.28342581451489</v>
      </c>
      <c r="EH30" s="813">
        <v>-4502.4189999519949</v>
      </c>
    </row>
    <row r="31" spans="1:138" x14ac:dyDescent="0.3">
      <c r="A31" s="328">
        <v>150001002</v>
      </c>
      <c r="B31" s="44" t="s">
        <v>479</v>
      </c>
      <c r="C31" s="45" t="s">
        <v>48</v>
      </c>
      <c r="D31" s="45" t="s">
        <v>48</v>
      </c>
      <c r="E31" s="40">
        <f t="shared" si="3"/>
        <v>206.8</v>
      </c>
      <c r="F31" s="490">
        <v>206.8</v>
      </c>
      <c r="G31" s="30"/>
      <c r="H31" s="30">
        <v>0</v>
      </c>
      <c r="I31" s="42">
        <f>'[1]побудинковий звіт'!I31+'[2]побудинковий звіт'!I31-'[3]побудинковий звіт'!I31</f>
        <v>0</v>
      </c>
      <c r="J31" s="42">
        <f>'[1]побудинковий звіт'!J31+'[2]побудинковий звіт'!J31-'[3]побудинковий звіт'!J31</f>
        <v>0</v>
      </c>
      <c r="K31" s="56">
        <f t="shared" si="13"/>
        <v>0</v>
      </c>
      <c r="L31" s="42">
        <f>'[1]побудинковий звіт'!L31+'[2]побудинковий звіт'!L31-'[3]побудинковий звіт'!L31</f>
        <v>0</v>
      </c>
      <c r="M31" s="42">
        <f>'[1]побудинковий звіт'!M31+'[2]побудинковий звіт'!M31-'[3]побудинковий звіт'!M31</f>
        <v>0</v>
      </c>
      <c r="N31" s="56">
        <f t="shared" si="14"/>
        <v>0</v>
      </c>
      <c r="O31" s="42">
        <f>'[1]побудинковий звіт'!O31+'[2]побудинковий звіт'!O31-'[3]побудинковий звіт'!O31</f>
        <v>0</v>
      </c>
      <c r="P31" s="42">
        <f>'[1]побудинковий звіт'!P31+'[2]побудинковий звіт'!P31-'[3]побудинковий звіт'!P31</f>
        <v>0</v>
      </c>
      <c r="Q31" s="56">
        <f t="shared" si="15"/>
        <v>0</v>
      </c>
      <c r="R31" s="42">
        <f>'[1]побудинковий звіт'!R31+'[2]побудинковий звіт'!R31-'[3]побудинковий звіт'!R31</f>
        <v>0</v>
      </c>
      <c r="S31" s="42">
        <f>'[1]побудинковий звіт'!S31+'[2]побудинковий звіт'!S31-'[3]побудинковий звіт'!S31</f>
        <v>0</v>
      </c>
      <c r="T31" s="56">
        <f t="shared" si="16"/>
        <v>0</v>
      </c>
      <c r="U31" s="42">
        <f>'[1]побудинковий звіт'!U31+'[2]побудинковий звіт'!U31-'[3]побудинковий звіт'!U31</f>
        <v>0</v>
      </c>
      <c r="V31" s="42">
        <f>'[1]побудинковий звіт'!V31+'[2]побудинковий звіт'!V31-'[3]побудинковий звіт'!V31</f>
        <v>0</v>
      </c>
      <c r="W31" s="56">
        <f t="shared" si="17"/>
        <v>0</v>
      </c>
      <c r="X31" s="42">
        <f>'[1]побудинковий звіт'!X31+'[2]побудинковий звіт'!X31-'[3]побудинковий звіт'!X31</f>
        <v>0</v>
      </c>
      <c r="Y31" s="42">
        <f>'[1]побудинковий звіт'!Y31+'[2]побудинковий звіт'!Y31-'[3]побудинковий звіт'!Y31</f>
        <v>0</v>
      </c>
      <c r="Z31" s="56">
        <f t="shared" si="18"/>
        <v>0</v>
      </c>
      <c r="AA31" s="42">
        <f>'[1]побудинковий звіт'!AA31+'[2]побудинковий звіт'!AA31-'[3]побудинковий звіт'!AA31</f>
        <v>0</v>
      </c>
      <c r="AB31" s="42">
        <f>'[1]побудинковий звіт'!AB31+'[2]побудинковий звіт'!AB31-'[3]побудинковий звіт'!AB31</f>
        <v>0</v>
      </c>
      <c r="AC31" s="56">
        <f t="shared" si="19"/>
        <v>0</v>
      </c>
      <c r="AD31" s="42">
        <f>'[1]побудинковий звіт'!AD31+'[2]побудинковий звіт'!AD31-'[3]побудинковий звіт'!AD31</f>
        <v>0</v>
      </c>
      <c r="AE31" s="42">
        <f>'[1]побудинковий звіт'!AE31+'[2]побудинковий звіт'!AE31-'[3]побудинковий звіт'!AE31</f>
        <v>906.03715130793762</v>
      </c>
      <c r="AF31" s="37">
        <f t="shared" si="20"/>
        <v>906.03715130793762</v>
      </c>
      <c r="AG31" s="87">
        <f t="shared" si="4"/>
        <v>0</v>
      </c>
      <c r="AH31" s="57">
        <f t="shared" si="4"/>
        <v>906.03715130793762</v>
      </c>
      <c r="AI31" s="56">
        <f t="shared" si="21"/>
        <v>906.03715130793762</v>
      </c>
      <c r="AJ31" s="42">
        <f>'[1]побудинковий звіт'!AJ31+'[2]побудинковий звіт'!AJ31-'[3]побудинковий звіт'!AJ31</f>
        <v>0</v>
      </c>
      <c r="AK31" s="42">
        <f>'[1]побудинковий звіт'!AK31+'[2]побудинковий звіт'!AK31-'[3]побудинковий звіт'!AK31</f>
        <v>0</v>
      </c>
      <c r="AL31" s="56">
        <f t="shared" si="22"/>
        <v>0</v>
      </c>
      <c r="AM31" s="42">
        <f>'[1]побудинковий звіт'!AM31+'[2]побудинковий звіт'!AM31-'[3]побудинковий звіт'!AM31</f>
        <v>0</v>
      </c>
      <c r="AN31" s="42">
        <f>'[1]побудинковий звіт'!AN31+'[2]побудинковий звіт'!AN31-'[3]побудинковий звіт'!AN31</f>
        <v>0</v>
      </c>
      <c r="AO31" s="56">
        <f t="shared" si="23"/>
        <v>0</v>
      </c>
      <c r="AP31" s="42">
        <f>'[1]побудинковий звіт'!AP31+'[2]побудинковий звіт'!AP31-'[3]побудинковий звіт'!AP31</f>
        <v>473.50882144682492</v>
      </c>
      <c r="AQ31" s="42">
        <f>'[1]побудинковий звіт'!AQ31+'[2]побудинковий звіт'!AQ31-'[3]побудинковий звіт'!AQ31</f>
        <v>140.14368942720262</v>
      </c>
      <c r="AR31" s="56">
        <f t="shared" si="24"/>
        <v>-333.36513201962231</v>
      </c>
      <c r="AS31" s="42">
        <f>'[1]побудинковий звіт'!AS31+'[2]побудинковий звіт'!AS31-'[3]побудинковий звіт'!AS31</f>
        <v>3202.2965626350124</v>
      </c>
      <c r="AT31" s="42">
        <f>'[1]побудинковий звіт'!AT31+'[2]побудинковий звіт'!AT31-'[3]побудинковий звіт'!AT31</f>
        <v>461</v>
      </c>
      <c r="AU31" s="58">
        <f t="shared" si="44"/>
        <v>-2741.2965626350124</v>
      </c>
      <c r="AV31" s="42">
        <f>'[1]побудинковий звіт'!AV31+'[2]побудинковий звіт'!AV31-'[3]побудинковий звіт'!AV31</f>
        <v>0</v>
      </c>
      <c r="AW31" s="42">
        <f>'[1]побудинковий звіт'!AW31+'[2]побудинковий звіт'!AW31-'[3]побудинковий звіт'!AW31</f>
        <v>0</v>
      </c>
      <c r="AX31" s="59">
        <f t="shared" si="45"/>
        <v>0</v>
      </c>
      <c r="AY31" s="42">
        <f>'[1]побудинковий звіт'!AY31+'[2]побудинковий звіт'!AY31-'[3]побудинковий звіт'!AY31</f>
        <v>0</v>
      </c>
      <c r="AZ31" s="42">
        <f>'[1]побудинковий звіт'!AZ31+'[2]побудинковий звіт'!AZ31-'[3]побудинковий звіт'!AZ31</f>
        <v>0</v>
      </c>
      <c r="BA31" s="37">
        <f t="shared" si="46"/>
        <v>0</v>
      </c>
      <c r="BB31" s="42">
        <f>'[1]побудинковий звіт'!BB31+'[2]побудинковий звіт'!BB31-'[3]побудинковий звіт'!BB31</f>
        <v>0</v>
      </c>
      <c r="BC31" s="42">
        <f>'[1]побудинковий звіт'!BC31+'[2]побудинковий звіт'!BC31-'[3]побудинковий звіт'!BC31</f>
        <v>0</v>
      </c>
      <c r="BD31" s="59">
        <f t="shared" si="47"/>
        <v>0</v>
      </c>
      <c r="BE31" s="42">
        <f>'[1]побудинковий звіт'!BE31+'[2]побудинковий звіт'!BE31-'[3]побудинковий звіт'!BE31</f>
        <v>0</v>
      </c>
      <c r="BF31" s="42">
        <f>'[1]побудинковий звіт'!BF31+'[2]побудинковий звіт'!BF31-'[3]побудинковий звіт'!BF31</f>
        <v>0</v>
      </c>
      <c r="BG31" s="39">
        <f t="shared" si="48"/>
        <v>0</v>
      </c>
      <c r="BH31" s="42">
        <f>'[1]побудинковий звіт'!BH31+'[2]побудинковий звіт'!BH31-'[3]побудинковий звіт'!BH31</f>
        <v>0</v>
      </c>
      <c r="BI31" s="42">
        <f>'[1]побудинковий звіт'!BI31+'[2]побудинковий звіт'!BI31-'[3]побудинковий звіт'!BI31</f>
        <v>0</v>
      </c>
      <c r="BJ31" s="59">
        <f t="shared" si="49"/>
        <v>0</v>
      </c>
      <c r="BK31" s="42">
        <f>'[1]побудинковий звіт'!BK31+'[2]побудинковий звіт'!BK31-'[3]побудинковий звіт'!BK31</f>
        <v>0</v>
      </c>
      <c r="BL31" s="42">
        <f>'[1]побудинковий звіт'!BL31+'[2]побудинковий звіт'!BL31-'[3]побудинковий звіт'!BL31</f>
        <v>0</v>
      </c>
      <c r="BM31" s="39">
        <f t="shared" si="50"/>
        <v>0</v>
      </c>
      <c r="BN31" s="42">
        <f>'[1]побудинковий звіт'!BN31+'[2]побудинковий звіт'!BN31-'[3]побудинковий звіт'!BN31</f>
        <v>0</v>
      </c>
      <c r="BO31" s="42">
        <f>'[1]побудинковий звіт'!BO31+'[2]побудинковий звіт'!BO31-'[3]побудинковий звіт'!BO31</f>
        <v>0</v>
      </c>
      <c r="BP31" s="59">
        <f t="shared" si="51"/>
        <v>0</v>
      </c>
      <c r="BQ31" s="87">
        <f t="shared" si="5"/>
        <v>0</v>
      </c>
      <c r="BR31" s="43">
        <f t="shared" si="6"/>
        <v>0</v>
      </c>
      <c r="BS31" s="59">
        <f t="shared" si="52"/>
        <v>0</v>
      </c>
      <c r="BT31" s="42">
        <f>'[1]побудинковий звіт'!BT31+'[2]побудинковий звіт'!BT31-'[3]побудинковий звіт'!BT31</f>
        <v>167.48907527938252</v>
      </c>
      <c r="BU31" s="42">
        <f>'[1]побудинковий звіт'!BU31+'[2]побудинковий звіт'!BU31-'[3]побудинковий звіт'!BU31</f>
        <v>552.02301082790291</v>
      </c>
      <c r="BV31" s="56">
        <f t="shared" si="25"/>
        <v>384.53393554852039</v>
      </c>
      <c r="BW31" s="42">
        <f>'[1]побудинковий звіт'!BW31+'[2]побудинковий звіт'!BW31-'[3]побудинковий звіт'!BW31</f>
        <v>0</v>
      </c>
      <c r="BX31" s="42">
        <f>'[1]побудинковий звіт'!BX31+'[2]побудинковий звіт'!BX31-'[3]побудинковий звіт'!BX31</f>
        <v>7.4058726450548162</v>
      </c>
      <c r="BY31" s="56">
        <f t="shared" si="26"/>
        <v>7.4058726450548162</v>
      </c>
      <c r="BZ31" s="42">
        <f>'[1]побудинковий звіт'!BZ31+'[2]побудинковий звіт'!BZ31-'[3]побудинковий звіт'!BZ31</f>
        <v>0</v>
      </c>
      <c r="CA31" s="42">
        <f>'[1]побудинковий звіт'!CA31+'[2]побудинковий звіт'!CA31-'[3]побудинковий звіт'!CA31</f>
        <v>133.06218024859345</v>
      </c>
      <c r="CB31" s="56">
        <f t="shared" si="27"/>
        <v>133.06218024859345</v>
      </c>
      <c r="CC31" s="42">
        <f>'[1]побудинковий звіт'!CC31+'[2]побудинковий звіт'!CC31-'[3]побудинковий звіт'!CC31</f>
        <v>0</v>
      </c>
      <c r="CD31" s="42">
        <f>'[1]побудинковий звіт'!CD31+'[2]побудинковий звіт'!CD31-'[3]побудинковий звіт'!CD31</f>
        <v>0</v>
      </c>
      <c r="CE31" s="56">
        <f t="shared" si="28"/>
        <v>0</v>
      </c>
      <c r="CF31" s="42">
        <f>'[1]побудинковий звіт'!CF31+'[2]побудинковий звіт'!CF31-'[3]побудинковий звіт'!CF31</f>
        <v>0</v>
      </c>
      <c r="CG31" s="42">
        <f>'[1]побудинковий звіт'!CG31+'[2]побудинковий звіт'!CG31-'[3]побудинковий звіт'!CG31</f>
        <v>0</v>
      </c>
      <c r="CH31" s="56">
        <f t="shared" si="29"/>
        <v>0</v>
      </c>
      <c r="CI31" s="42">
        <f>'[1]побудинковий звіт'!CI31+'[2]побудинковий звіт'!CI31-'[3]побудинковий звіт'!CI31</f>
        <v>280.76287765788197</v>
      </c>
      <c r="CJ31" s="42">
        <f>'[1]побудинковий звіт'!CJ31+'[2]побудинковий звіт'!CJ31-'[3]побудинковий звіт'!CJ31</f>
        <v>102.61738680622072</v>
      </c>
      <c r="CK31" s="56">
        <f t="shared" si="30"/>
        <v>-178.14549085166124</v>
      </c>
      <c r="CL31" s="42">
        <f>'[1]побудинковий звіт'!CL31+'[2]побудинковий звіт'!CL31-'[3]побудинковий звіт'!CL31</f>
        <v>0</v>
      </c>
      <c r="CM31" s="42">
        <f>'[1]побудинковий звіт'!CM31+'[2]побудинковий звіт'!CM31-'[3]побудинковий звіт'!CM31</f>
        <v>0</v>
      </c>
      <c r="CN31" s="56">
        <f t="shared" si="31"/>
        <v>0</v>
      </c>
      <c r="CO31" s="42">
        <f t="shared" si="7"/>
        <v>280.76287765788197</v>
      </c>
      <c r="CP31" s="43">
        <f t="shared" si="32"/>
        <v>102.61738680622072</v>
      </c>
      <c r="CQ31" s="56">
        <f t="shared" si="33"/>
        <v>-178.14549085166124</v>
      </c>
      <c r="CR31" s="78">
        <f t="shared" si="8"/>
        <v>4124.0573370191023</v>
      </c>
      <c r="CS31" s="5">
        <f t="shared" si="8"/>
        <v>2302.2892912629118</v>
      </c>
      <c r="CT31" s="56">
        <f t="shared" si="34"/>
        <v>-1821.7680457561905</v>
      </c>
      <c r="CU31" s="87">
        <f t="shared" si="35"/>
        <v>4948.8688044229229</v>
      </c>
      <c r="CV31" s="70">
        <f t="shared" si="36"/>
        <v>2762.7471495154941</v>
      </c>
      <c r="CW31" s="37">
        <f t="shared" si="37"/>
        <v>-2186.1216549074288</v>
      </c>
      <c r="CX31" s="42">
        <f>'[1]побудинковий звіт'!CX31+'[2]побудинковий звіт'!CX31-'[3]побудинковий звіт'!CX31</f>
        <v>123.65119557707794</v>
      </c>
      <c r="CY31" s="42">
        <f>'[1]побудинковий звіт'!CY31+'[2]побудинковий звіт'!CY31-'[3]побудинковий звіт'!CY31</f>
        <v>2309.7728504845054</v>
      </c>
      <c r="CZ31" s="56">
        <f t="shared" si="38"/>
        <v>2186.1216549074275</v>
      </c>
      <c r="DA31" s="264">
        <f>'[4]побудинковий звіт'!DA31</f>
        <v>2737.9284484154123</v>
      </c>
      <c r="DB31" s="2">
        <v>3</v>
      </c>
      <c r="DC31" s="717">
        <f>'[4]побудинковий звіт'!DC31</f>
        <v>426</v>
      </c>
      <c r="DD31" s="717">
        <f>'[4]побудинковий звіт'!DD31</f>
        <v>0</v>
      </c>
      <c r="DE31" s="717">
        <f>'[4]побудинковий звіт'!DE31</f>
        <v>3.2900000000000205</v>
      </c>
      <c r="DF31" s="717">
        <f>'[4]побудинковий звіт'!DF31</f>
        <v>0</v>
      </c>
      <c r="DG31" s="787">
        <v>-2012.6506757994739</v>
      </c>
      <c r="DH31" s="761">
        <f t="shared" si="39"/>
        <v>60870.240000000005</v>
      </c>
      <c r="DI31" s="784"/>
      <c r="DJ31" s="5"/>
      <c r="DK31" s="317">
        <f>VLOOKUP($A31,ціни!$A$4:$G$401,5)</f>
        <v>1.8386945499976419</v>
      </c>
      <c r="DL31" s="317"/>
      <c r="DM31" s="317">
        <f>VLOOKUP($A31,ціни!$A$4:$G$401,7)</f>
        <v>1.8386945499976419</v>
      </c>
      <c r="DN31" s="30">
        <f t="shared" si="55"/>
        <v>380.2420329395124</v>
      </c>
      <c r="DO31" s="30">
        <f t="shared" si="56"/>
        <v>0</v>
      </c>
      <c r="DP31" s="316">
        <f t="shared" si="40"/>
        <v>380.2420329395124</v>
      </c>
      <c r="DQ31" s="104"/>
      <c r="DR31" s="30">
        <f>VLOOKUP(A31,'ДЗ нас '!$A$1:$C$359,2)</f>
        <v>422.71</v>
      </c>
      <c r="DS31" s="748"/>
      <c r="DT31" s="30">
        <f t="shared" si="41"/>
        <v>422.71</v>
      </c>
      <c r="DU31" s="257">
        <f>VLOOKUP(A31,'новий кошторис с 01.06'!$A$4:$AI$399,35)*1.2</f>
        <v>424.77790571296748</v>
      </c>
      <c r="DV31" s="30">
        <f t="shared" si="42"/>
        <v>-2.0679057129675016</v>
      </c>
      <c r="DW31" s="930">
        <f>'[5]побудинковий звіт'!DW31+'[6]побудинковий звіт'!DW31</f>
        <v>0</v>
      </c>
      <c r="DY31" s="5">
        <f t="shared" si="9"/>
        <v>3842.7558751620145</v>
      </c>
      <c r="DZ31" s="5">
        <f t="shared" si="10"/>
        <v>553.19999999999993</v>
      </c>
      <c r="EA31" s="752">
        <f t="shared" si="43"/>
        <v>3.2900000000000205</v>
      </c>
      <c r="EC31" s="592">
        <f t="shared" si="11"/>
        <v>38427.558751620149</v>
      </c>
      <c r="EE31" s="758">
        <v>3043</v>
      </c>
      <c r="EF31" s="738">
        <f t="shared" si="12"/>
        <v>1030.3493242005261</v>
      </c>
      <c r="EH31" s="813">
        <v>5365.6709716300029</v>
      </c>
    </row>
    <row r="32" spans="1:138" x14ac:dyDescent="0.3">
      <c r="A32" s="328">
        <v>150000972</v>
      </c>
      <c r="B32" s="44" t="s">
        <v>480</v>
      </c>
      <c r="C32" s="45" t="s">
        <v>201</v>
      </c>
      <c r="D32" s="45" t="s">
        <v>201</v>
      </c>
      <c r="E32" s="40">
        <f t="shared" si="3"/>
        <v>2825.6</v>
      </c>
      <c r="F32" s="490">
        <v>2589.4</v>
      </c>
      <c r="G32" s="30"/>
      <c r="H32" s="30">
        <v>236.2</v>
      </c>
      <c r="I32" s="42">
        <f>'[1]побудинковий звіт'!I32+'[2]побудинковий звіт'!I32-'[3]побудинковий звіт'!I32</f>
        <v>8429.3491713349395</v>
      </c>
      <c r="J32" s="42">
        <f>'[1]побудинковий звіт'!J32+'[2]побудинковий звіт'!J32-'[3]побудинковий звіт'!J32</f>
        <v>8387.205318498558</v>
      </c>
      <c r="K32" s="56">
        <f t="shared" si="13"/>
        <v>-42.143852836381484</v>
      </c>
      <c r="L32" s="42">
        <f>'[1]побудинковий звіт'!L32+'[2]побудинковий звіт'!L32-'[3]побудинковий звіт'!L32</f>
        <v>1373.8450089810872</v>
      </c>
      <c r="M32" s="42">
        <f>'[1]побудинковий звіт'!M32+'[2]побудинковий звіт'!M32-'[3]побудинковий звіт'!M32</f>
        <v>1386.1509571624092</v>
      </c>
      <c r="N32" s="56">
        <f t="shared" si="14"/>
        <v>12.305948181322037</v>
      </c>
      <c r="O32" s="42">
        <f>'[1]побудинковий звіт'!O32+'[2]побудинковий звіт'!O32-'[3]побудинковий звіт'!O32</f>
        <v>3283.2</v>
      </c>
      <c r="P32" s="42">
        <f>'[1]побудинковий звіт'!P32+'[2]побудинковий звіт'!P32-'[3]побудинковий звіт'!P32</f>
        <v>2580.6909129032256</v>
      </c>
      <c r="Q32" s="56">
        <f t="shared" si="15"/>
        <v>-702.50908709677424</v>
      </c>
      <c r="R32" s="42">
        <f>'[1]побудинковий звіт'!R32+'[2]побудинковий звіт'!R32-'[3]побудинковий звіт'!R32</f>
        <v>0</v>
      </c>
      <c r="S32" s="42">
        <f>'[1]побудинковий звіт'!S32+'[2]побудинковий звіт'!S32-'[3]побудинковий звіт'!S32</f>
        <v>0</v>
      </c>
      <c r="T32" s="56">
        <f t="shared" si="16"/>
        <v>0</v>
      </c>
      <c r="U32" s="42">
        <f>'[1]побудинковий звіт'!U32+'[2]побудинковий звіт'!U32-'[3]побудинковий звіт'!U32</f>
        <v>0</v>
      </c>
      <c r="V32" s="42">
        <f>'[1]побудинковий звіт'!V32+'[2]побудинковий звіт'!V32-'[3]побудинковий звіт'!V32</f>
        <v>0</v>
      </c>
      <c r="W32" s="56">
        <f t="shared" si="17"/>
        <v>0</v>
      </c>
      <c r="X32" s="42">
        <f>'[1]побудинковий звіт'!X32+'[2]побудинковий звіт'!X32-'[3]побудинковий звіт'!X32</f>
        <v>4815.1927619097105</v>
      </c>
      <c r="Y32" s="42">
        <f>'[1]побудинковий звіт'!Y32+'[2]побудинковий звіт'!Y32-'[3]побудинковий звіт'!Y32</f>
        <v>5885.0466921483076</v>
      </c>
      <c r="Z32" s="56">
        <f t="shared" si="18"/>
        <v>1069.8539302385971</v>
      </c>
      <c r="AA32" s="42">
        <f>'[1]побудинковий звіт'!AA32+'[2]побудинковий звіт'!AA32-'[3]побудинковий звіт'!AA32</f>
        <v>0</v>
      </c>
      <c r="AB32" s="42">
        <f>'[1]побудинковий звіт'!AB32+'[2]побудинковий звіт'!AB32-'[3]побудинковий звіт'!AB32</f>
        <v>0</v>
      </c>
      <c r="AC32" s="56">
        <f t="shared" si="19"/>
        <v>0</v>
      </c>
      <c r="AD32" s="42">
        <f>'[1]побудинковий звіт'!AD32+'[2]побудинковий звіт'!AD32-'[3]побудинковий звіт'!AD32</f>
        <v>9268.2924313730437</v>
      </c>
      <c r="AE32" s="42">
        <f>'[1]побудинковий звіт'!AE32+'[2]побудинковий звіт'!AE32-'[3]побудинковий звіт'!AE32</f>
        <v>8542.5233978907581</v>
      </c>
      <c r="AF32" s="37">
        <f t="shared" si="20"/>
        <v>-725.76903348228552</v>
      </c>
      <c r="AG32" s="87">
        <f t="shared" si="4"/>
        <v>27169.879373598782</v>
      </c>
      <c r="AH32" s="57">
        <f t="shared" si="4"/>
        <v>26781.617278603255</v>
      </c>
      <c r="AI32" s="56">
        <f t="shared" si="21"/>
        <v>-388.26209499552715</v>
      </c>
      <c r="AJ32" s="42">
        <f>'[1]побудинковий звіт'!AJ32+'[2]побудинковий звіт'!AJ32-'[3]побудинковий звіт'!AJ32</f>
        <v>0</v>
      </c>
      <c r="AK32" s="42">
        <f>'[1]побудинковий звіт'!AK32+'[2]побудинковий звіт'!AK32-'[3]побудинковий звіт'!AK32</f>
        <v>0</v>
      </c>
      <c r="AL32" s="56">
        <f t="shared" si="22"/>
        <v>0</v>
      </c>
      <c r="AM32" s="42">
        <f>'[1]побудинковий звіт'!AM32+'[2]побудинковий звіт'!AM32-'[3]побудинковий звіт'!AM32</f>
        <v>0</v>
      </c>
      <c r="AN32" s="42">
        <f>'[1]побудинковий звіт'!AN32+'[2]побудинковий звіт'!AN32-'[3]побудинковий звіт'!AN32</f>
        <v>0</v>
      </c>
      <c r="AO32" s="56">
        <f t="shared" si="23"/>
        <v>0</v>
      </c>
      <c r="AP32" s="42">
        <f>'[1]побудинковий звіт'!AP32+'[2]побудинковий звіт'!AP32-'[3]побудинковий звіт'!AP32</f>
        <v>6108.2637966640423</v>
      </c>
      <c r="AQ32" s="42">
        <f>'[1]побудинковий звіт'!AQ32+'[2]побудинковий звіт'!AQ32-'[3]побудинковий звіт'!AQ32</f>
        <v>5667.6468844679739</v>
      </c>
      <c r="AR32" s="56">
        <f t="shared" si="24"/>
        <v>-440.61691219606837</v>
      </c>
      <c r="AS32" s="42">
        <f>'[1]побудинковий звіт'!AS32+'[2]побудинковий звіт'!AS32-'[3]побудинковий звіт'!AS32</f>
        <v>19445.542682432064</v>
      </c>
      <c r="AT32" s="42">
        <f>'[1]побудинковий звіт'!AT32+'[2]побудинковий звіт'!AT32-'[3]побудинковий звіт'!AT32</f>
        <v>13310.32569349269</v>
      </c>
      <c r="AU32" s="58">
        <f t="shared" si="44"/>
        <v>-6135.2169889393736</v>
      </c>
      <c r="AV32" s="42">
        <f>'[1]побудинковий звіт'!AV32+'[2]побудинковий звіт'!AV32-'[3]побудинковий звіт'!AV32</f>
        <v>1396.2086358316283</v>
      </c>
      <c r="AW32" s="42">
        <f>'[1]побудинковий звіт'!AW32+'[2]побудинковий звіт'!AW32-'[3]побудинковий звіт'!AW32</f>
        <v>0</v>
      </c>
      <c r="AX32" s="59">
        <f t="shared" si="45"/>
        <v>-1396.2086358316283</v>
      </c>
      <c r="AY32" s="42">
        <f>'[1]побудинковий звіт'!AY32+'[2]побудинковий звіт'!AY32-'[3]побудинковий звіт'!AY32</f>
        <v>1770.7758464928706</v>
      </c>
      <c r="AZ32" s="42">
        <f>'[1]побудинковий звіт'!AZ32+'[2]побудинковий звіт'!AZ32-'[3]побудинковий звіт'!AZ32</f>
        <v>0</v>
      </c>
      <c r="BA32" s="37">
        <f t="shared" si="46"/>
        <v>-1770.7758464928706</v>
      </c>
      <c r="BB32" s="42">
        <f>'[1]побудинковий звіт'!BB32+'[2]побудинковий звіт'!BB32-'[3]побудинковий звіт'!BB32</f>
        <v>1714.580766111088</v>
      </c>
      <c r="BC32" s="42">
        <f>'[1]побудинковий звіт'!BC32+'[2]побудинковий звіт'!BC32-'[3]побудинковий звіт'!BC32</f>
        <v>0</v>
      </c>
      <c r="BD32" s="59">
        <f t="shared" si="47"/>
        <v>-1714.580766111088</v>
      </c>
      <c r="BE32" s="42">
        <f>'[1]побудинковий звіт'!BE32+'[2]побудинковий звіт'!BE32-'[3]побудинковий звіт'!BE32</f>
        <v>0</v>
      </c>
      <c r="BF32" s="42">
        <f>'[1]побудинковий звіт'!BF32+'[2]побудинковий звіт'!BF32-'[3]побудинковий звіт'!BF32</f>
        <v>0</v>
      </c>
      <c r="BG32" s="39">
        <f t="shared" si="48"/>
        <v>0</v>
      </c>
      <c r="BH32" s="42">
        <f>'[1]побудинковий звіт'!BH32+'[2]побудинковий звіт'!BH32-'[3]побудинковий звіт'!BH32</f>
        <v>0</v>
      </c>
      <c r="BI32" s="42">
        <f>'[1]побудинковий звіт'!BI32+'[2]побудинковий звіт'!BI32-'[3]побудинковий звіт'!BI32</f>
        <v>0</v>
      </c>
      <c r="BJ32" s="59">
        <f t="shared" si="49"/>
        <v>0</v>
      </c>
      <c r="BK32" s="42">
        <f>'[1]побудинковий звіт'!BK32+'[2]побудинковий звіт'!BK32-'[3]побудинковий звіт'!BK32</f>
        <v>623.00202163195547</v>
      </c>
      <c r="BL32" s="42">
        <f>'[1]побудинковий звіт'!BL32+'[2]побудинковий звіт'!BL32-'[3]побудинковий звіт'!BL32</f>
        <v>133.007111349609</v>
      </c>
      <c r="BM32" s="39">
        <f t="shared" si="50"/>
        <v>-489.9949102823465</v>
      </c>
      <c r="BN32" s="42">
        <f>'[1]побудинковий звіт'!BN32+'[2]побудинковий звіт'!BN32-'[3]побудинковий звіт'!BN32</f>
        <v>0</v>
      </c>
      <c r="BO32" s="42">
        <f>'[1]побудинковий звіт'!BO32+'[2]побудинковий звіт'!BO32-'[3]побудинковий звіт'!BO32</f>
        <v>0</v>
      </c>
      <c r="BP32" s="59">
        <f t="shared" si="51"/>
        <v>0</v>
      </c>
      <c r="BQ32" s="87">
        <f t="shared" si="5"/>
        <v>5504.5672700675423</v>
      </c>
      <c r="BR32" s="43">
        <f t="shared" si="6"/>
        <v>133.007111349609</v>
      </c>
      <c r="BS32" s="59">
        <f t="shared" si="52"/>
        <v>-5371.5601587179335</v>
      </c>
      <c r="BT32" s="42">
        <f>'[1]побудинковий звіт'!BT32+'[2]побудинковий звіт'!BT32-'[3]побудинковий звіт'!BT32</f>
        <v>25592.849527042537</v>
      </c>
      <c r="BU32" s="42">
        <f>'[1]побудинковий звіт'!BU32+'[2]побудинковий звіт'!BU32-'[3]побудинковий звіт'!BU32</f>
        <v>31204.697940739483</v>
      </c>
      <c r="BV32" s="56">
        <f t="shared" si="25"/>
        <v>5611.8484136969455</v>
      </c>
      <c r="BW32" s="42">
        <f>'[1]побудинковий звіт'!BW32+'[2]побудинковий звіт'!BW32-'[3]побудинковий звіт'!BW32</f>
        <v>13610.877826594964</v>
      </c>
      <c r="BX32" s="42">
        <f>'[1]побудинковий звіт'!BX32+'[2]побудинковий звіт'!BX32-'[3]побудинковий звіт'!BX32</f>
        <v>14382.348912026275</v>
      </c>
      <c r="BY32" s="56">
        <f t="shared" si="26"/>
        <v>771.47108543131071</v>
      </c>
      <c r="BZ32" s="42">
        <f>'[1]побудинковий звіт'!BZ32+'[2]побудинковий звіт'!BZ32-'[3]побудинковий звіт'!BZ32</f>
        <v>7361.3604016461777</v>
      </c>
      <c r="CA32" s="42">
        <f>'[1]побудинковий звіт'!CA32+'[2]побудинковий звіт'!CA32-'[3]побудинковий звіт'!CA32</f>
        <v>7472.5054688121181</v>
      </c>
      <c r="CB32" s="56">
        <f t="shared" si="27"/>
        <v>111.14506716594042</v>
      </c>
      <c r="CC32" s="42">
        <f>'[1]побудинковий звіт'!CC32+'[2]побудинковий звіт'!CC32-'[3]побудинковий звіт'!CC32</f>
        <v>1338.3030501692374</v>
      </c>
      <c r="CD32" s="42">
        <f>'[1]побудинковий звіт'!CD32+'[2]побудинковий звіт'!CD32-'[3]побудинковий звіт'!CD32</f>
        <v>1326.53229647731</v>
      </c>
      <c r="CE32" s="56">
        <f t="shared" si="28"/>
        <v>-11.770753691927439</v>
      </c>
      <c r="CF32" s="42">
        <f>'[1]побудинковий звіт'!CF32+'[2]побудинковий звіт'!CF32-'[3]побудинковий звіт'!CF32</f>
        <v>164.75321640340997</v>
      </c>
      <c r="CG32" s="42">
        <f>'[1]побудинковий звіт'!CG32+'[2]побудинковий звіт'!CG32-'[3]побудинковий звіт'!CG32</f>
        <v>0</v>
      </c>
      <c r="CH32" s="56">
        <f t="shared" si="29"/>
        <v>-164.75321640340997</v>
      </c>
      <c r="CI32" s="42">
        <f>'[1]побудинковий звіт'!CI32+'[2]побудинковий звіт'!CI32-'[3]побудинковий звіт'!CI32</f>
        <v>2938.6514528191651</v>
      </c>
      <c r="CJ32" s="42">
        <f>'[1]побудинковий звіт'!CJ32+'[2]побудинковий звіт'!CJ32-'[3]побудинковий звіт'!CJ32</f>
        <v>1936.000621981116</v>
      </c>
      <c r="CK32" s="56">
        <f t="shared" si="30"/>
        <v>-1002.6508308380492</v>
      </c>
      <c r="CL32" s="42">
        <f>'[1]побудинковий звіт'!CL32+'[2]побудинковий звіт'!CL32-'[3]побудинковий звіт'!CL32</f>
        <v>0</v>
      </c>
      <c r="CM32" s="42">
        <f>'[1]побудинковий звіт'!CM32+'[2]побудинковий звіт'!CM32-'[3]побудинковий звіт'!CM32</f>
        <v>0</v>
      </c>
      <c r="CN32" s="56">
        <f t="shared" si="31"/>
        <v>0</v>
      </c>
      <c r="CO32" s="42">
        <f t="shared" si="7"/>
        <v>2938.6514528191651</v>
      </c>
      <c r="CP32" s="43">
        <f t="shared" si="32"/>
        <v>1936.000621981116</v>
      </c>
      <c r="CQ32" s="56">
        <f t="shared" si="33"/>
        <v>-1002.6508308380492</v>
      </c>
      <c r="CR32" s="78">
        <f t="shared" si="8"/>
        <v>109235.04859743793</v>
      </c>
      <c r="CS32" s="5">
        <f t="shared" si="8"/>
        <v>102214.68220794982</v>
      </c>
      <c r="CT32" s="56">
        <f t="shared" si="34"/>
        <v>-7020.3663894881029</v>
      </c>
      <c r="CU32" s="87">
        <f t="shared" si="35"/>
        <v>131082.05831692551</v>
      </c>
      <c r="CV32" s="70">
        <f t="shared" si="36"/>
        <v>122657.61864953979</v>
      </c>
      <c r="CW32" s="37">
        <f t="shared" si="37"/>
        <v>-8424.4396673857264</v>
      </c>
      <c r="CX32" s="42">
        <f>'[1]побудинковий звіт'!CX32+'[2]побудинковий звіт'!CX32-'[3]побудинковий звіт'!CX32</f>
        <v>3275.701683074527</v>
      </c>
      <c r="CY32" s="42">
        <f>'[1]побудинковий звіт'!CY32+'[2]побудинковий звіт'!CY32-'[3]побудинковий звіт'!CY32</f>
        <v>11700.141350460188</v>
      </c>
      <c r="CZ32" s="56">
        <f t="shared" si="38"/>
        <v>8424.4396673856609</v>
      </c>
      <c r="DA32" s="264">
        <f>'[4]побудинковий звіт'!DA32</f>
        <v>15991.487497965616</v>
      </c>
      <c r="DB32" s="2">
        <v>2</v>
      </c>
      <c r="DC32" s="717">
        <f>'[4]побудинковий звіт'!DC32</f>
        <v>23239.93</v>
      </c>
      <c r="DD32" s="717">
        <f>'[4]побудинковий звіт'!DD32</f>
        <v>1584.0399999999997</v>
      </c>
      <c r="DE32" s="717">
        <f>'[4]побудинковий звіт'!DE32</f>
        <v>13111.5</v>
      </c>
      <c r="DF32" s="717">
        <f>'[4]побудинковий звіт'!DF32</f>
        <v>515.98999999999955</v>
      </c>
      <c r="DG32" s="787">
        <v>29766.89075069339</v>
      </c>
      <c r="DH32" s="761">
        <f t="shared" si="39"/>
        <v>1612293.1200000006</v>
      </c>
      <c r="DI32" s="784"/>
      <c r="DJ32" s="5"/>
      <c r="DK32" s="317">
        <f>VLOOKUP($A32,ціни!$A$4:$G$401,5)</f>
        <v>5.2441445196085343</v>
      </c>
      <c r="DL32" s="317"/>
      <c r="DM32" s="317">
        <f>VLOOKUP($A32,ціни!$A$4:$G$401,7)</f>
        <v>4.5218109909630009</v>
      </c>
      <c r="DN32" s="30">
        <f t="shared" si="55"/>
        <v>13579.187819074339</v>
      </c>
      <c r="DO32" s="30">
        <f t="shared" si="56"/>
        <v>1068.0517560654607</v>
      </c>
      <c r="DP32" s="316">
        <f t="shared" si="40"/>
        <v>14647.2395751398</v>
      </c>
      <c r="DQ32" s="104"/>
      <c r="DR32" s="30">
        <f>VLOOKUP(A32,'ДЗ нас '!$A$1:$C$359,2)</f>
        <v>10128.43</v>
      </c>
      <c r="DS32" s="748">
        <f>VLOOKUP(A32,'ДЗ нежит'!$A$1:$D$153,4,0)</f>
        <v>1068.0500000000002</v>
      </c>
      <c r="DT32" s="30">
        <f t="shared" si="41"/>
        <v>11196.48</v>
      </c>
      <c r="DU32" s="257">
        <f>VLOOKUP(A32,'новий кошторис с 01.06'!$A$4:$AI$399,35)*1.2</f>
        <v>11251.210005536102</v>
      </c>
      <c r="DV32" s="30">
        <f t="shared" si="42"/>
        <v>-54.730005536102908</v>
      </c>
      <c r="DW32" s="930">
        <f>'[5]побудинковий звіт'!DW32+'[6]побудинковий звіт'!DW32</f>
        <v>236</v>
      </c>
      <c r="DY32" s="5">
        <f t="shared" si="9"/>
        <v>29940.131942999527</v>
      </c>
      <c r="DZ32" s="5">
        <f t="shared" si="10"/>
        <v>16131.999365810758</v>
      </c>
      <c r="EA32" s="752">
        <f t="shared" si="43"/>
        <v>13627.49</v>
      </c>
      <c r="EC32" s="592">
        <f t="shared" si="11"/>
        <v>233346.51218918478</v>
      </c>
      <c r="EE32" s="758">
        <v>-15337</v>
      </c>
      <c r="EF32" s="738">
        <f t="shared" si="12"/>
        <v>14429.89075069339</v>
      </c>
      <c r="EH32" s="813">
        <v>21609.065324280717</v>
      </c>
    </row>
    <row r="33" spans="1:138" x14ac:dyDescent="0.3">
      <c r="A33" s="328">
        <v>150000974</v>
      </c>
      <c r="B33" s="44" t="s">
        <v>481</v>
      </c>
      <c r="C33" s="45" t="s">
        <v>202</v>
      </c>
      <c r="D33" s="45" t="s">
        <v>202</v>
      </c>
      <c r="E33" s="40">
        <f t="shared" si="3"/>
        <v>1556.0700000000002</v>
      </c>
      <c r="F33" s="490">
        <v>1132.9000000000001</v>
      </c>
      <c r="G33" s="30"/>
      <c r="H33" s="30">
        <v>423.17000000000007</v>
      </c>
      <c r="I33" s="42">
        <f>'[1]побудинковий звіт'!I33+'[2]побудинковий звіт'!I33-'[3]побудинковий звіт'!I33</f>
        <v>6553.5103955338063</v>
      </c>
      <c r="J33" s="42">
        <f>'[1]побудинковий звіт'!J33+'[2]побудинковий звіт'!J33-'[3]побудинковий звіт'!J33</f>
        <v>6537.9944784048039</v>
      </c>
      <c r="K33" s="56">
        <f t="shared" si="13"/>
        <v>-15.515917129002446</v>
      </c>
      <c r="L33" s="42">
        <f>'[1]побудинковий звіт'!L33+'[2]побудинковий звіт'!L33-'[3]побудинковий звіт'!L33</f>
        <v>942.13159317784925</v>
      </c>
      <c r="M33" s="42">
        <f>'[1]побудинковий звіт'!M33+'[2]побудинковий звіт'!M33-'[3]побудинковий звіт'!M33</f>
        <v>950.57175266101922</v>
      </c>
      <c r="N33" s="56">
        <f t="shared" si="14"/>
        <v>8.440159483169964</v>
      </c>
      <c r="O33" s="42">
        <f>'[1]побудинковий звіт'!O33+'[2]побудинковий звіт'!O33-'[3]побудинковий звіт'!O33</f>
        <v>3230.1599999999994</v>
      </c>
      <c r="P33" s="42">
        <f>'[1]побудинковий звіт'!P33+'[2]побудинковий звіт'!P33-'[3]побудинковий звіт'!P33</f>
        <v>2539.0013208333335</v>
      </c>
      <c r="Q33" s="56">
        <f t="shared" si="15"/>
        <v>-691.15867916666593</v>
      </c>
      <c r="R33" s="42">
        <f>'[1]побудинковий звіт'!R33+'[2]побудинковий звіт'!R33-'[3]побудинковий звіт'!R33</f>
        <v>802.44</v>
      </c>
      <c r="S33" s="42">
        <f>'[1]побудинковий звіт'!S33+'[2]побудинковий звіт'!S33-'[3]побудинковий звіт'!S33</f>
        <v>630.89573309139791</v>
      </c>
      <c r="T33" s="56">
        <f t="shared" si="16"/>
        <v>-171.54426690860214</v>
      </c>
      <c r="U33" s="42">
        <f>'[1]побудинковий звіт'!U33+'[2]побудинковий звіт'!U33-'[3]побудинковий звіт'!U33</f>
        <v>0</v>
      </c>
      <c r="V33" s="42">
        <f>'[1]побудинковий звіт'!V33+'[2]побудинковий звіт'!V33-'[3]побудинковий звіт'!V33</f>
        <v>0</v>
      </c>
      <c r="W33" s="56">
        <f t="shared" si="17"/>
        <v>0</v>
      </c>
      <c r="X33" s="42">
        <f>'[1]побудинковий звіт'!X33+'[2]побудинковий звіт'!X33-'[3]побудинковий звіт'!X33</f>
        <v>4566.3026389082852</v>
      </c>
      <c r="Y33" s="42">
        <f>'[1]побудинковий звіт'!Y33+'[2]побудинковий звіт'!Y33-'[3]побудинковий звіт'!Y33</f>
        <v>5654.6526527968563</v>
      </c>
      <c r="Z33" s="56">
        <f t="shared" si="18"/>
        <v>1088.3500138885711</v>
      </c>
      <c r="AA33" s="42">
        <f>'[1]побудинковий звіт'!AA33+'[2]побудинковий звіт'!AA33-'[3]побудинковий звіт'!AA33</f>
        <v>0</v>
      </c>
      <c r="AB33" s="42">
        <f>'[1]побудинковий звіт'!AB33+'[2]побудинковий звіт'!AB33-'[3]побудинковий звіт'!AB33</f>
        <v>0</v>
      </c>
      <c r="AC33" s="56">
        <f t="shared" si="19"/>
        <v>0</v>
      </c>
      <c r="AD33" s="42">
        <f>'[1]побудинковий звіт'!AD33+'[2]побудинковий звіт'!AD33-'[3]побудинковий звіт'!AD33</f>
        <v>9900.9872233412425</v>
      </c>
      <c r="AE33" s="42">
        <f>'[1]побудинковий звіт'!AE33+'[2]побудинковий звіт'!AE33-'[3]побудинковий звіт'!AE33</f>
        <v>9184.720721005202</v>
      </c>
      <c r="AF33" s="37">
        <f t="shared" si="20"/>
        <v>-716.2665023360405</v>
      </c>
      <c r="AG33" s="87">
        <f t="shared" si="4"/>
        <v>25995.531850961182</v>
      </c>
      <c r="AH33" s="57">
        <f t="shared" si="4"/>
        <v>25497.836658792614</v>
      </c>
      <c r="AI33" s="56">
        <f t="shared" si="21"/>
        <v>-497.69519216856861</v>
      </c>
      <c r="AJ33" s="42">
        <f>'[1]побудинковий звіт'!AJ33+'[2]побудинковий звіт'!AJ33-'[3]побудинковий звіт'!AJ33</f>
        <v>0</v>
      </c>
      <c r="AK33" s="42">
        <f>'[1]побудинковий звіт'!AK33+'[2]побудинковий звіт'!AK33-'[3]побудинковий звіт'!AK33</f>
        <v>0</v>
      </c>
      <c r="AL33" s="56">
        <f t="shared" si="22"/>
        <v>0</v>
      </c>
      <c r="AM33" s="42">
        <f>'[1]побудинковий звіт'!AM33+'[2]побудинковий звіт'!AM33-'[3]побудинковий звіт'!AM33</f>
        <v>0</v>
      </c>
      <c r="AN33" s="42">
        <f>'[1]побудинковий звіт'!AN33+'[2]побудинковий звіт'!AN33-'[3]побудинковий звіт'!AN33</f>
        <v>0</v>
      </c>
      <c r="AO33" s="56">
        <f t="shared" si="23"/>
        <v>0</v>
      </c>
      <c r="AP33" s="42">
        <f>'[1]побудинковий звіт'!AP33+'[2]побудинковий звіт'!AP33-'[3]побудинковий звіт'!AP33</f>
        <v>1515.2282286298394</v>
      </c>
      <c r="AQ33" s="42">
        <f>'[1]побудинковий звіт'!AQ33+'[2]побудинковий звіт'!AQ33-'[3]побудинковий звіт'!AQ33</f>
        <v>1290.123036758187</v>
      </c>
      <c r="AR33" s="56">
        <f t="shared" si="24"/>
        <v>-225.10519187165232</v>
      </c>
      <c r="AS33" s="42">
        <f>'[1]побудинковий звіт'!AS33+'[2]побудинковий звіт'!AS33-'[3]побудинковий звіт'!AS33</f>
        <v>26324.179502245104</v>
      </c>
      <c r="AT33" s="42">
        <f>'[1]побудинковий звіт'!AT33+'[2]побудинковий звіт'!AT33-'[3]побудинковий звіт'!AT33</f>
        <v>2044</v>
      </c>
      <c r="AU33" s="58">
        <f t="shared" si="44"/>
        <v>-24280.179502245104</v>
      </c>
      <c r="AV33" s="42">
        <f>'[1]побудинковий звіт'!AV33+'[2]побудинковий звіт'!AV33-'[3]побудинковий звіт'!AV33</f>
        <v>1104.5251336916506</v>
      </c>
      <c r="AW33" s="42">
        <f>'[1]побудинковий звіт'!AW33+'[2]побудинковий звіт'!AW33-'[3]побудинковий звіт'!AW33</f>
        <v>0</v>
      </c>
      <c r="AX33" s="59">
        <f t="shared" si="45"/>
        <v>-1104.5251336916506</v>
      </c>
      <c r="AY33" s="42">
        <f>'[1]побудинковий звіт'!AY33+'[2]побудинковий звіт'!AY33-'[3]побудинковий звіт'!AY33</f>
        <v>1214.0218303771728</v>
      </c>
      <c r="AZ33" s="42">
        <f>'[1]побудинковий звіт'!AZ33+'[2]побудинковий звіт'!AZ33-'[3]побудинковий звіт'!AZ33</f>
        <v>0</v>
      </c>
      <c r="BA33" s="37">
        <f t="shared" si="46"/>
        <v>-1214.0218303771728</v>
      </c>
      <c r="BB33" s="42">
        <f>'[1]побудинковий звіт'!BB33+'[2]побудинковий звіт'!BB33-'[3]побудинковий звіт'!BB33</f>
        <v>1670.5555872544812</v>
      </c>
      <c r="BC33" s="42">
        <f>'[1]побудинковий звіт'!BC33+'[2]побудинковий звіт'!BC33-'[3]побудинковий звіт'!BC33</f>
        <v>0</v>
      </c>
      <c r="BD33" s="59">
        <f t="shared" si="47"/>
        <v>-1670.5555872544812</v>
      </c>
      <c r="BE33" s="42">
        <f>'[1]побудинковий звіт'!BE33+'[2]побудинковий звіт'!BE33-'[3]побудинковий звіт'!BE33</f>
        <v>998.27527358523889</v>
      </c>
      <c r="BF33" s="42">
        <f>'[1]побудинковий звіт'!BF33+'[2]побудинковий звіт'!BF33-'[3]побудинковий звіт'!BF33</f>
        <v>0</v>
      </c>
      <c r="BG33" s="39">
        <f t="shared" si="48"/>
        <v>-998.27527358523889</v>
      </c>
      <c r="BH33" s="42">
        <f>'[1]побудинковий звіт'!BH33+'[2]побудинковий звіт'!BH33-'[3]побудинковий звіт'!BH33</f>
        <v>0</v>
      </c>
      <c r="BI33" s="42">
        <f>'[1]побудинковий звіт'!BI33+'[2]побудинковий звіт'!BI33-'[3]побудинковий звіт'!BI33</f>
        <v>0</v>
      </c>
      <c r="BJ33" s="59">
        <f t="shared" si="49"/>
        <v>0</v>
      </c>
      <c r="BK33" s="42">
        <f>'[1]побудинковий звіт'!BK33+'[2]побудинковий звіт'!BK33-'[3]побудинковий звіт'!BK33</f>
        <v>597.47671338573207</v>
      </c>
      <c r="BL33" s="42">
        <f>'[1]побудинковий звіт'!BL33+'[2]побудинковий звіт'!BL33-'[3]побудинковий звіт'!BL33</f>
        <v>0</v>
      </c>
      <c r="BM33" s="39">
        <f t="shared" si="50"/>
        <v>-597.47671338573207</v>
      </c>
      <c r="BN33" s="42">
        <f>'[1]побудинковий звіт'!BN33+'[2]побудинковий звіт'!BN33-'[3]побудинковий звіт'!BN33</f>
        <v>0</v>
      </c>
      <c r="BO33" s="42">
        <f>'[1]побудинковий звіт'!BO33+'[2]побудинковий звіт'!BO33-'[3]побудинковий звіт'!BO33</f>
        <v>0</v>
      </c>
      <c r="BP33" s="59">
        <f t="shared" si="51"/>
        <v>0</v>
      </c>
      <c r="BQ33" s="87">
        <f t="shared" ref="BQ33:BQ63" si="57">AV33+AY33+BB33+BE33+BH33+BK33+BN33</f>
        <v>5584.8545382942757</v>
      </c>
      <c r="BR33" s="43">
        <f t="shared" ref="BR33:BR63" si="58">AW33+AZ33+BC33+BF33+BI33+BL33+BO33</f>
        <v>0</v>
      </c>
      <c r="BS33" s="59">
        <f t="shared" si="52"/>
        <v>-5584.8545382942757</v>
      </c>
      <c r="BT33" s="42">
        <f>'[1]побудинковий звіт'!BT33+'[2]побудинковий звіт'!BT33-'[3]побудинковий звіт'!BT33</f>
        <v>43367.585313592252</v>
      </c>
      <c r="BU33" s="42">
        <f>'[1]побудинковий звіт'!BU33+'[2]побудинковий звіт'!BU33-'[3]побудинковий звіт'!BU33</f>
        <v>54025.101815523485</v>
      </c>
      <c r="BV33" s="56">
        <f t="shared" si="25"/>
        <v>10657.516501931234</v>
      </c>
      <c r="BW33" s="42">
        <f>'[1]побудинковий звіт'!BW33+'[2]побудинковий звіт'!BW33-'[3]побудинковий звіт'!BW33</f>
        <v>22548.518532907132</v>
      </c>
      <c r="BX33" s="42">
        <f>'[1]побудинковий звіт'!BX33+'[2]побудинковий звіт'!BX33-'[3]побудинковий звіт'!BX33</f>
        <v>22608.524433853036</v>
      </c>
      <c r="BY33" s="56">
        <f t="shared" si="26"/>
        <v>60.005900945903704</v>
      </c>
      <c r="BZ33" s="42">
        <f>'[1]побудинковий звіт'!BZ33+'[2]побудинковий звіт'!BZ33-'[3]побудинковий звіт'!BZ33</f>
        <v>13833.922383007412</v>
      </c>
      <c r="CA33" s="42">
        <f>'[1]побудинковий звіт'!CA33+'[2]побудинковий звіт'!CA33-'[3]побудинковий звіт'!CA33</f>
        <v>9885.9423678492167</v>
      </c>
      <c r="CB33" s="56">
        <f t="shared" si="27"/>
        <v>-3947.9800151581949</v>
      </c>
      <c r="CC33" s="42">
        <f>'[1]побудинковий звіт'!CC33+'[2]побудинковий звіт'!CC33-'[3]побудинковий звіт'!CC33</f>
        <v>0</v>
      </c>
      <c r="CD33" s="42">
        <f>'[1]побудинковий звіт'!CD33+'[2]побудинковий звіт'!CD33-'[3]побудинковий звіт'!CD33</f>
        <v>0</v>
      </c>
      <c r="CE33" s="56">
        <f t="shared" si="28"/>
        <v>0</v>
      </c>
      <c r="CF33" s="42">
        <f>'[1]побудинковий звіт'!CF33+'[2]побудинковий звіт'!CF33-'[3]побудинковий звіт'!CF33</f>
        <v>0</v>
      </c>
      <c r="CG33" s="42">
        <f>'[1]побудинковий звіт'!CG33+'[2]побудинковий звіт'!CG33-'[3]побудинковий звіт'!CG33</f>
        <v>0</v>
      </c>
      <c r="CH33" s="56">
        <f t="shared" si="29"/>
        <v>0</v>
      </c>
      <c r="CI33" s="42">
        <f>'[1]побудинковий звіт'!CI33+'[2]побудинковий звіт'!CI33-'[3]побудинковий звіт'!CI33</f>
        <v>2845.0638269332048</v>
      </c>
      <c r="CJ33" s="42">
        <f>'[1]побудинковий звіт'!CJ33+'[2]побудинковий звіт'!CJ33-'[3]побудинковий звіт'!CJ33</f>
        <v>3219.6771013430871</v>
      </c>
      <c r="CK33" s="56">
        <f t="shared" si="30"/>
        <v>374.61327440988225</v>
      </c>
      <c r="CL33" s="42">
        <f>'[1]побудинковий звіт'!CL33+'[2]побудинковий звіт'!CL33-'[3]побудинковий звіт'!CL33</f>
        <v>0</v>
      </c>
      <c r="CM33" s="42">
        <f>'[1]побудинковий звіт'!CM33+'[2]побудинковий звіт'!CM33-'[3]побудинковий звіт'!CM33</f>
        <v>0</v>
      </c>
      <c r="CN33" s="56">
        <f t="shared" si="31"/>
        <v>0</v>
      </c>
      <c r="CO33" s="42">
        <f t="shared" si="7"/>
        <v>2845.0638269332048</v>
      </c>
      <c r="CP33" s="43">
        <f t="shared" si="32"/>
        <v>3219.6771013430871</v>
      </c>
      <c r="CQ33" s="56">
        <f t="shared" si="33"/>
        <v>374.61327440988225</v>
      </c>
      <c r="CR33" s="78">
        <f t="shared" si="8"/>
        <v>142014.8841765704</v>
      </c>
      <c r="CS33" s="5">
        <f t="shared" si="8"/>
        <v>118571.20541411961</v>
      </c>
      <c r="CT33" s="56">
        <f t="shared" si="34"/>
        <v>-23443.678762450785</v>
      </c>
      <c r="CU33" s="87">
        <f t="shared" si="35"/>
        <v>170417.86101188447</v>
      </c>
      <c r="CV33" s="70">
        <f t="shared" si="36"/>
        <v>142285.44649694354</v>
      </c>
      <c r="CW33" s="37">
        <f t="shared" si="37"/>
        <v>-28132.414514940931</v>
      </c>
      <c r="CX33" s="42">
        <f>'[1]побудинковий звіт'!CX33+'[2]побудинковий звіт'!CX33-'[3]побудинковий звіт'!CX33</f>
        <v>3483.1389881155264</v>
      </c>
      <c r="CY33" s="42">
        <f>'[1]побудинковий звіт'!CY33+'[2]побудинковий звіт'!CY33-'[3]побудинковий звіт'!CY33</f>
        <v>31615.553503056461</v>
      </c>
      <c r="CZ33" s="56">
        <f t="shared" si="38"/>
        <v>28132.414514940934</v>
      </c>
      <c r="DA33" s="264">
        <f>'[4]побудинковий звіт'!DA33</f>
        <v>17022.798714565404</v>
      </c>
      <c r="DB33" s="2">
        <v>2</v>
      </c>
      <c r="DC33" s="717">
        <f>'[4]побудинковий звіт'!DC33</f>
        <v>36942.1</v>
      </c>
      <c r="DD33" s="717">
        <f>'[4]побудинковий звіт'!DD33</f>
        <v>55981.72</v>
      </c>
      <c r="DE33" s="717">
        <f>'[4]побудинковий звіт'!DE33</f>
        <v>24666.379999999997</v>
      </c>
      <c r="DF33" s="717">
        <f>'[4]побудинковий звіт'!DF33</f>
        <v>53765.69</v>
      </c>
      <c r="DG33" s="787">
        <v>51488.099311109458</v>
      </c>
      <c r="DH33" s="761">
        <f t="shared" si="39"/>
        <v>2086812</v>
      </c>
      <c r="DI33" s="784"/>
      <c r="DJ33" s="5"/>
      <c r="DK33" s="317">
        <f>VLOOKUP($A33,ціни!$A$4:$G$401,5)</f>
        <v>6.4365451255800847</v>
      </c>
      <c r="DL33" s="317"/>
      <c r="DM33" s="317">
        <f>VLOOKUP($A33,ціни!$A$4:$G$401,7)</f>
        <v>5.2366527951354618</v>
      </c>
      <c r="DN33" s="30">
        <f t="shared" si="55"/>
        <v>7291.9619727696781</v>
      </c>
      <c r="DO33" s="30">
        <f t="shared" si="56"/>
        <v>2215.9943633174739</v>
      </c>
      <c r="DP33" s="316">
        <f t="shared" si="40"/>
        <v>9507.9563360871525</v>
      </c>
      <c r="DQ33" s="104"/>
      <c r="DR33" s="30">
        <f>VLOOKUP(A33,'ДЗ нас '!$A$1:$C$359,2)</f>
        <v>12275.72</v>
      </c>
      <c r="DS33" s="748">
        <f>VLOOKUP(A33,'ДЗ нежит'!$A$1:$D$153,4,0)</f>
        <v>2216.0299999999997</v>
      </c>
      <c r="DT33" s="30">
        <f t="shared" si="41"/>
        <v>14491.75</v>
      </c>
      <c r="DU33" s="257">
        <f>VLOOKUP(A33,'новий кошторис с 01.06'!$A$4:$AI$399,35)*1.2</f>
        <v>14457.115209174868</v>
      </c>
      <c r="DV33" s="30">
        <f t="shared" si="42"/>
        <v>34.634790825131859</v>
      </c>
      <c r="DW33" s="930">
        <f>'[5]побудинковий звіт'!DW33+'[6]побудинковий звіт'!DW33</f>
        <v>204</v>
      </c>
      <c r="DY33" s="5">
        <f t="shared" si="9"/>
        <v>38290.840848647254</v>
      </c>
      <c r="DZ33" s="5">
        <f t="shared" si="10"/>
        <v>2452.7999999999997</v>
      </c>
      <c r="EA33" s="752">
        <f t="shared" si="43"/>
        <v>78432.070000000007</v>
      </c>
      <c r="EC33" s="592">
        <f t="shared" si="11"/>
        <v>315890.15402694128</v>
      </c>
      <c r="EE33" s="758">
        <v>-38882</v>
      </c>
      <c r="EF33" s="738">
        <f t="shared" si="12"/>
        <v>12606.099311109458</v>
      </c>
      <c r="EH33" s="813">
        <v>42930.051765951081</v>
      </c>
    </row>
    <row r="34" spans="1:138" x14ac:dyDescent="0.3">
      <c r="A34" s="328">
        <v>150000975</v>
      </c>
      <c r="B34" s="44" t="s">
        <v>482</v>
      </c>
      <c r="C34" s="45" t="s">
        <v>203</v>
      </c>
      <c r="D34" s="45" t="s">
        <v>203</v>
      </c>
      <c r="E34" s="40">
        <f t="shared" si="3"/>
        <v>4447.43</v>
      </c>
      <c r="F34" s="490">
        <v>4082.7</v>
      </c>
      <c r="G34" s="30"/>
      <c r="H34" s="30">
        <v>364.73</v>
      </c>
      <c r="I34" s="42">
        <f>'[1]побудинковий звіт'!I34+'[2]побудинковий звіт'!I34-'[3]побудинковий звіт'!I34</f>
        <v>9834.455287345314</v>
      </c>
      <c r="J34" s="42">
        <f>'[1]побудинковий звіт'!J34+'[2]побудинковий звіт'!J34-'[3]побудинковий звіт'!J34</f>
        <v>9814.4726973500674</v>
      </c>
      <c r="K34" s="56">
        <f t="shared" si="13"/>
        <v>-19.982589995246599</v>
      </c>
      <c r="L34" s="42">
        <f>'[1]побудинковий звіт'!L34+'[2]побудинковий звіт'!L34-'[3]побудинковий звіт'!L34</f>
        <v>1939.6008374771095</v>
      </c>
      <c r="M34" s="42">
        <f>'[1]побудинковий звіт'!M34+'[2]побудинковий звіт'!M34-'[3]побудинковий звіт'!M34</f>
        <v>1956.971683006589</v>
      </c>
      <c r="N34" s="56">
        <f t="shared" si="14"/>
        <v>17.370845529479539</v>
      </c>
      <c r="O34" s="42">
        <f>'[1]побудинковий звіт'!O34+'[2]побудинковий звіт'!O34-'[3]побудинковий звіт'!O34</f>
        <v>4572.6000000000013</v>
      </c>
      <c r="P34" s="42">
        <f>'[1]побудинковий звіт'!P34+'[2]побудинковий звіт'!P34-'[3]побудинковий звіт'!P34</f>
        <v>3594.0002079301089</v>
      </c>
      <c r="Q34" s="56">
        <f t="shared" si="15"/>
        <v>-978.59979206989237</v>
      </c>
      <c r="R34" s="42">
        <f>'[1]побудинковий звіт'!R34+'[2]побудинковий звіт'!R34-'[3]побудинковий звіт'!R34</f>
        <v>0</v>
      </c>
      <c r="S34" s="42">
        <f>'[1]побудинковий звіт'!S34+'[2]побудинковий звіт'!S34-'[3]побудинковий звіт'!S34</f>
        <v>0</v>
      </c>
      <c r="T34" s="56">
        <f t="shared" si="16"/>
        <v>0</v>
      </c>
      <c r="U34" s="42">
        <f>'[1]побудинковий звіт'!U34+'[2]побудинковий звіт'!U34-'[3]побудинковий звіт'!U34</f>
        <v>0</v>
      </c>
      <c r="V34" s="42">
        <f>'[1]побудинковий звіт'!V34+'[2]побудинковий звіт'!V34-'[3]побудинковий звіт'!V34</f>
        <v>0</v>
      </c>
      <c r="W34" s="56">
        <f t="shared" si="17"/>
        <v>0</v>
      </c>
      <c r="X34" s="42">
        <f>'[1]побудинковий звіт'!X34+'[2]побудинковий звіт'!X34-'[3]побудинковий звіт'!X34</f>
        <v>8150.3154452135186</v>
      </c>
      <c r="Y34" s="42">
        <f>'[1]побудинковий звіт'!Y34+'[2]побудинковий звіт'!Y34-'[3]побудинковий звіт'!Y34</f>
        <v>6321.4547848277771</v>
      </c>
      <c r="Z34" s="56">
        <f t="shared" si="18"/>
        <v>-1828.8606603857415</v>
      </c>
      <c r="AA34" s="42">
        <f>'[1]побудинковий звіт'!AA34+'[2]побудинковий звіт'!AA34-'[3]побудинковий звіт'!AA34</f>
        <v>0</v>
      </c>
      <c r="AB34" s="42">
        <f>'[1]побудинковий звіт'!AB34+'[2]побудинковий звіт'!AB34-'[3]побудинковий звіт'!AB34</f>
        <v>0</v>
      </c>
      <c r="AC34" s="56">
        <f t="shared" si="19"/>
        <v>0</v>
      </c>
      <c r="AD34" s="42">
        <f>'[1]побудинковий звіт'!AD34+'[2]побудинковий звіт'!AD34-'[3]побудинковий звіт'!AD34</f>
        <v>13910.691001918645</v>
      </c>
      <c r="AE34" s="42">
        <f>'[1]побудинковий звіт'!AE34+'[2]побудинковий звіт'!AE34-'[3]побудинковий звіт'!AE34</f>
        <v>12806.298067036236</v>
      </c>
      <c r="AF34" s="37">
        <f t="shared" si="20"/>
        <v>-1104.3929348824095</v>
      </c>
      <c r="AG34" s="87">
        <f t="shared" si="4"/>
        <v>38407.662571954592</v>
      </c>
      <c r="AH34" s="57">
        <f t="shared" si="4"/>
        <v>34493.197440150776</v>
      </c>
      <c r="AI34" s="56">
        <f t="shared" si="21"/>
        <v>-3914.4651318038159</v>
      </c>
      <c r="AJ34" s="42">
        <f>'[1]побудинковий звіт'!AJ34+'[2]побудинковий звіт'!AJ34-'[3]побудинковий звіт'!AJ34</f>
        <v>0</v>
      </c>
      <c r="AK34" s="42">
        <f>'[1]побудинковий звіт'!AK34+'[2]побудинковий звіт'!AK34-'[3]побудинковий звіт'!AK34</f>
        <v>0</v>
      </c>
      <c r="AL34" s="56">
        <f t="shared" si="22"/>
        <v>0</v>
      </c>
      <c r="AM34" s="42">
        <f>'[1]побудинковий звіт'!AM34+'[2]побудинковий звіт'!AM34-'[3]побудинковий звіт'!AM34</f>
        <v>0</v>
      </c>
      <c r="AN34" s="42">
        <f>'[1]побудинковий звіт'!AN34+'[2]побудинковий звіт'!AN34-'[3]побудинковий звіт'!AN34</f>
        <v>0</v>
      </c>
      <c r="AO34" s="56">
        <f t="shared" si="23"/>
        <v>0</v>
      </c>
      <c r="AP34" s="42">
        <f>'[1]побудинковий звіт'!AP34+'[2]побудинковий звіт'!AP34-'[3]побудинковий звіт'!AP34</f>
        <v>7244.6849681364229</v>
      </c>
      <c r="AQ34" s="42">
        <f>'[1]побудинковий звіт'!AQ34+'[2]побудинковий звіт'!AQ34-'[3]побудинковий звіт'!AQ34</f>
        <v>6989.8883669213637</v>
      </c>
      <c r="AR34" s="56">
        <f t="shared" si="24"/>
        <v>-254.79660121505913</v>
      </c>
      <c r="AS34" s="42">
        <f>'[1]побудинковий звіт'!AS34+'[2]побудинковий звіт'!AS34-'[3]побудинковий звіт'!AS34</f>
        <v>25943.829159957044</v>
      </c>
      <c r="AT34" s="42">
        <f>'[1]побудинковий звіт'!AT34+'[2]побудинковий звіт'!AT34-'[3]побудинковий звіт'!AT34</f>
        <v>35791</v>
      </c>
      <c r="AU34" s="58">
        <f t="shared" si="44"/>
        <v>9847.1708400429561</v>
      </c>
      <c r="AV34" s="42">
        <f>'[1]побудинковий звіт'!AV34+'[2]побудинковий звіт'!AV34-'[3]побудинковий звіт'!AV34</f>
        <v>1666.780568349227</v>
      </c>
      <c r="AW34" s="42">
        <f>'[1]побудинковий звіт'!AW34+'[2]побудинковий звіт'!AW34-'[3]побудинковий звіт'!AW34</f>
        <v>613</v>
      </c>
      <c r="AX34" s="59">
        <f t="shared" si="45"/>
        <v>-1053.780568349227</v>
      </c>
      <c r="AY34" s="42">
        <f>'[1]побудинковий звіт'!AY34+'[2]побудинковий звіт'!AY34-'[3]побудинковий звіт'!AY34</f>
        <v>2500.0046959344318</v>
      </c>
      <c r="AZ34" s="42">
        <f>'[1]побудинковий звіт'!AZ34+'[2]побудинковий звіт'!AZ34-'[3]побудинковий звіт'!AZ34</f>
        <v>0</v>
      </c>
      <c r="BA34" s="37">
        <f t="shared" si="46"/>
        <v>-2500.0046959344318</v>
      </c>
      <c r="BB34" s="42">
        <f>'[1]побудинковий звіт'!BB34+'[2]побудинковий звіт'!BB34-'[3]побудинковий звіт'!BB34</f>
        <v>2427.9756690953336</v>
      </c>
      <c r="BC34" s="42">
        <f>'[1]побудинковий звіт'!BC34+'[2]побудинковий звіт'!BC34-'[3]побудинковий звіт'!BC34</f>
        <v>1299.9893863603036</v>
      </c>
      <c r="BD34" s="59">
        <f t="shared" si="47"/>
        <v>-1127.98628273503</v>
      </c>
      <c r="BE34" s="42">
        <f>'[1]побудинковий звіт'!BE34+'[2]побудинковий звіт'!BE34-'[3]побудинковий звіт'!BE34</f>
        <v>0</v>
      </c>
      <c r="BF34" s="42">
        <f>'[1]побудинковий звіт'!BF34+'[2]побудинковий звіт'!BF34-'[3]побудинковий звіт'!BF34</f>
        <v>0</v>
      </c>
      <c r="BG34" s="39">
        <f t="shared" si="48"/>
        <v>0</v>
      </c>
      <c r="BH34" s="42">
        <f>'[1]побудинковий звіт'!BH34+'[2]побудинковий звіт'!BH34-'[3]побудинковий звіт'!BH34</f>
        <v>0</v>
      </c>
      <c r="BI34" s="42">
        <f>'[1]побудинковий звіт'!BI34+'[2]побудинковий звіт'!BI34-'[3]побудинковий звіт'!BI34</f>
        <v>0</v>
      </c>
      <c r="BJ34" s="59">
        <f t="shared" si="49"/>
        <v>0</v>
      </c>
      <c r="BK34" s="42">
        <f>'[1]побудинковий звіт'!BK34+'[2]побудинковий звіт'!BK34-'[3]побудинковий звіт'!BK34</f>
        <v>1094.438969058577</v>
      </c>
      <c r="BL34" s="42">
        <f>'[1]побудинковий звіт'!BL34+'[2]побудинковий звіт'!BL34-'[3]побудинковий звіт'!BL34</f>
        <v>0</v>
      </c>
      <c r="BM34" s="39">
        <f t="shared" si="50"/>
        <v>-1094.438969058577</v>
      </c>
      <c r="BN34" s="42">
        <f>'[1]побудинковий звіт'!BN34+'[2]побудинковий звіт'!BN34-'[3]побудинковий звіт'!BN34</f>
        <v>0</v>
      </c>
      <c r="BO34" s="42">
        <f>'[1]побудинковий звіт'!BO34+'[2]побудинковий звіт'!BO34-'[3]побудинковий звіт'!BO34</f>
        <v>0</v>
      </c>
      <c r="BP34" s="59">
        <f t="shared" si="51"/>
        <v>0</v>
      </c>
      <c r="BQ34" s="87">
        <f t="shared" si="57"/>
        <v>7689.1999024375691</v>
      </c>
      <c r="BR34" s="43">
        <f t="shared" si="58"/>
        <v>1912.9893863603036</v>
      </c>
      <c r="BS34" s="59">
        <f t="shared" si="52"/>
        <v>-5776.2105160772653</v>
      </c>
      <c r="BT34" s="42">
        <f>'[1]побудинковий звіт'!BT34+'[2]побудинковий звіт'!BT34-'[3]побудинковий звіт'!BT34</f>
        <v>40928.143427309173</v>
      </c>
      <c r="BU34" s="42">
        <f>'[1]побудинковий звіт'!BU34+'[2]побудинковий звіт'!BU34-'[3]побудинковий звіт'!BU34</f>
        <v>56259.768870331405</v>
      </c>
      <c r="BV34" s="56">
        <f t="shared" si="25"/>
        <v>15331.625443022233</v>
      </c>
      <c r="BW34" s="42">
        <f>'[1]побудинковий звіт'!BW34+'[2]побудинковий звіт'!BW34-'[3]побудинковий звіт'!BW34</f>
        <v>26615.944405099595</v>
      </c>
      <c r="BX34" s="42">
        <f>'[1]побудинковий звіт'!BX34+'[2]побудинковий звіт'!BX34-'[3]побудинковий звіт'!BX34</f>
        <v>27783.867717527624</v>
      </c>
      <c r="BY34" s="56">
        <f t="shared" si="26"/>
        <v>1167.923312428029</v>
      </c>
      <c r="BZ34" s="42">
        <f>'[1]побудинковий звіт'!BZ34+'[2]побудинковий звіт'!BZ34-'[3]побудинковий звіт'!BZ34</f>
        <v>17165.279443952728</v>
      </c>
      <c r="CA34" s="42">
        <f>'[1]побудинковий звіт'!CA34+'[2]побудинковий звіт'!CA34-'[3]побудинковий звіт'!CA34</f>
        <v>11226.56876716331</v>
      </c>
      <c r="CB34" s="56">
        <f t="shared" si="27"/>
        <v>-5938.7106767894184</v>
      </c>
      <c r="CC34" s="42">
        <f>'[1]побудинковий звіт'!CC34+'[2]побудинковий звіт'!CC34-'[3]побудинковий звіт'!CC34</f>
        <v>1014.7572578206309</v>
      </c>
      <c r="CD34" s="42">
        <f>'[1]побудинковий звіт'!CD34+'[2]побудинковий звіт'!CD34-'[3]побудинковий звіт'!CD34</f>
        <v>1005.832180845433</v>
      </c>
      <c r="CE34" s="56">
        <f t="shared" si="28"/>
        <v>-8.9250769751979533</v>
      </c>
      <c r="CF34" s="42">
        <f>'[1]побудинковий звіт'!CF34+'[2]побудинковий звіт'!CF34-'[3]побудинковий звіт'!CF34</f>
        <v>124.92276848170647</v>
      </c>
      <c r="CG34" s="42">
        <f>'[1]побудинковий звіт'!CG34+'[2]побудинковий звіт'!CG34-'[3]побудинковий звіт'!CG34</f>
        <v>0</v>
      </c>
      <c r="CH34" s="56">
        <f t="shared" si="29"/>
        <v>-124.92276848170647</v>
      </c>
      <c r="CI34" s="42">
        <f>'[1]побудинковий звіт'!CI34+'[2]побудинковий звіт'!CI34-'[3]побудинковий звіт'!CI34</f>
        <v>2320.9731219718246</v>
      </c>
      <c r="CJ34" s="42">
        <f>'[1]побудинковий звіт'!CJ34+'[2]побудинковий звіт'!CJ34-'[3]побудинковий звіт'!CJ34</f>
        <v>1603.2779225955583</v>
      </c>
      <c r="CK34" s="56">
        <f t="shared" si="30"/>
        <v>-717.69519937626637</v>
      </c>
      <c r="CL34" s="42">
        <f>'[1]побудинковий звіт'!CL34+'[2]побудинковий звіт'!CL34-'[3]побудинковий звіт'!CL34</f>
        <v>0</v>
      </c>
      <c r="CM34" s="42">
        <f>'[1]побудинковий звіт'!CM34+'[2]побудинковий звіт'!CM34-'[3]побудинковий звіт'!CM34</f>
        <v>0</v>
      </c>
      <c r="CN34" s="56">
        <f t="shared" si="31"/>
        <v>0</v>
      </c>
      <c r="CO34" s="42">
        <f t="shared" si="7"/>
        <v>2320.9731219718246</v>
      </c>
      <c r="CP34" s="43">
        <f t="shared" si="32"/>
        <v>1603.2779225955583</v>
      </c>
      <c r="CQ34" s="56">
        <f t="shared" si="33"/>
        <v>-717.69519937626637</v>
      </c>
      <c r="CR34" s="78">
        <f t="shared" si="8"/>
        <v>167455.39702712127</v>
      </c>
      <c r="CS34" s="5">
        <f t="shared" si="8"/>
        <v>177066.39065189578</v>
      </c>
      <c r="CT34" s="56">
        <f t="shared" si="34"/>
        <v>9610.9936247745063</v>
      </c>
      <c r="CU34" s="87">
        <f t="shared" si="35"/>
        <v>200946.47643254552</v>
      </c>
      <c r="CV34" s="70">
        <f t="shared" si="36"/>
        <v>212479.66878227494</v>
      </c>
      <c r="CW34" s="37">
        <f t="shared" si="37"/>
        <v>11533.192349729419</v>
      </c>
      <c r="CX34" s="42">
        <f>'[1]побудинковий звіт'!CX34+'[2]побудинковий звіт'!CX34-'[3]побудинковий звіт'!CX34</f>
        <v>-62.996432545493008</v>
      </c>
      <c r="CY34" s="42">
        <f>'[1]побудинковий звіт'!CY34+'[2]побудинковий звіт'!CY34-'[3]побудинковий звіт'!CY34</f>
        <v>-11596.188782274927</v>
      </c>
      <c r="CZ34" s="56">
        <f t="shared" si="38"/>
        <v>-11533.192349729434</v>
      </c>
      <c r="DA34" s="264">
        <f>'[4]побудинковий звіт'!DA34</f>
        <v>27683.403773617916</v>
      </c>
      <c r="DB34" s="2">
        <v>2</v>
      </c>
      <c r="DC34" s="717">
        <f>'[4]побудинковий звіт'!DC34</f>
        <v>54781.37</v>
      </c>
      <c r="DD34" s="717">
        <f>'[4]побудинковий звіт'!DD34</f>
        <v>1044.95</v>
      </c>
      <c r="DE34" s="717">
        <f>'[4]побудинковий звіт'!DE34</f>
        <v>39620.03</v>
      </c>
      <c r="DF34" s="717">
        <f>'[4]побудинковий звіт'!DF34</f>
        <v>-534</v>
      </c>
      <c r="DG34" s="787">
        <v>13532.162546917447</v>
      </c>
      <c r="DH34" s="761">
        <f t="shared" si="39"/>
        <v>2410601.7600000007</v>
      </c>
      <c r="DI34" s="784"/>
      <c r="DJ34" s="5"/>
      <c r="DK34" s="317">
        <f>VLOOKUP($A34,ціни!$A$4:$G$401,5)</f>
        <v>5.2504992648654643</v>
      </c>
      <c r="DL34" s="317"/>
      <c r="DM34" s="317">
        <f>VLOOKUP($A34,ціни!$A$4:$G$401,7)</f>
        <v>4.3290859710518665</v>
      </c>
      <c r="DN34" s="30">
        <f t="shared" si="55"/>
        <v>21436.213348666231</v>
      </c>
      <c r="DO34" s="30">
        <f t="shared" si="56"/>
        <v>1578.9475262217475</v>
      </c>
      <c r="DP34" s="316">
        <f t="shared" si="40"/>
        <v>23015.160874887981</v>
      </c>
      <c r="DQ34" s="104"/>
      <c r="DR34" s="30">
        <f>VLOOKUP(A34,'ДЗ нас '!$A$1:$C$359,2)</f>
        <v>15161.34</v>
      </c>
      <c r="DS34" s="748">
        <f>VLOOKUP(A34,'ДЗ нежит'!$A$1:$D$153,4,0)</f>
        <v>1578.95</v>
      </c>
      <c r="DT34" s="30">
        <f t="shared" si="41"/>
        <v>16740.29</v>
      </c>
      <c r="DU34" s="257">
        <f>VLOOKUP(A34,'новий кошторис с 01.06'!$A$4:$AI$399,35)*1.2</f>
        <v>16745.539702712125</v>
      </c>
      <c r="DV34" s="30">
        <f t="shared" si="42"/>
        <v>-5.2497027121244173</v>
      </c>
      <c r="DW34" s="930">
        <f>'[5]побудинковий звіт'!DW34+'[6]побудинковий звіт'!DW34</f>
        <v>236</v>
      </c>
      <c r="DY34" s="5">
        <f t="shared" si="9"/>
        <v>40359.634874873533</v>
      </c>
      <c r="DZ34" s="5">
        <f t="shared" si="10"/>
        <v>45244.787263632366</v>
      </c>
      <c r="EA34" s="752">
        <f t="shared" si="43"/>
        <v>39086.03</v>
      </c>
      <c r="EC34" s="592">
        <f t="shared" si="11"/>
        <v>311325.94991948456</v>
      </c>
      <c r="EE34" s="758">
        <v>13292</v>
      </c>
      <c r="EF34" s="738">
        <f t="shared" si="12"/>
        <v>26824.162546917447</v>
      </c>
      <c r="EH34" s="813">
        <v>15510.231740190926</v>
      </c>
    </row>
    <row r="35" spans="1:138" x14ac:dyDescent="0.3">
      <c r="A35" s="328">
        <v>150000976</v>
      </c>
      <c r="B35" s="44" t="s">
        <v>483</v>
      </c>
      <c r="C35" s="45" t="s">
        <v>149</v>
      </c>
      <c r="D35" s="45" t="s">
        <v>149</v>
      </c>
      <c r="E35" s="40">
        <f t="shared" si="3"/>
        <v>364.29999999999995</v>
      </c>
      <c r="F35" s="490">
        <v>263.39999999999998</v>
      </c>
      <c r="G35" s="30"/>
      <c r="H35" s="30">
        <v>100.9</v>
      </c>
      <c r="I35" s="42">
        <f>'[1]побудинковий звіт'!I35+'[2]побудинковий звіт'!I35-'[3]побудинковий звіт'!I35</f>
        <v>4528.3414276007479</v>
      </c>
      <c r="J35" s="42">
        <f>'[1]побудинковий звіт'!J35+'[2]побудинковий звіт'!J35-'[3]побудинковий звіт'!J35</f>
        <v>4476.0523735652905</v>
      </c>
      <c r="K35" s="56">
        <f t="shared" si="13"/>
        <v>-52.289054035457411</v>
      </c>
      <c r="L35" s="42">
        <f>'[1]побудинковий звіт'!L35+'[2]побудинковий звіт'!L35-'[3]побудинковий звіт'!L35</f>
        <v>829.39944325873398</v>
      </c>
      <c r="M35" s="42">
        <f>'[1]побудинковий звіт'!M35+'[2]побудинковий звіт'!M35-'[3]побудинковий звіт'!M35</f>
        <v>836.82557245880571</v>
      </c>
      <c r="N35" s="56">
        <f t="shared" si="14"/>
        <v>7.4261292000717276</v>
      </c>
      <c r="O35" s="42">
        <f>'[1]побудинковий звіт'!O35+'[2]побудинковий звіт'!O35-'[3]побудинковий звіт'!O35</f>
        <v>1257.3599999999999</v>
      </c>
      <c r="P35" s="42">
        <f>'[1]побудинковий звіт'!P35+'[2]побудинковий звіт'!P35-'[3]побудинковий звіт'!P35</f>
        <v>988.29887580645163</v>
      </c>
      <c r="Q35" s="56">
        <f t="shared" si="15"/>
        <v>-269.06112419354827</v>
      </c>
      <c r="R35" s="42">
        <f>'[1]побудинковий звіт'!R35+'[2]побудинковий звіт'!R35-'[3]побудинковий звіт'!R35</f>
        <v>310.44</v>
      </c>
      <c r="S35" s="42">
        <f>'[1]побудинковий звіт'!S35+'[2]побудинковий звіт'!S35-'[3]побудинковий звіт'!S35</f>
        <v>244.0624443548387</v>
      </c>
      <c r="T35" s="56">
        <f t="shared" si="16"/>
        <v>-66.377555645161294</v>
      </c>
      <c r="U35" s="42">
        <f>'[1]побудинковий звіт'!U35+'[2]побудинковий звіт'!U35-'[3]побудинковий звіт'!U35</f>
        <v>0</v>
      </c>
      <c r="V35" s="42">
        <f>'[1]побудинковий звіт'!V35+'[2]побудинковий звіт'!V35-'[3]побудинковий звіт'!V35</f>
        <v>0</v>
      </c>
      <c r="W35" s="56">
        <f t="shared" si="17"/>
        <v>0</v>
      </c>
      <c r="X35" s="42">
        <f>'[1]побудинковий звіт'!X35+'[2]побудинковий звіт'!X35-'[3]побудинковий звіт'!X35</f>
        <v>1655.8291424560907</v>
      </c>
      <c r="Y35" s="42">
        <f>'[1]побудинковий звіт'!Y35+'[2]побудинковий звіт'!Y35-'[3]побудинковий звіт'!Y35</f>
        <v>1213.6000963863282</v>
      </c>
      <c r="Z35" s="56">
        <f t="shared" si="18"/>
        <v>-442.22904606976249</v>
      </c>
      <c r="AA35" s="42">
        <f>'[1]побудинковий звіт'!AA35+'[2]побудинковий звіт'!AA35-'[3]побудинковий звіт'!AA35</f>
        <v>0</v>
      </c>
      <c r="AB35" s="42">
        <f>'[1]побудинковий звіт'!AB35+'[2]побудинковий звіт'!AB35-'[3]побудинковий звіт'!AB35</f>
        <v>0</v>
      </c>
      <c r="AC35" s="56">
        <f t="shared" si="19"/>
        <v>0</v>
      </c>
      <c r="AD35" s="42">
        <f>'[1]побудинковий звіт'!AD35+'[2]побудинковий звіт'!AD35-'[3]побудинковий звіт'!AD35</f>
        <v>3953.0062524471205</v>
      </c>
      <c r="AE35" s="42">
        <f>'[1]побудинковий звіт'!AE35+'[2]побудинковий звіт'!AE35-'[3]побудинковий звіт'!AE35</f>
        <v>3635.9716215602575</v>
      </c>
      <c r="AF35" s="37">
        <f t="shared" si="20"/>
        <v>-317.03463088686294</v>
      </c>
      <c r="AG35" s="87">
        <f t="shared" si="4"/>
        <v>12534.376265762694</v>
      </c>
      <c r="AH35" s="57">
        <f t="shared" si="4"/>
        <v>11394.810984131971</v>
      </c>
      <c r="AI35" s="56">
        <f t="shared" si="21"/>
        <v>-1139.5652816307229</v>
      </c>
      <c r="AJ35" s="42">
        <f>'[1]побудинковий звіт'!AJ35+'[2]побудинковий звіт'!AJ35-'[3]побудинковий звіт'!AJ35</f>
        <v>0</v>
      </c>
      <c r="AK35" s="42">
        <f>'[1]побудинковий звіт'!AK35+'[2]побудинковий звіт'!AK35-'[3]побудинковий звіт'!AK35</f>
        <v>0</v>
      </c>
      <c r="AL35" s="56">
        <f t="shared" si="22"/>
        <v>0</v>
      </c>
      <c r="AM35" s="42">
        <f>'[1]побудинковий звіт'!AM35+'[2]побудинковий звіт'!AM35-'[3]побудинковий звіт'!AM35</f>
        <v>0</v>
      </c>
      <c r="AN35" s="42">
        <f>'[1]побудинковий звіт'!AN35+'[2]побудинковий звіт'!AN35-'[3]побудинковий звіт'!AN35</f>
        <v>0</v>
      </c>
      <c r="AO35" s="56">
        <f t="shared" si="23"/>
        <v>0</v>
      </c>
      <c r="AP35" s="42">
        <f>'[1]побудинковий звіт'!AP35+'[2]побудинковий звіт'!AP35-'[3]побудинковий звіт'!AP35</f>
        <v>757.61411431491968</v>
      </c>
      <c r="AQ35" s="42">
        <f>'[1]побудинковий звіт'!AQ35+'[2]побудинковий звіт'!AQ35-'[3]побудинковий звіт'!AQ35</f>
        <v>753.26380904848088</v>
      </c>
      <c r="AR35" s="56">
        <f t="shared" si="24"/>
        <v>-4.3503052664387951</v>
      </c>
      <c r="AS35" s="42">
        <f>'[1]побудинковий звіт'!AS35+'[2]побудинковий звіт'!AS35-'[3]побудинковий звіт'!AS35</f>
        <v>9675.8027808819879</v>
      </c>
      <c r="AT35" s="42">
        <f>'[1]побудинковий звіт'!AT35+'[2]побудинковий звіт'!AT35-'[3]побудинковий звіт'!AT35</f>
        <v>97</v>
      </c>
      <c r="AU35" s="58">
        <f t="shared" si="44"/>
        <v>-9578.8027808819879</v>
      </c>
      <c r="AV35" s="42">
        <f>'[1]побудинковий звіт'!AV35+'[2]побудинковий звіт'!AV35-'[3]побудинковий звіт'!AV35</f>
        <v>820.02986108049629</v>
      </c>
      <c r="AW35" s="42">
        <f>'[1]побудинковий звіт'!AW35+'[2]побудинковий звіт'!AW35-'[3]побудинковий звіт'!AW35</f>
        <v>1499</v>
      </c>
      <c r="AX35" s="59">
        <f t="shared" si="45"/>
        <v>678.97013891950371</v>
      </c>
      <c r="AY35" s="42">
        <f>'[1]побудинковий звіт'!AY35+'[2]побудинковий звіт'!AY35-'[3]побудинковий звіт'!AY35</f>
        <v>1069.108211524024</v>
      </c>
      <c r="AZ35" s="42">
        <f>'[1]побудинковий звіт'!AZ35+'[2]побудинковий звіт'!AZ35-'[3]побудинковий звіт'!AZ35</f>
        <v>0</v>
      </c>
      <c r="BA35" s="37">
        <f t="shared" si="46"/>
        <v>-1069.108211524024</v>
      </c>
      <c r="BB35" s="42">
        <f>'[1]побудинковий звіт'!BB35+'[2]побудинковий звіт'!BB35-'[3]побудинковий звіт'!BB35</f>
        <v>553.36969120853234</v>
      </c>
      <c r="BC35" s="42">
        <f>'[1]побудинковий звіт'!BC35+'[2]побудинковий звіт'!BC35-'[3]побудинковий звіт'!BC35</f>
        <v>0</v>
      </c>
      <c r="BD35" s="59">
        <f t="shared" si="47"/>
        <v>-553.36969120853234</v>
      </c>
      <c r="BE35" s="42">
        <f>'[1]побудинковий звіт'!BE35+'[2]побудинковий звіт'!BE35-'[3]побудинковий звіт'!BE35</f>
        <v>370.18299840996019</v>
      </c>
      <c r="BF35" s="42">
        <f>'[1]побудинковий звіт'!BF35+'[2]побудинковий звіт'!BF35-'[3]побудинковий звіт'!BF35</f>
        <v>0</v>
      </c>
      <c r="BG35" s="39">
        <f t="shared" si="48"/>
        <v>-370.18299840996019</v>
      </c>
      <c r="BH35" s="42">
        <f>'[1]побудинковий звіт'!BH35+'[2]побудинковий звіт'!BH35-'[3]побудинковий звіт'!BH35</f>
        <v>0</v>
      </c>
      <c r="BI35" s="42">
        <f>'[1]побудинковий звіт'!BI35+'[2]побудинковий звіт'!BI35-'[3]побудинковий звіт'!BI35</f>
        <v>0</v>
      </c>
      <c r="BJ35" s="59">
        <f t="shared" si="49"/>
        <v>0</v>
      </c>
      <c r="BK35" s="42">
        <f>'[1]побудинковий звіт'!BK35+'[2]побудинковий звіт'!BK35-'[3]побудинковий звіт'!BK35</f>
        <v>177.79635838721791</v>
      </c>
      <c r="BL35" s="42">
        <f>'[1]побудинковий звіт'!BL35+'[2]побудинковий звіт'!BL35-'[3]побудинковий звіт'!BL35</f>
        <v>0</v>
      </c>
      <c r="BM35" s="39">
        <f t="shared" si="50"/>
        <v>-177.79635838721791</v>
      </c>
      <c r="BN35" s="42">
        <f>'[1]побудинковий звіт'!BN35+'[2]побудинковий звіт'!BN35-'[3]побудинковий звіт'!BN35</f>
        <v>354.54550466262333</v>
      </c>
      <c r="BO35" s="42">
        <f>'[1]побудинковий звіт'!BO35+'[2]побудинковий звіт'!BO35-'[3]побудинковий звіт'!BO35</f>
        <v>0</v>
      </c>
      <c r="BP35" s="59">
        <f t="shared" si="51"/>
        <v>-354.54550466262333</v>
      </c>
      <c r="BQ35" s="87">
        <f t="shared" si="57"/>
        <v>3345.0326252728541</v>
      </c>
      <c r="BR35" s="43">
        <f t="shared" si="58"/>
        <v>1499</v>
      </c>
      <c r="BS35" s="59">
        <f t="shared" si="52"/>
        <v>-1846.0326252728541</v>
      </c>
      <c r="BT35" s="42">
        <f>'[1]побудинковий звіт'!BT35+'[2]побудинковий звіт'!BT35-'[3]побудинковий звіт'!BT35</f>
        <v>13307.911690243716</v>
      </c>
      <c r="BU35" s="42">
        <f>'[1]побудинковий звіт'!BU35+'[2]побудинковий звіт'!BU35-'[3]побудинковий звіт'!BU35</f>
        <v>20566.490574176147</v>
      </c>
      <c r="BV35" s="56">
        <f t="shared" si="25"/>
        <v>7258.5788839324305</v>
      </c>
      <c r="BW35" s="42">
        <f>'[1]побудинковий звіт'!BW35+'[2]побудинковий звіт'!BW35-'[3]побудинковий звіт'!BW35</f>
        <v>7268.2287553283486</v>
      </c>
      <c r="BX35" s="42">
        <f>'[1]побудинковий звіт'!BX35+'[2]побудинковий звіт'!BX35-'[3]побудинковий звіт'!BX35</f>
        <v>8044.4804335907875</v>
      </c>
      <c r="BY35" s="56">
        <f t="shared" si="26"/>
        <v>776.25167826243887</v>
      </c>
      <c r="BZ35" s="42">
        <f>'[1]побудинковий звіт'!BZ35+'[2]побудинковий звіт'!BZ35-'[3]побудинковий звіт'!BZ35</f>
        <v>4571.9514763082498</v>
      </c>
      <c r="CA35" s="42">
        <f>'[1]побудинковий звіт'!CA35+'[2]побудинковий звіт'!CA35-'[3]побудинковий звіт'!CA35</f>
        <v>3395.0828379988061</v>
      </c>
      <c r="CB35" s="56">
        <f t="shared" si="27"/>
        <v>-1176.8686383094437</v>
      </c>
      <c r="CC35" s="42">
        <f>'[1]побудинковий звіт'!CC35+'[2]побудинковий звіт'!CC35-'[3]побудинковий звіт'!CC35</f>
        <v>0</v>
      </c>
      <c r="CD35" s="42">
        <f>'[1]побудинковий звіт'!CD35+'[2]побудинковий звіт'!CD35-'[3]побудинковий звіт'!CD35</f>
        <v>0</v>
      </c>
      <c r="CE35" s="56">
        <f t="shared" si="28"/>
        <v>0</v>
      </c>
      <c r="CF35" s="42">
        <f>'[1]побудинковий звіт'!CF35+'[2]побудинковий звіт'!CF35-'[3]побудинковий звіт'!CF35</f>
        <v>0</v>
      </c>
      <c r="CG35" s="42">
        <f>'[1]побудинковий звіт'!CG35+'[2]побудинковий звіт'!CG35-'[3]побудинковий звіт'!CG35</f>
        <v>0</v>
      </c>
      <c r="CH35" s="56">
        <f t="shared" si="29"/>
        <v>0</v>
      </c>
      <c r="CI35" s="42">
        <f>'[1]побудинковий звіт'!CI35+'[2]побудинковий звіт'!CI35-'[3]побудинковий звіт'!CI35</f>
        <v>2620.4535248068992</v>
      </c>
      <c r="CJ35" s="42">
        <f>'[1]побудинковий звіт'!CJ35+'[2]побудинковий звіт'!CJ35-'[3]побудинковий звіт'!CJ35</f>
        <v>1307.1193251182904</v>
      </c>
      <c r="CK35" s="56">
        <f t="shared" si="30"/>
        <v>-1313.3341996886088</v>
      </c>
      <c r="CL35" s="42">
        <f>'[1]побудинковий звіт'!CL35+'[2]побудинковий звіт'!CL35-'[3]побудинковий звіт'!CL35</f>
        <v>0</v>
      </c>
      <c r="CM35" s="42">
        <f>'[1]побудинковий звіт'!CM35+'[2]побудинковий звіт'!CM35-'[3]побудинковий звіт'!CM35</f>
        <v>0</v>
      </c>
      <c r="CN35" s="56">
        <f t="shared" si="31"/>
        <v>0</v>
      </c>
      <c r="CO35" s="42">
        <f t="shared" si="7"/>
        <v>2620.4535248068992</v>
      </c>
      <c r="CP35" s="43">
        <f t="shared" si="32"/>
        <v>1307.1193251182904</v>
      </c>
      <c r="CQ35" s="56">
        <f t="shared" si="33"/>
        <v>-1313.3341996886088</v>
      </c>
      <c r="CR35" s="78">
        <f t="shared" si="8"/>
        <v>54081.371232919671</v>
      </c>
      <c r="CS35" s="5">
        <f t="shared" si="8"/>
        <v>47057.247964064489</v>
      </c>
      <c r="CT35" s="56">
        <f t="shared" si="34"/>
        <v>-7024.1232688551827</v>
      </c>
      <c r="CU35" s="87">
        <f t="shared" si="35"/>
        <v>64897.645479503604</v>
      </c>
      <c r="CV35" s="70">
        <f t="shared" si="36"/>
        <v>56468.697556877385</v>
      </c>
      <c r="CW35" s="37">
        <f t="shared" si="37"/>
        <v>-8428.9479226262192</v>
      </c>
      <c r="CX35" s="42">
        <f>'[1]побудинковий звіт'!CX35+'[2]побудинковий звіт'!CX35-'[3]побудинковий звіт'!CX35</f>
        <v>1504.4745204963947</v>
      </c>
      <c r="CY35" s="42">
        <f>'[1]побудинковий звіт'!CY35+'[2]побудинковий звіт'!CY35-'[3]побудинковий звіт'!CY35</f>
        <v>9933.4224431226248</v>
      </c>
      <c r="CZ35" s="56">
        <f t="shared" si="38"/>
        <v>8428.9479226262301</v>
      </c>
      <c r="DA35" s="264">
        <f>'[4]побудинковий звіт'!DA35</f>
        <v>-43051.180493947875</v>
      </c>
      <c r="DB35" s="2">
        <v>2</v>
      </c>
      <c r="DC35" s="717">
        <f>'[4]побудинковий звіт'!DC35</f>
        <v>23897.63</v>
      </c>
      <c r="DD35" s="717">
        <f>'[4]побудинковий звіт'!DD35</f>
        <v>14779.42</v>
      </c>
      <c r="DE35" s="717">
        <f>'[4]побудинковий звіт'!DE35</f>
        <v>18887.810000000001</v>
      </c>
      <c r="DF35" s="717">
        <f>'[4]побудинковий звіт'!DF35</f>
        <v>14255.73</v>
      </c>
      <c r="DG35" s="787">
        <v>-33731.903280691913</v>
      </c>
      <c r="DH35" s="761">
        <f t="shared" si="39"/>
        <v>796825.44</v>
      </c>
      <c r="DI35" s="784"/>
      <c r="DJ35" s="5"/>
      <c r="DK35" s="317">
        <f>VLOOKUP($A35,ціни!$A$4:$G$401,5)</f>
        <v>6.0968567486052896</v>
      </c>
      <c r="DL35" s="317"/>
      <c r="DM35" s="317">
        <f>VLOOKUP($A35,ціни!$A$4:$G$401,7)</f>
        <v>5.1902077922694545</v>
      </c>
      <c r="DN35" s="30">
        <f t="shared" si="55"/>
        <v>1605.9120675826332</v>
      </c>
      <c r="DO35" s="30">
        <f t="shared" si="56"/>
        <v>523.69196623998801</v>
      </c>
      <c r="DP35" s="316">
        <f t="shared" si="40"/>
        <v>2129.6040338226212</v>
      </c>
      <c r="DQ35" s="104"/>
      <c r="DR35" s="30">
        <f>VLOOKUP(A35,'ДЗ нас '!$A$1:$C$359,2)</f>
        <v>5009.82</v>
      </c>
      <c r="DS35" s="748">
        <f>VLOOKUP(A35,'ДЗ нежит'!$A$1:$D$153,4,0)</f>
        <v>523.69000000000005</v>
      </c>
      <c r="DT35" s="30">
        <f t="shared" si="41"/>
        <v>5533.51</v>
      </c>
      <c r="DU35" s="257">
        <f>VLOOKUP(A35,'новий кошторис с 01.06'!$A$4:$AI$399,35)*1.2</f>
        <v>5570.3812369907264</v>
      </c>
      <c r="DV35" s="30">
        <f t="shared" si="42"/>
        <v>-36.871236990726175</v>
      </c>
      <c r="DW35" s="930">
        <f>'[5]побудинковий звіт'!DW35+'[6]побудинковий звіт'!DW35</f>
        <v>204</v>
      </c>
      <c r="DY35" s="5">
        <f t="shared" si="9"/>
        <v>15625.002487385809</v>
      </c>
      <c r="DZ35" s="5">
        <f t="shared" si="10"/>
        <v>1915.1999999999998</v>
      </c>
      <c r="EA35" s="752">
        <f t="shared" si="43"/>
        <v>33143.54</v>
      </c>
      <c r="EC35" s="592">
        <f t="shared" si="11"/>
        <v>116109.63337058385</v>
      </c>
      <c r="EE35" s="758">
        <v>44711</v>
      </c>
      <c r="EF35" s="738">
        <f t="shared" si="12"/>
        <v>10979.096719308087</v>
      </c>
      <c r="EH35" s="813">
        <v>-38210.811277607492</v>
      </c>
    </row>
    <row r="36" spans="1:138" x14ac:dyDescent="0.3">
      <c r="A36" s="328">
        <v>150000977</v>
      </c>
      <c r="B36" s="44" t="s">
        <v>484</v>
      </c>
      <c r="C36" s="45" t="s">
        <v>150</v>
      </c>
      <c r="D36" s="45" t="s">
        <v>150</v>
      </c>
      <c r="E36" s="40">
        <f t="shared" si="3"/>
        <v>553.6</v>
      </c>
      <c r="F36" s="490">
        <v>298.60000000000002</v>
      </c>
      <c r="G36" s="30"/>
      <c r="H36" s="30">
        <v>254.99999999999997</v>
      </c>
      <c r="I36" s="42">
        <f>'[1]побудинковий звіт'!I36+'[2]побудинковий звіт'!I36-'[3]побудинковий звіт'!I36</f>
        <v>4355.4833205862442</v>
      </c>
      <c r="J36" s="42">
        <f>'[1]побудинковий звіт'!J36+'[2]побудинковий звіт'!J36-'[3]побудинковий звіт'!J36</f>
        <v>4295.4505800099651</v>
      </c>
      <c r="K36" s="56">
        <f t="shared" si="13"/>
        <v>-60.032740576279139</v>
      </c>
      <c r="L36" s="42">
        <f>'[1]побудинковий звіт'!L36+'[2]побудинковий звіт'!L36-'[3]побудинковий звіт'!L36</f>
        <v>829.39944325873398</v>
      </c>
      <c r="M36" s="42">
        <f>'[1]побудинковий звіт'!M36+'[2]побудинковий звіт'!M36-'[3]побудинковий звіт'!M36</f>
        <v>836.82557245880571</v>
      </c>
      <c r="N36" s="56">
        <f t="shared" si="14"/>
        <v>7.4261292000717276</v>
      </c>
      <c r="O36" s="42">
        <f>'[1]побудинковий звіт'!O36+'[2]побудинковий звіт'!O36-'[3]побудинковий звіт'!O36</f>
        <v>1191.5999999999997</v>
      </c>
      <c r="P36" s="42">
        <f>'[1]побудинковий звіт'!P36+'[2]побудинковий звіт'!P36-'[3]побудинковий звіт'!P36</f>
        <v>936.5984010752685</v>
      </c>
      <c r="Q36" s="56">
        <f t="shared" si="15"/>
        <v>-255.00159892473118</v>
      </c>
      <c r="R36" s="42">
        <f>'[1]побудинковий звіт'!R36+'[2]побудинковий звіт'!R36-'[3]побудинковий звіт'!R36</f>
        <v>0</v>
      </c>
      <c r="S36" s="42">
        <f>'[1]побудинковий звіт'!S36+'[2]побудинковий звіт'!S36-'[3]побудинковий звіт'!S36</f>
        <v>0</v>
      </c>
      <c r="T36" s="56">
        <f t="shared" si="16"/>
        <v>0</v>
      </c>
      <c r="U36" s="42">
        <f>'[1]побудинковий звіт'!U36+'[2]побудинковий звіт'!U36-'[3]побудинковий звіт'!U36</f>
        <v>0</v>
      </c>
      <c r="V36" s="42">
        <f>'[1]побудинковий звіт'!V36+'[2]побудинковий звіт'!V36-'[3]побудинковий звіт'!V36</f>
        <v>0</v>
      </c>
      <c r="W36" s="56">
        <f t="shared" si="17"/>
        <v>0</v>
      </c>
      <c r="X36" s="42">
        <f>'[1]побудинковий звіт'!X36+'[2]побудинковий звіт'!X36-'[3]побудинковий звіт'!X36</f>
        <v>1655.8291424560907</v>
      </c>
      <c r="Y36" s="42">
        <f>'[1]побудинковий звіт'!Y36+'[2]побудинковий звіт'!Y36-'[3]побудинковий звіт'!Y36</f>
        <v>2708.6663867164493</v>
      </c>
      <c r="Z36" s="56">
        <f t="shared" si="18"/>
        <v>1052.8372442603586</v>
      </c>
      <c r="AA36" s="42">
        <f>'[1]побудинковий звіт'!AA36+'[2]побудинковий звіт'!AA36-'[3]побудинковий звіт'!AA36</f>
        <v>0</v>
      </c>
      <c r="AB36" s="42">
        <f>'[1]побудинковий звіт'!AB36+'[2]побудинковий звіт'!AB36-'[3]побудинковий звіт'!AB36</f>
        <v>0</v>
      </c>
      <c r="AC36" s="56">
        <f t="shared" si="19"/>
        <v>0</v>
      </c>
      <c r="AD36" s="42">
        <f>'[1]побудинковий звіт'!AD36+'[2]побудинковий звіт'!AD36-'[3]побудинковий звіт'!AD36</f>
        <v>3887.5860299890992</v>
      </c>
      <c r="AE36" s="42">
        <f>'[1]побудинковий звіт'!AE36+'[2]побудинковий звіт'!AE36-'[3]побудинковий звіт'!AE36</f>
        <v>3583.1963155785079</v>
      </c>
      <c r="AF36" s="37">
        <f t="shared" si="20"/>
        <v>-304.3897144105913</v>
      </c>
      <c r="AG36" s="87">
        <f t="shared" si="4"/>
        <v>11919.897936290168</v>
      </c>
      <c r="AH36" s="57">
        <f t="shared" si="4"/>
        <v>12360.737255838994</v>
      </c>
      <c r="AI36" s="56">
        <f t="shared" si="21"/>
        <v>440.8393195488261</v>
      </c>
      <c r="AJ36" s="42">
        <f>'[1]побудинковий звіт'!AJ36+'[2]побудинковий звіт'!AJ36-'[3]побудинковий звіт'!AJ36</f>
        <v>0</v>
      </c>
      <c r="AK36" s="42">
        <f>'[1]побудинковий звіт'!AK36+'[2]побудинковий звіт'!AK36-'[3]побудинковий звіт'!AK36</f>
        <v>0</v>
      </c>
      <c r="AL36" s="56">
        <f t="shared" si="22"/>
        <v>0</v>
      </c>
      <c r="AM36" s="42">
        <f>'[1]побудинковий звіт'!AM36+'[2]побудинковий звіт'!AM36-'[3]побудинковий звіт'!AM36</f>
        <v>0</v>
      </c>
      <c r="AN36" s="42">
        <f>'[1]побудинковий звіт'!AN36+'[2]побудинковий звіт'!AN36-'[3]побудинковий звіт'!AN36</f>
        <v>0</v>
      </c>
      <c r="AO36" s="56">
        <f t="shared" si="23"/>
        <v>0</v>
      </c>
      <c r="AP36" s="42">
        <f>'[1]побудинковий звіт'!AP36+'[2]побудинковий звіт'!AP36-'[3]побудинковий звіт'!AP36</f>
        <v>1846.6844036426169</v>
      </c>
      <c r="AQ36" s="42">
        <f>'[1]побудинковий звіт'!AQ36+'[2]побудинковий звіт'!AQ36-'[3]побудинковий звіт'!AQ36</f>
        <v>1554.1182012518573</v>
      </c>
      <c r="AR36" s="56">
        <f t="shared" si="24"/>
        <v>-292.5662023907596</v>
      </c>
      <c r="AS36" s="42">
        <f>'[1]побудинковий звіт'!AS36+'[2]побудинковий звіт'!AS36-'[3]побудинковий звіт'!AS36</f>
        <v>13072.906332391225</v>
      </c>
      <c r="AT36" s="42">
        <f>'[1]побудинковий звіт'!AT36+'[2]побудинковий звіт'!AT36-'[3]побудинковий звіт'!AT36</f>
        <v>2470</v>
      </c>
      <c r="AU36" s="58">
        <f t="shared" si="44"/>
        <v>-10602.906332391225</v>
      </c>
      <c r="AV36" s="42">
        <f>'[1]побудинковий звіт'!AV36+'[2]побудинковий звіт'!AV36-'[3]побудинковий звіт'!AV36</f>
        <v>809.53784551423246</v>
      </c>
      <c r="AW36" s="42">
        <f>'[1]побудинковий звіт'!AW36+'[2]побудинковий звіт'!AW36-'[3]побудинковий звіт'!AW36</f>
        <v>0</v>
      </c>
      <c r="AX36" s="59">
        <f t="shared" si="45"/>
        <v>-809.53784551423246</v>
      </c>
      <c r="AY36" s="42">
        <f>'[1]побудинковий звіт'!AY36+'[2]побудинковий звіт'!AY36-'[3]побудинковий звіт'!AY36</f>
        <v>1069.108211524024</v>
      </c>
      <c r="AZ36" s="42">
        <f>'[1]побудинковий звіт'!AZ36+'[2]побудинковий звіт'!AZ36-'[3]побудинковий звіт'!AZ36</f>
        <v>0</v>
      </c>
      <c r="BA36" s="37">
        <f t="shared" si="46"/>
        <v>-1069.108211524024</v>
      </c>
      <c r="BB36" s="42">
        <f>'[1]побудинковий звіт'!BB36+'[2]побудинковий звіт'!BB36-'[3]побудинковий звіт'!BB36</f>
        <v>634.63666133940592</v>
      </c>
      <c r="BC36" s="42">
        <f>'[1]побудинковий звіт'!BC36+'[2]побудинковий звіт'!BC36-'[3]побудинковий звіт'!BC36</f>
        <v>0</v>
      </c>
      <c r="BD36" s="59">
        <f t="shared" si="47"/>
        <v>-634.63666133940592</v>
      </c>
      <c r="BE36" s="42">
        <f>'[1]побудинковий звіт'!BE36+'[2]побудинковий звіт'!BE36-'[3]побудинковий звіт'!BE36</f>
        <v>0</v>
      </c>
      <c r="BF36" s="42">
        <f>'[1]побудинковий звіт'!BF36+'[2]побудинковий звіт'!BF36-'[3]побудинковий звіт'!BF36</f>
        <v>0</v>
      </c>
      <c r="BG36" s="39">
        <f t="shared" si="48"/>
        <v>0</v>
      </c>
      <c r="BH36" s="42">
        <f>'[1]побудинковий звіт'!BH36+'[2]побудинковий звіт'!BH36-'[3]побудинковий звіт'!BH36</f>
        <v>0</v>
      </c>
      <c r="BI36" s="42">
        <f>'[1]побудинковий звіт'!BI36+'[2]побудинковий звіт'!BI36-'[3]побудинковий звіт'!BI36</f>
        <v>0</v>
      </c>
      <c r="BJ36" s="59">
        <f t="shared" si="49"/>
        <v>0</v>
      </c>
      <c r="BK36" s="42">
        <f>'[1]побудинковий звіт'!BK36+'[2]побудинковий звіт'!BK36-'[3]побудинковий звіт'!BK36</f>
        <v>177.79635838721791</v>
      </c>
      <c r="BL36" s="42">
        <f>'[1]побудинковий звіт'!BL36+'[2]побудинковий звіт'!BL36-'[3]побудинковий звіт'!BL36</f>
        <v>0</v>
      </c>
      <c r="BM36" s="39">
        <f t="shared" si="50"/>
        <v>-177.79635838721791</v>
      </c>
      <c r="BN36" s="42">
        <f>'[1]побудинковий звіт'!BN36+'[2]побудинковий звіт'!BN36-'[3]побудинковий звіт'!BN36</f>
        <v>0</v>
      </c>
      <c r="BO36" s="42">
        <f>'[1]побудинковий звіт'!BO36+'[2]побудинковий звіт'!BO36-'[3]побудинковий звіт'!BO36</f>
        <v>0</v>
      </c>
      <c r="BP36" s="59">
        <f t="shared" si="51"/>
        <v>0</v>
      </c>
      <c r="BQ36" s="87">
        <f t="shared" si="57"/>
        <v>2691.0790767648805</v>
      </c>
      <c r="BR36" s="43">
        <f t="shared" si="58"/>
        <v>0</v>
      </c>
      <c r="BS36" s="59">
        <f t="shared" si="52"/>
        <v>-2691.0790767648805</v>
      </c>
      <c r="BT36" s="42">
        <f>'[1]побудинковий звіт'!BT36+'[2]побудинковий звіт'!BT36-'[3]побудинковий звіт'!BT36</f>
        <v>16696.669360520005</v>
      </c>
      <c r="BU36" s="42">
        <f>'[1]побудинковий звіт'!BU36+'[2]побудинковий звіт'!BU36-'[3]побудинковий звіт'!BU36</f>
        <v>18134.578148399374</v>
      </c>
      <c r="BV36" s="56">
        <f t="shared" si="25"/>
        <v>1437.9087878793689</v>
      </c>
      <c r="BW36" s="42">
        <f>'[1]побудинковий звіт'!BW36+'[2]побудинковий звіт'!BW36-'[3]побудинковий звіт'!BW36</f>
        <v>6800.0452194747886</v>
      </c>
      <c r="BX36" s="42">
        <f>'[1]побудинковий звіт'!BX36+'[2]побудинковий звіт'!BX36-'[3]побудинковий звіт'!BX36</f>
        <v>7555.6393735396678</v>
      </c>
      <c r="BY36" s="56">
        <f t="shared" si="26"/>
        <v>755.59415406487915</v>
      </c>
      <c r="BZ36" s="42">
        <f>'[1]побудинковий звіт'!BZ36+'[2]побудинковий звіт'!BZ36-'[3]побудинковий звіт'!BZ36</f>
        <v>2585.4140844191334</v>
      </c>
      <c r="CA36" s="42">
        <f>'[1]побудинковий звіт'!CA36+'[2]побудинковий звіт'!CA36-'[3]побудинковий звіт'!CA36</f>
        <v>3275.0005886727249</v>
      </c>
      <c r="CB36" s="56">
        <f t="shared" si="27"/>
        <v>689.58650425359156</v>
      </c>
      <c r="CC36" s="42">
        <f>'[1]побудинковий звіт'!CC36+'[2]побудинковий звіт'!CC36-'[3]побудинковий звіт'!CC36</f>
        <v>0</v>
      </c>
      <c r="CD36" s="42">
        <f>'[1]побудинковий звіт'!CD36+'[2]побудинковий звіт'!CD36-'[3]побудинковий звіт'!CD36</f>
        <v>0</v>
      </c>
      <c r="CE36" s="56">
        <f t="shared" si="28"/>
        <v>0</v>
      </c>
      <c r="CF36" s="42">
        <f>'[1]побудинковий звіт'!CF36+'[2]побудинковий звіт'!CF36-'[3]побудинковий звіт'!CF36</f>
        <v>0</v>
      </c>
      <c r="CG36" s="42">
        <f>'[1]побудинковий звіт'!CG36+'[2]побудинковий звіт'!CG36-'[3]побудинковий звіт'!CG36</f>
        <v>0</v>
      </c>
      <c r="CH36" s="56">
        <f t="shared" si="29"/>
        <v>0</v>
      </c>
      <c r="CI36" s="42">
        <f>'[1]побудинковий звіт'!CI36+'[2]побудинковий звіт'!CI36-'[3]побудинковий звіт'!CI36</f>
        <v>1085.6164602771439</v>
      </c>
      <c r="CJ36" s="42">
        <f>'[1]побудинковий звіт'!CJ36+'[2]побудинковий звіт'!CJ36-'[3]побудинковий звіт'!CJ36</f>
        <v>591.18383302968812</v>
      </c>
      <c r="CK36" s="56">
        <f t="shared" si="30"/>
        <v>-494.4326272474558</v>
      </c>
      <c r="CL36" s="42">
        <f>'[1]побудинковий звіт'!CL36+'[2]побудинковий звіт'!CL36-'[3]побудинковий звіт'!CL36</f>
        <v>0</v>
      </c>
      <c r="CM36" s="42">
        <f>'[1]побудинковий звіт'!CM36+'[2]побудинковий звіт'!CM36-'[3]побудинковий звіт'!CM36</f>
        <v>0</v>
      </c>
      <c r="CN36" s="56">
        <f t="shared" si="31"/>
        <v>0</v>
      </c>
      <c r="CO36" s="42">
        <f t="shared" si="7"/>
        <v>1085.6164602771439</v>
      </c>
      <c r="CP36" s="43">
        <f t="shared" si="32"/>
        <v>591.18383302968812</v>
      </c>
      <c r="CQ36" s="56">
        <f t="shared" si="33"/>
        <v>-494.4326272474558</v>
      </c>
      <c r="CR36" s="78">
        <f t="shared" si="8"/>
        <v>56698.312873779963</v>
      </c>
      <c r="CS36" s="5">
        <f t="shared" si="8"/>
        <v>45941.257400732306</v>
      </c>
      <c r="CT36" s="56">
        <f t="shared" si="34"/>
        <v>-10757.055473047658</v>
      </c>
      <c r="CU36" s="87">
        <f t="shared" si="35"/>
        <v>68037.975448535959</v>
      </c>
      <c r="CV36" s="70">
        <f t="shared" si="36"/>
        <v>55129.508880878762</v>
      </c>
      <c r="CW36" s="37">
        <f t="shared" si="37"/>
        <v>-12908.466567657197</v>
      </c>
      <c r="CX36" s="42">
        <f>'[1]побудинковий звіт'!CX36+'[2]побудинковий звіт'!CX36-'[3]побудинковий звіт'!CX36</f>
        <v>8.2645514640425972</v>
      </c>
      <c r="CY36" s="42">
        <f>'[1]побудинковий звіт'!CY36+'[2]побудинковий звіт'!CY36-'[3]побудинковий звіт'!CY36</f>
        <v>12916.731119121237</v>
      </c>
      <c r="CZ36" s="56">
        <f t="shared" si="38"/>
        <v>12908.466567657195</v>
      </c>
      <c r="DA36" s="264">
        <f>'[4]побудинковий звіт'!DA36</f>
        <v>-17643.115657700248</v>
      </c>
      <c r="DB36" s="2">
        <v>2</v>
      </c>
      <c r="DC36" s="717">
        <f>'[4]побудинковий звіт'!DC36</f>
        <v>4462.88</v>
      </c>
      <c r="DD36" s="717">
        <f>'[4]побудинковий звіт'!DD36</f>
        <v>14506.39</v>
      </c>
      <c r="DE36" s="717">
        <f>'[4]побудинковий звіт'!DE36</f>
        <v>191.85999999999967</v>
      </c>
      <c r="DF36" s="717">
        <f>'[4]побудинковий звіт'!DF36</f>
        <v>13106.89</v>
      </c>
      <c r="DG36" s="787">
        <v>2736.0315718800994</v>
      </c>
      <c r="DH36" s="761">
        <f t="shared" si="39"/>
        <v>816554.88000000012</v>
      </c>
      <c r="DI36" s="784"/>
      <c r="DJ36" s="5"/>
      <c r="DK36" s="317">
        <f>VLOOKUP($A36,ціни!$A$4:$G$401,5)</f>
        <v>6.5275952569415638</v>
      </c>
      <c r="DL36" s="317"/>
      <c r="DM36" s="317">
        <f>VLOOKUP($A36,ціни!$A$4:$G$401,7)</f>
        <v>5.4881508638699055</v>
      </c>
      <c r="DN36" s="30">
        <f t="shared" si="55"/>
        <v>1949.139943722751</v>
      </c>
      <c r="DO36" s="30">
        <f t="shared" si="56"/>
        <v>1399.4784702868258</v>
      </c>
      <c r="DP36" s="316">
        <f t="shared" si="40"/>
        <v>3348.6184140095766</v>
      </c>
      <c r="DQ36" s="104"/>
      <c r="DR36" s="30">
        <f>VLOOKUP(A36,'ДЗ нас '!$A$1:$C$359,2)</f>
        <v>4271.0200000000004</v>
      </c>
      <c r="DS36" s="748">
        <f>VLOOKUP(A36,'ДЗ нежит'!$A$1:$D$153,4,0)</f>
        <v>1399.5</v>
      </c>
      <c r="DT36" s="30">
        <f t="shared" si="41"/>
        <v>5670.52</v>
      </c>
      <c r="DU36" s="257">
        <f>VLOOKUP(A36,'новий кошторис с 01.06'!$A$4:$AI$399,35)*1.2</f>
        <v>5669.8312873779969</v>
      </c>
      <c r="DV36" s="30">
        <f t="shared" si="42"/>
        <v>0.68871262200354977</v>
      </c>
      <c r="DW36" s="930">
        <f>'[5]побудинковий звіт'!DW36+'[6]побудинковий звіт'!DW36</f>
        <v>204</v>
      </c>
      <c r="DY36" s="5">
        <f t="shared" si="9"/>
        <v>18916.782490987327</v>
      </c>
      <c r="DZ36" s="5">
        <f t="shared" si="10"/>
        <v>2964</v>
      </c>
      <c r="EA36" s="752">
        <f t="shared" si="43"/>
        <v>13298.75</v>
      </c>
      <c r="EC36" s="592">
        <f t="shared" si="11"/>
        <v>156874.87598869469</v>
      </c>
      <c r="EE36" s="758">
        <v>2457</v>
      </c>
      <c r="EF36" s="738">
        <f t="shared" si="12"/>
        <v>5193.0315718800994</v>
      </c>
      <c r="EH36" s="813">
        <v>-4805.3724661808237</v>
      </c>
    </row>
    <row r="37" spans="1:138" x14ac:dyDescent="0.3">
      <c r="A37" s="328">
        <v>150000978</v>
      </c>
      <c r="B37" s="44" t="s">
        <v>485</v>
      </c>
      <c r="C37" s="45" t="s">
        <v>243</v>
      </c>
      <c r="D37" s="45" t="s">
        <v>243</v>
      </c>
      <c r="E37" s="40">
        <f t="shared" si="3"/>
        <v>435.5</v>
      </c>
      <c r="F37" s="490">
        <v>298.39999999999998</v>
      </c>
      <c r="G37" s="30"/>
      <c r="H37" s="30">
        <v>137.1</v>
      </c>
      <c r="I37" s="42">
        <f>'[1]побудинковий звіт'!I37+'[2]побудинковий звіт'!I37-'[3]побудинковий звіт'!I37</f>
        <v>6112.1888467376102</v>
      </c>
      <c r="J37" s="42">
        <f>'[1]побудинковий звіт'!J37+'[2]побудинковий звіт'!J37-'[3]побудинковий звіт'!J37</f>
        <v>6103.6406136606347</v>
      </c>
      <c r="K37" s="56">
        <f t="shared" si="13"/>
        <v>-8.5482330769755208</v>
      </c>
      <c r="L37" s="42">
        <f>'[1]побудинковий звіт'!L37+'[2]побудинковий звіт'!L37-'[3]побудинковий звіт'!L37</f>
        <v>1048.6564392756302</v>
      </c>
      <c r="M37" s="42">
        <f>'[1]побудинковий звіт'!M37+'[2]побудинковий звіт'!M37-'[3]побудинковий звіт'!M37</f>
        <v>1058.0484583638981</v>
      </c>
      <c r="N37" s="56">
        <f t="shared" si="14"/>
        <v>9.3920190882679435</v>
      </c>
      <c r="O37" s="42">
        <f>'[1]побудинковий звіт'!O37+'[2]побудинковий звіт'!O37-'[3]побудинковий звіт'!O37</f>
        <v>2847.2400000000002</v>
      </c>
      <c r="P37" s="42">
        <f>'[1]побудинковий звіт'!P37+'[2]побудинковий звіт'!P37-'[3]побудинковий звіт'!P37</f>
        <v>2237.9858696236561</v>
      </c>
      <c r="Q37" s="56">
        <f t="shared" si="15"/>
        <v>-609.25413037634416</v>
      </c>
      <c r="R37" s="42">
        <f>'[1]побудинковий звіт'!R37+'[2]побудинковий звіт'!R37-'[3]побудинковий звіт'!R37</f>
        <v>0</v>
      </c>
      <c r="S37" s="42">
        <f>'[1]побудинковий звіт'!S37+'[2]побудинковий звіт'!S37-'[3]побудинковий звіт'!S37</f>
        <v>0</v>
      </c>
      <c r="T37" s="56">
        <f t="shared" si="16"/>
        <v>0</v>
      </c>
      <c r="U37" s="42">
        <f>'[1]побудинковий звіт'!U37+'[2]побудинковий звіт'!U37-'[3]побудинковий звіт'!U37</f>
        <v>0</v>
      </c>
      <c r="V37" s="42">
        <f>'[1]побудинковий звіт'!V37+'[2]побудинковий звіт'!V37-'[3]побудинковий звіт'!V37</f>
        <v>0</v>
      </c>
      <c r="W37" s="56">
        <f t="shared" si="17"/>
        <v>0</v>
      </c>
      <c r="X37" s="42">
        <f>'[1]побудинковий звіт'!X37+'[2]побудинковий звіт'!X37-'[3]побудинковий звіт'!X37</f>
        <v>3208.9377820978698</v>
      </c>
      <c r="Y37" s="42">
        <f>'[1]побудинковий звіт'!Y37+'[2]побудинковий звіт'!Y37-'[3]побудинковий звіт'!Y37</f>
        <v>4707.0165953033629</v>
      </c>
      <c r="Z37" s="56">
        <f t="shared" si="18"/>
        <v>1498.0788132054931</v>
      </c>
      <c r="AA37" s="42">
        <f>'[1]побудинковий звіт'!AA37+'[2]побудинковий звіт'!AA37-'[3]побудинковий звіт'!AA37</f>
        <v>0</v>
      </c>
      <c r="AB37" s="42">
        <f>'[1]побудинковий звіт'!AB37+'[2]побудинковий звіт'!AB37-'[3]побудинковий звіт'!AB37</f>
        <v>0</v>
      </c>
      <c r="AC37" s="56">
        <f t="shared" si="19"/>
        <v>0</v>
      </c>
      <c r="AD37" s="42">
        <f>'[1]побудинковий звіт'!AD37+'[2]побудинковий звіт'!AD37-'[3]побудинковий звіт'!AD37</f>
        <v>7983.405055645233</v>
      </c>
      <c r="AE37" s="42">
        <f>'[1]побудинковий звіт'!AE37+'[2]побудинковий звіт'!AE37-'[3]побудинковий звіт'!AE37</f>
        <v>7358.2512623186176</v>
      </c>
      <c r="AF37" s="37">
        <f t="shared" si="20"/>
        <v>-625.15379332661541</v>
      </c>
      <c r="AG37" s="87">
        <f t="shared" si="4"/>
        <v>21200.428123756341</v>
      </c>
      <c r="AH37" s="57">
        <f t="shared" si="4"/>
        <v>21464.942799270168</v>
      </c>
      <c r="AI37" s="56">
        <f t="shared" si="21"/>
        <v>264.51467551382666</v>
      </c>
      <c r="AJ37" s="42">
        <f>'[1]побудинковий звіт'!AJ37+'[2]побудинковий звіт'!AJ37-'[3]побудинковий звіт'!AJ37</f>
        <v>0</v>
      </c>
      <c r="AK37" s="42">
        <f>'[1]побудинковий звіт'!AK37+'[2]побудинковий звіт'!AK37-'[3]побудинковий звіт'!AK37</f>
        <v>0</v>
      </c>
      <c r="AL37" s="56">
        <f t="shared" si="22"/>
        <v>0</v>
      </c>
      <c r="AM37" s="42">
        <f>'[1]побудинковий звіт'!AM37+'[2]побудинковий звіт'!AM37-'[3]побудинковий звіт'!AM37</f>
        <v>0</v>
      </c>
      <c r="AN37" s="42">
        <f>'[1]побудинковий звіт'!AN37+'[2]побудинковий звіт'!AN37-'[3]побудинковий звіт'!AN37</f>
        <v>0</v>
      </c>
      <c r="AO37" s="56">
        <f t="shared" si="23"/>
        <v>0</v>
      </c>
      <c r="AP37" s="42">
        <f>'[1]побудинковий звіт'!AP37+'[2]побудинковий звіт'!AP37-'[3]побудинковий звіт'!AP37</f>
        <v>5255.9479180597573</v>
      </c>
      <c r="AQ37" s="42">
        <f>'[1]побудинковий звіт'!AQ37+'[2]побудинковий звіт'!AQ37-'[3]побудинковий звіт'!AQ37</f>
        <v>4380.1008370236223</v>
      </c>
      <c r="AR37" s="56">
        <f t="shared" si="24"/>
        <v>-875.84708103613502</v>
      </c>
      <c r="AS37" s="42">
        <f>'[1]побудинковий звіт'!AS37+'[2]побудинковий звіт'!AS37-'[3]побудинковий звіт'!AS37</f>
        <v>22899.60396536687</v>
      </c>
      <c r="AT37" s="42">
        <f>'[1]побудинковий звіт'!AT37+'[2]побудинковий звіт'!AT37-'[3]побудинковий звіт'!AT37</f>
        <v>25323</v>
      </c>
      <c r="AU37" s="58">
        <f t="shared" si="44"/>
        <v>2423.3960346331296</v>
      </c>
      <c r="AV37" s="42">
        <f>'[1]побудинковий звіт'!AV37+'[2]побудинковий звіт'!AV37-'[3]побудинковий звіт'!AV37</f>
        <v>1015.3422893615109</v>
      </c>
      <c r="AW37" s="42">
        <f>'[1]побудинковий звіт'!AW37+'[2]побудинковий звіт'!AW37-'[3]побудинковий звіт'!AW37</f>
        <v>0</v>
      </c>
      <c r="AX37" s="59">
        <f t="shared" si="45"/>
        <v>-1015.3422893615109</v>
      </c>
      <c r="AY37" s="42">
        <f>'[1]побудинковий звіт'!AY37+'[2]побудинковий звіт'!AY37-'[3]побудинковий звіт'!AY37</f>
        <v>1351.7095979690157</v>
      </c>
      <c r="AZ37" s="42">
        <f>'[1]побудинковий звіт'!AZ37+'[2]побудинковий звіт'!AZ37-'[3]побудинковий звіт'!AZ37</f>
        <v>605</v>
      </c>
      <c r="BA37" s="37">
        <f t="shared" si="46"/>
        <v>-746.7095979690157</v>
      </c>
      <c r="BB37" s="42">
        <f>'[1]побудинковий звіт'!BB37+'[2]побудинковий звіт'!BB37-'[3]побудинковий звіт'!BB37</f>
        <v>1182.3068432020484</v>
      </c>
      <c r="BC37" s="42">
        <f>'[1]побудинковий звіт'!BC37+'[2]побудинковий звіт'!BC37-'[3]побудинковий звіт'!BC37</f>
        <v>0</v>
      </c>
      <c r="BD37" s="59">
        <f t="shared" si="47"/>
        <v>-1182.3068432020484</v>
      </c>
      <c r="BE37" s="42">
        <f>'[1]побудинковий звіт'!BE37+'[2]побудинковий звіт'!BE37-'[3]побудинковий звіт'!BE37</f>
        <v>0</v>
      </c>
      <c r="BF37" s="42">
        <f>'[1]побудинковий звіт'!BF37+'[2]побудинковий звіт'!BF37-'[3]побудинковий звіт'!BF37</f>
        <v>0</v>
      </c>
      <c r="BG37" s="39">
        <f t="shared" si="48"/>
        <v>0</v>
      </c>
      <c r="BH37" s="42">
        <f>'[1]побудинковий звіт'!BH37+'[2]побудинковий звіт'!BH37-'[3]побудинковий звіт'!BH37</f>
        <v>0</v>
      </c>
      <c r="BI37" s="42">
        <f>'[1]побудинковий звіт'!BI37+'[2]побудинковий звіт'!BI37-'[3]побудинковий звіт'!BI37</f>
        <v>0</v>
      </c>
      <c r="BJ37" s="59">
        <f t="shared" si="49"/>
        <v>0</v>
      </c>
      <c r="BK37" s="42">
        <f>'[1]побудинковий звіт'!BK37+'[2]побудинковий звіт'!BK37-'[3]побудинковий звіт'!BK37</f>
        <v>394.35343658054012</v>
      </c>
      <c r="BL37" s="42">
        <f>'[1]побудинковий звіт'!BL37+'[2]побудинковий звіт'!BL37-'[3]побудинковий звіт'!BL37</f>
        <v>1104</v>
      </c>
      <c r="BM37" s="39">
        <f t="shared" si="50"/>
        <v>709.64656341945988</v>
      </c>
      <c r="BN37" s="42">
        <f>'[1]побудинковий звіт'!BN37+'[2]побудинковий звіт'!BN37-'[3]побудинковий звіт'!BN37</f>
        <v>0</v>
      </c>
      <c r="BO37" s="42">
        <f>'[1]побудинковий звіт'!BO37+'[2]побудинковий звіт'!BO37-'[3]побудинковий звіт'!BO37</f>
        <v>0</v>
      </c>
      <c r="BP37" s="59">
        <f t="shared" si="51"/>
        <v>0</v>
      </c>
      <c r="BQ37" s="87">
        <f t="shared" si="57"/>
        <v>3943.7121671131144</v>
      </c>
      <c r="BR37" s="43">
        <f t="shared" si="58"/>
        <v>1709</v>
      </c>
      <c r="BS37" s="59">
        <f t="shared" si="52"/>
        <v>-2234.7121671131144</v>
      </c>
      <c r="BT37" s="42">
        <f>'[1]побудинковий звіт'!BT37+'[2]побудинковий звіт'!BT37-'[3]побудинковий звіт'!BT37</f>
        <v>14820.466327917824</v>
      </c>
      <c r="BU37" s="42">
        <f>'[1]побудинковий звіт'!BU37+'[2]побудинковий звіт'!BU37-'[3]побудинковий звіт'!BU37</f>
        <v>20125.16791811517</v>
      </c>
      <c r="BV37" s="56">
        <f t="shared" si="25"/>
        <v>5304.7015901973464</v>
      </c>
      <c r="BW37" s="42">
        <f>'[1]побудинковий звіт'!BW37+'[2]побудинковий звіт'!BW37-'[3]побудинковий звіт'!BW37</f>
        <v>8528.8340943218918</v>
      </c>
      <c r="BX37" s="42">
        <f>'[1]побудинковий звіт'!BX37+'[2]побудинковий звіт'!BX37-'[3]побудинковий звіт'!BX37</f>
        <v>8897.7136917959051</v>
      </c>
      <c r="BY37" s="56">
        <f t="shared" si="26"/>
        <v>368.87959747401328</v>
      </c>
      <c r="BZ37" s="42">
        <f>'[1]побудинковий звіт'!BZ37+'[2]побудинковий звіт'!BZ37-'[3]побудинковий звіт'!BZ37</f>
        <v>7031.1649556557768</v>
      </c>
      <c r="CA37" s="42">
        <f>'[1]побудинковий звіт'!CA37+'[2]побудинковий звіт'!CA37-'[3]побудинковий звіт'!CA37</f>
        <v>4928.3225370558794</v>
      </c>
      <c r="CB37" s="56">
        <f t="shared" si="27"/>
        <v>-2102.8424185998974</v>
      </c>
      <c r="CC37" s="42">
        <f>'[1]побудинковий звіт'!CC37+'[2]побудинковий звіт'!CC37-'[3]побудинковий звіт'!CC37</f>
        <v>0</v>
      </c>
      <c r="CD37" s="42">
        <f>'[1]побудинковий звіт'!CD37+'[2]побудинковий звіт'!CD37-'[3]побудинковий звіт'!CD37</f>
        <v>0</v>
      </c>
      <c r="CE37" s="56">
        <f t="shared" si="28"/>
        <v>0</v>
      </c>
      <c r="CF37" s="42">
        <f>'[1]побудинковий звіт'!CF37+'[2]побудинковий звіт'!CF37-'[3]побудинковий звіт'!CF37</f>
        <v>0</v>
      </c>
      <c r="CG37" s="42">
        <f>'[1]побудинковий звіт'!CG37+'[2]побудинковий звіт'!CG37-'[3]побудинковий звіт'!CG37</f>
        <v>0</v>
      </c>
      <c r="CH37" s="56">
        <f t="shared" si="29"/>
        <v>0</v>
      </c>
      <c r="CI37" s="42">
        <f>'[1]побудинковий звіт'!CI37+'[2]побудинковий звіт'!CI37-'[3]побудинковий звіт'!CI37</f>
        <v>2246.1030212630558</v>
      </c>
      <c r="CJ37" s="42">
        <f>'[1]побудинковий звіт'!CJ37+'[2]побудинковий звіт'!CJ37-'[3]побудинковий звіт'!CJ37</f>
        <v>825.60738939564601</v>
      </c>
      <c r="CK37" s="56">
        <f t="shared" si="30"/>
        <v>-1420.4956318674099</v>
      </c>
      <c r="CL37" s="42">
        <f>'[1]побудинковий звіт'!CL37+'[2]побудинковий звіт'!CL37-'[3]побудинковий звіт'!CL37</f>
        <v>0</v>
      </c>
      <c r="CM37" s="42">
        <f>'[1]побудинковий звіт'!CM37+'[2]побудинковий звіт'!CM37-'[3]побудинковий звіт'!CM37</f>
        <v>0</v>
      </c>
      <c r="CN37" s="56">
        <f t="shared" si="31"/>
        <v>0</v>
      </c>
      <c r="CO37" s="42">
        <f t="shared" si="7"/>
        <v>2246.1030212630558</v>
      </c>
      <c r="CP37" s="43">
        <f t="shared" si="32"/>
        <v>825.60738939564601</v>
      </c>
      <c r="CQ37" s="56">
        <f t="shared" si="33"/>
        <v>-1420.4956318674099</v>
      </c>
      <c r="CR37" s="78">
        <f t="shared" si="8"/>
        <v>85926.260573454638</v>
      </c>
      <c r="CS37" s="5">
        <f t="shared" si="8"/>
        <v>87653.855172656389</v>
      </c>
      <c r="CT37" s="56">
        <f t="shared" si="34"/>
        <v>1727.5945992017514</v>
      </c>
      <c r="CU37" s="87">
        <f t="shared" si="35"/>
        <v>103111.51268814557</v>
      </c>
      <c r="CV37" s="70">
        <f t="shared" si="36"/>
        <v>105184.62620718767</v>
      </c>
      <c r="CW37" s="37">
        <f t="shared" si="37"/>
        <v>2073.1135190421046</v>
      </c>
      <c r="CX37" s="42">
        <f>'[1]побудинковий звіт'!CX37+'[2]побудинковий звіт'!CX37-'[3]побудинковий звіт'!CX37</f>
        <v>3093.7673118544408</v>
      </c>
      <c r="CY37" s="42">
        <f>'[1]побудинковий звіт'!CY37+'[2]побудинковий звіт'!CY37-'[3]побудинковий звіт'!CY37</f>
        <v>1020.6537928123162</v>
      </c>
      <c r="CZ37" s="56">
        <f t="shared" si="38"/>
        <v>-2073.1135190421246</v>
      </c>
      <c r="DA37" s="264">
        <f>'[4]побудинковий звіт'!DA37</f>
        <v>-7327.6605830935441</v>
      </c>
      <c r="DB37" s="2">
        <v>2</v>
      </c>
      <c r="DC37" s="717">
        <f>'[4]побудинковий звіт'!DC37</f>
        <v>34990.06</v>
      </c>
      <c r="DD37" s="717">
        <f>'[4]побудинковий звіт'!DD37</f>
        <v>2184.21</v>
      </c>
      <c r="DE37" s="717">
        <f>'[4]побудинковий звіт'!DE37</f>
        <v>26725</v>
      </c>
      <c r="DF37" s="717">
        <f>'[4]побудинковий звіт'!DF37</f>
        <v>1598.83</v>
      </c>
      <c r="DG37" s="787">
        <v>5423.9847659426741</v>
      </c>
      <c r="DH37" s="761">
        <f t="shared" si="39"/>
        <v>1274463.3599999999</v>
      </c>
      <c r="DI37" s="784"/>
      <c r="DJ37" s="5"/>
      <c r="DK37" s="317">
        <f>VLOOKUP($A37,ціни!$A$4:$G$401,5)</f>
        <v>4.7774743238734203</v>
      </c>
      <c r="DL37" s="317"/>
      <c r="DM37" s="317">
        <f>VLOOKUP($A37,ціни!$A$4:$G$401,7)</f>
        <v>4.2696882477374931</v>
      </c>
      <c r="DN37" s="30">
        <f t="shared" si="55"/>
        <v>1425.5983382438285</v>
      </c>
      <c r="DO37" s="30">
        <f t="shared" si="56"/>
        <v>585.37425876481029</v>
      </c>
      <c r="DP37" s="316">
        <f t="shared" si="40"/>
        <v>2010.9725970086388</v>
      </c>
      <c r="DQ37" s="104"/>
      <c r="DR37" s="30">
        <f>VLOOKUP(A37,'ДЗ нас '!$A$1:$C$359,2)</f>
        <v>8265.06</v>
      </c>
      <c r="DS37" s="748">
        <f>VLOOKUP(A37,'ДЗ нежит'!$A$1:$D$153,4,0)</f>
        <v>585.38</v>
      </c>
      <c r="DT37" s="30">
        <f t="shared" si="41"/>
        <v>8850.4399999999987</v>
      </c>
      <c r="DU37" s="257">
        <f>VLOOKUP(A37,'новий кошторис с 01.06'!$A$4:$AI$399,35)*1.2</f>
        <v>8901.9605954099006</v>
      </c>
      <c r="DV37" s="30">
        <f t="shared" si="42"/>
        <v>-51.520595409901944</v>
      </c>
      <c r="DW37" s="930">
        <f>'[5]побудинковий звіт'!DW37+'[6]побудинковий звіт'!DW37</f>
        <v>236</v>
      </c>
      <c r="DY37" s="5">
        <f t="shared" si="9"/>
        <v>32211.979358975979</v>
      </c>
      <c r="DZ37" s="5">
        <f t="shared" si="10"/>
        <v>32438.399999999998</v>
      </c>
      <c r="EA37" s="752">
        <f t="shared" si="43"/>
        <v>28323.83</v>
      </c>
      <c r="EC37" s="592">
        <f t="shared" si="11"/>
        <v>274795.24758440244</v>
      </c>
      <c r="EE37" s="758">
        <v>4393</v>
      </c>
      <c r="EF37" s="738">
        <f t="shared" si="12"/>
        <v>9816.9847659426741</v>
      </c>
      <c r="EH37" s="813">
        <v>-11633.036542035508</v>
      </c>
    </row>
    <row r="38" spans="1:138" x14ac:dyDescent="0.3">
      <c r="A38" s="328">
        <v>150000966</v>
      </c>
      <c r="B38" s="44" t="s">
        <v>486</v>
      </c>
      <c r="C38" s="45" t="s">
        <v>204</v>
      </c>
      <c r="D38" s="45" t="s">
        <v>204</v>
      </c>
      <c r="E38" s="40">
        <f t="shared" si="3"/>
        <v>475.51</v>
      </c>
      <c r="F38" s="490">
        <v>236.7</v>
      </c>
      <c r="G38" s="30"/>
      <c r="H38" s="30">
        <v>238.81</v>
      </c>
      <c r="I38" s="42">
        <f>'[1]побудинковий звіт'!I38+'[2]побудинковий звіт'!I38-'[3]побудинковий звіт'!I38</f>
        <v>4435.5807739018737</v>
      </c>
      <c r="J38" s="42">
        <f>'[1]побудинковий звіт'!J38+'[2]побудинковий звіт'!J38-'[3]побудинковий звіт'!J38</f>
        <v>4408.9433168656051</v>
      </c>
      <c r="K38" s="56">
        <f t="shared" si="13"/>
        <v>-26.637457036268643</v>
      </c>
      <c r="L38" s="42">
        <f>'[1]побудинковий звіт'!L38+'[2]побудинковий звіт'!L38-'[3]побудинковий звіт'!L38</f>
        <v>901.59389293347101</v>
      </c>
      <c r="M38" s="42">
        <f>'[1]побудинковий звіт'!M38+'[2]побудинковий звіт'!M38-'[3]побудинковий звіт'!M38</f>
        <v>909.67089521297908</v>
      </c>
      <c r="N38" s="56">
        <f t="shared" si="14"/>
        <v>8.0770022795080649</v>
      </c>
      <c r="O38" s="42">
        <f>'[1]побудинковий звіт'!O38+'[2]побудинковий звіт'!O38-'[3]побудинковий звіт'!O38</f>
        <v>1587.7199999999998</v>
      </c>
      <c r="P38" s="42">
        <f>'[1]побудинковий звіт'!P38+'[2]побудинковий звіт'!P38-'[3]побудинковий звіт'!P38</f>
        <v>1247.9327519354838</v>
      </c>
      <c r="Q38" s="56">
        <f t="shared" si="15"/>
        <v>-339.78724806451601</v>
      </c>
      <c r="R38" s="42">
        <f>'[1]побудинковий звіт'!R38+'[2]побудинковий звіт'!R38-'[3]побудинковий звіт'!R38</f>
        <v>0</v>
      </c>
      <c r="S38" s="42">
        <f>'[1]побудинковий звіт'!S38+'[2]побудинковий звіт'!S38-'[3]побудинковий звіт'!S38</f>
        <v>0</v>
      </c>
      <c r="T38" s="56">
        <f t="shared" si="16"/>
        <v>0</v>
      </c>
      <c r="U38" s="42">
        <f>'[1]побудинковий звіт'!U38+'[2]побудинковий звіт'!U38-'[3]побудинковий звіт'!U38</f>
        <v>0</v>
      </c>
      <c r="V38" s="42">
        <f>'[1]побудинковий звіт'!V38+'[2]побудинковий звіт'!V38-'[3]побудинковий звіт'!V38</f>
        <v>0</v>
      </c>
      <c r="W38" s="56">
        <f t="shared" si="17"/>
        <v>0</v>
      </c>
      <c r="X38" s="42">
        <f>'[1]побудинковий звіт'!X38+'[2]побудинковий звіт'!X38-'[3]побудинковий звіт'!X38</f>
        <v>2943.4674449713498</v>
      </c>
      <c r="Y38" s="42">
        <f>'[1]побудинковий звіт'!Y38+'[2]побудинковий звіт'!Y38-'[3]побудинковий звіт'!Y38</f>
        <v>2134.6303952737044</v>
      </c>
      <c r="Z38" s="56">
        <f t="shared" si="18"/>
        <v>-808.8370496976454</v>
      </c>
      <c r="AA38" s="42">
        <f>'[1]побудинковий звіт'!AA38+'[2]побудинковий звіт'!AA38-'[3]побудинковий звіт'!AA38</f>
        <v>0</v>
      </c>
      <c r="AB38" s="42">
        <f>'[1]побудинковий звіт'!AB38+'[2]побудинковий звіт'!AB38-'[3]побудинковий звіт'!AB38</f>
        <v>0</v>
      </c>
      <c r="AC38" s="56">
        <f t="shared" si="19"/>
        <v>0</v>
      </c>
      <c r="AD38" s="42">
        <f>'[1]побудинковий звіт'!AD38+'[2]побудинковий звіт'!AD38-'[3]побудинковий звіт'!AD38</f>
        <v>5014.7379804570119</v>
      </c>
      <c r="AE38" s="42">
        <f>'[1]побудинковий звіт'!AE38+'[2]побудинковий звіт'!AE38-'[3]побудинковий звіт'!AE38</f>
        <v>4621.5039221762163</v>
      </c>
      <c r="AF38" s="37">
        <f t="shared" si="20"/>
        <v>-393.23405828079558</v>
      </c>
      <c r="AG38" s="87">
        <f t="shared" si="4"/>
        <v>14883.100092263705</v>
      </c>
      <c r="AH38" s="57">
        <f t="shared" si="4"/>
        <v>13322.681281463989</v>
      </c>
      <c r="AI38" s="56">
        <f t="shared" si="21"/>
        <v>-1560.4188107997161</v>
      </c>
      <c r="AJ38" s="42">
        <f>'[1]побудинковий звіт'!AJ38+'[2]побудинковий звіт'!AJ38-'[3]побудинковий звіт'!AJ38</f>
        <v>0</v>
      </c>
      <c r="AK38" s="42">
        <f>'[1]побудинковий звіт'!AK38+'[2]побудинковий звіт'!AK38-'[3]побудинковий звіт'!AK38</f>
        <v>0</v>
      </c>
      <c r="AL38" s="56">
        <f t="shared" si="22"/>
        <v>0</v>
      </c>
      <c r="AM38" s="42">
        <f>'[1]побудинковий звіт'!AM38+'[2]побудинковий звіт'!AM38-'[3]побудинковий звіт'!AM38</f>
        <v>0</v>
      </c>
      <c r="AN38" s="42">
        <f>'[1]побудинковий звіт'!AN38+'[2]побудинковий звіт'!AN38-'[3]побудинковий звіт'!AN38</f>
        <v>0</v>
      </c>
      <c r="AO38" s="56">
        <f t="shared" si="23"/>
        <v>0</v>
      </c>
      <c r="AP38" s="42">
        <f>'[1]побудинковий звіт'!AP38+'[2]побудинковий звіт'!AP38-'[3]побудинковий звіт'!AP38</f>
        <v>2556.9476358128541</v>
      </c>
      <c r="AQ38" s="42">
        <f>'[1]побудинковий звіт'!AQ38+'[2]побудинковий звіт'!AQ38-'[3]побудинковий звіт'!AQ38</f>
        <v>1916.2982561159461</v>
      </c>
      <c r="AR38" s="56">
        <f t="shared" si="24"/>
        <v>-640.649379696908</v>
      </c>
      <c r="AS38" s="42">
        <f>'[1]побудинковий звіт'!AS38+'[2]побудинковий звіт'!AS38-'[3]побудинковий звіт'!AS38</f>
        <v>13253.691656900462</v>
      </c>
      <c r="AT38" s="42">
        <f>'[1]побудинковий звіт'!AT38+'[2]побудинковий звіт'!AT38-'[3]побудинковий звіт'!AT38</f>
        <v>4128</v>
      </c>
      <c r="AU38" s="58">
        <f t="shared" si="44"/>
        <v>-9125.6916569004625</v>
      </c>
      <c r="AV38" s="42">
        <f>'[1]побудинковий звіт'!AV38+'[2]побудинковий звіт'!AV38-'[3]побудинковий звіт'!AV38</f>
        <v>804.96705409443678</v>
      </c>
      <c r="AW38" s="42">
        <f>'[1]побудинковий звіт'!AW38+'[2]побудинковий звіт'!AW38-'[3]побудинковий звіт'!AW38</f>
        <v>808</v>
      </c>
      <c r="AX38" s="59">
        <f t="shared" si="45"/>
        <v>3.0329459055632242</v>
      </c>
      <c r="AY38" s="42">
        <f>'[1]побудинковий звіт'!AY38+'[2]побудинковий звіт'!AY38-'[3]побудинковий звіт'!AY38</f>
        <v>1161.7552519950484</v>
      </c>
      <c r="AZ38" s="42">
        <f>'[1]побудинковий звіт'!AZ38+'[2]побудинковий звіт'!AZ38-'[3]побудинковий звіт'!AZ38</f>
        <v>0</v>
      </c>
      <c r="BA38" s="37">
        <f t="shared" si="46"/>
        <v>-1161.7552519950484</v>
      </c>
      <c r="BB38" s="42">
        <f>'[1]побудинковий звіт'!BB38+'[2]побудинковий звіт'!BB38-'[3]побудинковий звіт'!BB38</f>
        <v>805.76996270419556</v>
      </c>
      <c r="BC38" s="42">
        <f>'[1]побудинковий звіт'!BC38+'[2]побудинковий звіт'!BC38-'[3]побудинковий звіт'!BC38</f>
        <v>3911.9999999999995</v>
      </c>
      <c r="BD38" s="59">
        <f t="shared" si="47"/>
        <v>3106.2300372958039</v>
      </c>
      <c r="BE38" s="42">
        <f>'[1]побудинковий звіт'!BE38+'[2]побудинковий звіт'!BE38-'[3]побудинковий звіт'!BE38</f>
        <v>0</v>
      </c>
      <c r="BF38" s="42">
        <f>'[1]побудинковий звіт'!BF38+'[2]побудинковий звіт'!BF38-'[3]побудинковий звіт'!BF38</f>
        <v>0</v>
      </c>
      <c r="BG38" s="39">
        <f t="shared" si="48"/>
        <v>0</v>
      </c>
      <c r="BH38" s="42">
        <f>'[1]побудинковий звіт'!BH38+'[2]побудинковий звіт'!BH38-'[3]побудинковий звіт'!BH38</f>
        <v>0</v>
      </c>
      <c r="BI38" s="42">
        <f>'[1]побудинковий звіт'!BI38+'[2]побудинковий звіт'!BI38-'[3]побудинковий звіт'!BI38</f>
        <v>0</v>
      </c>
      <c r="BJ38" s="59">
        <f t="shared" si="49"/>
        <v>0</v>
      </c>
      <c r="BK38" s="42">
        <f>'[1]побудинковий звіт'!BK38+'[2]побудинковий звіт'!BK38-'[3]побудинковий звіт'!BK38</f>
        <v>344.01005165057484</v>
      </c>
      <c r="BL38" s="42">
        <f>'[1]побудинковий звіт'!BL38+'[2]побудинковий звіт'!BL38-'[3]побудинковий звіт'!BL38</f>
        <v>0</v>
      </c>
      <c r="BM38" s="39">
        <f t="shared" si="50"/>
        <v>-344.01005165057484</v>
      </c>
      <c r="BN38" s="42">
        <f>'[1]побудинковий звіт'!BN38+'[2]побудинковий звіт'!BN38-'[3]побудинковий звіт'!BN38</f>
        <v>0</v>
      </c>
      <c r="BO38" s="42">
        <f>'[1]побудинковий звіт'!BO38+'[2]побудинковий звіт'!BO38-'[3]побудинковий звіт'!BO38</f>
        <v>0</v>
      </c>
      <c r="BP38" s="59">
        <f t="shared" si="51"/>
        <v>0</v>
      </c>
      <c r="BQ38" s="87">
        <f t="shared" si="57"/>
        <v>3116.5023204442559</v>
      </c>
      <c r="BR38" s="43">
        <f t="shared" si="58"/>
        <v>4720</v>
      </c>
      <c r="BS38" s="59">
        <f t="shared" si="52"/>
        <v>1603.4976795557441</v>
      </c>
      <c r="BT38" s="42">
        <f>'[1]побудинковий звіт'!BT38+'[2]побудинковий звіт'!BT38-'[3]побудинковий звіт'!BT38</f>
        <v>20898.356734198576</v>
      </c>
      <c r="BU38" s="42">
        <f>'[1]побудинковий звіт'!BU38+'[2]побудинковий звіт'!BU38-'[3]побудинковий звіт'!BU38</f>
        <v>27333.808045252415</v>
      </c>
      <c r="BV38" s="56">
        <f t="shared" si="25"/>
        <v>6435.4513110538392</v>
      </c>
      <c r="BW38" s="42">
        <f>'[1]побудинковий звіт'!BW38+'[2]побудинковий звіт'!BW38-'[3]побудинковий звіт'!BW38</f>
        <v>8044.7799702995007</v>
      </c>
      <c r="BX38" s="42">
        <f>'[1]побудинковий звіт'!BX38+'[2]побудинковий звіт'!BX38-'[3]побудинковий звіт'!BX38</f>
        <v>11026.547612407576</v>
      </c>
      <c r="BY38" s="56">
        <f t="shared" si="26"/>
        <v>2981.7676421080751</v>
      </c>
      <c r="BZ38" s="42">
        <f>'[1]побудинковий звіт'!BZ38+'[2]побудинковий звіт'!BZ38-'[3]побудинковий звіт'!BZ38</f>
        <v>6377.3515930049562</v>
      </c>
      <c r="CA38" s="42">
        <f>'[1]побудинковий звіт'!CA38+'[2]побудинковий звіт'!CA38-'[3]побудинковий звіт'!CA38</f>
        <v>6073.9766841917153</v>
      </c>
      <c r="CB38" s="56">
        <f t="shared" si="27"/>
        <v>-303.37490881324084</v>
      </c>
      <c r="CC38" s="42">
        <f>'[1]побудинковий звіт'!CC38+'[2]побудинковий звіт'!CC38-'[3]побудинковий звіт'!CC38</f>
        <v>288.24988772875884</v>
      </c>
      <c r="CD38" s="42">
        <f>'[1]побудинковий звіт'!CD38+'[2]побудинковий звіт'!CD38-'[3]побудинковий звіт'!CD38</f>
        <v>285.71464847203595</v>
      </c>
      <c r="CE38" s="56">
        <f t="shared" si="28"/>
        <v>-2.535239256722889</v>
      </c>
      <c r="CF38" s="42">
        <f>'[1]побудинковий звіт'!CF38+'[2]побудинковий звіт'!CF38-'[3]побудинковий звіт'!CF38</f>
        <v>35.485308148426761</v>
      </c>
      <c r="CG38" s="42">
        <f>'[1]побудинковий звіт'!CG38+'[2]побудинковий звіт'!CG38-'[3]побудинковий звіт'!CG38</f>
        <v>0</v>
      </c>
      <c r="CH38" s="56">
        <f t="shared" si="29"/>
        <v>-35.485308148426761</v>
      </c>
      <c r="CI38" s="42">
        <f>'[1]побудинковий звіт'!CI38+'[2]побудинковий звіт'!CI38-'[3]побудинковий звіт'!CI38</f>
        <v>2770.1937262244364</v>
      </c>
      <c r="CJ38" s="42">
        <f>'[1]побудинковий звіт'!CJ38+'[2]побудинковий звіт'!CJ38-'[3]побудинковий звіт'!CJ38</f>
        <v>2036.4990670125117</v>
      </c>
      <c r="CK38" s="56">
        <f t="shared" si="30"/>
        <v>-733.69465921192477</v>
      </c>
      <c r="CL38" s="42">
        <f>'[1]побудинковий звіт'!CL38+'[2]побудинковий звіт'!CL38-'[3]побудинковий звіт'!CL38</f>
        <v>0</v>
      </c>
      <c r="CM38" s="42">
        <f>'[1]побудинковий звіт'!CM38+'[2]побудинковий звіт'!CM38-'[3]побудинковий звіт'!CM38</f>
        <v>0</v>
      </c>
      <c r="CN38" s="56">
        <f t="shared" si="31"/>
        <v>0</v>
      </c>
      <c r="CO38" s="42">
        <f t="shared" si="7"/>
        <v>2770.1937262244364</v>
      </c>
      <c r="CP38" s="43">
        <f t="shared" si="32"/>
        <v>2036.4990670125117</v>
      </c>
      <c r="CQ38" s="56">
        <f t="shared" si="33"/>
        <v>-733.69465921192477</v>
      </c>
      <c r="CR38" s="78">
        <f t="shared" si="8"/>
        <v>72224.658925025942</v>
      </c>
      <c r="CS38" s="5">
        <f t="shared" si="8"/>
        <v>70843.52559491618</v>
      </c>
      <c r="CT38" s="56">
        <f t="shared" si="34"/>
        <v>-1381.133330109762</v>
      </c>
      <c r="CU38" s="87">
        <f t="shared" si="35"/>
        <v>86669.590710031131</v>
      </c>
      <c r="CV38" s="70">
        <f t="shared" si="36"/>
        <v>85012.230713899407</v>
      </c>
      <c r="CW38" s="37">
        <f t="shared" si="37"/>
        <v>-1657.3599961317232</v>
      </c>
      <c r="CX38" s="42">
        <f>'[1]побудинковий звіт'!CX38+'[2]побудинковий звіт'!CX38-'[3]побудинковий звіт'!CX38</f>
        <v>2042.3292899688786</v>
      </c>
      <c r="CY38" s="42">
        <f>'[1]побудинковий звіт'!CY38+'[2]побудинковий звіт'!CY38-'[3]побудинковий звіт'!CY38</f>
        <v>3699.6892861005717</v>
      </c>
      <c r="CZ38" s="56">
        <f t="shared" si="38"/>
        <v>1657.3599961316932</v>
      </c>
      <c r="DA38" s="264">
        <f>'[4]побудинковий звіт'!DA38</f>
        <v>-4547.3489265399585</v>
      </c>
      <c r="DB38" s="2">
        <v>2</v>
      </c>
      <c r="DC38" s="717">
        <f>'[4]побудинковий звіт'!DC38</f>
        <v>52785.279999999999</v>
      </c>
      <c r="DD38" s="717">
        <f>'[4]побудинковий звіт'!DD38</f>
        <v>11714.259999999998</v>
      </c>
      <c r="DE38" s="717">
        <f>'[4]побудинковий звіт'!DE38</f>
        <v>46732.13</v>
      </c>
      <c r="DF38" s="717">
        <f>'[4]побудинковий звіт'!DF38</f>
        <v>10374.749999999998</v>
      </c>
      <c r="DG38" s="787">
        <v>6426.1340545530838</v>
      </c>
      <c r="DH38" s="761">
        <f t="shared" si="39"/>
        <v>1064543.04</v>
      </c>
      <c r="DI38" s="784"/>
      <c r="DJ38" s="5"/>
      <c r="DK38" s="317">
        <f>VLOOKUP($A38,ціни!$A$4:$G$401,5)</f>
        <v>6.4919833611606617</v>
      </c>
      <c r="DL38" s="317"/>
      <c r="DM38" s="317">
        <f>VLOOKUP($A38,ціни!$A$4:$G$401,7)</f>
        <v>5.6091247455764019</v>
      </c>
      <c r="DN38" s="30">
        <f t="shared" si="55"/>
        <v>1536.6524615867286</v>
      </c>
      <c r="DO38" s="30">
        <f t="shared" si="56"/>
        <v>1339.5150804911007</v>
      </c>
      <c r="DP38" s="316">
        <f t="shared" si="40"/>
        <v>2876.1675420778292</v>
      </c>
      <c r="DQ38" s="104"/>
      <c r="DR38" s="30">
        <f>VLOOKUP(A38,'ДЗ нас '!$A$1:$C$359,2)</f>
        <v>6053.15</v>
      </c>
      <c r="DS38" s="748">
        <f>VLOOKUP(A38,'ДЗ нежит'!$A$1:$D$153,4,0)</f>
        <v>1339.51</v>
      </c>
      <c r="DT38" s="30">
        <f t="shared" si="41"/>
        <v>7392.66</v>
      </c>
      <c r="DU38" s="257">
        <f>VLOOKUP(A38,'новий кошторис с 01.06'!$A$4:$AI$399,35)*1.2</f>
        <v>7439.1398692776711</v>
      </c>
      <c r="DV38" s="30">
        <f t="shared" si="42"/>
        <v>-46.479869277671241</v>
      </c>
      <c r="DW38" s="930">
        <f>'[5]побудинковий звіт'!DW38+'[6]побудинковий звіт'!DW38</f>
        <v>204</v>
      </c>
      <c r="DY38" s="5">
        <f t="shared" si="9"/>
        <v>19644.232772813662</v>
      </c>
      <c r="DZ38" s="5">
        <f t="shared" si="10"/>
        <v>10617.6</v>
      </c>
      <c r="EA38" s="752">
        <f t="shared" si="43"/>
        <v>57106.879999999997</v>
      </c>
      <c r="EC38" s="592">
        <f t="shared" si="11"/>
        <v>159044.29988280556</v>
      </c>
      <c r="EE38" s="758">
        <v>-11804</v>
      </c>
      <c r="EF38" s="738">
        <f t="shared" si="12"/>
        <v>-5377.8659454469162</v>
      </c>
      <c r="EH38" s="813">
        <v>-4209.3331629813802</v>
      </c>
    </row>
    <row r="39" spans="1:138" x14ac:dyDescent="0.3">
      <c r="A39" s="328">
        <v>150000967</v>
      </c>
      <c r="B39" s="44" t="s">
        <v>487</v>
      </c>
      <c r="C39" s="45" t="s">
        <v>205</v>
      </c>
      <c r="D39" s="45" t="s">
        <v>205</v>
      </c>
      <c r="E39" s="40">
        <f t="shared" si="3"/>
        <v>499.4</v>
      </c>
      <c r="F39" s="490">
        <v>315.7</v>
      </c>
      <c r="G39" s="30"/>
      <c r="H39" s="30">
        <v>183.7</v>
      </c>
      <c r="I39" s="42">
        <f>'[1]побудинковий звіт'!I39+'[2]побудинковий звіт'!I39-'[3]побудинковий звіт'!I39</f>
        <v>5201.1438118119431</v>
      </c>
      <c r="J39" s="42">
        <f>'[1]побудинковий звіт'!J39+'[2]побудинковий звіт'!J39-'[3]побудинковий звіт'!J39</f>
        <v>5180.8728217693415</v>
      </c>
      <c r="K39" s="56">
        <f t="shared" si="13"/>
        <v>-20.270990042601625</v>
      </c>
      <c r="L39" s="42">
        <f>'[1]побудинковий звіт'!L39+'[2]побудинковий звіт'!L39-'[3]побудинковий звіт'!L39</f>
        <v>930.88980632443668</v>
      </c>
      <c r="M39" s="42">
        <f>'[1]побудинковий звіт'!M39+'[2]побудинковий звіт'!M39-'[3]побудинковий звіт'!M39</f>
        <v>939.22698928127079</v>
      </c>
      <c r="N39" s="56">
        <f t="shared" si="14"/>
        <v>8.3371829568341127</v>
      </c>
      <c r="O39" s="42">
        <f>'[1]побудинковий звіт'!O39+'[2]побудинковий звіт'!O39-'[3]побудинковий звіт'!O39</f>
        <v>2049.9599999999996</v>
      </c>
      <c r="P39" s="42">
        <f>'[1]побудинковий звіт'!P39+'[2]побудинковий звіт'!P39-'[3]побудинковий звіт'!P39</f>
        <v>1611.3377999999998</v>
      </c>
      <c r="Q39" s="56">
        <f t="shared" si="15"/>
        <v>-438.62219999999979</v>
      </c>
      <c r="R39" s="42">
        <f>'[1]побудинковий звіт'!R39+'[2]побудинковий звіт'!R39-'[3]побудинковий звіт'!R39</f>
        <v>0</v>
      </c>
      <c r="S39" s="42">
        <f>'[1]побудинковий звіт'!S39+'[2]побудинковий звіт'!S39-'[3]побудинковий звіт'!S39</f>
        <v>0</v>
      </c>
      <c r="T39" s="56">
        <f t="shared" si="16"/>
        <v>0</v>
      </c>
      <c r="U39" s="42">
        <f>'[1]побудинковий звіт'!U39+'[2]побудинковий звіт'!U39-'[3]побудинковий звіт'!U39</f>
        <v>0</v>
      </c>
      <c r="V39" s="42">
        <f>'[1]побудинковий звіт'!V39+'[2]побудинковий звіт'!V39-'[3]побудинковий звіт'!V39</f>
        <v>0</v>
      </c>
      <c r="W39" s="56">
        <f t="shared" si="17"/>
        <v>0</v>
      </c>
      <c r="X39" s="42">
        <f>'[1]побудинковий звіт'!X39+'[2]побудинковий звіт'!X39-'[3]побудинковий звіт'!X39</f>
        <v>2969.7558275587112</v>
      </c>
      <c r="Y39" s="42">
        <f>'[1]побудинковий звіт'!Y39+'[2]побудинковий звіт'!Y39-'[3]побудинковий звіт'!Y39</f>
        <v>2205.8117191306014</v>
      </c>
      <c r="Z39" s="56">
        <f t="shared" si="18"/>
        <v>-763.94410842810976</v>
      </c>
      <c r="AA39" s="42">
        <f>'[1]побудинковий звіт'!AA39+'[2]побудинковий звіт'!AA39-'[3]побудинковий звіт'!AA39</f>
        <v>0</v>
      </c>
      <c r="AB39" s="42">
        <f>'[1]побудинковий звіт'!AB39+'[2]побудинковий звіт'!AB39-'[3]побудинковий звіт'!AB39</f>
        <v>0</v>
      </c>
      <c r="AC39" s="56">
        <f t="shared" si="19"/>
        <v>0</v>
      </c>
      <c r="AD39" s="42">
        <f>'[1]побудинковий звіт'!AD39+'[2]побудинковий звіт'!AD39-'[3]побудинковий звіт'!AD39</f>
        <v>6192.6868095393884</v>
      </c>
      <c r="AE39" s="42">
        <f>'[1]побудинковий звіт'!AE39+'[2]побудинковий звіт'!AE39-'[3]побудинковий звіт'!AE39</f>
        <v>5707.7581828590091</v>
      </c>
      <c r="AF39" s="37">
        <f t="shared" si="20"/>
        <v>-484.92862668037924</v>
      </c>
      <c r="AG39" s="87">
        <f t="shared" si="4"/>
        <v>17344.436255234479</v>
      </c>
      <c r="AH39" s="57">
        <f t="shared" si="4"/>
        <v>15645.007513040222</v>
      </c>
      <c r="AI39" s="56">
        <f t="shared" si="21"/>
        <v>-1699.4287421942572</v>
      </c>
      <c r="AJ39" s="42">
        <f>'[1]побудинковий звіт'!AJ39+'[2]побудинковий звіт'!AJ39-'[3]побудинковий звіт'!AJ39</f>
        <v>0</v>
      </c>
      <c r="AK39" s="42">
        <f>'[1]побудинковий звіт'!AK39+'[2]побудинковий звіт'!AK39-'[3]побудинковий звіт'!AK39</f>
        <v>0</v>
      </c>
      <c r="AL39" s="56">
        <f t="shared" si="22"/>
        <v>0</v>
      </c>
      <c r="AM39" s="42">
        <f>'[1]побудинковий звіт'!AM39+'[2]побудинковий звіт'!AM39-'[3]побудинковий звіт'!AM39</f>
        <v>0</v>
      </c>
      <c r="AN39" s="42">
        <f>'[1]побудинковий звіт'!AN39+'[2]побудинковий звіт'!AN39-'[3]побудинковий звіт'!AN39</f>
        <v>0</v>
      </c>
      <c r="AO39" s="56">
        <f t="shared" si="23"/>
        <v>0</v>
      </c>
      <c r="AP39" s="42">
        <f>'[1]побудинковий звіт'!AP39+'[2]побудинковий звіт'!AP39-'[3]побудинковий звіт'!AP39</f>
        <v>3835.4214537192825</v>
      </c>
      <c r="AQ39" s="42">
        <f>'[1]побудинковий звіт'!AQ39+'[2]побудинковий звіт'!AQ39-'[3]побудинковий звіт'!AQ39</f>
        <v>3387.3520697856161</v>
      </c>
      <c r="AR39" s="56">
        <f t="shared" si="24"/>
        <v>-448.06938393366636</v>
      </c>
      <c r="AS39" s="42">
        <f>'[1]побудинковий звіт'!AS39+'[2]побудинковий звіт'!AS39-'[3]побудинковий звіт'!AS39</f>
        <v>13109.049404285943</v>
      </c>
      <c r="AT39" s="42">
        <f>'[1]побудинковий звіт'!AT39+'[2]побудинковий звіт'!AT39-'[3]побудинковий звіт'!AT39</f>
        <v>8660.9701877442549</v>
      </c>
      <c r="AU39" s="58">
        <f t="shared" si="44"/>
        <v>-4448.0792165416879</v>
      </c>
      <c r="AV39" s="42">
        <f>'[1]побудинковий звіт'!AV39+'[2]побудинковий звіт'!AV39-'[3]побудинковий звіт'!AV39</f>
        <v>881.52168481373383</v>
      </c>
      <c r="AW39" s="42">
        <f>'[1]побудинковий звіт'!AW39+'[2]побудинковий звіт'!AW39-'[3]побудинковий звіт'!AW39</f>
        <v>0</v>
      </c>
      <c r="AX39" s="59">
        <f t="shared" si="45"/>
        <v>-881.52168481373383</v>
      </c>
      <c r="AY39" s="42">
        <f>'[1]побудинковий звіт'!AY39+'[2]побудинковий звіт'!AY39-'[3]побудинковий звіт'!AY39</f>
        <v>1199.9207699340923</v>
      </c>
      <c r="AZ39" s="42">
        <f>'[1]побудинковий звіт'!AZ39+'[2]побудинковий звіт'!AZ39-'[3]побудинковий звіт'!AZ39</f>
        <v>0</v>
      </c>
      <c r="BA39" s="37">
        <f t="shared" si="46"/>
        <v>-1199.9207699340923</v>
      </c>
      <c r="BB39" s="42">
        <f>'[1]побудинковий звіт'!BB39+'[2]побудинковий звіт'!BB39-'[3]побудинковий звіт'!BB39</f>
        <v>1148.1747516299097</v>
      </c>
      <c r="BC39" s="42">
        <f>'[1]побудинковий звіт'!BC39+'[2]побудинковий звіт'!BC39-'[3]побудинковий звіт'!BC39</f>
        <v>0</v>
      </c>
      <c r="BD39" s="59">
        <f t="shared" si="47"/>
        <v>-1148.1747516299097</v>
      </c>
      <c r="BE39" s="42">
        <f>'[1]побудинковий звіт'!BE39+'[2]побудинковий звіт'!BE39-'[3]побудинковий звіт'!BE39</f>
        <v>0</v>
      </c>
      <c r="BF39" s="42">
        <f>'[1]побудинковий звіт'!BF39+'[2]побудинковий звіт'!BF39-'[3]побудинковий звіт'!BF39</f>
        <v>0</v>
      </c>
      <c r="BG39" s="39">
        <f t="shared" si="48"/>
        <v>0</v>
      </c>
      <c r="BH39" s="42">
        <f>'[1]побудинковий звіт'!BH39+'[2]побудинковий звіт'!BH39-'[3]побудинковий звіт'!BH39</f>
        <v>0</v>
      </c>
      <c r="BI39" s="42">
        <f>'[1]побудинковий звіт'!BI39+'[2]побудинковий звіт'!BI39-'[3]побудинковий звіт'!BI39</f>
        <v>0</v>
      </c>
      <c r="BJ39" s="59">
        <f t="shared" si="49"/>
        <v>0</v>
      </c>
      <c r="BK39" s="42">
        <f>'[1]побудинковий звіт'!BK39+'[2]побудинковий звіт'!BK39-'[3]побудинковий звіт'!BK39</f>
        <v>360.33684092152436</v>
      </c>
      <c r="BL39" s="42">
        <f>'[1]побудинковий звіт'!BL39+'[2]побудинковий звіт'!BL39-'[3]побудинковий звіт'!BL39</f>
        <v>0</v>
      </c>
      <c r="BM39" s="39">
        <f t="shared" si="50"/>
        <v>-360.33684092152436</v>
      </c>
      <c r="BN39" s="42">
        <f>'[1]побудинковий звіт'!BN39+'[2]побудинковий звіт'!BN39-'[3]побудинковий звіт'!BN39</f>
        <v>0</v>
      </c>
      <c r="BO39" s="42">
        <f>'[1]побудинковий звіт'!BO39+'[2]побудинковий звіт'!BO39-'[3]побудинковий звіт'!BO39</f>
        <v>0</v>
      </c>
      <c r="BP39" s="59">
        <f t="shared" si="51"/>
        <v>0</v>
      </c>
      <c r="BQ39" s="87">
        <f t="shared" si="57"/>
        <v>3589.9540472992603</v>
      </c>
      <c r="BR39" s="43">
        <f t="shared" si="58"/>
        <v>0</v>
      </c>
      <c r="BS39" s="59">
        <f t="shared" si="52"/>
        <v>-3589.9540472992603</v>
      </c>
      <c r="BT39" s="42">
        <f>'[1]побудинковий звіт'!BT39+'[2]побудинковий звіт'!BT39-'[3]побудинковий звіт'!BT39</f>
        <v>27474.441895240172</v>
      </c>
      <c r="BU39" s="42">
        <f>'[1]побудинковий звіт'!BU39+'[2]побудинковий звіт'!BU39-'[3]побудинковий звіт'!BU39</f>
        <v>40406.015491913022</v>
      </c>
      <c r="BV39" s="56">
        <f t="shared" si="25"/>
        <v>12931.57359667285</v>
      </c>
      <c r="BW39" s="42">
        <f>'[1]побудинковий звіт'!BW39+'[2]побудинковий звіт'!BW39-'[3]побудинковий звіт'!BW39</f>
        <v>8979.1165357172977</v>
      </c>
      <c r="BX39" s="42">
        <f>'[1]побудинковий звіт'!BX39+'[2]побудинковий звіт'!BX39-'[3]побудинковий звіт'!BX39</f>
        <v>12205.693212465028</v>
      </c>
      <c r="BY39" s="56">
        <f t="shared" si="26"/>
        <v>3226.5766767477307</v>
      </c>
      <c r="BZ39" s="42">
        <f>'[1]побудинковий звіт'!BZ39+'[2]побудинковий звіт'!BZ39-'[3]побудинковий звіт'!BZ39</f>
        <v>12339.109050015355</v>
      </c>
      <c r="CA39" s="42">
        <f>'[1]побудинковий звіт'!CA39+'[2]побудинковий звіт'!CA39-'[3]побудинковий звіт'!CA39</f>
        <v>8647.5244346425461</v>
      </c>
      <c r="CB39" s="56">
        <f t="shared" si="27"/>
        <v>-3691.5846153728089</v>
      </c>
      <c r="CC39" s="42">
        <f>'[1]побудинковий звіт'!CC39+'[2]побудинковий звіт'!CC39-'[3]побудинковий звіт'!CC39</f>
        <v>905.92821857609943</v>
      </c>
      <c r="CD39" s="42">
        <f>'[1]побудинковий звіт'!CD39+'[2]побудинковий звіт'!CD39-'[3]побудинковий звіт'!CD39</f>
        <v>897.96032376925598</v>
      </c>
      <c r="CE39" s="56">
        <f t="shared" si="28"/>
        <v>-7.9678948068434465</v>
      </c>
      <c r="CF39" s="42">
        <f>'[1]побудинковий звіт'!CF39+'[2]побудинковий звіт'!CF39-'[3]побудинковий звіт'!CF39</f>
        <v>111.52525418076982</v>
      </c>
      <c r="CG39" s="42">
        <f>'[1]побудинковий звіт'!CG39+'[2]побудинковий звіт'!CG39-'[3]побудинковий звіт'!CG39</f>
        <v>0</v>
      </c>
      <c r="CH39" s="56">
        <f t="shared" si="29"/>
        <v>-111.52525418076982</v>
      </c>
      <c r="CI39" s="42">
        <f>'[1]побудинковий звіт'!CI39+'[2]побудинковий звіт'!CI39-'[3]побудинковий звіт'!CI39</f>
        <v>2489.4308485665547</v>
      </c>
      <c r="CJ39" s="42">
        <f>'[1]побудинковий звіт'!CJ39+'[2]побудинковий звіт'!CJ39-'[3]побудинковий звіт'!CJ39</f>
        <v>4.7375485979001724</v>
      </c>
      <c r="CK39" s="56">
        <f t="shared" si="30"/>
        <v>-2484.6932999686546</v>
      </c>
      <c r="CL39" s="42">
        <f>'[1]побудинковий звіт'!CL39+'[2]побудинковий звіт'!CL39-'[3]побудинковий звіт'!CL39</f>
        <v>0</v>
      </c>
      <c r="CM39" s="42">
        <f>'[1]побудинковий звіт'!CM39+'[2]побудинковий звіт'!CM39-'[3]побудинковий звіт'!CM39</f>
        <v>0</v>
      </c>
      <c r="CN39" s="56">
        <f t="shared" si="31"/>
        <v>0</v>
      </c>
      <c r="CO39" s="42">
        <f t="shared" si="7"/>
        <v>2489.4308485665547</v>
      </c>
      <c r="CP39" s="43">
        <f t="shared" si="32"/>
        <v>4.7375485979001724</v>
      </c>
      <c r="CQ39" s="56">
        <f t="shared" si="33"/>
        <v>-2484.6932999686546</v>
      </c>
      <c r="CR39" s="78">
        <f t="shared" si="8"/>
        <v>90178.412962835209</v>
      </c>
      <c r="CS39" s="5">
        <f t="shared" si="8"/>
        <v>89855.260781957841</v>
      </c>
      <c r="CT39" s="56">
        <f t="shared" si="34"/>
        <v>-323.15218087736866</v>
      </c>
      <c r="CU39" s="87">
        <f t="shared" si="35"/>
        <v>108214.09555540225</v>
      </c>
      <c r="CV39" s="70">
        <f t="shared" si="36"/>
        <v>107826.31293834941</v>
      </c>
      <c r="CW39" s="37">
        <f t="shared" si="37"/>
        <v>-387.7826170528424</v>
      </c>
      <c r="CX39" s="42">
        <f>'[1]побудинковий звіт'!CX39+'[2]побудинковий звіт'!CX39-'[3]побудинковий звіт'!CX39</f>
        <v>0.34444459776022995</v>
      </c>
      <c r="CY39" s="42">
        <f>'[1]побудинковий звіт'!CY39+'[2]побудинковий звіт'!CY39-'[3]побудинковий звіт'!CY39</f>
        <v>388.12706165059808</v>
      </c>
      <c r="CZ39" s="56">
        <f t="shared" si="38"/>
        <v>387.78261705283785</v>
      </c>
      <c r="DA39" s="264">
        <f>'[4]побудинковий звіт'!DA39</f>
        <v>41865.894195558772</v>
      </c>
      <c r="DB39" s="2">
        <v>2</v>
      </c>
      <c r="DC39" s="717">
        <f>'[4]побудинковий звіт'!DC39</f>
        <v>11572.01</v>
      </c>
      <c r="DD39" s="717">
        <f>'[4]побудинковий звіт'!DD39</f>
        <v>8981.18</v>
      </c>
      <c r="DE39" s="717">
        <f>'[4]побудинковий звіт'!DE39</f>
        <v>3584.05</v>
      </c>
      <c r="DF39" s="717">
        <f>'[4]побудинковий звіт'!DF39</f>
        <v>7951.27</v>
      </c>
      <c r="DG39" s="787">
        <v>42793.575832653092</v>
      </c>
      <c r="DH39" s="761">
        <f t="shared" si="39"/>
        <v>1298573.2800000003</v>
      </c>
      <c r="DI39" s="784"/>
      <c r="DJ39" s="5"/>
      <c r="DK39" s="317">
        <f>VLOOKUP($A39,ціни!$A$4:$G$401,5)</f>
        <v>6.3165607457523425</v>
      </c>
      <c r="DL39" s="317"/>
      <c r="DM39" s="317">
        <f>VLOOKUP($A39,ціни!$A$4:$G$401,7)</f>
        <v>5.606524644556921</v>
      </c>
      <c r="DN39" s="30">
        <f t="shared" si="55"/>
        <v>1994.1382274340144</v>
      </c>
      <c r="DO39" s="30">
        <f t="shared" si="56"/>
        <v>1029.9185772051064</v>
      </c>
      <c r="DP39" s="316">
        <f t="shared" si="40"/>
        <v>3024.0568046391209</v>
      </c>
      <c r="DQ39" s="104"/>
      <c r="DR39" s="30">
        <f>VLOOKUP(A39,'ДЗ нас '!$A$1:$C$359,2)</f>
        <v>7987.96</v>
      </c>
      <c r="DS39" s="748">
        <f>VLOOKUP(A39,'ДЗ нежит'!$A$1:$D$153,4,0)</f>
        <v>1029.9099999999999</v>
      </c>
      <c r="DT39" s="30">
        <f t="shared" si="41"/>
        <v>9017.869999999999</v>
      </c>
      <c r="DU39" s="257">
        <f>VLOOKUP(A39,'новий кошторис с 01.06'!$A$4:$AI$399,35)*1.2</f>
        <v>9017.8412962835191</v>
      </c>
      <c r="DV39" s="30">
        <f t="shared" si="42"/>
        <v>2.870371647986758E-2</v>
      </c>
      <c r="DW39" s="930">
        <f>'[5]побудинковий звіт'!DW39+'[6]побудинковий звіт'!DW39</f>
        <v>204</v>
      </c>
      <c r="DY39" s="5">
        <f t="shared" si="9"/>
        <v>20038.804141902241</v>
      </c>
      <c r="DZ39" s="5">
        <f t="shared" si="10"/>
        <v>10393.164225293105</v>
      </c>
      <c r="EA39" s="752">
        <f t="shared" si="43"/>
        <v>11535.32</v>
      </c>
      <c r="EC39" s="592">
        <f t="shared" si="11"/>
        <v>157308.59285143131</v>
      </c>
      <c r="EE39" s="758">
        <v>-12588</v>
      </c>
      <c r="EF39" s="738">
        <f t="shared" si="12"/>
        <v>30205.575832653092</v>
      </c>
      <c r="EH39" s="813">
        <v>42900.181819527214</v>
      </c>
    </row>
    <row r="40" spans="1:138" x14ac:dyDescent="0.3">
      <c r="A40" s="328">
        <v>150000968</v>
      </c>
      <c r="B40" s="44" t="s">
        <v>488</v>
      </c>
      <c r="C40" s="45" t="s">
        <v>244</v>
      </c>
      <c r="D40" s="45" t="s">
        <v>244</v>
      </c>
      <c r="E40" s="40">
        <f t="shared" si="3"/>
        <v>597.9</v>
      </c>
      <c r="F40" s="490">
        <v>239.9</v>
      </c>
      <c r="G40" s="30"/>
      <c r="H40" s="30">
        <v>358</v>
      </c>
      <c r="I40" s="42">
        <f>'[1]побудинковий звіт'!I40+'[2]побудинковий звіт'!I40-'[3]побудинковий звіт'!I40</f>
        <v>6112.187376305912</v>
      </c>
      <c r="J40" s="42">
        <f>'[1]побудинковий звіт'!J40+'[2]побудинковий звіт'!J40-'[3]побудинковий звіт'!J40</f>
        <v>6134.3649808840437</v>
      </c>
      <c r="K40" s="56">
        <f t="shared" si="13"/>
        <v>22.17760457813165</v>
      </c>
      <c r="L40" s="42">
        <f>'[1]побудинковий звіт'!L40+'[2]побудинковий звіт'!L40-'[3]побудинковий звіт'!L40</f>
        <v>1048.6564392756302</v>
      </c>
      <c r="M40" s="42">
        <f>'[1]побудинковий звіт'!M40+'[2]побудинковий звіт'!M40-'[3]побудинковий звіт'!M40</f>
        <v>1058.0484583638981</v>
      </c>
      <c r="N40" s="56">
        <f t="shared" si="14"/>
        <v>9.3920190882679435</v>
      </c>
      <c r="O40" s="42">
        <f>'[1]побудинковий звіт'!O40+'[2]побудинковий звіт'!O40-'[3]побудинковий звіт'!O40</f>
        <v>2692.4399999999996</v>
      </c>
      <c r="P40" s="42">
        <f>'[1]побудинковий звіт'!P40+'[2]побудинковий звіт'!P40-'[3]побудинковий звіт'!P40</f>
        <v>2116.3960677419354</v>
      </c>
      <c r="Q40" s="56">
        <f t="shared" si="15"/>
        <v>-576.04393225806416</v>
      </c>
      <c r="R40" s="42">
        <f>'[1]побудинковий звіт'!R40+'[2]побудинковий звіт'!R40-'[3]побудинковий звіт'!R40</f>
        <v>0</v>
      </c>
      <c r="S40" s="42">
        <f>'[1]побудинковий звіт'!S40+'[2]побудинковий звіт'!S40-'[3]побудинковий звіт'!S40</f>
        <v>0</v>
      </c>
      <c r="T40" s="56">
        <f t="shared" si="16"/>
        <v>0</v>
      </c>
      <c r="U40" s="42">
        <f>'[1]побудинковий звіт'!U40+'[2]побудинковий звіт'!U40-'[3]побудинковий звіт'!U40</f>
        <v>0</v>
      </c>
      <c r="V40" s="42">
        <f>'[1]побудинковий звіт'!V40+'[2]побудинковий звіт'!V40-'[3]побудинковий звіт'!V40</f>
        <v>0</v>
      </c>
      <c r="W40" s="56">
        <f t="shared" si="17"/>
        <v>0</v>
      </c>
      <c r="X40" s="42">
        <f>'[1]побудинковий звіт'!X40+'[2]побудинковий звіт'!X40-'[3]побудинковий звіт'!X40</f>
        <v>3570.2381190269925</v>
      </c>
      <c r="Y40" s="42">
        <f>'[1]побудинковий звіт'!Y40+'[2]побудинковий звіт'!Y40-'[3]побудинковий звіт'!Y40</f>
        <v>2728.8411311565751</v>
      </c>
      <c r="Z40" s="56">
        <f t="shared" si="18"/>
        <v>-841.39698787041743</v>
      </c>
      <c r="AA40" s="42">
        <f>'[1]побудинковий звіт'!AA40+'[2]побудинковий звіт'!AA40-'[3]побудинковий звіт'!AA40</f>
        <v>0</v>
      </c>
      <c r="AB40" s="42">
        <f>'[1]побудинковий звіт'!AB40+'[2]побудинковий звіт'!AB40-'[3]побудинковий звіт'!AB40</f>
        <v>0</v>
      </c>
      <c r="AC40" s="56">
        <f t="shared" si="19"/>
        <v>0</v>
      </c>
      <c r="AD40" s="42">
        <f>'[1]побудинковий звіт'!AD40+'[2]побудинковий звіт'!AD40-'[3]побудинковий звіт'!AD40</f>
        <v>9053.6456884062027</v>
      </c>
      <c r="AE40" s="42">
        <f>'[1]побудинковий звіт'!AE40+'[2]побудинковий звіт'!AE40-'[3]побудинковий звіт'!AE40</f>
        <v>8344.2749212334256</v>
      </c>
      <c r="AF40" s="37">
        <f t="shared" si="20"/>
        <v>-709.37076717277705</v>
      </c>
      <c r="AG40" s="87">
        <f t="shared" si="4"/>
        <v>22477.167623014735</v>
      </c>
      <c r="AH40" s="57">
        <f t="shared" si="4"/>
        <v>20381.925559379881</v>
      </c>
      <c r="AI40" s="56">
        <f t="shared" si="21"/>
        <v>-2095.2420636348543</v>
      </c>
      <c r="AJ40" s="42">
        <f>'[1]побудинковий звіт'!AJ40+'[2]побудинковий звіт'!AJ40-'[3]побудинковий звіт'!AJ40</f>
        <v>0</v>
      </c>
      <c r="AK40" s="42">
        <f>'[1]побудинковий звіт'!AK40+'[2]побудинковий звіт'!AK40-'[3]побудинковий звіт'!AK40</f>
        <v>0</v>
      </c>
      <c r="AL40" s="56">
        <f t="shared" si="22"/>
        <v>0</v>
      </c>
      <c r="AM40" s="42">
        <f>'[1]побудинковий звіт'!AM40+'[2]побудинковий звіт'!AM40-'[3]побудинковий звіт'!AM40</f>
        <v>0</v>
      </c>
      <c r="AN40" s="42">
        <f>'[1]побудинковий звіт'!AN40+'[2]побудинковий звіт'!AN40-'[3]побудинковий звіт'!AN40</f>
        <v>0</v>
      </c>
      <c r="AO40" s="56">
        <f t="shared" si="23"/>
        <v>0</v>
      </c>
      <c r="AP40" s="42">
        <f>'[1]побудинковий звіт'!AP40+'[2]побудинковий звіт'!AP40-'[3]побудинковий звіт'!AP40</f>
        <v>5255.9479180597573</v>
      </c>
      <c r="AQ40" s="42">
        <f>'[1]побудинковий звіт'!AQ40+'[2]побудинковий звіт'!AQ40-'[3]побудинковий звіт'!AQ40</f>
        <v>5031.8487100927496</v>
      </c>
      <c r="AR40" s="56">
        <f t="shared" si="24"/>
        <v>-224.09920796700771</v>
      </c>
      <c r="AS40" s="42">
        <f>'[1]побудинковий звіт'!AS40+'[2]побудинковий звіт'!AS40-'[3]побудинковий звіт'!AS40</f>
        <v>13921.679285053164</v>
      </c>
      <c r="AT40" s="42">
        <f>'[1]побудинковий звіт'!AT40+'[2]побудинковий звіт'!AT40-'[3]побудинковий звіт'!AT40</f>
        <v>3670.7775287421673</v>
      </c>
      <c r="AU40" s="58">
        <f t="shared" si="44"/>
        <v>-10250.901756310996</v>
      </c>
      <c r="AV40" s="42">
        <f>'[1]побудинковий звіт'!AV40+'[2]побудинковий звіт'!AV40-'[3]побудинковий звіт'!AV40</f>
        <v>1015.3422893615109</v>
      </c>
      <c r="AW40" s="42">
        <f>'[1]побудинковий звіт'!AW40+'[2]побудинковий звіт'!AW40-'[3]побудинковий звіт'!AW40</f>
        <v>0</v>
      </c>
      <c r="AX40" s="59">
        <f t="shared" si="45"/>
        <v>-1015.3422893615109</v>
      </c>
      <c r="AY40" s="42">
        <f>'[1]побудинковий звіт'!AY40+'[2]побудинковий звіт'!AY40-'[3]побудинковий звіт'!AY40</f>
        <v>1351.7095979690157</v>
      </c>
      <c r="AZ40" s="42">
        <f>'[1]побудинковий звіт'!AZ40+'[2]побудинковий звіт'!AZ40-'[3]побудинковий звіт'!AZ40</f>
        <v>0</v>
      </c>
      <c r="BA40" s="37">
        <f t="shared" si="46"/>
        <v>-1351.7095979690157</v>
      </c>
      <c r="BB40" s="42">
        <f>'[1]побудинковий звіт'!BB40+'[2]побудинковий звіт'!BB40-'[3]побудинковий звіт'!BB40</f>
        <v>1648.2240323758767</v>
      </c>
      <c r="BC40" s="42">
        <f>'[1]побудинковий звіт'!BC40+'[2]побудинковий звіт'!BC40-'[3]побудинковий звіт'!BC40</f>
        <v>0</v>
      </c>
      <c r="BD40" s="59">
        <f t="shared" si="47"/>
        <v>-1648.2240323758767</v>
      </c>
      <c r="BE40" s="42">
        <f>'[1]побудинковий звіт'!BE40+'[2]побудинковий звіт'!BE40-'[3]побудинковий звіт'!BE40</f>
        <v>0</v>
      </c>
      <c r="BF40" s="42">
        <f>'[1]побудинковий звіт'!BF40+'[2]побудинковий звіт'!BF40-'[3]побудинковий звіт'!BF40</f>
        <v>0</v>
      </c>
      <c r="BG40" s="39">
        <f t="shared" si="48"/>
        <v>0</v>
      </c>
      <c r="BH40" s="42">
        <f>'[1]побудинковий звіт'!BH40+'[2]побудинковий звіт'!BH40-'[3]побудинковий звіт'!BH40</f>
        <v>0</v>
      </c>
      <c r="BI40" s="42">
        <f>'[1]побудинковий звіт'!BI40+'[2]побудинковий звіт'!BI40-'[3]побудинковий звіт'!BI40</f>
        <v>0</v>
      </c>
      <c r="BJ40" s="59">
        <f t="shared" si="49"/>
        <v>0</v>
      </c>
      <c r="BK40" s="42">
        <f>'[1]побудинковий звіт'!BK40+'[2]побудинковий звіт'!BK40-'[3]побудинковий звіт'!BK40</f>
        <v>420.22302392221758</v>
      </c>
      <c r="BL40" s="42">
        <f>'[1]побудинковий звіт'!BL40+'[2]побудинковий звіт'!BL40-'[3]побудинковий звіт'!BL40</f>
        <v>126</v>
      </c>
      <c r="BM40" s="39">
        <f t="shared" si="50"/>
        <v>-294.22302392221758</v>
      </c>
      <c r="BN40" s="42">
        <f>'[1]побудинковий звіт'!BN40+'[2]побудинковий звіт'!BN40-'[3]побудинковий звіт'!BN40</f>
        <v>0</v>
      </c>
      <c r="BO40" s="42">
        <f>'[1]побудинковий звіт'!BO40+'[2]побудинковий звіт'!BO40-'[3]побудинковий звіт'!BO40</f>
        <v>0</v>
      </c>
      <c r="BP40" s="59">
        <f t="shared" si="51"/>
        <v>0</v>
      </c>
      <c r="BQ40" s="87">
        <f t="shared" si="57"/>
        <v>4435.4989436286205</v>
      </c>
      <c r="BR40" s="43">
        <f t="shared" si="58"/>
        <v>126</v>
      </c>
      <c r="BS40" s="59">
        <f t="shared" si="52"/>
        <v>-4309.4989436286205</v>
      </c>
      <c r="BT40" s="42">
        <f>'[1]побудинковий звіт'!BT40+'[2]побудинковий звіт'!BT40-'[3]побудинковий звіт'!BT40</f>
        <v>22250.078621833833</v>
      </c>
      <c r="BU40" s="42">
        <f>'[1]побудинковий звіт'!BU40+'[2]побудинковий звіт'!BU40-'[3]побудинковий звіт'!BU40</f>
        <v>34684.810739373541</v>
      </c>
      <c r="BV40" s="56">
        <f t="shared" si="25"/>
        <v>12434.732117539708</v>
      </c>
      <c r="BW40" s="42">
        <f>'[1]побудинковий звіт'!BW40+'[2]побудинковий звіт'!BW40-'[3]побудинковий звіт'!BW40</f>
        <v>9931.9045017869958</v>
      </c>
      <c r="BX40" s="42">
        <f>'[1]побудинковий звіт'!BX40+'[2]побудинковий звіт'!BX40-'[3]побудинковий звіт'!BX40</f>
        <v>11191.65839024358</v>
      </c>
      <c r="BY40" s="56">
        <f t="shared" si="26"/>
        <v>1259.7538884565838</v>
      </c>
      <c r="BZ40" s="42">
        <f>'[1]побудинковий звіт'!BZ40+'[2]побудинковий звіт'!BZ40-'[3]побудинковий звіт'!BZ40</f>
        <v>11411.901847414454</v>
      </c>
      <c r="CA40" s="42">
        <f>'[1]побудинковий звіт'!CA40+'[2]побудинковий звіт'!CA40-'[3]побудинковий звіт'!CA40</f>
        <v>7362.2577970991879</v>
      </c>
      <c r="CB40" s="56">
        <f t="shared" si="27"/>
        <v>-4049.6440503152662</v>
      </c>
      <c r="CC40" s="42">
        <f>'[1]побудинковий звіт'!CC40+'[2]побудинковий звіт'!CC40-'[3]побудинковий звіт'!CC40</f>
        <v>0</v>
      </c>
      <c r="CD40" s="42">
        <f>'[1]побудинковий звіт'!CD40+'[2]побудинковий звіт'!CD40-'[3]побудинковий звіт'!CD40</f>
        <v>0</v>
      </c>
      <c r="CE40" s="56">
        <f t="shared" si="28"/>
        <v>0</v>
      </c>
      <c r="CF40" s="42">
        <f>'[1]побудинковий звіт'!CF40+'[2]побудинковий звіт'!CF40-'[3]побудинковий звіт'!CF40</f>
        <v>0</v>
      </c>
      <c r="CG40" s="42">
        <f>'[1]побудинковий звіт'!CG40+'[2]побудинковий звіт'!CG40-'[3]побудинковий звіт'!CG40</f>
        <v>0</v>
      </c>
      <c r="CH40" s="56">
        <f t="shared" si="29"/>
        <v>0</v>
      </c>
      <c r="CI40" s="42">
        <f>'[1]побудинковий звіт'!CI40+'[2]побудинковий звіт'!CI40-'[3]побудинковий звіт'!CI40</f>
        <v>3088.3916542367024</v>
      </c>
      <c r="CJ40" s="42">
        <f>'[1]побудинковий звіт'!CJ40+'[2]побудинковий звіт'!CJ40-'[3]побудинковий звіт'!CJ40</f>
        <v>3094.9433757781112</v>
      </c>
      <c r="CK40" s="56">
        <f t="shared" si="30"/>
        <v>6.5517215414088241</v>
      </c>
      <c r="CL40" s="42">
        <f>'[1]побудинковий звіт'!CL40+'[2]побудинковий звіт'!CL40-'[3]побудинковий звіт'!CL40</f>
        <v>0</v>
      </c>
      <c r="CM40" s="42">
        <f>'[1]побудинковий звіт'!CM40+'[2]побудинковий звіт'!CM40-'[3]побудинковий звіт'!CM40</f>
        <v>0</v>
      </c>
      <c r="CN40" s="56">
        <f t="shared" si="31"/>
        <v>0</v>
      </c>
      <c r="CO40" s="42">
        <f t="shared" si="7"/>
        <v>3088.3916542367024</v>
      </c>
      <c r="CP40" s="43">
        <f t="shared" si="32"/>
        <v>3094.9433757781112</v>
      </c>
      <c r="CQ40" s="56">
        <f t="shared" si="33"/>
        <v>6.5517215414088241</v>
      </c>
      <c r="CR40" s="78">
        <f t="shared" si="8"/>
        <v>92772.570395028262</v>
      </c>
      <c r="CS40" s="5">
        <f t="shared" si="8"/>
        <v>85544.222100709216</v>
      </c>
      <c r="CT40" s="56">
        <f t="shared" si="34"/>
        <v>-7228.3482943190465</v>
      </c>
      <c r="CU40" s="87">
        <f t="shared" si="35"/>
        <v>111327.08447403391</v>
      </c>
      <c r="CV40" s="70">
        <f t="shared" si="36"/>
        <v>102653.06652085106</v>
      </c>
      <c r="CW40" s="37">
        <f t="shared" si="37"/>
        <v>-8674.0179531828471</v>
      </c>
      <c r="CX40" s="42">
        <f>'[1]побудинковий звіт'!CX40+'[2]побудинковий звіт'!CX40-'[3]побудинковий звіт'!CX40</f>
        <v>-63.804474033895531</v>
      </c>
      <c r="CY40" s="42">
        <f>'[1]побудинковий звіт'!CY40+'[2]побудинковий звіт'!CY40-'[3]побудинковий звіт'!CY40</f>
        <v>8610.2134791489589</v>
      </c>
      <c r="CZ40" s="56">
        <f t="shared" si="38"/>
        <v>8674.0179531828544</v>
      </c>
      <c r="DA40" s="264">
        <f>'[4]побудинковий звіт'!DA40</f>
        <v>29529.757318460855</v>
      </c>
      <c r="DB40" s="2">
        <v>2</v>
      </c>
      <c r="DC40" s="717">
        <f>'[4]побудинковий звіт'!DC40</f>
        <v>9355.83</v>
      </c>
      <c r="DD40" s="717">
        <f>'[4]побудинковий звіт'!DD40</f>
        <v>0</v>
      </c>
      <c r="DE40" s="717">
        <f>'[4]побудинковий звіт'!DE40</f>
        <v>1484.5299999999997</v>
      </c>
      <c r="DF40" s="717">
        <f>'[4]побудинковий звіт'!DF40</f>
        <v>-1400.6399999999999</v>
      </c>
      <c r="DG40" s="787">
        <v>37759.641621229763</v>
      </c>
      <c r="DH40" s="761">
        <f t="shared" si="39"/>
        <v>1335159.3600000001</v>
      </c>
      <c r="DI40" s="784"/>
      <c r="DJ40" s="5"/>
      <c r="DK40" s="317">
        <f>VLOOKUP($A40,ціни!$A$4:$G$401,5)</f>
        <v>4.4768819785430631</v>
      </c>
      <c r="DL40" s="317"/>
      <c r="DM40" s="317">
        <f>VLOOKUP($A40,ціни!$A$4:$G$401,7)</f>
        <v>3.9123767778049143</v>
      </c>
      <c r="DN40" s="30">
        <f t="shared" si="55"/>
        <v>1074.0039866524808</v>
      </c>
      <c r="DO40" s="30">
        <f t="shared" si="56"/>
        <v>1400.6308864541593</v>
      </c>
      <c r="DP40" s="316">
        <f t="shared" si="40"/>
        <v>2474.63487310664</v>
      </c>
      <c r="DQ40" s="104"/>
      <c r="DR40" s="30">
        <f>VLOOKUP(A40,'ДЗ нас '!$A$1:$C$359,2)</f>
        <v>7871.3</v>
      </c>
      <c r="DS40" s="748">
        <f>VLOOKUP(A40,'ДЗ нежит'!$A$1:$D$153,4,0)</f>
        <v>1400.6399999999999</v>
      </c>
      <c r="DT40" s="30">
        <f t="shared" si="41"/>
        <v>9271.94</v>
      </c>
      <c r="DU40" s="257">
        <f>VLOOKUP(A40,'новий кошторис с 01.06'!$A$4:$AI$399,35)*1.2</f>
        <v>9277.2570395028251</v>
      </c>
      <c r="DV40" s="30">
        <f t="shared" si="42"/>
        <v>-5.3170395028246276</v>
      </c>
      <c r="DW40" s="930">
        <f>'[5]побудинковий звіт'!DW40+'[6]побудинковий звіт'!DW40</f>
        <v>204</v>
      </c>
      <c r="DY40" s="5">
        <f t="shared" si="9"/>
        <v>22028.613874418141</v>
      </c>
      <c r="DZ40" s="5">
        <f t="shared" si="10"/>
        <v>4556.1330344906009</v>
      </c>
      <c r="EA40" s="752">
        <f t="shared" si="43"/>
        <v>83.889999999999873</v>
      </c>
      <c r="EC40" s="592">
        <f t="shared" si="11"/>
        <v>167060.15142063797</v>
      </c>
      <c r="EE40" s="758">
        <v>-12237</v>
      </c>
      <c r="EF40" s="738">
        <f t="shared" si="12"/>
        <v>25522.641621229763</v>
      </c>
      <c r="EH40" s="813">
        <v>37534.639435116456</v>
      </c>
    </row>
    <row r="41" spans="1:138" x14ac:dyDescent="0.3">
      <c r="A41" s="328">
        <v>150000981</v>
      </c>
      <c r="B41" s="44" t="s">
        <v>489</v>
      </c>
      <c r="C41" s="45" t="s">
        <v>342</v>
      </c>
      <c r="D41" s="45" t="s">
        <v>342</v>
      </c>
      <c r="E41" s="40">
        <f t="shared" si="3"/>
        <v>135.6</v>
      </c>
      <c r="F41" s="490">
        <v>135.6</v>
      </c>
      <c r="G41" s="30">
        <v>213.63</v>
      </c>
      <c r="H41" s="30">
        <v>0</v>
      </c>
      <c r="I41" s="42">
        <f>'[1]побудинковий звіт'!I41+'[2]побудинковий звіт'!I41-'[3]побудинковий звіт'!I41</f>
        <v>7500.8170212493515</v>
      </c>
      <c r="J41" s="42">
        <f>'[1]побудинковий звіт'!J41+'[2]побудинковий звіт'!J41-'[3]побудинковий звіт'!J41</f>
        <v>6878.4919174015295</v>
      </c>
      <c r="K41" s="56">
        <f t="shared" si="13"/>
        <v>-622.32510384782199</v>
      </c>
      <c r="L41" s="42">
        <f>'[1]побудинковий звіт'!L41+'[2]побудинковий звіт'!L41-'[3]побудинковий звіт'!L41</f>
        <v>1380.3597321728182</v>
      </c>
      <c r="M41" s="42">
        <f>'[1]побудинковий звіт'!M41+'[2]побудинковий звіт'!M41-'[3]побудинковий звіт'!M41</f>
        <v>1404.7897235863211</v>
      </c>
      <c r="N41" s="56">
        <f t="shared" si="14"/>
        <v>24.429991413502876</v>
      </c>
      <c r="O41" s="42">
        <f>'[1]побудинковий звіт'!O41+'[2]побудинковий звіт'!O41-'[3]побудинковий звіт'!O41</f>
        <v>2891.6399999999994</v>
      </c>
      <c r="P41" s="42">
        <f>'[1]побудинковий звіт'!P41+'[2]побудинковий звіт'!P41-'[3]побудинковий звіт'!P41</f>
        <v>2892</v>
      </c>
      <c r="Q41" s="56">
        <f t="shared" si="15"/>
        <v>0.36000000000058208</v>
      </c>
      <c r="R41" s="42">
        <f>'[1]побудинковий звіт'!R41+'[2]побудинковий звіт'!R41-'[3]побудинковий звіт'!R41</f>
        <v>727.08000000000015</v>
      </c>
      <c r="S41" s="42">
        <f>'[1]побудинковий звіт'!S41+'[2]побудинковий звіт'!S41-'[3]побудинковий звіт'!S41</f>
        <v>726.3599999999999</v>
      </c>
      <c r="T41" s="56">
        <f t="shared" si="16"/>
        <v>-0.72000000000025466</v>
      </c>
      <c r="U41" s="42">
        <f>'[1]побудинковий звіт'!U41+'[2]побудинковий звіт'!U41-'[3]побудинковий звіт'!U41</f>
        <v>390.17454427986797</v>
      </c>
      <c r="V41" s="42">
        <f>'[1]побудинковий звіт'!V41+'[2]побудинковий звіт'!V41-'[3]побудинковий звіт'!V41</f>
        <v>264.93586714639923</v>
      </c>
      <c r="W41" s="56">
        <f t="shared" si="17"/>
        <v>-125.23867713346874</v>
      </c>
      <c r="X41" s="42">
        <f>'[1]побудинковий звіт'!X41+'[2]побудинковий звіт'!X41-'[3]побудинковий звіт'!X41</f>
        <v>3837.4229704224249</v>
      </c>
      <c r="Y41" s="42">
        <f>'[1]побудинковий звіт'!Y41+'[2]побудинковий звіт'!Y41-'[3]побудинковий звіт'!Y41</f>
        <v>7459.9979472859804</v>
      </c>
      <c r="Z41" s="56">
        <f t="shared" si="18"/>
        <v>3622.5749768635555</v>
      </c>
      <c r="AA41" s="42">
        <f>'[1]побудинковий звіт'!AA41+'[2]побудинковий звіт'!AA41-'[3]побудинковий звіт'!AA41</f>
        <v>0</v>
      </c>
      <c r="AB41" s="42">
        <f>'[1]побудинковий звіт'!AB41+'[2]побудинковий звіт'!AB41-'[3]побудинковий звіт'!AB41</f>
        <v>0</v>
      </c>
      <c r="AC41" s="56">
        <f t="shared" si="19"/>
        <v>0</v>
      </c>
      <c r="AD41" s="42">
        <f>'[1]побудинковий звіт'!AD41+'[2]побудинковий звіт'!AD41-'[3]побудинковий звіт'!AD41</f>
        <v>9468.2730721809985</v>
      </c>
      <c r="AE41" s="42">
        <f>'[1]побудинковий звіт'!AE41+'[2]побудинковий звіт'!AE41-'[3]побудинковий звіт'!AE41</f>
        <v>8726.2975512162138</v>
      </c>
      <c r="AF41" s="37">
        <f t="shared" si="20"/>
        <v>-741.97552096478466</v>
      </c>
      <c r="AG41" s="87">
        <f t="shared" si="4"/>
        <v>26195.767340305458</v>
      </c>
      <c r="AH41" s="57">
        <f t="shared" si="4"/>
        <v>28352.873006636444</v>
      </c>
      <c r="AI41" s="56">
        <f t="shared" si="21"/>
        <v>2157.1056663309864</v>
      </c>
      <c r="AJ41" s="42">
        <f>'[1]побудинковий звіт'!AJ41+'[2]побудинковий звіт'!AJ41-'[3]побудинковий звіт'!AJ41</f>
        <v>20739.285289545704</v>
      </c>
      <c r="AK41" s="42">
        <f>'[1]побудинковий звіт'!AK41+'[2]побудинковий звіт'!AK41-'[3]побудинковий звіт'!AK41</f>
        <v>20443.982440122629</v>
      </c>
      <c r="AL41" s="56">
        <f t="shared" si="22"/>
        <v>-295.3028494230748</v>
      </c>
      <c r="AM41" s="42">
        <f>'[1]побудинковий звіт'!AM41+'[2]побудинковий звіт'!AM41-'[3]побудинковий звіт'!AM41</f>
        <v>0</v>
      </c>
      <c r="AN41" s="42">
        <f>'[1]побудинковий звіт'!AN41+'[2]побудинковий звіт'!AN41-'[3]побудинковий звіт'!AN41</f>
        <v>0</v>
      </c>
      <c r="AO41" s="56">
        <f t="shared" si="23"/>
        <v>0</v>
      </c>
      <c r="AP41" s="42">
        <f>'[1]побудинковий звіт'!AP41+'[2]побудинковий звіт'!AP41-'[3]побудинковий звіт'!AP41</f>
        <v>1657.2808750638874</v>
      </c>
      <c r="AQ41" s="42">
        <f>'[1]побудинковий звіт'!AQ41+'[2]побудинковий звіт'!AQ41-'[3]побудинковий звіт'!AQ41</f>
        <v>2854.754093725146</v>
      </c>
      <c r="AR41" s="56">
        <f t="shared" si="24"/>
        <v>1197.4732186612587</v>
      </c>
      <c r="AS41" s="42">
        <f>'[1]побудинковий звіт'!AS41+'[2]побудинковий звіт'!AS41-'[3]побудинковий звіт'!AS41</f>
        <v>40173.707533750065</v>
      </c>
      <c r="AT41" s="42">
        <f>'[1]побудинковий звіт'!AT41+'[2]побудинковий звіт'!AT41-'[3]побудинковий звіт'!AT41</f>
        <v>21967.327006072897</v>
      </c>
      <c r="AU41" s="58">
        <f t="shared" si="44"/>
        <v>-18206.380527677167</v>
      </c>
      <c r="AV41" s="42">
        <f>'[1]побудинковий звіт'!AV41+'[2]побудинковий звіт'!AV41-'[3]побудинковий звіт'!AV41</f>
        <v>269.54884536706112</v>
      </c>
      <c r="AW41" s="42">
        <f>'[1]побудинковий звіт'!AW41+'[2]побудинковий звіт'!AW41-'[3]побудинковий звіт'!AW41</f>
        <v>3129</v>
      </c>
      <c r="AX41" s="59">
        <f t="shared" si="45"/>
        <v>2859.4511546329391</v>
      </c>
      <c r="AY41" s="42">
        <f>'[1]побудинковий звіт'!AY41+'[2]побудинковий звіт'!AY41-'[3]побудинковий звіт'!AY41</f>
        <v>365.06529543467622</v>
      </c>
      <c r="AZ41" s="42">
        <f>'[1]побудинковий звіт'!AZ41+'[2]побудинковий звіт'!AZ41-'[3]побудинковий звіт'!AZ41</f>
        <v>0</v>
      </c>
      <c r="BA41" s="37">
        <f t="shared" si="46"/>
        <v>-365.06529543467622</v>
      </c>
      <c r="BB41" s="42">
        <f>'[1]побудинковий звіт'!BB41+'[2]побудинковий звіт'!BB41-'[3]побудинковий звіт'!BB41</f>
        <v>460.16199283065652</v>
      </c>
      <c r="BC41" s="42">
        <f>'[1]побудинковий звіт'!BC41+'[2]побудинковий звіт'!BC41-'[3]побудинковий звіт'!BC41</f>
        <v>0</v>
      </c>
      <c r="BD41" s="59">
        <f t="shared" si="47"/>
        <v>-460.16199283065652</v>
      </c>
      <c r="BE41" s="42">
        <f>'[1]побудинковий звіт'!BE41+'[2]побудинковий звіт'!BE41-'[3]побудинковий звіт'!BE41</f>
        <v>180.55669859969186</v>
      </c>
      <c r="BF41" s="42">
        <f>'[1]побудинковий звіт'!BF41+'[2]побудинковий звіт'!BF41-'[3]побудинковий звіт'!BF41</f>
        <v>0</v>
      </c>
      <c r="BG41" s="39">
        <f t="shared" si="48"/>
        <v>-180.55669859969186</v>
      </c>
      <c r="BH41" s="42">
        <f>'[1]побудинковий звіт'!BH41+'[2]побудинковий звіт'!BH41-'[3]побудинковий звіт'!BH41</f>
        <v>79.153482378459373</v>
      </c>
      <c r="BI41" s="42">
        <f>'[1]побудинковий звіт'!BI41+'[2]побудинковий звіт'!BI41-'[3]побудинковий звіт'!BI41</f>
        <v>0</v>
      </c>
      <c r="BJ41" s="59">
        <f t="shared" si="49"/>
        <v>-79.153482378459373</v>
      </c>
      <c r="BK41" s="42">
        <f>'[1]побудинковий звіт'!BK41+'[2]побудинковий звіт'!BK41-'[3]побудинковий звіт'!BK41</f>
        <v>209.1678366590919</v>
      </c>
      <c r="BL41" s="42">
        <f>'[1]побудинковий звіт'!BL41+'[2]побудинковий звіт'!BL41-'[3]побудинковий звіт'!BL41</f>
        <v>0</v>
      </c>
      <c r="BM41" s="39">
        <f t="shared" si="50"/>
        <v>-209.1678366590919</v>
      </c>
      <c r="BN41" s="42">
        <f>'[1]побудинковий звіт'!BN41+'[2]побудинковий звіт'!BN41-'[3]побудинковий звіт'!BN41</f>
        <v>0</v>
      </c>
      <c r="BO41" s="42">
        <f>'[1]побудинковий звіт'!BO41+'[2]побудинковий звіт'!BO41-'[3]побудинковий звіт'!BO41</f>
        <v>0</v>
      </c>
      <c r="BP41" s="59">
        <f t="shared" si="51"/>
        <v>0</v>
      </c>
      <c r="BQ41" s="87">
        <f t="shared" si="57"/>
        <v>1563.6541512696367</v>
      </c>
      <c r="BR41" s="43">
        <f t="shared" si="58"/>
        <v>3129</v>
      </c>
      <c r="BS41" s="59">
        <f t="shared" si="52"/>
        <v>1565.3458487303633</v>
      </c>
      <c r="BT41" s="42">
        <f>'[1]побудинковий звіт'!BT41+'[2]побудинковий звіт'!BT41-'[3]побудинковий звіт'!BT41</f>
        <v>31176.718158000036</v>
      </c>
      <c r="BU41" s="42">
        <f>'[1]побудинковий звіт'!BU41+'[2]побудинковий звіт'!BU41-'[3]побудинковий звіт'!BU41</f>
        <v>29100.100151467283</v>
      </c>
      <c r="BV41" s="56">
        <f t="shared" si="25"/>
        <v>-2076.6180065327535</v>
      </c>
      <c r="BW41" s="42">
        <f>'[1]побудинковий звіт'!BW41+'[2]побудинковий звіт'!BW41-'[3]побудинковий звіт'!BW41</f>
        <v>21337.008342104789</v>
      </c>
      <c r="BX41" s="42">
        <f>'[1]побудинковий звіт'!BX41+'[2]побудинковий звіт'!BX41-'[3]побудинковий звіт'!BX41</f>
        <v>19311.600355739491</v>
      </c>
      <c r="BY41" s="56">
        <f t="shared" si="26"/>
        <v>-2025.4079863652987</v>
      </c>
      <c r="BZ41" s="42">
        <f>'[1]побудинковий звіт'!BZ41+'[2]побудинковий звіт'!BZ41-'[3]побудинковий звіт'!BZ41</f>
        <v>3036.8018592087064</v>
      </c>
      <c r="CA41" s="42">
        <f>'[1]побудинковий звіт'!CA41+'[2]побудинковий звіт'!CA41-'[3]побудинковий звіт'!CA41</f>
        <v>5280.1268818774715</v>
      </c>
      <c r="CB41" s="56">
        <f t="shared" si="27"/>
        <v>2243.3250226687651</v>
      </c>
      <c r="CC41" s="42">
        <f>'[1]побудинковий звіт'!CC41+'[2]побудинковий звіт'!CC41-'[3]побудинковий звіт'!CC41</f>
        <v>733.27241847734274</v>
      </c>
      <c r="CD41" s="42">
        <f>'[1]побудинковий звіт'!CD41+'[2]побудинковий звіт'!CD41-'[3]побудинковий звіт'!CD41</f>
        <v>726.82308024569977</v>
      </c>
      <c r="CE41" s="56">
        <f t="shared" si="28"/>
        <v>-6.4493382316429688</v>
      </c>
      <c r="CF41" s="42">
        <f>'[1]побудинковий звіт'!CF41+'[2]побудинковий звіт'!CF41-'[3]побудинковий звіт'!CF41</f>
        <v>90.270278789824417</v>
      </c>
      <c r="CG41" s="42">
        <f>'[1]побудинковий звіт'!CG41+'[2]побудинковий звіт'!CG41-'[3]побудинковий звіт'!CG41</f>
        <v>0</v>
      </c>
      <c r="CH41" s="56">
        <f t="shared" si="29"/>
        <v>-90.270278789824417</v>
      </c>
      <c r="CI41" s="42">
        <f>'[1]побудинковий звіт'!CI41+'[2]побудинковий звіт'!CI41-'[3]побудинковий звіт'!CI41</f>
        <v>4567.0761432348809</v>
      </c>
      <c r="CJ41" s="42">
        <f>'[1]побудинковий звіт'!CJ41+'[2]побудинковий звіт'!CJ41-'[3]побудинковий звіт'!CJ41</f>
        <v>8950.2034805857584</v>
      </c>
      <c r="CK41" s="56">
        <f t="shared" si="30"/>
        <v>4383.1273373508775</v>
      </c>
      <c r="CL41" s="42">
        <f>'[1]побудинковий звіт'!CL41+'[2]побудинковий звіт'!CL41-'[3]побудинковий звіт'!CL41</f>
        <v>5690.1276538664097</v>
      </c>
      <c r="CM41" s="42">
        <f>'[1]побудинковий звіт'!CM41+'[2]побудинковий звіт'!CM41-'[3]побудинковий звіт'!CM41</f>
        <v>5597.2414835480968</v>
      </c>
      <c r="CN41" s="56">
        <f t="shared" si="31"/>
        <v>-92.886170318312907</v>
      </c>
      <c r="CO41" s="42">
        <f t="shared" si="7"/>
        <v>10257.203797101291</v>
      </c>
      <c r="CP41" s="43">
        <f t="shared" si="32"/>
        <v>14547.444964133854</v>
      </c>
      <c r="CQ41" s="56">
        <f t="shared" si="33"/>
        <v>4290.2411670325637</v>
      </c>
      <c r="CR41" s="78">
        <f t="shared" si="8"/>
        <v>156960.97004361672</v>
      </c>
      <c r="CS41" s="5">
        <f t="shared" si="8"/>
        <v>145714.0319800209</v>
      </c>
      <c r="CT41" s="56">
        <f t="shared" si="34"/>
        <v>-11246.938063595822</v>
      </c>
      <c r="CU41" s="87">
        <f t="shared" si="35"/>
        <v>188353.16405234006</v>
      </c>
      <c r="CV41" s="70">
        <f t="shared" si="36"/>
        <v>174856.83837602506</v>
      </c>
      <c r="CW41" s="37">
        <f t="shared" si="37"/>
        <v>-13496.325676314998</v>
      </c>
      <c r="CX41" s="42">
        <f>'[1]побудинковий звіт'!CX41+'[2]побудинковий звіт'!CX41-'[3]побудинковий звіт'!CX41</f>
        <v>4784.3159476599394</v>
      </c>
      <c r="CY41" s="42">
        <f>'[1]побудинковий звіт'!CY41+'[2]побудинковий звіт'!CY41-'[3]побудинковий звіт'!CY41</f>
        <v>18280.641623974916</v>
      </c>
      <c r="CZ41" s="56">
        <f t="shared" si="38"/>
        <v>13496.325676314977</v>
      </c>
      <c r="DA41" s="264">
        <f>'[4]побудинковий звіт'!DA41</f>
        <v>-23629.815281354291</v>
      </c>
      <c r="DB41" s="2">
        <v>3</v>
      </c>
      <c r="DC41" s="717">
        <f>'[4]побудинковий звіт'!DC41</f>
        <v>56035.74</v>
      </c>
      <c r="DD41" s="717">
        <f>'[4]побудинковий звіт'!DD41</f>
        <v>0</v>
      </c>
      <c r="DE41" s="717">
        <f>'[4]побудинковий звіт'!DE41</f>
        <v>39940.949999999997</v>
      </c>
      <c r="DF41" s="717">
        <f>'[4]побудинковий звіт'!DF41</f>
        <v>0</v>
      </c>
      <c r="DG41" s="787">
        <v>5149.5570303657441</v>
      </c>
      <c r="DH41" s="761">
        <f t="shared" si="39"/>
        <v>2317649.7599999998</v>
      </c>
      <c r="DI41" s="784"/>
      <c r="DJ41" s="5"/>
      <c r="DK41" s="317">
        <f>VLOOKUP($A41,ціни!$A$4:$G$401,5)</f>
        <v>6.0421169690571013</v>
      </c>
      <c r="DL41" s="317">
        <f>VLOOKUP($A41,ціни!$A$4:$G$401,6)</f>
        <v>7.3961234000275127</v>
      </c>
      <c r="DM41" s="317">
        <f>VLOOKUP($A41,ціни!$A$4:$G$401,7)</f>
        <v>5.0321242600402067</v>
      </c>
      <c r="DN41" s="30">
        <f>DK41*G41+(F41-G41)*DL41</f>
        <v>713.65793919552175</v>
      </c>
      <c r="DO41" s="30">
        <f>DM41*H41</f>
        <v>0</v>
      </c>
      <c r="DP41" s="316">
        <f t="shared" si="40"/>
        <v>713.65793919552175</v>
      </c>
      <c r="DQ41" s="104"/>
      <c r="DR41" s="30">
        <f>VLOOKUP(A41,'ДЗ нас '!$A$1:$C$359,2)</f>
        <v>16094.79</v>
      </c>
      <c r="DS41" s="748"/>
      <c r="DT41" s="30">
        <f t="shared" si="41"/>
        <v>16094.79</v>
      </c>
      <c r="DU41" s="257">
        <f>VLOOKUP(A41,'новий кошторис с 01.06'!$A$4:$AI$399,35)*1.2</f>
        <v>16166.977854492521</v>
      </c>
      <c r="DV41" s="30">
        <f t="shared" si="42"/>
        <v>-72.187854492520273</v>
      </c>
      <c r="DW41" s="930">
        <f>'[5]побудинковий звіт'!DW41+'[6]побудинковий звіт'!DW41</f>
        <v>204</v>
      </c>
      <c r="DY41" s="5">
        <f t="shared" si="9"/>
        <v>50084.834022023635</v>
      </c>
      <c r="DZ41" s="5">
        <f t="shared" si="10"/>
        <v>30115.592407287477</v>
      </c>
      <c r="EA41" s="752">
        <f t="shared" si="43"/>
        <v>39940.949999999997</v>
      </c>
      <c r="EC41" s="592">
        <f t="shared" si="11"/>
        <v>482084.49040500075</v>
      </c>
      <c r="EE41" s="758">
        <v>-7907</v>
      </c>
      <c r="EF41" s="738">
        <f t="shared" si="12"/>
        <v>-2757.4429696342559</v>
      </c>
      <c r="EH41" s="813">
        <v>-6931.3273414837549</v>
      </c>
    </row>
    <row r="42" spans="1:138" x14ac:dyDescent="0.3">
      <c r="A42" s="328">
        <v>150000982</v>
      </c>
      <c r="B42" s="44" t="s">
        <v>490</v>
      </c>
      <c r="C42" s="45" t="s">
        <v>343</v>
      </c>
      <c r="D42" s="45" t="s">
        <v>343</v>
      </c>
      <c r="E42" s="40">
        <f t="shared" si="3"/>
        <v>229.9</v>
      </c>
      <c r="F42" s="490">
        <v>229.9</v>
      </c>
      <c r="G42" s="30">
        <v>569.36</v>
      </c>
      <c r="H42" s="30">
        <v>0</v>
      </c>
      <c r="I42" s="42">
        <f>'[1]побудинковий звіт'!I42+'[2]побудинковий звіт'!I42-'[3]побудинковий звіт'!I42</f>
        <v>15911.144931821258</v>
      </c>
      <c r="J42" s="42">
        <f>'[1]побудинковий звіт'!J42+'[2]побудинковий звіт'!J42-'[3]побудинковий звіт'!J42</f>
        <v>15059.683093997914</v>
      </c>
      <c r="K42" s="56">
        <f t="shared" si="13"/>
        <v>-851.46183782334447</v>
      </c>
      <c r="L42" s="42">
        <f>'[1]побудинковий звіт'!L42+'[2]побудинковий звіт'!L42-'[3]побудинковий звіт'!L42</f>
        <v>4123.0255601248009</v>
      </c>
      <c r="M42" s="42">
        <f>'[1]побудинковий звіт'!M42+'[2]побудинковий звіт'!M42-'[3]побудинковий звіт'!M42</f>
        <v>4030.9648347441944</v>
      </c>
      <c r="N42" s="56">
        <f t="shared" si="14"/>
        <v>-92.060725380606527</v>
      </c>
      <c r="O42" s="42">
        <f>'[1]побудинковий звіт'!O42+'[2]побудинковий звіт'!O42-'[3]побудинковий звіт'!O42</f>
        <v>7766.7599999999975</v>
      </c>
      <c r="P42" s="42">
        <f>'[1]побудинковий звіт'!P42+'[2]побудинковий звіт'!P42-'[3]побудинковий звіт'!P42</f>
        <v>7768.2000000000016</v>
      </c>
      <c r="Q42" s="56">
        <f t="shared" si="15"/>
        <v>1.4400000000041473</v>
      </c>
      <c r="R42" s="42">
        <f>'[1]побудинковий звіт'!R42+'[2]побудинковий звіт'!R42-'[3]побудинковий звіт'!R42</f>
        <v>1893.8399999999997</v>
      </c>
      <c r="S42" s="42">
        <f>'[1]побудинковий звіт'!S42+'[2]побудинковий звіт'!S42-'[3]побудинковий звіт'!S42</f>
        <v>1892.88</v>
      </c>
      <c r="T42" s="56">
        <f t="shared" si="16"/>
        <v>-0.95999999999958163</v>
      </c>
      <c r="U42" s="42">
        <f>'[1]побудинковий звіт'!U42+'[2]побудинковий звіт'!U42-'[3]побудинковий звіт'!U42</f>
        <v>1170.2323882178873</v>
      </c>
      <c r="V42" s="42">
        <f>'[1]побудинковий звіт'!V42+'[2]побудинковий звіт'!V42-'[3]побудинковий звіт'!V42</f>
        <v>839.34064989886974</v>
      </c>
      <c r="W42" s="56">
        <f t="shared" si="17"/>
        <v>-330.89173831901758</v>
      </c>
      <c r="X42" s="42">
        <f>'[1]побудинковий звіт'!X42+'[2]побудинковий звіт'!X42-'[3]побудинковий звіт'!X42</f>
        <v>12322.853722322969</v>
      </c>
      <c r="Y42" s="42">
        <f>'[1]побудинковий звіт'!Y42+'[2]побудинковий звіт'!Y42-'[3]побудинковий звіт'!Y42</f>
        <v>13480.180554686895</v>
      </c>
      <c r="Z42" s="56">
        <f t="shared" si="18"/>
        <v>1157.3268323639259</v>
      </c>
      <c r="AA42" s="42">
        <f>'[1]побудинковий звіт'!AA42+'[2]побудинковий звіт'!AA42-'[3]побудинковий звіт'!AA42</f>
        <v>0</v>
      </c>
      <c r="AB42" s="42">
        <f>'[1]побудинковий звіт'!AB42+'[2]побудинковий звіт'!AB42-'[3]побудинковий звіт'!AB42</f>
        <v>0</v>
      </c>
      <c r="AC42" s="56">
        <f t="shared" si="19"/>
        <v>0</v>
      </c>
      <c r="AD42" s="42">
        <f>'[1]побудинковий звіт'!AD42+'[2]побудинковий звіт'!AD42-'[3]побудинковий звіт'!AD42</f>
        <v>25455.265108308191</v>
      </c>
      <c r="AE42" s="42">
        <f>'[1]побудинковий звіт'!AE42+'[2]побудинковий звіт'!AE42-'[3]побудинковий звіт'!AE42</f>
        <v>23461.948292779605</v>
      </c>
      <c r="AF42" s="37">
        <f t="shared" si="20"/>
        <v>-1993.3168155285857</v>
      </c>
      <c r="AG42" s="87">
        <f t="shared" si="4"/>
        <v>68643.121710795109</v>
      </c>
      <c r="AH42" s="57">
        <f t="shared" si="4"/>
        <v>66533.197426107479</v>
      </c>
      <c r="AI42" s="56">
        <f t="shared" si="21"/>
        <v>-2109.9242846876296</v>
      </c>
      <c r="AJ42" s="42">
        <f>'[1]побудинковий звіт'!AJ42+'[2]побудинковий звіт'!AJ42-'[3]побудинковий звіт'!AJ42</f>
        <v>86413.599575368164</v>
      </c>
      <c r="AK42" s="42">
        <f>'[1]побудинковий звіт'!AK42+'[2]побудинковий звіт'!AK42-'[3]побудинковий звіт'!AK42</f>
        <v>85653.435015498952</v>
      </c>
      <c r="AL42" s="56">
        <f t="shared" si="22"/>
        <v>-760.1645598692121</v>
      </c>
      <c r="AM42" s="42">
        <f>'[1]побудинковий звіт'!AM42+'[2]побудинковий звіт'!AM42-'[3]побудинковий звіт'!AM42</f>
        <v>0</v>
      </c>
      <c r="AN42" s="42">
        <f>'[1]побудинковий звіт'!AN42+'[2]побудинковий звіт'!AN42-'[3]побудинковий звіт'!AN42</f>
        <v>0</v>
      </c>
      <c r="AO42" s="56">
        <f t="shared" si="23"/>
        <v>0</v>
      </c>
      <c r="AP42" s="42">
        <f>'[1]побудинковий звіт'!AP42+'[2]побудинковий звіт'!AP42-'[3]побудинковий звіт'!AP42</f>
        <v>4971.8426251916617</v>
      </c>
      <c r="AQ42" s="42">
        <f>'[1]побудинковий звіт'!AQ42+'[2]побудинковий звіт'!AQ42-'[3]побудинковий звіт'!AQ42</f>
        <v>5290.9219749283811</v>
      </c>
      <c r="AR42" s="56">
        <f t="shared" si="24"/>
        <v>319.07934973671945</v>
      </c>
      <c r="AS42" s="42">
        <f>'[1]побудинковий звіт'!AS42+'[2]побудинковий звіт'!AS42-'[3]побудинковий звіт'!AS42</f>
        <v>117370.55436847698</v>
      </c>
      <c r="AT42" s="42">
        <f>'[1]побудинковий звіт'!AT42+'[2]побудинковий звіт'!AT42-'[3]побудинковий звіт'!AT42</f>
        <v>241568.4701978706</v>
      </c>
      <c r="AU42" s="58">
        <f t="shared" si="44"/>
        <v>124197.91582939362</v>
      </c>
      <c r="AV42" s="42">
        <f>'[1]побудинковий звіт'!AV42+'[2]побудинковий звіт'!AV42-'[3]побудинковий звіт'!AV42</f>
        <v>487.34587193187906</v>
      </c>
      <c r="AW42" s="42">
        <f>'[1]побудинковий звіт'!AW42+'[2]побудинковий звіт'!AW42-'[3]побудинковий звіт'!AW42</f>
        <v>4773</v>
      </c>
      <c r="AX42" s="59">
        <f t="shared" si="45"/>
        <v>4285.6541280681213</v>
      </c>
      <c r="AY42" s="42">
        <f>'[1]побудинковий звіт'!AY42+'[2]побудинковий звіт'!AY42-'[3]побудинковий звіт'!AY42</f>
        <v>1090.3829948048372</v>
      </c>
      <c r="AZ42" s="42">
        <f>'[1]побудинковий звіт'!AZ42+'[2]побудинковий звіт'!AZ42-'[3]побудинковий звіт'!AZ42</f>
        <v>0</v>
      </c>
      <c r="BA42" s="37">
        <f t="shared" si="46"/>
        <v>-1090.3829948048372</v>
      </c>
      <c r="BB42" s="42">
        <f>'[1]побудинковий звіт'!BB42+'[2]побудинковий звіт'!BB42-'[3]побудинковий звіт'!BB42</f>
        <v>1269.7645829022561</v>
      </c>
      <c r="BC42" s="42">
        <f>'[1]побудинковий звіт'!BC42+'[2]побудинковий звіт'!BC42-'[3]побудинковий звіт'!BC42</f>
        <v>0</v>
      </c>
      <c r="BD42" s="59">
        <f t="shared" si="47"/>
        <v>-1269.7645829022561</v>
      </c>
      <c r="BE42" s="42">
        <f>'[1]побудинковий звіт'!BE42+'[2]побудинковий звіт'!BE42-'[3]побудинковий звіт'!BE42</f>
        <v>426.22138417942563</v>
      </c>
      <c r="BF42" s="42">
        <f>'[1]побудинковий звіт'!BF42+'[2]побудинковий звіт'!BF42-'[3]побудинковий звіт'!BF42</f>
        <v>0</v>
      </c>
      <c r="BG42" s="39">
        <f t="shared" si="48"/>
        <v>-426.22138417942563</v>
      </c>
      <c r="BH42" s="42">
        <f>'[1]побудинковий звіт'!BH42+'[2]побудинковий звіт'!BH42-'[3]побудинковий звіт'!BH42</f>
        <v>237.46034910659819</v>
      </c>
      <c r="BI42" s="42">
        <f>'[1]побудинковий звіт'!BI42+'[2]побудинковий звіт'!BI42-'[3]побудинковий звіт'!BI42</f>
        <v>0</v>
      </c>
      <c r="BJ42" s="59">
        <f t="shared" si="49"/>
        <v>-237.46034910659819</v>
      </c>
      <c r="BK42" s="42">
        <f>'[1]побудинковий звіт'!BK42+'[2]побудинковий звіт'!BK42-'[3]побудинковий звіт'!BK42</f>
        <v>293.22961990256812</v>
      </c>
      <c r="BL42" s="42">
        <f>'[1]побудинковий звіт'!BL42+'[2]побудинковий звіт'!BL42-'[3]побудинковий звіт'!BL42</f>
        <v>8542.1798823253248</v>
      </c>
      <c r="BM42" s="39">
        <f t="shared" si="50"/>
        <v>8248.9502624227571</v>
      </c>
      <c r="BN42" s="42">
        <f>'[1]побудинковий звіт'!BN42+'[2]побудинковий звіт'!BN42-'[3]побудинковий звіт'!BN42</f>
        <v>0</v>
      </c>
      <c r="BO42" s="42">
        <f>'[1]побудинковий звіт'!BO42+'[2]побудинковий звіт'!BO42-'[3]побудинковий звіт'!BO42</f>
        <v>0</v>
      </c>
      <c r="BP42" s="59">
        <f t="shared" si="51"/>
        <v>0</v>
      </c>
      <c r="BQ42" s="87">
        <f t="shared" si="57"/>
        <v>3804.4048028275643</v>
      </c>
      <c r="BR42" s="43">
        <f t="shared" si="58"/>
        <v>13315.179882325325</v>
      </c>
      <c r="BS42" s="59">
        <f t="shared" si="52"/>
        <v>9510.7750794977601</v>
      </c>
      <c r="BT42" s="42">
        <f>'[1]побудинковий звіт'!BT42+'[2]побудинковий звіт'!BT42-'[3]побудинковий звіт'!BT42</f>
        <v>57169.05659732574</v>
      </c>
      <c r="BU42" s="42">
        <f>'[1]побудинковий звіт'!BU42+'[2]побудинковий звіт'!BU42-'[3]побудинковий звіт'!BU42</f>
        <v>54005.022415289648</v>
      </c>
      <c r="BV42" s="56">
        <f t="shared" si="25"/>
        <v>-3164.0341820360918</v>
      </c>
      <c r="BW42" s="42">
        <f>'[1]побудинковий звіт'!BW42+'[2]побудинковий звіт'!BW42-'[3]побудинковий звіт'!BW42</f>
        <v>65529.839535597042</v>
      </c>
      <c r="BX42" s="42">
        <f>'[1]побудинковий звіт'!BX42+'[2]побудинковий звіт'!BX42-'[3]побудинковий звіт'!BX42</f>
        <v>59150.179118603824</v>
      </c>
      <c r="BY42" s="56">
        <f t="shared" si="26"/>
        <v>-6379.660416993218</v>
      </c>
      <c r="BZ42" s="42">
        <f>'[1]побудинковий звіт'!BZ42+'[2]побудинковий звіт'!BZ42-'[3]побудинковий звіт'!BZ42</f>
        <v>6457.0551254110096</v>
      </c>
      <c r="CA42" s="42">
        <f>'[1]побудинковий звіт'!CA42+'[2]побудинковий звіт'!CA42-'[3]побудинковий звіт'!CA42</f>
        <v>9642.2395299219461</v>
      </c>
      <c r="CB42" s="56">
        <f t="shared" si="27"/>
        <v>3185.1844045109365</v>
      </c>
      <c r="CC42" s="42">
        <f>'[1]побудинковий звіт'!CC42+'[2]побудинковий звіт'!CC42-'[3]побудинковий звіт'!CC42</f>
        <v>2199.9349084474284</v>
      </c>
      <c r="CD42" s="42">
        <f>'[1]побудинковий звіт'!CD42+'[2]побудинковий звіт'!CD42-'[3]побудинковий звіт'!CD42</f>
        <v>2180.5858589609652</v>
      </c>
      <c r="CE42" s="56">
        <f t="shared" si="28"/>
        <v>-19.349049486463173</v>
      </c>
      <c r="CF42" s="42">
        <f>'[1]побудинковий звіт'!CF42+'[2]побудинковий звіт'!CF42-'[3]побудинковий звіт'!CF42</f>
        <v>270.82532016871744</v>
      </c>
      <c r="CG42" s="42">
        <f>'[1]побудинковий звіт'!CG42+'[2]побудинковий звіт'!CG42-'[3]побудинковий звіт'!CG42</f>
        <v>0</v>
      </c>
      <c r="CH42" s="56">
        <f t="shared" si="29"/>
        <v>-270.82532016871744</v>
      </c>
      <c r="CI42" s="42">
        <f>'[1]побудинковий звіт'!CI42+'[2]побудинковий звіт'!CI42-'[3]побудинковий звіт'!CI42</f>
        <v>23153.578644186666</v>
      </c>
      <c r="CJ42" s="42">
        <f>'[1]побудинковий звіт'!CJ42+'[2]побудинковий звіт'!CJ42-'[3]побудинковий звіт'!CJ42</f>
        <v>6612.421008236719</v>
      </c>
      <c r="CK42" s="56">
        <f t="shared" si="30"/>
        <v>-16541.157635949945</v>
      </c>
      <c r="CL42" s="42">
        <f>'[1]побудинковий звіт'!CL42+'[2]побудинковий звіт'!CL42-'[3]побудинковий звіт'!CL42</f>
        <v>10848.677592700562</v>
      </c>
      <c r="CM42" s="42">
        <f>'[1]побудинковий звіт'!CM42+'[2]побудинковий звіт'!CM42-'[3]побудинковий звіт'!CM42</f>
        <v>15514.053927167082</v>
      </c>
      <c r="CN42" s="56">
        <f t="shared" si="31"/>
        <v>4665.3763344665203</v>
      </c>
      <c r="CO42" s="42">
        <f t="shared" si="7"/>
        <v>34002.256236887231</v>
      </c>
      <c r="CP42" s="43">
        <f t="shared" si="32"/>
        <v>22126.474935403799</v>
      </c>
      <c r="CQ42" s="56">
        <f t="shared" si="33"/>
        <v>-11875.781301483432</v>
      </c>
      <c r="CR42" s="78">
        <f t="shared" si="8"/>
        <v>446832.49080649659</v>
      </c>
      <c r="CS42" s="5">
        <f t="shared" si="8"/>
        <v>559465.70635491097</v>
      </c>
      <c r="CT42" s="56">
        <f t="shared" si="34"/>
        <v>112633.21554841439</v>
      </c>
      <c r="CU42" s="87">
        <f t="shared" si="35"/>
        <v>536198.98896779586</v>
      </c>
      <c r="CV42" s="70">
        <f t="shared" si="36"/>
        <v>671358.84762589319</v>
      </c>
      <c r="CW42" s="37">
        <f t="shared" si="37"/>
        <v>135159.85865809734</v>
      </c>
      <c r="CX42" s="42">
        <f>'[1]побудинковий звіт'!CX42+'[2]побудинковий звіт'!CX42-'[3]побудинковий звіт'!CX42</f>
        <v>5384.4910322040669</v>
      </c>
      <c r="CY42" s="42">
        <f>'[1]побудинковий звіт'!CY42+'[2]побудинковий звіт'!CY42-'[3]побудинковий звіт'!CY42</f>
        <v>-129775.36762589306</v>
      </c>
      <c r="CZ42" s="56">
        <f t="shared" si="38"/>
        <v>-135159.85865809713</v>
      </c>
      <c r="DA42" s="264">
        <f>'[4]побудинковий звіт'!DA42</f>
        <v>41088.273456424082</v>
      </c>
      <c r="DB42" s="2">
        <v>3</v>
      </c>
      <c r="DC42" s="717">
        <f>'[4]побудинковий звіт'!DC42</f>
        <v>166407.97</v>
      </c>
      <c r="DD42" s="717">
        <f>'[4]побудинковий звіт'!DD42</f>
        <v>0</v>
      </c>
      <c r="DE42" s="717">
        <f>'[4]побудинковий звіт'!DE42</f>
        <v>121275.78</v>
      </c>
      <c r="DF42" s="717">
        <f>'[4]побудинковий звіт'!DF42</f>
        <v>0</v>
      </c>
      <c r="DG42" s="787">
        <v>-58542.504229559796</v>
      </c>
      <c r="DH42" s="761">
        <f t="shared" si="39"/>
        <v>6499001.7599999998</v>
      </c>
      <c r="DI42" s="784"/>
      <c r="DJ42" s="5"/>
      <c r="DK42" s="317">
        <f>VLOOKUP($A42,ціни!$A$4:$G$401,5)</f>
        <v>5.9306016635307897</v>
      </c>
      <c r="DL42" s="317">
        <f>VLOOKUP($A42,ціни!$A$4:$G$401,6)</f>
        <v>7.7551963358194227</v>
      </c>
      <c r="DM42" s="317">
        <f>VLOOKUP($A42,ціни!$A$4:$G$401,7)</f>
        <v>4.7935738498184897</v>
      </c>
      <c r="DN42" s="30">
        <f>DK42*G42+(F42-G42)*DL42</f>
        <v>744.06841499062921</v>
      </c>
      <c r="DO42" s="30">
        <f>DM42*H42</f>
        <v>0</v>
      </c>
      <c r="DP42" s="316">
        <f t="shared" si="40"/>
        <v>744.06841499062921</v>
      </c>
      <c r="DQ42" s="104"/>
      <c r="DR42" s="30">
        <f>VLOOKUP(A42,'ДЗ нас '!$A$1:$C$359,2)</f>
        <v>45132.19</v>
      </c>
      <c r="DS42" s="748"/>
      <c r="DT42" s="30">
        <f t="shared" si="41"/>
        <v>45132.19</v>
      </c>
      <c r="DU42" s="257">
        <f>VLOOKUP(A42,'новий кошторис с 01.06'!$A$4:$AI$399,35)*1.2</f>
        <v>45219.448069617451</v>
      </c>
      <c r="DV42" s="30">
        <f t="shared" si="42"/>
        <v>-87.2580696174482</v>
      </c>
      <c r="DW42" s="930">
        <f>'[5]побудинковий звіт'!DW42+'[6]побудинковий звіт'!DW42</f>
        <v>176</v>
      </c>
      <c r="DY42" s="5">
        <f t="shared" si="9"/>
        <v>145409.95100556544</v>
      </c>
      <c r="DZ42" s="5">
        <f t="shared" si="10"/>
        <v>305860.38009623508</v>
      </c>
      <c r="EA42" s="752">
        <f t="shared" si="43"/>
        <v>121275.78</v>
      </c>
      <c r="EC42" s="592">
        <f t="shared" si="11"/>
        <v>1408446.6524217238</v>
      </c>
      <c r="EE42" s="758">
        <v>58899</v>
      </c>
      <c r="EF42" s="738">
        <f t="shared" si="12"/>
        <v>356.49577044020407</v>
      </c>
      <c r="EH42" s="813">
        <v>-103993.97385684289</v>
      </c>
    </row>
    <row r="43" spans="1:138" x14ac:dyDescent="0.3">
      <c r="A43" s="328">
        <v>150000983</v>
      </c>
      <c r="B43" s="44" t="s">
        <v>491</v>
      </c>
      <c r="C43" s="45" t="s">
        <v>344</v>
      </c>
      <c r="D43" s="45" t="s">
        <v>344</v>
      </c>
      <c r="E43" s="40">
        <f t="shared" si="3"/>
        <v>1931.4</v>
      </c>
      <c r="F43" s="490">
        <v>1931.4</v>
      </c>
      <c r="G43" s="30">
        <v>441.5</v>
      </c>
      <c r="H43" s="30">
        <v>0</v>
      </c>
      <c r="I43" s="42">
        <f>'[1]побудинковий звіт'!I43+'[2]побудинковий звіт'!I43-'[3]побудинковий звіт'!I43</f>
        <v>10463.895718608561</v>
      </c>
      <c r="J43" s="42">
        <f>'[1]побудинковий звіт'!J43+'[2]побудинковий звіт'!J43-'[3]побудинковий звіт'!J43</f>
        <v>9952.4059738885517</v>
      </c>
      <c r="K43" s="56">
        <f t="shared" si="13"/>
        <v>-511.48974472000918</v>
      </c>
      <c r="L43" s="42">
        <f>'[1]побудинковий звіт'!L43+'[2]побудинковий звіт'!L43-'[3]побудинковий звіт'!L43</f>
        <v>1538.3669390198802</v>
      </c>
      <c r="M43" s="42">
        <f>'[1]побудинковий звіт'!M43+'[2]побудинковий звіт'!M43-'[3]побудинковий звіт'!M43</f>
        <v>1556.0873295155807</v>
      </c>
      <c r="N43" s="56">
        <f t="shared" si="14"/>
        <v>17.720390495700485</v>
      </c>
      <c r="O43" s="42">
        <f>'[1]побудинковий звіт'!O43+'[2]побудинковий звіт'!O43-'[3]побудинковий звіт'!O43</f>
        <v>5000.8799999999992</v>
      </c>
      <c r="P43" s="42">
        <f>'[1]побудинковий звіт'!P43+'[2]побудинковий звіт'!P43-'[3]побудинковий звіт'!P43</f>
        <v>5000.5199999999995</v>
      </c>
      <c r="Q43" s="56">
        <f t="shared" si="15"/>
        <v>-0.35999999999967258</v>
      </c>
      <c r="R43" s="42">
        <f>'[1]побудинковий звіт'!R43+'[2]побудинковий звіт'!R43-'[3]побудинковий звіт'!R43</f>
        <v>1279.56</v>
      </c>
      <c r="S43" s="42">
        <f>'[1]побудинковий звіт'!S43+'[2]побудинковий звіт'!S43-'[3]побудинковий звіт'!S43</f>
        <v>1281</v>
      </c>
      <c r="T43" s="56">
        <f t="shared" si="16"/>
        <v>1.4400000000000546</v>
      </c>
      <c r="U43" s="42">
        <f>'[1]побудинковий звіт'!U43+'[2]побудинковий звіт'!U43-'[3]побудинковий звіт'!U43</f>
        <v>780.05784393801946</v>
      </c>
      <c r="V43" s="42">
        <f>'[1]побудинковий звіт'!V43+'[2]побудинковий звіт'!V43-'[3]побудинковий звіт'!V43</f>
        <v>529.67087313499223</v>
      </c>
      <c r="W43" s="56">
        <f t="shared" si="17"/>
        <v>-250.38697080302722</v>
      </c>
      <c r="X43" s="42">
        <f>'[1]побудинковий звіт'!X43+'[2]побудинковий звіт'!X43-'[3]побудинковий звіт'!X43</f>
        <v>9017.0941526556526</v>
      </c>
      <c r="Y43" s="42">
        <f>'[1]побудинковий звіт'!Y43+'[2]побудинковий звіт'!Y43-'[3]побудинковий звіт'!Y43</f>
        <v>7809.9719743631395</v>
      </c>
      <c r="Z43" s="56">
        <f t="shared" si="18"/>
        <v>-1207.1221782925131</v>
      </c>
      <c r="AA43" s="42">
        <f>'[1]побудинковий звіт'!AA43+'[2]побудинковий звіт'!AA43-'[3]побудинковий звіт'!AA43</f>
        <v>0</v>
      </c>
      <c r="AB43" s="42">
        <f>'[1]побудинковий звіт'!AB43+'[2]побудинковий звіт'!AB43-'[3]побудинковий звіт'!AB43</f>
        <v>0</v>
      </c>
      <c r="AC43" s="56">
        <f t="shared" si="19"/>
        <v>0</v>
      </c>
      <c r="AD43" s="42">
        <f>'[1]побудинковий звіт'!AD43+'[2]побудинковий звіт'!AD43-'[3]побудинковий звіт'!AD43</f>
        <v>16498.937345597711</v>
      </c>
      <c r="AE43" s="42">
        <f>'[1]побудинковий звіт'!AE43+'[2]побудинковий звіт'!AE43-'[3]побудинковий звіт'!AE43</f>
        <v>15206.960651998143</v>
      </c>
      <c r="AF43" s="37">
        <f t="shared" si="20"/>
        <v>-1291.9766935995685</v>
      </c>
      <c r="AG43" s="87">
        <f t="shared" si="4"/>
        <v>44578.791999819827</v>
      </c>
      <c r="AH43" s="57">
        <f t="shared" si="4"/>
        <v>41336.616802900404</v>
      </c>
      <c r="AI43" s="56">
        <f t="shared" si="21"/>
        <v>-3242.1751969194229</v>
      </c>
      <c r="AJ43" s="42">
        <f>'[1]побудинковий звіт'!AJ43+'[2]побудинковий звіт'!AJ43-'[3]побудинковий звіт'!AJ43</f>
        <v>57609.066383578771</v>
      </c>
      <c r="AK43" s="42">
        <f>'[1]побудинковий звіт'!AK43+'[2]побудинковий звіт'!AK43-'[3]побудинковий звіт'!AK43</f>
        <v>56551.046580810609</v>
      </c>
      <c r="AL43" s="56">
        <f t="shared" si="22"/>
        <v>-1058.0198027681618</v>
      </c>
      <c r="AM43" s="42">
        <f>'[1]побудинковий звіт'!AM43+'[2]побудинковий звіт'!AM43-'[3]побудинковий звіт'!AM43</f>
        <v>0</v>
      </c>
      <c r="AN43" s="42">
        <f>'[1]побудинковий звіт'!AN43+'[2]побудинковий звіт'!AN43-'[3]побудинковий звіт'!AN43</f>
        <v>0</v>
      </c>
      <c r="AO43" s="56">
        <f t="shared" si="23"/>
        <v>0</v>
      </c>
      <c r="AP43" s="42">
        <f>'[1]побудинковий звіт'!AP43+'[2]побудинковий звіт'!AP43-'[3]побудинковий звіт'!AP43</f>
        <v>3314.5617501277748</v>
      </c>
      <c r="AQ43" s="42">
        <f>'[1]побудинковий звіт'!AQ43+'[2]побудинковий звіт'!AQ43-'[3]побудинковий звіт'!AQ43</f>
        <v>5850.2664887110868</v>
      </c>
      <c r="AR43" s="56">
        <f t="shared" si="24"/>
        <v>2535.7047385833121</v>
      </c>
      <c r="AS43" s="42">
        <f>'[1]побудинковий звіт'!AS43+'[2]побудинковий звіт'!AS43-'[3]побудинковий звіт'!AS43</f>
        <v>74070.595296201805</v>
      </c>
      <c r="AT43" s="42">
        <f>'[1]побудинковий звіт'!AT43+'[2]побудинковий звіт'!AT43-'[3]побудинковий звіт'!AT43</f>
        <v>96271</v>
      </c>
      <c r="AU43" s="58">
        <f t="shared" si="44"/>
        <v>22200.404703798195</v>
      </c>
      <c r="AV43" s="42">
        <f>'[1]побудинковий звіт'!AV43+'[2]побудинковий звіт'!AV43-'[3]побудинковий звіт'!AV43</f>
        <v>320.45047565595667</v>
      </c>
      <c r="AW43" s="42">
        <f>'[1]побудинковий звіт'!AW43+'[2]побудинковий звіт'!AW43-'[3]побудинковий звіт'!AW43</f>
        <v>4641</v>
      </c>
      <c r="AX43" s="59">
        <f t="shared" si="45"/>
        <v>4320.5495243440437</v>
      </c>
      <c r="AY43" s="42">
        <f>'[1]побудинковий звіт'!AY43+'[2]побудинковий звіт'!AY43-'[3]побудинковий звіт'!AY43</f>
        <v>414.91032129229768</v>
      </c>
      <c r="AZ43" s="42">
        <f>'[1]побудинковий звіт'!AZ43+'[2]побудинковий звіт'!AZ43-'[3]побудинковий звіт'!AZ43</f>
        <v>0</v>
      </c>
      <c r="BA43" s="37">
        <f t="shared" si="46"/>
        <v>-414.91032129229768</v>
      </c>
      <c r="BB43" s="42">
        <f>'[1]побудинковий звіт'!BB43+'[2]побудинковий звіт'!BB43-'[3]побудинковий звіт'!BB43</f>
        <v>824.57199215471235</v>
      </c>
      <c r="BC43" s="42">
        <f>'[1]побудинковий звіт'!BC43+'[2]побудинковий звіт'!BC43-'[3]побудинковий звіт'!BC43</f>
        <v>3330</v>
      </c>
      <c r="BD43" s="59">
        <f t="shared" si="47"/>
        <v>2505.4280078452875</v>
      </c>
      <c r="BE43" s="42">
        <f>'[1]побудинковий звіт'!BE43+'[2]побудинковий звіт'!BE43-'[3]побудинковий звіт'!BE43</f>
        <v>307.73051461375809</v>
      </c>
      <c r="BF43" s="42">
        <f>'[1]побудинковий звіт'!BF43+'[2]побудинковий звіт'!BF43-'[3]побудинковий звіт'!BF43</f>
        <v>0</v>
      </c>
      <c r="BG43" s="39">
        <f t="shared" si="48"/>
        <v>-307.73051461375809</v>
      </c>
      <c r="BH43" s="42">
        <f>'[1]побудинковий звіт'!BH43+'[2]побудинковий звіт'!BH43-'[3]побудинковий звіт'!BH43</f>
        <v>158.30696475691875</v>
      </c>
      <c r="BI43" s="42">
        <f>'[1]побудинковий звіт'!BI43+'[2]побудинковий звіт'!BI43-'[3]побудинковий звіт'!BI43</f>
        <v>0</v>
      </c>
      <c r="BJ43" s="59">
        <f t="shared" si="49"/>
        <v>-158.30696475691875</v>
      </c>
      <c r="BK43" s="42">
        <f>'[1]побудинковий звіт'!BK43+'[2]побудинковий звіт'!BK43-'[3]побудинковий звіт'!BK43</f>
        <v>269.9515758206856</v>
      </c>
      <c r="BL43" s="42">
        <f>'[1]побудинковий звіт'!BL43+'[2]побудинковий звіт'!BL43-'[3]побудинковий звіт'!BL43</f>
        <v>0</v>
      </c>
      <c r="BM43" s="39">
        <f t="shared" si="50"/>
        <v>-269.9515758206856</v>
      </c>
      <c r="BN43" s="42">
        <f>'[1]побудинковий звіт'!BN43+'[2]побудинковий звіт'!BN43-'[3]побудинковий звіт'!BN43</f>
        <v>0</v>
      </c>
      <c r="BO43" s="42">
        <f>'[1]побудинковий звіт'!BO43+'[2]побудинковий звіт'!BO43-'[3]побудинковий звіт'!BO43</f>
        <v>0</v>
      </c>
      <c r="BP43" s="59">
        <f t="shared" si="51"/>
        <v>0</v>
      </c>
      <c r="BQ43" s="87">
        <f t="shared" si="57"/>
        <v>2295.9218442943288</v>
      </c>
      <c r="BR43" s="43">
        <f t="shared" si="58"/>
        <v>7971</v>
      </c>
      <c r="BS43" s="59">
        <f t="shared" si="52"/>
        <v>5675.0781557056707</v>
      </c>
      <c r="BT43" s="42">
        <f>'[1]побудинковий звіт'!BT43+'[2]побудинковий звіт'!BT43-'[3]побудинковий звіт'!BT43</f>
        <v>34495.008313739381</v>
      </c>
      <c r="BU43" s="42">
        <f>'[1]побудинковий звіт'!BU43+'[2]побудинковий звіт'!BU43-'[3]побудинковий звіт'!BU43</f>
        <v>33506.031380725901</v>
      </c>
      <c r="BV43" s="56">
        <f t="shared" si="25"/>
        <v>-988.97693301348045</v>
      </c>
      <c r="BW43" s="42">
        <f>'[1]побудинковий звіт'!BW43+'[2]побудинковий звіт'!BW43-'[3]побудинковий звіт'!BW43</f>
        <v>45179.757881922655</v>
      </c>
      <c r="BX43" s="42">
        <f>'[1]побудинковий звіт'!BX43+'[2]побудинковий звіт'!BX43-'[3]побудинковий звіт'!BX43</f>
        <v>40592.418942288583</v>
      </c>
      <c r="BY43" s="56">
        <f t="shared" si="26"/>
        <v>-4587.3389396340717</v>
      </c>
      <c r="BZ43" s="42">
        <f>'[1]побудинковий звіт'!BZ43+'[2]побудинковий звіт'!BZ43-'[3]побудинковий звіт'!BZ43</f>
        <v>4284.0104018668353</v>
      </c>
      <c r="CA43" s="42">
        <f>'[1]побудинковий звіт'!CA43+'[2]побудинковий звіт'!CA43-'[3]побудинковий звіт'!CA43</f>
        <v>6914.2889103804118</v>
      </c>
      <c r="CB43" s="56">
        <f t="shared" si="27"/>
        <v>2630.2785085135765</v>
      </c>
      <c r="CC43" s="42">
        <f>'[1]побудинковий звіт'!CC43+'[2]побудинковий звіт'!CC43-'[3]побудинковий звіт'!CC43</f>
        <v>1188.0013229963849</v>
      </c>
      <c r="CD43" s="42">
        <f>'[1]побудинковий звіт'!CD43+'[2]побудинковий звіт'!CD43-'[3]побудинковий звіт'!CD43</f>
        <v>1177.5525154883201</v>
      </c>
      <c r="CE43" s="56">
        <f t="shared" si="28"/>
        <v>-10.448807508064874</v>
      </c>
      <c r="CF43" s="42">
        <f>'[1]побудинковий звіт'!CF43+'[2]побудинковий звіт'!CF43-'[3]побудинковий звіт'!CF43</f>
        <v>146.2501628688731</v>
      </c>
      <c r="CG43" s="42">
        <f>'[1]побудинковий звіт'!CG43+'[2]побудинковий звіт'!CG43-'[3]побудинковий звіт'!CG43</f>
        <v>0</v>
      </c>
      <c r="CH43" s="56">
        <f t="shared" si="29"/>
        <v>-146.2501628688731</v>
      </c>
      <c r="CI43" s="42">
        <f>'[1]побудинковий звіт'!CI43+'[2]побудинковий звіт'!CI43-'[3]побудинковий звіт'!CI43</f>
        <v>655.11338120172479</v>
      </c>
      <c r="CJ43" s="42">
        <f>'[1]побудинковий звіт'!CJ43+'[2]побудинковий звіт'!CJ43-'[3]побудинковий звіт'!CJ43</f>
        <v>1297.6756136272638</v>
      </c>
      <c r="CK43" s="56">
        <f t="shared" si="30"/>
        <v>642.56223242553904</v>
      </c>
      <c r="CL43" s="42">
        <f>'[1]побудинковий звіт'!CL43+'[2]побудинковий звіт'!CL43-'[3]побудинковий звіт'!CL43</f>
        <v>4739.2773748650498</v>
      </c>
      <c r="CM43" s="42">
        <f>'[1]побудинковий звіт'!CM43+'[2]побудинковий звіт'!CM43-'[3]побудинковий звіт'!CM43</f>
        <v>4636.1544945561136</v>
      </c>
      <c r="CN43" s="56">
        <f t="shared" si="31"/>
        <v>-103.12288030893615</v>
      </c>
      <c r="CO43" s="42">
        <f t="shared" si="7"/>
        <v>5394.3907560667749</v>
      </c>
      <c r="CP43" s="43">
        <f t="shared" si="32"/>
        <v>5933.8301081833779</v>
      </c>
      <c r="CQ43" s="56">
        <f t="shared" si="33"/>
        <v>539.439352116603</v>
      </c>
      <c r="CR43" s="78">
        <f t="shared" si="8"/>
        <v>272556.35611348337</v>
      </c>
      <c r="CS43" s="5">
        <f t="shared" si="8"/>
        <v>296104.05172948865</v>
      </c>
      <c r="CT43" s="56">
        <f t="shared" si="34"/>
        <v>23547.69561600528</v>
      </c>
      <c r="CU43" s="87">
        <f t="shared" si="35"/>
        <v>327067.62733618001</v>
      </c>
      <c r="CV43" s="70">
        <f t="shared" si="36"/>
        <v>355324.86207538639</v>
      </c>
      <c r="CW43" s="37">
        <f t="shared" si="37"/>
        <v>28257.234739206382</v>
      </c>
      <c r="CX43" s="42">
        <f>'[1]побудинковий звіт'!CX43+'[2]побудинковий звіт'!CX43-'[3]побудинковий звіт'!CX43</f>
        <v>3268.4926638199322</v>
      </c>
      <c r="CY43" s="42">
        <f>'[1]побудинковий звіт'!CY43+'[2]побудинковий звіт'!CY43-'[3]побудинковий звіт'!CY43</f>
        <v>-24988.742075386472</v>
      </c>
      <c r="CZ43" s="56">
        <f t="shared" si="38"/>
        <v>-28257.234739206404</v>
      </c>
      <c r="DA43" s="264">
        <f>'[4]побудинковий звіт'!DA43</f>
        <v>-15372.360878930966</v>
      </c>
      <c r="DB43" s="2">
        <v>3</v>
      </c>
      <c r="DC43" s="717">
        <f>'[4]побудинковий звіт'!DC43</f>
        <v>49789.29</v>
      </c>
      <c r="DD43" s="717">
        <f>'[4]побудинковий звіт'!DD43</f>
        <v>0</v>
      </c>
      <c r="DE43" s="717">
        <f>'[4]побудинковий звіт'!DE43</f>
        <v>22261.280000000002</v>
      </c>
      <c r="DF43" s="717">
        <f>'[4]побудинковий звіт'!DF43</f>
        <v>0</v>
      </c>
      <c r="DG43" s="787">
        <v>-21142.909870603005</v>
      </c>
      <c r="DH43" s="761">
        <f t="shared" si="39"/>
        <v>3964033.4399999995</v>
      </c>
      <c r="DI43" s="784"/>
      <c r="DJ43" s="5"/>
      <c r="DK43" s="317">
        <f>VLOOKUP($A43,ціни!$A$4:$G$401,5)</f>
        <v>5.5021858027701382</v>
      </c>
      <c r="DL43" s="317">
        <f>VLOOKUP($A43,ціни!$A$4:$G$401,6)</f>
        <v>7.3450029807116461</v>
      </c>
      <c r="DM43" s="317">
        <f>VLOOKUP($A43,ціни!$A$4:$G$401,7)</f>
        <v>4.2929902431640103</v>
      </c>
      <c r="DN43" s="30">
        <f>DK43*G43+(F43-G43)*DL43</f>
        <v>13372.5349728853</v>
      </c>
      <c r="DO43" s="30">
        <f>DM43*H43</f>
        <v>0</v>
      </c>
      <c r="DP43" s="316">
        <f t="shared" si="40"/>
        <v>13372.5349728853</v>
      </c>
      <c r="DQ43" s="104"/>
      <c r="DR43" s="30">
        <f>VLOOKUP(A43,'ДЗ нас '!$A$1:$C$359,2)</f>
        <v>27528.01</v>
      </c>
      <c r="DS43" s="748"/>
      <c r="DT43" s="30">
        <f t="shared" si="41"/>
        <v>27528.01</v>
      </c>
      <c r="DU43" s="257">
        <f>VLOOKUP(A43,'новий кошторис с 01.06'!$A$4:$AI$399,35)*1.2</f>
        <v>27582.70323868452</v>
      </c>
      <c r="DV43" s="30">
        <f t="shared" si="42"/>
        <v>-54.69323868452193</v>
      </c>
      <c r="DW43" s="930">
        <f>'[5]побудинковий звіт'!DW43+'[6]побудинковий звіт'!DW43</f>
        <v>168</v>
      </c>
      <c r="DY43" s="5">
        <f t="shared" si="9"/>
        <v>91639.820568595358</v>
      </c>
      <c r="DZ43" s="5">
        <f t="shared" si="10"/>
        <v>125090.4</v>
      </c>
      <c r="EA43" s="752">
        <f t="shared" si="43"/>
        <v>22261.280000000002</v>
      </c>
      <c r="EC43" s="592">
        <f t="shared" si="11"/>
        <v>888847.14355442161</v>
      </c>
      <c r="EE43" s="758">
        <v>25832</v>
      </c>
      <c r="EF43" s="738">
        <f t="shared" si="12"/>
        <v>4689.0901293969946</v>
      </c>
      <c r="EH43" s="813">
        <v>-44332.988492224846</v>
      </c>
    </row>
    <row r="44" spans="1:138" x14ac:dyDescent="0.3">
      <c r="A44" s="328">
        <v>150000984</v>
      </c>
      <c r="B44" s="44" t="s">
        <v>492</v>
      </c>
      <c r="C44" s="45" t="s">
        <v>345</v>
      </c>
      <c r="D44" s="45" t="s">
        <v>345</v>
      </c>
      <c r="E44" s="40">
        <f t="shared" si="3"/>
        <v>1907.4</v>
      </c>
      <c r="F44" s="490">
        <v>1907.4</v>
      </c>
      <c r="G44" s="30">
        <v>1089.02</v>
      </c>
      <c r="H44" s="30">
        <v>0</v>
      </c>
      <c r="I44" s="42">
        <f>'[1]побудинковий звіт'!I44+'[2]побудинковий звіт'!I44-'[3]побудинковий звіт'!I44</f>
        <v>26122.305881973178</v>
      </c>
      <c r="J44" s="42">
        <f>'[1]побудинковий звіт'!J44+'[2]побудинковий звіт'!J44-'[3]побудинковий звіт'!J44</f>
        <v>24038.054154844893</v>
      </c>
      <c r="K44" s="56">
        <f t="shared" si="13"/>
        <v>-2084.251727128285</v>
      </c>
      <c r="L44" s="42">
        <f>'[1]побудинковий звіт'!L44+'[2]побудинковий звіт'!L44-'[3]побудинковий звіт'!L44</f>
        <v>4265.0546037226795</v>
      </c>
      <c r="M44" s="42">
        <f>'[1]побудинковий звіт'!M44+'[2]побудинковий звіт'!M44-'[3]побудинковий звіт'!M44</f>
        <v>4168.2635498810414</v>
      </c>
      <c r="N44" s="56">
        <f t="shared" si="14"/>
        <v>-96.791053841638131</v>
      </c>
      <c r="O44" s="42">
        <f>'[1]побудинковий звіт'!O44+'[2]побудинковий звіт'!O44-'[3]побудинковий звіт'!O44</f>
        <v>12531.480000000003</v>
      </c>
      <c r="P44" s="42">
        <f>'[1]побудинковий звіт'!P44+'[2]побудинковий звіт'!P44-'[3]побудинковий звіт'!P44</f>
        <v>12529.560000000005</v>
      </c>
      <c r="Q44" s="56">
        <f t="shared" si="15"/>
        <v>-1.9199999999982538</v>
      </c>
      <c r="R44" s="42">
        <f>'[1]побудинковий звіт'!R44+'[2]побудинковий звіт'!R44-'[3]побудинковий звіт'!R44</f>
        <v>2959.8000000000006</v>
      </c>
      <c r="S44" s="42">
        <f>'[1]побудинковий звіт'!S44+'[2]побудинковий звіт'!S44-'[3]побудинковий звіт'!S44</f>
        <v>2956.1999999999994</v>
      </c>
      <c r="T44" s="56">
        <f t="shared" si="16"/>
        <v>-3.6000000000012733</v>
      </c>
      <c r="U44" s="42">
        <f>'[1]побудинковий звіт'!U44+'[2]побудинковий звіт'!U44-'[3]побудинковий звіт'!U44</f>
        <v>1170.2323882178873</v>
      </c>
      <c r="V44" s="42">
        <f>'[1]побудинковий звіт'!V44+'[2]побудинковий звіт'!V44-'[3]побудинковий звіт'!V44</f>
        <v>794.60674028139147</v>
      </c>
      <c r="W44" s="56">
        <f t="shared" si="17"/>
        <v>-375.62564793649585</v>
      </c>
      <c r="X44" s="42">
        <f>'[1]побудинковий звіт'!X44+'[2]побудинковий звіт'!X44-'[3]побудинковий звіт'!X44</f>
        <v>16538.971932263146</v>
      </c>
      <c r="Y44" s="42">
        <f>'[1]побудинковий звіт'!Y44+'[2]побудинковий звіт'!Y44-'[3]побудинковий звіт'!Y44</f>
        <v>18880.454282142568</v>
      </c>
      <c r="Z44" s="56">
        <f t="shared" si="18"/>
        <v>2341.4823498794212</v>
      </c>
      <c r="AA44" s="42">
        <f>'[1]побудинковий звіт'!AA44+'[2]побудинковий звіт'!AA44-'[3]побудинковий звіт'!AA44</f>
        <v>0</v>
      </c>
      <c r="AB44" s="42">
        <f>'[1]побудинковий звіт'!AB44+'[2]побудинковий звіт'!AB44-'[3]побудинковий звіт'!AB44</f>
        <v>0</v>
      </c>
      <c r="AC44" s="56">
        <f t="shared" si="19"/>
        <v>0</v>
      </c>
      <c r="AD44" s="42">
        <f>'[1]побудинковий звіт'!AD44+'[2]побудинковий звіт'!AD44-'[3]побудинковий звіт'!AD44</f>
        <v>41855.003162335568</v>
      </c>
      <c r="AE44" s="42">
        <f>'[1]побудинковий звіт'!AE44+'[2]побудинковий звіт'!AE44-'[3]побудинковий звіт'!AE44</f>
        <v>38577.477618503959</v>
      </c>
      <c r="AF44" s="37">
        <f t="shared" si="20"/>
        <v>-3277.525543831609</v>
      </c>
      <c r="AG44" s="87">
        <f t="shared" si="4"/>
        <v>105442.84796851248</v>
      </c>
      <c r="AH44" s="57">
        <f t="shared" si="4"/>
        <v>101944.61634565386</v>
      </c>
      <c r="AI44" s="56">
        <f t="shared" si="21"/>
        <v>-3498.2316228586133</v>
      </c>
      <c r="AJ44" s="42">
        <f>'[1]побудинковий звіт'!AJ44+'[2]побудинковий звіт'!AJ44-'[3]побудинковий звіт'!AJ44</f>
        <v>55586.905181399976</v>
      </c>
      <c r="AK44" s="42">
        <f>'[1]побудинковий звіт'!AK44+'[2]побудинковий звіт'!AK44-'[3]побудинковий звіт'!AK44</f>
        <v>54986.367052844122</v>
      </c>
      <c r="AL44" s="56">
        <f t="shared" si="22"/>
        <v>-600.5381285558542</v>
      </c>
      <c r="AM44" s="42">
        <f>'[1]побудинковий звіт'!AM44+'[2]побудинковий звіт'!AM44-'[3]побудинковий звіт'!AM44</f>
        <v>0</v>
      </c>
      <c r="AN44" s="42">
        <f>'[1]побудинковий звіт'!AN44+'[2]побудинковий звіт'!AN44-'[3]побудинковий звіт'!AN44</f>
        <v>2343.5245522673831</v>
      </c>
      <c r="AO44" s="56">
        <f t="shared" si="23"/>
        <v>2343.5245522673831</v>
      </c>
      <c r="AP44" s="42">
        <f>'[1]побудинковий звіт'!AP44+'[2]побудинковий звіт'!AP44-'[3]побудинковий звіт'!AP44</f>
        <v>7623.4920252938809</v>
      </c>
      <c r="AQ44" s="42">
        <f>'[1]побудинковий звіт'!AQ44+'[2]побудинковий звіт'!AQ44-'[3]побудинковий звіт'!AQ44</f>
        <v>7311.2578981291817</v>
      </c>
      <c r="AR44" s="56">
        <f t="shared" si="24"/>
        <v>-312.2341271646992</v>
      </c>
      <c r="AS44" s="42">
        <f>'[1]побудинковий звіт'!AS44+'[2]побудинковий звіт'!AS44-'[3]побудинковий звіт'!AS44</f>
        <v>176430.63781805447</v>
      </c>
      <c r="AT44" s="42">
        <f>'[1]побудинковий звіт'!AT44+'[2]побудинковий звіт'!AT44-'[3]побудинковий звіт'!AT44</f>
        <v>271917</v>
      </c>
      <c r="AU44" s="58">
        <f t="shared" si="44"/>
        <v>95486.362181945529</v>
      </c>
      <c r="AV44" s="42">
        <f>'[1]побудинковий звіт'!AV44+'[2]побудинковий звіт'!AV44-'[3]побудинковий звіт'!AV44</f>
        <v>2132.0278268019524</v>
      </c>
      <c r="AW44" s="42">
        <f>'[1]побудинковий звіт'!AW44+'[2]побудинковий звіт'!AW44-'[3]побудинковий звіт'!AW44</f>
        <v>0</v>
      </c>
      <c r="AX44" s="59">
        <f t="shared" si="45"/>
        <v>-2132.0278268019524</v>
      </c>
      <c r="AY44" s="42">
        <f>'[1]побудинковий звіт'!AY44+'[2]побудинковий звіт'!AY44-'[3]побудинковий звіт'!AY44</f>
        <v>2817.4968103362316</v>
      </c>
      <c r="AZ44" s="42">
        <f>'[1]побудинковий звіт'!AZ44+'[2]побудинковий звіт'!AZ44-'[3]побудинковий звіт'!AZ44</f>
        <v>0</v>
      </c>
      <c r="BA44" s="37">
        <f t="shared" si="46"/>
        <v>-2817.4968103362316</v>
      </c>
      <c r="BB44" s="42">
        <f>'[1]побудинковий звіт'!BB44+'[2]побудинковий звіт'!BB44-'[3]побудинковий звіт'!BB44</f>
        <v>5518.3640090701838</v>
      </c>
      <c r="BC44" s="42">
        <f>'[1]побудинковий звіт'!BC44+'[2]побудинковий звіт'!BC44-'[3]побудинковий звіт'!BC44</f>
        <v>0</v>
      </c>
      <c r="BD44" s="59">
        <f t="shared" si="47"/>
        <v>-5518.3640090701838</v>
      </c>
      <c r="BE44" s="42">
        <f>'[1]побудинковий звіт'!BE44+'[2]побудинковий звіт'!BE44-'[3]побудинковий звіт'!BE44</f>
        <v>1621.5486582729091</v>
      </c>
      <c r="BF44" s="42">
        <f>'[1]побудинковий звіт'!BF44+'[2]побудинковий звіт'!BF44-'[3]побудинковий звіт'!BF44</f>
        <v>0</v>
      </c>
      <c r="BG44" s="39">
        <f t="shared" si="48"/>
        <v>-1621.5486582729091</v>
      </c>
      <c r="BH44" s="42">
        <f>'[1]побудинковий звіт'!BH44+'[2]побудинковий звіт'!BH44-'[3]побудинковий звіт'!BH44</f>
        <v>593.65087276649558</v>
      </c>
      <c r="BI44" s="42">
        <f>'[1]побудинковий звіт'!BI44+'[2]побудинковий звіт'!BI44-'[3]побудинковий звіт'!BI44</f>
        <v>13659</v>
      </c>
      <c r="BJ44" s="59">
        <f t="shared" si="49"/>
        <v>13065.349127233505</v>
      </c>
      <c r="BK44" s="42">
        <f>'[1]побудинковий звіт'!BK44+'[2]побудинковий звіт'!BK44-'[3]побудинковий звіт'!BK44</f>
        <v>1650.4204119001797</v>
      </c>
      <c r="BL44" s="42">
        <f>'[1]побудинковий звіт'!BL44+'[2]побудинковий звіт'!BL44-'[3]побудинковий звіт'!BL44</f>
        <v>5719</v>
      </c>
      <c r="BM44" s="39">
        <f t="shared" si="50"/>
        <v>4068.5795880998203</v>
      </c>
      <c r="BN44" s="42">
        <f>'[1]побудинковий звіт'!BN44+'[2]побудинковий звіт'!BN44-'[3]побудинковий звіт'!BN44</f>
        <v>0</v>
      </c>
      <c r="BO44" s="42">
        <f>'[1]побудинковий звіт'!BO44+'[2]побудинковий звіт'!BO44-'[3]побудинковий звіт'!BO44</f>
        <v>0</v>
      </c>
      <c r="BP44" s="59">
        <f t="shared" si="51"/>
        <v>0</v>
      </c>
      <c r="BQ44" s="87">
        <f t="shared" si="57"/>
        <v>14333.508589147954</v>
      </c>
      <c r="BR44" s="43">
        <f t="shared" si="58"/>
        <v>19378</v>
      </c>
      <c r="BS44" s="59">
        <f t="shared" si="52"/>
        <v>5044.4914108520461</v>
      </c>
      <c r="BT44" s="42">
        <f>'[1]побудинковий звіт'!BT44+'[2]побудинковий звіт'!BT44-'[3]побудинковий звіт'!BT44</f>
        <v>100685.6266785357</v>
      </c>
      <c r="BU44" s="42">
        <f>'[1]побудинковий звіт'!BU44+'[2]побудинковий звіт'!BU44-'[3]побудинковий звіт'!BU44</f>
        <v>93277.677864006633</v>
      </c>
      <c r="BV44" s="56">
        <f t="shared" si="25"/>
        <v>-7407.948814529067</v>
      </c>
      <c r="BW44" s="42">
        <f>'[1]побудинковий звіт'!BW44+'[2]побудинковий звіт'!BW44-'[3]побудинковий звіт'!BW44</f>
        <v>69491.036004751368</v>
      </c>
      <c r="BX44" s="42">
        <f>'[1]побудинковий звіт'!BX44+'[2]побудинковий звіт'!BX44-'[3]побудинковий звіт'!BX44</f>
        <v>68933.843221094139</v>
      </c>
      <c r="BY44" s="56">
        <f t="shared" si="26"/>
        <v>-557.19278365722857</v>
      </c>
      <c r="BZ44" s="42">
        <f>'[1]побудинковий звіт'!BZ44+'[2]побудинковий звіт'!BZ44-'[3]побудинковий звіт'!BZ44</f>
        <v>7962.3055776261172</v>
      </c>
      <c r="CA44" s="42">
        <f>'[1]побудинковий звіт'!CA44+'[2]побудинковий звіт'!CA44-'[3]побудинковий звіт'!CA44</f>
        <v>18392.563653660698</v>
      </c>
      <c r="CB44" s="56">
        <f t="shared" si="27"/>
        <v>10430.258076034581</v>
      </c>
      <c r="CC44" s="42">
        <f>'[1]побудинковий звіт'!CC44+'[2]побудинковий звіт'!CC44-'[3]побудинковий звіт'!CC44</f>
        <v>2326.6766192865321</v>
      </c>
      <c r="CD44" s="42">
        <f>'[1]побудинковий звіт'!CD44+'[2]побудинковий звіт'!CD44-'[3]побудинковий звіт'!CD44</f>
        <v>2306.2128406207612</v>
      </c>
      <c r="CE44" s="56">
        <f t="shared" si="28"/>
        <v>-20.46377866577086</v>
      </c>
      <c r="CF44" s="42">
        <f>'[1]побудинковий звіт'!CF44+'[2]побудинковий звіт'!CF44-'[3]побудинковий звіт'!CF44</f>
        <v>286.42799290459203</v>
      </c>
      <c r="CG44" s="42">
        <f>'[1]побудинковий звіт'!CG44+'[2]побудинковий звіт'!CG44-'[3]побудинковий звіт'!CG44</f>
        <v>551.51470583821333</v>
      </c>
      <c r="CH44" s="56">
        <f t="shared" si="29"/>
        <v>265.0867129336213</v>
      </c>
      <c r="CI44" s="42">
        <f>'[1]побудинковий звіт'!CI44+'[2]побудинковий звіт'!CI44-'[3]побудинковий звіт'!CI44</f>
        <v>42806.98008023842</v>
      </c>
      <c r="CJ44" s="42">
        <f>'[1]побудинковий звіт'!CJ44+'[2]побудинковий звіт'!CJ44-'[3]побудинковий звіт'!CJ44</f>
        <v>20609.914865296734</v>
      </c>
      <c r="CK44" s="56">
        <f t="shared" si="30"/>
        <v>-22197.065214941686</v>
      </c>
      <c r="CL44" s="42">
        <f>'[1]побудинковий звіт'!CL44+'[2]побудинковий звіт'!CL44-'[3]побудинковий звіт'!CL44</f>
        <v>19260.333407330709</v>
      </c>
      <c r="CM44" s="42">
        <f>'[1]побудинковий звіт'!CM44+'[2]побудинковий звіт'!CM44-'[3]побудинковий звіт'!CM44</f>
        <v>26820.611266665106</v>
      </c>
      <c r="CN44" s="56">
        <f t="shared" si="31"/>
        <v>7560.2778593343974</v>
      </c>
      <c r="CO44" s="42">
        <f t="shared" si="7"/>
        <v>62067.313487569132</v>
      </c>
      <c r="CP44" s="43">
        <f t="shared" si="32"/>
        <v>47430.526131961844</v>
      </c>
      <c r="CQ44" s="56">
        <f t="shared" si="33"/>
        <v>-14636.787355607288</v>
      </c>
      <c r="CR44" s="78">
        <f t="shared" si="8"/>
        <v>602236.77794308215</v>
      </c>
      <c r="CS44" s="5">
        <f t="shared" si="8"/>
        <v>688773.10426607681</v>
      </c>
      <c r="CT44" s="56">
        <f t="shared" si="34"/>
        <v>86536.326322994661</v>
      </c>
      <c r="CU44" s="87">
        <f t="shared" si="35"/>
        <v>722684.13353169861</v>
      </c>
      <c r="CV44" s="70">
        <f t="shared" si="36"/>
        <v>826527.72511929215</v>
      </c>
      <c r="CW44" s="37">
        <f t="shared" si="37"/>
        <v>103843.59158759355</v>
      </c>
      <c r="CX44" s="42">
        <f>'[1]побудинковий звіт'!CX44+'[2]побудинковий звіт'!CX44-'[3]побудинковий звіт'!CX44</f>
        <v>18410.256468301304</v>
      </c>
      <c r="CY44" s="42">
        <f>'[1]побудинковий звіт'!CY44+'[2]побудинковий звіт'!CY44-'[3]побудинковий звіт'!CY44</f>
        <v>-85433.335119292227</v>
      </c>
      <c r="CZ44" s="56">
        <f t="shared" si="38"/>
        <v>-103843.59158759353</v>
      </c>
      <c r="DA44" s="264">
        <f>'[4]побудинковий звіт'!DA44</f>
        <v>-197286.40325085376</v>
      </c>
      <c r="DB44" s="2">
        <v>3</v>
      </c>
      <c r="DC44" s="717">
        <f>'[4]побудинковий звіт'!DC44</f>
        <v>113696.76</v>
      </c>
      <c r="DD44" s="717">
        <f>'[4]побудинковий звіт'!DD44</f>
        <v>0</v>
      </c>
      <c r="DE44" s="717">
        <f>'[4]побудинковий звіт'!DE44</f>
        <v>51913.759999999995</v>
      </c>
      <c r="DF44" s="717">
        <f>'[4]побудинковий звіт'!DF44</f>
        <v>0</v>
      </c>
      <c r="DG44" s="787">
        <v>-185554.78497965727</v>
      </c>
      <c r="DH44" s="761">
        <f t="shared" si="39"/>
        <v>8893132.6799999997</v>
      </c>
      <c r="DI44" s="784"/>
      <c r="DJ44" s="5"/>
      <c r="DK44" s="317">
        <f>VLOOKUP($A44,ціни!$A$4:$G$401,5)</f>
        <v>5.5224091950364445</v>
      </c>
      <c r="DL44" s="317">
        <f>VLOOKUP($A44,ціни!$A$4:$G$401,6)</f>
        <v>6.4042584908005491</v>
      </c>
      <c r="DM44" s="317">
        <f>VLOOKUP($A44,ціни!$A$4:$G$401,7)</f>
        <v>4.7781747592983397</v>
      </c>
      <c r="DN44" s="30">
        <f>DK44*G44+(F44-G44)*DL44</f>
        <v>11255.131125279942</v>
      </c>
      <c r="DO44" s="30">
        <f>DM44*H44</f>
        <v>0</v>
      </c>
      <c r="DP44" s="316">
        <f t="shared" si="40"/>
        <v>11255.131125279942</v>
      </c>
      <c r="DQ44" s="104"/>
      <c r="DR44" s="30">
        <f>VLOOKUP(A44,'ДЗ нас '!$A$1:$C$359,2)</f>
        <v>61783</v>
      </c>
      <c r="DS44" s="748"/>
      <c r="DT44" s="30">
        <f t="shared" si="41"/>
        <v>61783</v>
      </c>
      <c r="DU44" s="257">
        <f>VLOOKUP(A44,'новий кошторис с 01.06'!$A$4:$AI$399,35)*1.2</f>
        <v>62030.388128137478</v>
      </c>
      <c r="DV44" s="30">
        <f t="shared" si="42"/>
        <v>-247.38812813747791</v>
      </c>
      <c r="DW44" s="930">
        <f>'[5]побудинковий звіт'!DW44+'[6]побудинковий звіт'!DW44</f>
        <v>270</v>
      </c>
      <c r="DY44" s="5">
        <f t="shared" si="9"/>
        <v>228916.97568864288</v>
      </c>
      <c r="DZ44" s="5">
        <f t="shared" si="10"/>
        <v>349554</v>
      </c>
      <c r="EA44" s="752">
        <f t="shared" si="43"/>
        <v>51913.759999999995</v>
      </c>
      <c r="EC44" s="592">
        <f t="shared" si="11"/>
        <v>2117167.6538166534</v>
      </c>
      <c r="EE44" s="758">
        <v>132271</v>
      </c>
      <c r="EF44" s="738">
        <f t="shared" si="12"/>
        <v>-53283.78497965727</v>
      </c>
      <c r="EH44" s="813">
        <v>-283436.91141545726</v>
      </c>
    </row>
    <row r="45" spans="1:138" x14ac:dyDescent="0.3">
      <c r="A45" s="328">
        <v>150000986</v>
      </c>
      <c r="B45" s="44" t="s">
        <v>493</v>
      </c>
      <c r="C45" s="45" t="s">
        <v>346</v>
      </c>
      <c r="D45" s="45" t="s">
        <v>346</v>
      </c>
      <c r="E45" s="40">
        <f t="shared" si="3"/>
        <v>2888.6</v>
      </c>
      <c r="F45" s="490">
        <v>2888.6</v>
      </c>
      <c r="G45" s="30">
        <v>729.6</v>
      </c>
      <c r="H45" s="30">
        <v>0</v>
      </c>
      <c r="I45" s="42">
        <f>'[1]побудинковий звіт'!I45+'[2]побудинковий звіт'!I45-'[3]побудинковий звіт'!I45</f>
        <v>17437.755341689201</v>
      </c>
      <c r="J45" s="42">
        <f>'[1]побудинковий звіт'!J45+'[2]побудинковий звіт'!J45-'[3]побудинковий звіт'!J45</f>
        <v>16041.406950983737</v>
      </c>
      <c r="K45" s="56">
        <f t="shared" si="13"/>
        <v>-1396.3483907054633</v>
      </c>
      <c r="L45" s="42">
        <f>'[1]побудинковий звіт'!L45+'[2]побудинковий звіт'!L45-'[3]побудинковий звіт'!L45</f>
        <v>2853.9236194382379</v>
      </c>
      <c r="M45" s="42">
        <f>'[1]побудинковий звіт'!M45+'[2]побудинковий звіт'!M45-'[3]побудинковий звіт'!M45</f>
        <v>2815.767396859188</v>
      </c>
      <c r="N45" s="56">
        <f t="shared" si="14"/>
        <v>-38.156222579049881</v>
      </c>
      <c r="O45" s="42">
        <f>'[1]побудинковий звіт'!O45+'[2]побудинковий звіт'!O45-'[3]побудинковий звіт'!O45</f>
        <v>8479.6800000000021</v>
      </c>
      <c r="P45" s="42">
        <f>'[1]побудинковий звіт'!P45+'[2]побудинковий звіт'!P45-'[3]побудинковий звіт'!P45</f>
        <v>8481.1200000000008</v>
      </c>
      <c r="Q45" s="56">
        <f t="shared" si="15"/>
        <v>1.4399999999986903</v>
      </c>
      <c r="R45" s="42">
        <f>'[1]побудинковий звіт'!R45+'[2]побудинковий звіт'!R45-'[3]побудинковий звіт'!R45</f>
        <v>2001.6</v>
      </c>
      <c r="S45" s="42">
        <f>'[1]побудинковий звіт'!S45+'[2]побудинковий звіт'!S45-'[3]побудинковий звіт'!S45</f>
        <v>2001.7199999999998</v>
      </c>
      <c r="T45" s="56">
        <f t="shared" si="16"/>
        <v>0.11999999999989086</v>
      </c>
      <c r="U45" s="42">
        <f>'[1]побудинковий звіт'!U45+'[2]побудинковий звіт'!U45-'[3]побудинковий звіт'!U45</f>
        <v>780.05784393801946</v>
      </c>
      <c r="V45" s="42">
        <f>'[1]побудинковий звіт'!V45+'[2]побудинковий звіт'!V45-'[3]побудинковий звіт'!V45</f>
        <v>529.67087313499235</v>
      </c>
      <c r="W45" s="56">
        <f t="shared" si="17"/>
        <v>-250.38697080302711</v>
      </c>
      <c r="X45" s="42">
        <f>'[1]побудинковий звіт'!X45+'[2]побудинковий звіт'!X45-'[3]побудинковий звіт'!X45</f>
        <v>10146.456076029266</v>
      </c>
      <c r="Y45" s="42">
        <f>'[1]побудинковий звіт'!Y45+'[2]побудинковий звіт'!Y45-'[3]побудинковий звіт'!Y45</f>
        <v>8911.612083024509</v>
      </c>
      <c r="Z45" s="56">
        <f t="shared" si="18"/>
        <v>-1234.8439930047571</v>
      </c>
      <c r="AA45" s="42">
        <f>'[1]побудинковий звіт'!AA45+'[2]побудинковий звіт'!AA45-'[3]побудинковий звіт'!AA45</f>
        <v>0</v>
      </c>
      <c r="AB45" s="42">
        <f>'[1]побудинковий звіт'!AB45+'[2]побудинковий звіт'!AB45-'[3]побудинковий звіт'!AB45</f>
        <v>0</v>
      </c>
      <c r="AC45" s="56">
        <f t="shared" si="19"/>
        <v>0</v>
      </c>
      <c r="AD45" s="42">
        <f>'[1]побудинковий звіт'!AD45+'[2]побудинковий звіт'!AD45-'[3]побудинковий звіт'!AD45</f>
        <v>28143.095568395569</v>
      </c>
      <c r="AE45" s="42">
        <f>'[1]побудинковий звіт'!AE45+'[2]побудинковий звіт'!AE45-'[3]побудинковий звіт'!AE45</f>
        <v>25938.757052964611</v>
      </c>
      <c r="AF45" s="37">
        <f t="shared" si="20"/>
        <v>-2204.3385154309581</v>
      </c>
      <c r="AG45" s="87">
        <f t="shared" si="4"/>
        <v>69842.568449490296</v>
      </c>
      <c r="AH45" s="57">
        <f t="shared" si="4"/>
        <v>64720.054356967048</v>
      </c>
      <c r="AI45" s="56">
        <f t="shared" si="21"/>
        <v>-5122.5140925232481</v>
      </c>
      <c r="AJ45" s="42">
        <f>'[1]побудинковий звіт'!AJ45+'[2]побудинковий звіт'!AJ45-'[3]побудинковий звіт'!AJ45</f>
        <v>28216.669204617134</v>
      </c>
      <c r="AK45" s="42">
        <f>'[1]побудинковий звіт'!AK45+'[2]побудинковий звіт'!AK45-'[3]побудинковий звіт'!AK45</f>
        <v>27968.495621532093</v>
      </c>
      <c r="AL45" s="56">
        <f t="shared" si="22"/>
        <v>-248.17358308504117</v>
      </c>
      <c r="AM45" s="42">
        <f>'[1]побудинковий звіт'!AM45+'[2]побудинковий звіт'!AM45-'[3]побудинковий звіт'!AM45</f>
        <v>0</v>
      </c>
      <c r="AN45" s="42">
        <f>'[1]побудинковий звіт'!AN45+'[2]побудинковий звіт'!AN45-'[3]побудинковий звіт'!AN45</f>
        <v>1819.6753957549377</v>
      </c>
      <c r="AO45" s="56">
        <f t="shared" si="23"/>
        <v>1819.6753957549377</v>
      </c>
      <c r="AP45" s="42">
        <f>'[1]побудинковий звіт'!AP45+'[2]побудинковий звіт'!AP45-'[3]побудинковий звіт'!AP45</f>
        <v>5113.8952716257081</v>
      </c>
      <c r="AQ45" s="42">
        <f>'[1]побудинковий звіт'!AQ45+'[2]побудинковий звіт'!AQ45-'[3]побудинковий звіт'!AQ45</f>
        <v>9173.7093085760516</v>
      </c>
      <c r="AR45" s="56">
        <f t="shared" si="24"/>
        <v>4059.8140369503435</v>
      </c>
      <c r="AS45" s="42">
        <f>'[1]побудинковий звіт'!AS45+'[2]побудинковий звіт'!AS45-'[3]побудинковий звіт'!AS45</f>
        <v>136205.80943598892</v>
      </c>
      <c r="AT45" s="42">
        <f>'[1]побудинковий звіт'!AT45+'[2]побудинковий звіт'!AT45-'[3]побудинковий звіт'!AT45</f>
        <v>45698.470514201588</v>
      </c>
      <c r="AU45" s="58">
        <f t="shared" si="44"/>
        <v>-90507.338921787334</v>
      </c>
      <c r="AV45" s="42">
        <f>'[1]побудинковий звіт'!AV45+'[2]побудинковий звіт'!AV45-'[3]побудинковий звіт'!AV45</f>
        <v>1425.7963852370538</v>
      </c>
      <c r="AW45" s="42">
        <f>'[1]побудинковий звіт'!AW45+'[2]побудинковий звіт'!AW45-'[3]побудинковий звіт'!AW45</f>
        <v>0</v>
      </c>
      <c r="AX45" s="59">
        <f t="shared" si="45"/>
        <v>-1425.7963852370538</v>
      </c>
      <c r="AY45" s="42">
        <f>'[1]побудинковий звіт'!AY45+'[2]побудинковий звіт'!AY45-'[3]побудинковий звіт'!AY45</f>
        <v>1880.971351130464</v>
      </c>
      <c r="AZ45" s="42">
        <f>'[1]побудинковий звіт'!AZ45+'[2]побудинковий звіт'!AZ45-'[3]побудинковий звіт'!AZ45</f>
        <v>0</v>
      </c>
      <c r="BA45" s="37">
        <f t="shared" si="46"/>
        <v>-1880.971351130464</v>
      </c>
      <c r="BB45" s="42">
        <f>'[1]побудинковий звіт'!BB45+'[2]побудинковий звіт'!BB45-'[3]побудинковий звіт'!BB45</f>
        <v>3652.9958850726071</v>
      </c>
      <c r="BC45" s="42">
        <f>'[1]побудинковий звіт'!BC45+'[2]побудинковий звіт'!BC45-'[3]побудинковий звіт'!BC45</f>
        <v>0</v>
      </c>
      <c r="BD45" s="59">
        <f t="shared" si="47"/>
        <v>-3652.9958850726071</v>
      </c>
      <c r="BE45" s="42">
        <f>'[1]побудинковий звіт'!BE45+'[2]побудинковий звіт'!BE45-'[3]побудинковий звіт'!BE45</f>
        <v>1115.3547935970032</v>
      </c>
      <c r="BF45" s="42">
        <f>'[1]побудинковий звіт'!BF45+'[2]побудинковий звіт'!BF45-'[3]побудинковий звіт'!BF45</f>
        <v>0</v>
      </c>
      <c r="BG45" s="39">
        <f t="shared" si="48"/>
        <v>-1115.3547935970032</v>
      </c>
      <c r="BH45" s="42">
        <f>'[1]побудинковий звіт'!BH45+'[2]побудинковий звіт'!BH45-'[3]побудинковий звіт'!BH45</f>
        <v>395.76741189229665</v>
      </c>
      <c r="BI45" s="42">
        <f>'[1]побудинковий звіт'!BI45+'[2]побудинковий звіт'!BI45-'[3]побудинковий звіт'!BI45</f>
        <v>2067</v>
      </c>
      <c r="BJ45" s="59">
        <f t="shared" si="49"/>
        <v>1671.2325881077034</v>
      </c>
      <c r="BK45" s="42">
        <f>'[1]побудинковий звіт'!BK45+'[2]побудинковий звіт'!BK45-'[3]побудинковий звіт'!BK45</f>
        <v>1344.6098205881694</v>
      </c>
      <c r="BL45" s="42">
        <f>'[1]побудинковий звіт'!BL45+'[2]побудинковий звіт'!BL45-'[3]побудинковий звіт'!BL45</f>
        <v>16614.941049814784</v>
      </c>
      <c r="BM45" s="39">
        <f t="shared" si="50"/>
        <v>15270.331229226615</v>
      </c>
      <c r="BN45" s="42">
        <f>'[1]побудинковий звіт'!BN45+'[2]побудинковий звіт'!BN45-'[3]побудинковий звіт'!BN45</f>
        <v>0</v>
      </c>
      <c r="BO45" s="42">
        <f>'[1]побудинковий звіт'!BO45+'[2]побудинковий звіт'!BO45-'[3]побудинковий звіт'!BO45</f>
        <v>0</v>
      </c>
      <c r="BP45" s="59">
        <f t="shared" si="51"/>
        <v>0</v>
      </c>
      <c r="BQ45" s="87">
        <f t="shared" si="57"/>
        <v>9815.495647517595</v>
      </c>
      <c r="BR45" s="43">
        <f t="shared" si="58"/>
        <v>18681.941049814784</v>
      </c>
      <c r="BS45" s="59">
        <f t="shared" si="52"/>
        <v>8866.4454022971895</v>
      </c>
      <c r="BT45" s="42">
        <f>'[1]побудинковий звіт'!BT45+'[2]побудинковий звіт'!BT45-'[3]побудинковий звіт'!BT45</f>
        <v>86081.854250417106</v>
      </c>
      <c r="BU45" s="42">
        <f>'[1]побудинковий звіт'!BU45+'[2]побудинковий звіт'!BU45-'[3]побудинковий звіт'!BU45</f>
        <v>92296.981873708559</v>
      </c>
      <c r="BV45" s="56">
        <f t="shared" si="25"/>
        <v>6215.1276232914533</v>
      </c>
      <c r="BW45" s="42">
        <f>'[1]побудинковий звіт'!BW45+'[2]побудинковий звіт'!BW45-'[3]побудинковий звіт'!BW45</f>
        <v>44468.587734865323</v>
      </c>
      <c r="BX45" s="42">
        <f>'[1]побудинковий звіт'!BX45+'[2]побудинковий звіт'!BX45-'[3]побудинковий звіт'!BX45</f>
        <v>49939.009502023167</v>
      </c>
      <c r="BY45" s="56">
        <f t="shared" si="26"/>
        <v>5470.4217671578444</v>
      </c>
      <c r="BZ45" s="42">
        <f>'[1]побудинковий звіт'!BZ45+'[2]побудинковий звіт'!BZ45-'[3]побудинковий звіт'!BZ45</f>
        <v>7775.3532158540302</v>
      </c>
      <c r="CA45" s="42">
        <f>'[1]побудинковий звіт'!CA45+'[2]побудинковий звіт'!CA45-'[3]побудинковий звіт'!CA45</f>
        <v>19435.527447897955</v>
      </c>
      <c r="CB45" s="56">
        <f t="shared" si="27"/>
        <v>11660.174232043926</v>
      </c>
      <c r="CC45" s="42">
        <f>'[1]побудинковий звіт'!CC45+'[2]побудинковий звіт'!CC45-'[3]побудинковий звіт'!CC45</f>
        <v>2253.1434846618495</v>
      </c>
      <c r="CD45" s="42">
        <f>'[1]побудинковий звіт'!CD45+'[2]побудинковий звіт'!CD45-'[3]побудинковий звіт'!CD45</f>
        <v>2233.3264507044255</v>
      </c>
      <c r="CE45" s="56">
        <f t="shared" si="28"/>
        <v>-19.817033957423973</v>
      </c>
      <c r="CF45" s="42">
        <f>'[1]побудинковий звіт'!CF45+'[2]побудинковий звіт'!CF45-'[3]побудинковий звіт'!CF45</f>
        <v>277.37561837693215</v>
      </c>
      <c r="CG45" s="42">
        <f>'[1]побудинковий звіт'!CG45+'[2]побудинковий звіт'!CG45-'[3]побудинковий звіт'!CG45</f>
        <v>0</v>
      </c>
      <c r="CH45" s="56">
        <f t="shared" si="29"/>
        <v>-277.37561837693215</v>
      </c>
      <c r="CI45" s="42">
        <f>'[1]побудинковий звіт'!CI45+'[2]побудинковий звіт'!CI45-'[3]побудинковий звіт'!CI45</f>
        <v>20233.644716544699</v>
      </c>
      <c r="CJ45" s="42">
        <f>'[1]побудинковий звіт'!CJ45+'[2]побудинковий звіт'!CJ45-'[3]побудинковий звіт'!CJ45</f>
        <v>13241.861625615387</v>
      </c>
      <c r="CK45" s="56">
        <f t="shared" si="30"/>
        <v>-6991.7830909293116</v>
      </c>
      <c r="CL45" s="42">
        <f>'[1]побудинковий звіт'!CL45+'[2]побудинковий звіт'!CL45-'[3]побудинковий звіт'!CL45</f>
        <v>7711.6203730031611</v>
      </c>
      <c r="CM45" s="42">
        <f>'[1]побудинковий звіт'!CM45+'[2]побудинковий звіт'!CM45-'[3]побудинковий звіт'!CM45</f>
        <v>9349.0633579394016</v>
      </c>
      <c r="CN45" s="56">
        <f t="shared" si="31"/>
        <v>1637.4429849362405</v>
      </c>
      <c r="CO45" s="42">
        <f t="shared" si="7"/>
        <v>27945.265089547858</v>
      </c>
      <c r="CP45" s="43">
        <f t="shared" si="32"/>
        <v>22590.924983554789</v>
      </c>
      <c r="CQ45" s="56">
        <f t="shared" si="33"/>
        <v>-5354.3401059930693</v>
      </c>
      <c r="CR45" s="78">
        <f t="shared" si="8"/>
        <v>417996.01740296272</v>
      </c>
      <c r="CS45" s="5">
        <f t="shared" si="8"/>
        <v>354558.11650473543</v>
      </c>
      <c r="CT45" s="56">
        <f t="shared" si="34"/>
        <v>-63437.900898227294</v>
      </c>
      <c r="CU45" s="87">
        <f t="shared" si="35"/>
        <v>501595.22088355524</v>
      </c>
      <c r="CV45" s="70">
        <f t="shared" si="36"/>
        <v>425469.7398056825</v>
      </c>
      <c r="CW45" s="37">
        <f t="shared" si="37"/>
        <v>-76125.481077872741</v>
      </c>
      <c r="CX45" s="42">
        <f>'[1]побудинковий звіт'!CX45+'[2]побудинковий звіт'!CX45-'[3]побудинковий звіт'!CX45</f>
        <v>7442.1991164446954</v>
      </c>
      <c r="CY45" s="42">
        <f>'[1]побудинковий звіт'!CY45+'[2]побудинковий звіт'!CY45-'[3]побудинковий звіт'!CY45</f>
        <v>83567.680194317538</v>
      </c>
      <c r="CZ45" s="56">
        <f t="shared" si="38"/>
        <v>76125.481077872842</v>
      </c>
      <c r="DA45" s="264">
        <f>'[4]побудинковий звіт'!DA45</f>
        <v>-66568.030331974194</v>
      </c>
      <c r="DB45" s="2">
        <v>3</v>
      </c>
      <c r="DC45" s="717">
        <f>'[4]побудинковий звіт'!DC45</f>
        <v>79513.289999999994</v>
      </c>
      <c r="DD45" s="717">
        <f>'[4]побудинковий звіт'!DD45</f>
        <v>0</v>
      </c>
      <c r="DE45" s="717">
        <f>'[4]побудинковий звіт'!DE45</f>
        <v>37082.269999999997</v>
      </c>
      <c r="DF45" s="717">
        <f>'[4]побудинковий звіт'!DF45</f>
        <v>0</v>
      </c>
      <c r="DG45" s="787">
        <v>69460.448651565006</v>
      </c>
      <c r="DH45" s="761">
        <f t="shared" si="39"/>
        <v>6108449.0399999991</v>
      </c>
      <c r="DI45" s="784"/>
      <c r="DJ45" s="5"/>
      <c r="DK45" s="317">
        <f>VLOOKUP($A45,ціни!$A$4:$G$401,5)</f>
        <v>5.8918966216855715</v>
      </c>
      <c r="DL45" s="317">
        <f>VLOOKUP($A45,ціни!$A$4:$G$401,6)</f>
        <v>6.5150228100437317</v>
      </c>
      <c r="DM45" s="317">
        <f>VLOOKUP($A45,ціни!$A$4:$G$401,7)</f>
        <v>5.1906796835539026</v>
      </c>
      <c r="DN45" s="30">
        <f>DK45*G45+(F45-G45)*DL45</f>
        <v>18364.662022066208</v>
      </c>
      <c r="DO45" s="30">
        <f>DM45*H45</f>
        <v>0</v>
      </c>
      <c r="DP45" s="316">
        <f t="shared" si="40"/>
        <v>18364.662022066208</v>
      </c>
      <c r="DQ45" s="104"/>
      <c r="DR45" s="30">
        <f>VLOOKUP(A45,'ДЗ нас '!$A$1:$C$359,2)</f>
        <v>42431.02</v>
      </c>
      <c r="DS45" s="748"/>
      <c r="DT45" s="30">
        <f t="shared" si="41"/>
        <v>42431.02</v>
      </c>
      <c r="DU45" s="257">
        <f>VLOOKUP(A45,'новий кошторис с 01.06'!$A$4:$AI$399,35)*1.2</f>
        <v>42551.99457162161</v>
      </c>
      <c r="DV45" s="30">
        <f t="shared" si="42"/>
        <v>-120.97457162161299</v>
      </c>
      <c r="DW45" s="930">
        <f>'[5]побудинковий звіт'!DW45+'[6]побудинковий звіт'!DW45</f>
        <v>188</v>
      </c>
      <c r="DY45" s="5">
        <f t="shared" si="9"/>
        <v>175225.5661002078</v>
      </c>
      <c r="DZ45" s="5">
        <f t="shared" si="10"/>
        <v>77256.493876819644</v>
      </c>
      <c r="EA45" s="752">
        <f t="shared" si="43"/>
        <v>37082.269999999997</v>
      </c>
      <c r="EC45" s="592">
        <f t="shared" si="11"/>
        <v>1634469.7132318672</v>
      </c>
      <c r="EE45" s="758">
        <v>29685</v>
      </c>
      <c r="EF45" s="738">
        <f t="shared" si="12"/>
        <v>99145.448651565006</v>
      </c>
      <c r="EH45" s="813">
        <v>-5240.4227973086381</v>
      </c>
    </row>
    <row r="46" spans="1:138" x14ac:dyDescent="0.3">
      <c r="A46" s="328">
        <v>150000996</v>
      </c>
      <c r="B46" s="44" t="s">
        <v>494</v>
      </c>
      <c r="C46" s="45" t="s">
        <v>245</v>
      </c>
      <c r="D46" s="45" t="s">
        <v>245</v>
      </c>
      <c r="E46" s="40">
        <f t="shared" si="3"/>
        <v>1007.47</v>
      </c>
      <c r="F46" s="490">
        <v>821.7</v>
      </c>
      <c r="G46" s="30"/>
      <c r="H46" s="30">
        <v>185.76999999999998</v>
      </c>
      <c r="I46" s="42">
        <f>'[1]побудинковий звіт'!I46+'[2]побудинковий звіт'!I46-'[3]побудинковий звіт'!I46</f>
        <v>11559.276022181144</v>
      </c>
      <c r="J46" s="42">
        <f>'[1]побудинковий звіт'!J46+'[2]побудинковий звіт'!J46-'[3]побудинковий звіт'!J46</f>
        <v>11549.372599251317</v>
      </c>
      <c r="K46" s="56">
        <f t="shared" si="13"/>
        <v>-9.9034229298267746</v>
      </c>
      <c r="L46" s="42">
        <f>'[1]побудинковий звіт'!L46+'[2]побудинковий звіт'!L46-'[3]побудинковий звіт'!L46</f>
        <v>2043.1612821043891</v>
      </c>
      <c r="M46" s="42">
        <f>'[1]побудинковий звіт'!M46+'[2]побудинковий звіт'!M46-'[3]побудинковий звіт'!M46</f>
        <v>2085.6129797391313</v>
      </c>
      <c r="N46" s="56">
        <f t="shared" si="14"/>
        <v>42.451697634742231</v>
      </c>
      <c r="O46" s="42">
        <f>'[1]побудинковий звіт'!O46+'[2]побудинковий звіт'!O46-'[3]побудинковий звіт'!O46</f>
        <v>4511.3999999999987</v>
      </c>
      <c r="P46" s="42">
        <f>'[1]побудинковий звіт'!P46+'[2]побудинковий звіт'!P46-'[3]побудинковий звіт'!P46</f>
        <v>3546.0918829838697</v>
      </c>
      <c r="Q46" s="56">
        <f t="shared" si="15"/>
        <v>-965.30811701612902</v>
      </c>
      <c r="R46" s="42">
        <f>'[1]побудинковий звіт'!R46+'[2]побудинковий звіт'!R46-'[3]побудинковий звіт'!R46</f>
        <v>0</v>
      </c>
      <c r="S46" s="42">
        <f>'[1]побудинковий звіт'!S46+'[2]побудинковий звіт'!S46-'[3]побудинковий звіт'!S46</f>
        <v>0</v>
      </c>
      <c r="T46" s="56">
        <f t="shared" si="16"/>
        <v>0</v>
      </c>
      <c r="U46" s="42">
        <f>'[1]побудинковий звіт'!U46+'[2]побудинковий звіт'!U46-'[3]побудинковий звіт'!U46</f>
        <v>0</v>
      </c>
      <c r="V46" s="42">
        <f>'[1]побудинковий звіт'!V46+'[2]побудинковий звіт'!V46-'[3]побудинковий звіт'!V46</f>
        <v>0</v>
      </c>
      <c r="W46" s="56">
        <f t="shared" si="17"/>
        <v>0</v>
      </c>
      <c r="X46" s="42">
        <f>'[1]побудинковий звіт'!X46+'[2]побудинковий звіт'!X46-'[3]побудинковий звіт'!X46</f>
        <v>7181.8957696179814</v>
      </c>
      <c r="Y46" s="42">
        <f>'[1]побудинковий звіт'!Y46+'[2]побудинковий звіт'!Y46-'[3]побудинковий звіт'!Y46</f>
        <v>7932.3675247712599</v>
      </c>
      <c r="Z46" s="56">
        <f t="shared" si="18"/>
        <v>750.47175515327854</v>
      </c>
      <c r="AA46" s="42">
        <f>'[1]побудинковий звіт'!AA46+'[2]побудинковий звіт'!AA46-'[3]побудинковий звіт'!AA46</f>
        <v>0</v>
      </c>
      <c r="AB46" s="42">
        <f>'[1]побудинковий звіт'!AB46+'[2]побудинковий звіт'!AB46-'[3]побудинковий звіт'!AB46</f>
        <v>0</v>
      </c>
      <c r="AC46" s="56">
        <f t="shared" si="19"/>
        <v>0</v>
      </c>
      <c r="AD46" s="42">
        <f>'[1]побудинковий звіт'!AD46+'[2]побудинковий звіт'!AD46-'[3]побудинковий звіт'!AD46</f>
        <v>14737.807853701632</v>
      </c>
      <c r="AE46" s="42">
        <f>'[1]побудинковий звіт'!AE46+'[2]побудинковий звіт'!AE46-'[3]побудинковий звіт'!AE46</f>
        <v>13584.08099972544</v>
      </c>
      <c r="AF46" s="37">
        <f t="shared" si="20"/>
        <v>-1153.7268539761917</v>
      </c>
      <c r="AG46" s="87">
        <f t="shared" si="4"/>
        <v>40033.540927605143</v>
      </c>
      <c r="AH46" s="57">
        <f t="shared" si="4"/>
        <v>38697.525986471017</v>
      </c>
      <c r="AI46" s="56">
        <f t="shared" si="21"/>
        <v>-1336.0149411341263</v>
      </c>
      <c r="AJ46" s="42">
        <f>'[1]побудинковий звіт'!AJ46+'[2]побудинковий звіт'!AJ46-'[3]побудинковий звіт'!AJ46</f>
        <v>0</v>
      </c>
      <c r="AK46" s="42">
        <f>'[1]побудинковий звіт'!AK46+'[2]побудинковий звіт'!AK46-'[3]побудинковий звіт'!AK46</f>
        <v>0</v>
      </c>
      <c r="AL46" s="56">
        <f t="shared" si="22"/>
        <v>0</v>
      </c>
      <c r="AM46" s="42">
        <f>'[1]побудинковий звіт'!AM46+'[2]побудинковий звіт'!AM46-'[3]побудинковий звіт'!AM46</f>
        <v>0</v>
      </c>
      <c r="AN46" s="42">
        <f>'[1]побудинковий звіт'!AN46+'[2]побудинковий звіт'!AN46-'[3]побудинковий звіт'!AN46</f>
        <v>0</v>
      </c>
      <c r="AO46" s="56">
        <f t="shared" si="23"/>
        <v>0</v>
      </c>
      <c r="AP46" s="42">
        <f>'[1]побудинковий звіт'!AP46+'[2]побудинковий звіт'!AP46-'[3]побудинковий звіт'!AP46</f>
        <v>10085.737896817369</v>
      </c>
      <c r="AQ46" s="42">
        <f>'[1]побудинковий звіт'!AQ46+'[2]побудинковий звіт'!AQ46-'[3]побудинковий звіт'!AQ46</f>
        <v>14004.048851687578</v>
      </c>
      <c r="AR46" s="56">
        <f t="shared" si="24"/>
        <v>3918.3109548702087</v>
      </c>
      <c r="AS46" s="42">
        <f>'[1]побудинковий звіт'!AS46+'[2]побудинковий звіт'!AS46-'[3]побудинковий звіт'!AS46</f>
        <v>43294.095283471383</v>
      </c>
      <c r="AT46" s="42">
        <f>'[1]побудинковий звіт'!AT46+'[2]побудинковий звіт'!AT46-'[3]побудинковий звіт'!AT46</f>
        <v>24185</v>
      </c>
      <c r="AU46" s="58">
        <f t="shared" si="44"/>
        <v>-19109.095283471383</v>
      </c>
      <c r="AV46" s="42">
        <f>'[1]побудинковий звіт'!AV46+'[2]побудинковий звіт'!AV46-'[3]побудинковий звіт'!AV46</f>
        <v>1872.5354698673659</v>
      </c>
      <c r="AW46" s="42">
        <f>'[1]побудинковий звіт'!AW46+'[2]побудинковий звіт'!AW46-'[3]побудинковий звіт'!AW46</f>
        <v>1362</v>
      </c>
      <c r="AX46" s="59">
        <f t="shared" si="45"/>
        <v>-510.53546986736592</v>
      </c>
      <c r="AY46" s="42">
        <f>'[1]побудинковий звіт'!AY46+'[2]побудинковий звіт'!AY46-'[3]побудинковий звіт'!AY46</f>
        <v>2633.3224628282733</v>
      </c>
      <c r="AZ46" s="42">
        <f>'[1]побудинковий звіт'!AZ46+'[2]побудинковий звіт'!AZ46-'[3]побудинковий звіт'!AZ46</f>
        <v>1989</v>
      </c>
      <c r="BA46" s="37">
        <f t="shared" si="46"/>
        <v>-644.32246282827327</v>
      </c>
      <c r="BB46" s="42">
        <f>'[1]побудинковий звіт'!BB46+'[2]побудинковий звіт'!BB46-'[3]побудинковий звіт'!BB46</f>
        <v>2510.2724936459113</v>
      </c>
      <c r="BC46" s="42">
        <f>'[1]побудинковий звіт'!BC46+'[2]побудинковий звіт'!BC46-'[3]побудинковий звіт'!BC46</f>
        <v>0</v>
      </c>
      <c r="BD46" s="59">
        <f t="shared" si="47"/>
        <v>-2510.2724936459113</v>
      </c>
      <c r="BE46" s="42">
        <f>'[1]побудинковий звіт'!BE46+'[2]побудинковий звіт'!BE46-'[3]побудинковий звіт'!BE46</f>
        <v>0</v>
      </c>
      <c r="BF46" s="42">
        <f>'[1]побудинковий звіт'!BF46+'[2]побудинковий звіт'!BF46-'[3]побудинковий звіт'!BF46</f>
        <v>0</v>
      </c>
      <c r="BG46" s="39">
        <f t="shared" si="48"/>
        <v>0</v>
      </c>
      <c r="BH46" s="42">
        <f>'[1]побудинковий звіт'!BH46+'[2]побудинковий звіт'!BH46-'[3]побудинковий звіт'!BH46</f>
        <v>0</v>
      </c>
      <c r="BI46" s="42">
        <f>'[1]побудинковий звіт'!BI46+'[2]побудинковий звіт'!BI46-'[3]побудинковий звіт'!BI46</f>
        <v>0</v>
      </c>
      <c r="BJ46" s="59">
        <f t="shared" si="49"/>
        <v>0</v>
      </c>
      <c r="BK46" s="42">
        <f>'[1]побудинковий звіт'!BK46+'[2]побудинковий звіт'!BK46-'[3]побудинковий звіт'!BK46</f>
        <v>997.54414079296782</v>
      </c>
      <c r="BL46" s="42">
        <f>'[1]побудинковий звіт'!BL46+'[2]побудинковий звіт'!BL46-'[3]побудинковий звіт'!BL46</f>
        <v>8183.0071113496087</v>
      </c>
      <c r="BM46" s="39">
        <f t="shared" si="50"/>
        <v>7185.4629705566413</v>
      </c>
      <c r="BN46" s="42">
        <f>'[1]побудинковий звіт'!BN46+'[2]побудинковий звіт'!BN46-'[3]побудинковий звіт'!BN46</f>
        <v>0</v>
      </c>
      <c r="BO46" s="42">
        <f>'[1]побудинковий звіт'!BO46+'[2]побудинковий звіт'!BO46-'[3]побудинковий звіт'!BO46</f>
        <v>0</v>
      </c>
      <c r="BP46" s="59">
        <f t="shared" si="51"/>
        <v>0</v>
      </c>
      <c r="BQ46" s="87">
        <f t="shared" si="57"/>
        <v>8013.674567134517</v>
      </c>
      <c r="BR46" s="43">
        <f t="shared" si="58"/>
        <v>11534.007111349609</v>
      </c>
      <c r="BS46" s="59">
        <f t="shared" si="52"/>
        <v>3520.3325442150917</v>
      </c>
      <c r="BT46" s="42">
        <f>'[1]побудинковий звіт'!BT46+'[2]побудинковий звіт'!BT46-'[3]побудинковий звіт'!BT46</f>
        <v>39682.265202260452</v>
      </c>
      <c r="BU46" s="42">
        <f>'[1]побудинковий звіт'!BU46+'[2]побудинковий звіт'!BU46-'[3]побудинковий звіт'!BU46</f>
        <v>59407.350073078087</v>
      </c>
      <c r="BV46" s="56">
        <f t="shared" si="25"/>
        <v>19725.084870817635</v>
      </c>
      <c r="BW46" s="42">
        <f>'[1]побудинковий звіт'!BW46+'[2]побудинковий звіт'!BW46-'[3]побудинковий звіт'!BW46</f>
        <v>30647.740181583453</v>
      </c>
      <c r="BX46" s="42">
        <f>'[1]побудинковий звіт'!BX46+'[2]побудинковий звіт'!BX46-'[3]побудинковий звіт'!BX46</f>
        <v>34673.117653024558</v>
      </c>
      <c r="BY46" s="56">
        <f t="shared" si="26"/>
        <v>4025.3774714411047</v>
      </c>
      <c r="BZ46" s="42">
        <f>'[1]побудинковий звіт'!BZ46+'[2]побудинковий звіт'!BZ46-'[3]побудинковий звіт'!BZ46</f>
        <v>20597.680868358988</v>
      </c>
      <c r="CA46" s="42">
        <f>'[1]побудинковий звіт'!CA46+'[2]побудинковий звіт'!CA46-'[3]побудинковий звіт'!CA46</f>
        <v>12404.990778176209</v>
      </c>
      <c r="CB46" s="56">
        <f t="shared" si="27"/>
        <v>-8192.6900901827794</v>
      </c>
      <c r="CC46" s="42">
        <f>'[1]побудинковий звіт'!CC46+'[2]побудинковий звіт'!CC46-'[3]побудинковий звіт'!CC46</f>
        <v>0</v>
      </c>
      <c r="CD46" s="42">
        <f>'[1]побудинковий звіт'!CD46+'[2]побудинковий звіт'!CD46-'[3]побудинковий звіт'!CD46</f>
        <v>0</v>
      </c>
      <c r="CE46" s="56">
        <f t="shared" si="28"/>
        <v>0</v>
      </c>
      <c r="CF46" s="42">
        <f>'[1]побудинковий звіт'!CF46+'[2]побудинковий звіт'!CF46-'[3]побудинковий звіт'!CF46</f>
        <v>0</v>
      </c>
      <c r="CG46" s="42">
        <f>'[1]побудинковий звіт'!CG46+'[2]побудинковий звіт'!CG46-'[3]побудинковий звіт'!CG46</f>
        <v>0</v>
      </c>
      <c r="CH46" s="56">
        <f t="shared" si="29"/>
        <v>0</v>
      </c>
      <c r="CI46" s="42">
        <f>'[1]побудинковий звіт'!CI46+'[2]побудинковий звіт'!CI46-'[3]побудинковий звіт'!CI46</f>
        <v>5502.9524020944864</v>
      </c>
      <c r="CJ46" s="42">
        <f>'[1]побудинковий звіт'!CJ46+'[2]побудинковий звіт'!CJ46-'[3]побудинковий звіт'!CJ46</f>
        <v>3919.6219689250984</v>
      </c>
      <c r="CK46" s="56">
        <f t="shared" si="30"/>
        <v>-1583.330433169388</v>
      </c>
      <c r="CL46" s="42">
        <f>'[1]побудинковий звіт'!CL46+'[2]побудинковий звіт'!CL46-'[3]побудинковий звіт'!CL46</f>
        <v>0</v>
      </c>
      <c r="CM46" s="42">
        <f>'[1]побудинковий звіт'!CM46+'[2]побудинковий звіт'!CM46-'[3]побудинковий звіт'!CM46</f>
        <v>0</v>
      </c>
      <c r="CN46" s="56">
        <f t="shared" si="31"/>
        <v>0</v>
      </c>
      <c r="CO46" s="42">
        <f t="shared" si="7"/>
        <v>5502.9524020944864</v>
      </c>
      <c r="CP46" s="43">
        <f t="shared" si="32"/>
        <v>3919.6219689250984</v>
      </c>
      <c r="CQ46" s="56">
        <f t="shared" si="33"/>
        <v>-1583.330433169388</v>
      </c>
      <c r="CR46" s="78">
        <f t="shared" si="8"/>
        <v>197857.6873293258</v>
      </c>
      <c r="CS46" s="5">
        <f t="shared" si="8"/>
        <v>198825.66242271214</v>
      </c>
      <c r="CT46" s="56">
        <f t="shared" si="34"/>
        <v>967.97509338633972</v>
      </c>
      <c r="CU46" s="87">
        <f t="shared" si="35"/>
        <v>237429.22479519094</v>
      </c>
      <c r="CV46" s="70">
        <f t="shared" si="36"/>
        <v>238590.79490725455</v>
      </c>
      <c r="CW46" s="37">
        <f t="shared" si="37"/>
        <v>1161.5701120636077</v>
      </c>
      <c r="CX46" s="42">
        <f>'[1]побудинковий звіт'!CX46+'[2]побудинковий звіт'!CX46-'[3]побудинковий звіт'!CX46</f>
        <v>68.535204809013521</v>
      </c>
      <c r="CY46" s="42">
        <f>'[1]побудинковий звіт'!CY46+'[2]побудинковий звіт'!CY46-'[3]побудинковий звіт'!CY46</f>
        <v>-1093.0349072545796</v>
      </c>
      <c r="CZ46" s="56">
        <f t="shared" si="38"/>
        <v>-1161.5701120635931</v>
      </c>
      <c r="DA46" s="264">
        <f>'[4]побудинковий звіт'!DA46</f>
        <v>11289.232986060211</v>
      </c>
      <c r="DB46" s="2">
        <v>2</v>
      </c>
      <c r="DC46" s="717">
        <f>'[4]побудинковий звіт'!DC46</f>
        <v>63452.73</v>
      </c>
      <c r="DD46" s="717">
        <f>'[4]побудинковий звіт'!DD46</f>
        <v>5042.5199999999995</v>
      </c>
      <c r="DE46" s="717">
        <f>'[4]побудинковий звіт'!DE46</f>
        <v>44562.47</v>
      </c>
      <c r="DF46" s="717">
        <f>'[4]побудинковий звіт'!DF46</f>
        <v>4141.2999999999993</v>
      </c>
      <c r="DG46" s="787">
        <v>27118.061993240844</v>
      </c>
      <c r="DH46" s="761">
        <f t="shared" si="39"/>
        <v>2849973.1199999992</v>
      </c>
      <c r="DI46" s="784"/>
      <c r="DJ46" s="5"/>
      <c r="DK46" s="317">
        <f>VLOOKUP($A46,ціни!$A$4:$G$401,5)</f>
        <v>5.7910334285544476</v>
      </c>
      <c r="DL46" s="317"/>
      <c r="DM46" s="317">
        <f>VLOOKUP($A46,ціни!$A$4:$G$401,7)</f>
        <v>4.8512069893767888</v>
      </c>
      <c r="DN46" s="30">
        <f t="shared" ref="DN46:DN62" si="59">F46*DK46</f>
        <v>4758.4921682431896</v>
      </c>
      <c r="DO46" s="30">
        <f t="shared" ref="DO46:DO62" si="60">H46*DM46</f>
        <v>901.20872241652603</v>
      </c>
      <c r="DP46" s="316">
        <f t="shared" si="40"/>
        <v>5659.7008906597157</v>
      </c>
      <c r="DQ46" s="104"/>
      <c r="DR46" s="30">
        <f>VLOOKUP(A46,'ДЗ нас '!$A$1:$C$359,2)</f>
        <v>18889.099999999999</v>
      </c>
      <c r="DS46" s="748">
        <f>VLOOKUP(A46,'ДЗ нежит'!$A$1:$D$153,4,0)</f>
        <v>901.22</v>
      </c>
      <c r="DT46" s="30">
        <f t="shared" si="41"/>
        <v>19790.32</v>
      </c>
      <c r="DU46" s="257">
        <f>VLOOKUP(A46,'новий кошторис с 01.06'!$A$4:$AI$399,35)*1.2</f>
        <v>19785.768732932582</v>
      </c>
      <c r="DV46" s="30">
        <f t="shared" si="42"/>
        <v>4.551267067417939</v>
      </c>
      <c r="DW46" s="930">
        <f>'[5]побудинковий звіт'!DW46+'[6]побудинковий звіт'!DW46</f>
        <v>253</v>
      </c>
      <c r="DY46" s="5">
        <f t="shared" si="9"/>
        <v>61569.323820727077</v>
      </c>
      <c r="DZ46" s="5">
        <f t="shared" si="10"/>
        <v>42862.808533619529</v>
      </c>
      <c r="EA46" s="752">
        <f t="shared" si="43"/>
        <v>48703.770000000004</v>
      </c>
      <c r="EC46" s="592">
        <f t="shared" si="11"/>
        <v>519529.14340165659</v>
      </c>
      <c r="EE46" s="758">
        <v>-13812</v>
      </c>
      <c r="EF46" s="738">
        <f t="shared" si="12"/>
        <v>13306.061993240844</v>
      </c>
      <c r="EH46" s="813">
        <v>5562.8710717784197</v>
      </c>
    </row>
    <row r="47" spans="1:138" x14ac:dyDescent="0.3">
      <c r="A47" s="328">
        <v>150000987</v>
      </c>
      <c r="B47" s="44" t="s">
        <v>495</v>
      </c>
      <c r="C47" s="45" t="s">
        <v>50</v>
      </c>
      <c r="D47" s="45" t="s">
        <v>50</v>
      </c>
      <c r="E47" s="40">
        <f t="shared" si="3"/>
        <v>654.20000000000005</v>
      </c>
      <c r="F47" s="490">
        <v>654.20000000000005</v>
      </c>
      <c r="G47" s="30"/>
      <c r="H47" s="30">
        <v>0</v>
      </c>
      <c r="I47" s="42">
        <f>'[1]побудинковий звіт'!I47+'[2]побудинковий звіт'!I47-'[3]побудинковий звіт'!I47</f>
        <v>0</v>
      </c>
      <c r="J47" s="42">
        <f>'[1]побудинковий звіт'!J47+'[2]побудинковий звіт'!J47-'[3]побудинковий звіт'!J47</f>
        <v>0</v>
      </c>
      <c r="K47" s="56">
        <f t="shared" si="13"/>
        <v>0</v>
      </c>
      <c r="L47" s="42">
        <f>'[1]побудинковий звіт'!L47+'[2]побудинковий звіт'!L47-'[3]побудинковий звіт'!L47</f>
        <v>0</v>
      </c>
      <c r="M47" s="42">
        <f>'[1]побудинковий звіт'!M47+'[2]побудинковий звіт'!M47-'[3]побудинковий звіт'!M47</f>
        <v>0</v>
      </c>
      <c r="N47" s="56">
        <f t="shared" si="14"/>
        <v>0</v>
      </c>
      <c r="O47" s="42">
        <f>'[1]побудинковий звіт'!O47+'[2]побудинковий звіт'!O47-'[3]побудинковий звіт'!O47</f>
        <v>0</v>
      </c>
      <c r="P47" s="42">
        <f>'[1]побудинковий звіт'!P47+'[2]побудинковий звіт'!P47-'[3]побудинковий звіт'!P47</f>
        <v>0</v>
      </c>
      <c r="Q47" s="56">
        <f t="shared" si="15"/>
        <v>0</v>
      </c>
      <c r="R47" s="42">
        <f>'[1]побудинковий звіт'!R47+'[2]побудинковий звіт'!R47-'[3]побудинковий звіт'!R47</f>
        <v>0</v>
      </c>
      <c r="S47" s="42">
        <f>'[1]побудинковий звіт'!S47+'[2]побудинковий звіт'!S47-'[3]побудинковий звіт'!S47</f>
        <v>0</v>
      </c>
      <c r="T47" s="56">
        <f t="shared" si="16"/>
        <v>0</v>
      </c>
      <c r="U47" s="42">
        <f>'[1]побудинковий звіт'!U47+'[2]побудинковий звіт'!U47-'[3]побудинковий звіт'!U47</f>
        <v>0</v>
      </c>
      <c r="V47" s="42">
        <f>'[1]побудинковий звіт'!V47+'[2]побудинковий звіт'!V47-'[3]побудинковий звіт'!V47</f>
        <v>0</v>
      </c>
      <c r="W47" s="56">
        <f t="shared" si="17"/>
        <v>0</v>
      </c>
      <c r="X47" s="42">
        <f>'[1]побудинковий звіт'!X47+'[2]побудинковий звіт'!X47-'[3]побудинковий звіт'!X47</f>
        <v>0</v>
      </c>
      <c r="Y47" s="42">
        <f>'[1]побудинковий звіт'!Y47+'[2]побудинковий звіт'!Y47-'[3]побудинковий звіт'!Y47</f>
        <v>0</v>
      </c>
      <c r="Z47" s="56">
        <f t="shared" si="18"/>
        <v>0</v>
      </c>
      <c r="AA47" s="42">
        <f>'[1]побудинковий звіт'!AA47+'[2]побудинковий звіт'!AA47-'[3]побудинковий звіт'!AA47</f>
        <v>0</v>
      </c>
      <c r="AB47" s="42">
        <f>'[1]побудинковий звіт'!AB47+'[2]побудинковий звіт'!AB47-'[3]побудинковий звіт'!AB47</f>
        <v>0</v>
      </c>
      <c r="AC47" s="56">
        <f t="shared" si="19"/>
        <v>0</v>
      </c>
      <c r="AD47" s="42">
        <f>'[1]побудинковий звіт'!AD47+'[2]побудинковий звіт'!AD47-'[3]побудинковий звіт'!AD47</f>
        <v>0</v>
      </c>
      <c r="AE47" s="42">
        <f>'[1]побудинковий звіт'!AE47+'[2]побудинковий звіт'!AE47-'[3]побудинковий звіт'!AE47</f>
        <v>0</v>
      </c>
      <c r="AF47" s="37">
        <f t="shared" si="20"/>
        <v>0</v>
      </c>
      <c r="AG47" s="87">
        <f t="shared" si="4"/>
        <v>0</v>
      </c>
      <c r="AH47" s="57">
        <f t="shared" si="4"/>
        <v>0</v>
      </c>
      <c r="AI47" s="56">
        <f t="shared" si="21"/>
        <v>0</v>
      </c>
      <c r="AJ47" s="42">
        <f>'[1]побудинковий звіт'!AJ47+'[2]побудинковий звіт'!AJ47-'[3]побудинковий звіт'!AJ47</f>
        <v>0</v>
      </c>
      <c r="AK47" s="42">
        <f>'[1]побудинковий звіт'!AK47+'[2]побудинковий звіт'!AK47-'[3]побудинковий звіт'!AK47</f>
        <v>0</v>
      </c>
      <c r="AL47" s="56">
        <f t="shared" si="22"/>
        <v>0</v>
      </c>
      <c r="AM47" s="42">
        <f>'[1]побудинковий звіт'!AM47+'[2]побудинковий звіт'!AM47-'[3]побудинковий звіт'!AM47</f>
        <v>0</v>
      </c>
      <c r="AN47" s="42">
        <f>'[1]побудинковий звіт'!AN47+'[2]побудинковий звіт'!AN47-'[3]побудинковий звіт'!AN47</f>
        <v>0</v>
      </c>
      <c r="AO47" s="56">
        <f t="shared" si="23"/>
        <v>0</v>
      </c>
      <c r="AP47" s="42">
        <f>'[1]побудинковий звіт'!AP47+'[2]побудинковий звіт'!AP47-'[3]побудинковий звіт'!AP47</f>
        <v>568.21058573618984</v>
      </c>
      <c r="AQ47" s="42">
        <f>'[1]побудинковий звіт'!AQ47+'[2]побудинковий звіт'!AQ47-'[3]побудинковий звіт'!AQ47</f>
        <v>280.28737885440523</v>
      </c>
      <c r="AR47" s="56">
        <f t="shared" si="24"/>
        <v>-287.92320688178461</v>
      </c>
      <c r="AS47" s="42">
        <f>'[1]побудинковий звіт'!AS47+'[2]побудинковий звіт'!AS47-'[3]побудинковий звіт'!AS47</f>
        <v>72.203999999999994</v>
      </c>
      <c r="AT47" s="42">
        <f>'[1]побудинковий звіт'!AT47+'[2]побудинковий звіт'!AT47-'[3]побудинковий звіт'!AT47</f>
        <v>353</v>
      </c>
      <c r="AU47" s="58">
        <f t="shared" si="44"/>
        <v>280.79599999999999</v>
      </c>
      <c r="AV47" s="42">
        <f>'[1]побудинковий звіт'!AV47+'[2]побудинковий звіт'!AV47-'[3]побудинковий звіт'!AV47</f>
        <v>0</v>
      </c>
      <c r="AW47" s="42">
        <f>'[1]побудинковий звіт'!AW47+'[2]побудинковий звіт'!AW47-'[3]побудинковий звіт'!AW47</f>
        <v>0</v>
      </c>
      <c r="AX47" s="59">
        <f t="shared" si="45"/>
        <v>0</v>
      </c>
      <c r="AY47" s="42">
        <f>'[1]побудинковий звіт'!AY47+'[2]побудинковий звіт'!AY47-'[3]побудинковий звіт'!AY47</f>
        <v>0</v>
      </c>
      <c r="AZ47" s="42">
        <f>'[1]побудинковий звіт'!AZ47+'[2]побудинковий звіт'!AZ47-'[3]побудинковий звіт'!AZ47</f>
        <v>0</v>
      </c>
      <c r="BA47" s="37">
        <f t="shared" si="46"/>
        <v>0</v>
      </c>
      <c r="BB47" s="42">
        <f>'[1]побудинковий звіт'!BB47+'[2]побудинковий звіт'!BB47-'[3]побудинковий звіт'!BB47</f>
        <v>0</v>
      </c>
      <c r="BC47" s="42">
        <f>'[1]побудинковий звіт'!BC47+'[2]побудинковий звіт'!BC47-'[3]побудинковий звіт'!BC47</f>
        <v>0</v>
      </c>
      <c r="BD47" s="59">
        <f t="shared" si="47"/>
        <v>0</v>
      </c>
      <c r="BE47" s="42">
        <f>'[1]побудинковий звіт'!BE47+'[2]побудинковий звіт'!BE47-'[3]побудинковий звіт'!BE47</f>
        <v>0</v>
      </c>
      <c r="BF47" s="42">
        <f>'[1]побудинковий звіт'!BF47+'[2]побудинковий звіт'!BF47-'[3]побудинковий звіт'!BF47</f>
        <v>0</v>
      </c>
      <c r="BG47" s="39">
        <f t="shared" si="48"/>
        <v>0</v>
      </c>
      <c r="BH47" s="42">
        <f>'[1]побудинковий звіт'!BH47+'[2]побудинковий звіт'!BH47-'[3]побудинковий звіт'!BH47</f>
        <v>0</v>
      </c>
      <c r="BI47" s="42">
        <f>'[1]побудинковий звіт'!BI47+'[2]побудинковий звіт'!BI47-'[3]побудинковий звіт'!BI47</f>
        <v>0</v>
      </c>
      <c r="BJ47" s="59">
        <f t="shared" si="49"/>
        <v>0</v>
      </c>
      <c r="BK47" s="42">
        <f>'[1]побудинковий звіт'!BK47+'[2]побудинковий звіт'!BK47-'[3]побудинковий звіт'!BK47</f>
        <v>0</v>
      </c>
      <c r="BL47" s="42">
        <f>'[1]побудинковий звіт'!BL47+'[2]побудинковий звіт'!BL47-'[3]побудинковий звіт'!BL47</f>
        <v>0</v>
      </c>
      <c r="BM47" s="39">
        <f t="shared" si="50"/>
        <v>0</v>
      </c>
      <c r="BN47" s="42">
        <f>'[1]побудинковий звіт'!BN47+'[2]побудинковий звіт'!BN47-'[3]побудинковий звіт'!BN47</f>
        <v>0</v>
      </c>
      <c r="BO47" s="42">
        <f>'[1]побудинковий звіт'!BO47+'[2]побудинковий звіт'!BO47-'[3]побудинковий звіт'!BO47</f>
        <v>0</v>
      </c>
      <c r="BP47" s="59">
        <f t="shared" si="51"/>
        <v>0</v>
      </c>
      <c r="BQ47" s="87">
        <f t="shared" si="57"/>
        <v>0</v>
      </c>
      <c r="BR47" s="43">
        <f t="shared" si="58"/>
        <v>0</v>
      </c>
      <c r="BS47" s="59">
        <f t="shared" si="52"/>
        <v>0</v>
      </c>
      <c r="BT47" s="42">
        <f>'[1]побудинковий звіт'!BT47+'[2]побудинковий звіт'!BT47-'[3]побудинковий звіт'!BT47</f>
        <v>167.48907527938252</v>
      </c>
      <c r="BU47" s="42">
        <f>'[1]побудинковий звіт'!BU47+'[2]побудинковий звіт'!BU47-'[3]побудинковий звіт'!BU47</f>
        <v>486.00556504317825</v>
      </c>
      <c r="BV47" s="56">
        <f t="shared" si="25"/>
        <v>318.51648976379573</v>
      </c>
      <c r="BW47" s="42">
        <f>'[1]побудинковий звіт'!BW47+'[2]побудинковий звіт'!BW47-'[3]побудинковий звіт'!BW47</f>
        <v>0</v>
      </c>
      <c r="BX47" s="42">
        <f>'[1]побудинковий звіт'!BX47+'[2]побудинковий звіт'!BX47-'[3]побудинковий звіт'!BX47</f>
        <v>7.8665250105366935</v>
      </c>
      <c r="BY47" s="56">
        <f t="shared" si="26"/>
        <v>7.8665250105366935</v>
      </c>
      <c r="BZ47" s="42">
        <f>'[1]побудинковий звіт'!BZ47+'[2]побудинковий звіт'!BZ47-'[3]побудинковий звіт'!BZ47</f>
        <v>0</v>
      </c>
      <c r="CA47" s="42">
        <f>'[1]побудинковий звіт'!CA47+'[2]побудинковий звіт'!CA47-'[3]побудинковий звіт'!CA47</f>
        <v>117.14902971274125</v>
      </c>
      <c r="CB47" s="56">
        <f t="shared" si="27"/>
        <v>117.14902971274125</v>
      </c>
      <c r="CC47" s="42">
        <f>'[1]побудинковий звіт'!CC47+'[2]побудинковий звіт'!CC47-'[3]побудинковий звіт'!CC47</f>
        <v>0</v>
      </c>
      <c r="CD47" s="42">
        <f>'[1]побудинковий звіт'!CD47+'[2]побудинковий звіт'!CD47-'[3]побудинковий звіт'!CD47</f>
        <v>0</v>
      </c>
      <c r="CE47" s="56">
        <f t="shared" si="28"/>
        <v>0</v>
      </c>
      <c r="CF47" s="42">
        <f>'[1]побудинковий звіт'!CF47+'[2]побудинковий звіт'!CF47-'[3]побудинковий звіт'!CF47</f>
        <v>0</v>
      </c>
      <c r="CG47" s="42">
        <f>'[1]побудинковий звіт'!CG47+'[2]побудинковий звіт'!CG47-'[3]побудинковий звіт'!CG47</f>
        <v>0</v>
      </c>
      <c r="CH47" s="56">
        <f t="shared" si="29"/>
        <v>0</v>
      </c>
      <c r="CI47" s="42">
        <f>'[1]побудинковий звіт'!CI47+'[2]побудинковий звіт'!CI47-'[3]побудинковий звіт'!CI47</f>
        <v>0</v>
      </c>
      <c r="CJ47" s="42">
        <f>'[1]побудинковий звіт'!CJ47+'[2]побудинковий звіт'!CJ47-'[3]побудинковий звіт'!CJ47</f>
        <v>0</v>
      </c>
      <c r="CK47" s="56">
        <f t="shared" si="30"/>
        <v>0</v>
      </c>
      <c r="CL47" s="42">
        <f>'[1]побудинковий звіт'!CL47+'[2]побудинковий звіт'!CL47-'[3]побудинковий звіт'!CL47</f>
        <v>0</v>
      </c>
      <c r="CM47" s="42">
        <f>'[1]побудинковий звіт'!CM47+'[2]побудинковий звіт'!CM47-'[3]побудинковий звіт'!CM47</f>
        <v>0</v>
      </c>
      <c r="CN47" s="56">
        <f t="shared" si="31"/>
        <v>0</v>
      </c>
      <c r="CO47" s="42">
        <f t="shared" si="7"/>
        <v>0</v>
      </c>
      <c r="CP47" s="43">
        <f t="shared" si="32"/>
        <v>0</v>
      </c>
      <c r="CQ47" s="56">
        <f t="shared" si="33"/>
        <v>0</v>
      </c>
      <c r="CR47" s="78">
        <f t="shared" si="8"/>
        <v>807.90366101557231</v>
      </c>
      <c r="CS47" s="5">
        <f t="shared" si="8"/>
        <v>1244.3084986208614</v>
      </c>
      <c r="CT47" s="56">
        <f t="shared" si="34"/>
        <v>436.40483760528912</v>
      </c>
      <c r="CU47" s="87">
        <f t="shared" si="35"/>
        <v>969.48439321868671</v>
      </c>
      <c r="CV47" s="70">
        <f t="shared" si="36"/>
        <v>1493.1701983450337</v>
      </c>
      <c r="CW47" s="37">
        <f t="shared" si="37"/>
        <v>523.68580512634696</v>
      </c>
      <c r="CX47" s="42">
        <f>'[1]побудинковий звіт'!CX47+'[2]побудинковий звіт'!CX47-'[3]побудинковий звіт'!CX47</f>
        <v>32.395606781313177</v>
      </c>
      <c r="CY47" s="42">
        <f>'[1]побудинковий звіт'!CY47+'[2]побудинковий звіт'!CY47-'[3]побудинковий звіт'!CY47</f>
        <v>-491.29019834503356</v>
      </c>
      <c r="CZ47" s="56">
        <f t="shared" si="38"/>
        <v>-523.68580512634674</v>
      </c>
      <c r="DA47" s="264">
        <f>'[4]побудинковий звіт'!DA47</f>
        <v>175.80788027433431</v>
      </c>
      <c r="DB47" s="2">
        <v>3</v>
      </c>
      <c r="DC47" s="717">
        <f>'[4]побудинковий звіт'!DC47</f>
        <v>-84.87</v>
      </c>
      <c r="DD47" s="717">
        <f>'[4]побудинковий звіт'!DD47</f>
        <v>0</v>
      </c>
      <c r="DE47" s="717">
        <f>'[4]побудинковий звіт'!DE47</f>
        <v>-168.36</v>
      </c>
      <c r="DF47" s="717">
        <f>'[4]побудинковий звіт'!DF47</f>
        <v>0</v>
      </c>
      <c r="DG47" s="787">
        <v>-746.40025456745502</v>
      </c>
      <c r="DH47" s="761">
        <f t="shared" si="39"/>
        <v>12022.559999999998</v>
      </c>
      <c r="DI47" s="784"/>
      <c r="DJ47" s="5"/>
      <c r="DK47" s="317">
        <f>VLOOKUP($A47,ціни!$A$4:$G$401,5)</f>
        <v>0.34186296172848551</v>
      </c>
      <c r="DL47" s="317"/>
      <c r="DM47" s="317">
        <f>VLOOKUP($A47,ціни!$A$4:$G$401,7)</f>
        <v>0.34186296172848551</v>
      </c>
      <c r="DN47" s="30">
        <f t="shared" si="59"/>
        <v>223.64674956277523</v>
      </c>
      <c r="DO47" s="30">
        <f t="shared" si="60"/>
        <v>0</v>
      </c>
      <c r="DP47" s="316">
        <f t="shared" si="40"/>
        <v>223.64674956277523</v>
      </c>
      <c r="DQ47" s="104"/>
      <c r="DR47" s="30">
        <f>VLOOKUP(A47,'ДЗ нас '!$A$1:$C$359,2)</f>
        <v>83.49</v>
      </c>
      <c r="DS47" s="748"/>
      <c r="DT47" s="30">
        <f t="shared" si="41"/>
        <v>83.49</v>
      </c>
      <c r="DU47" s="257">
        <f>VLOOKUP(A47,'новий кошторис с 01.06'!$A$4:$AI$399,35)*1.2</f>
        <v>83.89016908460394</v>
      </c>
      <c r="DV47" s="30">
        <f t="shared" si="42"/>
        <v>-0.40016908460394518</v>
      </c>
      <c r="DW47" s="930">
        <f>'[5]побудинковий звіт'!DW47+'[6]побудинковий звіт'!DW47</f>
        <v>0</v>
      </c>
      <c r="DY47" s="5">
        <f t="shared" si="9"/>
        <v>86.644799999999989</v>
      </c>
      <c r="DZ47" s="5">
        <f t="shared" si="10"/>
        <v>423.59999999999997</v>
      </c>
      <c r="EA47" s="752">
        <f t="shared" si="43"/>
        <v>-168.36</v>
      </c>
      <c r="EC47" s="592">
        <f t="shared" si="11"/>
        <v>866.44799999999987</v>
      </c>
      <c r="EE47" s="758">
        <v>915</v>
      </c>
      <c r="EF47" s="738">
        <f t="shared" si="12"/>
        <v>168.59974543254498</v>
      </c>
      <c r="EH47" s="813">
        <v>-379.39656602200847</v>
      </c>
    </row>
    <row r="48" spans="1:138" x14ac:dyDescent="0.3">
      <c r="A48" s="328">
        <v>150000988</v>
      </c>
      <c r="B48" s="44" t="s">
        <v>496</v>
      </c>
      <c r="C48" s="45" t="s">
        <v>51</v>
      </c>
      <c r="D48" s="45" t="s">
        <v>51</v>
      </c>
      <c r="E48" s="40">
        <f t="shared" si="3"/>
        <v>1730</v>
      </c>
      <c r="F48" s="490">
        <v>1730</v>
      </c>
      <c r="G48" s="30"/>
      <c r="H48" s="30">
        <v>0</v>
      </c>
      <c r="I48" s="42">
        <f>'[1]побудинковий звіт'!I48+'[2]побудинковий звіт'!I48-'[3]побудинковий звіт'!I48</f>
        <v>0</v>
      </c>
      <c r="J48" s="42">
        <f>'[1]побудинковий звіт'!J48+'[2]побудинковий звіт'!J48-'[3]побудинковий звіт'!J48</f>
        <v>0</v>
      </c>
      <c r="K48" s="56">
        <f t="shared" si="13"/>
        <v>0</v>
      </c>
      <c r="L48" s="42">
        <f>'[1]побудинковий звіт'!L48+'[2]побудинковий звіт'!L48-'[3]побудинковий звіт'!L48</f>
        <v>0</v>
      </c>
      <c r="M48" s="42">
        <f>'[1]побудинковий звіт'!M48+'[2]побудинковий звіт'!M48-'[3]побудинковий звіт'!M48</f>
        <v>0</v>
      </c>
      <c r="N48" s="56">
        <f t="shared" si="14"/>
        <v>0</v>
      </c>
      <c r="O48" s="42">
        <f>'[1]побудинковий звіт'!O48+'[2]побудинковий звіт'!O48-'[3]побудинковий звіт'!O48</f>
        <v>0</v>
      </c>
      <c r="P48" s="42">
        <f>'[1]побудинковий звіт'!P48+'[2]побудинковий звіт'!P48-'[3]побудинковий звіт'!P48</f>
        <v>0</v>
      </c>
      <c r="Q48" s="56">
        <f t="shared" si="15"/>
        <v>0</v>
      </c>
      <c r="R48" s="42">
        <f>'[1]побудинковий звіт'!R48+'[2]побудинковий звіт'!R48-'[3]побудинковий звіт'!R48</f>
        <v>0</v>
      </c>
      <c r="S48" s="42">
        <f>'[1]побудинковий звіт'!S48+'[2]побудинковий звіт'!S48-'[3]побудинковий звіт'!S48</f>
        <v>0</v>
      </c>
      <c r="T48" s="56">
        <f t="shared" si="16"/>
        <v>0</v>
      </c>
      <c r="U48" s="42">
        <f>'[1]побудинковий звіт'!U48+'[2]побудинковий звіт'!U48-'[3]побудинковий звіт'!U48</f>
        <v>0</v>
      </c>
      <c r="V48" s="42">
        <f>'[1]побудинковий звіт'!V48+'[2]побудинковий звіт'!V48-'[3]побудинковий звіт'!V48</f>
        <v>0</v>
      </c>
      <c r="W48" s="56">
        <f t="shared" si="17"/>
        <v>0</v>
      </c>
      <c r="X48" s="42">
        <f>'[1]побудинковий звіт'!X48+'[2]побудинковий звіт'!X48-'[3]побудинковий звіт'!X48</f>
        <v>0</v>
      </c>
      <c r="Y48" s="42">
        <f>'[1]побудинковий звіт'!Y48+'[2]побудинковий звіт'!Y48-'[3]побудинковий звіт'!Y48</f>
        <v>0</v>
      </c>
      <c r="Z48" s="56">
        <f t="shared" si="18"/>
        <v>0</v>
      </c>
      <c r="AA48" s="42">
        <f>'[1]побудинковий звіт'!AA48+'[2]побудинковий звіт'!AA48-'[3]побудинковий звіт'!AA48</f>
        <v>0</v>
      </c>
      <c r="AB48" s="42">
        <f>'[1]побудинковий звіт'!AB48+'[2]побудинковий звіт'!AB48-'[3]побудинковий звіт'!AB48</f>
        <v>0</v>
      </c>
      <c r="AC48" s="56">
        <f t="shared" si="19"/>
        <v>0</v>
      </c>
      <c r="AD48" s="42">
        <f>'[1]побудинковий звіт'!AD48+'[2]побудинковий звіт'!AD48-'[3]побудинковий звіт'!AD48</f>
        <v>0</v>
      </c>
      <c r="AE48" s="42">
        <f>'[1]побудинковий звіт'!AE48+'[2]побудинковий звіт'!AE48-'[3]побудинковий звіт'!AE48</f>
        <v>215.62283103224388</v>
      </c>
      <c r="AF48" s="37">
        <f t="shared" si="20"/>
        <v>215.62283103224388</v>
      </c>
      <c r="AG48" s="87">
        <f t="shared" si="4"/>
        <v>0</v>
      </c>
      <c r="AH48" s="57">
        <f t="shared" si="4"/>
        <v>215.62283103224388</v>
      </c>
      <c r="AI48" s="56">
        <f t="shared" si="21"/>
        <v>215.62283103224388</v>
      </c>
      <c r="AJ48" s="42">
        <f>'[1]побудинковий звіт'!AJ48+'[2]побудинковий звіт'!AJ48-'[3]побудинковий звіт'!AJ48</f>
        <v>0</v>
      </c>
      <c r="AK48" s="42">
        <f>'[1]побудинковий звіт'!AK48+'[2]побудинковий звіт'!AK48-'[3]побудинковий звіт'!AK48</f>
        <v>0</v>
      </c>
      <c r="AL48" s="56">
        <f t="shared" si="22"/>
        <v>0</v>
      </c>
      <c r="AM48" s="42">
        <f>'[1]побудинковий звіт'!AM48+'[2]побудинковий звіт'!AM48-'[3]побудинковий звіт'!AM48</f>
        <v>0</v>
      </c>
      <c r="AN48" s="42">
        <f>'[1]побудинковий звіт'!AN48+'[2]побудинковий звіт'!AN48-'[3]побудинковий звіт'!AN48</f>
        <v>0</v>
      </c>
      <c r="AO48" s="56">
        <f t="shared" si="23"/>
        <v>0</v>
      </c>
      <c r="AP48" s="42">
        <f>'[1]побудинковий звіт'!AP48+'[2]побудинковий звіт'!AP48-'[3]побудинковий звіт'!AP48</f>
        <v>473.50882144682492</v>
      </c>
      <c r="AQ48" s="42">
        <f>'[1]побудинковий звіт'!AQ48+'[2]побудинковий звіт'!AQ48-'[3]побудинковий звіт'!AQ48</f>
        <v>233.57281571200437</v>
      </c>
      <c r="AR48" s="56">
        <f t="shared" si="24"/>
        <v>-239.93600573482055</v>
      </c>
      <c r="AS48" s="42">
        <f>'[1]побудинковий звіт'!AS48+'[2]побудинковий звіт'!AS48-'[3]побудинковий звіт'!AS48</f>
        <v>3673.5156586974799</v>
      </c>
      <c r="AT48" s="42">
        <f>'[1]побудинковий звіт'!AT48+'[2]побудинковий звіт'!AT48-'[3]побудинковий звіт'!AT48</f>
        <v>0</v>
      </c>
      <c r="AU48" s="58">
        <f t="shared" si="44"/>
        <v>-3673.5156586974799</v>
      </c>
      <c r="AV48" s="42">
        <f>'[1]побудинковий звіт'!AV48+'[2]побудинковий звіт'!AV48-'[3]побудинковий звіт'!AV48</f>
        <v>0</v>
      </c>
      <c r="AW48" s="42">
        <f>'[1]побудинковий звіт'!AW48+'[2]побудинковий звіт'!AW48-'[3]побудинковий звіт'!AW48</f>
        <v>0</v>
      </c>
      <c r="AX48" s="59">
        <f t="shared" si="45"/>
        <v>0</v>
      </c>
      <c r="AY48" s="42">
        <f>'[1]побудинковий звіт'!AY48+'[2]побудинковий звіт'!AY48-'[3]побудинковий звіт'!AY48</f>
        <v>0</v>
      </c>
      <c r="AZ48" s="42">
        <f>'[1]побудинковий звіт'!AZ48+'[2]побудинковий звіт'!AZ48-'[3]побудинковий звіт'!AZ48</f>
        <v>0</v>
      </c>
      <c r="BA48" s="37">
        <f t="shared" si="46"/>
        <v>0</v>
      </c>
      <c r="BB48" s="42">
        <f>'[1]побудинковий звіт'!BB48+'[2]побудинковий звіт'!BB48-'[3]побудинковий звіт'!BB48</f>
        <v>0</v>
      </c>
      <c r="BC48" s="42">
        <f>'[1]побудинковий звіт'!BC48+'[2]побудинковий звіт'!BC48-'[3]побудинковий звіт'!BC48</f>
        <v>0</v>
      </c>
      <c r="BD48" s="59">
        <f t="shared" si="47"/>
        <v>0</v>
      </c>
      <c r="BE48" s="42">
        <f>'[1]побудинковий звіт'!BE48+'[2]побудинковий звіт'!BE48-'[3]побудинковий звіт'!BE48</f>
        <v>0</v>
      </c>
      <c r="BF48" s="42">
        <f>'[1]побудинковий звіт'!BF48+'[2]побудинковий звіт'!BF48-'[3]побудинковий звіт'!BF48</f>
        <v>0</v>
      </c>
      <c r="BG48" s="39">
        <f t="shared" si="48"/>
        <v>0</v>
      </c>
      <c r="BH48" s="42">
        <f>'[1]побудинковий звіт'!BH48+'[2]побудинковий звіт'!BH48-'[3]побудинковий звіт'!BH48</f>
        <v>0</v>
      </c>
      <c r="BI48" s="42">
        <f>'[1]побудинковий звіт'!BI48+'[2]побудинковий звіт'!BI48-'[3]побудинковий звіт'!BI48</f>
        <v>0</v>
      </c>
      <c r="BJ48" s="59">
        <f t="shared" si="49"/>
        <v>0</v>
      </c>
      <c r="BK48" s="42">
        <f>'[1]побудинковий звіт'!BK48+'[2]побудинковий звіт'!BK48-'[3]побудинковий звіт'!BK48</f>
        <v>0</v>
      </c>
      <c r="BL48" s="42">
        <f>'[1]побудинковий звіт'!BL48+'[2]побудинковий звіт'!BL48-'[3]побудинковий звіт'!BL48</f>
        <v>0</v>
      </c>
      <c r="BM48" s="39">
        <f t="shared" si="50"/>
        <v>0</v>
      </c>
      <c r="BN48" s="42">
        <f>'[1]побудинковий звіт'!BN48+'[2]побудинковий звіт'!BN48-'[3]побудинковий звіт'!BN48</f>
        <v>0</v>
      </c>
      <c r="BO48" s="42">
        <f>'[1]побудинковий звіт'!BO48+'[2]побудинковий звіт'!BO48-'[3]побудинковий звіт'!BO48</f>
        <v>0</v>
      </c>
      <c r="BP48" s="59">
        <f t="shared" si="51"/>
        <v>0</v>
      </c>
      <c r="BQ48" s="87">
        <f t="shared" si="57"/>
        <v>0</v>
      </c>
      <c r="BR48" s="43">
        <f t="shared" si="58"/>
        <v>0</v>
      </c>
      <c r="BS48" s="59">
        <f t="shared" si="52"/>
        <v>0</v>
      </c>
      <c r="BT48" s="42">
        <f>'[1]побудинковий звіт'!BT48+'[2]побудинковий звіт'!BT48-'[3]побудинковий звіт'!BT48</f>
        <v>95.708043016790015</v>
      </c>
      <c r="BU48" s="42">
        <f>'[1]побудинковий звіт'!BU48+'[2]побудинковий звіт'!BU48-'[3]побудинковий звіт'!BU48</f>
        <v>257.3103177001899</v>
      </c>
      <c r="BV48" s="56">
        <f t="shared" si="25"/>
        <v>161.60227468339988</v>
      </c>
      <c r="BW48" s="42">
        <f>'[1]побудинковий звіт'!BW48+'[2]побудинковий звіт'!BW48-'[3]побудинковий звіт'!BW48</f>
        <v>0</v>
      </c>
      <c r="BX48" s="42">
        <f>'[1]побудинковий звіт'!BX48+'[2]побудинковий звіт'!BX48-'[3]побудинковий звіт'!BX48</f>
        <v>10.427494454998888</v>
      </c>
      <c r="BY48" s="56">
        <f t="shared" si="26"/>
        <v>10.427494454998888</v>
      </c>
      <c r="BZ48" s="42">
        <f>'[1]побудинковий звіт'!BZ48+'[2]побудинковий звіт'!BZ48-'[3]побудинковий звіт'!BZ48</f>
        <v>0</v>
      </c>
      <c r="CA48" s="42">
        <f>'[1]побудинковий звіт'!CA48+'[2]побудинковий звіт'!CA48-'[3]побудинковий звіт'!CA48</f>
        <v>62.023269324038246</v>
      </c>
      <c r="CB48" s="56">
        <f t="shared" si="27"/>
        <v>62.023269324038246</v>
      </c>
      <c r="CC48" s="42">
        <f>'[1]побудинковий звіт'!CC48+'[2]побудинковий звіт'!CC48-'[3]побудинковий звіт'!CC48</f>
        <v>0</v>
      </c>
      <c r="CD48" s="42">
        <f>'[1]побудинковий звіт'!CD48+'[2]побудинковий звіт'!CD48-'[3]побудинковий звіт'!CD48</f>
        <v>0</v>
      </c>
      <c r="CE48" s="56">
        <f t="shared" si="28"/>
        <v>0</v>
      </c>
      <c r="CF48" s="42">
        <f>'[1]побудинковий звіт'!CF48+'[2]побудинковий звіт'!CF48-'[3]побудинковий звіт'!CF48</f>
        <v>0</v>
      </c>
      <c r="CG48" s="42">
        <f>'[1]побудинковий звіт'!CG48+'[2]побудинковий звіт'!CG48-'[3]побудинковий звіт'!CG48</f>
        <v>0</v>
      </c>
      <c r="CH48" s="56">
        <f t="shared" si="29"/>
        <v>0</v>
      </c>
      <c r="CI48" s="42">
        <f>'[1]побудинковий звіт'!CI48+'[2]побудинковий звіт'!CI48-'[3]побудинковий звіт'!CI48</f>
        <v>0</v>
      </c>
      <c r="CJ48" s="42">
        <f>'[1]побудинковий звіт'!CJ48+'[2]побудинковий звіт'!CJ48-'[3]побудинковий звіт'!CJ48</f>
        <v>0</v>
      </c>
      <c r="CK48" s="56">
        <f t="shared" si="30"/>
        <v>0</v>
      </c>
      <c r="CL48" s="42">
        <f>'[1]побудинковий звіт'!CL48+'[2]побудинковий звіт'!CL48-'[3]побудинковий звіт'!CL48</f>
        <v>0</v>
      </c>
      <c r="CM48" s="42">
        <f>'[1]побудинковий звіт'!CM48+'[2]побудинковий звіт'!CM48-'[3]побудинковий звіт'!CM48</f>
        <v>0</v>
      </c>
      <c r="CN48" s="56">
        <f t="shared" si="31"/>
        <v>0</v>
      </c>
      <c r="CO48" s="42">
        <f t="shared" si="7"/>
        <v>0</v>
      </c>
      <c r="CP48" s="43">
        <f t="shared" si="32"/>
        <v>0</v>
      </c>
      <c r="CQ48" s="56">
        <f t="shared" si="33"/>
        <v>0</v>
      </c>
      <c r="CR48" s="78">
        <f t="shared" si="8"/>
        <v>4242.7325231610948</v>
      </c>
      <c r="CS48" s="5">
        <f t="shared" si="8"/>
        <v>778.95672822347524</v>
      </c>
      <c r="CT48" s="56">
        <f t="shared" si="34"/>
        <v>-3463.7757949376196</v>
      </c>
      <c r="CU48" s="87">
        <f t="shared" si="35"/>
        <v>5091.2790277933136</v>
      </c>
      <c r="CV48" s="70">
        <f t="shared" si="36"/>
        <v>934.7480738681702</v>
      </c>
      <c r="CW48" s="37">
        <f t="shared" si="37"/>
        <v>-4156.530953925143</v>
      </c>
      <c r="CX48" s="42">
        <f>'[1]побудинковий звіт'!CX48+'[2]побудинковий звіт'!CX48-'[3]побудинковий звіт'!CX48</f>
        <v>127.40097220668576</v>
      </c>
      <c r="CY48" s="42">
        <f>'[1]побудинковий звіт'!CY48+'[2]побудинковий звіт'!CY48-'[3]побудинковий звіт'!CY48</f>
        <v>4283.9319261318296</v>
      </c>
      <c r="CZ48" s="56">
        <f t="shared" si="38"/>
        <v>4156.5309539251439</v>
      </c>
      <c r="DA48" s="264">
        <f>'[4]побудинковий звіт'!DA48</f>
        <v>-2920.3613759209015</v>
      </c>
      <c r="DB48" s="2">
        <v>3</v>
      </c>
      <c r="DC48" s="717">
        <f>'[4]побудинковий звіт'!DC48</f>
        <v>449</v>
      </c>
      <c r="DD48" s="717">
        <f>'[4]побудинковий звіт'!DD48</f>
        <v>0</v>
      </c>
      <c r="DE48" s="717">
        <f>'[4]побудинковий звіт'!DE48</f>
        <v>14.110000000000014</v>
      </c>
      <c r="DF48" s="717">
        <f>'[4]побудинковий звіт'!DF48</f>
        <v>0</v>
      </c>
      <c r="DG48" s="787">
        <v>-4880.1557126058678</v>
      </c>
      <c r="DH48" s="761">
        <f t="shared" si="39"/>
        <v>62624.159999999989</v>
      </c>
      <c r="DI48" s="784"/>
      <c r="DJ48" s="5"/>
      <c r="DK48" s="317">
        <f>VLOOKUP($A48,ціни!$A$4:$G$401,5)</f>
        <v>1.3434664307198401</v>
      </c>
      <c r="DL48" s="317"/>
      <c r="DM48" s="317">
        <f>VLOOKUP($A48,ціни!$A$4:$G$401,7)</f>
        <v>1.3434664307198401</v>
      </c>
      <c r="DN48" s="30">
        <f t="shared" si="59"/>
        <v>2324.1969251453233</v>
      </c>
      <c r="DO48" s="30">
        <f t="shared" si="60"/>
        <v>0</v>
      </c>
      <c r="DP48" s="316">
        <f t="shared" si="40"/>
        <v>2324.1969251453233</v>
      </c>
      <c r="DQ48" s="104"/>
      <c r="DR48" s="30">
        <f>VLOOKUP(A48,'ДЗ нас '!$A$1:$C$359,2)</f>
        <v>434.89</v>
      </c>
      <c r="DS48" s="748"/>
      <c r="DT48" s="30">
        <f t="shared" si="41"/>
        <v>434.89</v>
      </c>
      <c r="DU48" s="257">
        <f>VLOOKUP(A48,'новий кошторис с 01.06'!$A$4:$AI$399,35)*1.2</f>
        <v>437.00144988559276</v>
      </c>
      <c r="DV48" s="30">
        <f t="shared" si="42"/>
        <v>-2.1114498855927764</v>
      </c>
      <c r="DW48" s="930">
        <f>'[5]побудинковий звіт'!DW48+'[6]побудинковий звіт'!DW48</f>
        <v>0</v>
      </c>
      <c r="DY48" s="5">
        <f t="shared" si="9"/>
        <v>4408.2187904369757</v>
      </c>
      <c r="DZ48" s="5">
        <f t="shared" si="10"/>
        <v>0</v>
      </c>
      <c r="EA48" s="752">
        <f t="shared" si="43"/>
        <v>14.110000000000014</v>
      </c>
      <c r="EC48" s="592">
        <f t="shared" si="11"/>
        <v>44082.187904369755</v>
      </c>
      <c r="EE48" s="758">
        <v>-1350</v>
      </c>
      <c r="EF48" s="738">
        <f t="shared" si="12"/>
        <v>-6230.1557126058678</v>
      </c>
      <c r="EH48" s="813">
        <v>712.6901873348379</v>
      </c>
    </row>
    <row r="49" spans="1:138" x14ac:dyDescent="0.3">
      <c r="A49" s="328">
        <v>150000548</v>
      </c>
      <c r="B49" s="44" t="s">
        <v>497</v>
      </c>
      <c r="C49" s="45" t="s">
        <v>246</v>
      </c>
      <c r="D49" s="45" t="s">
        <v>246</v>
      </c>
      <c r="E49" s="40">
        <f t="shared" si="3"/>
        <v>934</v>
      </c>
      <c r="F49" s="490">
        <v>934</v>
      </c>
      <c r="G49" s="30"/>
      <c r="H49" s="30">
        <v>0</v>
      </c>
      <c r="I49" s="42">
        <f>'[1]побудинковий звіт'!I49+'[2]побудинковий звіт'!I49-'[3]побудинковий звіт'!I49</f>
        <v>7671.8174703775021</v>
      </c>
      <c r="J49" s="42">
        <f>'[1]побудинковий звіт'!J49+'[2]побудинковий звіт'!J49-'[3]побудинковий звіт'!J49</f>
        <v>6468.4039790133338</v>
      </c>
      <c r="K49" s="56">
        <f t="shared" si="13"/>
        <v>-1203.4134913641683</v>
      </c>
      <c r="L49" s="42">
        <f>'[1]побудинковий звіт'!L49+'[2]побудинковий звіт'!L49-'[3]побудинковий звіт'!L49</f>
        <v>1766.8127953650912</v>
      </c>
      <c r="M49" s="42">
        <f>'[1]побудинковий звіт'!M49+'[2]побудинковий звіт'!M49-'[3]побудинковий звіт'!M49</f>
        <v>1701.548550972497</v>
      </c>
      <c r="N49" s="56">
        <f t="shared" si="14"/>
        <v>-65.264244392594264</v>
      </c>
      <c r="O49" s="42">
        <f>'[1]побудинковий звіт'!O49+'[2]побудинковий звіт'!O49-'[3]побудинковий звіт'!O49</f>
        <v>3317.76</v>
      </c>
      <c r="P49" s="42">
        <f>'[1]побудинковий звіт'!P49+'[2]побудинковий звіт'!P49-'[3]побудинковий звіт'!P49</f>
        <v>2607.8938736559144</v>
      </c>
      <c r="Q49" s="56">
        <f t="shared" si="15"/>
        <v>-709.86612634408584</v>
      </c>
      <c r="R49" s="42">
        <f>'[1]побудинковий звіт'!R49+'[2]побудинковий звіт'!R49-'[3]побудинковий звіт'!R49</f>
        <v>650.88</v>
      </c>
      <c r="S49" s="42">
        <f>'[1]побудинковий звіт'!S49+'[2]побудинковий звіт'!S49-'[3]побудинковий звіт'!S49</f>
        <v>511.53141021505382</v>
      </c>
      <c r="T49" s="56">
        <f t="shared" si="16"/>
        <v>-139.34858978494617</v>
      </c>
      <c r="U49" s="42">
        <f>'[1]побудинковий звіт'!U49+'[2]побудинковий звіт'!U49-'[3]побудинковий звіт'!U49</f>
        <v>531.87068102458227</v>
      </c>
      <c r="V49" s="42">
        <f>'[1]побудинковий звіт'!V49+'[2]побудинковий звіт'!V49-'[3]побудинковий звіт'!V49</f>
        <v>209.40016808557675</v>
      </c>
      <c r="W49" s="56">
        <f t="shared" si="17"/>
        <v>-322.47051293900552</v>
      </c>
      <c r="X49" s="42">
        <f>'[1]побудинковий звіт'!X49+'[2]побудинковий звіт'!X49-'[3]побудинковий звіт'!X49</f>
        <v>5806.2066187143482</v>
      </c>
      <c r="Y49" s="42">
        <f>'[1]побудинковий звіт'!Y49+'[2]побудинковий звіт'!Y49-'[3]побудинковий звіт'!Y49</f>
        <v>3899.5787220060283</v>
      </c>
      <c r="Z49" s="56">
        <f t="shared" si="18"/>
        <v>-1906.6278967083199</v>
      </c>
      <c r="AA49" s="42">
        <f>'[1]побудинковий звіт'!AA49+'[2]побудинковий звіт'!AA49-'[3]побудинковий звіт'!AA49</f>
        <v>0</v>
      </c>
      <c r="AB49" s="42">
        <f>'[1]побудинковий звіт'!AB49+'[2]побудинковий звіт'!AB49-'[3]побудинковий звіт'!AB49</f>
        <v>0</v>
      </c>
      <c r="AC49" s="56">
        <f t="shared" si="19"/>
        <v>0</v>
      </c>
      <c r="AD49" s="42">
        <f>'[1]побудинковий звіт'!AD49+'[2]побудинковий звіт'!AD49-'[3]побудинковий звіт'!AD49</f>
        <v>9363.6434745634942</v>
      </c>
      <c r="AE49" s="42">
        <f>'[1]побудинковий звіт'!AE49+'[2]побудинковий звіт'!AE49-'[3]побудинковий звіт'!AE49</f>
        <v>8630.3565688376257</v>
      </c>
      <c r="AF49" s="37">
        <f t="shared" si="20"/>
        <v>-733.28690572586856</v>
      </c>
      <c r="AG49" s="87">
        <f t="shared" si="4"/>
        <v>29108.991040045017</v>
      </c>
      <c r="AH49" s="57">
        <f t="shared" si="4"/>
        <v>24028.71327278603</v>
      </c>
      <c r="AI49" s="56">
        <f t="shared" si="21"/>
        <v>-5080.2777672589873</v>
      </c>
      <c r="AJ49" s="42">
        <f>'[1]побудинковий звіт'!AJ49+'[2]побудинковий звіт'!AJ49-'[3]побудинковий звіт'!AJ49</f>
        <v>0</v>
      </c>
      <c r="AK49" s="42">
        <f>'[1]побудинковий звіт'!AK49+'[2]побудинковий звіт'!AK49-'[3]побудинковий звіт'!AK49</f>
        <v>0</v>
      </c>
      <c r="AL49" s="56">
        <f t="shared" si="22"/>
        <v>0</v>
      </c>
      <c r="AM49" s="42">
        <f>'[1]побудинковий звіт'!AM49+'[2]побудинковий звіт'!AM49-'[3]побудинковий звіт'!AM49</f>
        <v>0</v>
      </c>
      <c r="AN49" s="42">
        <f>'[1]побудинковий звіт'!AN49+'[2]побудинковий звіт'!AN49-'[3]побудинковий звіт'!AN49</f>
        <v>0</v>
      </c>
      <c r="AO49" s="56">
        <f t="shared" si="23"/>
        <v>0</v>
      </c>
      <c r="AP49" s="42">
        <f>'[1]побудинковий звіт'!AP49+'[2]побудинковий звіт'!AP49-'[3]побудинковий звіт'!AP49</f>
        <v>1420.5264643404748</v>
      </c>
      <c r="AQ49" s="42">
        <f>'[1]побудинковий звіт'!AQ49+'[2]побудинковий звіт'!AQ49-'[3]побудинковий звіт'!AQ49</f>
        <v>1309.5564445007431</v>
      </c>
      <c r="AR49" s="56">
        <f t="shared" si="24"/>
        <v>-110.97001983973178</v>
      </c>
      <c r="AS49" s="42">
        <f>'[1]побудинковий звіт'!AS49+'[2]побудинковий звіт'!AS49-'[3]побудинковий звіт'!AS49</f>
        <v>29261.417123977692</v>
      </c>
      <c r="AT49" s="42">
        <f>'[1]побудинковий звіт'!AT49+'[2]побудинковий звіт'!AT49-'[3]побудинковий звіт'!AT49</f>
        <v>56163</v>
      </c>
      <c r="AU49" s="58">
        <f t="shared" si="44"/>
        <v>26901.582876022308</v>
      </c>
      <c r="AV49" s="42">
        <f>'[1]побудинковий звіт'!AV49+'[2]побудинковий звіт'!AV49-'[3]побудинковий звіт'!AV49</f>
        <v>1445.8560122761871</v>
      </c>
      <c r="AW49" s="42">
        <f>'[1]побудинковий звіт'!AW49+'[2]побудинковий звіт'!AW49-'[3]побудинковий звіт'!AW49</f>
        <v>1504</v>
      </c>
      <c r="AX49" s="59">
        <f t="shared" si="45"/>
        <v>58.14398772381287</v>
      </c>
      <c r="AY49" s="42">
        <f>'[1]побудинковий звіт'!AY49+'[2]побудинковий звіт'!AY49-'[3]побудинковий звіт'!AY49</f>
        <v>2109.9775394071216</v>
      </c>
      <c r="AZ49" s="42">
        <f>'[1]побудинковий звіт'!AZ49+'[2]побудинковий звіт'!AZ49-'[3]побудинковий звіт'!AZ49</f>
        <v>1137</v>
      </c>
      <c r="BA49" s="37">
        <f t="shared" si="46"/>
        <v>-972.97753940712164</v>
      </c>
      <c r="BB49" s="42">
        <f>'[1]побудинковий звіт'!BB49+'[2]побудинковий звіт'!BB49-'[3]побудинковий звіт'!BB49</f>
        <v>1159.5837594450445</v>
      </c>
      <c r="BC49" s="42">
        <f>'[1]побудинковий звіт'!BC49+'[2]побудинковий звіт'!BC49-'[3]побудинковий звіт'!BC49</f>
        <v>0</v>
      </c>
      <c r="BD49" s="59">
        <f t="shared" si="47"/>
        <v>-1159.5837594450445</v>
      </c>
      <c r="BE49" s="42">
        <f>'[1]побудинковий звіт'!BE49+'[2]побудинковий звіт'!BE49-'[3]побудинковий звіт'!BE49</f>
        <v>645.2645870476066</v>
      </c>
      <c r="BF49" s="42">
        <f>'[1]побудинковий звіт'!BF49+'[2]побудинковий звіт'!BF49-'[3]побудинковий звіт'!BF49</f>
        <v>0</v>
      </c>
      <c r="BG49" s="39">
        <f t="shared" si="48"/>
        <v>-645.2645870476066</v>
      </c>
      <c r="BH49" s="42">
        <f>'[1]побудинковий звіт'!BH49+'[2]побудинковий звіт'!BH49-'[3]побудинковий звіт'!BH49</f>
        <v>539.76213107435467</v>
      </c>
      <c r="BI49" s="42">
        <f>'[1]побудинковий звіт'!BI49+'[2]побудинковий звіт'!BI49-'[3]побудинковий звіт'!BI49</f>
        <v>2262</v>
      </c>
      <c r="BJ49" s="59">
        <f t="shared" si="49"/>
        <v>1722.2378689256452</v>
      </c>
      <c r="BK49" s="42">
        <f>'[1]побудинковий звіт'!BK49+'[2]побудинковий звіт'!BK49-'[3]побудинковий звіт'!BK49</f>
        <v>781.47915860748481</v>
      </c>
      <c r="BL49" s="42">
        <f>'[1]побудинковий звіт'!BL49+'[2]побудинковий звіт'!BL49-'[3]побудинковий звіт'!BL49</f>
        <v>3094</v>
      </c>
      <c r="BM49" s="39">
        <f t="shared" si="50"/>
        <v>2312.5208413925152</v>
      </c>
      <c r="BN49" s="42">
        <f>'[1]побудинковий звіт'!BN49+'[2]побудинковий звіт'!BN49-'[3]побудинковий звіт'!BN49</f>
        <v>710.06625734530007</v>
      </c>
      <c r="BO49" s="42">
        <f>'[1]побудинковий звіт'!BO49+'[2]побудинковий звіт'!BO49-'[3]побудинковий звіт'!BO49</f>
        <v>0</v>
      </c>
      <c r="BP49" s="59">
        <f t="shared" si="51"/>
        <v>-710.06625734530007</v>
      </c>
      <c r="BQ49" s="87">
        <f t="shared" si="57"/>
        <v>7391.9894452030976</v>
      </c>
      <c r="BR49" s="43">
        <f t="shared" si="58"/>
        <v>7997</v>
      </c>
      <c r="BS49" s="59">
        <f t="shared" si="52"/>
        <v>605.0105547969024</v>
      </c>
      <c r="BT49" s="42">
        <f>'[1]побудинковий звіт'!BT49+'[2]побудинковий звіт'!BT49-'[3]побудинковий звіт'!BT49</f>
        <v>38090.20394557347</v>
      </c>
      <c r="BU49" s="42">
        <f>'[1]побудинковий звіт'!BU49+'[2]побудинковий звіт'!BU49-'[3]побудинковий звіт'!BU49</f>
        <v>37590.72534529226</v>
      </c>
      <c r="BV49" s="56">
        <f t="shared" si="25"/>
        <v>-499.47860028121067</v>
      </c>
      <c r="BW49" s="42">
        <f>'[1]побудинковий звіт'!BW49+'[2]побудинковий звіт'!BW49-'[3]побудинковий звіт'!BW49</f>
        <v>17607.000296075883</v>
      </c>
      <c r="BX49" s="42">
        <f>'[1]побудинковий звіт'!BX49+'[2]побудинковий звіт'!BX49-'[3]побудинковий звіт'!BX49</f>
        <v>18920.804337503218</v>
      </c>
      <c r="BY49" s="56">
        <f t="shared" si="26"/>
        <v>1313.8040414273346</v>
      </c>
      <c r="BZ49" s="42">
        <f>'[1]побудинковий звіт'!BZ49+'[2]побудинковий звіт'!BZ49-'[3]побудинковий звіт'!BZ49</f>
        <v>4933.8837184174117</v>
      </c>
      <c r="CA49" s="42">
        <f>'[1]побудинковий звіт'!CA49+'[2]побудинковий звіт'!CA49-'[3]побудинковий звіт'!CA49</f>
        <v>9991.4011146729645</v>
      </c>
      <c r="CB49" s="56">
        <f t="shared" si="27"/>
        <v>5057.5173962555527</v>
      </c>
      <c r="CC49" s="42">
        <f>'[1]побудинковий звіт'!CC49+'[2]побудинковий звіт'!CC49-'[3]побудинковий звіт'!CC49</f>
        <v>607.08955946138599</v>
      </c>
      <c r="CD49" s="42">
        <f>'[1]побудинковий звіт'!CD49+'[2]побудинковий звіт'!CD49-'[3]побудинковий звіт'!CD49</f>
        <v>601.75003514926777</v>
      </c>
      <c r="CE49" s="56">
        <f t="shared" si="28"/>
        <v>-5.3395243121182148</v>
      </c>
      <c r="CF49" s="42">
        <f>'[1]побудинковий звіт'!CF49+'[2]побудинковий звіт'!CF49-'[3]побудинковий звіт'!CF49</f>
        <v>74.736404100360048</v>
      </c>
      <c r="CG49" s="42">
        <f>'[1]побудинковий звіт'!CG49+'[2]побудинковий звіт'!CG49-'[3]побудинковий звіт'!CG49</f>
        <v>0</v>
      </c>
      <c r="CH49" s="56">
        <f t="shared" si="29"/>
        <v>-74.736404100360048</v>
      </c>
      <c r="CI49" s="42">
        <f>'[1]побудинковий звіт'!CI49+'[2]побудинковий звіт'!CI49-'[3]побудинковий звіт'!CI49</f>
        <v>4155.2905893366542</v>
      </c>
      <c r="CJ49" s="42">
        <f>'[1]побудинковий звіт'!CJ49+'[2]побудинковий звіт'!CJ49-'[3]побудинковий звіт'!CJ49</f>
        <v>1797.2373962102943</v>
      </c>
      <c r="CK49" s="56">
        <f t="shared" si="30"/>
        <v>-2358.0531931263599</v>
      </c>
      <c r="CL49" s="42">
        <f>'[1]побудинковий звіт'!CL49+'[2]побудинковий звіт'!CL49-'[3]побудинковий звіт'!CL49</f>
        <v>0</v>
      </c>
      <c r="CM49" s="42">
        <f>'[1]побудинковий звіт'!CM49+'[2]побудинковий звіт'!CM49-'[3]побудинковий звіт'!CM49</f>
        <v>0</v>
      </c>
      <c r="CN49" s="56">
        <f t="shared" si="31"/>
        <v>0</v>
      </c>
      <c r="CO49" s="42">
        <f t="shared" si="7"/>
        <v>4155.2905893366542</v>
      </c>
      <c r="CP49" s="43">
        <f t="shared" si="32"/>
        <v>1797.2373962102943</v>
      </c>
      <c r="CQ49" s="56">
        <f t="shared" si="33"/>
        <v>-2358.0531931263599</v>
      </c>
      <c r="CR49" s="78">
        <f t="shared" si="8"/>
        <v>132651.12858653144</v>
      </c>
      <c r="CS49" s="5">
        <f t="shared" si="8"/>
        <v>158400.18794611481</v>
      </c>
      <c r="CT49" s="56">
        <f t="shared" si="34"/>
        <v>25749.059359583363</v>
      </c>
      <c r="CU49" s="87">
        <f t="shared" si="35"/>
        <v>159181.35430383772</v>
      </c>
      <c r="CV49" s="70">
        <f t="shared" si="36"/>
        <v>190080.22553533775</v>
      </c>
      <c r="CW49" s="37">
        <f t="shared" si="37"/>
        <v>30898.87123150003</v>
      </c>
      <c r="CX49" s="42">
        <f>'[1]побудинковий звіт'!CX49+'[2]побудинковий звіт'!CX49-'[3]побудинковий звіт'!CX49</f>
        <v>7948.1656961622502</v>
      </c>
      <c r="CY49" s="42">
        <f>'[1]побудинковий звіт'!CY49+'[2]побудинковий звіт'!CY49-'[3]побудинковий звіт'!CY49</f>
        <v>-22950.705535337744</v>
      </c>
      <c r="CZ49" s="56">
        <f t="shared" si="38"/>
        <v>-30898.871231499994</v>
      </c>
      <c r="DA49" s="264">
        <f>'[4]побудинковий звіт'!DA49</f>
        <v>22462.454319811208</v>
      </c>
      <c r="DB49" s="2">
        <v>1</v>
      </c>
      <c r="DC49" s="717">
        <f>'[4]побудинковий звіт'!DC49</f>
        <v>19177.419999999998</v>
      </c>
      <c r="DD49" s="717">
        <f>'[4]побудинковий звіт'!DD49</f>
        <v>0</v>
      </c>
      <c r="DE49" s="717">
        <f>'[4]побудинковий звіт'!DE49</f>
        <v>5249.9599999999991</v>
      </c>
      <c r="DF49" s="717">
        <f>'[4]побудинковий звіт'!DF49</f>
        <v>0</v>
      </c>
      <c r="DG49" s="787">
        <v>-16064.657526664087</v>
      </c>
      <c r="DH49" s="761">
        <f t="shared" si="39"/>
        <v>2005554.2399999995</v>
      </c>
      <c r="DI49" s="784"/>
      <c r="DJ49" s="5"/>
      <c r="DK49" s="317">
        <f>VLOOKUP($A49,ціни!$A$4:$G$401,5)</f>
        <v>6.36027604072597</v>
      </c>
      <c r="DL49" s="317"/>
      <c r="DM49" s="317">
        <f>VLOOKUP($A49,ціни!$A$4:$G$401,7)</f>
        <v>5.516066245261352</v>
      </c>
      <c r="DN49" s="30">
        <f t="shared" si="59"/>
        <v>5940.4978220380563</v>
      </c>
      <c r="DO49" s="30">
        <f t="shared" si="60"/>
        <v>0</v>
      </c>
      <c r="DP49" s="316">
        <f t="shared" si="40"/>
        <v>5940.4978220380563</v>
      </c>
      <c r="DQ49" s="104"/>
      <c r="DR49" s="30">
        <f>VLOOKUP(A49,'ДЗ нас '!$A$1:$C$359,2)</f>
        <v>13927.46</v>
      </c>
      <c r="DS49" s="748"/>
      <c r="DT49" s="30">
        <f t="shared" si="41"/>
        <v>13927.46</v>
      </c>
      <c r="DU49" s="257">
        <f>VLOOKUP(A49,'новий кошторис с 01.06'!$A$4:$AI$399,35)*1.2</f>
        <v>14061.019630172334</v>
      </c>
      <c r="DV49" s="30">
        <f t="shared" si="42"/>
        <v>-133.55963017233444</v>
      </c>
      <c r="DW49" s="930">
        <f>'[5]побудинковий звіт'!DW49+'[6]побудинковий звіт'!DW49</f>
        <v>204</v>
      </c>
      <c r="DY49" s="5">
        <f t="shared" si="9"/>
        <v>43984.087883016946</v>
      </c>
      <c r="DZ49" s="5">
        <f t="shared" si="10"/>
        <v>76992</v>
      </c>
      <c r="EA49" s="752">
        <f t="shared" si="43"/>
        <v>5249.9599999999991</v>
      </c>
      <c r="EC49" s="592">
        <f t="shared" si="11"/>
        <v>351137.0054877323</v>
      </c>
      <c r="EE49" s="758">
        <v>-21735</v>
      </c>
      <c r="EF49" s="738">
        <f t="shared" si="12"/>
        <v>-37799.657526664087</v>
      </c>
      <c r="EH49" s="813">
        <v>-14011.702993473693</v>
      </c>
    </row>
    <row r="50" spans="1:138" x14ac:dyDescent="0.3">
      <c r="A50" s="328">
        <v>150000549</v>
      </c>
      <c r="B50" s="44" t="s">
        <v>498</v>
      </c>
      <c r="C50" s="45" t="s">
        <v>206</v>
      </c>
      <c r="D50" s="45" t="s">
        <v>206</v>
      </c>
      <c r="E50" s="40">
        <f t="shared" si="3"/>
        <v>1264.5999999999999</v>
      </c>
      <c r="F50" s="490">
        <v>1264.5999999999999</v>
      </c>
      <c r="G50" s="30"/>
      <c r="H50" s="30">
        <v>0</v>
      </c>
      <c r="I50" s="42">
        <f>'[1]побудинковий звіт'!I50+'[2]побудинковий звіт'!I50-'[3]побудинковий звіт'!I50</f>
        <v>5546.1867016557708</v>
      </c>
      <c r="J50" s="42">
        <f>'[1]побудинковий звіт'!J50+'[2]побудинковий звіт'!J50-'[3]побудинковий звіт'!J50</f>
        <v>4644.5663026768898</v>
      </c>
      <c r="K50" s="56">
        <f t="shared" si="13"/>
        <v>-901.62039897888098</v>
      </c>
      <c r="L50" s="42">
        <f>'[1]побудинковий звіт'!L50+'[2]побудинковий звіт'!L50-'[3]побудинковий звіт'!L50</f>
        <v>1358.771948806615</v>
      </c>
      <c r="M50" s="42">
        <f>'[1]побудинковий звіт'!M50+'[2]побудинковий звіт'!M50-'[3]побудинковий звіт'!M50</f>
        <v>1272.2324078648526</v>
      </c>
      <c r="N50" s="56">
        <f t="shared" si="14"/>
        <v>-86.539540941762425</v>
      </c>
      <c r="O50" s="42">
        <f>'[1]побудинковий звіт'!O50+'[2]побудинковий звіт'!O50-'[3]побудинковий звіт'!O50</f>
        <v>1699.8000000000004</v>
      </c>
      <c r="P50" s="42">
        <f>'[1]побудинковий звіт'!P50+'[2]побудинковий звіт'!P50-'[3]побудинковий звіт'!P50</f>
        <v>1336.0169632258066</v>
      </c>
      <c r="Q50" s="56">
        <f t="shared" si="15"/>
        <v>-363.78303677419376</v>
      </c>
      <c r="R50" s="42">
        <f>'[1]побудинковий звіт'!R50+'[2]побудинковий звіт'!R50-'[3]побудинковий звіт'!R50</f>
        <v>332.76</v>
      </c>
      <c r="S50" s="42">
        <f>'[1]побудинковий звіт'!S50+'[2]побудинковий звіт'!S50-'[3]побудинковий звіт'!S50</f>
        <v>261.4827834408602</v>
      </c>
      <c r="T50" s="56">
        <f t="shared" si="16"/>
        <v>-71.277216559139788</v>
      </c>
      <c r="U50" s="42">
        <f>'[1]побудинковий звіт'!U50+'[2]побудинковий звіт'!U50-'[3]побудинковий звіт'!U50</f>
        <v>0</v>
      </c>
      <c r="V50" s="42">
        <f>'[1]побудинковий звіт'!V50+'[2]побудинковий звіт'!V50-'[3]побудинковий звіт'!V50</f>
        <v>0</v>
      </c>
      <c r="W50" s="56">
        <f t="shared" si="17"/>
        <v>0</v>
      </c>
      <c r="X50" s="42">
        <f>'[1]побудинковий звіт'!X50+'[2]побудинковий звіт'!X50-'[3]побудинковий звіт'!X50</f>
        <v>2852.0645944851194</v>
      </c>
      <c r="Y50" s="42">
        <f>'[1]побудинковий звіт'!Y50+'[2]побудинковий звіт'!Y50-'[3]побудинковий звіт'!Y50</f>
        <v>1983.3279799368343</v>
      </c>
      <c r="Z50" s="56">
        <f t="shared" si="18"/>
        <v>-868.73661454828516</v>
      </c>
      <c r="AA50" s="42">
        <f>'[1]побудинковий звіт'!AA50+'[2]побудинковий звіт'!AA50-'[3]побудинковий звіт'!AA50</f>
        <v>0</v>
      </c>
      <c r="AB50" s="42">
        <f>'[1]побудинковий звіт'!AB50+'[2]побудинковий звіт'!AB50-'[3]побудинковий звіт'!AB50</f>
        <v>0</v>
      </c>
      <c r="AC50" s="56">
        <f t="shared" si="19"/>
        <v>0</v>
      </c>
      <c r="AD50" s="42">
        <f>'[1]побудинковий звіт'!AD50+'[2]побудинковий звіт'!AD50-'[3]побудинковий звіт'!AD50</f>
        <v>5016.0634882323056</v>
      </c>
      <c r="AE50" s="42">
        <f>'[1]побудинковий звіт'!AE50+'[2]побудинковий звіт'!AE50-'[3]побудинковий звіт'!AE50</f>
        <v>4623.2723050994682</v>
      </c>
      <c r="AF50" s="37">
        <f t="shared" si="20"/>
        <v>-392.79118313283743</v>
      </c>
      <c r="AG50" s="87">
        <f t="shared" si="4"/>
        <v>16805.646733179812</v>
      </c>
      <c r="AH50" s="57">
        <f t="shared" si="4"/>
        <v>14120.898742244712</v>
      </c>
      <c r="AI50" s="56">
        <f t="shared" si="21"/>
        <v>-2684.7479909351005</v>
      </c>
      <c r="AJ50" s="42">
        <f>'[1]побудинковий звіт'!AJ50+'[2]побудинковий звіт'!AJ50-'[3]побудинковий звіт'!AJ50</f>
        <v>0</v>
      </c>
      <c r="AK50" s="42">
        <f>'[1]побудинковий звіт'!AK50+'[2]побудинковий звіт'!AK50-'[3]побудинковий звіт'!AK50</f>
        <v>0</v>
      </c>
      <c r="AL50" s="56">
        <f t="shared" si="22"/>
        <v>0</v>
      </c>
      <c r="AM50" s="42">
        <f>'[1]побудинковий звіт'!AM50+'[2]побудинковий звіт'!AM50-'[3]побудинковий звіт'!AM50</f>
        <v>0</v>
      </c>
      <c r="AN50" s="42">
        <f>'[1]побудинковий звіт'!AN50+'[2]побудинковий звіт'!AN50-'[3]побудинковий звіт'!AN50</f>
        <v>0</v>
      </c>
      <c r="AO50" s="56">
        <f t="shared" si="23"/>
        <v>0</v>
      </c>
      <c r="AP50" s="42">
        <f>'[1]побудинковий звіт'!AP50+'[2]побудинковий звіт'!AP50-'[3]побудинковий звіт'!AP50</f>
        <v>1704.6317572085691</v>
      </c>
      <c r="AQ50" s="42">
        <f>'[1]побудинковий звіт'!AQ50+'[2]побудинковий звіт'!AQ50-'[3]побудинковий звіт'!AQ50</f>
        <v>990.61702848523737</v>
      </c>
      <c r="AR50" s="56">
        <f t="shared" si="24"/>
        <v>-714.0147287233317</v>
      </c>
      <c r="AS50" s="42">
        <f>'[1]побудинковий звіт'!AS50+'[2]побудинковий звіт'!AS50-'[3]побудинковий звіт'!AS50</f>
        <v>14088.931296700632</v>
      </c>
      <c r="AT50" s="42">
        <f>'[1]побудинковий звіт'!AT50+'[2]побудинковий звіт'!AT50-'[3]побудинковий звіт'!AT50</f>
        <v>5950</v>
      </c>
      <c r="AU50" s="58">
        <f t="shared" si="44"/>
        <v>-8138.9312967006317</v>
      </c>
      <c r="AV50" s="42">
        <f>'[1]побудинковий звіт'!AV50+'[2]побудинковий звіт'!AV50-'[3]побудинковий звіт'!AV50</f>
        <v>813.6518482278293</v>
      </c>
      <c r="AW50" s="42">
        <f>'[1]побудинковий звіт'!AW50+'[2]побудинковий звіт'!AW50-'[3]побудинковий звіт'!AW50</f>
        <v>16569</v>
      </c>
      <c r="AX50" s="59">
        <f t="shared" si="45"/>
        <v>15755.34815177217</v>
      </c>
      <c r="AY50" s="42">
        <f>'[1]побудинковий звіт'!AY50+'[2]побудинковий звіт'!AY50-'[3]побудинковий звіт'!AY50</f>
        <v>1589.067066534845</v>
      </c>
      <c r="AZ50" s="42">
        <f>'[1]побудинковий звіт'!AZ50+'[2]побудинковий звіт'!AZ50-'[3]побудинковий звіт'!AZ50</f>
        <v>0</v>
      </c>
      <c r="BA50" s="37">
        <f t="shared" si="46"/>
        <v>-1589.067066534845</v>
      </c>
      <c r="BB50" s="42">
        <f>'[1]побудинковий звіт'!BB50+'[2]побудинковий звіт'!BB50-'[3]побудинковий звіт'!BB50</f>
        <v>471.67638399792884</v>
      </c>
      <c r="BC50" s="42">
        <f>'[1]побудинковий звіт'!BC50+'[2]побудинковий звіт'!BC50-'[3]побудинковий звіт'!BC50</f>
        <v>0</v>
      </c>
      <c r="BD50" s="59">
        <f t="shared" si="47"/>
        <v>-471.67638399792884</v>
      </c>
      <c r="BE50" s="42">
        <f>'[1]побудинковий звіт'!BE50+'[2]побудинковий звіт'!BE50-'[3]побудинковий звіт'!BE50</f>
        <v>485.13023518137771</v>
      </c>
      <c r="BF50" s="42">
        <f>'[1]побудинковий звіт'!BF50+'[2]побудинковий звіт'!BF50-'[3]побудинковий звіт'!BF50</f>
        <v>0</v>
      </c>
      <c r="BG50" s="39">
        <f t="shared" si="48"/>
        <v>-485.13023518137771</v>
      </c>
      <c r="BH50" s="42">
        <f>'[1]побудинковий звіт'!BH50+'[2]побудинковий звіт'!BH50-'[3]побудинковий звіт'!BH50</f>
        <v>0</v>
      </c>
      <c r="BI50" s="42">
        <f>'[1]побудинковий звіт'!BI50+'[2]побудинковий звіт'!BI50-'[3]побудинковий звіт'!BI50</f>
        <v>0</v>
      </c>
      <c r="BJ50" s="59">
        <f t="shared" si="49"/>
        <v>0</v>
      </c>
      <c r="BK50" s="42">
        <f>'[1]побудинковий звіт'!BK50+'[2]побудинковий звіт'!BK50-'[3]побудинковий звіт'!BK50</f>
        <v>383.45556615286887</v>
      </c>
      <c r="BL50" s="42">
        <f>'[1]побудинковий звіт'!BL50+'[2]побудинковий звіт'!BL50-'[3]побудинковий звіт'!BL50</f>
        <v>0</v>
      </c>
      <c r="BM50" s="39">
        <f t="shared" si="50"/>
        <v>-383.45556615286887</v>
      </c>
      <c r="BN50" s="42">
        <f>'[1]побудинковий звіт'!BN50+'[2]побудинковий звіт'!BN50-'[3]побудинковий звіт'!BN50</f>
        <v>327.17444122295461</v>
      </c>
      <c r="BO50" s="42">
        <f>'[1]побудинковий звіт'!BO50+'[2]побудинковий звіт'!BO50-'[3]побудинковий звіт'!BO50</f>
        <v>0</v>
      </c>
      <c r="BP50" s="59">
        <f t="shared" si="51"/>
        <v>-327.17444122295461</v>
      </c>
      <c r="BQ50" s="87">
        <f t="shared" si="57"/>
        <v>4070.1555413178044</v>
      </c>
      <c r="BR50" s="43">
        <f t="shared" si="58"/>
        <v>16569</v>
      </c>
      <c r="BS50" s="59">
        <f t="shared" si="52"/>
        <v>12498.844458682195</v>
      </c>
      <c r="BT50" s="42">
        <f>'[1]побудинковий звіт'!BT50+'[2]побудинковий звіт'!BT50-'[3]побудинковий звіт'!BT50</f>
        <v>18503.102554139459</v>
      </c>
      <c r="BU50" s="42">
        <f>'[1]побудинковий звіт'!BU50+'[2]побудинковий звіт'!BU50-'[3]побудинковий звіт'!BU50</f>
        <v>26110.979990480879</v>
      </c>
      <c r="BV50" s="56">
        <f t="shared" si="25"/>
        <v>7607.8774363414195</v>
      </c>
      <c r="BW50" s="42">
        <f>'[1]побудинковий звіт'!BW50+'[2]побудинковий звіт'!BW50-'[3]побудинковий звіт'!BW50</f>
        <v>7895.6825830785801</v>
      </c>
      <c r="BX50" s="42">
        <f>'[1]побудинковий звіт'!BX50+'[2]побудинковий звіт'!BX50-'[3]побудинковий звіт'!BX50</f>
        <v>9628.29924417244</v>
      </c>
      <c r="BY50" s="56">
        <f t="shared" si="26"/>
        <v>1732.6166610938599</v>
      </c>
      <c r="BZ50" s="42">
        <f>'[1]побудинковий звіт'!BZ50+'[2]побудинковий звіт'!BZ50-'[3]побудинковий звіт'!BZ50</f>
        <v>6751.6303515185609</v>
      </c>
      <c r="CA50" s="42">
        <f>'[1]побудинковий звіт'!CA50+'[2]побудинковий звіт'!CA50-'[3]побудинковий звіт'!CA50</f>
        <v>6496.2881730808913</v>
      </c>
      <c r="CB50" s="56">
        <f t="shared" si="27"/>
        <v>-255.34217843766965</v>
      </c>
      <c r="CC50" s="42">
        <f>'[1]побудинковий звіт'!CC50+'[2]побудинковий звіт'!CC50-'[3]побудинковий звіт'!CC50</f>
        <v>598.55971584492295</v>
      </c>
      <c r="CD50" s="42">
        <f>'[1]побудинковий звіт'!CD50+'[2]побудинковий звіт'!CD50-'[3]побудинковий звіт'!CD50</f>
        <v>593.29521391897265</v>
      </c>
      <c r="CE50" s="56">
        <f t="shared" si="28"/>
        <v>-5.2645019259502988</v>
      </c>
      <c r="CF50" s="42">
        <f>'[1]побудинковий звіт'!CF50+'[2]побудинковий звіт'!CF50-'[3]побудинковий звіт'!CF50</f>
        <v>73.686328655151485</v>
      </c>
      <c r="CG50" s="42">
        <f>'[1]побудинковий звіт'!CG50+'[2]побудинковий звіт'!CG50-'[3]побудинковий звіт'!CG50</f>
        <v>0</v>
      </c>
      <c r="CH50" s="56">
        <f t="shared" si="29"/>
        <v>-73.686328655151485</v>
      </c>
      <c r="CI50" s="42">
        <f>'[1]побудинковий звіт'!CI50+'[2]побудинковий звіт'!CI50-'[3]побудинковий звіт'!CI50</f>
        <v>1628.4246904157158</v>
      </c>
      <c r="CJ50" s="42">
        <f>'[1]побудинковий звіт'!CJ50+'[2]побудинковий звіт'!CJ50-'[3]побудинковий звіт'!CJ50</f>
        <v>865.87998316715493</v>
      </c>
      <c r="CK50" s="56">
        <f t="shared" si="30"/>
        <v>-762.54470724856083</v>
      </c>
      <c r="CL50" s="42">
        <f>'[1]побудинковий звіт'!CL50+'[2]побудинковий звіт'!CL50-'[3]побудинковий звіт'!CL50</f>
        <v>0</v>
      </c>
      <c r="CM50" s="42">
        <f>'[1]побудинковий звіт'!CM50+'[2]побудинковий звіт'!CM50-'[3]побудинковий звіт'!CM50</f>
        <v>0</v>
      </c>
      <c r="CN50" s="56">
        <f t="shared" si="31"/>
        <v>0</v>
      </c>
      <c r="CO50" s="42">
        <f t="shared" si="7"/>
        <v>1628.4246904157158</v>
      </c>
      <c r="CP50" s="43">
        <f t="shared" si="32"/>
        <v>865.87998316715493</v>
      </c>
      <c r="CQ50" s="56">
        <f t="shared" si="33"/>
        <v>-762.54470724856083</v>
      </c>
      <c r="CR50" s="78">
        <f t="shared" si="8"/>
        <v>72120.45155205921</v>
      </c>
      <c r="CS50" s="5">
        <f t="shared" si="8"/>
        <v>81325.258375550271</v>
      </c>
      <c r="CT50" s="56">
        <f t="shared" si="34"/>
        <v>9204.8068234910606</v>
      </c>
      <c r="CU50" s="87">
        <f t="shared" si="35"/>
        <v>86544.541862471044</v>
      </c>
      <c r="CV50" s="70">
        <f t="shared" si="36"/>
        <v>97590.310050660322</v>
      </c>
      <c r="CW50" s="37">
        <f t="shared" si="37"/>
        <v>11045.768188189279</v>
      </c>
      <c r="CX50" s="42">
        <f>'[1]побудинковий звіт'!CX50+'[2]побудинковий звіт'!CX50-'[3]побудинковий звіт'!CX50</f>
        <v>2418.9181375289527</v>
      </c>
      <c r="CY50" s="42">
        <f>'[1]побудинковий звіт'!CY50+'[2]побудинковий звіт'!CY50-'[3]побудинковий звіт'!CY50</f>
        <v>-8626.8500506603377</v>
      </c>
      <c r="CZ50" s="56">
        <f t="shared" si="38"/>
        <v>-11045.76818818929</v>
      </c>
      <c r="DA50" s="264">
        <f>'[4]побудинковий звіт'!DA50</f>
        <v>68680.54762967593</v>
      </c>
      <c r="DB50" s="2">
        <v>1</v>
      </c>
      <c r="DC50" s="717">
        <f>'[4]побудинковий звіт'!DC50</f>
        <v>43146.42</v>
      </c>
      <c r="DD50" s="717">
        <f>'[4]побудинковий звіт'!DD50</f>
        <v>0</v>
      </c>
      <c r="DE50" s="717">
        <f>'[4]побудинковий звіт'!DE50</f>
        <v>35925.22</v>
      </c>
      <c r="DF50" s="717">
        <f>'[4]побудинковий звіт'!DF50</f>
        <v>0</v>
      </c>
      <c r="DG50" s="787">
        <v>9925.9931927620783</v>
      </c>
      <c r="DH50" s="761">
        <f t="shared" si="39"/>
        <v>1067561.52</v>
      </c>
      <c r="DI50" s="784"/>
      <c r="DJ50" s="5"/>
      <c r="DK50" s="317">
        <f>VLOOKUP($A50,ціни!$A$4:$G$401,5)</f>
        <v>6.1477471658533833</v>
      </c>
      <c r="DL50" s="317"/>
      <c r="DM50" s="317">
        <f>VLOOKUP($A50,ціни!$A$4:$G$401,7)</f>
        <v>5.4746973002745358</v>
      </c>
      <c r="DN50" s="30">
        <f t="shared" si="59"/>
        <v>7774.4410659381883</v>
      </c>
      <c r="DO50" s="30">
        <f t="shared" si="60"/>
        <v>0</v>
      </c>
      <c r="DP50" s="316">
        <f t="shared" si="40"/>
        <v>7774.4410659381883</v>
      </c>
      <c r="DQ50" s="104"/>
      <c r="DR50" s="30">
        <f>VLOOKUP(A50,'ДЗ нас '!$A$1:$C$359,2)</f>
        <v>7221.2</v>
      </c>
      <c r="DS50" s="748"/>
      <c r="DT50" s="30">
        <f t="shared" si="41"/>
        <v>7221.2</v>
      </c>
      <c r="DU50" s="257">
        <f>VLOOKUP(A50,'новий кошторис с 01.06'!$A$4:$AI$399,35)*1.2</f>
        <v>7212.0451552059203</v>
      </c>
      <c r="DV50" s="30">
        <f t="shared" si="42"/>
        <v>9.1548447940795086</v>
      </c>
      <c r="DW50" s="930">
        <f>'[5]побудинковий звіт'!DW50+'[6]побудинковий звіт'!DW50</f>
        <v>204</v>
      </c>
      <c r="DY50" s="5">
        <f t="shared" si="9"/>
        <v>21790.904205622122</v>
      </c>
      <c r="DZ50" s="5">
        <f t="shared" si="10"/>
        <v>27022.799999999999</v>
      </c>
      <c r="EA50" s="752">
        <f t="shared" si="43"/>
        <v>35925.22</v>
      </c>
      <c r="EC50" s="592">
        <f t="shared" si="11"/>
        <v>169067.17556040757</v>
      </c>
      <c r="EE50" s="758">
        <v>-351</v>
      </c>
      <c r="EF50" s="738">
        <f t="shared" si="12"/>
        <v>9574.9931927620783</v>
      </c>
      <c r="EH50" s="813">
        <v>58195.412854623632</v>
      </c>
    </row>
    <row r="51" spans="1:138" x14ac:dyDescent="0.3">
      <c r="A51" s="328">
        <v>150000547</v>
      </c>
      <c r="B51" s="44" t="s">
        <v>499</v>
      </c>
      <c r="C51" s="45" t="s">
        <v>247</v>
      </c>
      <c r="D51" s="45" t="s">
        <v>247</v>
      </c>
      <c r="E51" s="40">
        <f t="shared" si="3"/>
        <v>1759.4</v>
      </c>
      <c r="F51" s="490">
        <v>1759.4</v>
      </c>
      <c r="G51" s="30"/>
      <c r="H51" s="30">
        <v>0</v>
      </c>
      <c r="I51" s="42">
        <f>'[1]побудинковий звіт'!I51+'[2]побудинковий звіт'!I51-'[3]побудинковий звіт'!I51</f>
        <v>10646.863575679616</v>
      </c>
      <c r="J51" s="42">
        <f>'[1]побудинковий звіт'!J51+'[2]побудинковий звіт'!J51-'[3]побудинковий звіт'!J51</f>
        <v>8984.0676207187862</v>
      </c>
      <c r="K51" s="56">
        <f t="shared" si="13"/>
        <v>-1662.7959549608295</v>
      </c>
      <c r="L51" s="42">
        <f>'[1]побудинковий звіт'!L51+'[2]побудинковий звіт'!L51-'[3]побудинковий звіт'!L51</f>
        <v>2008.2498668696112</v>
      </c>
      <c r="M51" s="42">
        <f>'[1]побудинковий звіт'!M51+'[2]побудинковий звіт'!M51-'[3]побудинковий звіт'!M51</f>
        <v>1899.971017264405</v>
      </c>
      <c r="N51" s="56">
        <f t="shared" si="14"/>
        <v>-108.27884960520623</v>
      </c>
      <c r="O51" s="42">
        <f>'[1]побудинковий звіт'!O51+'[2]побудинковий звіт'!O51-'[3]побудинковий звіт'!O51</f>
        <v>4127.5199999999995</v>
      </c>
      <c r="P51" s="42">
        <f>'[1]побудинковий звіт'!P51+'[2]побудинковий звіт'!P51-'[3]побудинковий звіт'!P51</f>
        <v>3244.4805698924733</v>
      </c>
      <c r="Q51" s="56">
        <f t="shared" si="15"/>
        <v>-883.03943010752619</v>
      </c>
      <c r="R51" s="42">
        <f>'[1]побудинковий звіт'!R51+'[2]побудинковий звіт'!R51-'[3]побудинковий звіт'!R51</f>
        <v>893.76</v>
      </c>
      <c r="S51" s="42">
        <f>'[1]побудинковий звіт'!S51+'[2]побудинковий звіт'!S51-'[3]побудинковий звіт'!S51</f>
        <v>702.60003440860214</v>
      </c>
      <c r="T51" s="56">
        <f t="shared" si="16"/>
        <v>-191.15996559139785</v>
      </c>
      <c r="U51" s="42">
        <f>'[1]побудинковий звіт'!U51+'[2]побудинковий звіт'!U51-'[3]побудинковий звіт'!U51</f>
        <v>709.3549077326212</v>
      </c>
      <c r="V51" s="42">
        <f>'[1]побудинковий звіт'!V51+'[2]побудинковий звіт'!V51-'[3]побудинковий звіт'!V51</f>
        <v>261.12913151184051</v>
      </c>
      <c r="W51" s="56">
        <f t="shared" si="17"/>
        <v>-448.22577622078069</v>
      </c>
      <c r="X51" s="42">
        <f>'[1]побудинковий звіт'!X51+'[2]побудинковий звіт'!X51-'[3]побудинковий звіт'!X51</f>
        <v>7513.8009168646549</v>
      </c>
      <c r="Y51" s="42">
        <f>'[1]побудинковий звіт'!Y51+'[2]побудинковий звіт'!Y51-'[3]побудинковий звіт'!Y51</f>
        <v>5159.2639658993521</v>
      </c>
      <c r="Z51" s="56">
        <f t="shared" si="18"/>
        <v>-2354.5369509653028</v>
      </c>
      <c r="AA51" s="42">
        <f>'[1]побудинковий звіт'!AA51+'[2]побудинковий звіт'!AA51-'[3]побудинковий звіт'!AA51</f>
        <v>0</v>
      </c>
      <c r="AB51" s="42">
        <f>'[1]побудинковий звіт'!AB51+'[2]побудинковий звіт'!AB51-'[3]побудинковий звіт'!AB51</f>
        <v>0</v>
      </c>
      <c r="AC51" s="56">
        <f t="shared" si="19"/>
        <v>0</v>
      </c>
      <c r="AD51" s="42">
        <f>'[1]побудинковий звіт'!AD51+'[2]побудинковий звіт'!AD51-'[3]побудинковий звіт'!AD51</f>
        <v>11729.033478731959</v>
      </c>
      <c r="AE51" s="42">
        <f>'[1]побудинковий звіт'!AE51+'[2]побудинковий звіт'!AE51-'[3]побудинковий звіт'!AE51</f>
        <v>10810.572030242729</v>
      </c>
      <c r="AF51" s="37">
        <f t="shared" si="20"/>
        <v>-918.46144848922995</v>
      </c>
      <c r="AG51" s="87">
        <f t="shared" si="4"/>
        <v>37628.582745878462</v>
      </c>
      <c r="AH51" s="57">
        <f t="shared" si="4"/>
        <v>31062.084369938188</v>
      </c>
      <c r="AI51" s="56">
        <f t="shared" si="21"/>
        <v>-6566.4983759402749</v>
      </c>
      <c r="AJ51" s="42">
        <f>'[1]побудинковий звіт'!AJ51+'[2]побудинковий звіт'!AJ51-'[3]побудинковий звіт'!AJ51</f>
        <v>0</v>
      </c>
      <c r="AK51" s="42">
        <f>'[1]побудинковий звіт'!AK51+'[2]побудинковий звіт'!AK51-'[3]побудинковий звіт'!AK51</f>
        <v>0</v>
      </c>
      <c r="AL51" s="56">
        <f t="shared" si="22"/>
        <v>0</v>
      </c>
      <c r="AM51" s="42">
        <f>'[1]побудинковий звіт'!AM51+'[2]побудинковий звіт'!AM51-'[3]побудинковий звіт'!AM51</f>
        <v>0</v>
      </c>
      <c r="AN51" s="42">
        <f>'[1]побудинковий звіт'!AN51+'[2]побудинковий звіт'!AN51-'[3]побудинковий звіт'!AN51</f>
        <v>0</v>
      </c>
      <c r="AO51" s="56">
        <f t="shared" si="23"/>
        <v>0</v>
      </c>
      <c r="AP51" s="42">
        <f>'[1]побудинковий звіт'!AP51+'[2]побудинковий звіт'!AP51-'[3]побудинковий звіт'!AP51</f>
        <v>2841.0529286809497</v>
      </c>
      <c r="AQ51" s="42">
        <f>'[1]побудинковий звіт'!AQ51+'[2]побудинковий звіт'!AQ51-'[3]побудинковий звіт'!AQ51</f>
        <v>2806.3722678060926</v>
      </c>
      <c r="AR51" s="56">
        <f t="shared" si="24"/>
        <v>-34.68066087485704</v>
      </c>
      <c r="AS51" s="42">
        <f>'[1]побудинковий звіт'!AS51+'[2]побудинковий звіт'!AS51-'[3]побудинковий звіт'!AS51</f>
        <v>57458.206426360804</v>
      </c>
      <c r="AT51" s="42">
        <f>'[1]побудинковий звіт'!AT51+'[2]побудинковий звіт'!AT51-'[3]побудинковий звіт'!AT51</f>
        <v>4168</v>
      </c>
      <c r="AU51" s="58">
        <f t="shared" si="44"/>
        <v>-53290.206426360804</v>
      </c>
      <c r="AV51" s="42">
        <f>'[1]побудинковий звіт'!AV51+'[2]побудинковий звіт'!AV51-'[3]побудинковий звіт'!AV51</f>
        <v>1781.8458562548647</v>
      </c>
      <c r="AW51" s="42">
        <f>'[1]побудинковий звіт'!AW51+'[2]побудинковий звіт'!AW51-'[3]побудинковий звіт'!AW51</f>
        <v>0</v>
      </c>
      <c r="AX51" s="59">
        <f t="shared" si="45"/>
        <v>-1781.8458562548647</v>
      </c>
      <c r="AY51" s="42">
        <f>'[1]побудинковий звіт'!AY51+'[2]побудинковий звіт'!AY51-'[3]побудинковий звіт'!AY51</f>
        <v>2588.5724901852714</v>
      </c>
      <c r="AZ51" s="42">
        <f>'[1]побудинковий звіт'!AZ51+'[2]побудинковий звіт'!AZ51-'[3]побудинковий звіт'!AZ51</f>
        <v>0</v>
      </c>
      <c r="BA51" s="37">
        <f t="shared" si="46"/>
        <v>-2588.5724901852714</v>
      </c>
      <c r="BB51" s="42">
        <f>'[1]побудинковий звіт'!BB51+'[2]побудинковий звіт'!BB51-'[3]побудинковий звіт'!BB51</f>
        <v>1351.5474110711737</v>
      </c>
      <c r="BC51" s="42">
        <f>'[1]побудинковий звіт'!BC51+'[2]побудинковий звіт'!BC51-'[3]побудинковий звіт'!BC51</f>
        <v>0</v>
      </c>
      <c r="BD51" s="59">
        <f t="shared" si="47"/>
        <v>-1351.5474110711737</v>
      </c>
      <c r="BE51" s="42">
        <f>'[1]побудинковий звіт'!BE51+'[2]побудинковий звіт'!BE51-'[3]побудинковий звіт'!BE51</f>
        <v>804.09927932111657</v>
      </c>
      <c r="BF51" s="42">
        <f>'[1]побудинковий звіт'!BF51+'[2]побудинковий звіт'!BF51-'[3]побудинковий звіт'!BF51</f>
        <v>0</v>
      </c>
      <c r="BG51" s="39">
        <f t="shared" si="48"/>
        <v>-804.09927932111657</v>
      </c>
      <c r="BH51" s="42">
        <f>'[1]побудинковий звіт'!BH51+'[2]побудинковий звіт'!BH51-'[3]побудинковий звіт'!BH51</f>
        <v>719.6828414324732</v>
      </c>
      <c r="BI51" s="42">
        <f>'[1]побудинковий звіт'!BI51+'[2]побудинковий звіт'!BI51-'[3]побудинковий звіт'!BI51</f>
        <v>0</v>
      </c>
      <c r="BJ51" s="59">
        <f t="shared" si="49"/>
        <v>-719.6828414324732</v>
      </c>
      <c r="BK51" s="42">
        <f>'[1]побудинковий звіт'!BK51+'[2]побудинковий звіт'!BK51-'[3]побудинковий звіт'!BK51</f>
        <v>1114.1153981148859</v>
      </c>
      <c r="BL51" s="42">
        <f>'[1]побудинковий звіт'!BL51+'[2]побудинковий звіт'!BL51-'[3]побудинковий звіт'!BL51</f>
        <v>544</v>
      </c>
      <c r="BM51" s="39">
        <f t="shared" si="50"/>
        <v>-570.11539811488592</v>
      </c>
      <c r="BN51" s="42">
        <f>'[1]побудинковий звіт'!BN51+'[2]побудинковий звіт'!BN51-'[3]побудинковий звіт'!BN51</f>
        <v>239.12761837403588</v>
      </c>
      <c r="BO51" s="42">
        <f>'[1]побудинковий звіт'!BO51+'[2]побудинковий звіт'!BO51-'[3]побудинковий звіт'!BO51</f>
        <v>0</v>
      </c>
      <c r="BP51" s="59">
        <f t="shared" si="51"/>
        <v>-239.12761837403588</v>
      </c>
      <c r="BQ51" s="87">
        <f t="shared" si="57"/>
        <v>8598.9908947538206</v>
      </c>
      <c r="BR51" s="43">
        <f t="shared" si="58"/>
        <v>544</v>
      </c>
      <c r="BS51" s="59">
        <f t="shared" si="52"/>
        <v>-8054.9908947538206</v>
      </c>
      <c r="BT51" s="42">
        <f>'[1]побудинковий звіт'!BT51+'[2]побудинковий звіт'!BT51-'[3]побудинковий звіт'!BT51</f>
        <v>15831.222622096298</v>
      </c>
      <c r="BU51" s="42">
        <f>'[1]побудинковий звіт'!BU51+'[2]побудинковий звіт'!BU51-'[3]побудинковий звіт'!BU51</f>
        <v>21900.820239713532</v>
      </c>
      <c r="BV51" s="56">
        <f t="shared" si="25"/>
        <v>6069.5976176172335</v>
      </c>
      <c r="BW51" s="42">
        <f>'[1]побудинковий звіт'!BW51+'[2]побудинковий звіт'!BW51-'[3]побудинковий звіт'!BW51</f>
        <v>17665.759440024551</v>
      </c>
      <c r="BX51" s="42">
        <f>'[1]побудинковий звіт'!BX51+'[2]побудинковий звіт'!BX51-'[3]побудинковий звіт'!BX51</f>
        <v>19655.322949892598</v>
      </c>
      <c r="BY51" s="56">
        <f t="shared" si="26"/>
        <v>1989.5635098680468</v>
      </c>
      <c r="BZ51" s="42">
        <f>'[1]побудинковий звіт'!BZ51+'[2]побудинковий звіт'!BZ51-'[3]побудинковий звіт'!BZ51</f>
        <v>7790.342713290649</v>
      </c>
      <c r="CA51" s="42">
        <f>'[1]побудинковий звіт'!CA51+'[2]побудинковий звіт'!CA51-'[3]побудинковий звіт'!CA51</f>
        <v>5453.3542168925842</v>
      </c>
      <c r="CB51" s="56">
        <f t="shared" si="27"/>
        <v>-2336.9884963980649</v>
      </c>
      <c r="CC51" s="42">
        <f>'[1]побудинковий звіт'!CC51+'[2]побудинковий звіт'!CC51-'[3]побудинковий звіт'!CC51</f>
        <v>1460.3680536462123</v>
      </c>
      <c r="CD51" s="42">
        <f>'[1]побудинковий звіт'!CD51+'[2]побудинковий звіт'!CD51-'[3]побудинковий звіт'!CD51</f>
        <v>1447.523703738427</v>
      </c>
      <c r="CE51" s="56">
        <f t="shared" si="28"/>
        <v>-12.844349907785272</v>
      </c>
      <c r="CF51" s="42">
        <f>'[1]побудинковий звіт'!CF51+'[2]побудинковий звіт'!CF51-'[3]побудинковий звіт'!CF51</f>
        <v>179.78015811932534</v>
      </c>
      <c r="CG51" s="42">
        <f>'[1]побудинковий звіт'!CG51+'[2]побудинковий звіт'!CG51-'[3]побудинковий звіт'!CG51</f>
        <v>0</v>
      </c>
      <c r="CH51" s="56">
        <f t="shared" si="29"/>
        <v>-179.78015811932534</v>
      </c>
      <c r="CI51" s="42">
        <f>'[1]побудинковий звіт'!CI51+'[2]побудинковий звіт'!CI51-'[3]побудинковий звіт'!CI51</f>
        <v>6363.9585602453253</v>
      </c>
      <c r="CJ51" s="42">
        <f>'[1]побудинковий звіт'!CJ51+'[2]побудинковий звіт'!CJ51-'[3]побудинковий звіт'!CJ51</f>
        <v>2867.7848256108591</v>
      </c>
      <c r="CK51" s="56">
        <f t="shared" si="30"/>
        <v>-3496.1737346344662</v>
      </c>
      <c r="CL51" s="42">
        <f>'[1]побудинковий звіт'!CL51+'[2]побудинковий звіт'!CL51-'[3]побудинковий звіт'!CL51</f>
        <v>0</v>
      </c>
      <c r="CM51" s="42">
        <f>'[1]побудинковий звіт'!CM51+'[2]побудинковий звіт'!CM51-'[3]побудинковий звіт'!CM51</f>
        <v>0</v>
      </c>
      <c r="CN51" s="56">
        <f t="shared" si="31"/>
        <v>0</v>
      </c>
      <c r="CO51" s="42">
        <f t="shared" si="7"/>
        <v>6363.9585602453253</v>
      </c>
      <c r="CP51" s="43">
        <f t="shared" si="32"/>
        <v>2867.7848256108591</v>
      </c>
      <c r="CQ51" s="56">
        <f t="shared" si="33"/>
        <v>-3496.1737346344662</v>
      </c>
      <c r="CR51" s="78">
        <f t="shared" si="8"/>
        <v>155818.26454309639</v>
      </c>
      <c r="CS51" s="5">
        <f t="shared" si="8"/>
        <v>89905.262573592263</v>
      </c>
      <c r="CT51" s="56">
        <f t="shared" si="34"/>
        <v>-65913.001969504126</v>
      </c>
      <c r="CU51" s="87">
        <f t="shared" si="35"/>
        <v>186981.91745171565</v>
      </c>
      <c r="CV51" s="70">
        <f t="shared" si="36"/>
        <v>107886.31508831072</v>
      </c>
      <c r="CW51" s="37">
        <f t="shared" si="37"/>
        <v>-79095.602363404934</v>
      </c>
      <c r="CX51" s="42">
        <f>'[1]побудинковий звіт'!CX51+'[2]побудинковий звіт'!CX51-'[3]побудинковий звіт'!CX51</f>
        <v>9403.1825482843269</v>
      </c>
      <c r="CY51" s="42">
        <f>'[1]побудинковий звіт'!CY51+'[2]побудинковий звіт'!CY51-'[3]побудинковий звіт'!CY51</f>
        <v>88498.784911689247</v>
      </c>
      <c r="CZ51" s="56">
        <f t="shared" si="38"/>
        <v>79095.60236340492</v>
      </c>
      <c r="DA51" s="264">
        <f>'[4]побудинковий звіт'!DA51</f>
        <v>1325.2433768480696</v>
      </c>
      <c r="DB51" s="2">
        <v>1</v>
      </c>
      <c r="DC51" s="717">
        <f>'[4]побудинковий звіт'!DC51</f>
        <v>50032.66</v>
      </c>
      <c r="DD51" s="717">
        <f>'[4]побудинковий звіт'!DD51</f>
        <v>0</v>
      </c>
      <c r="DE51" s="717">
        <f>'[4]побудинковий звіт'!DE51</f>
        <v>33666.340000000004</v>
      </c>
      <c r="DF51" s="717">
        <f>'[4]побудинковий звіт'!DF51</f>
        <v>0</v>
      </c>
      <c r="DG51" s="787">
        <v>-916.22602004563669</v>
      </c>
      <c r="DH51" s="761">
        <f t="shared" si="39"/>
        <v>2356621.1999999997</v>
      </c>
      <c r="DI51" s="784"/>
      <c r="DJ51" s="5"/>
      <c r="DK51" s="317">
        <f>VLOOKUP($A51,ціни!$A$4:$G$401,5)</f>
        <v>5.9643898425231026</v>
      </c>
      <c r="DL51" s="317"/>
      <c r="DM51" s="317">
        <f>VLOOKUP($A51,ціни!$A$4:$G$401,7)</f>
        <v>5.2881823614970447</v>
      </c>
      <c r="DN51" s="30">
        <f t="shared" si="59"/>
        <v>10493.747488935147</v>
      </c>
      <c r="DO51" s="30">
        <f t="shared" si="60"/>
        <v>0</v>
      </c>
      <c r="DP51" s="316">
        <f t="shared" si="40"/>
        <v>10493.747488935147</v>
      </c>
      <c r="DQ51" s="104"/>
      <c r="DR51" s="30">
        <f>VLOOKUP(A51,'ДЗ нас '!$A$1:$C$359,2)</f>
        <v>16366.32</v>
      </c>
      <c r="DS51" s="748"/>
      <c r="DT51" s="30">
        <f t="shared" si="41"/>
        <v>16366.32</v>
      </c>
      <c r="DU51" s="257">
        <f>VLOOKUP(A51,'новий кошторис с 01.06'!$A$4:$AI$399,35)*1.2</f>
        <v>16516.736041568216</v>
      </c>
      <c r="DV51" s="30">
        <f t="shared" si="42"/>
        <v>-150.41604156821631</v>
      </c>
      <c r="DW51" s="930">
        <f>'[5]побудинковий звіт'!DW51+'[6]побудинковий звіт'!DW51</f>
        <v>202</v>
      </c>
      <c r="DY51" s="5">
        <f t="shared" si="9"/>
        <v>79268.636785337541</v>
      </c>
      <c r="DZ51" s="5">
        <f t="shared" si="10"/>
        <v>5654.4</v>
      </c>
      <c r="EA51" s="752">
        <f t="shared" si="43"/>
        <v>33666.340000000004</v>
      </c>
      <c r="EC51" s="592">
        <f t="shared" si="11"/>
        <v>689498.4771163296</v>
      </c>
      <c r="EE51" s="758">
        <v>-32085</v>
      </c>
      <c r="EF51" s="738">
        <f t="shared" si="12"/>
        <v>-33001.226020045637</v>
      </c>
      <c r="EH51" s="813">
        <v>66105.415523138538</v>
      </c>
    </row>
    <row r="52" spans="1:138" x14ac:dyDescent="0.3">
      <c r="A52" s="328">
        <v>150000509</v>
      </c>
      <c r="B52" s="44" t="s">
        <v>500</v>
      </c>
      <c r="C52" s="45" t="s">
        <v>52</v>
      </c>
      <c r="D52" s="45" t="s">
        <v>52</v>
      </c>
      <c r="E52" s="40">
        <f t="shared" si="3"/>
        <v>2214.37</v>
      </c>
      <c r="F52" s="490">
        <v>2214.37</v>
      </c>
      <c r="G52" s="30"/>
      <c r="H52" s="30">
        <v>0</v>
      </c>
      <c r="I52" s="42">
        <f>'[1]побудинковий звіт'!I52+'[2]побудинковий звіт'!I52-'[3]побудинковий звіт'!I52</f>
        <v>0</v>
      </c>
      <c r="J52" s="42">
        <f>'[1]побудинковий звіт'!J52+'[2]побудинковий звіт'!J52-'[3]побудинковий звіт'!J52</f>
        <v>0</v>
      </c>
      <c r="K52" s="56">
        <f t="shared" si="13"/>
        <v>0</v>
      </c>
      <c r="L52" s="42">
        <f>'[1]побудинковий звіт'!L52+'[2]побудинковий звіт'!L52-'[3]побудинковий звіт'!L52</f>
        <v>0</v>
      </c>
      <c r="M52" s="42">
        <f>'[1]побудинковий звіт'!M52+'[2]побудинковий звіт'!M52-'[3]побудинковий звіт'!M52</f>
        <v>0</v>
      </c>
      <c r="N52" s="56">
        <f t="shared" si="14"/>
        <v>0</v>
      </c>
      <c r="O52" s="42">
        <f>'[1]побудинковий звіт'!O52+'[2]побудинковий звіт'!O52-'[3]побудинковий звіт'!O52</f>
        <v>0</v>
      </c>
      <c r="P52" s="42">
        <f>'[1]побудинковий звіт'!P52+'[2]побудинковий звіт'!P52-'[3]побудинковий звіт'!P52</f>
        <v>0</v>
      </c>
      <c r="Q52" s="56">
        <f t="shared" si="15"/>
        <v>0</v>
      </c>
      <c r="R52" s="42">
        <f>'[1]побудинковий звіт'!R52+'[2]побудинковий звіт'!R52-'[3]побудинковий звіт'!R52</f>
        <v>0</v>
      </c>
      <c r="S52" s="42">
        <f>'[1]побудинковий звіт'!S52+'[2]побудинковий звіт'!S52-'[3]побудинковий звіт'!S52</f>
        <v>0</v>
      </c>
      <c r="T52" s="56">
        <f t="shared" si="16"/>
        <v>0</v>
      </c>
      <c r="U52" s="42">
        <f>'[1]побудинковий звіт'!U52+'[2]побудинковий звіт'!U52-'[3]побудинковий звіт'!U52</f>
        <v>0</v>
      </c>
      <c r="V52" s="42">
        <f>'[1]побудинковий звіт'!V52+'[2]побудинковий звіт'!V52-'[3]побудинковий звіт'!V52</f>
        <v>0</v>
      </c>
      <c r="W52" s="56">
        <f t="shared" si="17"/>
        <v>0</v>
      </c>
      <c r="X52" s="42">
        <f>'[1]побудинковий звіт'!X52+'[2]побудинковий звіт'!X52-'[3]побудинковий звіт'!X52</f>
        <v>0</v>
      </c>
      <c r="Y52" s="42">
        <f>'[1]побудинковий звіт'!Y52+'[2]побудинковий звіт'!Y52-'[3]побудинковий звіт'!Y52</f>
        <v>0</v>
      </c>
      <c r="Z52" s="56">
        <f t="shared" si="18"/>
        <v>0</v>
      </c>
      <c r="AA52" s="42">
        <f>'[1]побудинковий звіт'!AA52+'[2]побудинковий звіт'!AA52-'[3]побудинковий звіт'!AA52</f>
        <v>0</v>
      </c>
      <c r="AB52" s="42">
        <f>'[1]побудинковий звіт'!AB52+'[2]побудинковий звіт'!AB52-'[3]побудинковий звіт'!AB52</f>
        <v>0</v>
      </c>
      <c r="AC52" s="56">
        <f t="shared" si="19"/>
        <v>0</v>
      </c>
      <c r="AD52" s="42">
        <f>'[1]побудинковий звіт'!AD52+'[2]побудинковий звіт'!AD52-'[3]побудинковий звіт'!AD52</f>
        <v>0</v>
      </c>
      <c r="AE52" s="42">
        <f>'[1]побудинковий звіт'!AE52+'[2]побудинковий звіт'!AE52-'[3]побудинковий звіт'!AE52</f>
        <v>166.39661165231553</v>
      </c>
      <c r="AF52" s="37">
        <f t="shared" si="20"/>
        <v>166.39661165231553</v>
      </c>
      <c r="AG52" s="87">
        <f t="shared" si="4"/>
        <v>0</v>
      </c>
      <c r="AH52" s="57">
        <f t="shared" si="4"/>
        <v>166.39661165231553</v>
      </c>
      <c r="AI52" s="56">
        <f t="shared" si="21"/>
        <v>166.39661165231553</v>
      </c>
      <c r="AJ52" s="42">
        <f>'[1]побудинковий звіт'!AJ52+'[2]побудинковий звіт'!AJ52-'[3]побудинковий звіт'!AJ52</f>
        <v>0</v>
      </c>
      <c r="AK52" s="42">
        <f>'[1]побудинковий звіт'!AK52+'[2]побудинковий звіт'!AK52-'[3]побудинковий звіт'!AK52</f>
        <v>0</v>
      </c>
      <c r="AL52" s="56">
        <f t="shared" si="22"/>
        <v>0</v>
      </c>
      <c r="AM52" s="42">
        <f>'[1]побудинковий звіт'!AM52+'[2]побудинковий звіт'!AM52-'[3]побудинковий звіт'!AM52</f>
        <v>0</v>
      </c>
      <c r="AN52" s="42">
        <f>'[1]побудинковий звіт'!AN52+'[2]побудинковий звіт'!AN52-'[3]побудинковий звіт'!AN52</f>
        <v>0</v>
      </c>
      <c r="AO52" s="56">
        <f t="shared" si="23"/>
        <v>0</v>
      </c>
      <c r="AP52" s="42">
        <f>'[1]побудинковий звіт'!AP52+'[2]побудинковий звіт'!AP52-'[3]побудинковий звіт'!AP52</f>
        <v>568.21058573618984</v>
      </c>
      <c r="AQ52" s="42">
        <f>'[1]побудинковий звіт'!AQ52+'[2]побудинковий звіт'!AQ52-'[3]побудинковий звіт'!AQ52</f>
        <v>280.28737885440523</v>
      </c>
      <c r="AR52" s="56">
        <f t="shared" si="24"/>
        <v>-287.92320688178461</v>
      </c>
      <c r="AS52" s="42">
        <f>'[1]побудинковий звіт'!AS52+'[2]побудинковий звіт'!AS52-'[3]побудинковий звіт'!AS52</f>
        <v>3249.8378742664067</v>
      </c>
      <c r="AT52" s="42">
        <f>'[1]побудинковий звіт'!AT52+'[2]побудинковий звіт'!AT52-'[3]побудинковий звіт'!AT52</f>
        <v>0</v>
      </c>
      <c r="AU52" s="58">
        <f t="shared" si="44"/>
        <v>-3249.8378742664067</v>
      </c>
      <c r="AV52" s="42">
        <f>'[1]побудинковий звіт'!AV52+'[2]побудинковий звіт'!AV52-'[3]побудинковий звіт'!AV52</f>
        <v>0</v>
      </c>
      <c r="AW52" s="42">
        <f>'[1]побудинковий звіт'!AW52+'[2]побудинковий звіт'!AW52-'[3]побудинковий звіт'!AW52</f>
        <v>0</v>
      </c>
      <c r="AX52" s="59">
        <f t="shared" si="45"/>
        <v>0</v>
      </c>
      <c r="AY52" s="42">
        <f>'[1]побудинковий звіт'!AY52+'[2]побудинковий звіт'!AY52-'[3]побудинковий звіт'!AY52</f>
        <v>0</v>
      </c>
      <c r="AZ52" s="42">
        <f>'[1]побудинковий звіт'!AZ52+'[2]побудинковий звіт'!AZ52-'[3]побудинковий звіт'!AZ52</f>
        <v>0</v>
      </c>
      <c r="BA52" s="37">
        <f t="shared" si="46"/>
        <v>0</v>
      </c>
      <c r="BB52" s="42">
        <f>'[1]побудинковий звіт'!BB52+'[2]побудинковий звіт'!BB52-'[3]побудинковий звіт'!BB52</f>
        <v>0</v>
      </c>
      <c r="BC52" s="42">
        <f>'[1]побудинковий звіт'!BC52+'[2]побудинковий звіт'!BC52-'[3]побудинковий звіт'!BC52</f>
        <v>0</v>
      </c>
      <c r="BD52" s="59">
        <f t="shared" si="47"/>
        <v>0</v>
      </c>
      <c r="BE52" s="42">
        <f>'[1]побудинковий звіт'!BE52+'[2]побудинковий звіт'!BE52-'[3]побудинковий звіт'!BE52</f>
        <v>0</v>
      </c>
      <c r="BF52" s="42">
        <f>'[1]побудинковий звіт'!BF52+'[2]побудинковий звіт'!BF52-'[3]побудинковий звіт'!BF52</f>
        <v>0</v>
      </c>
      <c r="BG52" s="39">
        <f t="shared" si="48"/>
        <v>0</v>
      </c>
      <c r="BH52" s="42">
        <f>'[1]побудинковий звіт'!BH52+'[2]побудинковий звіт'!BH52-'[3]побудинковий звіт'!BH52</f>
        <v>0</v>
      </c>
      <c r="BI52" s="42">
        <f>'[1]побудинковий звіт'!BI52+'[2]побудинковий звіт'!BI52-'[3]побудинковий звіт'!BI52</f>
        <v>0</v>
      </c>
      <c r="BJ52" s="59">
        <f t="shared" si="49"/>
        <v>0</v>
      </c>
      <c r="BK52" s="42">
        <f>'[1]побудинковий звіт'!BK52+'[2]побудинковий звіт'!BK52-'[3]побудинковий звіт'!BK52</f>
        <v>0</v>
      </c>
      <c r="BL52" s="42">
        <f>'[1]побудинковий звіт'!BL52+'[2]побудинковий звіт'!BL52-'[3]побудинковий звіт'!BL52</f>
        <v>0</v>
      </c>
      <c r="BM52" s="39">
        <f t="shared" si="50"/>
        <v>0</v>
      </c>
      <c r="BN52" s="42">
        <f>'[1]побудинковий звіт'!BN52+'[2]побудинковий звіт'!BN52-'[3]побудинковий звіт'!BN52</f>
        <v>0</v>
      </c>
      <c r="BO52" s="42">
        <f>'[1]побудинковий звіт'!BO52+'[2]побудинковий звіт'!BO52-'[3]побудинковий звіт'!BO52</f>
        <v>0</v>
      </c>
      <c r="BP52" s="59">
        <f t="shared" si="51"/>
        <v>0</v>
      </c>
      <c r="BQ52" s="87">
        <f t="shared" si="57"/>
        <v>0</v>
      </c>
      <c r="BR52" s="43">
        <f t="shared" si="58"/>
        <v>0</v>
      </c>
      <c r="BS52" s="59">
        <f t="shared" si="52"/>
        <v>0</v>
      </c>
      <c r="BT52" s="42">
        <f>'[1]побудинковий звіт'!BT52+'[2]побудинковий звіт'!BT52-'[3]побудинковий звіт'!BT52</f>
        <v>0</v>
      </c>
      <c r="BU52" s="42">
        <f>'[1]побудинковий звіт'!BU52+'[2]побудинковий звіт'!BU52-'[3]побудинковий звіт'!BU52</f>
        <v>0</v>
      </c>
      <c r="BV52" s="56">
        <f t="shared" si="25"/>
        <v>0</v>
      </c>
      <c r="BW52" s="42">
        <f>'[1]побудинковий звіт'!BW52+'[2]побудинковий звіт'!BW52-'[3]побудинковий звіт'!BW52</f>
        <v>0</v>
      </c>
      <c r="BX52" s="42">
        <f>'[1]побудинковий звіт'!BX52+'[2]побудинковий звіт'!BX52-'[3]побудинковий звіт'!BX52</f>
        <v>8.0469203424736548</v>
      </c>
      <c r="BY52" s="56">
        <f t="shared" si="26"/>
        <v>8.0469203424736548</v>
      </c>
      <c r="BZ52" s="42">
        <f>'[1]побудинковий звіт'!BZ52+'[2]побудинковий звіт'!BZ52-'[3]побудинковий звіт'!BZ52</f>
        <v>0</v>
      </c>
      <c r="CA52" s="42">
        <f>'[1]побудинковий звіт'!CA52+'[2]побудинковий звіт'!CA52-'[3]побудинковий звіт'!CA52</f>
        <v>0</v>
      </c>
      <c r="CB52" s="56">
        <f t="shared" si="27"/>
        <v>0</v>
      </c>
      <c r="CC52" s="42">
        <f>'[1]побудинковий звіт'!CC52+'[2]побудинковий звіт'!CC52-'[3]побудинковий звіт'!CC52</f>
        <v>0</v>
      </c>
      <c r="CD52" s="42">
        <f>'[1]побудинковий звіт'!CD52+'[2]побудинковий звіт'!CD52-'[3]побудинковий звіт'!CD52</f>
        <v>0</v>
      </c>
      <c r="CE52" s="56">
        <f t="shared" si="28"/>
        <v>0</v>
      </c>
      <c r="CF52" s="42">
        <f>'[1]побудинковий звіт'!CF52+'[2]побудинковий звіт'!CF52-'[3]побудинковий звіт'!CF52</f>
        <v>0</v>
      </c>
      <c r="CG52" s="42">
        <f>'[1]побудинковий звіт'!CG52+'[2]побудинковий звіт'!CG52-'[3]побудинковий звіт'!CG52</f>
        <v>0</v>
      </c>
      <c r="CH52" s="56">
        <f t="shared" si="29"/>
        <v>0</v>
      </c>
      <c r="CI52" s="42">
        <f>'[1]побудинковий звіт'!CI52+'[2]побудинковий звіт'!CI52-'[3]побудинковий звіт'!CI52</f>
        <v>0</v>
      </c>
      <c r="CJ52" s="42">
        <f>'[1]побудинковий звіт'!CJ52+'[2]побудинковий звіт'!CJ52-'[3]побудинковий звіт'!CJ52</f>
        <v>0</v>
      </c>
      <c r="CK52" s="56">
        <f t="shared" si="30"/>
        <v>0</v>
      </c>
      <c r="CL52" s="42">
        <f>'[1]побудинковий звіт'!CL52+'[2]побудинковий звіт'!CL52-'[3]побудинковий звіт'!CL52</f>
        <v>0</v>
      </c>
      <c r="CM52" s="42">
        <f>'[1]побудинковий звіт'!CM52+'[2]побудинковий звіт'!CM52-'[3]побудинковий звіт'!CM52</f>
        <v>0</v>
      </c>
      <c r="CN52" s="56">
        <f t="shared" si="31"/>
        <v>0</v>
      </c>
      <c r="CO52" s="42">
        <f t="shared" si="7"/>
        <v>0</v>
      </c>
      <c r="CP52" s="43">
        <f t="shared" si="32"/>
        <v>0</v>
      </c>
      <c r="CQ52" s="56">
        <f t="shared" si="33"/>
        <v>0</v>
      </c>
      <c r="CR52" s="78">
        <f t="shared" si="8"/>
        <v>3818.0484600025966</v>
      </c>
      <c r="CS52" s="5">
        <f t="shared" si="8"/>
        <v>454.7309108491944</v>
      </c>
      <c r="CT52" s="56">
        <f t="shared" si="34"/>
        <v>-3363.3175491534021</v>
      </c>
      <c r="CU52" s="87">
        <f t="shared" si="35"/>
        <v>4581.6581520031159</v>
      </c>
      <c r="CV52" s="70">
        <f t="shared" si="36"/>
        <v>545.67709301903324</v>
      </c>
      <c r="CW52" s="37">
        <f t="shared" si="37"/>
        <v>-4035.9810589840827</v>
      </c>
      <c r="CX52" s="42">
        <f>'[1]побудинковий звіт'!CX52+'[2]побудинковий звіт'!CX52-'[3]побудинковий звіт'!CX52</f>
        <v>150.97184799688415</v>
      </c>
      <c r="CY52" s="42">
        <f>'[1]побудинковий звіт'!CY52+'[2]побудинковий звіт'!CY52-'[3]побудинковий звіт'!CY52</f>
        <v>4186.9529069809669</v>
      </c>
      <c r="CZ52" s="56">
        <f t="shared" si="38"/>
        <v>4035.9810589840827</v>
      </c>
      <c r="DA52" s="264">
        <f>'[4]побудинковий звіт'!DA52</f>
        <v>3381.5683516676263</v>
      </c>
      <c r="DB52" s="2">
        <v>2</v>
      </c>
      <c r="DC52" s="717">
        <f>'[4]побудинковий звіт'!DC52</f>
        <v>3941.51</v>
      </c>
      <c r="DD52" s="717">
        <f>'[4]побудинковий звіт'!DD52</f>
        <v>0</v>
      </c>
      <c r="DE52" s="717">
        <f>'[4]побудинковий звіт'!DE52</f>
        <v>3532.75</v>
      </c>
      <c r="DF52" s="717">
        <f>'[4]побудинковий звіт'!DF52</f>
        <v>0</v>
      </c>
      <c r="DG52" s="787">
        <v>9072.5860425213359</v>
      </c>
      <c r="DH52" s="761">
        <f t="shared" si="39"/>
        <v>56791.56</v>
      </c>
      <c r="DI52" s="784"/>
      <c r="DJ52" s="5"/>
      <c r="DK52" s="317">
        <f>VLOOKUP($A52,ціни!$A$4:$G$401,5)</f>
        <v>1.5666531911539874</v>
      </c>
      <c r="DL52" s="317"/>
      <c r="DM52" s="317">
        <f>VLOOKUP($A52,ціни!$A$4:$G$401,7)</f>
        <v>1.5666531911539874</v>
      </c>
      <c r="DN52" s="30">
        <f t="shared" si="59"/>
        <v>3469.1498268956548</v>
      </c>
      <c r="DO52" s="30">
        <f t="shared" si="60"/>
        <v>0</v>
      </c>
      <c r="DP52" s="316">
        <f t="shared" si="40"/>
        <v>3469.1498268956548</v>
      </c>
      <c r="DQ52" s="104"/>
      <c r="DR52" s="30">
        <f>VLOOKUP(A52,'ДЗ нас '!$A$1:$C$359,2)</f>
        <v>408.76</v>
      </c>
      <c r="DS52" s="748"/>
      <c r="DT52" s="30">
        <f t="shared" si="41"/>
        <v>408.76</v>
      </c>
      <c r="DU52" s="257">
        <f>VLOOKUP(A52,'новий кошторис с 01.06'!$A$4:$AI$399,35)*1.2</f>
        <v>393.25899138026745</v>
      </c>
      <c r="DV52" s="30">
        <f t="shared" si="42"/>
        <v>15.501008619732545</v>
      </c>
      <c r="DW52" s="930">
        <f>'[5]побудинковий звіт'!DW52+'[6]побудинковий звіт'!DW52</f>
        <v>204</v>
      </c>
      <c r="DY52" s="5">
        <f t="shared" si="9"/>
        <v>3899.8054491196881</v>
      </c>
      <c r="DZ52" s="5">
        <f t="shared" si="10"/>
        <v>0</v>
      </c>
      <c r="EA52" s="752">
        <f t="shared" si="43"/>
        <v>3532.75</v>
      </c>
      <c r="EC52" s="592">
        <f t="shared" si="11"/>
        <v>38998.054491196883</v>
      </c>
      <c r="EE52" s="758">
        <v>1093</v>
      </c>
      <c r="EF52" s="738">
        <f t="shared" si="12"/>
        <v>10165.586042521336</v>
      </c>
      <c r="EH52" s="813">
        <v>6854.8170488409651</v>
      </c>
    </row>
    <row r="53" spans="1:138" x14ac:dyDescent="0.3">
      <c r="A53" s="328">
        <v>150000510</v>
      </c>
      <c r="B53" s="44" t="s">
        <v>501</v>
      </c>
      <c r="C53" s="45" t="s">
        <v>248</v>
      </c>
      <c r="D53" s="45" t="s">
        <v>248</v>
      </c>
      <c r="E53" s="40">
        <f t="shared" si="3"/>
        <v>6045.39</v>
      </c>
      <c r="F53" s="490">
        <v>5953.29</v>
      </c>
      <c r="G53" s="30"/>
      <c r="H53" s="30">
        <v>92.1</v>
      </c>
      <c r="I53" s="42">
        <f>'[1]побудинковий звіт'!I53+'[2]побудинковий звіт'!I53-'[3]побудинковий звіт'!I53</f>
        <v>6625.0313685571737</v>
      </c>
      <c r="J53" s="42">
        <f>'[1]побудинковий звіт'!J53+'[2]побудинковий звіт'!J53-'[3]побудинковий звіт'!J53</f>
        <v>6653.4064253084416</v>
      </c>
      <c r="K53" s="56">
        <f t="shared" si="13"/>
        <v>28.375056751267948</v>
      </c>
      <c r="L53" s="42">
        <f>'[1]побудинковий звіт'!L53+'[2]побудинковий звіт'!L53-'[3]побудинковий звіт'!L53</f>
        <v>1237.7339851584231</v>
      </c>
      <c r="M53" s="42">
        <f>'[1]побудинковий звіт'!M53+'[2]побудинковий звіт'!M53-'[3]побудинковий звіт'!M53</f>
        <v>1248.8196109865082</v>
      </c>
      <c r="N53" s="56">
        <f t="shared" si="14"/>
        <v>11.085625828085085</v>
      </c>
      <c r="O53" s="42">
        <f>'[1]побудинковий звіт'!O53+'[2]побудинковий звіт'!O53-'[3]побудинковий звіт'!O53</f>
        <v>4300.2</v>
      </c>
      <c r="P53" s="42">
        <f>'[1]побудинковий звіт'!P53+'[2]побудинковий звіт'!P53-'[3]побудинковий звіт'!P53</f>
        <v>3380.0896000000002</v>
      </c>
      <c r="Q53" s="56">
        <f t="shared" si="15"/>
        <v>-920.11039999999957</v>
      </c>
      <c r="R53" s="42">
        <f>'[1]побудинковий звіт'!R53+'[2]побудинковий звіт'!R53-'[3]побудинковий звіт'!R53</f>
        <v>0</v>
      </c>
      <c r="S53" s="42">
        <f>'[1]побудинковий звіт'!S53+'[2]побудинковий звіт'!S53-'[3]побудинковий звіт'!S53</f>
        <v>0</v>
      </c>
      <c r="T53" s="56">
        <f t="shared" si="16"/>
        <v>0</v>
      </c>
      <c r="U53" s="42">
        <f>'[1]побудинковий звіт'!U53+'[2]побудинковий звіт'!U53-'[3]побудинковий звіт'!U53</f>
        <v>0</v>
      </c>
      <c r="V53" s="42">
        <f>'[1]побудинковий звіт'!V53+'[2]побудинковий звіт'!V53-'[3]побудинковий звіт'!V53</f>
        <v>0</v>
      </c>
      <c r="W53" s="56">
        <f t="shared" si="17"/>
        <v>0</v>
      </c>
      <c r="X53" s="42">
        <f>'[1]побудинковий звіт'!X53+'[2]побудинковий звіт'!X53-'[3]побудинковий звіт'!X53</f>
        <v>5327.8922092065504</v>
      </c>
      <c r="Y53" s="42">
        <f>'[1]побудинковий звіт'!Y53+'[2]побудинковий звіт'!Y53-'[3]побудинковий звіт'!Y53</f>
        <v>4107.6671997143076</v>
      </c>
      <c r="Z53" s="56">
        <f t="shared" si="18"/>
        <v>-1220.2250094922429</v>
      </c>
      <c r="AA53" s="42">
        <f>'[1]побудинковий звіт'!AA53+'[2]побудинковий звіт'!AA53-'[3]побудинковий звіт'!AA53</f>
        <v>0</v>
      </c>
      <c r="AB53" s="42">
        <f>'[1]побудинковий звіт'!AB53+'[2]побудинковий звіт'!AB53-'[3]побудинковий звіт'!AB53</f>
        <v>0</v>
      </c>
      <c r="AC53" s="56">
        <f t="shared" si="19"/>
        <v>0</v>
      </c>
      <c r="AD53" s="42">
        <f>'[1]побудинковий звіт'!AD53+'[2]побудинковий звіт'!AD53-'[3]побудинковий звіт'!AD53</f>
        <v>12353.133849318418</v>
      </c>
      <c r="AE53" s="42">
        <f>'[1]побудинковий звіт'!AE53+'[2]побудинковий звіт'!AE53-'[3]побудинковий звіт'!AE53</f>
        <v>11385.50210578752</v>
      </c>
      <c r="AF53" s="37">
        <f t="shared" si="20"/>
        <v>-967.63174353089744</v>
      </c>
      <c r="AG53" s="87">
        <f t="shared" si="4"/>
        <v>29843.991412240568</v>
      </c>
      <c r="AH53" s="57">
        <f t="shared" si="4"/>
        <v>26775.484941796778</v>
      </c>
      <c r="AI53" s="56">
        <f t="shared" si="21"/>
        <v>-3068.50647044379</v>
      </c>
      <c r="AJ53" s="42">
        <f>'[1]побудинковий звіт'!AJ53+'[2]побудинковий звіт'!AJ53-'[3]побудинковий звіт'!AJ53</f>
        <v>0</v>
      </c>
      <c r="AK53" s="42">
        <f>'[1]побудинковий звіт'!AK53+'[2]побудинковий звіт'!AK53-'[3]побудинковий звіт'!AK53</f>
        <v>0</v>
      </c>
      <c r="AL53" s="56">
        <f t="shared" si="22"/>
        <v>0</v>
      </c>
      <c r="AM53" s="42">
        <f>'[1]побудинковий звіт'!AM53+'[2]побудинковий звіт'!AM53-'[3]побудинковий звіт'!AM53</f>
        <v>0</v>
      </c>
      <c r="AN53" s="42">
        <f>'[1]побудинковий звіт'!AN53+'[2]побудинковий звіт'!AN53-'[3]побудинковий звіт'!AN53</f>
        <v>0</v>
      </c>
      <c r="AO53" s="56">
        <f t="shared" si="23"/>
        <v>0</v>
      </c>
      <c r="AP53" s="42">
        <f>'[1]побудинковий звіт'!AP53+'[2]побудинковий звіт'!AP53-'[3]побудинковий звіт'!AP53</f>
        <v>1373.175582195792</v>
      </c>
      <c r="AQ53" s="42">
        <f>'[1]побудинковий звіт'!AQ53+'[2]побудинковий звіт'!AQ53-'[3]побудинковий звіт'!AQ53</f>
        <v>1209.384759702089</v>
      </c>
      <c r="AR53" s="56">
        <f t="shared" si="24"/>
        <v>-163.79082249370299</v>
      </c>
      <c r="AS53" s="42">
        <f>'[1]побудинковий звіт'!AS53+'[2]побудинковий звіт'!AS53-'[3]побудинковий звіт'!AS53</f>
        <v>23812.312132581632</v>
      </c>
      <c r="AT53" s="42">
        <f>'[1]побудинковий звіт'!AT53+'[2]побудинковий звіт'!AT53-'[3]побудинковий звіт'!AT53</f>
        <v>7338.2293639916434</v>
      </c>
      <c r="AU53" s="58">
        <f t="shared" si="44"/>
        <v>-16474.082768589989</v>
      </c>
      <c r="AV53" s="42">
        <f>'[1]побудинковий звіт'!AV53+'[2]побудинковий звіт'!AV53-'[3]побудинковий звіт'!AV53</f>
        <v>1195.806626689124</v>
      </c>
      <c r="AW53" s="42">
        <f>'[1]побудинковий звіт'!AW53+'[2]побудинковий звіт'!AW53-'[3]побудинковий звіт'!AW53</f>
        <v>0</v>
      </c>
      <c r="AX53" s="59">
        <f t="shared" si="45"/>
        <v>-1195.806626689124</v>
      </c>
      <c r="AY53" s="42">
        <f>'[1]побудинковий звіт'!AY53+'[2]побудинковий звіт'!AY53-'[3]побудинковий звіт'!AY53</f>
        <v>1595.2133154398005</v>
      </c>
      <c r="AZ53" s="42">
        <f>'[1]побудинковий звіт'!AZ53+'[2]побудинковий звіт'!AZ53-'[3]побудинковий звіт'!AZ53</f>
        <v>0</v>
      </c>
      <c r="BA53" s="37">
        <f t="shared" si="46"/>
        <v>-1595.2133154398005</v>
      </c>
      <c r="BB53" s="42">
        <f>'[1]побудинковий звіт'!BB53+'[2]побудинковий звіт'!BB53-'[3]побудинковий звіт'!BB53</f>
        <v>2034.5764909897839</v>
      </c>
      <c r="BC53" s="42">
        <f>'[1]побудинковий звіт'!BC53+'[2]побудинковий звіт'!BC53-'[3]побудинковий звіт'!BC53</f>
        <v>0</v>
      </c>
      <c r="BD53" s="59">
        <f t="shared" si="47"/>
        <v>-2034.5764909897839</v>
      </c>
      <c r="BE53" s="42">
        <f>'[1]побудинковий звіт'!BE53+'[2]побудинковий звіт'!BE53-'[3]побудинковий звіт'!BE53</f>
        <v>0</v>
      </c>
      <c r="BF53" s="42">
        <f>'[1]побудинковий звіт'!BF53+'[2]побудинковий звіт'!BF53-'[3]побудинковий звіт'!BF53</f>
        <v>0</v>
      </c>
      <c r="BG53" s="39">
        <f t="shared" si="48"/>
        <v>0</v>
      </c>
      <c r="BH53" s="42">
        <f>'[1]побудинковий звіт'!BH53+'[2]побудинковий звіт'!BH53-'[3]побудинковий звіт'!BH53</f>
        <v>0</v>
      </c>
      <c r="BI53" s="42">
        <f>'[1]побудинковий звіт'!BI53+'[2]побудинковий звіт'!BI53-'[3]побудинковий звіт'!BI53</f>
        <v>249</v>
      </c>
      <c r="BJ53" s="59">
        <f t="shared" si="49"/>
        <v>249</v>
      </c>
      <c r="BK53" s="42">
        <f>'[1]побудинковий звіт'!BK53+'[2]побудинковий звіт'!BK53-'[3]побудинковий звіт'!BK53</f>
        <v>734.84064535446623</v>
      </c>
      <c r="BL53" s="42">
        <f>'[1]побудинковий звіт'!BL53+'[2]побудинковий звіт'!BL53-'[3]побудинковий звіт'!BL53</f>
        <v>0</v>
      </c>
      <c r="BM53" s="39">
        <f t="shared" si="50"/>
        <v>-734.84064535446623</v>
      </c>
      <c r="BN53" s="42">
        <f>'[1]побудинковий звіт'!BN53+'[2]побудинковий звіт'!BN53-'[3]побудинковий звіт'!BN53</f>
        <v>0</v>
      </c>
      <c r="BO53" s="42">
        <f>'[1]побудинковий звіт'!BO53+'[2]побудинковий звіт'!BO53-'[3]побудинковий звіт'!BO53</f>
        <v>0</v>
      </c>
      <c r="BP53" s="59">
        <f t="shared" si="51"/>
        <v>0</v>
      </c>
      <c r="BQ53" s="87">
        <f t="shared" si="57"/>
        <v>5560.4370784731746</v>
      </c>
      <c r="BR53" s="43">
        <f t="shared" si="58"/>
        <v>249</v>
      </c>
      <c r="BS53" s="59">
        <f t="shared" si="52"/>
        <v>-5311.4370784731746</v>
      </c>
      <c r="BT53" s="42">
        <f>'[1]побудинковий звіт'!BT53+'[2]побудинковий звіт'!BT53-'[3]побудинковий звіт'!BT53</f>
        <v>30001.910720633918</v>
      </c>
      <c r="BU53" s="42">
        <f>'[1]побудинковий звіт'!BU53+'[2]побудинковий звіт'!BU53-'[3]побудинковий звіт'!BU53</f>
        <v>39571.12244320193</v>
      </c>
      <c r="BV53" s="56">
        <f t="shared" si="25"/>
        <v>9569.2117225680122</v>
      </c>
      <c r="BW53" s="42">
        <f>'[1]побудинковий звіт'!BW53+'[2]побудинковий звіт'!BW53-'[3]побудинковий звіт'!BW53</f>
        <v>16673.622715312482</v>
      </c>
      <c r="BX53" s="42">
        <f>'[1]побудинковий звіт'!BX53+'[2]побудинковий звіт'!BX53-'[3]побудинковий звіт'!BX53</f>
        <v>17484.423056136406</v>
      </c>
      <c r="BY53" s="56">
        <f t="shared" si="26"/>
        <v>810.80034082392376</v>
      </c>
      <c r="BZ53" s="42">
        <f>'[1]побудинковий звіт'!BZ53+'[2]побудинковий звіт'!BZ53-'[3]побудинковий звіт'!BZ53</f>
        <v>11353.140848587411</v>
      </c>
      <c r="CA53" s="42">
        <f>'[1]побудинковий звіт'!CA53+'[2]побудинковий звіт'!CA53-'[3]побудинковий звіт'!CA53</f>
        <v>11971.538754594676</v>
      </c>
      <c r="CB53" s="56">
        <f t="shared" si="27"/>
        <v>618.39790600726519</v>
      </c>
      <c r="CC53" s="42">
        <f>'[1]побудинковий звіт'!CC53+'[2]побудинковий звіт'!CC53-'[3]побудинковий звіт'!CC53</f>
        <v>0</v>
      </c>
      <c r="CD53" s="42">
        <f>'[1]побудинковий звіт'!CD53+'[2]побудинковий звіт'!CD53-'[3]побудинковий звіт'!CD53</f>
        <v>0</v>
      </c>
      <c r="CE53" s="56">
        <f t="shared" si="28"/>
        <v>0</v>
      </c>
      <c r="CF53" s="42">
        <f>'[1]побудинковий звіт'!CF53+'[2]побудинковий звіт'!CF53-'[3]побудинковий звіт'!CF53</f>
        <v>0</v>
      </c>
      <c r="CG53" s="42">
        <f>'[1]побудинковий звіт'!CG53+'[2]побудинковий звіт'!CG53-'[3]побудинковий звіт'!CG53</f>
        <v>0</v>
      </c>
      <c r="CH53" s="56">
        <f t="shared" si="29"/>
        <v>0</v>
      </c>
      <c r="CI53" s="42">
        <f>'[1]побудинковий звіт'!CI53+'[2]побудинковий звіт'!CI53-'[3]побудинковий звіт'!CI53</f>
        <v>2901.2164024647814</v>
      </c>
      <c r="CJ53" s="42">
        <f>'[1]побудинковий звіт'!CJ53+'[2]побудинковий звіт'!CJ53-'[3]побудинковий звіт'!CJ53</f>
        <v>2520.2604203415603</v>
      </c>
      <c r="CK53" s="56">
        <f t="shared" si="30"/>
        <v>-380.95598212322102</v>
      </c>
      <c r="CL53" s="42">
        <f>'[1]побудинковий звіт'!CL53+'[2]побудинковий звіт'!CL53-'[3]побудинковий звіт'!CL53</f>
        <v>0</v>
      </c>
      <c r="CM53" s="42">
        <f>'[1]побудинковий звіт'!CM53+'[2]побудинковий звіт'!CM53-'[3]побудинковий звіт'!CM53</f>
        <v>0</v>
      </c>
      <c r="CN53" s="56">
        <f t="shared" si="31"/>
        <v>0</v>
      </c>
      <c r="CO53" s="42">
        <f t="shared" si="7"/>
        <v>2901.2164024647814</v>
      </c>
      <c r="CP53" s="43">
        <f t="shared" si="32"/>
        <v>2520.2604203415603</v>
      </c>
      <c r="CQ53" s="56">
        <f t="shared" si="33"/>
        <v>-380.95598212322102</v>
      </c>
      <c r="CR53" s="78">
        <f t="shared" si="8"/>
        <v>121519.80689248975</v>
      </c>
      <c r="CS53" s="5">
        <f t="shared" si="8"/>
        <v>107119.44373976508</v>
      </c>
      <c r="CT53" s="56">
        <f t="shared" si="34"/>
        <v>-14400.363152724676</v>
      </c>
      <c r="CU53" s="87">
        <f t="shared" si="35"/>
        <v>145823.7682709877</v>
      </c>
      <c r="CV53" s="70">
        <f t="shared" si="36"/>
        <v>128543.33248771809</v>
      </c>
      <c r="CW53" s="37">
        <f t="shared" si="37"/>
        <v>-17280.435783269611</v>
      </c>
      <c r="CX53" s="42">
        <f>'[1]побудинковий звіт'!CX53+'[2]побудинковий звіт'!CX53-'[3]побудинковий звіт'!CX53</f>
        <v>7302.4717290123153</v>
      </c>
      <c r="CY53" s="42">
        <f>'[1]побудинковий звіт'!CY53+'[2]побудинковий звіт'!CY53-'[3]побудинковий звіт'!CY53</f>
        <v>24582.907512281909</v>
      </c>
      <c r="CZ53" s="56">
        <f t="shared" si="38"/>
        <v>17280.435783269593</v>
      </c>
      <c r="DA53" s="264">
        <f>'[4]побудинковий звіт'!DA53</f>
        <v>-28146.718529818198</v>
      </c>
      <c r="DB53" s="2">
        <v>2</v>
      </c>
      <c r="DC53" s="717">
        <f>'[4]побудинковий звіт'!DC53</f>
        <v>133889.47</v>
      </c>
      <c r="DD53" s="717">
        <f>'[4]побудинковий звіт'!DD53</f>
        <v>350.95</v>
      </c>
      <c r="DE53" s="717">
        <f>'[4]побудинковий звіт'!DE53</f>
        <v>121479.9</v>
      </c>
      <c r="DF53" s="717">
        <f>'[4]побудинковий звіт'!DF53</f>
        <v>0</v>
      </c>
      <c r="DG53" s="787">
        <v>-10077.066617427277</v>
      </c>
      <c r="DH53" s="761">
        <f t="shared" si="39"/>
        <v>1837514.8800000004</v>
      </c>
      <c r="DI53" s="784"/>
      <c r="DJ53" s="5"/>
      <c r="DK53" s="317">
        <f>VLOOKUP($A53,ціни!$A$4:$G$401,5)</f>
        <v>4.436472521918235</v>
      </c>
      <c r="DL53" s="317"/>
      <c r="DM53" s="317">
        <f>VLOOKUP($A53,ціни!$A$4:$G$401,7)</f>
        <v>3.8105298396722849</v>
      </c>
      <c r="DN53" s="30">
        <f t="shared" si="59"/>
        <v>26411.60750001061</v>
      </c>
      <c r="DO53" s="30">
        <f t="shared" si="60"/>
        <v>350.94979823381743</v>
      </c>
      <c r="DP53" s="316">
        <f t="shared" si="40"/>
        <v>26762.557298244428</v>
      </c>
      <c r="DQ53" s="104"/>
      <c r="DR53" s="30">
        <f>VLOOKUP(A53,'ДЗ нас '!$A$1:$C$359,2)</f>
        <v>12409.57</v>
      </c>
      <c r="DS53" s="748">
        <f>VLOOKUP(A53,'ДЗ нежит'!$A$1:$D$153,4,0)</f>
        <v>350.95</v>
      </c>
      <c r="DT53" s="30">
        <f t="shared" si="41"/>
        <v>12760.52</v>
      </c>
      <c r="DU53" s="257">
        <f>VLOOKUP(A53,'новий кошторис с 01.06'!$A$4:$AI$399,35)*1.2</f>
        <v>12881.099530603911</v>
      </c>
      <c r="DV53" s="30">
        <f t="shared" si="42"/>
        <v>-120.57953060391083</v>
      </c>
      <c r="DW53" s="930">
        <f>'[5]побудинковий звіт'!DW53+'[6]побудинковий звіт'!DW53</f>
        <v>236</v>
      </c>
      <c r="DY53" s="5">
        <f t="shared" si="9"/>
        <v>35247.299053265764</v>
      </c>
      <c r="DZ53" s="5">
        <f t="shared" si="10"/>
        <v>9104.6752367899717</v>
      </c>
      <c r="EA53" s="752">
        <f t="shared" si="43"/>
        <v>121479.9</v>
      </c>
      <c r="EC53" s="592">
        <f t="shared" si="11"/>
        <v>285747.74559097958</v>
      </c>
      <c r="EE53" s="758">
        <v>63251</v>
      </c>
      <c r="EF53" s="738">
        <f t="shared" si="12"/>
        <v>53173.933382572723</v>
      </c>
      <c r="EH53" s="813">
        <v>-9339.7995467688706</v>
      </c>
    </row>
    <row r="54" spans="1:138" x14ac:dyDescent="0.3">
      <c r="A54" s="328">
        <v>150000511</v>
      </c>
      <c r="B54" s="44" t="s">
        <v>502</v>
      </c>
      <c r="C54" s="45" t="s">
        <v>249</v>
      </c>
      <c r="D54" s="45" t="s">
        <v>249</v>
      </c>
      <c r="E54" s="40">
        <f t="shared" si="3"/>
        <v>3858.65</v>
      </c>
      <c r="F54" s="490">
        <v>3858.65</v>
      </c>
      <c r="G54" s="30"/>
      <c r="H54" s="30">
        <v>0</v>
      </c>
      <c r="I54" s="42">
        <f>'[1]побудинковий звіт'!I54+'[2]побудинковий звіт'!I54-'[3]побудинковий звіт'!I54</f>
        <v>12063.522351494104</v>
      </c>
      <c r="J54" s="42">
        <f>'[1]побудинковий звіт'!J54+'[2]побудинковий звіт'!J54-'[3]побудинковий звіт'!J54</f>
        <v>12142.40802901092</v>
      </c>
      <c r="K54" s="56">
        <f t="shared" si="13"/>
        <v>78.885677516815122</v>
      </c>
      <c r="L54" s="42">
        <f>'[1]побудинковий звіт'!L54+'[2]побудинковий звіт'!L54-'[3]побудинковий звіт'!L54</f>
        <v>2284.3213231602754</v>
      </c>
      <c r="M54" s="42">
        <f>'[1]побудинковий звіт'!M54+'[2]побудинковий звіт'!M54-'[3]побудинковий звіт'!M54</f>
        <v>2332.1607885120384</v>
      </c>
      <c r="N54" s="56">
        <f t="shared" si="14"/>
        <v>47.83946535176301</v>
      </c>
      <c r="O54" s="42">
        <f>'[1]побудинковий звіт'!O54+'[2]побудинковий звіт'!O54-'[3]побудинковий звіт'!O54</f>
        <v>4847.5199999999995</v>
      </c>
      <c r="P54" s="42">
        <f>'[1]побудинковий звіт'!P54+'[2]побудинковий звіт'!P54-'[3]побудинковий звіт'!P54</f>
        <v>3810.3826639784947</v>
      </c>
      <c r="Q54" s="56">
        <f t="shared" si="15"/>
        <v>-1037.1373360215048</v>
      </c>
      <c r="R54" s="42">
        <f>'[1]побудинковий звіт'!R54+'[2]побудинковий звіт'!R54-'[3]побудинковий звіт'!R54</f>
        <v>0</v>
      </c>
      <c r="S54" s="42">
        <f>'[1]побудинковий звіт'!S54+'[2]побудинковий звіт'!S54-'[3]побудинковий звіт'!S54</f>
        <v>0</v>
      </c>
      <c r="T54" s="56">
        <f t="shared" si="16"/>
        <v>0</v>
      </c>
      <c r="U54" s="42">
        <f>'[1]побудинковий звіт'!U54+'[2]побудинковий звіт'!U54-'[3]побудинковий звіт'!U54</f>
        <v>0</v>
      </c>
      <c r="V54" s="42">
        <f>'[1]побудинковий звіт'!V54+'[2]побудинковий звіт'!V54-'[3]побудинковий звіт'!V54</f>
        <v>0</v>
      </c>
      <c r="W54" s="56">
        <f t="shared" si="17"/>
        <v>0</v>
      </c>
      <c r="X54" s="42">
        <f>'[1]побудинковий звіт'!X54+'[2]побудинковий звіт'!X54-'[3]побудинковий звіт'!X54</f>
        <v>7459.7055866557439</v>
      </c>
      <c r="Y54" s="42">
        <f>'[1]побудинковий звіт'!Y54+'[2]побудинковий звіт'!Y54-'[3]побудинковий звіт'!Y54</f>
        <v>5804.3397075600351</v>
      </c>
      <c r="Z54" s="56">
        <f t="shared" si="18"/>
        <v>-1655.3658790957088</v>
      </c>
      <c r="AA54" s="42">
        <f>'[1]побудинковий звіт'!AA54+'[2]побудинковий звіт'!AA54-'[3]побудинковий звіт'!AA54</f>
        <v>0</v>
      </c>
      <c r="AB54" s="42">
        <f>'[1]побудинковий звіт'!AB54+'[2]побудинковий звіт'!AB54-'[3]побудинковий звіт'!AB54</f>
        <v>0</v>
      </c>
      <c r="AC54" s="56">
        <f t="shared" si="19"/>
        <v>0</v>
      </c>
      <c r="AD54" s="42">
        <f>'[1]побудинковий звіт'!AD54+'[2]побудинковий звіт'!AD54-'[3]побудинковий звіт'!AD54</f>
        <v>13766.039621150356</v>
      </c>
      <c r="AE54" s="42">
        <f>'[1]побудинковий звіт'!AE54+'[2]побудинковий звіт'!AE54-'[3]побудинковий звіт'!AE54</f>
        <v>12687.862021496188</v>
      </c>
      <c r="AF54" s="37">
        <f t="shared" si="20"/>
        <v>-1078.1775996541674</v>
      </c>
      <c r="AG54" s="87">
        <f t="shared" si="4"/>
        <v>40421.108882460474</v>
      </c>
      <c r="AH54" s="57">
        <f t="shared" si="4"/>
        <v>36777.153210557677</v>
      </c>
      <c r="AI54" s="56">
        <f t="shared" si="21"/>
        <v>-3643.9556719027969</v>
      </c>
      <c r="AJ54" s="42">
        <f>'[1]побудинковий звіт'!AJ54+'[2]побудинковий звіт'!AJ54-'[3]побудинковий звіт'!AJ54</f>
        <v>0</v>
      </c>
      <c r="AK54" s="42">
        <f>'[1]побудинковий звіт'!AK54+'[2]побудинковий звіт'!AK54-'[3]побудинковий звіт'!AK54</f>
        <v>0</v>
      </c>
      <c r="AL54" s="56">
        <f t="shared" si="22"/>
        <v>0</v>
      </c>
      <c r="AM54" s="42">
        <f>'[1]побудинковий звіт'!AM54+'[2]побудинковий звіт'!AM54-'[3]побудинковий звіт'!AM54</f>
        <v>0</v>
      </c>
      <c r="AN54" s="42">
        <f>'[1]побудинковий звіт'!AN54+'[2]побудинковий звіт'!AN54-'[3]побудинковий звіт'!AN54</f>
        <v>0</v>
      </c>
      <c r="AO54" s="56">
        <f t="shared" si="23"/>
        <v>0</v>
      </c>
      <c r="AP54" s="42">
        <f>'[1]побудинковий звіт'!AP54+'[2]побудинковий звіт'!AP54-'[3]побудинковий звіт'!AP54</f>
        <v>11364.211714723799</v>
      </c>
      <c r="AQ54" s="42">
        <f>'[1]побудинковий звіт'!AQ54+'[2]побудинковий звіт'!AQ54-'[3]побудинковий звіт'!AQ54</f>
        <v>10586.599346170253</v>
      </c>
      <c r="AR54" s="56">
        <f t="shared" si="24"/>
        <v>-777.61236855354582</v>
      </c>
      <c r="AS54" s="42">
        <f>'[1]побудинковий звіт'!AS54+'[2]побудинковий звіт'!AS54-'[3]побудинковий звіт'!AS54</f>
        <v>29717.001220558042</v>
      </c>
      <c r="AT54" s="42">
        <f>'[1]побудинковий звіт'!AT54+'[2]побудинковий звіт'!AT54-'[3]побудинковий звіт'!AT54</f>
        <v>57467</v>
      </c>
      <c r="AU54" s="58">
        <f t="shared" si="44"/>
        <v>27749.998779441958</v>
      </c>
      <c r="AV54" s="42">
        <f>'[1]побудинковий звіт'!AV54+'[2]побудинковий звіт'!AV54-'[3]побудинковий звіт'!AV54</f>
        <v>1908.5416160660241</v>
      </c>
      <c r="AW54" s="42">
        <f>'[1]побудинковий звіт'!AW54+'[2]побудинковий звіт'!AW54-'[3]побудинковий звіт'!AW54</f>
        <v>1313</v>
      </c>
      <c r="AX54" s="59">
        <f t="shared" si="45"/>
        <v>-595.54161606602406</v>
      </c>
      <c r="AY54" s="42">
        <f>'[1]побудинковий звіт'!AY54+'[2]побудинковий звіт'!AY54-'[3]побудинковий звіт'!AY54</f>
        <v>2944.417704925042</v>
      </c>
      <c r="AZ54" s="42">
        <f>'[1]побудинковий звіт'!AZ54+'[2]побудинковий звіт'!AZ54-'[3]побудинковий звіт'!AZ54</f>
        <v>0</v>
      </c>
      <c r="BA54" s="37">
        <f t="shared" si="46"/>
        <v>-2944.417704925042</v>
      </c>
      <c r="BB54" s="42">
        <f>'[1]побудинковий звіт'!BB54+'[2]побудинковий звіт'!BB54-'[3]побудинковий звіт'!BB54</f>
        <v>2195.3066993215712</v>
      </c>
      <c r="BC54" s="42">
        <f>'[1]побудинковий звіт'!BC54+'[2]побудинковий звіт'!BC54-'[3]побудинковий звіт'!BC54</f>
        <v>1664</v>
      </c>
      <c r="BD54" s="59">
        <f t="shared" si="47"/>
        <v>-531.30669932157116</v>
      </c>
      <c r="BE54" s="42">
        <f>'[1]побудинковий звіт'!BE54+'[2]побудинковий звіт'!BE54-'[3]побудинковий звіт'!BE54</f>
        <v>0</v>
      </c>
      <c r="BF54" s="42">
        <f>'[1]побудинковий звіт'!BF54+'[2]побудинковий звіт'!BF54-'[3]побудинковий звіт'!BF54</f>
        <v>0</v>
      </c>
      <c r="BG54" s="39">
        <f t="shared" si="48"/>
        <v>0</v>
      </c>
      <c r="BH54" s="42">
        <f>'[1]побудинковий звіт'!BH54+'[2]побудинковий звіт'!BH54-'[3]побудинковий звіт'!BH54</f>
        <v>0</v>
      </c>
      <c r="BI54" s="42">
        <f>'[1]побудинковий звіт'!BI54+'[2]побудинковий звіт'!BI54-'[3]побудинковий звіт'!BI54</f>
        <v>0</v>
      </c>
      <c r="BJ54" s="59">
        <f t="shared" si="49"/>
        <v>0</v>
      </c>
      <c r="BK54" s="42">
        <f>'[1]побудинковий звіт'!BK54+'[2]побудинковий звіт'!BK54-'[3]побудинковий звіт'!BK54</f>
        <v>1047.7724342826871</v>
      </c>
      <c r="BL54" s="42">
        <f>'[1]побудинковий звіт'!BL54+'[2]побудинковий звіт'!BL54-'[3]побудинковий звіт'!BL54</f>
        <v>254</v>
      </c>
      <c r="BM54" s="39">
        <f t="shared" si="50"/>
        <v>-793.77243428268707</v>
      </c>
      <c r="BN54" s="42">
        <f>'[1]побудинковий звіт'!BN54+'[2]побудинковий звіт'!BN54-'[3]побудинковий звіт'!BN54</f>
        <v>0</v>
      </c>
      <c r="BO54" s="42">
        <f>'[1]побудинковий звіт'!BO54+'[2]побудинковий звіт'!BO54-'[3]побудинковий звіт'!BO54</f>
        <v>0</v>
      </c>
      <c r="BP54" s="59">
        <f t="shared" si="51"/>
        <v>0</v>
      </c>
      <c r="BQ54" s="87">
        <f t="shared" si="57"/>
        <v>8096.0384545953248</v>
      </c>
      <c r="BR54" s="43">
        <f t="shared" si="58"/>
        <v>3231</v>
      </c>
      <c r="BS54" s="59">
        <f t="shared" si="52"/>
        <v>-4865.0384545953248</v>
      </c>
      <c r="BT54" s="42">
        <f>'[1]побудинковий звіт'!BT54+'[2]побудинковий звіт'!BT54-'[3]побудинковий звіт'!BT54</f>
        <v>36729.053334361139</v>
      </c>
      <c r="BU54" s="42">
        <f>'[1]побудинковий звіт'!BU54+'[2]побудинковий звіт'!BU54-'[3]побудинковий звіт'!BU54</f>
        <v>52354.456466222386</v>
      </c>
      <c r="BV54" s="56">
        <f t="shared" si="25"/>
        <v>15625.403131861247</v>
      </c>
      <c r="BW54" s="42">
        <f>'[1]побудинковий звіт'!BW54+'[2]побудинковий звіт'!BW54-'[3]побудинковий звіт'!BW54</f>
        <v>18959.146141071531</v>
      </c>
      <c r="BX54" s="42">
        <f>'[1]побудинковий звіт'!BX54+'[2]побудинковий звіт'!BX54-'[3]побудинковий звіт'!BX54</f>
        <v>19749.001058506146</v>
      </c>
      <c r="BY54" s="56">
        <f t="shared" si="26"/>
        <v>789.85491743461534</v>
      </c>
      <c r="BZ54" s="42">
        <f>'[1]побудинковий звіт'!BZ54+'[2]побудинковий звіт'!BZ54-'[3]побудинковий звіт'!BZ54</f>
        <v>16090.601686227885</v>
      </c>
      <c r="CA54" s="42">
        <f>'[1]побудинковий звіт'!CA54+'[2]побудинковий звіт'!CA54-'[3]побудинковий звіт'!CA54</f>
        <v>14787.279369647073</v>
      </c>
      <c r="CB54" s="56">
        <f t="shared" si="27"/>
        <v>-1303.3223165808122</v>
      </c>
      <c r="CC54" s="42">
        <f>'[1]побудинковий звіт'!CC54+'[2]побудинковий звіт'!CC54-'[3]побудинковий звіт'!CC54</f>
        <v>1971.5704055570109</v>
      </c>
      <c r="CD54" s="42">
        <f>'[1]побудинковий звіт'!CD54+'[2]побудинковий звіт'!CD54-'[3]побудинковий звіт'!CD54</f>
        <v>1954.2298864367929</v>
      </c>
      <c r="CE54" s="56">
        <f t="shared" si="28"/>
        <v>-17.340519120218005</v>
      </c>
      <c r="CF54" s="42">
        <f>'[1]побудинковий звіт'!CF54+'[2]побудинковий звіт'!CF54-'[3]побудинковий звіт'!CF54</f>
        <v>242.71226583561693</v>
      </c>
      <c r="CG54" s="42">
        <f>'[1]побудинковий звіт'!CG54+'[2]побудинковий звіт'!CG54-'[3]побудинковий звіт'!CG54</f>
        <v>0</v>
      </c>
      <c r="CH54" s="56">
        <f t="shared" si="29"/>
        <v>-242.71226583561693</v>
      </c>
      <c r="CI54" s="42">
        <f>'[1]побудинковий звіт'!CI54+'[2]побудинковий звіт'!CI54-'[3]побудинковий звіт'!CI54</f>
        <v>4473.4885173489201</v>
      </c>
      <c r="CJ54" s="42">
        <f>'[1]побудинковий звіт'!CJ54+'[2]побудинковий звіт'!CJ54-'[3]побудинковий звіт'!CJ54</f>
        <v>2065.9364699604921</v>
      </c>
      <c r="CK54" s="56">
        <f t="shared" si="30"/>
        <v>-2407.552047388428</v>
      </c>
      <c r="CL54" s="42">
        <f>'[1]побудинковий звіт'!CL54+'[2]побудинковий звіт'!CL54-'[3]побудинковий звіт'!CL54</f>
        <v>0</v>
      </c>
      <c r="CM54" s="42">
        <f>'[1]побудинковий звіт'!CM54+'[2]побудинковий звіт'!CM54-'[3]побудинковий звіт'!CM54</f>
        <v>0</v>
      </c>
      <c r="CN54" s="56">
        <f t="shared" si="31"/>
        <v>0</v>
      </c>
      <c r="CO54" s="42">
        <f t="shared" si="7"/>
        <v>4473.4885173489201</v>
      </c>
      <c r="CP54" s="43">
        <f t="shared" si="32"/>
        <v>2065.9364699604921</v>
      </c>
      <c r="CQ54" s="56">
        <f t="shared" si="33"/>
        <v>-2407.552047388428</v>
      </c>
      <c r="CR54" s="78">
        <f t="shared" si="8"/>
        <v>168064.93262273975</v>
      </c>
      <c r="CS54" s="5">
        <f t="shared" si="8"/>
        <v>198972.65580750082</v>
      </c>
      <c r="CT54" s="56">
        <f t="shared" si="34"/>
        <v>30907.723184761067</v>
      </c>
      <c r="CU54" s="87">
        <f t="shared" si="35"/>
        <v>201677.9191472877</v>
      </c>
      <c r="CV54" s="70">
        <f t="shared" si="36"/>
        <v>238767.18696900096</v>
      </c>
      <c r="CW54" s="37">
        <f t="shared" si="37"/>
        <v>37089.267821713263</v>
      </c>
      <c r="CX54" s="42">
        <f>'[1]побудинковий звіт'!CX54+'[2]побудинковий звіт'!CX54-'[3]побудинковий звіт'!CX54</f>
        <v>7035.5008527123282</v>
      </c>
      <c r="CY54" s="42">
        <f>'[1]побудинковий звіт'!CY54+'[2]побудинковий звіт'!CY54-'[3]побудинковий звіт'!CY54</f>
        <v>-30053.766969000975</v>
      </c>
      <c r="CZ54" s="56">
        <f t="shared" si="38"/>
        <v>-37089.267821713307</v>
      </c>
      <c r="DA54" s="264">
        <f>'[4]побудинковий звіт'!DA54</f>
        <v>18624.800673710968</v>
      </c>
      <c r="DB54" s="2">
        <v>2</v>
      </c>
      <c r="DC54" s="717">
        <f>'[4]побудинковий звіт'!DC54</f>
        <v>46249.99</v>
      </c>
      <c r="DD54" s="717">
        <f>'[4]побудинковий звіт'!DD54</f>
        <v>0</v>
      </c>
      <c r="DE54" s="717">
        <f>'[4]побудинковий звіт'!DE54</f>
        <v>28852.749999999996</v>
      </c>
      <c r="DF54" s="717">
        <f>'[4]побудинковий звіт'!DF54</f>
        <v>0</v>
      </c>
      <c r="DG54" s="787">
        <v>-83238.421227189654</v>
      </c>
      <c r="DH54" s="761">
        <f t="shared" si="39"/>
        <v>2504561.0400000005</v>
      </c>
      <c r="DI54" s="784"/>
      <c r="DJ54" s="5"/>
      <c r="DK54" s="317">
        <f>VLOOKUP($A54,ціни!$A$4:$G$401,5)</f>
        <v>5.4029260836942266</v>
      </c>
      <c r="DL54" s="317"/>
      <c r="DM54" s="317">
        <f>VLOOKUP($A54,ціни!$A$4:$G$401,7)</f>
        <v>4.7934303155311877</v>
      </c>
      <c r="DN54" s="30">
        <f t="shared" si="59"/>
        <v>20848.000732846729</v>
      </c>
      <c r="DO54" s="30">
        <f t="shared" si="60"/>
        <v>0</v>
      </c>
      <c r="DP54" s="316">
        <f t="shared" si="40"/>
        <v>20848.000732846729</v>
      </c>
      <c r="DQ54" s="104"/>
      <c r="DR54" s="30">
        <f>VLOOKUP(A54,'ДЗ нас '!$A$1:$C$359,2)</f>
        <v>17397.240000000002</v>
      </c>
      <c r="DS54" s="748"/>
      <c r="DT54" s="30">
        <f t="shared" si="41"/>
        <v>17397.240000000002</v>
      </c>
      <c r="DU54" s="257">
        <f>VLOOKUP(A54,'новий кошторис с 01.06'!$A$4:$AI$399,35)*1.2</f>
        <v>17512.36597928948</v>
      </c>
      <c r="DV54" s="30">
        <f t="shared" si="42"/>
        <v>-115.12597928947798</v>
      </c>
      <c r="DW54" s="930">
        <f>'[5]побудинковий звіт'!DW54+'[6]побудинковий звіт'!DW54</f>
        <v>236</v>
      </c>
      <c r="DY54" s="5">
        <f t="shared" si="9"/>
        <v>45375.647610184045</v>
      </c>
      <c r="DZ54" s="5">
        <f t="shared" si="10"/>
        <v>72837.599999999991</v>
      </c>
      <c r="EA54" s="752">
        <f t="shared" si="43"/>
        <v>28852.749999999996</v>
      </c>
      <c r="EC54" s="592">
        <f t="shared" si="11"/>
        <v>356604.01464669651</v>
      </c>
      <c r="EE54" s="758">
        <v>70903</v>
      </c>
      <c r="EF54" s="738">
        <f t="shared" si="12"/>
        <v>-12335.421227189654</v>
      </c>
      <c r="EH54" s="813">
        <v>49926.935857157107</v>
      </c>
    </row>
    <row r="55" spans="1:138" x14ac:dyDescent="0.3">
      <c r="A55" s="328">
        <v>150000512</v>
      </c>
      <c r="B55" s="44" t="s">
        <v>503</v>
      </c>
      <c r="C55" s="45" t="s">
        <v>250</v>
      </c>
      <c r="D55" s="45" t="s">
        <v>250</v>
      </c>
      <c r="E55" s="40">
        <f t="shared" si="3"/>
        <v>9922.34</v>
      </c>
      <c r="F55" s="490">
        <v>9788.74</v>
      </c>
      <c r="G55" s="30"/>
      <c r="H55" s="30">
        <v>133.6</v>
      </c>
      <c r="I55" s="42">
        <f>'[1]побудинковий звіт'!I55+'[2]побудинковий звіт'!I55-'[3]побудинковий звіт'!I55</f>
        <v>5398.6707531320189</v>
      </c>
      <c r="J55" s="42">
        <f>'[1]побудинковий звіт'!J55+'[2]побудинковий звіт'!J55-'[3]побудинковий звіт'!J55</f>
        <v>5400.7567289989402</v>
      </c>
      <c r="K55" s="56">
        <f t="shared" si="13"/>
        <v>2.0859758669212169</v>
      </c>
      <c r="L55" s="42">
        <f>'[1]побудинковий звіт'!L55+'[2]побудинковий звіт'!L55-'[3]побудинковий звіт'!L55</f>
        <v>1169.6777380312424</v>
      </c>
      <c r="M55" s="42">
        <f>'[1]побудинковий звіт'!M55+'[2]побудинковий звіт'!M55-'[3]побудинковий звіт'!M55</f>
        <v>1180.1539378985581</v>
      </c>
      <c r="N55" s="56">
        <f t="shared" si="14"/>
        <v>10.4761998673157</v>
      </c>
      <c r="O55" s="42">
        <f>'[1]побудинковий звіт'!O55+'[2]побудинковий звіт'!O55-'[3]побудинковий звіт'!O55</f>
        <v>2341.92</v>
      </c>
      <c r="P55" s="42">
        <f>'[1]побудинковий звіт'!P55+'[2]побудинковий звіт'!P55-'[3]побудинковий звіт'!P55</f>
        <v>1840.8134696236557</v>
      </c>
      <c r="Q55" s="56">
        <f t="shared" si="15"/>
        <v>-501.10653037634438</v>
      </c>
      <c r="R55" s="42">
        <f>'[1]побудинковий звіт'!R55+'[2]побудинковий звіт'!R55-'[3]побудинковий звіт'!R55</f>
        <v>0</v>
      </c>
      <c r="S55" s="42">
        <f>'[1]побудинковий звіт'!S55+'[2]побудинковий звіт'!S55-'[3]побудинковий звіт'!S55</f>
        <v>0</v>
      </c>
      <c r="T55" s="56">
        <f t="shared" si="16"/>
        <v>0</v>
      </c>
      <c r="U55" s="42">
        <f>'[1]побудинковий звіт'!U55+'[2]побудинковий звіт'!U55-'[3]побудинковий звіт'!U55</f>
        <v>0</v>
      </c>
      <c r="V55" s="42">
        <f>'[1]побудинковий звіт'!V55+'[2]побудинковий звіт'!V55-'[3]побудинковий звіт'!V55</f>
        <v>0</v>
      </c>
      <c r="W55" s="56">
        <f t="shared" si="17"/>
        <v>0</v>
      </c>
      <c r="X55" s="42">
        <f>'[1]побудинковий звіт'!X55+'[2]побудинковий звіт'!X55-'[3]побудинковий звіт'!X55</f>
        <v>3290.8743777185382</v>
      </c>
      <c r="Y55" s="42">
        <f>'[1]побудинковий звіт'!Y55+'[2]побудинковий звіт'!Y55-'[3]побудинковий звіт'!Y55</f>
        <v>2498.8476498540922</v>
      </c>
      <c r="Z55" s="56">
        <f t="shared" si="18"/>
        <v>-792.026727864446</v>
      </c>
      <c r="AA55" s="42">
        <f>'[1]побудинковий звіт'!AA55+'[2]побудинковий звіт'!AA55-'[3]побудинковий звіт'!AA55</f>
        <v>0</v>
      </c>
      <c r="AB55" s="42">
        <f>'[1]побудинковий звіт'!AB55+'[2]побудинковий звіт'!AB55-'[3]побудинковий звіт'!AB55</f>
        <v>0</v>
      </c>
      <c r="AC55" s="56">
        <f t="shared" si="19"/>
        <v>0</v>
      </c>
      <c r="AD55" s="42">
        <f>'[1]побудинковий звіт'!AD55+'[2]побудинковий звіт'!AD55-'[3]побудинковий звіт'!AD55</f>
        <v>8003.0738806979707</v>
      </c>
      <c r="AE55" s="42">
        <f>'[1]побудинковий звіт'!AE55+'[2]побудинковий звіт'!AE55-'[3]побудинковий звіт'!AE55</f>
        <v>7376.243219546669</v>
      </c>
      <c r="AF55" s="37">
        <f t="shared" si="20"/>
        <v>-626.83066115130168</v>
      </c>
      <c r="AG55" s="87">
        <f t="shared" si="4"/>
        <v>20204.216749579769</v>
      </c>
      <c r="AH55" s="57">
        <f t="shared" si="4"/>
        <v>18296.815005921915</v>
      </c>
      <c r="AI55" s="56">
        <f t="shared" si="21"/>
        <v>-1907.4017436578542</v>
      </c>
      <c r="AJ55" s="42">
        <f>'[1]побудинковий звіт'!AJ55+'[2]побудинковий звіт'!AJ55-'[3]побудинковий звіт'!AJ55</f>
        <v>0</v>
      </c>
      <c r="AK55" s="42">
        <f>'[1]побудинковий звіт'!AK55+'[2]побудинковий звіт'!AK55-'[3]побудинковий звіт'!AK55</f>
        <v>0</v>
      </c>
      <c r="AL55" s="56">
        <f t="shared" si="22"/>
        <v>0</v>
      </c>
      <c r="AM55" s="42">
        <f>'[1]побудинковий звіт'!AM55+'[2]побудинковий звіт'!AM55-'[3]побудинковий звіт'!AM55</f>
        <v>0</v>
      </c>
      <c r="AN55" s="42">
        <f>'[1]побудинковий звіт'!AN55+'[2]побудинковий звіт'!AN55-'[3]побудинковий звіт'!AN55</f>
        <v>0</v>
      </c>
      <c r="AO55" s="56">
        <f t="shared" si="23"/>
        <v>0</v>
      </c>
      <c r="AP55" s="42">
        <f>'[1]побудинковий звіт'!AP55+'[2]побудинковий звіт'!AP55-'[3]побудинковий звіт'!AP55</f>
        <v>5255.9479180597573</v>
      </c>
      <c r="AQ55" s="42">
        <f>'[1]побудинковий звіт'!AQ55+'[2]побудинковий звіт'!AQ55-'[3]побудинковий звіт'!AQ55</f>
        <v>4644.0074804087153</v>
      </c>
      <c r="AR55" s="56">
        <f t="shared" si="24"/>
        <v>-611.94043765104198</v>
      </c>
      <c r="AS55" s="42">
        <f>'[1]побудинковий звіт'!AS55+'[2]побудинковий звіт'!AS55-'[3]побудинковий звіт'!AS55</f>
        <v>19218.421367202016</v>
      </c>
      <c r="AT55" s="42">
        <f>'[1]побудинковий звіт'!AT55+'[2]побудинковий звіт'!AT55-'[3]побудинковий звіт'!AT55</f>
        <v>3536</v>
      </c>
      <c r="AU55" s="58">
        <f t="shared" si="44"/>
        <v>-15682.421367202016</v>
      </c>
      <c r="AV55" s="42">
        <f>'[1]побудинковий звіт'!AV55+'[2]побудинковий звіт'!AV55-'[3]побудинковий звіт'!AV55</f>
        <v>847.14809329777677</v>
      </c>
      <c r="AW55" s="42">
        <f>'[1]побудинковий звіт'!AW55+'[2]побудинковий звіт'!AW55-'[3]побудинковий звіт'!AW55</f>
        <v>0</v>
      </c>
      <c r="AX55" s="59">
        <f t="shared" si="45"/>
        <v>-847.14809329777677</v>
      </c>
      <c r="AY55" s="42">
        <f>'[1]побудинковий звіт'!AY55+'[2]побудинковий звіт'!AY55-'[3]побудинковий звіт'!AY55</f>
        <v>1507.5776722241242</v>
      </c>
      <c r="AZ55" s="42">
        <f>'[1]побудинковий звіт'!AZ55+'[2]побудинковий звіт'!AZ55-'[3]побудинковий звіт'!AZ55</f>
        <v>0</v>
      </c>
      <c r="BA55" s="37">
        <f t="shared" si="46"/>
        <v>-1507.5776722241242</v>
      </c>
      <c r="BB55" s="42">
        <f>'[1]побудинковий звіт'!BB55+'[2]побудинковий звіт'!BB55-'[3]побудинковий звіт'!BB55</f>
        <v>1433.4987980214655</v>
      </c>
      <c r="BC55" s="42">
        <f>'[1]побудинковий звіт'!BC55+'[2]побудинковий звіт'!BC55-'[3]побудинковий звіт'!BC55</f>
        <v>0</v>
      </c>
      <c r="BD55" s="59">
        <f t="shared" si="47"/>
        <v>-1433.4987980214655</v>
      </c>
      <c r="BE55" s="42">
        <f>'[1]побудинковий звіт'!BE55+'[2]побудинковий звіт'!BE55-'[3]побудинковий звіт'!BE55</f>
        <v>0</v>
      </c>
      <c r="BF55" s="42">
        <f>'[1]побудинковий звіт'!BF55+'[2]побудинковий звіт'!BF55-'[3]побудинковий звіт'!BF55</f>
        <v>0</v>
      </c>
      <c r="BG55" s="39">
        <f t="shared" si="48"/>
        <v>0</v>
      </c>
      <c r="BH55" s="42">
        <f>'[1]побудинковий звіт'!BH55+'[2]побудинковий звіт'!BH55-'[3]побудинковий звіт'!BH55</f>
        <v>0</v>
      </c>
      <c r="BI55" s="42">
        <f>'[1]побудинковий звіт'!BI55+'[2]побудинковий звіт'!BI55-'[3]побудинковий звіт'!BI55</f>
        <v>0</v>
      </c>
      <c r="BJ55" s="59">
        <f t="shared" si="49"/>
        <v>0</v>
      </c>
      <c r="BK55" s="42">
        <f>'[1]побудинковий звіт'!BK55+'[2]побудинковий звіт'!BK55-'[3]побудинковий звіт'!BK55</f>
        <v>420.23637517991403</v>
      </c>
      <c r="BL55" s="42">
        <f>'[1]побудинковий звіт'!BL55+'[2]побудинковий звіт'!BL55-'[3]побудинковий звіт'!BL55</f>
        <v>776.00711134960898</v>
      </c>
      <c r="BM55" s="39">
        <f t="shared" si="50"/>
        <v>355.77073616969494</v>
      </c>
      <c r="BN55" s="42">
        <f>'[1]побудинковий звіт'!BN55+'[2]побудинковий звіт'!BN55-'[3]побудинковий звіт'!BN55</f>
        <v>0</v>
      </c>
      <c r="BO55" s="42">
        <f>'[1]побудинковий звіт'!BO55+'[2]побудинковий звіт'!BO55-'[3]побудинковий звіт'!BO55</f>
        <v>0</v>
      </c>
      <c r="BP55" s="59">
        <f t="shared" si="51"/>
        <v>0</v>
      </c>
      <c r="BQ55" s="87">
        <f t="shared" si="57"/>
        <v>4208.4609387232804</v>
      </c>
      <c r="BR55" s="43">
        <f t="shared" si="58"/>
        <v>776.00711134960898</v>
      </c>
      <c r="BS55" s="59">
        <f t="shared" si="52"/>
        <v>-3432.4538273736716</v>
      </c>
      <c r="BT55" s="42">
        <f>'[1]побудинковий звіт'!BT55+'[2]побудинковий звіт'!BT55-'[3]побудинковий звіт'!BT55</f>
        <v>11102.04523862622</v>
      </c>
      <c r="BU55" s="42">
        <f>'[1]побудинковий звіт'!BU55+'[2]побудинковий звіт'!BU55-'[3]побудинковий звіт'!BU55</f>
        <v>17311.681404392995</v>
      </c>
      <c r="BV55" s="56">
        <f t="shared" si="25"/>
        <v>6209.6361657667749</v>
      </c>
      <c r="BW55" s="42">
        <f>'[1]побудинковий звіт'!BW55+'[2]побудинковий звіт'!BW55-'[3]побудинковий звіт'!BW55</f>
        <v>8006.1689467443148</v>
      </c>
      <c r="BX55" s="42">
        <f>'[1]побудинковий звіт'!BX55+'[2]побудинковий звіт'!BX55-'[3]побудинковий звіт'!BX55</f>
        <v>8625.2699693378581</v>
      </c>
      <c r="BY55" s="56">
        <f t="shared" si="26"/>
        <v>619.10102259354335</v>
      </c>
      <c r="BZ55" s="42">
        <f>'[1]побудинковий звіт'!BZ55+'[2]побудинковий звіт'!BZ55-'[3]побудинковий звіт'!BZ55</f>
        <v>6481.3467548863882</v>
      </c>
      <c r="CA55" s="42">
        <f>'[1]побудинковий звіт'!CA55+'[2]побудинковий звіт'!CA55-'[3]побудинковий звіт'!CA55</f>
        <v>6858.6148339430256</v>
      </c>
      <c r="CB55" s="56">
        <f t="shared" si="27"/>
        <v>377.26807905663736</v>
      </c>
      <c r="CC55" s="42">
        <f>'[1]побудинковий звіт'!CC55+'[2]побудинковий звіт'!CC55-'[3]побудинковий звіт'!CC55</f>
        <v>521.7911232967532</v>
      </c>
      <c r="CD55" s="42">
        <f>'[1]побудинковий звіт'!CD55+'[2]побудинковий звіт'!CD55-'[3]побудинковий звіт'!CD55</f>
        <v>517.20182284631824</v>
      </c>
      <c r="CE55" s="56">
        <f t="shared" si="28"/>
        <v>-4.5893004504349619</v>
      </c>
      <c r="CF55" s="42">
        <f>'[1]побудинковий звіт'!CF55+'[2]побудинковий звіт'!CF55-'[3]побудинковий звіт'!CF55</f>
        <v>64.23564964827456</v>
      </c>
      <c r="CG55" s="42">
        <f>'[1]побудинковий звіт'!CG55+'[2]побудинковий звіт'!CG55-'[3]побудинковий звіт'!CG55</f>
        <v>0</v>
      </c>
      <c r="CH55" s="56">
        <f t="shared" si="29"/>
        <v>-64.23564964827456</v>
      </c>
      <c r="CI55" s="42">
        <f>'[1]побудинковий звіт'!CI55+'[2]побудинковий звіт'!CI55-'[3]побудинковий звіт'!CI55</f>
        <v>4323.7483159313824</v>
      </c>
      <c r="CJ55" s="42">
        <f>'[1]побудинковий звіт'!CJ55+'[2]побудинковий звіт'!CJ55-'[3]побудинковий звіт'!CJ55</f>
        <v>3660.1316072066488</v>
      </c>
      <c r="CK55" s="56">
        <f t="shared" si="30"/>
        <v>-663.6167087247336</v>
      </c>
      <c r="CL55" s="42">
        <f>'[1]побудинковий звіт'!CL55+'[2]побудинковий звіт'!CL55-'[3]побудинковий звіт'!CL55</f>
        <v>0</v>
      </c>
      <c r="CM55" s="42">
        <f>'[1]побудинковий звіт'!CM55+'[2]побудинковий звіт'!CM55-'[3]побудинковий звіт'!CM55</f>
        <v>0</v>
      </c>
      <c r="CN55" s="56">
        <f t="shared" si="31"/>
        <v>0</v>
      </c>
      <c r="CO55" s="42">
        <f t="shared" si="7"/>
        <v>4323.7483159313824</v>
      </c>
      <c r="CP55" s="43">
        <f t="shared" si="32"/>
        <v>3660.1316072066488</v>
      </c>
      <c r="CQ55" s="56">
        <f t="shared" si="33"/>
        <v>-663.6167087247336</v>
      </c>
      <c r="CR55" s="78">
        <f t="shared" si="8"/>
        <v>79386.38300269816</v>
      </c>
      <c r="CS55" s="5">
        <f t="shared" si="8"/>
        <v>64225.729235407096</v>
      </c>
      <c r="CT55" s="56">
        <f t="shared" si="34"/>
        <v>-15160.653767291064</v>
      </c>
      <c r="CU55" s="87">
        <f t="shared" si="35"/>
        <v>95263.659603237786</v>
      </c>
      <c r="CV55" s="70">
        <f t="shared" si="36"/>
        <v>77070.875082488506</v>
      </c>
      <c r="CW55" s="37">
        <f t="shared" si="37"/>
        <v>-18192.784520749279</v>
      </c>
      <c r="CX55" s="42">
        <f>'[1]побудинковий звіт'!CX55+'[2]побудинковий звіт'!CX55-'[3]побудинковий звіт'!CX55</f>
        <v>4749.6603967622286</v>
      </c>
      <c r="CY55" s="42">
        <f>'[1]побудинковий звіт'!CY55+'[2]побудинковий звіт'!CY55-'[3]побудинковий звіт'!CY55</f>
        <v>22942.444917511511</v>
      </c>
      <c r="CZ55" s="56">
        <f t="shared" si="38"/>
        <v>18192.784520749283</v>
      </c>
      <c r="DA55" s="264">
        <f>'[4]побудинковий звіт'!DA55</f>
        <v>-4970.1145010815908</v>
      </c>
      <c r="DB55" s="2">
        <v>2</v>
      </c>
      <c r="DC55" s="717">
        <f>'[4]побудинковий звіт'!DC55</f>
        <v>36760.78</v>
      </c>
      <c r="DD55" s="717">
        <f>'[4]побудинковий звіт'!DD55</f>
        <v>-151.63</v>
      </c>
      <c r="DE55" s="717">
        <f>'[4]побудинковий звіт'!DE55</f>
        <v>28957.93</v>
      </c>
      <c r="DF55" s="717">
        <f>'[4]побудинковий звіт'!DF55</f>
        <v>-686.59</v>
      </c>
      <c r="DG55" s="787">
        <v>24043.923270895117</v>
      </c>
      <c r="DH55" s="761">
        <f t="shared" si="39"/>
        <v>1200159.8400000001</v>
      </c>
      <c r="DI55" s="784"/>
      <c r="DJ55" s="5"/>
      <c r="DK55" s="317">
        <f>VLOOKUP($A55,ціни!$A$4:$G$401,5)</f>
        <v>4.4879986430011209</v>
      </c>
      <c r="DL55" s="317"/>
      <c r="DM55" s="317">
        <f>VLOOKUP($A55,ціни!$A$4:$G$401,7)</f>
        <v>4.0043396248731922</v>
      </c>
      <c r="DN55" s="30">
        <f t="shared" si="59"/>
        <v>43931.851836690788</v>
      </c>
      <c r="DO55" s="30">
        <f t="shared" si="60"/>
        <v>534.97977388305844</v>
      </c>
      <c r="DP55" s="316">
        <f t="shared" si="40"/>
        <v>44466.831610573849</v>
      </c>
      <c r="DQ55" s="104"/>
      <c r="DR55" s="30">
        <f>VLOOKUP(A55,'ДЗ нас '!$A$1:$C$359,2)</f>
        <v>7802.85</v>
      </c>
      <c r="DS55" s="748">
        <f>VLOOKUP(A55,'ДЗ нежит'!$A$1:$D$153,4,0)</f>
        <v>534.96</v>
      </c>
      <c r="DT55" s="30">
        <f t="shared" si="41"/>
        <v>8337.8100000000013</v>
      </c>
      <c r="DU55" s="257">
        <f>VLOOKUP(A55,'новий кошторис с 01.06'!$A$4:$AI$399,35)*1.2</f>
        <v>8414.956598286004</v>
      </c>
      <c r="DV55" s="30">
        <f t="shared" si="42"/>
        <v>-77.1465982860027</v>
      </c>
      <c r="DW55" s="930">
        <f>'[5]побудинковий звіт'!DW55+'[6]побудинковий звіт'!DW55</f>
        <v>204</v>
      </c>
      <c r="DY55" s="5">
        <f t="shared" si="9"/>
        <v>28112.258767110357</v>
      </c>
      <c r="DZ55" s="5">
        <f t="shared" si="10"/>
        <v>5174.4085336195303</v>
      </c>
      <c r="EA55" s="752">
        <f t="shared" si="43"/>
        <v>28271.34</v>
      </c>
      <c r="EC55" s="592">
        <f t="shared" si="11"/>
        <v>230621.05640642421</v>
      </c>
      <c r="EE55" s="758">
        <v>4010</v>
      </c>
      <c r="EF55" s="738">
        <f t="shared" si="12"/>
        <v>28053.923270895117</v>
      </c>
      <c r="EH55" s="813">
        <v>12582.260116757532</v>
      </c>
    </row>
    <row r="56" spans="1:138" x14ac:dyDescent="0.3">
      <c r="A56" s="328">
        <v>150000513</v>
      </c>
      <c r="B56" s="44" t="s">
        <v>504</v>
      </c>
      <c r="C56" s="45" t="s">
        <v>333</v>
      </c>
      <c r="D56" s="45" t="s">
        <v>333</v>
      </c>
      <c r="E56" s="40">
        <f t="shared" si="3"/>
        <v>8063.9</v>
      </c>
      <c r="F56" s="490">
        <v>6581.9</v>
      </c>
      <c r="G56" s="30"/>
      <c r="H56" s="30">
        <v>1482</v>
      </c>
      <c r="I56" s="42">
        <f>'[1]побудинковий звіт'!I56+'[2]побудинковий звіт'!I56-'[3]побудинковий звіт'!I56</f>
        <v>8080.5960136218973</v>
      </c>
      <c r="J56" s="42">
        <f>'[1]побудинковий звіт'!J56+'[2]побудинковий звіт'!J56-'[3]побудинковий звіт'!J56</f>
        <v>8128.5582496939824</v>
      </c>
      <c r="K56" s="56">
        <f t="shared" si="13"/>
        <v>47.962236072085034</v>
      </c>
      <c r="L56" s="42">
        <f>'[1]побудинковий звіт'!L56+'[2]побудинковий звіт'!L56-'[3]побудинковий звіт'!L56</f>
        <v>1617.6674237199711</v>
      </c>
      <c r="M56" s="42">
        <f>'[1]побудинковий звіт'!M56+'[2]побудинковий звіт'!M56-'[3]побудинковий звіт'!M56</f>
        <v>1655.9517529213467</v>
      </c>
      <c r="N56" s="56">
        <f t="shared" si="14"/>
        <v>38.284329201375613</v>
      </c>
      <c r="O56" s="42">
        <f>'[1]побудинковий звіт'!O56+'[2]побудинковий звіт'!O56-'[3]побудинковий звіт'!O56</f>
        <v>5555.3999999999987</v>
      </c>
      <c r="P56" s="42">
        <f>'[1]побудинковий звіт'!P56+'[2]побудинковий звіт'!P56-'[3]побудинковий звіт'!P56</f>
        <v>4366.5928951612896</v>
      </c>
      <c r="Q56" s="56">
        <f t="shared" si="15"/>
        <v>-1188.8071048387092</v>
      </c>
      <c r="R56" s="42">
        <f>'[1]побудинковий звіт'!R56+'[2]побудинковий звіт'!R56-'[3]побудинковий звіт'!R56</f>
        <v>1164.7199999999998</v>
      </c>
      <c r="S56" s="42">
        <f>'[1]побудинковий звіт'!S56+'[2]побудинковий звіт'!S56-'[3]побудинковий звіт'!S56</f>
        <v>915.50906021505409</v>
      </c>
      <c r="T56" s="56">
        <f t="shared" si="16"/>
        <v>-249.21093978494571</v>
      </c>
      <c r="U56" s="42">
        <f>'[1]побудинковий звіт'!U56+'[2]побудинковий звіт'!U56-'[3]побудинковий звіт'!U56</f>
        <v>407.92272187872214</v>
      </c>
      <c r="V56" s="42">
        <f>'[1]побудинковий звіт'!V56+'[2]побудинковий звіт'!V56-'[3]побудинковий звіт'!V56</f>
        <v>1088.2323321337269</v>
      </c>
      <c r="W56" s="56">
        <f t="shared" si="17"/>
        <v>680.30961025500483</v>
      </c>
      <c r="X56" s="42">
        <f>'[1]побудинковий звіт'!X56+'[2]побудинковий звіт'!X56-'[3]побудинковий звіт'!X56</f>
        <v>3993.0412032165264</v>
      </c>
      <c r="Y56" s="42">
        <f>'[1]побудинковий звіт'!Y56+'[2]побудинковий звіт'!Y56-'[3]побудинковий звіт'!Y56</f>
        <v>3161.110306596921</v>
      </c>
      <c r="Z56" s="56">
        <f t="shared" si="18"/>
        <v>-831.93089661960539</v>
      </c>
      <c r="AA56" s="42">
        <f>'[1]побудинковий звіт'!AA56+'[2]побудинковий звіт'!AA56-'[3]побудинковий звіт'!AA56</f>
        <v>0</v>
      </c>
      <c r="AB56" s="42">
        <f>'[1]побудинковий звіт'!AB56+'[2]побудинковий звіт'!AB56-'[3]побудинковий звіт'!AB56</f>
        <v>0</v>
      </c>
      <c r="AC56" s="56">
        <f t="shared" si="19"/>
        <v>0</v>
      </c>
      <c r="AD56" s="42">
        <f>'[1]побудинковий звіт'!AD56+'[2]побудинковий звіт'!AD56-'[3]побудинковий звіт'!AD56</f>
        <v>15521.268465530606</v>
      </c>
      <c r="AE56" s="42">
        <f>'[1]побудинковий звіт'!AE56+'[2]побудинковий звіт'!AE56-'[3]побудинковий звіт'!AE56</f>
        <v>14305.84975749375</v>
      </c>
      <c r="AF56" s="37">
        <f t="shared" si="20"/>
        <v>-1215.4187080368556</v>
      </c>
      <c r="AG56" s="87">
        <f t="shared" si="4"/>
        <v>36340.615827967726</v>
      </c>
      <c r="AH56" s="57">
        <f t="shared" si="4"/>
        <v>33621.804354216074</v>
      </c>
      <c r="AI56" s="56">
        <f t="shared" si="21"/>
        <v>-2718.8114737516516</v>
      </c>
      <c r="AJ56" s="42">
        <f>'[1]побудинковий звіт'!AJ56+'[2]побудинковий звіт'!AJ56-'[3]побудинковий звіт'!AJ56</f>
        <v>0</v>
      </c>
      <c r="AK56" s="42">
        <f>'[1]побудинковий звіт'!AK56+'[2]побудинковий звіт'!AK56-'[3]побудинковий звіт'!AK56</f>
        <v>0</v>
      </c>
      <c r="AL56" s="56">
        <f t="shared" si="22"/>
        <v>0</v>
      </c>
      <c r="AM56" s="42">
        <f>'[1]побудинковий звіт'!AM56+'[2]побудинковий звіт'!AM56-'[3]побудинковий звіт'!AM56</f>
        <v>0</v>
      </c>
      <c r="AN56" s="42">
        <f>'[1]побудинковий звіт'!AN56+'[2]побудинковий звіт'!AN56-'[3]побудинковий звіт'!AN56</f>
        <v>0</v>
      </c>
      <c r="AO56" s="56">
        <f t="shared" si="23"/>
        <v>0</v>
      </c>
      <c r="AP56" s="42">
        <f>'[1]побудинковий звіт'!AP56+'[2]побудинковий звіт'!AP56-'[3]побудинковий звіт'!AP56</f>
        <v>1231.1229357617449</v>
      </c>
      <c r="AQ56" s="42">
        <f>'[1]побудинковий звіт'!AQ56+'[2]побудинковий звіт'!AQ56-'[3]побудинковий звіт'!AQ56</f>
        <v>835.05964891686506</v>
      </c>
      <c r="AR56" s="56">
        <f t="shared" si="24"/>
        <v>-396.06328684487983</v>
      </c>
      <c r="AS56" s="42">
        <f>'[1]побудинковий звіт'!AS56+'[2]побудинковий звіт'!AS56-'[3]побудинковий звіт'!AS56</f>
        <v>47597.542873834485</v>
      </c>
      <c r="AT56" s="42">
        <f>'[1]побудинковий звіт'!AT56+'[2]побудинковий звіт'!AT56-'[3]побудинковий звіт'!AT56</f>
        <v>43018</v>
      </c>
      <c r="AU56" s="58">
        <f t="shared" si="44"/>
        <v>-4579.5428738344854</v>
      </c>
      <c r="AV56" s="42">
        <f>'[1]побудинковий звіт'!AV56+'[2]побудинковий звіт'!AV56-'[3]побудинковий звіт'!AV56</f>
        <v>1526.2000276066615</v>
      </c>
      <c r="AW56" s="42">
        <f>'[1]побудинковий звіт'!AW56+'[2]побудинковий звіт'!AW56-'[3]побудинковий звіт'!AW56</f>
        <v>1603</v>
      </c>
      <c r="AX56" s="59">
        <f t="shared" si="45"/>
        <v>76.799972393338521</v>
      </c>
      <c r="AY56" s="42">
        <f>'[1]побудинковий звіт'!AY56+'[2]побудинковий звіт'!AY56-'[3]побудинковий звіт'!AY56</f>
        <v>2085.0176936307607</v>
      </c>
      <c r="AZ56" s="42">
        <f>'[1]побудинковий звіт'!AZ56+'[2]побудинковий звіт'!AZ56-'[3]побудинковий звіт'!AZ56</f>
        <v>4830</v>
      </c>
      <c r="BA56" s="37">
        <f t="shared" si="46"/>
        <v>2744.9823063692393</v>
      </c>
      <c r="BB56" s="42">
        <f>'[1]побудинковий звіт'!BB56+'[2]побудинковий звіт'!BB56-'[3]побудинковий звіт'!BB56</f>
        <v>2571.9076560052531</v>
      </c>
      <c r="BC56" s="42">
        <f>'[1]побудинковий звіт'!BC56+'[2]побудинковий звіт'!BC56-'[3]побудинковий звіт'!BC56</f>
        <v>0</v>
      </c>
      <c r="BD56" s="59">
        <f t="shared" si="47"/>
        <v>-2571.9076560052531</v>
      </c>
      <c r="BE56" s="42">
        <f>'[1]побудинковий звіт'!BE56+'[2]побудинковий звіт'!BE56-'[3]побудинковий звіт'!BE56</f>
        <v>984.69261566631781</v>
      </c>
      <c r="BF56" s="42">
        <f>'[1]побудинковий звіт'!BF56+'[2]побудинковий звіт'!BF56-'[3]побудинковий звіт'!BF56</f>
        <v>0</v>
      </c>
      <c r="BG56" s="39">
        <f t="shared" si="48"/>
        <v>-984.69261566631781</v>
      </c>
      <c r="BH56" s="42">
        <f>'[1]побудинковий звіт'!BH56+'[2]побудинковий звіт'!BH56-'[3]побудинковий звіт'!BH56</f>
        <v>413.87553964728585</v>
      </c>
      <c r="BI56" s="42">
        <f>'[1]побудинковий звіт'!BI56+'[2]побудинковий звіт'!BI56-'[3]побудинковий звіт'!BI56</f>
        <v>0</v>
      </c>
      <c r="BJ56" s="59">
        <f t="shared" si="49"/>
        <v>-413.87553964728585</v>
      </c>
      <c r="BK56" s="42">
        <f>'[1]побудинковий звіт'!BK56+'[2]побудинковий звіт'!BK56-'[3]побудинковий звіт'!BK56</f>
        <v>442.51900014871444</v>
      </c>
      <c r="BL56" s="42">
        <f>'[1]побудинковий звіт'!BL56+'[2]побудинковий звіт'!BL56-'[3]побудинковий звіт'!BL56</f>
        <v>17224</v>
      </c>
      <c r="BM56" s="39">
        <f t="shared" si="50"/>
        <v>16781.480999851286</v>
      </c>
      <c r="BN56" s="42">
        <f>'[1]побудинковий звіт'!BN56+'[2]побудинковий звіт'!BN56-'[3]побудинковий звіт'!BN56</f>
        <v>0</v>
      </c>
      <c r="BO56" s="42">
        <f>'[1]побудинковий звіт'!BO56+'[2]побудинковий звіт'!BO56-'[3]побудинковий звіт'!BO56</f>
        <v>0</v>
      </c>
      <c r="BP56" s="59">
        <f t="shared" si="51"/>
        <v>0</v>
      </c>
      <c r="BQ56" s="87">
        <f t="shared" si="57"/>
        <v>8024.2125327049935</v>
      </c>
      <c r="BR56" s="43">
        <f t="shared" si="58"/>
        <v>23657</v>
      </c>
      <c r="BS56" s="59">
        <f t="shared" si="52"/>
        <v>15632.787467295006</v>
      </c>
      <c r="BT56" s="42">
        <f>'[1]побудинковий звіт'!BT56+'[2]побудинковий звіт'!BT56-'[3]побудинковий звіт'!BT56</f>
        <v>13707.650998783396</v>
      </c>
      <c r="BU56" s="42">
        <f>'[1]побудинковий звіт'!BU56+'[2]побудинковий звіт'!BU56-'[3]побудинковий звіт'!BU56</f>
        <v>22531.794754841467</v>
      </c>
      <c r="BV56" s="56">
        <f t="shared" si="25"/>
        <v>8824.1437560580707</v>
      </c>
      <c r="BW56" s="42">
        <f>'[1]побудинковий звіт'!BW56+'[2]побудинковий звіт'!BW56-'[3]побудинковий звіт'!BW56</f>
        <v>15849.385908564862</v>
      </c>
      <c r="BX56" s="42">
        <f>'[1]побудинковий звіт'!BX56+'[2]побудинковий звіт'!BX56-'[3]побудинковий звіт'!BX56</f>
        <v>16799.094696407861</v>
      </c>
      <c r="BY56" s="56">
        <f t="shared" si="26"/>
        <v>949.7087878429993</v>
      </c>
      <c r="BZ56" s="42">
        <f>'[1]побудинковий звіт'!BZ56+'[2]побудинковий звіт'!BZ56-'[3]побудинковий звіт'!BZ56</f>
        <v>8620.8611031469463</v>
      </c>
      <c r="CA56" s="42">
        <f>'[1]побудинковий звіт'!CA56+'[2]побудинковий звіт'!CA56-'[3]побудинковий звіт'!CA56</f>
        <v>7937.6520761783868</v>
      </c>
      <c r="CB56" s="56">
        <f t="shared" si="27"/>
        <v>-683.20902696855956</v>
      </c>
      <c r="CC56" s="42">
        <f>'[1]побудинковий звіт'!CC56+'[2]побудинковий звіт'!CC56-'[3]побудинковий звіт'!CC56</f>
        <v>0</v>
      </c>
      <c r="CD56" s="42">
        <f>'[1]побудинковий звіт'!CD56+'[2]побудинковий звіт'!CD56-'[3]побудинковий звіт'!CD56</f>
        <v>0</v>
      </c>
      <c r="CE56" s="56">
        <f t="shared" si="28"/>
        <v>0</v>
      </c>
      <c r="CF56" s="42">
        <f>'[1]побудинковий звіт'!CF56+'[2]побудинковий звіт'!CF56-'[3]побудинковий звіт'!CF56</f>
        <v>0</v>
      </c>
      <c r="CG56" s="42">
        <f>'[1]побудинковий звіт'!CG56+'[2]побудинковий звіт'!CG56-'[3]побудинковий звіт'!CG56</f>
        <v>0</v>
      </c>
      <c r="CH56" s="56">
        <f t="shared" si="29"/>
        <v>0</v>
      </c>
      <c r="CI56" s="42">
        <f>'[1]побудинковий звіт'!CI56+'[2]побудинковий звіт'!CI56-'[3]побудинковий звіт'!CI56</f>
        <v>2470.7133233893619</v>
      </c>
      <c r="CJ56" s="42">
        <f>'[1]побудинковий звіт'!CJ56+'[2]побудинковий звіт'!CJ56-'[3]побудинковий звіт'!CJ56</f>
        <v>4456.83555834033</v>
      </c>
      <c r="CK56" s="56">
        <f t="shared" si="30"/>
        <v>1986.122234950968</v>
      </c>
      <c r="CL56" s="42">
        <f>'[1]побудинковий звіт'!CL56+'[2]побудинковий звіт'!CL56-'[3]побудинковий звіт'!CL56</f>
        <v>0</v>
      </c>
      <c r="CM56" s="42">
        <f>'[1]побудинковий звіт'!CM56+'[2]побудинковий звіт'!CM56-'[3]побудинковий звіт'!CM56</f>
        <v>0</v>
      </c>
      <c r="CN56" s="56">
        <f t="shared" si="31"/>
        <v>0</v>
      </c>
      <c r="CO56" s="42">
        <f t="shared" si="7"/>
        <v>2470.7133233893619</v>
      </c>
      <c r="CP56" s="43">
        <f t="shared" si="32"/>
        <v>4456.83555834033</v>
      </c>
      <c r="CQ56" s="56">
        <f t="shared" si="33"/>
        <v>1986.122234950968</v>
      </c>
      <c r="CR56" s="78">
        <f t="shared" si="8"/>
        <v>133842.1055041535</v>
      </c>
      <c r="CS56" s="5">
        <f t="shared" si="8"/>
        <v>152857.24108890098</v>
      </c>
      <c r="CT56" s="56">
        <f t="shared" si="34"/>
        <v>19015.135584747477</v>
      </c>
      <c r="CU56" s="87">
        <f t="shared" si="35"/>
        <v>160610.52660498419</v>
      </c>
      <c r="CV56" s="70">
        <f t="shared" si="36"/>
        <v>183428.68930668116</v>
      </c>
      <c r="CW56" s="37">
        <f t="shared" si="37"/>
        <v>22818.162701696972</v>
      </c>
      <c r="CX56" s="42">
        <f>'[1]побудинковий звіт'!CX56+'[2]побудинковий звіт'!CX56-'[3]побудинковий звіт'!CX56</f>
        <v>4017.1133950157964</v>
      </c>
      <c r="CY56" s="42">
        <f>'[1]побудинковий звіт'!CY56+'[2]побудинковий звіт'!CY56-'[3]побудинковий звіт'!CY56</f>
        <v>-18801.049306681158</v>
      </c>
      <c r="CZ56" s="56">
        <f t="shared" si="38"/>
        <v>-22818.162701696954</v>
      </c>
      <c r="DA56" s="264">
        <f>'[4]побудинковий звіт'!DA56</f>
        <v>-23038.095386083856</v>
      </c>
      <c r="DB56" s="2">
        <v>2</v>
      </c>
      <c r="DC56" s="717">
        <f>'[4]побудинковий звіт'!DC56</f>
        <v>49025.09</v>
      </c>
      <c r="DD56" s="717">
        <f>'[4]побудинковий звіт'!DD56</f>
        <v>2131.9699999999998</v>
      </c>
      <c r="DE56" s="717">
        <f>'[4]побудинковий звіт'!DE56</f>
        <v>40243.839999999997</v>
      </c>
      <c r="DF56" s="717">
        <f>'[4]побудинковий звіт'!DF56</f>
        <v>-2805.7500000000005</v>
      </c>
      <c r="DG56" s="787">
        <v>-14731.985914494726</v>
      </c>
      <c r="DH56" s="761">
        <f t="shared" si="39"/>
        <v>1975531.6799999997</v>
      </c>
      <c r="DI56" s="784"/>
      <c r="DJ56" s="5"/>
      <c r="DK56" s="317">
        <f>VLOOKUP($A56,ціни!$A$4:$G$401,5)</f>
        <v>4.0880641528656323</v>
      </c>
      <c r="DL56" s="317"/>
      <c r="DM56" s="317">
        <f>VLOOKUP($A56,ціни!$A$4:$G$401,7)</f>
        <v>3.3317503467073935</v>
      </c>
      <c r="DN56" s="30">
        <f t="shared" si="59"/>
        <v>26907.229447746304</v>
      </c>
      <c r="DO56" s="30">
        <f t="shared" si="60"/>
        <v>4937.6540138203572</v>
      </c>
      <c r="DP56" s="316">
        <f t="shared" si="40"/>
        <v>31844.88346156666</v>
      </c>
      <c r="DQ56" s="104"/>
      <c r="DR56" s="30">
        <f>VLOOKUP(A56,'ДЗ нас '!$A$1:$C$359,2)</f>
        <v>8781.25</v>
      </c>
      <c r="DS56" s="748">
        <f>VLOOKUP(A56,'ДЗ нежит'!$A$1:$D$153,4,0)</f>
        <v>4937.72</v>
      </c>
      <c r="DT56" s="30">
        <f t="shared" si="41"/>
        <v>13718.970000000001</v>
      </c>
      <c r="DU56" s="257">
        <f>VLOOKUP(A56,'новий кошторис с 01.06'!$A$4:$AI$399,35)*1.2</f>
        <v>13785.736866927813</v>
      </c>
      <c r="DV56" s="30">
        <f t="shared" si="42"/>
        <v>-66.766866927811861</v>
      </c>
      <c r="DW56" s="930">
        <f>'[5]побудинковий звіт'!DW56+'[6]побудинковий звіт'!DW56</f>
        <v>204</v>
      </c>
      <c r="DY56" s="5">
        <f t="shared" si="9"/>
        <v>66746.10648784737</v>
      </c>
      <c r="DZ56" s="5">
        <f t="shared" si="10"/>
        <v>80010</v>
      </c>
      <c r="EA56" s="752">
        <f t="shared" si="43"/>
        <v>37438.089999999997</v>
      </c>
      <c r="EC56" s="592">
        <f t="shared" si="11"/>
        <v>571170.5144860138</v>
      </c>
      <c r="EE56" s="758">
        <v>-50391</v>
      </c>
      <c r="EF56" s="738">
        <f t="shared" si="12"/>
        <v>-65122.985914494726</v>
      </c>
      <c r="EH56" s="813">
        <v>-53568.822705524748</v>
      </c>
    </row>
    <row r="57" spans="1:138" x14ac:dyDescent="0.3">
      <c r="A57" s="328">
        <v>150000538</v>
      </c>
      <c r="B57" s="44" t="s">
        <v>505</v>
      </c>
      <c r="C57" s="45" t="s">
        <v>207</v>
      </c>
      <c r="D57" s="45" t="s">
        <v>207</v>
      </c>
      <c r="E57" s="40">
        <f t="shared" si="3"/>
        <v>3261</v>
      </c>
      <c r="F57" s="490">
        <v>3261</v>
      </c>
      <c r="G57" s="30"/>
      <c r="H57" s="30">
        <v>0</v>
      </c>
      <c r="I57" s="42">
        <f>'[1]побудинковий звіт'!I57+'[2]побудинковий звіт'!I57-'[3]побудинковий звіт'!I57</f>
        <v>4673.4706286176142</v>
      </c>
      <c r="J57" s="42">
        <f>'[1]побудинковий звіт'!J57+'[2]побудинковий звіт'!J57-'[3]побудинковий звіт'!J57</f>
        <v>4662.1418221145022</v>
      </c>
      <c r="K57" s="56">
        <f t="shared" si="13"/>
        <v>-11.328806503111991</v>
      </c>
      <c r="L57" s="42">
        <f>'[1]побудинковий звіт'!L57+'[2]побудинковий звіт'!L57-'[3]побудинковий звіт'!L57</f>
        <v>714.88796625585871</v>
      </c>
      <c r="M57" s="42">
        <f>'[1]побудинковий звіт'!M57+'[2]побудинковий звіт'!M57-'[3]побудинковий звіт'!M57</f>
        <v>721.28811382821073</v>
      </c>
      <c r="N57" s="56">
        <f t="shared" si="14"/>
        <v>6.4001475723520116</v>
      </c>
      <c r="O57" s="42">
        <f>'[1]побудинковий звіт'!O57+'[2]побудинковий звіт'!O57-'[3]побудинковий звіт'!O57</f>
        <v>2016.12</v>
      </c>
      <c r="P57" s="42">
        <f>'[1]побудинковий звіт'!P57+'[2]побудинковий звіт'!P57-'[3]побудинковий звіт'!P57</f>
        <v>1584.6698612903231</v>
      </c>
      <c r="Q57" s="56">
        <f t="shared" si="15"/>
        <v>-431.45013870967682</v>
      </c>
      <c r="R57" s="42">
        <f>'[1]побудинковий звіт'!R57+'[2]побудинковий звіт'!R57-'[3]побудинковий звіт'!R57</f>
        <v>0</v>
      </c>
      <c r="S57" s="42">
        <f>'[1]побудинковий звіт'!S57+'[2]побудинковий звіт'!S57-'[3]побудинковий звіт'!S57</f>
        <v>0</v>
      </c>
      <c r="T57" s="56">
        <f t="shared" si="16"/>
        <v>0</v>
      </c>
      <c r="U57" s="42">
        <f>'[1]побудинковий звіт'!U57+'[2]побудинковий звіт'!U57-'[3]побудинковий звіт'!U57</f>
        <v>0</v>
      </c>
      <c r="V57" s="42">
        <f>'[1]побудинковий звіт'!V57+'[2]побудинковий звіт'!V57-'[3]побудинковий звіт'!V57</f>
        <v>0</v>
      </c>
      <c r="W57" s="56">
        <f t="shared" si="17"/>
        <v>0</v>
      </c>
      <c r="X57" s="42">
        <f>'[1]побудинковий звіт'!X57+'[2]побудинковий звіт'!X57-'[3]побудинковий звіт'!X57</f>
        <v>2969.7558275587112</v>
      </c>
      <c r="Y57" s="42">
        <f>'[1]побудинковий звіт'!Y57+'[2]побудинковий звіт'!Y57-'[3]побудинковий звіт'!Y57</f>
        <v>2461.5033247438159</v>
      </c>
      <c r="Z57" s="56">
        <f t="shared" si="18"/>
        <v>-508.25250281489525</v>
      </c>
      <c r="AA57" s="42">
        <f>'[1]побудинковий звіт'!AA57+'[2]побудинковий звіт'!AA57-'[3]побудинковий звіт'!AA57</f>
        <v>0</v>
      </c>
      <c r="AB57" s="42">
        <f>'[1]побудинковий звіт'!AB57+'[2]побудинковий звіт'!AB57-'[3]побудинковий звіт'!AB57</f>
        <v>0</v>
      </c>
      <c r="AC57" s="56">
        <f t="shared" si="19"/>
        <v>0</v>
      </c>
      <c r="AD57" s="42">
        <f>'[1]побудинковий звіт'!AD57+'[2]побудинковий звіт'!AD57-'[3]побудинковий звіт'!AD57</f>
        <v>6282.4792717366727</v>
      </c>
      <c r="AE57" s="42">
        <f>'[1]побудинковий звіт'!AE57+'[2]побудинковий звіт'!AE57-'[3]побудинковий звіт'!AE57</f>
        <v>5790.4167963018153</v>
      </c>
      <c r="AF57" s="37">
        <f t="shared" si="20"/>
        <v>-492.06247543485733</v>
      </c>
      <c r="AG57" s="87">
        <f t="shared" si="4"/>
        <v>16656.713694168859</v>
      </c>
      <c r="AH57" s="57">
        <f t="shared" si="4"/>
        <v>15220.019918278667</v>
      </c>
      <c r="AI57" s="56">
        <f t="shared" si="21"/>
        <v>-1436.6937758901913</v>
      </c>
      <c r="AJ57" s="42">
        <f>'[1]побудинковий звіт'!AJ57+'[2]побудинковий звіт'!AJ57-'[3]побудинковий звіт'!AJ57</f>
        <v>0</v>
      </c>
      <c r="AK57" s="42">
        <f>'[1]побудинковий звіт'!AK57+'[2]побудинковий звіт'!AK57-'[3]побудинковий звіт'!AK57</f>
        <v>0</v>
      </c>
      <c r="AL57" s="56">
        <f t="shared" si="22"/>
        <v>0</v>
      </c>
      <c r="AM57" s="42">
        <f>'[1]побудинковий звіт'!AM57+'[2]побудинковий звіт'!AM57-'[3]побудинковий звіт'!AM57</f>
        <v>0</v>
      </c>
      <c r="AN57" s="42">
        <f>'[1]побудинковий звіт'!AN57+'[2]побудинковий звіт'!AN57-'[3]побудинковий звіт'!AN57</f>
        <v>0</v>
      </c>
      <c r="AO57" s="56">
        <f t="shared" si="23"/>
        <v>0</v>
      </c>
      <c r="AP57" s="42">
        <f>'[1]побудинковий звіт'!AP57+'[2]побудинковий звіт'!AP57-'[3]побудинковий звіт'!AP57</f>
        <v>6060.9129145193574</v>
      </c>
      <c r="AQ57" s="42">
        <f>'[1]побудинковий звіт'!AQ57+'[2]побудинковий звіт'!AQ57-'[3]побудинковий звіт'!AQ57</f>
        <v>4125.01039906809</v>
      </c>
      <c r="AR57" s="56">
        <f t="shared" si="24"/>
        <v>-1935.9025154512674</v>
      </c>
      <c r="AS57" s="42">
        <f>'[1]побудинковий звіт'!AS57+'[2]побудинковий звіт'!AS57-'[3]побудинковий звіт'!AS57</f>
        <v>15433.091090135724</v>
      </c>
      <c r="AT57" s="42">
        <f>'[1]побудинковий звіт'!AT57+'[2]побудинковий звіт'!AT57-'[3]побудинковий звіт'!AT57</f>
        <v>5308</v>
      </c>
      <c r="AU57" s="58">
        <f t="shared" si="44"/>
        <v>-10125.091090135724</v>
      </c>
      <c r="AV57" s="42">
        <f>'[1]побудинковий звіт'!AV57+'[2]побудинковий звіт'!AV57-'[3]побудинковий звіт'!AV57</f>
        <v>747.42372480879703</v>
      </c>
      <c r="AW57" s="42">
        <f>'[1]побудинковий звіт'!AW57+'[2]побудинковий звіт'!AW57-'[3]побудинковий звіт'!AW57</f>
        <v>0</v>
      </c>
      <c r="AX57" s="59">
        <f t="shared" si="45"/>
        <v>-747.42372480879703</v>
      </c>
      <c r="AY57" s="42">
        <f>'[1]побудинковий звіт'!AY57+'[2]побудинковий звіт'!AY57-'[3]побудинковий звіт'!AY57</f>
        <v>921.68889404320203</v>
      </c>
      <c r="AZ57" s="42">
        <f>'[1]побудинковий звіт'!AZ57+'[2]побудинковий звіт'!AZ57-'[3]побудинковий звіт'!AZ57</f>
        <v>0</v>
      </c>
      <c r="BA57" s="37">
        <f t="shared" si="46"/>
        <v>-921.68889404320203</v>
      </c>
      <c r="BB57" s="42">
        <f>'[1]побудинковий звіт'!BB57+'[2]побудинковий звіт'!BB57-'[3]побудинковий звіт'!BB57</f>
        <v>1124.3885378347391</v>
      </c>
      <c r="BC57" s="42">
        <f>'[1]побудинковий звіт'!BC57+'[2]побудинковий звіт'!BC57-'[3]побудинковий звіт'!BC57</f>
        <v>0</v>
      </c>
      <c r="BD57" s="59">
        <f t="shared" si="47"/>
        <v>-1124.3885378347391</v>
      </c>
      <c r="BE57" s="42">
        <f>'[1]побудинковий звіт'!BE57+'[2]побудинковий звіт'!BE57-'[3]побудинковий звіт'!BE57</f>
        <v>0</v>
      </c>
      <c r="BF57" s="42">
        <f>'[1]побудинковий звіт'!BF57+'[2]побудинковий звіт'!BF57-'[3]побудинковий звіт'!BF57</f>
        <v>0</v>
      </c>
      <c r="BG57" s="39">
        <f t="shared" si="48"/>
        <v>0</v>
      </c>
      <c r="BH57" s="42">
        <f>'[1]побудинковий звіт'!BH57+'[2]побудинковий звіт'!BH57-'[3]побудинковий звіт'!BH57</f>
        <v>0</v>
      </c>
      <c r="BI57" s="42">
        <f>'[1]побудинковий звіт'!BI57+'[2]побудинковий звіт'!BI57-'[3]побудинковий звіт'!BI57</f>
        <v>0</v>
      </c>
      <c r="BJ57" s="59">
        <f t="shared" si="49"/>
        <v>0</v>
      </c>
      <c r="BK57" s="42">
        <f>'[1]побудинковий звіт'!BK57+'[2]побудинковий звіт'!BK57-'[3]побудинковий звіт'!BK57</f>
        <v>360.33684092152436</v>
      </c>
      <c r="BL57" s="42">
        <f>'[1]побудинковий звіт'!BL57+'[2]побудинковий звіт'!BL57-'[3]побудинковий звіт'!BL57</f>
        <v>1506</v>
      </c>
      <c r="BM57" s="39">
        <f t="shared" si="50"/>
        <v>1145.6631590784757</v>
      </c>
      <c r="BN57" s="42">
        <f>'[1]побудинковий звіт'!BN57+'[2]побудинковий звіт'!BN57-'[3]побудинковий звіт'!BN57</f>
        <v>0</v>
      </c>
      <c r="BO57" s="42">
        <f>'[1]побудинковий звіт'!BO57+'[2]побудинковий звіт'!BO57-'[3]побудинковий звіт'!BO57</f>
        <v>0</v>
      </c>
      <c r="BP57" s="59">
        <f t="shared" si="51"/>
        <v>0</v>
      </c>
      <c r="BQ57" s="87">
        <f t="shared" si="57"/>
        <v>3153.8379976082624</v>
      </c>
      <c r="BR57" s="43">
        <f t="shared" si="58"/>
        <v>1506</v>
      </c>
      <c r="BS57" s="59">
        <f t="shared" si="52"/>
        <v>-1647.8379976082624</v>
      </c>
      <c r="BT57" s="42">
        <f>'[1]побудинковий звіт'!BT57+'[2]побудинковий звіт'!BT57-'[3]побудинковий звіт'!BT57</f>
        <v>21842.611739226511</v>
      </c>
      <c r="BU57" s="42">
        <f>'[1]побудинковий звіт'!BU57+'[2]побудинковий звіт'!BU57-'[3]побудинковий звіт'!BU57</f>
        <v>28836.56833932687</v>
      </c>
      <c r="BV57" s="56">
        <f t="shared" si="25"/>
        <v>6993.9566001003586</v>
      </c>
      <c r="BW57" s="42">
        <f>'[1]побудинковий звіт'!BW57+'[2]побудинковий звіт'!BW57-'[3]побудинковий звіт'!BW57</f>
        <v>7328.159650950578</v>
      </c>
      <c r="BX57" s="42">
        <f>'[1]побудинковий звіт'!BX57+'[2]побудинковий звіт'!BX57-'[3]побудинковий звіт'!BX57</f>
        <v>7781.9073841766622</v>
      </c>
      <c r="BY57" s="56">
        <f t="shared" si="26"/>
        <v>453.74773322608416</v>
      </c>
      <c r="BZ57" s="42">
        <f>'[1]побудинковий звіт'!BZ57+'[2]побудинковий звіт'!BZ57-'[3]побудинковий звіт'!BZ57</f>
        <v>6182.7169508769139</v>
      </c>
      <c r="CA57" s="42">
        <f>'[1]побудинковий звіт'!CA57+'[2]побудинковий звіт'!CA57-'[3]побудинковий звіт'!CA57</f>
        <v>8802.5376568867905</v>
      </c>
      <c r="CB57" s="56">
        <f t="shared" si="27"/>
        <v>2619.8207060098766</v>
      </c>
      <c r="CC57" s="42">
        <f>'[1]побудинковий звіт'!CC57+'[2]побудинковий звіт'!CC57-'[3]побудинковий звіт'!CC57</f>
        <v>977.69655796979032</v>
      </c>
      <c r="CD57" s="42">
        <f>'[1]побудинковий звіт'!CD57+'[2]побудинковий звіт'!CD57-'[3]побудинковий звіт'!CD57</f>
        <v>969.09744032759954</v>
      </c>
      <c r="CE57" s="56">
        <f t="shared" si="28"/>
        <v>-8.5991176421907767</v>
      </c>
      <c r="CF57" s="42">
        <f>'[1]побудинковий звіт'!CF57+'[2]побудинковий звіт'!CF57-'[3]побудинковий звіт'!CF57</f>
        <v>120.36037171976585</v>
      </c>
      <c r="CG57" s="42">
        <f>'[1]побудинковий звіт'!CG57+'[2]побудинковий звіт'!CG57-'[3]побудинковий звіт'!CG57</f>
        <v>1648.7492873788544</v>
      </c>
      <c r="CH57" s="56">
        <f t="shared" si="29"/>
        <v>1528.3889156590885</v>
      </c>
      <c r="CI57" s="42">
        <f>'[1]побудинковий звіт'!CI57+'[2]побудинковий звіт'!CI57-'[3]побудинковий звіт'!CI57</f>
        <v>3837.0926613243873</v>
      </c>
      <c r="CJ57" s="42">
        <f>'[1]побудинковий звіт'!CJ57+'[2]побудинковий звіт'!CJ57-'[3]побудинковий звіт'!CJ57</f>
        <v>3915.6388442559182</v>
      </c>
      <c r="CK57" s="56">
        <f t="shared" si="30"/>
        <v>78.546182931530893</v>
      </c>
      <c r="CL57" s="42">
        <f>'[1]побудинковий звіт'!CL57+'[2]побудинковий звіт'!CL57-'[3]побудинковий звіт'!CL57</f>
        <v>0</v>
      </c>
      <c r="CM57" s="42">
        <f>'[1]побудинковий звіт'!CM57+'[2]побудинковий звіт'!CM57-'[3]побудинковий звіт'!CM57</f>
        <v>0</v>
      </c>
      <c r="CN57" s="56">
        <f t="shared" si="31"/>
        <v>0</v>
      </c>
      <c r="CO57" s="42">
        <f t="shared" si="7"/>
        <v>3837.0926613243873</v>
      </c>
      <c r="CP57" s="43">
        <f t="shared" si="32"/>
        <v>3915.6388442559182</v>
      </c>
      <c r="CQ57" s="56">
        <f t="shared" si="33"/>
        <v>78.546182931530893</v>
      </c>
      <c r="CR57" s="78">
        <f t="shared" si="8"/>
        <v>81593.193628500158</v>
      </c>
      <c r="CS57" s="5">
        <f t="shared" si="8"/>
        <v>78113.529269699473</v>
      </c>
      <c r="CT57" s="56">
        <f t="shared" si="34"/>
        <v>-3479.6643588006846</v>
      </c>
      <c r="CU57" s="87">
        <f t="shared" si="35"/>
        <v>97911.832354200189</v>
      </c>
      <c r="CV57" s="70">
        <f t="shared" si="36"/>
        <v>93736.235123639359</v>
      </c>
      <c r="CW57" s="37">
        <f t="shared" si="37"/>
        <v>-4175.5972305608302</v>
      </c>
      <c r="CX57" s="42">
        <f>'[1]побудинковий звіт'!CX57+'[2]побудинковий звіт'!CX57-'[3]побудинковий звіт'!CX57</f>
        <v>-19.792354200155387</v>
      </c>
      <c r="CY57" s="42">
        <f>'[1]побудинковий звіт'!CY57+'[2]побудинковий звіт'!CY57-'[3]побудинковий звіт'!CY57</f>
        <v>4155.8048763606612</v>
      </c>
      <c r="CZ57" s="56">
        <f t="shared" si="38"/>
        <v>4175.5972305608166</v>
      </c>
      <c r="DA57" s="264">
        <f>'[4]побудинковий звіт'!DA57</f>
        <v>72671.16483682851</v>
      </c>
      <c r="DB57" s="2">
        <v>2</v>
      </c>
      <c r="DC57" s="717">
        <f>'[4]побудинковий звіт'!DC57</f>
        <v>10716.41</v>
      </c>
      <c r="DD57" s="717">
        <f>'[4]побудинковий звіт'!DD57</f>
        <v>0</v>
      </c>
      <c r="DE57" s="717">
        <f>'[4]побудинковий звіт'!DE57</f>
        <v>2558.7399999999998</v>
      </c>
      <c r="DF57" s="717">
        <f>'[4]побудинковий звіт'!DF57</f>
        <v>0</v>
      </c>
      <c r="DG57" s="787">
        <v>72921.001461084612</v>
      </c>
      <c r="DH57" s="761">
        <f t="shared" si="39"/>
        <v>1174704.4800000004</v>
      </c>
      <c r="DI57" s="784"/>
      <c r="DJ57" s="5"/>
      <c r="DK57" s="317">
        <f>VLOOKUP($A57,ціни!$A$4:$G$401,5)</f>
        <v>5.5532017714898343</v>
      </c>
      <c r="DL57" s="317"/>
      <c r="DM57" s="317">
        <f>VLOOKUP($A57,ціни!$A$4:$G$401,7)</f>
        <v>5.0544500086809743</v>
      </c>
      <c r="DN57" s="30">
        <f t="shared" si="59"/>
        <v>18108.990976828351</v>
      </c>
      <c r="DO57" s="30">
        <f t="shared" si="60"/>
        <v>0</v>
      </c>
      <c r="DP57" s="316">
        <f t="shared" si="40"/>
        <v>18108.990976828351</v>
      </c>
      <c r="DQ57" s="104"/>
      <c r="DR57" s="30">
        <f>VLOOKUP(A57,'ДЗ нас '!$A$1:$C$359,2)</f>
        <v>8157.67</v>
      </c>
      <c r="DS57" s="748"/>
      <c r="DT57" s="30">
        <f t="shared" si="41"/>
        <v>8157.67</v>
      </c>
      <c r="DU57" s="257">
        <f>VLOOKUP(A57,'новий кошторис с 01.06'!$A$4:$AI$399,35)*1.2</f>
        <v>8159.319362850013</v>
      </c>
      <c r="DV57" s="30">
        <f t="shared" si="42"/>
        <v>-1.6493628500129489</v>
      </c>
      <c r="DW57" s="930">
        <f>'[5]побудинковий звіт'!DW57+'[6]побудинковий звіт'!DW57</f>
        <v>236</v>
      </c>
      <c r="DY57" s="5">
        <f t="shared" si="9"/>
        <v>22304.31490529278</v>
      </c>
      <c r="DZ57" s="5">
        <f t="shared" si="10"/>
        <v>8176.7999999999993</v>
      </c>
      <c r="EA57" s="752">
        <f t="shared" si="43"/>
        <v>2558.7399999999998</v>
      </c>
      <c r="EC57" s="592">
        <f t="shared" si="11"/>
        <v>185197.09308162867</v>
      </c>
      <c r="EE57" s="758">
        <v>21048</v>
      </c>
      <c r="EF57" s="738">
        <f t="shared" si="12"/>
        <v>93969.001461084612</v>
      </c>
      <c r="EH57" s="813">
        <v>77579.730073287559</v>
      </c>
    </row>
    <row r="58" spans="1:138" x14ac:dyDescent="0.3">
      <c r="A58" s="328">
        <v>150000514</v>
      </c>
      <c r="B58" s="44" t="s">
        <v>506</v>
      </c>
      <c r="C58" s="45" t="s">
        <v>151</v>
      </c>
      <c r="D58" s="45" t="s">
        <v>151</v>
      </c>
      <c r="E58" s="40">
        <f t="shared" si="3"/>
        <v>244.2</v>
      </c>
      <c r="F58" s="490">
        <v>244.2</v>
      </c>
      <c r="G58" s="30"/>
      <c r="H58" s="30">
        <v>0</v>
      </c>
      <c r="I58" s="42">
        <f>'[1]побудинковий звіт'!I58+'[2]побудинковий звіт'!I58-'[3]побудинковий звіт'!I58</f>
        <v>1455.6893695395318</v>
      </c>
      <c r="J58" s="42">
        <f>'[1]побудинковий звіт'!J58+'[2]побудинковий звіт'!J58-'[3]побудинковий звіт'!J58</f>
        <v>1447.9117452990083</v>
      </c>
      <c r="K58" s="56">
        <f t="shared" si="13"/>
        <v>-7.777624240523437</v>
      </c>
      <c r="L58" s="42">
        <f>'[1]побудинковий звіт'!L58+'[2]побудинковий звіт'!L58-'[3]побудинковий звіт'!L58</f>
        <v>286.42970640093938</v>
      </c>
      <c r="M58" s="42">
        <f>'[1]побудинковий звіт'!M58+'[2]побудинковий звіт'!M58-'[3]побудинковий звіт'!M58</f>
        <v>288.99291977885252</v>
      </c>
      <c r="N58" s="56">
        <f t="shared" si="14"/>
        <v>2.5632133779131436</v>
      </c>
      <c r="O58" s="42">
        <f>'[1]побудинковий звіт'!O58+'[2]побудинковий звіт'!O58-'[3]побудинковий звіт'!O58</f>
        <v>384.48000000000008</v>
      </c>
      <c r="P58" s="42">
        <f>'[1]побудинковий звіт'!P58+'[2]побудинковий звіт'!P58-'[3]побудинковий звіт'!P58</f>
        <v>302.19367607526874</v>
      </c>
      <c r="Q58" s="56">
        <f t="shared" si="15"/>
        <v>-82.286323924731335</v>
      </c>
      <c r="R58" s="42">
        <f>'[1]побудинковий звіт'!R58+'[2]побудинковий звіт'!R58-'[3]побудинковий звіт'!R58</f>
        <v>0</v>
      </c>
      <c r="S58" s="42">
        <f>'[1]побудинковий звіт'!S58+'[2]побудинковий звіт'!S58-'[3]побудинковий звіт'!S58</f>
        <v>0</v>
      </c>
      <c r="T58" s="56">
        <f t="shared" si="16"/>
        <v>0</v>
      </c>
      <c r="U58" s="42">
        <f>'[1]побудинковий звіт'!U58+'[2]побудинковий звіт'!U58-'[3]побудинковий звіт'!U58</f>
        <v>0</v>
      </c>
      <c r="V58" s="42">
        <f>'[1]побудинковий звіт'!V58+'[2]побудинковий звіт'!V58-'[3]побудинковий звіт'!V58</f>
        <v>0</v>
      </c>
      <c r="W58" s="56">
        <f t="shared" si="17"/>
        <v>0</v>
      </c>
      <c r="X58" s="42">
        <f>'[1]побудинковий звіт'!X58+'[2]побудинковий звіт'!X58-'[3]побудинковий звіт'!X58</f>
        <v>964.30804907366803</v>
      </c>
      <c r="Y58" s="42">
        <f>'[1]побудинковий звіт'!Y58+'[2]побудинковий звіт'!Y58-'[3]побудинковий звіт'!Y58</f>
        <v>704.85124038838319</v>
      </c>
      <c r="Z58" s="56">
        <f t="shared" si="18"/>
        <v>-259.45680868528484</v>
      </c>
      <c r="AA58" s="42">
        <f>'[1]побудинковий звіт'!AA58+'[2]побудинковий звіт'!AA58-'[3]побудинковий звіт'!AA58</f>
        <v>0</v>
      </c>
      <c r="AB58" s="42">
        <f>'[1]побудинковий звіт'!AB58+'[2]побудинковий звіт'!AB58-'[3]побудинковий звіт'!AB58</f>
        <v>0</v>
      </c>
      <c r="AC58" s="56">
        <f t="shared" si="19"/>
        <v>0</v>
      </c>
      <c r="AD58" s="42">
        <f>'[1]побудинковий звіт'!AD58+'[2]побудинковий звіт'!AD58-'[3]побудинковий звіт'!AD58</f>
        <v>1083.9232936672204</v>
      </c>
      <c r="AE58" s="42">
        <f>'[1]побудинковий звіт'!AE58+'[2]побудинковий звіт'!AE58-'[3]побудинковий звіт'!AE58</f>
        <v>999.04487975886104</v>
      </c>
      <c r="AF58" s="37">
        <f t="shared" si="20"/>
        <v>-84.878413908359335</v>
      </c>
      <c r="AG58" s="87">
        <f t="shared" si="4"/>
        <v>4174.8304186813593</v>
      </c>
      <c r="AH58" s="57">
        <f t="shared" si="4"/>
        <v>3742.994461300374</v>
      </c>
      <c r="AI58" s="56">
        <f t="shared" si="21"/>
        <v>-431.83595738098529</v>
      </c>
      <c r="AJ58" s="42">
        <f>'[1]побудинковий звіт'!AJ58+'[2]побудинковий звіт'!AJ58-'[3]побудинковий звіт'!AJ58</f>
        <v>0</v>
      </c>
      <c r="AK58" s="42">
        <f>'[1]побудинковий звіт'!AK58+'[2]побудинковий звіт'!AK58-'[3]побудинковий звіт'!AK58</f>
        <v>0</v>
      </c>
      <c r="AL58" s="56">
        <f t="shared" si="22"/>
        <v>0</v>
      </c>
      <c r="AM58" s="42">
        <f>'[1]побудинковий звіт'!AM58+'[2]побудинковий звіт'!AM58-'[3]побудинковий звіт'!AM58</f>
        <v>0</v>
      </c>
      <c r="AN58" s="42">
        <f>'[1]побудинковий звіт'!AN58+'[2]побудинковий звіт'!AN58-'[3]побудинковий звіт'!AN58</f>
        <v>0</v>
      </c>
      <c r="AO58" s="56">
        <f t="shared" si="23"/>
        <v>0</v>
      </c>
      <c r="AP58" s="42">
        <f>'[1]побудинковий звіт'!AP58+'[2]побудинковий звіт'!AP58-'[3]побудинковий звіт'!AP58</f>
        <v>568.21058573618984</v>
      </c>
      <c r="AQ58" s="42">
        <f>'[1]побудинковий звіт'!AQ58+'[2]побудинковий звіт'!AQ58-'[3]побудинковий звіт'!AQ58</f>
        <v>562.30657626323818</v>
      </c>
      <c r="AR58" s="56">
        <f t="shared" si="24"/>
        <v>-5.9040094729516568</v>
      </c>
      <c r="AS58" s="42">
        <f>'[1]побудинковий звіт'!AS58+'[2]побудинковий звіт'!AS58-'[3]побудинковий звіт'!AS58</f>
        <v>5044.8335530023296</v>
      </c>
      <c r="AT58" s="42">
        <f>'[1]побудинковий звіт'!AT58+'[2]побудинковий звіт'!AT58-'[3]побудинковий звіт'!AT58</f>
        <v>0</v>
      </c>
      <c r="AU58" s="58">
        <f t="shared" si="44"/>
        <v>-5044.8335530023296</v>
      </c>
      <c r="AV58" s="42">
        <f>'[1]побудинковий звіт'!AV58+'[2]побудинковий звіт'!AV58-'[3]побудинковий звіт'!AV58</f>
        <v>310.766771672652</v>
      </c>
      <c r="AW58" s="42">
        <f>'[1]побудинковий звіт'!AW58+'[2]побудинковий звіт'!AW58-'[3]побудинковий звіт'!AW58</f>
        <v>0</v>
      </c>
      <c r="AX58" s="59">
        <f t="shared" si="45"/>
        <v>-310.766771672652</v>
      </c>
      <c r="AY58" s="42">
        <f>'[1]побудинковий звіт'!AY58+'[2]побудинковий звіт'!AY58-'[3]побудинковий звіт'!AY58</f>
        <v>369.30487862550513</v>
      </c>
      <c r="AZ58" s="42">
        <f>'[1]побудинковий звіт'!AZ58+'[2]побудинковий звіт'!AZ58-'[3]побудинковий звіт'!AZ58</f>
        <v>0</v>
      </c>
      <c r="BA58" s="37">
        <f t="shared" si="46"/>
        <v>-369.30487862550513</v>
      </c>
      <c r="BB58" s="42">
        <f>'[1]побудинковий звіт'!BB58+'[2]побудинковий звіт'!BB58-'[3]побудинковий звіт'!BB58</f>
        <v>72.621968049984375</v>
      </c>
      <c r="BC58" s="42">
        <f>'[1]побудинковий звіт'!BC58+'[2]побудинковий звіт'!BC58-'[3]побудинковий звіт'!BC58</f>
        <v>0</v>
      </c>
      <c r="BD58" s="59">
        <f t="shared" si="47"/>
        <v>-72.621968049984375</v>
      </c>
      <c r="BE58" s="42">
        <f>'[1]побудинковий звіт'!BE58+'[2]побудинковий звіт'!BE58-'[3]побудинковий звіт'!BE58</f>
        <v>0</v>
      </c>
      <c r="BF58" s="42">
        <f>'[1]побудинковий звіт'!BF58+'[2]побудинковий звіт'!BF58-'[3]побудинковий звіт'!BF58</f>
        <v>0</v>
      </c>
      <c r="BG58" s="39">
        <f t="shared" si="48"/>
        <v>0</v>
      </c>
      <c r="BH58" s="42">
        <f>'[1]побудинковий звіт'!BH58+'[2]побудинковий звіт'!BH58-'[3]побудинковий звіт'!BH58</f>
        <v>0</v>
      </c>
      <c r="BI58" s="42">
        <f>'[1]побудинковий звіт'!BI58+'[2]побудинковий звіт'!BI58-'[3]побудинковий звіт'!BI58</f>
        <v>0</v>
      </c>
      <c r="BJ58" s="59">
        <f t="shared" si="49"/>
        <v>0</v>
      </c>
      <c r="BK58" s="42">
        <f>'[1]побудинковий звіт'!BK58+'[2]побудинковий звіт'!BK58-'[3]побудинковий звіт'!BK58</f>
        <v>78.787193100235982</v>
      </c>
      <c r="BL58" s="42">
        <f>'[1]побудинковий звіт'!BL58+'[2]побудинковий звіт'!BL58-'[3]побудинковий звіт'!BL58</f>
        <v>0</v>
      </c>
      <c r="BM58" s="39">
        <f t="shared" si="50"/>
        <v>-78.787193100235982</v>
      </c>
      <c r="BN58" s="42">
        <f>'[1]побудинковий звіт'!BN58+'[2]побудинковий звіт'!BN58-'[3]побудинковий звіт'!BN58</f>
        <v>0</v>
      </c>
      <c r="BO58" s="42">
        <f>'[1]побудинковий звіт'!BO58+'[2]побудинковий звіт'!BO58-'[3]побудинковий звіт'!BO58</f>
        <v>0</v>
      </c>
      <c r="BP58" s="59">
        <f t="shared" si="51"/>
        <v>0</v>
      </c>
      <c r="BQ58" s="87">
        <f t="shared" si="57"/>
        <v>831.48081144837749</v>
      </c>
      <c r="BR58" s="43">
        <f t="shared" si="58"/>
        <v>0</v>
      </c>
      <c r="BS58" s="59">
        <f t="shared" si="52"/>
        <v>-831.48081144837749</v>
      </c>
      <c r="BT58" s="42">
        <f>'[1]побудинковий звіт'!BT58+'[2]побудинковий звіт'!BT58-'[3]побудинковий звіт'!BT58</f>
        <v>0</v>
      </c>
      <c r="BU58" s="42">
        <f>'[1]побудинковий звіт'!BU58+'[2]побудинковий звіт'!BU58-'[3]побудинковий звіт'!BU58</f>
        <v>0</v>
      </c>
      <c r="BV58" s="56">
        <f t="shared" si="25"/>
        <v>0</v>
      </c>
      <c r="BW58" s="42">
        <f>'[1]побудинковий звіт'!BW58+'[2]побудинковий звіт'!BW58-'[3]побудинковий звіт'!BW58</f>
        <v>188.75400770461215</v>
      </c>
      <c r="BX58" s="42">
        <f>'[1]побудинковий звіт'!BX58+'[2]побудинковий звіт'!BX58-'[3]побудинковий звіт'!BX58</f>
        <v>312.66167307118712</v>
      </c>
      <c r="BY58" s="56">
        <f t="shared" si="26"/>
        <v>123.90766536657497</v>
      </c>
      <c r="BZ58" s="42">
        <f>'[1]побудинковий звіт'!BZ58+'[2]побудинковий звіт'!BZ58-'[3]побудинковий звіт'!BZ58</f>
        <v>0</v>
      </c>
      <c r="CA58" s="42">
        <f>'[1]побудинковий звіт'!CA58+'[2]побудинковий звіт'!CA58-'[3]побудинковий звіт'!CA58</f>
        <v>0</v>
      </c>
      <c r="CB58" s="56">
        <f t="shared" si="27"/>
        <v>0</v>
      </c>
      <c r="CC58" s="42">
        <f>'[1]побудинковий звіт'!CC58+'[2]побудинковий звіт'!CC58-'[3]побудинковий звіт'!CC58</f>
        <v>0</v>
      </c>
      <c r="CD58" s="42">
        <f>'[1]побудинковий звіт'!CD58+'[2]побудинковий звіт'!CD58-'[3]побудинковий звіт'!CD58</f>
        <v>0</v>
      </c>
      <c r="CE58" s="56">
        <f t="shared" si="28"/>
        <v>0</v>
      </c>
      <c r="CF58" s="42">
        <f>'[1]побудинковий звіт'!CF58+'[2]побудинковий звіт'!CF58-'[3]побудинковий звіт'!CF58</f>
        <v>0</v>
      </c>
      <c r="CG58" s="42">
        <f>'[1]побудинковий звіт'!CG58+'[2]побудинковий звіт'!CG58-'[3]побудинковий звіт'!CG58</f>
        <v>0</v>
      </c>
      <c r="CH58" s="56">
        <f t="shared" si="29"/>
        <v>0</v>
      </c>
      <c r="CI58" s="42">
        <f>'[1]побудинковий звіт'!CI58+'[2]побудинковий звіт'!CI58-'[3]побудинковий звіт'!CI58</f>
        <v>243.32782730349763</v>
      </c>
      <c r="CJ58" s="42">
        <f>'[1]побудинковий звіт'!CJ58+'[2]побудинковий звіт'!CJ58-'[3]побудинковий звіт'!CJ58</f>
        <v>71.885701991546298</v>
      </c>
      <c r="CK58" s="56">
        <f t="shared" si="30"/>
        <v>-171.44212531195132</v>
      </c>
      <c r="CL58" s="42">
        <f>'[1]побудинковий звіт'!CL58+'[2]побудинковий звіт'!CL58-'[3]побудинковий звіт'!CL58</f>
        <v>0</v>
      </c>
      <c r="CM58" s="42">
        <f>'[1]побудинковий звіт'!CM58+'[2]побудинковий звіт'!CM58-'[3]побудинковий звіт'!CM58</f>
        <v>0</v>
      </c>
      <c r="CN58" s="56">
        <f t="shared" si="31"/>
        <v>0</v>
      </c>
      <c r="CO58" s="42">
        <f t="shared" si="7"/>
        <v>243.32782730349763</v>
      </c>
      <c r="CP58" s="43">
        <f t="shared" si="32"/>
        <v>71.885701991546298</v>
      </c>
      <c r="CQ58" s="56">
        <f t="shared" si="33"/>
        <v>-171.44212531195132</v>
      </c>
      <c r="CR58" s="78">
        <f t="shared" si="8"/>
        <v>11051.437203876367</v>
      </c>
      <c r="CS58" s="5">
        <f t="shared" si="8"/>
        <v>4689.8484126263465</v>
      </c>
      <c r="CT58" s="56">
        <f t="shared" si="34"/>
        <v>-6361.5887912500202</v>
      </c>
      <c r="CU58" s="87">
        <f t="shared" si="35"/>
        <v>13261.72464465164</v>
      </c>
      <c r="CV58" s="70">
        <f t="shared" si="36"/>
        <v>5627.818095151616</v>
      </c>
      <c r="CW58" s="37">
        <f t="shared" si="37"/>
        <v>-7633.9065495000241</v>
      </c>
      <c r="CX58" s="42">
        <f>'[1]побудинковий звіт'!CX58+'[2]побудинковий звіт'!CX58-'[3]побудинковий звіт'!CX58</f>
        <v>198.79535534836305</v>
      </c>
      <c r="CY58" s="42">
        <f>'[1]побудинковий звіт'!CY58+'[2]побудинковий звіт'!CY58-'[3]побудинковий звіт'!CY58</f>
        <v>7832.7019048483853</v>
      </c>
      <c r="CZ58" s="56">
        <f t="shared" si="38"/>
        <v>7633.9065495000223</v>
      </c>
      <c r="DA58" s="264">
        <f>'[4]побудинковий звіт'!DA58</f>
        <v>-24206.098014274572</v>
      </c>
      <c r="DB58" s="2">
        <v>2</v>
      </c>
      <c r="DC58" s="717">
        <f>'[4]побудинковий звіт'!DC58</f>
        <v>2615.08</v>
      </c>
      <c r="DD58" s="717">
        <f>'[4]побудинковий звіт'!DD58</f>
        <v>0</v>
      </c>
      <c r="DE58" s="717">
        <f>'[4]побудинковий звіт'!DE58</f>
        <v>1493.37</v>
      </c>
      <c r="DF58" s="717">
        <f>'[4]побудинковий звіт'!DF58</f>
        <v>0</v>
      </c>
      <c r="DG58" s="787">
        <v>-12884.651592976301</v>
      </c>
      <c r="DH58" s="761">
        <f t="shared" si="39"/>
        <v>161526.24000000005</v>
      </c>
      <c r="DI58" s="784"/>
      <c r="DJ58" s="5"/>
      <c r="DK58" s="317">
        <f>VLOOKUP($A58,ціни!$A$4:$G$401,5)</f>
        <v>4.4249344228538501</v>
      </c>
      <c r="DL58" s="317"/>
      <c r="DM58" s="317">
        <f>VLOOKUP($A58,ціни!$A$4:$G$401,7)</f>
        <v>4.3493583605973685</v>
      </c>
      <c r="DN58" s="30">
        <f t="shared" si="59"/>
        <v>1080.5689860609102</v>
      </c>
      <c r="DO58" s="30">
        <f t="shared" si="60"/>
        <v>0</v>
      </c>
      <c r="DP58" s="316">
        <f t="shared" si="40"/>
        <v>1080.5689860609102</v>
      </c>
      <c r="DQ58" s="104"/>
      <c r="DR58" s="30">
        <f>VLOOKUP(A58,'ДЗ нас '!$A$1:$C$359,2)</f>
        <v>1121.71</v>
      </c>
      <c r="DS58" s="748"/>
      <c r="DT58" s="30">
        <f t="shared" si="41"/>
        <v>1121.71</v>
      </c>
      <c r="DU58" s="257">
        <f>VLOOKUP(A58,'новий кошторис с 01.06'!$A$4:$AI$399,35)*1.2</f>
        <v>1125.0363073546139</v>
      </c>
      <c r="DV58" s="30">
        <f t="shared" si="42"/>
        <v>-3.3263073546138457</v>
      </c>
      <c r="DW58" s="930">
        <f>'[5]побудинковий звіт'!DW58+'[6]побудинковий звіт'!DW58</f>
        <v>204</v>
      </c>
      <c r="DY58" s="5">
        <f t="shared" si="9"/>
        <v>7051.5772373408481</v>
      </c>
      <c r="DZ58" s="5">
        <f t="shared" si="10"/>
        <v>0</v>
      </c>
      <c r="EA58" s="752">
        <f t="shared" si="43"/>
        <v>1493.37</v>
      </c>
      <c r="EC58" s="592">
        <f t="shared" si="11"/>
        <v>60538.002636027959</v>
      </c>
      <c r="EE58" s="758">
        <v>-7056</v>
      </c>
      <c r="EF58" s="738">
        <f t="shared" si="12"/>
        <v>-19940.651592976301</v>
      </c>
      <c r="EH58" s="813">
        <v>-17348.500523365801</v>
      </c>
    </row>
    <row r="59" spans="1:138" x14ac:dyDescent="0.3">
      <c r="A59" s="328">
        <v>150000515</v>
      </c>
      <c r="B59" s="44" t="s">
        <v>507</v>
      </c>
      <c r="C59" s="45" t="s">
        <v>53</v>
      </c>
      <c r="D59" s="45" t="s">
        <v>53</v>
      </c>
      <c r="E59" s="40">
        <f t="shared" si="3"/>
        <v>323.7</v>
      </c>
      <c r="F59" s="490">
        <v>323.7</v>
      </c>
      <c r="G59" s="30"/>
      <c r="H59" s="30">
        <v>0</v>
      </c>
      <c r="I59" s="42">
        <f>'[1]побудинковий звіт'!I59+'[2]побудинковий звіт'!I59-'[3]побудинковий звіт'!I59</f>
        <v>0</v>
      </c>
      <c r="J59" s="42">
        <f>'[1]побудинковий звіт'!J59+'[2]побудинковий звіт'!J59-'[3]побудинковий звіт'!J59</f>
        <v>0</v>
      </c>
      <c r="K59" s="56">
        <f t="shared" si="13"/>
        <v>0</v>
      </c>
      <c r="L59" s="42">
        <f>'[1]побудинковий звіт'!L59+'[2]побудинковий звіт'!L59-'[3]побудинковий звіт'!L59</f>
        <v>0</v>
      </c>
      <c r="M59" s="42">
        <f>'[1]побудинковий звіт'!M59+'[2]побудинковий звіт'!M59-'[3]побудинковий звіт'!M59</f>
        <v>0</v>
      </c>
      <c r="N59" s="56">
        <f t="shared" si="14"/>
        <v>0</v>
      </c>
      <c r="O59" s="42">
        <f>'[1]побудинковий звіт'!O59+'[2]побудинковий звіт'!O59-'[3]побудинковий звіт'!O59</f>
        <v>0</v>
      </c>
      <c r="P59" s="42">
        <f>'[1]побудинковий звіт'!P59+'[2]побудинковий звіт'!P59-'[3]побудинковий звіт'!P59</f>
        <v>0</v>
      </c>
      <c r="Q59" s="56">
        <f t="shared" si="15"/>
        <v>0</v>
      </c>
      <c r="R59" s="42">
        <f>'[1]побудинковий звіт'!R59+'[2]побудинковий звіт'!R59-'[3]побудинковий звіт'!R59</f>
        <v>0</v>
      </c>
      <c r="S59" s="42">
        <f>'[1]побудинковий звіт'!S59+'[2]побудинковий звіт'!S59-'[3]побудинковий звіт'!S59</f>
        <v>0</v>
      </c>
      <c r="T59" s="56">
        <f t="shared" si="16"/>
        <v>0</v>
      </c>
      <c r="U59" s="42">
        <f>'[1]побудинковий звіт'!U59+'[2]побудинковий звіт'!U59-'[3]побудинковий звіт'!U59</f>
        <v>0</v>
      </c>
      <c r="V59" s="42">
        <f>'[1]побудинковий звіт'!V59+'[2]побудинковий звіт'!V59-'[3]побудинковий звіт'!V59</f>
        <v>0</v>
      </c>
      <c r="W59" s="56">
        <f t="shared" si="17"/>
        <v>0</v>
      </c>
      <c r="X59" s="42">
        <f>'[1]побудинковий звіт'!X59+'[2]побудинковий звіт'!X59-'[3]побудинковий звіт'!X59</f>
        <v>0</v>
      </c>
      <c r="Y59" s="42">
        <f>'[1]побудинковий звіт'!Y59+'[2]побудинковий звіт'!Y59-'[3]побудинковий звіт'!Y59</f>
        <v>0</v>
      </c>
      <c r="Z59" s="56">
        <f t="shared" si="18"/>
        <v>0</v>
      </c>
      <c r="AA59" s="42">
        <f>'[1]побудинковий звіт'!AA59+'[2]побудинковий звіт'!AA59-'[3]побудинковий звіт'!AA59</f>
        <v>0</v>
      </c>
      <c r="AB59" s="42">
        <f>'[1]побудинковий звіт'!AB59+'[2]побудинковий звіт'!AB59-'[3]побудинковий звіт'!AB59</f>
        <v>0</v>
      </c>
      <c r="AC59" s="56">
        <f t="shared" si="19"/>
        <v>0</v>
      </c>
      <c r="AD59" s="42">
        <f>'[1]побудинковий звіт'!AD59+'[2]побудинковий звіт'!AD59-'[3]побудинковий звіт'!AD59</f>
        <v>0</v>
      </c>
      <c r="AE59" s="42">
        <f>'[1]побудинковий звіт'!AE59+'[2]побудинковий звіт'!AE59-'[3]побудинковий звіт'!AE59</f>
        <v>133.62354002183542</v>
      </c>
      <c r="AF59" s="37">
        <f t="shared" si="20"/>
        <v>133.62354002183542</v>
      </c>
      <c r="AG59" s="87">
        <f t="shared" si="4"/>
        <v>0</v>
      </c>
      <c r="AH59" s="57">
        <f t="shared" si="4"/>
        <v>133.62354002183542</v>
      </c>
      <c r="AI59" s="56">
        <f t="shared" si="21"/>
        <v>133.62354002183542</v>
      </c>
      <c r="AJ59" s="42">
        <f>'[1]побудинковий звіт'!AJ59+'[2]побудинковий звіт'!AJ59-'[3]побудинковий звіт'!AJ59</f>
        <v>0</v>
      </c>
      <c r="AK59" s="42">
        <f>'[1]побудинковий звіт'!AK59+'[2]побудинковий звіт'!AK59-'[3]побудинковий звіт'!AK59</f>
        <v>0</v>
      </c>
      <c r="AL59" s="56">
        <f t="shared" si="22"/>
        <v>0</v>
      </c>
      <c r="AM59" s="42">
        <f>'[1]побудинковий звіт'!AM59+'[2]побудинковий звіт'!AM59-'[3]побудинковий звіт'!AM59</f>
        <v>0</v>
      </c>
      <c r="AN59" s="42">
        <f>'[1]побудинковий звіт'!AN59+'[2]побудинковий звіт'!AN59-'[3]побудинковий звіт'!AN59</f>
        <v>0</v>
      </c>
      <c r="AO59" s="56">
        <f t="shared" si="23"/>
        <v>0</v>
      </c>
      <c r="AP59" s="42">
        <f>'[1]побудинковий звіт'!AP59+'[2]побудинковий звіт'!AP59-'[3]побудинковий звіт'!AP59</f>
        <v>568.21058573618984</v>
      </c>
      <c r="AQ59" s="42">
        <f>'[1]побудинковий звіт'!AQ59+'[2]побудинковий звіт'!AQ59-'[3]побудинковий звіт'!AQ59</f>
        <v>93.429126284801754</v>
      </c>
      <c r="AR59" s="56">
        <f t="shared" si="24"/>
        <v>-474.78145945138806</v>
      </c>
      <c r="AS59" s="42">
        <f>'[1]побудинковий звіт'!AS59+'[2]побудинковий звіт'!AS59-'[3]побудинковий звіт'!AS59</f>
        <v>2698.0842763878818</v>
      </c>
      <c r="AT59" s="42">
        <f>'[1]побудинковий звіт'!AT59+'[2]побудинковий звіт'!AT59-'[3]побудинковий звіт'!AT59</f>
        <v>1427</v>
      </c>
      <c r="AU59" s="58">
        <f t="shared" si="44"/>
        <v>-1271.0842763878818</v>
      </c>
      <c r="AV59" s="42">
        <f>'[1]побудинковий звіт'!AV59+'[2]побудинковий звіт'!AV59-'[3]побудинковий звіт'!AV59</f>
        <v>0</v>
      </c>
      <c r="AW59" s="42">
        <f>'[1]побудинковий звіт'!AW59+'[2]побудинковий звіт'!AW59-'[3]побудинковий звіт'!AW59</f>
        <v>0</v>
      </c>
      <c r="AX59" s="59">
        <f t="shared" si="45"/>
        <v>0</v>
      </c>
      <c r="AY59" s="42">
        <f>'[1]побудинковий звіт'!AY59+'[2]побудинковий звіт'!AY59-'[3]побудинковий звіт'!AY59</f>
        <v>0</v>
      </c>
      <c r="AZ59" s="42">
        <f>'[1]побудинковий звіт'!AZ59+'[2]побудинковий звіт'!AZ59-'[3]побудинковий звіт'!AZ59</f>
        <v>0</v>
      </c>
      <c r="BA59" s="37">
        <f t="shared" si="46"/>
        <v>0</v>
      </c>
      <c r="BB59" s="42">
        <f>'[1]побудинковий звіт'!BB59+'[2]побудинковий звіт'!BB59-'[3]побудинковий звіт'!BB59</f>
        <v>0</v>
      </c>
      <c r="BC59" s="42">
        <f>'[1]побудинковий звіт'!BC59+'[2]побудинковий звіт'!BC59-'[3]побудинковий звіт'!BC59</f>
        <v>0</v>
      </c>
      <c r="BD59" s="59">
        <f t="shared" si="47"/>
        <v>0</v>
      </c>
      <c r="BE59" s="42">
        <f>'[1]побудинковий звіт'!BE59+'[2]побудинковий звіт'!BE59-'[3]побудинковий звіт'!BE59</f>
        <v>0</v>
      </c>
      <c r="BF59" s="42">
        <f>'[1]побудинковий звіт'!BF59+'[2]побудинковий звіт'!BF59-'[3]побудинковий звіт'!BF59</f>
        <v>0</v>
      </c>
      <c r="BG59" s="39">
        <f t="shared" si="48"/>
        <v>0</v>
      </c>
      <c r="BH59" s="42">
        <f>'[1]побудинковий звіт'!BH59+'[2]побудинковий звіт'!BH59-'[3]побудинковий звіт'!BH59</f>
        <v>0</v>
      </c>
      <c r="BI59" s="42">
        <f>'[1]побудинковий звіт'!BI59+'[2]побудинковий звіт'!BI59-'[3]побудинковий звіт'!BI59</f>
        <v>0</v>
      </c>
      <c r="BJ59" s="59">
        <f t="shared" si="49"/>
        <v>0</v>
      </c>
      <c r="BK59" s="42">
        <f>'[1]побудинковий звіт'!BK59+'[2]побудинковий звіт'!BK59-'[3]побудинковий звіт'!BK59</f>
        <v>0</v>
      </c>
      <c r="BL59" s="42">
        <f>'[1]побудинковий звіт'!BL59+'[2]побудинковий звіт'!BL59-'[3]побудинковий звіт'!BL59</f>
        <v>0</v>
      </c>
      <c r="BM59" s="39">
        <f t="shared" si="50"/>
        <v>0</v>
      </c>
      <c r="BN59" s="42">
        <f>'[1]побудинковий звіт'!BN59+'[2]побудинковий звіт'!BN59-'[3]побудинковий звіт'!BN59</f>
        <v>0</v>
      </c>
      <c r="BO59" s="42">
        <f>'[1]побудинковий звіт'!BO59+'[2]побудинковий звіт'!BO59-'[3]побудинковий звіт'!BO59</f>
        <v>0</v>
      </c>
      <c r="BP59" s="59">
        <f t="shared" si="51"/>
        <v>0</v>
      </c>
      <c r="BQ59" s="87">
        <f t="shared" si="57"/>
        <v>0</v>
      </c>
      <c r="BR59" s="43">
        <f t="shared" si="58"/>
        <v>0</v>
      </c>
      <c r="BS59" s="59">
        <f t="shared" si="52"/>
        <v>0</v>
      </c>
      <c r="BT59" s="42">
        <f>'[1]побудинковий звіт'!BT59+'[2]побудинковий звіт'!BT59-'[3]побудинковий звіт'!BT59</f>
        <v>167.48907527938252</v>
      </c>
      <c r="BU59" s="42">
        <f>'[1]побудинковий звіт'!BU59+'[2]побудинковий звіт'!BU59-'[3]побудинковий звіт'!BU59</f>
        <v>561.32294963578761</v>
      </c>
      <c r="BV59" s="56">
        <f t="shared" si="25"/>
        <v>393.83387435640509</v>
      </c>
      <c r="BW59" s="42">
        <f>'[1]побудинковий звіт'!BW59+'[2]побудинковий звіт'!BW59-'[3]побудинковий звіт'!BW59</f>
        <v>0</v>
      </c>
      <c r="BX59" s="42">
        <f>'[1]побудинковий звіт'!BX59+'[2]побудинковий звіт'!BX59-'[3]побудинковий звіт'!BX59</f>
        <v>6.4620184975989403</v>
      </c>
      <c r="BY59" s="56">
        <f t="shared" si="26"/>
        <v>6.4620184975989403</v>
      </c>
      <c r="BZ59" s="42">
        <f>'[1]побудинковий звіт'!BZ59+'[2]побудинковий звіт'!BZ59-'[3]побудинковий звіт'!BZ59</f>
        <v>0</v>
      </c>
      <c r="CA59" s="42">
        <f>'[1]побудинковий звіт'!CA59+'[2]побудинковий звіт'!CA59-'[3]побудинковий звіт'!CA59</f>
        <v>135.84407937705032</v>
      </c>
      <c r="CB59" s="56">
        <f t="shared" si="27"/>
        <v>135.84407937705032</v>
      </c>
      <c r="CC59" s="42">
        <f>'[1]побудинковий звіт'!CC59+'[2]побудинковий звіт'!CC59-'[3]побудинковий звіт'!CC59</f>
        <v>0</v>
      </c>
      <c r="CD59" s="42">
        <f>'[1]побудинковий звіт'!CD59+'[2]побудинковий звіт'!CD59-'[3]побудинковий звіт'!CD59</f>
        <v>0</v>
      </c>
      <c r="CE59" s="56">
        <f t="shared" si="28"/>
        <v>0</v>
      </c>
      <c r="CF59" s="42">
        <f>'[1]побудинковий звіт'!CF59+'[2]побудинковий звіт'!CF59-'[3]побудинковий звіт'!CF59</f>
        <v>0</v>
      </c>
      <c r="CG59" s="42">
        <f>'[1]побудинковий звіт'!CG59+'[2]побудинковий звіт'!CG59-'[3]побудинковий звіт'!CG59</f>
        <v>0</v>
      </c>
      <c r="CH59" s="56">
        <f t="shared" si="29"/>
        <v>0</v>
      </c>
      <c r="CI59" s="42">
        <f>'[1]побудинковий звіт'!CI59+'[2]побудинковий звіт'!CI59-'[3]побудинковий звіт'!CI59</f>
        <v>0</v>
      </c>
      <c r="CJ59" s="42">
        <f>'[1]побудинковий звіт'!CJ59+'[2]побудинковий звіт'!CJ59-'[3]побудинковий звіт'!CJ59</f>
        <v>0</v>
      </c>
      <c r="CK59" s="56">
        <f t="shared" si="30"/>
        <v>0</v>
      </c>
      <c r="CL59" s="42">
        <f>'[1]побудинковий звіт'!CL59+'[2]побудинковий звіт'!CL59-'[3]побудинковий звіт'!CL59</f>
        <v>0</v>
      </c>
      <c r="CM59" s="42">
        <f>'[1]побудинковий звіт'!CM59+'[2]побудинковий звіт'!CM59-'[3]побудинковий звіт'!CM59</f>
        <v>0</v>
      </c>
      <c r="CN59" s="56">
        <f t="shared" si="31"/>
        <v>0</v>
      </c>
      <c r="CO59" s="42">
        <f t="shared" si="7"/>
        <v>0</v>
      </c>
      <c r="CP59" s="43">
        <f t="shared" si="32"/>
        <v>0</v>
      </c>
      <c r="CQ59" s="56">
        <f t="shared" si="33"/>
        <v>0</v>
      </c>
      <c r="CR59" s="78">
        <f t="shared" si="8"/>
        <v>3433.7839374034543</v>
      </c>
      <c r="CS59" s="5">
        <f t="shared" si="8"/>
        <v>2357.6817138170736</v>
      </c>
      <c r="CT59" s="56">
        <f t="shared" si="34"/>
        <v>-1076.1022235863807</v>
      </c>
      <c r="CU59" s="87">
        <f t="shared" si="35"/>
        <v>4120.5407248841448</v>
      </c>
      <c r="CV59" s="70">
        <f t="shared" si="36"/>
        <v>2829.2180565804883</v>
      </c>
      <c r="CW59" s="37">
        <f t="shared" si="37"/>
        <v>-1291.3226683036564</v>
      </c>
      <c r="CX59" s="42">
        <f>'[1]побудинковий звіт'!CX59+'[2]побудинковий звіт'!CX59-'[3]побудинковий звіт'!CX59</f>
        <v>103.09927511585602</v>
      </c>
      <c r="CY59" s="42">
        <f>'[1]побудинковий звіт'!CY59+'[2]побудинковий звіт'!CY59-'[3]побудинковий звіт'!CY59</f>
        <v>1394.4219434195115</v>
      </c>
      <c r="CZ59" s="56">
        <f t="shared" si="38"/>
        <v>1291.3226683036555</v>
      </c>
      <c r="DA59" s="264">
        <f>'[4]побудинковий звіт'!DA59</f>
        <v>-4198.7401337671254</v>
      </c>
      <c r="DB59" s="2">
        <v>2</v>
      </c>
      <c r="DC59" s="717">
        <f>'[4]побудинковий звіт'!DC59</f>
        <v>419</v>
      </c>
      <c r="DD59" s="717">
        <f>'[4]побудинковий звіт'!DD59</f>
        <v>0</v>
      </c>
      <c r="DE59" s="717">
        <f>'[4]побудинковий звіт'!DE59</f>
        <v>67.029999999999973</v>
      </c>
      <c r="DF59" s="717">
        <f>'[4]побудинковий звіт'!DF59</f>
        <v>0</v>
      </c>
      <c r="DG59" s="787">
        <v>-1585.3536106207539</v>
      </c>
      <c r="DH59" s="761">
        <f t="shared" si="39"/>
        <v>50683.680000000015</v>
      </c>
      <c r="DI59" s="784"/>
      <c r="DJ59" s="5"/>
      <c r="DK59" s="317">
        <f>VLOOKUP($A59,ціни!$A$4:$G$401,5)</f>
        <v>1.7545506160710569</v>
      </c>
      <c r="DL59" s="317"/>
      <c r="DM59" s="317">
        <f>VLOOKUP($A59,ціни!$A$4:$G$401,7)</f>
        <v>1.7545506160710569</v>
      </c>
      <c r="DN59" s="30">
        <f t="shared" si="59"/>
        <v>567.94803442220109</v>
      </c>
      <c r="DO59" s="30">
        <f t="shared" si="60"/>
        <v>0</v>
      </c>
      <c r="DP59" s="316">
        <f t="shared" si="40"/>
        <v>567.94803442220109</v>
      </c>
      <c r="DQ59" s="104"/>
      <c r="DR59" s="30">
        <f>VLOOKUP(A59,'ДЗ нас '!$A$1:$C$359,2)</f>
        <v>351.97</v>
      </c>
      <c r="DS59" s="748"/>
      <c r="DT59" s="30">
        <f t="shared" si="41"/>
        <v>351.97</v>
      </c>
      <c r="DU59" s="257">
        <f>VLOOKUP(A59,'новий кошторис с 01.06'!$A$4:$AI$399,35)*1.2</f>
        <v>353.67974555255574</v>
      </c>
      <c r="DV59" s="30">
        <f t="shared" si="42"/>
        <v>-1.7097455525557166</v>
      </c>
      <c r="DW59" s="930">
        <f>'[5]побудинковий звіт'!DW59+'[6]побудинковий звіт'!DW59</f>
        <v>0</v>
      </c>
      <c r="DY59" s="5">
        <f t="shared" si="9"/>
        <v>3237.701131665458</v>
      </c>
      <c r="DZ59" s="5">
        <f t="shared" si="10"/>
        <v>1712.3999999999999</v>
      </c>
      <c r="EA59" s="752">
        <f t="shared" si="43"/>
        <v>67.029999999999973</v>
      </c>
      <c r="EC59" s="592">
        <f t="shared" si="11"/>
        <v>32377.011316654582</v>
      </c>
      <c r="EE59" s="758">
        <v>-1061</v>
      </c>
      <c r="EF59" s="738">
        <f t="shared" si="12"/>
        <v>-2646.3536106207539</v>
      </c>
      <c r="EH59" s="813">
        <v>-3294.4808084891943</v>
      </c>
    </row>
    <row r="60" spans="1:138" x14ac:dyDescent="0.3">
      <c r="A60" s="328">
        <v>150000539</v>
      </c>
      <c r="B60" s="44" t="s">
        <v>508</v>
      </c>
      <c r="C60" s="45" t="s">
        <v>54</v>
      </c>
      <c r="D60" s="45" t="s">
        <v>54</v>
      </c>
      <c r="E60" s="40">
        <f t="shared" si="3"/>
        <v>2189.9</v>
      </c>
      <c r="F60" s="490">
        <v>2189.9</v>
      </c>
      <c r="G60" s="30"/>
      <c r="H60" s="30">
        <v>0</v>
      </c>
      <c r="I60" s="42">
        <f>'[1]побудинковий звіт'!I60+'[2]побудинковий звіт'!I60-'[3]побудинковий звіт'!I60</f>
        <v>0</v>
      </c>
      <c r="J60" s="42">
        <f>'[1]побудинковий звіт'!J60+'[2]побудинковий звіт'!J60-'[3]побудинковий звіт'!J60</f>
        <v>0</v>
      </c>
      <c r="K60" s="56">
        <f t="shared" si="13"/>
        <v>0</v>
      </c>
      <c r="L60" s="42">
        <f>'[1]побудинковий звіт'!L60+'[2]побудинковий звіт'!L60-'[3]побудинковий звіт'!L60</f>
        <v>0</v>
      </c>
      <c r="M60" s="42">
        <f>'[1]побудинковий звіт'!M60+'[2]побудинковий звіт'!M60-'[3]побудинковий звіт'!M60</f>
        <v>0</v>
      </c>
      <c r="N60" s="56">
        <f t="shared" si="14"/>
        <v>0</v>
      </c>
      <c r="O60" s="42">
        <f>'[1]побудинковий звіт'!O60+'[2]побудинковий звіт'!O60-'[3]побудинковий звіт'!O60</f>
        <v>0</v>
      </c>
      <c r="P60" s="42">
        <f>'[1]побудинковий звіт'!P60+'[2]побудинковий звіт'!P60-'[3]побудинковий звіт'!P60</f>
        <v>0</v>
      </c>
      <c r="Q60" s="56">
        <f t="shared" si="15"/>
        <v>0</v>
      </c>
      <c r="R60" s="42">
        <f>'[1]побудинковий звіт'!R60+'[2]побудинковий звіт'!R60-'[3]побудинковий звіт'!R60</f>
        <v>0</v>
      </c>
      <c r="S60" s="42">
        <f>'[1]побудинковий звіт'!S60+'[2]побудинковий звіт'!S60-'[3]побудинковий звіт'!S60</f>
        <v>0</v>
      </c>
      <c r="T60" s="56">
        <f t="shared" si="16"/>
        <v>0</v>
      </c>
      <c r="U60" s="42">
        <f>'[1]побудинковий звіт'!U60+'[2]побудинковий звіт'!U60-'[3]побудинковий звіт'!U60</f>
        <v>0</v>
      </c>
      <c r="V60" s="42">
        <f>'[1]побудинковий звіт'!V60+'[2]побудинковий звіт'!V60-'[3]побудинковий звіт'!V60</f>
        <v>0</v>
      </c>
      <c r="W60" s="56">
        <f t="shared" si="17"/>
        <v>0</v>
      </c>
      <c r="X60" s="42">
        <f>'[1]побудинковий звіт'!X60+'[2]побудинковий звіт'!X60-'[3]побудинковий звіт'!X60</f>
        <v>0</v>
      </c>
      <c r="Y60" s="42">
        <f>'[1]побудинковий звіт'!Y60+'[2]побудинковий звіт'!Y60-'[3]побудинковий звіт'!Y60</f>
        <v>0</v>
      </c>
      <c r="Z60" s="56">
        <f t="shared" si="18"/>
        <v>0</v>
      </c>
      <c r="AA60" s="42">
        <f>'[1]побудинковий звіт'!AA60+'[2]побудинковий звіт'!AA60-'[3]побудинковий звіт'!AA60</f>
        <v>0</v>
      </c>
      <c r="AB60" s="42">
        <f>'[1]побудинковий звіт'!AB60+'[2]побудинковий звіт'!AB60-'[3]побудинковий звіт'!AB60</f>
        <v>0</v>
      </c>
      <c r="AC60" s="56">
        <f t="shared" si="19"/>
        <v>0</v>
      </c>
      <c r="AD60" s="42">
        <f>'[1]побудинковий звіт'!AD60+'[2]побудинковий звіт'!AD60-'[3]побудинковий звіт'!AD60</f>
        <v>0</v>
      </c>
      <c r="AE60" s="42">
        <f>'[1]побудинковий звіт'!AE60+'[2]побудинковий звіт'!AE60-'[3]побудинковий звіт'!AE60</f>
        <v>55.820800866549391</v>
      </c>
      <c r="AF60" s="37">
        <f t="shared" si="20"/>
        <v>55.820800866549391</v>
      </c>
      <c r="AG60" s="87">
        <f t="shared" si="4"/>
        <v>0</v>
      </c>
      <c r="AH60" s="57">
        <f t="shared" si="4"/>
        <v>55.820800866549391</v>
      </c>
      <c r="AI60" s="56">
        <f t="shared" si="21"/>
        <v>55.820800866549391</v>
      </c>
      <c r="AJ60" s="42">
        <f>'[1]побудинковий звіт'!AJ60+'[2]побудинковий звіт'!AJ60-'[3]побудинковий звіт'!AJ60</f>
        <v>0</v>
      </c>
      <c r="AK60" s="42">
        <f>'[1]побудинковий звіт'!AK60+'[2]побудинковий звіт'!AK60-'[3]побудинковий звіт'!AK60</f>
        <v>0</v>
      </c>
      <c r="AL60" s="56">
        <f t="shared" si="22"/>
        <v>0</v>
      </c>
      <c r="AM60" s="42">
        <f>'[1]побудинковий звіт'!AM60+'[2]побудинковий звіт'!AM60-'[3]побудинковий звіт'!AM60</f>
        <v>0</v>
      </c>
      <c r="AN60" s="42">
        <f>'[1]побудинковий звіт'!AN60+'[2]побудинковий звіт'!AN60-'[3]побудинковий звіт'!AN60</f>
        <v>0</v>
      </c>
      <c r="AO60" s="56">
        <f t="shared" si="23"/>
        <v>0</v>
      </c>
      <c r="AP60" s="42">
        <f>'[1]побудинковий звіт'!AP60+'[2]побудинковий звіт'!AP60-'[3]побудинковий звіт'!AP60</f>
        <v>284.10529286809492</v>
      </c>
      <c r="AQ60" s="42">
        <f>'[1]побудинковий звіт'!AQ60+'[2]побудинковий звіт'!AQ60-'[3]побудинковий звіт'!AQ60</f>
        <v>70.071844713601308</v>
      </c>
      <c r="AR60" s="56">
        <f t="shared" si="24"/>
        <v>-214.03344815449361</v>
      </c>
      <c r="AS60" s="42">
        <f>'[1]побудинковий звіт'!AS60+'[2]побудинковий звіт'!AS60-'[3]побудинковий звіт'!AS60</f>
        <v>1145.6293036813659</v>
      </c>
      <c r="AT60" s="42">
        <f>'[1]побудинковий звіт'!AT60+'[2]побудинковий звіт'!AT60-'[3]побудинковий звіт'!AT60</f>
        <v>0</v>
      </c>
      <c r="AU60" s="58">
        <f t="shared" si="44"/>
        <v>-1145.6293036813659</v>
      </c>
      <c r="AV60" s="42">
        <f>'[1]побудинковий звіт'!AV60+'[2]побудинковий звіт'!AV60-'[3]побудинковий звіт'!AV60</f>
        <v>0</v>
      </c>
      <c r="AW60" s="42">
        <f>'[1]побудинковий звіт'!AW60+'[2]побудинковий звіт'!AW60-'[3]побудинковий звіт'!AW60</f>
        <v>0</v>
      </c>
      <c r="AX60" s="59">
        <f t="shared" si="45"/>
        <v>0</v>
      </c>
      <c r="AY60" s="42">
        <f>'[1]побудинковий звіт'!AY60+'[2]побудинковий звіт'!AY60-'[3]побудинковий звіт'!AY60</f>
        <v>0</v>
      </c>
      <c r="AZ60" s="42">
        <f>'[1]побудинковий звіт'!AZ60+'[2]побудинковий звіт'!AZ60-'[3]побудинковий звіт'!AZ60</f>
        <v>0</v>
      </c>
      <c r="BA60" s="37">
        <f t="shared" si="46"/>
        <v>0</v>
      </c>
      <c r="BB60" s="42">
        <f>'[1]побудинковий звіт'!BB60+'[2]побудинковий звіт'!BB60-'[3]побудинковий звіт'!BB60</f>
        <v>0</v>
      </c>
      <c r="BC60" s="42">
        <f>'[1]побудинковий звіт'!BC60+'[2]побудинковий звіт'!BC60-'[3]побудинковий звіт'!BC60</f>
        <v>0</v>
      </c>
      <c r="BD60" s="59">
        <f t="shared" si="47"/>
        <v>0</v>
      </c>
      <c r="BE60" s="42">
        <f>'[1]побудинковий звіт'!BE60+'[2]побудинковий звіт'!BE60-'[3]побудинковий звіт'!BE60</f>
        <v>0</v>
      </c>
      <c r="BF60" s="42">
        <f>'[1]побудинковий звіт'!BF60+'[2]побудинковий звіт'!BF60-'[3]побудинковий звіт'!BF60</f>
        <v>0</v>
      </c>
      <c r="BG60" s="39">
        <f t="shared" si="48"/>
        <v>0</v>
      </c>
      <c r="BH60" s="42">
        <f>'[1]побудинковий звіт'!BH60+'[2]побудинковий звіт'!BH60-'[3]побудинковий звіт'!BH60</f>
        <v>0</v>
      </c>
      <c r="BI60" s="42">
        <f>'[1]побудинковий звіт'!BI60+'[2]побудинковий звіт'!BI60-'[3]побудинковий звіт'!BI60</f>
        <v>0</v>
      </c>
      <c r="BJ60" s="59">
        <f t="shared" si="49"/>
        <v>0</v>
      </c>
      <c r="BK60" s="42">
        <f>'[1]побудинковий звіт'!BK60+'[2]побудинковий звіт'!BK60-'[3]побудинковий звіт'!BK60</f>
        <v>0</v>
      </c>
      <c r="BL60" s="42">
        <f>'[1]побудинковий звіт'!BL60+'[2]побудинковий звіт'!BL60-'[3]побудинковий звіт'!BL60</f>
        <v>0</v>
      </c>
      <c r="BM60" s="39">
        <f t="shared" si="50"/>
        <v>0</v>
      </c>
      <c r="BN60" s="42">
        <f>'[1]побудинковий звіт'!BN60+'[2]побудинковий звіт'!BN60-'[3]побудинковий звіт'!BN60</f>
        <v>0</v>
      </c>
      <c r="BO60" s="42">
        <f>'[1]побудинковий звіт'!BO60+'[2]побудинковий звіт'!BO60-'[3]побудинковий звіт'!BO60</f>
        <v>0</v>
      </c>
      <c r="BP60" s="59">
        <f t="shared" si="51"/>
        <v>0</v>
      </c>
      <c r="BQ60" s="87">
        <f t="shared" si="57"/>
        <v>0</v>
      </c>
      <c r="BR60" s="43">
        <f t="shared" si="58"/>
        <v>0</v>
      </c>
      <c r="BS60" s="59">
        <f t="shared" si="52"/>
        <v>0</v>
      </c>
      <c r="BT60" s="42">
        <f>'[1]побудинковий звіт'!BT60+'[2]побудинковий звіт'!BT60-'[3]побудинковий звіт'!BT60</f>
        <v>71.781032262592518</v>
      </c>
      <c r="BU60" s="42">
        <f>'[1]побудинковий звіт'!BU60+'[2]побудинковий звіт'!BU60-'[3]побудинковий звіт'!BU60</f>
        <v>280.65036203114272</v>
      </c>
      <c r="BV60" s="56">
        <f t="shared" si="25"/>
        <v>208.86932976855019</v>
      </c>
      <c r="BW60" s="42">
        <f>'[1]побудинковий звіт'!BW60+'[2]побудинковий звіт'!BW60-'[3]побудинковий звіт'!BW60</f>
        <v>0</v>
      </c>
      <c r="BX60" s="42">
        <f>'[1]побудинковий звіт'!BX60+'[2]побудинковий звіт'!BX60-'[3]побудинковий звіт'!BX60</f>
        <v>2.6994872886280712</v>
      </c>
      <c r="BY60" s="56">
        <f t="shared" si="26"/>
        <v>2.6994872886280712</v>
      </c>
      <c r="BZ60" s="42">
        <f>'[1]побудинковий звіт'!BZ60+'[2]побудинковий звіт'!BZ60-'[3]побудинковий звіт'!BZ60</f>
        <v>0</v>
      </c>
      <c r="CA60" s="42">
        <f>'[1]побудинковий звіт'!CA60+'[2]побудинковий звіт'!CA60-'[3]побудинковий звіт'!CA60</f>
        <v>67.921454805011933</v>
      </c>
      <c r="CB60" s="56">
        <f t="shared" si="27"/>
        <v>67.921454805011933</v>
      </c>
      <c r="CC60" s="42">
        <f>'[1]побудинковий звіт'!CC60+'[2]побудинковий звіт'!CC60-'[3]побудинковий звіт'!CC60</f>
        <v>0</v>
      </c>
      <c r="CD60" s="42">
        <f>'[1]побудинковий звіт'!CD60+'[2]побудинковий звіт'!CD60-'[3]побудинковий звіт'!CD60</f>
        <v>0</v>
      </c>
      <c r="CE60" s="56">
        <f t="shared" si="28"/>
        <v>0</v>
      </c>
      <c r="CF60" s="42">
        <f>'[1]побудинковий звіт'!CF60+'[2]побудинковий звіт'!CF60-'[3]побудинковий звіт'!CF60</f>
        <v>0</v>
      </c>
      <c r="CG60" s="42">
        <f>'[1]побудинковий звіт'!CG60+'[2]побудинковий звіт'!CG60-'[3]побудинковий звіт'!CG60</f>
        <v>0</v>
      </c>
      <c r="CH60" s="56">
        <f t="shared" si="29"/>
        <v>0</v>
      </c>
      <c r="CI60" s="42">
        <f>'[1]побудинковий звіт'!CI60+'[2]побудинковий звіт'!CI60-'[3]побудинковий звіт'!CI60</f>
        <v>0</v>
      </c>
      <c r="CJ60" s="42">
        <f>'[1]побудинковий звіт'!CJ60+'[2]побудинковий звіт'!CJ60-'[3]побудинковий звіт'!CJ60</f>
        <v>0</v>
      </c>
      <c r="CK60" s="56">
        <f t="shared" si="30"/>
        <v>0</v>
      </c>
      <c r="CL60" s="42">
        <f>'[1]побудинковий звіт'!CL60+'[2]побудинковий звіт'!CL60-'[3]побудинковий звіт'!CL60</f>
        <v>0</v>
      </c>
      <c r="CM60" s="42">
        <f>'[1]побудинковий звіт'!CM60+'[2]побудинковий звіт'!CM60-'[3]побудинковий звіт'!CM60</f>
        <v>0</v>
      </c>
      <c r="CN60" s="56">
        <f t="shared" si="31"/>
        <v>0</v>
      </c>
      <c r="CO60" s="42">
        <f t="shared" si="7"/>
        <v>0</v>
      </c>
      <c r="CP60" s="43">
        <f t="shared" si="32"/>
        <v>0</v>
      </c>
      <c r="CQ60" s="56">
        <f t="shared" si="33"/>
        <v>0</v>
      </c>
      <c r="CR60" s="78">
        <f t="shared" si="8"/>
        <v>1501.5156288120534</v>
      </c>
      <c r="CS60" s="5">
        <f t="shared" si="8"/>
        <v>477.16394970493343</v>
      </c>
      <c r="CT60" s="56">
        <f t="shared" si="34"/>
        <v>-1024.3516791071199</v>
      </c>
      <c r="CU60" s="87">
        <f t="shared" si="35"/>
        <v>1801.818754574464</v>
      </c>
      <c r="CV60" s="70">
        <f t="shared" si="36"/>
        <v>572.59673964592014</v>
      </c>
      <c r="CW60" s="37">
        <f t="shared" si="37"/>
        <v>-1229.222014928544</v>
      </c>
      <c r="CX60" s="42">
        <f>'[1]побудинковий звіт'!CX60+'[2]побудинковий звіт'!CX60-'[3]побудинковий звіт'!CX60</f>
        <v>44.981245425536372</v>
      </c>
      <c r="CY60" s="42">
        <f>'[1]побудинковий звіт'!CY60+'[2]побудинковий звіт'!CY60-'[3]побудинковий звіт'!CY60</f>
        <v>1274.2032603540802</v>
      </c>
      <c r="CZ60" s="56">
        <f t="shared" si="38"/>
        <v>1229.2220149285438</v>
      </c>
      <c r="DA60" s="264">
        <f>'[4]побудинковий звіт'!DA60</f>
        <v>8699.6282566232239</v>
      </c>
      <c r="DB60" s="2">
        <v>2</v>
      </c>
      <c r="DC60" s="717">
        <f>'[4]побудинковий звіт'!DC60</f>
        <v>153.9</v>
      </c>
      <c r="DD60" s="717">
        <f>'[4]побудинковий звіт'!DD60</f>
        <v>0</v>
      </c>
      <c r="DE60" s="717">
        <f>'[4]побудинковий звіт'!DE60</f>
        <v>0</v>
      </c>
      <c r="DF60" s="717">
        <f>'[4]побудинковий звіт'!DF60</f>
        <v>0</v>
      </c>
      <c r="DG60" s="787">
        <v>10544.766356315591</v>
      </c>
      <c r="DH60" s="761">
        <f t="shared" si="39"/>
        <v>22161.600000000006</v>
      </c>
      <c r="DI60" s="784"/>
      <c r="DJ60" s="5"/>
      <c r="DK60" s="317">
        <f>VLOOKUP($A60,ціни!$A$4:$G$401,5)</f>
        <v>1.8365793789168912</v>
      </c>
      <c r="DL60" s="317"/>
      <c r="DM60" s="317">
        <f>VLOOKUP($A60,ціни!$A$4:$G$401,7)</f>
        <v>1.8365793789168912</v>
      </c>
      <c r="DN60" s="30">
        <f t="shared" si="59"/>
        <v>4021.9251818901002</v>
      </c>
      <c r="DO60" s="30">
        <f t="shared" si="60"/>
        <v>0</v>
      </c>
      <c r="DP60" s="316">
        <f t="shared" si="40"/>
        <v>4021.9251818901002</v>
      </c>
      <c r="DQ60" s="104"/>
      <c r="DR60" s="30">
        <f>VLOOKUP(A60,'ДЗ нас '!$A$1:$C$359,2)</f>
        <v>153.9</v>
      </c>
      <c r="DS60" s="748"/>
      <c r="DT60" s="30">
        <f t="shared" si="41"/>
        <v>153.9</v>
      </c>
      <c r="DU60" s="257">
        <f>VLOOKUP(A60,'новий кошторис с 01.06'!$A$4:$AI$399,35)*1.2</f>
        <v>154.65610976764148</v>
      </c>
      <c r="DV60" s="30">
        <f t="shared" si="42"/>
        <v>-0.75610976764147608</v>
      </c>
      <c r="DW60" s="930">
        <f>'[5]побудинковий звіт'!DW60+'[6]побудинковий звіт'!DW60</f>
        <v>0</v>
      </c>
      <c r="DY60" s="5">
        <f t="shared" si="9"/>
        <v>1374.755164417639</v>
      </c>
      <c r="DZ60" s="5">
        <f t="shared" si="10"/>
        <v>0</v>
      </c>
      <c r="EA60" s="752">
        <f t="shared" si="43"/>
        <v>0</v>
      </c>
      <c r="EC60" s="592">
        <f t="shared" si="11"/>
        <v>13747.55164417639</v>
      </c>
      <c r="EE60" s="758">
        <v>-457</v>
      </c>
      <c r="EF60" s="738">
        <f t="shared" si="12"/>
        <v>10087.766356315591</v>
      </c>
      <c r="EH60" s="813">
        <v>9765.111312205112</v>
      </c>
    </row>
    <row r="61" spans="1:138" x14ac:dyDescent="0.3">
      <c r="A61" s="328">
        <v>150000517</v>
      </c>
      <c r="B61" s="44" t="s">
        <v>509</v>
      </c>
      <c r="C61" s="45" t="s">
        <v>251</v>
      </c>
      <c r="D61" s="45" t="s">
        <v>251</v>
      </c>
      <c r="E61" s="40">
        <f t="shared" si="3"/>
        <v>1536.02</v>
      </c>
      <c r="F61" s="490">
        <v>1173.1199999999999</v>
      </c>
      <c r="G61" s="30"/>
      <c r="H61" s="30">
        <v>362.90000000000003</v>
      </c>
      <c r="I61" s="42">
        <f>'[1]побудинковий звіт'!I61+'[2]побудинковий звіт'!I61-'[3]побудинковий звіт'!I61</f>
        <v>6257.5911484659837</v>
      </c>
      <c r="J61" s="42">
        <f>'[1]побудинковий звіт'!J61+'[2]побудинковий звіт'!J61-'[3]побудинковий звіт'!J61</f>
        <v>6247.6094677567426</v>
      </c>
      <c r="K61" s="56">
        <f t="shared" si="13"/>
        <v>-9.9816807092411182</v>
      </c>
      <c r="L61" s="42">
        <f>'[1]побудинковий звіт'!L61+'[2]побудинковий звіт'!L61-'[3]побудинковий звіт'!L61</f>
        <v>1166.4230722268235</v>
      </c>
      <c r="M61" s="42">
        <f>'[1]побудинковий звіт'!M61+'[2]побудинковий звіт'!M61-'[3]побудинковий звіт'!M61</f>
        <v>1176.8699274465257</v>
      </c>
      <c r="N61" s="56">
        <f t="shared" si="14"/>
        <v>10.446855219702229</v>
      </c>
      <c r="O61" s="42">
        <f>'[1]побудинковий звіт'!O61+'[2]побудинковий звіт'!O61-'[3]побудинковий звіт'!O61</f>
        <v>2394.8399999999997</v>
      </c>
      <c r="P61" s="42">
        <f>'[1]побудинковий звіт'!P61+'[2]побудинковий звіт'!P61-'[3]побудинковий звіт'!P61</f>
        <v>1882.348017204301</v>
      </c>
      <c r="Q61" s="56">
        <f t="shared" si="15"/>
        <v>-512.49198279569873</v>
      </c>
      <c r="R61" s="42">
        <f>'[1]побудинковий звіт'!R61+'[2]побудинковий звіт'!R61-'[3]побудинковий звіт'!R61</f>
        <v>0</v>
      </c>
      <c r="S61" s="42">
        <f>'[1]побудинковий звіт'!S61+'[2]побудинковий звіт'!S61-'[3]побудинковий звіт'!S61</f>
        <v>0</v>
      </c>
      <c r="T61" s="56">
        <f t="shared" si="16"/>
        <v>0</v>
      </c>
      <c r="U61" s="42">
        <f>'[1]побудинковий звіт'!U61+'[2]побудинковий звіт'!U61-'[3]побудинковий звіт'!U61</f>
        <v>0</v>
      </c>
      <c r="V61" s="42">
        <f>'[1]побудинковий звіт'!V61+'[2]побудинковий звіт'!V61-'[3]побудинковий звіт'!V61</f>
        <v>0</v>
      </c>
      <c r="W61" s="56">
        <f t="shared" si="17"/>
        <v>0</v>
      </c>
      <c r="X61" s="42">
        <f>'[1]побудинковий звіт'!X61+'[2]побудинковий звіт'!X61-'[3]побудинковий звіт'!X61</f>
        <v>3099.9059752268099</v>
      </c>
      <c r="Y61" s="42">
        <f>'[1]побудинковий звіт'!Y61+'[2]побудинковий звіт'!Y61-'[3]побудинковий звіт'!Y61</f>
        <v>3749.6679248731875</v>
      </c>
      <c r="Z61" s="56">
        <f t="shared" si="18"/>
        <v>649.76194964637762</v>
      </c>
      <c r="AA61" s="42">
        <f>'[1]побудинковий звіт'!AA61+'[2]побудинковий звіт'!AA61-'[3]побудинковий звіт'!AA61</f>
        <v>0</v>
      </c>
      <c r="AB61" s="42">
        <f>'[1]побудинковий звіт'!AB61+'[2]побудинковий звіт'!AB61-'[3]побудинковий звіт'!AB61</f>
        <v>0</v>
      </c>
      <c r="AC61" s="56">
        <f t="shared" si="19"/>
        <v>0</v>
      </c>
      <c r="AD61" s="42">
        <f>'[1]побудинковий звіт'!AD61+'[2]побудинковий звіт'!AD61-'[3]побудинковий звіт'!AD61</f>
        <v>8101.8455891149861</v>
      </c>
      <c r="AE61" s="42">
        <f>'[1]побудинковий звіт'!AE61+'[2]побудинковий звіт'!AE61-'[3]побудинковий звіт'!AE61</f>
        <v>7467.2804452761757</v>
      </c>
      <c r="AF61" s="37">
        <f t="shared" si="20"/>
        <v>-634.5651438388104</v>
      </c>
      <c r="AG61" s="87">
        <f t="shared" si="4"/>
        <v>21020.605785034604</v>
      </c>
      <c r="AH61" s="57">
        <f t="shared" si="4"/>
        <v>20523.775782556932</v>
      </c>
      <c r="AI61" s="56">
        <f t="shared" si="21"/>
        <v>-496.83000247767268</v>
      </c>
      <c r="AJ61" s="42">
        <f>'[1]побудинковий звіт'!AJ61+'[2]побудинковий звіт'!AJ61-'[3]побудинковий звіт'!AJ61</f>
        <v>0</v>
      </c>
      <c r="AK61" s="42">
        <f>'[1]побудинковий звіт'!AK61+'[2]побудинковий звіт'!AK61-'[3]побудинковий звіт'!AK61</f>
        <v>0</v>
      </c>
      <c r="AL61" s="56">
        <f t="shared" si="22"/>
        <v>0</v>
      </c>
      <c r="AM61" s="42">
        <f>'[1]побудинковий звіт'!AM61+'[2]побудинковий звіт'!AM61-'[3]побудинковий звіт'!AM61</f>
        <v>0</v>
      </c>
      <c r="AN61" s="42">
        <f>'[1]побудинковий звіт'!AN61+'[2]побудинковий звіт'!AN61-'[3]побудинковий звіт'!AN61</f>
        <v>0</v>
      </c>
      <c r="AO61" s="56">
        <f t="shared" si="23"/>
        <v>0</v>
      </c>
      <c r="AP61" s="42">
        <f>'[1]побудинковий звіт'!AP61+'[2]побудинковий звіт'!AP61-'[3]побудинковий звіт'!AP61</f>
        <v>4687.737332323567</v>
      </c>
      <c r="AQ61" s="42">
        <f>'[1]побудинковий звіт'!AQ61+'[2]побудинковий звіт'!AQ61-'[3]побудинковий звіт'!AQ61</f>
        <v>4023.4161867351477</v>
      </c>
      <c r="AR61" s="56">
        <f t="shared" si="24"/>
        <v>-664.32114558841931</v>
      </c>
      <c r="AS61" s="42">
        <f>'[1]побудинковий звіт'!AS61+'[2]побудинковий звіт'!AS61-'[3]побудинковий звіт'!AS61</f>
        <v>22788.826910340897</v>
      </c>
      <c r="AT61" s="42">
        <f>'[1]побудинковий звіт'!AT61+'[2]побудинковий звіт'!AT61-'[3]побудинковий звіт'!AT61</f>
        <v>2525.0969891665945</v>
      </c>
      <c r="AU61" s="58">
        <f t="shared" si="44"/>
        <v>-20263.729921174301</v>
      </c>
      <c r="AV61" s="42">
        <f>'[1]побудинковий звіт'!AV61+'[2]побудинковий звіт'!AV61-'[3]побудинковий звіт'!AV61</f>
        <v>1037.8597924756773</v>
      </c>
      <c r="AW61" s="42">
        <f>'[1]побудинковий звіт'!AW61+'[2]побудинковий звіт'!AW61-'[3]побудинковий звіт'!AW61</f>
        <v>0</v>
      </c>
      <c r="AX61" s="59">
        <f t="shared" si="45"/>
        <v>-1037.8597924756773</v>
      </c>
      <c r="AY61" s="42">
        <f>'[1]побудинковий звіт'!AY61+'[2]побудинковий звіт'!AY61-'[3]побудинковий звіт'!AY61</f>
        <v>1503.4989161478395</v>
      </c>
      <c r="AZ61" s="42">
        <f>'[1]побудинковий звіт'!AZ61+'[2]побудинковий звіт'!AZ61-'[3]побудинковий звіт'!AZ61</f>
        <v>0</v>
      </c>
      <c r="BA61" s="37">
        <f t="shared" si="46"/>
        <v>-1503.4989161478395</v>
      </c>
      <c r="BB61" s="42">
        <f>'[1]побудинковий звіт'!BB61+'[2]побудинковий звіт'!BB61-'[3]побудинковий звіт'!BB61</f>
        <v>1474.9544612997895</v>
      </c>
      <c r="BC61" s="42">
        <f>'[1]побудинковий звіт'!BC61+'[2]побудинковий звіт'!BC61-'[3]побудинковий звіт'!BC61</f>
        <v>0</v>
      </c>
      <c r="BD61" s="59">
        <f t="shared" si="47"/>
        <v>-1474.9544612997895</v>
      </c>
      <c r="BE61" s="42">
        <f>'[1]побудинковий звіт'!BE61+'[2]побудинковий звіт'!BE61-'[3]побудинковий звіт'!BE61</f>
        <v>0</v>
      </c>
      <c r="BF61" s="42">
        <f>'[1]побудинковий звіт'!BF61+'[2]побудинковий звіт'!BF61-'[3]побудинковий звіт'!BF61</f>
        <v>0</v>
      </c>
      <c r="BG61" s="39">
        <f t="shared" si="48"/>
        <v>0</v>
      </c>
      <c r="BH61" s="42">
        <f>'[1]побудинковий звіт'!BH61+'[2]побудинковий звіт'!BH61-'[3]побудинковий звіт'!BH61</f>
        <v>0</v>
      </c>
      <c r="BI61" s="42">
        <f>'[1]побудинковий звіт'!BI61+'[2]побудинковий звіт'!BI61-'[3]побудинковий звіт'!BI61</f>
        <v>0</v>
      </c>
      <c r="BJ61" s="59">
        <f t="shared" si="49"/>
        <v>0</v>
      </c>
      <c r="BK61" s="42">
        <f>'[1]побудинковий звіт'!BK61+'[2]побудинковий звіт'!BK61-'[3]побудинковий звіт'!BK61</f>
        <v>394.35347880783615</v>
      </c>
      <c r="BL61" s="42">
        <f>'[1]побудинковий звіт'!BL61+'[2]побудинковий звіт'!BL61-'[3]побудинковий звіт'!BL61</f>
        <v>0</v>
      </c>
      <c r="BM61" s="39">
        <f t="shared" si="50"/>
        <v>-394.35347880783615</v>
      </c>
      <c r="BN61" s="42">
        <f>'[1]побудинковий звіт'!BN61+'[2]побудинковий звіт'!BN61-'[3]побудинковий звіт'!BN61</f>
        <v>0</v>
      </c>
      <c r="BO61" s="42">
        <f>'[1]побудинковий звіт'!BO61+'[2]побудинковий звіт'!BO61-'[3]побудинковий звіт'!BO61</f>
        <v>0</v>
      </c>
      <c r="BP61" s="59">
        <f t="shared" si="51"/>
        <v>0</v>
      </c>
      <c r="BQ61" s="87">
        <f t="shared" si="57"/>
        <v>4410.6666487311422</v>
      </c>
      <c r="BR61" s="43">
        <f t="shared" si="58"/>
        <v>0</v>
      </c>
      <c r="BS61" s="59">
        <f t="shared" si="52"/>
        <v>-4410.6666487311422</v>
      </c>
      <c r="BT61" s="42">
        <f>'[1]побудинковий звіт'!BT61+'[2]побудинковий звіт'!BT61-'[3]побудинковий звіт'!BT61</f>
        <v>9333.7245100036289</v>
      </c>
      <c r="BU61" s="42">
        <f>'[1]побудинковий звіт'!BU61+'[2]побудинковий звіт'!BU61-'[3]побудинковий звіт'!BU61</f>
        <v>15475.06769120472</v>
      </c>
      <c r="BV61" s="56">
        <f t="shared" si="25"/>
        <v>6141.3431812010913</v>
      </c>
      <c r="BW61" s="42">
        <f>'[1]побудинковий звіт'!BW61+'[2]побудинковий звіт'!BW61-'[3]побудинковий звіт'!BW61</f>
        <v>7796.6057865763341</v>
      </c>
      <c r="BX61" s="42">
        <f>'[1]побудинковий звіт'!BX61+'[2]побудинковий звіт'!BX61-'[3]побудинковий звіт'!BX61</f>
        <v>8406.8910579432413</v>
      </c>
      <c r="BY61" s="56">
        <f t="shared" si="26"/>
        <v>610.28527136690718</v>
      </c>
      <c r="BZ61" s="42">
        <f>'[1]побудинковий звіт'!BZ61+'[2]побудинковий звіт'!BZ61-'[3]побудинковий звіт'!BZ61</f>
        <v>5222.7637869268692</v>
      </c>
      <c r="CA61" s="42">
        <f>'[1]побудинковий звіт'!CA61+'[2]побудинковий звіт'!CA61-'[3]побудинковий звіт'!CA61</f>
        <v>6164.5143098862409</v>
      </c>
      <c r="CB61" s="56">
        <f t="shared" si="27"/>
        <v>941.75052295937166</v>
      </c>
      <c r="CC61" s="42">
        <f>'[1]побудинковий звіт'!CC61+'[2]побудинковий звіт'!CC61-'[3]побудинковий звіт'!CC61</f>
        <v>0</v>
      </c>
      <c r="CD61" s="42">
        <f>'[1]побудинковий звіт'!CD61+'[2]побудинковий звіт'!CD61-'[3]побудинковий звіт'!CD61</f>
        <v>0</v>
      </c>
      <c r="CE61" s="56">
        <f t="shared" si="28"/>
        <v>0</v>
      </c>
      <c r="CF61" s="42">
        <f>'[1]побудинковий звіт'!CF61+'[2]побудинковий звіт'!CF61-'[3]побудинковий звіт'!CF61</f>
        <v>0</v>
      </c>
      <c r="CG61" s="42">
        <f>'[1]побудинковий звіт'!CG61+'[2]побудинковий звіт'!CG61-'[3]побудинковий звіт'!CG61</f>
        <v>0</v>
      </c>
      <c r="CH61" s="56">
        <f t="shared" si="29"/>
        <v>0</v>
      </c>
      <c r="CI61" s="42">
        <f>'[1]побудинковий звіт'!CI61+'[2]побудинковий звіт'!CI61-'[3]побудинковий звіт'!CI61</f>
        <v>2919.9339276419723</v>
      </c>
      <c r="CJ61" s="42">
        <f>'[1]побудинковий звіт'!CJ61+'[2]побудинковий звіт'!CJ61-'[3]побудинковий звіт'!CJ61</f>
        <v>1123.8360533870646</v>
      </c>
      <c r="CK61" s="56">
        <f t="shared" si="30"/>
        <v>-1796.0978742549078</v>
      </c>
      <c r="CL61" s="42">
        <f>'[1]побудинковий звіт'!CL61+'[2]побудинковий звіт'!CL61-'[3]побудинковий звіт'!CL61</f>
        <v>0</v>
      </c>
      <c r="CM61" s="42">
        <f>'[1]побудинковий звіт'!CM61+'[2]побудинковий звіт'!CM61-'[3]побудинковий звіт'!CM61</f>
        <v>0</v>
      </c>
      <c r="CN61" s="56">
        <f t="shared" si="31"/>
        <v>0</v>
      </c>
      <c r="CO61" s="42">
        <f t="shared" si="7"/>
        <v>2919.9339276419723</v>
      </c>
      <c r="CP61" s="43">
        <f t="shared" si="32"/>
        <v>1123.8360533870646</v>
      </c>
      <c r="CQ61" s="56">
        <f t="shared" si="33"/>
        <v>-1796.0978742549078</v>
      </c>
      <c r="CR61" s="78">
        <f t="shared" si="8"/>
        <v>78180.864687579015</v>
      </c>
      <c r="CS61" s="5">
        <f t="shared" si="8"/>
        <v>58242.59807087994</v>
      </c>
      <c r="CT61" s="56">
        <f t="shared" si="34"/>
        <v>-19938.266616699075</v>
      </c>
      <c r="CU61" s="87">
        <f t="shared" si="35"/>
        <v>93817.037625094817</v>
      </c>
      <c r="CV61" s="70">
        <f t="shared" si="36"/>
        <v>69891.117685055928</v>
      </c>
      <c r="CW61" s="37">
        <f t="shared" si="37"/>
        <v>-23925.91994003889</v>
      </c>
      <c r="CX61" s="42">
        <f>'[1]побудинковий звіт'!CX61+'[2]побудинковий звіт'!CX61-'[3]побудинковий звіт'!CX61</f>
        <v>3262.8423749051908</v>
      </c>
      <c r="CY61" s="42">
        <f>'[1]побудинковий звіт'!CY61+'[2]побудинковий звіт'!CY61-'[3]побудинковий звіт'!CY61</f>
        <v>27188.76231494407</v>
      </c>
      <c r="CZ61" s="56">
        <f t="shared" si="38"/>
        <v>23925.919940038879</v>
      </c>
      <c r="DA61" s="264">
        <f>'[4]побудинковий звіт'!DA61</f>
        <v>82006.759574489784</v>
      </c>
      <c r="DB61" s="2">
        <v>2</v>
      </c>
      <c r="DC61" s="717">
        <f>'[4]побудинковий звіт'!DC61</f>
        <v>9659.84</v>
      </c>
      <c r="DD61" s="717">
        <f>'[4]побудинковий звіт'!DD61</f>
        <v>4770.1000000000004</v>
      </c>
      <c r="DE61" s="717">
        <f>'[4]побудинковий звіт'!DE61</f>
        <v>2965.0600000000004</v>
      </c>
      <c r="DF61" s="717">
        <f>'[4]побудинковий звіт'!DF61</f>
        <v>3374.8900000000003</v>
      </c>
      <c r="DG61" s="787">
        <v>109962.09986739373</v>
      </c>
      <c r="DH61" s="761">
        <f t="shared" si="39"/>
        <v>1164958.56</v>
      </c>
      <c r="DI61" s="784"/>
      <c r="DJ61" s="5"/>
      <c r="DK61" s="317">
        <f>VLOOKUP($A61,ціни!$A$4:$G$401,5)</f>
        <v>4.3713752884997348</v>
      </c>
      <c r="DL61" s="317"/>
      <c r="DM61" s="317">
        <f>VLOOKUP($A61,ціни!$A$4:$G$401,7)</f>
        <v>3.8446119887343126</v>
      </c>
      <c r="DN61" s="30">
        <f t="shared" si="59"/>
        <v>5128.147778444808</v>
      </c>
      <c r="DO61" s="30">
        <f t="shared" si="60"/>
        <v>1395.2096907116822</v>
      </c>
      <c r="DP61" s="316">
        <f t="shared" si="40"/>
        <v>6523.35746915649</v>
      </c>
      <c r="DQ61" s="104"/>
      <c r="DR61" s="30">
        <f>VLOOKUP(A61,'ДЗ нас '!$A$1:$C$359,2)</f>
        <v>6694.78</v>
      </c>
      <c r="DS61" s="748">
        <f>VLOOKUP(A61,'ДЗ нежит'!$A$1:$D$153,4,0)</f>
        <v>1395.21</v>
      </c>
      <c r="DT61" s="30">
        <f t="shared" si="41"/>
        <v>8089.99</v>
      </c>
      <c r="DU61" s="257">
        <f>VLOOKUP(A61,'новий кошторис с 01.06'!$A$4:$AI$399,35)*1.2</f>
        <v>8146.4461004457326</v>
      </c>
      <c r="DV61" s="30">
        <f t="shared" si="42"/>
        <v>-56.456100445732773</v>
      </c>
      <c r="DW61" s="930">
        <f>'[5]побудинковий звіт'!DW61+'[6]побудинковий звіт'!DW61</f>
        <v>204</v>
      </c>
      <c r="DY61" s="5">
        <f t="shared" si="9"/>
        <v>32639.392270886445</v>
      </c>
      <c r="DZ61" s="5">
        <f t="shared" si="10"/>
        <v>3030.1163869999132</v>
      </c>
      <c r="EA61" s="752">
        <f t="shared" si="43"/>
        <v>6339.9500000000007</v>
      </c>
      <c r="EC61" s="592">
        <f t="shared" si="11"/>
        <v>273465.92292409076</v>
      </c>
      <c r="EE61" s="758">
        <v>-16273</v>
      </c>
      <c r="EF61" s="738">
        <f t="shared" si="12"/>
        <v>93689.099867393728</v>
      </c>
      <c r="EH61" s="813">
        <v>104089.46308054702</v>
      </c>
    </row>
    <row r="62" spans="1:138" x14ac:dyDescent="0.3">
      <c r="A62" s="328">
        <v>150000518</v>
      </c>
      <c r="B62" s="44" t="s">
        <v>510</v>
      </c>
      <c r="C62" s="45" t="s">
        <v>194</v>
      </c>
      <c r="D62" s="45" t="s">
        <v>194</v>
      </c>
      <c r="E62" s="40">
        <f t="shared" si="3"/>
        <v>2807.4</v>
      </c>
      <c r="F62" s="490">
        <v>2743.1</v>
      </c>
      <c r="G62" s="30"/>
      <c r="H62" s="30">
        <v>64.3</v>
      </c>
      <c r="I62" s="42">
        <f>'[1]побудинковий звіт'!I62+'[2]побудинковий звіт'!I62-'[3]побудинковий звіт'!I62</f>
        <v>3598.6920950821486</v>
      </c>
      <c r="J62" s="42">
        <f>'[1]побудинковий звіт'!J62+'[2]побудинковий звіт'!J62-'[3]побудинковий звіт'!J62</f>
        <v>3573.0420026890902</v>
      </c>
      <c r="K62" s="56">
        <f t="shared" si="13"/>
        <v>-25.650092393058458</v>
      </c>
      <c r="L62" s="42">
        <f>'[1]побудинковий звіт'!L62+'[2]побудинковий звіт'!L62-'[3]побудинковий звіт'!L62</f>
        <v>798.03393845009134</v>
      </c>
      <c r="M62" s="42">
        <f>'[1]побудинковий звіт'!M62+'[2]побудинковий звіт'!M62-'[3]побудинковий звіт'!M62</f>
        <v>805.17965355740216</v>
      </c>
      <c r="N62" s="56">
        <f t="shared" si="14"/>
        <v>7.1457151073108207</v>
      </c>
      <c r="O62" s="42">
        <f>'[1]побудинковий звіт'!O62+'[2]побудинковий звіт'!O62-'[3]побудинковий звіт'!O62</f>
        <v>1137.96</v>
      </c>
      <c r="P62" s="42">
        <f>'[1]побудинковий звіт'!P62+'[2]побудинковий звіт'!P62-'[3]побудинковий звіт'!P62</f>
        <v>894.46520564516152</v>
      </c>
      <c r="Q62" s="56">
        <f t="shared" si="15"/>
        <v>-243.49479435483852</v>
      </c>
      <c r="R62" s="42">
        <f>'[1]побудинковий звіт'!R62+'[2]побудинковий звіт'!R62-'[3]побудинковий звіт'!R62</f>
        <v>0</v>
      </c>
      <c r="S62" s="42">
        <f>'[1]побудинковий звіт'!S62+'[2]побудинковий звіт'!S62-'[3]побудинковий звіт'!S62</f>
        <v>0</v>
      </c>
      <c r="T62" s="56">
        <f t="shared" si="16"/>
        <v>0</v>
      </c>
      <c r="U62" s="42">
        <f>'[1]побудинковий звіт'!U62+'[2]побудинковий звіт'!U62-'[3]побудинковий звіт'!U62</f>
        <v>0</v>
      </c>
      <c r="V62" s="42">
        <f>'[1]побудинковий звіт'!V62+'[2]побудинковий звіт'!V62-'[3]побудинковий звіт'!V62</f>
        <v>0</v>
      </c>
      <c r="W62" s="56">
        <f t="shared" si="17"/>
        <v>0</v>
      </c>
      <c r="X62" s="42">
        <f>'[1]побудинковий звіт'!X62+'[2]побудинковий звіт'!X62-'[3]побудинковий звіт'!X62</f>
        <v>2347.3064311886446</v>
      </c>
      <c r="Y62" s="42">
        <f>'[1]побудинковий звіт'!Y62+'[2]побудинковий звіт'!Y62-'[3]побудинковий звіт'!Y62</f>
        <v>1656.7852630975681</v>
      </c>
      <c r="Z62" s="56">
        <f t="shared" si="18"/>
        <v>-690.52116809107656</v>
      </c>
      <c r="AA62" s="42">
        <f>'[1]побудинковий звіт'!AA62+'[2]побудинковий звіт'!AA62-'[3]побудинковий звіт'!AA62</f>
        <v>0</v>
      </c>
      <c r="AB62" s="42">
        <f>'[1]побудинковий звіт'!AB62+'[2]побудинковий звіт'!AB62-'[3]побудинковий звіт'!AB62</f>
        <v>0</v>
      </c>
      <c r="AC62" s="56">
        <f t="shared" si="19"/>
        <v>0</v>
      </c>
      <c r="AD62" s="42">
        <f>'[1]побудинковий звіт'!AD62+'[2]побудинковий звіт'!AD62-'[3]побудинковий звіт'!AD62</f>
        <v>3623.7672243904103</v>
      </c>
      <c r="AE62" s="42">
        <f>'[1]побудинковий звіт'!AE62+'[2]побудинковий звіт'!AE62-'[3]побудинковий звіт'!AE62</f>
        <v>3340.0021128032931</v>
      </c>
      <c r="AF62" s="37">
        <f t="shared" si="20"/>
        <v>-283.76511158711719</v>
      </c>
      <c r="AG62" s="87">
        <f t="shared" si="4"/>
        <v>11505.759689111295</v>
      </c>
      <c r="AH62" s="57">
        <f t="shared" si="4"/>
        <v>10269.474237792516</v>
      </c>
      <c r="AI62" s="56">
        <f t="shared" si="21"/>
        <v>-1236.2854513187795</v>
      </c>
      <c r="AJ62" s="42">
        <f>'[1]побудинковий звіт'!AJ62+'[2]побудинковий звіт'!AJ62-'[3]побудинковий звіт'!AJ62</f>
        <v>0</v>
      </c>
      <c r="AK62" s="42">
        <f>'[1]побудинковий звіт'!AK62+'[2]побудинковий звіт'!AK62-'[3]побудинковий звіт'!AK62</f>
        <v>0</v>
      </c>
      <c r="AL62" s="56">
        <f t="shared" si="22"/>
        <v>0</v>
      </c>
      <c r="AM62" s="42">
        <f>'[1]побудинковий звіт'!AM62+'[2]побудинковий звіт'!AM62-'[3]побудинковий звіт'!AM62</f>
        <v>0</v>
      </c>
      <c r="AN62" s="42">
        <f>'[1]побудинковий звіт'!AN62+'[2]побудинковий звіт'!AN62-'[3]побудинковий звіт'!AN62</f>
        <v>0</v>
      </c>
      <c r="AO62" s="56">
        <f t="shared" si="23"/>
        <v>0</v>
      </c>
      <c r="AP62" s="42">
        <f>'[1]побудинковий звіт'!AP62+'[2]побудинковий звіт'!AP62-'[3]побудинковий звіт'!AP62</f>
        <v>2414.8949893788067</v>
      </c>
      <c r="AQ62" s="42">
        <f>'[1]побудинковий звіт'!AQ62+'[2]побудинковий звіт'!AQ62-'[3]побудинковий звіт'!AQ62</f>
        <v>3081.0602734161375</v>
      </c>
      <c r="AR62" s="56">
        <f t="shared" si="24"/>
        <v>666.16528403733082</v>
      </c>
      <c r="AS62" s="42">
        <f>'[1]побудинковий звіт'!AS62+'[2]побудинковий звіт'!AS62-'[3]побудинковий звіт'!AS62</f>
        <v>10100.349507619947</v>
      </c>
      <c r="AT62" s="42">
        <f>'[1]побудинковий звіт'!AT62+'[2]побудинковий звіт'!AT62-'[3]побудинковий звіт'!AT62</f>
        <v>293.48296683632213</v>
      </c>
      <c r="AU62" s="58">
        <f t="shared" si="44"/>
        <v>-9806.8665407836252</v>
      </c>
      <c r="AV62" s="42">
        <f>'[1]побудинковий звіт'!AV62+'[2]побудинковий звіт'!AV62-'[3]побудинковий звіт'!AV62</f>
        <v>633.01885653095781</v>
      </c>
      <c r="AW62" s="42">
        <f>'[1]побудинковий звіт'!AW62+'[2]побудинковий звіт'!AW62-'[3]побудинковий звіт'!AW62</f>
        <v>0</v>
      </c>
      <c r="AX62" s="59">
        <f t="shared" si="45"/>
        <v>-633.01885653095781</v>
      </c>
      <c r="AY62" s="42">
        <f>'[1]побудинковий звіт'!AY62+'[2]побудинковий звіт'!AY62-'[3]побудинковий звіт'!AY62</f>
        <v>1028.7282395790235</v>
      </c>
      <c r="AZ62" s="42">
        <f>'[1]побудинковий звіт'!AZ62+'[2]побудинковий звіт'!AZ62-'[3]побудинковий звіт'!AZ62</f>
        <v>0</v>
      </c>
      <c r="BA62" s="37">
        <f t="shared" si="46"/>
        <v>-1028.7282395790235</v>
      </c>
      <c r="BB62" s="42">
        <f>'[1]побудинковий звіт'!BB62+'[2]побудинковий звіт'!BB62-'[3]побудинковий звіт'!BB62</f>
        <v>525.16579787405601</v>
      </c>
      <c r="BC62" s="42">
        <f>'[1]побудинковий звіт'!BC62+'[2]побудинковий звіт'!BC62-'[3]побудинковий звіт'!BC62</f>
        <v>0</v>
      </c>
      <c r="BD62" s="59">
        <f t="shared" si="47"/>
        <v>-525.16579787405601</v>
      </c>
      <c r="BE62" s="42">
        <f>'[1]побудинковий звіт'!BE62+'[2]побудинковий звіт'!BE62-'[3]побудинковий звіт'!BE62</f>
        <v>0</v>
      </c>
      <c r="BF62" s="42">
        <f>'[1]побудинковий звіт'!BF62+'[2]побудинковий звіт'!BF62-'[3]побудинковий звіт'!BF62</f>
        <v>0</v>
      </c>
      <c r="BG62" s="39">
        <f t="shared" si="48"/>
        <v>0</v>
      </c>
      <c r="BH62" s="42">
        <f>'[1]побудинковий звіт'!BH62+'[2]побудинковий звіт'!BH62-'[3]побудинковий звіт'!BH62</f>
        <v>0</v>
      </c>
      <c r="BI62" s="42">
        <f>'[1]побудинковий звіт'!BI62+'[2]побудинковий звіт'!BI62-'[3]побудинковий звіт'!BI62</f>
        <v>0</v>
      </c>
      <c r="BJ62" s="59">
        <f t="shared" si="49"/>
        <v>0</v>
      </c>
      <c r="BK62" s="42">
        <f>'[1]побудинковий звіт'!BK62+'[2]побудинковий звіт'!BK62-'[3]побудинковий звіт'!BK62</f>
        <v>250.67306348165044</v>
      </c>
      <c r="BL62" s="42">
        <f>'[1]побудинковий звіт'!BL62+'[2]побудинковий звіт'!BL62-'[3]побудинковий звіт'!BL62</f>
        <v>0</v>
      </c>
      <c r="BM62" s="39">
        <f t="shared" si="50"/>
        <v>-250.67306348165044</v>
      </c>
      <c r="BN62" s="42">
        <f>'[1]побудинковий звіт'!BN62+'[2]побудинковий звіт'!BN62-'[3]побудинковий звіт'!BN62</f>
        <v>0</v>
      </c>
      <c r="BO62" s="42">
        <f>'[1]побудинковий звіт'!BO62+'[2]побудинковий звіт'!BO62-'[3]побудинковий звіт'!BO62</f>
        <v>0</v>
      </c>
      <c r="BP62" s="59">
        <f t="shared" si="51"/>
        <v>0</v>
      </c>
      <c r="BQ62" s="87">
        <f t="shared" si="57"/>
        <v>2437.5859574656874</v>
      </c>
      <c r="BR62" s="43">
        <f t="shared" si="58"/>
        <v>0</v>
      </c>
      <c r="BS62" s="59">
        <f t="shared" si="52"/>
        <v>-2437.5859574656874</v>
      </c>
      <c r="BT62" s="42">
        <f>'[1]побудинковий звіт'!BT62+'[2]побудинковий звіт'!BT62-'[3]побудинковий звіт'!BT62</f>
        <v>13025.528331813208</v>
      </c>
      <c r="BU62" s="42">
        <f>'[1]побудинковий звіт'!BU62+'[2]побудинковий звіт'!BU62-'[3]побудинковий звіт'!BU62</f>
        <v>19203.114208407409</v>
      </c>
      <c r="BV62" s="56">
        <f t="shared" si="25"/>
        <v>6177.5858765942012</v>
      </c>
      <c r="BW62" s="42">
        <f>'[1]побудинковий звіт'!BW62+'[2]побудинковий звіт'!BW62-'[3]побудинковий звіт'!BW62</f>
        <v>6462.9582431803583</v>
      </c>
      <c r="BX62" s="42">
        <f>'[1]побудинковий звіт'!BX62+'[2]побудинковий звіт'!BX62-'[3]побудинковий звіт'!BX62</f>
        <v>6473.2741034549863</v>
      </c>
      <c r="BY62" s="56">
        <f t="shared" si="26"/>
        <v>10.315860274627994</v>
      </c>
      <c r="BZ62" s="42">
        <f>'[1]побудинковий звіт'!BZ62+'[2]побудинковий звіт'!BZ62-'[3]побудинковий звіт'!BZ62</f>
        <v>3398.0973162200739</v>
      </c>
      <c r="CA62" s="42">
        <f>'[1]побудинковий звіт'!CA62+'[2]побудинковий звіт'!CA62-'[3]побудинковий звіт'!CA62</f>
        <v>3410.6875082295769</v>
      </c>
      <c r="CB62" s="56">
        <f t="shared" si="27"/>
        <v>12.590192009502971</v>
      </c>
      <c r="CC62" s="42">
        <f>'[1]побудинковий звіт'!CC62+'[2]побудинковий звіт'!CC62-'[3]побудинковий звіт'!CC62</f>
        <v>817.68845702647934</v>
      </c>
      <c r="CD62" s="42">
        <f>'[1]побудинковий звіт'!CD62+'[2]побудинковий звіт'!CD62-'[3]побудинковий звіт'!CD62</f>
        <v>810.49665586965318</v>
      </c>
      <c r="CE62" s="56">
        <f t="shared" si="28"/>
        <v>-7.1918011568261591</v>
      </c>
      <c r="CF62" s="42">
        <f>'[1]побудинковий звіт'!CF62+'[2]побудинковий звіт'!CF62-'[3]побудинковий звіт'!CF62</f>
        <v>100.66240474757797</v>
      </c>
      <c r="CG62" s="42">
        <f>'[1]побудинковий звіт'!CG62+'[2]побудинковий звіт'!CG62-'[3]побудинковий звіт'!CG62</f>
        <v>0</v>
      </c>
      <c r="CH62" s="56">
        <f t="shared" si="29"/>
        <v>-100.66240474757797</v>
      </c>
      <c r="CI62" s="42">
        <f>'[1]побудинковий звіт'!CI62+'[2]побудинковий звіт'!CI62-'[3]побудинковий звіт'!CI62</f>
        <v>1853.034992542021</v>
      </c>
      <c r="CJ62" s="42">
        <f>'[1]побудинковий звіт'!CJ62+'[2]побудинковий звіт'!CJ62-'[3]побудинковий звіт'!CJ62</f>
        <v>2598.8827513485176</v>
      </c>
      <c r="CK62" s="56">
        <f t="shared" si="30"/>
        <v>745.84775880649659</v>
      </c>
      <c r="CL62" s="42">
        <f>'[1]побудинковий звіт'!CL62+'[2]побудинковий звіт'!CL62-'[3]побудинковий звіт'!CL62</f>
        <v>0</v>
      </c>
      <c r="CM62" s="42">
        <f>'[1]побудинковий звіт'!CM62+'[2]побудинковий звіт'!CM62-'[3]побудинковий звіт'!CM62</f>
        <v>0</v>
      </c>
      <c r="CN62" s="56">
        <f t="shared" si="31"/>
        <v>0</v>
      </c>
      <c r="CO62" s="42">
        <f t="shared" si="7"/>
        <v>1853.034992542021</v>
      </c>
      <c r="CP62" s="43">
        <f t="shared" si="32"/>
        <v>2598.8827513485176</v>
      </c>
      <c r="CQ62" s="56">
        <f t="shared" si="33"/>
        <v>745.84775880649659</v>
      </c>
      <c r="CR62" s="78">
        <f t="shared" si="8"/>
        <v>52116.559889105454</v>
      </c>
      <c r="CS62" s="5">
        <f t="shared" si="8"/>
        <v>46140.472705355111</v>
      </c>
      <c r="CT62" s="56">
        <f t="shared" si="34"/>
        <v>-5976.0871837503437</v>
      </c>
      <c r="CU62" s="87">
        <f t="shared" si="35"/>
        <v>62539.871866926544</v>
      </c>
      <c r="CV62" s="70">
        <f t="shared" si="36"/>
        <v>55368.56724642613</v>
      </c>
      <c r="CW62" s="37">
        <f t="shared" si="37"/>
        <v>-7171.3046205004139</v>
      </c>
      <c r="CX62" s="42">
        <f>'[1]побудинковий звіт'!CX62+'[2]побудинковий звіт'!CX62-'[3]побудинковий звіт'!CX62</f>
        <v>0.64813307345320936</v>
      </c>
      <c r="CY62" s="42">
        <f>'[1]побудинковий звіт'!CY62+'[2]побудинковий звіт'!CY62-'[3]побудинковий звіт'!CY62</f>
        <v>7171.9527535738625</v>
      </c>
      <c r="CZ62" s="56">
        <f t="shared" si="38"/>
        <v>7171.3046205004093</v>
      </c>
      <c r="DA62" s="264">
        <f>'[4]побудинковий звіт'!DA62</f>
        <v>48795.328273454172</v>
      </c>
      <c r="DB62" s="2">
        <v>2</v>
      </c>
      <c r="DC62" s="717">
        <f>'[4]побудинковий звіт'!DC62</f>
        <v>7037.16</v>
      </c>
      <c r="DD62" s="717">
        <f>'[4]побудинковий звіт'!DD62</f>
        <v>1039.1400000000001</v>
      </c>
      <c r="DE62" s="717">
        <f>'[4]побудинковий звіт'!DE62</f>
        <v>2171.83</v>
      </c>
      <c r="DF62" s="717">
        <f>'[4]побудинковий звіт'!DF62</f>
        <v>692.7600000000001</v>
      </c>
      <c r="DG62" s="787">
        <v>39156.494820756197</v>
      </c>
      <c r="DH62" s="761">
        <f t="shared" si="39"/>
        <v>750486.24</v>
      </c>
      <c r="DI62" s="784"/>
      <c r="DJ62" s="5"/>
      <c r="DK62" s="317">
        <f>VLOOKUP($A62,ціни!$A$4:$G$401,5)</f>
        <v>6.2120546099631921</v>
      </c>
      <c r="DL62" s="317"/>
      <c r="DM62" s="317">
        <f>VLOOKUP($A62,ціни!$A$4:$G$401,7)</f>
        <v>5.3868556514365888</v>
      </c>
      <c r="DN62" s="30">
        <f t="shared" si="59"/>
        <v>17040.287000590033</v>
      </c>
      <c r="DO62" s="30">
        <f t="shared" si="60"/>
        <v>346.37481838737267</v>
      </c>
      <c r="DP62" s="316">
        <f t="shared" si="40"/>
        <v>17386.661818977405</v>
      </c>
      <c r="DQ62" s="104"/>
      <c r="DR62" s="30">
        <f>VLOOKUP(A62,'ДЗ нас '!$A$1:$C$359,2)</f>
        <v>4865.33</v>
      </c>
      <c r="DS62" s="748">
        <f>VLOOKUP(A62,'ДЗ нежит'!$A$1:$D$153,4,0)</f>
        <v>346.38</v>
      </c>
      <c r="DT62" s="30">
        <f t="shared" si="41"/>
        <v>5211.71</v>
      </c>
      <c r="DU62" s="257">
        <f>VLOOKUP(A62,'новий кошторис с 01.06'!$A$4:$AI$399,35)*1.2</f>
        <v>5211.6559889105447</v>
      </c>
      <c r="DV62" s="30">
        <f t="shared" si="42"/>
        <v>5.4011089455343608E-2</v>
      </c>
      <c r="DW62" s="930">
        <f>'[5]побудинковий звіт'!DW62+'[6]побудинковий звіт'!DW62</f>
        <v>204</v>
      </c>
      <c r="DY62" s="5">
        <f t="shared" si="9"/>
        <v>15045.522558102761</v>
      </c>
      <c r="DZ62" s="5">
        <f t="shared" si="10"/>
        <v>352.17956020358656</v>
      </c>
      <c r="EA62" s="752">
        <f t="shared" si="43"/>
        <v>2864.59</v>
      </c>
      <c r="EC62" s="592">
        <f t="shared" si="11"/>
        <v>121204.19409143936</v>
      </c>
      <c r="EE62" s="758">
        <v>-14697</v>
      </c>
      <c r="EF62" s="738">
        <f t="shared" si="12"/>
        <v>24459.494820756197</v>
      </c>
      <c r="EH62" s="813">
        <v>56577.020774244316</v>
      </c>
    </row>
    <row r="63" spans="1:138" x14ac:dyDescent="0.3">
      <c r="A63" s="328">
        <v>150000519</v>
      </c>
      <c r="B63" s="44" t="s">
        <v>511</v>
      </c>
      <c r="C63" s="45" t="s">
        <v>412</v>
      </c>
      <c r="D63" s="45" t="s">
        <v>412</v>
      </c>
      <c r="E63" s="40">
        <f t="shared" si="3"/>
        <v>310.7</v>
      </c>
      <c r="F63" s="490">
        <v>249.8</v>
      </c>
      <c r="G63" s="30">
        <v>208.7</v>
      </c>
      <c r="H63" s="30">
        <v>60.9</v>
      </c>
      <c r="I63" s="42">
        <f>'[1]побудинковий звіт'!I63+'[2]побудинковий звіт'!I63-'[3]побудинковий звіт'!I63</f>
        <v>8208.2873418948348</v>
      </c>
      <c r="J63" s="42">
        <f>'[1]побудинковий звіт'!J63+'[2]побудинковий звіт'!J63-'[3]побудинковий звіт'!J63</f>
        <v>8235.3594501254665</v>
      </c>
      <c r="K63" s="56">
        <f t="shared" si="13"/>
        <v>27.072108230631784</v>
      </c>
      <c r="L63" s="42">
        <f>'[1]побудинковий звіт'!L63+'[2]побудинковий звіт'!L63-'[3]побудинковий звіт'!L63</f>
        <v>1290.1111559605285</v>
      </c>
      <c r="M63" s="42">
        <f>'[1]побудинковий звіт'!M63+'[2]побудинковий звіт'!M63-'[3]побудинковий звіт'!M63</f>
        <v>1301.6623246237573</v>
      </c>
      <c r="N63" s="56">
        <f t="shared" si="14"/>
        <v>11.551168663228736</v>
      </c>
      <c r="O63" s="42">
        <f>'[1]побудинковий звіт'!O63+'[2]побудинковий звіт'!O63-'[3]побудинковий звіт'!O63</f>
        <v>4037.5199999999995</v>
      </c>
      <c r="P63" s="42">
        <f>'[1]побудинковий звіт'!P63+'[2]побудинковий звіт'!P63-'[3]побудинковий звіт'!P63</f>
        <v>3173.6157389784948</v>
      </c>
      <c r="Q63" s="56">
        <f t="shared" si="15"/>
        <v>-863.90426102150468</v>
      </c>
      <c r="R63" s="42">
        <f>'[1]побудинковий звіт'!R63+'[2]побудинковий звіт'!R63-'[3]побудинковий звіт'!R63</f>
        <v>875.4000000000002</v>
      </c>
      <c r="S63" s="42">
        <f>'[1]побудинковий звіт'!S63+'[2]побудинковий звіт'!S63-'[3]побудинковий звіт'!S63</f>
        <v>688.24909274193556</v>
      </c>
      <c r="T63" s="56">
        <f t="shared" si="16"/>
        <v>-187.15090725806465</v>
      </c>
      <c r="U63" s="42">
        <f>'[1]побудинковий звіт'!U63+'[2]побудинковий звіт'!U63-'[3]побудинковий звіт'!U63</f>
        <v>416.79730082204867</v>
      </c>
      <c r="V63" s="42">
        <f>'[1]побудинковий звіт'!V63+'[2]побудинковий звіт'!V63-'[3]побудинковий звіт'!V63</f>
        <v>1180.1986342765385</v>
      </c>
      <c r="W63" s="56">
        <f t="shared" si="17"/>
        <v>763.40133345448987</v>
      </c>
      <c r="X63" s="42">
        <f>'[1]побудинковий звіт'!X63+'[2]побудинковий звіт'!X63-'[3]побудинковий звіт'!X63</f>
        <v>3459.3200493341919</v>
      </c>
      <c r="Y63" s="42">
        <f>'[1]побудинковий звіт'!Y63+'[2]побудинковий звіт'!Y63-'[3]побудинковий звіт'!Y63</f>
        <v>4847.7015514327686</v>
      </c>
      <c r="Z63" s="56">
        <f t="shared" si="18"/>
        <v>1388.3815020985767</v>
      </c>
      <c r="AA63" s="42">
        <f>'[1]побудинковий звіт'!AA63+'[2]побудинковий звіт'!AA63-'[3]побудинковий звіт'!AA63</f>
        <v>0</v>
      </c>
      <c r="AB63" s="42">
        <f>'[1]побудинковий звіт'!AB63+'[2]побудинковий звіт'!AB63-'[3]побудинковий звіт'!AB63</f>
        <v>0</v>
      </c>
      <c r="AC63" s="56">
        <f t="shared" si="19"/>
        <v>0</v>
      </c>
      <c r="AD63" s="42">
        <f>'[1]побудинковий звіт'!AD63+'[2]побудинковий звіт'!AD63-'[3]побудинковий звіт'!AD63</f>
        <v>11529.35214613133</v>
      </c>
      <c r="AE63" s="42">
        <f>'[1]побудинковий звіт'!AE63+'[2]побудинковий звіт'!AE63-'[3]побудинковий звіт'!AE63</f>
        <v>10626.527076062299</v>
      </c>
      <c r="AF63" s="37">
        <f t="shared" si="20"/>
        <v>-902.82507006903143</v>
      </c>
      <c r="AG63" s="87">
        <f t="shared" si="4"/>
        <v>29816.787994142935</v>
      </c>
      <c r="AH63" s="57">
        <f t="shared" si="4"/>
        <v>30053.313868241261</v>
      </c>
      <c r="AI63" s="56">
        <f t="shared" si="21"/>
        <v>236.52587409832631</v>
      </c>
      <c r="AJ63" s="42">
        <f>'[1]побудинковий звіт'!AJ63+'[2]побудинковий звіт'!AJ63-'[3]побудинковий звіт'!AJ63</f>
        <v>21319.261176821841</v>
      </c>
      <c r="AK63" s="42">
        <f>'[1]побудинковий звіт'!AK63+'[2]побудинковий звіт'!AK63-'[3]побудинковий звіт'!AK63</f>
        <v>21131.752247379805</v>
      </c>
      <c r="AL63" s="56">
        <f t="shared" si="22"/>
        <v>-187.50892944203588</v>
      </c>
      <c r="AM63" s="42">
        <f>'[1]побудинковий звіт'!AM63+'[2]побудинковий звіт'!AM63-'[3]побудинковий звіт'!AM63</f>
        <v>0</v>
      </c>
      <c r="AN63" s="42">
        <f>'[1]побудинковий звіт'!AN63+'[2]побудинковий звіт'!AN63-'[3]побудинковий звіт'!AN63</f>
        <v>0</v>
      </c>
      <c r="AO63" s="56">
        <f t="shared" si="23"/>
        <v>0</v>
      </c>
      <c r="AP63" s="42">
        <f>'[1]побудинковий звіт'!AP63+'[2]побудинковий звіт'!AP63-'[3]побудинковий звіт'!AP63</f>
        <v>1846.6844036426169</v>
      </c>
      <c r="AQ63" s="42">
        <f>'[1]побудинковий звіт'!AQ63+'[2]побудинковий звіт'!AQ63-'[3]побудинковий звіт'!AQ63</f>
        <v>1765.4536945044536</v>
      </c>
      <c r="AR63" s="56">
        <f t="shared" si="24"/>
        <v>-81.23070913816332</v>
      </c>
      <c r="AS63" s="42">
        <f>'[1]побудинковий звіт'!AS63+'[2]побудинковий звіт'!AS63-'[3]побудинковий звіт'!AS63</f>
        <v>39334.084718301783</v>
      </c>
      <c r="AT63" s="42">
        <f>'[1]побудинковий звіт'!AT63+'[2]побудинковий звіт'!AT63-'[3]побудинковий звіт'!AT63</f>
        <v>1443</v>
      </c>
      <c r="AU63" s="58">
        <f t="shared" si="44"/>
        <v>-37891.084718301783</v>
      </c>
      <c r="AV63" s="42">
        <f>'[1]побудинковий звіт'!AV63+'[2]побудинковий звіт'!AV63-'[3]побудинковий звіт'!AV63</f>
        <v>640.36330953954393</v>
      </c>
      <c r="AW63" s="42">
        <f>'[1]побудинковий звіт'!AW63+'[2]побудинковий звіт'!AW63-'[3]побудинковий звіт'!AW63</f>
        <v>463</v>
      </c>
      <c r="AX63" s="59">
        <f t="shared" si="45"/>
        <v>-177.36330953954393</v>
      </c>
      <c r="AY63" s="42">
        <f>'[1]побудинковий звіт'!AY63+'[2]побудинковий звіт'!AY63-'[3]побудинковий звіт'!AY63</f>
        <v>854.45311191405517</v>
      </c>
      <c r="AZ63" s="42">
        <f>'[1]побудинковий звіт'!AZ63+'[2]побудинковий звіт'!AZ63-'[3]побудинковий звіт'!AZ63</f>
        <v>2144</v>
      </c>
      <c r="BA63" s="37">
        <f t="shared" si="46"/>
        <v>1289.5468880859448</v>
      </c>
      <c r="BB63" s="42">
        <f>'[1]побудинковий звіт'!BB63+'[2]побудинковий звіт'!BB63-'[3]побудинковий звіт'!BB63</f>
        <v>914.65560379504529</v>
      </c>
      <c r="BC63" s="42">
        <f>'[1]побудинковий звіт'!BC63+'[2]побудинковий звіт'!BC63-'[3]побудинковий звіт'!BC63</f>
        <v>0</v>
      </c>
      <c r="BD63" s="59">
        <f t="shared" si="47"/>
        <v>-914.65560379504529</v>
      </c>
      <c r="BE63" s="42">
        <f>'[1]побудинковий звіт'!BE63+'[2]побудинковий звіт'!BE63-'[3]побудинковий звіт'!BE63</f>
        <v>518.31461263183485</v>
      </c>
      <c r="BF63" s="42">
        <f>'[1]побудинковий звіт'!BF63+'[2]побудинковий звіт'!BF63-'[3]побудинковий звіт'!BF63</f>
        <v>0</v>
      </c>
      <c r="BG63" s="39">
        <f t="shared" si="48"/>
        <v>-518.31461263183485</v>
      </c>
      <c r="BH63" s="42">
        <f>'[1]побудинковий звіт'!BH63+'[2]побудинковий звіт'!BH63-'[3]побудинковий звіт'!BH63</f>
        <v>211.31966959543126</v>
      </c>
      <c r="BI63" s="42">
        <f>'[1]побудинковий звіт'!BI63+'[2]побудинковий звіт'!BI63-'[3]побудинковий звіт'!BI63</f>
        <v>2391.9159078243188</v>
      </c>
      <c r="BJ63" s="59">
        <f t="shared" si="49"/>
        <v>2180.5962382288876</v>
      </c>
      <c r="BK63" s="42">
        <f>'[1]побудинковий звіт'!BK63+'[2]побудинковий звіт'!BK63-'[3]побудинковий звіт'!BK63</f>
        <v>621.38583075357792</v>
      </c>
      <c r="BL63" s="42">
        <f>'[1]побудинковий звіт'!BL63+'[2]побудинковий звіт'!BL63-'[3]побудинковий звіт'!BL63</f>
        <v>0</v>
      </c>
      <c r="BM63" s="39">
        <f t="shared" si="50"/>
        <v>-621.38583075357792</v>
      </c>
      <c r="BN63" s="42">
        <f>'[1]побудинковий звіт'!BN63+'[2]побудинковий звіт'!BN63-'[3]побудинковий звіт'!BN63</f>
        <v>0</v>
      </c>
      <c r="BO63" s="42">
        <f>'[1]побудинковий звіт'!BO63+'[2]побудинковий звіт'!BO63-'[3]побудинковий звіт'!BO63</f>
        <v>0</v>
      </c>
      <c r="BP63" s="59">
        <f t="shared" si="51"/>
        <v>0</v>
      </c>
      <c r="BQ63" s="87">
        <f t="shared" si="57"/>
        <v>3760.4921382294883</v>
      </c>
      <c r="BR63" s="43">
        <f t="shared" si="58"/>
        <v>4998.9159078243192</v>
      </c>
      <c r="BS63" s="59">
        <f t="shared" si="52"/>
        <v>1238.4237695948309</v>
      </c>
      <c r="BT63" s="42">
        <f>'[1]побудинковий звіт'!BT63+'[2]побудинковий звіт'!BT63-'[3]побудинковий звіт'!BT63</f>
        <v>35255.470387784742</v>
      </c>
      <c r="BU63" s="42">
        <f>'[1]побудинковий звіт'!BU63+'[2]побудинковий звіт'!BU63-'[3]побудинковий звіт'!BU63</f>
        <v>37006.467965089469</v>
      </c>
      <c r="BV63" s="56">
        <f t="shared" si="25"/>
        <v>1750.9975773047263</v>
      </c>
      <c r="BW63" s="42">
        <f>'[1]побудинковий звіт'!BW63+'[2]побудинковий звіт'!BW63-'[3]побудинковий звіт'!BW63</f>
        <v>26779.397610999975</v>
      </c>
      <c r="BX63" s="42">
        <f>'[1]побудинковий звіт'!BX63+'[2]побудинковий звіт'!BX63-'[3]побудинковий звіт'!BX63</f>
        <v>29937.644961135913</v>
      </c>
      <c r="BY63" s="56">
        <f t="shared" si="26"/>
        <v>3158.2473501359382</v>
      </c>
      <c r="BZ63" s="42">
        <f>'[1]побудинковий звіт'!BZ63+'[2]побудинковий звіт'!BZ63-'[3]побудинковий звіт'!BZ63</f>
        <v>6491.9522610755403</v>
      </c>
      <c r="CA63" s="42">
        <f>'[1]побудинковий звіт'!CA63+'[2]побудинковий звіт'!CA63-'[3]побудинковий звіт'!CA63</f>
        <v>8939.3805733787922</v>
      </c>
      <c r="CB63" s="56">
        <f t="shared" si="27"/>
        <v>2447.4283123032519</v>
      </c>
      <c r="CC63" s="42">
        <f>'[1]побудинковий звіт'!CC63+'[2]побудинковий звіт'!CC63-'[3]побудинковий звіт'!CC63</f>
        <v>844.16038549136545</v>
      </c>
      <c r="CD63" s="42">
        <f>'[1]побудинковий звіт'!CD63+'[2]побудинковий звіт'!CD63-'[3]побудинковий звіт'!CD63</f>
        <v>836.735756239534</v>
      </c>
      <c r="CE63" s="56">
        <f t="shared" si="28"/>
        <v>-7.4246292518314476</v>
      </c>
      <c r="CF63" s="42">
        <f>'[1]побудинковий звіт'!CF63+'[2]побудинковий звіт'!CF63-'[3]побудинковий звіт'!CF63</f>
        <v>103.92125957753552</v>
      </c>
      <c r="CG63" s="42">
        <f>'[1]побудинковий звіт'!CG63+'[2]побудинковий звіт'!CG63-'[3]побудинковий звіт'!CG63</f>
        <v>0</v>
      </c>
      <c r="CH63" s="56">
        <f t="shared" si="29"/>
        <v>-103.92125957753552</v>
      </c>
      <c r="CI63" s="42">
        <f>'[1]побудинковий звіт'!CI63+'[2]побудинковий звіт'!CI63-'[3]побудинковий звіт'!CI63</f>
        <v>9639.5254662539501</v>
      </c>
      <c r="CJ63" s="42">
        <f>'[1]побудинковий звіт'!CJ63+'[2]побудинковий звіт'!CJ63-'[3]побудинковий звіт'!CJ63</f>
        <v>5336.3823286853776</v>
      </c>
      <c r="CK63" s="56">
        <f t="shared" si="30"/>
        <v>-4303.1431375685725</v>
      </c>
      <c r="CL63" s="42">
        <f>'[1]побудинковий звіт'!CL63+'[2]побудинковий звіт'!CL63-'[3]побудинковий звіт'!CL63</f>
        <v>2826.3463017560121</v>
      </c>
      <c r="CM63" s="42">
        <f>'[1]побудинковий звіт'!CM63+'[2]побудинковий звіт'!CM63-'[3]побудинковий звіт'!CM63</f>
        <v>10434.923244212478</v>
      </c>
      <c r="CN63" s="56">
        <f t="shared" si="31"/>
        <v>7608.576942456466</v>
      </c>
      <c r="CO63" s="42">
        <f t="shared" si="7"/>
        <v>12465.871768009962</v>
      </c>
      <c r="CP63" s="43">
        <f t="shared" si="32"/>
        <v>15771.305572897854</v>
      </c>
      <c r="CQ63" s="56">
        <f t="shared" si="33"/>
        <v>3305.4338048878926</v>
      </c>
      <c r="CR63" s="78">
        <f t="shared" si="8"/>
        <v>178018.08410407777</v>
      </c>
      <c r="CS63" s="5">
        <f t="shared" si="8"/>
        <v>151883.97054669142</v>
      </c>
      <c r="CT63" s="56">
        <f t="shared" si="34"/>
        <v>-26134.113557386358</v>
      </c>
      <c r="CU63" s="87">
        <f t="shared" si="35"/>
        <v>213621.70092489332</v>
      </c>
      <c r="CV63" s="70">
        <f t="shared" si="36"/>
        <v>182260.7646560297</v>
      </c>
      <c r="CW63" s="37">
        <f t="shared" si="37"/>
        <v>-31360.936268863617</v>
      </c>
      <c r="CX63" s="42">
        <f>'[1]побудинковий звіт'!CX63+'[2]побудинковий звіт'!CX63-'[3]побудинковий звіт'!CX63</f>
        <v>1067.4190751066344</v>
      </c>
      <c r="CY63" s="42">
        <f>'[1]побудинковий звіт'!CY63+'[2]побудинковий звіт'!CY63-'[3]побудинковий звіт'!CY63</f>
        <v>32428.355343970292</v>
      </c>
      <c r="CZ63" s="56">
        <f t="shared" si="38"/>
        <v>31360.936268863657</v>
      </c>
      <c r="DA63" s="264">
        <f>'[4]побудинковий звіт'!DA63</f>
        <v>-11138.938256668625</v>
      </c>
      <c r="DB63" s="2">
        <v>2</v>
      </c>
      <c r="DC63" s="717">
        <f>'[4]побудинковий звіт'!DC63</f>
        <v>30953.360000000001</v>
      </c>
      <c r="DD63" s="717">
        <f>'[4]побудинковий звіт'!DD63</f>
        <v>2581.16</v>
      </c>
      <c r="DE63" s="717">
        <f>'[4]побудинковий звіт'!DE63</f>
        <v>13351.080000000002</v>
      </c>
      <c r="DF63" s="717">
        <f>'[4]побудинковий звіт'!DF63</f>
        <v>2292.6799999999998</v>
      </c>
      <c r="DG63" s="787">
        <v>37031.884033127688</v>
      </c>
      <c r="DH63" s="761">
        <f t="shared" si="39"/>
        <v>2576269.4399999995</v>
      </c>
      <c r="DI63" s="784"/>
      <c r="DJ63" s="5"/>
      <c r="DK63" s="317">
        <f>VLOOKUP($A63,ціни!$A$4:$G$401,5)</f>
        <v>5.7581864649161858</v>
      </c>
      <c r="DL63" s="317">
        <f>VLOOKUP($A63,ціни!$A$4:$G$401,6)</f>
        <v>6.7581178773099033</v>
      </c>
      <c r="DM63" s="317">
        <f>VLOOKUP($A63,ціни!$A$4:$G$401,7)</f>
        <v>4.7370028337625154</v>
      </c>
      <c r="DN63" s="30">
        <f>DK63*G63+(F63-G63)*DL63</f>
        <v>1479.4921599854451</v>
      </c>
      <c r="DO63" s="30">
        <f>DM63*H63</f>
        <v>288.48347257613716</v>
      </c>
      <c r="DP63" s="316">
        <f t="shared" si="40"/>
        <v>1767.9756325615822</v>
      </c>
      <c r="DQ63" s="104"/>
      <c r="DR63" s="30">
        <f>VLOOKUP(A63,'ДЗ нас '!$A$1:$C$359,2)</f>
        <v>17602.28</v>
      </c>
      <c r="DS63" s="748">
        <f>VLOOKUP(A63,'ДЗ нежит'!$A$1:$D$153,4,0)</f>
        <v>288.48</v>
      </c>
      <c r="DT63" s="30">
        <f t="shared" si="41"/>
        <v>17890.759999999998</v>
      </c>
      <c r="DU63" s="257">
        <f>VLOOKUP(A63,'новий кошторис с 01.06'!$A$4:$AI$399,35)*1.2</f>
        <v>17908.619260870226</v>
      </c>
      <c r="DV63" s="30">
        <f t="shared" si="42"/>
        <v>-17.859260870227445</v>
      </c>
      <c r="DW63" s="930">
        <f>'[5]побудинковий звіт'!DW63+'[6]побудинковий звіт'!DW63</f>
        <v>236</v>
      </c>
      <c r="DY63" s="5">
        <f t="shared" si="9"/>
        <v>51713.492227837523</v>
      </c>
      <c r="DZ63" s="5">
        <f t="shared" si="10"/>
        <v>7730.2990893891829</v>
      </c>
      <c r="EA63" s="752">
        <f t="shared" si="43"/>
        <v>15643.760000000002</v>
      </c>
      <c r="EC63" s="592">
        <f t="shared" si="11"/>
        <v>472009.01661962143</v>
      </c>
      <c r="EE63" s="758">
        <v>-5097</v>
      </c>
      <c r="EF63" s="738">
        <f t="shared" si="12"/>
        <v>31934.884033127688</v>
      </c>
      <c r="EH63" s="813">
        <v>18242.231853711244</v>
      </c>
    </row>
    <row r="64" spans="1:138" x14ac:dyDescent="0.3">
      <c r="A64" s="328">
        <v>150000521</v>
      </c>
      <c r="B64" s="44" t="s">
        <v>512</v>
      </c>
      <c r="C64" s="45" t="s">
        <v>252</v>
      </c>
      <c r="D64" s="45" t="s">
        <v>252</v>
      </c>
      <c r="E64" s="40">
        <f t="shared" si="3"/>
        <v>3180.35</v>
      </c>
      <c r="F64" s="490">
        <v>2796.95</v>
      </c>
      <c r="G64" s="30"/>
      <c r="H64" s="30">
        <v>383.40000000000003</v>
      </c>
      <c r="I64" s="42">
        <f>'[1]побудинковий звіт'!I64+'[2]побудинковий звіт'!I64-'[3]побудинковий звіт'!I64</f>
        <v>5464.6134802733632</v>
      </c>
      <c r="J64" s="42">
        <f>'[1]побудинковий звіт'!J64+'[2]побудинковий звіт'!J64-'[3]побудинковий звіт'!J64</f>
        <v>5481.414318756727</v>
      </c>
      <c r="K64" s="56">
        <f t="shared" si="13"/>
        <v>16.800838483363805</v>
      </c>
      <c r="L64" s="42">
        <f>'[1]побудинковий звіт'!L64+'[2]побудинковий звіт'!L64-'[3]побудинковий звіт'!L64</f>
        <v>1166.4230722268235</v>
      </c>
      <c r="M64" s="42">
        <f>'[1]побудинковий звіт'!M64+'[2]побудинковий звіт'!M64-'[3]побудинковий звіт'!M64</f>
        <v>1204.8715284464597</v>
      </c>
      <c r="N64" s="56">
        <f t="shared" si="14"/>
        <v>38.448456219636228</v>
      </c>
      <c r="O64" s="42">
        <f>'[1]побудинковий звіт'!O64+'[2]побудинковий звіт'!O64-'[3]побудинковий звіт'!O64</f>
        <v>2655.9599999999996</v>
      </c>
      <c r="P64" s="42">
        <f>'[1]побудинковий звіт'!P64+'[2]побудинковий звіт'!P64-'[3]побудинковий звіт'!P64</f>
        <v>2087.6949729032258</v>
      </c>
      <c r="Q64" s="56">
        <f t="shared" si="15"/>
        <v>-568.26502709677379</v>
      </c>
      <c r="R64" s="42">
        <f>'[1]побудинковий звіт'!R64+'[2]побудинковий звіт'!R64-'[3]побудинковий звіт'!R64</f>
        <v>0</v>
      </c>
      <c r="S64" s="42">
        <f>'[1]побудинковий звіт'!S64+'[2]побудинковий звіт'!S64-'[3]побудинковий звіт'!S64</f>
        <v>0</v>
      </c>
      <c r="T64" s="56">
        <f t="shared" si="16"/>
        <v>0</v>
      </c>
      <c r="U64" s="42">
        <f>'[1]побудинковий звіт'!U64+'[2]побудинковий звіт'!U64-'[3]побудинковий звіт'!U64</f>
        <v>0</v>
      </c>
      <c r="V64" s="42">
        <f>'[1]побудинковий звіт'!V64+'[2]побудинковий звіт'!V64-'[3]побудинковий звіт'!V64</f>
        <v>0</v>
      </c>
      <c r="W64" s="56">
        <f t="shared" si="17"/>
        <v>0</v>
      </c>
      <c r="X64" s="42">
        <f>'[1]побудинковий звіт'!X64+'[2]побудинковий звіт'!X64-'[3]побудинковий звіт'!X64</f>
        <v>3386.4079551528735</v>
      </c>
      <c r="Y64" s="42">
        <f>'[1]побудинковий звіт'!Y64+'[2]побудинковий звіт'!Y64-'[3]побудинковий звіт'!Y64</f>
        <v>2505.2961166052064</v>
      </c>
      <c r="Z64" s="56">
        <f t="shared" si="18"/>
        <v>-881.11183854766705</v>
      </c>
      <c r="AA64" s="42">
        <f>'[1]побудинковий звіт'!AA64+'[2]побудинковий звіт'!AA64-'[3]побудинковий звіт'!AA64</f>
        <v>0</v>
      </c>
      <c r="AB64" s="42">
        <f>'[1]побудинковий звіт'!AB64+'[2]побудинковий звіт'!AB64-'[3]побудинковий звіт'!AB64</f>
        <v>0</v>
      </c>
      <c r="AC64" s="56">
        <f t="shared" si="19"/>
        <v>0</v>
      </c>
      <c r="AD64" s="42">
        <f>'[1]побудинковий звіт'!AD64+'[2]побудинковий звіт'!AD64-'[3]побудинковий звіт'!AD64</f>
        <v>7958.1776495993281</v>
      </c>
      <c r="AE64" s="42">
        <f>'[1]побудинковий звіт'!AE64+'[2]побудинковий звіт'!AE64-'[3]побудинковий звіт'!AE64</f>
        <v>7645.5505591013443</v>
      </c>
      <c r="AF64" s="37">
        <f t="shared" si="20"/>
        <v>-312.62709049798377</v>
      </c>
      <c r="AG64" s="87">
        <f t="shared" ref="AG64:AH110" si="61">I64+L64+O64+R64+U64+X64+AA64+AD64</f>
        <v>20631.582157252389</v>
      </c>
      <c r="AH64" s="57">
        <f t="shared" si="61"/>
        <v>18924.827495812962</v>
      </c>
      <c r="AI64" s="56">
        <f t="shared" si="21"/>
        <v>-1706.7546614394269</v>
      </c>
      <c r="AJ64" s="42">
        <f>'[1]побудинковий звіт'!AJ64+'[2]побудинковий звіт'!AJ64-'[3]побудинковий звіт'!AJ64</f>
        <v>0</v>
      </c>
      <c r="AK64" s="42">
        <f>'[1]побудинковий звіт'!AK64+'[2]побудинковий звіт'!AK64-'[3]побудинковий звіт'!AK64</f>
        <v>0</v>
      </c>
      <c r="AL64" s="56">
        <f t="shared" si="22"/>
        <v>0</v>
      </c>
      <c r="AM64" s="42">
        <f>'[1]побудинковий звіт'!AM64+'[2]побудинковий звіт'!AM64-'[3]побудинковий звіт'!AM64</f>
        <v>0</v>
      </c>
      <c r="AN64" s="42">
        <f>'[1]побудинковий звіт'!AN64+'[2]побудинковий звіт'!AN64-'[3]побудинковий звіт'!AN64</f>
        <v>0</v>
      </c>
      <c r="AO64" s="56">
        <f t="shared" si="23"/>
        <v>0</v>
      </c>
      <c r="AP64" s="42">
        <f>'[1]побудинковий звіт'!AP64+'[2]побудинковий звіт'!AP64-'[3]побудинковий звіт'!AP64</f>
        <v>3219.8599858384096</v>
      </c>
      <c r="AQ64" s="42">
        <f>'[1]побудинковий звіт'!AQ64+'[2]побудинковий звіт'!AQ64-'[3]побудинковий звіт'!AQ64</f>
        <v>4534.7307505737099</v>
      </c>
      <c r="AR64" s="56">
        <f t="shared" si="24"/>
        <v>1314.8707647353003</v>
      </c>
      <c r="AS64" s="42">
        <f>'[1]побудинковий звіт'!AS64+'[2]побудинковий звіт'!AS64-'[3]побудинковий звіт'!AS64</f>
        <v>22689.506186712952</v>
      </c>
      <c r="AT64" s="42">
        <f>'[1]побудинковий звіт'!AT64+'[2]побудинковий звіт'!AT64-'[3]побудинковий звіт'!AT64</f>
        <v>3583</v>
      </c>
      <c r="AU64" s="58">
        <f t="shared" si="44"/>
        <v>-19106.506186712952</v>
      </c>
      <c r="AV64" s="42">
        <f>'[1]побудинковий звіт'!AV64+'[2]побудинковий звіт'!AV64-'[3]побудинковий звіт'!AV64</f>
        <v>899.78292798016798</v>
      </c>
      <c r="AW64" s="42">
        <f>'[1]побудинковий звіт'!AW64+'[2]побудинковий звіт'!AW64-'[3]побудинковий звіт'!AW64</f>
        <v>0</v>
      </c>
      <c r="AX64" s="59">
        <f t="shared" si="45"/>
        <v>-899.78292798016798</v>
      </c>
      <c r="AY64" s="42">
        <f>'[1]побудинковий звіт'!AY64+'[2]побудинковий звіт'!AY64-'[3]побудинковий звіт'!AY64</f>
        <v>1503.4989161478395</v>
      </c>
      <c r="AZ64" s="42">
        <f>'[1]побудинковий звіт'!AZ64+'[2]побудинковий звіт'!AZ64-'[3]побудинковий звіт'!AZ64</f>
        <v>0</v>
      </c>
      <c r="BA64" s="37">
        <f t="shared" si="46"/>
        <v>-1503.4989161478395</v>
      </c>
      <c r="BB64" s="42">
        <f>'[1]побудинковий звіт'!BB64+'[2]побудинковий звіт'!BB64-'[3]побудинковий звіт'!BB64</f>
        <v>1135.347303295345</v>
      </c>
      <c r="BC64" s="42">
        <f>'[1]побудинковий звіт'!BC64+'[2]побудинковий звіт'!BC64-'[3]побудинковий звіт'!BC64</f>
        <v>1396</v>
      </c>
      <c r="BD64" s="59">
        <f t="shared" si="47"/>
        <v>260.652696704655</v>
      </c>
      <c r="BE64" s="42">
        <f>'[1]побудинковий звіт'!BE64+'[2]побудинковий звіт'!BE64-'[3]побудинковий звіт'!BE64</f>
        <v>0</v>
      </c>
      <c r="BF64" s="42">
        <f>'[1]побудинковий звіт'!BF64+'[2]побудинковий звіт'!BF64-'[3]побудинковий звіт'!BF64</f>
        <v>0</v>
      </c>
      <c r="BG64" s="39">
        <f t="shared" si="48"/>
        <v>0</v>
      </c>
      <c r="BH64" s="42">
        <f>'[1]побудинковий звіт'!BH64+'[2]побудинковий звіт'!BH64-'[3]побудинковий звіт'!BH64</f>
        <v>0</v>
      </c>
      <c r="BI64" s="42">
        <f>'[1]побудинковий звіт'!BI64+'[2]побудинковий звіт'!BI64-'[3]побудинковий звіт'!BI64</f>
        <v>639</v>
      </c>
      <c r="BJ64" s="59">
        <f t="shared" si="49"/>
        <v>639</v>
      </c>
      <c r="BK64" s="42">
        <f>'[1]побудинковий звіт'!BK64+'[2]побудинковий звіт'!BK64-'[3]побудинковий звіт'!BK64</f>
        <v>418.16597706575897</v>
      </c>
      <c r="BL64" s="42">
        <f>'[1]побудинковий звіт'!BL64+'[2]побудинковий звіт'!BL64-'[3]побудинковий звіт'!BL64</f>
        <v>0</v>
      </c>
      <c r="BM64" s="39">
        <f t="shared" si="50"/>
        <v>-418.16597706575897</v>
      </c>
      <c r="BN64" s="42">
        <f>'[1]побудинковий звіт'!BN64+'[2]побудинковий звіт'!BN64-'[3]побудинковий звіт'!BN64</f>
        <v>0</v>
      </c>
      <c r="BO64" s="42">
        <f>'[1]побудинковий звіт'!BO64+'[2]побудинковий звіт'!BO64-'[3]побудинковий звіт'!BO64</f>
        <v>0</v>
      </c>
      <c r="BP64" s="59">
        <f t="shared" si="51"/>
        <v>0</v>
      </c>
      <c r="BQ64" s="87">
        <f t="shared" ref="BQ64:BQ82" si="62">AV64+AY64+BB64+BE64+BH64+BK64+BN64</f>
        <v>3956.795124489111</v>
      </c>
      <c r="BR64" s="43">
        <f t="shared" ref="BR64:BR82" si="63">AW64+AZ64+BC64+BF64+BI64+BL64+BO64</f>
        <v>2035</v>
      </c>
      <c r="BS64" s="59">
        <f t="shared" si="52"/>
        <v>-1921.795124489111</v>
      </c>
      <c r="BT64" s="42">
        <f>'[1]побудинковий звіт'!BT64+'[2]побудинковий звіт'!BT64-'[3]побудинковий звіт'!BT64</f>
        <v>25516.431194469063</v>
      </c>
      <c r="BU64" s="42">
        <f>'[1]побудинковий звіт'!BU64+'[2]побудинковий звіт'!BU64-'[3]побудинковий звіт'!BU64</f>
        <v>31055.708984559555</v>
      </c>
      <c r="BV64" s="56">
        <f t="shared" si="25"/>
        <v>5539.2777900904912</v>
      </c>
      <c r="BW64" s="42">
        <f>'[1]побудинковий звіт'!BW64+'[2]побудинковий звіт'!BW64-'[3]побудинковий звіт'!BW64</f>
        <v>7662.2082844686502</v>
      </c>
      <c r="BX64" s="42">
        <f>'[1]побудинковий звіт'!BX64+'[2]побудинковий звіт'!BX64-'[3]побудинковий звіт'!BX64</f>
        <v>9220.8153577033299</v>
      </c>
      <c r="BY64" s="56">
        <f t="shared" si="26"/>
        <v>1558.6070732346798</v>
      </c>
      <c r="BZ64" s="42">
        <f>'[1]побудинковий звіт'!BZ64+'[2]побудинковий звіт'!BZ64-'[3]побудинковий звіт'!BZ64</f>
        <v>6330.0341114596185</v>
      </c>
      <c r="CA64" s="42">
        <f>'[1]побудинковий звіт'!CA64+'[2]побудинковий звіт'!CA64-'[3]побудинковий звіт'!CA64</f>
        <v>9699.7954836710378</v>
      </c>
      <c r="CB64" s="56">
        <f t="shared" si="27"/>
        <v>3369.7613722114193</v>
      </c>
      <c r="CC64" s="42">
        <f>'[1]побудинковий звіт'!CC64+'[2]побудинковий звіт'!CC64-'[3]побудинковий звіт'!CC64</f>
        <v>791.21652856159312</v>
      </c>
      <c r="CD64" s="42">
        <f>'[1]побудинковий звіт'!CD64+'[2]побудинковий звіт'!CD64-'[3]побудинковий звіт'!CD64</f>
        <v>784.25755549977237</v>
      </c>
      <c r="CE64" s="56">
        <f t="shared" si="28"/>
        <v>-6.9589730618207568</v>
      </c>
      <c r="CF64" s="42">
        <f>'[1]побудинковий звіт'!CF64+'[2]побудинковий звіт'!CF64-'[3]побудинковий звіт'!CF64</f>
        <v>97.403549917620396</v>
      </c>
      <c r="CG64" s="42">
        <f>'[1]побудинковий звіт'!CG64+'[2]побудинковий звіт'!CG64-'[3]побудинковий звіт'!CG64</f>
        <v>0</v>
      </c>
      <c r="CH64" s="56">
        <f t="shared" si="29"/>
        <v>-97.403549917620396</v>
      </c>
      <c r="CI64" s="42">
        <f>'[1]побудинковий звіт'!CI64+'[2]побудинковий звіт'!CI64-'[3]побудинковий звіт'!CI64</f>
        <v>4473.4885173489201</v>
      </c>
      <c r="CJ64" s="42">
        <f>'[1]побудинковий звіт'!CJ64+'[2]побудинковий звіт'!CJ64-'[3]побудинковий звіт'!CJ64</f>
        <v>2403.8418438535746</v>
      </c>
      <c r="CK64" s="56">
        <f t="shared" si="30"/>
        <v>-2069.6466734953456</v>
      </c>
      <c r="CL64" s="42">
        <f>'[1]побудинковий звіт'!CL64+'[2]побудинковий звіт'!CL64-'[3]побудинковий звіт'!CL64</f>
        <v>0</v>
      </c>
      <c r="CM64" s="42">
        <f>'[1]побудинковий звіт'!CM64+'[2]побудинковий звіт'!CM64-'[3]побудинковий звіт'!CM64</f>
        <v>0</v>
      </c>
      <c r="CN64" s="56">
        <f t="shared" si="31"/>
        <v>0</v>
      </c>
      <c r="CO64" s="42">
        <f t="shared" ref="CO64:CO110" si="64">CI64+CL64</f>
        <v>4473.4885173489201</v>
      </c>
      <c r="CP64" s="43">
        <f t="shared" si="32"/>
        <v>2403.8418438535746</v>
      </c>
      <c r="CQ64" s="56">
        <f t="shared" si="33"/>
        <v>-2069.6466734953456</v>
      </c>
      <c r="CR64" s="78">
        <f t="shared" ref="CR64:CS110" si="65">AG64+AJ64+AM64+AP64+AS64+BQ64+BT64+BW64+BZ64+CC64+CF64+CO64</f>
        <v>95368.525640518332</v>
      </c>
      <c r="CS64" s="5">
        <f t="shared" si="65"/>
        <v>82241.977471673948</v>
      </c>
      <c r="CT64" s="56">
        <f t="shared" si="34"/>
        <v>-13126.548168844383</v>
      </c>
      <c r="CU64" s="87">
        <f t="shared" si="35"/>
        <v>114442.230768622</v>
      </c>
      <c r="CV64" s="70">
        <f t="shared" si="36"/>
        <v>98690.372966008741</v>
      </c>
      <c r="CW64" s="37">
        <f t="shared" si="37"/>
        <v>-15751.85780261326</v>
      </c>
      <c r="CX64" s="42">
        <f>'[1]побудинковий звіт'!CX64+'[2]побудинковий звіт'!CX64-'[3]побудинковий звіт'!CX64</f>
        <v>6834.0892313780132</v>
      </c>
      <c r="CY64" s="42">
        <f>'[1]побудинковий звіт'!CY64+'[2]побудинковий звіт'!CY64-'[3]побудинковий звіт'!CY64</f>
        <v>22585.94703399128</v>
      </c>
      <c r="CZ64" s="56">
        <f t="shared" si="38"/>
        <v>15751.857802613267</v>
      </c>
      <c r="DA64" s="264">
        <f>'[4]побудинковий звіт'!DA64</f>
        <v>-16619.91020784781</v>
      </c>
      <c r="DB64" s="2">
        <v>2</v>
      </c>
      <c r="DC64" s="717">
        <f>'[4]побудинковий звіт'!DC64</f>
        <v>13128.47</v>
      </c>
      <c r="DD64" s="717">
        <f>'[4]побудинковий звіт'!DD64</f>
        <v>12299.12</v>
      </c>
      <c r="DE64" s="717">
        <f>'[4]побудинковий звіт'!DE64</f>
        <v>4864.9499999999989</v>
      </c>
      <c r="DF64" s="717">
        <f>'[4]побудинковий звіт'!DF64</f>
        <v>10456.280000000001</v>
      </c>
      <c r="DG64" s="787">
        <v>12081.177317802503</v>
      </c>
      <c r="DH64" s="761">
        <f t="shared" si="39"/>
        <v>1455315.84</v>
      </c>
      <c r="DI64" s="784"/>
      <c r="DJ64" s="5"/>
      <c r="DK64" s="317">
        <f>VLOOKUP($A64,ціни!$A$4:$G$401,5)</f>
        <v>5.3086850710747431</v>
      </c>
      <c r="DL64" s="317"/>
      <c r="DM64" s="317">
        <f>VLOOKUP($A64,ціни!$A$4:$G$401,7)</f>
        <v>4.8066002419498535</v>
      </c>
      <c r="DN64" s="30">
        <f>F64*DK64</f>
        <v>14848.126709542501</v>
      </c>
      <c r="DO64" s="30">
        <f>H64*DM64</f>
        <v>1842.8505327635739</v>
      </c>
      <c r="DP64" s="316">
        <f t="shared" si="40"/>
        <v>16690.977242306075</v>
      </c>
      <c r="DQ64" s="104"/>
      <c r="DR64" s="30">
        <f>VLOOKUP(A64,'ДЗ нас '!$A$1:$C$359,2)</f>
        <v>8263.52</v>
      </c>
      <c r="DS64" s="748">
        <f>VLOOKUP(A64,'ДЗ нежит'!$A$1:$D$153,4,0)</f>
        <v>1842.8400000000001</v>
      </c>
      <c r="DT64" s="30">
        <f t="shared" si="41"/>
        <v>10106.36</v>
      </c>
      <c r="DU64" s="257">
        <f>VLOOKUP(A64,'новий кошторис с 01.06'!$A$4:$AI$399,35)*1.2</f>
        <v>9765.7370255890783</v>
      </c>
      <c r="DV64" s="30">
        <f t="shared" si="42"/>
        <v>340.62297441092232</v>
      </c>
      <c r="DW64" s="930">
        <f>'[5]побудинковий звіт'!DW64+'[6]побудинковий звіт'!DW64</f>
        <v>236</v>
      </c>
      <c r="DY64" s="5">
        <f t="shared" si="9"/>
        <v>31975.561573442475</v>
      </c>
      <c r="DZ64" s="5">
        <f t="shared" si="10"/>
        <v>6741.5999999999995</v>
      </c>
      <c r="EA64" s="752">
        <f t="shared" si="43"/>
        <v>15321.23</v>
      </c>
      <c r="EC64" s="592">
        <f t="shared" si="11"/>
        <v>272274.0742405554</v>
      </c>
      <c r="EE64" s="758">
        <v>12158</v>
      </c>
      <c r="EF64" s="738">
        <f t="shared" si="12"/>
        <v>24239.177317802503</v>
      </c>
      <c r="EH64" s="813">
        <v>-163.0506232688258</v>
      </c>
    </row>
    <row r="65" spans="1:138" x14ac:dyDescent="0.3">
      <c r="A65" s="328">
        <v>150000523</v>
      </c>
      <c r="B65" s="44" t="s">
        <v>514</v>
      </c>
      <c r="C65" s="45" t="s">
        <v>57</v>
      </c>
      <c r="D65" s="45" t="s">
        <v>57</v>
      </c>
      <c r="E65" s="40">
        <f t="shared" si="3"/>
        <v>3219.5</v>
      </c>
      <c r="F65" s="490">
        <v>3219.5</v>
      </c>
      <c r="G65" s="30"/>
      <c r="H65" s="30">
        <v>0</v>
      </c>
      <c r="I65" s="42">
        <f>'[1]побудинковий звіт'!I65+'[2]побудинковий звіт'!I65-'[3]побудинковий звіт'!I65</f>
        <v>0</v>
      </c>
      <c r="J65" s="42">
        <f>'[1]побудинковий звіт'!J65+'[2]побудинковий звіт'!J65-'[3]побудинковий звіт'!J65</f>
        <v>0</v>
      </c>
      <c r="K65" s="56">
        <f t="shared" ref="K65:K111" si="66">J65-I65</f>
        <v>0</v>
      </c>
      <c r="L65" s="42">
        <f>'[1]побудинковий звіт'!L65+'[2]побудинковий звіт'!L65-'[3]побудинковий звіт'!L65</f>
        <v>0</v>
      </c>
      <c r="M65" s="42">
        <f>'[1]побудинковий звіт'!M65+'[2]побудинковий звіт'!M65-'[3]побудинковий звіт'!M65</f>
        <v>0</v>
      </c>
      <c r="N65" s="56">
        <f t="shared" ref="N65:N111" si="67">M65-L65</f>
        <v>0</v>
      </c>
      <c r="O65" s="42">
        <f>'[1]побудинковий звіт'!O65+'[2]побудинковий звіт'!O65-'[3]побудинковий звіт'!O65</f>
        <v>0</v>
      </c>
      <c r="P65" s="42">
        <f>'[1]побудинковий звіт'!P65+'[2]побудинковий звіт'!P65-'[3]побудинковий звіт'!P65</f>
        <v>0</v>
      </c>
      <c r="Q65" s="56">
        <f t="shared" ref="Q65:Q111" si="68">P65-O65</f>
        <v>0</v>
      </c>
      <c r="R65" s="42">
        <f>'[1]побудинковий звіт'!R65+'[2]побудинковий звіт'!R65-'[3]побудинковий звіт'!R65</f>
        <v>0</v>
      </c>
      <c r="S65" s="42">
        <f>'[1]побудинковий звіт'!S65+'[2]побудинковий звіт'!S65-'[3]побудинковий звіт'!S65</f>
        <v>0</v>
      </c>
      <c r="T65" s="56">
        <f t="shared" ref="T65:T111" si="69">S65-R65</f>
        <v>0</v>
      </c>
      <c r="U65" s="42">
        <f>'[1]побудинковий звіт'!U65+'[2]побудинковий звіт'!U65-'[3]побудинковий звіт'!U65</f>
        <v>0</v>
      </c>
      <c r="V65" s="42">
        <f>'[1]побудинковий звіт'!V65+'[2]побудинковий звіт'!V65-'[3]побудинковий звіт'!V65</f>
        <v>0</v>
      </c>
      <c r="W65" s="56">
        <f t="shared" ref="W65:W111" si="70">V65-U65</f>
        <v>0</v>
      </c>
      <c r="X65" s="42">
        <f>'[1]побудинковий звіт'!X65+'[2]побудинковий звіт'!X65-'[3]побудинковий звіт'!X65</f>
        <v>0</v>
      </c>
      <c r="Y65" s="42">
        <f>'[1]побудинковий звіт'!Y65+'[2]побудинковий звіт'!Y65-'[3]побудинковий звіт'!Y65</f>
        <v>0</v>
      </c>
      <c r="Z65" s="56">
        <f t="shared" ref="Z65:Z111" si="71">Y65-X65</f>
        <v>0</v>
      </c>
      <c r="AA65" s="42">
        <f>'[1]побудинковий звіт'!AA65+'[2]побудинковий звіт'!AA65-'[3]побудинковий звіт'!AA65</f>
        <v>0</v>
      </c>
      <c r="AB65" s="42">
        <f>'[1]побудинковий звіт'!AB65+'[2]побудинковий звіт'!AB65-'[3]побудинковий звіт'!AB65</f>
        <v>0</v>
      </c>
      <c r="AC65" s="56">
        <f t="shared" ref="AC65:AC111" si="72">AB65-AA65</f>
        <v>0</v>
      </c>
      <c r="AD65" s="42">
        <f>'[1]побудинковий звіт'!AD65+'[2]побудинковий звіт'!AD65-'[3]побудинковий звіт'!AD65</f>
        <v>0</v>
      </c>
      <c r="AE65" s="42">
        <f>'[1]побудинковий звіт'!AE65+'[2]побудинковий звіт'!AE65-'[3]побудинковий звіт'!AE65</f>
        <v>200.30208616433652</v>
      </c>
      <c r="AF65" s="37">
        <f t="shared" ref="AF65:AF111" si="73">AE65-AD65</f>
        <v>200.30208616433652</v>
      </c>
      <c r="AG65" s="87">
        <f t="shared" si="61"/>
        <v>0</v>
      </c>
      <c r="AH65" s="57">
        <f t="shared" si="61"/>
        <v>200.30208616433652</v>
      </c>
      <c r="AI65" s="56">
        <f t="shared" ref="AI65:AI111" si="74">AH65-AG65</f>
        <v>200.30208616433652</v>
      </c>
      <c r="AJ65" s="42">
        <f>'[1]побудинковий звіт'!AJ65+'[2]побудинковий звіт'!AJ65-'[3]побудинковий звіт'!AJ65</f>
        <v>0</v>
      </c>
      <c r="AK65" s="42">
        <f>'[1]побудинковий звіт'!AK65+'[2]побудинковий звіт'!AK65-'[3]побудинковий звіт'!AK65</f>
        <v>0</v>
      </c>
      <c r="AL65" s="56">
        <f t="shared" ref="AL65:AL111" si="75">AK65-AJ65</f>
        <v>0</v>
      </c>
      <c r="AM65" s="42">
        <f>'[1]побудинковий звіт'!AM65+'[2]побудинковий звіт'!AM65-'[3]побудинковий звіт'!AM65</f>
        <v>0</v>
      </c>
      <c r="AN65" s="42">
        <f>'[1]побудинковий звіт'!AN65+'[2]побудинковий звіт'!AN65-'[3]побудинковий звіт'!AN65</f>
        <v>0</v>
      </c>
      <c r="AO65" s="56">
        <f t="shared" ref="AO65:AO111" si="76">AN65-AM65</f>
        <v>0</v>
      </c>
      <c r="AP65" s="42">
        <f>'[1]побудинковий звіт'!AP65+'[2]побудинковий звіт'!AP65-'[3]побудинковий звіт'!AP65</f>
        <v>378.80705715745984</v>
      </c>
      <c r="AQ65" s="42">
        <f>'[1]побудинковий звіт'!AQ65+'[2]побудинковий звіт'!AQ65-'[3]побудинковий звіт'!AQ65</f>
        <v>139.73068767963608</v>
      </c>
      <c r="AR65" s="56">
        <f t="shared" ref="AR65:AR111" si="77">AQ65-AP65</f>
        <v>-239.07636947782376</v>
      </c>
      <c r="AS65" s="42">
        <f>'[1]побудинковий звіт'!AS65+'[2]побудинковий звіт'!AS65-'[3]побудинковий звіт'!AS65</f>
        <v>4048.826057097257</v>
      </c>
      <c r="AT65" s="42">
        <f>'[1]побудинковий звіт'!AT65+'[2]побудинковий звіт'!AT65-'[3]побудинковий звіт'!AT65</f>
        <v>0</v>
      </c>
      <c r="AU65" s="58">
        <f t="shared" ref="AU65:AU112" si="78">AT65-AS65</f>
        <v>-4048.826057097257</v>
      </c>
      <c r="AV65" s="42">
        <f>'[1]побудинковий звіт'!AV65+'[2]побудинковий звіт'!AV65-'[3]побудинковий звіт'!AV65</f>
        <v>0</v>
      </c>
      <c r="AW65" s="42">
        <f>'[1]побудинковий звіт'!AW65+'[2]побудинковий звіт'!AW65-'[3]побудинковий звіт'!AW65</f>
        <v>0</v>
      </c>
      <c r="AX65" s="59">
        <f t="shared" ref="AX65:AX112" si="79">AW65-AV65</f>
        <v>0</v>
      </c>
      <c r="AY65" s="42">
        <f>'[1]побудинковий звіт'!AY65+'[2]побудинковий звіт'!AY65-'[3]побудинковий звіт'!AY65</f>
        <v>0</v>
      </c>
      <c r="AZ65" s="42">
        <f>'[1]побудинковий звіт'!AZ65+'[2]побудинковий звіт'!AZ65-'[3]побудинковий звіт'!AZ65</f>
        <v>0</v>
      </c>
      <c r="BA65" s="37">
        <f t="shared" ref="BA65:BA112" si="80">AZ65-AY65</f>
        <v>0</v>
      </c>
      <c r="BB65" s="42">
        <f>'[1]побудинковий звіт'!BB65+'[2]побудинковий звіт'!BB65-'[3]побудинковий звіт'!BB65</f>
        <v>0</v>
      </c>
      <c r="BC65" s="42">
        <f>'[1]побудинковий звіт'!BC65+'[2]побудинковий звіт'!BC65-'[3]побудинковий звіт'!BC65</f>
        <v>0</v>
      </c>
      <c r="BD65" s="59">
        <f t="shared" ref="BD65:BD112" si="81">BC65-BB65</f>
        <v>0</v>
      </c>
      <c r="BE65" s="42">
        <f>'[1]побудинковий звіт'!BE65+'[2]побудинковий звіт'!BE65-'[3]побудинковий звіт'!BE65</f>
        <v>0</v>
      </c>
      <c r="BF65" s="42">
        <f>'[1]побудинковий звіт'!BF65+'[2]побудинковий звіт'!BF65-'[3]побудинковий звіт'!BF65</f>
        <v>0</v>
      </c>
      <c r="BG65" s="39">
        <f t="shared" ref="BG65:BG112" si="82">BF65-BE65</f>
        <v>0</v>
      </c>
      <c r="BH65" s="42">
        <f>'[1]побудинковий звіт'!BH65+'[2]побудинковий звіт'!BH65-'[3]побудинковий звіт'!BH65</f>
        <v>0</v>
      </c>
      <c r="BI65" s="42">
        <f>'[1]побудинковий звіт'!BI65+'[2]побудинковий звіт'!BI65-'[3]побудинковий звіт'!BI65</f>
        <v>0</v>
      </c>
      <c r="BJ65" s="59">
        <f t="shared" ref="BJ65:BJ112" si="83">BI65-BH65</f>
        <v>0</v>
      </c>
      <c r="BK65" s="42">
        <f>'[1]побудинковий звіт'!BK65+'[2]побудинковий звіт'!BK65-'[3]побудинковий звіт'!BK65</f>
        <v>0</v>
      </c>
      <c r="BL65" s="42">
        <f>'[1]побудинковий звіт'!BL65+'[2]побудинковий звіт'!BL65-'[3]побудинковий звіт'!BL65</f>
        <v>0</v>
      </c>
      <c r="BM65" s="39">
        <f t="shared" ref="BM65:BM112" si="84">BL65-BK65</f>
        <v>0</v>
      </c>
      <c r="BN65" s="42">
        <f>'[1]побудинковий звіт'!BN65+'[2]побудинковий звіт'!BN65-'[3]побудинковий звіт'!BN65</f>
        <v>0</v>
      </c>
      <c r="BO65" s="42">
        <f>'[1]побудинковий звіт'!BO65+'[2]побудинковий звіт'!BO65-'[3]побудинковий звіт'!BO65</f>
        <v>0</v>
      </c>
      <c r="BP65" s="59">
        <f t="shared" ref="BP65:BP112" si="85">BO65-BN65</f>
        <v>0</v>
      </c>
      <c r="BQ65" s="87">
        <f t="shared" si="62"/>
        <v>0</v>
      </c>
      <c r="BR65" s="43">
        <f t="shared" si="63"/>
        <v>0</v>
      </c>
      <c r="BS65" s="59">
        <f t="shared" ref="BS65:BS112" si="86">BR65-BQ65</f>
        <v>0</v>
      </c>
      <c r="BT65" s="42">
        <f>'[1]побудинковий звіт'!BT65+'[2]побудинковий звіт'!BT65-'[3]побудинковий звіт'!BT65</f>
        <v>0</v>
      </c>
      <c r="BU65" s="42">
        <f>'[1]побудинковий звіт'!BU65+'[2]побудинковий звіт'!BU65-'[3]побудинковий звіт'!BU65</f>
        <v>0</v>
      </c>
      <c r="BV65" s="56">
        <f t="shared" ref="BV65:BV111" si="87">BU65-BT65</f>
        <v>0</v>
      </c>
      <c r="BW65" s="42">
        <f>'[1]побудинковий звіт'!BW65+'[2]побудинковий звіт'!BW65-'[3]побудинковий звіт'!BW65</f>
        <v>0</v>
      </c>
      <c r="BX65" s="42">
        <f>'[1]побудинковий звіт'!BX65+'[2]побудинковий звіт'!BX65-'[3]побудинковий звіт'!BX65</f>
        <v>9.6865850559720901</v>
      </c>
      <c r="BY65" s="56">
        <f t="shared" ref="BY65:BY111" si="88">BX65-BW65</f>
        <v>9.6865850559720901</v>
      </c>
      <c r="BZ65" s="42">
        <f>'[1]побудинковий звіт'!BZ65+'[2]побудинковий звіт'!BZ65-'[3]побудинковий звіт'!BZ65</f>
        <v>0</v>
      </c>
      <c r="CA65" s="42">
        <f>'[1]побудинковий звіт'!CA65+'[2]побудинковий звіт'!CA65-'[3]побудинковий звіт'!CA65</f>
        <v>0</v>
      </c>
      <c r="CB65" s="56">
        <f t="shared" ref="CB65:CB111" si="89">CA65-BZ65</f>
        <v>0</v>
      </c>
      <c r="CC65" s="42">
        <f>'[1]побудинковий звіт'!CC65+'[2]побудинковий звіт'!CC65-'[3]побудинковий звіт'!CC65</f>
        <v>0</v>
      </c>
      <c r="CD65" s="42">
        <f>'[1]побудинковий звіт'!CD65+'[2]побудинковий звіт'!CD65-'[3]побудинковий звіт'!CD65</f>
        <v>0</v>
      </c>
      <c r="CE65" s="56">
        <f t="shared" ref="CE65:CE111" si="90">CD65-CC65</f>
        <v>0</v>
      </c>
      <c r="CF65" s="42">
        <f>'[1]побудинковий звіт'!CF65+'[2]побудинковий звіт'!CF65-'[3]побудинковий звіт'!CF65</f>
        <v>0</v>
      </c>
      <c r="CG65" s="42">
        <f>'[1]побудинковий звіт'!CG65+'[2]побудинковий звіт'!CG65-'[3]побудинковий звіт'!CG65</f>
        <v>0</v>
      </c>
      <c r="CH65" s="56">
        <f t="shared" ref="CH65:CH111" si="91">CG65-CF65</f>
        <v>0</v>
      </c>
      <c r="CI65" s="42">
        <f>'[1]побудинковий звіт'!CI65+'[2]побудинковий звіт'!CI65-'[3]побудинковий звіт'!CI65</f>
        <v>0</v>
      </c>
      <c r="CJ65" s="42">
        <f>'[1]побудинковий звіт'!CJ65+'[2]побудинковий звіт'!CJ65-'[3]побудинковий звіт'!CJ65</f>
        <v>0</v>
      </c>
      <c r="CK65" s="56">
        <f t="shared" ref="CK65:CK111" si="92">CJ65-CI65</f>
        <v>0</v>
      </c>
      <c r="CL65" s="42">
        <f>'[1]побудинковий звіт'!CL65+'[2]побудинковий звіт'!CL65-'[3]побудинковий звіт'!CL65</f>
        <v>0</v>
      </c>
      <c r="CM65" s="42">
        <f>'[1]побудинковий звіт'!CM65+'[2]побудинковий звіт'!CM65-'[3]побудинковий звіт'!CM65</f>
        <v>0</v>
      </c>
      <c r="CN65" s="56">
        <f t="shared" ref="CN65:CN111" si="93">CM65-CL65</f>
        <v>0</v>
      </c>
      <c r="CO65" s="42">
        <f t="shared" si="64"/>
        <v>0</v>
      </c>
      <c r="CP65" s="43">
        <f t="shared" ref="CP65:CP111" si="94">CJ65+CM65</f>
        <v>0</v>
      </c>
      <c r="CQ65" s="56">
        <f t="shared" ref="CQ65:CQ111" si="95">CP65-CO65</f>
        <v>0</v>
      </c>
      <c r="CR65" s="78">
        <f t="shared" si="65"/>
        <v>4427.6331142547169</v>
      </c>
      <c r="CS65" s="5">
        <f t="shared" si="65"/>
        <v>349.71935889994467</v>
      </c>
      <c r="CT65" s="56">
        <f t="shared" ref="CT65:CT111" si="96">CS65-CR65</f>
        <v>-4077.9137553547721</v>
      </c>
      <c r="CU65" s="87">
        <f t="shared" ref="CU65:CU111" si="97">CR65*1.2</f>
        <v>5313.1597371056605</v>
      </c>
      <c r="CV65" s="70">
        <f t="shared" ref="CV65:CV111" si="98">CS65*1.2</f>
        <v>419.66323067993358</v>
      </c>
      <c r="CW65" s="37">
        <f t="shared" ref="CW65:CW111" si="99">CV65-CU65</f>
        <v>-4893.4965064257267</v>
      </c>
      <c r="CX65" s="42">
        <f>'[1]побудинковий звіт'!CX65+'[2]побудинковий звіт'!CX65-'[3]побудинковий звіт'!CX65</f>
        <v>133.04026289434091</v>
      </c>
      <c r="CY65" s="42">
        <f>'[1]побудинковий звіт'!CY65+'[2]побудинковий звіт'!CY65-'[3]побудинковий звіт'!CY65</f>
        <v>5026.536769320066</v>
      </c>
      <c r="CZ65" s="56">
        <f t="shared" ref="CZ65:CZ111" si="100">CY65-CX65</f>
        <v>4893.4965064257249</v>
      </c>
      <c r="DA65" s="264">
        <f>'[4]побудинковий звіт'!DA65</f>
        <v>20225.438938186417</v>
      </c>
      <c r="DB65" s="2">
        <v>1</v>
      </c>
      <c r="DC65" s="717">
        <f>'[4]побудинковий звіт'!DC65</f>
        <v>3194.89</v>
      </c>
      <c r="DD65" s="717">
        <f>'[4]побудинковий звіт'!DD65</f>
        <v>0</v>
      </c>
      <c r="DE65" s="717">
        <f>'[4]побудинковий звіт'!DE65</f>
        <v>2741.04</v>
      </c>
      <c r="DF65" s="717">
        <f>'[4]побудинковий звіт'!DF65</f>
        <v>0</v>
      </c>
      <c r="DG65" s="787">
        <v>25997.689681430144</v>
      </c>
      <c r="DH65" s="761">
        <f t="shared" si="39"/>
        <v>65354.400000000023</v>
      </c>
      <c r="DI65" s="784"/>
      <c r="DJ65" s="5"/>
      <c r="DK65" s="317">
        <f>VLOOKUP($A65,ціни!$A$4:$G$401,5)</f>
        <v>1.5092530569042515</v>
      </c>
      <c r="DL65" s="317"/>
      <c r="DM65" s="317">
        <f>VLOOKUP($A65,ціни!$A$4:$G$401,7)</f>
        <v>1.5092530569042515</v>
      </c>
      <c r="DN65" s="30">
        <f>F65*DK65</f>
        <v>4859.040216703238</v>
      </c>
      <c r="DO65" s="30">
        <f>H65*DM65</f>
        <v>0</v>
      </c>
      <c r="DP65" s="316">
        <f t="shared" si="40"/>
        <v>4859.040216703238</v>
      </c>
      <c r="DQ65" s="104"/>
      <c r="DR65" s="30">
        <f>VLOOKUP(A65,'ДЗ нас '!$A$1:$C$359,2)</f>
        <v>453.85</v>
      </c>
      <c r="DS65" s="748"/>
      <c r="DT65" s="30">
        <f t="shared" si="41"/>
        <v>453.85</v>
      </c>
      <c r="DU65" s="257">
        <f>VLOOKUP(A65,'новий кошторис с 01.06'!$A$4:$AI$399,35)*1.2</f>
        <v>456.04621076823577</v>
      </c>
      <c r="DV65" s="30">
        <f t="shared" si="42"/>
        <v>-2.1962107682357441</v>
      </c>
      <c r="DW65" s="930">
        <f>'[5]побудинковий звіт'!DW65+'[6]побудинковий звіт'!DW65</f>
        <v>0</v>
      </c>
      <c r="DY65" s="5">
        <f t="shared" si="9"/>
        <v>4858.5912685167086</v>
      </c>
      <c r="DZ65" s="5">
        <f t="shared" si="10"/>
        <v>0</v>
      </c>
      <c r="EA65" s="752">
        <f t="shared" si="43"/>
        <v>2741.04</v>
      </c>
      <c r="EC65" s="592">
        <f t="shared" si="11"/>
        <v>48585.912685167088</v>
      </c>
      <c r="EE65" s="758">
        <v>-152</v>
      </c>
      <c r="EF65" s="738">
        <f t="shared" si="12"/>
        <v>25845.689681430144</v>
      </c>
      <c r="EH65" s="813">
        <v>24475.217521473234</v>
      </c>
    </row>
    <row r="66" spans="1:138" x14ac:dyDescent="0.3">
      <c r="A66" s="328">
        <v>150000527</v>
      </c>
      <c r="B66" s="44" t="s">
        <v>515</v>
      </c>
      <c r="C66" s="45" t="s">
        <v>60</v>
      </c>
      <c r="D66" s="45" t="s">
        <v>60</v>
      </c>
      <c r="E66" s="40">
        <f t="shared" si="3"/>
        <v>1738.1</v>
      </c>
      <c r="F66" s="490">
        <v>1738.1</v>
      </c>
      <c r="G66" s="30"/>
      <c r="H66" s="30">
        <v>0</v>
      </c>
      <c r="I66" s="42">
        <f>'[1]побудинковий звіт'!I66+'[2]побудинковий звіт'!I66-'[3]побудинковий звіт'!I66</f>
        <v>0</v>
      </c>
      <c r="J66" s="42">
        <f>'[1]побудинковий звіт'!J66+'[2]побудинковий звіт'!J66-'[3]побудинковий звіт'!J66</f>
        <v>0</v>
      </c>
      <c r="K66" s="56">
        <f t="shared" si="66"/>
        <v>0</v>
      </c>
      <c r="L66" s="42">
        <f>'[1]побудинковий звіт'!L66+'[2]побудинковий звіт'!L66-'[3]побудинковий звіт'!L66</f>
        <v>0</v>
      </c>
      <c r="M66" s="42">
        <f>'[1]побудинковий звіт'!M66+'[2]побудинковий звіт'!M66-'[3]побудинковий звіт'!M66</f>
        <v>0</v>
      </c>
      <c r="N66" s="56">
        <f t="shared" si="67"/>
        <v>0</v>
      </c>
      <c r="O66" s="42">
        <f>'[1]побудинковий звіт'!O66+'[2]побудинковий звіт'!O66-'[3]побудинковий звіт'!O66</f>
        <v>0</v>
      </c>
      <c r="P66" s="42">
        <f>'[1]побудинковий звіт'!P66+'[2]побудинковий звіт'!P66-'[3]побудинковий звіт'!P66</f>
        <v>0</v>
      </c>
      <c r="Q66" s="56">
        <f t="shared" si="68"/>
        <v>0</v>
      </c>
      <c r="R66" s="42">
        <f>'[1]побудинковий звіт'!R66+'[2]побудинковий звіт'!R66-'[3]побудинковий звіт'!R66</f>
        <v>0</v>
      </c>
      <c r="S66" s="42">
        <f>'[1]побудинковий звіт'!S66+'[2]побудинковий звіт'!S66-'[3]побудинковий звіт'!S66</f>
        <v>0</v>
      </c>
      <c r="T66" s="56">
        <f t="shared" si="69"/>
        <v>0</v>
      </c>
      <c r="U66" s="42">
        <f>'[1]побудинковий звіт'!U66+'[2]побудинковий звіт'!U66-'[3]побудинковий звіт'!U66</f>
        <v>0</v>
      </c>
      <c r="V66" s="42">
        <f>'[1]побудинковий звіт'!V66+'[2]побудинковий звіт'!V66-'[3]побудинковий звіт'!V66</f>
        <v>0</v>
      </c>
      <c r="W66" s="56">
        <f t="shared" si="70"/>
        <v>0</v>
      </c>
      <c r="X66" s="42">
        <f>'[1]побудинковий звіт'!X66+'[2]побудинковий звіт'!X66-'[3]побудинковий звіт'!X66</f>
        <v>0</v>
      </c>
      <c r="Y66" s="42">
        <f>'[1]побудинковий звіт'!Y66+'[2]побудинковий звіт'!Y66-'[3]побудинковий звіт'!Y66</f>
        <v>0</v>
      </c>
      <c r="Z66" s="56">
        <f t="shared" si="71"/>
        <v>0</v>
      </c>
      <c r="AA66" s="42">
        <f>'[1]побудинковий звіт'!AA66+'[2]побудинковий звіт'!AA66-'[3]побудинковий звіт'!AA66</f>
        <v>0</v>
      </c>
      <c r="AB66" s="42">
        <f>'[1]побудинковий звіт'!AB66+'[2]побудинковий звіт'!AB66-'[3]побудинковий звіт'!AB66</f>
        <v>0</v>
      </c>
      <c r="AC66" s="56">
        <f t="shared" si="72"/>
        <v>0</v>
      </c>
      <c r="AD66" s="42">
        <f>'[1]побудинковий звіт'!AD66+'[2]побудинковий звіт'!AD66-'[3]побудинковий звіт'!AD66</f>
        <v>0</v>
      </c>
      <c r="AE66" s="42">
        <f>'[1]побудинковий звіт'!AE66+'[2]побудинковий звіт'!AE66-'[3]побудинковий звіт'!AE66</f>
        <v>195.50602690133945</v>
      </c>
      <c r="AF66" s="37">
        <f t="shared" si="73"/>
        <v>195.50602690133945</v>
      </c>
      <c r="AG66" s="87">
        <f t="shared" si="61"/>
        <v>0</v>
      </c>
      <c r="AH66" s="57">
        <f t="shared" si="61"/>
        <v>195.50602690133945</v>
      </c>
      <c r="AI66" s="56">
        <f t="shared" si="74"/>
        <v>195.50602690133945</v>
      </c>
      <c r="AJ66" s="42">
        <f>'[1]побудинковий звіт'!AJ66+'[2]побудинковий звіт'!AJ66-'[3]побудинковий звіт'!AJ66</f>
        <v>0</v>
      </c>
      <c r="AK66" s="42">
        <f>'[1]побудинковий звіт'!AK66+'[2]побудинковий звіт'!AK66-'[3]побудинковий звіт'!AK66</f>
        <v>0</v>
      </c>
      <c r="AL66" s="56">
        <f t="shared" si="75"/>
        <v>0</v>
      </c>
      <c r="AM66" s="42">
        <f>'[1]побудинковий звіт'!AM66+'[2]побудинковий звіт'!AM66-'[3]побудинковий звіт'!AM66</f>
        <v>0</v>
      </c>
      <c r="AN66" s="42">
        <f>'[1]побудинковий звіт'!AN66+'[2]побудинковий звіт'!AN66-'[3]побудинковий звіт'!AN66</f>
        <v>0</v>
      </c>
      <c r="AO66" s="56">
        <f t="shared" si="76"/>
        <v>0</v>
      </c>
      <c r="AP66" s="42">
        <f>'[1]побудинковий звіт'!AP66+'[2]побудинковий звіт'!AP66-'[3]побудинковий звіт'!AP66</f>
        <v>568.21058573618984</v>
      </c>
      <c r="AQ66" s="42">
        <f>'[1]побудинковий звіт'!AQ66+'[2]побудинковий звіт'!AQ66-'[3]побудинковий звіт'!AQ66</f>
        <v>232.88447946606013</v>
      </c>
      <c r="AR66" s="56">
        <f t="shared" si="77"/>
        <v>-335.32610627012969</v>
      </c>
      <c r="AS66" s="42">
        <f>'[1]побудинковий звіт'!AS66+'[2]побудинковий звіт'!AS66-'[3]побудинковий звіт'!AS66</f>
        <v>4378.9220064616811</v>
      </c>
      <c r="AT66" s="42">
        <f>'[1]побудинковий звіт'!AT66+'[2]побудинковий звіт'!AT66-'[3]побудинковий звіт'!AT66</f>
        <v>0</v>
      </c>
      <c r="AU66" s="58">
        <f t="shared" si="78"/>
        <v>-4378.9220064616811</v>
      </c>
      <c r="AV66" s="42">
        <f>'[1]побудинковий звіт'!AV66+'[2]побудинковий звіт'!AV66-'[3]побудинковий звіт'!AV66</f>
        <v>0</v>
      </c>
      <c r="AW66" s="42">
        <f>'[1]побудинковий звіт'!AW66+'[2]побудинковий звіт'!AW66-'[3]побудинковий звіт'!AW66</f>
        <v>0</v>
      </c>
      <c r="AX66" s="59">
        <f t="shared" si="79"/>
        <v>0</v>
      </c>
      <c r="AY66" s="42">
        <f>'[1]побудинковий звіт'!AY66+'[2]побудинковий звіт'!AY66-'[3]побудинковий звіт'!AY66</f>
        <v>0</v>
      </c>
      <c r="AZ66" s="42">
        <f>'[1]побудинковий звіт'!AZ66+'[2]побудинковий звіт'!AZ66-'[3]побудинковий звіт'!AZ66</f>
        <v>0</v>
      </c>
      <c r="BA66" s="37">
        <f t="shared" si="80"/>
        <v>0</v>
      </c>
      <c r="BB66" s="42">
        <f>'[1]побудинковий звіт'!BB66+'[2]побудинковий звіт'!BB66-'[3]побудинковий звіт'!BB66</f>
        <v>0</v>
      </c>
      <c r="BC66" s="42">
        <f>'[1]побудинковий звіт'!BC66+'[2]побудинковий звіт'!BC66-'[3]побудинковий звіт'!BC66</f>
        <v>0</v>
      </c>
      <c r="BD66" s="59">
        <f t="shared" si="81"/>
        <v>0</v>
      </c>
      <c r="BE66" s="42">
        <f>'[1]побудинковий звіт'!BE66+'[2]побудинковий звіт'!BE66-'[3]побудинковий звіт'!BE66</f>
        <v>0</v>
      </c>
      <c r="BF66" s="42">
        <f>'[1]побудинковий звіт'!BF66+'[2]побудинковий звіт'!BF66-'[3]побудинковий звіт'!BF66</f>
        <v>0</v>
      </c>
      <c r="BG66" s="39">
        <f t="shared" si="82"/>
        <v>0</v>
      </c>
      <c r="BH66" s="42">
        <f>'[1]побудинковий звіт'!BH66+'[2]побудинковий звіт'!BH66-'[3]побудинковий звіт'!BH66</f>
        <v>0</v>
      </c>
      <c r="BI66" s="42">
        <f>'[1]побудинковий звіт'!BI66+'[2]побудинковий звіт'!BI66-'[3]побудинковий звіт'!BI66</f>
        <v>0</v>
      </c>
      <c r="BJ66" s="59">
        <f t="shared" si="83"/>
        <v>0</v>
      </c>
      <c r="BK66" s="42">
        <f>'[1]побудинковий звіт'!BK66+'[2]побудинковий звіт'!BK66-'[3]побудинковий звіт'!BK66</f>
        <v>0</v>
      </c>
      <c r="BL66" s="42">
        <f>'[1]побудинковий звіт'!BL66+'[2]побудинковий звіт'!BL66-'[3]побудинковий звіт'!BL66</f>
        <v>0</v>
      </c>
      <c r="BM66" s="39">
        <f t="shared" si="84"/>
        <v>0</v>
      </c>
      <c r="BN66" s="42">
        <f>'[1]побудинковий звіт'!BN66+'[2]побудинковий звіт'!BN66-'[3]побудинковий звіт'!BN66</f>
        <v>0</v>
      </c>
      <c r="BO66" s="42">
        <f>'[1]побудинковий звіт'!BO66+'[2]побудинковий звіт'!BO66-'[3]побудинковий звіт'!BO66</f>
        <v>0</v>
      </c>
      <c r="BP66" s="59">
        <f t="shared" si="85"/>
        <v>0</v>
      </c>
      <c r="BQ66" s="87">
        <f t="shared" si="62"/>
        <v>0</v>
      </c>
      <c r="BR66" s="43">
        <f t="shared" si="63"/>
        <v>0</v>
      </c>
      <c r="BS66" s="59">
        <f t="shared" si="86"/>
        <v>0</v>
      </c>
      <c r="BT66" s="42">
        <f>'[1]побудинковий звіт'!BT66+'[2]побудинковий звіт'!BT66-'[3]побудинковий звіт'!BT66</f>
        <v>0</v>
      </c>
      <c r="BU66" s="42">
        <f>'[1]побудинковий звіт'!BU66+'[2]побудинковий звіт'!BU66-'[3]побудинковий звіт'!BU66</f>
        <v>0</v>
      </c>
      <c r="BV66" s="56">
        <f t="shared" si="87"/>
        <v>0</v>
      </c>
      <c r="BW66" s="42">
        <f>'[1]побудинковий звіт'!BW66+'[2]побудинковий звіт'!BW66-'[3]побудинковий звіт'!BW66</f>
        <v>0</v>
      </c>
      <c r="BX66" s="42">
        <f>'[1]побудинковий звіт'!BX66+'[2]побудинковий звіт'!BX66-'[3]побудинковий звіт'!BX66</f>
        <v>9.45464820062457</v>
      </c>
      <c r="BY66" s="56">
        <f t="shared" si="88"/>
        <v>9.45464820062457</v>
      </c>
      <c r="BZ66" s="42">
        <f>'[1]побудинковий звіт'!BZ66+'[2]побудинковий звіт'!BZ66-'[3]побудинковий звіт'!BZ66</f>
        <v>0</v>
      </c>
      <c r="CA66" s="42">
        <f>'[1]побудинковий звіт'!CA66+'[2]побудинковий звіт'!CA66-'[3]побудинковий звіт'!CA66</f>
        <v>0</v>
      </c>
      <c r="CB66" s="56">
        <f t="shared" si="89"/>
        <v>0</v>
      </c>
      <c r="CC66" s="42">
        <f>'[1]побудинковий звіт'!CC66+'[2]побудинковий звіт'!CC66-'[3]побудинковий звіт'!CC66</f>
        <v>0</v>
      </c>
      <c r="CD66" s="42">
        <f>'[1]побудинковий звіт'!CD66+'[2]побудинковий звіт'!CD66-'[3]побудинковий звіт'!CD66</f>
        <v>0</v>
      </c>
      <c r="CE66" s="56">
        <f t="shared" si="90"/>
        <v>0</v>
      </c>
      <c r="CF66" s="42">
        <f>'[1]побудинковий звіт'!CF66+'[2]побудинковий звіт'!CF66-'[3]побудинковий звіт'!CF66</f>
        <v>0</v>
      </c>
      <c r="CG66" s="42">
        <f>'[1]побудинковий звіт'!CG66+'[2]побудинковий звіт'!CG66-'[3]побудинковий звіт'!CG66</f>
        <v>0</v>
      </c>
      <c r="CH66" s="56">
        <f t="shared" si="91"/>
        <v>0</v>
      </c>
      <c r="CI66" s="42">
        <f>'[1]побудинковий звіт'!CI66+'[2]побудинковий звіт'!CI66-'[3]побудинковий звіт'!CI66</f>
        <v>0</v>
      </c>
      <c r="CJ66" s="42">
        <f>'[1]побудинковий звіт'!CJ66+'[2]побудинковий звіт'!CJ66-'[3]побудинковий звіт'!CJ66</f>
        <v>0</v>
      </c>
      <c r="CK66" s="56">
        <f t="shared" si="92"/>
        <v>0</v>
      </c>
      <c r="CL66" s="42">
        <f>'[1]побудинковий звіт'!CL66+'[2]побудинковий звіт'!CL66-'[3]побудинковий звіт'!CL66</f>
        <v>0</v>
      </c>
      <c r="CM66" s="42">
        <f>'[1]побудинковий звіт'!CM66+'[2]побудинковий звіт'!CM66-'[3]побудинковий звіт'!CM66</f>
        <v>0</v>
      </c>
      <c r="CN66" s="56">
        <f t="shared" si="93"/>
        <v>0</v>
      </c>
      <c r="CO66" s="42">
        <f t="shared" si="64"/>
        <v>0</v>
      </c>
      <c r="CP66" s="43">
        <f t="shared" si="94"/>
        <v>0</v>
      </c>
      <c r="CQ66" s="56">
        <f t="shared" si="95"/>
        <v>0</v>
      </c>
      <c r="CR66" s="78">
        <f t="shared" si="65"/>
        <v>4947.1325921978714</v>
      </c>
      <c r="CS66" s="5">
        <f t="shared" si="65"/>
        <v>437.8451545680241</v>
      </c>
      <c r="CT66" s="56">
        <f t="shared" si="96"/>
        <v>-4509.2874376298478</v>
      </c>
      <c r="CU66" s="87">
        <f t="shared" si="97"/>
        <v>5936.5591106374459</v>
      </c>
      <c r="CV66" s="70">
        <f t="shared" si="98"/>
        <v>525.41418548162892</v>
      </c>
      <c r="CW66" s="37">
        <f t="shared" si="99"/>
        <v>-5411.144925155817</v>
      </c>
      <c r="CX66" s="42">
        <f>'[1]побудинковий звіт'!CX66+'[2]побудинковий звіт'!CX66-'[3]побудинковий звіт'!CX66</f>
        <v>88.880889362556672</v>
      </c>
      <c r="CY66" s="42">
        <f>'[1]побудинковий звіт'!CY66+'[2]побудинковий звіт'!CY66-'[3]побудинковий звіт'!CY66</f>
        <v>5500.0258145183725</v>
      </c>
      <c r="CZ66" s="56">
        <f t="shared" si="100"/>
        <v>5411.1449251558161</v>
      </c>
      <c r="DA66" s="264">
        <f>'[4]побудинковий звіт'!DA66</f>
        <v>-5729.8050846850947</v>
      </c>
      <c r="DB66" s="2">
        <v>1</v>
      </c>
      <c r="DC66" s="717">
        <f>'[4]побудинковий звіт'!DC66</f>
        <v>3091.05</v>
      </c>
      <c r="DD66" s="717">
        <f>'[4]побудинковий звіт'!DD66</f>
        <v>0</v>
      </c>
      <c r="DE66" s="717">
        <f>'[4]побудинковий звіт'!DE66</f>
        <v>2588.9300000000003</v>
      </c>
      <c r="DF66" s="717">
        <f>'[4]побудинковий звіт'!DF66</f>
        <v>0</v>
      </c>
      <c r="DG66" s="787">
        <v>1011.173413380302</v>
      </c>
      <c r="DH66" s="761">
        <f t="shared" si="39"/>
        <v>72305.280000000028</v>
      </c>
      <c r="DI66" s="784"/>
      <c r="DJ66" s="5"/>
      <c r="DK66" s="317">
        <f>VLOOKUP($A66,ціни!$A$4:$G$401,5)</f>
        <v>1.7108473464346663</v>
      </c>
      <c r="DL66" s="317"/>
      <c r="DM66" s="317">
        <f>VLOOKUP($A66,ціни!$A$4:$G$401,7)</f>
        <v>1.7108473464346663</v>
      </c>
      <c r="DN66" s="30">
        <f>F66*DK66</f>
        <v>2973.6237728380934</v>
      </c>
      <c r="DO66" s="30">
        <f>H66*DM66</f>
        <v>0</v>
      </c>
      <c r="DP66" s="316">
        <f t="shared" ref="DP66:DP117" si="101">DN66+DO66</f>
        <v>2973.6237728380934</v>
      </c>
      <c r="DQ66" s="104"/>
      <c r="DR66" s="30">
        <f>VLOOKUP(A66,'ДЗ нас '!$A$1:$C$359,2)</f>
        <v>502.12</v>
      </c>
      <c r="DS66" s="748"/>
      <c r="DT66" s="30">
        <f t="shared" ref="DT66:DT117" si="102">DR66+DS66</f>
        <v>502.12</v>
      </c>
      <c r="DU66" s="257">
        <f>VLOOKUP(A66,'новий кошторис с 01.06'!$A$4:$AI$399,35)*1.2</f>
        <v>503.61809324068781</v>
      </c>
      <c r="DV66" s="30">
        <f t="shared" ref="DV66:DV117" si="103">DT66-DU66</f>
        <v>-1.4980932406878082</v>
      </c>
      <c r="DW66" s="930">
        <f>'[5]побудинковий звіт'!DW66+'[6]побудинковий звіт'!DW66</f>
        <v>0</v>
      </c>
      <c r="DY66" s="5">
        <f t="shared" si="9"/>
        <v>5254.7064077540172</v>
      </c>
      <c r="DZ66" s="5">
        <f t="shared" si="10"/>
        <v>0</v>
      </c>
      <c r="EA66" s="752">
        <f t="shared" si="43"/>
        <v>2588.9300000000003</v>
      </c>
      <c r="EC66" s="594">
        <f t="shared" si="11"/>
        <v>52547.06407754017</v>
      </c>
      <c r="EE66" s="758">
        <v>9361</v>
      </c>
      <c r="EF66" s="738">
        <f t="shared" si="12"/>
        <v>10372.173413380302</v>
      </c>
      <c r="EH66" s="813">
        <v>-1072.0678772855103</v>
      </c>
    </row>
    <row r="67" spans="1:138" x14ac:dyDescent="0.3">
      <c r="A67" s="328">
        <v>150000529</v>
      </c>
      <c r="B67" s="44" t="s">
        <v>516</v>
      </c>
      <c r="C67" s="45" t="s">
        <v>347</v>
      </c>
      <c r="D67" s="45" t="s">
        <v>347</v>
      </c>
      <c r="E67" s="40">
        <f t="shared" si="3"/>
        <v>2148</v>
      </c>
      <c r="F67" s="490">
        <v>2148</v>
      </c>
      <c r="G67" s="30">
        <v>979.2</v>
      </c>
      <c r="H67" s="30">
        <v>0</v>
      </c>
      <c r="I67" s="42">
        <f>'[1]побудинковий звіт'!I67+'[2]побудинковий звіт'!I67-'[3]побудинковий звіт'!I67</f>
        <v>14086.185156068741</v>
      </c>
      <c r="J67" s="42">
        <f>'[1]побудинковий звіт'!J67+'[2]побудинковий звіт'!J67-'[3]побудинковий звіт'!J67</f>
        <v>12362.44892997022</v>
      </c>
      <c r="K67" s="56">
        <f t="shared" si="66"/>
        <v>-1723.736226098521</v>
      </c>
      <c r="L67" s="42">
        <f>'[1]побудинковий звіт'!L67+'[2]побудинковий звіт'!L67-'[3]побудинковий звіт'!L67</f>
        <v>2354.4520631441269</v>
      </c>
      <c r="M67" s="42">
        <f>'[1]побудинковий звіт'!M67+'[2]побудинковий звіт'!M67-'[3]побудинковий звіт'!M67</f>
        <v>2247.5298700980898</v>
      </c>
      <c r="N67" s="56">
        <f t="shared" si="67"/>
        <v>-106.92219304603714</v>
      </c>
      <c r="O67" s="42">
        <f>'[1]побудинковий звіт'!O67+'[2]побудинковий звіт'!O67-'[3]побудинковий звіт'!O67</f>
        <v>12747.240000000002</v>
      </c>
      <c r="P67" s="42">
        <f>'[1]побудинковий звіт'!P67+'[2]побудинковий звіт'!P67-'[3]побудинковий звіт'!P67</f>
        <v>10020.067776881719</v>
      </c>
      <c r="Q67" s="56">
        <f t="shared" si="68"/>
        <v>-2727.172223118283</v>
      </c>
      <c r="R67" s="42">
        <f>'[1]побудинковий звіт'!R67+'[2]побудинковий звіт'!R67-'[3]побудинковий звіт'!R67</f>
        <v>2769.1200000000008</v>
      </c>
      <c r="S67" s="42">
        <f>'[1]побудинковий звіт'!S67+'[2]побудинковий звіт'!S67-'[3]побудинковий звіт'!S67</f>
        <v>2176.6567462365592</v>
      </c>
      <c r="T67" s="56">
        <f t="shared" si="69"/>
        <v>-592.46325376344157</v>
      </c>
      <c r="U67" s="42">
        <f>'[1]побудинковий звіт'!U67+'[2]побудинковий звіт'!U67-'[3]побудинковий звіт'!U67</f>
        <v>2304.9674409502677</v>
      </c>
      <c r="V67" s="42">
        <f>'[1]побудинковий звіт'!V67+'[2]побудинковий звіт'!V67-'[3]побудинковий звіт'!V67</f>
        <v>858.50115265506656</v>
      </c>
      <c r="W67" s="56">
        <f t="shared" si="70"/>
        <v>-1446.4662882952011</v>
      </c>
      <c r="X67" s="42">
        <f>'[1]побудинковий звіт'!X67+'[2]побудинковий звіт'!X67-'[3]побудинковий звіт'!X67</f>
        <v>19910.213007023362</v>
      </c>
      <c r="Y67" s="42">
        <f>'[1]побудинковий звіт'!Y67+'[2]побудинковий звіт'!Y67-'[3]побудинковий звіт'!Y67</f>
        <v>15897.521868009148</v>
      </c>
      <c r="Z67" s="56">
        <f t="shared" si="71"/>
        <v>-4012.6911390142141</v>
      </c>
      <c r="AA67" s="42">
        <f>'[1]побудинковий звіт'!AA67+'[2]побудинковий звіт'!AA67-'[3]побудинковий звіт'!AA67</f>
        <v>0</v>
      </c>
      <c r="AB67" s="42">
        <f>'[1]побудинковий звіт'!AB67+'[2]побудинковий звіт'!AB67-'[3]побудинковий звіт'!AB67</f>
        <v>0</v>
      </c>
      <c r="AC67" s="56">
        <f t="shared" si="72"/>
        <v>0</v>
      </c>
      <c r="AD67" s="42">
        <f>'[1]побудинковий звіт'!AD67+'[2]побудинковий звіт'!AD67-'[3]побудинковий звіт'!AD67</f>
        <v>36101.059426418236</v>
      </c>
      <c r="AE67" s="42">
        <f>'[1]побудинковий звіт'!AE67+'[2]побудинковий звіт'!AE67-'[3]побудинковий звіт'!AE67</f>
        <v>33273.183496423619</v>
      </c>
      <c r="AF67" s="37">
        <f t="shared" si="73"/>
        <v>-2827.8759299946178</v>
      </c>
      <c r="AG67" s="87">
        <f t="shared" si="61"/>
        <v>90273.237093604737</v>
      </c>
      <c r="AH67" s="57">
        <f t="shared" si="61"/>
        <v>76835.909840274428</v>
      </c>
      <c r="AI67" s="56">
        <f t="shared" si="74"/>
        <v>-13437.32725333031</v>
      </c>
      <c r="AJ67" s="42">
        <f>'[1]побудинковий звіт'!AJ67+'[2]побудинковий звіт'!AJ67-'[3]побудинковий звіт'!AJ67</f>
        <v>105044.62304691999</v>
      </c>
      <c r="AK67" s="42">
        <f>'[1]побудинковий звіт'!AK67+'[2]побудинковий звіт'!AK67-'[3]побудинковий звіт'!AK67</f>
        <v>104120.57684920885</v>
      </c>
      <c r="AL67" s="56">
        <f t="shared" si="75"/>
        <v>-924.04619771114085</v>
      </c>
      <c r="AM67" s="42">
        <f>'[1]побудинковий звіт'!AM67+'[2]побудинковий звіт'!AM67-'[3]побудинковий звіт'!AM67</f>
        <v>1578.4221588709306</v>
      </c>
      <c r="AN67" s="42">
        <f>'[1]побудинковий звіт'!AN67+'[2]побудинковий звіт'!AN67-'[3]побудинковий звіт'!AN67</f>
        <v>0</v>
      </c>
      <c r="AO67" s="56">
        <f t="shared" si="76"/>
        <v>-1578.4221588709306</v>
      </c>
      <c r="AP67" s="42">
        <f>'[1]побудинковий звіт'!AP67+'[2]побудинковий звіт'!AP67-'[3]побудинковий звіт'!AP67</f>
        <v>6629.1235002555495</v>
      </c>
      <c r="AQ67" s="42">
        <f>'[1]побудинковий звіт'!AQ67+'[2]побудинковий звіт'!AQ67-'[3]побудинковий звіт'!AQ67</f>
        <v>6469.4793365671576</v>
      </c>
      <c r="AR67" s="56">
        <f t="shared" si="77"/>
        <v>-159.64416368839193</v>
      </c>
      <c r="AS67" s="42">
        <f>'[1]побудинковий звіт'!AS67+'[2]побудинковий звіт'!AS67-'[3]побудинковий звіт'!AS67</f>
        <v>167368.30681827466</v>
      </c>
      <c r="AT67" s="42">
        <f>'[1]побудинковий звіт'!AT67+'[2]побудинковий звіт'!AT67-'[3]побудинковий звіт'!AT67</f>
        <v>71000.472156614589</v>
      </c>
      <c r="AU67" s="58">
        <f t="shared" si="78"/>
        <v>-96367.834661660076</v>
      </c>
      <c r="AV67" s="42">
        <f>'[1]побудинковий звіт'!AV67+'[2]побудинковий звіт'!AV67-'[3]побудинковий звіт'!AV67</f>
        <v>478.0102096852371</v>
      </c>
      <c r="AW67" s="42">
        <f>'[1]побудинковий звіт'!AW67+'[2]побудинковий звіт'!AW67-'[3]побудинковий звіт'!AW67</f>
        <v>628</v>
      </c>
      <c r="AX67" s="59">
        <f t="shared" si="79"/>
        <v>149.9897903147629</v>
      </c>
      <c r="AY67" s="42">
        <f>'[1]побудинковий звіт'!AY67+'[2]побудинковий звіт'!AY67-'[3]побудинковий звіт'!AY67</f>
        <v>643.60658418528624</v>
      </c>
      <c r="AZ67" s="42">
        <f>'[1]побудинковий звіт'!AZ67+'[2]побудинковий звіт'!AZ67-'[3]побудинковий звіт'!AZ67</f>
        <v>2835</v>
      </c>
      <c r="BA67" s="37">
        <f t="shared" si="80"/>
        <v>2191.393415814714</v>
      </c>
      <c r="BB67" s="42">
        <f>'[1]побудинковий звіт'!BB67+'[2]побудинковий звіт'!BB67-'[3]побудинковий звіт'!BB67</f>
        <v>1317.4428399445619</v>
      </c>
      <c r="BC67" s="42">
        <f>'[1]побудинковий звіт'!BC67+'[2]побудинковий звіт'!BC67-'[3]побудинковий звіт'!BC67</f>
        <v>0</v>
      </c>
      <c r="BD67" s="59">
        <f t="shared" si="81"/>
        <v>-1317.4428399445619</v>
      </c>
      <c r="BE67" s="42">
        <f>'[1]побудинковий звіт'!BE67+'[2]побудинковий звіт'!BE67-'[3]побудинковий звіт'!BE67</f>
        <v>542.01835825490218</v>
      </c>
      <c r="BF67" s="42">
        <f>'[1]побудинковий звіт'!BF67+'[2]побудинковий звіт'!BF67-'[3]побудинковий звіт'!BF67</f>
        <v>0</v>
      </c>
      <c r="BG67" s="39">
        <f t="shared" si="82"/>
        <v>-542.01835825490218</v>
      </c>
      <c r="BH67" s="42">
        <f>'[1]побудинковий звіт'!BH67+'[2]побудинковий звіт'!BH67-'[3]побудинковий звіт'!BH67</f>
        <v>467.73559800676423</v>
      </c>
      <c r="BI67" s="42">
        <f>'[1]побудинковий звіт'!BI67+'[2]побудинковий звіт'!BI67-'[3]побудинковий звіт'!BI67</f>
        <v>0</v>
      </c>
      <c r="BJ67" s="59">
        <f t="shared" si="83"/>
        <v>-467.73559800676423</v>
      </c>
      <c r="BK67" s="42">
        <f>'[1]побудинковий звіт'!BK67+'[2]побудинковий звіт'!BK67-'[3]побудинковий звіт'!BK67</f>
        <v>742.91309362602863</v>
      </c>
      <c r="BL67" s="42">
        <f>'[1]побудинковий звіт'!BL67+'[2]побудинковий звіт'!BL67-'[3]побудинковий звіт'!BL67</f>
        <v>8582.8863751726149</v>
      </c>
      <c r="BM67" s="39">
        <f t="shared" si="84"/>
        <v>7839.9732815465859</v>
      </c>
      <c r="BN67" s="42">
        <f>'[1]побудинковий звіт'!BN67+'[2]побудинковий звіт'!BN67-'[3]побудинковий звіт'!BN67</f>
        <v>1396.4533431190202</v>
      </c>
      <c r="BO67" s="42">
        <f>'[1]побудинковий звіт'!BO67+'[2]побудинковий звіт'!BO67-'[3]побудинковий звіт'!BO67</f>
        <v>11858</v>
      </c>
      <c r="BP67" s="59">
        <f t="shared" si="85"/>
        <v>10461.546656880979</v>
      </c>
      <c r="BQ67" s="87">
        <f t="shared" si="62"/>
        <v>5588.1800268218003</v>
      </c>
      <c r="BR67" s="43">
        <f t="shared" si="63"/>
        <v>23903.886375172617</v>
      </c>
      <c r="BS67" s="59">
        <f t="shared" si="86"/>
        <v>18315.706348350817</v>
      </c>
      <c r="BT67" s="42">
        <f>'[1]побудинковий звіт'!BT67+'[2]побудинковий звіт'!BT67-'[3]побудинковий звіт'!BT67</f>
        <v>98296.372742325591</v>
      </c>
      <c r="BU67" s="42">
        <f>'[1]побудинковий звіт'!BU67+'[2]побудинковий звіт'!BU67-'[3]побудинковий звіт'!BU67</f>
        <v>124188.04069074275</v>
      </c>
      <c r="BV67" s="56">
        <f t="shared" si="87"/>
        <v>25891.667948417162</v>
      </c>
      <c r="BW67" s="42">
        <f>'[1]побудинковий звіт'!BW67+'[2]побудинковий звіт'!BW67-'[3]побудинковий звіт'!BW67</f>
        <v>87876.572059552898</v>
      </c>
      <c r="BX67" s="42">
        <f>'[1]побудинковий звіт'!BX67+'[2]побудинковий звіт'!BX67-'[3]побудинковий звіт'!BX67</f>
        <v>95476.691683543861</v>
      </c>
      <c r="BY67" s="56">
        <f t="shared" si="88"/>
        <v>7600.1196239909623</v>
      </c>
      <c r="BZ67" s="42">
        <f>'[1]побудинковий звіт'!BZ67+'[2]побудинковий звіт'!BZ67-'[3]побудинковий звіт'!BZ67</f>
        <v>3895.1713566453245</v>
      </c>
      <c r="CA67" s="42">
        <f>'[1]побудинковий звіт'!CA67+'[2]побудинковий звіт'!CA67-'[3]побудинковий звіт'!CA67</f>
        <v>31359.607357844143</v>
      </c>
      <c r="CB67" s="56">
        <f t="shared" si="89"/>
        <v>27464.436001198817</v>
      </c>
      <c r="CC67" s="42">
        <f>'[1]побудинковий звіт'!CC67+'[2]побудинковий звіт'!CC67-'[3]побудинковий звіт'!CC67</f>
        <v>4251.6858439991929</v>
      </c>
      <c r="CD67" s="42">
        <f>'[1]побудинковий звіт'!CD67+'[2]побудинковий звіт'!CD67-'[3]побудинковий звіт'!CD67</f>
        <v>4214.2910649625319</v>
      </c>
      <c r="CE67" s="56">
        <f t="shared" si="90"/>
        <v>-37.394779036661021</v>
      </c>
      <c r="CF67" s="42">
        <f>'[1]побудинковий звіт'!CF67+'[2]побудинковий звіт'!CF67-'[3]побудинковий звіт'!CF67</f>
        <v>523.40829518929468</v>
      </c>
      <c r="CG67" s="42">
        <f>'[1]побудинковий звіт'!CG67+'[2]побудинковий звіт'!CG67-'[3]побудинковий звіт'!CG67</f>
        <v>1972.6685319478036</v>
      </c>
      <c r="CH67" s="56">
        <f t="shared" si="91"/>
        <v>1449.2602367585089</v>
      </c>
      <c r="CI67" s="42">
        <f>'[1]побудинковий звіт'!CI67+'[2]побудинковий звіт'!CI67-'[3]побудинковий звіт'!CI67</f>
        <v>17220.123163016764</v>
      </c>
      <c r="CJ67" s="42">
        <f>'[1]побудинковий звіт'!CJ67+'[2]побудинковий звіт'!CJ67-'[3]побудинковий звіт'!CJ67</f>
        <v>7971.7132725698912</v>
      </c>
      <c r="CK67" s="56">
        <f t="shared" si="92"/>
        <v>-9248.4098904468738</v>
      </c>
      <c r="CL67" s="42">
        <f>'[1]побудинковий звіт'!CL67+'[2]побудинковий звіт'!CL67-'[3]побудинковий звіт'!CL67</f>
        <v>15947.3314509677</v>
      </c>
      <c r="CM67" s="42">
        <f>'[1]побудинковий звіт'!CM67+'[2]побудинковий звіт'!CM67-'[3]побудинковий звіт'!CM67</f>
        <v>19141.716901892178</v>
      </c>
      <c r="CN67" s="56">
        <f t="shared" si="93"/>
        <v>3194.3854509244775</v>
      </c>
      <c r="CO67" s="42">
        <f t="shared" si="64"/>
        <v>33167.454613984461</v>
      </c>
      <c r="CP67" s="43">
        <f t="shared" si="94"/>
        <v>27113.430174462068</v>
      </c>
      <c r="CQ67" s="56">
        <f t="shared" si="95"/>
        <v>-6054.0244395223926</v>
      </c>
      <c r="CR67" s="78">
        <f t="shared" si="65"/>
        <v>604492.55755644431</v>
      </c>
      <c r="CS67" s="5">
        <f t="shared" si="65"/>
        <v>566655.05406134075</v>
      </c>
      <c r="CT67" s="56">
        <f t="shared" si="96"/>
        <v>-37837.503495103563</v>
      </c>
      <c r="CU67" s="87">
        <f t="shared" si="97"/>
        <v>725391.06906773313</v>
      </c>
      <c r="CV67" s="70">
        <f t="shared" si="98"/>
        <v>679986.06487360888</v>
      </c>
      <c r="CW67" s="37">
        <f t="shared" si="99"/>
        <v>-45405.004194124253</v>
      </c>
      <c r="CX67" s="42">
        <f>'[1]побудинковий звіт'!CX67+'[2]побудинковий звіт'!CX67-'[3]побудинковий звіт'!CX67</f>
        <v>13471.490932266854</v>
      </c>
      <c r="CY67" s="42">
        <f>'[1]побудинковий звіт'!CY67+'[2]побудинковий звіт'!CY67-'[3]побудинковий звіт'!CY67</f>
        <v>58876.495126391084</v>
      </c>
      <c r="CZ67" s="56">
        <f t="shared" si="100"/>
        <v>45405.004194124231</v>
      </c>
      <c r="DA67" s="264">
        <f>'[4]побудинковий звіт'!DA67</f>
        <v>56558.327575675037</v>
      </c>
      <c r="DB67" s="2">
        <v>1</v>
      </c>
      <c r="DC67" s="717">
        <f>'[4]побудинковий звіт'!DC67</f>
        <v>128933.75999999999</v>
      </c>
      <c r="DD67" s="717">
        <f>'[4]побудинковий звіт'!DD67</f>
        <v>0</v>
      </c>
      <c r="DE67" s="717">
        <f>'[4]побудинковий звіт'!DE67</f>
        <v>67363.19</v>
      </c>
      <c r="DF67" s="717">
        <f>'[4]побудинковий звіт'!DF67</f>
        <v>0</v>
      </c>
      <c r="DG67" s="787">
        <v>167310.53698260244</v>
      </c>
      <c r="DH67" s="761">
        <f t="shared" si="39"/>
        <v>8866350.7199999988</v>
      </c>
      <c r="DI67" s="784"/>
      <c r="DJ67" s="5"/>
      <c r="DK67" s="317">
        <f>VLOOKUP($A67,ціни!$A$4:$G$401,5)</f>
        <v>5.822074067045433</v>
      </c>
      <c r="DL67" s="317">
        <f>VLOOKUP($A67,ціни!$A$4:$G$401,6)</f>
        <v>7.4971048378928344</v>
      </c>
      <c r="DM67" s="317">
        <f>VLOOKUP($A67,ціни!$A$4:$G$401,7)</f>
        <v>4.760442269285809</v>
      </c>
      <c r="DN67" s="30">
        <f>DK67*G67+(F67-G67)*DL67</f>
        <v>14463.591060980032</v>
      </c>
      <c r="DO67" s="30">
        <f>DM67*H67</f>
        <v>0</v>
      </c>
      <c r="DP67" s="316">
        <f t="shared" si="101"/>
        <v>14463.591060980032</v>
      </c>
      <c r="DQ67" s="104"/>
      <c r="DR67" s="30">
        <f>VLOOKUP(A67,'ДЗ нас '!$A$1:$C$359,2)</f>
        <v>61570.57</v>
      </c>
      <c r="DS67" s="748"/>
      <c r="DT67" s="30">
        <f t="shared" si="102"/>
        <v>61570.57</v>
      </c>
      <c r="DU67" s="257">
        <f>VLOOKUP(A67,'новий кошторис с 01.06'!$A$4:$AI$399,35)*1.2</f>
        <v>61900.037893779896</v>
      </c>
      <c r="DV67" s="30">
        <f t="shared" si="103"/>
        <v>-329.46789377989626</v>
      </c>
      <c r="DW67" s="930">
        <f>'[5]побудинковий звіт'!DW67+'[6]побудинковий звіт'!DW67</f>
        <v>276</v>
      </c>
      <c r="DY67" s="5">
        <f t="shared" si="9"/>
        <v>207547.78421411573</v>
      </c>
      <c r="DZ67" s="5">
        <f t="shared" si="10"/>
        <v>113885.23023814465</v>
      </c>
      <c r="EA67" s="752">
        <f t="shared" si="43"/>
        <v>67363.19</v>
      </c>
      <c r="EC67" s="592">
        <f t="shared" si="11"/>
        <v>2008419.681819296</v>
      </c>
      <c r="EE67" s="758">
        <v>-31000</v>
      </c>
      <c r="EF67" s="738">
        <f t="shared" si="12"/>
        <v>136310.53698260244</v>
      </c>
      <c r="EH67" s="813">
        <v>89419.298249325308</v>
      </c>
    </row>
    <row r="68" spans="1:138" x14ac:dyDescent="0.3">
      <c r="A68" s="328">
        <v>150000530</v>
      </c>
      <c r="B68" s="44" t="s">
        <v>517</v>
      </c>
      <c r="C68" s="45" t="s">
        <v>62</v>
      </c>
      <c r="D68" s="45" t="s">
        <v>62</v>
      </c>
      <c r="E68" s="40">
        <f t="shared" si="3"/>
        <v>1469.3</v>
      </c>
      <c r="F68" s="490">
        <v>1469.3</v>
      </c>
      <c r="G68" s="30"/>
      <c r="H68" s="30">
        <v>0</v>
      </c>
      <c r="I68" s="42">
        <f>'[1]побудинковий звіт'!I68+'[2]побудинковий звіт'!I68-'[3]побудинковий звіт'!I68</f>
        <v>0</v>
      </c>
      <c r="J68" s="42">
        <f>'[1]побудинковий звіт'!J68+'[2]побудинковий звіт'!J68-'[3]побудинковий звіт'!J68</f>
        <v>0</v>
      </c>
      <c r="K68" s="56">
        <f t="shared" si="66"/>
        <v>0</v>
      </c>
      <c r="L68" s="42">
        <f>'[1]побудинковий звіт'!L68+'[2]побудинковий звіт'!L68-'[3]побудинковий звіт'!L68</f>
        <v>0</v>
      </c>
      <c r="M68" s="42">
        <f>'[1]побудинковий звіт'!M68+'[2]побудинковий звіт'!M68-'[3]побудинковий звіт'!M68</f>
        <v>0</v>
      </c>
      <c r="N68" s="56">
        <f t="shared" si="67"/>
        <v>0</v>
      </c>
      <c r="O68" s="42">
        <f>'[1]побудинковий звіт'!O68+'[2]побудинковий звіт'!O68-'[3]побудинковий звіт'!O68</f>
        <v>0</v>
      </c>
      <c r="P68" s="42">
        <f>'[1]побудинковий звіт'!P68+'[2]побудинковий звіт'!P68-'[3]побудинковий звіт'!P68</f>
        <v>0</v>
      </c>
      <c r="Q68" s="56">
        <f t="shared" si="68"/>
        <v>0</v>
      </c>
      <c r="R68" s="42">
        <f>'[1]побудинковий звіт'!R68+'[2]побудинковий звіт'!R68-'[3]побудинковий звіт'!R68</f>
        <v>0</v>
      </c>
      <c r="S68" s="42">
        <f>'[1]побудинковий звіт'!S68+'[2]побудинковий звіт'!S68-'[3]побудинковий звіт'!S68</f>
        <v>0</v>
      </c>
      <c r="T68" s="56">
        <f t="shared" si="69"/>
        <v>0</v>
      </c>
      <c r="U68" s="42">
        <f>'[1]побудинковий звіт'!U68+'[2]побудинковий звіт'!U68-'[3]побудинковий звіт'!U68</f>
        <v>0</v>
      </c>
      <c r="V68" s="42">
        <f>'[1]побудинковий звіт'!V68+'[2]побудинковий звіт'!V68-'[3]побудинковий звіт'!V68</f>
        <v>0</v>
      </c>
      <c r="W68" s="56">
        <f t="shared" si="70"/>
        <v>0</v>
      </c>
      <c r="X68" s="42">
        <f>'[1]побудинковий звіт'!X68+'[2]побудинковий звіт'!X68-'[3]побудинковий звіт'!X68</f>
        <v>0</v>
      </c>
      <c r="Y68" s="42">
        <f>'[1]побудинковий звіт'!Y68+'[2]побудинковий звіт'!Y68-'[3]побудинковий звіт'!Y68</f>
        <v>0</v>
      </c>
      <c r="Z68" s="56">
        <f t="shared" si="71"/>
        <v>0</v>
      </c>
      <c r="AA68" s="42">
        <f>'[1]побудинковий звіт'!AA68+'[2]побудинковий звіт'!AA68-'[3]побудинковий звіт'!AA68</f>
        <v>0</v>
      </c>
      <c r="AB68" s="42">
        <f>'[1]побудинковий звіт'!AB68+'[2]побудинковий звіт'!AB68-'[3]побудинковий звіт'!AB68</f>
        <v>0</v>
      </c>
      <c r="AC68" s="56">
        <f t="shared" si="72"/>
        <v>0</v>
      </c>
      <c r="AD68" s="42">
        <f>'[1]побудинковий звіт'!AD68+'[2]побудинковий звіт'!AD68-'[3]побудинковий звіт'!AD68</f>
        <v>0</v>
      </c>
      <c r="AE68" s="42">
        <f>'[1]побудинковий звіт'!AE68+'[2]побудинковий звіт'!AE68-'[3]побудинковий звіт'!AE68</f>
        <v>116.50427293030418</v>
      </c>
      <c r="AF68" s="37">
        <f t="shared" si="73"/>
        <v>116.50427293030418</v>
      </c>
      <c r="AG68" s="87">
        <f t="shared" si="61"/>
        <v>0</v>
      </c>
      <c r="AH68" s="57">
        <f t="shared" si="61"/>
        <v>116.50427293030418</v>
      </c>
      <c r="AI68" s="56">
        <f t="shared" si="74"/>
        <v>116.50427293030418</v>
      </c>
      <c r="AJ68" s="42">
        <f>'[1]побудинковий звіт'!AJ68+'[2]побудинковий звіт'!AJ68-'[3]побудинковий звіт'!AJ68</f>
        <v>0</v>
      </c>
      <c r="AK68" s="42">
        <f>'[1]побудинковий звіт'!AK68+'[2]побудинковий звіт'!AK68-'[3]побудинковий звіт'!AK68</f>
        <v>0</v>
      </c>
      <c r="AL68" s="56">
        <f t="shared" si="75"/>
        <v>0</v>
      </c>
      <c r="AM68" s="42">
        <f>'[1]побудинковий звіт'!AM68+'[2]побудинковий звіт'!AM68-'[3]побудинковий звіт'!AM68</f>
        <v>0</v>
      </c>
      <c r="AN68" s="42">
        <f>'[1]побудинковий звіт'!AN68+'[2]побудинковий звіт'!AN68-'[3]побудинковий звіт'!AN68</f>
        <v>0</v>
      </c>
      <c r="AO68" s="56">
        <f t="shared" si="76"/>
        <v>0</v>
      </c>
      <c r="AP68" s="42">
        <f>'[1]побудинковий звіт'!AP68+'[2]побудинковий звіт'!AP68-'[3]побудинковий звіт'!AP68</f>
        <v>710.26323217023742</v>
      </c>
      <c r="AQ68" s="42">
        <f>'[1]побудинковий звіт'!AQ68+'[2]побудинковий звіт'!AQ68-'[3]побудинковий звіт'!AQ68</f>
        <v>279.46137535927215</v>
      </c>
      <c r="AR68" s="56">
        <f t="shared" si="77"/>
        <v>-430.80185681096526</v>
      </c>
      <c r="AS68" s="42">
        <f>'[1]побудинковий звіт'!AS68+'[2]побудинковий звіт'!AS68-'[3]побудинковий звіт'!AS68</f>
        <v>3261.3034972739169</v>
      </c>
      <c r="AT68" s="42">
        <f>'[1]побудинковий звіт'!AT68+'[2]побудинковий звіт'!AT68-'[3]побудинковий звіт'!AT68</f>
        <v>0</v>
      </c>
      <c r="AU68" s="58">
        <f t="shared" si="78"/>
        <v>-3261.3034972739169</v>
      </c>
      <c r="AV68" s="42">
        <f>'[1]побудинковий звіт'!AV68+'[2]побудинковий звіт'!AV68-'[3]побудинковий звіт'!AV68</f>
        <v>0</v>
      </c>
      <c r="AW68" s="42">
        <f>'[1]побудинковий звіт'!AW68+'[2]побудинковий звіт'!AW68-'[3]побудинковий звіт'!AW68</f>
        <v>0</v>
      </c>
      <c r="AX68" s="59">
        <f t="shared" si="79"/>
        <v>0</v>
      </c>
      <c r="AY68" s="42">
        <f>'[1]побудинковий звіт'!AY68+'[2]побудинковий звіт'!AY68-'[3]побудинковий звіт'!AY68</f>
        <v>0</v>
      </c>
      <c r="AZ68" s="42">
        <f>'[1]побудинковий звіт'!AZ68+'[2]побудинковий звіт'!AZ68-'[3]побудинковий звіт'!AZ68</f>
        <v>0</v>
      </c>
      <c r="BA68" s="37">
        <f t="shared" si="80"/>
        <v>0</v>
      </c>
      <c r="BB68" s="42">
        <f>'[1]побудинковий звіт'!BB68+'[2]побудинковий звіт'!BB68-'[3]побудинковий звіт'!BB68</f>
        <v>0</v>
      </c>
      <c r="BC68" s="42">
        <f>'[1]побудинковий звіт'!BC68+'[2]побудинковий звіт'!BC68-'[3]побудинковий звіт'!BC68</f>
        <v>0</v>
      </c>
      <c r="BD68" s="59">
        <f t="shared" si="81"/>
        <v>0</v>
      </c>
      <c r="BE68" s="42">
        <f>'[1]побудинковий звіт'!BE68+'[2]побудинковий звіт'!BE68-'[3]побудинковий звіт'!BE68</f>
        <v>0</v>
      </c>
      <c r="BF68" s="42">
        <f>'[1]побудинковий звіт'!BF68+'[2]побудинковий звіт'!BF68-'[3]побудинковий звіт'!BF68</f>
        <v>0</v>
      </c>
      <c r="BG68" s="39">
        <f t="shared" si="82"/>
        <v>0</v>
      </c>
      <c r="BH68" s="42">
        <f>'[1]побудинковий звіт'!BH68+'[2]побудинковий звіт'!BH68-'[3]побудинковий звіт'!BH68</f>
        <v>0</v>
      </c>
      <c r="BI68" s="42">
        <f>'[1]побудинковий звіт'!BI68+'[2]побудинковий звіт'!BI68-'[3]побудинковий звіт'!BI68</f>
        <v>0</v>
      </c>
      <c r="BJ68" s="59">
        <f t="shared" si="83"/>
        <v>0</v>
      </c>
      <c r="BK68" s="42">
        <f>'[1]побудинковий звіт'!BK68+'[2]побудинковий звіт'!BK68-'[3]побудинковий звіт'!BK68</f>
        <v>0</v>
      </c>
      <c r="BL68" s="42">
        <f>'[1]побудинковий звіт'!BL68+'[2]побудинковий звіт'!BL68-'[3]побудинковий звіт'!BL68</f>
        <v>0</v>
      </c>
      <c r="BM68" s="39">
        <f t="shared" si="84"/>
        <v>0</v>
      </c>
      <c r="BN68" s="42">
        <f>'[1]побудинковий звіт'!BN68+'[2]побудинковий звіт'!BN68-'[3]побудинковий звіт'!BN68</f>
        <v>0</v>
      </c>
      <c r="BO68" s="42">
        <f>'[1]побудинковий звіт'!BO68+'[2]побудинковий звіт'!BO68-'[3]побудинковий звіт'!BO68</f>
        <v>0</v>
      </c>
      <c r="BP68" s="59">
        <f t="shared" si="85"/>
        <v>0</v>
      </c>
      <c r="BQ68" s="87">
        <f t="shared" si="62"/>
        <v>0</v>
      </c>
      <c r="BR68" s="43">
        <f t="shared" si="63"/>
        <v>0</v>
      </c>
      <c r="BS68" s="59">
        <f t="shared" si="86"/>
        <v>0</v>
      </c>
      <c r="BT68" s="42">
        <f>'[1]побудинковий звіт'!BT68+'[2]побудинковий звіт'!BT68-'[3]побудинковий звіт'!BT68</f>
        <v>0</v>
      </c>
      <c r="BU68" s="42">
        <f>'[1]побудинковий звіт'!BU68+'[2]побудинковий звіт'!BU68-'[3]побудинковий звіт'!BU68</f>
        <v>407.10821440183611</v>
      </c>
      <c r="BV68" s="56">
        <f t="shared" si="87"/>
        <v>407.10821440183611</v>
      </c>
      <c r="BW68" s="42">
        <f>'[1]побудинковий звіт'!BW68+'[2]побудинковий звіт'!BW68-'[3]побудинковий звіт'!BW68</f>
        <v>0</v>
      </c>
      <c r="BX68" s="42">
        <f>'[1]побудинковий звіт'!BX68+'[2]побудинковий звіт'!BX68-'[3]побудинковий звіт'!BX68</f>
        <v>5.6341327778168235</v>
      </c>
      <c r="BY68" s="56">
        <f t="shared" si="88"/>
        <v>5.6341327778168235</v>
      </c>
      <c r="BZ68" s="42">
        <f>'[1]побудинковий звіт'!BZ68+'[2]побудинковий звіт'!BZ68-'[3]побудинковий звіт'!BZ68</f>
        <v>0</v>
      </c>
      <c r="CA68" s="42">
        <f>'[1]побудинковий звіт'!CA68+'[2]побудинковий звіт'!CA68-'[3]побудинковий звіт'!CA68</f>
        <v>101.77705360045903</v>
      </c>
      <c r="CB68" s="56">
        <f t="shared" si="89"/>
        <v>101.77705360045903</v>
      </c>
      <c r="CC68" s="42">
        <f>'[1]побудинковий звіт'!CC68+'[2]побудинковий звіт'!CC68-'[3]побудинковий звіт'!CC68</f>
        <v>0</v>
      </c>
      <c r="CD68" s="42">
        <f>'[1]побудинковий звіт'!CD68+'[2]побудинковий звіт'!CD68-'[3]побудинковий звіт'!CD68</f>
        <v>0</v>
      </c>
      <c r="CE68" s="56">
        <f t="shared" si="90"/>
        <v>0</v>
      </c>
      <c r="CF68" s="42">
        <f>'[1]побудинковий звіт'!CF68+'[2]побудинковий звіт'!CF68-'[3]побудинковий звіт'!CF68</f>
        <v>0</v>
      </c>
      <c r="CG68" s="42">
        <f>'[1]побудинковий звіт'!CG68+'[2]побудинковий звіт'!CG68-'[3]побудинковий звіт'!CG68</f>
        <v>0</v>
      </c>
      <c r="CH68" s="56">
        <f t="shared" si="91"/>
        <v>0</v>
      </c>
      <c r="CI68" s="42">
        <f>'[1]побудинковий звіт'!CI68+'[2]побудинковий звіт'!CI68-'[3]побудинковий звіт'!CI68</f>
        <v>0</v>
      </c>
      <c r="CJ68" s="42">
        <f>'[1]побудинковий звіт'!CJ68+'[2]побудинковий звіт'!CJ68-'[3]побудинковий звіт'!CJ68</f>
        <v>0</v>
      </c>
      <c r="CK68" s="56">
        <f t="shared" si="92"/>
        <v>0</v>
      </c>
      <c r="CL68" s="42">
        <f>'[1]побудинковий звіт'!CL68+'[2]побудинковий звіт'!CL68-'[3]побудинковий звіт'!CL68</f>
        <v>0</v>
      </c>
      <c r="CM68" s="42">
        <f>'[1]побудинковий звіт'!CM68+'[2]побудинковий звіт'!CM68-'[3]побудинковий звіт'!CM68</f>
        <v>0</v>
      </c>
      <c r="CN68" s="56">
        <f t="shared" si="93"/>
        <v>0</v>
      </c>
      <c r="CO68" s="42">
        <f t="shared" si="64"/>
        <v>0</v>
      </c>
      <c r="CP68" s="43">
        <f t="shared" si="94"/>
        <v>0</v>
      </c>
      <c r="CQ68" s="56">
        <f t="shared" si="95"/>
        <v>0</v>
      </c>
      <c r="CR68" s="78">
        <f t="shared" si="65"/>
        <v>3971.5667294441546</v>
      </c>
      <c r="CS68" s="5">
        <f t="shared" si="65"/>
        <v>910.48504906968822</v>
      </c>
      <c r="CT68" s="56">
        <f t="shared" si="96"/>
        <v>-3061.0816803744665</v>
      </c>
      <c r="CU68" s="87">
        <f t="shared" si="97"/>
        <v>4765.8800753329851</v>
      </c>
      <c r="CV68" s="70">
        <f t="shared" si="98"/>
        <v>1092.5820588836259</v>
      </c>
      <c r="CW68" s="37">
        <f t="shared" si="99"/>
        <v>-3673.2980164493592</v>
      </c>
      <c r="CX68" s="42">
        <f>'[1]побудинковий звіт'!CX68+'[2]побудинковий звіт'!CX68-'[3]побудинковий звіт'!CX68</f>
        <v>71.439924667016157</v>
      </c>
      <c r="CY68" s="42">
        <f>'[1]побудинковий звіт'!CY68+'[2]побудинковий звіт'!CY68-'[3]побудинковий звіт'!CY68</f>
        <v>3744.7379411163747</v>
      </c>
      <c r="CZ68" s="56">
        <f t="shared" si="100"/>
        <v>3673.2980164493583</v>
      </c>
      <c r="DA68" s="264">
        <f>'[4]побудинковий звіт'!DA68</f>
        <v>-9274.143213332638</v>
      </c>
      <c r="DB68" s="2">
        <v>1</v>
      </c>
      <c r="DC68" s="717">
        <f>'[4]побудинковий звіт'!DC68</f>
        <v>3481.17</v>
      </c>
      <c r="DD68" s="717">
        <f>'[4]побудинковий звіт'!DD68</f>
        <v>0</v>
      </c>
      <c r="DE68" s="717">
        <f>'[4]побудинковий звіт'!DE68</f>
        <v>3078.06</v>
      </c>
      <c r="DF68" s="717">
        <f>'[4]побудинковий звіт'!DF68</f>
        <v>0</v>
      </c>
      <c r="DG68" s="787">
        <v>-3940.3388528400865</v>
      </c>
      <c r="DH68" s="761">
        <f t="shared" si="39"/>
        <v>58047.840000000018</v>
      </c>
      <c r="DI68" s="784"/>
      <c r="DJ68" s="5"/>
      <c r="DK68" s="317">
        <f>VLOOKUP($A68,ціни!$A$4:$G$401,5)</f>
        <v>2.3048288414903602</v>
      </c>
      <c r="DL68" s="317"/>
      <c r="DM68" s="317">
        <f>VLOOKUP($A68,ціни!$A$4:$G$401,7)</f>
        <v>2.3048288414903602</v>
      </c>
      <c r="DN68" s="30">
        <f>F68*DK68</f>
        <v>3386.4850168017861</v>
      </c>
      <c r="DO68" s="30">
        <f>H68*DM68</f>
        <v>0</v>
      </c>
      <c r="DP68" s="316">
        <f t="shared" si="101"/>
        <v>3386.4850168017861</v>
      </c>
      <c r="DQ68" s="104"/>
      <c r="DR68" s="30">
        <f>VLOOKUP(A68,'ДЗ нас '!$A$1:$C$359,2)</f>
        <v>403.11</v>
      </c>
      <c r="DS68" s="748"/>
      <c r="DT68" s="30">
        <f t="shared" si="102"/>
        <v>403.11</v>
      </c>
      <c r="DU68" s="257">
        <f>VLOOKUP(A68,'новий кошторис с 01.06'!$A$4:$AI$399,35)*1.2</f>
        <v>404.30550265749906</v>
      </c>
      <c r="DV68" s="30">
        <f t="shared" si="103"/>
        <v>-1.1955026574990484</v>
      </c>
      <c r="DW68" s="930">
        <f>'[5]побудинковий звіт'!DW68+'[6]побудинковий звіт'!DW68</f>
        <v>0</v>
      </c>
      <c r="DY68" s="5">
        <f t="shared" si="9"/>
        <v>3913.5641967287002</v>
      </c>
      <c r="DZ68" s="5">
        <f t="shared" si="10"/>
        <v>0</v>
      </c>
      <c r="EA68" s="752">
        <f t="shared" si="43"/>
        <v>3078.06</v>
      </c>
      <c r="EC68" s="594">
        <f t="shared" si="11"/>
        <v>39135.641967287003</v>
      </c>
      <c r="EE68" s="758">
        <v>11395</v>
      </c>
      <c r="EF68" s="738">
        <f t="shared" si="12"/>
        <v>7454.6611471599135</v>
      </c>
      <c r="EH68" s="813">
        <v>-5643.8499239307976</v>
      </c>
    </row>
    <row r="69" spans="1:138" x14ac:dyDescent="0.3">
      <c r="A69" s="328">
        <v>150000544</v>
      </c>
      <c r="B69" s="44" t="s">
        <v>518</v>
      </c>
      <c r="C69" s="45" t="s">
        <v>64</v>
      </c>
      <c r="D69" s="45" t="s">
        <v>64</v>
      </c>
      <c r="E69" s="40">
        <f t="shared" si="3"/>
        <v>253.5</v>
      </c>
      <c r="F69" s="490">
        <v>253.5</v>
      </c>
      <c r="G69" s="30"/>
      <c r="H69" s="30">
        <v>0</v>
      </c>
      <c r="I69" s="42">
        <f>'[1]побудинковий звіт'!I69+'[2]побудинковий звіт'!I69-'[3]побудинковий звіт'!I69</f>
        <v>0</v>
      </c>
      <c r="J69" s="42">
        <f>'[1]побудинковий звіт'!J69+'[2]побудинковий звіт'!J69-'[3]побудинковий звіт'!J69</f>
        <v>0</v>
      </c>
      <c r="K69" s="56">
        <f t="shared" si="66"/>
        <v>0</v>
      </c>
      <c r="L69" s="42">
        <f>'[1]побудинковий звіт'!L69+'[2]побудинковий звіт'!L69-'[3]побудинковий звіт'!L69</f>
        <v>0</v>
      </c>
      <c r="M69" s="42">
        <f>'[1]побудинковий звіт'!M69+'[2]побудинковий звіт'!M69-'[3]побудинковий звіт'!M69</f>
        <v>0</v>
      </c>
      <c r="N69" s="56">
        <f t="shared" si="67"/>
        <v>0</v>
      </c>
      <c r="O69" s="42">
        <f>'[1]побудинковий звіт'!O69+'[2]побудинковий звіт'!O69-'[3]побудинковий звіт'!O69</f>
        <v>0</v>
      </c>
      <c r="P69" s="42">
        <f>'[1]побудинковий звіт'!P69+'[2]побудинковий звіт'!P69-'[3]побудинковий звіт'!P69</f>
        <v>0</v>
      </c>
      <c r="Q69" s="56">
        <f t="shared" si="68"/>
        <v>0</v>
      </c>
      <c r="R69" s="42">
        <f>'[1]побудинковий звіт'!R69+'[2]побудинковий звіт'!R69-'[3]побудинковий звіт'!R69</f>
        <v>0</v>
      </c>
      <c r="S69" s="42">
        <f>'[1]побудинковий звіт'!S69+'[2]побудинковий звіт'!S69-'[3]побудинковий звіт'!S69</f>
        <v>0</v>
      </c>
      <c r="T69" s="56">
        <f t="shared" si="69"/>
        <v>0</v>
      </c>
      <c r="U69" s="42">
        <f>'[1]побудинковий звіт'!U69+'[2]побудинковий звіт'!U69-'[3]побудинковий звіт'!U69</f>
        <v>0</v>
      </c>
      <c r="V69" s="42">
        <f>'[1]побудинковий звіт'!V69+'[2]побудинковий звіт'!V69-'[3]побудинковий звіт'!V69</f>
        <v>0</v>
      </c>
      <c r="W69" s="56">
        <f t="shared" si="70"/>
        <v>0</v>
      </c>
      <c r="X69" s="42">
        <f>'[1]побудинковий звіт'!X69+'[2]побудинковий звіт'!X69-'[3]побудинковий звіт'!X69</f>
        <v>0</v>
      </c>
      <c r="Y69" s="42">
        <f>'[1]побудинковий звіт'!Y69+'[2]побудинковий звіт'!Y69-'[3]побудинковий звіт'!Y69</f>
        <v>0</v>
      </c>
      <c r="Z69" s="56">
        <f t="shared" si="71"/>
        <v>0</v>
      </c>
      <c r="AA69" s="42">
        <f>'[1]побудинковий звіт'!AA69+'[2]побудинковий звіт'!AA69-'[3]побудинковий звіт'!AA69</f>
        <v>0</v>
      </c>
      <c r="AB69" s="42">
        <f>'[1]побудинковий звіт'!AB69+'[2]побудинковий звіт'!AB69-'[3]побудинковий звіт'!AB69</f>
        <v>0</v>
      </c>
      <c r="AC69" s="56">
        <f t="shared" si="72"/>
        <v>0</v>
      </c>
      <c r="AD69" s="42">
        <f>'[1]побудинковий звіт'!AD69+'[2]побудинковий звіт'!AD69-'[3]побудинковий звіт'!AD69</f>
        <v>0</v>
      </c>
      <c r="AE69" s="42">
        <f>'[1]побудинковий звіт'!AE69+'[2]побудинковий звіт'!AE69-'[3]побудинковий звіт'!AE69</f>
        <v>91.191737931152886</v>
      </c>
      <c r="AF69" s="37">
        <f t="shared" si="73"/>
        <v>91.191737931152886</v>
      </c>
      <c r="AG69" s="87">
        <f t="shared" si="61"/>
        <v>0</v>
      </c>
      <c r="AH69" s="57">
        <f t="shared" si="61"/>
        <v>91.191737931152886</v>
      </c>
      <c r="AI69" s="56">
        <f t="shared" si="74"/>
        <v>91.191737931152886</v>
      </c>
      <c r="AJ69" s="42">
        <f>'[1]побудинковий звіт'!AJ69+'[2]побудинковий звіт'!AJ69-'[3]побудинковий звіт'!AJ69</f>
        <v>0</v>
      </c>
      <c r="AK69" s="42">
        <f>'[1]побудинковий звіт'!AK69+'[2]побудинковий звіт'!AK69-'[3]побудинковий звіт'!AK69</f>
        <v>0</v>
      </c>
      <c r="AL69" s="56">
        <f t="shared" si="75"/>
        <v>0</v>
      </c>
      <c r="AM69" s="42">
        <f>'[1]побудинковий звіт'!AM69+'[2]побудинковий звіт'!AM69-'[3]побудинковий звіт'!AM69</f>
        <v>0</v>
      </c>
      <c r="AN69" s="42">
        <f>'[1]побудинковий звіт'!AN69+'[2]побудинковий звіт'!AN69-'[3]побудинковий звіт'!AN69</f>
        <v>0</v>
      </c>
      <c r="AO69" s="56">
        <f t="shared" si="76"/>
        <v>0</v>
      </c>
      <c r="AP69" s="42">
        <f>'[1]побудинковий звіт'!AP69+'[2]побудинковий звіт'!AP69-'[3]побудинковий звіт'!AP69</f>
        <v>331.45617501277735</v>
      </c>
      <c r="AQ69" s="42">
        <f>'[1]побудинковий звіт'!AQ69+'[2]побудинковий звіт'!AQ69-'[3]побудинковий звіт'!AQ69</f>
        <v>139.73068767963608</v>
      </c>
      <c r="AR69" s="56">
        <f t="shared" si="77"/>
        <v>-191.72548733314127</v>
      </c>
      <c r="AS69" s="42">
        <f>'[1]побудинковий звіт'!AS69+'[2]побудинковий звіт'!AS69-'[3]побудинковий звіт'!AS69</f>
        <v>2036.943465434812</v>
      </c>
      <c r="AT69" s="42">
        <f>'[1]побудинковий звіт'!AT69+'[2]побудинковий звіт'!AT69-'[3]побудинковий звіт'!AT69</f>
        <v>0</v>
      </c>
      <c r="AU69" s="58">
        <f t="shared" si="78"/>
        <v>-2036.943465434812</v>
      </c>
      <c r="AV69" s="42">
        <f>'[1]побудинковий звіт'!AV69+'[2]побудинковий звіт'!AV69-'[3]побудинковий звіт'!AV69</f>
        <v>0</v>
      </c>
      <c r="AW69" s="42">
        <f>'[1]побудинковий звіт'!AW69+'[2]побудинковий звіт'!AW69-'[3]побудинковий звіт'!AW69</f>
        <v>0</v>
      </c>
      <c r="AX69" s="59">
        <f t="shared" si="79"/>
        <v>0</v>
      </c>
      <c r="AY69" s="42">
        <f>'[1]побудинковий звіт'!AY69+'[2]побудинковий звіт'!AY69-'[3]побудинковий звіт'!AY69</f>
        <v>0</v>
      </c>
      <c r="AZ69" s="42">
        <f>'[1]побудинковий звіт'!AZ69+'[2]побудинковий звіт'!AZ69-'[3]побудинковий звіт'!AZ69</f>
        <v>0</v>
      </c>
      <c r="BA69" s="37">
        <f t="shared" si="80"/>
        <v>0</v>
      </c>
      <c r="BB69" s="42">
        <f>'[1]побудинковий звіт'!BB69+'[2]побудинковий звіт'!BB69-'[3]побудинковий звіт'!BB69</f>
        <v>0</v>
      </c>
      <c r="BC69" s="42">
        <f>'[1]побудинковий звіт'!BC69+'[2]побудинковий звіт'!BC69-'[3]побудинковий звіт'!BC69</f>
        <v>0</v>
      </c>
      <c r="BD69" s="59">
        <f t="shared" si="81"/>
        <v>0</v>
      </c>
      <c r="BE69" s="42">
        <f>'[1]побудинковий звіт'!BE69+'[2]побудинковий звіт'!BE69-'[3]побудинковий звіт'!BE69</f>
        <v>0</v>
      </c>
      <c r="BF69" s="42">
        <f>'[1]побудинковий звіт'!BF69+'[2]побудинковий звіт'!BF69-'[3]побудинковий звіт'!BF69</f>
        <v>0</v>
      </c>
      <c r="BG69" s="39">
        <f t="shared" si="82"/>
        <v>0</v>
      </c>
      <c r="BH69" s="42">
        <f>'[1]побудинковий звіт'!BH69+'[2]побудинковий звіт'!BH69-'[3]побудинковий звіт'!BH69</f>
        <v>0</v>
      </c>
      <c r="BI69" s="42">
        <f>'[1]побудинковий звіт'!BI69+'[2]побудинковий звіт'!BI69-'[3]побудинковий звіт'!BI69</f>
        <v>0</v>
      </c>
      <c r="BJ69" s="59">
        <f t="shared" si="83"/>
        <v>0</v>
      </c>
      <c r="BK69" s="42">
        <f>'[1]побудинковий звіт'!BK69+'[2]побудинковий звіт'!BK69-'[3]побудинковий звіт'!BK69</f>
        <v>0</v>
      </c>
      <c r="BL69" s="42">
        <f>'[1]побудинковий звіт'!BL69+'[2]побудинковий звіт'!BL69-'[3]побудинковий звіт'!BL69</f>
        <v>0</v>
      </c>
      <c r="BM69" s="39">
        <f t="shared" si="84"/>
        <v>0</v>
      </c>
      <c r="BN69" s="42">
        <f>'[1]побудинковий звіт'!BN69+'[2]побудинковий звіт'!BN69-'[3]побудинковий звіт'!BN69</f>
        <v>0</v>
      </c>
      <c r="BO69" s="42">
        <f>'[1]побудинковий звіт'!BO69+'[2]побудинковий звіт'!BO69-'[3]побудинковий звіт'!BO69</f>
        <v>0</v>
      </c>
      <c r="BP69" s="59">
        <f t="shared" si="85"/>
        <v>0</v>
      </c>
      <c r="BQ69" s="87">
        <f t="shared" si="62"/>
        <v>0</v>
      </c>
      <c r="BR69" s="43">
        <f t="shared" si="63"/>
        <v>0</v>
      </c>
      <c r="BS69" s="59">
        <f t="shared" si="86"/>
        <v>0</v>
      </c>
      <c r="BT69" s="42">
        <f>'[1]побудинковий звіт'!BT69+'[2]побудинковий звіт'!BT69-'[3]побудинковий звіт'!BT69</f>
        <v>0</v>
      </c>
      <c r="BU69" s="42">
        <f>'[1]побудинковий звіт'!BU69+'[2]побудинковий звіт'!BU69-'[3]побудинковий звіт'!BU69</f>
        <v>0</v>
      </c>
      <c r="BV69" s="56">
        <f t="shared" si="87"/>
        <v>0</v>
      </c>
      <c r="BW69" s="42">
        <f>'[1]побудинковий звіт'!BW69+'[2]побудинковий звіт'!BW69-'[3]побудинковий звіт'!BW69</f>
        <v>0</v>
      </c>
      <c r="BX69" s="42">
        <f>'[1]побудинковий звіт'!BX69+'[2]побудинковий звіт'!BX69-'[3]побудинковий звіт'!BX69</f>
        <v>4.4100215968160263</v>
      </c>
      <c r="BY69" s="56">
        <f t="shared" si="88"/>
        <v>4.4100215968160263</v>
      </c>
      <c r="BZ69" s="42">
        <f>'[1]побудинковий звіт'!BZ69+'[2]побудинковий звіт'!BZ69-'[3]побудинковий звіт'!BZ69</f>
        <v>0</v>
      </c>
      <c r="CA69" s="42">
        <f>'[1]побудинковий звіт'!CA69+'[2]побудинковий звіт'!CA69-'[3]побудинковий звіт'!CA69</f>
        <v>0</v>
      </c>
      <c r="CB69" s="56">
        <f t="shared" si="89"/>
        <v>0</v>
      </c>
      <c r="CC69" s="42">
        <f>'[1]побудинковий звіт'!CC69+'[2]побудинковий звіт'!CC69-'[3]побудинковий звіт'!CC69</f>
        <v>0</v>
      </c>
      <c r="CD69" s="42">
        <f>'[1]побудинковий звіт'!CD69+'[2]побудинковий звіт'!CD69-'[3]побудинковий звіт'!CD69</f>
        <v>0</v>
      </c>
      <c r="CE69" s="56">
        <f t="shared" si="90"/>
        <v>0</v>
      </c>
      <c r="CF69" s="42">
        <f>'[1]побудинковий звіт'!CF69+'[2]побудинковий звіт'!CF69-'[3]побудинковий звіт'!CF69</f>
        <v>0</v>
      </c>
      <c r="CG69" s="42">
        <f>'[1]побудинковий звіт'!CG69+'[2]побудинковий звіт'!CG69-'[3]побудинковий звіт'!CG69</f>
        <v>0</v>
      </c>
      <c r="CH69" s="56">
        <f t="shared" si="91"/>
        <v>0</v>
      </c>
      <c r="CI69" s="42">
        <f>'[1]побудинковий звіт'!CI69+'[2]побудинковий звіт'!CI69-'[3]побудинковий звіт'!CI69</f>
        <v>0</v>
      </c>
      <c r="CJ69" s="42">
        <f>'[1]побудинковий звіт'!CJ69+'[2]побудинковий звіт'!CJ69-'[3]побудинковий звіт'!CJ69</f>
        <v>0</v>
      </c>
      <c r="CK69" s="56">
        <f t="shared" si="92"/>
        <v>0</v>
      </c>
      <c r="CL69" s="42">
        <f>'[1]побудинковий звіт'!CL69+'[2]побудинковий звіт'!CL69-'[3]побудинковий звіт'!CL69</f>
        <v>0</v>
      </c>
      <c r="CM69" s="42">
        <f>'[1]побудинковий звіт'!CM69+'[2]побудинковий звіт'!CM69-'[3]побудинковий звіт'!CM69</f>
        <v>0</v>
      </c>
      <c r="CN69" s="56">
        <f t="shared" si="93"/>
        <v>0</v>
      </c>
      <c r="CO69" s="42">
        <f t="shared" si="64"/>
        <v>0</v>
      </c>
      <c r="CP69" s="43">
        <f t="shared" si="94"/>
        <v>0</v>
      </c>
      <c r="CQ69" s="56">
        <f t="shared" si="95"/>
        <v>0</v>
      </c>
      <c r="CR69" s="78">
        <f t="shared" si="65"/>
        <v>2368.3996404475893</v>
      </c>
      <c r="CS69" s="5">
        <f t="shared" si="65"/>
        <v>235.33244720760499</v>
      </c>
      <c r="CT69" s="56">
        <f t="shared" si="96"/>
        <v>-2133.0671932399841</v>
      </c>
      <c r="CU69" s="87">
        <f t="shared" si="97"/>
        <v>2842.0795685371072</v>
      </c>
      <c r="CV69" s="70">
        <f t="shared" si="98"/>
        <v>282.39893664912597</v>
      </c>
      <c r="CW69" s="37">
        <f t="shared" si="99"/>
        <v>-2559.6806318879812</v>
      </c>
      <c r="CX69" s="42">
        <f>'[1]побудинковий звіт'!CX69+'[2]побудинковий звіт'!CX69-'[3]побудинковий звіт'!CX69</f>
        <v>71.160431462893484</v>
      </c>
      <c r="CY69" s="42">
        <f>'[1]побудинковий звіт'!CY69+'[2]побудинковий звіт'!CY69-'[3]побудинковий звіт'!CY69</f>
        <v>2630.8410633508738</v>
      </c>
      <c r="CZ69" s="56">
        <f t="shared" si="100"/>
        <v>2559.6806318879803</v>
      </c>
      <c r="DA69" s="264">
        <f>'[4]побудинковий звіт'!DA69</f>
        <v>-7817.0562622933958</v>
      </c>
      <c r="DB69" s="2">
        <v>1</v>
      </c>
      <c r="DC69" s="717">
        <f>'[4]побудинковий звіт'!DC69</f>
        <v>4276.59</v>
      </c>
      <c r="DD69" s="717">
        <f>'[4]побудинковий звіт'!DD69</f>
        <v>0</v>
      </c>
      <c r="DE69" s="717">
        <f>'[4]побудинковий звіт'!DE69</f>
        <v>4033.82</v>
      </c>
      <c r="DF69" s="717">
        <f>'[4]побудинковий звіт'!DF69</f>
        <v>0</v>
      </c>
      <c r="DG69" s="787">
        <v>-4065.3939736932866</v>
      </c>
      <c r="DH69" s="761">
        <f t="shared" si="39"/>
        <v>34958.880000000005</v>
      </c>
      <c r="DI69" s="784"/>
      <c r="DJ69" s="5"/>
      <c r="DK69" s="317">
        <f>VLOOKUP($A69,ціни!$A$4:$G$401,5)</f>
        <v>1.7732731263615662</v>
      </c>
      <c r="DL69" s="317"/>
      <c r="DM69" s="317">
        <f>VLOOKUP($A69,ціни!$A$4:$G$401,7)</f>
        <v>1.7732731263615662</v>
      </c>
      <c r="DN69" s="30">
        <f>F69*DK69</f>
        <v>449.52473753265701</v>
      </c>
      <c r="DO69" s="30">
        <f>H69*DM69</f>
        <v>0</v>
      </c>
      <c r="DP69" s="316">
        <f t="shared" si="101"/>
        <v>449.52473753265701</v>
      </c>
      <c r="DQ69" s="104"/>
      <c r="DR69" s="30">
        <f>VLOOKUP(A69,'ДЗ нас '!$A$1:$C$359,2)</f>
        <v>242.77</v>
      </c>
      <c r="DS69" s="748"/>
      <c r="DT69" s="30">
        <f t="shared" si="102"/>
        <v>242.77</v>
      </c>
      <c r="DU69" s="257">
        <f>VLOOKUP(A69,'новий кошторис с 01.06'!$A$4:$AI$399,35)*1.2</f>
        <v>243.9451667081413</v>
      </c>
      <c r="DV69" s="30">
        <f t="shared" si="103"/>
        <v>-1.1751667081412904</v>
      </c>
      <c r="DW69" s="930">
        <f>'[5]побудинковий звіт'!DW69+'[6]побудинковий звіт'!DW69</f>
        <v>0</v>
      </c>
      <c r="DY69" s="5">
        <f t="shared" si="9"/>
        <v>2444.3321585217741</v>
      </c>
      <c r="DZ69" s="5">
        <f t="shared" si="10"/>
        <v>0</v>
      </c>
      <c r="EA69" s="752">
        <f t="shared" si="43"/>
        <v>4033.82</v>
      </c>
      <c r="EC69" s="594">
        <f t="shared" si="11"/>
        <v>24443.321585217745</v>
      </c>
      <c r="EE69" s="758">
        <v>9412</v>
      </c>
      <c r="EF69" s="738">
        <f t="shared" si="12"/>
        <v>5346.6060263067138</v>
      </c>
      <c r="EH69" s="813">
        <v>-5620.9670616855637</v>
      </c>
    </row>
    <row r="70" spans="1:138" x14ac:dyDescent="0.3">
      <c r="A70" s="328">
        <v>150000531</v>
      </c>
      <c r="B70" s="44" t="s">
        <v>519</v>
      </c>
      <c r="C70" s="45" t="s">
        <v>348</v>
      </c>
      <c r="D70" s="45" t="s">
        <v>348</v>
      </c>
      <c r="E70" s="40">
        <f t="shared" si="3"/>
        <v>200.6</v>
      </c>
      <c r="F70" s="490">
        <v>200.6</v>
      </c>
      <c r="G70" s="30">
        <v>765.25</v>
      </c>
      <c r="H70" s="30">
        <v>0</v>
      </c>
      <c r="I70" s="42">
        <f>'[1]побудинковий звіт'!I70+'[2]побудинковий звіт'!I70-'[3]побудинковий звіт'!I70</f>
        <v>19191.444698902262</v>
      </c>
      <c r="J70" s="42">
        <f>'[1]побудинковий звіт'!J70+'[2]побудинковий звіт'!J70-'[3]побудинковий звіт'!J70</f>
        <v>16453.680107637469</v>
      </c>
      <c r="K70" s="56">
        <f t="shared" si="66"/>
        <v>-2737.7645912647931</v>
      </c>
      <c r="L70" s="42">
        <f>'[1]побудинковий звіт'!L70+'[2]побудинковий звіт'!L70-'[3]побудинковий звіт'!L70</f>
        <v>3164.025404940041</v>
      </c>
      <c r="M70" s="42">
        <f>'[1]побудинковий звіт'!M70+'[2]побудинковий звіт'!M70-'[3]побудинковий звіт'!M70</f>
        <v>3082.3792105408761</v>
      </c>
      <c r="N70" s="56">
        <f t="shared" si="67"/>
        <v>-81.64619439916487</v>
      </c>
      <c r="O70" s="42">
        <f>'[1]побудинковий звіт'!O70+'[2]побудинковий звіт'!O70-'[3]побудинковий звіт'!O70</f>
        <v>11405.64</v>
      </c>
      <c r="P70" s="42">
        <f>'[1]побудинковий звіт'!P70+'[2]побудинковий звіт'!P70-'[3]побудинковий звіт'!P70</f>
        <v>8964.6703935483874</v>
      </c>
      <c r="Q70" s="56">
        <f t="shared" si="68"/>
        <v>-2440.969606451612</v>
      </c>
      <c r="R70" s="42">
        <f>'[1]побудинковий звіт'!R70+'[2]побудинковий звіт'!R70-'[3]побудинковий звіт'!R70</f>
        <v>2467.1999999999994</v>
      </c>
      <c r="S70" s="42">
        <f>'[1]побудинковий звіт'!S70+'[2]побудинковий звіт'!S70-'[3]побудинковий звіт'!S70</f>
        <v>1939.318701075269</v>
      </c>
      <c r="T70" s="56">
        <f t="shared" si="69"/>
        <v>-527.88129892473034</v>
      </c>
      <c r="U70" s="42">
        <f>'[1]побудинковий звіт'!U70+'[2]побудинковий звіт'!U70-'[3]побудинковий звіт'!U70</f>
        <v>3457.4511614254002</v>
      </c>
      <c r="V70" s="42">
        <f>'[1]побудинковий звіт'!V70+'[2]побудинковий звіт'!V70-'[3]побудинковий звіт'!V70</f>
        <v>1260.9145192057063</v>
      </c>
      <c r="W70" s="56">
        <f t="shared" si="70"/>
        <v>-2196.5366422196939</v>
      </c>
      <c r="X70" s="42">
        <f>'[1]побудинковий звіт'!X70+'[2]побудинковий звіт'!X70-'[3]побудинковий звіт'!X70</f>
        <v>15762.020901402275</v>
      </c>
      <c r="Y70" s="42">
        <f>'[1]побудинковий звіт'!Y70+'[2]побудинковий звіт'!Y70-'[3]побудинковий звіт'!Y70</f>
        <v>13898.557770143994</v>
      </c>
      <c r="Z70" s="56">
        <f t="shared" si="71"/>
        <v>-1863.4631312582806</v>
      </c>
      <c r="AA70" s="42">
        <f>'[1]побудинковий звіт'!AA70+'[2]побудинковий звіт'!AA70-'[3]побудинковий звіт'!AA70</f>
        <v>0</v>
      </c>
      <c r="AB70" s="42">
        <f>'[1]побудинковий звіт'!AB70+'[2]побудинковий звіт'!AB70-'[3]побудинковий звіт'!AB70</f>
        <v>0</v>
      </c>
      <c r="AC70" s="56">
        <f t="shared" si="72"/>
        <v>0</v>
      </c>
      <c r="AD70" s="42">
        <f>'[1]побудинковий звіт'!AD70+'[2]побудинковий звіт'!AD70-'[3]побудинковий звіт'!AD70</f>
        <v>32558.319209582038</v>
      </c>
      <c r="AE70" s="42">
        <f>'[1]побудинковий звіт'!AE70+'[2]побудинковий звіт'!AE70-'[3]побудинковий звіт'!AE70</f>
        <v>30007.863436762062</v>
      </c>
      <c r="AF70" s="37">
        <f t="shared" si="73"/>
        <v>-2550.4557728199761</v>
      </c>
      <c r="AG70" s="87">
        <f t="shared" si="61"/>
        <v>88006.101376252016</v>
      </c>
      <c r="AH70" s="57">
        <f t="shared" si="61"/>
        <v>75607.384138913767</v>
      </c>
      <c r="AI70" s="56">
        <f t="shared" si="74"/>
        <v>-12398.717237338249</v>
      </c>
      <c r="AJ70" s="42">
        <f>'[1]побудинковий звіт'!AJ70+'[2]побудинковий звіт'!AJ70-'[3]побудинковий звіт'!AJ70</f>
        <v>65643.029279454873</v>
      </c>
      <c r="AK70" s="42">
        <f>'[1]побудинковий звіт'!AK70+'[2]побудинковий звіт'!AK70-'[3]побудинковий звіт'!AK70</f>
        <v>65065.554034310175</v>
      </c>
      <c r="AL70" s="56">
        <f t="shared" si="75"/>
        <v>-577.47524514469842</v>
      </c>
      <c r="AM70" s="42">
        <f>'[1]побудинковий звіт'!AM70+'[2]побудинковий звіт'!AM70-'[3]побудинковий звіт'!AM70</f>
        <v>3156.8443177418612</v>
      </c>
      <c r="AN70" s="42">
        <f>'[1]побудинковий звіт'!AN70+'[2]побудинковий звіт'!AN70-'[3]побудинковий звіт'!AN70</f>
        <v>648.20191612120198</v>
      </c>
      <c r="AO70" s="56">
        <f t="shared" si="76"/>
        <v>-2508.6424016206593</v>
      </c>
      <c r="AP70" s="42">
        <f>'[1]побудинковий звіт'!AP70+'[2]побудинковий звіт'!AP70-'[3]побудинковий звіт'!AP70</f>
        <v>5540.0532109278502</v>
      </c>
      <c r="AQ70" s="42">
        <f>'[1]побудинковий звіт'!AQ70+'[2]побудинковий звіт'!AQ70-'[3]побудинковий звіт'!AQ70</f>
        <v>5433.1788796283281</v>
      </c>
      <c r="AR70" s="56">
        <f t="shared" si="77"/>
        <v>-106.87433129952205</v>
      </c>
      <c r="AS70" s="42">
        <f>'[1]побудинковий звіт'!AS70+'[2]побудинковий звіт'!AS70-'[3]побудинковий звіт'!AS70</f>
        <v>125873.23977248612</v>
      </c>
      <c r="AT70" s="42">
        <f>'[1]побудинковий звіт'!AT70+'[2]побудинковий звіт'!AT70-'[3]побудинковий звіт'!AT70</f>
        <v>168106.51835249475</v>
      </c>
      <c r="AU70" s="58">
        <f t="shared" si="78"/>
        <v>42233.278580008628</v>
      </c>
      <c r="AV70" s="42">
        <f>'[1]побудинковий звіт'!AV70+'[2]побудинковий звіт'!AV70-'[3]побудинковий звіт'!AV70</f>
        <v>1568.8123340820982</v>
      </c>
      <c r="AW70" s="42">
        <f>'[1]побудинковий звіт'!AW70+'[2]побудинковий звіт'!AW70-'[3]побудинковий звіт'!AW70</f>
        <v>657.38771878991452</v>
      </c>
      <c r="AX70" s="59">
        <f t="shared" si="79"/>
        <v>-911.42461529218372</v>
      </c>
      <c r="AY70" s="42">
        <f>'[1]побудинковий звіт'!AY70+'[2]побудинковий звіт'!AY70-'[3]побудинковий звіт'!AY70</f>
        <v>2107.8464941106845</v>
      </c>
      <c r="AZ70" s="42">
        <f>'[1]побудинковий звіт'!AZ70+'[2]побудинковий звіт'!AZ70-'[3]побудинковий звіт'!AZ70</f>
        <v>2689</v>
      </c>
      <c r="BA70" s="37">
        <f t="shared" si="80"/>
        <v>581.15350588931551</v>
      </c>
      <c r="BB70" s="42">
        <f>'[1]побудинковий звіт'!BB70+'[2]побудинковий звіт'!BB70-'[3]побудинковий звіт'!BB70</f>
        <v>2902.2550345034015</v>
      </c>
      <c r="BC70" s="42">
        <f>'[1]побудинковий звіт'!BC70+'[2]побудинковий звіт'!BC70-'[3]побудинковий звіт'!BC70</f>
        <v>4155</v>
      </c>
      <c r="BD70" s="59">
        <f t="shared" si="81"/>
        <v>1252.7449654965985</v>
      </c>
      <c r="BE70" s="42">
        <f>'[1]побудинковий звіт'!BE70+'[2]побудинковий звіт'!BE70-'[3]побудинковий звіт'!BE70</f>
        <v>1113.8321563382149</v>
      </c>
      <c r="BF70" s="42">
        <f>'[1]побудинковий звіт'!BF70+'[2]побудинковий звіт'!BF70-'[3]побудинковий звіт'!BF70</f>
        <v>0</v>
      </c>
      <c r="BG70" s="39">
        <f t="shared" si="82"/>
        <v>-1113.8321563382149</v>
      </c>
      <c r="BH70" s="42">
        <f>'[1]побудинковий звіт'!BH70+'[2]побудинковий звіт'!BH70-'[3]побудинковий звіт'!BH70</f>
        <v>1753.9358039059116</v>
      </c>
      <c r="BI70" s="42">
        <f>'[1]побудинковий звіт'!BI70+'[2]побудинковий звіт'!BI70-'[3]побудинковий звіт'!BI70</f>
        <v>0</v>
      </c>
      <c r="BJ70" s="59">
        <f t="shared" si="83"/>
        <v>-1753.9358039059116</v>
      </c>
      <c r="BK70" s="42">
        <f>'[1]побудинковий звіт'!BK70+'[2]побудинковий звіт'!BK70-'[3]побудинковий звіт'!BK70</f>
        <v>1414.930392504355</v>
      </c>
      <c r="BL70" s="42">
        <f>'[1]побудинковий звіт'!BL70+'[2]побудинковий звіт'!BL70-'[3]побудинковий звіт'!BL70</f>
        <v>14583</v>
      </c>
      <c r="BM70" s="39">
        <f t="shared" si="84"/>
        <v>13168.069607495645</v>
      </c>
      <c r="BN70" s="42">
        <f>'[1]побудинковий звіт'!BN70+'[2]побудинковий звіт'!BN70-'[3]побудинковий звіт'!BN70</f>
        <v>852.13736562358417</v>
      </c>
      <c r="BO70" s="42">
        <f>'[1]побудинковий звіт'!BO70+'[2]побудинковий звіт'!BO70-'[3]побудинковий звіт'!BO70</f>
        <v>11622</v>
      </c>
      <c r="BP70" s="59">
        <f t="shared" si="85"/>
        <v>10769.862634376415</v>
      </c>
      <c r="BQ70" s="87">
        <f t="shared" si="62"/>
        <v>11713.74958106825</v>
      </c>
      <c r="BR70" s="43">
        <f t="shared" si="63"/>
        <v>33706.387718789912</v>
      </c>
      <c r="BS70" s="59">
        <f t="shared" si="86"/>
        <v>21992.63813772166</v>
      </c>
      <c r="BT70" s="42">
        <f>'[1]побудинковий звіт'!BT70+'[2]побудинковий звіт'!BT70-'[3]побудинковий звіт'!BT70</f>
        <v>82737.400983198255</v>
      </c>
      <c r="BU70" s="42">
        <f>'[1]побудинковий звіт'!BU70+'[2]побудинковий звіт'!BU70-'[3]побудинковий звіт'!BU70</f>
        <v>79023.906158018843</v>
      </c>
      <c r="BV70" s="56">
        <f t="shared" si="87"/>
        <v>-3713.4948251794121</v>
      </c>
      <c r="BW70" s="42">
        <f>'[1]побудинковий звіт'!BW70+'[2]побудинковий звіт'!BW70-'[3]побудинковий звіт'!BW70</f>
        <v>63018.936185409744</v>
      </c>
      <c r="BX70" s="42">
        <f>'[1]побудинковий звіт'!BX70+'[2]побудинковий звіт'!BX70-'[3]побудинковий звіт'!BX70</f>
        <v>58926.549243857538</v>
      </c>
      <c r="BY70" s="56">
        <f t="shared" si="88"/>
        <v>-4092.3869415522058</v>
      </c>
      <c r="BZ70" s="42">
        <f>'[1]побудинковий звіт'!BZ70+'[2]побудинковий звіт'!BZ70-'[3]побудинковий звіт'!BZ70</f>
        <v>10387.123617720867</v>
      </c>
      <c r="CA70" s="42">
        <f>'[1]побудинковий звіт'!CA70+'[2]побудинковий звіт'!CA70-'[3]побудинковий звіт'!CA70</f>
        <v>22228.591263139191</v>
      </c>
      <c r="CB70" s="56">
        <f t="shared" si="89"/>
        <v>11841.467645418325</v>
      </c>
      <c r="CC70" s="42">
        <f>'[1]побудинковий звіт'!CC70+'[2]побудинковий звіт'!CC70-'[3]побудинковий звіт'!CC70</f>
        <v>2743.0800540391897</v>
      </c>
      <c r="CD70" s="42">
        <f>'[1]побудинковий звіт'!CD70+'[2]побудинковий звіт'!CD70-'[3]побудинковий звіт'!CD70</f>
        <v>2718.9538894389875</v>
      </c>
      <c r="CE70" s="56">
        <f t="shared" si="90"/>
        <v>-24.126164600202173</v>
      </c>
      <c r="CF70" s="42">
        <f>'[1]побудинковий звіт'!CF70+'[2]побудинковий звіт'!CF70-'[3]побудинковий звіт'!CF70</f>
        <v>337.68977937982447</v>
      </c>
      <c r="CG70" s="42">
        <f>'[1]побудинковий звіт'!CG70+'[2]побудинковий звіт'!CG70-'[3]побудинковий звіт'!CG70</f>
        <v>0</v>
      </c>
      <c r="CH70" s="56">
        <f t="shared" si="91"/>
        <v>-337.68977937982447</v>
      </c>
      <c r="CI70" s="42">
        <f>'[1]побудинковий звіт'!CI70+'[2]побудинковий звіт'!CI70-'[3]побудинковий звіт'!CI70</f>
        <v>16433.987105574688</v>
      </c>
      <c r="CJ70" s="42">
        <f>'[1]побудинковий звіт'!CJ70+'[2]побудинковий звіт'!CJ70-'[3]побудинковий звіт'!CJ70</f>
        <v>14742.475227952265</v>
      </c>
      <c r="CK70" s="56">
        <f t="shared" si="92"/>
        <v>-1691.5118776224226</v>
      </c>
      <c r="CL70" s="42">
        <f>'[1]побудинковий звіт'!CL70+'[2]побудинковий звіт'!CL70-'[3]побудинковий звіт'!CL70</f>
        <v>24650.980658362038</v>
      </c>
      <c r="CM70" s="42">
        <f>'[1]побудинковий звіт'!CM70+'[2]побудинковий звіт'!CM70-'[3]побудинковий звіт'!CM70</f>
        <v>22122.563461443628</v>
      </c>
      <c r="CN70" s="56">
        <f t="shared" si="93"/>
        <v>-2528.4171969184099</v>
      </c>
      <c r="CO70" s="42">
        <f t="shared" si="64"/>
        <v>41084.967763936729</v>
      </c>
      <c r="CP70" s="43">
        <f t="shared" si="94"/>
        <v>36865.038689395893</v>
      </c>
      <c r="CQ70" s="56">
        <f t="shared" si="95"/>
        <v>-4219.9290745408362</v>
      </c>
      <c r="CR70" s="78">
        <f t="shared" si="65"/>
        <v>500242.21592161548</v>
      </c>
      <c r="CS70" s="5">
        <f t="shared" si="65"/>
        <v>548330.26428410865</v>
      </c>
      <c r="CT70" s="56">
        <f t="shared" si="96"/>
        <v>48088.048362493166</v>
      </c>
      <c r="CU70" s="87">
        <f t="shared" si="97"/>
        <v>600290.65910593851</v>
      </c>
      <c r="CV70" s="70">
        <f t="shared" si="98"/>
        <v>657996.31714093033</v>
      </c>
      <c r="CW70" s="37">
        <f t="shared" si="99"/>
        <v>57705.658034991822</v>
      </c>
      <c r="CX70" s="42">
        <f>'[1]побудинковий звіт'!CX70+'[2]побудинковий звіт'!CX70-'[3]побудинковий звіт'!CX70</f>
        <v>10377.340894061315</v>
      </c>
      <c r="CY70" s="42">
        <f>'[1]побудинковий звіт'!CY70+'[2]побудинковий звіт'!CY70-'[3]побудинковий звіт'!CY70</f>
        <v>-47328.317140930296</v>
      </c>
      <c r="CZ70" s="56">
        <f t="shared" si="100"/>
        <v>-57705.658034991611</v>
      </c>
      <c r="DA70" s="264">
        <f>'[4]побудинковий звіт'!DA70</f>
        <v>26635.504936484402</v>
      </c>
      <c r="DB70" s="2">
        <v>1</v>
      </c>
      <c r="DC70" s="717">
        <f>'[4]побудинковий звіт'!DC70</f>
        <v>109812.83</v>
      </c>
      <c r="DD70" s="717">
        <f>'[4]побудинковий звіт'!DD70</f>
        <v>0</v>
      </c>
      <c r="DE70" s="717">
        <f>'[4]побудинковий звіт'!DE70</f>
        <v>58925.37</v>
      </c>
      <c r="DF70" s="717">
        <f>'[4]побудинковий звіт'!DF70</f>
        <v>0</v>
      </c>
      <c r="DG70" s="787">
        <v>28812.349541599629</v>
      </c>
      <c r="DH70" s="761">
        <f t="shared" si="39"/>
        <v>7328015.9999999972</v>
      </c>
      <c r="DI70" s="784"/>
      <c r="DJ70" s="5"/>
      <c r="DK70" s="317">
        <f>VLOOKUP($A70,ціни!$A$4:$G$401,5)</f>
        <v>5.4491718287396145</v>
      </c>
      <c r="DL70" s="317">
        <f>VLOOKUP($A70,ціни!$A$4:$G$401,6)</f>
        <v>6.84085517130515</v>
      </c>
      <c r="DM70" s="317">
        <f>VLOOKUP($A70,ціни!$A$4:$G$401,7)</f>
        <v>4.6050019566650464</v>
      </c>
      <c r="DN70" s="30">
        <f>DK70*G70+(F70-G70)*DL70</f>
        <v>307.28986946553778</v>
      </c>
      <c r="DO70" s="30">
        <f>DM70*H70</f>
        <v>0</v>
      </c>
      <c r="DP70" s="316">
        <f t="shared" si="101"/>
        <v>307.28986946553778</v>
      </c>
      <c r="DQ70" s="104"/>
      <c r="DR70" s="30">
        <f>VLOOKUP(A70,'ДЗ нас '!$A$1:$C$359,2)</f>
        <v>50895.33</v>
      </c>
      <c r="DS70" s="748"/>
      <c r="DT70" s="30">
        <f t="shared" si="102"/>
        <v>50895.33</v>
      </c>
      <c r="DU70" s="257">
        <f>VLOOKUP(A70,'новий кошторис с 01.06'!$A$4:$AI$399,35)*1.2</f>
        <v>51224.80291037343</v>
      </c>
      <c r="DV70" s="30">
        <f t="shared" si="103"/>
        <v>-329.47291037342802</v>
      </c>
      <c r="DW70" s="930">
        <f>'[5]побудинковий звіт'!DW70+'[6]побудинковий звіт'!DW70</f>
        <v>298</v>
      </c>
      <c r="DY70" s="5">
        <f t="shared" si="9"/>
        <v>165104.38722426526</v>
      </c>
      <c r="DZ70" s="5">
        <f t="shared" si="10"/>
        <v>242175.4872855416</v>
      </c>
      <c r="EA70" s="752">
        <f t="shared" si="43"/>
        <v>58925.37</v>
      </c>
      <c r="EC70" s="592">
        <f t="shared" si="11"/>
        <v>1510478.8772698333</v>
      </c>
      <c r="EE70" s="758">
        <v>-31571</v>
      </c>
      <c r="EF70" s="738">
        <f t="shared" si="12"/>
        <v>-2758.6504584003706</v>
      </c>
      <c r="EH70" s="813">
        <v>-33630.698934741944</v>
      </c>
    </row>
    <row r="71" spans="1:138" x14ac:dyDescent="0.3">
      <c r="A71" s="328">
        <v>150000532</v>
      </c>
      <c r="B71" s="44" t="s">
        <v>520</v>
      </c>
      <c r="C71" s="45" t="s">
        <v>253</v>
      </c>
      <c r="D71" s="45" t="s">
        <v>253</v>
      </c>
      <c r="E71" s="40">
        <f t="shared" si="3"/>
        <v>83.8</v>
      </c>
      <c r="F71" s="490">
        <v>83.8</v>
      </c>
      <c r="G71" s="30"/>
      <c r="H71" s="30">
        <v>0</v>
      </c>
      <c r="I71" s="42">
        <f>'[1]побудинковий звіт'!I71+'[2]побудинковий звіт'!I71-'[3]побудинковий звіт'!I71</f>
        <v>8066.3597379785988</v>
      </c>
      <c r="J71" s="42">
        <f>'[1]побудинковий звіт'!J71+'[2]побудинковий звіт'!J71-'[3]побудинковий звіт'!J71</f>
        <v>6832.2723981101826</v>
      </c>
      <c r="K71" s="56">
        <f t="shared" si="66"/>
        <v>-1234.0873398684162</v>
      </c>
      <c r="L71" s="42">
        <f>'[1]побудинковий звіт'!L71+'[2]побудинковий звіт'!L71-'[3]побудинковий звіт'!L71</f>
        <v>1717.4024767529841</v>
      </c>
      <c r="M71" s="42">
        <f>'[1]побудинковий звіт'!M71+'[2]побудинковий звіт'!M71-'[3]побудинковий звіт'!M71</f>
        <v>1642.525167694318</v>
      </c>
      <c r="N71" s="56">
        <f t="shared" si="67"/>
        <v>-74.877309058666015</v>
      </c>
      <c r="O71" s="42">
        <f>'[1]побудинковий звіт'!O71+'[2]побудинковий звіт'!O71-'[3]побудинковий звіт'!O71</f>
        <v>3831.3599999999983</v>
      </c>
      <c r="P71" s="42">
        <f>'[1]побудинковий звіт'!P71+'[2]побудинковий звіт'!P71-'[3]побудинковий звіт'!P71</f>
        <v>3011.5414232258063</v>
      </c>
      <c r="Q71" s="56">
        <f t="shared" si="68"/>
        <v>-819.81857677419202</v>
      </c>
      <c r="R71" s="42">
        <f>'[1]побудинковий звіт'!R71+'[2]побудинковий звіт'!R71-'[3]побудинковий звіт'!R71</f>
        <v>799.56</v>
      </c>
      <c r="S71" s="42">
        <f>'[1]побудинковий звіт'!S71+'[2]побудинковий звіт'!S71-'[3]побудинковий звіт'!S71</f>
        <v>628.49484537634407</v>
      </c>
      <c r="T71" s="56">
        <f t="shared" si="69"/>
        <v>-171.06515462365587</v>
      </c>
      <c r="U71" s="42">
        <f>'[1]побудинковий звіт'!U71+'[2]побудинковий звіт'!U71-'[3]побудинковий звіт'!U71</f>
        <v>531.87068102458227</v>
      </c>
      <c r="V71" s="42">
        <f>'[1]побудинковий звіт'!V71+'[2]побудинковий звіт'!V71-'[3]побудинковий звіт'!V71</f>
        <v>217.30086853266312</v>
      </c>
      <c r="W71" s="56">
        <f t="shared" si="70"/>
        <v>-314.56981249191915</v>
      </c>
      <c r="X71" s="42">
        <f>'[1]побудинковий звіт'!X71+'[2]побудинковий звіт'!X71-'[3]побудинковий звіт'!X71</f>
        <v>5374.1827656018031</v>
      </c>
      <c r="Y71" s="42">
        <f>'[1]побудинковий звіт'!Y71+'[2]побудинковий звіт'!Y71-'[3]побудинковий звіт'!Y71</f>
        <v>3784.4722411943571</v>
      </c>
      <c r="Z71" s="56">
        <f t="shared" si="71"/>
        <v>-1589.710524407446</v>
      </c>
      <c r="AA71" s="42">
        <f>'[1]побудинковий звіт'!AA71+'[2]побудинковий звіт'!AA71-'[3]побудинковий звіт'!AA71</f>
        <v>0</v>
      </c>
      <c r="AB71" s="42">
        <f>'[1]побудинковий звіт'!AB71+'[2]побудинковий звіт'!AB71-'[3]побудинковий звіт'!AB71</f>
        <v>0</v>
      </c>
      <c r="AC71" s="56">
        <f t="shared" si="72"/>
        <v>0</v>
      </c>
      <c r="AD71" s="42">
        <f>'[1]побудинковий звіт'!AD71+'[2]побудинковий звіт'!AD71-'[3]побудинковий звіт'!AD71</f>
        <v>10646.264659578706</v>
      </c>
      <c r="AE71" s="42">
        <f>'[1]побудинковий звіт'!AE71+'[2]побудинковий звіт'!AE71-'[3]побудинковий звіт'!AE71</f>
        <v>9813.4283122835168</v>
      </c>
      <c r="AF71" s="37">
        <f t="shared" si="73"/>
        <v>-832.83634729518963</v>
      </c>
      <c r="AG71" s="87">
        <f t="shared" si="61"/>
        <v>30967.000320936677</v>
      </c>
      <c r="AH71" s="57">
        <f t="shared" si="61"/>
        <v>25930.035256417188</v>
      </c>
      <c r="AI71" s="56">
        <f t="shared" si="74"/>
        <v>-5036.9650645194888</v>
      </c>
      <c r="AJ71" s="42">
        <f>'[1]побудинковий звіт'!AJ71+'[2]побудинковий звіт'!AJ71-'[3]побудинковий звіт'!AJ71</f>
        <v>0</v>
      </c>
      <c r="AK71" s="42">
        <f>'[1]побудинковий звіт'!AK71+'[2]побудинковий звіт'!AK71-'[3]побудинковий звіт'!AK71</f>
        <v>0</v>
      </c>
      <c r="AL71" s="56">
        <f t="shared" si="75"/>
        <v>0</v>
      </c>
      <c r="AM71" s="42">
        <f>'[1]побудинковий звіт'!AM71+'[2]побудинковий звіт'!AM71-'[3]побудинковий звіт'!AM71</f>
        <v>0</v>
      </c>
      <c r="AN71" s="42">
        <f>'[1]побудинковий звіт'!AN71+'[2]побудинковий звіт'!AN71-'[3]побудинковий звіт'!AN71</f>
        <v>0</v>
      </c>
      <c r="AO71" s="56">
        <f t="shared" si="76"/>
        <v>0</v>
      </c>
      <c r="AP71" s="42">
        <f>'[1]побудинковий звіт'!AP71+'[2]побудинковий звіт'!AP71-'[3]побудинковий звіт'!AP71</f>
        <v>2130.7896965107125</v>
      </c>
      <c r="AQ71" s="42">
        <f>'[1]побудинковий звіт'!AQ71+'[2]побудинковий звіт'!AQ71-'[3]побудинковий звіт'!AQ71</f>
        <v>2055.9860612854814</v>
      </c>
      <c r="AR71" s="56">
        <f t="shared" si="77"/>
        <v>-74.803635225231119</v>
      </c>
      <c r="AS71" s="42">
        <f>'[1]побудинковий звіт'!AS71+'[2]побудинковий звіт'!AS71-'[3]побудинковий звіт'!AS71</f>
        <v>24589.692375922805</v>
      </c>
      <c r="AT71" s="42">
        <f>'[1]побудинковий звіт'!AT71+'[2]побудинковий звіт'!AT71-'[3]побудинковий звіт'!AT71</f>
        <v>11371</v>
      </c>
      <c r="AU71" s="58">
        <f t="shared" si="78"/>
        <v>-13218.692375922805</v>
      </c>
      <c r="AV71" s="42">
        <f>'[1]побудинковий звіт'!AV71+'[2]побудинковий звіт'!AV71-'[3]побудинковий звіт'!AV71</f>
        <v>1452.568654252739</v>
      </c>
      <c r="AW71" s="42">
        <f>'[1]побудинковий звіт'!AW71+'[2]побудинковий звіт'!AW71-'[3]побудинковий звіт'!AW71</f>
        <v>1521</v>
      </c>
      <c r="AX71" s="59">
        <f t="shared" si="79"/>
        <v>68.431345747261048</v>
      </c>
      <c r="AY71" s="42">
        <f>'[1]побудинковий звіт'!AY71+'[2]побудинковий звіт'!AY71-'[3]побудинковий звіт'!AY71</f>
        <v>2047.7847604631097</v>
      </c>
      <c r="AZ71" s="42">
        <f>'[1]побудинковий звіт'!AZ71+'[2]побудинковий звіт'!AZ71-'[3]побудинковий звіт'!AZ71</f>
        <v>0</v>
      </c>
      <c r="BA71" s="37">
        <f t="shared" si="80"/>
        <v>-2047.7847604631097</v>
      </c>
      <c r="BB71" s="42">
        <f>'[1]побудинковий звіт'!BB71+'[2]побудинковий звіт'!BB71-'[3]побудинковий звіт'!BB71</f>
        <v>587.96062854940965</v>
      </c>
      <c r="BC71" s="42">
        <f>'[1]побудинковий звіт'!BC71+'[2]побудинковий звіт'!BC71-'[3]побудинковий звіт'!BC71</f>
        <v>0</v>
      </c>
      <c r="BD71" s="59">
        <f t="shared" si="81"/>
        <v>-587.96062854940965</v>
      </c>
      <c r="BE71" s="42">
        <f>'[1]побудинковий звіт'!BE71+'[2]побудинковий звіт'!BE71-'[3]побудинковий звіт'!BE71</f>
        <v>688.52768239675095</v>
      </c>
      <c r="BF71" s="42">
        <f>'[1]побудинковий звіт'!BF71+'[2]побудинковий звіт'!BF71-'[3]побудинковий звіт'!BF71</f>
        <v>0</v>
      </c>
      <c r="BG71" s="39">
        <f t="shared" si="82"/>
        <v>-688.52768239675095</v>
      </c>
      <c r="BH71" s="42">
        <f>'[1]побудинковий звіт'!BH71+'[2]побудинковий звіт'!BH71-'[3]побудинковий звіт'!BH71</f>
        <v>539.76213107435467</v>
      </c>
      <c r="BI71" s="42">
        <f>'[1]побудинковий звіт'!BI71+'[2]побудинковий звіт'!BI71-'[3]побудинковий звіт'!BI71</f>
        <v>0</v>
      </c>
      <c r="BJ71" s="59">
        <f t="shared" si="83"/>
        <v>-539.76213107435467</v>
      </c>
      <c r="BK71" s="42">
        <f>'[1]побудинковий звіт'!BK71+'[2]побудинковий звіт'!BK71-'[3]побудинковий звіт'!BK71</f>
        <v>735.41896384928611</v>
      </c>
      <c r="BL71" s="42">
        <f>'[1]побудинковий звіт'!BL71+'[2]побудинковий звіт'!BL71-'[3]побудинковий звіт'!BL71</f>
        <v>15622</v>
      </c>
      <c r="BM71" s="39">
        <f t="shared" si="84"/>
        <v>14886.581036150714</v>
      </c>
      <c r="BN71" s="42">
        <f>'[1]побудинковий звіт'!BN71+'[2]побудинковий звіт'!BN71-'[3]побудинковий звіт'!BN71</f>
        <v>733.74444862908138</v>
      </c>
      <c r="BO71" s="42">
        <f>'[1]побудинковий звіт'!BO71+'[2]побудинковий звіт'!BO71-'[3]побудинковий звіт'!BO71</f>
        <v>2133</v>
      </c>
      <c r="BP71" s="59">
        <f t="shared" si="85"/>
        <v>1399.2555513709185</v>
      </c>
      <c r="BQ71" s="87">
        <f t="shared" si="62"/>
        <v>6785.7672692147316</v>
      </c>
      <c r="BR71" s="43">
        <f t="shared" si="63"/>
        <v>19276</v>
      </c>
      <c r="BS71" s="59">
        <f t="shared" si="86"/>
        <v>12490.232730785268</v>
      </c>
      <c r="BT71" s="42">
        <f>'[1]побудинковий звіт'!BT71+'[2]побудинковий звіт'!BT71-'[3]побудинковий звіт'!BT71</f>
        <v>52875.885218997144</v>
      </c>
      <c r="BU71" s="42">
        <f>'[1]побудинковий звіт'!BU71+'[2]побудинковий звіт'!BU71-'[3]побудинковий звіт'!BU71</f>
        <v>47432.162608453058</v>
      </c>
      <c r="BV71" s="56">
        <f t="shared" si="87"/>
        <v>-5443.7226105440859</v>
      </c>
      <c r="BW71" s="42">
        <f>'[1]побудинковий звіт'!BW71+'[2]побудинковий звіт'!BW71-'[3]побудинковий звіт'!BW71</f>
        <v>22584.372155935242</v>
      </c>
      <c r="BX71" s="42">
        <f>'[1]побудинковий звіт'!BX71+'[2]побудинковий звіт'!BX71-'[3]побудинковий звіт'!BX71</f>
        <v>19511.434976502846</v>
      </c>
      <c r="BY71" s="56">
        <f t="shared" si="88"/>
        <v>-3072.9371794323961</v>
      </c>
      <c r="BZ71" s="42">
        <f>'[1]побудинковий звіт'!BZ71+'[2]побудинковий звіт'!BZ71-'[3]побудинковий звіт'!BZ71</f>
        <v>12464.548341265037</v>
      </c>
      <c r="CA71" s="42">
        <f>'[1]побудинковий звіт'!CA71+'[2]побудинковий звіт'!CA71-'[3]побудинковий звіт'!CA71</f>
        <v>14484.726242007277</v>
      </c>
      <c r="CB71" s="56">
        <f t="shared" si="89"/>
        <v>2020.1779007422392</v>
      </c>
      <c r="CC71" s="42">
        <f>'[1]побудинковий звіт'!CC71+'[2]побудинковий звіт'!CC71-'[3]побудинковий звіт'!CC71</f>
        <v>1487.1341146495968</v>
      </c>
      <c r="CD71" s="42">
        <f>'[1]побудинковий звіт'!CD71+'[2]побудинковий звіт'!CD71-'[3]побудинковий звіт'!CD71</f>
        <v>1474.0543496679736</v>
      </c>
      <c r="CE71" s="56">
        <f t="shared" si="90"/>
        <v>-13.079764981623157</v>
      </c>
      <c r="CF71" s="42">
        <f>'[1]побудинковий звіт'!CF71+'[2]побудинковий звіт'!CF71-'[3]побудинковий звіт'!CF71</f>
        <v>183.07522244739357</v>
      </c>
      <c r="CG71" s="42">
        <f>'[1]побудинковий звіт'!CG71+'[2]побудинковий звіт'!CG71-'[3]побудинковий звіт'!CG71</f>
        <v>0</v>
      </c>
      <c r="CH71" s="56">
        <f t="shared" si="91"/>
        <v>-183.07522244739357</v>
      </c>
      <c r="CI71" s="42">
        <f>'[1]побудинковий звіт'!CI71+'[2]побудинковий звіт'!CI71-'[3]побудинковий звіт'!CI71</f>
        <v>4791.686445361187</v>
      </c>
      <c r="CJ71" s="42">
        <f>'[1]побудинковий звіт'!CJ71+'[2]побудинковий звіт'!CJ71-'[3]побудинковий звіт'!CJ71</f>
        <v>3521.9393059545082</v>
      </c>
      <c r="CK71" s="56">
        <f t="shared" si="92"/>
        <v>-1269.7471394066788</v>
      </c>
      <c r="CL71" s="42">
        <f>'[1]побудинковий звіт'!CL71+'[2]побудинковий звіт'!CL71-'[3]побудинковий звіт'!CL71</f>
        <v>0</v>
      </c>
      <c r="CM71" s="42">
        <f>'[1]побудинковий звіт'!CM71+'[2]побудинковий звіт'!CM71-'[3]побудинковий звіт'!CM71</f>
        <v>0</v>
      </c>
      <c r="CN71" s="56">
        <f t="shared" si="93"/>
        <v>0</v>
      </c>
      <c r="CO71" s="42">
        <f t="shared" si="64"/>
        <v>4791.686445361187</v>
      </c>
      <c r="CP71" s="43">
        <f t="shared" si="94"/>
        <v>3521.9393059545082</v>
      </c>
      <c r="CQ71" s="56">
        <f t="shared" si="95"/>
        <v>-1269.7471394066788</v>
      </c>
      <c r="CR71" s="78">
        <f t="shared" si="65"/>
        <v>158859.95116124052</v>
      </c>
      <c r="CS71" s="5">
        <f t="shared" si="65"/>
        <v>145057.33880028833</v>
      </c>
      <c r="CT71" s="56">
        <f t="shared" si="96"/>
        <v>-13802.612360952189</v>
      </c>
      <c r="CU71" s="87">
        <f t="shared" si="97"/>
        <v>190631.94139348861</v>
      </c>
      <c r="CV71" s="70">
        <f t="shared" si="98"/>
        <v>174068.80656034598</v>
      </c>
      <c r="CW71" s="37">
        <f t="shared" si="99"/>
        <v>-16563.134833142627</v>
      </c>
      <c r="CX71" s="42">
        <f>'[1]побудинковий звіт'!CX71+'[2]побудинковий звіт'!CX71-'[3]побудинковий звіт'!CX71</f>
        <v>189.0586065113821</v>
      </c>
      <c r="CY71" s="42">
        <f>'[1]побудинковий звіт'!CY71+'[2]побудинковий звіт'!CY71-'[3]побудинковий звіт'!CY71</f>
        <v>16752.193439654005</v>
      </c>
      <c r="CZ71" s="56">
        <f t="shared" si="100"/>
        <v>16563.134833142623</v>
      </c>
      <c r="DA71" s="264">
        <f>'[4]побудинковий звіт'!DA71</f>
        <v>-32905.612915709164</v>
      </c>
      <c r="DB71" s="2">
        <v>1</v>
      </c>
      <c r="DC71" s="717">
        <f>'[4]побудинковий звіт'!DC71</f>
        <v>52751.9</v>
      </c>
      <c r="DD71" s="717">
        <f>'[4]побудинковий звіт'!DD71</f>
        <v>0</v>
      </c>
      <c r="DE71" s="717">
        <f>'[4]побудинковий звіт'!DE71</f>
        <v>36850.15</v>
      </c>
      <c r="DF71" s="717">
        <f>'[4]побудинковий звіт'!DF71</f>
        <v>0</v>
      </c>
      <c r="DG71" s="787">
        <v>-5956.4994266013382</v>
      </c>
      <c r="DH71" s="761">
        <f t="shared" si="39"/>
        <v>2289852</v>
      </c>
      <c r="DI71" s="784"/>
      <c r="DJ71" s="5"/>
      <c r="DK71" s="317">
        <f>VLOOKUP($A71,ціни!$A$4:$G$401,5)</f>
        <v>6.3802508227835402</v>
      </c>
      <c r="DL71" s="317"/>
      <c r="DM71" s="317">
        <f>VLOOKUP($A71,ціни!$A$4:$G$401,7)</f>
        <v>5.4732005689174654</v>
      </c>
      <c r="DN71" s="30">
        <f>F71*DK71</f>
        <v>534.66501894926068</v>
      </c>
      <c r="DO71" s="30">
        <f>H71*DM71</f>
        <v>0</v>
      </c>
      <c r="DP71" s="316">
        <f t="shared" si="101"/>
        <v>534.66501894926068</v>
      </c>
      <c r="DQ71" s="104"/>
      <c r="DR71" s="30">
        <f>VLOOKUP(A71,'ДЗ нас '!$A$1:$C$359,2)</f>
        <v>15901.75</v>
      </c>
      <c r="DS71" s="748"/>
      <c r="DT71" s="30">
        <f t="shared" si="102"/>
        <v>15901.75</v>
      </c>
      <c r="DU71" s="257">
        <f>VLOOKUP(A71,'новий кошторис с 01.06'!$A$4:$AI$399,35)*1.2</f>
        <v>15885.995116124051</v>
      </c>
      <c r="DV71" s="30">
        <f t="shared" si="103"/>
        <v>15.754883875948508</v>
      </c>
      <c r="DW71" s="930">
        <f>'[5]побудинковий звіт'!DW71+'[6]побудинковий звіт'!DW71</f>
        <v>204</v>
      </c>
      <c r="DY71" s="5">
        <f t="shared" si="9"/>
        <v>37650.551574165045</v>
      </c>
      <c r="DZ71" s="5">
        <f t="shared" si="10"/>
        <v>36776.400000000001</v>
      </c>
      <c r="EA71" s="752">
        <f t="shared" si="43"/>
        <v>36850.15</v>
      </c>
      <c r="EC71" s="592">
        <f t="shared" si="11"/>
        <v>295076.30851107364</v>
      </c>
      <c r="EE71" s="758">
        <v>14871</v>
      </c>
      <c r="EF71" s="738">
        <f t="shared" si="12"/>
        <v>8914.5005733986618</v>
      </c>
      <c r="EH71" s="813">
        <v>-21422.192217958873</v>
      </c>
    </row>
    <row r="72" spans="1:138" x14ac:dyDescent="0.3">
      <c r="A72" s="328">
        <v>150000533</v>
      </c>
      <c r="B72" s="44" t="s">
        <v>521</v>
      </c>
      <c r="C72" s="45" t="s">
        <v>349</v>
      </c>
      <c r="D72" s="45" t="s">
        <v>349</v>
      </c>
      <c r="E72" s="40">
        <f t="shared" si="3"/>
        <v>1531.9</v>
      </c>
      <c r="F72" s="490">
        <v>1531.9</v>
      </c>
      <c r="G72" s="30">
        <v>1296.7</v>
      </c>
      <c r="H72" s="30">
        <v>0</v>
      </c>
      <c r="I72" s="42">
        <f>'[1]побудинковий звіт'!I72+'[2]побудинковий звіт'!I72-'[3]побудинковий звіт'!I72</f>
        <v>31303.278271429786</v>
      </c>
      <c r="J72" s="42">
        <f>'[1]побудинковий звіт'!J72+'[2]побудинковий звіт'!J72-'[3]побудинковий звіт'!J72</f>
        <v>26732.776702986994</v>
      </c>
      <c r="K72" s="56">
        <f t="shared" si="66"/>
        <v>-4570.5015684427926</v>
      </c>
      <c r="L72" s="42">
        <f>'[1]побудинковий звіт'!L72+'[2]побудинковий звіт'!L72-'[3]побудинковий звіт'!L72</f>
        <v>5332.3559912255878</v>
      </c>
      <c r="M72" s="42">
        <f>'[1]побудинковий звіт'!M72+'[2]побудинковий звіт'!M72-'[3]побудинковий звіт'!M72</f>
        <v>4908.2476608081624</v>
      </c>
      <c r="N72" s="56">
        <f t="shared" si="67"/>
        <v>-424.10833041742535</v>
      </c>
      <c r="O72" s="42">
        <f>'[1]побудинковий звіт'!O72+'[2]побудинковий звіт'!O72-'[3]побудинковий звіт'!O72</f>
        <v>17269.439999999995</v>
      </c>
      <c r="P72" s="42">
        <f>'[1]побудинковий звіт'!P72+'[2]побудинковий звіт'!P72-'[3]побудинковий звіт'!P72</f>
        <v>13574.63407231183</v>
      </c>
      <c r="Q72" s="56">
        <f t="shared" si="68"/>
        <v>-3694.805927688165</v>
      </c>
      <c r="R72" s="42">
        <f>'[1]побудинковий звіт'!R72+'[2]побудинковий звіт'!R72-'[3]побудинковий звіт'!R72</f>
        <v>3748.2</v>
      </c>
      <c r="S72" s="42">
        <f>'[1]побудинковий звіт'!S72+'[2]побудинковий звіт'!S72-'[3]побудинковий звіт'!S72</f>
        <v>2945.5684219086024</v>
      </c>
      <c r="T72" s="56">
        <f t="shared" si="69"/>
        <v>-802.63157809139739</v>
      </c>
      <c r="U72" s="42">
        <f>'[1]побудинковий звіт'!U72+'[2]побудинковий звіт'!U72-'[3]побудинковий звіт'!U72</f>
        <v>5762.4181122317714</v>
      </c>
      <c r="V72" s="42">
        <f>'[1]побудинковий звіт'!V72+'[2]побудинковий звіт'!V72-'[3]побудинковий звіт'!V72</f>
        <v>2097.024997930449</v>
      </c>
      <c r="W72" s="56">
        <f t="shared" si="70"/>
        <v>-3665.3931143013224</v>
      </c>
      <c r="X72" s="42">
        <f>'[1]побудинковий звіт'!X72+'[2]побудинковий звіт'!X72-'[3]побудинковий звіт'!X72</f>
        <v>29131.289749785927</v>
      </c>
      <c r="Y72" s="42">
        <f>'[1]побудинковий звіт'!Y72+'[2]побудинковий звіт'!Y72-'[3]побудинковий звіт'!Y72</f>
        <v>21003.799759293623</v>
      </c>
      <c r="Z72" s="56">
        <f t="shared" si="71"/>
        <v>-8127.4899904923041</v>
      </c>
      <c r="AA72" s="42">
        <f>'[1]побудинковий звіт'!AA72+'[2]побудинковий звіт'!AA72-'[3]побудинковий звіт'!AA72</f>
        <v>0</v>
      </c>
      <c r="AB72" s="42">
        <f>'[1]побудинковий звіт'!AB72+'[2]побудинковий звіт'!AB72-'[3]побудинковий звіт'!AB72</f>
        <v>0</v>
      </c>
      <c r="AC72" s="56">
        <f t="shared" si="72"/>
        <v>0</v>
      </c>
      <c r="AD72" s="42">
        <f>'[1]побудинковий звіт'!AD72+'[2]побудинковий звіт'!AD72-'[3]побудинковий звіт'!AD72</f>
        <v>48648.487060605454</v>
      </c>
      <c r="AE72" s="42">
        <f>'[1]побудинковий звіт'!AE72+'[2]побудинковий звіт'!AE72-'[3]побудинковий звіт'!AE72</f>
        <v>44839.003559611941</v>
      </c>
      <c r="AF72" s="37">
        <f t="shared" si="73"/>
        <v>-3809.4835009935123</v>
      </c>
      <c r="AG72" s="87">
        <f t="shared" si="61"/>
        <v>141195.46918527852</v>
      </c>
      <c r="AH72" s="57">
        <f t="shared" si="61"/>
        <v>116101.0551748516</v>
      </c>
      <c r="AI72" s="56">
        <f t="shared" si="74"/>
        <v>-25094.414010426917</v>
      </c>
      <c r="AJ72" s="42">
        <f>'[1]побудинковий звіт'!AJ72+'[2]побудинковий звіт'!AJ72-'[3]побудинковий звіт'!AJ72</f>
        <v>126755.6152863788</v>
      </c>
      <c r="AK72" s="42">
        <f>'[1]побудинковий звіт'!AK72+'[2]побудинковий звіт'!AK72-'[3]побудинковий звіт'!AK72</f>
        <v>125640.63607469862</v>
      </c>
      <c r="AL72" s="56">
        <f t="shared" si="75"/>
        <v>-1114.9792116801837</v>
      </c>
      <c r="AM72" s="42">
        <f>'[1]побудинковий звіт'!AM72+'[2]побудинковий звіт'!AM72-'[3]побудинковий звіт'!AM72</f>
        <v>1578.4221588709306</v>
      </c>
      <c r="AN72" s="42">
        <f>'[1]побудинковий звіт'!AN72+'[2]побудинковий звіт'!AN72-'[3]побудинковий звіт'!AN72</f>
        <v>0</v>
      </c>
      <c r="AO72" s="56">
        <f t="shared" si="76"/>
        <v>-1578.4221588709306</v>
      </c>
      <c r="AP72" s="42">
        <f>'[1]побудинковий звіт'!AP72+'[2]побудинковий звіт'!AP72-'[3]побудинковий звіт'!AP72</f>
        <v>8617.860550332216</v>
      </c>
      <c r="AQ72" s="42">
        <f>'[1]побудинковий звіт'!AQ72+'[2]побудинковий звіт'!AQ72-'[3]побудинковий звіт'!AQ72</f>
        <v>8302.1572803235704</v>
      </c>
      <c r="AR72" s="56">
        <f t="shared" si="77"/>
        <v>-315.70327000864563</v>
      </c>
      <c r="AS72" s="42">
        <f>'[1]побудинковий звіт'!AS72+'[2]побудинковий звіт'!AS72-'[3]побудинковий звіт'!AS72</f>
        <v>196267.33336371303</v>
      </c>
      <c r="AT72" s="42">
        <f>'[1]побудинковий звіт'!AT72+'[2]побудинковий звіт'!AT72-'[3]побудинковий звіт'!AT72</f>
        <v>43508.009174559666</v>
      </c>
      <c r="AU72" s="58">
        <f t="shared" si="78"/>
        <v>-152759.32418915335</v>
      </c>
      <c r="AV72" s="42">
        <f>'[1]побудинковий звіт'!AV72+'[2]побудинковий звіт'!AV72-'[3]побудинковий звіт'!AV72</f>
        <v>1035.8937732639563</v>
      </c>
      <c r="AW72" s="42">
        <f>'[1]побудинковий звіт'!AW72+'[2]побудинковий звіт'!AW72-'[3]побудинковий звіт'!AW72</f>
        <v>1814</v>
      </c>
      <c r="AX72" s="59">
        <f t="shared" si="79"/>
        <v>778.10622673604371</v>
      </c>
      <c r="AY72" s="42">
        <f>'[1]побудинковий звіт'!AY72+'[2]побудинковий звіт'!AY72-'[3]побудинковий звіт'!AY72</f>
        <v>1420.4777869412935</v>
      </c>
      <c r="AZ72" s="42">
        <f>'[1]побудинковий звіт'!AZ72+'[2]побудинковий звіт'!AZ72-'[3]побудинковий звіт'!AZ72</f>
        <v>4069</v>
      </c>
      <c r="BA72" s="37">
        <f t="shared" si="80"/>
        <v>2648.5222130587063</v>
      </c>
      <c r="BB72" s="42">
        <f>'[1]побудинковий звіт'!BB72+'[2]побудинковий звіт'!BB72-'[3]побудинковий звіт'!BB72</f>
        <v>1107.8780740234904</v>
      </c>
      <c r="BC72" s="42">
        <f>'[1]побудинковий звіт'!BC72+'[2]побудинковий звіт'!BC72-'[3]побудинковий звіт'!BC72</f>
        <v>2677</v>
      </c>
      <c r="BD72" s="59">
        <f t="shared" si="81"/>
        <v>1569.1219259765096</v>
      </c>
      <c r="BE72" s="42">
        <f>'[1]побудинковий звіт'!BE72+'[2]побудинковий звіт'!BE72-'[3]побудинковий звіт'!BE72</f>
        <v>691.97958726118429</v>
      </c>
      <c r="BF72" s="42">
        <f>'[1]побудинковий звіт'!BF72+'[2]побудинковий звіт'!BF72-'[3]побудинковий звіт'!BF72</f>
        <v>0</v>
      </c>
      <c r="BG72" s="39">
        <f t="shared" si="82"/>
        <v>-691.97958726118429</v>
      </c>
      <c r="BH72" s="42">
        <f>'[1]побудинковий звіт'!BH72+'[2]побудинковий звіт'!BH72-'[3]побудинковий звіт'!BH72</f>
        <v>1169.2516706447873</v>
      </c>
      <c r="BI72" s="42">
        <f>'[1]побудинковий звіт'!BI72+'[2]побудинковий звіт'!BI72-'[3]побудинковий звіт'!BI72</f>
        <v>0</v>
      </c>
      <c r="BJ72" s="59">
        <f t="shared" si="83"/>
        <v>-1169.2516706447873</v>
      </c>
      <c r="BK72" s="42">
        <f>'[1]побудинковий звіт'!BK72+'[2]побудинковий звіт'!BK72-'[3]побудинковий звіт'!BK72</f>
        <v>1412.354089855826</v>
      </c>
      <c r="BL72" s="42">
        <f>'[1]побудинковий звіт'!BL72+'[2]побудинковий звіт'!BL72-'[3]побудинковий звіт'!BL72</f>
        <v>2374</v>
      </c>
      <c r="BM72" s="39">
        <f t="shared" si="84"/>
        <v>961.64591014417397</v>
      </c>
      <c r="BN72" s="42">
        <f>'[1]побудинковий звіт'!BN72+'[2]побудинковий звіт'!BN72-'[3]побудинковий звіт'!BN72</f>
        <v>1373.0659063130572</v>
      </c>
      <c r="BO72" s="42">
        <f>'[1]побудинковий звіт'!BO72+'[2]побудинковий звіт'!BO72-'[3]побудинковий звіт'!BO72</f>
        <v>0</v>
      </c>
      <c r="BP72" s="59">
        <f t="shared" si="85"/>
        <v>-1373.0659063130572</v>
      </c>
      <c r="BQ72" s="87">
        <f t="shared" si="62"/>
        <v>8210.9008883035949</v>
      </c>
      <c r="BR72" s="43">
        <f t="shared" si="63"/>
        <v>10934</v>
      </c>
      <c r="BS72" s="59">
        <f t="shared" si="86"/>
        <v>2723.0991116964051</v>
      </c>
      <c r="BT72" s="42">
        <f>'[1]побудинковий звіт'!BT72+'[2]побудинковий звіт'!BT72-'[3]побудинковий звіт'!BT72</f>
        <v>176008.01728170307</v>
      </c>
      <c r="BU72" s="42">
        <f>'[1]побудинковий звіт'!BU72+'[2]побудинковий звіт'!BU72-'[3]побудинковий звіт'!BU72</f>
        <v>205027.66645264879</v>
      </c>
      <c r="BV72" s="56">
        <f t="shared" si="87"/>
        <v>29019.649170945719</v>
      </c>
      <c r="BW72" s="42">
        <f>'[1]побудинковий звіт'!BW72+'[2]побудинковий звіт'!BW72-'[3]побудинковий звіт'!BW72</f>
        <v>103874.82388287078</v>
      </c>
      <c r="BX72" s="42">
        <f>'[1]побудинковий звіт'!BX72+'[2]побудинковий звіт'!BX72-'[3]побудинковий звіт'!BX72</f>
        <v>116524.78197316595</v>
      </c>
      <c r="BY72" s="56">
        <f t="shared" si="88"/>
        <v>12649.958090295171</v>
      </c>
      <c r="BZ72" s="42">
        <f>'[1]побудинковий звіт'!BZ72+'[2]побудинковий звіт'!BZ72-'[3]побудинковий звіт'!BZ72</f>
        <v>19475.856783226627</v>
      </c>
      <c r="CA72" s="42">
        <f>'[1]побудинковий звіт'!CA72+'[2]побудинковий звіт'!CA72-'[3]побудинковий звіт'!CA72</f>
        <v>49695.773564543713</v>
      </c>
      <c r="CB72" s="56">
        <f t="shared" si="89"/>
        <v>30219.916781317086</v>
      </c>
      <c r="CC72" s="42">
        <f>'[1]побудинковий звіт'!CC72+'[2]побудинковий звіт'!CC72-'[3]побудинковий звіт'!CC72</f>
        <v>3169.5722348623535</v>
      </c>
      <c r="CD72" s="42">
        <f>'[1]побудинковий звіт'!CD72+'[2]побудинковий звіт'!CD72-'[3]побудинковий звіт'!CD72</f>
        <v>3141.6949509537344</v>
      </c>
      <c r="CE72" s="56">
        <f t="shared" si="90"/>
        <v>-27.87728390861912</v>
      </c>
      <c r="CF72" s="42">
        <f>'[1]побудинковий звіт'!CF72+'[2]побудинковий звіт'!CF72-'[3]побудинковий звіт'!CF72</f>
        <v>390.19355164025183</v>
      </c>
      <c r="CG72" s="42">
        <f>'[1]побудинковий звіт'!CG72+'[2]побудинковий звіт'!CG72-'[3]побудинковий звіт'!CG72</f>
        <v>0</v>
      </c>
      <c r="CH72" s="56">
        <f t="shared" si="91"/>
        <v>-390.19355164025183</v>
      </c>
      <c r="CI72" s="42">
        <f>'[1]побудинковий звіт'!CI72+'[2]побудинковий звіт'!CI72-'[3]побудинковий звіт'!CI72</f>
        <v>30397.260887760021</v>
      </c>
      <c r="CJ72" s="42">
        <f>'[1]побудинковий звіт'!CJ72+'[2]побудинковий звіт'!CJ72-'[3]побудинковий звіт'!CJ72</f>
        <v>28553.686465947922</v>
      </c>
      <c r="CK72" s="56">
        <f t="shared" si="92"/>
        <v>-1843.5744218120999</v>
      </c>
      <c r="CL72" s="42">
        <f>'[1]побудинковий звіт'!CL72+'[2]побудинковий звіт'!CL72-'[3]побудинковий звіт'!CL72</f>
        <v>16115.789177562427</v>
      </c>
      <c r="CM72" s="42">
        <f>'[1]побудинковий звіт'!CM72+'[2]побудинковий звіт'!CM72-'[3]побудинковий звіт'!CM72</f>
        <v>28776.143745567046</v>
      </c>
      <c r="CN72" s="56">
        <f t="shared" si="93"/>
        <v>12660.354568004619</v>
      </c>
      <c r="CO72" s="42">
        <f t="shared" si="64"/>
        <v>46513.050065322444</v>
      </c>
      <c r="CP72" s="43">
        <f t="shared" si="94"/>
        <v>57329.830211514971</v>
      </c>
      <c r="CQ72" s="56">
        <f t="shared" si="95"/>
        <v>10816.780146192526</v>
      </c>
      <c r="CR72" s="78">
        <f t="shared" si="65"/>
        <v>832057.11523250258</v>
      </c>
      <c r="CS72" s="5">
        <f t="shared" si="65"/>
        <v>736205.60485726048</v>
      </c>
      <c r="CT72" s="56">
        <f t="shared" si="96"/>
        <v>-95851.510375242098</v>
      </c>
      <c r="CU72" s="87">
        <f t="shared" si="97"/>
        <v>998468.538279003</v>
      </c>
      <c r="CV72" s="70">
        <f t="shared" si="98"/>
        <v>883446.72582871257</v>
      </c>
      <c r="CW72" s="37">
        <f t="shared" si="99"/>
        <v>-115021.81245029042</v>
      </c>
      <c r="CX72" s="42">
        <f>'[1]побудинковий звіт'!CX72+'[2]побудинковий звіт'!CX72-'[3]побудинковий звіт'!CX72</f>
        <v>20127.641720996966</v>
      </c>
      <c r="CY72" s="42">
        <f>'[1]побудинковий звіт'!CY72+'[2]побудинковий звіт'!CY72-'[3]побудинковий звіт'!CY72</f>
        <v>135149.4541712873</v>
      </c>
      <c r="CZ72" s="56">
        <f t="shared" si="100"/>
        <v>115021.81245029034</v>
      </c>
      <c r="DA72" s="264">
        <f>'[4]побудинковий звіт'!DA72</f>
        <v>-22971.220460311015</v>
      </c>
      <c r="DB72" s="2">
        <v>1</v>
      </c>
      <c r="DC72" s="717">
        <f>'[4]побудинковий звіт'!DC72</f>
        <v>258229.64</v>
      </c>
      <c r="DD72" s="717">
        <f>'[4]побудинковий звіт'!DD72</f>
        <v>0</v>
      </c>
      <c r="DE72" s="717">
        <f>'[4]побудинковий звіт'!DE72</f>
        <v>173325.37</v>
      </c>
      <c r="DF72" s="717">
        <f>'[4]побудинковий звіт'!DF72</f>
        <v>0</v>
      </c>
      <c r="DG72" s="787">
        <v>90189.119465993717</v>
      </c>
      <c r="DH72" s="761">
        <f t="shared" si="39"/>
        <v>12223154.16</v>
      </c>
      <c r="DI72" s="784"/>
      <c r="DJ72" s="5"/>
      <c r="DK72" s="317">
        <f>VLOOKUP($A72,ціни!$A$4:$G$401,5)</f>
        <v>6.1644153124520153</v>
      </c>
      <c r="DL72" s="317">
        <f>VLOOKUP($A72,ціни!$A$4:$G$401,6)</f>
        <v>7.62598673902089</v>
      </c>
      <c r="DM72" s="317">
        <f>VLOOKUP($A72,ціни!$A$4:$G$401,7)</f>
        <v>5.2331751037908516</v>
      </c>
      <c r="DN72" s="30">
        <f>DK72*G72+(F72-G72)*DL72</f>
        <v>9787.0294166742424</v>
      </c>
      <c r="DO72" s="30">
        <f>DM72*H72</f>
        <v>0</v>
      </c>
      <c r="DP72" s="316">
        <f t="shared" si="101"/>
        <v>9787.0294166742424</v>
      </c>
      <c r="DQ72" s="104"/>
      <c r="DR72" s="30">
        <f>VLOOKUP(A72,'ДЗ нас '!$A$1:$C$359,2)</f>
        <v>84891.31</v>
      </c>
      <c r="DS72" s="748"/>
      <c r="DT72" s="30">
        <f t="shared" si="102"/>
        <v>84891.31</v>
      </c>
      <c r="DU72" s="257">
        <f>VLOOKUP(A72,'новий кошторис с 01.06'!$A$4:$AI$399,35)*1.2</f>
        <v>85202.648599808264</v>
      </c>
      <c r="DV72" s="30">
        <f t="shared" si="103"/>
        <v>-311.33859980826674</v>
      </c>
      <c r="DW72" s="930">
        <f>'[5]побудинковий звіт'!DW72+'[6]побудинковий звіт'!DW72</f>
        <v>326.66000000000003</v>
      </c>
      <c r="DY72" s="5">
        <f t="shared" ref="DY72:DY132" si="104">(AS72+BQ72)*1.2</f>
        <v>245373.88110241992</v>
      </c>
      <c r="DZ72" s="5">
        <f t="shared" ref="DZ72:DZ132" si="105">(AT72+BR72)*1.2</f>
        <v>65330.411009471594</v>
      </c>
      <c r="EA72" s="752">
        <f t="shared" si="43"/>
        <v>173325.37</v>
      </c>
      <c r="EC72" s="592">
        <f t="shared" ref="EC72:EC132" si="106">AS72*12</f>
        <v>2355208.0003645564</v>
      </c>
      <c r="EE72" s="758">
        <v>42030</v>
      </c>
      <c r="EF72" s="738">
        <f t="shared" ref="EF72:EF132" si="107">EE72+DG72</f>
        <v>132219.11946599372</v>
      </c>
      <c r="EH72" s="813">
        <v>88239.159654294868</v>
      </c>
    </row>
    <row r="73" spans="1:138" x14ac:dyDescent="0.3">
      <c r="A73" s="328">
        <v>150000534</v>
      </c>
      <c r="B73" s="44" t="s">
        <v>522</v>
      </c>
      <c r="C73" s="45" t="s">
        <v>254</v>
      </c>
      <c r="D73" s="45" t="s">
        <v>254</v>
      </c>
      <c r="E73" s="40">
        <f t="shared" ref="E73:E136" si="108">F73+H73</f>
        <v>783.2</v>
      </c>
      <c r="F73" s="490">
        <v>783.2</v>
      </c>
      <c r="G73" s="30"/>
      <c r="H73" s="30">
        <v>0</v>
      </c>
      <c r="I73" s="42">
        <f>'[1]побудинковий звіт'!I73+'[2]побудинковий звіт'!I73-'[3]побудинковий звіт'!I73</f>
        <v>8066.9515399561224</v>
      </c>
      <c r="J73" s="42">
        <f>'[1]побудинковий звіт'!J73+'[2]побудинковий звіт'!J73-'[3]побудинковий звіт'!J73</f>
        <v>6831.7953227673843</v>
      </c>
      <c r="K73" s="56">
        <f t="shared" si="66"/>
        <v>-1235.1562171887381</v>
      </c>
      <c r="L73" s="42">
        <f>'[1]побудинковий звіт'!L73+'[2]побудинковий звіт'!L73-'[3]побудинковий звіт'!L73</f>
        <v>1717.4024767529841</v>
      </c>
      <c r="M73" s="42">
        <f>'[1]побудинковий звіт'!M73+'[2]побудинковий звіт'!M73-'[3]побудинковий звіт'!M73</f>
        <v>1654.6027412212552</v>
      </c>
      <c r="N73" s="56">
        <f t="shared" si="67"/>
        <v>-62.799735531728857</v>
      </c>
      <c r="O73" s="42">
        <f>'[1]побудинковий звіт'!O73+'[2]побудинковий звіт'!O73-'[3]побудинковий звіт'!O73</f>
        <v>3839.76</v>
      </c>
      <c r="P73" s="42">
        <f>'[1]побудинковий звіт'!P73+'[2]побудинковий звіт'!P73-'[3]побудинковий звіт'!P73</f>
        <v>3018.0302484946246</v>
      </c>
      <c r="Q73" s="56">
        <f t="shared" si="68"/>
        <v>-821.72975150537559</v>
      </c>
      <c r="R73" s="42">
        <f>'[1]побудинковий звіт'!R73+'[2]побудинковий звіт'!R73-'[3]побудинковий звіт'!R73</f>
        <v>813.4799999999999</v>
      </c>
      <c r="S73" s="42">
        <f>'[1]побудинковий звіт'!S73+'[2]побудинковий звіт'!S73-'[3]побудинковий звіт'!S73</f>
        <v>639.46994236559146</v>
      </c>
      <c r="T73" s="56">
        <f t="shared" si="69"/>
        <v>-174.01005763440844</v>
      </c>
      <c r="U73" s="42">
        <f>'[1]побудинковий звіт'!U73+'[2]побудинковий звіт'!U73-'[3]побудинковий звіт'!U73</f>
        <v>531.87068102458227</v>
      </c>
      <c r="V73" s="42">
        <f>'[1]побудинковий звіт'!V73+'[2]побудинковий звіт'!V73-'[3]побудинковий звіт'!V73</f>
        <v>278.66829634421953</v>
      </c>
      <c r="W73" s="56">
        <f t="shared" si="70"/>
        <v>-253.20238468036274</v>
      </c>
      <c r="X73" s="42">
        <f>'[1]побудинковий звіт'!X73+'[2]побудинковий звіт'!X73-'[3]побудинковий звіт'!X73</f>
        <v>5374.1827656018031</v>
      </c>
      <c r="Y73" s="42">
        <f>'[1]побудинковий звіт'!Y73+'[2]побудинковий звіт'!Y73-'[3]побудинковий звіт'!Y73</f>
        <v>3856.9059240443576</v>
      </c>
      <c r="Z73" s="56">
        <f t="shared" si="71"/>
        <v>-1517.2768415574456</v>
      </c>
      <c r="AA73" s="42">
        <f>'[1]побудинковий звіт'!AA73+'[2]побудинковий звіт'!AA73-'[3]побудинковий звіт'!AA73</f>
        <v>0</v>
      </c>
      <c r="AB73" s="42">
        <f>'[1]побудинковий звіт'!AB73+'[2]побудинковий звіт'!AB73-'[3]побудинковий звіт'!AB73</f>
        <v>0</v>
      </c>
      <c r="AC73" s="56">
        <f t="shared" si="72"/>
        <v>0</v>
      </c>
      <c r="AD73" s="42">
        <f>'[1]побудинковий звіт'!AD73+'[2]побудинковий звіт'!AD73-'[3]побудинковий звіт'!AD73</f>
        <v>10610.048366492469</v>
      </c>
      <c r="AE73" s="42">
        <f>'[1]побудинковий звіт'!AE73+'[2]побудинковий звіт'!AE73-'[3]побудинковий звіт'!AE73</f>
        <v>9779.1904056812673</v>
      </c>
      <c r="AF73" s="37">
        <f t="shared" si="73"/>
        <v>-830.85796081120134</v>
      </c>
      <c r="AG73" s="87">
        <f t="shared" si="61"/>
        <v>30953.695829827961</v>
      </c>
      <c r="AH73" s="57">
        <f t="shared" si="61"/>
        <v>26058.662880918699</v>
      </c>
      <c r="AI73" s="56">
        <f t="shared" si="74"/>
        <v>-4895.0329489092619</v>
      </c>
      <c r="AJ73" s="42">
        <f>'[1]побудинковий звіт'!AJ73+'[2]побудинковий звіт'!AJ73-'[3]побудинковий звіт'!AJ73</f>
        <v>0</v>
      </c>
      <c r="AK73" s="42">
        <f>'[1]побудинковий звіт'!AK73+'[2]побудинковий звіт'!AK73-'[3]побудинковий звіт'!AK73</f>
        <v>0</v>
      </c>
      <c r="AL73" s="56">
        <f t="shared" si="75"/>
        <v>0</v>
      </c>
      <c r="AM73" s="42">
        <f>'[1]побудинковий звіт'!AM73+'[2]побудинковий звіт'!AM73-'[3]побудинковий звіт'!AM73</f>
        <v>0</v>
      </c>
      <c r="AN73" s="42">
        <f>'[1]побудинковий звіт'!AN73+'[2]побудинковий звіт'!AN73-'[3]побудинковий звіт'!AN73</f>
        <v>0</v>
      </c>
      <c r="AO73" s="56">
        <f t="shared" si="76"/>
        <v>0</v>
      </c>
      <c r="AP73" s="42">
        <f>'[1]побудинковий звіт'!AP73+'[2]побудинковий звіт'!AP73-'[3]побудинковий звіт'!AP73</f>
        <v>2130.7896965107125</v>
      </c>
      <c r="AQ73" s="42">
        <f>'[1]побудинковий звіт'!AQ73+'[2]побудинковий звіт'!AQ73-'[3]побудинковий звіт'!AQ73</f>
        <v>1998.6897037102297</v>
      </c>
      <c r="AR73" s="56">
        <f t="shared" si="77"/>
        <v>-132.09999280048282</v>
      </c>
      <c r="AS73" s="42">
        <f>'[1]побудинковий звіт'!AS73+'[2]побудинковий звіт'!AS73-'[3]побудинковий звіт'!AS73</f>
        <v>44386.96263901671</v>
      </c>
      <c r="AT73" s="42">
        <f>'[1]побудинковий звіт'!AT73+'[2]побудинковий звіт'!AT73-'[3]побудинковий звіт'!AT73</f>
        <v>116812</v>
      </c>
      <c r="AU73" s="58">
        <f t="shared" si="78"/>
        <v>72425.03736098329</v>
      </c>
      <c r="AV73" s="42">
        <f>'[1]побудинковий звіт'!AV73+'[2]побудинковий звіт'!AV73-'[3]побудинковий звіт'!AV73</f>
        <v>1543.0954202121861</v>
      </c>
      <c r="AW73" s="42">
        <f>'[1]побудинковий звіт'!AW73+'[2]побудинковий звіт'!AW73-'[3]побудинковий звіт'!AW73</f>
        <v>4857</v>
      </c>
      <c r="AX73" s="59">
        <f t="shared" si="79"/>
        <v>3313.9045797878139</v>
      </c>
      <c r="AY73" s="42">
        <f>'[1]побудинковий звіт'!AY73+'[2]побудинковий звіт'!AY73-'[3]побудинковий звіт'!AY73</f>
        <v>2047.7847604631097</v>
      </c>
      <c r="AZ73" s="42">
        <f>'[1]побудинковий звіт'!AZ73+'[2]побудинковий звіт'!AZ73-'[3]побудинковий звіт'!AZ73</f>
        <v>2157</v>
      </c>
      <c r="BA73" s="37">
        <f t="shared" si="80"/>
        <v>109.21523953689029</v>
      </c>
      <c r="BB73" s="42">
        <f>'[1]побудинковий звіт'!BB73+'[2]побудинковий звіт'!BB73-'[3]побудинковий звіт'!BB73</f>
        <v>1429.2670450907278</v>
      </c>
      <c r="BC73" s="42">
        <f>'[1]побудинковий звіт'!BC73+'[2]побудинковий звіт'!BC73-'[3]побудинковий звіт'!BC73</f>
        <v>0</v>
      </c>
      <c r="BD73" s="59">
        <f t="shared" si="81"/>
        <v>-1429.2670450907278</v>
      </c>
      <c r="BE73" s="42">
        <f>'[1]побудинковий звіт'!BE73+'[2]побудинковий звіт'!BE73-'[3]побудинковий звіт'!BE73</f>
        <v>706.30561336435608</v>
      </c>
      <c r="BF73" s="42">
        <f>'[1]побудинковий звіт'!BF73+'[2]побудинковий звіт'!BF73-'[3]побудинковий звіт'!BF73</f>
        <v>0</v>
      </c>
      <c r="BG73" s="39">
        <f t="shared" si="82"/>
        <v>-706.30561336435608</v>
      </c>
      <c r="BH73" s="42">
        <f>'[1]побудинковий звіт'!BH73+'[2]побудинковий звіт'!BH73-'[3]побудинковий звіт'!BH73</f>
        <v>539.76213107435467</v>
      </c>
      <c r="BI73" s="42">
        <f>'[1]побудинковий звіт'!BI73+'[2]побудинковий звіт'!BI73-'[3]побудинковий звіт'!BI73</f>
        <v>3148</v>
      </c>
      <c r="BJ73" s="59">
        <f t="shared" si="83"/>
        <v>2608.2378689256452</v>
      </c>
      <c r="BK73" s="42">
        <f>'[1]побудинковий звіт'!BK73+'[2]побудинковий звіт'!BK73-'[3]побудинковий звіт'!BK73</f>
        <v>735.41896384928611</v>
      </c>
      <c r="BL73" s="42">
        <f>'[1]побудинковий звіт'!BL73+'[2]побудинковий звіт'!BL73-'[3]побудинковий звіт'!BL73</f>
        <v>3395</v>
      </c>
      <c r="BM73" s="39">
        <f t="shared" si="84"/>
        <v>2659.5810361507138</v>
      </c>
      <c r="BN73" s="42">
        <f>'[1]побудинковий звіт'!BN73+'[2]побудинковий звіт'!BN73-'[3]побудинковий звіт'!BN73</f>
        <v>733.74444862908138</v>
      </c>
      <c r="BO73" s="42">
        <f>'[1]побудинковий звіт'!BO73+'[2]побудинковий звіт'!BO73-'[3]побудинковий звіт'!BO73</f>
        <v>3815</v>
      </c>
      <c r="BP73" s="59">
        <f t="shared" si="85"/>
        <v>3081.2555513709185</v>
      </c>
      <c r="BQ73" s="87">
        <f t="shared" si="62"/>
        <v>7735.3783826831013</v>
      </c>
      <c r="BR73" s="43">
        <f t="shared" si="63"/>
        <v>17372</v>
      </c>
      <c r="BS73" s="59">
        <f t="shared" si="86"/>
        <v>9636.6216173168978</v>
      </c>
      <c r="BT73" s="42">
        <f>'[1]побудинковий звіт'!BT73+'[2]побудинковий звіт'!BT73-'[3]побудинковий звіт'!BT73</f>
        <v>43422.853905404212</v>
      </c>
      <c r="BU73" s="42">
        <f>'[1]побудинковий звіт'!BU73+'[2]побудинковий звіт'!BU73-'[3]побудинковий звіт'!BU73</f>
        <v>42651.090910055958</v>
      </c>
      <c r="BV73" s="56">
        <f t="shared" si="87"/>
        <v>-771.76299534825375</v>
      </c>
      <c r="BW73" s="42">
        <f>'[1]побудинковий звіт'!BW73+'[2]побудинковий звіт'!BW73-'[3]побудинковий звіт'!BW73</f>
        <v>20813.408787078744</v>
      </c>
      <c r="BX73" s="42">
        <f>'[1]побудинковий звіт'!BX73+'[2]побудинковий звіт'!BX73-'[3]побудинковий звіт'!BX73</f>
        <v>23344.685647314865</v>
      </c>
      <c r="BY73" s="56">
        <f t="shared" si="88"/>
        <v>2531.2768602361211</v>
      </c>
      <c r="BZ73" s="42">
        <f>'[1]побудинковий звіт'!BZ73+'[2]побудинковий звіт'!BZ73-'[3]побудинковий звіт'!BZ73</f>
        <v>1765.8110150125478</v>
      </c>
      <c r="CA73" s="42">
        <f>'[1]побудинковий звіт'!CA73+'[2]побудинковий звіт'!CA73-'[3]побудинковий звіт'!CA73</f>
        <v>11350.40630490966</v>
      </c>
      <c r="CB73" s="56">
        <f t="shared" si="89"/>
        <v>9584.5952898971118</v>
      </c>
      <c r="CC73" s="42">
        <f>'[1]побудинковий звіт'!CC73+'[2]побудинковий звіт'!CC73-'[3]побудинковий звіт'!CC73</f>
        <v>1589.1981055086576</v>
      </c>
      <c r="CD73" s="42">
        <f>'[1]побудинковий звіт'!CD73+'[2]побудинковий звіт'!CD73-'[3]побудинковий звіт'!CD73</f>
        <v>1575.2206588718473</v>
      </c>
      <c r="CE73" s="56">
        <f t="shared" si="90"/>
        <v>-13.977446636810328</v>
      </c>
      <c r="CF73" s="42">
        <f>'[1]побудинковий звіт'!CF73+'[2]побудинковий звіт'!CF73-'[3]побудинковий звіт'!CF73</f>
        <v>195.63991829178548</v>
      </c>
      <c r="CG73" s="42">
        <f>'[1]побудинковий звіт'!CG73+'[2]побудинковий звіт'!CG73-'[3]побудинковий звіт'!CG73</f>
        <v>1643.8904432898362</v>
      </c>
      <c r="CH73" s="56">
        <f t="shared" si="91"/>
        <v>1448.2505249980507</v>
      </c>
      <c r="CI73" s="42">
        <f>'[1]побудинковий звіт'!CI73+'[2]побудинковий звіт'!CI73-'[3]побудинковий звіт'!CI73</f>
        <v>4885.2740712471468</v>
      </c>
      <c r="CJ73" s="42">
        <f>'[1]побудинковий звіт'!CJ73+'[2]побудинковий звіт'!CJ73-'[3]побудинковий звіт'!CJ73</f>
        <v>2765.447737911597</v>
      </c>
      <c r="CK73" s="56">
        <f t="shared" si="92"/>
        <v>-2119.8263333355499</v>
      </c>
      <c r="CL73" s="42">
        <f>'[1]побудинковий звіт'!CL73+'[2]побудинковий звіт'!CL73-'[3]побудинковий звіт'!CL73</f>
        <v>0</v>
      </c>
      <c r="CM73" s="42">
        <f>'[1]побудинковий звіт'!CM73+'[2]побудинковий звіт'!CM73-'[3]побудинковий звіт'!CM73</f>
        <v>0</v>
      </c>
      <c r="CN73" s="56">
        <f t="shared" si="93"/>
        <v>0</v>
      </c>
      <c r="CO73" s="42">
        <f t="shared" si="64"/>
        <v>4885.2740712471468</v>
      </c>
      <c r="CP73" s="43">
        <f t="shared" si="94"/>
        <v>2765.447737911597</v>
      </c>
      <c r="CQ73" s="56">
        <f t="shared" si="95"/>
        <v>-2119.8263333355499</v>
      </c>
      <c r="CR73" s="78">
        <f t="shared" si="65"/>
        <v>157879.01235058162</v>
      </c>
      <c r="CS73" s="5">
        <f t="shared" si="65"/>
        <v>245572.0942869827</v>
      </c>
      <c r="CT73" s="56">
        <f t="shared" si="96"/>
        <v>87693.081936401082</v>
      </c>
      <c r="CU73" s="87">
        <f t="shared" si="97"/>
        <v>189454.81482069794</v>
      </c>
      <c r="CV73" s="70">
        <f t="shared" si="98"/>
        <v>294686.51314437925</v>
      </c>
      <c r="CW73" s="37">
        <f t="shared" si="99"/>
        <v>105231.69832368131</v>
      </c>
      <c r="CX73" s="42">
        <f>'[1]побудинковий звіт'!CX73+'[2]побудинковий звіт'!CX73-'[3]побудинковий звіт'!CX73</f>
        <v>3782.9851793021007</v>
      </c>
      <c r="CY73" s="42">
        <f>'[1]побудинковий звіт'!CY73+'[2]побудинковий звіт'!CY73-'[3]побудинковий звіт'!CY73</f>
        <v>-101448.71314437922</v>
      </c>
      <c r="CZ73" s="56">
        <f t="shared" si="100"/>
        <v>-105231.69832368131</v>
      </c>
      <c r="DA73" s="264">
        <f>'[4]побудинковий звіт'!DA73</f>
        <v>94826.859639184462</v>
      </c>
      <c r="DB73" s="2">
        <v>1</v>
      </c>
      <c r="DC73" s="717">
        <f>'[4]побудинковий звіт'!DC73</f>
        <v>20123.439999999999</v>
      </c>
      <c r="DD73" s="717">
        <f>'[4]побудинковий звіт'!DD73</f>
        <v>0</v>
      </c>
      <c r="DE73" s="717">
        <f>'[4]побудинковий звіт'!DE73</f>
        <v>4020.2899999999991</v>
      </c>
      <c r="DF73" s="717">
        <f>'[4]побудинковий звіт'!DF73</f>
        <v>0</v>
      </c>
      <c r="DG73" s="787">
        <v>3518.6642652638257</v>
      </c>
      <c r="DH73" s="761">
        <f t="shared" ref="DH73:DH133" si="109">(CU73+CX73)*12</f>
        <v>2318853.6000000006</v>
      </c>
      <c r="DI73" s="784"/>
      <c r="DJ73" s="5"/>
      <c r="DK73" s="317">
        <f>VLOOKUP($A73,ціни!$A$4:$G$401,5)</f>
        <v>6.4897474247438218</v>
      </c>
      <c r="DL73" s="317"/>
      <c r="DM73" s="317">
        <f>VLOOKUP($A73,ціни!$A$4:$G$401,7)</f>
        <v>5.6341950364621942</v>
      </c>
      <c r="DN73" s="30">
        <f>F73*DK73</f>
        <v>5082.7701830593614</v>
      </c>
      <c r="DO73" s="30">
        <f>H73*DM73</f>
        <v>0</v>
      </c>
      <c r="DP73" s="316">
        <f t="shared" si="101"/>
        <v>5082.7701830593614</v>
      </c>
      <c r="DQ73" s="104"/>
      <c r="DR73" s="30">
        <f>VLOOKUP(A73,'ДЗ нас '!$A$1:$C$359,2)</f>
        <v>16103.15</v>
      </c>
      <c r="DS73" s="748"/>
      <c r="DT73" s="30">
        <f t="shared" si="102"/>
        <v>16103.15</v>
      </c>
      <c r="DU73" s="257">
        <f>VLOOKUP(A73,'новий кошторис с 01.06'!$A$4:$AI$399,35)*1.2</f>
        <v>16166.810864699553</v>
      </c>
      <c r="DV73" s="30">
        <f t="shared" si="103"/>
        <v>-63.660864699553713</v>
      </c>
      <c r="DW73" s="930">
        <f>'[5]побудинковий звіт'!DW73+'[6]побудинковий звіт'!DW73</f>
        <v>236</v>
      </c>
      <c r="DY73" s="5">
        <f t="shared" si="104"/>
        <v>62546.809226039768</v>
      </c>
      <c r="DZ73" s="5">
        <f t="shared" si="105"/>
        <v>161020.79999999999</v>
      </c>
      <c r="EA73" s="752">
        <f t="shared" ref="EA73:EA133" si="110">DE73+DF73</f>
        <v>4020.2899999999991</v>
      </c>
      <c r="EC73" s="592">
        <f t="shared" si="106"/>
        <v>532643.55166820053</v>
      </c>
      <c r="EE73" s="758">
        <v>-35108</v>
      </c>
      <c r="EF73" s="738">
        <f t="shared" si="107"/>
        <v>-31589.335734736174</v>
      </c>
      <c r="EH73" s="813">
        <v>-8748.278023400635</v>
      </c>
    </row>
    <row r="74" spans="1:138" x14ac:dyDescent="0.3">
      <c r="A74" s="328">
        <v>150000535</v>
      </c>
      <c r="B74" s="44" t="s">
        <v>523</v>
      </c>
      <c r="C74" s="45" t="s">
        <v>350</v>
      </c>
      <c r="D74" s="45" t="s">
        <v>350</v>
      </c>
      <c r="E74" s="40">
        <f t="shared" si="108"/>
        <v>2730.7</v>
      </c>
      <c r="F74" s="490">
        <v>2635.5</v>
      </c>
      <c r="G74" s="30">
        <v>1267.95</v>
      </c>
      <c r="H74" s="30">
        <v>95.2</v>
      </c>
      <c r="I74" s="42">
        <f>'[1]побудинковий звіт'!I74+'[2]побудинковий звіт'!I74-'[3]побудинковий звіт'!I74</f>
        <v>31418.517009439453</v>
      </c>
      <c r="J74" s="42">
        <f>'[1]побудинковий звіт'!J74+'[2]побудинковий звіт'!J74-'[3]побудинковий звіт'!J74</f>
        <v>26835.394721381788</v>
      </c>
      <c r="K74" s="56">
        <f t="shared" si="66"/>
        <v>-4583.1222880576643</v>
      </c>
      <c r="L74" s="42">
        <f>'[1]побудинковий звіт'!L74+'[2]побудинковий звіт'!L74-'[3]побудинковий звіт'!L74</f>
        <v>5332.3559912255878</v>
      </c>
      <c r="M74" s="42">
        <f>'[1]побудинковий звіт'!M74+'[2]побудинковий звіт'!M74-'[3]побудинковий звіт'!M74</f>
        <v>4974.3255196346381</v>
      </c>
      <c r="N74" s="56">
        <f t="shared" si="67"/>
        <v>-358.03047159094967</v>
      </c>
      <c r="O74" s="42">
        <f>'[1]побудинковий звіт'!O74+'[2]побудинковий звіт'!O74-'[3]побудинковий звіт'!O74</f>
        <v>16612.679999999997</v>
      </c>
      <c r="P74" s="42">
        <f>'[1]побудинковий звіт'!P74+'[2]побудинковий звіт'!P74-'[3]побудинковий звіт'!P74</f>
        <v>13057.646443548389</v>
      </c>
      <c r="Q74" s="56">
        <f t="shared" si="68"/>
        <v>-3555.0335564516081</v>
      </c>
      <c r="R74" s="42">
        <f>'[1]побудинковий звіт'!R74+'[2]побудинковий звіт'!R74-'[3]побудинковий звіт'!R74</f>
        <v>3758.04</v>
      </c>
      <c r="S74" s="42">
        <f>'[1]побудинковий звіт'!S74+'[2]побудинковий звіт'!S74-'[3]побудинковий звіт'!S74</f>
        <v>2953.8435118279576</v>
      </c>
      <c r="T74" s="56">
        <f t="shared" si="69"/>
        <v>-804.19648817204234</v>
      </c>
      <c r="U74" s="42">
        <f>'[1]побудинковий звіт'!U74+'[2]побудинковий звіт'!U74-'[3]побудинковий звіт'!U74</f>
        <v>5762.4181122317714</v>
      </c>
      <c r="V74" s="42">
        <f>'[1]побудинковий звіт'!V74+'[2]побудинковий звіт'!V74-'[3]побудинковий звіт'!V74</f>
        <v>2120.5146467287595</v>
      </c>
      <c r="W74" s="56">
        <f t="shared" si="70"/>
        <v>-3641.9034655030118</v>
      </c>
      <c r="X74" s="42">
        <f>'[1]побудинковий звіт'!X74+'[2]побудинковий звіт'!X74-'[3]побудинковий звіт'!X74</f>
        <v>29131.289749785927</v>
      </c>
      <c r="Y74" s="42">
        <f>'[1]побудинковий звіт'!Y74+'[2]побудинковий звіт'!Y74-'[3]побудинковий звіт'!Y74</f>
        <v>24259.428984861275</v>
      </c>
      <c r="Z74" s="56">
        <f t="shared" si="71"/>
        <v>-4871.8607649246514</v>
      </c>
      <c r="AA74" s="42">
        <f>'[1]побудинковий звіт'!AA74+'[2]побудинковий звіт'!AA74-'[3]побудинковий звіт'!AA74</f>
        <v>0</v>
      </c>
      <c r="AB74" s="42">
        <f>'[1]побудинковий звіт'!AB74+'[2]побудинковий звіт'!AB74-'[3]побудинковий звіт'!AB74</f>
        <v>0</v>
      </c>
      <c r="AC74" s="56">
        <f t="shared" si="72"/>
        <v>0</v>
      </c>
      <c r="AD74" s="42">
        <f>'[1]побудинковий звіт'!AD74+'[2]побудинковий звіт'!AD74-'[3]побудинковий звіт'!AD74</f>
        <v>48985.850168575256</v>
      </c>
      <c r="AE74" s="42">
        <f>'[1]побудинковий звіт'!AE74+'[2]побудинковий звіт'!AE74-'[3]побудинковий звіт'!AE74</f>
        <v>45158.654969300071</v>
      </c>
      <c r="AF74" s="37">
        <f t="shared" si="73"/>
        <v>-3827.1951992751856</v>
      </c>
      <c r="AG74" s="87">
        <f t="shared" si="61"/>
        <v>141001.15103125799</v>
      </c>
      <c r="AH74" s="57">
        <f t="shared" si="61"/>
        <v>119359.80879728288</v>
      </c>
      <c r="AI74" s="56">
        <f t="shared" si="74"/>
        <v>-21641.342233975112</v>
      </c>
      <c r="AJ74" s="42">
        <f>'[1]побудинковий звіт'!AJ74+'[2]побудинковий звіт'!AJ74-'[3]побудинковий звіт'!AJ74</f>
        <v>143450.57817156689</v>
      </c>
      <c r="AK74" s="42">
        <f>'[1]побудинковий звіт'!AK74+'[2]побудинковий звіт'!AK74-'[3]побудинковий звіт'!AK74</f>
        <v>142188.62556790185</v>
      </c>
      <c r="AL74" s="56">
        <f t="shared" si="75"/>
        <v>-1261.952603665035</v>
      </c>
      <c r="AM74" s="42">
        <f>'[1]побудинковий звіт'!AM74+'[2]побудинковий звіт'!AM74-'[3]побудинковий звіт'!AM74</f>
        <v>0</v>
      </c>
      <c r="AN74" s="42">
        <f>'[1]побудинковий звіт'!AN74+'[2]побудинковий звіт'!AN74-'[3]побудинковий звіт'!AN74</f>
        <v>0</v>
      </c>
      <c r="AO74" s="56">
        <f t="shared" si="76"/>
        <v>0</v>
      </c>
      <c r="AP74" s="42">
        <f>'[1]побудинковий звіт'!AP74+'[2]побудинковий звіт'!AP74-'[3]побудинковий звіт'!AP74</f>
        <v>8712.5623146215748</v>
      </c>
      <c r="AQ74" s="42">
        <f>'[1]побудинковий звіт'!AQ74+'[2]побудинковий звіт'!AQ74-'[3]побудинковий звіт'!AQ74</f>
        <v>8650.295264439912</v>
      </c>
      <c r="AR74" s="56">
        <f t="shared" si="77"/>
        <v>-62.267050181662853</v>
      </c>
      <c r="AS74" s="42">
        <f>'[1]побудинковий звіт'!AS74+'[2]побудинковий звіт'!AS74-'[3]побудинковий звіт'!AS74</f>
        <v>197299.15676249281</v>
      </c>
      <c r="AT74" s="42">
        <f>'[1]побудинковий звіт'!AT74+'[2]побудинковий звіт'!AT74-'[3]побудинковий звіт'!AT74</f>
        <v>198963</v>
      </c>
      <c r="AU74" s="58">
        <f t="shared" si="78"/>
        <v>1663.8432375071861</v>
      </c>
      <c r="AV74" s="42">
        <f>'[1]побудинковий звіт'!AV74+'[2]побудинковий звіт'!AV74-'[3]побудинковий звіт'!AV74</f>
        <v>2593.2803124522607</v>
      </c>
      <c r="AW74" s="42">
        <f>'[1]побудинковий звіт'!AW74+'[2]побудинковий звіт'!AW74-'[3]побудинковий звіт'!AW74</f>
        <v>2777.2678302007389</v>
      </c>
      <c r="AX74" s="59">
        <f t="shared" si="79"/>
        <v>183.98751774847824</v>
      </c>
      <c r="AY74" s="42">
        <f>'[1]побудинковий звіт'!AY74+'[2]побудинковий звіт'!AY74-'[3]побудинковий звіт'!AY74</f>
        <v>3551.194467353233</v>
      </c>
      <c r="AZ74" s="42">
        <f>'[1]побудинковий звіт'!AZ74+'[2]побудинковий звіт'!AZ74-'[3]побудинковий звіт'!AZ74</f>
        <v>9258.933112417777</v>
      </c>
      <c r="BA74" s="37">
        <f t="shared" si="80"/>
        <v>5707.7386450645445</v>
      </c>
      <c r="BB74" s="42">
        <f>'[1]побудинковий звіт'!BB74+'[2]побудинковий звіт'!BB74-'[3]побудинковий звіт'!BB74</f>
        <v>4141.6309918311208</v>
      </c>
      <c r="BC74" s="42">
        <f>'[1]побудинковий звіт'!BC74+'[2]побудинковий звіт'!BC74-'[3]побудинковий звіт'!BC74</f>
        <v>7593</v>
      </c>
      <c r="BD74" s="59">
        <f t="shared" si="81"/>
        <v>3451.3690081688792</v>
      </c>
      <c r="BE74" s="42">
        <f>'[1]побудинковий звіт'!BE74+'[2]побудинковий звіт'!BE74-'[3]побудинковий звіт'!BE74</f>
        <v>1739.2972062302358</v>
      </c>
      <c r="BF74" s="42">
        <f>'[1]побудинковий звіт'!BF74+'[2]побудинковий звіт'!BF74-'[3]побудинковий звіт'!BF74</f>
        <v>0</v>
      </c>
      <c r="BG74" s="39">
        <f t="shared" si="82"/>
        <v>-1739.2972062302358</v>
      </c>
      <c r="BH74" s="42">
        <f>'[1]побудинковий звіт'!BH74+'[2]побудинковий звіт'!BH74-'[3]побудинковий звіт'!BH74</f>
        <v>2923.1291766119671</v>
      </c>
      <c r="BI74" s="42">
        <f>'[1]побудинковий звіт'!BI74+'[2]побудинковий звіт'!BI74-'[3]побудинковий звіт'!BI74</f>
        <v>0</v>
      </c>
      <c r="BJ74" s="59">
        <f t="shared" si="83"/>
        <v>-2923.1291766119671</v>
      </c>
      <c r="BK74" s="42">
        <f>'[1]побудинковий звіт'!BK74+'[2]побудинковий звіт'!BK74-'[3]побудинковий звіт'!BK74</f>
        <v>3530.8852246395645</v>
      </c>
      <c r="BL74" s="42">
        <f>'[1]побудинковий звіт'!BL74+'[2]побудинковий звіт'!BL74-'[3]побудинковий звіт'!BL74</f>
        <v>7656.2096977603178</v>
      </c>
      <c r="BM74" s="39">
        <f t="shared" si="84"/>
        <v>4125.3244731207533</v>
      </c>
      <c r="BN74" s="42">
        <f>'[1]побудинковий звіт'!BN74+'[2]побудинковий звіт'!BN74-'[3]побудинковий звіт'!BN74</f>
        <v>1396.4533431190202</v>
      </c>
      <c r="BO74" s="42">
        <f>'[1]побудинковий звіт'!BO74+'[2]побудинковий звіт'!BO74-'[3]побудинковий звіт'!BO74</f>
        <v>13118</v>
      </c>
      <c r="BP74" s="59">
        <f t="shared" si="85"/>
        <v>11721.546656880979</v>
      </c>
      <c r="BQ74" s="87">
        <f t="shared" si="62"/>
        <v>19875.870722237403</v>
      </c>
      <c r="BR74" s="43">
        <f t="shared" si="63"/>
        <v>40403.410640378832</v>
      </c>
      <c r="BS74" s="59">
        <f t="shared" si="86"/>
        <v>20527.539918141429</v>
      </c>
      <c r="BT74" s="42">
        <f>'[1]побудинковий звіт'!BT74+'[2]побудинковий звіт'!BT74-'[3]побудинковий звіт'!BT74</f>
        <v>146439.8830916844</v>
      </c>
      <c r="BU74" s="42">
        <f>'[1]побудинковий звіт'!BU74+'[2]побудинковий звіт'!BU74-'[3]побудинковий звіт'!BU74</f>
        <v>164258.04310821192</v>
      </c>
      <c r="BV74" s="56">
        <f t="shared" si="87"/>
        <v>17818.160016527516</v>
      </c>
      <c r="BW74" s="42">
        <f>'[1]побудинковий звіт'!BW74+'[2]побудинковий звіт'!BW74-'[3]побудинковий звіт'!BW74</f>
        <v>102328.41108975484</v>
      </c>
      <c r="BX74" s="42">
        <f>'[1]побудинковий звіт'!BX74+'[2]побудинковий звіт'!BX74-'[3]побудинковий звіт'!BX74</f>
        <v>114284.66535727531</v>
      </c>
      <c r="BY74" s="56">
        <f t="shared" si="88"/>
        <v>11956.254267520475</v>
      </c>
      <c r="BZ74" s="42">
        <f>'[1]побудинковий звіт'!BZ74+'[2]побудинковий звіт'!BZ74-'[3]побудинковий звіт'!BZ74</f>
        <v>27266.199496517285</v>
      </c>
      <c r="CA74" s="42">
        <f>'[1]побудинковий звіт'!CA74+'[2]побудинковий звіт'!CA74-'[3]побудинковий звіт'!CA74</f>
        <v>42310.707329084646</v>
      </c>
      <c r="CB74" s="56">
        <f t="shared" si="89"/>
        <v>15044.50783256736</v>
      </c>
      <c r="CC74" s="42">
        <f>'[1]побудинковий звіт'!CC74+'[2]побудинковий звіт'!CC74-'[3]побудинковий звіт'!CC74</f>
        <v>2272.4679924412158</v>
      </c>
      <c r="CD74" s="42">
        <f>'[1]побудинковий звіт'!CD74+'[2]побудинковий звіт'!CD74-'[3]побудинковий звіт'!CD74</f>
        <v>2252.4809939744391</v>
      </c>
      <c r="CE74" s="56">
        <f t="shared" si="90"/>
        <v>-19.98699846677664</v>
      </c>
      <c r="CF74" s="42">
        <f>'[1]побудинковий звіт'!CF74+'[2]побудинковий звіт'!CF74-'[3]побудинковий звіт'!CF74</f>
        <v>279.75458240280125</v>
      </c>
      <c r="CG74" s="42">
        <f>'[1]побудинковий звіт'!CG74+'[2]побудинковий звіт'!CG74-'[3]побудинковий звіт'!CG74</f>
        <v>0</v>
      </c>
      <c r="CH74" s="56">
        <f t="shared" si="91"/>
        <v>-279.75458240280125</v>
      </c>
      <c r="CI74" s="42">
        <f>'[1]побудинковий звіт'!CI74+'[2]побудинковий звіт'!CI74-'[3]побудинковий звіт'!CI74</f>
        <v>31445.442297682795</v>
      </c>
      <c r="CJ74" s="42">
        <f>'[1]побудинковий звіт'!CJ74+'[2]побудинковий звіт'!CJ74-'[3]побудинковий звіт'!CJ74</f>
        <v>23150.04858547715</v>
      </c>
      <c r="CK74" s="56">
        <f t="shared" si="92"/>
        <v>-8295.393712205645</v>
      </c>
      <c r="CL74" s="42">
        <f>'[1]побудинковий звіт'!CL74+'[2]побудинковий звіт'!CL74-'[3]побудинковий звіт'!CL74</f>
        <v>13888.403681476568</v>
      </c>
      <c r="CM74" s="42">
        <f>'[1]побудинковий звіт'!CM74+'[2]побудинковий звіт'!CM74-'[3]побудинковий звіт'!CM74</f>
        <v>21203.212865325331</v>
      </c>
      <c r="CN74" s="56">
        <f t="shared" si="93"/>
        <v>7314.8091838487635</v>
      </c>
      <c r="CO74" s="42">
        <f t="shared" si="64"/>
        <v>45333.845979159363</v>
      </c>
      <c r="CP74" s="43">
        <f t="shared" si="94"/>
        <v>44353.261450802485</v>
      </c>
      <c r="CQ74" s="56">
        <f t="shared" si="95"/>
        <v>-980.58452835687785</v>
      </c>
      <c r="CR74" s="78">
        <f t="shared" si="65"/>
        <v>834259.88123413664</v>
      </c>
      <c r="CS74" s="5">
        <f t="shared" si="65"/>
        <v>877024.29850935226</v>
      </c>
      <c r="CT74" s="56">
        <f t="shared" si="96"/>
        <v>42764.417275215616</v>
      </c>
      <c r="CU74" s="87">
        <f t="shared" si="97"/>
        <v>1001111.8574809639</v>
      </c>
      <c r="CV74" s="70">
        <f t="shared" si="98"/>
        <v>1052429.1582112226</v>
      </c>
      <c r="CW74" s="37">
        <f t="shared" si="99"/>
        <v>51317.300730258692</v>
      </c>
      <c r="CX74" s="42">
        <f>'[1]побудинковий звіт'!CX74+'[2]побудинковий звіт'!CX74-'[3]побудинковий звіт'!CX74</f>
        <v>5473.2125190361112</v>
      </c>
      <c r="CY74" s="42">
        <f>'[1]побудинковий звіт'!CY74+'[2]побудинковий звіт'!CY74-'[3]побудинковий звіт'!CY74</f>
        <v>-45844.088211222712</v>
      </c>
      <c r="CZ74" s="56">
        <f t="shared" si="100"/>
        <v>-51317.300730258823</v>
      </c>
      <c r="DA74" s="264">
        <f>'[4]побудинковий звіт'!DA74</f>
        <v>46718.634953614572</v>
      </c>
      <c r="DB74" s="2">
        <v>1</v>
      </c>
      <c r="DC74" s="717">
        <f>'[4]побудинковий звіт'!DC74</f>
        <v>321858.23</v>
      </c>
      <c r="DD74" s="717">
        <f>'[4]побудинковий звіт'!DD74</f>
        <v>959.44</v>
      </c>
      <c r="DE74" s="717">
        <f>'[4]побудинковий звіт'!DE74</f>
        <v>238440.19999999998</v>
      </c>
      <c r="DF74" s="717">
        <f>'[4]побудинковий звіт'!DF74</f>
        <v>479.58000000000004</v>
      </c>
      <c r="DG74" s="787">
        <v>19496.407577923033</v>
      </c>
      <c r="DH74" s="761">
        <f t="shared" si="109"/>
        <v>12079020.84</v>
      </c>
      <c r="DI74" s="784"/>
      <c r="DJ74" s="5"/>
      <c r="DK74" s="317">
        <f>VLOOKUP($A74,ціни!$A$4:$G$401,5)</f>
        <v>5.9455573650150901</v>
      </c>
      <c r="DL74" s="317">
        <f>VLOOKUP($A74,ціни!$A$4:$G$401,6)</f>
        <v>7.5119009751263075</v>
      </c>
      <c r="DM74" s="317">
        <f>VLOOKUP($A74,ціни!$A$4:$G$401,7)</f>
        <v>5.0405269584626557</v>
      </c>
      <c r="DN74" s="30">
        <f>DK74*G74+(F74-G74)*DL74</f>
        <v>17811.569639504865</v>
      </c>
      <c r="DO74" s="30">
        <f>DM74*H74</f>
        <v>479.85816644564483</v>
      </c>
      <c r="DP74" s="316">
        <f t="shared" si="101"/>
        <v>18291.427805950509</v>
      </c>
      <c r="DQ74" s="104"/>
      <c r="DR74" s="30">
        <f>VLOOKUP(A74,'ДЗ нас '!$A$1:$C$359,2)</f>
        <v>83418.41</v>
      </c>
      <c r="DS74" s="748">
        <f>VLOOKUP(A74,'ДЗ нежит'!$A$1:$D$153,4,0)</f>
        <v>479.86</v>
      </c>
      <c r="DT74" s="30">
        <f t="shared" si="102"/>
        <v>83898.27</v>
      </c>
      <c r="DU74" s="257">
        <f>VLOOKUP(A74,'новий кошторис с 01.06'!$A$4:$AI$399,35)*1.2</f>
        <v>83926.544052154131</v>
      </c>
      <c r="DV74" s="30">
        <f t="shared" si="103"/>
        <v>-28.274052154127276</v>
      </c>
      <c r="DW74" s="930">
        <f>'[5]побудинковий звіт'!DW74+'[6]побудинковий звіт'!DW74</f>
        <v>370</v>
      </c>
      <c r="DY74" s="5">
        <f t="shared" si="104"/>
        <v>260610.03298167622</v>
      </c>
      <c r="DZ74" s="5">
        <f t="shared" si="105"/>
        <v>287239.69276845461</v>
      </c>
      <c r="EA74" s="752">
        <f t="shared" si="110"/>
        <v>238919.77999999997</v>
      </c>
      <c r="EC74" s="592">
        <f t="shared" si="106"/>
        <v>2367589.8811499137</v>
      </c>
      <c r="EE74" s="758">
        <v>-94785</v>
      </c>
      <c r="EF74" s="738">
        <f t="shared" si="107"/>
        <v>-75288.592422076967</v>
      </c>
      <c r="EH74" s="813">
        <v>-1925.399047979954</v>
      </c>
    </row>
    <row r="75" spans="1:138" x14ac:dyDescent="0.3">
      <c r="A75" s="328">
        <v>150000645</v>
      </c>
      <c r="B75" s="44" t="s">
        <v>524</v>
      </c>
      <c r="C75" s="45" t="s">
        <v>65</v>
      </c>
      <c r="D75" s="45" t="s">
        <v>65</v>
      </c>
      <c r="E75" s="40">
        <f t="shared" si="108"/>
        <v>1556.6</v>
      </c>
      <c r="F75" s="490">
        <v>1556.6</v>
      </c>
      <c r="G75" s="30"/>
      <c r="H75" s="30">
        <v>0</v>
      </c>
      <c r="I75" s="42">
        <f>'[1]побудинковий звіт'!I75+'[2]побудинковий звіт'!I75-'[3]побудинковий звіт'!I75</f>
        <v>0</v>
      </c>
      <c r="J75" s="42">
        <f>'[1]побудинковий звіт'!J75+'[2]побудинковий звіт'!J75-'[3]побудинковий звіт'!J75</f>
        <v>0</v>
      </c>
      <c r="K75" s="56">
        <f t="shared" si="66"/>
        <v>0</v>
      </c>
      <c r="L75" s="42">
        <f>'[1]побудинковий звіт'!L75+'[2]побудинковий звіт'!L75-'[3]побудинковий звіт'!L75</f>
        <v>0</v>
      </c>
      <c r="M75" s="42">
        <f>'[1]побудинковий звіт'!M75+'[2]побудинковий звіт'!M75-'[3]побудинковий звіт'!M75</f>
        <v>0</v>
      </c>
      <c r="N75" s="56">
        <f t="shared" si="67"/>
        <v>0</v>
      </c>
      <c r="O75" s="42">
        <f>'[1]побудинковий звіт'!O75+'[2]побудинковий звіт'!O75-'[3]побудинковий звіт'!O75</f>
        <v>0</v>
      </c>
      <c r="P75" s="42">
        <f>'[1]побудинковий звіт'!P75+'[2]побудинковий звіт'!P75-'[3]побудинковий звіт'!P75</f>
        <v>0</v>
      </c>
      <c r="Q75" s="56">
        <f t="shared" si="68"/>
        <v>0</v>
      </c>
      <c r="R75" s="42">
        <f>'[1]побудинковий звіт'!R75+'[2]побудинковий звіт'!R75-'[3]побудинковий звіт'!R75</f>
        <v>0</v>
      </c>
      <c r="S75" s="42">
        <f>'[1]побудинковий звіт'!S75+'[2]побудинковий звіт'!S75-'[3]побудинковий звіт'!S75</f>
        <v>0</v>
      </c>
      <c r="T75" s="56">
        <f t="shared" si="69"/>
        <v>0</v>
      </c>
      <c r="U75" s="42">
        <f>'[1]побудинковий звіт'!U75+'[2]побудинковий звіт'!U75-'[3]побудинковий звіт'!U75</f>
        <v>0</v>
      </c>
      <c r="V75" s="42">
        <f>'[1]побудинковий звіт'!V75+'[2]побудинковий звіт'!V75-'[3]побудинковий звіт'!V75</f>
        <v>0</v>
      </c>
      <c r="W75" s="56">
        <f t="shared" si="70"/>
        <v>0</v>
      </c>
      <c r="X75" s="42">
        <f>'[1]побудинковий звіт'!X75+'[2]побудинковий звіт'!X75-'[3]побудинковий звіт'!X75</f>
        <v>0</v>
      </c>
      <c r="Y75" s="42">
        <f>'[1]побудинковий звіт'!Y75+'[2]побудинковий звіт'!Y75-'[3]побудинковий звіт'!Y75</f>
        <v>0</v>
      </c>
      <c r="Z75" s="56">
        <f t="shared" si="71"/>
        <v>0</v>
      </c>
      <c r="AA75" s="42">
        <f>'[1]побудинковий звіт'!AA75+'[2]побудинковий звіт'!AA75-'[3]побудинковий звіт'!AA75</f>
        <v>0</v>
      </c>
      <c r="AB75" s="42">
        <f>'[1]побудинковий звіт'!AB75+'[2]побудинковий звіт'!AB75-'[3]побудинковий звіт'!AB75</f>
        <v>0</v>
      </c>
      <c r="AC75" s="56">
        <f t="shared" si="72"/>
        <v>0</v>
      </c>
      <c r="AD75" s="42">
        <f>'[1]побудинковий звіт'!AD75+'[2]побудинковий звіт'!AD75-'[3]побудинковий звіт'!AD75</f>
        <v>0</v>
      </c>
      <c r="AE75" s="42">
        <f>'[1]побудинковий звіт'!AE75+'[2]побудинковий звіт'!AE75-'[3]побудинковий звіт'!AE75</f>
        <v>143.88177788991251</v>
      </c>
      <c r="AF75" s="37">
        <f t="shared" si="73"/>
        <v>143.88177788991251</v>
      </c>
      <c r="AG75" s="87">
        <f t="shared" si="61"/>
        <v>0</v>
      </c>
      <c r="AH75" s="57">
        <f t="shared" si="61"/>
        <v>143.88177788991251</v>
      </c>
      <c r="AI75" s="56">
        <f t="shared" si="74"/>
        <v>143.88177788991251</v>
      </c>
      <c r="AJ75" s="42">
        <f>'[1]побудинковий звіт'!AJ75+'[2]побудинковий звіт'!AJ75-'[3]побудинковий звіт'!AJ75</f>
        <v>0</v>
      </c>
      <c r="AK75" s="42">
        <f>'[1]побудинковий звіт'!AK75+'[2]побудинковий звіт'!AK75-'[3]побудинковий звіт'!AK75</f>
        <v>0</v>
      </c>
      <c r="AL75" s="56">
        <f t="shared" si="75"/>
        <v>0</v>
      </c>
      <c r="AM75" s="42">
        <f>'[1]побудинковий звіт'!AM75+'[2]побудинковий звіт'!AM75-'[3]побудинковий звіт'!AM75</f>
        <v>0</v>
      </c>
      <c r="AN75" s="42">
        <f>'[1]побудинковий звіт'!AN75+'[2]побудинковий звіт'!AN75-'[3]побудинковий звіт'!AN75</f>
        <v>0</v>
      </c>
      <c r="AO75" s="56">
        <f t="shared" si="76"/>
        <v>0</v>
      </c>
      <c r="AP75" s="42">
        <f>'[1]побудинковий звіт'!AP75+'[2]побудинковий звіт'!AP75-'[3]побудинковий звіт'!AP75</f>
        <v>473.50882144682492</v>
      </c>
      <c r="AQ75" s="42">
        <f>'[1]побудинковий звіт'!AQ75+'[2]побудинковий звіт'!AQ75-'[3]побудинковий звіт'!AQ75</f>
        <v>163.50097099840306</v>
      </c>
      <c r="AR75" s="56">
        <f t="shared" si="77"/>
        <v>-310.00785044842189</v>
      </c>
      <c r="AS75" s="42">
        <f>'[1]побудинковий звіт'!AS75+'[2]побудинковий звіт'!AS75-'[3]побудинковий звіт'!AS75</f>
        <v>3413.5079379087051</v>
      </c>
      <c r="AT75" s="42">
        <f>'[1]побудинковий звіт'!AT75+'[2]побудинковий звіт'!AT75-'[3]побудинковий звіт'!AT75</f>
        <v>3809</v>
      </c>
      <c r="AU75" s="58">
        <f t="shared" si="78"/>
        <v>395.49206209129488</v>
      </c>
      <c r="AV75" s="42">
        <f>'[1]побудинковий звіт'!AV75+'[2]побудинковий звіт'!AV75-'[3]побудинковий звіт'!AV75</f>
        <v>0</v>
      </c>
      <c r="AW75" s="42">
        <f>'[1]побудинковий звіт'!AW75+'[2]побудинковий звіт'!AW75-'[3]побудинковий звіт'!AW75</f>
        <v>0</v>
      </c>
      <c r="AX75" s="59">
        <f t="shared" si="79"/>
        <v>0</v>
      </c>
      <c r="AY75" s="42">
        <f>'[1]побудинковий звіт'!AY75+'[2]побудинковий звіт'!AY75-'[3]побудинковий звіт'!AY75</f>
        <v>0</v>
      </c>
      <c r="AZ75" s="42">
        <f>'[1]побудинковий звіт'!AZ75+'[2]побудинковий звіт'!AZ75-'[3]побудинковий звіт'!AZ75</f>
        <v>0</v>
      </c>
      <c r="BA75" s="37">
        <f t="shared" si="80"/>
        <v>0</v>
      </c>
      <c r="BB75" s="42">
        <f>'[1]побудинковий звіт'!BB75+'[2]побудинковий звіт'!BB75-'[3]побудинковий звіт'!BB75</f>
        <v>0</v>
      </c>
      <c r="BC75" s="42">
        <f>'[1]побудинковий звіт'!BC75+'[2]побудинковий звіт'!BC75-'[3]побудинковий звіт'!BC75</f>
        <v>0</v>
      </c>
      <c r="BD75" s="59">
        <f t="shared" si="81"/>
        <v>0</v>
      </c>
      <c r="BE75" s="42">
        <f>'[1]побудинковий звіт'!BE75+'[2]побудинковий звіт'!BE75-'[3]побудинковий звіт'!BE75</f>
        <v>0</v>
      </c>
      <c r="BF75" s="42">
        <f>'[1]побудинковий звіт'!BF75+'[2]побудинковий звіт'!BF75-'[3]побудинковий звіт'!BF75</f>
        <v>0</v>
      </c>
      <c r="BG75" s="39">
        <f t="shared" si="82"/>
        <v>0</v>
      </c>
      <c r="BH75" s="42">
        <f>'[1]побудинковий звіт'!BH75+'[2]побудинковий звіт'!BH75-'[3]побудинковий звіт'!BH75</f>
        <v>0</v>
      </c>
      <c r="BI75" s="42">
        <f>'[1]побудинковий звіт'!BI75+'[2]побудинковий звіт'!BI75-'[3]побудинковий звіт'!BI75</f>
        <v>1228</v>
      </c>
      <c r="BJ75" s="59">
        <f t="shared" si="83"/>
        <v>1228</v>
      </c>
      <c r="BK75" s="42">
        <f>'[1]побудинковий звіт'!BK75+'[2]побудинковий звіт'!BK75-'[3]побудинковий звіт'!BK75</f>
        <v>0</v>
      </c>
      <c r="BL75" s="42">
        <f>'[1]побудинковий звіт'!BL75+'[2]побудинковий звіт'!BL75-'[3]побудинковий звіт'!BL75</f>
        <v>0</v>
      </c>
      <c r="BM75" s="39">
        <f t="shared" si="84"/>
        <v>0</v>
      </c>
      <c r="BN75" s="42">
        <f>'[1]побудинковий звіт'!BN75+'[2]побудинковий звіт'!BN75-'[3]побудинковий звіт'!BN75</f>
        <v>0</v>
      </c>
      <c r="BO75" s="42">
        <f>'[1]побудинковий звіт'!BO75+'[2]побудинковий звіт'!BO75-'[3]побудинковий звіт'!BO75</f>
        <v>0</v>
      </c>
      <c r="BP75" s="59">
        <f t="shared" si="85"/>
        <v>0</v>
      </c>
      <c r="BQ75" s="87">
        <f t="shared" si="62"/>
        <v>0</v>
      </c>
      <c r="BR75" s="43">
        <f t="shared" si="63"/>
        <v>1228</v>
      </c>
      <c r="BS75" s="59">
        <f t="shared" si="86"/>
        <v>1228</v>
      </c>
      <c r="BT75" s="42">
        <f>'[1]побудинковий звіт'!BT75+'[2]побудинковий звіт'!BT75-'[3]побудинковий звіт'!BT75</f>
        <v>0</v>
      </c>
      <c r="BU75" s="42">
        <f>'[1]побудинковий звіт'!BU75+'[2]побудинковий звіт'!BU75-'[3]побудинковий звіт'!BU75</f>
        <v>0</v>
      </c>
      <c r="BV75" s="56">
        <f t="shared" si="87"/>
        <v>0</v>
      </c>
      <c r="BW75" s="42">
        <f>'[1]побудинковий звіт'!BW75+'[2]побудинковий звіт'!BW75-'[3]побудинковий звіт'!BW75</f>
        <v>0</v>
      </c>
      <c r="BX75" s="42">
        <f>'[1]побудинковий звіт'!BX75+'[2]побудинковий звіт'!BX75-'[3]побудинковий звіт'!BX75</f>
        <v>6.9581056604255771</v>
      </c>
      <c r="BY75" s="56">
        <f t="shared" si="88"/>
        <v>6.9581056604255771</v>
      </c>
      <c r="BZ75" s="42">
        <f>'[1]побудинковий звіт'!BZ75+'[2]побудинковий звіт'!BZ75-'[3]побудинковий звіт'!BZ75</f>
        <v>0</v>
      </c>
      <c r="CA75" s="42">
        <f>'[1]побудинковий звіт'!CA75+'[2]побудинковий звіт'!CA75-'[3]побудинковий звіт'!CA75</f>
        <v>0</v>
      </c>
      <c r="CB75" s="56">
        <f t="shared" si="89"/>
        <v>0</v>
      </c>
      <c r="CC75" s="42">
        <f>'[1]побудинковий звіт'!CC75+'[2]побудинковий звіт'!CC75-'[3]побудинковий звіт'!CC75</f>
        <v>0</v>
      </c>
      <c r="CD75" s="42">
        <f>'[1]побудинковий звіт'!CD75+'[2]побудинковий звіт'!CD75-'[3]побудинковий звіт'!CD75</f>
        <v>0</v>
      </c>
      <c r="CE75" s="56">
        <f t="shared" si="90"/>
        <v>0</v>
      </c>
      <c r="CF75" s="42">
        <f>'[1]побудинковий звіт'!CF75+'[2]побудинковий звіт'!CF75-'[3]побудинковий звіт'!CF75</f>
        <v>0</v>
      </c>
      <c r="CG75" s="42">
        <f>'[1]побудинковий звіт'!CG75+'[2]побудинковий звіт'!CG75-'[3]побудинковий звіт'!CG75</f>
        <v>0</v>
      </c>
      <c r="CH75" s="56">
        <f t="shared" si="91"/>
        <v>0</v>
      </c>
      <c r="CI75" s="42">
        <f>'[1]побудинковий звіт'!CI75+'[2]побудинковий звіт'!CI75-'[3]побудинковий звіт'!CI75</f>
        <v>0</v>
      </c>
      <c r="CJ75" s="42">
        <f>'[1]побудинковий звіт'!CJ75+'[2]побудинковий звіт'!CJ75-'[3]побудинковий звіт'!CJ75</f>
        <v>0</v>
      </c>
      <c r="CK75" s="56">
        <f t="shared" si="92"/>
        <v>0</v>
      </c>
      <c r="CL75" s="42">
        <f>'[1]побудинковий звіт'!CL75+'[2]побудинковий звіт'!CL75-'[3]побудинковий звіт'!CL75</f>
        <v>0</v>
      </c>
      <c r="CM75" s="42">
        <f>'[1]побудинковий звіт'!CM75+'[2]побудинковий звіт'!CM75-'[3]побудинковий звіт'!CM75</f>
        <v>0</v>
      </c>
      <c r="CN75" s="56">
        <f t="shared" si="93"/>
        <v>0</v>
      </c>
      <c r="CO75" s="42">
        <f t="shared" si="64"/>
        <v>0</v>
      </c>
      <c r="CP75" s="43">
        <f t="shared" si="94"/>
        <v>0</v>
      </c>
      <c r="CQ75" s="56">
        <f t="shared" si="95"/>
        <v>0</v>
      </c>
      <c r="CR75" s="78">
        <f t="shared" si="65"/>
        <v>3887.0167593555302</v>
      </c>
      <c r="CS75" s="5">
        <f t="shared" si="65"/>
        <v>5351.3408545487409</v>
      </c>
      <c r="CT75" s="56">
        <f t="shared" si="96"/>
        <v>1464.3240951932107</v>
      </c>
      <c r="CU75" s="87">
        <f t="shared" si="97"/>
        <v>4664.4201112266364</v>
      </c>
      <c r="CV75" s="70">
        <f t="shared" si="98"/>
        <v>6421.6090254584888</v>
      </c>
      <c r="CW75" s="37">
        <f t="shared" si="99"/>
        <v>1757.1889142318523</v>
      </c>
      <c r="CX75" s="42">
        <f>'[1]побудинковий звіт'!CX75+'[2]побудинковий звіт'!CX75-'[3]побудинковий звіт'!CX75</f>
        <v>69.819888773363118</v>
      </c>
      <c r="CY75" s="42">
        <f>'[1]побудинковий звіт'!CY75+'[2]побудинковий звіт'!CY75-'[3]побудинковий звіт'!CY75</f>
        <v>-1687.3690254584894</v>
      </c>
      <c r="CZ75" s="56">
        <f t="shared" si="100"/>
        <v>-1757.1889142318526</v>
      </c>
      <c r="DA75" s="264">
        <f>'[4]побудинковий звіт'!DA75</f>
        <v>126.0781682432339</v>
      </c>
      <c r="DB75" s="2">
        <v>3</v>
      </c>
      <c r="DC75" s="717">
        <f>'[4]побудинковий звіт'!DC75</f>
        <v>118.76</v>
      </c>
      <c r="DD75" s="717">
        <f>'[4]побудинковий звіт'!DD75</f>
        <v>0</v>
      </c>
      <c r="DE75" s="717">
        <f>'[4]побудинковий звіт'!DE75</f>
        <v>-275.76</v>
      </c>
      <c r="DF75" s="717">
        <f>'[4]побудинковий звіт'!DF75</f>
        <v>0</v>
      </c>
      <c r="DG75" s="787">
        <v>77.20646698510609</v>
      </c>
      <c r="DH75" s="761">
        <f t="shared" si="109"/>
        <v>56810.879999999997</v>
      </c>
      <c r="DI75" s="784"/>
      <c r="DJ75" s="5"/>
      <c r="DK75" s="317">
        <f>VLOOKUP($A75,ціни!$A$4:$G$401,5)</f>
        <v>1.8265379679378997</v>
      </c>
      <c r="DL75" s="317"/>
      <c r="DM75" s="317">
        <f>VLOOKUP($A75,ціни!$A$4:$G$401,7)</f>
        <v>1.8265379679378997</v>
      </c>
      <c r="DN75" s="30">
        <f t="shared" ref="DN75:DN82" si="111">F75*DK75</f>
        <v>2843.1890008921346</v>
      </c>
      <c r="DO75" s="30">
        <f t="shared" ref="DO75:DO82" si="112">H75*DM75</f>
        <v>0</v>
      </c>
      <c r="DP75" s="316">
        <f t="shared" si="101"/>
        <v>2843.1890008921346</v>
      </c>
      <c r="DQ75" s="104"/>
      <c r="DR75" s="30">
        <f>VLOOKUP(A75,'ДЗ нас '!$A$1:$C$359,2)</f>
        <v>394.52</v>
      </c>
      <c r="DS75" s="748"/>
      <c r="DT75" s="30">
        <f t="shared" si="102"/>
        <v>394.52</v>
      </c>
      <c r="DU75" s="257">
        <f>VLOOKUP(A75,'новий кошторис с 01.06'!$A$4:$AI$399,35)*1.2</f>
        <v>395.69830610239302</v>
      </c>
      <c r="DV75" s="30">
        <f t="shared" si="103"/>
        <v>-1.1783061023930372</v>
      </c>
      <c r="DW75" s="930">
        <f>'[5]побудинковий звіт'!DW75+'[6]побудинковий звіт'!DW75</f>
        <v>0</v>
      </c>
      <c r="DY75" s="5">
        <f t="shared" si="104"/>
        <v>4096.2095254904461</v>
      </c>
      <c r="DZ75" s="5">
        <f t="shared" si="105"/>
        <v>6044.4</v>
      </c>
      <c r="EA75" s="752">
        <f t="shared" si="110"/>
        <v>-275.76</v>
      </c>
      <c r="EC75" s="592">
        <f t="shared" si="106"/>
        <v>40962.09525490446</v>
      </c>
      <c r="EE75" s="758">
        <v>-2781</v>
      </c>
      <c r="EF75" s="738">
        <f t="shared" si="107"/>
        <v>-2703.7935330148939</v>
      </c>
      <c r="EH75" s="813">
        <v>-2234.8171269990689</v>
      </c>
    </row>
    <row r="76" spans="1:138" x14ac:dyDescent="0.3">
      <c r="A76" s="328">
        <v>150000643</v>
      </c>
      <c r="B76" s="44" t="s">
        <v>525</v>
      </c>
      <c r="C76" s="45" t="s">
        <v>66</v>
      </c>
      <c r="D76" s="45" t="s">
        <v>66</v>
      </c>
      <c r="E76" s="40">
        <f t="shared" si="108"/>
        <v>300.7</v>
      </c>
      <c r="F76" s="490">
        <v>300.7</v>
      </c>
      <c r="G76" s="30"/>
      <c r="H76" s="30">
        <v>0</v>
      </c>
      <c r="I76" s="42">
        <f>'[1]побудинковий звіт'!I76+'[2]побудинковий звіт'!I76-'[3]побудинковий звіт'!I76</f>
        <v>0</v>
      </c>
      <c r="J76" s="42">
        <f>'[1]побудинковий звіт'!J76+'[2]побудинковий звіт'!J76-'[3]побудинковий звіт'!J76</f>
        <v>0</v>
      </c>
      <c r="K76" s="56">
        <f t="shared" si="66"/>
        <v>0</v>
      </c>
      <c r="L76" s="42">
        <f>'[1]побудинковий звіт'!L76+'[2]побудинковий звіт'!L76-'[3]побудинковий звіт'!L76</f>
        <v>0</v>
      </c>
      <c r="M76" s="42">
        <f>'[1]побудинковий звіт'!M76+'[2]побудинковий звіт'!M76-'[3]побудинковий звіт'!M76</f>
        <v>0</v>
      </c>
      <c r="N76" s="56">
        <f t="shared" si="67"/>
        <v>0</v>
      </c>
      <c r="O76" s="42">
        <f>'[1]побудинковий звіт'!O76+'[2]побудинковий звіт'!O76-'[3]побудинковий звіт'!O76</f>
        <v>0</v>
      </c>
      <c r="P76" s="42">
        <f>'[1]побудинковий звіт'!P76+'[2]побудинковий звіт'!P76-'[3]побудинковий звіт'!P76</f>
        <v>0</v>
      </c>
      <c r="Q76" s="56">
        <f t="shared" si="68"/>
        <v>0</v>
      </c>
      <c r="R76" s="42">
        <f>'[1]побудинковий звіт'!R76+'[2]побудинковий звіт'!R76-'[3]побудинковий звіт'!R76</f>
        <v>0</v>
      </c>
      <c r="S76" s="42">
        <f>'[1]побудинковий звіт'!S76+'[2]побудинковий звіт'!S76-'[3]побудинковий звіт'!S76</f>
        <v>0</v>
      </c>
      <c r="T76" s="56">
        <f t="shared" si="69"/>
        <v>0</v>
      </c>
      <c r="U76" s="42">
        <f>'[1]побудинковий звіт'!U76+'[2]побудинковий звіт'!U76-'[3]побудинковий звіт'!U76</f>
        <v>0</v>
      </c>
      <c r="V76" s="42">
        <f>'[1]побудинковий звіт'!V76+'[2]побудинковий звіт'!V76-'[3]побудинковий звіт'!V76</f>
        <v>0</v>
      </c>
      <c r="W76" s="56">
        <f t="shared" si="70"/>
        <v>0</v>
      </c>
      <c r="X76" s="42">
        <f>'[1]побудинковий звіт'!X76+'[2]побудинковий звіт'!X76-'[3]побудинковий звіт'!X76</f>
        <v>0</v>
      </c>
      <c r="Y76" s="42">
        <f>'[1]побудинковий звіт'!Y76+'[2]побудинковий звіт'!Y76-'[3]побудинковий звіт'!Y76</f>
        <v>0</v>
      </c>
      <c r="Z76" s="56">
        <f t="shared" si="71"/>
        <v>0</v>
      </c>
      <c r="AA76" s="42">
        <f>'[1]побудинковий звіт'!AA76+'[2]побудинковий звіт'!AA76-'[3]побудинковий звіт'!AA76</f>
        <v>0</v>
      </c>
      <c r="AB76" s="42">
        <f>'[1]побудинковий звіт'!AB76+'[2]побудинковий звіт'!AB76-'[3]побудинковий звіт'!AB76</f>
        <v>0</v>
      </c>
      <c r="AC76" s="56">
        <f t="shared" si="72"/>
        <v>0</v>
      </c>
      <c r="AD76" s="42">
        <f>'[1]побудинковий звіт'!AD76+'[2]побудинковий звіт'!AD76-'[3]побудинковий звіт'!AD76</f>
        <v>0</v>
      </c>
      <c r="AE76" s="42">
        <f>'[1]побудинковий звіт'!AE76+'[2]побудинковий звіт'!AE76-'[3]побудинковий звіт'!AE76</f>
        <v>144.41467336357886</v>
      </c>
      <c r="AF76" s="37">
        <f t="shared" si="73"/>
        <v>144.41467336357886</v>
      </c>
      <c r="AG76" s="87">
        <f t="shared" si="61"/>
        <v>0</v>
      </c>
      <c r="AH76" s="57">
        <f t="shared" si="61"/>
        <v>144.41467336357886</v>
      </c>
      <c r="AI76" s="56">
        <f t="shared" si="74"/>
        <v>144.41467336357886</v>
      </c>
      <c r="AJ76" s="42">
        <f>'[1]побудинковий звіт'!AJ76+'[2]побудинковий звіт'!AJ76-'[3]побудинковий звіт'!AJ76</f>
        <v>0</v>
      </c>
      <c r="AK76" s="42">
        <f>'[1]побудинковий звіт'!AK76+'[2]побудинковий звіт'!AK76-'[3]побудинковий звіт'!AK76</f>
        <v>0</v>
      </c>
      <c r="AL76" s="56">
        <f t="shared" si="75"/>
        <v>0</v>
      </c>
      <c r="AM76" s="42">
        <f>'[1]побудинковий звіт'!AM76+'[2]побудинковий звіт'!AM76-'[3]побудинковий звіт'!AM76</f>
        <v>0</v>
      </c>
      <c r="AN76" s="42">
        <f>'[1]побудинковий звіт'!AN76+'[2]побудинковий звіт'!AN76-'[3]побудинковий звіт'!AN76</f>
        <v>0</v>
      </c>
      <c r="AO76" s="56">
        <f t="shared" si="76"/>
        <v>0</v>
      </c>
      <c r="AP76" s="42">
        <f>'[1]побудинковий звіт'!AP76+'[2]побудинковий звіт'!AP76-'[3]побудинковий звіт'!AP76</f>
        <v>378.80705715745984</v>
      </c>
      <c r="AQ76" s="42">
        <f>'[1]побудинковий звіт'!AQ76+'[2]побудинковий звіт'!AQ76-'[3]побудинковий звіт'!AQ76</f>
        <v>186.85825256960351</v>
      </c>
      <c r="AR76" s="56">
        <f t="shared" si="77"/>
        <v>-191.94880458785633</v>
      </c>
      <c r="AS76" s="42">
        <f>'[1]побудинковий звіт'!AS76+'[2]побудинковий звіт'!AS76-'[3]побудинковий звіт'!AS76</f>
        <v>2900.4605184978377</v>
      </c>
      <c r="AT76" s="42">
        <f>'[1]побудинковий звіт'!AT76+'[2]побудинковий звіт'!AT76-'[3]побудинковий звіт'!AT76</f>
        <v>0</v>
      </c>
      <c r="AU76" s="58">
        <f t="shared" si="78"/>
        <v>-2900.4605184978377</v>
      </c>
      <c r="AV76" s="42">
        <f>'[1]побудинковий звіт'!AV76+'[2]побудинковий звіт'!AV76-'[3]побудинковий звіт'!AV76</f>
        <v>0</v>
      </c>
      <c r="AW76" s="42">
        <f>'[1]побудинковий звіт'!AW76+'[2]побудинковий звіт'!AW76-'[3]побудинковий звіт'!AW76</f>
        <v>0</v>
      </c>
      <c r="AX76" s="59">
        <f t="shared" si="79"/>
        <v>0</v>
      </c>
      <c r="AY76" s="42">
        <f>'[1]побудинковий звіт'!AY76+'[2]побудинковий звіт'!AY76-'[3]побудинковий звіт'!AY76</f>
        <v>0</v>
      </c>
      <c r="AZ76" s="42">
        <f>'[1]побудинковий звіт'!AZ76+'[2]побудинковий звіт'!AZ76-'[3]побудинковий звіт'!AZ76</f>
        <v>0</v>
      </c>
      <c r="BA76" s="37">
        <f t="shared" si="80"/>
        <v>0</v>
      </c>
      <c r="BB76" s="42">
        <f>'[1]побудинковий звіт'!BB76+'[2]побудинковий звіт'!BB76-'[3]побудинковий звіт'!BB76</f>
        <v>0</v>
      </c>
      <c r="BC76" s="42">
        <f>'[1]побудинковий звіт'!BC76+'[2]побудинковий звіт'!BC76-'[3]побудинковий звіт'!BC76</f>
        <v>0</v>
      </c>
      <c r="BD76" s="59">
        <f t="shared" si="81"/>
        <v>0</v>
      </c>
      <c r="BE76" s="42">
        <f>'[1]побудинковий звіт'!BE76+'[2]побудинковий звіт'!BE76-'[3]побудинковий звіт'!BE76</f>
        <v>0</v>
      </c>
      <c r="BF76" s="42">
        <f>'[1]побудинковий звіт'!BF76+'[2]побудинковий звіт'!BF76-'[3]побудинковий звіт'!BF76</f>
        <v>0</v>
      </c>
      <c r="BG76" s="39">
        <f t="shared" si="82"/>
        <v>0</v>
      </c>
      <c r="BH76" s="42">
        <f>'[1]побудинковий звіт'!BH76+'[2]побудинковий звіт'!BH76-'[3]побудинковий звіт'!BH76</f>
        <v>0</v>
      </c>
      <c r="BI76" s="42">
        <f>'[1]побудинковий звіт'!BI76+'[2]побудинковий звіт'!BI76-'[3]побудинковий звіт'!BI76</f>
        <v>0</v>
      </c>
      <c r="BJ76" s="59">
        <f t="shared" si="83"/>
        <v>0</v>
      </c>
      <c r="BK76" s="42">
        <f>'[1]побудинковий звіт'!BK76+'[2]побудинковий звіт'!BK76-'[3]побудинковий звіт'!BK76</f>
        <v>0</v>
      </c>
      <c r="BL76" s="42">
        <f>'[1]побудинковий звіт'!BL76+'[2]побудинковий звіт'!BL76-'[3]побудинковий звіт'!BL76</f>
        <v>0</v>
      </c>
      <c r="BM76" s="39">
        <f t="shared" si="84"/>
        <v>0</v>
      </c>
      <c r="BN76" s="42">
        <f>'[1]побудинковий звіт'!BN76+'[2]побудинковий звіт'!BN76-'[3]побудинковий звіт'!BN76</f>
        <v>0</v>
      </c>
      <c r="BO76" s="42">
        <f>'[1]побудинковий звіт'!BO76+'[2]побудинковий звіт'!BO76-'[3]побудинковий звіт'!BO76</f>
        <v>0</v>
      </c>
      <c r="BP76" s="59">
        <f t="shared" si="85"/>
        <v>0</v>
      </c>
      <c r="BQ76" s="87">
        <f t="shared" si="62"/>
        <v>0</v>
      </c>
      <c r="BR76" s="43">
        <f t="shared" si="63"/>
        <v>0</v>
      </c>
      <c r="BS76" s="59">
        <f t="shared" si="86"/>
        <v>0</v>
      </c>
      <c r="BT76" s="42">
        <f>'[1]побудинковий звіт'!BT76+'[2]побудинковий звіт'!BT76-'[3]побудинковий звіт'!BT76</f>
        <v>0</v>
      </c>
      <c r="BU76" s="42">
        <f>'[1]побудинковий звіт'!BU76+'[2]побудинковий звіт'!BU76-'[3]побудинковий звіт'!BU76</f>
        <v>0</v>
      </c>
      <c r="BV76" s="56">
        <f t="shared" si="87"/>
        <v>0</v>
      </c>
      <c r="BW76" s="42">
        <f>'[1]побудинковий звіт'!BW76+'[2]побудинковий звіт'!BW76-'[3]побудинковий звіт'!BW76</f>
        <v>0</v>
      </c>
      <c r="BX76" s="42">
        <f>'[1]побудинковий звіт'!BX76+'[2]побудинковий звіт'!BX76-'[3]побудинковий звіт'!BX76</f>
        <v>6.9838764221308578</v>
      </c>
      <c r="BY76" s="56">
        <f t="shared" si="88"/>
        <v>6.9838764221308578</v>
      </c>
      <c r="BZ76" s="42">
        <f>'[1]побудинковий звіт'!BZ76+'[2]побудинковий звіт'!BZ76-'[3]побудинковий звіт'!BZ76</f>
        <v>0</v>
      </c>
      <c r="CA76" s="42">
        <f>'[1]побудинковий звіт'!CA76+'[2]побудинковий звіт'!CA76-'[3]побудинковий звіт'!CA76</f>
        <v>0</v>
      </c>
      <c r="CB76" s="56">
        <f t="shared" si="89"/>
        <v>0</v>
      </c>
      <c r="CC76" s="42">
        <f>'[1]побудинковий звіт'!CC76+'[2]побудинковий звіт'!CC76-'[3]побудинковий звіт'!CC76</f>
        <v>0</v>
      </c>
      <c r="CD76" s="42">
        <f>'[1]побудинковий звіт'!CD76+'[2]побудинковий звіт'!CD76-'[3]побудинковий звіт'!CD76</f>
        <v>0</v>
      </c>
      <c r="CE76" s="56">
        <f t="shared" si="90"/>
        <v>0</v>
      </c>
      <c r="CF76" s="42">
        <f>'[1]побудинковий звіт'!CF76+'[2]побудинковий звіт'!CF76-'[3]побудинковий звіт'!CF76</f>
        <v>0</v>
      </c>
      <c r="CG76" s="42">
        <f>'[1]побудинковий звіт'!CG76+'[2]побудинковий звіт'!CG76-'[3]побудинковий звіт'!CG76</f>
        <v>0</v>
      </c>
      <c r="CH76" s="56">
        <f t="shared" si="91"/>
        <v>0</v>
      </c>
      <c r="CI76" s="42">
        <f>'[1]побудинковий звіт'!CI76+'[2]побудинковий звіт'!CI76-'[3]побудинковий звіт'!CI76</f>
        <v>0</v>
      </c>
      <c r="CJ76" s="42">
        <f>'[1]побудинковий звіт'!CJ76+'[2]побудинковий звіт'!CJ76-'[3]побудинковий звіт'!CJ76</f>
        <v>0</v>
      </c>
      <c r="CK76" s="56">
        <f t="shared" si="92"/>
        <v>0</v>
      </c>
      <c r="CL76" s="42">
        <f>'[1]побудинковий звіт'!CL76+'[2]побудинковий звіт'!CL76-'[3]побудинковий звіт'!CL76</f>
        <v>0</v>
      </c>
      <c r="CM76" s="42">
        <f>'[1]побудинковий звіт'!CM76+'[2]побудинковий звіт'!CM76-'[3]побудинковий звіт'!CM76</f>
        <v>0</v>
      </c>
      <c r="CN76" s="56">
        <f t="shared" si="93"/>
        <v>0</v>
      </c>
      <c r="CO76" s="42">
        <f t="shared" si="64"/>
        <v>0</v>
      </c>
      <c r="CP76" s="43">
        <f t="shared" si="94"/>
        <v>0</v>
      </c>
      <c r="CQ76" s="56">
        <f t="shared" si="95"/>
        <v>0</v>
      </c>
      <c r="CR76" s="78">
        <f t="shared" si="65"/>
        <v>3279.2675756552976</v>
      </c>
      <c r="CS76" s="5">
        <f t="shared" si="65"/>
        <v>338.2568023553132</v>
      </c>
      <c r="CT76" s="56">
        <f t="shared" si="96"/>
        <v>-2941.0107732999845</v>
      </c>
      <c r="CU76" s="87">
        <f t="shared" si="97"/>
        <v>3935.1210907863569</v>
      </c>
      <c r="CV76" s="70">
        <f t="shared" si="98"/>
        <v>405.90816282637581</v>
      </c>
      <c r="CW76" s="37">
        <f t="shared" si="99"/>
        <v>-3529.2129279599812</v>
      </c>
      <c r="CX76" s="42">
        <f>'[1]побудинковий звіт'!CX76+'[2]побудинковий звіт'!CX76-'[3]побудинковий звіт'!CX76</f>
        <v>176.91890921364347</v>
      </c>
      <c r="CY76" s="42">
        <f>'[1]побудинковий звіт'!CY76+'[2]побудинковий звіт'!CY76-'[3]побудинковий звіт'!CY76</f>
        <v>3706.1318371736247</v>
      </c>
      <c r="CZ76" s="56">
        <f t="shared" si="100"/>
        <v>3529.2129279599812</v>
      </c>
      <c r="DA76" s="264">
        <f>'[4]побудинковий звіт'!DA76</f>
        <v>-9973.9241581750612</v>
      </c>
      <c r="DB76" s="2">
        <v>3</v>
      </c>
      <c r="DC76" s="717">
        <f>'[4]побудинковий звіт'!DC76</f>
        <v>-982.36</v>
      </c>
      <c r="DD76" s="717">
        <f>'[4]побудинковий звіт'!DD76</f>
        <v>0</v>
      </c>
      <c r="DE76" s="717">
        <f>'[4]побудинковий звіт'!DE76</f>
        <v>-1325.03</v>
      </c>
      <c r="DF76" s="717">
        <f>'[4]побудинковий звіт'!DF76</f>
        <v>0</v>
      </c>
      <c r="DG76" s="787">
        <v>-5114.2343649282502</v>
      </c>
      <c r="DH76" s="761">
        <f t="shared" si="109"/>
        <v>49344.48000000001</v>
      </c>
      <c r="DI76" s="784"/>
      <c r="DJ76" s="5"/>
      <c r="DK76" s="317">
        <f>VLOOKUP($A76,ціни!$A$4:$G$401,5)</f>
        <v>1.5806432733209343</v>
      </c>
      <c r="DL76" s="317"/>
      <c r="DM76" s="317">
        <f>VLOOKUP($A76,ціни!$A$4:$G$401,7)</f>
        <v>1.5806432733209343</v>
      </c>
      <c r="DN76" s="30">
        <f t="shared" si="111"/>
        <v>475.29943228760493</v>
      </c>
      <c r="DO76" s="30">
        <f t="shared" si="112"/>
        <v>0</v>
      </c>
      <c r="DP76" s="316">
        <f t="shared" si="101"/>
        <v>475.29943228760493</v>
      </c>
      <c r="DQ76" s="104"/>
      <c r="DR76" s="30">
        <f>VLOOKUP(A76,'ДЗ нас '!$A$1:$C$359,2)</f>
        <v>342.67</v>
      </c>
      <c r="DS76" s="748"/>
      <c r="DT76" s="30">
        <f t="shared" si="102"/>
        <v>342.67</v>
      </c>
      <c r="DU76" s="257">
        <f>VLOOKUP(A76,'новий кошторис с 01.06'!$A$4:$AI$399,35)*1.2</f>
        <v>345.63480247406835</v>
      </c>
      <c r="DV76" s="30">
        <f t="shared" si="103"/>
        <v>-2.9648024740683354</v>
      </c>
      <c r="DW76" s="930">
        <f>'[5]побудинковий звіт'!DW76+'[6]побудинковий звіт'!DW76</f>
        <v>0</v>
      </c>
      <c r="DY76" s="5">
        <f t="shared" si="104"/>
        <v>3480.5526221974051</v>
      </c>
      <c r="DZ76" s="5">
        <f t="shared" si="105"/>
        <v>0</v>
      </c>
      <c r="EA76" s="752">
        <f t="shared" si="110"/>
        <v>-1325.03</v>
      </c>
      <c r="EC76" s="592">
        <f t="shared" si="106"/>
        <v>34805.526221974054</v>
      </c>
      <c r="EE76" s="758">
        <v>-2215</v>
      </c>
      <c r="EF76" s="738">
        <f t="shared" si="107"/>
        <v>-7329.2343649282502</v>
      </c>
      <c r="EH76" s="813">
        <v>-6926.2244523711861</v>
      </c>
    </row>
    <row r="77" spans="1:138" x14ac:dyDescent="0.3">
      <c r="A77" s="328">
        <v>150000644</v>
      </c>
      <c r="B77" s="44" t="s">
        <v>526</v>
      </c>
      <c r="C77" s="45" t="s">
        <v>67</v>
      </c>
      <c r="D77" s="45" t="s">
        <v>67</v>
      </c>
      <c r="E77" s="40">
        <f t="shared" si="108"/>
        <v>293.5</v>
      </c>
      <c r="F77" s="490">
        <v>293.5</v>
      </c>
      <c r="G77" s="30"/>
      <c r="H77" s="30">
        <v>0</v>
      </c>
      <c r="I77" s="42">
        <f>'[1]побудинковий звіт'!I77+'[2]побудинковий звіт'!I77-'[3]побудинковий звіт'!I77</f>
        <v>0</v>
      </c>
      <c r="J77" s="42">
        <f>'[1]побудинковий звіт'!J77+'[2]побудинковий звіт'!J77-'[3]побудинковий звіт'!J77</f>
        <v>0</v>
      </c>
      <c r="K77" s="56">
        <f t="shared" si="66"/>
        <v>0</v>
      </c>
      <c r="L77" s="42">
        <f>'[1]побудинковий звіт'!L77+'[2]побудинковий звіт'!L77-'[3]побудинковий звіт'!L77</f>
        <v>0</v>
      </c>
      <c r="M77" s="42">
        <f>'[1]побудинковий звіт'!M77+'[2]побудинковий звіт'!M77-'[3]побудинковий звіт'!M77</f>
        <v>0</v>
      </c>
      <c r="N77" s="56">
        <f t="shared" si="67"/>
        <v>0</v>
      </c>
      <c r="O77" s="42">
        <f>'[1]побудинковий звіт'!O77+'[2]побудинковий звіт'!O77-'[3]побудинковий звіт'!O77</f>
        <v>269.39999999999992</v>
      </c>
      <c r="P77" s="42">
        <f>'[1]побудинковий звіт'!P77+'[2]побудинковий звіт'!P77-'[3]побудинковий звіт'!P77</f>
        <v>269.39999999999992</v>
      </c>
      <c r="Q77" s="56">
        <f t="shared" si="68"/>
        <v>0</v>
      </c>
      <c r="R77" s="42">
        <f>'[1]побудинковий звіт'!R77+'[2]побудинковий звіт'!R77-'[3]побудинковий звіт'!R77</f>
        <v>0</v>
      </c>
      <c r="S77" s="42">
        <f>'[1]побудинковий звіт'!S77+'[2]побудинковий звіт'!S77-'[3]побудинковий звіт'!S77</f>
        <v>0</v>
      </c>
      <c r="T77" s="56">
        <f t="shared" si="69"/>
        <v>0</v>
      </c>
      <c r="U77" s="42">
        <f>'[1]побудинковий звіт'!U77+'[2]побудинковий звіт'!U77-'[3]побудинковий звіт'!U77</f>
        <v>0</v>
      </c>
      <c r="V77" s="42">
        <f>'[1]побудинковий звіт'!V77+'[2]побудинковий звіт'!V77-'[3]побудинковий звіт'!V77</f>
        <v>0</v>
      </c>
      <c r="W77" s="56">
        <f t="shared" si="70"/>
        <v>0</v>
      </c>
      <c r="X77" s="42">
        <f>'[1]побудинковий звіт'!X77+'[2]побудинковий звіт'!X77-'[3]побудинковий звіт'!X77</f>
        <v>0</v>
      </c>
      <c r="Y77" s="42">
        <f>'[1]побудинковий звіт'!Y77+'[2]побудинковий звіт'!Y77-'[3]побудинковий звіт'!Y77</f>
        <v>0</v>
      </c>
      <c r="Z77" s="56">
        <f t="shared" si="71"/>
        <v>0</v>
      </c>
      <c r="AA77" s="42">
        <f>'[1]побудинковий звіт'!AA77+'[2]побудинковий звіт'!AA77-'[3]побудинковий звіт'!AA77</f>
        <v>0</v>
      </c>
      <c r="AB77" s="42">
        <f>'[1]побудинковий звіт'!AB77+'[2]побудинковий звіт'!AB77-'[3]побудинковий звіт'!AB77</f>
        <v>0</v>
      </c>
      <c r="AC77" s="56">
        <f t="shared" si="72"/>
        <v>0</v>
      </c>
      <c r="AD77" s="42">
        <f>'[1]побудинковий звіт'!AD77+'[2]побудинковий звіт'!AD77-'[3]побудинковий звіт'!AD77</f>
        <v>0</v>
      </c>
      <c r="AE77" s="42">
        <f>'[1]побудинковий звіт'!AE77+'[2]побудинковий звіт'!AE77-'[3]побудинковий звіт'!AE77</f>
        <v>143.0158227452047</v>
      </c>
      <c r="AF77" s="37">
        <f t="shared" si="73"/>
        <v>143.0158227452047</v>
      </c>
      <c r="AG77" s="87">
        <f t="shared" si="61"/>
        <v>269.39999999999992</v>
      </c>
      <c r="AH77" s="57">
        <f t="shared" si="61"/>
        <v>412.41582274520465</v>
      </c>
      <c r="AI77" s="56">
        <f t="shared" si="74"/>
        <v>143.01582274520473</v>
      </c>
      <c r="AJ77" s="42">
        <f>'[1]побудинковий звіт'!AJ77+'[2]побудинковий звіт'!AJ77-'[3]побудинковий звіт'!AJ77</f>
        <v>0</v>
      </c>
      <c r="AK77" s="42">
        <f>'[1]побудинковий звіт'!AK77+'[2]побудинковий звіт'!AK77-'[3]побудинковий звіт'!AK77</f>
        <v>0</v>
      </c>
      <c r="AL77" s="56">
        <f t="shared" si="75"/>
        <v>0</v>
      </c>
      <c r="AM77" s="42">
        <f>'[1]побудинковий звіт'!AM77+'[2]побудинковий звіт'!AM77-'[3]побудинковий звіт'!AM77</f>
        <v>0</v>
      </c>
      <c r="AN77" s="42">
        <f>'[1]побудинковий звіт'!AN77+'[2]побудинковий звіт'!AN77-'[3]побудинковий звіт'!AN77</f>
        <v>0</v>
      </c>
      <c r="AO77" s="56">
        <f t="shared" si="76"/>
        <v>0</v>
      </c>
      <c r="AP77" s="42">
        <f>'[1]побудинковий звіт'!AP77+'[2]побудинковий звіт'!AP77-'[3]побудинковий звіт'!AP77</f>
        <v>378.80705715745984</v>
      </c>
      <c r="AQ77" s="42">
        <f>'[1]побудинковий звіт'!AQ77+'[2]побудинковий звіт'!AQ77-'[3]побудинковий звіт'!AQ77</f>
        <v>378.61617200841994</v>
      </c>
      <c r="AR77" s="56">
        <f t="shared" si="77"/>
        <v>-0.19088514903990017</v>
      </c>
      <c r="AS77" s="42">
        <f>'[1]побудинковий звіт'!AS77+'[2]побудинковий звіт'!AS77-'[3]побудинковий звіт'!AS77</f>
        <v>2965.3624077159639</v>
      </c>
      <c r="AT77" s="42">
        <f>'[1]побудинковий звіт'!AT77+'[2]побудинковий звіт'!AT77-'[3]побудинковий звіт'!AT77</f>
        <v>0</v>
      </c>
      <c r="AU77" s="58">
        <f t="shared" si="78"/>
        <v>-2965.3624077159639</v>
      </c>
      <c r="AV77" s="42">
        <f>'[1]побудинковий звіт'!AV77+'[2]побудинковий звіт'!AV77-'[3]побудинковий звіт'!AV77</f>
        <v>0</v>
      </c>
      <c r="AW77" s="42">
        <f>'[1]побудинковий звіт'!AW77+'[2]побудинковий звіт'!AW77-'[3]побудинковий звіт'!AW77</f>
        <v>0</v>
      </c>
      <c r="AX77" s="59">
        <f t="shared" si="79"/>
        <v>0</v>
      </c>
      <c r="AY77" s="42">
        <f>'[1]побудинковий звіт'!AY77+'[2]побудинковий звіт'!AY77-'[3]побудинковий звіт'!AY77</f>
        <v>0</v>
      </c>
      <c r="AZ77" s="42">
        <f>'[1]побудинковий звіт'!AZ77+'[2]побудинковий звіт'!AZ77-'[3]побудинковий звіт'!AZ77</f>
        <v>0</v>
      </c>
      <c r="BA77" s="37">
        <f t="shared" si="80"/>
        <v>0</v>
      </c>
      <c r="BB77" s="42">
        <f>'[1]побудинковий звіт'!BB77+'[2]побудинковий звіт'!BB77-'[3]побудинковий звіт'!BB77</f>
        <v>100.58685768636319</v>
      </c>
      <c r="BC77" s="42">
        <f>'[1]побудинковий звіт'!BC77+'[2]побудинковий звіт'!BC77-'[3]побудинковий звіт'!BC77</f>
        <v>0</v>
      </c>
      <c r="BD77" s="59">
        <f t="shared" si="81"/>
        <v>-100.58685768636319</v>
      </c>
      <c r="BE77" s="42">
        <f>'[1]побудинковий звіт'!BE77+'[2]побудинковий звіт'!BE77-'[3]побудинковий звіт'!BE77</f>
        <v>0</v>
      </c>
      <c r="BF77" s="42">
        <f>'[1]побудинковий звіт'!BF77+'[2]побудинковий звіт'!BF77-'[3]побудинковий звіт'!BF77</f>
        <v>0</v>
      </c>
      <c r="BG77" s="39">
        <f t="shared" si="82"/>
        <v>0</v>
      </c>
      <c r="BH77" s="42">
        <f>'[1]побудинковий звіт'!BH77+'[2]побудинковий звіт'!BH77-'[3]побудинковий звіт'!BH77</f>
        <v>0</v>
      </c>
      <c r="BI77" s="42">
        <f>'[1]побудинковий звіт'!BI77+'[2]побудинковий звіт'!BI77-'[3]побудинковий звіт'!BI77</f>
        <v>0</v>
      </c>
      <c r="BJ77" s="59">
        <f t="shared" si="83"/>
        <v>0</v>
      </c>
      <c r="BK77" s="42">
        <f>'[1]побудинковий звіт'!BK77+'[2]побудинковий звіт'!BK77-'[3]побудинковий звіт'!BK77</f>
        <v>0</v>
      </c>
      <c r="BL77" s="42">
        <f>'[1]побудинковий звіт'!BL77+'[2]побудинковий звіт'!BL77-'[3]побудинковий звіт'!BL77</f>
        <v>0</v>
      </c>
      <c r="BM77" s="39">
        <f t="shared" si="84"/>
        <v>0</v>
      </c>
      <c r="BN77" s="42">
        <f>'[1]побудинковий звіт'!BN77+'[2]побудинковий звіт'!BN77-'[3]побудинковий звіт'!BN77</f>
        <v>0</v>
      </c>
      <c r="BO77" s="42">
        <f>'[1]побудинковий звіт'!BO77+'[2]побудинковий звіт'!BO77-'[3]побудинковий звіт'!BO77</f>
        <v>0</v>
      </c>
      <c r="BP77" s="59">
        <f t="shared" si="85"/>
        <v>0</v>
      </c>
      <c r="BQ77" s="87">
        <f t="shared" si="62"/>
        <v>100.58685768636319</v>
      </c>
      <c r="BR77" s="43">
        <f t="shared" si="63"/>
        <v>0</v>
      </c>
      <c r="BS77" s="59">
        <f t="shared" si="86"/>
        <v>-100.58685768636319</v>
      </c>
      <c r="BT77" s="42">
        <f>'[1]побудинковий звіт'!BT77+'[2]побудинковий звіт'!BT77-'[3]побудинковий звіт'!BT77</f>
        <v>0</v>
      </c>
      <c r="BU77" s="42">
        <f>'[1]побудинковий звіт'!BU77+'[2]побудинковий звіт'!BU77-'[3]побудинковий звіт'!BU77</f>
        <v>0</v>
      </c>
      <c r="BV77" s="56">
        <f t="shared" si="87"/>
        <v>0</v>
      </c>
      <c r="BW77" s="42">
        <f>'[1]побудинковий звіт'!BW77+'[2]побудинковий звіт'!BW77-'[3]побудинковий звіт'!BW77</f>
        <v>0</v>
      </c>
      <c r="BX77" s="42">
        <f>'[1]побудинковий звіт'!BX77+'[2]побудинковий звіт'!BX77-'[3]побудинковий звіт'!BX77</f>
        <v>6.916228172654499</v>
      </c>
      <c r="BY77" s="56">
        <f t="shared" si="88"/>
        <v>6.916228172654499</v>
      </c>
      <c r="BZ77" s="42">
        <f>'[1]побудинковий звіт'!BZ77+'[2]побудинковий звіт'!BZ77-'[3]побудинковий звіт'!BZ77</f>
        <v>0</v>
      </c>
      <c r="CA77" s="42">
        <f>'[1]побудинковий звіт'!CA77+'[2]побудинковий звіт'!CA77-'[3]побудинковий звіт'!CA77</f>
        <v>0</v>
      </c>
      <c r="CB77" s="56">
        <f t="shared" si="89"/>
        <v>0</v>
      </c>
      <c r="CC77" s="42">
        <f>'[1]побудинковий звіт'!CC77+'[2]побудинковий звіт'!CC77-'[3]побудинковий звіт'!CC77</f>
        <v>0</v>
      </c>
      <c r="CD77" s="42">
        <f>'[1]побудинковий звіт'!CD77+'[2]побудинковий звіт'!CD77-'[3]побудинковий звіт'!CD77</f>
        <v>0</v>
      </c>
      <c r="CE77" s="56">
        <f t="shared" si="90"/>
        <v>0</v>
      </c>
      <c r="CF77" s="42">
        <f>'[1]побудинковий звіт'!CF77+'[2]побудинковий звіт'!CF77-'[3]побудинковий звіт'!CF77</f>
        <v>0</v>
      </c>
      <c r="CG77" s="42">
        <f>'[1]побудинковий звіт'!CG77+'[2]побудинковий звіт'!CG77-'[3]побудинковий звіт'!CG77</f>
        <v>0</v>
      </c>
      <c r="CH77" s="56">
        <f t="shared" si="91"/>
        <v>0</v>
      </c>
      <c r="CI77" s="42">
        <f>'[1]побудинковий звіт'!CI77+'[2]побудинковий звіт'!CI77-'[3]побудинковий звіт'!CI77</f>
        <v>0</v>
      </c>
      <c r="CJ77" s="42">
        <f>'[1]побудинковий звіт'!CJ77+'[2]побудинковий звіт'!CJ77-'[3]побудинковий звіт'!CJ77</f>
        <v>0</v>
      </c>
      <c r="CK77" s="56">
        <f t="shared" si="92"/>
        <v>0</v>
      </c>
      <c r="CL77" s="42">
        <f>'[1]побудинковий звіт'!CL77+'[2]побудинковий звіт'!CL77-'[3]побудинковий звіт'!CL77</f>
        <v>0</v>
      </c>
      <c r="CM77" s="42">
        <f>'[1]побудинковий звіт'!CM77+'[2]побудинковий звіт'!CM77-'[3]побудинковий звіт'!CM77</f>
        <v>0</v>
      </c>
      <c r="CN77" s="56">
        <f t="shared" si="93"/>
        <v>0</v>
      </c>
      <c r="CO77" s="42">
        <f t="shared" si="64"/>
        <v>0</v>
      </c>
      <c r="CP77" s="43">
        <f t="shared" si="94"/>
        <v>0</v>
      </c>
      <c r="CQ77" s="56">
        <f t="shared" si="95"/>
        <v>0</v>
      </c>
      <c r="CR77" s="78">
        <f t="shared" si="65"/>
        <v>3714.1563225597865</v>
      </c>
      <c r="CS77" s="5">
        <f t="shared" si="65"/>
        <v>797.94822292627907</v>
      </c>
      <c r="CT77" s="56">
        <f t="shared" si="96"/>
        <v>-2916.2080996335076</v>
      </c>
      <c r="CU77" s="87">
        <f t="shared" si="97"/>
        <v>4456.9875870717433</v>
      </c>
      <c r="CV77" s="70">
        <f t="shared" si="98"/>
        <v>957.53786751153484</v>
      </c>
      <c r="CW77" s="37">
        <f t="shared" si="99"/>
        <v>-3499.4497195602085</v>
      </c>
      <c r="CX77" s="42">
        <f>'[1]побудинковий звіт'!CX77+'[2]побудинковий звіт'!CX77-'[3]побудинковий звіт'!CX77</f>
        <v>111.41241292825725</v>
      </c>
      <c r="CY77" s="42">
        <f>'[1]побудинковий звіт'!CY77+'[2]побудинковий звіт'!CY77-'[3]побудинковий звіт'!CY77</f>
        <v>3610.8621324884652</v>
      </c>
      <c r="CZ77" s="56">
        <f t="shared" si="100"/>
        <v>3499.449719560208</v>
      </c>
      <c r="DA77" s="264">
        <f>'[4]побудинковий звіт'!DA77</f>
        <v>-7395.8573848682609</v>
      </c>
      <c r="DB77" s="2">
        <v>3</v>
      </c>
      <c r="DC77" s="717">
        <f>'[4]побудинковий звіт'!DC77</f>
        <v>380.7</v>
      </c>
      <c r="DD77" s="717">
        <f>'[4]побудинковий звіт'!DD77</f>
        <v>0</v>
      </c>
      <c r="DE77" s="717">
        <f>'[4]побудинковий звіт'!DE77</f>
        <v>0</v>
      </c>
      <c r="DF77" s="717">
        <f>'[4]побудинковий звіт'!DF77</f>
        <v>0</v>
      </c>
      <c r="DG77" s="787">
        <v>-3314.7915409909883</v>
      </c>
      <c r="DH77" s="761">
        <f t="shared" si="109"/>
        <v>54820.800000000003</v>
      </c>
      <c r="DI77" s="784"/>
      <c r="DJ77" s="5"/>
      <c r="DK77" s="317">
        <f>VLOOKUP($A77,ціни!$A$4:$G$401,5)</f>
        <v>1.7731766328010157</v>
      </c>
      <c r="DL77" s="317"/>
      <c r="DM77" s="317">
        <f>VLOOKUP($A77,ціни!$A$4:$G$401,7)</f>
        <v>1.7731766328010157</v>
      </c>
      <c r="DN77" s="30">
        <f t="shared" si="111"/>
        <v>520.42734172709811</v>
      </c>
      <c r="DO77" s="30">
        <f t="shared" si="112"/>
        <v>0</v>
      </c>
      <c r="DP77" s="316">
        <f t="shared" si="101"/>
        <v>520.42734172709811</v>
      </c>
      <c r="DQ77" s="104"/>
      <c r="DR77" s="30">
        <f>VLOOKUP(A77,'ДЗ нас '!$A$1:$C$359,2)</f>
        <v>380.7</v>
      </c>
      <c r="DS77" s="748"/>
      <c r="DT77" s="30">
        <f t="shared" si="102"/>
        <v>380.7</v>
      </c>
      <c r="DU77" s="257">
        <f>VLOOKUP(A77,'новий кошторис с 01.06'!$A$4:$AI$399,35)*1.2</f>
        <v>382.5581012236579</v>
      </c>
      <c r="DV77" s="30">
        <f t="shared" si="103"/>
        <v>-1.8581012236579113</v>
      </c>
      <c r="DW77" s="930">
        <f>'[5]побудинковий звіт'!DW77+'[6]побудинковий звіт'!DW77</f>
        <v>0</v>
      </c>
      <c r="DY77" s="5">
        <f t="shared" si="104"/>
        <v>3679.1391184827921</v>
      </c>
      <c r="DZ77" s="5">
        <f t="shared" si="105"/>
        <v>0</v>
      </c>
      <c r="EA77" s="752">
        <f t="shared" si="110"/>
        <v>0</v>
      </c>
      <c r="EC77" s="592">
        <f t="shared" si="106"/>
        <v>35584.348892591566</v>
      </c>
      <c r="EE77" s="758">
        <v>-1605</v>
      </c>
      <c r="EF77" s="738">
        <f t="shared" si="107"/>
        <v>-4919.7915409909883</v>
      </c>
      <c r="EH77" s="813">
        <v>-4412.7073573950893</v>
      </c>
    </row>
    <row r="78" spans="1:138" x14ac:dyDescent="0.3">
      <c r="A78" s="328">
        <v>150000566</v>
      </c>
      <c r="B78" s="44" t="s">
        <v>527</v>
      </c>
      <c r="C78" s="45" t="s">
        <v>68</v>
      </c>
      <c r="D78" s="45" t="s">
        <v>68</v>
      </c>
      <c r="E78" s="40">
        <f t="shared" si="108"/>
        <v>8443.0499999999993</v>
      </c>
      <c r="F78" s="490">
        <v>8443.0499999999993</v>
      </c>
      <c r="G78" s="30"/>
      <c r="H78" s="30">
        <v>0</v>
      </c>
      <c r="I78" s="42">
        <f>'[1]побудинковий звіт'!I78+'[2]побудинковий звіт'!I78-'[3]побудинковий звіт'!I78</f>
        <v>0</v>
      </c>
      <c r="J78" s="42">
        <f>'[1]побудинковий звіт'!J78+'[2]побудинковий звіт'!J78-'[3]побудинковий звіт'!J78</f>
        <v>0</v>
      </c>
      <c r="K78" s="56">
        <f t="shared" si="66"/>
        <v>0</v>
      </c>
      <c r="L78" s="42">
        <f>'[1]побудинковий звіт'!L78+'[2]побудинковий звіт'!L78-'[3]побудинковий звіт'!L78</f>
        <v>0</v>
      </c>
      <c r="M78" s="42">
        <f>'[1]побудинковий звіт'!M78+'[2]побудинковий звіт'!M78-'[3]побудинковий звіт'!M78</f>
        <v>0</v>
      </c>
      <c r="N78" s="56">
        <f t="shared" si="67"/>
        <v>0</v>
      </c>
      <c r="O78" s="42">
        <f>'[1]побудинковий звіт'!O78+'[2]побудинковий звіт'!O78-'[3]побудинковий звіт'!O78</f>
        <v>0</v>
      </c>
      <c r="P78" s="42">
        <f>'[1]побудинковий звіт'!P78+'[2]побудинковий звіт'!P78-'[3]побудинковий звіт'!P78</f>
        <v>0</v>
      </c>
      <c r="Q78" s="56">
        <f t="shared" si="68"/>
        <v>0</v>
      </c>
      <c r="R78" s="42">
        <f>'[1]побудинковий звіт'!R78+'[2]побудинковий звіт'!R78-'[3]побудинковий звіт'!R78</f>
        <v>0</v>
      </c>
      <c r="S78" s="42">
        <f>'[1]побудинковий звіт'!S78+'[2]побудинковий звіт'!S78-'[3]побудинковий звіт'!S78</f>
        <v>0</v>
      </c>
      <c r="T78" s="56">
        <f t="shared" si="69"/>
        <v>0</v>
      </c>
      <c r="U78" s="42">
        <f>'[1]побудинковий звіт'!U78+'[2]побудинковий звіт'!U78-'[3]побудинковий звіт'!U78</f>
        <v>0</v>
      </c>
      <c r="V78" s="42">
        <f>'[1]побудинковий звіт'!V78+'[2]побудинковий звіт'!V78-'[3]побудинковий звіт'!V78</f>
        <v>0</v>
      </c>
      <c r="W78" s="56">
        <f t="shared" si="70"/>
        <v>0</v>
      </c>
      <c r="X78" s="42">
        <f>'[1]побудинковий звіт'!X78+'[2]побудинковий звіт'!X78-'[3]побудинковий звіт'!X78</f>
        <v>0</v>
      </c>
      <c r="Y78" s="42">
        <f>'[1]побудинковий звіт'!Y78+'[2]побудинковий звіт'!Y78-'[3]побудинковий звіт'!Y78</f>
        <v>0</v>
      </c>
      <c r="Z78" s="56">
        <f t="shared" si="71"/>
        <v>0</v>
      </c>
      <c r="AA78" s="42">
        <f>'[1]побудинковий звіт'!AA78+'[2]побудинковий звіт'!AA78-'[3]побудинковий звіт'!AA78</f>
        <v>0</v>
      </c>
      <c r="AB78" s="42">
        <f>'[1]побудинковий звіт'!AB78+'[2]побудинковий звіт'!AB78-'[3]побудинковий звіт'!AB78</f>
        <v>0</v>
      </c>
      <c r="AC78" s="56">
        <f t="shared" si="72"/>
        <v>0</v>
      </c>
      <c r="AD78" s="42">
        <f>'[1]побудинковий звіт'!AD78+'[2]побудинковий звіт'!AD78-'[3]побудинковий звіт'!AD78</f>
        <v>0</v>
      </c>
      <c r="AE78" s="42">
        <f>'[1]побудинковий звіт'!AE78+'[2]побудинковий звіт'!AE78-'[3]побудинковий звіт'!AE78</f>
        <v>264.98227428058885</v>
      </c>
      <c r="AF78" s="37">
        <f t="shared" si="73"/>
        <v>264.98227428058885</v>
      </c>
      <c r="AG78" s="87">
        <f t="shared" si="61"/>
        <v>0</v>
      </c>
      <c r="AH78" s="57">
        <f t="shared" si="61"/>
        <v>264.98227428058885</v>
      </c>
      <c r="AI78" s="56">
        <f t="shared" si="74"/>
        <v>264.98227428058885</v>
      </c>
      <c r="AJ78" s="42">
        <f>'[1]побудинковий звіт'!AJ78+'[2]побудинковий звіт'!AJ78-'[3]побудинковий звіт'!AJ78</f>
        <v>0</v>
      </c>
      <c r="AK78" s="42">
        <f>'[1]побудинковий звіт'!AK78+'[2]побудинковий звіт'!AK78-'[3]побудинковий звіт'!AK78</f>
        <v>0</v>
      </c>
      <c r="AL78" s="56">
        <f t="shared" si="75"/>
        <v>0</v>
      </c>
      <c r="AM78" s="42">
        <f>'[1]побудинковий звіт'!AM78+'[2]побудинковий звіт'!AM78-'[3]побудинковий звіт'!AM78</f>
        <v>0</v>
      </c>
      <c r="AN78" s="42">
        <f>'[1]побудинковий звіт'!AN78+'[2]побудинковий звіт'!AN78-'[3]побудинковий звіт'!AN78</f>
        <v>0</v>
      </c>
      <c r="AO78" s="56">
        <f t="shared" si="76"/>
        <v>0</v>
      </c>
      <c r="AP78" s="42">
        <f>'[1]побудинковий звіт'!AP78+'[2]побудинковий звіт'!AP78-'[3]побудинковий звіт'!AP78</f>
        <v>662.9123500255547</v>
      </c>
      <c r="AQ78" s="42">
        <f>'[1]побудинковий звіт'!AQ78+'[2]побудинковий звіт'!AQ78-'[3]побудинковий звіт'!AQ78</f>
        <v>282.61969836243202</v>
      </c>
      <c r="AR78" s="56">
        <f t="shared" si="77"/>
        <v>-380.29265166312268</v>
      </c>
      <c r="AS78" s="42">
        <f>'[1]побудинковий звіт'!AS78+'[2]побудинковий звіт'!AS78-'[3]побудинковий звіт'!AS78</f>
        <v>6451.2372103066446</v>
      </c>
      <c r="AT78" s="42">
        <f>'[1]побудинковий звіт'!AT78+'[2]побудинковий звіт'!AT78-'[3]побудинковий звіт'!AT78</f>
        <v>0</v>
      </c>
      <c r="AU78" s="58">
        <f t="shared" si="78"/>
        <v>-6451.2372103066446</v>
      </c>
      <c r="AV78" s="42">
        <f>'[1]побудинковий звіт'!AV78+'[2]побудинковий звіт'!AV78-'[3]побудинковий звіт'!AV78</f>
        <v>0</v>
      </c>
      <c r="AW78" s="42">
        <f>'[1]побудинковий звіт'!AW78+'[2]побудинковий звіт'!AW78-'[3]побудинковий звіт'!AW78</f>
        <v>0</v>
      </c>
      <c r="AX78" s="59">
        <f t="shared" si="79"/>
        <v>0</v>
      </c>
      <c r="AY78" s="42">
        <f>'[1]побудинковий звіт'!AY78+'[2]побудинковий звіт'!AY78-'[3]побудинковий звіт'!AY78</f>
        <v>0</v>
      </c>
      <c r="AZ78" s="42">
        <f>'[1]побудинковий звіт'!AZ78+'[2]побудинковий звіт'!AZ78-'[3]побудинковий звіт'!AZ78</f>
        <v>0</v>
      </c>
      <c r="BA78" s="37">
        <f t="shared" si="80"/>
        <v>0</v>
      </c>
      <c r="BB78" s="42">
        <f>'[1]побудинковий звіт'!BB78+'[2]побудинковий звіт'!BB78-'[3]побудинковий звіт'!BB78</f>
        <v>0</v>
      </c>
      <c r="BC78" s="42">
        <f>'[1]побудинковий звіт'!BC78+'[2]побудинковий звіт'!BC78-'[3]побудинковий звіт'!BC78</f>
        <v>0</v>
      </c>
      <c r="BD78" s="59">
        <f t="shared" si="81"/>
        <v>0</v>
      </c>
      <c r="BE78" s="42">
        <f>'[1]побудинковий звіт'!BE78+'[2]побудинковий звіт'!BE78-'[3]побудинковий звіт'!BE78</f>
        <v>0</v>
      </c>
      <c r="BF78" s="42">
        <f>'[1]побудинковий звіт'!BF78+'[2]побудинковий звіт'!BF78-'[3]побудинковий звіт'!BF78</f>
        <v>0</v>
      </c>
      <c r="BG78" s="39">
        <f t="shared" si="82"/>
        <v>0</v>
      </c>
      <c r="BH78" s="42">
        <f>'[1]побудинковий звіт'!BH78+'[2]побудинковий звіт'!BH78-'[3]побудинковий звіт'!BH78</f>
        <v>0</v>
      </c>
      <c r="BI78" s="42">
        <f>'[1]побудинковий звіт'!BI78+'[2]побудинковий звіт'!BI78-'[3]побудинковий звіт'!BI78</f>
        <v>0</v>
      </c>
      <c r="BJ78" s="59">
        <f t="shared" si="83"/>
        <v>0</v>
      </c>
      <c r="BK78" s="42">
        <f>'[1]побудинковий звіт'!BK78+'[2]побудинковий звіт'!BK78-'[3]побудинковий звіт'!BK78</f>
        <v>0</v>
      </c>
      <c r="BL78" s="42">
        <f>'[1]побудинковий звіт'!BL78+'[2]побудинковий звіт'!BL78-'[3]побудинковий звіт'!BL78</f>
        <v>0</v>
      </c>
      <c r="BM78" s="39">
        <f t="shared" si="84"/>
        <v>0</v>
      </c>
      <c r="BN78" s="42">
        <f>'[1]побудинковий звіт'!BN78+'[2]побудинковий звіт'!BN78-'[3]побудинковий звіт'!BN78</f>
        <v>0</v>
      </c>
      <c r="BO78" s="42">
        <f>'[1]побудинковий звіт'!BO78+'[2]побудинковий звіт'!BO78-'[3]побудинковий звіт'!BO78</f>
        <v>0</v>
      </c>
      <c r="BP78" s="59">
        <f t="shared" si="85"/>
        <v>0</v>
      </c>
      <c r="BQ78" s="87">
        <f t="shared" si="62"/>
        <v>0</v>
      </c>
      <c r="BR78" s="43">
        <f t="shared" si="63"/>
        <v>0</v>
      </c>
      <c r="BS78" s="59">
        <f t="shared" si="86"/>
        <v>0</v>
      </c>
      <c r="BT78" s="42">
        <f>'[1]побудинковий звіт'!BT78+'[2]побудинковий звіт'!BT78-'[3]побудинковий звіт'!BT78</f>
        <v>0</v>
      </c>
      <c r="BU78" s="42">
        <f>'[1]побудинковий звіт'!BU78+'[2]побудинковий звіт'!BU78-'[3]побудинковий звіт'!BU78</f>
        <v>0</v>
      </c>
      <c r="BV78" s="56">
        <f t="shared" si="87"/>
        <v>0</v>
      </c>
      <c r="BW78" s="42">
        <f>'[1]побудинковий звіт'!BW78+'[2]побудинковий звіт'!BW78-'[3]побудинковий звіт'!BW78</f>
        <v>0</v>
      </c>
      <c r="BX78" s="42">
        <f>'[1]побудинковий звіт'!BX78+'[2]побудинковий звіт'!BX78-'[3]побудинковий звіт'!BX78</f>
        <v>12.814511257950437</v>
      </c>
      <c r="BY78" s="56">
        <f t="shared" si="88"/>
        <v>12.814511257950437</v>
      </c>
      <c r="BZ78" s="42">
        <f>'[1]побудинковий звіт'!BZ78+'[2]побудинковий звіт'!BZ78-'[3]побудинковий звіт'!BZ78</f>
        <v>0</v>
      </c>
      <c r="CA78" s="42">
        <f>'[1]побудинковий звіт'!CA78+'[2]побудинковий звіт'!CA78-'[3]побудинковий звіт'!CA78</f>
        <v>0</v>
      </c>
      <c r="CB78" s="56">
        <f t="shared" si="89"/>
        <v>0</v>
      </c>
      <c r="CC78" s="42">
        <f>'[1]побудинковий звіт'!CC78+'[2]побудинковий звіт'!CC78-'[3]побудинковий звіт'!CC78</f>
        <v>0</v>
      </c>
      <c r="CD78" s="42">
        <f>'[1]побудинковий звіт'!CD78+'[2]побудинковий звіт'!CD78-'[3]побудинковий звіт'!CD78</f>
        <v>0</v>
      </c>
      <c r="CE78" s="56">
        <f t="shared" si="90"/>
        <v>0</v>
      </c>
      <c r="CF78" s="42">
        <f>'[1]побудинковий звіт'!CF78+'[2]побудинковий звіт'!CF78-'[3]побудинковий звіт'!CF78</f>
        <v>0</v>
      </c>
      <c r="CG78" s="42">
        <f>'[1]побудинковий звіт'!CG78+'[2]побудинковий звіт'!CG78-'[3]побудинковий звіт'!CG78</f>
        <v>0</v>
      </c>
      <c r="CH78" s="56">
        <f t="shared" si="91"/>
        <v>0</v>
      </c>
      <c r="CI78" s="42">
        <f>'[1]побудинковий звіт'!CI78+'[2]побудинковий звіт'!CI78-'[3]побудинковий звіт'!CI78</f>
        <v>0</v>
      </c>
      <c r="CJ78" s="42">
        <f>'[1]побудинковий звіт'!CJ78+'[2]побудинковий звіт'!CJ78-'[3]побудинковий звіт'!CJ78</f>
        <v>0</v>
      </c>
      <c r="CK78" s="56">
        <f t="shared" si="92"/>
        <v>0</v>
      </c>
      <c r="CL78" s="42">
        <f>'[1]побудинковий звіт'!CL78+'[2]побудинковий звіт'!CL78-'[3]побудинковий звіт'!CL78</f>
        <v>0</v>
      </c>
      <c r="CM78" s="42">
        <f>'[1]побудинковий звіт'!CM78+'[2]побудинковий звіт'!CM78-'[3]побудинковий звіт'!CM78</f>
        <v>0</v>
      </c>
      <c r="CN78" s="56">
        <f t="shared" si="93"/>
        <v>0</v>
      </c>
      <c r="CO78" s="42">
        <f t="shared" si="64"/>
        <v>0</v>
      </c>
      <c r="CP78" s="43">
        <f t="shared" si="94"/>
        <v>0</v>
      </c>
      <c r="CQ78" s="56">
        <f t="shared" si="95"/>
        <v>0</v>
      </c>
      <c r="CR78" s="78">
        <f t="shared" si="65"/>
        <v>7114.1495603321991</v>
      </c>
      <c r="CS78" s="5">
        <f t="shared" si="65"/>
        <v>560.41648390097134</v>
      </c>
      <c r="CT78" s="56">
        <f t="shared" si="96"/>
        <v>-6553.7330764312283</v>
      </c>
      <c r="CU78" s="87">
        <f t="shared" si="97"/>
        <v>8536.9794723986379</v>
      </c>
      <c r="CV78" s="70">
        <f t="shared" si="98"/>
        <v>672.49978068116559</v>
      </c>
      <c r="CW78" s="37">
        <f t="shared" si="99"/>
        <v>-7864.4796917174726</v>
      </c>
      <c r="CX78" s="42">
        <f>'[1]побудинковий звіт'!CX78+'[2]побудинковий звіт'!CX78-'[3]побудинковий звіт'!CX78</f>
        <v>213.4205276013613</v>
      </c>
      <c r="CY78" s="42">
        <f>'[1]побудинковий звіт'!CY78+'[2]побудинковий звіт'!CY78-'[3]побудинковий звіт'!CY78</f>
        <v>8077.9002193188335</v>
      </c>
      <c r="CZ78" s="56">
        <f t="shared" si="100"/>
        <v>7864.4796917174717</v>
      </c>
      <c r="DA78" s="264">
        <f>'[4]побудинковий звіт'!DA78</f>
        <v>-22319.927694081976</v>
      </c>
      <c r="DB78" s="2">
        <v>1</v>
      </c>
      <c r="DC78" s="717">
        <f>'[4]побудинковий звіт'!DC78</f>
        <v>1922.26</v>
      </c>
      <c r="DD78" s="717">
        <f>'[4]побудинковий звіт'!DD78</f>
        <v>0</v>
      </c>
      <c r="DE78" s="717">
        <f>'[4]побудинковий звіт'!DE78</f>
        <v>1193.06</v>
      </c>
      <c r="DF78" s="717">
        <f>'[4]побудинковий звіт'!DF78</f>
        <v>0</v>
      </c>
      <c r="DG78" s="787">
        <v>-10836.685942204278</v>
      </c>
      <c r="DH78" s="761">
        <f t="shared" si="109"/>
        <v>105004.79999999999</v>
      </c>
      <c r="DI78" s="784"/>
      <c r="DJ78" s="5"/>
      <c r="DK78" s="317">
        <f>VLOOKUP($A78,ціни!$A$4:$G$401,5)</f>
        <v>1.8330828798819481</v>
      </c>
      <c r="DL78" s="317"/>
      <c r="DM78" s="317">
        <f>VLOOKUP($A78,ціни!$A$4:$G$401,7)</f>
        <v>1.8330828798819481</v>
      </c>
      <c r="DN78" s="30">
        <f t="shared" si="111"/>
        <v>15476.81040898728</v>
      </c>
      <c r="DO78" s="30">
        <f t="shared" si="112"/>
        <v>0</v>
      </c>
      <c r="DP78" s="316">
        <f t="shared" si="101"/>
        <v>15476.81040898728</v>
      </c>
      <c r="DQ78" s="104"/>
      <c r="DR78" s="30">
        <f>VLOOKUP(A78,'ДЗ нас '!$A$1:$C$359,2)</f>
        <v>729.2</v>
      </c>
      <c r="DS78" s="748"/>
      <c r="DT78" s="30">
        <f t="shared" si="102"/>
        <v>729.2</v>
      </c>
      <c r="DU78" s="257">
        <f>VLOOKUP(A78,'новий кошторис с 01.06'!$A$4:$AI$399,35)*1.2</f>
        <v>732.75740587566975</v>
      </c>
      <c r="DV78" s="30">
        <f t="shared" si="103"/>
        <v>-3.5574058756697013</v>
      </c>
      <c r="DW78" s="930">
        <f>'[5]побудинковий звіт'!DW78+'[6]побудинковий звіт'!DW78</f>
        <v>0</v>
      </c>
      <c r="DY78" s="5">
        <f t="shared" si="104"/>
        <v>7741.4846523679735</v>
      </c>
      <c r="DZ78" s="5">
        <f t="shared" si="105"/>
        <v>0</v>
      </c>
      <c r="EA78" s="752">
        <f t="shared" si="110"/>
        <v>1193.06</v>
      </c>
      <c r="EC78" s="594">
        <f t="shared" si="106"/>
        <v>77414.846523679735</v>
      </c>
      <c r="EE78" s="758">
        <v>-4734</v>
      </c>
      <c r="EF78" s="738">
        <f t="shared" si="107"/>
        <v>-15570.685942204278</v>
      </c>
      <c r="EH78" s="813">
        <v>-15558.385993095904</v>
      </c>
    </row>
    <row r="79" spans="1:138" x14ac:dyDescent="0.3">
      <c r="A79" s="328">
        <v>150000569</v>
      </c>
      <c r="B79" s="44" t="s">
        <v>529</v>
      </c>
      <c r="C79" s="45" t="s">
        <v>72</v>
      </c>
      <c r="D79" s="45" t="s">
        <v>72</v>
      </c>
      <c r="E79" s="40">
        <f t="shared" si="108"/>
        <v>174.9</v>
      </c>
      <c r="F79" s="490">
        <v>174.9</v>
      </c>
      <c r="G79" s="30"/>
      <c r="H79" s="30">
        <v>0</v>
      </c>
      <c r="I79" s="42">
        <f>'[1]побудинковий звіт'!I79+'[2]побудинковий звіт'!I79-'[3]побудинковий звіт'!I79</f>
        <v>0</v>
      </c>
      <c r="J79" s="42">
        <f>'[1]побудинковий звіт'!J79+'[2]побудинковий звіт'!J79-'[3]побудинковий звіт'!J79</f>
        <v>0</v>
      </c>
      <c r="K79" s="56">
        <f t="shared" si="66"/>
        <v>0</v>
      </c>
      <c r="L79" s="42">
        <f>'[1]побудинковий звіт'!L79+'[2]побудинковий звіт'!L79-'[3]побудинковий звіт'!L79</f>
        <v>0</v>
      </c>
      <c r="M79" s="42">
        <f>'[1]побудинковий звіт'!M79+'[2]побудинковий звіт'!M79-'[3]побудинковий звіт'!M79</f>
        <v>0</v>
      </c>
      <c r="N79" s="56">
        <f t="shared" si="67"/>
        <v>0</v>
      </c>
      <c r="O79" s="42">
        <f>'[1]побудинковий звіт'!O79+'[2]побудинковий звіт'!O79-'[3]побудинковий звіт'!O79</f>
        <v>0</v>
      </c>
      <c r="P79" s="42">
        <f>'[1]побудинковий звіт'!P79+'[2]побудинковий звіт'!P79-'[3]побудинковий звіт'!P79</f>
        <v>0</v>
      </c>
      <c r="Q79" s="56">
        <f t="shared" si="68"/>
        <v>0</v>
      </c>
      <c r="R79" s="42">
        <f>'[1]побудинковий звіт'!R79+'[2]побудинковий звіт'!R79-'[3]побудинковий звіт'!R79</f>
        <v>0</v>
      </c>
      <c r="S79" s="42">
        <f>'[1]побудинковий звіт'!S79+'[2]побудинковий звіт'!S79-'[3]побудинковий звіт'!S79</f>
        <v>0</v>
      </c>
      <c r="T79" s="56">
        <f t="shared" si="69"/>
        <v>0</v>
      </c>
      <c r="U79" s="42">
        <f>'[1]побудинковий звіт'!U79+'[2]побудинковий звіт'!U79-'[3]побудинковий звіт'!U79</f>
        <v>0</v>
      </c>
      <c r="V79" s="42">
        <f>'[1]побудинковий звіт'!V79+'[2]побудинковий звіт'!V79-'[3]побудинковий звіт'!V79</f>
        <v>0</v>
      </c>
      <c r="W79" s="56">
        <f t="shared" si="70"/>
        <v>0</v>
      </c>
      <c r="X79" s="42">
        <f>'[1]побудинковий звіт'!X79+'[2]побудинковий звіт'!X79-'[3]побудинковий звіт'!X79</f>
        <v>0</v>
      </c>
      <c r="Y79" s="42">
        <f>'[1]побудинковий звіт'!Y79+'[2]побудинковий звіт'!Y79-'[3]побудинковий звіт'!Y79</f>
        <v>0</v>
      </c>
      <c r="Z79" s="56">
        <f t="shared" si="71"/>
        <v>0</v>
      </c>
      <c r="AA79" s="42">
        <f>'[1]побудинковий звіт'!AA79+'[2]побудинковий звіт'!AA79-'[3]побудинковий звіт'!AA79</f>
        <v>0</v>
      </c>
      <c r="AB79" s="42">
        <f>'[1]побудинковий звіт'!AB79+'[2]побудинковий звіт'!AB79-'[3]побудинковий звіт'!AB79</f>
        <v>0</v>
      </c>
      <c r="AC79" s="56">
        <f t="shared" si="72"/>
        <v>0</v>
      </c>
      <c r="AD79" s="42">
        <f>'[1]побудинковий звіт'!AD79+'[2]побудинковий звіт'!AD79-'[3]побудинковий звіт'!AD79</f>
        <v>0</v>
      </c>
      <c r="AE79" s="42">
        <f>'[1]побудинковий звіт'!AE79+'[2]побудинковий звіт'!AE79-'[3]побудинковий звіт'!AE79</f>
        <v>163.59891041556719</v>
      </c>
      <c r="AF79" s="37">
        <f t="shared" si="73"/>
        <v>163.59891041556719</v>
      </c>
      <c r="AG79" s="87">
        <f t="shared" si="61"/>
        <v>0</v>
      </c>
      <c r="AH79" s="57">
        <f t="shared" si="61"/>
        <v>163.59891041556719</v>
      </c>
      <c r="AI79" s="56">
        <f t="shared" si="74"/>
        <v>163.59891041556719</v>
      </c>
      <c r="AJ79" s="42">
        <f>'[1]побудинковий звіт'!AJ79+'[2]побудинковий звіт'!AJ79-'[3]побудинковий звіт'!AJ79</f>
        <v>0</v>
      </c>
      <c r="AK79" s="42">
        <f>'[1]побудинковий звіт'!AK79+'[2]побудинковий звіт'!AK79-'[3]побудинковий звіт'!AK79</f>
        <v>0</v>
      </c>
      <c r="AL79" s="56">
        <f t="shared" si="75"/>
        <v>0</v>
      </c>
      <c r="AM79" s="42">
        <f>'[1]побудинковий звіт'!AM79+'[2]побудинковий звіт'!AM79-'[3]побудинковий звіт'!AM79</f>
        <v>0</v>
      </c>
      <c r="AN79" s="42">
        <f>'[1]побудинковий звіт'!AN79+'[2]побудинковий звіт'!AN79-'[3]побудинковий звіт'!AN79</f>
        <v>0</v>
      </c>
      <c r="AO79" s="56">
        <f t="shared" si="76"/>
        <v>0</v>
      </c>
      <c r="AP79" s="42">
        <f>'[1]побудинковий звіт'!AP79+'[2]побудинковий звіт'!AP79-'[3]побудинковий звіт'!AP79</f>
        <v>615.56146788087244</v>
      </c>
      <c r="AQ79" s="42">
        <f>'[1]побудинковий звіт'!AQ79+'[2]побудинковий звіт'!AQ79-'[3]побудинковий звіт'!AQ79</f>
        <v>186.85825256960351</v>
      </c>
      <c r="AR79" s="56">
        <f t="shared" si="77"/>
        <v>-428.70321531126893</v>
      </c>
      <c r="AS79" s="42">
        <f>'[1]побудинковий звіт'!AS79+'[2]побудинковий звіт'!AS79-'[3]побудинковий звіт'!AS79</f>
        <v>3754.6222401514069</v>
      </c>
      <c r="AT79" s="42">
        <f>'[1]побудинковий звіт'!AT79+'[2]побудинковий звіт'!AT79-'[3]побудинковий звіт'!AT79</f>
        <v>0</v>
      </c>
      <c r="AU79" s="58">
        <f t="shared" si="78"/>
        <v>-3754.6222401514069</v>
      </c>
      <c r="AV79" s="42">
        <f>'[1]побудинковий звіт'!AV79+'[2]побудинковий звіт'!AV79-'[3]побудинковий звіт'!AV79</f>
        <v>0</v>
      </c>
      <c r="AW79" s="42">
        <f>'[1]побудинковий звіт'!AW79+'[2]побудинковий звіт'!AW79-'[3]побудинковий звіт'!AW79</f>
        <v>0</v>
      </c>
      <c r="AX79" s="59">
        <f t="shared" si="79"/>
        <v>0</v>
      </c>
      <c r="AY79" s="42">
        <f>'[1]побудинковий звіт'!AY79+'[2]побудинковий звіт'!AY79-'[3]побудинковий звіт'!AY79</f>
        <v>0</v>
      </c>
      <c r="AZ79" s="42">
        <f>'[1]побудинковий звіт'!AZ79+'[2]побудинковий звіт'!AZ79-'[3]побудинковий звіт'!AZ79</f>
        <v>0</v>
      </c>
      <c r="BA79" s="37">
        <f t="shared" si="80"/>
        <v>0</v>
      </c>
      <c r="BB79" s="42">
        <f>'[1]побудинковий звіт'!BB79+'[2]побудинковий звіт'!BB79-'[3]побудинковий звіт'!BB79</f>
        <v>0</v>
      </c>
      <c r="BC79" s="42">
        <f>'[1]побудинковий звіт'!BC79+'[2]побудинковий звіт'!BC79-'[3]побудинковий звіт'!BC79</f>
        <v>0</v>
      </c>
      <c r="BD79" s="59">
        <f t="shared" si="81"/>
        <v>0</v>
      </c>
      <c r="BE79" s="42">
        <f>'[1]побудинковий звіт'!BE79+'[2]побудинковий звіт'!BE79-'[3]побудинковий звіт'!BE79</f>
        <v>0</v>
      </c>
      <c r="BF79" s="42">
        <f>'[1]побудинковий звіт'!BF79+'[2]побудинковий звіт'!BF79-'[3]побудинковий звіт'!BF79</f>
        <v>0</v>
      </c>
      <c r="BG79" s="39">
        <f t="shared" si="82"/>
        <v>0</v>
      </c>
      <c r="BH79" s="42">
        <f>'[1]побудинковий звіт'!BH79+'[2]побудинковий звіт'!BH79-'[3]побудинковий звіт'!BH79</f>
        <v>0</v>
      </c>
      <c r="BI79" s="42">
        <f>'[1]побудинковий звіт'!BI79+'[2]побудинковий звіт'!BI79-'[3]побудинковий звіт'!BI79</f>
        <v>0</v>
      </c>
      <c r="BJ79" s="59">
        <f t="shared" si="83"/>
        <v>0</v>
      </c>
      <c r="BK79" s="42">
        <f>'[1]побудинковий звіт'!BK79+'[2]побудинковий звіт'!BK79-'[3]побудинковий звіт'!BK79</f>
        <v>0</v>
      </c>
      <c r="BL79" s="42">
        <f>'[1]побудинковий звіт'!BL79+'[2]побудинковий звіт'!BL79-'[3]побудинковий звіт'!BL79</f>
        <v>0</v>
      </c>
      <c r="BM79" s="39">
        <f t="shared" si="84"/>
        <v>0</v>
      </c>
      <c r="BN79" s="42">
        <f>'[1]побудинковий звіт'!BN79+'[2]побудинковий звіт'!BN79-'[3]побудинковий звіт'!BN79</f>
        <v>0</v>
      </c>
      <c r="BO79" s="42">
        <f>'[1]побудинковий звіт'!BO79+'[2]побудинковий звіт'!BO79-'[3]побудинковий звіт'!BO79</f>
        <v>0</v>
      </c>
      <c r="BP79" s="59">
        <f t="shared" si="85"/>
        <v>0</v>
      </c>
      <c r="BQ79" s="87">
        <f t="shared" si="62"/>
        <v>0</v>
      </c>
      <c r="BR79" s="43">
        <f t="shared" si="63"/>
        <v>0</v>
      </c>
      <c r="BS79" s="59">
        <f t="shared" si="86"/>
        <v>0</v>
      </c>
      <c r="BT79" s="42">
        <f>'[1]побудинковий звіт'!BT79+'[2]побудинковий звіт'!BT79-'[3]побудинковий звіт'!BT79</f>
        <v>311.05113980456758</v>
      </c>
      <c r="BU79" s="42">
        <f>'[1]побудинковий звіт'!BU79+'[2]побудинковий звіт'!BU79-'[3]побудинковий звіт'!BU79</f>
        <v>1040.2817310173177</v>
      </c>
      <c r="BV79" s="56">
        <f t="shared" si="87"/>
        <v>729.23059121275014</v>
      </c>
      <c r="BW79" s="42">
        <f>'[1]побудинковий звіт'!BW79+'[2]побудинковий звіт'!BW79-'[3]побудинковий звіт'!BW79</f>
        <v>0</v>
      </c>
      <c r="BX79" s="42">
        <f>'[1]побудинковий звіт'!BX79+'[2]побудинковий звіт'!BX79-'[3]побудинковий звіт'!BX79</f>
        <v>7.9116238435209354</v>
      </c>
      <c r="BY79" s="56">
        <f t="shared" si="88"/>
        <v>7.9116238435209354</v>
      </c>
      <c r="BZ79" s="42">
        <f>'[1]побудинковий звіт'!BZ79+'[2]побудинковий звіт'!BZ79-'[3]побудинковий звіт'!BZ79</f>
        <v>0</v>
      </c>
      <c r="CA79" s="42">
        <f>'[1]побудинковий звіт'!CA79+'[2]побудинковий звіт'!CA79-'[3]побудинковий звіт'!CA79</f>
        <v>250.75432090112494</v>
      </c>
      <c r="CB79" s="56">
        <f t="shared" si="89"/>
        <v>250.75432090112494</v>
      </c>
      <c r="CC79" s="42">
        <f>'[1]побудинковий звіт'!CC79+'[2]побудинковий звіт'!CC79-'[3]побудинковий звіт'!CC79</f>
        <v>0</v>
      </c>
      <c r="CD79" s="42">
        <f>'[1]побудинковий звіт'!CD79+'[2]побудинковий звіт'!CD79-'[3]побудинковий звіт'!CD79</f>
        <v>0</v>
      </c>
      <c r="CE79" s="56">
        <f t="shared" si="90"/>
        <v>0</v>
      </c>
      <c r="CF79" s="42">
        <f>'[1]побудинковий звіт'!CF79+'[2]побудинковий звіт'!CF79-'[3]побудинковий звіт'!CF79</f>
        <v>0</v>
      </c>
      <c r="CG79" s="42">
        <f>'[1]побудинковий звіт'!CG79+'[2]побудинковий звіт'!CG79-'[3]побудинковий звіт'!CG79</f>
        <v>0</v>
      </c>
      <c r="CH79" s="56">
        <f t="shared" si="91"/>
        <v>0</v>
      </c>
      <c r="CI79" s="42">
        <f>'[1]побудинковий звіт'!CI79+'[2]побудинковий звіт'!CI79-'[3]побудинковий звіт'!CI79</f>
        <v>0</v>
      </c>
      <c r="CJ79" s="42">
        <f>'[1]побудинковий звіт'!CJ79+'[2]побудинковий звіт'!CJ79-'[3]побудинковий звіт'!CJ79</f>
        <v>0</v>
      </c>
      <c r="CK79" s="56">
        <f t="shared" si="92"/>
        <v>0</v>
      </c>
      <c r="CL79" s="42">
        <f>'[1]побудинковий звіт'!CL79+'[2]побудинковий звіт'!CL79-'[3]побудинковий звіт'!CL79</f>
        <v>0</v>
      </c>
      <c r="CM79" s="42">
        <f>'[1]побудинковий звіт'!CM79+'[2]побудинковий звіт'!CM79-'[3]побудинковий звіт'!CM79</f>
        <v>0</v>
      </c>
      <c r="CN79" s="56">
        <f t="shared" si="93"/>
        <v>0</v>
      </c>
      <c r="CO79" s="42">
        <f t="shared" si="64"/>
        <v>0</v>
      </c>
      <c r="CP79" s="43">
        <f t="shared" si="94"/>
        <v>0</v>
      </c>
      <c r="CQ79" s="56">
        <f t="shared" si="95"/>
        <v>0</v>
      </c>
      <c r="CR79" s="78">
        <f t="shared" si="65"/>
        <v>4681.2348478368467</v>
      </c>
      <c r="CS79" s="5">
        <f t="shared" si="65"/>
        <v>1649.4048387471341</v>
      </c>
      <c r="CT79" s="56">
        <f t="shared" si="96"/>
        <v>-3031.8300090897128</v>
      </c>
      <c r="CU79" s="87">
        <f t="shared" si="97"/>
        <v>5617.4818174042157</v>
      </c>
      <c r="CV79" s="70">
        <f t="shared" si="98"/>
        <v>1979.2858064965608</v>
      </c>
      <c r="CW79" s="37">
        <f t="shared" si="99"/>
        <v>-3638.1960109076549</v>
      </c>
      <c r="CX79" s="42">
        <f>'[1]побудинковий звіт'!CX79+'[2]побудинковий звіт'!CX79-'[3]побудинковий звіт'!CX79</f>
        <v>84.078182595783346</v>
      </c>
      <c r="CY79" s="42">
        <f>'[1]побудинковий звіт'!CY79+'[2]побудинковий звіт'!CY79-'[3]побудинковий звіт'!CY79</f>
        <v>3722.2741935034401</v>
      </c>
      <c r="CZ79" s="56">
        <f t="shared" si="100"/>
        <v>3638.1960109076567</v>
      </c>
      <c r="DA79" s="264">
        <f>'[4]побудинковий звіт'!DA79</f>
        <v>10915.637832537859</v>
      </c>
      <c r="DB79" s="2">
        <v>1</v>
      </c>
      <c r="DC79" s="717">
        <f>'[4]побудинковий звіт'!DC79</f>
        <v>474.05</v>
      </c>
      <c r="DD79" s="717">
        <f>'[4]побудинковий звіт'!DD79</f>
        <v>0</v>
      </c>
      <c r="DE79" s="717">
        <f>'[4]побудинковий звіт'!DE79</f>
        <v>-1.0799999999999841</v>
      </c>
      <c r="DF79" s="717">
        <f>'[4]побудинковий звіт'!DF79</f>
        <v>0</v>
      </c>
      <c r="DG79" s="787">
        <v>16402.167443471913</v>
      </c>
      <c r="DH79" s="761">
        <f t="shared" si="109"/>
        <v>68418.720000000001</v>
      </c>
      <c r="DI79" s="784"/>
      <c r="DJ79" s="5"/>
      <c r="DK79" s="317">
        <f>VLOOKUP($A79,ціни!$A$4:$G$401,5)</f>
        <v>1.9346308512029315</v>
      </c>
      <c r="DL79" s="317"/>
      <c r="DM79" s="317">
        <f>VLOOKUP($A79,ціни!$A$4:$G$401,7)</f>
        <v>1.9346308512029315</v>
      </c>
      <c r="DN79" s="30">
        <f t="shared" si="111"/>
        <v>338.36693587539276</v>
      </c>
      <c r="DO79" s="30">
        <f t="shared" si="112"/>
        <v>0</v>
      </c>
      <c r="DP79" s="316">
        <f t="shared" si="101"/>
        <v>338.36693587539276</v>
      </c>
      <c r="DQ79" s="104"/>
      <c r="DR79" s="30">
        <f>VLOOKUP(A79,'ДЗ нас '!$A$1:$C$359,2)</f>
        <v>475.13</v>
      </c>
      <c r="DS79" s="748"/>
      <c r="DT79" s="30">
        <f t="shared" si="102"/>
        <v>475.13</v>
      </c>
      <c r="DU79" s="257">
        <f>VLOOKUP(A79,'новий кошторис с 01.06'!$A$4:$AI$399,35)*1.2</f>
        <v>476.54970750979101</v>
      </c>
      <c r="DV79" s="30">
        <f t="shared" si="103"/>
        <v>-1.4197075097910101</v>
      </c>
      <c r="DW79" s="930">
        <f>'[5]побудинковий звіт'!DW79+'[6]побудинковий звіт'!DW79</f>
        <v>0</v>
      </c>
      <c r="DY79" s="5">
        <f t="shared" si="104"/>
        <v>4505.5466881816883</v>
      </c>
      <c r="DZ79" s="5">
        <f t="shared" si="105"/>
        <v>0</v>
      </c>
      <c r="EA79" s="752">
        <f t="shared" si="110"/>
        <v>-1.0799999999999841</v>
      </c>
      <c r="EC79" s="592">
        <f t="shared" si="106"/>
        <v>45055.466881816887</v>
      </c>
      <c r="EE79" s="758">
        <v>-1792</v>
      </c>
      <c r="EF79" s="738">
        <f t="shared" si="107"/>
        <v>14610.167443471913</v>
      </c>
      <c r="EH79" s="813">
        <v>14076.917170407869</v>
      </c>
    </row>
    <row r="80" spans="1:138" x14ac:dyDescent="0.3">
      <c r="A80" s="328">
        <v>150000570</v>
      </c>
      <c r="B80" s="44" t="s">
        <v>530</v>
      </c>
      <c r="C80" s="45" t="s">
        <v>74</v>
      </c>
      <c r="D80" s="45" t="s">
        <v>74</v>
      </c>
      <c r="E80" s="40">
        <f t="shared" si="108"/>
        <v>136.9</v>
      </c>
      <c r="F80" s="490">
        <v>136.9</v>
      </c>
      <c r="G80" s="30"/>
      <c r="H80" s="30">
        <v>0</v>
      </c>
      <c r="I80" s="42">
        <f>'[1]побудинковий звіт'!I80+'[2]побудинковий звіт'!I80-'[3]побудинковий звіт'!I80</f>
        <v>0</v>
      </c>
      <c r="J80" s="42">
        <f>'[1]побудинковий звіт'!J80+'[2]побудинковий звіт'!J80-'[3]побудинковий звіт'!J80</f>
        <v>0</v>
      </c>
      <c r="K80" s="56">
        <f t="shared" si="66"/>
        <v>0</v>
      </c>
      <c r="L80" s="42">
        <f>'[1]побудинковий звіт'!L80+'[2]побудинковий звіт'!L80-'[3]побудинковий звіт'!L80</f>
        <v>0</v>
      </c>
      <c r="M80" s="42">
        <f>'[1]побудинковий звіт'!M80+'[2]побудинковий звіт'!M80-'[3]побудинковий звіт'!M80</f>
        <v>0</v>
      </c>
      <c r="N80" s="56">
        <f t="shared" si="67"/>
        <v>0</v>
      </c>
      <c r="O80" s="42">
        <f>'[1]побудинковий звіт'!O80+'[2]побудинковий звіт'!O80-'[3]побудинковий звіт'!O80</f>
        <v>0</v>
      </c>
      <c r="P80" s="42">
        <f>'[1]побудинковий звіт'!P80+'[2]побудинковий звіт'!P80-'[3]побудинковий звіт'!P80</f>
        <v>0</v>
      </c>
      <c r="Q80" s="56">
        <f t="shared" si="68"/>
        <v>0</v>
      </c>
      <c r="R80" s="42">
        <f>'[1]побудинковий звіт'!R80+'[2]побудинковий звіт'!R80-'[3]побудинковий звіт'!R80</f>
        <v>0</v>
      </c>
      <c r="S80" s="42">
        <f>'[1]побудинковий звіт'!S80+'[2]побудинковий звіт'!S80-'[3]побудинковий звіт'!S80</f>
        <v>0</v>
      </c>
      <c r="T80" s="56">
        <f t="shared" si="69"/>
        <v>0</v>
      </c>
      <c r="U80" s="42">
        <f>'[1]побудинковий звіт'!U80+'[2]побудинковий звіт'!U80-'[3]побудинковий звіт'!U80</f>
        <v>0</v>
      </c>
      <c r="V80" s="42">
        <f>'[1]побудинковий звіт'!V80+'[2]побудинковий звіт'!V80-'[3]побудинковий звіт'!V80</f>
        <v>0</v>
      </c>
      <c r="W80" s="56">
        <f t="shared" si="70"/>
        <v>0</v>
      </c>
      <c r="X80" s="42">
        <f>'[1]побудинковий звіт'!X80+'[2]побудинковий звіт'!X80-'[3]побудинковий звіт'!X80</f>
        <v>0</v>
      </c>
      <c r="Y80" s="42">
        <f>'[1]побудинковий звіт'!Y80+'[2]побудинковий звіт'!Y80-'[3]побудинковий звіт'!Y80</f>
        <v>0</v>
      </c>
      <c r="Z80" s="56">
        <f t="shared" si="71"/>
        <v>0</v>
      </c>
      <c r="AA80" s="42">
        <f>'[1]побудинковий звіт'!AA80+'[2]побудинковий звіт'!AA80-'[3]побудинковий звіт'!AA80</f>
        <v>0</v>
      </c>
      <c r="AB80" s="42">
        <f>'[1]побудинковий звіт'!AB80+'[2]побудинковий звіт'!AB80-'[3]побудинковий звіт'!AB80</f>
        <v>0</v>
      </c>
      <c r="AC80" s="56">
        <f t="shared" si="72"/>
        <v>0</v>
      </c>
      <c r="AD80" s="42">
        <f>'[1]побудинковий звіт'!AD80+'[2]побудинковий звіт'!AD80-'[3]побудинковий звіт'!AD80</f>
        <v>0</v>
      </c>
      <c r="AE80" s="42">
        <f>'[1]побудинковий звіт'!AE80+'[2]побудинковий звіт'!AE80-'[3]побудинковий звіт'!AE80</f>
        <v>203.00200550333608</v>
      </c>
      <c r="AF80" s="37">
        <f t="shared" si="73"/>
        <v>203.00200550333608</v>
      </c>
      <c r="AG80" s="87">
        <f t="shared" si="61"/>
        <v>0</v>
      </c>
      <c r="AH80" s="57">
        <f t="shared" si="61"/>
        <v>203.00200550333608</v>
      </c>
      <c r="AI80" s="56">
        <f t="shared" si="74"/>
        <v>203.00200550333608</v>
      </c>
      <c r="AJ80" s="42">
        <f>'[1]побудинковий звіт'!AJ80+'[2]побудинковий звіт'!AJ80-'[3]побудинковий звіт'!AJ80</f>
        <v>0</v>
      </c>
      <c r="AK80" s="42">
        <f>'[1]побудинковий звіт'!AK80+'[2]побудинковий звіт'!AK80-'[3]побудинковий звіт'!AK80</f>
        <v>0</v>
      </c>
      <c r="AL80" s="56">
        <f t="shared" si="75"/>
        <v>0</v>
      </c>
      <c r="AM80" s="42">
        <f>'[1]побудинковий звіт'!AM80+'[2]побудинковий звіт'!AM80-'[3]побудинковий звіт'!AM80</f>
        <v>0</v>
      </c>
      <c r="AN80" s="42">
        <f>'[1]побудинковий звіт'!AN80+'[2]побудинковий звіт'!AN80-'[3]побудинковий звіт'!AN80</f>
        <v>0</v>
      </c>
      <c r="AO80" s="56">
        <f t="shared" si="76"/>
        <v>0</v>
      </c>
      <c r="AP80" s="42">
        <f>'[1]побудинковий звіт'!AP80+'[2]побудинковий звіт'!AP80-'[3]побудинковий звіт'!AP80</f>
        <v>473.50882144682492</v>
      </c>
      <c r="AQ80" s="42">
        <f>'[1]побудинковий звіт'!AQ80+'[2]побудинковий звіт'!AQ80-'[3]побудинковий звіт'!AQ80</f>
        <v>235.90513522003113</v>
      </c>
      <c r="AR80" s="56">
        <f t="shared" si="77"/>
        <v>-237.6036862267938</v>
      </c>
      <c r="AS80" s="42">
        <f>'[1]побудинковий звіт'!AS80+'[2]побудинковий звіт'!AS80-'[3]побудинковий звіт'!AS80</f>
        <v>2854.1580012371619</v>
      </c>
      <c r="AT80" s="42">
        <f>'[1]побудинковий звіт'!AT80+'[2]побудинковий звіт'!AT80-'[3]побудинковий звіт'!AT80</f>
        <v>573</v>
      </c>
      <c r="AU80" s="58">
        <f t="shared" si="78"/>
        <v>-2281.1580012371619</v>
      </c>
      <c r="AV80" s="42">
        <f>'[1]побудинковий звіт'!AV80+'[2]побудинковий звіт'!AV80-'[3]побудинковий звіт'!AV80</f>
        <v>0</v>
      </c>
      <c r="AW80" s="42">
        <f>'[1]побудинковий звіт'!AW80+'[2]побудинковий звіт'!AW80-'[3]побудинковий звіт'!AW80</f>
        <v>0</v>
      </c>
      <c r="AX80" s="59">
        <f t="shared" si="79"/>
        <v>0</v>
      </c>
      <c r="AY80" s="42">
        <f>'[1]побудинковий звіт'!AY80+'[2]побудинковий звіт'!AY80-'[3]побудинковий звіт'!AY80</f>
        <v>0</v>
      </c>
      <c r="AZ80" s="42">
        <f>'[1]побудинковий звіт'!AZ80+'[2]побудинковий звіт'!AZ80-'[3]побудинковий звіт'!AZ80</f>
        <v>0</v>
      </c>
      <c r="BA80" s="37">
        <f t="shared" si="80"/>
        <v>0</v>
      </c>
      <c r="BB80" s="42">
        <f>'[1]побудинковий звіт'!BB80+'[2]побудинковий звіт'!BB80-'[3]побудинковий звіт'!BB80</f>
        <v>0</v>
      </c>
      <c r="BC80" s="42">
        <f>'[1]побудинковий звіт'!BC80+'[2]побудинковий звіт'!BC80-'[3]побудинковий звіт'!BC80</f>
        <v>0</v>
      </c>
      <c r="BD80" s="59">
        <f t="shared" si="81"/>
        <v>0</v>
      </c>
      <c r="BE80" s="42">
        <f>'[1]побудинковий звіт'!BE80+'[2]побудинковий звіт'!BE80-'[3]побудинковий звіт'!BE80</f>
        <v>0</v>
      </c>
      <c r="BF80" s="42">
        <f>'[1]побудинковий звіт'!BF80+'[2]побудинковий звіт'!BF80-'[3]побудинковий звіт'!BF80</f>
        <v>0</v>
      </c>
      <c r="BG80" s="39">
        <f t="shared" si="82"/>
        <v>0</v>
      </c>
      <c r="BH80" s="42">
        <f>'[1]побудинковий звіт'!BH80+'[2]побудинковий звіт'!BH80-'[3]побудинковий звіт'!BH80</f>
        <v>0</v>
      </c>
      <c r="BI80" s="42">
        <f>'[1]побудинковий звіт'!BI80+'[2]побудинковий звіт'!BI80-'[3]побудинковий звіт'!BI80</f>
        <v>0</v>
      </c>
      <c r="BJ80" s="59">
        <f t="shared" si="83"/>
        <v>0</v>
      </c>
      <c r="BK80" s="42">
        <f>'[1]побудинковий звіт'!BK80+'[2]побудинковий звіт'!BK80-'[3]побудинковий звіт'!BK80</f>
        <v>0</v>
      </c>
      <c r="BL80" s="42">
        <f>'[1]побудинковий звіт'!BL80+'[2]побудинковий звіт'!BL80-'[3]побудинковий звіт'!BL80</f>
        <v>0</v>
      </c>
      <c r="BM80" s="39">
        <f t="shared" si="84"/>
        <v>0</v>
      </c>
      <c r="BN80" s="42">
        <f>'[1]побудинковий звіт'!BN80+'[2]побудинковий звіт'!BN80-'[3]побудинковий звіт'!BN80</f>
        <v>0</v>
      </c>
      <c r="BO80" s="42">
        <f>'[1]побудинковий звіт'!BO80+'[2]побудинковий звіт'!BO80-'[3]побудинковий звіт'!BO80</f>
        <v>0</v>
      </c>
      <c r="BP80" s="59">
        <f t="shared" si="85"/>
        <v>0</v>
      </c>
      <c r="BQ80" s="87">
        <f t="shared" si="62"/>
        <v>0</v>
      </c>
      <c r="BR80" s="43">
        <f t="shared" si="63"/>
        <v>0</v>
      </c>
      <c r="BS80" s="59">
        <f t="shared" si="86"/>
        <v>0</v>
      </c>
      <c r="BT80" s="42">
        <f>'[1]побудинковий звіт'!BT80+'[2]побудинковий звіт'!BT80-'[3]побудинковий звіт'!BT80</f>
        <v>1244.2045592182703</v>
      </c>
      <c r="BU80" s="42">
        <f>'[1]побудинковий звіт'!BU80+'[2]побудинковий звіт'!BU80-'[3]побудинковий звіт'!BU80</f>
        <v>2377.7546258232087</v>
      </c>
      <c r="BV80" s="56">
        <f t="shared" si="87"/>
        <v>1133.5500666049384</v>
      </c>
      <c r="BW80" s="42">
        <f>'[1]побудинковий звіт'!BW80+'[2]побудинковий звіт'!BW80-'[3]побудинковий звіт'!BW80</f>
        <v>0</v>
      </c>
      <c r="BX80" s="42">
        <f>'[1]побудинковий звіт'!BX80+'[2]побудинковий звіт'!BX80-'[3]побудинковий звіт'!BX80</f>
        <v>9.1962337692788445</v>
      </c>
      <c r="BY80" s="56">
        <f t="shared" si="88"/>
        <v>9.1962337692788445</v>
      </c>
      <c r="BZ80" s="42">
        <f>'[1]побудинковий звіт'!BZ80+'[2]побудинковий звіт'!BZ80-'[3]побудинковий звіт'!BZ80</f>
        <v>0</v>
      </c>
      <c r="CA80" s="42">
        <f>'[1]побудинковий звіт'!CA80+'[2]побудинковий звіт'!CA80-'[3]побудинковий звіт'!CA80</f>
        <v>573.1449747605742</v>
      </c>
      <c r="CB80" s="56">
        <f t="shared" si="89"/>
        <v>573.1449747605742</v>
      </c>
      <c r="CC80" s="42">
        <f>'[1]побудинковий звіт'!CC80+'[2]побудинковий звіт'!CC80-'[3]побудинковий звіт'!CC80</f>
        <v>0</v>
      </c>
      <c r="CD80" s="42">
        <f>'[1]побудинковий звіт'!CD80+'[2]побудинковий звіт'!CD80-'[3]побудинковий звіт'!CD80</f>
        <v>0</v>
      </c>
      <c r="CE80" s="56">
        <f t="shared" si="90"/>
        <v>0</v>
      </c>
      <c r="CF80" s="42">
        <f>'[1]побудинковий звіт'!CF80+'[2]побудинковий звіт'!CF80-'[3]побудинковий звіт'!CF80</f>
        <v>0</v>
      </c>
      <c r="CG80" s="42">
        <f>'[1]побудинковий звіт'!CG80+'[2]побудинковий звіт'!CG80-'[3]побудинковий звіт'!CG80</f>
        <v>0</v>
      </c>
      <c r="CH80" s="56">
        <f t="shared" si="91"/>
        <v>0</v>
      </c>
      <c r="CI80" s="42">
        <f>'[1]побудинковий звіт'!CI80+'[2]побудинковий звіт'!CI80-'[3]побудинковий звіт'!CI80</f>
        <v>0</v>
      </c>
      <c r="CJ80" s="42">
        <f>'[1]побудинковий звіт'!CJ80+'[2]побудинковий звіт'!CJ80-'[3]побудинковий звіт'!CJ80</f>
        <v>0</v>
      </c>
      <c r="CK80" s="56">
        <f t="shared" si="92"/>
        <v>0</v>
      </c>
      <c r="CL80" s="42">
        <f>'[1]побудинковий звіт'!CL80+'[2]побудинковий звіт'!CL80-'[3]побудинковий звіт'!CL80</f>
        <v>0</v>
      </c>
      <c r="CM80" s="42">
        <f>'[1]побудинковий звіт'!CM80+'[2]побудинковий звіт'!CM80-'[3]побудинковий звіт'!CM80</f>
        <v>0</v>
      </c>
      <c r="CN80" s="56">
        <f t="shared" si="93"/>
        <v>0</v>
      </c>
      <c r="CO80" s="42">
        <f t="shared" si="64"/>
        <v>0</v>
      </c>
      <c r="CP80" s="43">
        <f t="shared" si="94"/>
        <v>0</v>
      </c>
      <c r="CQ80" s="56">
        <f t="shared" si="95"/>
        <v>0</v>
      </c>
      <c r="CR80" s="78">
        <f t="shared" si="65"/>
        <v>4571.8713819022578</v>
      </c>
      <c r="CS80" s="5">
        <f t="shared" si="65"/>
        <v>3972.0029750764293</v>
      </c>
      <c r="CT80" s="56">
        <f t="shared" si="96"/>
        <v>-599.86840682582852</v>
      </c>
      <c r="CU80" s="87">
        <f t="shared" si="97"/>
        <v>5486.245658282709</v>
      </c>
      <c r="CV80" s="70">
        <f t="shared" si="98"/>
        <v>4766.4035700917148</v>
      </c>
      <c r="CW80" s="37">
        <f t="shared" si="99"/>
        <v>-719.84208819099422</v>
      </c>
      <c r="CX80" s="42">
        <f>'[1]побудинковий звіт'!CX80+'[2]побудинковий звіт'!CX80-'[3]побудинковий звіт'!CX80</f>
        <v>988.23434171729002</v>
      </c>
      <c r="CY80" s="42">
        <f>'[1]побудинковий звіт'!CY80+'[2]побудинковий звіт'!CY80-'[3]побудинковий звіт'!CY80</f>
        <v>1708.0764299082853</v>
      </c>
      <c r="CZ80" s="56">
        <f t="shared" si="100"/>
        <v>719.84208819099524</v>
      </c>
      <c r="DA80" s="264">
        <f>'[4]побудинковий звіт'!DA80</f>
        <v>-4965.1057262874565</v>
      </c>
      <c r="DB80" s="2">
        <v>1</v>
      </c>
      <c r="DC80" s="717">
        <f>'[4]побудинковий звіт'!DC80</f>
        <v>527.02</v>
      </c>
      <c r="DD80" s="717">
        <f>'[4]побудинковий звіт'!DD80</f>
        <v>0</v>
      </c>
      <c r="DE80" s="717">
        <f>'[4]побудинковий звіт'!DE80</f>
        <v>-12.519999999999982</v>
      </c>
      <c r="DF80" s="717">
        <f>'[4]побудинковий звіт'!DF80</f>
        <v>0</v>
      </c>
      <c r="DG80" s="787">
        <v>-4430.5090791715511</v>
      </c>
      <c r="DH80" s="761">
        <f t="shared" si="109"/>
        <v>77693.75999999998</v>
      </c>
      <c r="DI80" s="784"/>
      <c r="DJ80" s="5"/>
      <c r="DK80" s="317">
        <f>VLOOKUP($A80,ціни!$A$4:$G$401,5)</f>
        <v>1.6570608792255355</v>
      </c>
      <c r="DL80" s="317"/>
      <c r="DM80" s="317">
        <f>VLOOKUP($A80,ціни!$A$4:$G$401,7)</f>
        <v>1.6570608792255355</v>
      </c>
      <c r="DN80" s="30">
        <f t="shared" si="111"/>
        <v>226.85163436597583</v>
      </c>
      <c r="DO80" s="30">
        <f t="shared" si="112"/>
        <v>0</v>
      </c>
      <c r="DP80" s="316">
        <f t="shared" si="101"/>
        <v>226.85163436597583</v>
      </c>
      <c r="DQ80" s="104"/>
      <c r="DR80" s="30">
        <f>VLOOKUP(A80,'ДЗ нас '!$A$1:$C$359,2)</f>
        <v>539.54</v>
      </c>
      <c r="DS80" s="748"/>
      <c r="DT80" s="30">
        <f t="shared" si="102"/>
        <v>539.54</v>
      </c>
      <c r="DU80" s="257">
        <f>VLOOKUP(A80,'новий кошторис с 01.06'!$A$4:$AI$399,35)*1.2</f>
        <v>470.90275233593252</v>
      </c>
      <c r="DV80" s="30">
        <f t="shared" si="103"/>
        <v>68.637247664067445</v>
      </c>
      <c r="DW80" s="930">
        <f>'[5]побудинковий звіт'!DW80+'[6]побудинковий звіт'!DW80</f>
        <v>0</v>
      </c>
      <c r="DY80" s="5">
        <f t="shared" si="104"/>
        <v>3424.989601484594</v>
      </c>
      <c r="DZ80" s="5">
        <f t="shared" si="105"/>
        <v>687.6</v>
      </c>
      <c r="EA80" s="752">
        <f t="shared" si="110"/>
        <v>-12.519999999999982</v>
      </c>
      <c r="EC80" s="592">
        <f t="shared" si="106"/>
        <v>34249.896014845945</v>
      </c>
      <c r="EE80" s="758">
        <v>-2947</v>
      </c>
      <c r="EF80" s="738">
        <f t="shared" si="107"/>
        <v>-7377.5090791715511</v>
      </c>
      <c r="EH80" s="813">
        <v>-4316.1104757087942</v>
      </c>
    </row>
    <row r="81" spans="1:138" x14ac:dyDescent="0.3">
      <c r="A81" s="328">
        <v>150000572</v>
      </c>
      <c r="B81" s="44" t="s">
        <v>531</v>
      </c>
      <c r="C81" s="45" t="s">
        <v>152</v>
      </c>
      <c r="D81" s="45" t="s">
        <v>152</v>
      </c>
      <c r="E81" s="40">
        <f t="shared" si="108"/>
        <v>7614.5</v>
      </c>
      <c r="F81" s="490">
        <v>7614.5</v>
      </c>
      <c r="G81" s="30"/>
      <c r="H81" s="30">
        <v>0</v>
      </c>
      <c r="I81" s="42">
        <f>'[1]побудинковий звіт'!I81+'[2]побудинковий звіт'!I81-'[3]побудинковий звіт'!I81</f>
        <v>1080.3388313437958</v>
      </c>
      <c r="J81" s="42">
        <f>'[1]побудинковий звіт'!J81+'[2]побудинковий звіт'!J81-'[3]побудинковий звіт'!J81</f>
        <v>903.3237393304762</v>
      </c>
      <c r="K81" s="56">
        <f t="shared" si="66"/>
        <v>-177.01509201331965</v>
      </c>
      <c r="L81" s="42">
        <f>'[1]побудинковий звіт'!L81+'[2]побудинковий звіт'!L81-'[3]побудинковий звіт'!L81</f>
        <v>202.69046179748742</v>
      </c>
      <c r="M81" s="42">
        <f>'[1]побудинковий звіт'!M81+'[2]побудинковий звіт'!M81-'[3]побудинковий звіт'!M81</f>
        <v>182.45837246429855</v>
      </c>
      <c r="N81" s="56">
        <f t="shared" si="67"/>
        <v>-20.232089333188867</v>
      </c>
      <c r="O81" s="42">
        <f>'[1]побудинковий звіт'!O81+'[2]побудинковий звіт'!O81-'[3]побудинковий звіт'!O81</f>
        <v>0</v>
      </c>
      <c r="P81" s="42">
        <f>'[1]побудинковий звіт'!P81+'[2]побудинковий звіт'!P81-'[3]побудинковий звіт'!P81</f>
        <v>0</v>
      </c>
      <c r="Q81" s="56">
        <f t="shared" si="68"/>
        <v>0</v>
      </c>
      <c r="R81" s="42">
        <f>'[1]побудинковий звіт'!R81+'[2]побудинковий звіт'!R81-'[3]побудинковий звіт'!R81</f>
        <v>0</v>
      </c>
      <c r="S81" s="42">
        <f>'[1]побудинковий звіт'!S81+'[2]побудинковий звіт'!S81-'[3]побудинковий звіт'!S81</f>
        <v>0</v>
      </c>
      <c r="T81" s="56">
        <f t="shared" si="69"/>
        <v>0</v>
      </c>
      <c r="U81" s="42">
        <f>'[1]побудинковий звіт'!U81+'[2]побудинковий звіт'!U81-'[3]побудинковий звіт'!U81</f>
        <v>0</v>
      </c>
      <c r="V81" s="42">
        <f>'[1]побудинковий звіт'!V81+'[2]побудинковий звіт'!V81-'[3]побудинковий звіт'!V81</f>
        <v>0</v>
      </c>
      <c r="W81" s="56">
        <f t="shared" si="70"/>
        <v>0</v>
      </c>
      <c r="X81" s="42">
        <f>'[1]побудинковий звіт'!X81+'[2]побудинковий звіт'!X81-'[3]побудинковий звіт'!X81</f>
        <v>29.052098881275093</v>
      </c>
      <c r="Y81" s="42">
        <f>'[1]побудинковий звіт'!Y81+'[2]побудинковий звіт'!Y81-'[3]побудинковий звіт'!Y81</f>
        <v>22.291199611520312</v>
      </c>
      <c r="Z81" s="56">
        <f t="shared" si="71"/>
        <v>-6.7608992697547805</v>
      </c>
      <c r="AA81" s="42">
        <f>'[1]побудинковий звіт'!AA81+'[2]побудинковий звіт'!AA81-'[3]побудинковий звіт'!AA81</f>
        <v>0</v>
      </c>
      <c r="AB81" s="42">
        <f>'[1]побудинковий звіт'!AB81+'[2]побудинковий звіт'!AB81-'[3]побудинковий звіт'!AB81</f>
        <v>0</v>
      </c>
      <c r="AC81" s="56">
        <f t="shared" si="72"/>
        <v>0</v>
      </c>
      <c r="AD81" s="42">
        <f>'[1]побудинковий звіт'!AD81+'[2]побудинковий звіт'!AD81-'[3]побудинковий звіт'!AD81</f>
        <v>733.73269109781074</v>
      </c>
      <c r="AE81" s="42">
        <f>'[1]побудинковий звіт'!AE81+'[2]побудинковий звіт'!AE81-'[3]побудинковий звіт'!AE81</f>
        <v>676.27653399061376</v>
      </c>
      <c r="AF81" s="37">
        <f t="shared" si="73"/>
        <v>-57.456157107196987</v>
      </c>
      <c r="AG81" s="87">
        <f t="shared" si="61"/>
        <v>2045.8140831203691</v>
      </c>
      <c r="AH81" s="57">
        <f t="shared" si="61"/>
        <v>1784.3498453969087</v>
      </c>
      <c r="AI81" s="56">
        <f t="shared" si="74"/>
        <v>-261.46423772346043</v>
      </c>
      <c r="AJ81" s="42">
        <f>'[1]побудинковий звіт'!AJ81+'[2]побудинковий звіт'!AJ81-'[3]побудинковий звіт'!AJ81</f>
        <v>0</v>
      </c>
      <c r="AK81" s="42">
        <f>'[1]побудинковий звіт'!AK81+'[2]побудинковий звіт'!AK81-'[3]побудинковий звіт'!AK81</f>
        <v>0</v>
      </c>
      <c r="AL81" s="56">
        <f t="shared" si="75"/>
        <v>0</v>
      </c>
      <c r="AM81" s="42">
        <f>'[1]побудинковий звіт'!AM81+'[2]побудинковий звіт'!AM81-'[3]побудинковий звіт'!AM81</f>
        <v>0</v>
      </c>
      <c r="AN81" s="42">
        <f>'[1]побудинковий звіт'!AN81+'[2]побудинковий звіт'!AN81-'[3]побудинковий звіт'!AN81</f>
        <v>0</v>
      </c>
      <c r="AO81" s="56">
        <f t="shared" si="76"/>
        <v>0</v>
      </c>
      <c r="AP81" s="42">
        <f>'[1]побудинковий звіт'!AP81+'[2]побудинковий звіт'!AP81-'[3]побудинковий звіт'!AP81</f>
        <v>473.50882144682492</v>
      </c>
      <c r="AQ81" s="42">
        <f>'[1]побудинковий звіт'!AQ81+'[2]побудинковий звіт'!AQ81-'[3]побудинковий звіт'!AQ81</f>
        <v>261.21730579376612</v>
      </c>
      <c r="AR81" s="56">
        <f t="shared" si="77"/>
        <v>-212.29151565305881</v>
      </c>
      <c r="AS81" s="42">
        <f>'[1]побудинковий звіт'!AS81+'[2]побудинковий звіт'!AS81-'[3]побудинковий звіт'!AS81</f>
        <v>3134.2763761035812</v>
      </c>
      <c r="AT81" s="42">
        <f>'[1]побудинковий звіт'!AT81+'[2]побудинковий звіт'!AT81-'[3]побудинковий звіт'!AT81</f>
        <v>0</v>
      </c>
      <c r="AU81" s="58">
        <f t="shared" si="78"/>
        <v>-3134.2763761035812</v>
      </c>
      <c r="AV81" s="42">
        <f>'[1]побудинковий звіт'!AV81+'[2]побудинковий звіт'!AV81-'[3]побудинковий звіт'!AV81</f>
        <v>202.27572483693362</v>
      </c>
      <c r="AW81" s="42">
        <f>'[1]побудинковий звіт'!AW81+'[2]побудинковий звіт'!AW81-'[3]побудинковий звіт'!AW81</f>
        <v>0</v>
      </c>
      <c r="AX81" s="59">
        <f t="shared" si="79"/>
        <v>-202.27572483693362</v>
      </c>
      <c r="AY81" s="42">
        <f>'[1]побудинковий звіт'!AY81+'[2]побудинковий звіт'!AY81-'[3]побудинковий звіт'!AY81</f>
        <v>261.33387219841921</v>
      </c>
      <c r="AZ81" s="42">
        <f>'[1]побудинковий звіт'!AZ81+'[2]побудинковий звіт'!AZ81-'[3]побудинковий звіт'!AZ81</f>
        <v>0</v>
      </c>
      <c r="BA81" s="37">
        <f t="shared" si="80"/>
        <v>-261.33387219841921</v>
      </c>
      <c r="BB81" s="42">
        <f>'[1]побудинковий звіт'!BB81+'[2]побудинковий звіт'!BB81-'[3]побудинковий звіт'!BB81</f>
        <v>0</v>
      </c>
      <c r="BC81" s="42">
        <f>'[1]побудинковий звіт'!BC81+'[2]побудинковий звіт'!BC81-'[3]побудинковий звіт'!BC81</f>
        <v>0</v>
      </c>
      <c r="BD81" s="59">
        <f t="shared" si="81"/>
        <v>0</v>
      </c>
      <c r="BE81" s="42">
        <f>'[1]побудинковий звіт'!BE81+'[2]побудинковий звіт'!BE81-'[3]побудинковий звіт'!BE81</f>
        <v>0</v>
      </c>
      <c r="BF81" s="42">
        <f>'[1]побудинковий звіт'!BF81+'[2]побудинковий звіт'!BF81-'[3]побудинковий звіт'!BF81</f>
        <v>0</v>
      </c>
      <c r="BG81" s="39">
        <f t="shared" si="82"/>
        <v>0</v>
      </c>
      <c r="BH81" s="42">
        <f>'[1]побудинковий звіт'!BH81+'[2]побудинковий звіт'!BH81-'[3]побудинковий звіт'!BH81</f>
        <v>0</v>
      </c>
      <c r="BI81" s="42">
        <f>'[1]побудинковий звіт'!BI81+'[2]побудинковий звіт'!BI81-'[3]побудинковий звіт'!BI81</f>
        <v>0</v>
      </c>
      <c r="BJ81" s="59">
        <f t="shared" si="83"/>
        <v>0</v>
      </c>
      <c r="BK81" s="42">
        <f>'[1]побудинковий звіт'!BK81+'[2]побудинковий звіт'!BK81-'[3]побудинковий звіт'!BK81</f>
        <v>0</v>
      </c>
      <c r="BL81" s="42">
        <f>'[1]побудинковий звіт'!BL81+'[2]побудинковий звіт'!BL81-'[3]побудинковий звіт'!BL81</f>
        <v>0</v>
      </c>
      <c r="BM81" s="39">
        <f t="shared" si="84"/>
        <v>0</v>
      </c>
      <c r="BN81" s="42">
        <f>'[1]побудинковий звіт'!BN81+'[2]побудинковий звіт'!BN81-'[3]побудинковий звіт'!BN81</f>
        <v>59.350540321018364</v>
      </c>
      <c r="BO81" s="42">
        <f>'[1]побудинковий звіт'!BO81+'[2]побудинковий звіт'!BO81-'[3]побудинковий звіт'!BO81</f>
        <v>0</v>
      </c>
      <c r="BP81" s="59">
        <f t="shared" si="85"/>
        <v>-59.350540321018364</v>
      </c>
      <c r="BQ81" s="87">
        <f t="shared" si="62"/>
        <v>522.96013735637121</v>
      </c>
      <c r="BR81" s="43">
        <f t="shared" si="63"/>
        <v>0</v>
      </c>
      <c r="BS81" s="59">
        <f t="shared" si="86"/>
        <v>-522.96013735637121</v>
      </c>
      <c r="BT81" s="42">
        <f>'[1]побудинковий звіт'!BT81+'[2]побудинковий звіт'!BT81-'[3]побудинковий звіт'!BT81</f>
        <v>95.708043016790015</v>
      </c>
      <c r="BU81" s="42">
        <f>'[1]побудинковий звіт'!BU81+'[2]побудинковий звіт'!BU81-'[3]побудинковий звіт'!BU81</f>
        <v>2142.0449455950693</v>
      </c>
      <c r="BV81" s="56">
        <f t="shared" si="87"/>
        <v>2046.3369025782793</v>
      </c>
      <c r="BW81" s="42">
        <f>'[1]побудинковий звіт'!BW81+'[2]побудинковий звіт'!BW81-'[3]побудинковий звіт'!BW81</f>
        <v>141.99842781447882</v>
      </c>
      <c r="BX81" s="42">
        <f>'[1]побудинковий звіт'!BX81+'[2]побудинковий звіт'!BX81-'[3]побудинковий звіт'!BX81</f>
        <v>551.23679904891071</v>
      </c>
      <c r="BY81" s="56">
        <f t="shared" si="88"/>
        <v>409.2383712344319</v>
      </c>
      <c r="BZ81" s="42">
        <f>'[1]побудинковий звіт'!BZ81+'[2]побудинковий звіт'!BZ81-'[3]побудинковий звіт'!BZ81</f>
        <v>78.711969388440593</v>
      </c>
      <c r="CA81" s="42">
        <f>'[1]побудинковий звіт'!CA81+'[2]побудинковий звіт'!CA81-'[3]побудинковий звіт'!CA81</f>
        <v>478.17049045598907</v>
      </c>
      <c r="CB81" s="56">
        <f t="shared" si="89"/>
        <v>399.45852106754847</v>
      </c>
      <c r="CC81" s="42">
        <f>'[1]побудинковий звіт'!CC81+'[2]побудинковий звіт'!CC81-'[3]побудинковий звіт'!CC81</f>
        <v>0</v>
      </c>
      <c r="CD81" s="42">
        <f>'[1]побудинковий звіт'!CD81+'[2]побудинковий звіт'!CD81-'[3]побудинковий звіт'!CD81</f>
        <v>0</v>
      </c>
      <c r="CE81" s="56">
        <f t="shared" si="90"/>
        <v>0</v>
      </c>
      <c r="CF81" s="42">
        <f>'[1]побудинковий звіт'!CF81+'[2]побудинковий звіт'!CF81-'[3]побудинковий звіт'!CF81</f>
        <v>0</v>
      </c>
      <c r="CG81" s="42">
        <f>'[1]побудинковий звіт'!CG81+'[2]побудинковий звіт'!CG81-'[3]побудинковий звіт'!CG81</f>
        <v>0</v>
      </c>
      <c r="CH81" s="56">
        <f t="shared" si="91"/>
        <v>0</v>
      </c>
      <c r="CI81" s="42">
        <f>'[1]побудинковий звіт'!CI81+'[2]побудинковий звіт'!CI81-'[3]побудинковий звіт'!CI81</f>
        <v>1.8717525177192134E-3</v>
      </c>
      <c r="CJ81" s="42">
        <f>'[1]побудинковий звіт'!CJ81+'[2]побудинковий звіт'!CJ81-'[3]побудинковий звіт'!CJ81</f>
        <v>0</v>
      </c>
      <c r="CK81" s="56">
        <f t="shared" si="92"/>
        <v>-1.8717525177192134E-3</v>
      </c>
      <c r="CL81" s="42">
        <f>'[1]побудинковий звіт'!CL81+'[2]побудинковий звіт'!CL81-'[3]побудинковий звіт'!CL81</f>
        <v>0</v>
      </c>
      <c r="CM81" s="42">
        <f>'[1]побудинковий звіт'!CM81+'[2]побудинковий звіт'!CM81-'[3]побудинковий звіт'!CM81</f>
        <v>0</v>
      </c>
      <c r="CN81" s="56">
        <f t="shared" si="93"/>
        <v>0</v>
      </c>
      <c r="CO81" s="42">
        <f t="shared" si="64"/>
        <v>1.8717525177192134E-3</v>
      </c>
      <c r="CP81" s="43">
        <f t="shared" si="94"/>
        <v>0</v>
      </c>
      <c r="CQ81" s="56">
        <f t="shared" si="95"/>
        <v>-1.8717525177192134E-3</v>
      </c>
      <c r="CR81" s="78">
        <f t="shared" si="65"/>
        <v>6492.9797299993734</v>
      </c>
      <c r="CS81" s="5">
        <f t="shared" si="65"/>
        <v>5217.0193862906444</v>
      </c>
      <c r="CT81" s="56">
        <f t="shared" si="96"/>
        <v>-1275.9603437087289</v>
      </c>
      <c r="CU81" s="87">
        <f t="shared" si="97"/>
        <v>7791.5756759992473</v>
      </c>
      <c r="CV81" s="70">
        <f t="shared" si="98"/>
        <v>6260.4232635487733</v>
      </c>
      <c r="CW81" s="37">
        <f t="shared" si="99"/>
        <v>-1531.152412450474</v>
      </c>
      <c r="CX81" s="42">
        <f>'[1]побудинковий звіт'!CX81+'[2]побудинковий звіт'!CX81-'[3]побудинковий звіт'!CX81</f>
        <v>194.78432400075189</v>
      </c>
      <c r="CY81" s="42">
        <f>'[1]побудинковий звіт'!CY81+'[2]побудинковий звіт'!CY81-'[3]побудинковий звіт'!CY81</f>
        <v>1725.9367364512264</v>
      </c>
      <c r="CZ81" s="56">
        <f t="shared" si="100"/>
        <v>1531.1524124504745</v>
      </c>
      <c r="DA81" s="264">
        <f>'[4]побудинковий звіт'!DA81</f>
        <v>-13044.462069091642</v>
      </c>
      <c r="DB81" s="2">
        <v>1</v>
      </c>
      <c r="DC81" s="717">
        <f>'[4]побудинковий звіт'!DC81</f>
        <v>9325.76</v>
      </c>
      <c r="DD81" s="717">
        <f>'[4]побудинковий звіт'!DD81</f>
        <v>0</v>
      </c>
      <c r="DE81" s="717">
        <f>'[4]побудинковий звіт'!DE81</f>
        <v>8660.23</v>
      </c>
      <c r="DF81" s="717">
        <f>'[4]побудинковий звіт'!DF81</f>
        <v>0</v>
      </c>
      <c r="DG81" s="787">
        <v>-9320.7311890437377</v>
      </c>
      <c r="DH81" s="761">
        <f t="shared" si="109"/>
        <v>95836.319999999978</v>
      </c>
      <c r="DI81" s="784"/>
      <c r="DJ81" s="5"/>
      <c r="DK81" s="317">
        <f>VLOOKUP($A81,ціни!$A$4:$G$401,5)</f>
        <v>3.8783824144809778</v>
      </c>
      <c r="DL81" s="317"/>
      <c r="DM81" s="317">
        <f>VLOOKUP($A81,ціни!$A$4:$G$401,7)</f>
        <v>3.7935640062584599</v>
      </c>
      <c r="DN81" s="30">
        <f t="shared" si="111"/>
        <v>29531.942895065404</v>
      </c>
      <c r="DO81" s="30">
        <f t="shared" si="112"/>
        <v>0</v>
      </c>
      <c r="DP81" s="316">
        <f t="shared" si="101"/>
        <v>29531.942895065404</v>
      </c>
      <c r="DQ81" s="104"/>
      <c r="DR81" s="30">
        <f>VLOOKUP(A81,'ДЗ нас '!$A$1:$C$359,2)</f>
        <v>665.53</v>
      </c>
      <c r="DS81" s="748"/>
      <c r="DT81" s="30">
        <f t="shared" si="102"/>
        <v>665.53</v>
      </c>
      <c r="DU81" s="257">
        <f>VLOOKUP(A81,'новий кошторис с 01.06'!$A$4:$AI$399,35)*1.2</f>
        <v>668.77691218993539</v>
      </c>
      <c r="DV81" s="30">
        <f t="shared" si="103"/>
        <v>-3.246912189935415</v>
      </c>
      <c r="DW81" s="930">
        <f>'[5]побудинковий звіт'!DW81+'[6]побудинковий звіт'!DW81</f>
        <v>0</v>
      </c>
      <c r="DY81" s="5">
        <f t="shared" si="104"/>
        <v>4388.6838161519427</v>
      </c>
      <c r="DZ81" s="5">
        <f t="shared" si="105"/>
        <v>0</v>
      </c>
      <c r="EA81" s="752">
        <f t="shared" si="110"/>
        <v>8660.23</v>
      </c>
      <c r="EC81" s="592">
        <f t="shared" si="106"/>
        <v>37611.316513242971</v>
      </c>
      <c r="EE81" s="758">
        <v>-6186</v>
      </c>
      <c r="EF81" s="738">
        <f t="shared" si="107"/>
        <v>-15506.731189043738</v>
      </c>
      <c r="EH81" s="813">
        <v>-10945.186723459474</v>
      </c>
    </row>
    <row r="82" spans="1:138" x14ac:dyDescent="0.3">
      <c r="A82" s="328">
        <v>150000573</v>
      </c>
      <c r="B82" s="44" t="s">
        <v>532</v>
      </c>
      <c r="C82" s="45" t="s">
        <v>75</v>
      </c>
      <c r="D82" s="45" t="s">
        <v>75</v>
      </c>
      <c r="E82" s="40">
        <f t="shared" si="108"/>
        <v>2489.87</v>
      </c>
      <c r="F82" s="490">
        <v>2489.87</v>
      </c>
      <c r="G82" s="30"/>
      <c r="H82" s="30">
        <v>0</v>
      </c>
      <c r="I82" s="42">
        <f>'[1]побудинковий звіт'!I82+'[2]побудинковий звіт'!I82-'[3]побудинковий звіт'!I82</f>
        <v>0</v>
      </c>
      <c r="J82" s="42">
        <f>'[1]побудинковий звіт'!J82+'[2]побудинковий звіт'!J82-'[3]побудинковий звіт'!J82</f>
        <v>0</v>
      </c>
      <c r="K82" s="56">
        <f t="shared" si="66"/>
        <v>0</v>
      </c>
      <c r="L82" s="42">
        <f>'[1]побудинковий звіт'!L82+'[2]побудинковий звіт'!L82-'[3]побудинковий звіт'!L82</f>
        <v>0</v>
      </c>
      <c r="M82" s="42">
        <f>'[1]побудинковий звіт'!M82+'[2]побудинковий звіт'!M82-'[3]побудинковий звіт'!M82</f>
        <v>0</v>
      </c>
      <c r="N82" s="56">
        <f t="shared" si="67"/>
        <v>0</v>
      </c>
      <c r="O82" s="42">
        <f>'[1]побудинковий звіт'!O82+'[2]побудинковий звіт'!O82-'[3]побудинковий звіт'!O82</f>
        <v>0</v>
      </c>
      <c r="P82" s="42">
        <f>'[1]побудинковий звіт'!P82+'[2]побудинковий звіт'!P82-'[3]побудинковий звіт'!P82</f>
        <v>0</v>
      </c>
      <c r="Q82" s="56">
        <f t="shared" si="68"/>
        <v>0</v>
      </c>
      <c r="R82" s="42">
        <f>'[1]побудинковий звіт'!R82+'[2]побудинковий звіт'!R82-'[3]побудинковий звіт'!R82</f>
        <v>0</v>
      </c>
      <c r="S82" s="42">
        <f>'[1]побудинковий звіт'!S82+'[2]побудинковий звіт'!S82-'[3]побудинковий звіт'!S82</f>
        <v>0</v>
      </c>
      <c r="T82" s="56">
        <f t="shared" si="69"/>
        <v>0</v>
      </c>
      <c r="U82" s="42">
        <f>'[1]побудинковий звіт'!U82+'[2]побудинковий звіт'!U82-'[3]побудинковий звіт'!U82</f>
        <v>0</v>
      </c>
      <c r="V82" s="42">
        <f>'[1]побудинковий звіт'!V82+'[2]побудинковий звіт'!V82-'[3]побудинковий звіт'!V82</f>
        <v>0</v>
      </c>
      <c r="W82" s="56">
        <f t="shared" si="70"/>
        <v>0</v>
      </c>
      <c r="X82" s="42">
        <f>'[1]побудинковий звіт'!X82+'[2]побудинковий звіт'!X82-'[3]побудинковий звіт'!X82</f>
        <v>0</v>
      </c>
      <c r="Y82" s="42">
        <f>'[1]побудинковий звіт'!Y82+'[2]побудинковий звіт'!Y82-'[3]побудинковий звіт'!Y82</f>
        <v>0</v>
      </c>
      <c r="Z82" s="56">
        <f t="shared" si="71"/>
        <v>0</v>
      </c>
      <c r="AA82" s="42">
        <f>'[1]побудинковий звіт'!AA82+'[2]побудинковий звіт'!AA82-'[3]побудинковий звіт'!AA82</f>
        <v>0</v>
      </c>
      <c r="AB82" s="42">
        <f>'[1]побудинковий звіт'!AB82+'[2]побудинковий звіт'!AB82-'[3]побудинковий звіт'!AB82</f>
        <v>0</v>
      </c>
      <c r="AC82" s="56">
        <f t="shared" si="72"/>
        <v>0</v>
      </c>
      <c r="AD82" s="42">
        <f>'[1]побудинковий звіт'!AD82+'[2]побудинковий звіт'!AD82-'[3]побудинковий звіт'!AD82</f>
        <v>0</v>
      </c>
      <c r="AE82" s="42">
        <f>'[1]побудинковий звіт'!AE82+'[2]побудинковий звіт'!AE82-'[3]побудинковий звіт'!AE82</f>
        <v>100.98369225977194</v>
      </c>
      <c r="AF82" s="37">
        <f t="shared" si="73"/>
        <v>100.98369225977194</v>
      </c>
      <c r="AG82" s="87">
        <f t="shared" si="61"/>
        <v>0</v>
      </c>
      <c r="AH82" s="57">
        <f t="shared" si="61"/>
        <v>100.98369225977194</v>
      </c>
      <c r="AI82" s="56">
        <f t="shared" si="74"/>
        <v>100.98369225977194</v>
      </c>
      <c r="AJ82" s="42">
        <f>'[1]побудинковий звіт'!AJ82+'[2]побудинковий звіт'!AJ82-'[3]побудинковий звіт'!AJ82</f>
        <v>0</v>
      </c>
      <c r="AK82" s="42">
        <f>'[1]побудинковий звіт'!AK82+'[2]побудинковий звіт'!AK82-'[3]побудинковий звіт'!AK82</f>
        <v>0</v>
      </c>
      <c r="AL82" s="56">
        <f t="shared" si="75"/>
        <v>0</v>
      </c>
      <c r="AM82" s="42">
        <f>'[1]побудинковий звіт'!AM82+'[2]побудинковий звіт'!AM82-'[3]побудинковий звіт'!AM82</f>
        <v>0</v>
      </c>
      <c r="AN82" s="42">
        <f>'[1]побудинковий звіт'!AN82+'[2]побудинковий звіт'!AN82-'[3]побудинковий звіт'!AN82</f>
        <v>0</v>
      </c>
      <c r="AO82" s="56">
        <f t="shared" si="76"/>
        <v>0</v>
      </c>
      <c r="AP82" s="42">
        <f>'[1]побудинковий звіт'!AP82+'[2]побудинковий звіт'!AP82-'[3]побудинковий звіт'!AP82</f>
        <v>284.10529286809492</v>
      </c>
      <c r="AQ82" s="42">
        <f>'[1]побудинковий звіт'!AQ82+'[2]побудинковий звіт'!AQ82-'[3]побудинковий звіт'!AQ82</f>
        <v>142.4760089352294</v>
      </c>
      <c r="AR82" s="56">
        <f t="shared" si="77"/>
        <v>-141.62928393286552</v>
      </c>
      <c r="AS82" s="42">
        <f>'[1]побудинковий звіт'!AS82+'[2]побудинковий звіт'!AS82-'[3]побудинковий звіт'!AS82</f>
        <v>1559.6798018077052</v>
      </c>
      <c r="AT82" s="42">
        <f>'[1]побудинковий звіт'!AT82+'[2]побудинковий звіт'!AT82-'[3]побудинковий звіт'!AT82</f>
        <v>0</v>
      </c>
      <c r="AU82" s="58">
        <f t="shared" si="78"/>
        <v>-1559.6798018077052</v>
      </c>
      <c r="AV82" s="42">
        <f>'[1]побудинковий звіт'!AV82+'[2]побудинковий звіт'!AV82-'[3]побудинковий звіт'!AV82</f>
        <v>0</v>
      </c>
      <c r="AW82" s="42">
        <f>'[1]побудинковий звіт'!AW82+'[2]побудинковий звіт'!AW82-'[3]побудинковий звіт'!AW82</f>
        <v>0</v>
      </c>
      <c r="AX82" s="59">
        <f t="shared" si="79"/>
        <v>0</v>
      </c>
      <c r="AY82" s="42">
        <f>'[1]побудинковий звіт'!AY82+'[2]побудинковий звіт'!AY82-'[3]побудинковий звіт'!AY82</f>
        <v>0</v>
      </c>
      <c r="AZ82" s="42">
        <f>'[1]побудинковий звіт'!AZ82+'[2]побудинковий звіт'!AZ82-'[3]побудинковий звіт'!AZ82</f>
        <v>0</v>
      </c>
      <c r="BA82" s="37">
        <f t="shared" si="80"/>
        <v>0</v>
      </c>
      <c r="BB82" s="42">
        <f>'[1]побудинковий звіт'!BB82+'[2]побудинковий звіт'!BB82-'[3]побудинковий звіт'!BB82</f>
        <v>0</v>
      </c>
      <c r="BC82" s="42">
        <f>'[1]побудинковий звіт'!BC82+'[2]побудинковий звіт'!BC82-'[3]побудинковий звіт'!BC82</f>
        <v>0</v>
      </c>
      <c r="BD82" s="59">
        <f t="shared" si="81"/>
        <v>0</v>
      </c>
      <c r="BE82" s="42">
        <f>'[1]побудинковий звіт'!BE82+'[2]побудинковий звіт'!BE82-'[3]побудинковий звіт'!BE82</f>
        <v>0</v>
      </c>
      <c r="BF82" s="42">
        <f>'[1]побудинковий звіт'!BF82+'[2]побудинковий звіт'!BF82-'[3]побудинковий звіт'!BF82</f>
        <v>0</v>
      </c>
      <c r="BG82" s="39">
        <f t="shared" si="82"/>
        <v>0</v>
      </c>
      <c r="BH82" s="42">
        <f>'[1]побудинковий звіт'!BH82+'[2]побудинковий звіт'!BH82-'[3]побудинковий звіт'!BH82</f>
        <v>0</v>
      </c>
      <c r="BI82" s="42">
        <f>'[1]побудинковий звіт'!BI82+'[2]побудинковий звіт'!BI82-'[3]побудинковий звіт'!BI82</f>
        <v>0</v>
      </c>
      <c r="BJ82" s="59">
        <f t="shared" si="83"/>
        <v>0</v>
      </c>
      <c r="BK82" s="42">
        <f>'[1]побудинковий звіт'!BK82+'[2]побудинковий звіт'!BK82-'[3]побудинковий звіт'!BK82</f>
        <v>0</v>
      </c>
      <c r="BL82" s="42">
        <f>'[1]побудинковий звіт'!BL82+'[2]побудинковий звіт'!BL82-'[3]побудинковий звіт'!BL82</f>
        <v>0</v>
      </c>
      <c r="BM82" s="39">
        <f t="shared" si="84"/>
        <v>0</v>
      </c>
      <c r="BN82" s="42">
        <f>'[1]побудинковий звіт'!BN82+'[2]побудинковий звіт'!BN82-'[3]побудинковий звіт'!BN82</f>
        <v>0</v>
      </c>
      <c r="BO82" s="42">
        <f>'[1]побудинковий звіт'!BO82+'[2]побудинковий звіт'!BO82-'[3]побудинковий звіт'!BO82</f>
        <v>0</v>
      </c>
      <c r="BP82" s="59">
        <f t="shared" si="85"/>
        <v>0</v>
      </c>
      <c r="BQ82" s="87">
        <f t="shared" si="62"/>
        <v>0</v>
      </c>
      <c r="BR82" s="43">
        <f t="shared" si="63"/>
        <v>0</v>
      </c>
      <c r="BS82" s="59">
        <f t="shared" si="86"/>
        <v>0</v>
      </c>
      <c r="BT82" s="42">
        <f>'[1]побудинковий звіт'!BT82+'[2]побудинковий звіт'!BT82-'[3]побудинковий звіт'!BT82</f>
        <v>550.32124734654269</v>
      </c>
      <c r="BU82" s="42">
        <f>'[1]побудинковий звіт'!BU82+'[2]побудинковий звіт'!BU82-'[3]побудинковий звіт'!BU82</f>
        <v>1931.8552223830366</v>
      </c>
      <c r="BV82" s="56">
        <f t="shared" si="87"/>
        <v>1381.5339750364938</v>
      </c>
      <c r="BW82" s="42">
        <f>'[1]побудинковий звіт'!BW82+'[2]побудинковий звіт'!BW82-'[3]побудинковий звіт'!BW82</f>
        <v>0</v>
      </c>
      <c r="BX82" s="42">
        <f>'[1]побудинковий звіт'!BX82+'[2]побудинковий звіт'!BX82-'[3]побудинковий звіт'!BX82</f>
        <v>4.8835593431505444</v>
      </c>
      <c r="BY82" s="56">
        <f t="shared" si="88"/>
        <v>4.8835593431505444</v>
      </c>
      <c r="BZ82" s="42">
        <f>'[1]побудинковий звіт'!BZ82+'[2]побудинковий звіт'!BZ82-'[3]побудинковий звіт'!BZ82</f>
        <v>0</v>
      </c>
      <c r="CA82" s="42">
        <f>'[1]побудинковий звіт'!CA82+'[2]побудинковий звіт'!CA82-'[3]побудинковий звіт'!CA82</f>
        <v>465.66331977609804</v>
      </c>
      <c r="CB82" s="56">
        <f t="shared" si="89"/>
        <v>465.66331977609804</v>
      </c>
      <c r="CC82" s="42">
        <f>'[1]побудинковий звіт'!CC82+'[2]побудинковий звіт'!CC82-'[3]побудинковий звіт'!CC82</f>
        <v>0</v>
      </c>
      <c r="CD82" s="42">
        <f>'[1]побудинковий звіт'!CD82+'[2]побудинковий звіт'!CD82-'[3]побудинковий звіт'!CD82</f>
        <v>0</v>
      </c>
      <c r="CE82" s="56">
        <f t="shared" si="90"/>
        <v>0</v>
      </c>
      <c r="CF82" s="42">
        <f>'[1]побудинковий звіт'!CF82+'[2]побудинковий звіт'!CF82-'[3]побудинковий звіт'!CF82</f>
        <v>0</v>
      </c>
      <c r="CG82" s="42">
        <f>'[1]побудинковий звіт'!CG82+'[2]побудинковий звіт'!CG82-'[3]побудинковий звіт'!CG82</f>
        <v>0</v>
      </c>
      <c r="CH82" s="56">
        <f t="shared" si="91"/>
        <v>0</v>
      </c>
      <c r="CI82" s="42">
        <f>'[1]побудинковий звіт'!CI82+'[2]побудинковий звіт'!CI82-'[3]побудинковий звіт'!CI82</f>
        <v>0</v>
      </c>
      <c r="CJ82" s="42">
        <f>'[1]побудинковий звіт'!CJ82+'[2]побудинковий звіт'!CJ82-'[3]побудинковий звіт'!CJ82</f>
        <v>0</v>
      </c>
      <c r="CK82" s="56">
        <f t="shared" si="92"/>
        <v>0</v>
      </c>
      <c r="CL82" s="42">
        <f>'[1]побудинковий звіт'!CL82+'[2]побудинковий звіт'!CL82-'[3]побудинковий звіт'!CL82</f>
        <v>0</v>
      </c>
      <c r="CM82" s="42">
        <f>'[1]побудинковий звіт'!CM82+'[2]побудинковий звіт'!CM82-'[3]побудинковий звіт'!CM82</f>
        <v>0</v>
      </c>
      <c r="CN82" s="56">
        <f t="shared" si="93"/>
        <v>0</v>
      </c>
      <c r="CO82" s="42">
        <f t="shared" si="64"/>
        <v>0</v>
      </c>
      <c r="CP82" s="43">
        <f t="shared" si="94"/>
        <v>0</v>
      </c>
      <c r="CQ82" s="56">
        <f t="shared" si="95"/>
        <v>0</v>
      </c>
      <c r="CR82" s="78">
        <f t="shared" si="65"/>
        <v>2394.1063420223427</v>
      </c>
      <c r="CS82" s="5">
        <f t="shared" si="65"/>
        <v>2645.8618026972863</v>
      </c>
      <c r="CT82" s="56">
        <f t="shared" si="96"/>
        <v>251.75546067494361</v>
      </c>
      <c r="CU82" s="87">
        <f t="shared" si="97"/>
        <v>2872.927610426811</v>
      </c>
      <c r="CV82" s="70">
        <f t="shared" si="98"/>
        <v>3175.0341632367436</v>
      </c>
      <c r="CW82" s="37">
        <f t="shared" si="99"/>
        <v>302.10655280993251</v>
      </c>
      <c r="CX82" s="42">
        <f>'[1]побудинковий звіт'!CX82+'[2]побудинковий звіт'!CX82-'[3]побудинковий звіт'!CX82</f>
        <v>71.752389573189021</v>
      </c>
      <c r="CY82" s="42">
        <f>'[1]побудинковий звіт'!CY82+'[2]побудинковий звіт'!CY82-'[3]побудинковий звіт'!CY82</f>
        <v>-230.354163236744</v>
      </c>
      <c r="CZ82" s="56">
        <f t="shared" si="100"/>
        <v>-302.10655280993302</v>
      </c>
      <c r="DA82" s="264">
        <f>'[4]побудинковий звіт'!DA82</f>
        <v>-2220.4548233404189</v>
      </c>
      <c r="DB82" s="2">
        <v>1</v>
      </c>
      <c r="DC82" s="717">
        <f>'[4]побудинковий звіт'!DC82</f>
        <v>245.39</v>
      </c>
      <c r="DD82" s="717">
        <f>'[4]побудинковий звіт'!DD82</f>
        <v>0</v>
      </c>
      <c r="DE82" s="717">
        <f>'[4]побудинковий звіт'!DE82</f>
        <v>0</v>
      </c>
      <c r="DF82" s="717">
        <f>'[4]побудинковий звіт'!DF82</f>
        <v>0</v>
      </c>
      <c r="DG82" s="787">
        <v>-2587.7716251840175</v>
      </c>
      <c r="DH82" s="761">
        <f t="shared" si="109"/>
        <v>35336.160000000003</v>
      </c>
      <c r="DI82" s="784"/>
      <c r="DJ82" s="5"/>
      <c r="DK82" s="317">
        <f>VLOOKUP($A82,ціни!$A$4:$G$401,5)</f>
        <v>1.6187064647578502</v>
      </c>
      <c r="DL82" s="317"/>
      <c r="DM82" s="317">
        <f>VLOOKUP($A82,ціни!$A$4:$G$401,7)</f>
        <v>1.6187064647578502</v>
      </c>
      <c r="DN82" s="30">
        <f t="shared" si="111"/>
        <v>4030.3686654066282</v>
      </c>
      <c r="DO82" s="30">
        <f t="shared" si="112"/>
        <v>0</v>
      </c>
      <c r="DP82" s="316">
        <f t="shared" si="101"/>
        <v>4030.3686654066282</v>
      </c>
      <c r="DQ82" s="104"/>
      <c r="DR82" s="30">
        <f>VLOOKUP(A82,'ДЗ нас '!$A$1:$C$359,2)</f>
        <v>245.39</v>
      </c>
      <c r="DS82" s="748"/>
      <c r="DT82" s="30">
        <f t="shared" si="102"/>
        <v>245.39</v>
      </c>
      <c r="DU82" s="257">
        <f>VLOOKUP(A82,'новий кошторис с 01.06'!$A$4:$AI$399,35)*1.2</f>
        <v>246.59295322830124</v>
      </c>
      <c r="DV82" s="30">
        <f t="shared" si="103"/>
        <v>-1.2029532283012543</v>
      </c>
      <c r="DW82" s="930">
        <f>'[5]побудинковий звіт'!DW82+'[6]побудинковий звіт'!DW82</f>
        <v>0</v>
      </c>
      <c r="DY82" s="5">
        <f t="shared" si="104"/>
        <v>1871.6157621692462</v>
      </c>
      <c r="DZ82" s="5">
        <f t="shared" si="105"/>
        <v>0</v>
      </c>
      <c r="EA82" s="752">
        <f t="shared" si="110"/>
        <v>0</v>
      </c>
      <c r="EC82" s="592">
        <f t="shared" si="106"/>
        <v>18716.157621692462</v>
      </c>
      <c r="EE82" s="758">
        <v>-1534</v>
      </c>
      <c r="EF82" s="738">
        <f t="shared" si="107"/>
        <v>-4121.7716251840175</v>
      </c>
      <c r="EH82" s="813">
        <v>-2393.2409372522193</v>
      </c>
    </row>
    <row r="83" spans="1:138" x14ac:dyDescent="0.3">
      <c r="A83" s="328">
        <v>150000658</v>
      </c>
      <c r="B83" s="44" t="s">
        <v>533</v>
      </c>
      <c r="C83" s="45" t="s">
        <v>351</v>
      </c>
      <c r="D83" s="45" t="s">
        <v>351</v>
      </c>
      <c r="E83" s="40">
        <f t="shared" si="108"/>
        <v>11377.55</v>
      </c>
      <c r="F83" s="490">
        <v>11377.55</v>
      </c>
      <c r="G83" s="30">
        <v>552.1</v>
      </c>
      <c r="H83" s="30">
        <v>0</v>
      </c>
      <c r="I83" s="42">
        <f>'[1]побудинковий звіт'!I83+'[2]побудинковий звіт'!I83-'[3]побудинковий звіт'!I83</f>
        <v>15745.210988888151</v>
      </c>
      <c r="J83" s="42">
        <f>'[1]побудинковий звіт'!J83+'[2]побудинковий звіт'!J83-'[3]побудинковий звіт'!J83</f>
        <v>14421.857552321344</v>
      </c>
      <c r="K83" s="56">
        <f t="shared" si="66"/>
        <v>-1323.3534365668074</v>
      </c>
      <c r="L83" s="42">
        <f>'[1]побудинковий звіт'!L83+'[2]побудинковий звіт'!L83-'[3]побудинковий звіт'!L83</f>
        <v>2809.2447757829082</v>
      </c>
      <c r="M83" s="42">
        <f>'[1]побудинковий звіт'!M83+'[2]побудинковий звіт'!M83-'[3]побудинковий звіт'!M83</f>
        <v>2743.552567649594</v>
      </c>
      <c r="N83" s="56">
        <f t="shared" si="67"/>
        <v>-65.692208133314125</v>
      </c>
      <c r="O83" s="42">
        <f>'[1]побудинковий звіт'!O83+'[2]побудинковий звіт'!O83-'[3]побудинковий звіт'!O83</f>
        <v>6476.8799999999992</v>
      </c>
      <c r="P83" s="42">
        <f>'[1]побудинковий звіт'!P83+'[2]побудинковий звіт'!P83-'[3]побудинковий звіт'!P83</f>
        <v>6476.2800000000025</v>
      </c>
      <c r="Q83" s="56">
        <f t="shared" si="68"/>
        <v>-0.59999999999672582</v>
      </c>
      <c r="R83" s="42">
        <f>'[1]побудинковий звіт'!R83+'[2]побудинковий звіт'!R83-'[3]побудинковий звіт'!R83</f>
        <v>1543.5600000000004</v>
      </c>
      <c r="S83" s="42">
        <f>'[1]побудинковий звіт'!S83+'[2]побудинковий звіт'!S83-'[3]побудинковий звіт'!S83</f>
        <v>1544.64</v>
      </c>
      <c r="T83" s="56">
        <f t="shared" si="69"/>
        <v>1.0799999999996999</v>
      </c>
      <c r="U83" s="42">
        <f>'[1]побудинковий звіт'!U83+'[2]побудинковий звіт'!U83-'[3]побудинковий звіт'!U83</f>
        <v>780.05784393801946</v>
      </c>
      <c r="V83" s="42">
        <f>'[1]побудинковий звіт'!V83+'[2]побудинковий звіт'!V83-'[3]побудинковий звіт'!V83</f>
        <v>529.67087313499223</v>
      </c>
      <c r="W83" s="56">
        <f t="shared" si="70"/>
        <v>-250.38697080302722</v>
      </c>
      <c r="X83" s="42">
        <f>'[1]побудинковий звіт'!X83+'[2]побудинковий звіт'!X83-'[3]побудинковий звіт'!X83</f>
        <v>9818.6174992672568</v>
      </c>
      <c r="Y83" s="42">
        <f>'[1]побудинковий звіт'!Y83+'[2]побудинковий звіт'!Y83-'[3]побудинковий звіт'!Y83</f>
        <v>8827.9700167233896</v>
      </c>
      <c r="Z83" s="56">
        <f t="shared" si="71"/>
        <v>-990.64748254386723</v>
      </c>
      <c r="AA83" s="42">
        <f>'[1]побудинковий звіт'!AA83+'[2]побудинковий звіт'!AA83-'[3]побудинковий звіт'!AA83</f>
        <v>0</v>
      </c>
      <c r="AB83" s="42">
        <f>'[1]побудинковий звіт'!AB83+'[2]побудинковий звіт'!AB83-'[3]побудинковий звіт'!AB83</f>
        <v>0</v>
      </c>
      <c r="AC83" s="56">
        <f t="shared" si="72"/>
        <v>0</v>
      </c>
      <c r="AD83" s="42">
        <f>'[1]побудинковий звіт'!AD83+'[2]побудинковий звіт'!AD83-'[3]побудинковий звіт'!AD83</f>
        <v>21583.542413307274</v>
      </c>
      <c r="AE83" s="42">
        <f>'[1]побудинковий звіт'!AE83+'[2]побудинковий звіт'!AE83-'[3]побудинковий звіт'!AE83</f>
        <v>19893.099771776033</v>
      </c>
      <c r="AF83" s="37">
        <f t="shared" si="73"/>
        <v>-1690.442641531241</v>
      </c>
      <c r="AG83" s="87">
        <f t="shared" si="61"/>
        <v>58757.113521183608</v>
      </c>
      <c r="AH83" s="57">
        <f t="shared" si="61"/>
        <v>54437.070781605355</v>
      </c>
      <c r="AI83" s="56">
        <f t="shared" si="74"/>
        <v>-4320.0427395782535</v>
      </c>
      <c r="AJ83" s="42">
        <f>'[1]побудинковий звіт'!AJ83+'[2]побудинковий звіт'!AJ83-'[3]побудинковий звіт'!AJ83</f>
        <v>41478.570579091407</v>
      </c>
      <c r="AK83" s="42">
        <f>'[1]побудинковий звіт'!AK83+'[2]побудинковий звіт'!AK83-'[3]побудинковий звіт'!AK83</f>
        <v>41113.63254562908</v>
      </c>
      <c r="AL83" s="56">
        <f t="shared" si="75"/>
        <v>-364.93803346232744</v>
      </c>
      <c r="AM83" s="42">
        <f>'[1]побудинковий звіт'!AM83+'[2]побудинковий звіт'!AM83-'[3]побудинковий звіт'!AM83</f>
        <v>0</v>
      </c>
      <c r="AN83" s="42">
        <f>'[1]побудинковий звіт'!AN83+'[2]побудинковий звіт'!AN83-'[3]побудинковий звіт'!AN83</f>
        <v>2078.5517982735228</v>
      </c>
      <c r="AO83" s="56">
        <f t="shared" si="76"/>
        <v>2078.5517982735228</v>
      </c>
      <c r="AP83" s="42">
        <f>'[1]побудинковий звіт'!AP83+'[2]побудинковий звіт'!AP83-'[3]побудинковий звіт'!AP83</f>
        <v>3835.4214537192825</v>
      </c>
      <c r="AQ83" s="42">
        <f>'[1]побудинковий звіт'!AQ83+'[2]побудинковий звіт'!AQ83-'[3]побудинковий звіт'!AQ83</f>
        <v>3692.55394661113</v>
      </c>
      <c r="AR83" s="56">
        <f t="shared" si="77"/>
        <v>-142.86750710815249</v>
      </c>
      <c r="AS83" s="42">
        <f>'[1]побудинковий звіт'!AS83+'[2]побудинковий звіт'!AS83-'[3]побудинковий звіт'!AS83</f>
        <v>113291.69328945743</v>
      </c>
      <c r="AT83" s="42">
        <f>'[1]побудинковий звіт'!AT83+'[2]побудинковий звіт'!AT83-'[3]побудинковий звіт'!AT83</f>
        <v>91185.114025705698</v>
      </c>
      <c r="AU83" s="58">
        <f t="shared" si="78"/>
        <v>-22106.57926375173</v>
      </c>
      <c r="AV83" s="42">
        <f>'[1]побудинковий звіт'!AV83+'[2]побудинковий звіт'!AV83-'[3]побудинковий звіт'!AV83</f>
        <v>1091.1817641504535</v>
      </c>
      <c r="AW83" s="42">
        <f>'[1]побудинковий звіт'!AW83+'[2]побудинковий звіт'!AW83-'[3]побудинковий звіт'!AW83</f>
        <v>0</v>
      </c>
      <c r="AX83" s="59">
        <f t="shared" si="79"/>
        <v>-1091.1817641504535</v>
      </c>
      <c r="AY83" s="42">
        <f>'[1]побудинковий звіт'!AY83+'[2]побудинковий звіт'!AY83-'[3]побудинковий звіт'!AY83</f>
        <v>1485.0604330471435</v>
      </c>
      <c r="AZ83" s="42">
        <f>'[1]побудинковий звіт'!AZ83+'[2]побудинковий звіт'!AZ83-'[3]побудинковий звіт'!AZ83</f>
        <v>2771</v>
      </c>
      <c r="BA83" s="37">
        <f t="shared" si="80"/>
        <v>1285.9395669528565</v>
      </c>
      <c r="BB83" s="42">
        <f>'[1]побудинковий звіт'!BB83+'[2]побудинковий звіт'!BB83-'[3]побудинковий звіт'!BB83</f>
        <v>1118.2333935851082</v>
      </c>
      <c r="BC83" s="42">
        <f>'[1]побудинковий звіт'!BC83+'[2]побудинковий звіт'!BC83-'[3]побудинковий звіт'!BC83</f>
        <v>0</v>
      </c>
      <c r="BD83" s="59">
        <f t="shared" si="81"/>
        <v>-1118.2333935851082</v>
      </c>
      <c r="BE83" s="42">
        <f>'[1]побудинковий звіт'!BE83+'[2]побудинковий звіт'!BE83-'[3]побудинковий звіт'!BE83</f>
        <v>703.36053087110997</v>
      </c>
      <c r="BF83" s="42">
        <f>'[1]побудинковий звіт'!BF83+'[2]побудинковий звіт'!BF83-'[3]побудинковий звіт'!BF83</f>
        <v>0</v>
      </c>
      <c r="BG83" s="39">
        <f t="shared" si="82"/>
        <v>-703.36053087110997</v>
      </c>
      <c r="BH83" s="42">
        <f>'[1]побудинковий звіт'!BH83+'[2]побудинковий звіт'!BH83-'[3]побудинковий звіт'!BH83</f>
        <v>316.61392951383749</v>
      </c>
      <c r="BI83" s="42">
        <f>'[1]побудинковий звіт'!BI83+'[2]побудинковий звіт'!BI83-'[3]побудинковий звіт'!BI83</f>
        <v>51</v>
      </c>
      <c r="BJ83" s="59">
        <f t="shared" si="83"/>
        <v>-265.61392951383749</v>
      </c>
      <c r="BK83" s="42">
        <f>'[1]побудинковий звіт'!BK83+'[2]побудинковий звіт'!BK83-'[3]побудинковий звіт'!BK83</f>
        <v>748.28962900451654</v>
      </c>
      <c r="BL83" s="42">
        <f>'[1]побудинковий звіт'!BL83+'[2]побудинковий звіт'!BL83-'[3]побудинковий звіт'!BL83</f>
        <v>8881</v>
      </c>
      <c r="BM83" s="39">
        <f t="shared" si="84"/>
        <v>8132.7103709954836</v>
      </c>
      <c r="BN83" s="42">
        <f>'[1]побудинковий звіт'!BN83+'[2]побудинковий звіт'!BN83-'[3]побудинковий звіт'!BN83</f>
        <v>0</v>
      </c>
      <c r="BO83" s="42">
        <f>'[1]побудинковий звіт'!BO83+'[2]побудинковий звіт'!BO83-'[3]побудинковий звіт'!BO83</f>
        <v>0</v>
      </c>
      <c r="BP83" s="59">
        <f t="shared" si="85"/>
        <v>0</v>
      </c>
      <c r="BQ83" s="87">
        <f t="shared" ref="BQ83:BQ110" si="113">AV83+AY83+BB83+BE83+BH83+BK83+BN83</f>
        <v>5462.7396801721698</v>
      </c>
      <c r="BR83" s="43">
        <f t="shared" ref="BR83:BR110" si="114">AW83+AZ83+BC83+BF83+BI83+BL83+BO83</f>
        <v>11703</v>
      </c>
      <c r="BS83" s="59">
        <f t="shared" si="86"/>
        <v>6240.2603198278302</v>
      </c>
      <c r="BT83" s="42">
        <f>'[1]побудинковий звіт'!BT83+'[2]побудинковий звіт'!BT83-'[3]побудинковий звіт'!BT83</f>
        <v>37867.638294275785</v>
      </c>
      <c r="BU83" s="42">
        <f>'[1]побудинковий звіт'!BU83+'[2]побудинковий звіт'!BU83-'[3]побудинковий звіт'!BU83</f>
        <v>29915.315077033141</v>
      </c>
      <c r="BV83" s="56">
        <f t="shared" si="87"/>
        <v>-7952.3232172426433</v>
      </c>
      <c r="BW83" s="42">
        <f>'[1]побудинковий звіт'!BW83+'[2]побудинковий звіт'!BW83-'[3]побудинковий звіт'!BW83</f>
        <v>43731.462497916626</v>
      </c>
      <c r="BX83" s="42">
        <f>'[1]побудинковий звіт'!BX83+'[2]побудинковий звіт'!BX83-'[3]побудинковий звіт'!BX83</f>
        <v>41503.524348978433</v>
      </c>
      <c r="BY83" s="56">
        <f t="shared" si="88"/>
        <v>-2227.9381489381922</v>
      </c>
      <c r="BZ83" s="42">
        <f>'[1]побудинковий звіт'!BZ83+'[2]побудинковий звіт'!BZ83-'[3]побудинковий звіт'!BZ83</f>
        <v>5777.3665827528794</v>
      </c>
      <c r="CA83" s="42">
        <f>'[1]побудинковий звіт'!CA83+'[2]побудинковий звіт'!CA83-'[3]побудинковий звіт'!CA83</f>
        <v>8660.6323731192388</v>
      </c>
      <c r="CB83" s="56">
        <f t="shared" si="89"/>
        <v>2883.2657903663594</v>
      </c>
      <c r="CC83" s="42">
        <f>'[1]побудинковий звіт'!CC83+'[2]побудинковий звіт'!CC83-'[3]побудинковий звіт'!CC83</f>
        <v>1907.7436447027862</v>
      </c>
      <c r="CD83" s="42">
        <f>'[1]побудинковий звіт'!CD83+'[2]побудинковий звіт'!CD83-'[3]побудинковий звіт'!CD83</f>
        <v>1890.9644999894138</v>
      </c>
      <c r="CE83" s="56">
        <f t="shared" si="90"/>
        <v>-16.779144713372489</v>
      </c>
      <c r="CF83" s="42">
        <f>'[1]побудинковий звіт'!CF83+'[2]побудинковий звіт'!CF83-'[3]побудинковий звіт'!CF83</f>
        <v>234.85480474560813</v>
      </c>
      <c r="CG83" s="42">
        <f>'[1]побудинковий звіт'!CG83+'[2]побудинковий звіт'!CG83-'[3]побудинковий звіт'!CG83</f>
        <v>0</v>
      </c>
      <c r="CH83" s="56">
        <f t="shared" si="91"/>
        <v>-234.85480474560813</v>
      </c>
      <c r="CI83" s="42">
        <f>'[1]побудинковий звіт'!CI83+'[2]побудинковий звіт'!CI83-'[3]побудинковий звіт'!CI83</f>
        <v>15722.721148841398</v>
      </c>
      <c r="CJ83" s="42">
        <f>'[1]побудинковий звіт'!CJ83+'[2]побудинковий звіт'!CJ83-'[3]побудинковий звіт'!CJ83</f>
        <v>10611.28569261323</v>
      </c>
      <c r="CK83" s="56">
        <f t="shared" si="92"/>
        <v>-5111.4354562281678</v>
      </c>
      <c r="CL83" s="42">
        <f>'[1]побудинковий звіт'!CL83+'[2]побудинковий звіт'!CL83-'[3]побудинковий звіт'!CL83</f>
        <v>7000.3544162698581</v>
      </c>
      <c r="CM83" s="42">
        <f>'[1]побудинковий звіт'!CM83+'[2]побудинковий звіт'!CM83-'[3]побудинковий звіт'!CM83</f>
        <v>7148.6205684627776</v>
      </c>
      <c r="CN83" s="56">
        <f t="shared" si="93"/>
        <v>148.26615219291944</v>
      </c>
      <c r="CO83" s="42">
        <f t="shared" si="64"/>
        <v>22723.075565111256</v>
      </c>
      <c r="CP83" s="43">
        <f t="shared" si="94"/>
        <v>17759.906261076008</v>
      </c>
      <c r="CQ83" s="56">
        <f t="shared" si="95"/>
        <v>-4963.1693040352475</v>
      </c>
      <c r="CR83" s="78">
        <f t="shared" si="65"/>
        <v>335067.67991312884</v>
      </c>
      <c r="CS83" s="5">
        <f t="shared" si="65"/>
        <v>303940.26565802097</v>
      </c>
      <c r="CT83" s="56">
        <f t="shared" si="96"/>
        <v>-31127.414255107869</v>
      </c>
      <c r="CU83" s="87">
        <f t="shared" si="97"/>
        <v>402081.21589575458</v>
      </c>
      <c r="CV83" s="70">
        <f t="shared" si="98"/>
        <v>364728.31878962513</v>
      </c>
      <c r="CW83" s="37">
        <f t="shared" si="99"/>
        <v>-37352.897106129443</v>
      </c>
      <c r="CX83" s="42">
        <f>'[1]побудинковий звіт'!CX83+'[2]побудинковий звіт'!CX83-'[3]побудинковий звіт'!CX83</f>
        <v>3975.3841042454587</v>
      </c>
      <c r="CY83" s="42">
        <f>'[1]побудинковий звіт'!CY83+'[2]побудинковий звіт'!CY83-'[3]побудинковий звіт'!CY83</f>
        <v>41328.281210374793</v>
      </c>
      <c r="CZ83" s="56">
        <f t="shared" si="100"/>
        <v>37352.897106129334</v>
      </c>
      <c r="DA83" s="264">
        <f>'[4]побудинковий звіт'!DA83</f>
        <v>74194.618542699347</v>
      </c>
      <c r="DB83" s="2">
        <v>3</v>
      </c>
      <c r="DC83" s="717">
        <f>'[4]побудинковий звіт'!DC83</f>
        <v>93454.28</v>
      </c>
      <c r="DD83" s="717">
        <f>'[4]побудинковий звіт'!DD83</f>
        <v>0</v>
      </c>
      <c r="DE83" s="717">
        <f>'[4]побудинковий звіт'!DE83</f>
        <v>59616.229999999996</v>
      </c>
      <c r="DF83" s="717">
        <f>'[4]побудинковий звіт'!DF83</f>
        <v>0</v>
      </c>
      <c r="DG83" s="787">
        <v>-56841.335450958461</v>
      </c>
      <c r="DH83" s="761">
        <f t="shared" si="109"/>
        <v>4872679.2</v>
      </c>
      <c r="DI83" s="784"/>
      <c r="DJ83" s="5"/>
      <c r="DK83" s="317">
        <f>VLOOKUP($A83,ціни!$A$4:$G$401,5)</f>
        <v>5.7342707965241306</v>
      </c>
      <c r="DL83" s="317">
        <f>VLOOKUP($A83,ціни!$A$4:$G$401,6)</f>
        <v>6.8233940530873998</v>
      </c>
      <c r="DM83" s="317">
        <f>VLOOKUP($A83,ціни!$A$4:$G$401,7)</f>
        <v>4.7961368545514738</v>
      </c>
      <c r="DN83" s="30">
        <f>DK83*G83+(F83-G83)*DL83</f>
        <v>77032.202058755967</v>
      </c>
      <c r="DO83" s="30">
        <f>DM83*H83</f>
        <v>0</v>
      </c>
      <c r="DP83" s="316">
        <f t="shared" si="101"/>
        <v>77032.202058755967</v>
      </c>
      <c r="DQ83" s="104"/>
      <c r="DR83" s="30">
        <f>VLOOKUP(A83,'ДЗ нас '!$A$1:$C$359,2)</f>
        <v>33838.050000000003</v>
      </c>
      <c r="DS83" s="748"/>
      <c r="DT83" s="30">
        <f t="shared" si="102"/>
        <v>33838.050000000003</v>
      </c>
      <c r="DU83" s="257">
        <f>VLOOKUP(A83,'новий кошторис с 01.06'!$A$4:$AI$399,35)*1.2</f>
        <v>33908.837063208637</v>
      </c>
      <c r="DV83" s="30">
        <f t="shared" si="103"/>
        <v>-70.787063208634208</v>
      </c>
      <c r="DW83" s="930">
        <f>'[5]побудинковий звіт'!DW83+'[6]побудинковий звіт'!DW83</f>
        <v>202</v>
      </c>
      <c r="DY83" s="5">
        <f t="shared" si="104"/>
        <v>142505.3195635555</v>
      </c>
      <c r="DZ83" s="5">
        <f t="shared" si="105"/>
        <v>123465.73683084683</v>
      </c>
      <c r="EA83" s="752">
        <f t="shared" si="110"/>
        <v>59616.229999999996</v>
      </c>
      <c r="EC83" s="592">
        <f t="shared" si="106"/>
        <v>1359500.3194734892</v>
      </c>
      <c r="EE83" s="758">
        <v>-59954</v>
      </c>
      <c r="EF83" s="738">
        <f t="shared" si="107"/>
        <v>-116795.33545095846</v>
      </c>
      <c r="EH83" s="813">
        <v>92591.417672147421</v>
      </c>
    </row>
    <row r="84" spans="1:138" x14ac:dyDescent="0.3">
      <c r="A84" s="328">
        <v>150000659</v>
      </c>
      <c r="B84" s="44" t="s">
        <v>534</v>
      </c>
      <c r="C84" s="45" t="s">
        <v>413</v>
      </c>
      <c r="D84" s="45" t="s">
        <v>413</v>
      </c>
      <c r="E84" s="40">
        <f t="shared" si="108"/>
        <v>2481.4</v>
      </c>
      <c r="F84" s="490">
        <v>2481.4</v>
      </c>
      <c r="G84" s="30">
        <v>490.3</v>
      </c>
      <c r="H84" s="30">
        <v>0</v>
      </c>
      <c r="I84" s="42">
        <f>'[1]побудинковий звіт'!I84+'[2]побудинковий звіт'!I84-'[3]побудинковий звіт'!I84</f>
        <v>8560.2151873793009</v>
      </c>
      <c r="J84" s="42">
        <f>'[1]побудинковий звіт'!J84+'[2]побудинковий звіт'!J84-'[3]побудинковий звіт'!J84</f>
        <v>8119.0495898784466</v>
      </c>
      <c r="K84" s="56">
        <f t="shared" si="66"/>
        <v>-441.16559750085435</v>
      </c>
      <c r="L84" s="42">
        <f>'[1]побудинковий звіт'!L84+'[2]побудинковий звіт'!L84-'[3]побудинковий звіт'!L84</f>
        <v>1520.3191843530196</v>
      </c>
      <c r="M84" s="42">
        <f>'[1]побудинковий звіт'!M84+'[2]побудинковий звіт'!M84-'[3]побудинковий звіт'!M84</f>
        <v>1455.7436315815239</v>
      </c>
      <c r="N84" s="56">
        <f t="shared" si="67"/>
        <v>-64.575552771495722</v>
      </c>
      <c r="O84" s="42">
        <f>'[1]побудинковий звіт'!O84+'[2]побудинковий звіт'!O84-'[3]побудинковий звіт'!O84</f>
        <v>3436.4399999999996</v>
      </c>
      <c r="P84" s="42">
        <f>'[1]побудинковий звіт'!P84+'[2]побудинковий звіт'!P84-'[3]побудинковий звіт'!P84</f>
        <v>3437.3999999999992</v>
      </c>
      <c r="Q84" s="56">
        <f t="shared" si="68"/>
        <v>0.95999999999958163</v>
      </c>
      <c r="R84" s="42">
        <f>'[1]побудинковий звіт'!R84+'[2]побудинковий звіт'!R84-'[3]побудинковий звіт'!R84</f>
        <v>829.32</v>
      </c>
      <c r="S84" s="42">
        <f>'[1]побудинковий звіт'!S84+'[2]побудинковий звіт'!S84-'[3]побудинковий звіт'!S84</f>
        <v>828.7199999999998</v>
      </c>
      <c r="T84" s="56">
        <f t="shared" si="69"/>
        <v>-0.60000000000025011</v>
      </c>
      <c r="U84" s="42">
        <f>'[1]побудинковий звіт'!U84+'[2]побудинковий звіт'!U84-'[3]побудинковий звіт'!U84</f>
        <v>265.93583065619049</v>
      </c>
      <c r="V84" s="42">
        <f>'[1]побудинковий звіт'!V84+'[2]побудинковий звіт'!V84-'[3]побудинковий звіт'!V84</f>
        <v>180.57418086778841</v>
      </c>
      <c r="W84" s="56">
        <f t="shared" si="70"/>
        <v>-85.361649788402076</v>
      </c>
      <c r="X84" s="42">
        <f>'[1]побудинковий звіт'!X84+'[2]побудинковий звіт'!X84-'[3]побудинковий звіт'!X84</f>
        <v>3307.7829519283487</v>
      </c>
      <c r="Y84" s="42">
        <f>'[1]побудинковий звіт'!Y84+'[2]побудинковий звіт'!Y84-'[3]побудинковий звіт'!Y84</f>
        <v>2805.0699031466647</v>
      </c>
      <c r="Z84" s="56">
        <f t="shared" si="71"/>
        <v>-502.71304878168394</v>
      </c>
      <c r="AA84" s="42">
        <f>'[1]побудинковий звіт'!AA84+'[2]побудинковий звіт'!AA84-'[3]побудинковий звіт'!AA84</f>
        <v>0</v>
      </c>
      <c r="AB84" s="42">
        <f>'[1]побудинковий звіт'!AB84+'[2]побудинковий звіт'!AB84-'[3]побудинковий звіт'!AB84</f>
        <v>0</v>
      </c>
      <c r="AC84" s="56">
        <f t="shared" si="72"/>
        <v>0</v>
      </c>
      <c r="AD84" s="42">
        <f>'[1]побудинковий звіт'!AD84+'[2]побудинковий звіт'!AD84-'[3]побудинковий звіт'!AD84</f>
        <v>11140.679059763084</v>
      </c>
      <c r="AE84" s="42">
        <f>'[1]побудинковий звіт'!AE84+'[2]побудинковий звіт'!AE84-'[3]побудинковий звіт'!AE84</f>
        <v>10268.289681308534</v>
      </c>
      <c r="AF84" s="37">
        <f t="shared" si="73"/>
        <v>-872.38937845455075</v>
      </c>
      <c r="AG84" s="87">
        <f t="shared" si="61"/>
        <v>29060.692214079943</v>
      </c>
      <c r="AH84" s="57">
        <f t="shared" si="61"/>
        <v>27094.846986782955</v>
      </c>
      <c r="AI84" s="56">
        <f t="shared" si="74"/>
        <v>-1965.845227296988</v>
      </c>
      <c r="AJ84" s="42">
        <f>'[1]побудинковий звіт'!AJ84+'[2]побудинковий звіт'!AJ84-'[3]побудинковий звіт'!AJ84</f>
        <v>20739.285289545704</v>
      </c>
      <c r="AK84" s="42">
        <f>'[1]побудинковий звіт'!AK84+'[2]побудинковий звіт'!AK84-'[3]побудинковий звіт'!AK84</f>
        <v>20556.867169671947</v>
      </c>
      <c r="AL84" s="56">
        <f t="shared" si="75"/>
        <v>-182.41811987375695</v>
      </c>
      <c r="AM84" s="42">
        <f>'[1]побудинковий звіт'!AM84+'[2]побудинковий звіт'!AM84-'[3]побудинковий звіт'!AM84</f>
        <v>0</v>
      </c>
      <c r="AN84" s="42">
        <f>'[1]побудинковий звіт'!AN84+'[2]побудинковий звіт'!AN84-'[3]побудинковий звіт'!AN84</f>
        <v>0</v>
      </c>
      <c r="AO84" s="56">
        <f t="shared" si="76"/>
        <v>0</v>
      </c>
      <c r="AP84" s="42">
        <f>'[1]побудинковий звіт'!AP84+'[2]побудинковий звіт'!AP84-'[3]побудинковий звіт'!AP84</f>
        <v>1894.0352857872997</v>
      </c>
      <c r="AQ84" s="42">
        <f>'[1]побудинковий звіт'!AQ84+'[2]побудинковий звіт'!AQ84-'[3]побудинковий звіт'!AQ84</f>
        <v>1822.8920367966232</v>
      </c>
      <c r="AR84" s="56">
        <f t="shared" si="77"/>
        <v>-71.143248990676511</v>
      </c>
      <c r="AS84" s="42">
        <f>'[1]побудинковий звіт'!AS84+'[2]побудинковий звіт'!AS84-'[3]побудинковий звіт'!AS84</f>
        <v>48528.63089880519</v>
      </c>
      <c r="AT84" s="42">
        <f>'[1]побудинковий звіт'!AT84+'[2]побудинковий звіт'!AT84-'[3]побудинковий звіт'!AT84</f>
        <v>126782</v>
      </c>
      <c r="AU84" s="58">
        <f t="shared" si="78"/>
        <v>78253.36910119481</v>
      </c>
      <c r="AV84" s="42">
        <f>'[1]побудинковий звіт'!AV84+'[2]побудинковий звіт'!AV84-'[3]побудинковий звіт'!AV84</f>
        <v>724.8247219294434</v>
      </c>
      <c r="AW84" s="42">
        <f>'[1]побудинковий звіт'!AW84+'[2]побудинковий звіт'!AW84-'[3]побудинковий звіт'!AW84</f>
        <v>3162</v>
      </c>
      <c r="AX84" s="59">
        <f t="shared" si="79"/>
        <v>2437.1752780705565</v>
      </c>
      <c r="AY84" s="42">
        <f>'[1]побудинковий звіт'!AY84+'[2]побудинковий звіт'!AY84-'[3]побудинковий звіт'!AY84</f>
        <v>1002.8045804300408</v>
      </c>
      <c r="AZ84" s="42">
        <f>'[1]побудинковий звіт'!AZ84+'[2]побудинковий звіт'!AZ84-'[3]побудинковий звіт'!AZ84</f>
        <v>0</v>
      </c>
      <c r="BA84" s="37">
        <f t="shared" si="80"/>
        <v>-1002.8045804300408</v>
      </c>
      <c r="BB84" s="42">
        <f>'[1]побудинковий звіт'!BB84+'[2]побудинковий звіт'!BB84-'[3]побудинковий звіт'!BB84</f>
        <v>1367.5193129020822</v>
      </c>
      <c r="BC84" s="42">
        <f>'[1]побудинковий звіт'!BC84+'[2]побудинковий звіт'!BC84-'[3]побудинковий звіт'!BC84</f>
        <v>0</v>
      </c>
      <c r="BD84" s="59">
        <f t="shared" si="81"/>
        <v>-1367.5193129020822</v>
      </c>
      <c r="BE84" s="42">
        <f>'[1]побудинковий звіт'!BE84+'[2]побудинковий звіт'!BE84-'[3]побудинковий звіт'!BE84</f>
        <v>472.23331305450267</v>
      </c>
      <c r="BF84" s="42">
        <f>'[1]побудинковий звіт'!BF84+'[2]побудинковий звіт'!BF84-'[3]побудинковий звіт'!BF84</f>
        <v>0</v>
      </c>
      <c r="BG84" s="39">
        <f t="shared" si="82"/>
        <v>-472.23331305450267</v>
      </c>
      <c r="BH84" s="42">
        <f>'[1]побудинковий звіт'!BH84+'[2]побудинковий звіт'!BH84-'[3]побудинковий звіт'!BH84</f>
        <v>134.94041023261386</v>
      </c>
      <c r="BI84" s="42">
        <f>'[1]побудинковий звіт'!BI84+'[2]побудинковий звіт'!BI84-'[3]побудинковий звіт'!BI84</f>
        <v>24</v>
      </c>
      <c r="BJ84" s="59">
        <f t="shared" si="83"/>
        <v>-110.94041023261386</v>
      </c>
      <c r="BK84" s="42">
        <f>'[1]побудинковий звіт'!BK84+'[2]побудинковий звіт'!BK84-'[3]побудинковий звіт'!BK84</f>
        <v>288.20418046042994</v>
      </c>
      <c r="BL84" s="42">
        <f>'[1]побудинковий звіт'!BL84+'[2]побудинковий звіт'!BL84-'[3]побудинковий звіт'!BL84</f>
        <v>3299</v>
      </c>
      <c r="BM84" s="39">
        <f t="shared" si="84"/>
        <v>3010.7958195395699</v>
      </c>
      <c r="BN84" s="42">
        <f>'[1]побудинковий звіт'!BN84+'[2]побудинковий звіт'!BN84-'[3]побудинковий звіт'!BN84</f>
        <v>0</v>
      </c>
      <c r="BO84" s="42">
        <f>'[1]побудинковий звіт'!BO84+'[2]побудинковий звіт'!BO84-'[3]побудинковий звіт'!BO84</f>
        <v>0</v>
      </c>
      <c r="BP84" s="59">
        <f t="shared" si="85"/>
        <v>0</v>
      </c>
      <c r="BQ84" s="87">
        <f t="shared" si="113"/>
        <v>3990.5265190091127</v>
      </c>
      <c r="BR84" s="43">
        <f t="shared" si="114"/>
        <v>6485</v>
      </c>
      <c r="BS84" s="59">
        <f t="shared" si="86"/>
        <v>2494.4734809908873</v>
      </c>
      <c r="BT84" s="42">
        <f>'[1]побудинковий звіт'!BT84+'[2]побудинковий звіт'!BT84-'[3]побудинковий звіт'!BT84</f>
        <v>18705.592484940586</v>
      </c>
      <c r="BU84" s="42">
        <f>'[1]побудинковий звіт'!BU84+'[2]побудинковий звіт'!BU84-'[3]побудинковий звіт'!BU84</f>
        <v>14167.147061552496</v>
      </c>
      <c r="BV84" s="56">
        <f t="shared" si="87"/>
        <v>-4538.4454233880897</v>
      </c>
      <c r="BW84" s="42">
        <f>'[1]побудинковий звіт'!BW84+'[2]побудинковий звіт'!BW84-'[3]побудинковий звіт'!BW84</f>
        <v>19933.775407009249</v>
      </c>
      <c r="BX84" s="42">
        <f>'[1]побудинковий звіт'!BX84+'[2]побудинковий звіт'!BX84-'[3]побудинковий звіт'!BX84</f>
        <v>18467.68531063963</v>
      </c>
      <c r="BY84" s="56">
        <f t="shared" si="88"/>
        <v>-1466.0900963696185</v>
      </c>
      <c r="BZ84" s="42">
        <f>'[1]побудинковий звіт'!BZ84+'[2]побудинковий звіт'!BZ84-'[3]побудинковий звіт'!BZ84</f>
        <v>2616.1047235441733</v>
      </c>
      <c r="CA84" s="42">
        <f>'[1]побудинковий звіт'!CA84+'[2]побудинковий звіт'!CA84-'[3]побудинковий звіт'!CA84</f>
        <v>3625.2533952564481</v>
      </c>
      <c r="CB84" s="56">
        <f t="shared" si="89"/>
        <v>1009.1486717122748</v>
      </c>
      <c r="CC84" s="42">
        <f>'[1]побудинковий звіт'!CC84+'[2]побудинковий звіт'!CC84-'[3]побудинковий звіт'!CC84</f>
        <v>899.16317019062853</v>
      </c>
      <c r="CD84" s="42">
        <f>'[1]побудинковий звіт'!CD84+'[2]побудинковий звіт'!CD84-'[3]побудинковий звіт'!CD84</f>
        <v>891.25477589695299</v>
      </c>
      <c r="CE84" s="56">
        <f t="shared" si="90"/>
        <v>-7.908394293675542</v>
      </c>
      <c r="CF84" s="42">
        <f>'[1]побудинковий звіт'!CF84+'[2]побудинковий звіт'!CF84-'[3]побудинковий звіт'!CF84</f>
        <v>110.69243572422509</v>
      </c>
      <c r="CG84" s="42">
        <f>'[1]побудинковий звіт'!CG84+'[2]побудинковий звіт'!CG84-'[3]побудинковий звіт'!CG84</f>
        <v>547.9634810966121</v>
      </c>
      <c r="CH84" s="56">
        <f t="shared" si="91"/>
        <v>437.27104537238699</v>
      </c>
      <c r="CI84" s="42">
        <f>'[1]побудинковий звіт'!CI84+'[2]побудинковий звіт'!CI84-'[3]побудинковий звіт'!CI84</f>
        <v>2714.0411506928585</v>
      </c>
      <c r="CJ84" s="42">
        <f>'[1]побудинковий звіт'!CJ84+'[2]побудинковий звіт'!CJ84-'[3]побудинковий звіт'!CJ84</f>
        <v>3595.1059669970805</v>
      </c>
      <c r="CK84" s="56">
        <f t="shared" si="92"/>
        <v>881.06481630422195</v>
      </c>
      <c r="CL84" s="42">
        <f>'[1]побудинковий звіт'!CL84+'[2]побудинковий звіт'!CL84-'[3]побудинковий звіт'!CL84</f>
        <v>3930.6802872103494</v>
      </c>
      <c r="CM84" s="42">
        <f>'[1]побудинковий звіт'!CM84+'[2]побудинковий звіт'!CM84-'[3]побудинковий звіт'!CM84</f>
        <v>4608.4589046679175</v>
      </c>
      <c r="CN84" s="56">
        <f t="shared" si="93"/>
        <v>677.77861745756809</v>
      </c>
      <c r="CO84" s="42">
        <f t="shared" si="64"/>
        <v>6644.7214379032084</v>
      </c>
      <c r="CP84" s="43">
        <f t="shared" si="94"/>
        <v>8203.5648716649976</v>
      </c>
      <c r="CQ84" s="56">
        <f t="shared" si="95"/>
        <v>1558.8434337617891</v>
      </c>
      <c r="CR84" s="78">
        <f t="shared" si="65"/>
        <v>153123.21986653932</v>
      </c>
      <c r="CS84" s="5">
        <f t="shared" si="65"/>
        <v>228644.47508935869</v>
      </c>
      <c r="CT84" s="56">
        <f t="shared" si="96"/>
        <v>75521.255222819367</v>
      </c>
      <c r="CU84" s="87">
        <f t="shared" si="97"/>
        <v>183747.86383984718</v>
      </c>
      <c r="CV84" s="70">
        <f t="shared" si="98"/>
        <v>274373.37010723044</v>
      </c>
      <c r="CW84" s="37">
        <f t="shared" si="99"/>
        <v>90625.506267383258</v>
      </c>
      <c r="CX84" s="42">
        <f>'[1]побудинковий звіт'!CX84+'[2]побудинковий звіт'!CX84-'[3]побудинковий звіт'!CX84</f>
        <v>-8.183839847202762</v>
      </c>
      <c r="CY84" s="42">
        <f>'[1]побудинковий звіт'!CY84+'[2]побудинковий звіт'!CY84-'[3]побудинковий звіт'!CY84</f>
        <v>-90633.690107230403</v>
      </c>
      <c r="CZ84" s="56">
        <f t="shared" si="100"/>
        <v>-90625.5062673832</v>
      </c>
      <c r="DA84" s="264">
        <f>'[4]побудинковий звіт'!DA84</f>
        <v>101893.39229565405</v>
      </c>
      <c r="DB84" s="2">
        <v>3</v>
      </c>
      <c r="DC84" s="717">
        <f>'[4]побудинковий звіт'!DC84</f>
        <v>74065</v>
      </c>
      <c r="DD84" s="717">
        <f>'[4]побудинковий звіт'!DD84</f>
        <v>0</v>
      </c>
      <c r="DE84" s="717">
        <f>'[4]побудинковий звіт'!DE84</f>
        <v>58753.36</v>
      </c>
      <c r="DF84" s="717">
        <f>'[4]побудинковий звіт'!DF84</f>
        <v>0</v>
      </c>
      <c r="DG84" s="787">
        <v>22213.759617035044</v>
      </c>
      <c r="DH84" s="761">
        <f t="shared" si="109"/>
        <v>2204876.16</v>
      </c>
      <c r="DI84" s="784"/>
      <c r="DJ84" s="5"/>
      <c r="DK84" s="317">
        <f>VLOOKUP($A84,ціни!$A$4:$G$401,5)</f>
        <v>4.9300761577349173</v>
      </c>
      <c r="DL84" s="317">
        <f>VLOOKUP($A84,ціни!$A$4:$G$401,6)</f>
        <v>6.0963945000550783</v>
      </c>
      <c r="DM84" s="317">
        <f>VLOOKUP($A84,ціни!$A$4:$G$401,7)</f>
        <v>4.1099550521118413</v>
      </c>
      <c r="DN84" s="30">
        <f>DK84*G84+(F84-G84)*DL84</f>
        <v>14555.747429197098</v>
      </c>
      <c r="DO84" s="30">
        <f>DM84*H84</f>
        <v>0</v>
      </c>
      <c r="DP84" s="316">
        <f t="shared" si="101"/>
        <v>14555.747429197098</v>
      </c>
      <c r="DQ84" s="104"/>
      <c r="DR84" s="30">
        <f>VLOOKUP(A84,'ДЗ нас '!$A$1:$C$359,2)</f>
        <v>15311.64</v>
      </c>
      <c r="DS84" s="748"/>
      <c r="DT84" s="30">
        <f t="shared" si="102"/>
        <v>15311.64</v>
      </c>
      <c r="DU84" s="257">
        <f>VLOOKUP(A84,'новий кошторис с 01.06'!$A$4:$AI$399,35)*1.2</f>
        <v>15312.309986653934</v>
      </c>
      <c r="DV84" s="30">
        <f t="shared" si="103"/>
        <v>-0.66998665393475676</v>
      </c>
      <c r="DW84" s="930">
        <f>'[5]побудинковий звіт'!DW84+'[6]побудинковий звіт'!DW84</f>
        <v>202</v>
      </c>
      <c r="DY84" s="5">
        <f t="shared" si="104"/>
        <v>63022.988901377161</v>
      </c>
      <c r="DZ84" s="5">
        <f t="shared" si="105"/>
        <v>159920.4</v>
      </c>
      <c r="EA84" s="752">
        <f t="shared" si="110"/>
        <v>58753.36</v>
      </c>
      <c r="EC84" s="592">
        <f t="shared" si="106"/>
        <v>582343.57078566228</v>
      </c>
      <c r="EE84" s="758">
        <v>-9874</v>
      </c>
      <c r="EF84" s="738">
        <f t="shared" si="107"/>
        <v>12339.759617035044</v>
      </c>
      <c r="EH84" s="813">
        <v>4329.7809940488441</v>
      </c>
    </row>
    <row r="85" spans="1:138" x14ac:dyDescent="0.3">
      <c r="A85" s="328">
        <v>150000660</v>
      </c>
      <c r="B85" s="44" t="s">
        <v>535</v>
      </c>
      <c r="C85" s="45" t="s">
        <v>414</v>
      </c>
      <c r="D85" s="45" t="s">
        <v>414</v>
      </c>
      <c r="E85" s="40">
        <f t="shared" si="108"/>
        <v>11363.16</v>
      </c>
      <c r="F85" s="490">
        <v>11363.16</v>
      </c>
      <c r="G85" s="30">
        <v>410</v>
      </c>
      <c r="H85" s="30">
        <v>0</v>
      </c>
      <c r="I85" s="42">
        <f>'[1]побудинковий звіт'!I85+'[2]побудинковий звіт'!I85-'[3]побудинковий звіт'!I85</f>
        <v>15423.651409669481</v>
      </c>
      <c r="J85" s="42">
        <f>'[1]побудинковий звіт'!J85+'[2]побудинковий звіт'!J85-'[3]побудинковий звіт'!J85</f>
        <v>14402.414486598607</v>
      </c>
      <c r="K85" s="56">
        <f t="shared" si="66"/>
        <v>-1021.2369230708737</v>
      </c>
      <c r="L85" s="42">
        <f>'[1]побудинковий звіт'!L85+'[2]побудинковий звіт'!L85-'[3]побудинковий звіт'!L85</f>
        <v>2979.3841682411112</v>
      </c>
      <c r="M85" s="42">
        <f>'[1]побудинковий звіт'!M85+'[2]побудинковий звіт'!M85-'[3]побудинковий звіт'!M85</f>
        <v>2852.8381912017062</v>
      </c>
      <c r="N85" s="56">
        <f t="shared" si="67"/>
        <v>-126.54597703940499</v>
      </c>
      <c r="O85" s="42">
        <f>'[1]побудинковий звіт'!O85+'[2]побудинковий звіт'!O85-'[3]побудинковий звіт'!O85</f>
        <v>5987.2799999999988</v>
      </c>
      <c r="P85" s="42">
        <f>'[1]побудинковий звіт'!P85+'[2]побудинковий звіт'!P85-'[3]побудинковий звіт'!P85</f>
        <v>5985.6000000000013</v>
      </c>
      <c r="Q85" s="56">
        <f t="shared" si="68"/>
        <v>-1.6799999999975626</v>
      </c>
      <c r="R85" s="42">
        <f>'[1]побудинковий звіт'!R85+'[2]побудинковий звіт'!R85-'[3]побудинковий звіт'!R85</f>
        <v>1511.76</v>
      </c>
      <c r="S85" s="42">
        <f>'[1]побудинковий звіт'!S85+'[2]побудинковий звіт'!S85-'[3]побудинковий звіт'!S85</f>
        <v>1510.4399999999996</v>
      </c>
      <c r="T85" s="56">
        <f t="shared" si="69"/>
        <v>-1.3200000000003911</v>
      </c>
      <c r="U85" s="42">
        <f>'[1]побудинковий звіт'!U85+'[2]побудинковий звіт'!U85-'[3]побудинковий звіт'!U85</f>
        <v>833.30286687848127</v>
      </c>
      <c r="V85" s="42">
        <f>'[1]побудинковий звіт'!V85+'[2]побудинковий звіт'!V85-'[3]побудинковий звіт'!V85</f>
        <v>614.34215247163843</v>
      </c>
      <c r="W85" s="56">
        <f t="shared" si="70"/>
        <v>-218.96071440684284</v>
      </c>
      <c r="X85" s="42">
        <f>'[1]побудинковий звіт'!X85+'[2]побудинковий звіт'!X85-'[3]побудинковий звіт'!X85</f>
        <v>6515.458558383737</v>
      </c>
      <c r="Y85" s="42">
        <f>'[1]побудинковий звіт'!Y85+'[2]побудинковий звіт'!Y85-'[3]побудинковий звіт'!Y85</f>
        <v>5662.4173736573202</v>
      </c>
      <c r="Z85" s="56">
        <f t="shared" si="71"/>
        <v>-853.04118472641676</v>
      </c>
      <c r="AA85" s="42">
        <f>'[1]побудинковий звіт'!AA85+'[2]побудинковий звіт'!AA85-'[3]побудинковий звіт'!AA85</f>
        <v>0</v>
      </c>
      <c r="AB85" s="42">
        <f>'[1]побудинковий звіт'!AB85+'[2]побудинковий звіт'!AB85-'[3]побудинковий звіт'!AB85</f>
        <v>0</v>
      </c>
      <c r="AC85" s="56">
        <f t="shared" si="72"/>
        <v>0</v>
      </c>
      <c r="AD85" s="42">
        <f>'[1]побудинковий звіт'!AD85+'[2]побудинковий звіт'!AD85-'[3]побудинковий звіт'!AD85</f>
        <v>19932.643858337196</v>
      </c>
      <c r="AE85" s="42">
        <f>'[1]побудинковий звіт'!AE85+'[2]побудинковий звіт'!AE85-'[3]побудинковий звіт'!AE85</f>
        <v>18371.785072867387</v>
      </c>
      <c r="AF85" s="37">
        <f t="shared" si="73"/>
        <v>-1560.8587854698089</v>
      </c>
      <c r="AG85" s="87">
        <f t="shared" si="61"/>
        <v>53183.480861510005</v>
      </c>
      <c r="AH85" s="57">
        <f t="shared" si="61"/>
        <v>49399.837276796665</v>
      </c>
      <c r="AI85" s="56">
        <f t="shared" si="74"/>
        <v>-3783.6435847133398</v>
      </c>
      <c r="AJ85" s="42">
        <f>'[1]побудинковий звіт'!AJ85+'[2]побудинковий звіт'!AJ85-'[3]побудинковий звіт'!AJ85</f>
        <v>35725.605519273005</v>
      </c>
      <c r="AK85" s="42">
        <f>'[1]побудинковий звіт'!AK85+'[2]побудинковий звіт'!AK85-'[3]побудинковий звіт'!AK85</f>
        <v>35411.266439992854</v>
      </c>
      <c r="AL85" s="56">
        <f t="shared" si="75"/>
        <v>-314.33907928015105</v>
      </c>
      <c r="AM85" s="42">
        <f>'[1]побудинковий звіт'!AM85+'[2]побудинковий звіт'!AM85-'[3]побудинковий звіт'!AM85</f>
        <v>0</v>
      </c>
      <c r="AN85" s="42">
        <f>'[1]побудинковий звіт'!AN85+'[2]побудинковий звіт'!AN85-'[3]побудинковий звіт'!AN85</f>
        <v>0</v>
      </c>
      <c r="AO85" s="56">
        <f t="shared" si="76"/>
        <v>0</v>
      </c>
      <c r="AP85" s="42">
        <f>'[1]побудинковий звіт'!AP85+'[2]побудинковий звіт'!AP85-'[3]побудинковий звіт'!AP85</f>
        <v>3788.0705715745994</v>
      </c>
      <c r="AQ85" s="42">
        <f>'[1]побудинковий звіт'!AQ85+'[2]побудинковий звіт'!AQ85-'[3]побудинковий звіт'!AQ85</f>
        <v>3645.4064032929664</v>
      </c>
      <c r="AR85" s="56">
        <f t="shared" si="77"/>
        <v>-142.66416828163301</v>
      </c>
      <c r="AS85" s="42">
        <f>'[1]побудинковий звіт'!AS85+'[2]побудинковий звіт'!AS85-'[3]побудинковий звіт'!AS85</f>
        <v>90190.107674469182</v>
      </c>
      <c r="AT85" s="42">
        <f>'[1]побудинковий звіт'!AT85+'[2]побудинковий звіт'!AT85-'[3]побудинковий звіт'!AT85</f>
        <v>57287</v>
      </c>
      <c r="AU85" s="58">
        <f t="shared" si="78"/>
        <v>-32903.107674469182</v>
      </c>
      <c r="AV85" s="42">
        <f>'[1]побудинковий звіт'!AV85+'[2]побудинковий звіт'!AV85-'[3]побудинковий звіт'!AV85</f>
        <v>1235.6449539551052</v>
      </c>
      <c r="AW85" s="42">
        <f>'[1]побудинковий звіт'!AW85+'[2]побудинковий звіт'!AW85-'[3]побудинковий звіт'!AW85</f>
        <v>3566</v>
      </c>
      <c r="AX85" s="59">
        <f t="shared" si="79"/>
        <v>2330.3550460448951</v>
      </c>
      <c r="AY85" s="42">
        <f>'[1]побудинковий звіт'!AY85+'[2]побудинковий звіт'!AY85-'[3]побудинковий звіт'!AY85</f>
        <v>1966.0154725674336</v>
      </c>
      <c r="AZ85" s="42">
        <f>'[1]побудинковий звіт'!AZ85+'[2]побудинковий звіт'!AZ85-'[3]побудинковий звіт'!AZ85</f>
        <v>2017</v>
      </c>
      <c r="BA85" s="37">
        <f t="shared" si="80"/>
        <v>50.984527432566438</v>
      </c>
      <c r="BB85" s="42">
        <f>'[1]побудинковий звіт'!BB85+'[2]побудинковий звіт'!BB85-'[3]побудинковий звіт'!BB85</f>
        <v>2562.6809545418446</v>
      </c>
      <c r="BC85" s="42">
        <f>'[1]побудинковий звіт'!BC85+'[2]побудинковий звіт'!BC85-'[3]побудинковий звіт'!BC85</f>
        <v>568</v>
      </c>
      <c r="BD85" s="59">
        <f t="shared" si="81"/>
        <v>-1994.6809545418446</v>
      </c>
      <c r="BE85" s="42">
        <f>'[1]побудинковий звіт'!BE85+'[2]побудинковий звіт'!BE85-'[3]побудинковий звіт'!BE85</f>
        <v>855.59474479502251</v>
      </c>
      <c r="BF85" s="42">
        <f>'[1]побудинковий звіт'!BF85+'[2]побудинковий звіт'!BF85-'[3]побудинковий звіт'!BF85</f>
        <v>0</v>
      </c>
      <c r="BG85" s="39">
        <f t="shared" si="82"/>
        <v>-855.59474479502251</v>
      </c>
      <c r="BH85" s="42">
        <f>'[1]побудинковий звіт'!BH85+'[2]побудинковий звіт'!BH85-'[3]побудинковий звіт'!BH85</f>
        <v>422.7844713578213</v>
      </c>
      <c r="BI85" s="42">
        <f>'[1]побудинковий звіт'!BI85+'[2]побудинковий звіт'!BI85-'[3]побудинковий звіт'!BI85</f>
        <v>0</v>
      </c>
      <c r="BJ85" s="59">
        <f t="shared" si="83"/>
        <v>-422.7844713578213</v>
      </c>
      <c r="BK85" s="42">
        <f>'[1]побудинковий звіт'!BK85+'[2]побудинковий звіт'!BK85-'[3]побудинковий звіт'!BK85</f>
        <v>803.98695897561413</v>
      </c>
      <c r="BL85" s="42">
        <f>'[1]побудинковий звіт'!BL85+'[2]побудинковий звіт'!BL85-'[3]побудинковий звіт'!BL85</f>
        <v>6436</v>
      </c>
      <c r="BM85" s="39">
        <f t="shared" si="84"/>
        <v>5632.0130410243855</v>
      </c>
      <c r="BN85" s="42">
        <f>'[1]побудинковий звіт'!BN85+'[2]побудинковий звіт'!BN85-'[3]побудинковий звіт'!BN85</f>
        <v>0</v>
      </c>
      <c r="BO85" s="42">
        <f>'[1]побудинковий звіт'!BO85+'[2]побудинковий звіт'!BO85-'[3]побудинковий звіт'!BO85</f>
        <v>0</v>
      </c>
      <c r="BP85" s="59">
        <f t="shared" si="85"/>
        <v>0</v>
      </c>
      <c r="BQ85" s="87">
        <f t="shared" si="113"/>
        <v>7846.7075561928414</v>
      </c>
      <c r="BR85" s="43">
        <f t="shared" si="114"/>
        <v>12587</v>
      </c>
      <c r="BS85" s="59">
        <f t="shared" si="86"/>
        <v>4740.2924438071586</v>
      </c>
      <c r="BT85" s="42">
        <f>'[1]побудинковий звіт'!BT85+'[2]побудинковий звіт'!BT85-'[3]побудинковий звіт'!BT85</f>
        <v>37597.992288086163</v>
      </c>
      <c r="BU85" s="42">
        <f>'[1]побудинковий звіт'!BU85+'[2]побудинковий звіт'!BU85-'[3]побудинковий звіт'!BU85</f>
        <v>27171.659264468108</v>
      </c>
      <c r="BV85" s="56">
        <f t="shared" si="87"/>
        <v>-10426.333023618055</v>
      </c>
      <c r="BW85" s="42">
        <f>'[1]побудинковий звіт'!BW85+'[2]побудинковий звіт'!BW85-'[3]побудинковий звіт'!BW85</f>
        <v>41654.989090212701</v>
      </c>
      <c r="BX85" s="42">
        <f>'[1]побудинковий звіт'!BX85+'[2]побудинковий звіт'!BX85-'[3]побудинковий звіт'!BX85</f>
        <v>38153.749065968914</v>
      </c>
      <c r="BY85" s="56">
        <f t="shared" si="88"/>
        <v>-3501.240024243787</v>
      </c>
      <c r="BZ85" s="42">
        <f>'[1]побудинковий звіт'!BZ85+'[2]побудинковий звіт'!BZ85-'[3]побудинковий звіт'!BZ85</f>
        <v>5921.8446731959011</v>
      </c>
      <c r="CA85" s="42">
        <f>'[1]побудинковий звіт'!CA85+'[2]побудинковий звіт'!CA85-'[3]побудинковий звіт'!CA85</f>
        <v>7104.26540323259</v>
      </c>
      <c r="CB85" s="56">
        <f t="shared" si="89"/>
        <v>1182.4207300366888</v>
      </c>
      <c r="CC85" s="42">
        <f>'[1]побудинковий звіт'!CC85+'[2]побудинковий звіт'!CC85-'[3]побудинковий звіт'!CC85</f>
        <v>1559.4907191202856</v>
      </c>
      <c r="CD85" s="42">
        <f>'[1]побудинковий звіт'!CD85+'[2]побудинковий звіт'!CD85-'[3]побудинковий звіт'!CD85</f>
        <v>1545.774557345648</v>
      </c>
      <c r="CE85" s="56">
        <f t="shared" si="90"/>
        <v>-13.716161774637612</v>
      </c>
      <c r="CF85" s="42">
        <f>'[1]побудинковий звіт'!CF85+'[2]побудинковий звіт'!CF85-'[3]побудинковий звіт'!CF85</f>
        <v>191.9827589826109</v>
      </c>
      <c r="CG85" s="42">
        <f>'[1]побудинковий звіт'!CG85+'[2]побудинковий звіт'!CG85-'[3]побудинковий звіт'!CG85</f>
        <v>0</v>
      </c>
      <c r="CH85" s="56">
        <f t="shared" si="91"/>
        <v>-191.9827589826109</v>
      </c>
      <c r="CI85" s="42">
        <f>'[1]побудинковий звіт'!CI85+'[2]побудинковий звіт'!CI85-'[3]побудинковий звіт'!CI85</f>
        <v>5914.737955992714</v>
      </c>
      <c r="CJ85" s="42">
        <f>'[1]побудинковий звіт'!CJ85+'[2]побудинковий звіт'!CJ85-'[3]побудинковий звіт'!CJ85</f>
        <v>5620.6130088415075</v>
      </c>
      <c r="CK85" s="56">
        <f t="shared" si="92"/>
        <v>-294.12494715120647</v>
      </c>
      <c r="CL85" s="42">
        <f>'[1]побудинковий звіт'!CL85+'[2]побудинковий звіт'!CL85-'[3]побудинковий звіт'!CL85</f>
        <v>7861.3605744206989</v>
      </c>
      <c r="CM85" s="42">
        <f>'[1]побудинковий звіт'!CM85+'[2]побудинковий звіт'!CM85-'[3]побудинковий звіт'!CM85</f>
        <v>7707.8678057614916</v>
      </c>
      <c r="CN85" s="56">
        <f t="shared" si="93"/>
        <v>-153.49276865920729</v>
      </c>
      <c r="CO85" s="42">
        <f t="shared" si="64"/>
        <v>13776.098530413412</v>
      </c>
      <c r="CP85" s="43">
        <f t="shared" si="94"/>
        <v>13328.480814602999</v>
      </c>
      <c r="CQ85" s="56">
        <f t="shared" si="95"/>
        <v>-447.61771581041285</v>
      </c>
      <c r="CR85" s="78">
        <f t="shared" si="65"/>
        <v>291436.37024303077</v>
      </c>
      <c r="CS85" s="5">
        <f t="shared" si="65"/>
        <v>245634.43922570074</v>
      </c>
      <c r="CT85" s="56">
        <f t="shared" si="96"/>
        <v>-45801.931017330033</v>
      </c>
      <c r="CU85" s="87">
        <f t="shared" si="97"/>
        <v>349723.64429163694</v>
      </c>
      <c r="CV85" s="70">
        <f t="shared" si="98"/>
        <v>294761.32707084087</v>
      </c>
      <c r="CW85" s="37">
        <f t="shared" si="99"/>
        <v>-54962.317220796074</v>
      </c>
      <c r="CX85" s="42">
        <f>'[1]побудинковий звіт'!CX85+'[2]побудинковий звіт'!CX85-'[3]побудинковий звіт'!CX85</f>
        <v>-17.604291636846028</v>
      </c>
      <c r="CY85" s="42">
        <f>'[1]побудинковий звіт'!CY85+'[2]побудинковий звіт'!CY85-'[3]побудинковий звіт'!CY85</f>
        <v>54944.71292915909</v>
      </c>
      <c r="CZ85" s="56">
        <f t="shared" si="100"/>
        <v>54962.317220795936</v>
      </c>
      <c r="DA85" s="264">
        <f>'[4]побудинковий звіт'!DA85</f>
        <v>121525.39679439904</v>
      </c>
      <c r="DB85" s="2">
        <v>3</v>
      </c>
      <c r="DC85" s="717">
        <f>'[4]побудинковий звіт'!DC85</f>
        <v>70064.91</v>
      </c>
      <c r="DD85" s="717">
        <f>'[4]побудинковий звіт'!DD85</f>
        <v>0</v>
      </c>
      <c r="DE85" s="717">
        <f>'[4]побудинковий звіт'!DE85</f>
        <v>40922.740000000005</v>
      </c>
      <c r="DF85" s="717">
        <f>'[4]побудинковий звіт'!DF85</f>
        <v>0</v>
      </c>
      <c r="DG85" s="787">
        <v>222859.33091402287</v>
      </c>
      <c r="DH85" s="761">
        <f t="shared" si="109"/>
        <v>4196472.4800000014</v>
      </c>
      <c r="DI85" s="784"/>
      <c r="DJ85" s="5"/>
      <c r="DK85" s="317">
        <f>VLOOKUP($A85,ціни!$A$4:$G$401,5)</f>
        <v>5.3167171664701067</v>
      </c>
      <c r="DL85" s="317">
        <f>VLOOKUP($A85,ціни!$A$4:$G$401,6)</f>
        <v>6.3418827730202789</v>
      </c>
      <c r="DM85" s="317">
        <f>VLOOKUP($A85,ціни!$A$4:$G$401,7)</f>
        <v>4.3583262556390219</v>
      </c>
      <c r="DN85" s="30">
        <f>DK85*G85+(F85-G85)*DL85</f>
        <v>71643.510752387534</v>
      </c>
      <c r="DO85" s="30">
        <f>DM85*H85</f>
        <v>0</v>
      </c>
      <c r="DP85" s="316">
        <f t="shared" si="101"/>
        <v>71643.510752387534</v>
      </c>
      <c r="DQ85" s="104"/>
      <c r="DR85" s="30">
        <f>VLOOKUP(A85,'ДЗ нас '!$A$1:$C$359,2)</f>
        <v>29142.17</v>
      </c>
      <c r="DS85" s="748"/>
      <c r="DT85" s="30">
        <f t="shared" si="102"/>
        <v>29142.17</v>
      </c>
      <c r="DU85" s="257">
        <f>VLOOKUP(A85,'новий кошторис с 01.06'!$A$4:$AI$399,35)*1.2</f>
        <v>29143.637024303069</v>
      </c>
      <c r="DV85" s="30">
        <f t="shared" si="103"/>
        <v>-1.4670243030705024</v>
      </c>
      <c r="DW85" s="930">
        <f>'[5]побудинковий звіт'!DW85+'[6]побудинковий звіт'!DW85</f>
        <v>204</v>
      </c>
      <c r="DY85" s="5">
        <f t="shared" si="104"/>
        <v>117644.17827679442</v>
      </c>
      <c r="DZ85" s="5">
        <f t="shared" si="105"/>
        <v>83848.800000000003</v>
      </c>
      <c r="EA85" s="752">
        <f t="shared" si="110"/>
        <v>40922.740000000005</v>
      </c>
      <c r="EC85" s="592">
        <f t="shared" si="106"/>
        <v>1082281.2920936302</v>
      </c>
      <c r="EE85" s="758">
        <v>-23524</v>
      </c>
      <c r="EF85" s="738">
        <f t="shared" si="107"/>
        <v>199335.33091402287</v>
      </c>
      <c r="EH85" s="813">
        <v>156233.94945008977</v>
      </c>
    </row>
    <row r="86" spans="1:138" x14ac:dyDescent="0.3">
      <c r="A86" s="328">
        <v>150000597</v>
      </c>
      <c r="B86" s="44" t="s">
        <v>536</v>
      </c>
      <c r="C86" s="45" t="s">
        <v>352</v>
      </c>
      <c r="D86" s="45" t="s">
        <v>352</v>
      </c>
      <c r="E86" s="40">
        <f t="shared" si="108"/>
        <v>216</v>
      </c>
      <c r="F86" s="490">
        <v>216</v>
      </c>
      <c r="G86" s="30">
        <v>571.65</v>
      </c>
      <c r="H86" s="30">
        <v>0</v>
      </c>
      <c r="I86" s="42">
        <f>'[1]побудинковий звіт'!I86+'[2]побудинковий звіт'!I86-'[3]побудинковий звіт'!I86</f>
        <v>12923.341949645586</v>
      </c>
      <c r="J86" s="42">
        <f>'[1]побудинковий звіт'!J86+'[2]побудинковий звіт'!J86-'[3]побудинковий звіт'!J86</f>
        <v>11045.352097398354</v>
      </c>
      <c r="K86" s="56">
        <f t="shared" si="66"/>
        <v>-1877.9898522472322</v>
      </c>
      <c r="L86" s="42">
        <f>'[1]побудинковий звіт'!L86+'[2]побудинковий звіт'!L86-'[3]побудинковий звіт'!L86</f>
        <v>2183.4203113525973</v>
      </c>
      <c r="M86" s="42">
        <f>'[1]побудинковий звіт'!M86+'[2]побудинковий звіт'!M86-'[3]побудинковий звіт'!M86</f>
        <v>2078.7103138045677</v>
      </c>
      <c r="N86" s="56">
        <f t="shared" si="67"/>
        <v>-104.70999754802961</v>
      </c>
      <c r="O86" s="42">
        <f>'[1]побудинковий звіт'!O86+'[2]побудинковий звіт'!O86-'[3]побудинковий звіт'!O86</f>
        <v>7203.1200000000008</v>
      </c>
      <c r="P86" s="42">
        <f>'[1]побудинковий звіт'!P86+'[2]побудинковий звіт'!P86-'[3]побудинковий звіт'!P86</f>
        <v>5661.7382838709673</v>
      </c>
      <c r="Q86" s="56">
        <f t="shared" si="68"/>
        <v>-1541.3817161290335</v>
      </c>
      <c r="R86" s="42">
        <f>'[1]побудинковий звіт'!R86+'[2]побудинковий звіт'!R86-'[3]побудинковий звіт'!R86</f>
        <v>1565.5200000000002</v>
      </c>
      <c r="S86" s="42">
        <f>'[1]побудинковий звіт'!S86+'[2]побудинковий звіт'!S86-'[3]побудинковий звіт'!S86</f>
        <v>1230.4567161290322</v>
      </c>
      <c r="T86" s="56">
        <f t="shared" si="69"/>
        <v>-335.06328387096801</v>
      </c>
      <c r="U86" s="42">
        <f>'[1]побудинковий звіт'!U86+'[2]побудинковий звіт'!U86-'[3]побудинковий звіт'!U86</f>
        <v>780.05784393801946</v>
      </c>
      <c r="V86" s="42">
        <f>'[1]побудинковий звіт'!V86+'[2]побудинковий звіт'!V86-'[3]побудинковий звіт'!V86</f>
        <v>291.03059205356476</v>
      </c>
      <c r="W86" s="56">
        <f t="shared" si="70"/>
        <v>-489.0272518844547</v>
      </c>
      <c r="X86" s="42">
        <f>'[1]побудинковий звіт'!X86+'[2]побудинковий звіт'!X86-'[3]побудинковий звіт'!X86</f>
        <v>10371.233131509092</v>
      </c>
      <c r="Y86" s="42">
        <f>'[1]побудинковий звіт'!Y86+'[2]побудинковий звіт'!Y86-'[3]побудинковий звіт'!Y86</f>
        <v>11283.125869088066</v>
      </c>
      <c r="Z86" s="56">
        <f t="shared" si="71"/>
        <v>911.89273757897354</v>
      </c>
      <c r="AA86" s="42">
        <f>'[1]побудинковий звіт'!AA86+'[2]побудинковий звіт'!AA86-'[3]побудинковий звіт'!AA86</f>
        <v>0</v>
      </c>
      <c r="AB86" s="42">
        <f>'[1]побудинковий звіт'!AB86+'[2]побудинковий звіт'!AB86-'[3]побудинковий звіт'!AB86</f>
        <v>0</v>
      </c>
      <c r="AC86" s="56">
        <f t="shared" si="72"/>
        <v>0</v>
      </c>
      <c r="AD86" s="42">
        <f>'[1]побудинковий звіт'!AD86+'[2]побудинковий звіт'!AD86-'[3]побудинковий звіт'!AD86</f>
        <v>20161.614636940278</v>
      </c>
      <c r="AE86" s="42">
        <f>'[1]побудинковий звіт'!AE86+'[2]побудинковий звіт'!AE86-'[3]побудинковий звіт'!AE86</f>
        <v>18582.620912617756</v>
      </c>
      <c r="AF86" s="37">
        <f t="shared" si="73"/>
        <v>-1578.9937243225213</v>
      </c>
      <c r="AG86" s="87">
        <f t="shared" si="61"/>
        <v>55188.307873385573</v>
      </c>
      <c r="AH86" s="57">
        <f t="shared" si="61"/>
        <v>50173.034784962307</v>
      </c>
      <c r="AI86" s="56">
        <f t="shared" si="74"/>
        <v>-5015.273088423266</v>
      </c>
      <c r="AJ86" s="42">
        <f>'[1]побудинковий звіт'!AJ86+'[2]побудинковий звіт'!AJ86-'[3]побудинковий звіт'!AJ86</f>
        <v>57036.978596198736</v>
      </c>
      <c r="AK86" s="42">
        <f>'[1]побудинковий звіт'!AK86+'[2]побудинковий звіт'!AK86-'[3]побудинковий звіт'!AK86</f>
        <v>56535.195999920106</v>
      </c>
      <c r="AL86" s="56">
        <f t="shared" si="75"/>
        <v>-501.78259627863008</v>
      </c>
      <c r="AM86" s="42">
        <f>'[1]побудинковий звіт'!AM86+'[2]побудинковий звіт'!AM86-'[3]побудинковий звіт'!AM86</f>
        <v>0</v>
      </c>
      <c r="AN86" s="42">
        <f>'[1]побудинковий звіт'!AN86+'[2]побудинковий звіт'!AN86-'[3]побудинковий звіт'!AN86</f>
        <v>1818.6763744341524</v>
      </c>
      <c r="AO86" s="56">
        <f t="shared" si="76"/>
        <v>1818.6763744341524</v>
      </c>
      <c r="AP86" s="42">
        <f>'[1]побудинковий звіт'!AP86+'[2]побудинковий звіт'!AP86-'[3]побудинковий звіт'!AP86</f>
        <v>3503.9652787065033</v>
      </c>
      <c r="AQ86" s="42">
        <f>'[1]побудинковий звіт'!AQ86+'[2]побудинковий звіт'!AQ86-'[3]побудинковий звіт'!AQ86</f>
        <v>3382.9688054738563</v>
      </c>
      <c r="AR86" s="56">
        <f t="shared" si="77"/>
        <v>-120.99647323264708</v>
      </c>
      <c r="AS86" s="42">
        <f>'[1]побудинковий звіт'!AS86+'[2]побудинковий звіт'!AS86-'[3]побудинковий звіт'!AS86</f>
        <v>92430.30646565264</v>
      </c>
      <c r="AT86" s="42">
        <f>'[1]побудинковий звіт'!AT86+'[2]побудинковий звіт'!AT86-'[3]побудинковий звіт'!AT86</f>
        <v>174547</v>
      </c>
      <c r="AU86" s="58">
        <f t="shared" si="78"/>
        <v>82116.69353434736</v>
      </c>
      <c r="AV86" s="42">
        <f>'[1]побудинковий звіт'!AV86+'[2]побудинковий звіт'!AV86-'[3]побудинковий звіт'!AV86</f>
        <v>433.60636013152885</v>
      </c>
      <c r="AW86" s="42">
        <f>'[1]побудинковий звіт'!AW86+'[2]побудинковий звіт'!AW86-'[3]побудинковий звіт'!AW86</f>
        <v>4454</v>
      </c>
      <c r="AX86" s="59">
        <f t="shared" si="79"/>
        <v>4020.3936398684709</v>
      </c>
      <c r="AY86" s="42">
        <f>'[1]побудинковий звіт'!AY86+'[2]побудинковий звіт'!AY86-'[3]побудинковий звіт'!AY86</f>
        <v>581.16168083670448</v>
      </c>
      <c r="AZ86" s="42">
        <f>'[1]побудинковий звіт'!AZ86+'[2]побудинковий звіт'!AZ86-'[3]побудинковий звіт'!AZ86</f>
        <v>4730</v>
      </c>
      <c r="BA86" s="37">
        <f t="shared" si="80"/>
        <v>4148.8383191632956</v>
      </c>
      <c r="BB86" s="42">
        <f>'[1]побудинковий звіт'!BB86+'[2]побудинковий звіт'!BB86-'[3]побудинковий звіт'!BB86</f>
        <v>473.91012344400514</v>
      </c>
      <c r="BC86" s="42">
        <f>'[1]побудинковий звіт'!BC86+'[2]побудинковий звіт'!BC86-'[3]побудинковий звіт'!BC86</f>
        <v>640</v>
      </c>
      <c r="BD86" s="59">
        <f t="shared" si="81"/>
        <v>166.08987655599486</v>
      </c>
      <c r="BE86" s="42">
        <f>'[1]побудинковий звіт'!BE86+'[2]побудинковий звіт'!BE86-'[3]побудинковий звіт'!BE86</f>
        <v>326.17543078214203</v>
      </c>
      <c r="BF86" s="42">
        <f>'[1]побудинковий звіт'!BF86+'[2]побудинковий звіт'!BF86-'[3]побудинковий звіт'!BF86</f>
        <v>0</v>
      </c>
      <c r="BG86" s="39">
        <f t="shared" si="82"/>
        <v>-326.17543078214203</v>
      </c>
      <c r="BH86" s="42">
        <f>'[1]побудинковий звіт'!BH86+'[2]побудинковий звіт'!BH86-'[3]побудинковий звіт'!BH86</f>
        <v>158.30696475691875</v>
      </c>
      <c r="BI86" s="42">
        <f>'[1]побудинковий звіт'!BI86+'[2]побудинковий звіт'!BI86-'[3]побудинковий звіт'!BI86</f>
        <v>0</v>
      </c>
      <c r="BJ86" s="59">
        <f t="shared" si="83"/>
        <v>-158.30696475691875</v>
      </c>
      <c r="BK86" s="42">
        <f>'[1]побудинковий звіт'!BK86+'[2]побудинковий звіт'!BK86-'[3]побудинковий звіт'!BK86</f>
        <v>498.30127005787983</v>
      </c>
      <c r="BL86" s="42">
        <f>'[1]побудинковий звіт'!BL86+'[2]побудинковий звіт'!BL86-'[3]побудинковий звіт'!BL86</f>
        <v>4022.5587923167172</v>
      </c>
      <c r="BM86" s="39">
        <f t="shared" si="84"/>
        <v>3524.2575222588375</v>
      </c>
      <c r="BN86" s="42">
        <f>'[1]побудинковий звіт'!BN86+'[2]побудинковий звіт'!BN86-'[3]побудинковий звіт'!BN86</f>
        <v>564.96887113974969</v>
      </c>
      <c r="BO86" s="42">
        <f>'[1]побудинковий звіт'!BO86+'[2]побудинковий звіт'!BO86-'[3]побудинковий звіт'!BO86</f>
        <v>5542</v>
      </c>
      <c r="BP86" s="59">
        <f t="shared" si="85"/>
        <v>4977.0311288602506</v>
      </c>
      <c r="BQ86" s="87">
        <f t="shared" si="113"/>
        <v>3036.4307011489286</v>
      </c>
      <c r="BR86" s="43">
        <f t="shared" si="114"/>
        <v>19388.558792316719</v>
      </c>
      <c r="BS86" s="59">
        <f t="shared" si="86"/>
        <v>16352.12809116779</v>
      </c>
      <c r="BT86" s="42">
        <f>'[1]побудинковий звіт'!BT86+'[2]побудинковий звіт'!BT86-'[3]побудинковий звіт'!BT86</f>
        <v>71582.456998368289</v>
      </c>
      <c r="BU86" s="42">
        <f>'[1]побудинковий звіт'!BU86+'[2]побудинковий звіт'!BU86-'[3]побудинковий звіт'!BU86</f>
        <v>87408.259174079765</v>
      </c>
      <c r="BV86" s="56">
        <f t="shared" si="87"/>
        <v>15825.802175711477</v>
      </c>
      <c r="BW86" s="42">
        <f>'[1]побудинковий звіт'!BW86+'[2]побудинковий звіт'!BW86-'[3]побудинковий звіт'!BW86</f>
        <v>41510.729148699989</v>
      </c>
      <c r="BX86" s="42">
        <f>'[1]побудинковий звіт'!BX86+'[2]побудинковий звіт'!BX86-'[3]побудинковий звіт'!BX86</f>
        <v>46958.214763159558</v>
      </c>
      <c r="BY86" s="56">
        <f t="shared" si="88"/>
        <v>5447.4856144595688</v>
      </c>
      <c r="BZ86" s="42">
        <f>'[1]побудинковий звіт'!BZ86+'[2]побудинковий звіт'!BZ86-'[3]побудинковий звіт'!BZ86</f>
        <v>15580.685426581298</v>
      </c>
      <c r="CA86" s="42">
        <f>'[1]побудинковий звіт'!CA86+'[2]побудинковий звіт'!CA86-'[3]побудинковий звіт'!CA86</f>
        <v>19224.886816924358</v>
      </c>
      <c r="CB86" s="56">
        <f t="shared" si="89"/>
        <v>3644.2013903430598</v>
      </c>
      <c r="CC86" s="42">
        <f>'[1]побудинковий звіт'!CC86+'[2]побудинковий звіт'!CC86-'[3]побудинковий звіт'!CC86</f>
        <v>1980.1002491734748</v>
      </c>
      <c r="CD86" s="42">
        <f>'[1]побудинковий звіт'!CD86+'[2]побудинковий звіт'!CD86-'[3]побудинковий звіт'!CD86</f>
        <v>1962.6847076670879</v>
      </c>
      <c r="CE86" s="56">
        <f t="shared" si="90"/>
        <v>-17.415541506386944</v>
      </c>
      <c r="CF86" s="42">
        <f>'[1]побудинковий звіт'!CF86+'[2]побудинковий звіт'!CF86-'[3]побудинковий звіт'!CF86</f>
        <v>243.76234128082544</v>
      </c>
      <c r="CG86" s="42">
        <f>'[1]побудинковий звіт'!CG86+'[2]побудинковий звіт'!CG86-'[3]побудинковий звіт'!CG86</f>
        <v>0</v>
      </c>
      <c r="CH86" s="56">
        <f t="shared" si="91"/>
        <v>-243.76234128082544</v>
      </c>
      <c r="CI86" s="42">
        <f>'[1]побудинковий звіт'!CI86+'[2]побудинковий звіт'!CI86-'[3]побудинковий звіт'!CI86</f>
        <v>24445.087881412925</v>
      </c>
      <c r="CJ86" s="42">
        <f>'[1]побудинковий звіт'!CJ86+'[2]побудинковий звіт'!CJ86-'[3]побудинковий звіт'!CJ86</f>
        <v>17265.579790417774</v>
      </c>
      <c r="CK86" s="56">
        <f t="shared" si="92"/>
        <v>-7179.5080909951503</v>
      </c>
      <c r="CL86" s="42">
        <f>'[1]побудинковий звіт'!CL86+'[2]побудинковий звіт'!CL86-'[3]побудинковий звіт'!CL86</f>
        <v>6393.9066005288314</v>
      </c>
      <c r="CM86" s="42">
        <f>'[1]побудинковий звіт'!CM86+'[2]побудинковий звіт'!CM86-'[3]побудинковий звіт'!CM86</f>
        <v>10539.899007305394</v>
      </c>
      <c r="CN86" s="56">
        <f t="shared" si="93"/>
        <v>4145.9924067765623</v>
      </c>
      <c r="CO86" s="42">
        <f t="shared" si="64"/>
        <v>30838.994481941758</v>
      </c>
      <c r="CP86" s="43">
        <f t="shared" si="94"/>
        <v>27805.478797723168</v>
      </c>
      <c r="CQ86" s="56">
        <f t="shared" si="95"/>
        <v>-3033.5156842185897</v>
      </c>
      <c r="CR86" s="78">
        <f t="shared" si="65"/>
        <v>372932.71756113804</v>
      </c>
      <c r="CS86" s="5">
        <f t="shared" si="65"/>
        <v>489204.9590166611</v>
      </c>
      <c r="CT86" s="56">
        <f t="shared" si="96"/>
        <v>116272.24145552306</v>
      </c>
      <c r="CU86" s="87">
        <f t="shared" si="97"/>
        <v>447519.26107336563</v>
      </c>
      <c r="CV86" s="70">
        <f t="shared" si="98"/>
        <v>587045.95081999328</v>
      </c>
      <c r="CW86" s="37">
        <f t="shared" si="99"/>
        <v>139526.68974662764</v>
      </c>
      <c r="CX86" s="42">
        <f>'[1]побудинковий звіт'!CX86+'[2]побудинковий звіт'!CX86-'[3]побудинковий звіт'!CX86</f>
        <v>4468.1789266343694</v>
      </c>
      <c r="CY86" s="42">
        <f>'[1]побудинковий звіт'!CY86+'[2]побудинковий звіт'!CY86-'[3]побудинковий звіт'!CY86</f>
        <v>-135058.51081999327</v>
      </c>
      <c r="CZ86" s="56">
        <f t="shared" si="100"/>
        <v>-139526.68974662764</v>
      </c>
      <c r="DA86" s="264">
        <f>'[4]побудинковий звіт'!DA86</f>
        <v>-100717.88859378063</v>
      </c>
      <c r="DB86" s="2">
        <v>1</v>
      </c>
      <c r="DC86" s="717">
        <f>'[4]побудинковий звіт'!DC86</f>
        <v>100101.43</v>
      </c>
      <c r="DD86" s="717">
        <f>'[4]побудинковий звіт'!DD86</f>
        <v>0</v>
      </c>
      <c r="DE86" s="717">
        <f>'[4]побудинковий звіт'!DE86</f>
        <v>62435.80999999999</v>
      </c>
      <c r="DF86" s="717">
        <f>'[4]побудинковий звіт'!DF86</f>
        <v>0</v>
      </c>
      <c r="DG86" s="787">
        <v>-216572.48045122484</v>
      </c>
      <c r="DH86" s="761">
        <f t="shared" si="109"/>
        <v>5423849.2800000003</v>
      </c>
      <c r="DI86" s="784"/>
      <c r="DJ86" s="5"/>
      <c r="DK86" s="317">
        <f>VLOOKUP($A86,ціни!$A$4:$G$401,5)</f>
        <v>6.6294862560427266</v>
      </c>
      <c r="DL86" s="317">
        <f>VLOOKUP($A86,ціни!$A$4:$G$401,6)</f>
        <v>8.175610255673357</v>
      </c>
      <c r="DM86" s="317">
        <f>VLOOKUP($A86,ціни!$A$4:$G$401,7)</f>
        <v>5.7403322039736526</v>
      </c>
      <c r="DN86" s="30">
        <f>DK86*G86+(F86-G86)*DL86</f>
        <v>882.09003083659536</v>
      </c>
      <c r="DO86" s="30">
        <f>DM86*H86</f>
        <v>0</v>
      </c>
      <c r="DP86" s="316">
        <f t="shared" si="101"/>
        <v>882.09003083659536</v>
      </c>
      <c r="DQ86" s="104"/>
      <c r="DR86" s="30">
        <f>VLOOKUP(A86,'ДЗ нас '!$A$1:$C$359,2)</f>
        <v>37665.620000000003</v>
      </c>
      <c r="DS86" s="748"/>
      <c r="DT86" s="30">
        <f t="shared" si="102"/>
        <v>37665.620000000003</v>
      </c>
      <c r="DU86" s="257">
        <f>VLOOKUP(A86,'новий кошторис с 01.06'!$A$4:$AI$399,35)*1.2</f>
        <v>37740.79101718717</v>
      </c>
      <c r="DV86" s="30">
        <f t="shared" si="103"/>
        <v>-75.171017187167308</v>
      </c>
      <c r="DW86" s="930">
        <f>'[5]побудинковий звіт'!DW86+'[6]побудинковий звіт'!DW86</f>
        <v>236</v>
      </c>
      <c r="DY86" s="5">
        <f t="shared" si="104"/>
        <v>114560.08460016188</v>
      </c>
      <c r="DZ86" s="5">
        <f t="shared" si="105"/>
        <v>232722.67055078005</v>
      </c>
      <c r="EA86" s="752">
        <f t="shared" si="110"/>
        <v>62435.80999999999</v>
      </c>
      <c r="EC86" s="592">
        <f t="shared" si="106"/>
        <v>1109163.6775878316</v>
      </c>
      <c r="EE86" s="758">
        <v>188336</v>
      </c>
      <c r="EF86" s="738">
        <f t="shared" si="107"/>
        <v>-28236.480451224837</v>
      </c>
      <c r="EH86" s="813">
        <v>-184418.91511499078</v>
      </c>
    </row>
    <row r="87" spans="1:138" x14ac:dyDescent="0.3">
      <c r="A87" s="328">
        <v>150000598</v>
      </c>
      <c r="B87" s="44" t="s">
        <v>537</v>
      </c>
      <c r="C87" s="45" t="s">
        <v>76</v>
      </c>
      <c r="D87" s="45" t="s">
        <v>76</v>
      </c>
      <c r="E87" s="40">
        <f t="shared" si="108"/>
        <v>216.8</v>
      </c>
      <c r="F87" s="490">
        <v>216.8</v>
      </c>
      <c r="G87" s="30"/>
      <c r="H87" s="30">
        <v>0</v>
      </c>
      <c r="I87" s="42">
        <f>'[1]побудинковий звіт'!I87+'[2]побудинковий звіт'!I87-'[3]побудинковий звіт'!I87</f>
        <v>149.97249070790573</v>
      </c>
      <c r="J87" s="42">
        <f>'[1]побудинковий звіт'!J87+'[2]побудинковий звіт'!J87-'[3]побудинковий звіт'!J87</f>
        <v>123.0588339669975</v>
      </c>
      <c r="K87" s="56">
        <f t="shared" si="66"/>
        <v>-26.913656740908237</v>
      </c>
      <c r="L87" s="42">
        <f>'[1]побудинковий звіт'!L87+'[2]побудинковий звіт'!L87-'[3]побудинковий звіт'!L87</f>
        <v>0</v>
      </c>
      <c r="M87" s="42">
        <f>'[1]побудинковий звіт'!M87+'[2]побудинковий звіт'!M87-'[3]побудинковий звіт'!M87</f>
        <v>0</v>
      </c>
      <c r="N87" s="56">
        <f t="shared" si="67"/>
        <v>0</v>
      </c>
      <c r="O87" s="42">
        <f>'[1]побудинковий звіт'!O87+'[2]побудинковий звіт'!O87-'[3]побудинковий звіт'!O87</f>
        <v>0</v>
      </c>
      <c r="P87" s="42">
        <f>'[1]побудинковий звіт'!P87+'[2]побудинковий звіт'!P87-'[3]побудинковий звіт'!P87</f>
        <v>0</v>
      </c>
      <c r="Q87" s="56">
        <f t="shared" si="68"/>
        <v>0</v>
      </c>
      <c r="R87" s="42">
        <f>'[1]побудинковий звіт'!R87+'[2]побудинковий звіт'!R87-'[3]побудинковий звіт'!R87</f>
        <v>0</v>
      </c>
      <c r="S87" s="42">
        <f>'[1]побудинковий звіт'!S87+'[2]побудинковий звіт'!S87-'[3]побудинковий звіт'!S87</f>
        <v>0</v>
      </c>
      <c r="T87" s="56">
        <f t="shared" si="69"/>
        <v>0</v>
      </c>
      <c r="U87" s="42">
        <f>'[1]побудинковий звіт'!U87+'[2]побудинковий звіт'!U87-'[3]побудинковий звіт'!U87</f>
        <v>0</v>
      </c>
      <c r="V87" s="42">
        <f>'[1]побудинковий звіт'!V87+'[2]побудинковий звіт'!V87-'[3]побудинковий звіт'!V87</f>
        <v>0</v>
      </c>
      <c r="W87" s="56">
        <f t="shared" si="70"/>
        <v>0</v>
      </c>
      <c r="X87" s="42">
        <f>'[1]побудинковий звіт'!X87+'[2]побудинковий звіт'!X87-'[3]побудинковий звіт'!X87</f>
        <v>0</v>
      </c>
      <c r="Y87" s="42">
        <f>'[1]побудинковий звіт'!Y87+'[2]побудинковий звіт'!Y87-'[3]побудинковий звіт'!Y87</f>
        <v>0</v>
      </c>
      <c r="Z87" s="56">
        <f t="shared" si="71"/>
        <v>0</v>
      </c>
      <c r="AA87" s="42">
        <f>'[1]побудинковий звіт'!AA87+'[2]побудинковий звіт'!AA87-'[3]побудинковий звіт'!AA87</f>
        <v>0</v>
      </c>
      <c r="AB87" s="42">
        <f>'[1]побудинковий звіт'!AB87+'[2]побудинковий звіт'!AB87-'[3]побудинковий звіт'!AB87</f>
        <v>0</v>
      </c>
      <c r="AC87" s="56">
        <f t="shared" si="72"/>
        <v>0</v>
      </c>
      <c r="AD87" s="42">
        <f>'[1]побудинковий звіт'!AD87+'[2]побудинковий звіт'!AD87-'[3]побудинковий звіт'!AD87</f>
        <v>0</v>
      </c>
      <c r="AE87" s="42">
        <f>'[1]побудинковий звіт'!AE87+'[2]побудинковий звіт'!AE87-'[3]побудинковий звіт'!AE87</f>
        <v>172.19184992843697</v>
      </c>
      <c r="AF87" s="37">
        <f t="shared" si="73"/>
        <v>172.19184992843697</v>
      </c>
      <c r="AG87" s="87">
        <f t="shared" si="61"/>
        <v>149.97249070790573</v>
      </c>
      <c r="AH87" s="57">
        <f t="shared" si="61"/>
        <v>295.25068389543446</v>
      </c>
      <c r="AI87" s="56">
        <f t="shared" si="74"/>
        <v>145.27819318752873</v>
      </c>
      <c r="AJ87" s="42">
        <f>'[1]побудинковий звіт'!AJ87+'[2]побудинковий звіт'!AJ87-'[3]побудинковий звіт'!AJ87</f>
        <v>0</v>
      </c>
      <c r="AK87" s="42">
        <f>'[1]побудинковий звіт'!AK87+'[2]побудинковий звіт'!AK87-'[3]побудинковий звіт'!AK87</f>
        <v>0</v>
      </c>
      <c r="AL87" s="56">
        <f t="shared" si="75"/>
        <v>0</v>
      </c>
      <c r="AM87" s="42">
        <f>'[1]побудинковий звіт'!AM87+'[2]побудинковий звіт'!AM87-'[3]побудинковий звіт'!AM87</f>
        <v>0</v>
      </c>
      <c r="AN87" s="42">
        <f>'[1]побудинковий звіт'!AN87+'[2]побудинковий звіт'!AN87-'[3]побудинковий звіт'!AN87</f>
        <v>0</v>
      </c>
      <c r="AO87" s="56">
        <f t="shared" si="76"/>
        <v>0</v>
      </c>
      <c r="AP87" s="42">
        <f>'[1]побудинковий звіт'!AP87+'[2]побудинковий звіт'!AP87-'[3]побудинковий звіт'!AP87</f>
        <v>568.21058573618984</v>
      </c>
      <c r="AQ87" s="42">
        <f>'[1]побудинковий звіт'!AQ87+'[2]побудинковий звіт'!AQ87-'[3]побудинковий звіт'!AQ87</f>
        <v>116.44223973303006</v>
      </c>
      <c r="AR87" s="56">
        <f t="shared" si="77"/>
        <v>-451.76834600315976</v>
      </c>
      <c r="AS87" s="42">
        <f>'[1]побудинковий звіт'!AS87+'[2]побудинковий звіт'!AS87-'[3]побудинковий звіт'!AS87</f>
        <v>2706.1136519432985</v>
      </c>
      <c r="AT87" s="42">
        <f>'[1]побудинковий звіт'!AT87+'[2]побудинковий звіт'!AT87-'[3]побудинковий звіт'!AT87</f>
        <v>0</v>
      </c>
      <c r="AU87" s="58">
        <f t="shared" si="78"/>
        <v>-2706.1136519432985</v>
      </c>
      <c r="AV87" s="42">
        <f>'[1]побудинковий звіт'!AV87+'[2]побудинковий звіт'!AV87-'[3]побудинковий звіт'!AV87</f>
        <v>25.10285692206676</v>
      </c>
      <c r="AW87" s="42">
        <f>'[1]побудинковий звіт'!AW87+'[2]побудинковий звіт'!AW87-'[3]побудинковий звіт'!AW87</f>
        <v>0</v>
      </c>
      <c r="AX87" s="59">
        <f t="shared" si="79"/>
        <v>-25.10285692206676</v>
      </c>
      <c r="AY87" s="42">
        <f>'[1]побудинковий звіт'!AY87+'[2]побудинковий звіт'!AY87-'[3]побудинковий звіт'!AY87</f>
        <v>0</v>
      </c>
      <c r="AZ87" s="42">
        <f>'[1]побудинковий звіт'!AZ87+'[2]побудинковий звіт'!AZ87-'[3]побудинковий звіт'!AZ87</f>
        <v>0</v>
      </c>
      <c r="BA87" s="37">
        <f t="shared" si="80"/>
        <v>0</v>
      </c>
      <c r="BB87" s="42">
        <f>'[1]побудинковий звіт'!BB87+'[2]побудинковий звіт'!BB87-'[3]побудинковий звіт'!BB87</f>
        <v>0</v>
      </c>
      <c r="BC87" s="42">
        <f>'[1]побудинковий звіт'!BC87+'[2]побудинковий звіт'!BC87-'[3]побудинковий звіт'!BC87</f>
        <v>0</v>
      </c>
      <c r="BD87" s="59">
        <f t="shared" si="81"/>
        <v>0</v>
      </c>
      <c r="BE87" s="42">
        <f>'[1]побудинковий звіт'!BE87+'[2]побудинковий звіт'!BE87-'[3]побудинковий звіт'!BE87</f>
        <v>0</v>
      </c>
      <c r="BF87" s="42">
        <f>'[1]побудинковий звіт'!BF87+'[2]побудинковий звіт'!BF87-'[3]побудинковий звіт'!BF87</f>
        <v>0</v>
      </c>
      <c r="BG87" s="39">
        <f t="shared" si="82"/>
        <v>0</v>
      </c>
      <c r="BH87" s="42">
        <f>'[1]побудинковий звіт'!BH87+'[2]побудинковий звіт'!BH87-'[3]побудинковий звіт'!BH87</f>
        <v>0</v>
      </c>
      <c r="BI87" s="42">
        <f>'[1]побудинковий звіт'!BI87+'[2]побудинковий звіт'!BI87-'[3]побудинковий звіт'!BI87</f>
        <v>0</v>
      </c>
      <c r="BJ87" s="59">
        <f t="shared" si="83"/>
        <v>0</v>
      </c>
      <c r="BK87" s="42">
        <f>'[1]побудинковий звіт'!BK87+'[2]побудинковий звіт'!BK87-'[3]побудинковий звіт'!BK87</f>
        <v>0</v>
      </c>
      <c r="BL87" s="42">
        <f>'[1]побудинковий звіт'!BL87+'[2]побудинковий звіт'!BL87-'[3]побудинковий звіт'!BL87</f>
        <v>0</v>
      </c>
      <c r="BM87" s="39">
        <f t="shared" si="84"/>
        <v>0</v>
      </c>
      <c r="BN87" s="42">
        <f>'[1]побудинковий звіт'!BN87+'[2]побудинковий звіт'!BN87-'[3]побудинковий звіт'!BN87</f>
        <v>0</v>
      </c>
      <c r="BO87" s="42">
        <f>'[1]побудинковий звіт'!BO87+'[2]побудинковий звіт'!BO87-'[3]побудинковий звіт'!BO87</f>
        <v>0</v>
      </c>
      <c r="BP87" s="59">
        <f t="shared" si="85"/>
        <v>0</v>
      </c>
      <c r="BQ87" s="87">
        <f t="shared" si="113"/>
        <v>25.10285692206676</v>
      </c>
      <c r="BR87" s="43">
        <f t="shared" si="114"/>
        <v>0</v>
      </c>
      <c r="BS87" s="59">
        <f t="shared" si="86"/>
        <v>-25.10285692206676</v>
      </c>
      <c r="BT87" s="42">
        <f>'[1]побудинковий звіт'!BT87+'[2]побудинковий звіт'!BT87-'[3]побудинковий звіт'!BT87</f>
        <v>717.8103226259251</v>
      </c>
      <c r="BU87" s="42">
        <f>'[1]побудинковий звіт'!BU87+'[2]побудинковий звіт'!BU87-'[3]побудинковий звіт'!BU87</f>
        <v>1040.2817310173177</v>
      </c>
      <c r="BV87" s="56">
        <f t="shared" si="87"/>
        <v>322.47140839139263</v>
      </c>
      <c r="BW87" s="42">
        <f>'[1]побудинковий звіт'!BW87+'[2]побудинковий звіт'!BW87-'[3]побудинковий звіт'!BW87</f>
        <v>0</v>
      </c>
      <c r="BX87" s="42">
        <f>'[1]побудинковий звіт'!BX87+'[2]побудинковий звіт'!BX87-'[3]побудинковий звіт'!BX87</f>
        <v>8.3271773760185734</v>
      </c>
      <c r="BY87" s="56">
        <f t="shared" si="88"/>
        <v>8.3271773760185734</v>
      </c>
      <c r="BZ87" s="42">
        <f>'[1]побудинковий звіт'!BZ87+'[2]побудинковий звіт'!BZ87-'[3]побудинковий звіт'!BZ87</f>
        <v>0</v>
      </c>
      <c r="CA87" s="42">
        <f>'[1]побудинковий звіт'!CA87+'[2]побудинковий звіт'!CA87-'[3]побудинковий звіт'!CA87</f>
        <v>250.75432090112494</v>
      </c>
      <c r="CB87" s="56">
        <f t="shared" si="89"/>
        <v>250.75432090112494</v>
      </c>
      <c r="CC87" s="42">
        <f>'[1]побудинковий звіт'!CC87+'[2]побудинковий звіт'!CC87-'[3]побудинковий звіт'!CC87</f>
        <v>0</v>
      </c>
      <c r="CD87" s="42">
        <f>'[1]побудинковий звіт'!CD87+'[2]побудинковий звіт'!CD87-'[3]побудинковий звіт'!CD87</f>
        <v>0</v>
      </c>
      <c r="CE87" s="56">
        <f t="shared" si="90"/>
        <v>0</v>
      </c>
      <c r="CF87" s="42">
        <f>'[1]побудинковий звіт'!CF87+'[2]побудинковий звіт'!CF87-'[3]побудинковий звіт'!CF87</f>
        <v>0</v>
      </c>
      <c r="CG87" s="42">
        <f>'[1]побудинковий звіт'!CG87+'[2]побудинковий звіт'!CG87-'[3]побудинковий звіт'!CG87</f>
        <v>0</v>
      </c>
      <c r="CH87" s="56">
        <f t="shared" si="91"/>
        <v>0</v>
      </c>
      <c r="CI87" s="42">
        <f>'[1]побудинковий звіт'!CI87+'[2]побудинковий звіт'!CI87-'[3]побудинковий звіт'!CI87</f>
        <v>0</v>
      </c>
      <c r="CJ87" s="42">
        <f>'[1]побудинковий звіт'!CJ87+'[2]побудинковий звіт'!CJ87-'[3]побудинковий звіт'!CJ87</f>
        <v>0</v>
      </c>
      <c r="CK87" s="56">
        <f t="shared" si="92"/>
        <v>0</v>
      </c>
      <c r="CL87" s="42">
        <f>'[1]побудинковий звіт'!CL87+'[2]побудинковий звіт'!CL87-'[3]побудинковий звіт'!CL87</f>
        <v>0</v>
      </c>
      <c r="CM87" s="42">
        <f>'[1]побудинковий звіт'!CM87+'[2]побудинковий звіт'!CM87-'[3]побудинковий звіт'!CM87</f>
        <v>0</v>
      </c>
      <c r="CN87" s="56">
        <f t="shared" si="93"/>
        <v>0</v>
      </c>
      <c r="CO87" s="42">
        <f t="shared" si="64"/>
        <v>0</v>
      </c>
      <c r="CP87" s="43">
        <f t="shared" si="94"/>
        <v>0</v>
      </c>
      <c r="CQ87" s="56">
        <f t="shared" si="95"/>
        <v>0</v>
      </c>
      <c r="CR87" s="78">
        <f t="shared" si="65"/>
        <v>4167.2099079353857</v>
      </c>
      <c r="CS87" s="5">
        <f t="shared" si="65"/>
        <v>1711.0561529229258</v>
      </c>
      <c r="CT87" s="56">
        <f t="shared" si="96"/>
        <v>-2456.1537550124599</v>
      </c>
      <c r="CU87" s="87">
        <f t="shared" si="97"/>
        <v>5000.6518895224626</v>
      </c>
      <c r="CV87" s="70">
        <f t="shared" si="98"/>
        <v>2053.2673835075107</v>
      </c>
      <c r="CW87" s="37">
        <f t="shared" si="99"/>
        <v>-2947.384506014952</v>
      </c>
      <c r="CX87" s="42">
        <f>'[1]побудинковий звіт'!CX87+'[2]побудинковий звіт'!CX87-'[3]побудинковий звіт'!CX87</f>
        <v>224.98811047753793</v>
      </c>
      <c r="CY87" s="42">
        <f>'[1]побудинковий звіт'!CY87+'[2]побудинковий звіт'!CY87-'[3]побудинковий звіт'!CY87</f>
        <v>3172.3726164924901</v>
      </c>
      <c r="CZ87" s="56">
        <f t="shared" si="100"/>
        <v>2947.3845060149524</v>
      </c>
      <c r="DA87" s="264">
        <f>'[4]побудинковий звіт'!DA87</f>
        <v>1331.3832214195454</v>
      </c>
      <c r="DB87" s="2">
        <v>1</v>
      </c>
      <c r="DC87" s="717">
        <f>'[4]побудинковий звіт'!DC87</f>
        <v>1769.97</v>
      </c>
      <c r="DD87" s="717">
        <f>'[4]побудинковий звіт'!DD87</f>
        <v>0</v>
      </c>
      <c r="DE87" s="717">
        <f>'[4]побудинковий звіт'!DE87</f>
        <v>1334.5</v>
      </c>
      <c r="DF87" s="717">
        <f>'[4]побудинковий звіт'!DF87</f>
        <v>0</v>
      </c>
      <c r="DG87" s="787">
        <v>746.31076252680214</v>
      </c>
      <c r="DH87" s="761">
        <f t="shared" si="109"/>
        <v>62707.680000000008</v>
      </c>
      <c r="DI87" s="784"/>
      <c r="DJ87" s="5"/>
      <c r="DK87" s="317">
        <f>VLOOKUP($A87,ціни!$A$4:$G$401,5)</f>
        <v>1.684616771293028</v>
      </c>
      <c r="DL87" s="317"/>
      <c r="DM87" s="317">
        <f>VLOOKUP($A87,ціни!$A$4:$G$401,7)</f>
        <v>1.684616771293028</v>
      </c>
      <c r="DN87" s="30">
        <f>F87*DK87</f>
        <v>365.22491601632851</v>
      </c>
      <c r="DO87" s="30">
        <f>H87*DM87</f>
        <v>0</v>
      </c>
      <c r="DP87" s="316">
        <f t="shared" si="101"/>
        <v>365.22491601632851</v>
      </c>
      <c r="DQ87" s="104"/>
      <c r="DR87" s="30">
        <f>VLOOKUP(A87,'ДЗ нас '!$A$1:$C$359,2)</f>
        <v>435.47</v>
      </c>
      <c r="DS87" s="748"/>
      <c r="DT87" s="30">
        <f t="shared" si="102"/>
        <v>435.47</v>
      </c>
      <c r="DU87" s="257">
        <f>VLOOKUP(A87,'новий кошторис с 01.06'!$A$4:$AI$399,35)*1.2</f>
        <v>439.22392429638961</v>
      </c>
      <c r="DV87" s="30">
        <f t="shared" si="103"/>
        <v>-3.7539242963895845</v>
      </c>
      <c r="DW87" s="930">
        <f>'[5]побудинковий звіт'!DW87+'[6]побудинковий звіт'!DW87</f>
        <v>0</v>
      </c>
      <c r="DY87" s="5">
        <f t="shared" si="104"/>
        <v>3277.4598106384378</v>
      </c>
      <c r="DZ87" s="5">
        <f t="shared" si="105"/>
        <v>0</v>
      </c>
      <c r="EA87" s="752">
        <f t="shared" si="110"/>
        <v>1334.5</v>
      </c>
      <c r="EC87" s="592">
        <f t="shared" si="106"/>
        <v>32473.363823319582</v>
      </c>
      <c r="EE87" s="758">
        <v>15294</v>
      </c>
      <c r="EF87" s="738">
        <f t="shared" si="107"/>
        <v>16040.310762526802</v>
      </c>
      <c r="EH87" s="813">
        <v>3942.5010760458335</v>
      </c>
    </row>
    <row r="88" spans="1:138" x14ac:dyDescent="0.3">
      <c r="A88" s="328">
        <v>150000592</v>
      </c>
      <c r="B88" s="44" t="s">
        <v>538</v>
      </c>
      <c r="C88" s="45" t="s">
        <v>353</v>
      </c>
      <c r="D88" s="45" t="s">
        <v>353</v>
      </c>
      <c r="E88" s="40">
        <f t="shared" si="108"/>
        <v>254.1</v>
      </c>
      <c r="F88" s="490">
        <v>214.7</v>
      </c>
      <c r="G88" s="30">
        <v>1110</v>
      </c>
      <c r="H88" s="30">
        <v>39.4</v>
      </c>
      <c r="I88" s="42">
        <f>'[1]побудинковий звіт'!I88+'[2]побудинковий звіт'!I88-'[3]побудинковий звіт'!I88</f>
        <v>24782.329932804561</v>
      </c>
      <c r="J88" s="42">
        <f>'[1]побудинковий звіт'!J88+'[2]побудинковий звіт'!J88-'[3]побудинковий звіт'!J88</f>
        <v>21241.40965273105</v>
      </c>
      <c r="K88" s="56">
        <f t="shared" si="66"/>
        <v>-3540.9202800735111</v>
      </c>
      <c r="L88" s="42">
        <f>'[1]побудинковий звіт'!L88+'[2]побудинковий звіт'!L88-'[3]побудинковий звіт'!L88</f>
        <v>4120.6583522147148</v>
      </c>
      <c r="M88" s="42">
        <f>'[1]побудинковий звіт'!M88+'[2]побудинковий звіт'!M88-'[3]побудинковий звіт'!M88</f>
        <v>3784.0572806604437</v>
      </c>
      <c r="N88" s="56">
        <f t="shared" si="67"/>
        <v>-336.60107155427113</v>
      </c>
      <c r="O88" s="42">
        <f>'[1]побудинковий звіт'!O88+'[2]побудинковий звіт'!O88-'[3]побудинковий звіт'!O88</f>
        <v>15096.599999999997</v>
      </c>
      <c r="P88" s="42">
        <f>'[1]побудинковий звіт'!P88+'[2]побудинковий звіт'!P88-'[3]побудинковий звіт'!P88</f>
        <v>11866.670833333334</v>
      </c>
      <c r="Q88" s="56">
        <f t="shared" si="68"/>
        <v>-3229.9291666666631</v>
      </c>
      <c r="R88" s="42">
        <f>'[1]побудинковий звіт'!R88+'[2]побудинковий звіт'!R88-'[3]побудинковий звіт'!R88</f>
        <v>3143.0400000000004</v>
      </c>
      <c r="S88" s="42">
        <f>'[1]побудинковий звіт'!S88+'[2]побудинковий звіт'!S88-'[3]побудинковий звіт'!S88</f>
        <v>2470.9530231182794</v>
      </c>
      <c r="T88" s="56">
        <f t="shared" si="69"/>
        <v>-672.08697688172106</v>
      </c>
      <c r="U88" s="42">
        <f>'[1]побудинковий звіт'!U88+'[2]побудинковий звіт'!U88-'[3]побудинковий звіт'!U88</f>
        <v>4609.9343917566339</v>
      </c>
      <c r="V88" s="42">
        <f>'[1]побудинковий звіт'!V88+'[2]побудинковий звіт'!V88-'[3]побудинковий звіт'!V88</f>
        <v>1641.6343847895305</v>
      </c>
      <c r="W88" s="56">
        <f t="shared" si="70"/>
        <v>-2968.3000069671034</v>
      </c>
      <c r="X88" s="42">
        <f>'[1]побудинковий звіт'!X88+'[2]побудинковий звіт'!X88-'[3]побудинковий звіт'!X88</f>
        <v>21643.061635458136</v>
      </c>
      <c r="Y88" s="42">
        <f>'[1]побудинковий звіт'!Y88+'[2]побудинковий звіт'!Y88-'[3]побудинковий звіт'!Y88</f>
        <v>15550.133211871016</v>
      </c>
      <c r="Z88" s="56">
        <f t="shared" si="71"/>
        <v>-6092.9284235871201</v>
      </c>
      <c r="AA88" s="42">
        <f>'[1]побудинковий звіт'!AA88+'[2]побудинковий звіт'!AA88-'[3]побудинковий звіт'!AA88</f>
        <v>0</v>
      </c>
      <c r="AB88" s="42">
        <f>'[1]побудинковий звіт'!AB88+'[2]побудинковий звіт'!AB88-'[3]побудинковий звіт'!AB88</f>
        <v>0</v>
      </c>
      <c r="AC88" s="56">
        <f t="shared" si="72"/>
        <v>0</v>
      </c>
      <c r="AD88" s="42">
        <f>'[1]побудинковий звіт'!AD88+'[2]побудинковий звіт'!AD88-'[3]побудинковий звіт'!AD88</f>
        <v>41637.19230403415</v>
      </c>
      <c r="AE88" s="42">
        <f>'[1]побудинковий звіт'!AE88+'[2]побудинковий звіт'!AE88-'[3]побудинковий звіт'!AE88</f>
        <v>38376.073629153201</v>
      </c>
      <c r="AF88" s="37">
        <f t="shared" si="73"/>
        <v>-3261.1186748809487</v>
      </c>
      <c r="AG88" s="87">
        <f t="shared" si="61"/>
        <v>115032.8166162682</v>
      </c>
      <c r="AH88" s="57">
        <f t="shared" si="61"/>
        <v>94930.932015656872</v>
      </c>
      <c r="AI88" s="56">
        <f t="shared" si="74"/>
        <v>-20101.884600611331</v>
      </c>
      <c r="AJ88" s="42">
        <f>'[1]побудинковий звіт'!AJ88+'[2]побудинковий звіт'!AJ88-'[3]побудинковий звіт'!AJ88</f>
        <v>75636.583364774546</v>
      </c>
      <c r="AK88" s="42">
        <f>'[1]побудинковий звіт'!AK88+'[2]побудинковий звіт'!AK88-'[3]побудинковий звіт'!AK88</f>
        <v>74971.195467029393</v>
      </c>
      <c r="AL88" s="56">
        <f t="shared" si="75"/>
        <v>-665.38789774515317</v>
      </c>
      <c r="AM88" s="42">
        <f>'[1]побудинковий звіт'!AM88+'[2]побудинковий звіт'!AM88-'[3]побудинковий звіт'!AM88</f>
        <v>6313.6886354837225</v>
      </c>
      <c r="AN88" s="42">
        <f>'[1]побудинковий звіт'!AN88+'[2]побудинковий звіт'!AN88-'[3]побудинковий звіт'!AN88</f>
        <v>5214.4756714484083</v>
      </c>
      <c r="AO88" s="56">
        <f t="shared" si="76"/>
        <v>-1099.2129640353141</v>
      </c>
      <c r="AP88" s="42">
        <f>'[1]побудинковий звіт'!AP88+'[2]побудинковий звіт'!AP88-'[3]побудинковий звіт'!AP88</f>
        <v>7102.6323217023728</v>
      </c>
      <c r="AQ88" s="42">
        <f>'[1]побудинковий звіт'!AQ88+'[2]побудинковий звіт'!AQ88-'[3]побудинковий звіт'!AQ88</f>
        <v>7083.3749907381916</v>
      </c>
      <c r="AR88" s="56">
        <f t="shared" si="77"/>
        <v>-19.257330964181165</v>
      </c>
      <c r="AS88" s="42">
        <f>'[1]побудинковий звіт'!AS88+'[2]побудинковий звіт'!AS88-'[3]побудинковий звіт'!AS88</f>
        <v>178594.45182269503</v>
      </c>
      <c r="AT88" s="42">
        <f>'[1]побудинковий звіт'!AT88+'[2]побудинковий звіт'!AT88-'[3]побудинковий звіт'!AT88</f>
        <v>119282.00361465874</v>
      </c>
      <c r="AU88" s="58">
        <f t="shared" si="78"/>
        <v>-59312.448208036294</v>
      </c>
      <c r="AV88" s="42">
        <f>'[1]побудинковий звіт'!AV88+'[2]побудинковий звіт'!AV88-'[3]побудинковий звіт'!AV88</f>
        <v>1212.4194363021111</v>
      </c>
      <c r="AW88" s="42">
        <f>'[1]побудинковий звіт'!AW88+'[2]побудинковий звіт'!AW88-'[3]побудинковий звіт'!AW88</f>
        <v>1311</v>
      </c>
      <c r="AX88" s="59">
        <f t="shared" si="79"/>
        <v>98.58056369788892</v>
      </c>
      <c r="AY88" s="42">
        <f>'[1]побудинковий звіт'!AY88+'[2]побудинковий звіт'!AY88-'[3]побудинковий звіт'!AY88</f>
        <v>1648.3735524371007</v>
      </c>
      <c r="AZ88" s="42">
        <f>'[1]побудинковий звіт'!AZ88+'[2]побудинковий звіт'!AZ88-'[3]побудинковий звіт'!AZ88</f>
        <v>2671</v>
      </c>
      <c r="BA88" s="37">
        <f t="shared" si="80"/>
        <v>1022.6264475628993</v>
      </c>
      <c r="BB88" s="42">
        <f>'[1]побудинковий звіт'!BB88+'[2]побудинковий звіт'!BB88-'[3]побудинковий звіт'!BB88</f>
        <v>2047.1136935254331</v>
      </c>
      <c r="BC88" s="42">
        <f>'[1]побудинковий звіт'!BC88+'[2]побудинковий звіт'!BC88-'[3]побудинковий звіт'!BC88</f>
        <v>0</v>
      </c>
      <c r="BD88" s="59">
        <f t="shared" si="81"/>
        <v>-2047.1136935254331</v>
      </c>
      <c r="BE88" s="42">
        <f>'[1]побудинковий звіт'!BE88+'[2]побудинковий звіт'!BE88-'[3]побудинковий звіт'!BE88</f>
        <v>852.49617581444795</v>
      </c>
      <c r="BF88" s="42">
        <f>'[1]побудинковий звіт'!BF88+'[2]побудинковий звіт'!BF88-'[3]побудинковий звіт'!BF88</f>
        <v>0</v>
      </c>
      <c r="BG88" s="39">
        <f t="shared" si="82"/>
        <v>-852.49617581444795</v>
      </c>
      <c r="BH88" s="42">
        <f>'[1]побудинковий звіт'!BH88+'[2]побудинковий звіт'!BH88-'[3]побудинковий звіт'!BH88</f>
        <v>1403.1194206337796</v>
      </c>
      <c r="BI88" s="42">
        <f>'[1]побудинковий звіт'!BI88+'[2]побудинковий звіт'!BI88-'[3]побудинковий звіт'!BI88</f>
        <v>0</v>
      </c>
      <c r="BJ88" s="59">
        <f t="shared" si="83"/>
        <v>-1403.1194206337796</v>
      </c>
      <c r="BK88" s="42">
        <f>'[1]побудинковий звіт'!BK88+'[2]побудинковий звіт'!BK88-'[3]побудинковий звіт'!BK88</f>
        <v>1606.8982976713498</v>
      </c>
      <c r="BL88" s="42">
        <f>'[1]побудинковий звіт'!BL88+'[2]побудинковий звіт'!BL88-'[3]побудинковий звіт'!BL88</f>
        <v>5984</v>
      </c>
      <c r="BM88" s="39">
        <f t="shared" si="84"/>
        <v>4377.1017023286504</v>
      </c>
      <c r="BN88" s="42">
        <f>'[1]побудинковий звіт'!BN88+'[2]побудинковий звіт'!BN88-'[3]побудинковий звіт'!BN88</f>
        <v>1124.2953543713022</v>
      </c>
      <c r="BO88" s="42">
        <f>'[1]побудинковий звіт'!BO88+'[2]побудинковий звіт'!BO88-'[3]побудинковий звіт'!BO88</f>
        <v>0</v>
      </c>
      <c r="BP88" s="59">
        <f t="shared" si="85"/>
        <v>-1124.2953543713022</v>
      </c>
      <c r="BQ88" s="87">
        <f t="shared" si="113"/>
        <v>9894.7159307555266</v>
      </c>
      <c r="BR88" s="43">
        <f t="shared" si="114"/>
        <v>9966</v>
      </c>
      <c r="BS88" s="59">
        <f t="shared" si="86"/>
        <v>71.284069244473358</v>
      </c>
      <c r="BT88" s="42">
        <f>'[1]побудинковий звіт'!BT88+'[2]побудинковий звіт'!BT88-'[3]побудинковий звіт'!BT88</f>
        <v>129359.68628581509</v>
      </c>
      <c r="BU88" s="42">
        <f>'[1]побудинковий звіт'!BU88+'[2]побудинковий звіт'!BU88-'[3]побудинковий звіт'!BU88</f>
        <v>157785.02860470282</v>
      </c>
      <c r="BV88" s="56">
        <f t="shared" si="87"/>
        <v>28425.342318887735</v>
      </c>
      <c r="BW88" s="42">
        <f>'[1]побудинковий звіт'!BW88+'[2]побудинковий звіт'!BW88-'[3]побудинковий звіт'!BW88</f>
        <v>86077.462079292323</v>
      </c>
      <c r="BX88" s="42">
        <f>'[1]побудинковий звіт'!BX88+'[2]побудинковий звіт'!BX88-'[3]побудинковий звіт'!BX88</f>
        <v>95395.343437813965</v>
      </c>
      <c r="BY88" s="56">
        <f t="shared" si="88"/>
        <v>9317.8813585216412</v>
      </c>
      <c r="BZ88" s="42">
        <f>'[1]побудинковий звіт'!BZ88+'[2]побудинковий звіт'!BZ88-'[3]побудинковий звіт'!BZ88</f>
        <v>31161.370853162596</v>
      </c>
      <c r="CA88" s="42">
        <f>'[1]побудинковий звіт'!CA88+'[2]побудинковий звіт'!CA88-'[3]побудинковий звіт'!CA88</f>
        <v>43364.284546692877</v>
      </c>
      <c r="CB88" s="56">
        <f t="shared" si="89"/>
        <v>12202.913693530281</v>
      </c>
      <c r="CC88" s="42">
        <f>'[1]побудинковий звіт'!CC88+'[2]побудинковий звіт'!CC88-'[3]побудинковий звіт'!CC88</f>
        <v>2982.5039403771584</v>
      </c>
      <c r="CD88" s="42">
        <f>'[1]побудинковий звіт'!CD88+'[2]побудинковий звіт'!CD88-'[3]побудинковий звіт'!CD88</f>
        <v>2956.2719750065758</v>
      </c>
      <c r="CE88" s="56">
        <f t="shared" si="90"/>
        <v>-26.231965370582657</v>
      </c>
      <c r="CF88" s="42">
        <f>'[1]побудинковий звіт'!CF88+'[2]побудинковий звіт'!CF88-'[3]побудинковий звіт'!CF88</f>
        <v>367.16431084188508</v>
      </c>
      <c r="CG88" s="42">
        <f>'[1]побудинковий звіт'!CG88+'[2]побудинковий звіт'!CG88-'[3]побудинковий звіт'!CG88</f>
        <v>926.07792626948458</v>
      </c>
      <c r="CH88" s="56">
        <f t="shared" si="91"/>
        <v>558.91361542759955</v>
      </c>
      <c r="CI88" s="42">
        <f>'[1]побудинковий звіт'!CI88+'[2]побудинковий звіт'!CI88-'[3]побудинковий звіт'!CI88</f>
        <v>23078.708543477904</v>
      </c>
      <c r="CJ88" s="42">
        <f>'[1]побудинковий звіт'!CJ88+'[2]побудинковий звіт'!CJ88-'[3]побудинковий звіт'!CJ88</f>
        <v>20711.830346332827</v>
      </c>
      <c r="CK88" s="56">
        <f t="shared" si="92"/>
        <v>-2366.8781971450771</v>
      </c>
      <c r="CL88" s="42">
        <f>'[1]побудинковий звіт'!CL88+'[2]побудинковий звіт'!CL88-'[3]побудинковий звіт'!CL88</f>
        <v>34589.986527451059</v>
      </c>
      <c r="CM88" s="42">
        <f>'[1]побудинковий звіт'!CM88+'[2]побудинковий звіт'!CM88-'[3]побудинковий звіт'!CM88</f>
        <v>31071.31903851694</v>
      </c>
      <c r="CN88" s="56">
        <f t="shared" si="93"/>
        <v>-3518.6674889341193</v>
      </c>
      <c r="CO88" s="42">
        <f t="shared" si="64"/>
        <v>57668.695070928967</v>
      </c>
      <c r="CP88" s="43">
        <f t="shared" si="94"/>
        <v>51783.149384849763</v>
      </c>
      <c r="CQ88" s="56">
        <f t="shared" si="95"/>
        <v>-5885.5456860792037</v>
      </c>
      <c r="CR88" s="78">
        <f t="shared" si="65"/>
        <v>700191.77123209753</v>
      </c>
      <c r="CS88" s="5">
        <f t="shared" si="65"/>
        <v>663658.1376348671</v>
      </c>
      <c r="CT88" s="56">
        <f t="shared" si="96"/>
        <v>-36533.633597230422</v>
      </c>
      <c r="CU88" s="87">
        <f t="shared" si="97"/>
        <v>840230.12547851703</v>
      </c>
      <c r="CV88" s="70">
        <f t="shared" si="98"/>
        <v>796389.76516184048</v>
      </c>
      <c r="CW88" s="37">
        <f t="shared" si="99"/>
        <v>-43840.360316676553</v>
      </c>
      <c r="CX88" s="42">
        <f>'[1]побудинковий звіт'!CX88+'[2]побудинковий звіт'!CX88-'[3]побудинковий звіт'!CX88</f>
        <v>20803.594521483115</v>
      </c>
      <c r="CY88" s="42">
        <f>'[1]побудинковий звіт'!CY88+'[2]побудинковий звіт'!CY88-'[3]побудинковий звіт'!CY88</f>
        <v>64643.954838159603</v>
      </c>
      <c r="CZ88" s="56">
        <f t="shared" si="100"/>
        <v>43840.360316676488</v>
      </c>
      <c r="DA88" s="264">
        <f>'[4]побудинковий звіт'!DA88</f>
        <v>-56232.094851788781</v>
      </c>
      <c r="DB88" s="2">
        <v>1</v>
      </c>
      <c r="DC88" s="717">
        <f>'[4]побудинковий звіт'!DC88</f>
        <v>161137.66</v>
      </c>
      <c r="DD88" s="717">
        <f>'[4]побудинковий звіт'!DD88</f>
        <v>7392.44</v>
      </c>
      <c r="DE88" s="717">
        <f>'[4]побудинковий звіт'!DE88</f>
        <v>89591.21</v>
      </c>
      <c r="DF88" s="717">
        <f>'[4]побудинковий звіт'!DF88</f>
        <v>7186.08</v>
      </c>
      <c r="DG88" s="787">
        <v>-1954.0002201744355</v>
      </c>
      <c r="DH88" s="761">
        <f t="shared" si="109"/>
        <v>10332404.640000002</v>
      </c>
      <c r="DI88" s="784"/>
      <c r="DJ88" s="5"/>
      <c r="DK88" s="317">
        <f>VLOOKUP($A88,ціни!$A$4:$G$401,5)</f>
        <v>6.1471917140243795</v>
      </c>
      <c r="DL88" s="317">
        <f>VLOOKUP($A88,ціни!$A$4:$G$401,6)</f>
        <v>7.5380650430600795</v>
      </c>
      <c r="DM88" s="317">
        <f>VLOOKUP($A88,ціни!$A$4:$G$401,7)</f>
        <v>5.2374602260338383</v>
      </c>
      <c r="DN88" s="30">
        <f>DK88*G88+(F88-G88)*DL88</f>
        <v>74.553169515372247</v>
      </c>
      <c r="DO88" s="30">
        <f>DM88*H88</f>
        <v>206.35593290573323</v>
      </c>
      <c r="DP88" s="316">
        <f t="shared" si="101"/>
        <v>280.90910242110544</v>
      </c>
      <c r="DQ88" s="104"/>
      <c r="DR88" s="30">
        <f>VLOOKUP(A88,'ДЗ нас '!$A$1:$C$359,2)</f>
        <v>71546.45</v>
      </c>
      <c r="DS88" s="748">
        <f>VLOOKUP(A88,'ДЗ нежит'!$A$1:$D$153,4,0)</f>
        <v>206.36</v>
      </c>
      <c r="DT88" s="30">
        <f t="shared" si="102"/>
        <v>71752.81</v>
      </c>
      <c r="DU88" s="257">
        <f>VLOOKUP(A88,'новий кошторис с 01.06'!$A$4:$AI$399,35)*1.2</f>
        <v>72119.752436906041</v>
      </c>
      <c r="DV88" s="30">
        <f t="shared" si="103"/>
        <v>-366.94243690604344</v>
      </c>
      <c r="DW88" s="930">
        <f>'[5]побудинковий звіт'!DW88+'[6]побудинковий звіт'!DW88</f>
        <v>276</v>
      </c>
      <c r="DY88" s="5">
        <f t="shared" si="104"/>
        <v>226187.00130414069</v>
      </c>
      <c r="DZ88" s="5">
        <f t="shared" si="105"/>
        <v>155097.60433759048</v>
      </c>
      <c r="EA88" s="752">
        <f t="shared" si="110"/>
        <v>96777.290000000008</v>
      </c>
      <c r="EC88" s="592">
        <f t="shared" si="106"/>
        <v>2143133.4218723401</v>
      </c>
      <c r="EE88" s="758">
        <v>-3364</v>
      </c>
      <c r="EF88" s="738">
        <f t="shared" si="107"/>
        <v>-5318.0002201744355</v>
      </c>
      <c r="EH88" s="813">
        <v>-26935.152216281342</v>
      </c>
    </row>
    <row r="89" spans="1:138" x14ac:dyDescent="0.3">
      <c r="A89" s="328">
        <v>150000599</v>
      </c>
      <c r="B89" s="44" t="s">
        <v>539</v>
      </c>
      <c r="C89" s="45" t="s">
        <v>77</v>
      </c>
      <c r="D89" s="45" t="s">
        <v>77</v>
      </c>
      <c r="E89" s="40">
        <f t="shared" si="108"/>
        <v>397.8</v>
      </c>
      <c r="F89" s="490">
        <v>397.8</v>
      </c>
      <c r="G89" s="30"/>
      <c r="H89" s="30">
        <v>0</v>
      </c>
      <c r="I89" s="42">
        <f>'[1]побудинковий звіт'!I89+'[2]побудинковий звіт'!I89-'[3]побудинковий звіт'!I89</f>
        <v>0</v>
      </c>
      <c r="J89" s="42">
        <f>'[1]побудинковий звіт'!J89+'[2]побудинковий звіт'!J89-'[3]побудинковий звіт'!J89</f>
        <v>0</v>
      </c>
      <c r="K89" s="56">
        <f t="shared" si="66"/>
        <v>0</v>
      </c>
      <c r="L89" s="42">
        <f>'[1]побудинковий звіт'!L89+'[2]побудинковий звіт'!L89-'[3]побудинковий звіт'!L89</f>
        <v>0</v>
      </c>
      <c r="M89" s="42">
        <f>'[1]побудинковий звіт'!M89+'[2]побудинковий звіт'!M89-'[3]побудинковий звіт'!M89</f>
        <v>0</v>
      </c>
      <c r="N89" s="56">
        <f t="shared" si="67"/>
        <v>0</v>
      </c>
      <c r="O89" s="42">
        <f>'[1]побудинковий звіт'!O89+'[2]побудинковий звіт'!O89-'[3]побудинковий звіт'!O89</f>
        <v>0</v>
      </c>
      <c r="P89" s="42">
        <f>'[1]побудинковий звіт'!P89+'[2]побудинковий звіт'!P89-'[3]побудинковий звіт'!P89</f>
        <v>0</v>
      </c>
      <c r="Q89" s="56">
        <f t="shared" si="68"/>
        <v>0</v>
      </c>
      <c r="R89" s="42">
        <f>'[1]побудинковий звіт'!R89+'[2]побудинковий звіт'!R89-'[3]побудинковий звіт'!R89</f>
        <v>0</v>
      </c>
      <c r="S89" s="42">
        <f>'[1]побудинковий звіт'!S89+'[2]побудинковий звіт'!S89-'[3]побудинковий звіт'!S89</f>
        <v>0</v>
      </c>
      <c r="T89" s="56">
        <f t="shared" si="69"/>
        <v>0</v>
      </c>
      <c r="U89" s="42">
        <f>'[1]побудинковий звіт'!U89+'[2]побудинковий звіт'!U89-'[3]побудинковий звіт'!U89</f>
        <v>0</v>
      </c>
      <c r="V89" s="42">
        <f>'[1]побудинковий звіт'!V89+'[2]побудинковий звіт'!V89-'[3]побудинковий звіт'!V89</f>
        <v>0</v>
      </c>
      <c r="W89" s="56">
        <f t="shared" si="70"/>
        <v>0</v>
      </c>
      <c r="X89" s="42">
        <f>'[1]побудинковий звіт'!X89+'[2]побудинковий звіт'!X89-'[3]побудинковий звіт'!X89</f>
        <v>0</v>
      </c>
      <c r="Y89" s="42">
        <f>'[1]побудинковий звіт'!Y89+'[2]побудинковий звіт'!Y89-'[3]побудинковий звіт'!Y89</f>
        <v>0</v>
      </c>
      <c r="Z89" s="56">
        <f t="shared" si="71"/>
        <v>0</v>
      </c>
      <c r="AA89" s="42">
        <f>'[1]побудинковий звіт'!AA89+'[2]побудинковий звіт'!AA89-'[3]побудинковий звіт'!AA89</f>
        <v>0</v>
      </c>
      <c r="AB89" s="42">
        <f>'[1]побудинковий звіт'!AB89+'[2]побудинковий звіт'!AB89-'[3]побудинковий звіт'!AB89</f>
        <v>0</v>
      </c>
      <c r="AC89" s="56">
        <f t="shared" si="72"/>
        <v>0</v>
      </c>
      <c r="AD89" s="42">
        <f>'[1]побудинковий звіт'!AD89+'[2]побудинковий звіт'!AD89-'[3]побудинковий звіт'!AD89</f>
        <v>0</v>
      </c>
      <c r="AE89" s="42">
        <f>'[1]побудинковий звіт'!AE89+'[2]побудинковий звіт'!AE89-'[3]побудинковий звіт'!AE89</f>
        <v>166.62544849632363</v>
      </c>
      <c r="AF89" s="37">
        <f t="shared" si="73"/>
        <v>166.62544849632363</v>
      </c>
      <c r="AG89" s="87">
        <f t="shared" si="61"/>
        <v>0</v>
      </c>
      <c r="AH89" s="57">
        <f t="shared" si="61"/>
        <v>166.62544849632363</v>
      </c>
      <c r="AI89" s="56">
        <f t="shared" si="74"/>
        <v>166.62544849632363</v>
      </c>
      <c r="AJ89" s="42">
        <f>'[1]побудинковий звіт'!AJ89+'[2]побудинковий звіт'!AJ89-'[3]побудинковий звіт'!AJ89</f>
        <v>0</v>
      </c>
      <c r="AK89" s="42">
        <f>'[1]побудинковий звіт'!AK89+'[2]побудинковий звіт'!AK89-'[3]побудинковий звіт'!AK89</f>
        <v>0</v>
      </c>
      <c r="AL89" s="56">
        <f t="shared" si="75"/>
        <v>0</v>
      </c>
      <c r="AM89" s="42">
        <f>'[1]побудинковий звіт'!AM89+'[2]побудинковий звіт'!AM89-'[3]побудинковий звіт'!AM89</f>
        <v>0</v>
      </c>
      <c r="AN89" s="42">
        <f>'[1]побудинковий звіт'!AN89+'[2]побудинковий звіт'!AN89-'[3]побудинковий звіт'!AN89</f>
        <v>0</v>
      </c>
      <c r="AO89" s="56">
        <f t="shared" si="76"/>
        <v>0</v>
      </c>
      <c r="AP89" s="42">
        <f>'[1]побудинковий звіт'!AP89+'[2]побудинковий звіт'!AP89-'[3]побудинковий звіт'!AP89</f>
        <v>710.26323217023742</v>
      </c>
      <c r="AQ89" s="42">
        <f>'[1]побудинковий звіт'!AQ89+'[2]побудинковий звіт'!AQ89-'[3]побудинковий звіт'!AQ89</f>
        <v>139.73068767963608</v>
      </c>
      <c r="AR89" s="56">
        <f t="shared" si="77"/>
        <v>-570.53254449060137</v>
      </c>
      <c r="AS89" s="42">
        <f>'[1]побудинковий звіт'!AS89+'[2]побудинковий звіт'!AS89-'[3]побудинковий звіт'!AS89</f>
        <v>2977.9913965983501</v>
      </c>
      <c r="AT89" s="42">
        <f>'[1]побудинковий звіт'!AT89+'[2]побудинковий звіт'!AT89-'[3]побудинковий звіт'!AT89</f>
        <v>0</v>
      </c>
      <c r="AU89" s="58">
        <f t="shared" si="78"/>
        <v>-2977.9913965983501</v>
      </c>
      <c r="AV89" s="42">
        <f>'[1]побудинковий звіт'!AV89+'[2]побудинковий звіт'!AV89-'[3]побудинковий звіт'!AV89</f>
        <v>0</v>
      </c>
      <c r="AW89" s="42">
        <f>'[1]побудинковий звіт'!AW89+'[2]побудинковий звіт'!AW89-'[3]побудинковий звіт'!AW89</f>
        <v>0</v>
      </c>
      <c r="AX89" s="59">
        <f t="shared" si="79"/>
        <v>0</v>
      </c>
      <c r="AY89" s="42">
        <f>'[1]побудинковий звіт'!AY89+'[2]побудинковий звіт'!AY89-'[3]побудинковий звіт'!AY89</f>
        <v>0</v>
      </c>
      <c r="AZ89" s="42">
        <f>'[1]побудинковий звіт'!AZ89+'[2]побудинковий звіт'!AZ89-'[3]побудинковий звіт'!AZ89</f>
        <v>0</v>
      </c>
      <c r="BA89" s="37">
        <f t="shared" si="80"/>
        <v>0</v>
      </c>
      <c r="BB89" s="42">
        <f>'[1]побудинковий звіт'!BB89+'[2]побудинковий звіт'!BB89-'[3]побудинковий звіт'!BB89</f>
        <v>0</v>
      </c>
      <c r="BC89" s="42">
        <f>'[1]побудинковий звіт'!BC89+'[2]побудинковий звіт'!BC89-'[3]побудинковий звіт'!BC89</f>
        <v>0</v>
      </c>
      <c r="BD89" s="59">
        <f t="shared" si="81"/>
        <v>0</v>
      </c>
      <c r="BE89" s="42">
        <f>'[1]побудинковий звіт'!BE89+'[2]побудинковий звіт'!BE89-'[3]побудинковий звіт'!BE89</f>
        <v>0</v>
      </c>
      <c r="BF89" s="42">
        <f>'[1]побудинковий звіт'!BF89+'[2]побудинковий звіт'!BF89-'[3]побудинковий звіт'!BF89</f>
        <v>0</v>
      </c>
      <c r="BG89" s="39">
        <f t="shared" si="82"/>
        <v>0</v>
      </c>
      <c r="BH89" s="42">
        <f>'[1]побудинковий звіт'!BH89+'[2]побудинковий звіт'!BH89-'[3]побудинковий звіт'!BH89</f>
        <v>0</v>
      </c>
      <c r="BI89" s="42">
        <f>'[1]побудинковий звіт'!BI89+'[2]побудинковий звіт'!BI89-'[3]побудинковий звіт'!BI89</f>
        <v>0</v>
      </c>
      <c r="BJ89" s="59">
        <f t="shared" si="83"/>
        <v>0</v>
      </c>
      <c r="BK89" s="42">
        <f>'[1]побудинковий звіт'!BK89+'[2]побудинковий звіт'!BK89-'[3]побудинковий звіт'!BK89</f>
        <v>0</v>
      </c>
      <c r="BL89" s="42">
        <f>'[1]побудинковий звіт'!BL89+'[2]побудинковий звіт'!BL89-'[3]побудинковий звіт'!BL89</f>
        <v>0</v>
      </c>
      <c r="BM89" s="39">
        <f t="shared" si="84"/>
        <v>0</v>
      </c>
      <c r="BN89" s="42">
        <f>'[1]побудинковий звіт'!BN89+'[2]побудинковий звіт'!BN89-'[3]побудинковий звіт'!BN89</f>
        <v>0</v>
      </c>
      <c r="BO89" s="42">
        <f>'[1]побудинковий звіт'!BO89+'[2]побудинковий звіт'!BO89-'[3]побудинковий звіт'!BO89</f>
        <v>0</v>
      </c>
      <c r="BP89" s="59">
        <f t="shared" si="85"/>
        <v>0</v>
      </c>
      <c r="BQ89" s="87">
        <f t="shared" si="113"/>
        <v>0</v>
      </c>
      <c r="BR89" s="43">
        <f t="shared" si="114"/>
        <v>0</v>
      </c>
      <c r="BS89" s="59">
        <f t="shared" si="86"/>
        <v>0</v>
      </c>
      <c r="BT89" s="42">
        <f>'[1]побудинковий звіт'!BT89+'[2]побудинковий звіт'!BT89-'[3]побудинковий звіт'!BT89</f>
        <v>1483.4746667602451</v>
      </c>
      <c r="BU89" s="42">
        <f>'[1]побудинковий звіт'!BU89+'[2]побудинковий звіт'!BU89-'[3]побудинковий звіт'!BU89</f>
        <v>3269.328117188928</v>
      </c>
      <c r="BV89" s="56">
        <f t="shared" si="87"/>
        <v>1785.8534504286829</v>
      </c>
      <c r="BW89" s="42">
        <f>'[1]побудинковий звіт'!BW89+'[2]побудинковий звіт'!BW89-'[3]побудинковий звіт'!BW89</f>
        <v>0</v>
      </c>
      <c r="BX89" s="42">
        <f>'[1]побудинковий звіт'!BX89+'[2]побудинковий звіт'!BX89-'[3]побудинковий звіт'!BX89</f>
        <v>8.0652405924154351</v>
      </c>
      <c r="BY89" s="56">
        <f t="shared" si="88"/>
        <v>8.0652405924154351</v>
      </c>
      <c r="BZ89" s="42">
        <f>'[1]побудинковий звіт'!BZ89+'[2]побудинковий звіт'!BZ89-'[3]побудинковий звіт'!BZ89</f>
        <v>0</v>
      </c>
      <c r="CA89" s="42">
        <f>'[1]побудинковий звіт'!CA89+'[2]побудинковий звіт'!CA89-'[3]побудинковий звіт'!CA89</f>
        <v>788.05397363554744</v>
      </c>
      <c r="CB89" s="56">
        <f t="shared" si="89"/>
        <v>788.05397363554744</v>
      </c>
      <c r="CC89" s="42">
        <f>'[1]побудинковий звіт'!CC89+'[2]побудинковий звіт'!CC89-'[3]побудинковий звіт'!CC89</f>
        <v>0</v>
      </c>
      <c r="CD89" s="42">
        <f>'[1]побудинковий звіт'!CD89+'[2]побудинковий звіт'!CD89-'[3]побудинковий звіт'!CD89</f>
        <v>0</v>
      </c>
      <c r="CE89" s="56">
        <f t="shared" si="90"/>
        <v>0</v>
      </c>
      <c r="CF89" s="42">
        <f>'[1]побудинковий звіт'!CF89+'[2]побудинковий звіт'!CF89-'[3]побудинковий звіт'!CF89</f>
        <v>0</v>
      </c>
      <c r="CG89" s="42">
        <f>'[1]побудинковий звіт'!CG89+'[2]побудинковий звіт'!CG89-'[3]побудинковий звіт'!CG89</f>
        <v>0</v>
      </c>
      <c r="CH89" s="56">
        <f t="shared" si="91"/>
        <v>0</v>
      </c>
      <c r="CI89" s="42">
        <f>'[1]побудинковий звіт'!CI89+'[2]побудинковий звіт'!CI89-'[3]побудинковий звіт'!CI89</f>
        <v>0</v>
      </c>
      <c r="CJ89" s="42">
        <f>'[1]побудинковий звіт'!CJ89+'[2]побудинковий звіт'!CJ89-'[3]побудинковий звіт'!CJ89</f>
        <v>0</v>
      </c>
      <c r="CK89" s="56">
        <f t="shared" si="92"/>
        <v>0</v>
      </c>
      <c r="CL89" s="42">
        <f>'[1]побудинковий звіт'!CL89+'[2]побудинковий звіт'!CL89-'[3]побудинковий звіт'!CL89</f>
        <v>0</v>
      </c>
      <c r="CM89" s="42">
        <f>'[1]побудинковий звіт'!CM89+'[2]побудинковий звіт'!CM89-'[3]побудинковий звіт'!CM89</f>
        <v>0</v>
      </c>
      <c r="CN89" s="56">
        <f t="shared" si="93"/>
        <v>0</v>
      </c>
      <c r="CO89" s="42">
        <f t="shared" si="64"/>
        <v>0</v>
      </c>
      <c r="CP89" s="43">
        <f t="shared" si="94"/>
        <v>0</v>
      </c>
      <c r="CQ89" s="56">
        <f t="shared" si="95"/>
        <v>0</v>
      </c>
      <c r="CR89" s="78">
        <f t="shared" si="65"/>
        <v>5171.7292955288322</v>
      </c>
      <c r="CS89" s="5">
        <f t="shared" si="65"/>
        <v>4371.8034675928511</v>
      </c>
      <c r="CT89" s="56">
        <f t="shared" si="96"/>
        <v>-799.92582793598103</v>
      </c>
      <c r="CU89" s="87">
        <f t="shared" si="97"/>
        <v>6206.0751546345982</v>
      </c>
      <c r="CV89" s="70">
        <f t="shared" si="98"/>
        <v>5246.164161111421</v>
      </c>
      <c r="CW89" s="37">
        <f t="shared" si="99"/>
        <v>-959.91099352317724</v>
      </c>
      <c r="CX89" s="42">
        <f>'[1]побудинковий звіт'!CX89+'[2]побудинковий звіт'!CX89-'[3]побудинковий звіт'!CX89</f>
        <v>142.40484536540043</v>
      </c>
      <c r="CY89" s="42">
        <f>'[1]побудинковий звіт'!CY89+'[2]побудинковий звіт'!CY89-'[3]побудинковий звіт'!CY89</f>
        <v>1102.3158388885804</v>
      </c>
      <c r="CZ89" s="56">
        <f t="shared" si="100"/>
        <v>959.91099352317997</v>
      </c>
      <c r="DA89" s="264">
        <f>'[4]побудинковий звіт'!DA89</f>
        <v>-1884.4057294592271</v>
      </c>
      <c r="DB89" s="2">
        <v>1</v>
      </c>
      <c r="DC89" s="717">
        <f>'[4]побудинковий звіт'!DC89</f>
        <v>675.94</v>
      </c>
      <c r="DD89" s="717">
        <f>'[4]побудинковий звіт'!DD89</f>
        <v>0</v>
      </c>
      <c r="DE89" s="717">
        <f>'[4]побудинковий звіт'!DE89</f>
        <v>146.90000000000009</v>
      </c>
      <c r="DF89" s="717">
        <f>'[4]побудинковий звіт'!DF89</f>
        <v>0</v>
      </c>
      <c r="DG89" s="787">
        <v>-2030.148702833525</v>
      </c>
      <c r="DH89" s="761">
        <f t="shared" si="109"/>
        <v>76181.75999999998</v>
      </c>
      <c r="DI89" s="784"/>
      <c r="DJ89" s="5"/>
      <c r="DK89" s="317">
        <f>VLOOKUP($A89,ціни!$A$4:$G$401,5)</f>
        <v>2.1170217763247021</v>
      </c>
      <c r="DL89" s="317"/>
      <c r="DM89" s="317">
        <f>VLOOKUP($A89,ціни!$A$4:$G$401,7)</f>
        <v>2.1170217763247021</v>
      </c>
      <c r="DN89" s="30">
        <f>F89*DK89</f>
        <v>842.15126262196657</v>
      </c>
      <c r="DO89" s="30">
        <f>H89*DM89</f>
        <v>0</v>
      </c>
      <c r="DP89" s="316">
        <f t="shared" si="101"/>
        <v>842.15126262196657</v>
      </c>
      <c r="DQ89" s="104"/>
      <c r="DR89" s="30">
        <f>VLOOKUP(A89,'ДЗ нас '!$A$1:$C$359,2)</f>
        <v>529.04</v>
      </c>
      <c r="DS89" s="748"/>
      <c r="DT89" s="30">
        <f t="shared" si="102"/>
        <v>529.04</v>
      </c>
      <c r="DU89" s="257">
        <f>VLOOKUP(A89,'новий кошторис с 01.06'!$A$4:$AI$399,35)*1.2</f>
        <v>532.68811743946969</v>
      </c>
      <c r="DV89" s="30">
        <f t="shared" si="103"/>
        <v>-3.6481174394697291</v>
      </c>
      <c r="DW89" s="930">
        <f>'[5]побудинковий звіт'!DW89+'[6]побудинковий звіт'!DW89</f>
        <v>0</v>
      </c>
      <c r="DY89" s="5">
        <f t="shared" si="104"/>
        <v>3573.58967591802</v>
      </c>
      <c r="DZ89" s="5">
        <f t="shared" si="105"/>
        <v>0</v>
      </c>
      <c r="EA89" s="752">
        <f t="shared" si="110"/>
        <v>146.90000000000009</v>
      </c>
      <c r="EC89" s="592">
        <f t="shared" si="106"/>
        <v>35735.896759180199</v>
      </c>
      <c r="EE89" s="758">
        <v>13916</v>
      </c>
      <c r="EF89" s="738">
        <f t="shared" si="107"/>
        <v>11885.851297166475</v>
      </c>
      <c r="EH89" s="813">
        <v>-934.82382388140786</v>
      </c>
    </row>
    <row r="90" spans="1:138" x14ac:dyDescent="0.3">
      <c r="A90" s="328">
        <v>150000593</v>
      </c>
      <c r="B90" s="44" t="s">
        <v>540</v>
      </c>
      <c r="C90" s="45" t="s">
        <v>255</v>
      </c>
      <c r="D90" s="45" t="s">
        <v>255</v>
      </c>
      <c r="E90" s="40">
        <f t="shared" si="108"/>
        <v>364.1</v>
      </c>
      <c r="F90" s="490">
        <v>245.6</v>
      </c>
      <c r="G90" s="30"/>
      <c r="H90" s="30">
        <v>118.5</v>
      </c>
      <c r="I90" s="42">
        <f>'[1]побудинковий звіт'!I90+'[2]побудинковий звіт'!I90-'[3]побудинковий звіт'!I90</f>
        <v>6199.4103639317509</v>
      </c>
      <c r="J90" s="42">
        <f>'[1]побудинковий звіт'!J90+'[2]побудинковий звіт'!J90-'[3]побудинковий звіт'!J90</f>
        <v>5245.8297119305507</v>
      </c>
      <c r="K90" s="56">
        <f t="shared" si="66"/>
        <v>-953.58065200120018</v>
      </c>
      <c r="L90" s="42">
        <f>'[1]побудинковий звіт'!L90+'[2]побудинковий звіт'!L90-'[3]побудинковий звіт'!L90</f>
        <v>1170.8637927057821</v>
      </c>
      <c r="M90" s="42">
        <f>'[1]побудинковий звіт'!M90+'[2]побудинковий звіт'!M90-'[3]побудинковий звіт'!M90</f>
        <v>1077.1382811890867</v>
      </c>
      <c r="N90" s="56">
        <f t="shared" si="67"/>
        <v>-93.725511516695406</v>
      </c>
      <c r="O90" s="42">
        <f>'[1]побудинковий звіт'!O90+'[2]побудинковий звіт'!O90-'[3]побудинковий звіт'!O90</f>
        <v>2810.8799999999992</v>
      </c>
      <c r="P90" s="42">
        <f>'[1]побудинковий звіт'!P90+'[2]побудинковий звіт'!P90-'[3]побудинковий звіт'!P90</f>
        <v>2209.4126096774194</v>
      </c>
      <c r="Q90" s="56">
        <f t="shared" si="68"/>
        <v>-601.46739032257983</v>
      </c>
      <c r="R90" s="42">
        <f>'[1]побудинковий звіт'!R90+'[2]побудинковий звіт'!R90-'[3]побудинковий звіт'!R90</f>
        <v>0</v>
      </c>
      <c r="S90" s="42">
        <f>'[1]побудинковий звіт'!S90+'[2]побудинковий звіт'!S90-'[3]побудинковий звіт'!S90</f>
        <v>0</v>
      </c>
      <c r="T90" s="56">
        <f t="shared" si="69"/>
        <v>0</v>
      </c>
      <c r="U90" s="42">
        <f>'[1]побудинковий звіт'!U90+'[2]побудинковий звіт'!U90-'[3]побудинковий звіт'!U90</f>
        <v>0</v>
      </c>
      <c r="V90" s="42">
        <f>'[1]побудинковий звіт'!V90+'[2]побудинковий звіт'!V90-'[3]побудинковий звіт'!V90</f>
        <v>23.141522296781098</v>
      </c>
      <c r="W90" s="56">
        <f t="shared" si="70"/>
        <v>23.141522296781098</v>
      </c>
      <c r="X90" s="42">
        <f>'[1]побудинковий звіт'!X90+'[2]побудинковий звіт'!X90-'[3]побудинковий звіт'!X90</f>
        <v>3151.7883442107809</v>
      </c>
      <c r="Y90" s="42">
        <f>'[1]побудинковий звіт'!Y90+'[2]побудинковий звіт'!Y90-'[3]побудинковий звіт'!Y90</f>
        <v>2303.9421007122473</v>
      </c>
      <c r="Z90" s="56">
        <f t="shared" si="71"/>
        <v>-847.84624349853357</v>
      </c>
      <c r="AA90" s="42">
        <f>'[1]побудинковий звіт'!AA90+'[2]побудинковий звіт'!AA90-'[3]побудинковий звіт'!AA90</f>
        <v>0</v>
      </c>
      <c r="AB90" s="42">
        <f>'[1]побудинковий звіт'!AB90+'[2]побудинковий звіт'!AB90-'[3]побудинковий звіт'!AB90</f>
        <v>0</v>
      </c>
      <c r="AC90" s="56">
        <f t="shared" si="72"/>
        <v>0</v>
      </c>
      <c r="AD90" s="42">
        <f>'[1]побудинковий звіт'!AD90+'[2]побудинковий звіт'!AD90-'[3]побудинковий звіт'!AD90</f>
        <v>8120.1033897617654</v>
      </c>
      <c r="AE90" s="42">
        <f>'[1]побудинковий звіт'!AE90+'[2]побудинковий звіт'!AE90-'[3]побудинковий звіт'!AE90</f>
        <v>7484.4092076968682</v>
      </c>
      <c r="AF90" s="37">
        <f t="shared" si="73"/>
        <v>-635.69418206489718</v>
      </c>
      <c r="AG90" s="87">
        <f t="shared" si="61"/>
        <v>21453.045890610079</v>
      </c>
      <c r="AH90" s="57">
        <f t="shared" si="61"/>
        <v>18343.873433502951</v>
      </c>
      <c r="AI90" s="56">
        <f t="shared" si="74"/>
        <v>-3109.1724571071281</v>
      </c>
      <c r="AJ90" s="42">
        <f>'[1]побудинковий звіт'!AJ90+'[2]побудинковий звіт'!AJ90-'[3]побудинковий звіт'!AJ90</f>
        <v>0</v>
      </c>
      <c r="AK90" s="42">
        <f>'[1]побудинковий звіт'!AK90+'[2]побудинковий звіт'!AK90-'[3]побудинковий звіт'!AK90</f>
        <v>0</v>
      </c>
      <c r="AL90" s="56">
        <f t="shared" si="75"/>
        <v>0</v>
      </c>
      <c r="AM90" s="42">
        <f>'[1]побудинковий звіт'!AM90+'[2]побудинковий звіт'!AM90-'[3]побудинковий звіт'!AM90</f>
        <v>0</v>
      </c>
      <c r="AN90" s="42">
        <f>'[1]побудинковий звіт'!AN90+'[2]побудинковий звіт'!AN90-'[3]побудинковий звіт'!AN90</f>
        <v>0</v>
      </c>
      <c r="AO90" s="56">
        <f t="shared" si="76"/>
        <v>0</v>
      </c>
      <c r="AP90" s="42">
        <f>'[1]побудинковий звіт'!AP90+'[2]побудинковий звіт'!AP90-'[3]побудинковий звіт'!AP90</f>
        <v>5398.0005644938037</v>
      </c>
      <c r="AQ90" s="42">
        <f>'[1]побудинковий звіт'!AQ90+'[2]побудинковий звіт'!AQ90-'[3]побудинковий звіт'!AQ90</f>
        <v>5136.0967496547455</v>
      </c>
      <c r="AR90" s="56">
        <f t="shared" si="77"/>
        <v>-261.90381483905821</v>
      </c>
      <c r="AS90" s="42">
        <f>'[1]побудинковий звіт'!AS90+'[2]побудинковий звіт'!AS90-'[3]побудинковий звіт'!AS90</f>
        <v>16374.618438972886</v>
      </c>
      <c r="AT90" s="42">
        <f>'[1]побудинковий звіт'!AT90+'[2]побудинковий звіт'!AT90-'[3]побудинковий звіт'!AT90</f>
        <v>4131.7955480287228</v>
      </c>
      <c r="AU90" s="58">
        <f t="shared" si="78"/>
        <v>-12242.822890944164</v>
      </c>
      <c r="AV90" s="42">
        <f>'[1]побудинковий звіт'!AV90+'[2]побудинковий звіт'!AV90-'[3]побудинковий звіт'!AV90</f>
        <v>1116.3125366109275</v>
      </c>
      <c r="AW90" s="42">
        <f>'[1]побудинковий звіт'!AW90+'[2]побудинковий звіт'!AW90-'[3]побудинковий звіт'!AW90</f>
        <v>0</v>
      </c>
      <c r="AX90" s="59">
        <f t="shared" si="79"/>
        <v>-1116.3125366109275</v>
      </c>
      <c r="AY90" s="42">
        <f>'[1]побудинковий звіт'!AY90+'[2]побудинковий звіт'!AY90-'[3]побудинковий звіт'!AY90</f>
        <v>1509.1512198166342</v>
      </c>
      <c r="AZ90" s="42">
        <f>'[1]побудинковий звіт'!AZ90+'[2]побудинковий звіт'!AZ90-'[3]побудинковий звіт'!AZ90</f>
        <v>0</v>
      </c>
      <c r="BA90" s="37">
        <f t="shared" si="80"/>
        <v>-1509.1512198166342</v>
      </c>
      <c r="BB90" s="42">
        <f>'[1]побудинковий звіт'!BB90+'[2]побудинковий звіт'!BB90-'[3]побудинковий звіт'!BB90</f>
        <v>451.77413353083614</v>
      </c>
      <c r="BC90" s="42">
        <f>'[1]побудинковий звіт'!BC90+'[2]побудинковий звіт'!BC90-'[3]побудинковий звіт'!BC90</f>
        <v>0</v>
      </c>
      <c r="BD90" s="59">
        <f t="shared" si="81"/>
        <v>-451.77413353083614</v>
      </c>
      <c r="BE90" s="42">
        <f>'[1]побудинковий звіт'!BE90+'[2]побудинковий звіт'!BE90-'[3]побудинковий звіт'!BE90</f>
        <v>0</v>
      </c>
      <c r="BF90" s="42">
        <f>'[1]побудинковий звіт'!BF90+'[2]побудинковий звіт'!BF90-'[3]побудинковий звіт'!BF90</f>
        <v>0</v>
      </c>
      <c r="BG90" s="39">
        <f t="shared" si="82"/>
        <v>0</v>
      </c>
      <c r="BH90" s="42">
        <f>'[1]побудинковий звіт'!BH90+'[2]побудинковий звіт'!BH90-'[3]побудинковий звіт'!BH90</f>
        <v>0</v>
      </c>
      <c r="BI90" s="42">
        <f>'[1]побудинковий звіт'!BI90+'[2]побудинковий звіт'!BI90-'[3]побудинковий звіт'!BI90</f>
        <v>1126</v>
      </c>
      <c r="BJ90" s="59">
        <f t="shared" si="83"/>
        <v>1126</v>
      </c>
      <c r="BK90" s="42">
        <f>'[1]побудинковий звіт'!BK90+'[2]побудинковий звіт'!BK90-'[3]побудинковий звіт'!BK90</f>
        <v>421.07272522121127</v>
      </c>
      <c r="BL90" s="42">
        <f>'[1]побудинковий звіт'!BL90+'[2]побудинковий звіт'!BL90-'[3]побудинковий звіт'!BL90</f>
        <v>1265</v>
      </c>
      <c r="BM90" s="39">
        <f t="shared" si="84"/>
        <v>843.92727477878873</v>
      </c>
      <c r="BN90" s="42">
        <f>'[1]побудинковий звіт'!BN90+'[2]побудинковий звіт'!BN90-'[3]побудинковий звіт'!BN90</f>
        <v>473.28042335629442</v>
      </c>
      <c r="BO90" s="42">
        <f>'[1]побудинковий звіт'!BO90+'[2]побудинковий звіт'!BO90-'[3]побудинковий звіт'!BO90</f>
        <v>0</v>
      </c>
      <c r="BP90" s="59">
        <f t="shared" si="85"/>
        <v>-473.28042335629442</v>
      </c>
      <c r="BQ90" s="87">
        <f t="shared" si="113"/>
        <v>3971.5910385359034</v>
      </c>
      <c r="BR90" s="43">
        <f t="shared" si="114"/>
        <v>2391</v>
      </c>
      <c r="BS90" s="59">
        <f t="shared" si="86"/>
        <v>-1580.5910385359034</v>
      </c>
      <c r="BT90" s="42">
        <f>'[1]побудинковий звіт'!BT90+'[2]побудинковий звіт'!BT90-'[3]побудинковий звіт'!BT90</f>
        <v>17113.900350082036</v>
      </c>
      <c r="BU90" s="42">
        <f>'[1]побудинковий звіт'!BU90+'[2]побудинковий звіт'!BU90-'[3]побудинковий звіт'!BU90</f>
        <v>25746.37507885438</v>
      </c>
      <c r="BV90" s="56">
        <f t="shared" si="87"/>
        <v>8632.474728772344</v>
      </c>
      <c r="BW90" s="42">
        <f>'[1]побудинковий звіт'!BW90+'[2]побудинковий звіт'!BW90-'[3]побудинковий звіт'!BW90</f>
        <v>8123.4741566302491</v>
      </c>
      <c r="BX90" s="42">
        <f>'[1]побудинковий звіт'!BX90+'[2]побудинковий звіт'!BX90-'[3]побудинковий звіт'!BX90</f>
        <v>8638.0284223372564</v>
      </c>
      <c r="BY90" s="56">
        <f t="shared" si="88"/>
        <v>514.55426570700729</v>
      </c>
      <c r="BZ90" s="42">
        <f>'[1]побудинковий звіт'!BZ90+'[2]побудинковий звіт'!BZ90-'[3]побудинковий звіт'!BZ90</f>
        <v>8964.0079596444029</v>
      </c>
      <c r="CA90" s="42">
        <f>'[1]побудинковий звіт'!CA90+'[2]побудинковий звіт'!CA90-'[3]побудинковий звіт'!CA90</f>
        <v>6171.9422830673593</v>
      </c>
      <c r="CB90" s="56">
        <f t="shared" si="89"/>
        <v>-2792.0656765770436</v>
      </c>
      <c r="CC90" s="42">
        <f>'[1]побудинковий звіт'!CC90+'[2]побудинковий звіт'!CC90-'[3]побудинковий звіт'!CC90</f>
        <v>700.03544162698608</v>
      </c>
      <c r="CD90" s="42">
        <f>'[1]побудинковий звіт'!CD90+'[2]побудинковий звіт'!CD90-'[3]побудинковий звіт'!CD90</f>
        <v>693.87843200351597</v>
      </c>
      <c r="CE90" s="56">
        <f t="shared" si="90"/>
        <v>-6.1570096234701168</v>
      </c>
      <c r="CF90" s="42">
        <f>'[1]побудинковий звіт'!CF90+'[2]побудинковий звіт'!CF90-'[3]побудинковий звіт'!CF90</f>
        <v>86.178605503322117</v>
      </c>
      <c r="CG90" s="42">
        <f>'[1]побудинковий звіт'!CG90+'[2]побудинковий звіт'!CG90-'[3]побудинковий звіт'!CG90</f>
        <v>0</v>
      </c>
      <c r="CH90" s="56">
        <f t="shared" si="91"/>
        <v>-86.178605503322117</v>
      </c>
      <c r="CI90" s="42">
        <f>'[1]побудинковий звіт'!CI90+'[2]побудинковий звіт'!CI90-'[3]побудинковий звіт'!CI90</f>
        <v>1703.2947911244837</v>
      </c>
      <c r="CJ90" s="42">
        <f>'[1]побудинковий звіт'!CJ90+'[2]побудинковий звіт'!CJ90-'[3]побудинковий звіт'!CJ90</f>
        <v>1341.2221946989594</v>
      </c>
      <c r="CK90" s="56">
        <f t="shared" si="92"/>
        <v>-362.07259642552435</v>
      </c>
      <c r="CL90" s="42">
        <f>'[1]побудинковий звіт'!CL90+'[2]побудинковий звіт'!CL90-'[3]побудинковий звіт'!CL90</f>
        <v>0</v>
      </c>
      <c r="CM90" s="42">
        <f>'[1]побудинковий звіт'!CM90+'[2]побудинковий звіт'!CM90-'[3]побудинковий звіт'!CM90</f>
        <v>0</v>
      </c>
      <c r="CN90" s="56">
        <f t="shared" si="93"/>
        <v>0</v>
      </c>
      <c r="CO90" s="42">
        <f t="shared" si="64"/>
        <v>1703.2947911244837</v>
      </c>
      <c r="CP90" s="43">
        <f t="shared" si="94"/>
        <v>1341.2221946989594</v>
      </c>
      <c r="CQ90" s="56">
        <f t="shared" si="95"/>
        <v>-362.07259642552435</v>
      </c>
      <c r="CR90" s="78">
        <f t="shared" si="65"/>
        <v>83888.147237224141</v>
      </c>
      <c r="CS90" s="5">
        <f t="shared" si="65"/>
        <v>72594.212142147895</v>
      </c>
      <c r="CT90" s="56">
        <f t="shared" si="96"/>
        <v>-11293.935095076245</v>
      </c>
      <c r="CU90" s="87">
        <f t="shared" si="97"/>
        <v>100665.77668466896</v>
      </c>
      <c r="CV90" s="70">
        <f t="shared" si="98"/>
        <v>87113.054570577471</v>
      </c>
      <c r="CW90" s="37">
        <f t="shared" si="99"/>
        <v>-13552.722114091492</v>
      </c>
      <c r="CX90" s="42">
        <f>'[1]побудинковий звіт'!CX90+'[2]побудинковий звіт'!CX90-'[3]побудинковий звіт'!CX90</f>
        <v>2024.7233153310153</v>
      </c>
      <c r="CY90" s="42">
        <f>'[1]побудинковий звіт'!CY90+'[2]побудинковий звіт'!CY90-'[3]побудинковий звіт'!CY90</f>
        <v>15577.445429422529</v>
      </c>
      <c r="CZ90" s="56">
        <f t="shared" si="100"/>
        <v>13552.722114091514</v>
      </c>
      <c r="DA90" s="264">
        <f>'[4]побудинковий звіт'!DA90</f>
        <v>45324.016641158807</v>
      </c>
      <c r="DB90" s="2">
        <v>1</v>
      </c>
      <c r="DC90" s="717">
        <f>'[4]побудинковий звіт'!DC90</f>
        <v>17308.86</v>
      </c>
      <c r="DD90" s="717">
        <f>'[4]побудинковий звіт'!DD90</f>
        <v>732.48</v>
      </c>
      <c r="DE90" s="717">
        <f>'[4]побудинковий звіт'!DE90</f>
        <v>9233.7800000000007</v>
      </c>
      <c r="DF90" s="717">
        <f>'[4]побудинковий звіт'!DF90</f>
        <v>250.26</v>
      </c>
      <c r="DG90" s="787">
        <v>67402.160588333238</v>
      </c>
      <c r="DH90" s="761">
        <f t="shared" si="109"/>
        <v>1232285.9999999995</v>
      </c>
      <c r="DI90" s="784"/>
      <c r="DJ90" s="5"/>
      <c r="DK90" s="317">
        <f>VLOOKUP($A90,ціни!$A$4:$G$401,5)</f>
        <v>4.5347119380148131</v>
      </c>
      <c r="DL90" s="317"/>
      <c r="DM90" s="317">
        <f>VLOOKUP($A90,ціни!$A$4:$G$401,7)</f>
        <v>4.0693585040154279</v>
      </c>
      <c r="DN90" s="30">
        <f>F90*DK90</f>
        <v>1113.7252519764381</v>
      </c>
      <c r="DO90" s="30">
        <f>H90*DM90</f>
        <v>482.2189827258282</v>
      </c>
      <c r="DP90" s="316">
        <f t="shared" si="101"/>
        <v>1595.9442347022664</v>
      </c>
      <c r="DQ90" s="104"/>
      <c r="DR90" s="30">
        <f>VLOOKUP(A90,'ДЗ нас '!$A$1:$C$359,2)</f>
        <v>8075.08</v>
      </c>
      <c r="DS90" s="748">
        <f>VLOOKUP(A90,'ДЗ нежит'!$A$1:$D$153,4,0)</f>
        <v>482.22</v>
      </c>
      <c r="DT90" s="30">
        <f t="shared" si="102"/>
        <v>8557.2999999999993</v>
      </c>
      <c r="DU90" s="257">
        <f>VLOOKUP(A90,'новий кошторис с 01.06'!$A$4:$AI$399,35)*1.2</f>
        <v>8590.1462770917533</v>
      </c>
      <c r="DV90" s="30">
        <f t="shared" si="103"/>
        <v>-32.846277091754018</v>
      </c>
      <c r="DW90" s="930">
        <f>'[5]побудинковий звіт'!DW90+'[6]побудинковий звіт'!DW90</f>
        <v>204</v>
      </c>
      <c r="DY90" s="5">
        <f t="shared" si="104"/>
        <v>24415.451373010546</v>
      </c>
      <c r="DZ90" s="5">
        <f t="shared" si="105"/>
        <v>7827.354657634467</v>
      </c>
      <c r="EA90" s="752">
        <f t="shared" si="110"/>
        <v>9484.0400000000009</v>
      </c>
      <c r="EC90" s="592">
        <f t="shared" si="106"/>
        <v>196495.42126767462</v>
      </c>
      <c r="EE90" s="758">
        <v>-16830</v>
      </c>
      <c r="EF90" s="738">
        <f t="shared" si="107"/>
        <v>50572.160588333238</v>
      </c>
      <c r="EH90" s="813">
        <v>59070.330779422286</v>
      </c>
    </row>
    <row r="91" spans="1:138" x14ac:dyDescent="0.3">
      <c r="A91" s="328">
        <v>150000594</v>
      </c>
      <c r="B91" s="44" t="s">
        <v>541</v>
      </c>
      <c r="C91" s="45" t="s">
        <v>354</v>
      </c>
      <c r="D91" s="45" t="s">
        <v>354</v>
      </c>
      <c r="E91" s="40">
        <f t="shared" si="108"/>
        <v>431.8</v>
      </c>
      <c r="F91" s="490">
        <v>282.8</v>
      </c>
      <c r="G91" s="30">
        <v>1004.05</v>
      </c>
      <c r="H91" s="30">
        <v>149</v>
      </c>
      <c r="I91" s="42">
        <f>'[1]побудинковий звіт'!I91+'[2]побудинковий звіт'!I91-'[3]побудинковий звіт'!I91</f>
        <v>24493.942823446472</v>
      </c>
      <c r="J91" s="42">
        <f>'[1]побудинковий звіт'!J91+'[2]побудинковий звіт'!J91-'[3]побудинковий звіт'!J91</f>
        <v>20957.535897473583</v>
      </c>
      <c r="K91" s="56">
        <f t="shared" si="66"/>
        <v>-3536.4069259728894</v>
      </c>
      <c r="L91" s="42">
        <f>'[1]побудинковий звіт'!L91+'[2]побудинковий звіт'!L91-'[3]побудинковий звіт'!L91</f>
        <v>4120.6583522147148</v>
      </c>
      <c r="M91" s="42">
        <f>'[1]побудинковий звіт'!M91+'[2]побудинковий звіт'!M91-'[3]побудинковий звіт'!M91</f>
        <v>3875.7474962910374</v>
      </c>
      <c r="N91" s="56">
        <f t="shared" si="67"/>
        <v>-244.91085592367745</v>
      </c>
      <c r="O91" s="42">
        <f>'[1]побудинковий звіт'!O91+'[2]побудинковий звіт'!O91-'[3]побудинковий звіт'!O91</f>
        <v>14058.96</v>
      </c>
      <c r="P91" s="42">
        <f>'[1]побудинковий звіт'!P91+'[2]побудинковий звіт'!P91-'[3]побудинковий звіт'!P91</f>
        <v>11050.639315188175</v>
      </c>
      <c r="Q91" s="56">
        <f t="shared" si="68"/>
        <v>-3008.3206848118243</v>
      </c>
      <c r="R91" s="42">
        <f>'[1]побудинковий звіт'!R91+'[2]побудинковий звіт'!R91-'[3]побудинковий звіт'!R91</f>
        <v>2996.6399999999994</v>
      </c>
      <c r="S91" s="42">
        <f>'[1]побудинковий звіт'!S91+'[2]побудинковий звіт'!S91-'[3]побудинковий звіт'!S91</f>
        <v>2355.5047829301075</v>
      </c>
      <c r="T91" s="56">
        <f t="shared" si="69"/>
        <v>-641.13521706989195</v>
      </c>
      <c r="U91" s="42">
        <f>'[1]побудинковий звіт'!U91+'[2]побудинковий звіт'!U91-'[3]побудинковий звіт'!U91</f>
        <v>4609.9343917566339</v>
      </c>
      <c r="V91" s="42">
        <f>'[1]побудинковий звіт'!V91+'[2]побудинковий звіт'!V91-'[3]побудинковий звіт'!V91</f>
        <v>1695.1974235001567</v>
      </c>
      <c r="W91" s="56">
        <f t="shared" si="70"/>
        <v>-2914.7369682564772</v>
      </c>
      <c r="X91" s="42">
        <f>'[1]побудинковий звіт'!X91+'[2]побудинковий звіт'!X91-'[3]побудинковий звіт'!X91</f>
        <v>21643.061635458136</v>
      </c>
      <c r="Y91" s="42">
        <f>'[1]побудинковий звіт'!Y91+'[2]побудинковий звіт'!Y91-'[3]побудинковий звіт'!Y91</f>
        <v>15407.361952296436</v>
      </c>
      <c r="Z91" s="56">
        <f t="shared" si="71"/>
        <v>-6235.6996831616998</v>
      </c>
      <c r="AA91" s="42">
        <f>'[1]побудинковий звіт'!AA91+'[2]побудинковий звіт'!AA91-'[3]побудинковий звіт'!AA91</f>
        <v>0</v>
      </c>
      <c r="AB91" s="42">
        <f>'[1]побудинковий звіт'!AB91+'[2]побудинковий звіт'!AB91-'[3]побудинковий звіт'!AB91</f>
        <v>0</v>
      </c>
      <c r="AC91" s="56">
        <f t="shared" si="72"/>
        <v>0</v>
      </c>
      <c r="AD91" s="42">
        <f>'[1]побудинковий звіт'!AD91+'[2]побудинковий звіт'!AD91-'[3]побудинковий звіт'!AD91</f>
        <v>39669.668424030329</v>
      </c>
      <c r="AE91" s="42">
        <f>'[1]побудинковий звіт'!AE91+'[2]побудинковий звіт'!AE91-'[3]побудинковий звіт'!AE91</f>
        <v>36696.185892192203</v>
      </c>
      <c r="AF91" s="37">
        <f t="shared" si="73"/>
        <v>-2973.4825318381263</v>
      </c>
      <c r="AG91" s="87">
        <f t="shared" si="61"/>
        <v>111592.86562690629</v>
      </c>
      <c r="AH91" s="57">
        <f t="shared" si="61"/>
        <v>92038.172759871697</v>
      </c>
      <c r="AI91" s="56">
        <f t="shared" si="74"/>
        <v>-19554.692867034595</v>
      </c>
      <c r="AJ91" s="42">
        <f>'[1]побудинковий звіт'!AJ91+'[2]побудинковий звіт'!AJ91-'[3]побудинковий звіт'!AJ91</f>
        <v>91704.241763309925</v>
      </c>
      <c r="AK91" s="42">
        <f>'[1]побудинковий звіт'!AK91+'[2]побудинковий звіт'!AK91-'[3]побудинковий звіт'!AK91</f>
        <v>90126.255654380497</v>
      </c>
      <c r="AL91" s="56">
        <f t="shared" si="75"/>
        <v>-1577.9861089294282</v>
      </c>
      <c r="AM91" s="42">
        <f>'[1]побудинковий звіт'!AM91+'[2]побудинковий звіт'!AM91-'[3]побудинковий звіт'!AM91</f>
        <v>0</v>
      </c>
      <c r="AN91" s="42">
        <f>'[1]побудинковий звіт'!AN91+'[2]побудинковий звіт'!AN91-'[3]побудинковий звіт'!AN91</f>
        <v>3129.4545047654942</v>
      </c>
      <c r="AO91" s="56">
        <f t="shared" si="76"/>
        <v>3129.4545047654942</v>
      </c>
      <c r="AP91" s="42">
        <f>'[1]побудинковий звіт'!AP91+'[2]побудинковий звіт'!AP91-'[3]побудинковий звіт'!AP91</f>
        <v>6865.8779109789602</v>
      </c>
      <c r="AQ91" s="42">
        <f>'[1]побудинковий звіт'!AQ91+'[2]побудинковий звіт'!AQ91-'[3]побудинковий звіт'!AQ91</f>
        <v>6795.7381115799672</v>
      </c>
      <c r="AR91" s="56">
        <f t="shared" si="77"/>
        <v>-70.139799398993091</v>
      </c>
      <c r="AS91" s="42">
        <f>'[1]побудинковий звіт'!AS91+'[2]побудинковий звіт'!AS91-'[3]побудинковий звіт'!AS91</f>
        <v>165423.99935328498</v>
      </c>
      <c r="AT91" s="42">
        <f>'[1]побудинковий звіт'!AT91+'[2]побудинковий звіт'!AT91-'[3]побудинковий звіт'!AT91</f>
        <v>28524</v>
      </c>
      <c r="AU91" s="58">
        <f t="shared" si="78"/>
        <v>-136899.99935328498</v>
      </c>
      <c r="AV91" s="42">
        <f>'[1]побудинковий звіт'!AV91+'[2]побудинковий звіт'!AV91-'[3]побудинковий звіт'!AV91</f>
        <v>804.8211182955481</v>
      </c>
      <c r="AW91" s="42">
        <f>'[1]побудинковий звіт'!AW91+'[2]побудинковий звіт'!AW91-'[3]побудинковий звіт'!AW91</f>
        <v>0</v>
      </c>
      <c r="AX91" s="59">
        <f t="shared" si="79"/>
        <v>-804.8211182955481</v>
      </c>
      <c r="AY91" s="42">
        <f>'[1]побудинковий звіт'!AY91+'[2]побудинковий звіт'!AY91-'[3]побудинковий звіт'!AY91</f>
        <v>1098.9157016247339</v>
      </c>
      <c r="AZ91" s="42">
        <f>'[1]побудинковий звіт'!AZ91+'[2]побудинковий звіт'!AZ91-'[3]побудинковий звіт'!AZ91</f>
        <v>10031.516163137878</v>
      </c>
      <c r="BA91" s="37">
        <f t="shared" si="80"/>
        <v>8932.6004615131442</v>
      </c>
      <c r="BB91" s="42">
        <f>'[1]побудинковий звіт'!BB91+'[2]побудинковий звіт'!BB91-'[3]побудинковий звіт'!BB91</f>
        <v>1276.7204083081631</v>
      </c>
      <c r="BC91" s="42">
        <f>'[1]побудинковий звіт'!BC91+'[2]побудинковий звіт'!BC91-'[3]побудинковий звіт'!BC91</f>
        <v>0</v>
      </c>
      <c r="BD91" s="59">
        <f t="shared" si="81"/>
        <v>-1276.7204083081631</v>
      </c>
      <c r="BE91" s="42">
        <f>'[1]побудинковий звіт'!BE91+'[2]побудинковий звіт'!BE91-'[3]побудинковий звіт'!BE91</f>
        <v>544.4228685805025</v>
      </c>
      <c r="BF91" s="42">
        <f>'[1]побудинковий звіт'!BF91+'[2]побудинковий звіт'!BF91-'[3]побудинковий звіт'!BF91</f>
        <v>0</v>
      </c>
      <c r="BG91" s="39">
        <f t="shared" si="82"/>
        <v>-544.4228685805025</v>
      </c>
      <c r="BH91" s="42">
        <f>'[1]побудинковий звіт'!BH91+'[2]побудинковий звіт'!BH91-'[3]побудинковий звіт'!BH91</f>
        <v>935.41294708918645</v>
      </c>
      <c r="BI91" s="42">
        <f>'[1]побудинковий звіт'!BI91+'[2]побудинковий звіт'!BI91-'[3]побудинковий звіт'!BI91</f>
        <v>1292</v>
      </c>
      <c r="BJ91" s="59">
        <f t="shared" si="83"/>
        <v>356.58705291081355</v>
      </c>
      <c r="BK91" s="42">
        <f>'[1]побудинковий звіт'!BK91+'[2]побудинковий звіт'!BK91-'[3]побудинковий звіт'!BK91</f>
        <v>1071.2655317808997</v>
      </c>
      <c r="BL91" s="42">
        <f>'[1]побудинковий звіт'!BL91+'[2]побудинковий звіт'!BL91-'[3]побудинковий звіт'!BL91</f>
        <v>1347.2935906247985</v>
      </c>
      <c r="BM91" s="39">
        <f t="shared" si="84"/>
        <v>276.02805884389886</v>
      </c>
      <c r="BN91" s="42">
        <f>'[1]побудинковий звіт'!BN91+'[2]побудинковий звіт'!BN91-'[3]побудинковий звіт'!BN91</f>
        <v>1124.2953543713022</v>
      </c>
      <c r="BO91" s="42">
        <f>'[1]побудинковий звіт'!BO91+'[2]побудинковий звіт'!BO91-'[3]побудинковий звіт'!BO91</f>
        <v>0</v>
      </c>
      <c r="BP91" s="59">
        <f t="shared" si="85"/>
        <v>-1124.2953543713022</v>
      </c>
      <c r="BQ91" s="87">
        <f t="shared" si="113"/>
        <v>6855.8539300503353</v>
      </c>
      <c r="BR91" s="43">
        <f t="shared" si="114"/>
        <v>12670.809753762676</v>
      </c>
      <c r="BS91" s="59">
        <f t="shared" si="86"/>
        <v>5814.955823712341</v>
      </c>
      <c r="BT91" s="42">
        <f>'[1]побудинковий звіт'!BT91+'[2]побудинковий звіт'!BT91-'[3]побудинковий звіт'!BT91</f>
        <v>126285.78667843193</v>
      </c>
      <c r="BU91" s="42">
        <f>'[1]побудинковий звіт'!BU91+'[2]побудинковий звіт'!BU91-'[3]побудинковий звіт'!BU91</f>
        <v>125693.42506214473</v>
      </c>
      <c r="BV91" s="56">
        <f t="shared" si="87"/>
        <v>-592.36161628720583</v>
      </c>
      <c r="BW91" s="42">
        <f>'[1]побудинковий звіт'!BW91+'[2]побудинковий звіт'!BW91-'[3]побудинковий звіт'!BW91</f>
        <v>75969.805749560808</v>
      </c>
      <c r="BX91" s="42">
        <f>'[1]побудинковий звіт'!BX91+'[2]побудинковий звіт'!BX91-'[3]побудинковий звіт'!BX91</f>
        <v>71848.060851078073</v>
      </c>
      <c r="BY91" s="56">
        <f t="shared" si="88"/>
        <v>-4121.7448984827352</v>
      </c>
      <c r="BZ91" s="42">
        <f>'[1]побудинковий звіт'!BZ91+'[2]побудинковий звіт'!BZ91-'[3]побудинковий звіт'!BZ91</f>
        <v>15580.685426581298</v>
      </c>
      <c r="CA91" s="42">
        <f>'[1]побудинковий звіт'!CA91+'[2]побудинковий звіт'!CA91-'[3]побудинковий звіт'!CA91</f>
        <v>24366.959784213013</v>
      </c>
      <c r="CB91" s="56">
        <f t="shared" si="89"/>
        <v>8786.2743576317152</v>
      </c>
      <c r="CC91" s="42">
        <f>'[1]побудинковий звіт'!CC91+'[2]побудинковий звіт'!CC91-'[3]побудинковий звіт'!CC91</f>
        <v>2590.7193990968449</v>
      </c>
      <c r="CD91" s="42">
        <f>'[1]побудинковий звіт'!CD91+'[2]побудинковий звіт'!CD91-'[3]побудинковий звіт'!CD91</f>
        <v>2567.9332895323396</v>
      </c>
      <c r="CE91" s="56">
        <f t="shared" si="90"/>
        <v>-22.786109564505296</v>
      </c>
      <c r="CF91" s="42">
        <f>'[1]побудинковий звіт'!CF91+'[2]побудинковий звіт'!CF91-'[3]побудинковий звіт'!CF91</f>
        <v>318.93325935851317</v>
      </c>
      <c r="CG91" s="42">
        <f>'[1]побудинковий звіт'!CG91+'[2]побудинковий звіт'!CG91-'[3]побудинковий звіт'!CG91</f>
        <v>0</v>
      </c>
      <c r="CH91" s="56">
        <f t="shared" si="91"/>
        <v>-318.93325935851317</v>
      </c>
      <c r="CI91" s="42">
        <f>'[1]побудинковий звіт'!CI91+'[2]побудинковий звіт'!CI91-'[3]побудинковий звіт'!CI91</f>
        <v>35862.778239500134</v>
      </c>
      <c r="CJ91" s="42">
        <f>'[1]побудинковий звіт'!CJ91+'[2]побудинковий звіт'!CJ91-'[3]побудинковий звіт'!CJ91</f>
        <v>28812.433199195446</v>
      </c>
      <c r="CK91" s="56">
        <f t="shared" si="92"/>
        <v>-7050.3450403046882</v>
      </c>
      <c r="CL91" s="42">
        <f>'[1]побудинковий звіт'!CL91+'[2]побудинковий звіт'!CL91-'[3]побудинковий звіт'!CL91</f>
        <v>14524.799537501098</v>
      </c>
      <c r="CM91" s="42">
        <f>'[1]побудинковий звіт'!CM91+'[2]побудинковий звіт'!CM91-'[3]побудинковий звіт'!CM91</f>
        <v>16529.913101450704</v>
      </c>
      <c r="CN91" s="56">
        <f t="shared" si="93"/>
        <v>2005.113563949606</v>
      </c>
      <c r="CO91" s="42">
        <f t="shared" si="64"/>
        <v>50387.577777001236</v>
      </c>
      <c r="CP91" s="43">
        <f t="shared" si="94"/>
        <v>45342.346300646153</v>
      </c>
      <c r="CQ91" s="56">
        <f t="shared" si="95"/>
        <v>-5045.2314763550821</v>
      </c>
      <c r="CR91" s="78">
        <f t="shared" si="65"/>
        <v>653576.34687456104</v>
      </c>
      <c r="CS91" s="5">
        <f t="shared" si="65"/>
        <v>503103.15607197455</v>
      </c>
      <c r="CT91" s="56">
        <f t="shared" si="96"/>
        <v>-150473.1908025865</v>
      </c>
      <c r="CU91" s="87">
        <f t="shared" si="97"/>
        <v>784291.61624947318</v>
      </c>
      <c r="CV91" s="70">
        <f t="shared" si="98"/>
        <v>603723.78728636948</v>
      </c>
      <c r="CW91" s="37">
        <f t="shared" si="99"/>
        <v>-180567.8289631037</v>
      </c>
      <c r="CX91" s="42">
        <f>'[1]побудинковий звіт'!CX91+'[2]побудинковий звіт'!CX91-'[3]побудинковий звіт'!CX91</f>
        <v>22760.883750526918</v>
      </c>
      <c r="CY91" s="42">
        <f>'[1]побудинковий звіт'!CY91+'[2]побудинковий звіт'!CY91-'[3]побудинковий звіт'!CY91</f>
        <v>203328.71271363058</v>
      </c>
      <c r="CZ91" s="56">
        <f t="shared" si="100"/>
        <v>180567.82896310365</v>
      </c>
      <c r="DA91" s="264">
        <f>'[4]побудинковий звіт'!DA91</f>
        <v>-37444.844383878692</v>
      </c>
      <c r="DB91" s="2">
        <v>1</v>
      </c>
      <c r="DC91" s="717">
        <f>'[4]побудинковий звіт'!DC91</f>
        <v>121476.77</v>
      </c>
      <c r="DD91" s="717">
        <f>'[4]побудинковий звіт'!DD91</f>
        <v>14788.84</v>
      </c>
      <c r="DE91" s="717">
        <f>'[4]побудинковий звіт'!DE91</f>
        <v>54984.31</v>
      </c>
      <c r="DF91" s="717">
        <f>'[4]побудинковий звіт'!DF91</f>
        <v>14012.880000000001</v>
      </c>
      <c r="DG91" s="787">
        <v>-45685.936096366029</v>
      </c>
      <c r="DH91" s="761">
        <f t="shared" si="109"/>
        <v>9684630.0000000019</v>
      </c>
      <c r="DI91" s="784"/>
      <c r="DJ91" s="5"/>
      <c r="DK91" s="317">
        <f>VLOOKUP($A91,ціни!$A$4:$G$401,5)</f>
        <v>6.0576674010013409</v>
      </c>
      <c r="DL91" s="317">
        <f>VLOOKUP($A91,ціни!$A$4:$G$401,6)</f>
        <v>7.3922848837902277</v>
      </c>
      <c r="DM91" s="317">
        <f>VLOOKUP($A91,ціни!$A$4:$G$401,7)</f>
        <v>5.2078051804044563</v>
      </c>
      <c r="DN91" s="30">
        <f t="shared" ref="DN91:DN96" si="115">DK91*G91+(F91-G91)*DL91</f>
        <v>750.5154815416945</v>
      </c>
      <c r="DO91" s="30">
        <f t="shared" ref="DO91:DO96" si="116">DM91*H91</f>
        <v>775.96297188026404</v>
      </c>
      <c r="DP91" s="316">
        <f t="shared" si="101"/>
        <v>1526.4784534219584</v>
      </c>
      <c r="DQ91" s="104"/>
      <c r="DR91" s="30">
        <f>VLOOKUP(A91,'ДЗ нас '!$A$1:$C$359,2)</f>
        <v>66492.460000000006</v>
      </c>
      <c r="DS91" s="748">
        <f>VLOOKUP(A91,'ДЗ нежит'!$A$1:$D$153,4,0)</f>
        <v>775.96</v>
      </c>
      <c r="DT91" s="30">
        <f t="shared" si="102"/>
        <v>67268.420000000013</v>
      </c>
      <c r="DU91" s="257">
        <f>VLOOKUP(A91,'новий кошторис с 01.06'!$A$4:$AI$399,35)*1.2</f>
        <v>67318.36372807977</v>
      </c>
      <c r="DV91" s="30">
        <f t="shared" si="103"/>
        <v>-49.94372807975742</v>
      </c>
      <c r="DW91" s="930">
        <f>'[5]побудинковий звіт'!DW91+'[6]побудинковий звіт'!DW91</f>
        <v>276</v>
      </c>
      <c r="DY91" s="5">
        <f t="shared" si="104"/>
        <v>206735.82394000236</v>
      </c>
      <c r="DZ91" s="5">
        <f t="shared" si="105"/>
        <v>49433.771704515209</v>
      </c>
      <c r="EA91" s="752">
        <f t="shared" si="110"/>
        <v>68997.19</v>
      </c>
      <c r="EC91" s="592">
        <f t="shared" si="106"/>
        <v>1985087.9922394198</v>
      </c>
      <c r="EE91" s="758">
        <v>49447</v>
      </c>
      <c r="EF91" s="738">
        <f t="shared" si="107"/>
        <v>3761.0639036339708</v>
      </c>
      <c r="EH91" s="813">
        <v>138868.19945364766</v>
      </c>
    </row>
    <row r="92" spans="1:138" x14ac:dyDescent="0.3">
      <c r="A92" s="328">
        <v>150000627</v>
      </c>
      <c r="B92" s="44" t="s">
        <v>542</v>
      </c>
      <c r="C92" s="45" t="s">
        <v>355</v>
      </c>
      <c r="D92" s="45" t="s">
        <v>355</v>
      </c>
      <c r="E92" s="40">
        <f t="shared" si="108"/>
        <v>234.89999999999998</v>
      </c>
      <c r="F92" s="490">
        <v>171.6</v>
      </c>
      <c r="G92" s="30">
        <v>340.25</v>
      </c>
      <c r="H92" s="30">
        <v>63.3</v>
      </c>
      <c r="I92" s="42">
        <f>'[1]побудинковий звіт'!I92+'[2]побудинковий звіт'!I92-'[3]побудинковий звіт'!I92</f>
        <v>9908.6369958998748</v>
      </c>
      <c r="J92" s="42">
        <f>'[1]побудинковий звіт'!J92+'[2]побудинковий звіт'!J92-'[3]побудинковий звіт'!J92</f>
        <v>8473.3854767781522</v>
      </c>
      <c r="K92" s="56">
        <f t="shared" si="66"/>
        <v>-1435.2515191217226</v>
      </c>
      <c r="L92" s="42">
        <f>'[1]побудинковий звіт'!L92+'[2]побудинковий звіт'!L92-'[3]побудинковий звіт'!L92</f>
        <v>1983.4299643183608</v>
      </c>
      <c r="M92" s="42">
        <f>'[1]побудинковий звіт'!M92+'[2]побудинковий звіт'!M92-'[3]побудинковий звіт'!M92</f>
        <v>1866.9606339508214</v>
      </c>
      <c r="N92" s="56">
        <f t="shared" si="67"/>
        <v>-116.46933036753944</v>
      </c>
      <c r="O92" s="42">
        <f>'[1]побудинковий звіт'!O92+'[2]побудинковий звіт'!O92-'[3]побудинковий звіт'!O92</f>
        <v>6306.7199999999975</v>
      </c>
      <c r="P92" s="42">
        <f>'[1]побудинковий звіт'!P92+'[2]побудинковий звіт'!P92-'[3]побудинковий звіт'!P92</f>
        <v>4957.3873935483871</v>
      </c>
      <c r="Q92" s="56">
        <f t="shared" si="68"/>
        <v>-1349.3326064516104</v>
      </c>
      <c r="R92" s="42">
        <f>'[1]побудинковий звіт'!R92+'[2]побудинковий звіт'!R92-'[3]побудинковий звіт'!R92</f>
        <v>1154.5200000000002</v>
      </c>
      <c r="S92" s="42">
        <f>'[1]побудинковий звіт'!S92+'[2]побудинковий звіт'!S92-'[3]побудинковий звіт'!S92</f>
        <v>907.64542021505395</v>
      </c>
      <c r="T92" s="56">
        <f t="shared" si="69"/>
        <v>-246.87457978494626</v>
      </c>
      <c r="U92" s="42">
        <f>'[1]побудинковий звіт'!U92+'[2]побудинковий звіт'!U92-'[3]побудинковий звіт'!U92</f>
        <v>780.05784393801946</v>
      </c>
      <c r="V92" s="42">
        <f>'[1]побудинковий звіт'!V92+'[2]побудинковий звіт'!V92-'[3]побудинковий звіт'!V92</f>
        <v>316.51811366673132</v>
      </c>
      <c r="W92" s="56">
        <f t="shared" si="70"/>
        <v>-463.53973027128814</v>
      </c>
      <c r="X92" s="42">
        <f>'[1]побудинковий звіт'!X92+'[2]побудинковий звіт'!X92-'[3]побудинковий звіт'!X92</f>
        <v>8051.2576600349112</v>
      </c>
      <c r="Y92" s="42">
        <f>'[1]побудинковий звіт'!Y92+'[2]побудинковий звіт'!Y92-'[3]побудинковий звіт'!Y92</f>
        <v>8688.5444704793081</v>
      </c>
      <c r="Z92" s="56">
        <f t="shared" si="71"/>
        <v>637.28681044439691</v>
      </c>
      <c r="AA92" s="42">
        <f>'[1]побудинковий звіт'!AA92+'[2]побудинковий звіт'!AA92-'[3]побудинковий звіт'!AA92</f>
        <v>0</v>
      </c>
      <c r="AB92" s="42">
        <f>'[1]побудинковий звіт'!AB92+'[2]побудинковий звіт'!AB92-'[3]побудинковий звіт'!AB92</f>
        <v>0</v>
      </c>
      <c r="AC92" s="56">
        <f t="shared" si="72"/>
        <v>0</v>
      </c>
      <c r="AD92" s="42">
        <f>'[1]побудинковий звіт'!AD92+'[2]побудинковий звіт'!AD92-'[3]побудинковий звіт'!AD92</f>
        <v>16151.312241948226</v>
      </c>
      <c r="AE92" s="42">
        <f>'[1]побудинковий звіт'!AE92+'[2]побудинковий звіт'!AE92-'[3]побудинковий звіт'!AE92</f>
        <v>14886.573992971724</v>
      </c>
      <c r="AF92" s="37">
        <f t="shared" si="73"/>
        <v>-1264.7382489765023</v>
      </c>
      <c r="AG92" s="87">
        <f t="shared" si="61"/>
        <v>44335.934706139386</v>
      </c>
      <c r="AH92" s="57">
        <f t="shared" si="61"/>
        <v>40097.015501610178</v>
      </c>
      <c r="AI92" s="56">
        <f t="shared" si="74"/>
        <v>-4238.9192045292075</v>
      </c>
      <c r="AJ92" s="42">
        <f>'[1]побудинковий звіт'!AJ92+'[2]побудинковий звіт'!AJ92-'[3]побудинковий звіт'!AJ92</f>
        <v>57609.066383578771</v>
      </c>
      <c r="AK92" s="42">
        <f>'[1]побудинковий звіт'!AK92+'[2]побудинковий звіт'!AK92-'[3]побудинковий звіт'!AK92</f>
        <v>56760.858506970791</v>
      </c>
      <c r="AL92" s="56">
        <f t="shared" si="75"/>
        <v>-848.20787660797941</v>
      </c>
      <c r="AM92" s="42">
        <f>'[1]побудинковий звіт'!AM92+'[2]побудинковий звіт'!AM92-'[3]побудинковий звіт'!AM92</f>
        <v>0</v>
      </c>
      <c r="AN92" s="42">
        <f>'[1]побудинковий звіт'!AN92+'[2]побудинковий звіт'!AN92-'[3]побудинковий звіт'!AN92</f>
        <v>0</v>
      </c>
      <c r="AO92" s="56">
        <f t="shared" si="76"/>
        <v>0</v>
      </c>
      <c r="AP92" s="42">
        <f>'[1]побудинковий звіт'!AP92+'[2]побудинковий звіт'!AP92-'[3]побудинковий звіт'!AP92</f>
        <v>3361.9126322724574</v>
      </c>
      <c r="AQ92" s="42">
        <f>'[1]побудинковий звіт'!AQ92+'[2]побудинковий звіт'!AQ92-'[3]побудинковий звіт'!AQ92</f>
        <v>3275.8502187381282</v>
      </c>
      <c r="AR92" s="56">
        <f t="shared" si="77"/>
        <v>-86.062413534329153</v>
      </c>
      <c r="AS92" s="42">
        <f>'[1]побудинковий звіт'!AS92+'[2]побудинковий звіт'!AS92-'[3]побудинковий звіт'!AS92</f>
        <v>61252.881918759711</v>
      </c>
      <c r="AT92" s="42">
        <f>'[1]побудинковий звіт'!AT92+'[2]побудинковий звіт'!AT92-'[3]побудинковий звіт'!AT92</f>
        <v>17720.999999999996</v>
      </c>
      <c r="AU92" s="58">
        <f t="shared" si="78"/>
        <v>-43531.881918759711</v>
      </c>
      <c r="AV92" s="42">
        <f>'[1]побудинковий звіт'!AV92+'[2]побудинковий звіт'!AV92-'[3]побудинковий звіт'!AV92</f>
        <v>827.02650309721764</v>
      </c>
      <c r="AW92" s="42">
        <f>'[1]побудинковий звіт'!AW92+'[2]побудинковий звіт'!AW92-'[3]побудинковий звіт'!AW92</f>
        <v>0</v>
      </c>
      <c r="AX92" s="59">
        <f t="shared" si="79"/>
        <v>-827.02650309721764</v>
      </c>
      <c r="AY92" s="42">
        <f>'[1]побудинковий звіт'!AY92+'[2]побудинковий звіт'!AY92-'[3]побудинковий звіт'!AY92</f>
        <v>1177.7199251516181</v>
      </c>
      <c r="AZ92" s="42">
        <f>'[1]побудинковий звіт'!AZ92+'[2]побудинковий звіт'!AZ92-'[3]побудинковий звіт'!AZ92</f>
        <v>17479.209087975214</v>
      </c>
      <c r="BA92" s="37">
        <f t="shared" si="80"/>
        <v>16301.489162823596</v>
      </c>
      <c r="BB92" s="42">
        <f>'[1]побудинковий звіт'!BB92+'[2]побудинковий звіт'!BB92-'[3]побудинковий звіт'!BB92</f>
        <v>1282.2190610583937</v>
      </c>
      <c r="BC92" s="42">
        <f>'[1]побудинковий звіт'!BC92+'[2]побудинковий звіт'!BC92-'[3]побудинковий звіт'!BC92</f>
        <v>0</v>
      </c>
      <c r="BD92" s="59">
        <f t="shared" si="81"/>
        <v>-1282.2190610583937</v>
      </c>
      <c r="BE92" s="42">
        <f>'[1]побудинковий звіт'!BE92+'[2]побудинковий звіт'!BE92-'[3]побудинковий звіт'!BE92</f>
        <v>564.07051262259631</v>
      </c>
      <c r="BF92" s="42">
        <f>'[1]побудинковий звіт'!BF92+'[2]побудинковий звіт'!BF92-'[3]побудинковий звіт'!BF92</f>
        <v>0</v>
      </c>
      <c r="BG92" s="39">
        <f t="shared" si="82"/>
        <v>-564.07051262259631</v>
      </c>
      <c r="BH92" s="42">
        <f>'[1]побудинковий звіт'!BH92+'[2]побудинковий звіт'!BH92-'[3]побудинковий звіт'!BH92</f>
        <v>395.76741189229665</v>
      </c>
      <c r="BI92" s="42">
        <f>'[1]побудинковий звіт'!BI92+'[2]побудинковий звіт'!BI92-'[3]побудинковий звіт'!BI92</f>
        <v>0</v>
      </c>
      <c r="BJ92" s="59">
        <f t="shared" si="83"/>
        <v>-395.76741189229665</v>
      </c>
      <c r="BK92" s="42">
        <f>'[1]побудинковий звіт'!BK92+'[2]побудинковий звіт'!BK92-'[3]побудинковий звіт'!BK92</f>
        <v>860.61258572156999</v>
      </c>
      <c r="BL92" s="42">
        <f>'[1]побудинковий звіт'!BL92+'[2]побудинковий звіт'!BL92-'[3]побудинковий звіт'!BL92</f>
        <v>5887</v>
      </c>
      <c r="BM92" s="39">
        <f t="shared" si="84"/>
        <v>5026.3874142784298</v>
      </c>
      <c r="BN92" s="42">
        <f>'[1]побудинковий звіт'!BN92+'[2]побудинковий звіт'!BN92-'[3]побудинковий звіт'!BN92</f>
        <v>390.89290744138987</v>
      </c>
      <c r="BO92" s="42">
        <f>'[1]побудинковий звіт'!BO92+'[2]побудинковий звіт'!BO92-'[3]побудинковий звіт'!BO92</f>
        <v>0</v>
      </c>
      <c r="BP92" s="59">
        <f t="shared" si="85"/>
        <v>-390.89290744138987</v>
      </c>
      <c r="BQ92" s="87">
        <f t="shared" si="113"/>
        <v>5498.3089069850821</v>
      </c>
      <c r="BR92" s="43">
        <f t="shared" si="114"/>
        <v>23366.209087975214</v>
      </c>
      <c r="BS92" s="59">
        <f t="shared" si="86"/>
        <v>17867.900180990131</v>
      </c>
      <c r="BT92" s="42">
        <f>'[1]побудинковий звіт'!BT92+'[2]побудинковий звіт'!BT92-'[3]побудинковий звіт'!BT92</f>
        <v>42294.6104148296</v>
      </c>
      <c r="BU92" s="42">
        <f>'[1]побудинковий звіт'!BU92+'[2]побудинковий звіт'!BU92-'[3]побудинковий звіт'!BU92</f>
        <v>35251.689770657198</v>
      </c>
      <c r="BV92" s="56">
        <f t="shared" si="87"/>
        <v>-7042.9206441724018</v>
      </c>
      <c r="BW92" s="42">
        <f>'[1]побудинковий звіт'!BW92+'[2]побудинковий звіт'!BW92-'[3]побудинковий звіт'!BW92</f>
        <v>40753.680807880301</v>
      </c>
      <c r="BX92" s="42">
        <f>'[1]побудинковий звіт'!BX92+'[2]побудинковий звіт'!BX92-'[3]побудинковий звіт'!BX92</f>
        <v>29173.862612353616</v>
      </c>
      <c r="BY92" s="56">
        <f t="shared" si="88"/>
        <v>-11579.818195526685</v>
      </c>
      <c r="BZ92" s="42">
        <f>'[1]побудинковий звіт'!BZ92+'[2]побудинковий звіт'!BZ92-'[3]побудинковий звіт'!BZ92</f>
        <v>7530.6646228476257</v>
      </c>
      <c r="CA92" s="42">
        <f>'[1]побудинковий звіт'!CA92+'[2]побудинковий звіт'!CA92-'[3]побудинковий звіт'!CA92</f>
        <v>3966.3633395127326</v>
      </c>
      <c r="CB92" s="56">
        <f t="shared" si="89"/>
        <v>-3564.301283334893</v>
      </c>
      <c r="CC92" s="42">
        <f>'[1]побудинковий звіт'!CC92+'[2]побудинковий звіт'!CC92-'[3]побудинковий звіт'!CC92</f>
        <v>1214.179118922772</v>
      </c>
      <c r="CD92" s="42">
        <f>'[1]побудинковий звіт'!CD92+'[2]побудинковий звіт'!CD92-'[3]побудинковий звіт'!CD92</f>
        <v>1203.5000702985355</v>
      </c>
      <c r="CE92" s="56">
        <f t="shared" si="90"/>
        <v>-10.67904862423643</v>
      </c>
      <c r="CF92" s="42">
        <f>'[1]побудинковий звіт'!CF92+'[2]побудинковий звіт'!CF92-'[3]побудинковий звіт'!CF92</f>
        <v>149.4728082007201</v>
      </c>
      <c r="CG92" s="42">
        <f>'[1]побудинковий звіт'!CG92+'[2]побудинковий звіт'!CG92-'[3]побудинковий звіт'!CG92</f>
        <v>0</v>
      </c>
      <c r="CH92" s="56">
        <f t="shared" si="91"/>
        <v>-149.4728082007201</v>
      </c>
      <c r="CI92" s="42">
        <f>'[1]побудинковий звіт'!CI92+'[2]побудинковий звіт'!CI92-'[3]побудинковий звіт'!CI92</f>
        <v>15048.890242462474</v>
      </c>
      <c r="CJ92" s="42">
        <f>'[1]побудинковий звіт'!CJ92+'[2]побудинковий звіт'!CJ92-'[3]побудинковий звіт'!CJ92</f>
        <v>5401.0653117759284</v>
      </c>
      <c r="CK92" s="56">
        <f t="shared" si="92"/>
        <v>-9647.8249306865455</v>
      </c>
      <c r="CL92" s="42">
        <f>'[1]побудинковий звіт'!CL92+'[2]побудинковий звіт'!CL92-'[3]побудинковий звіт'!CL92</f>
        <v>7786.4904737119241</v>
      </c>
      <c r="CM92" s="42">
        <f>'[1]побудинковий звіт'!CM92+'[2]побудинковий звіт'!CM92-'[3]побудинковий звіт'!CM92</f>
        <v>8251.5196834516664</v>
      </c>
      <c r="CN92" s="56">
        <f t="shared" si="93"/>
        <v>465.02920973974233</v>
      </c>
      <c r="CO92" s="42">
        <f t="shared" si="64"/>
        <v>22835.380716174397</v>
      </c>
      <c r="CP92" s="43">
        <f t="shared" si="94"/>
        <v>13652.584995227595</v>
      </c>
      <c r="CQ92" s="56">
        <f t="shared" si="95"/>
        <v>-9182.7957209468022</v>
      </c>
      <c r="CR92" s="78">
        <f t="shared" si="65"/>
        <v>286836.09303659078</v>
      </c>
      <c r="CS92" s="5">
        <f t="shared" si="65"/>
        <v>224468.93410334396</v>
      </c>
      <c r="CT92" s="56">
        <f t="shared" si="96"/>
        <v>-62367.158933246828</v>
      </c>
      <c r="CU92" s="87">
        <f t="shared" si="97"/>
        <v>344203.31164390891</v>
      </c>
      <c r="CV92" s="70">
        <f t="shared" si="98"/>
        <v>269362.72092401271</v>
      </c>
      <c r="CW92" s="37">
        <f t="shared" si="99"/>
        <v>-74840.590719896194</v>
      </c>
      <c r="CX92" s="42">
        <f>'[1]побудинковий звіт'!CX92+'[2]побудинковий звіт'!CX92-'[3]побудинковий звіт'!CX92</f>
        <v>8601.9683560911217</v>
      </c>
      <c r="CY92" s="42">
        <f>'[1]побудинковий звіт'!CY92+'[2]побудинковий звіт'!CY92-'[3]побудинковий звіт'!CY92</f>
        <v>83442.559075987258</v>
      </c>
      <c r="CZ92" s="56">
        <f t="shared" si="100"/>
        <v>74840.590719896136</v>
      </c>
      <c r="DA92" s="264">
        <f>'[4]побудинковий звіт'!DA92</f>
        <v>-71004.461368239907</v>
      </c>
      <c r="DB92" s="2">
        <v>1</v>
      </c>
      <c r="DC92" s="717">
        <f>'[4]побудинковий звіт'!DC92</f>
        <v>106851.66</v>
      </c>
      <c r="DD92" s="717">
        <f>'[4]побудинковий звіт'!DD92</f>
        <v>2473.6</v>
      </c>
      <c r="DE92" s="717">
        <f>'[4]побудинковий звіт'!DE92</f>
        <v>77761.58</v>
      </c>
      <c r="DF92" s="717">
        <f>'[4]побудинковий звіт'!DF92</f>
        <v>2163.2399999999998</v>
      </c>
      <c r="DG92" s="787">
        <v>29388.189969475032</v>
      </c>
      <c r="DH92" s="761">
        <f t="shared" si="109"/>
        <v>4233663.3600000003</v>
      </c>
      <c r="DI92" s="784"/>
      <c r="DJ92" s="5"/>
      <c r="DK92" s="317">
        <f>VLOOKUP($A92,ціни!$A$4:$G$401,5)</f>
        <v>6.0277309476763064</v>
      </c>
      <c r="DL92" s="317">
        <f>VLOOKUP($A92,ціни!$A$4:$G$401,6)</f>
        <v>8.0145246455458583</v>
      </c>
      <c r="DM92" s="317">
        <f>VLOOKUP($A92,ціни!$A$4:$G$401,7)</f>
        <v>4.9030147260832395</v>
      </c>
      <c r="DN92" s="30">
        <f t="shared" si="115"/>
        <v>699.2858734755539</v>
      </c>
      <c r="DO92" s="30">
        <f t="shared" si="116"/>
        <v>310.36083216106903</v>
      </c>
      <c r="DP92" s="316">
        <f t="shared" si="101"/>
        <v>1009.646705636623</v>
      </c>
      <c r="DQ92" s="104"/>
      <c r="DR92" s="30">
        <f>VLOOKUP(A92,'ДЗ нас '!$A$1:$C$359,2)</f>
        <v>29090.080000000002</v>
      </c>
      <c r="DS92" s="748">
        <f>VLOOKUP(A92,'ДЗ нежит'!$A$1:$D$153,4,0)</f>
        <v>310.36</v>
      </c>
      <c r="DT92" s="30">
        <f t="shared" si="102"/>
        <v>29400.440000000002</v>
      </c>
      <c r="DU92" s="257">
        <f>VLOOKUP(A92,'новий кошторис с 01.06'!$A$4:$AI$399,35)*1.2</f>
        <v>29544.117582768846</v>
      </c>
      <c r="DV92" s="30">
        <f t="shared" si="103"/>
        <v>-143.67758276884342</v>
      </c>
      <c r="DW92" s="930">
        <f>'[5]побудинковий звіт'!DW92+'[6]побудинковий звіт'!DW92</f>
        <v>202</v>
      </c>
      <c r="DY92" s="5">
        <f t="shared" si="104"/>
        <v>80101.42899089375</v>
      </c>
      <c r="DZ92" s="5">
        <f t="shared" si="105"/>
        <v>49304.650905570248</v>
      </c>
      <c r="EA92" s="752">
        <f t="shared" si="110"/>
        <v>79924.820000000007</v>
      </c>
      <c r="EC92" s="592">
        <f t="shared" si="106"/>
        <v>735034.58302511647</v>
      </c>
      <c r="EE92" s="758">
        <v>19779</v>
      </c>
      <c r="EF92" s="738">
        <f t="shared" si="107"/>
        <v>49167.189969475032</v>
      </c>
      <c r="EH92" s="813">
        <v>-19406.631425826417</v>
      </c>
    </row>
    <row r="93" spans="1:138" x14ac:dyDescent="0.3">
      <c r="A93" s="328">
        <v>150000628</v>
      </c>
      <c r="B93" s="44" t="s">
        <v>543</v>
      </c>
      <c r="C93" s="45" t="s">
        <v>356</v>
      </c>
      <c r="D93" s="45" t="s">
        <v>356</v>
      </c>
      <c r="E93" s="40">
        <f t="shared" si="108"/>
        <v>295.29999999999995</v>
      </c>
      <c r="F93" s="490">
        <v>151.6</v>
      </c>
      <c r="G93" s="30">
        <v>368.4</v>
      </c>
      <c r="H93" s="30">
        <v>143.69999999999999</v>
      </c>
      <c r="I93" s="42">
        <f>'[1]побудинковий звіт'!I93+'[2]побудинковий звіт'!I93-'[3]побудинковий звіт'!I93</f>
        <v>15720.486457094248</v>
      </c>
      <c r="J93" s="42">
        <f>'[1]побудинковий звіт'!J93+'[2]побудинковий звіт'!J93-'[3]побудинковий звіт'!J93</f>
        <v>13329.004206157777</v>
      </c>
      <c r="K93" s="56">
        <f t="shared" si="66"/>
        <v>-2391.4822509364712</v>
      </c>
      <c r="L93" s="42">
        <f>'[1]побудинковий звіт'!L93+'[2]побудинковий звіт'!L93-'[3]побудинковий звіт'!L93</f>
        <v>2419.5757681542677</v>
      </c>
      <c r="M93" s="42">
        <f>'[1]побудинковий звіт'!M93+'[2]побудинковий звіт'!M93-'[3]побудинковий звіт'!M93</f>
        <v>2224.8009959591932</v>
      </c>
      <c r="N93" s="56">
        <f t="shared" si="67"/>
        <v>-194.77477219507455</v>
      </c>
      <c r="O93" s="42">
        <f>'[1]побудинковий звіт'!O93+'[2]побудинковий звіт'!O93-'[3]побудинковий звіт'!O93</f>
        <v>7304.6400000000012</v>
      </c>
      <c r="P93" s="42">
        <f>'[1]побудинковий звіт'!P93+'[2]побудинковий звіт'!P93-'[3]побудинковий звіт'!P93</f>
        <v>5741.3973376344102</v>
      </c>
      <c r="Q93" s="56">
        <f t="shared" si="68"/>
        <v>-1563.2426623655911</v>
      </c>
      <c r="R93" s="42">
        <f>'[1]побудинковий звіт'!R93+'[2]побудинковий звіт'!R93-'[3]побудинковий звіт'!R93</f>
        <v>1413.1200000000001</v>
      </c>
      <c r="S93" s="42">
        <f>'[1]побудинковий звіт'!S93+'[2]побудинковий звіт'!S93-'[3]побудинковий звіт'!S93</f>
        <v>1110.8575320430109</v>
      </c>
      <c r="T93" s="56">
        <f t="shared" si="69"/>
        <v>-302.26246795698921</v>
      </c>
      <c r="U93" s="42">
        <f>'[1]побудинковий звіт'!U93+'[2]побудинковий звіт'!U93-'[3]побудинковий звіт'!U93</f>
        <v>780.05784393801946</v>
      </c>
      <c r="V93" s="42">
        <f>'[1]побудинковий звіт'!V93+'[2]побудинковий звіт'!V93-'[3]побудинковий звіт'!V93</f>
        <v>328.08887481512187</v>
      </c>
      <c r="W93" s="56">
        <f t="shared" si="70"/>
        <v>-451.96896912289759</v>
      </c>
      <c r="X93" s="42">
        <f>'[1]побудинковий звіт'!X93+'[2]побудинковий звіт'!X93-'[3]побудинковий звіт'!X93</f>
        <v>6588.3584949179367</v>
      </c>
      <c r="Y93" s="42">
        <f>'[1]побудинковий звіт'!Y93+'[2]побудинковий звіт'!Y93-'[3]побудинковий звіт'!Y93</f>
        <v>7616.4802272959942</v>
      </c>
      <c r="Z93" s="56">
        <f t="shared" si="71"/>
        <v>1028.1217323780575</v>
      </c>
      <c r="AA93" s="42">
        <f>'[1]побудинковий звіт'!AA93+'[2]побудинковий звіт'!AA93-'[3]побудинковий звіт'!AA93</f>
        <v>0</v>
      </c>
      <c r="AB93" s="42">
        <f>'[1]побудинковий звіт'!AB93+'[2]побудинковий звіт'!AB93-'[3]побудинковий звіт'!AB93</f>
        <v>0</v>
      </c>
      <c r="AC93" s="56">
        <f t="shared" si="72"/>
        <v>0</v>
      </c>
      <c r="AD93" s="42">
        <f>'[1]побудинковий звіт'!AD93+'[2]побудинковий звіт'!AD93-'[3]побудинковий звіт'!AD93</f>
        <v>19895.273090736999</v>
      </c>
      <c r="AE93" s="42">
        <f>'[1]побудинковий звіт'!AE93+'[2]побудинковий звіт'!AE93-'[3]побудинковий звіт'!AE93</f>
        <v>18337.398769115825</v>
      </c>
      <c r="AF93" s="37">
        <f t="shared" si="73"/>
        <v>-1557.8743216211733</v>
      </c>
      <c r="AG93" s="87">
        <f t="shared" si="61"/>
        <v>54121.511654841474</v>
      </c>
      <c r="AH93" s="57">
        <f t="shared" si="61"/>
        <v>48688.027943021327</v>
      </c>
      <c r="AI93" s="56">
        <f t="shared" si="74"/>
        <v>-5433.4837118201467</v>
      </c>
      <c r="AJ93" s="42">
        <f>'[1]побудинковий звіт'!AJ93+'[2]побудинковий звіт'!AJ93-'[3]побудинковий звіт'!AJ93</f>
        <v>41478.570579091407</v>
      </c>
      <c r="AK93" s="42">
        <f>'[1]побудинковий звіт'!AK93+'[2]побудинковий звіт'!AK93-'[3]побудинковий звіт'!AK93</f>
        <v>41113.63254562908</v>
      </c>
      <c r="AL93" s="56">
        <f t="shared" si="75"/>
        <v>-364.93803346232744</v>
      </c>
      <c r="AM93" s="42">
        <f>'[1]побудинковий звіт'!AM93+'[2]побудинковий звіт'!AM93-'[3]побудинковий звіт'!AM93</f>
        <v>0</v>
      </c>
      <c r="AN93" s="42">
        <f>'[1]побудинковий звіт'!AN93+'[2]побудинковий звіт'!AN93-'[3]побудинковий звіт'!AN93</f>
        <v>0</v>
      </c>
      <c r="AO93" s="56">
        <f t="shared" si="76"/>
        <v>0</v>
      </c>
      <c r="AP93" s="42">
        <f>'[1]побудинковий звіт'!AP93+'[2]побудинковий звіт'!AP93-'[3]побудинковий звіт'!AP93</f>
        <v>3314.5617501277748</v>
      </c>
      <c r="AQ93" s="42">
        <f>'[1]побудинковий звіт'!AQ93+'[2]побудинковий звіт'!AQ93-'[3]побудинковий звіт'!AQ93</f>
        <v>3160.4772979937238</v>
      </c>
      <c r="AR93" s="56">
        <f t="shared" si="77"/>
        <v>-154.08445213405093</v>
      </c>
      <c r="AS93" s="42">
        <f>'[1]побудинковий звіт'!AS93+'[2]побудинковий звіт'!AS93-'[3]побудинковий звіт'!AS93</f>
        <v>69454.871040971906</v>
      </c>
      <c r="AT93" s="42">
        <f>'[1]побудинковий звіт'!AT93+'[2]побудинковий звіт'!AT93-'[3]побудинковий звіт'!AT93</f>
        <v>201366.35550574842</v>
      </c>
      <c r="AU93" s="58">
        <f t="shared" si="78"/>
        <v>131911.48446477653</v>
      </c>
      <c r="AV93" s="42">
        <f>'[1]побудинковий звіт'!AV93+'[2]побудинковий звіт'!AV93-'[3]побудинковий звіт'!AV93</f>
        <v>1226.5213027942252</v>
      </c>
      <c r="AW93" s="42">
        <f>'[1]побудинковий звіт'!AW93+'[2]побудинковий звіт'!AW93-'[3]побудинковий звіт'!AW93</f>
        <v>663</v>
      </c>
      <c r="AX93" s="59">
        <f t="shared" si="79"/>
        <v>-563.52130279422522</v>
      </c>
      <c r="AY93" s="42">
        <f>'[1]побудинковий звіт'!AY93+'[2]побудинковий звіт'!AY93-'[3]побудинковий звіт'!AY93</f>
        <v>1482.0715550304631</v>
      </c>
      <c r="AZ93" s="42">
        <f>'[1]побудинковий звіт'!AZ93+'[2]побудинковий звіт'!AZ93-'[3]побудинковий звіт'!AZ93</f>
        <v>0</v>
      </c>
      <c r="BA93" s="37">
        <f t="shared" si="80"/>
        <v>-1482.0715550304631</v>
      </c>
      <c r="BB93" s="42">
        <f>'[1]побудинковий звіт'!BB93+'[2]побудинковий звіт'!BB93-'[3]побудинковий звіт'!BB93</f>
        <v>1453.4206022027356</v>
      </c>
      <c r="BC93" s="42">
        <f>'[1]побудинковий звіт'!BC93+'[2]побудинковий звіт'!BC93-'[3]побудинковий звіт'!BC93</f>
        <v>0</v>
      </c>
      <c r="BD93" s="59">
        <f t="shared" si="81"/>
        <v>-1453.4206022027356</v>
      </c>
      <c r="BE93" s="42">
        <f>'[1]побудинковий звіт'!BE93+'[2]побудинковий звіт'!BE93-'[3]побудинковий звіт'!BE93</f>
        <v>673.25545045629633</v>
      </c>
      <c r="BF93" s="42">
        <f>'[1]побудинковий звіт'!BF93+'[2]побудинковий звіт'!BF93-'[3]побудинковий звіт'!BF93</f>
        <v>0</v>
      </c>
      <c r="BG93" s="39">
        <f t="shared" si="82"/>
        <v>-673.25545045629633</v>
      </c>
      <c r="BH93" s="42">
        <f>'[1]побудинковий звіт'!BH93+'[2]побудинковий звіт'!BH93-'[3]побудинковий звіт'!BH93</f>
        <v>395.76741189229665</v>
      </c>
      <c r="BI93" s="42">
        <f>'[1]побудинковий звіт'!BI93+'[2]побудинковий звіт'!BI93-'[3]побудинковий звіт'!BI93</f>
        <v>2252</v>
      </c>
      <c r="BJ93" s="59">
        <f t="shared" si="83"/>
        <v>1856.2325881077034</v>
      </c>
      <c r="BK93" s="42">
        <f>'[1]побудинковий звіт'!BK93+'[2]побудинковий звіт'!BK93-'[3]побудинковий звіт'!BK93</f>
        <v>754.28173151102328</v>
      </c>
      <c r="BL93" s="42">
        <f>'[1]побудинковий звіт'!BL93+'[2]побудинковий звіт'!BL93-'[3]побудинковий звіт'!BL93</f>
        <v>5326</v>
      </c>
      <c r="BM93" s="39">
        <f t="shared" si="84"/>
        <v>4571.7182684889767</v>
      </c>
      <c r="BN93" s="42">
        <f>'[1]побудинковий звіт'!BN93+'[2]побудинковий звіт'!BN93-'[3]побудинковий звіт'!BN93</f>
        <v>394.89345310091193</v>
      </c>
      <c r="BO93" s="42">
        <f>'[1]побудинковий звіт'!BO93+'[2]побудинковий звіт'!BO93-'[3]побудинковий звіт'!BO93</f>
        <v>0</v>
      </c>
      <c r="BP93" s="59">
        <f t="shared" si="85"/>
        <v>-394.89345310091193</v>
      </c>
      <c r="BQ93" s="87">
        <f t="shared" si="113"/>
        <v>6380.2115069879528</v>
      </c>
      <c r="BR93" s="43">
        <f t="shared" si="114"/>
        <v>8241</v>
      </c>
      <c r="BS93" s="59">
        <f t="shared" si="86"/>
        <v>1860.7884930120472</v>
      </c>
      <c r="BT93" s="42">
        <f>'[1]побудинковий звіт'!BT93+'[2]побудинковий звіт'!BT93-'[3]побудинковий звіт'!BT93</f>
        <v>55871.834864479395</v>
      </c>
      <c r="BU93" s="42">
        <f>'[1]побудинковий звіт'!BU93+'[2]побудинковий звіт'!BU93-'[3]побудинковий звіт'!BU93</f>
        <v>46428.108066221794</v>
      </c>
      <c r="BV93" s="56">
        <f t="shared" si="87"/>
        <v>-9443.7267982576013</v>
      </c>
      <c r="BW93" s="42">
        <f>'[1]побудинковий звіт'!BW93+'[2]побудинковий звіт'!BW93-'[3]побудинковий звіт'!BW93</f>
        <v>41196.075002156649</v>
      </c>
      <c r="BX93" s="42">
        <f>'[1]побудинковий звіт'!BX93+'[2]побудинковий звіт'!BX93-'[3]побудинковий звіт'!BX93</f>
        <v>36151.898240038485</v>
      </c>
      <c r="BY93" s="56">
        <f t="shared" si="88"/>
        <v>-5044.1767621181643</v>
      </c>
      <c r="BZ93" s="42">
        <f>'[1]побудинковий звіт'!BZ93+'[2]побудинковий звіт'!BZ93-'[3]побудинковий звіт'!BZ93</f>
        <v>5972.5960801894989</v>
      </c>
      <c r="CA93" s="42">
        <f>'[1]побудинковий звіт'!CA93+'[2]побудинковий звіт'!CA93-'[3]побудинковий звіт'!CA93</f>
        <v>9308.1061160974223</v>
      </c>
      <c r="CB93" s="56">
        <f t="shared" si="89"/>
        <v>3335.5100359079233</v>
      </c>
      <c r="CC93" s="42">
        <f>'[1]побудинковий звіт'!CC93+'[2]побудинковий звіт'!CC93-'[3]побудинковий звіт'!CC93</f>
        <v>1049.1707648249828</v>
      </c>
      <c r="CD93" s="42">
        <f>'[1]побудинковий звіт'!CD93+'[2]побудинковий звіт'!CD93-'[3]побудинковий звіт'!CD93</f>
        <v>1039.9430113262779</v>
      </c>
      <c r="CE93" s="56">
        <f t="shared" si="90"/>
        <v>-9.2277534987049421</v>
      </c>
      <c r="CF93" s="42">
        <f>'[1]побудинковий звіт'!CF93+'[2]побудинковий звіт'!CF93-'[3]побудинковий звіт'!CF93</f>
        <v>129.15927976065126</v>
      </c>
      <c r="CG93" s="42">
        <f>'[1]побудинковий звіт'!CG93+'[2]побудинковий звіт'!CG93-'[3]побудинковий звіт'!CG93</f>
        <v>0</v>
      </c>
      <c r="CH93" s="56">
        <f t="shared" si="91"/>
        <v>-129.15927976065126</v>
      </c>
      <c r="CI93" s="42">
        <f>'[1]побудинковий звіт'!CI93+'[2]побудинковий звіт'!CI93-'[3]побудинковий звіт'!CI93</f>
        <v>8872.106933989071</v>
      </c>
      <c r="CJ93" s="42">
        <f>'[1]побудинковий звіт'!CJ93+'[2]побудинковий звіт'!CJ93-'[3]побудинковий звіт'!CJ93</f>
        <v>6666.878205985573</v>
      </c>
      <c r="CK93" s="56">
        <f t="shared" si="92"/>
        <v>-2205.228728003498</v>
      </c>
      <c r="CL93" s="42">
        <f>'[1]побудинковий звіт'!CL93+'[2]побудинковий звіт'!CL93-'[3]побудинковий звіт'!CL93</f>
        <v>13289.442875806415</v>
      </c>
      <c r="CM93" s="42">
        <f>'[1]побудинковий звіт'!CM93+'[2]побудинковий звіт'!CM93-'[3]побудинковий звіт'!CM93</f>
        <v>9994.6991497017043</v>
      </c>
      <c r="CN93" s="56">
        <f t="shared" si="93"/>
        <v>-3294.7437261047107</v>
      </c>
      <c r="CO93" s="42">
        <f t="shared" si="64"/>
        <v>22161.549809795484</v>
      </c>
      <c r="CP93" s="43">
        <f t="shared" si="94"/>
        <v>16661.577355687277</v>
      </c>
      <c r="CQ93" s="56">
        <f t="shared" si="95"/>
        <v>-5499.9724541082069</v>
      </c>
      <c r="CR93" s="78">
        <f t="shared" si="65"/>
        <v>301130.11233322718</v>
      </c>
      <c r="CS93" s="5">
        <f t="shared" si="65"/>
        <v>412159.12608176382</v>
      </c>
      <c r="CT93" s="56">
        <f t="shared" si="96"/>
        <v>111029.01374853664</v>
      </c>
      <c r="CU93" s="87">
        <f t="shared" si="97"/>
        <v>361356.13479987258</v>
      </c>
      <c r="CV93" s="70">
        <f t="shared" si="98"/>
        <v>494590.95129811659</v>
      </c>
      <c r="CW93" s="37">
        <f t="shared" si="99"/>
        <v>133234.81649824401</v>
      </c>
      <c r="CX93" s="42">
        <f>'[1]побудинковий звіт'!CX93+'[2]побудинковий звіт'!CX93-'[3]побудинковий звіт'!CX93</f>
        <v>5435.6252001274115</v>
      </c>
      <c r="CY93" s="42">
        <f>'[1]побудинковий звіт'!CY93+'[2]побудинковий звіт'!CY93-'[3]побудинковий звіт'!CY93</f>
        <v>-127799.19129811652</v>
      </c>
      <c r="CZ93" s="56">
        <f t="shared" si="100"/>
        <v>-133234.81649824395</v>
      </c>
      <c r="DA93" s="264">
        <f>'[4]побудинковий звіт'!DA93</f>
        <v>94249.364086059155</v>
      </c>
      <c r="DB93" s="2">
        <v>1</v>
      </c>
      <c r="DC93" s="717">
        <f>'[4]побудинковий звіт'!DC93</f>
        <v>71816.539999999994</v>
      </c>
      <c r="DD93" s="717">
        <f>'[4]побудинковий звіт'!DD93</f>
        <v>976</v>
      </c>
      <c r="DE93" s="717">
        <f>'[4]побудинковий звіт'!DE93</f>
        <v>41893.689999999995</v>
      </c>
      <c r="DF93" s="717">
        <f>'[4]побудинковий звіт'!DF93</f>
        <v>332.87</v>
      </c>
      <c r="DG93" s="787">
        <v>-36834.627525631571</v>
      </c>
      <c r="DH93" s="761">
        <f t="shared" si="109"/>
        <v>4401501.12</v>
      </c>
      <c r="DI93" s="784"/>
      <c r="DJ93" s="5"/>
      <c r="DK93" s="317">
        <f>VLOOKUP($A93,ціни!$A$4:$G$401,5)</f>
        <v>5.4027984175394712</v>
      </c>
      <c r="DL93" s="317">
        <f>VLOOKUP($A93,ціни!$A$4:$G$401,6)</f>
        <v>6.7452619071701587</v>
      </c>
      <c r="DM93" s="317">
        <f>VLOOKUP($A93,ціни!$A$4:$G$401,7)</f>
        <v>4.4755062204342035</v>
      </c>
      <c r="DN93" s="30">
        <f t="shared" si="115"/>
        <v>528.01815554705081</v>
      </c>
      <c r="DO93" s="30">
        <f t="shared" si="116"/>
        <v>643.13024387639496</v>
      </c>
      <c r="DP93" s="316">
        <f t="shared" si="101"/>
        <v>1171.1483994234459</v>
      </c>
      <c r="DQ93" s="104"/>
      <c r="DR93" s="30">
        <f>VLOOKUP(A93,'ДЗ нас '!$A$1:$C$359,2)</f>
        <v>29944.44</v>
      </c>
      <c r="DS93" s="748">
        <f>VLOOKUP(A93,'ДЗ нежит'!$A$1:$D$153,4,0)</f>
        <v>643.13</v>
      </c>
      <c r="DT93" s="30">
        <f t="shared" si="102"/>
        <v>30587.57</v>
      </c>
      <c r="DU93" s="257">
        <f>VLOOKUP(A93,'новий кошторис с 01.06'!$A$4:$AI$399,35)*1.2</f>
        <v>30655.045435522527</v>
      </c>
      <c r="DV93" s="30">
        <f t="shared" si="103"/>
        <v>-67.475435522526823</v>
      </c>
      <c r="DW93" s="930">
        <f>'[5]побудинковий звіт'!DW93+'[6]побудинковий звіт'!DW93</f>
        <v>202</v>
      </c>
      <c r="DY93" s="5">
        <f t="shared" si="104"/>
        <v>91002.099057551823</v>
      </c>
      <c r="DZ93" s="5">
        <f t="shared" si="105"/>
        <v>251528.8266068981</v>
      </c>
      <c r="EA93" s="752">
        <f t="shared" si="110"/>
        <v>42226.559999999998</v>
      </c>
      <c r="EC93" s="592">
        <f t="shared" si="106"/>
        <v>833458.45249166293</v>
      </c>
      <c r="EE93" s="758">
        <v>28537</v>
      </c>
      <c r="EF93" s="738">
        <f t="shared" si="107"/>
        <v>-8297.6275256315712</v>
      </c>
      <c r="EH93" s="813">
        <v>-50802.643548856555</v>
      </c>
    </row>
    <row r="94" spans="1:138" x14ac:dyDescent="0.3">
      <c r="A94" s="328">
        <v>150000625</v>
      </c>
      <c r="B94" s="44" t="s">
        <v>544</v>
      </c>
      <c r="C94" s="45" t="s">
        <v>415</v>
      </c>
      <c r="D94" s="45" t="s">
        <v>415</v>
      </c>
      <c r="E94" s="40">
        <f t="shared" si="108"/>
        <v>5112.4000000000005</v>
      </c>
      <c r="F94" s="490">
        <v>5047.8</v>
      </c>
      <c r="G94" s="30">
        <v>340.9</v>
      </c>
      <c r="H94" s="30">
        <v>64.599999999999994</v>
      </c>
      <c r="I94" s="42">
        <f>'[1]побудинковий звіт'!I94+'[2]побудинковий звіт'!I94-'[3]побудинковий звіт'!I94</f>
        <v>17146.691419444953</v>
      </c>
      <c r="J94" s="42">
        <f>'[1]побудинковий звіт'!J94+'[2]побудинковий звіт'!J94-'[3]побудинковий звіт'!J94</f>
        <v>14515.701013104175</v>
      </c>
      <c r="K94" s="56">
        <f t="shared" si="66"/>
        <v>-2630.9904063407776</v>
      </c>
      <c r="L94" s="42">
        <f>'[1]побудинковий звіт'!L94+'[2]побудинковий звіт'!L94-'[3]побудинковий звіт'!L94</f>
        <v>2645.6451038553037</v>
      </c>
      <c r="M94" s="42">
        <f>'[1]побудинковий звіт'!M94+'[2]побудинковий звіт'!M94-'[3]побудинковий звіт'!M94</f>
        <v>2469.8544019262708</v>
      </c>
      <c r="N94" s="56">
        <f t="shared" si="67"/>
        <v>-175.79070192903282</v>
      </c>
      <c r="O94" s="42">
        <f>'[1]побудинковий звіт'!O94+'[2]побудинковий звіт'!O94-'[3]побудинковий звіт'!O94</f>
        <v>7873.92</v>
      </c>
      <c r="P94" s="42">
        <f>'[1]побудинковий звіт'!P94+'[2]побудинковий звіт'!P94-'[3]побудинковий звіт'!P94</f>
        <v>6188.8902434139773</v>
      </c>
      <c r="Q94" s="56">
        <f t="shared" si="68"/>
        <v>-1685.0297565860228</v>
      </c>
      <c r="R94" s="42">
        <f>'[1]побудинковий звіт'!R94+'[2]побудинковий звіт'!R94-'[3]побудинковий звіт'!R94</f>
        <v>1512.7199999999998</v>
      </c>
      <c r="S94" s="42">
        <f>'[1]побудинковий звіт'!S94+'[2]побудинковий звіт'!S94-'[3]побудинковий звіт'!S94</f>
        <v>1189.1134010752689</v>
      </c>
      <c r="T94" s="56">
        <f t="shared" si="69"/>
        <v>-323.60659892473086</v>
      </c>
      <c r="U94" s="42">
        <f>'[1]побудинковий звіт'!U94+'[2]побудинковий звіт'!U94-'[3]побудинковий звіт'!U94</f>
        <v>833.30286687848127</v>
      </c>
      <c r="V94" s="42">
        <f>'[1]побудинковий звіт'!V94+'[2]побудинковий звіт'!V94-'[3]побудинковий звіт'!V94</f>
        <v>335.2265278286219</v>
      </c>
      <c r="W94" s="56">
        <f t="shared" si="70"/>
        <v>-498.07633904985937</v>
      </c>
      <c r="X94" s="42">
        <f>'[1]побудинковий звіт'!X94+'[2]побудинковий звіт'!X94-'[3]побудинковий звіт'!X94</f>
        <v>7218.0184269760084</v>
      </c>
      <c r="Y94" s="42">
        <f>'[1]побудинковий звіт'!Y94+'[2]побудинковий звіт'!Y94-'[3]побудинковий звіт'!Y94</f>
        <v>7321.1522944915614</v>
      </c>
      <c r="Z94" s="56">
        <f t="shared" si="71"/>
        <v>103.13386751555299</v>
      </c>
      <c r="AA94" s="42">
        <f>'[1]побудинковий звіт'!AA94+'[2]побудинковий звіт'!AA94-'[3]побудинковий звіт'!AA94</f>
        <v>0</v>
      </c>
      <c r="AB94" s="42">
        <f>'[1]побудинковий звіт'!AB94+'[2]побудинковий звіт'!AB94-'[3]побудинковий звіт'!AB94</f>
        <v>0</v>
      </c>
      <c r="AC94" s="56">
        <f t="shared" si="72"/>
        <v>0</v>
      </c>
      <c r="AD94" s="42">
        <f>'[1]побудинковий звіт'!AD94+'[2]побудинковий звіт'!AD94-'[3]побудинковий звіт'!AD94</f>
        <v>20740.562226536109</v>
      </c>
      <c r="AE94" s="42">
        <f>'[1]побудинковий звіт'!AE94+'[2]побудинковий звіт'!AE94-'[3]побудинковий звіт'!AE94</f>
        <v>19116.438051291199</v>
      </c>
      <c r="AF94" s="37">
        <f t="shared" si="73"/>
        <v>-1624.1241752449096</v>
      </c>
      <c r="AG94" s="87">
        <f t="shared" si="61"/>
        <v>57970.860043690853</v>
      </c>
      <c r="AH94" s="57">
        <f t="shared" si="61"/>
        <v>51136.375933131072</v>
      </c>
      <c r="AI94" s="56">
        <f t="shared" si="74"/>
        <v>-6834.4841105597807</v>
      </c>
      <c r="AJ94" s="42">
        <f>'[1]побудинковий звіт'!AJ94+'[2]побудинковий звіт'!AJ94-'[3]побудинковий звіт'!AJ94</f>
        <v>42638.522353643682</v>
      </c>
      <c r="AK94" s="42">
        <f>'[1]побудинковий звіт'!AK94+'[2]побудинковий звіт'!AK94-'[3]побудинковий звіт'!AK94</f>
        <v>35504.540534423009</v>
      </c>
      <c r="AL94" s="56">
        <f t="shared" si="75"/>
        <v>-7133.9818192206731</v>
      </c>
      <c r="AM94" s="42">
        <f>'[1]побудинковий звіт'!AM94+'[2]побудинковий звіт'!AM94-'[3]побудинковий звіт'!AM94</f>
        <v>0</v>
      </c>
      <c r="AN94" s="42">
        <f>'[1]побудинковий звіт'!AN94+'[2]побудинковий звіт'!AN94-'[3]побудинковий звіт'!AN94</f>
        <v>1564.7535825027112</v>
      </c>
      <c r="AO94" s="56">
        <f t="shared" si="76"/>
        <v>1564.7535825027112</v>
      </c>
      <c r="AP94" s="42">
        <f>'[1]побудинковий звіт'!AP94+'[2]побудинковий звіт'!AP94-'[3]побудинковий звіт'!AP94</f>
        <v>3740.7196894299168</v>
      </c>
      <c r="AQ94" s="42">
        <f>'[1]побудинковий звіт'!AQ94+'[2]побудинковий звіт'!AQ94-'[3]побудинковий звіт'!AQ94</f>
        <v>3850.1812043374948</v>
      </c>
      <c r="AR94" s="56">
        <f t="shared" si="77"/>
        <v>109.46151490757802</v>
      </c>
      <c r="AS94" s="42">
        <f>'[1]побудинковий звіт'!AS94+'[2]побудинковий звіт'!AS94-'[3]побудинковий звіт'!AS94</f>
        <v>71808.408375634914</v>
      </c>
      <c r="AT94" s="42">
        <f>'[1]побудинковий звіт'!AT94+'[2]побудинковий звіт'!AT94-'[3]побудинковий звіт'!AT94</f>
        <v>19266.65105040171</v>
      </c>
      <c r="AU94" s="58">
        <f t="shared" si="78"/>
        <v>-52541.757325233208</v>
      </c>
      <c r="AV94" s="42">
        <f>'[1]побудинковий звіт'!AV94+'[2]побудинковий звіт'!AV94-'[3]побудинковий звіт'!AV94</f>
        <v>1347.8432605358166</v>
      </c>
      <c r="AW94" s="42">
        <f>'[1]побудинковий звіт'!AW94+'[2]побудинковий звіт'!AW94-'[3]побудинковий звіт'!AW94</f>
        <v>0</v>
      </c>
      <c r="AX94" s="59">
        <f t="shared" si="79"/>
        <v>-1347.8432605358166</v>
      </c>
      <c r="AY94" s="42">
        <f>'[1]побудинковий звіт'!AY94+'[2]побудинковий звіт'!AY94-'[3]побудинковий звіт'!AY94</f>
        <v>1603.6406617782084</v>
      </c>
      <c r="AZ94" s="42">
        <f>'[1]побудинковий звіт'!AZ94+'[2]побудинковий звіт'!AZ94-'[3]побудинковий звіт'!AZ94</f>
        <v>6541</v>
      </c>
      <c r="BA94" s="37">
        <f t="shared" si="80"/>
        <v>4937.3593382217914</v>
      </c>
      <c r="BB94" s="42">
        <f>'[1]побудинковий звіт'!BB94+'[2]побудинковий звіт'!BB94-'[3]побудинковий звіт'!BB94</f>
        <v>1498.4823027180209</v>
      </c>
      <c r="BC94" s="42">
        <f>'[1]побудинковий звіт'!BC94+'[2]побудинковий звіт'!BC94-'[3]побудинковий звіт'!BC94</f>
        <v>2439.3741091389384</v>
      </c>
      <c r="BD94" s="59">
        <f t="shared" si="81"/>
        <v>940.89180642091742</v>
      </c>
      <c r="BE94" s="42">
        <f>'[1]побудинковий звіт'!BE94+'[2]побудинковий звіт'!BE94-'[3]побудинковий звіт'!BE94</f>
        <v>700.59062252596152</v>
      </c>
      <c r="BF94" s="42">
        <f>'[1]побудинковий звіт'!BF94+'[2]побудинковий звіт'!BF94-'[3]побудинковий звіт'!BF94</f>
        <v>0</v>
      </c>
      <c r="BG94" s="39">
        <f t="shared" si="82"/>
        <v>-700.59062252596152</v>
      </c>
      <c r="BH94" s="42">
        <f>'[1]побудинковий звіт'!BH94+'[2]побудинковий звіт'!BH94-'[3]побудинковий звіт'!BH94</f>
        <v>422.7844713578213</v>
      </c>
      <c r="BI94" s="42">
        <f>'[1]побудинковий звіт'!BI94+'[2]побудинковий звіт'!BI94-'[3]побудинковий звіт'!BI94</f>
        <v>0</v>
      </c>
      <c r="BJ94" s="59">
        <f t="shared" si="83"/>
        <v>-422.7844713578213</v>
      </c>
      <c r="BK94" s="42">
        <f>'[1]побудинковий звіт'!BK94+'[2]побудинковий звіт'!BK94-'[3]побудинковий звіт'!BK94</f>
        <v>775.64627416704468</v>
      </c>
      <c r="BL94" s="42">
        <f>'[1]побудинковий звіт'!BL94+'[2]побудинковий звіт'!BL94-'[3]побудинковий звіт'!BL94</f>
        <v>7190.1547551024423</v>
      </c>
      <c r="BM94" s="39">
        <f t="shared" si="84"/>
        <v>6414.5084809353975</v>
      </c>
      <c r="BN94" s="42">
        <f>'[1]побудинковий звіт'!BN94+'[2]побудинковий звіт'!BN94-'[3]побудинковий звіт'!BN94</f>
        <v>323.17389556343255</v>
      </c>
      <c r="BO94" s="42">
        <f>'[1]побудинковий звіт'!BO94+'[2]побудинковий звіт'!BO94-'[3]побудинковий звіт'!BO94</f>
        <v>2412</v>
      </c>
      <c r="BP94" s="59">
        <f t="shared" si="85"/>
        <v>2088.8261044365672</v>
      </c>
      <c r="BQ94" s="87">
        <f t="shared" si="113"/>
        <v>6672.1614886463067</v>
      </c>
      <c r="BR94" s="43">
        <f t="shared" si="114"/>
        <v>18582.52886424138</v>
      </c>
      <c r="BS94" s="59">
        <f t="shared" si="86"/>
        <v>11910.367375595073</v>
      </c>
      <c r="BT94" s="42">
        <f>'[1]побудинковий звіт'!BT94+'[2]побудинковий звіт'!BT94-'[3]побудинковий звіт'!BT94</f>
        <v>75682.793783481349</v>
      </c>
      <c r="BU94" s="42">
        <f>'[1]побудинковий звіт'!BU94+'[2]побудинковий звіт'!BU94-'[3]побудинковий звіт'!BU94</f>
        <v>61937.771216846821</v>
      </c>
      <c r="BV94" s="56">
        <f t="shared" si="87"/>
        <v>-13745.022566634529</v>
      </c>
      <c r="BW94" s="42">
        <f>'[1]побудинковий звіт'!BW94+'[2]побудинковий звіт'!BW94-'[3]побудинковий звіт'!BW94</f>
        <v>45875.384030005946</v>
      </c>
      <c r="BX94" s="42">
        <f>'[1]побудинковий звіт'!BX94+'[2]побудинковий звіт'!BX94-'[3]побудинковий звіт'!BX94</f>
        <v>38800.30057142306</v>
      </c>
      <c r="BY94" s="56">
        <f t="shared" si="88"/>
        <v>-7075.0834585828852</v>
      </c>
      <c r="BZ94" s="42">
        <f>'[1]побудинковий звіт'!BZ94+'[2]побудинковий звіт'!BZ94-'[3]побудинковий звіт'!BZ94</f>
        <v>10387.123617720867</v>
      </c>
      <c r="CA94" s="42">
        <f>'[1]побудинковий звіт'!CA94+'[2]побудинковий звіт'!CA94-'[3]побудинковий звіт'!CA94</f>
        <v>12822.133201136061</v>
      </c>
      <c r="CB94" s="56">
        <f t="shared" si="89"/>
        <v>2435.0095834151944</v>
      </c>
      <c r="CC94" s="42">
        <f>'[1]побудинковий звіт'!CC94+'[2]побудинковий звіт'!CC94-'[3]побудинковий звіт'!CC94</f>
        <v>772.9803111746719</v>
      </c>
      <c r="CD94" s="42">
        <f>'[1]побудинковий звіт'!CD94+'[2]побудинковий звіт'!CD94-'[3]побудинковий звіт'!CD94</f>
        <v>766.18173080052088</v>
      </c>
      <c r="CE94" s="56">
        <f t="shared" si="90"/>
        <v>-6.7985803741510153</v>
      </c>
      <c r="CF94" s="42">
        <f>'[1]побудинковий звіт'!CF94+'[2]побудинковий звіт'!CF94-'[3]побудинковий звіт'!CF94</f>
        <v>95.158561034760723</v>
      </c>
      <c r="CG94" s="42">
        <f>'[1]побудинковий звіт'!CG94+'[2]побудинковий звіт'!CG94-'[3]побудинковий звіт'!CG94</f>
        <v>0</v>
      </c>
      <c r="CH94" s="56">
        <f t="shared" si="91"/>
        <v>-95.158561034760723</v>
      </c>
      <c r="CI94" s="42">
        <f>'[1]побудинковий звіт'!CI94+'[2]побудинковий звіт'!CI94-'[3]побудинковий звіт'!CI94</f>
        <v>16808.337609118538</v>
      </c>
      <c r="CJ94" s="42">
        <f>'[1]побудинковий звіт'!CJ94+'[2]побудинковий звіт'!CJ94-'[3]побудинковий звіт'!CJ94</f>
        <v>21056.404817724186</v>
      </c>
      <c r="CK94" s="56">
        <f t="shared" si="92"/>
        <v>4248.0672086056475</v>
      </c>
      <c r="CL94" s="42">
        <f>'[1]побудинковий звіт'!CL94+'[2]побудинковий звіт'!CL94-'[3]побудинковий звіт'!CL94</f>
        <v>11380.255307732819</v>
      </c>
      <c r="CM94" s="42">
        <f>'[1]побудинковий звіт'!CM94+'[2]побудинковий звіт'!CM94-'[3]побудинковий звіт'!CM94</f>
        <v>13127.59296071027</v>
      </c>
      <c r="CN94" s="56">
        <f t="shared" si="93"/>
        <v>1747.3376529774505</v>
      </c>
      <c r="CO94" s="42">
        <f t="shared" si="64"/>
        <v>28188.592916851358</v>
      </c>
      <c r="CP94" s="43">
        <f t="shared" si="94"/>
        <v>34183.997778434452</v>
      </c>
      <c r="CQ94" s="56">
        <f t="shared" si="95"/>
        <v>5995.4048615830943</v>
      </c>
      <c r="CR94" s="78">
        <f t="shared" si="65"/>
        <v>343832.70517131453</v>
      </c>
      <c r="CS94" s="5">
        <f t="shared" si="65"/>
        <v>278415.41566767823</v>
      </c>
      <c r="CT94" s="56">
        <f t="shared" si="96"/>
        <v>-65417.289503636304</v>
      </c>
      <c r="CU94" s="87">
        <f t="shared" si="97"/>
        <v>412599.24620557745</v>
      </c>
      <c r="CV94" s="70">
        <f t="shared" si="98"/>
        <v>334098.49880121386</v>
      </c>
      <c r="CW94" s="37">
        <f t="shared" si="99"/>
        <v>-78500.747404363588</v>
      </c>
      <c r="CX94" s="42">
        <f>'[1]побудинковий звіт'!CX94+'[2]побудинковий звіт'!CX94-'[3]побудинковий звіт'!CX94</f>
        <v>6189.7137944223359</v>
      </c>
      <c r="CY94" s="42">
        <f>'[1]побудинковий звіт'!CY94+'[2]побудинковий звіт'!CY94-'[3]побудинковий звіт'!CY94</f>
        <v>84690.461198785953</v>
      </c>
      <c r="CZ94" s="56">
        <f t="shared" si="100"/>
        <v>78500.747404363618</v>
      </c>
      <c r="DA94" s="264">
        <f>'[4]побудинковий звіт'!DA94</f>
        <v>-84787.378935065775</v>
      </c>
      <c r="DB94" s="2">
        <v>1</v>
      </c>
      <c r="DC94" s="717">
        <f>'[4]побудинковий звіт'!DC94</f>
        <v>68240.87</v>
      </c>
      <c r="DD94" s="717">
        <f>'[4]побудинковий звіт'!DD94</f>
        <v>0</v>
      </c>
      <c r="DE94" s="717">
        <f>'[4]побудинковий звіт'!DE94</f>
        <v>33671.53</v>
      </c>
      <c r="DF94" s="717">
        <f>'[4]побудинковий звіт'!DF94</f>
        <v>-329.74</v>
      </c>
      <c r="DG94" s="787">
        <v>-43351.862585682655</v>
      </c>
      <c r="DH94" s="761">
        <f t="shared" si="109"/>
        <v>5025467.5199999977</v>
      </c>
      <c r="DI94" s="784"/>
      <c r="DJ94" s="5"/>
      <c r="DK94" s="317">
        <f>VLOOKUP($A94,ціни!$A$4:$G$401,5)</f>
        <v>6.0773222204467352</v>
      </c>
      <c r="DL94" s="317">
        <f>VLOOKUP($A94,ціни!$A$4:$G$401,6)</f>
        <v>7.3107802438272094</v>
      </c>
      <c r="DM94" s="317">
        <f>VLOOKUP($A94,ціни!$A$4:$G$401,7)</f>
        <v>5.1044215029353008</v>
      </c>
      <c r="DN94" s="30">
        <f t="shared" si="115"/>
        <v>36482.870674620593</v>
      </c>
      <c r="DO94" s="30">
        <f t="shared" si="116"/>
        <v>329.74562908962042</v>
      </c>
      <c r="DP94" s="316">
        <f t="shared" si="101"/>
        <v>36812.616303710216</v>
      </c>
      <c r="DQ94" s="104"/>
      <c r="DR94" s="30">
        <f>VLOOKUP(A94,'ДЗ нас '!$A$1:$C$359,2)</f>
        <v>34569.339999999997</v>
      </c>
      <c r="DS94" s="748">
        <f>VLOOKUP(A94,'ДЗ нежит'!$A$1:$D$153,4,0)</f>
        <v>329.74</v>
      </c>
      <c r="DT94" s="30">
        <f t="shared" si="102"/>
        <v>34899.079999999994</v>
      </c>
      <c r="DU94" s="257">
        <f>VLOOKUP(A94,'новий кошторис с 01.06'!$A$4:$AI$399,35)*1.2</f>
        <v>35002.169386439826</v>
      </c>
      <c r="DV94" s="30">
        <f t="shared" si="103"/>
        <v>-103.08938643983129</v>
      </c>
      <c r="DW94" s="930">
        <f>'[5]побудинковий звіт'!DW94+'[6]побудинковий звіт'!DW94</f>
        <v>202</v>
      </c>
      <c r="DY94" s="5">
        <f t="shared" si="104"/>
        <v>94176.683837137462</v>
      </c>
      <c r="DZ94" s="5">
        <f t="shared" si="105"/>
        <v>45419.015897571699</v>
      </c>
      <c r="EA94" s="752">
        <f t="shared" si="110"/>
        <v>33341.79</v>
      </c>
      <c r="EC94" s="592">
        <f t="shared" si="106"/>
        <v>861700.90050761891</v>
      </c>
      <c r="EE94" s="758">
        <v>37957</v>
      </c>
      <c r="EF94" s="738">
        <f t="shared" si="107"/>
        <v>-5394.8625856826548</v>
      </c>
      <c r="EH94" s="813">
        <v>-16130.659757711877</v>
      </c>
    </row>
    <row r="95" spans="1:138" x14ac:dyDescent="0.3">
      <c r="A95" s="328">
        <v>150000629</v>
      </c>
      <c r="B95" s="44" t="s">
        <v>545</v>
      </c>
      <c r="C95" s="45" t="s">
        <v>357</v>
      </c>
      <c r="D95" s="45" t="s">
        <v>357</v>
      </c>
      <c r="E95" s="40">
        <f t="shared" si="108"/>
        <v>2605.5</v>
      </c>
      <c r="F95" s="490">
        <v>2605.5</v>
      </c>
      <c r="G95" s="30">
        <v>1060.24</v>
      </c>
      <c r="H95" s="30">
        <v>0</v>
      </c>
      <c r="I95" s="42">
        <f>'[1]побудинковий звіт'!I95+'[2]побудинковий звіт'!I95-'[3]побудинковий звіт'!I95</f>
        <v>24142.11381697065</v>
      </c>
      <c r="J95" s="42">
        <f>'[1]побудинковий звіт'!J95+'[2]побудинковий звіт'!J95-'[3]побудинковий звіт'!J95</f>
        <v>20714.88909954462</v>
      </c>
      <c r="K95" s="56">
        <f t="shared" si="66"/>
        <v>-3427.2247174260301</v>
      </c>
      <c r="L95" s="42">
        <f>'[1]побудинковий звіт'!L95+'[2]побудинковий звіт'!L95-'[3]побудинковий звіт'!L95</f>
        <v>4002.8922094074201</v>
      </c>
      <c r="M95" s="42">
        <f>'[1]побудинковий звіт'!M95+'[2]побудинковий звіт'!M95-'[3]побудинковий звіт'!M95</f>
        <v>3735.8072565586381</v>
      </c>
      <c r="N95" s="56">
        <f t="shared" si="67"/>
        <v>-267.084952848782</v>
      </c>
      <c r="O95" s="42">
        <f>'[1]побудинковий звіт'!O95+'[2]побудинковий звіт'!O95-'[3]побудинковий звіт'!O95</f>
        <v>13587.599999999997</v>
      </c>
      <c r="P95" s="42">
        <f>'[1]побудинковий звіт'!P95+'[2]побудинковий звіт'!P95-'[3]побудинковий звіт'!P95</f>
        <v>10680.20670919355</v>
      </c>
      <c r="Q95" s="56">
        <f t="shared" si="68"/>
        <v>-2907.3932908064471</v>
      </c>
      <c r="R95" s="42">
        <f>'[1]побудинковий звіт'!R95+'[2]побудинковий звіт'!R95-'[3]побудинковий звіт'!R95</f>
        <v>2956.5600000000004</v>
      </c>
      <c r="S95" s="42">
        <f>'[1]побудинковий звіт'!S95+'[2]побудинковий звіт'!S95-'[3]побудинковий звіт'!S95</f>
        <v>2324.3656166666669</v>
      </c>
      <c r="T95" s="56">
        <f t="shared" si="69"/>
        <v>-632.19438333333346</v>
      </c>
      <c r="U95" s="42">
        <f>'[1]побудинковий звіт'!U95+'[2]побудинковий звіт'!U95-'[3]побудинковий звіт'!U95</f>
        <v>4609.9343917566339</v>
      </c>
      <c r="V95" s="42">
        <f>'[1]побудинковий звіт'!V95+'[2]побудинковий звіт'!V95-'[3]побудинковий звіт'!V95</f>
        <v>1651.7530484539129</v>
      </c>
      <c r="W95" s="56">
        <f t="shared" si="70"/>
        <v>-2958.181343302721</v>
      </c>
      <c r="X95" s="42">
        <f>'[1]побудинковий звіт'!X95+'[2]побудинковий звіт'!X95-'[3]побудинковий звіт'!X95</f>
        <v>19551.988170768007</v>
      </c>
      <c r="Y95" s="42">
        <f>'[1]побудинковий звіт'!Y95+'[2]побудинковий звіт'!Y95-'[3]побудинковий звіт'!Y95</f>
        <v>14042.764633014041</v>
      </c>
      <c r="Z95" s="56">
        <f t="shared" si="71"/>
        <v>-5509.2235377539655</v>
      </c>
      <c r="AA95" s="42">
        <f>'[1]побудинковий звіт'!AA95+'[2]побудинковий звіт'!AA95-'[3]побудинковий звіт'!AA95</f>
        <v>0</v>
      </c>
      <c r="AB95" s="42">
        <f>'[1]побудинковий звіт'!AB95+'[2]побудинковий звіт'!AB95-'[3]побудинковий звіт'!AB95</f>
        <v>0</v>
      </c>
      <c r="AC95" s="56">
        <f t="shared" si="72"/>
        <v>0</v>
      </c>
      <c r="AD95" s="42">
        <f>'[1]побудинковий звіт'!AD95+'[2]побудинковий звіт'!AD95-'[3]побудинковий звіт'!AD95</f>
        <v>40850.182752032619</v>
      </c>
      <c r="AE95" s="42">
        <f>'[1]побудинковий звіт'!AE95+'[2]побудинковий звіт'!AE95-'[3]побудинковий звіт'!AE95</f>
        <v>37651.703509131388</v>
      </c>
      <c r="AF95" s="37">
        <f t="shared" si="73"/>
        <v>-3198.4792429012305</v>
      </c>
      <c r="AG95" s="87">
        <f t="shared" si="61"/>
        <v>109701.27134093533</v>
      </c>
      <c r="AH95" s="57">
        <f t="shared" si="61"/>
        <v>90801.489872562815</v>
      </c>
      <c r="AI95" s="56">
        <f t="shared" si="74"/>
        <v>-18899.781468372516</v>
      </c>
      <c r="AJ95" s="42">
        <f>'[1]побудинковий звіт'!AJ95+'[2]побудинковий звіт'!AJ95-'[3]побудинковий звіт'!AJ95</f>
        <v>82957.141158182814</v>
      </c>
      <c r="AK95" s="42">
        <f>'[1]побудинковий звіт'!AK95+'[2]побудинковий звіт'!AK95-'[3]побудинковий звіт'!AK95</f>
        <v>80249.098746506657</v>
      </c>
      <c r="AL95" s="56">
        <f t="shared" si="75"/>
        <v>-2708.0424116761569</v>
      </c>
      <c r="AM95" s="42">
        <f>'[1]побудинковий звіт'!AM95+'[2]побудинковий звіт'!AM95-'[3]побудинковий звіт'!AM95</f>
        <v>0</v>
      </c>
      <c r="AN95" s="42">
        <f>'[1]побудинковий звіт'!AN95+'[2]побудинковий звіт'!AN95-'[3]побудинковий звіт'!AN95</f>
        <v>0</v>
      </c>
      <c r="AO95" s="56">
        <f t="shared" si="76"/>
        <v>0</v>
      </c>
      <c r="AP95" s="42">
        <f>'[1]побудинковий звіт'!AP95+'[2]побудинковий звіт'!AP95-'[3]побудинковий звіт'!AP95</f>
        <v>7244.6849681364229</v>
      </c>
      <c r="AQ95" s="42">
        <f>'[1]побудинковий звіт'!AQ95+'[2]побудинковий звіт'!AQ95-'[3]побудинковий звіт'!AQ95</f>
        <v>6981.3973209452906</v>
      </c>
      <c r="AR95" s="56">
        <f t="shared" si="77"/>
        <v>-263.28764719113224</v>
      </c>
      <c r="AS95" s="42">
        <f>'[1]побудинковий звіт'!AS95+'[2]побудинковий звіт'!AS95-'[3]побудинковий звіт'!AS95</f>
        <v>182334.46755420358</v>
      </c>
      <c r="AT95" s="42">
        <f>'[1]побудинковий звіт'!AT95+'[2]побудинковий звіт'!AT95-'[3]побудинковий звіт'!AT95</f>
        <v>127613.65105040171</v>
      </c>
      <c r="AU95" s="58">
        <f t="shared" si="78"/>
        <v>-54720.816503801878</v>
      </c>
      <c r="AV95" s="42">
        <f>'[1]побудинковий звіт'!AV95+'[2]побудинковий звіт'!AV95-'[3]побудинковий звіт'!AV95</f>
        <v>1940.016512428359</v>
      </c>
      <c r="AW95" s="42">
        <f>'[1]побудинковий звіт'!AW95+'[2]побудинковий звіт'!AW95-'[3]побудинковий звіт'!AW95</f>
        <v>1196</v>
      </c>
      <c r="AX95" s="59">
        <f t="shared" si="79"/>
        <v>-744.01651242835896</v>
      </c>
      <c r="AY95" s="42">
        <f>'[1]побудинковий звіт'!AY95+'[2]побудинковий звіт'!AY95-'[3]побудинковий звіт'!AY95</f>
        <v>2671.3948400443719</v>
      </c>
      <c r="AZ95" s="42">
        <f>'[1]побудинковий звіт'!AZ95+'[2]побудинковий звіт'!AZ95-'[3]побудинковий звіт'!AZ95</f>
        <v>2912</v>
      </c>
      <c r="BA95" s="37">
        <f t="shared" si="80"/>
        <v>240.6051599556281</v>
      </c>
      <c r="BB95" s="42">
        <f>'[1]побудинковий звіт'!BB95+'[2]побудинковий звіт'!BB95-'[3]побудинковий звіт'!BB95</f>
        <v>4246.1806401246949</v>
      </c>
      <c r="BC95" s="42">
        <f>'[1]побудинковий звіт'!BC95+'[2]побудинковий звіт'!BC95-'[3]побудинковий звіт'!BC95</f>
        <v>0</v>
      </c>
      <c r="BD95" s="59">
        <f t="shared" si="81"/>
        <v>-4246.1806401246949</v>
      </c>
      <c r="BE95" s="42">
        <f>'[1]побудинковий звіт'!BE95+'[2]побудинковий звіт'!BE95-'[3]побудинковий звіт'!BE95</f>
        <v>1557.2763862988356</v>
      </c>
      <c r="BF95" s="42">
        <f>'[1]побудинковий звіт'!BF95+'[2]побудинковий звіт'!BF95-'[3]побудинковий звіт'!BF95</f>
        <v>2587</v>
      </c>
      <c r="BG95" s="39">
        <f t="shared" si="82"/>
        <v>1029.7236137011644</v>
      </c>
      <c r="BH95" s="42">
        <f>'[1]побудинковий звіт'!BH95+'[2]побудинковий звіт'!BH95-'[3]побудинковий звіт'!BH95</f>
        <v>2338.5323677229662</v>
      </c>
      <c r="BI95" s="42">
        <f>'[1]побудинковий звіт'!BI95+'[2]побудинковий звіт'!BI95-'[3]побудинковий звіт'!BI95</f>
        <v>0</v>
      </c>
      <c r="BJ95" s="59">
        <f t="shared" si="83"/>
        <v>-2338.5323677229662</v>
      </c>
      <c r="BK95" s="42">
        <f>'[1]побудинковий звіт'!BK95+'[2]побудинковий звіт'!BK95-'[3]побудинковий звіт'!BK95</f>
        <v>1835.3146988894725</v>
      </c>
      <c r="BL95" s="42">
        <f>'[1]побудинковий звіт'!BL95+'[2]побудинковий звіт'!BL95-'[3]побудинковий звіт'!BL95</f>
        <v>1623.0598752286205</v>
      </c>
      <c r="BM95" s="39">
        <f t="shared" si="84"/>
        <v>-212.25482366085203</v>
      </c>
      <c r="BN95" s="42">
        <f>'[1]побудинковий звіт'!BN95+'[2]побудинковий звіт'!BN95-'[3]побудинковий звіт'!BN95</f>
        <v>1118.5937498727455</v>
      </c>
      <c r="BO95" s="42">
        <f>'[1]побудинковий звіт'!BO95+'[2]побудинковий звіт'!BO95-'[3]побудинковий звіт'!BO95</f>
        <v>0</v>
      </c>
      <c r="BP95" s="59">
        <f t="shared" si="85"/>
        <v>-1118.5937498727455</v>
      </c>
      <c r="BQ95" s="87">
        <f t="shared" si="113"/>
        <v>15707.309195381447</v>
      </c>
      <c r="BR95" s="43">
        <f t="shared" si="114"/>
        <v>8318.0598752286205</v>
      </c>
      <c r="BS95" s="59">
        <f t="shared" si="86"/>
        <v>-7389.2493201528268</v>
      </c>
      <c r="BT95" s="42">
        <f>'[1]побудинковий звіт'!BT95+'[2]побудинковий звіт'!BT95-'[3]побудинковий звіт'!BT95</f>
        <v>136089.50853918158</v>
      </c>
      <c r="BU95" s="42">
        <f>'[1]побудинковий звіт'!BU95+'[2]побудинковий звіт'!BU95-'[3]побудинковий звіт'!BU95</f>
        <v>157489.48758770165</v>
      </c>
      <c r="BV95" s="56">
        <f t="shared" si="87"/>
        <v>21399.979048520065</v>
      </c>
      <c r="BW95" s="42">
        <f>'[1]побудинковий звіт'!BW95+'[2]побудинковий звіт'!BW95-'[3]побудинковий звіт'!BW95</f>
        <v>98011.104114909453</v>
      </c>
      <c r="BX95" s="42">
        <f>'[1]побудинковий звіт'!BX95+'[2]побудинковий звіт'!BX95-'[3]побудинковий звіт'!BX95</f>
        <v>107178.17409264873</v>
      </c>
      <c r="BY95" s="56">
        <f t="shared" si="88"/>
        <v>9167.0699777392729</v>
      </c>
      <c r="BZ95" s="42">
        <f>'[1]побудинковий звіт'!BZ95+'[2]побудинковий звіт'!BZ95-'[3]побудинковий звіт'!BZ95</f>
        <v>31161.370853162596</v>
      </c>
      <c r="CA95" s="42">
        <f>'[1]побудинковий звіт'!CA95+'[2]побудинковий звіт'!CA95-'[3]побудинковий звіт'!CA95</f>
        <v>38043.476298289374</v>
      </c>
      <c r="CB95" s="56">
        <f t="shared" si="89"/>
        <v>6882.1054451267773</v>
      </c>
      <c r="CC95" s="42">
        <f>'[1]побудинковий звіт'!CC95+'[2]побудинковий звіт'!CC95-'[3]побудинковий звіт'!CC95</f>
        <v>1935.392103321667</v>
      </c>
      <c r="CD95" s="42">
        <f>'[1]побудинковий звіт'!CD95+'[2]побудинковий звіт'!CD95-'[3]побудинковий звіт'!CD95</f>
        <v>1918.3697825979559</v>
      </c>
      <c r="CE95" s="56">
        <f t="shared" si="90"/>
        <v>-17.022320723711118</v>
      </c>
      <c r="CF95" s="42">
        <f>'[1]побудинковий звіт'!CF95+'[2]побудинковий звіт'!CF95-'[3]побудинковий звіт'!CF95</f>
        <v>238.25849756800824</v>
      </c>
      <c r="CG95" s="42">
        <f>'[1]побудинковий звіт'!CG95+'[2]побудинковий звіт'!CG95-'[3]побудинковий звіт'!CG95</f>
        <v>0</v>
      </c>
      <c r="CH95" s="56">
        <f t="shared" si="91"/>
        <v>-238.25849756800824</v>
      </c>
      <c r="CI95" s="42">
        <f>'[1]побудинковий звіт'!CI95+'[2]побудинковий звіт'!CI95-'[3]побудинковий звіт'!CI95</f>
        <v>18081.129321167606</v>
      </c>
      <c r="CJ95" s="42">
        <f>'[1]побудинковий звіт'!CJ95+'[2]побудинковий звіт'!CJ95-'[3]побудинковий звіт'!CJ95</f>
        <v>15976.038894395671</v>
      </c>
      <c r="CK95" s="56">
        <f t="shared" si="92"/>
        <v>-2105.0904267719343</v>
      </c>
      <c r="CL95" s="42">
        <f>'[1]побудинковий звіт'!CL95+'[2]побудинковий звіт'!CL95-'[3]побудинковий звіт'!CL95</f>
        <v>27102.976456574212</v>
      </c>
      <c r="CM95" s="42">
        <f>'[1]побудинковий звіт'!CM95+'[2]побудинковий звіт'!CM95-'[3]побудинковий звіт'!CM95</f>
        <v>23963.156635716947</v>
      </c>
      <c r="CN95" s="56">
        <f t="shared" si="93"/>
        <v>-3139.8198208572649</v>
      </c>
      <c r="CO95" s="42">
        <f t="shared" si="64"/>
        <v>45184.105777741817</v>
      </c>
      <c r="CP95" s="43">
        <f t="shared" si="94"/>
        <v>39939.195530112615</v>
      </c>
      <c r="CQ95" s="56">
        <f t="shared" si="95"/>
        <v>-5244.9102476292028</v>
      </c>
      <c r="CR95" s="78">
        <f t="shared" si="65"/>
        <v>710564.61410272471</v>
      </c>
      <c r="CS95" s="5">
        <f t="shared" si="65"/>
        <v>658532.4001569954</v>
      </c>
      <c r="CT95" s="56">
        <f t="shared" si="96"/>
        <v>-52032.213945729309</v>
      </c>
      <c r="CU95" s="87">
        <f t="shared" si="97"/>
        <v>852677.53692326962</v>
      </c>
      <c r="CV95" s="70">
        <f t="shared" si="98"/>
        <v>790238.88018839445</v>
      </c>
      <c r="CW95" s="37">
        <f t="shared" si="99"/>
        <v>-62438.656734875171</v>
      </c>
      <c r="CX95" s="42">
        <f>'[1]побудинковий звіт'!CX95+'[2]побудинковий звіт'!CX95-'[3]побудинковий звіт'!CX95</f>
        <v>11454.623076730291</v>
      </c>
      <c r="CY95" s="42">
        <f>'[1]побудинковий звіт'!CY95+'[2]побудинковий звіт'!CY95-'[3]побудинковий звіт'!CY95</f>
        <v>73893.27981160552</v>
      </c>
      <c r="CZ95" s="56">
        <f t="shared" si="100"/>
        <v>62438.656734875229</v>
      </c>
      <c r="DA95" s="264">
        <f>'[4]побудинковий звіт'!DA95</f>
        <v>-49517.035008973646</v>
      </c>
      <c r="DB95" s="2">
        <v>1</v>
      </c>
      <c r="DC95" s="717">
        <f>'[4]побудинковий звіт'!DC95</f>
        <v>188513.52</v>
      </c>
      <c r="DD95" s="717">
        <f>'[4]побудинковий звіт'!DD95</f>
        <v>0</v>
      </c>
      <c r="DE95" s="717">
        <f>'[4]побудинковий звіт'!DE95</f>
        <v>116321.20999999999</v>
      </c>
      <c r="DF95" s="717">
        <f>'[4]побудинковий звіт'!DF95</f>
        <v>0</v>
      </c>
      <c r="DG95" s="787">
        <v>-87349.783142400673</v>
      </c>
      <c r="DH95" s="761">
        <f t="shared" si="109"/>
        <v>10369585.919999998</v>
      </c>
      <c r="DI95" s="784"/>
      <c r="DJ95" s="5"/>
      <c r="DK95" s="317">
        <f>VLOOKUP($A95,ціни!$A$4:$G$401,5)</f>
        <v>6.3798267896686252</v>
      </c>
      <c r="DL95" s="317">
        <f>VLOOKUP($A95,ціни!$A$4:$G$401,6)</f>
        <v>7.6950798582384534</v>
      </c>
      <c r="DM95" s="317">
        <f>VLOOKUP($A95,ціни!$A$4:$G$401,7)</f>
        <v>5.3385458810754143</v>
      </c>
      <c r="DN95" s="30">
        <f t="shared" si="115"/>
        <v>18655.046657219813</v>
      </c>
      <c r="DO95" s="30">
        <f t="shared" si="116"/>
        <v>0</v>
      </c>
      <c r="DP95" s="316">
        <f t="shared" si="101"/>
        <v>18655.046657219813</v>
      </c>
      <c r="DQ95" s="104"/>
      <c r="DR95" s="30">
        <f>VLOOKUP(A95,'ДЗ нас '!$A$1:$C$359,2)</f>
        <v>72192.31</v>
      </c>
      <c r="DS95" s="748"/>
      <c r="DT95" s="30">
        <f t="shared" si="102"/>
        <v>72192.31</v>
      </c>
      <c r="DU95" s="257">
        <f>VLOOKUP(A95,'новий кошторис с 01.06'!$A$4:$AI$399,35)*1.2</f>
        <v>72335.477715657384</v>
      </c>
      <c r="DV95" s="30">
        <f t="shared" si="103"/>
        <v>-143.167715657386</v>
      </c>
      <c r="DW95" s="930">
        <f>'[5]побудинковий звіт'!DW95+'[6]побудинковий звіт'!DW95</f>
        <v>332</v>
      </c>
      <c r="DY95" s="5">
        <f t="shared" si="104"/>
        <v>237650.13209950202</v>
      </c>
      <c r="DZ95" s="5">
        <f t="shared" si="105"/>
        <v>163118.05311075639</v>
      </c>
      <c r="EA95" s="752">
        <f t="shared" si="110"/>
        <v>116321.20999999999</v>
      </c>
      <c r="EC95" s="592">
        <f t="shared" si="106"/>
        <v>2188013.610650443</v>
      </c>
      <c r="EE95" s="758">
        <v>64676</v>
      </c>
      <c r="EF95" s="738">
        <f t="shared" si="107"/>
        <v>-22673.783142400673</v>
      </c>
      <c r="EH95" s="813">
        <v>1053.2901068170613</v>
      </c>
    </row>
    <row r="96" spans="1:138" x14ac:dyDescent="0.3">
      <c r="A96" s="328">
        <v>150000626</v>
      </c>
      <c r="B96" s="44" t="s">
        <v>546</v>
      </c>
      <c r="C96" s="45" t="s">
        <v>358</v>
      </c>
      <c r="D96" s="45" t="s">
        <v>358</v>
      </c>
      <c r="E96" s="40">
        <f t="shared" si="108"/>
        <v>4661.7</v>
      </c>
      <c r="F96" s="490">
        <v>4661.7</v>
      </c>
      <c r="G96" s="30">
        <v>772.75</v>
      </c>
      <c r="H96" s="30">
        <v>0</v>
      </c>
      <c r="I96" s="42">
        <f>'[1]побудинковий звіт'!I96+'[2]побудинковий звіт'!I96-'[3]побудинковий звіт'!I96</f>
        <v>19626.04694294092</v>
      </c>
      <c r="J96" s="42">
        <f>'[1]побудинковий звіт'!J96+'[2]побудинковий звіт'!J96-'[3]побудинковий звіт'!J96</f>
        <v>16790.78055927726</v>
      </c>
      <c r="K96" s="56">
        <f t="shared" si="66"/>
        <v>-2835.2663836636602</v>
      </c>
      <c r="L96" s="42">
        <f>'[1]побудинковий звіт'!L96+'[2]побудинковий звіт'!L96-'[3]побудинковий звіт'!L96</f>
        <v>3945.8222850165921</v>
      </c>
      <c r="M96" s="42">
        <f>'[1]побудинковий звіт'!M96+'[2]побудинковий звіт'!M96-'[3]побудинковий звіт'!M96</f>
        <v>3656.7196768295189</v>
      </c>
      <c r="N96" s="56">
        <f t="shared" si="67"/>
        <v>-289.1026081870732</v>
      </c>
      <c r="O96" s="42">
        <f>'[1]побудинковий звіт'!O96+'[2]побудинковий звіт'!O96-'[3]побудинковий звіт'!O96</f>
        <v>12499.679999999998</v>
      </c>
      <c r="P96" s="42">
        <f>'[1]побудинковий звіт'!P96+'[2]побудинковий звіт'!P96-'[3]побудинковий звіт'!P96</f>
        <v>9825.3949321236578</v>
      </c>
      <c r="Q96" s="56">
        <f t="shared" si="68"/>
        <v>-2674.2850678763407</v>
      </c>
      <c r="R96" s="42">
        <f>'[1]побудинковий звіт'!R96+'[2]побудинковий звіт'!R96-'[3]побудинковий звіт'!R96</f>
        <v>2323.3200000000006</v>
      </c>
      <c r="S96" s="42">
        <f>'[1]побудинковий звіт'!S96+'[2]побудинковий звіт'!S96-'[3]побудинковий звіт'!S96</f>
        <v>1825.7818498655915</v>
      </c>
      <c r="T96" s="56">
        <f t="shared" si="69"/>
        <v>-497.53815013440908</v>
      </c>
      <c r="U96" s="42">
        <f>'[1]побудинковий звіт'!U96+'[2]побудинковий звіт'!U96-'[3]побудинковий звіт'!U96</f>
        <v>2304.9674409502677</v>
      </c>
      <c r="V96" s="42">
        <f>'[1]побудинковий звіт'!V96+'[2]побудинковий звіт'!V96-'[3]побудинковий звіт'!V96</f>
        <v>910.38382485313878</v>
      </c>
      <c r="W96" s="56">
        <f t="shared" si="70"/>
        <v>-1394.5836160971289</v>
      </c>
      <c r="X96" s="42">
        <f>'[1]побудинковий звіт'!X96+'[2]побудинковий звіт'!X96-'[3]побудинковий звіт'!X96</f>
        <v>17534.947650301274</v>
      </c>
      <c r="Y96" s="42">
        <f>'[1]побудинковий звіт'!Y96+'[2]побудинковий звіт'!Y96-'[3]побудинковий звіт'!Y96</f>
        <v>12564.162916327163</v>
      </c>
      <c r="Z96" s="56">
        <f t="shared" si="71"/>
        <v>-4970.7847339741111</v>
      </c>
      <c r="AA96" s="42">
        <f>'[1]побудинковий звіт'!AA96+'[2]побудинковий звіт'!AA96-'[3]побудинковий звіт'!AA96</f>
        <v>0</v>
      </c>
      <c r="AB96" s="42">
        <f>'[1]побудинковий звіт'!AB96+'[2]побудинковий звіт'!AB96-'[3]побудинковий звіт'!AB96</f>
        <v>0</v>
      </c>
      <c r="AC96" s="56">
        <f t="shared" si="72"/>
        <v>0</v>
      </c>
      <c r="AD96" s="42">
        <f>'[1]побудинковий звіт'!AD96+'[2]побудинковий звіт'!AD96-'[3]побудинковий звіт'!AD96</f>
        <v>32100.505927321898</v>
      </c>
      <c r="AE96" s="42">
        <f>'[1]побудинковий звіт'!AE96+'[2]побудинковий звіт'!AE96-'[3]побудинковий звіт'!AE96</f>
        <v>29586.979659688688</v>
      </c>
      <c r="AF96" s="37">
        <f t="shared" si="73"/>
        <v>-2513.5262676332095</v>
      </c>
      <c r="AG96" s="87">
        <f t="shared" si="61"/>
        <v>90335.290246530945</v>
      </c>
      <c r="AH96" s="57">
        <f t="shared" si="61"/>
        <v>75160.203418965015</v>
      </c>
      <c r="AI96" s="56">
        <f t="shared" si="74"/>
        <v>-15175.08682756593</v>
      </c>
      <c r="AJ96" s="42">
        <f>'[1]побудинковий звіт'!AJ96+'[2]побудинковий звіт'!AJ96-'[3]побудинковий звіт'!AJ96</f>
        <v>59568.79126963079</v>
      </c>
      <c r="AK96" s="42">
        <f>'[1]побудинковий звіт'!AK96+'[2]побудинковий звіт'!AK96-'[3]побудинковий звіт'!AK96</f>
        <v>59044.601867678866</v>
      </c>
      <c r="AL96" s="56">
        <f t="shared" si="75"/>
        <v>-524.18940195192408</v>
      </c>
      <c r="AM96" s="42">
        <f>'[1]побудинковий звіт'!AM96+'[2]побудинковий звіт'!AM96-'[3]побудинковий звіт'!AM96</f>
        <v>6313.6886354837225</v>
      </c>
      <c r="AN96" s="42">
        <f>'[1]побудинковий звіт'!AN96+'[2]побудинковий звіт'!AN96-'[3]побудинковий звіт'!AN96</f>
        <v>4436.6068684786414</v>
      </c>
      <c r="AO96" s="56">
        <f t="shared" si="76"/>
        <v>-1877.081767005081</v>
      </c>
      <c r="AP96" s="42">
        <f>'[1]побудинковий звіт'!AP96+'[2]побудинковий звіт'!AP96-'[3]побудинковий звіт'!AP96</f>
        <v>6771.176146689595</v>
      </c>
      <c r="AQ96" s="42">
        <f>'[1]побудинковий звіт'!AQ96+'[2]побудинковий звіт'!AQ96-'[3]побудинковий звіт'!AQ96</f>
        <v>6681.225633336835</v>
      </c>
      <c r="AR96" s="56">
        <f t="shared" si="77"/>
        <v>-89.950513352760026</v>
      </c>
      <c r="AS96" s="42">
        <f>'[1]побудинковий звіт'!AS96+'[2]побудинковий звіт'!AS96-'[3]побудинковий звіт'!AS96</f>
        <v>125062.75136222427</v>
      </c>
      <c r="AT96" s="42">
        <f>'[1]побудинковий звіт'!AT96+'[2]побудинковий звіт'!AT96-'[3]побудинковий звіт'!AT96</f>
        <v>62259.772944837787</v>
      </c>
      <c r="AU96" s="58">
        <f t="shared" si="78"/>
        <v>-62802.978417386483</v>
      </c>
      <c r="AV96" s="42">
        <f>'[1]побудинковий звіт'!AV96+'[2]побудинковий звіт'!AV96-'[3]побудинковий звіт'!AV96</f>
        <v>1618.0635427981538</v>
      </c>
      <c r="AW96" s="42">
        <f>'[1]побудинковий звіт'!AW96+'[2]побудинковий звіт'!AW96-'[3]побудинковий звіт'!AW96</f>
        <v>1163</v>
      </c>
      <c r="AX96" s="59">
        <f t="shared" si="79"/>
        <v>-455.06354279815378</v>
      </c>
      <c r="AY96" s="42">
        <f>'[1]побудинковий звіт'!AY96+'[2]побудинковий звіт'!AY96-'[3]побудинковий звіт'!AY96</f>
        <v>2461.5173043234017</v>
      </c>
      <c r="AZ96" s="42">
        <f>'[1]побудинковий звіт'!AZ96+'[2]побудинковий звіт'!AZ96-'[3]побудинковий звіт'!AZ96</f>
        <v>4250</v>
      </c>
      <c r="BA96" s="37">
        <f t="shared" si="80"/>
        <v>1788.4826956765983</v>
      </c>
      <c r="BB96" s="42">
        <f>'[1]побудинковий звіт'!BB96+'[2]побудинковий звіт'!BB96-'[3]побудинковий звіт'!BB96</f>
        <v>2766.0248753394776</v>
      </c>
      <c r="BC96" s="42">
        <f>'[1]побудинковий звіт'!BC96+'[2]побудинковий звіт'!BC96-'[3]побудинковий звіт'!BC96</f>
        <v>0</v>
      </c>
      <c r="BD96" s="59">
        <f t="shared" si="81"/>
        <v>-2766.0248753394776</v>
      </c>
      <c r="BE96" s="42">
        <f>'[1]побудинковий звіт'!BE96+'[2]побудинковий звіт'!BE96-'[3]побудинковий звіт'!BE96</f>
        <v>1109.4507192130609</v>
      </c>
      <c r="BF96" s="42">
        <f>'[1]побудинковий звіт'!BF96+'[2]побудинковий звіт'!BF96-'[3]побудинковий звіт'!BF96</f>
        <v>1575</v>
      </c>
      <c r="BG96" s="39">
        <f t="shared" si="82"/>
        <v>465.54928078693911</v>
      </c>
      <c r="BH96" s="42">
        <f>'[1]побудинковий звіт'!BH96+'[2]побудинковий звіт'!BH96-'[3]побудинковий звіт'!BH96</f>
        <v>1169.3389950169108</v>
      </c>
      <c r="BI96" s="42">
        <f>'[1]побудинковий звіт'!BI96+'[2]побудинковий звіт'!BI96-'[3]побудинковий звіт'!BI96</f>
        <v>0</v>
      </c>
      <c r="BJ96" s="59">
        <f t="shared" si="83"/>
        <v>-1169.3389950169108</v>
      </c>
      <c r="BK96" s="42">
        <f>'[1]побудинковий звіт'!BK96+'[2]побудинковий звіт'!BK96-'[3]побудинковий звіт'!BK96</f>
        <v>1923.1874940680241</v>
      </c>
      <c r="BL96" s="42">
        <f>'[1]побудинковий звіт'!BL96+'[2]побудинковий звіт'!BL96-'[3]побудинковий звіт'!BL96</f>
        <v>649.00000000000011</v>
      </c>
      <c r="BM96" s="39">
        <f t="shared" si="84"/>
        <v>-1274.1874940680241</v>
      </c>
      <c r="BN96" s="42">
        <f>'[1]побудинковий звіт'!BN96+'[2]побудинковий звіт'!BN96-'[3]побудинковий звіт'!BN96</f>
        <v>762.07335091908692</v>
      </c>
      <c r="BO96" s="42">
        <f>'[1]побудинковий звіт'!BO96+'[2]побудинковий звіт'!BO96-'[3]побудинковий звіт'!BO96</f>
        <v>5646</v>
      </c>
      <c r="BP96" s="59">
        <f t="shared" si="85"/>
        <v>4883.9266490809132</v>
      </c>
      <c r="BQ96" s="87">
        <f t="shared" si="113"/>
        <v>11809.656281678117</v>
      </c>
      <c r="BR96" s="43">
        <f t="shared" si="114"/>
        <v>13283</v>
      </c>
      <c r="BS96" s="59">
        <f t="shared" si="86"/>
        <v>1473.343718321883</v>
      </c>
      <c r="BT96" s="42">
        <f>'[1]побудинковий звіт'!BT96+'[2]побудинковий звіт'!BT96-'[3]побудинковий звіт'!BT96</f>
        <v>105521.62424399707</v>
      </c>
      <c r="BU96" s="42">
        <f>'[1]побудинковий звіт'!BU96+'[2]побудинковий звіт'!BU96-'[3]побудинковий звіт'!BU96</f>
        <v>112381.3600926833</v>
      </c>
      <c r="BV96" s="56">
        <f t="shared" si="87"/>
        <v>6859.7358486862358</v>
      </c>
      <c r="BW96" s="42">
        <f>'[1]побудинковий звіт'!BW96+'[2]побудинковий звіт'!BW96-'[3]побудинковий звіт'!BW96</f>
        <v>70961.775937306316</v>
      </c>
      <c r="BX96" s="42">
        <f>'[1]побудинковий звіт'!BX96+'[2]побудинковий звіт'!BX96-'[3]побудинковий звіт'!BX96</f>
        <v>73035.058892499088</v>
      </c>
      <c r="BY96" s="56">
        <f t="shared" si="88"/>
        <v>2073.2829551927716</v>
      </c>
      <c r="BZ96" s="42">
        <f>'[1]побудинковий звіт'!BZ96+'[2]побудинковий звіт'!BZ96-'[3]побудинковий звіт'!BZ96</f>
        <v>12983.904522151081</v>
      </c>
      <c r="CA96" s="42">
        <f>'[1]побудинковий звіт'!CA96+'[2]побудинковий звіт'!CA96-'[3]побудинковий звіт'!CA96</f>
        <v>21762.213202218809</v>
      </c>
      <c r="CB96" s="56">
        <f t="shared" si="89"/>
        <v>8778.3086800677283</v>
      </c>
      <c r="CC96" s="42">
        <f>'[1]побудинковий звіт'!CC96+'[2]побудинковий звіт'!CC96-'[3]побудинковий звіт'!CC96</f>
        <v>1988.3359602514388</v>
      </c>
      <c r="CD96" s="42">
        <f>'[1]побудинковий звіт'!CD96+'[2]побудинковий звіт'!CD96-'[3]побудинковий звіт'!CD96</f>
        <v>1970.8479833377178</v>
      </c>
      <c r="CE96" s="56">
        <f t="shared" si="90"/>
        <v>-17.487976913721013</v>
      </c>
      <c r="CF96" s="42">
        <f>'[1]побудинковий звіт'!CF96+'[2]побудинковий звіт'!CF96-'[3]побудинковий звіт'!CF96</f>
        <v>244.77620722792335</v>
      </c>
      <c r="CG96" s="42">
        <f>'[1]побудинковий звіт'!CG96+'[2]побудинковий звіт'!CG96-'[3]побудинковий звіт'!CG96</f>
        <v>0</v>
      </c>
      <c r="CH96" s="56">
        <f t="shared" si="91"/>
        <v>-244.77620722792335</v>
      </c>
      <c r="CI96" s="42">
        <f>'[1]побудинковий звіт'!CI96+'[2]побудинковий звіт'!CI96-'[3]побудинковий звіт'!CI96</f>
        <v>12484.589293187151</v>
      </c>
      <c r="CJ96" s="42">
        <f>'[1]побудинковий звіт'!CJ96+'[2]побудинковий звіт'!CJ96-'[3]побудинковий звіт'!CJ96</f>
        <v>6893.3209263552471</v>
      </c>
      <c r="CK96" s="56">
        <f t="shared" si="92"/>
        <v>-5591.2683668319041</v>
      </c>
      <c r="CL96" s="42">
        <f>'[1]побудинковий звіт'!CL96+'[2]побудинковий звіт'!CL96-'[3]побудинковий звіт'!CL96</f>
        <v>14075.578933248484</v>
      </c>
      <c r="CM96" s="42">
        <f>'[1]побудинковий звіт'!CM96+'[2]побудинковий звіт'!CM96-'[3]побудинковий звіт'!CM96</f>
        <v>18778.701315945618</v>
      </c>
      <c r="CN96" s="56">
        <f t="shared" si="93"/>
        <v>4703.1223826971345</v>
      </c>
      <c r="CO96" s="42">
        <f t="shared" si="64"/>
        <v>26560.168226435635</v>
      </c>
      <c r="CP96" s="43">
        <f t="shared" si="94"/>
        <v>25672.022242300867</v>
      </c>
      <c r="CQ96" s="56">
        <f t="shared" si="95"/>
        <v>-888.14598413476779</v>
      </c>
      <c r="CR96" s="78">
        <f t="shared" si="65"/>
        <v>518121.93903960695</v>
      </c>
      <c r="CS96" s="5">
        <f t="shared" si="65"/>
        <v>455686.91314633691</v>
      </c>
      <c r="CT96" s="56">
        <f t="shared" si="96"/>
        <v>-62435.025893270038</v>
      </c>
      <c r="CU96" s="87">
        <f t="shared" si="97"/>
        <v>621746.32684752834</v>
      </c>
      <c r="CV96" s="70">
        <f t="shared" si="98"/>
        <v>546824.29577560432</v>
      </c>
      <c r="CW96" s="37">
        <f t="shared" si="99"/>
        <v>-74922.031071924022</v>
      </c>
      <c r="CX96" s="42">
        <f>'[1]побудинковий звіт'!CX96+'[2]побудинковий звіт'!CX96-'[3]побудинковий звіт'!CX96</f>
        <v>9372.1231524717659</v>
      </c>
      <c r="CY96" s="42">
        <f>'[1]побудинковий звіт'!CY96+'[2]побудинковий звіт'!CY96-'[3]побудинковий звіт'!CY96</f>
        <v>84294.154224395752</v>
      </c>
      <c r="CZ96" s="56">
        <f t="shared" si="100"/>
        <v>74922.031071923993</v>
      </c>
      <c r="DA96" s="264">
        <f>'[4]побудинковий звіт'!DA96</f>
        <v>-98323.282561915737</v>
      </c>
      <c r="DB96" s="2">
        <v>1</v>
      </c>
      <c r="DC96" s="717">
        <f>'[4]побудинковий звіт'!DC96</f>
        <v>182368.78</v>
      </c>
      <c r="DD96" s="717">
        <f>'[4]побудинковий звіт'!DD96</f>
        <v>0</v>
      </c>
      <c r="DE96" s="717">
        <f>'[4]побудинковий звіт'!DE96</f>
        <v>129769.81</v>
      </c>
      <c r="DF96" s="717">
        <f>'[4]побудинковий звіт'!DF96</f>
        <v>0</v>
      </c>
      <c r="DG96" s="787">
        <v>-29692.426604774315</v>
      </c>
      <c r="DH96" s="761">
        <f t="shared" si="109"/>
        <v>7573421.4000000004</v>
      </c>
      <c r="DI96" s="784"/>
      <c r="DJ96" s="5"/>
      <c r="DK96" s="317">
        <f>VLOOKUP($A96,ціни!$A$4:$G$401,5)</f>
        <v>5.9239491863961771</v>
      </c>
      <c r="DL96" s="317">
        <f>VLOOKUP($A96,ціни!$A$4:$G$401,6)</f>
        <v>7.1290165351185877</v>
      </c>
      <c r="DM96" s="317">
        <f>VLOOKUP($A96,ціни!$A$4:$G$401,7)</f>
        <v>4.9645502632445</v>
      </c>
      <c r="DN96" s="30">
        <f t="shared" si="115"/>
        <v>32302.120588037076</v>
      </c>
      <c r="DO96" s="30">
        <f t="shared" si="116"/>
        <v>0</v>
      </c>
      <c r="DP96" s="316">
        <f t="shared" si="101"/>
        <v>32302.120588037076</v>
      </c>
      <c r="DQ96" s="104"/>
      <c r="DR96" s="30">
        <f>VLOOKUP(A96,'ДЗ нас '!$A$1:$C$359,2)</f>
        <v>52598.97</v>
      </c>
      <c r="DS96" s="748"/>
      <c r="DT96" s="30">
        <f t="shared" si="102"/>
        <v>52598.97</v>
      </c>
      <c r="DU96" s="257">
        <f>VLOOKUP(A96,'новий кошторис с 01.06'!$A$4:$AI$399,35)*1.2</f>
        <v>52744.813394231969</v>
      </c>
      <c r="DV96" s="30">
        <f t="shared" si="103"/>
        <v>-145.84339423196798</v>
      </c>
      <c r="DW96" s="930">
        <f>'[5]побудинковий звіт'!DW96+'[6]побудинковий звіт'!DW96</f>
        <v>276</v>
      </c>
      <c r="DY96" s="5">
        <f t="shared" si="104"/>
        <v>164246.88917268286</v>
      </c>
      <c r="DZ96" s="5">
        <f t="shared" si="105"/>
        <v>90651.327533805335</v>
      </c>
      <c r="EA96" s="752">
        <f t="shared" si="110"/>
        <v>129769.81</v>
      </c>
      <c r="EC96" s="592">
        <f t="shared" si="106"/>
        <v>1500753.0163466912</v>
      </c>
      <c r="EE96" s="758">
        <v>94416</v>
      </c>
      <c r="EF96" s="738">
        <f t="shared" si="107"/>
        <v>64723.573395225685</v>
      </c>
      <c r="EH96" s="813">
        <v>-45404.089658116383</v>
      </c>
    </row>
    <row r="97" spans="1:138" x14ac:dyDescent="0.3">
      <c r="A97" s="328">
        <v>150000603</v>
      </c>
      <c r="B97" s="44" t="s">
        <v>547</v>
      </c>
      <c r="C97" s="45" t="s">
        <v>153</v>
      </c>
      <c r="D97" s="45" t="s">
        <v>153</v>
      </c>
      <c r="E97" s="40">
        <f t="shared" si="108"/>
        <v>4911.1499999999996</v>
      </c>
      <c r="F97" s="490">
        <v>4715.25</v>
      </c>
      <c r="G97" s="30"/>
      <c r="H97" s="30">
        <v>195.9</v>
      </c>
      <c r="I97" s="42">
        <f>'[1]побудинковий звіт'!I97+'[2]побудинковий звіт'!I97-'[3]побудинковий звіт'!I97</f>
        <v>1980.3666308869279</v>
      </c>
      <c r="J97" s="42">
        <f>'[1]побудинковий звіт'!J97+'[2]побудинковий звіт'!J97-'[3]побудинковий звіт'!J97</f>
        <v>1957.1500660618026</v>
      </c>
      <c r="K97" s="56">
        <f t="shared" si="66"/>
        <v>-23.216564825125261</v>
      </c>
      <c r="L97" s="42">
        <f>'[1]побудинковий звіт'!L97+'[2]побудинковий звіт'!L97-'[3]побудинковий звіт'!L97</f>
        <v>350.04425276136266</v>
      </c>
      <c r="M97" s="42">
        <f>'[1]побудинковий звіт'!M97+'[2]побудинковий звіт'!M97-'[3]побудинковий звіт'!M97</f>
        <v>353.18039679584979</v>
      </c>
      <c r="N97" s="56">
        <f t="shared" si="67"/>
        <v>3.1361440344871312</v>
      </c>
      <c r="O97" s="42">
        <f>'[1]побудинковий звіт'!O97+'[2]побудинковий звіт'!O97-'[3]побудинковий звіт'!O97</f>
        <v>717.3599999999999</v>
      </c>
      <c r="P97" s="42">
        <f>'[1]побудинковий звіт'!P97+'[2]побудинковий звіт'!P97-'[3]побудинковий звіт'!P97</f>
        <v>563.83025672043004</v>
      </c>
      <c r="Q97" s="56">
        <f t="shared" si="68"/>
        <v>-153.52974327956986</v>
      </c>
      <c r="R97" s="42">
        <f>'[1]побудинковий звіт'!R97+'[2]побудинковий звіт'!R97-'[3]побудинковий звіт'!R97</f>
        <v>0</v>
      </c>
      <c r="S97" s="42">
        <f>'[1]побудинковий звіт'!S97+'[2]побудинковий звіт'!S97-'[3]побудинковий звіт'!S97</f>
        <v>0</v>
      </c>
      <c r="T97" s="56">
        <f t="shared" si="69"/>
        <v>0</v>
      </c>
      <c r="U97" s="42">
        <f>'[1]побудинковий звіт'!U97+'[2]побудинковий звіт'!U97-'[3]побудинковий звіт'!U97</f>
        <v>0</v>
      </c>
      <c r="V97" s="42">
        <f>'[1]побудинковий звіт'!V97+'[2]побудинковий звіт'!V97-'[3]побудинковий звіт'!V97</f>
        <v>0</v>
      </c>
      <c r="W97" s="56">
        <f t="shared" si="70"/>
        <v>0</v>
      </c>
      <c r="X97" s="42">
        <f>'[1]побудинковий звіт'!X97+'[2]побудинковий звіт'!X97-'[3]побудинковий звіт'!X97</f>
        <v>969.58937918851757</v>
      </c>
      <c r="Y97" s="42">
        <f>'[1]побудинковий звіт'!Y97+'[2]побудинковий звіт'!Y97-'[3]побудинковий звіт'!Y97</f>
        <v>715.21477580236365</v>
      </c>
      <c r="Z97" s="56">
        <f t="shared" si="71"/>
        <v>-254.37460338615392</v>
      </c>
      <c r="AA97" s="42">
        <f>'[1]побудинковий звіт'!AA97+'[2]побудинковий звіт'!AA97-'[3]побудинковий звіт'!AA97</f>
        <v>0</v>
      </c>
      <c r="AB97" s="42">
        <f>'[1]побудинковий звіт'!AB97+'[2]побудинковий звіт'!AB97-'[3]побудинковий звіт'!AB97</f>
        <v>0</v>
      </c>
      <c r="AC97" s="56">
        <f t="shared" si="72"/>
        <v>0</v>
      </c>
      <c r="AD97" s="42">
        <f>'[1]побудинковий звіт'!AD97+'[2]побудинковий звіт'!AD97-'[3]побудинковий звіт'!AD97</f>
        <v>2167.4190041811203</v>
      </c>
      <c r="AE97" s="42">
        <f>'[1]побудинковий звіт'!AE97+'[2]побудинковий звіт'!AE97-'[3]побудинковий звіт'!AE97</f>
        <v>2000.0602622391402</v>
      </c>
      <c r="AF97" s="37">
        <f t="shared" si="73"/>
        <v>-167.35874194198004</v>
      </c>
      <c r="AG97" s="87">
        <f t="shared" si="61"/>
        <v>6184.7792670179279</v>
      </c>
      <c r="AH97" s="57">
        <f t="shared" si="61"/>
        <v>5589.4357576195871</v>
      </c>
      <c r="AI97" s="56">
        <f t="shared" si="74"/>
        <v>-595.34350939834076</v>
      </c>
      <c r="AJ97" s="42">
        <f>'[1]побудинковий звіт'!AJ97+'[2]побудинковий звіт'!AJ97-'[3]побудинковий звіт'!AJ97</f>
        <v>0</v>
      </c>
      <c r="AK97" s="42">
        <f>'[1]побудинковий звіт'!AK97+'[2]побудинковий звіт'!AK97-'[3]побудинковий звіт'!AK97</f>
        <v>0</v>
      </c>
      <c r="AL97" s="56">
        <f t="shared" si="75"/>
        <v>0</v>
      </c>
      <c r="AM97" s="42">
        <f>'[1]побудинковий звіт'!AM97+'[2]побудинковий звіт'!AM97-'[3]побудинковий звіт'!AM97</f>
        <v>0</v>
      </c>
      <c r="AN97" s="42">
        <f>'[1]побудинковий звіт'!AN97+'[2]побудинковий звіт'!AN97-'[3]побудинковий звіт'!AN97</f>
        <v>0</v>
      </c>
      <c r="AO97" s="56">
        <f t="shared" si="76"/>
        <v>0</v>
      </c>
      <c r="AP97" s="42">
        <f>'[1]побудинковий звіт'!AP97+'[2]побудинковий звіт'!AP97-'[3]побудинковий звіт'!AP97</f>
        <v>710.26323217023742</v>
      </c>
      <c r="AQ97" s="42">
        <f>'[1]побудинковий звіт'!AQ97+'[2]побудинковий звіт'!AQ97-'[3]побудинковий звіт'!AQ97</f>
        <v>568.55683735597427</v>
      </c>
      <c r="AR97" s="56">
        <f t="shared" si="77"/>
        <v>-141.70639481426315</v>
      </c>
      <c r="AS97" s="42">
        <f>'[1]побудинковий звіт'!AS97+'[2]побудинковий звіт'!AS97-'[3]побудинковий звіт'!AS97</f>
        <v>7229.2440461240376</v>
      </c>
      <c r="AT97" s="42">
        <f>'[1]побудинковий звіт'!AT97+'[2]побудинковий звіт'!AT97-'[3]побудинковий звіт'!AT97</f>
        <v>20030</v>
      </c>
      <c r="AU97" s="58">
        <f t="shared" si="78"/>
        <v>12800.755953875963</v>
      </c>
      <c r="AV97" s="42">
        <f>'[1]побудинковий звіт'!AV97+'[2]побудинковий звіт'!AV97-'[3]побудинковий звіт'!AV97</f>
        <v>393.42988603280094</v>
      </c>
      <c r="AW97" s="42">
        <f>'[1]побудинковий звіт'!AW97+'[2]побудинковий звіт'!AW97-'[3]побудинковий звіт'!AW97</f>
        <v>0</v>
      </c>
      <c r="AX97" s="59">
        <f t="shared" si="79"/>
        <v>-393.42988603280094</v>
      </c>
      <c r="AY97" s="42">
        <f>'[1]побудинковий звіт'!AY97+'[2]побудинковий звіт'!AY97-'[3]побудинковий звіт'!AY97</f>
        <v>450.9974636945696</v>
      </c>
      <c r="AZ97" s="42">
        <f>'[1]побудинковий звіт'!AZ97+'[2]побудинковий звіт'!AZ97-'[3]побудинковий звіт'!AZ97</f>
        <v>0</v>
      </c>
      <c r="BA97" s="37">
        <f t="shared" si="80"/>
        <v>-450.9974636945696</v>
      </c>
      <c r="BB97" s="42">
        <f>'[1]побудинковий звіт'!BB97+'[2]побудинковий звіт'!BB97-'[3]побудинковий звіт'!BB97</f>
        <v>275.06486022799919</v>
      </c>
      <c r="BC97" s="42">
        <f>'[1]побудинковий звіт'!BC97+'[2]побудинковий звіт'!BC97-'[3]побудинковий звіт'!BC97</f>
        <v>0</v>
      </c>
      <c r="BD97" s="59">
        <f t="shared" si="81"/>
        <v>-275.06486022799919</v>
      </c>
      <c r="BE97" s="42">
        <f>'[1]побудинковий звіт'!BE97+'[2]побудинковий звіт'!BE97-'[3]побудинковий звіт'!BE97</f>
        <v>0</v>
      </c>
      <c r="BF97" s="42">
        <f>'[1]побудинковий звіт'!BF97+'[2]побудинковий звіт'!BF97-'[3]побудинковий звіт'!BF97</f>
        <v>0</v>
      </c>
      <c r="BG97" s="39">
        <f t="shared" si="82"/>
        <v>0</v>
      </c>
      <c r="BH97" s="42">
        <f>'[1]побудинковий звіт'!BH97+'[2]побудинковий звіт'!BH97-'[3]побудинковий звіт'!BH97</f>
        <v>0</v>
      </c>
      <c r="BI97" s="42">
        <f>'[1]побудинковий звіт'!BI97+'[2]побудинковий звіт'!BI97-'[3]побудинковий звіт'!BI97</f>
        <v>0</v>
      </c>
      <c r="BJ97" s="59">
        <f t="shared" si="83"/>
        <v>0</v>
      </c>
      <c r="BK97" s="42">
        <f>'[1]побудинковий звіт'!BK97+'[2]побудинковий звіт'!BK97-'[3]побудинковий звіт'!BK97</f>
        <v>79.609844577948294</v>
      </c>
      <c r="BL97" s="42">
        <f>'[1]побудинковий звіт'!BL97+'[2]побудинковий звіт'!BL97-'[3]побудинковий звіт'!BL97</f>
        <v>0</v>
      </c>
      <c r="BM97" s="39">
        <f t="shared" si="84"/>
        <v>-79.609844577948294</v>
      </c>
      <c r="BN97" s="42">
        <f>'[1]побудинковий звіт'!BN97+'[2]побудинковий звіт'!BN97-'[3]побудинковий звіт'!BN97</f>
        <v>0</v>
      </c>
      <c r="BO97" s="42">
        <f>'[1]побудинковий звіт'!BO97+'[2]побудинковий звіт'!BO97-'[3]побудинковий звіт'!BO97</f>
        <v>0</v>
      </c>
      <c r="BP97" s="59">
        <f t="shared" si="85"/>
        <v>0</v>
      </c>
      <c r="BQ97" s="87">
        <f t="shared" si="113"/>
        <v>1199.1020545333179</v>
      </c>
      <c r="BR97" s="43">
        <f t="shared" si="114"/>
        <v>0</v>
      </c>
      <c r="BS97" s="59">
        <f t="shared" si="86"/>
        <v>-1199.1020545333179</v>
      </c>
      <c r="BT97" s="42">
        <f>'[1]побудинковий звіт'!BT97+'[2]побудинковий звіт'!BT97-'[3]побудинковий звіт'!BT97</f>
        <v>8666.4022690655875</v>
      </c>
      <c r="BU97" s="42">
        <f>'[1]побудинковий звіт'!BU97+'[2]побудинковий звіт'!BU97-'[3]побудинковий звіт'!BU97</f>
        <v>9450.2501959703004</v>
      </c>
      <c r="BV97" s="56">
        <f t="shared" si="87"/>
        <v>783.84792690471295</v>
      </c>
      <c r="BW97" s="42">
        <f>'[1]побудинковий звіт'!BW97+'[2]побудинковий звіт'!BW97-'[3]побудинковий звіт'!BW97</f>
        <v>3630.0311361525355</v>
      </c>
      <c r="BX97" s="42">
        <f>'[1]побудинковий звіт'!BX97+'[2]побудинковий звіт'!BX97-'[3]побудинковий звіт'!BX97</f>
        <v>5397.2638709417615</v>
      </c>
      <c r="BY97" s="56">
        <f t="shared" si="88"/>
        <v>1767.232734789226</v>
      </c>
      <c r="BZ97" s="42">
        <f>'[1]побудинковий звіт'!BZ97+'[2]побудинковий звіт'!BZ97-'[3]побудинковий звіт'!BZ97</f>
        <v>962.42601915024829</v>
      </c>
      <c r="CA97" s="42">
        <f>'[1]побудинковий звіт'!CA97+'[2]побудинковий звіт'!CA97-'[3]побудинковий звіт'!CA97</f>
        <v>4812.1547168710504</v>
      </c>
      <c r="CB97" s="56">
        <f t="shared" si="89"/>
        <v>3849.7286977208023</v>
      </c>
      <c r="CC97" s="42">
        <f>'[1]побудинковий звіт'!CC97+'[2]побудинковий звіт'!CC97-'[3]побудинковий звіт'!CC97</f>
        <v>0</v>
      </c>
      <c r="CD97" s="42">
        <f>'[1]побудинковий звіт'!CD97+'[2]побудинковий звіт'!CD97-'[3]побудинковий звіт'!CD97</f>
        <v>0</v>
      </c>
      <c r="CE97" s="56">
        <f t="shared" si="90"/>
        <v>0</v>
      </c>
      <c r="CF97" s="42">
        <f>'[1]побудинковий звіт'!CF97+'[2]побудинковий звіт'!CF97-'[3]побудинковий звіт'!CF97</f>
        <v>0</v>
      </c>
      <c r="CG97" s="42">
        <f>'[1]побудинковий звіт'!CG97+'[2]побудинковий звіт'!CG97-'[3]побудинковий звіт'!CG97</f>
        <v>0</v>
      </c>
      <c r="CH97" s="56">
        <f t="shared" si="91"/>
        <v>0</v>
      </c>
      <c r="CI97" s="42">
        <f>'[1]побудинковий звіт'!CI97+'[2]побудинковий звіт'!CI97-'[3]побудинковий звіт'!CI97</f>
        <v>524.09070496137974</v>
      </c>
      <c r="CJ97" s="42">
        <f>'[1]побудинковий звіт'!CJ97+'[2]побудинковий звіт'!CJ97-'[3]побудинковий звіт'!CJ97</f>
        <v>157.41769846638149</v>
      </c>
      <c r="CK97" s="56">
        <f t="shared" si="92"/>
        <v>-366.67300649499828</v>
      </c>
      <c r="CL97" s="42">
        <f>'[1]побудинковий звіт'!CL97+'[2]побудинковий звіт'!CL97-'[3]побудинковий звіт'!CL97</f>
        <v>0</v>
      </c>
      <c r="CM97" s="42">
        <f>'[1]побудинковий звіт'!CM97+'[2]побудинковий звіт'!CM97-'[3]побудинковий звіт'!CM97</f>
        <v>0</v>
      </c>
      <c r="CN97" s="56">
        <f t="shared" si="93"/>
        <v>0</v>
      </c>
      <c r="CO97" s="42">
        <f t="shared" si="64"/>
        <v>524.09070496137974</v>
      </c>
      <c r="CP97" s="43">
        <f t="shared" si="94"/>
        <v>157.41769846638149</v>
      </c>
      <c r="CQ97" s="56">
        <f t="shared" si="95"/>
        <v>-366.67300649499828</v>
      </c>
      <c r="CR97" s="78">
        <f t="shared" si="65"/>
        <v>29106.338729175266</v>
      </c>
      <c r="CS97" s="5">
        <f t="shared" si="65"/>
        <v>46005.079077225055</v>
      </c>
      <c r="CT97" s="56">
        <f t="shared" si="96"/>
        <v>16898.740348049789</v>
      </c>
      <c r="CU97" s="87">
        <f t="shared" si="97"/>
        <v>34927.606475010318</v>
      </c>
      <c r="CV97" s="70">
        <f t="shared" si="98"/>
        <v>55206.094892670066</v>
      </c>
      <c r="CW97" s="37">
        <f t="shared" si="99"/>
        <v>20278.488417659748</v>
      </c>
      <c r="CX97" s="42">
        <f>'[1]побудинковий звіт'!CX97+'[2]побудинковий звіт'!CX97-'[3]побудинковий звіт'!CX97</f>
        <v>910.51352498967026</v>
      </c>
      <c r="CY97" s="42">
        <f>'[1]побудинковий звіт'!CY97+'[2]побудинковий звіт'!CY97-'[3]побудинковий звіт'!CY97</f>
        <v>-19367.974892670067</v>
      </c>
      <c r="CZ97" s="56">
        <f t="shared" si="100"/>
        <v>-20278.488417659737</v>
      </c>
      <c r="DA97" s="264">
        <f>'[4]побудинковий звіт'!DA97</f>
        <v>25405.171801724864</v>
      </c>
      <c r="DB97" s="2">
        <v>2</v>
      </c>
      <c r="DC97" s="717">
        <f>'[4]побудинковий звіт'!DC97</f>
        <v>17306.39</v>
      </c>
      <c r="DD97" s="717">
        <f>'[4]побудинковий звіт'!DD97</f>
        <v>-1481.24</v>
      </c>
      <c r="DE97" s="717">
        <f>'[4]побудинковий звіт'!DE97</f>
        <v>15329.099999999999</v>
      </c>
      <c r="DF97" s="717">
        <f>'[4]побудинковий звіт'!DF97</f>
        <v>-2490.46</v>
      </c>
      <c r="DG97" s="787">
        <v>9296.0066260351159</v>
      </c>
      <c r="DH97" s="761">
        <f t="shared" si="109"/>
        <v>430057.43999999983</v>
      </c>
      <c r="DI97" s="784"/>
      <c r="DJ97" s="5"/>
      <c r="DK97" s="317">
        <f>VLOOKUP($A97,ціни!$A$4:$G$401,5)</f>
        <v>6.3456408334079217</v>
      </c>
      <c r="DL97" s="317"/>
      <c r="DM97" s="317">
        <f>VLOOKUP($A97,ціни!$A$4:$G$401,7)</f>
        <v>5.1515516438840621</v>
      </c>
      <c r="DN97" s="30">
        <f t="shared" ref="DN97:DN112" si="117">F97*DK97</f>
        <v>29921.282939726701</v>
      </c>
      <c r="DO97" s="30">
        <f t="shared" ref="DO97:DO105" si="118">H97*DM97</f>
        <v>1009.1889670368878</v>
      </c>
      <c r="DP97" s="316">
        <f t="shared" si="101"/>
        <v>30930.471906763589</v>
      </c>
      <c r="DQ97" s="104"/>
      <c r="DR97" s="30">
        <f>VLOOKUP(A97,'ДЗ нас '!$A$1:$C$359,2)</f>
        <v>1977.29</v>
      </c>
      <c r="DS97" s="748">
        <f>VLOOKUP(A97,'ДЗ нежит'!$A$1:$D$153,4,0)</f>
        <v>1009.22</v>
      </c>
      <c r="DT97" s="30">
        <f t="shared" si="102"/>
        <v>2986.51</v>
      </c>
      <c r="DU97" s="257">
        <f>VLOOKUP(A97,'новий кошторис с 01.06'!$A$4:$AI$399,35)*1.2</f>
        <v>2997.9528891050536</v>
      </c>
      <c r="DV97" s="30">
        <f t="shared" si="103"/>
        <v>-11.442889105053382</v>
      </c>
      <c r="DW97" s="930">
        <f>'[5]побудинковий звіт'!DW97+'[6]побудинковий звіт'!DW97</f>
        <v>204</v>
      </c>
      <c r="DY97" s="5">
        <f t="shared" si="104"/>
        <v>10114.015320788827</v>
      </c>
      <c r="DZ97" s="5">
        <f t="shared" si="105"/>
        <v>24036</v>
      </c>
      <c r="EA97" s="752">
        <f t="shared" si="110"/>
        <v>12838.64</v>
      </c>
      <c r="EC97" s="592">
        <f t="shared" si="106"/>
        <v>86750.928553488455</v>
      </c>
      <c r="EE97" s="758">
        <v>-12791</v>
      </c>
      <c r="EF97" s="738">
        <f t="shared" si="107"/>
        <v>-3494.9933739648841</v>
      </c>
      <c r="EH97" s="813">
        <v>4449.4203253172427</v>
      </c>
    </row>
    <row r="98" spans="1:138" x14ac:dyDescent="0.3">
      <c r="A98" s="328">
        <v>150001562</v>
      </c>
      <c r="B98" s="44" t="s">
        <v>548</v>
      </c>
      <c r="C98" s="45" t="s">
        <v>208</v>
      </c>
      <c r="D98" s="45" t="s">
        <v>208</v>
      </c>
      <c r="E98" s="40">
        <f t="shared" si="108"/>
        <v>258.5</v>
      </c>
      <c r="F98" s="490">
        <v>258.5</v>
      </c>
      <c r="G98" s="30"/>
      <c r="H98" s="30">
        <v>0</v>
      </c>
      <c r="I98" s="42">
        <f>'[1]побудинковий звіт'!I98+'[2]побудинковий звіт'!I98-'[3]побудинковий звіт'!I98</f>
        <v>9081.3698427163072</v>
      </c>
      <c r="J98" s="42">
        <f>'[1]побудинковий звіт'!J98+'[2]побудинковий звіт'!J98-'[3]побудинковий звіт'!J98</f>
        <v>8953.1083354131842</v>
      </c>
      <c r="K98" s="56">
        <f t="shared" si="66"/>
        <v>-128.26150730312293</v>
      </c>
      <c r="L98" s="42">
        <f>'[1]побудинковий звіт'!L98+'[2]побудинковий звіт'!L98-'[3]побудинковий звіт'!L98</f>
        <v>942.13159317784925</v>
      </c>
      <c r="M98" s="42">
        <f>'[1]побудинковий звіт'!M98+'[2]побудинковий звіт'!M98-'[3]побудинковий звіт'!M98</f>
        <v>950.57175266101922</v>
      </c>
      <c r="N98" s="56">
        <f t="shared" si="67"/>
        <v>8.440159483169964</v>
      </c>
      <c r="O98" s="42">
        <f>'[1]побудинковий звіт'!O98+'[2]побудинковий звіт'!O98-'[3]побудинковий звіт'!O98</f>
        <v>0</v>
      </c>
      <c r="P98" s="42">
        <f>'[1]побудинковий звіт'!P98+'[2]побудинковий звіт'!P98-'[3]побудинковий звіт'!P98</f>
        <v>0</v>
      </c>
      <c r="Q98" s="56">
        <f t="shared" si="68"/>
        <v>0</v>
      </c>
      <c r="R98" s="42">
        <f>'[1]побудинковий звіт'!R98+'[2]побудинковий звіт'!R98-'[3]побудинковий звіт'!R98</f>
        <v>0</v>
      </c>
      <c r="S98" s="42">
        <f>'[1]побудинковий звіт'!S98+'[2]побудинковий звіт'!S98-'[3]побудинковий звіт'!S98</f>
        <v>0</v>
      </c>
      <c r="T98" s="56">
        <f t="shared" si="69"/>
        <v>0</v>
      </c>
      <c r="U98" s="42">
        <f>'[1]побудинковий звіт'!U98+'[2]побудинковий звіт'!U98-'[3]побудинковий звіт'!U98</f>
        <v>0</v>
      </c>
      <c r="V98" s="42">
        <f>'[1]побудинковий звіт'!V98+'[2]побудинковий звіт'!V98-'[3]побудинковий звіт'!V98</f>
        <v>0</v>
      </c>
      <c r="W98" s="56">
        <f t="shared" si="70"/>
        <v>0</v>
      </c>
      <c r="X98" s="42">
        <f>'[1]побудинковий звіт'!X98+'[2]побудинковий звіт'!X98-'[3]побудинковий звіт'!X98</f>
        <v>2467.0990213265941</v>
      </c>
      <c r="Y98" s="42">
        <f>'[1]побудинковий звіт'!Y98+'[2]побудинковий звіт'!Y98-'[3]побудинковий звіт'!Y98</f>
        <v>4129.0715250114636</v>
      </c>
      <c r="Z98" s="56">
        <f t="shared" si="71"/>
        <v>1661.9725036848695</v>
      </c>
      <c r="AA98" s="42">
        <f>'[1]побудинковий звіт'!AA98+'[2]побудинковий звіт'!AA98-'[3]побудинковий звіт'!AA98</f>
        <v>0</v>
      </c>
      <c r="AB98" s="42">
        <f>'[1]побудинковий звіт'!AB98+'[2]побудинковий звіт'!AB98-'[3]побудинковий звіт'!AB98</f>
        <v>0</v>
      </c>
      <c r="AC98" s="56">
        <f t="shared" si="72"/>
        <v>0</v>
      </c>
      <c r="AD98" s="42">
        <f>'[1]побудинковий звіт'!AD98+'[2]побудинковий звіт'!AD98-'[3]побудинковий звіт'!AD98</f>
        <v>10372.739716399645</v>
      </c>
      <c r="AE98" s="42">
        <f>'[1]побудинковий звіт'!AE98+'[2]побудинковий звіт'!AE98-'[3]побудинковий звіт'!AE98</f>
        <v>9560.4851037752323</v>
      </c>
      <c r="AF98" s="37">
        <f t="shared" si="73"/>
        <v>-812.2546126244124</v>
      </c>
      <c r="AG98" s="87">
        <f t="shared" si="61"/>
        <v>22863.340173620396</v>
      </c>
      <c r="AH98" s="57">
        <f t="shared" si="61"/>
        <v>23593.236716860898</v>
      </c>
      <c r="AI98" s="56">
        <f t="shared" si="74"/>
        <v>729.89654324050207</v>
      </c>
      <c r="AJ98" s="42">
        <f>'[1]побудинковий звіт'!AJ98+'[2]побудинковий звіт'!AJ98-'[3]побудинковий звіт'!AJ98</f>
        <v>0</v>
      </c>
      <c r="AK98" s="42">
        <f>'[1]побудинковий звіт'!AK98+'[2]побудинковий звіт'!AK98-'[3]побудинковий звіт'!AK98</f>
        <v>0</v>
      </c>
      <c r="AL98" s="56">
        <f t="shared" si="75"/>
        <v>0</v>
      </c>
      <c r="AM98" s="42">
        <f>'[1]побудинковий звіт'!AM98+'[2]побудинковий звіт'!AM98-'[3]побудинковий звіт'!AM98</f>
        <v>0</v>
      </c>
      <c r="AN98" s="42">
        <f>'[1]побудинковий звіт'!AN98+'[2]побудинковий звіт'!AN98-'[3]побудинковий звіт'!AN98</f>
        <v>0</v>
      </c>
      <c r="AO98" s="56">
        <f t="shared" si="76"/>
        <v>0</v>
      </c>
      <c r="AP98" s="42">
        <f>'[1]побудинковий звіт'!AP98+'[2]побудинковий звіт'!AP98-'[3]побудинковий звіт'!AP98</f>
        <v>994.36852503833211</v>
      </c>
      <c r="AQ98" s="42">
        <f>'[1]побудинковий звіт'!AQ98+'[2]побудинковий звіт'!AQ98-'[3]побудинковий звіт'!AQ98</f>
        <v>1549.1322428023011</v>
      </c>
      <c r="AR98" s="56">
        <f t="shared" si="77"/>
        <v>554.763717763969</v>
      </c>
      <c r="AS98" s="42">
        <f>'[1]побудинковий звіт'!AS98+'[2]побудинковий звіт'!AS98-'[3]побудинковий звіт'!AS98</f>
        <v>48803.335737550486</v>
      </c>
      <c r="AT98" s="42">
        <f>'[1]побудинковий звіт'!AT98+'[2]побудинковий звіт'!AT98-'[3]побудинковий звіт'!AT98</f>
        <v>84922</v>
      </c>
      <c r="AU98" s="58">
        <f t="shared" si="78"/>
        <v>36118.664262449514</v>
      </c>
      <c r="AV98" s="42">
        <f>'[1]побудинковий звіт'!AV98+'[2]побудинковий звіт'!AV98-'[3]побудинковий звіт'!AV98</f>
        <v>1669.7180592819382</v>
      </c>
      <c r="AW98" s="42">
        <f>'[1]побудинковий звіт'!AW98+'[2]побудинковий звіт'!AW98-'[3]побудинковий звіт'!AW98</f>
        <v>0</v>
      </c>
      <c r="AX98" s="59">
        <f t="shared" si="79"/>
        <v>-1669.7180592819382</v>
      </c>
      <c r="AY98" s="42">
        <f>'[1]побудинковий звіт'!AY98+'[2]побудинковий звіт'!AY98-'[3]побудинковий звіт'!AY98</f>
        <v>1214.0218303771728</v>
      </c>
      <c r="AZ98" s="42">
        <f>'[1]побудинковий звіт'!AZ98+'[2]побудинковий звіт'!AZ98-'[3]побудинковий звіт'!AZ98</f>
        <v>0</v>
      </c>
      <c r="BA98" s="37">
        <f t="shared" si="80"/>
        <v>-1214.0218303771728</v>
      </c>
      <c r="BB98" s="42">
        <f>'[1]побудинковий звіт'!BB98+'[2]побудинковий звіт'!BB98-'[3]побудинковий звіт'!BB98</f>
        <v>0</v>
      </c>
      <c r="BC98" s="42">
        <f>'[1]побудинковий звіт'!BC98+'[2]побудинковий звіт'!BC98-'[3]побудинковий звіт'!BC98</f>
        <v>0</v>
      </c>
      <c r="BD98" s="59">
        <f t="shared" si="81"/>
        <v>0</v>
      </c>
      <c r="BE98" s="42">
        <f>'[1]побудинковий звіт'!BE98+'[2]побудинковий звіт'!BE98-'[3]побудинковий звіт'!BE98</f>
        <v>0</v>
      </c>
      <c r="BF98" s="42">
        <f>'[1]побудинковий звіт'!BF98+'[2]побудинковий звіт'!BF98-'[3]побудинковий звіт'!BF98</f>
        <v>0</v>
      </c>
      <c r="BG98" s="39">
        <f t="shared" si="82"/>
        <v>0</v>
      </c>
      <c r="BH98" s="42">
        <f>'[1]побудинковий звіт'!BH98+'[2]побудинковий звіт'!BH98-'[3]побудинковий звіт'!BH98</f>
        <v>0</v>
      </c>
      <c r="BI98" s="42">
        <f>'[1]побудинковий звіт'!BI98+'[2]побудинковий звіт'!BI98-'[3]побудинковий звіт'!BI98</f>
        <v>0</v>
      </c>
      <c r="BJ98" s="59">
        <f t="shared" si="83"/>
        <v>0</v>
      </c>
      <c r="BK98" s="42">
        <f>'[1]побудинковий звіт'!BK98+'[2]побудинковий звіт'!BK98-'[3]побудинковий звіт'!BK98</f>
        <v>726.96398860742875</v>
      </c>
      <c r="BL98" s="42">
        <f>'[1]побудинковий звіт'!BL98+'[2]побудинковий звіт'!BL98-'[3]побудинковий звіт'!BL98</f>
        <v>0</v>
      </c>
      <c r="BM98" s="39">
        <f t="shared" si="84"/>
        <v>-726.96398860742875</v>
      </c>
      <c r="BN98" s="42">
        <f>'[1]побудинковий звіт'!BN98+'[2]побудинковий звіт'!BN98-'[3]побудинковий звіт'!BN98</f>
        <v>0</v>
      </c>
      <c r="BO98" s="42">
        <f>'[1]побудинковий звіт'!BO98+'[2]побудинковий звіт'!BO98-'[3]побудинковий звіт'!BO98</f>
        <v>0</v>
      </c>
      <c r="BP98" s="59">
        <f t="shared" si="85"/>
        <v>0</v>
      </c>
      <c r="BQ98" s="87">
        <f t="shared" si="113"/>
        <v>3610.70387826654</v>
      </c>
      <c r="BR98" s="43">
        <f t="shared" si="114"/>
        <v>0</v>
      </c>
      <c r="BS98" s="59">
        <f t="shared" si="86"/>
        <v>-3610.70387826654</v>
      </c>
      <c r="BT98" s="42">
        <f>'[1]побудинковий звіт'!BT98+'[2]побудинковий звіт'!BT98-'[3]побудинковий звіт'!BT98</f>
        <v>19116.438788991563</v>
      </c>
      <c r="BU98" s="42">
        <f>'[1]побудинковий звіт'!BU98+'[2]побудинковий звіт'!BU98-'[3]побудинковий звіт'!BU98</f>
        <v>29565.763673086556</v>
      </c>
      <c r="BV98" s="56">
        <f t="shared" si="87"/>
        <v>10449.324884094993</v>
      </c>
      <c r="BW98" s="42">
        <f>'[1]побудинковий звіт'!BW98+'[2]побудинковий звіт'!BW98-'[3]побудинковий звіт'!BW98</f>
        <v>9798.806960641321</v>
      </c>
      <c r="BX98" s="42">
        <f>'[1]побудинковий звіт'!BX98+'[2]побудинковий звіт'!BX98-'[3]побудинковий звіт'!BX98</f>
        <v>10243.359089867245</v>
      </c>
      <c r="BY98" s="56">
        <f t="shared" si="88"/>
        <v>444.55212922592364</v>
      </c>
      <c r="BZ98" s="42">
        <f>'[1]побудинковий звіт'!BZ98+'[2]побудинковий звіт'!BZ98-'[3]побудинковий звіт'!BZ98</f>
        <v>10672.769517208193</v>
      </c>
      <c r="CA98" s="42">
        <f>'[1]побудинковий звіт'!CA98+'[2]побудинковий звіт'!CA98-'[3]побудинковий звіт'!CA98</f>
        <v>7130.0333764126563</v>
      </c>
      <c r="CB98" s="56">
        <f t="shared" si="89"/>
        <v>-3542.7361407955368</v>
      </c>
      <c r="CC98" s="42">
        <f>'[1]побудинковий звіт'!CC98+'[2]побудинковий звіт'!CC98-'[3]побудинковий звіт'!CC98</f>
        <v>88.533894088118814</v>
      </c>
      <c r="CD98" s="42">
        <f>'[1]побудинковий звіт'!CD98+'[2]побудинковий звіт'!CD98-'[3]побудинковий звіт'!CD98</f>
        <v>87.755213459268191</v>
      </c>
      <c r="CE98" s="56">
        <f t="shared" si="90"/>
        <v>-0.77868062885062272</v>
      </c>
      <c r="CF98" s="42">
        <f>'[1]побудинковий звіт'!CF98+'[2]побудинковий звіт'!CF98-'[3]побудинковий звіт'!CF98</f>
        <v>10.899058931302507</v>
      </c>
      <c r="CG98" s="42">
        <f>'[1]побудинковий звіт'!CG98+'[2]побудинковий звіт'!CG98-'[3]побудинковий звіт'!CG98</f>
        <v>0</v>
      </c>
      <c r="CH98" s="56">
        <f t="shared" si="91"/>
        <v>-10.899058931302507</v>
      </c>
      <c r="CI98" s="42">
        <f>'[1]побудинковий звіт'!CI98+'[2]побудинковий звіт'!CI98-'[3]побудинковий звіт'!CI98</f>
        <v>7730.3378981803498</v>
      </c>
      <c r="CJ98" s="42">
        <f>'[1]побудинковий звіт'!CJ98+'[2]побудинковий звіт'!CJ98-'[3]побудинковий звіт'!CJ98</f>
        <v>2694.9418479345263</v>
      </c>
      <c r="CK98" s="56">
        <f t="shared" si="92"/>
        <v>-5035.3960502458231</v>
      </c>
      <c r="CL98" s="42">
        <f>'[1]побудинковий звіт'!CL98+'[2]побудинковий звіт'!CL98-'[3]побудинковий звіт'!CL98</f>
        <v>0</v>
      </c>
      <c r="CM98" s="42">
        <f>'[1]побудинковий звіт'!CM98+'[2]побудинковий звіт'!CM98-'[3]побудинковий звіт'!CM98</f>
        <v>0</v>
      </c>
      <c r="CN98" s="56">
        <f t="shared" si="93"/>
        <v>0</v>
      </c>
      <c r="CO98" s="42">
        <f t="shared" si="64"/>
        <v>7730.3378981803498</v>
      </c>
      <c r="CP98" s="43">
        <f t="shared" si="94"/>
        <v>2694.9418479345263</v>
      </c>
      <c r="CQ98" s="56">
        <f t="shared" si="95"/>
        <v>-5035.3960502458231</v>
      </c>
      <c r="CR98" s="78">
        <f t="shared" si="65"/>
        <v>123689.53443251659</v>
      </c>
      <c r="CS98" s="5">
        <f t="shared" si="65"/>
        <v>159786.22216042347</v>
      </c>
      <c r="CT98" s="56">
        <f t="shared" si="96"/>
        <v>36096.687727906872</v>
      </c>
      <c r="CU98" s="87">
        <f t="shared" si="97"/>
        <v>148427.44131901991</v>
      </c>
      <c r="CV98" s="70">
        <f t="shared" si="98"/>
        <v>191743.46659250816</v>
      </c>
      <c r="CW98" s="37">
        <f t="shared" si="99"/>
        <v>43316.025273488252</v>
      </c>
      <c r="CX98" s="42">
        <f>'[1]побудинковий звіт'!CX98+'[2]побудинковий звіт'!CX98-'[3]побудинковий звіт'!CX98</f>
        <v>2226.5586809801098</v>
      </c>
      <c r="CY98" s="42">
        <f>'[1]побудинковий звіт'!CY98+'[2]побудинковий звіт'!CY98-'[3]побудинковий звіт'!CY98</f>
        <v>-41089.466592508135</v>
      </c>
      <c r="CZ98" s="56">
        <f t="shared" si="100"/>
        <v>-43316.025273488245</v>
      </c>
      <c r="DA98" s="264">
        <f>'[4]побудинковий звіт'!DA98</f>
        <v>-107941.28323284417</v>
      </c>
      <c r="DB98" s="2">
        <v>2</v>
      </c>
      <c r="DC98" s="717">
        <f>'[4]побудинковий звіт'!DC98</f>
        <v>12456.52</v>
      </c>
      <c r="DD98" s="717">
        <f>'[4]побудинковий звіт'!DD98</f>
        <v>0</v>
      </c>
      <c r="DE98" s="717">
        <f>'[4]побудинковий звіт'!DE98</f>
        <v>-97.979999999999563</v>
      </c>
      <c r="DF98" s="717">
        <f>'[4]побудинковий звіт'!DF98</f>
        <v>0</v>
      </c>
      <c r="DG98" s="787">
        <v>-117720.0117494716</v>
      </c>
      <c r="DH98" s="761">
        <f t="shared" si="109"/>
        <v>1807848.0000000005</v>
      </c>
      <c r="DI98" s="784"/>
      <c r="DJ98" s="5"/>
      <c r="DK98" s="317">
        <f>VLOOKUP($A98,ціни!$A$4:$G$401,5)</f>
        <v>5.1751876602087608</v>
      </c>
      <c r="DL98" s="317"/>
      <c r="DM98" s="317">
        <f>VLOOKUP($A98,ціни!$A$4:$G$401,7)</f>
        <v>4.7652041874748914</v>
      </c>
      <c r="DN98" s="30">
        <f t="shared" si="117"/>
        <v>1337.7860101639646</v>
      </c>
      <c r="DO98" s="30">
        <f t="shared" si="118"/>
        <v>0</v>
      </c>
      <c r="DP98" s="316">
        <f t="shared" si="101"/>
        <v>1337.7860101639646</v>
      </c>
      <c r="DQ98" s="104"/>
      <c r="DR98" s="30">
        <f>VLOOKUP(A98,'ДЗ нас '!$A$1:$C$359,2)</f>
        <v>12554.5</v>
      </c>
      <c r="DS98" s="748"/>
      <c r="DT98" s="30">
        <f t="shared" si="102"/>
        <v>12554.5</v>
      </c>
      <c r="DU98" s="257">
        <f>VLOOKUP(A98,'новий кошторис с 01.06'!$A$4:$AI$399,35)*1.2</f>
        <v>12591.594605230188</v>
      </c>
      <c r="DV98" s="30">
        <f t="shared" si="103"/>
        <v>-37.094605230187881</v>
      </c>
      <c r="DW98" s="930">
        <f>'[5]побудинковий звіт'!DW98+'[6]побудинковий звіт'!DW98</f>
        <v>0</v>
      </c>
      <c r="DX98" s="255"/>
      <c r="DY98" s="5">
        <f t="shared" si="104"/>
        <v>62896.84753898043</v>
      </c>
      <c r="DZ98" s="5">
        <f t="shared" si="105"/>
        <v>101906.4</v>
      </c>
      <c r="EA98" s="752">
        <f t="shared" si="110"/>
        <v>-97.979999999999563</v>
      </c>
      <c r="EC98" s="592">
        <f t="shared" si="106"/>
        <v>585640.02885060583</v>
      </c>
      <c r="EE98" s="758">
        <v>12244</v>
      </c>
      <c r="EF98" s="738">
        <f t="shared" si="107"/>
        <v>-105476.0117494716</v>
      </c>
      <c r="EH98" s="813">
        <v>-160068.12155505898</v>
      </c>
    </row>
    <row r="99" spans="1:138" x14ac:dyDescent="0.3">
      <c r="A99" s="328">
        <v>150000604</v>
      </c>
      <c r="B99" s="44" t="s">
        <v>549</v>
      </c>
      <c r="C99" s="45" t="s">
        <v>154</v>
      </c>
      <c r="D99" s="45" t="s">
        <v>154</v>
      </c>
      <c r="E99" s="40">
        <f t="shared" si="108"/>
        <v>9763</v>
      </c>
      <c r="F99" s="490">
        <v>9698.4</v>
      </c>
      <c r="G99" s="30"/>
      <c r="H99" s="30">
        <v>64.599999999999994</v>
      </c>
      <c r="I99" s="42">
        <f>'[1]побудинковий звіт'!I99+'[2]побудинковий звіт'!I99-'[3]побудинковий звіт'!I99</f>
        <v>1964.1679171492528</v>
      </c>
      <c r="J99" s="42">
        <f>'[1]побудинковий звіт'!J99+'[2]побудинковий звіт'!J99-'[3]побудинковий звіт'!J99</f>
        <v>1938.8819015638542</v>
      </c>
      <c r="K99" s="56">
        <f t="shared" si="66"/>
        <v>-25.286015585398673</v>
      </c>
      <c r="L99" s="42">
        <f>'[1]побудинковий звіт'!L99+'[2]побудинковий звіт'!L99-'[3]побудинковий звіт'!L99</f>
        <v>345.31277780458663</v>
      </c>
      <c r="M99" s="42">
        <f>'[1]побудинковий звіт'!M99+'[2]побудинковий звіт'!M99-'[3]побудинковий звіт'!M99</f>
        <v>348.40365432016625</v>
      </c>
      <c r="N99" s="56">
        <f t="shared" si="67"/>
        <v>3.0908765155796232</v>
      </c>
      <c r="O99" s="42">
        <f>'[1]побудинковий звіт'!O99+'[2]побудинковий звіт'!O99-'[3]побудинковий звіт'!O99</f>
        <v>646.08000000000015</v>
      </c>
      <c r="P99" s="42">
        <f>'[1]побудинковий звіт'!P99+'[2]побудинковий звіт'!P99-'[3]побудинковий звіт'!P99</f>
        <v>507.84076908602157</v>
      </c>
      <c r="Q99" s="56">
        <f t="shared" si="68"/>
        <v>-138.23923091397859</v>
      </c>
      <c r="R99" s="42">
        <f>'[1]побудинковий звіт'!R99+'[2]побудинковий звіт'!R99-'[3]побудинковий звіт'!R99</f>
        <v>0</v>
      </c>
      <c r="S99" s="42">
        <f>'[1]побудинковий звіт'!S99+'[2]побудинковий звіт'!S99-'[3]побудинковий звіт'!S99</f>
        <v>0</v>
      </c>
      <c r="T99" s="56">
        <f t="shared" si="69"/>
        <v>0</v>
      </c>
      <c r="U99" s="42">
        <f>'[1]побудинковий звіт'!U99+'[2]побудинковий звіт'!U99-'[3]побудинковий звіт'!U99</f>
        <v>0</v>
      </c>
      <c r="V99" s="42">
        <f>'[1]побудинковий звіт'!V99+'[2]побудинковий звіт'!V99-'[3]побудинковий звіт'!V99</f>
        <v>0</v>
      </c>
      <c r="W99" s="56">
        <f t="shared" si="70"/>
        <v>0</v>
      </c>
      <c r="X99" s="42">
        <f>'[1]побудинковий звіт'!X99+'[2]побудинковий звіт'!X99-'[3]побудинковий звіт'!X99</f>
        <v>967.82968574526808</v>
      </c>
      <c r="Y99" s="42">
        <f>'[1]побудинковий звіт'!Y99+'[2]побудинковий звіт'!Y99-'[3]побудинковий звіт'!Y99</f>
        <v>712.45951344483308</v>
      </c>
      <c r="Z99" s="56">
        <f t="shared" si="71"/>
        <v>-255.370172300435</v>
      </c>
      <c r="AA99" s="42">
        <f>'[1]побудинковий звіт'!AA99+'[2]побудинковий звіт'!AA99-'[3]побудинковий звіт'!AA99</f>
        <v>0</v>
      </c>
      <c r="AB99" s="42">
        <f>'[1]побудинковий звіт'!AB99+'[2]побудинковий звіт'!AB99-'[3]побудинковий звіт'!AB99</f>
        <v>0</v>
      </c>
      <c r="AC99" s="56">
        <f t="shared" si="72"/>
        <v>0</v>
      </c>
      <c r="AD99" s="42">
        <f>'[1]побудинковий звіт'!AD99+'[2]побудинковий звіт'!AD99-'[3]побудинковий звіт'!AD99</f>
        <v>1933.1034361615391</v>
      </c>
      <c r="AE99" s="42">
        <f>'[1]побудинковий звіт'!AE99+'[2]побудинковий звіт'!AE99-'[3]побудинковий звіт'!AE99</f>
        <v>1781.7183106203656</v>
      </c>
      <c r="AF99" s="37">
        <f t="shared" si="73"/>
        <v>-151.38512554117347</v>
      </c>
      <c r="AG99" s="87">
        <f t="shared" si="61"/>
        <v>5856.4938168606468</v>
      </c>
      <c r="AH99" s="57">
        <f t="shared" si="61"/>
        <v>5289.3041490352407</v>
      </c>
      <c r="AI99" s="56">
        <f t="shared" si="74"/>
        <v>-567.1896678254061</v>
      </c>
      <c r="AJ99" s="42">
        <f>'[1]побудинковий звіт'!AJ99+'[2]побудинковий звіт'!AJ99-'[3]побудинковий звіт'!AJ99</f>
        <v>0</v>
      </c>
      <c r="AK99" s="42">
        <f>'[1]побудинковий звіт'!AK99+'[2]побудинковий звіт'!AK99-'[3]побудинковий звіт'!AK99</f>
        <v>0</v>
      </c>
      <c r="AL99" s="56">
        <f t="shared" si="75"/>
        <v>0</v>
      </c>
      <c r="AM99" s="42">
        <f>'[1]побудинковий звіт'!AM99+'[2]побудинковий звіт'!AM99-'[3]побудинковий звіт'!AM99</f>
        <v>0</v>
      </c>
      <c r="AN99" s="42">
        <f>'[1]побудинковий звіт'!AN99+'[2]побудинковий звіт'!AN99-'[3]побудинковий звіт'!AN99</f>
        <v>0</v>
      </c>
      <c r="AO99" s="56">
        <f t="shared" si="76"/>
        <v>0</v>
      </c>
      <c r="AP99" s="42">
        <f>'[1]побудинковий звіт'!AP99+'[2]побудинковий звіт'!AP99-'[3]побудинковий звіт'!AP99</f>
        <v>994.36852503833211</v>
      </c>
      <c r="AQ99" s="42">
        <f>'[1]побудинковий звіт'!AQ99+'[2]побудинковий звіт'!AQ99-'[3]побудинковий звіт'!AQ99</f>
        <v>782.51713103958923</v>
      </c>
      <c r="AR99" s="56">
        <f t="shared" si="77"/>
        <v>-211.85139399874288</v>
      </c>
      <c r="AS99" s="42">
        <f>'[1]побудинковий звіт'!AS99+'[2]побудинковий звіт'!AS99-'[3]побудинковий звіт'!AS99</f>
        <v>4734.2485606678065</v>
      </c>
      <c r="AT99" s="42">
        <f>'[1]побудинковий звіт'!AT99+'[2]побудинковий звіт'!AT99-'[3]побудинковий звіт'!AT99</f>
        <v>17342</v>
      </c>
      <c r="AU99" s="58">
        <f t="shared" si="78"/>
        <v>12607.751439332194</v>
      </c>
      <c r="AV99" s="42">
        <f>'[1]побудинковий звіт'!AV99+'[2]побудинковий звіт'!AV99-'[3]побудинковий звіт'!AV99</f>
        <v>369.88259994927745</v>
      </c>
      <c r="AW99" s="42">
        <f>'[1]побудинковий звіт'!AW99+'[2]побудинковий звіт'!AW99-'[3]побудинковий звіт'!AW99</f>
        <v>0</v>
      </c>
      <c r="AX99" s="59">
        <f t="shared" si="79"/>
        <v>-369.88259994927745</v>
      </c>
      <c r="AY99" s="42">
        <f>'[1]побудинковий звіт'!AY99+'[2]побудинковий звіт'!AY99-'[3]побудинковий звіт'!AY99</f>
        <v>445.34516002577487</v>
      </c>
      <c r="AZ99" s="42">
        <f>'[1]побудинковий звіт'!AZ99+'[2]побудинковий звіт'!AZ99-'[3]побудинковий звіт'!AZ99</f>
        <v>0</v>
      </c>
      <c r="BA99" s="37">
        <f t="shared" si="80"/>
        <v>-445.34516002577487</v>
      </c>
      <c r="BB99" s="42">
        <f>'[1]побудинковий звіт'!BB99+'[2]побудинковий звіт'!BB99-'[3]побудинковий звіт'!BB99</f>
        <v>224.88784326123499</v>
      </c>
      <c r="BC99" s="42">
        <f>'[1]побудинковий звіт'!BC99+'[2]побудинковий звіт'!BC99-'[3]побудинковий звіт'!BC99</f>
        <v>0</v>
      </c>
      <c r="BD99" s="59">
        <f t="shared" si="81"/>
        <v>-224.88784326123499</v>
      </c>
      <c r="BE99" s="42">
        <f>'[1]побудинковий звіт'!BE99+'[2]побудинковий звіт'!BE99-'[3]побудинковий звіт'!BE99</f>
        <v>0</v>
      </c>
      <c r="BF99" s="42">
        <f>'[1]побудинковий звіт'!BF99+'[2]побудинковий звіт'!BF99-'[3]побудинковий звіт'!BF99</f>
        <v>0</v>
      </c>
      <c r="BG99" s="39">
        <f t="shared" si="82"/>
        <v>0</v>
      </c>
      <c r="BH99" s="42">
        <f>'[1]побудинковий звіт'!BH99+'[2]побудинковий звіт'!BH99-'[3]побудинковий звіт'!BH99</f>
        <v>0</v>
      </c>
      <c r="BI99" s="42">
        <f>'[1]побудинковий звіт'!BI99+'[2]побудинковий звіт'!BI99-'[3]побудинковий звіт'!BI99</f>
        <v>0</v>
      </c>
      <c r="BJ99" s="59">
        <f t="shared" si="83"/>
        <v>0</v>
      </c>
      <c r="BK99" s="42">
        <f>'[1]побудинковий звіт'!BK99+'[2]побудинковий звіт'!BK99-'[3]побудинковий звіт'!BK99</f>
        <v>79.238667330205828</v>
      </c>
      <c r="BL99" s="42">
        <f>'[1]побудинковий звіт'!BL99+'[2]побудинковий звіт'!BL99-'[3]побудинковий звіт'!BL99</f>
        <v>0</v>
      </c>
      <c r="BM99" s="39">
        <f t="shared" si="84"/>
        <v>-79.238667330205828</v>
      </c>
      <c r="BN99" s="42">
        <f>'[1]побудинковий звіт'!BN99+'[2]побудинковий звіт'!BN99-'[3]побудинковий звіт'!BN99</f>
        <v>0</v>
      </c>
      <c r="BO99" s="42">
        <f>'[1]побудинковий звіт'!BO99+'[2]побудинковий звіт'!BO99-'[3]побудинковий звіт'!BO99</f>
        <v>0</v>
      </c>
      <c r="BP99" s="59">
        <f t="shared" si="85"/>
        <v>0</v>
      </c>
      <c r="BQ99" s="87">
        <f t="shared" si="113"/>
        <v>1119.3542705664931</v>
      </c>
      <c r="BR99" s="43">
        <f t="shared" si="114"/>
        <v>0</v>
      </c>
      <c r="BS99" s="59">
        <f t="shared" si="86"/>
        <v>-1119.3542705664931</v>
      </c>
      <c r="BT99" s="42">
        <f>'[1]побудинковий звіт'!BT99+'[2]побудинковий звіт'!BT99-'[3]побудинковий звіт'!BT99</f>
        <v>8584.9962853967318</v>
      </c>
      <c r="BU99" s="42">
        <f>'[1]побудинковий звіт'!BU99+'[2]побудинковий звіт'!BU99-'[3]побудинковий звіт'!BU99</f>
        <v>9057.3293580652844</v>
      </c>
      <c r="BV99" s="56">
        <f t="shared" si="87"/>
        <v>472.33307266855263</v>
      </c>
      <c r="BW99" s="42">
        <f>'[1]побудинковий звіт'!BW99+'[2]побудинковий звіт'!BW99-'[3]побудинковий звіт'!BW99</f>
        <v>4223.8582967554994</v>
      </c>
      <c r="BX99" s="42">
        <f>'[1]побудинковий звіт'!BX99+'[2]побудинковий звіт'!BX99-'[3]побудинковий звіт'!BX99</f>
        <v>5723.4600790590684</v>
      </c>
      <c r="BY99" s="56">
        <f t="shared" si="88"/>
        <v>1499.6017823035691</v>
      </c>
      <c r="BZ99" s="42">
        <f>'[1]побудинковий звіт'!BZ99+'[2]побудинковий звіт'!BZ99-'[3]побудинковий звіт'!BZ99</f>
        <v>989.20237045008457</v>
      </c>
      <c r="CA99" s="42">
        <f>'[1]побудинковий звіт'!CA99+'[2]побудинковий звіт'!CA99-'[3]побудинковий звіт'!CA99</f>
        <v>2060.4903268470393</v>
      </c>
      <c r="CB99" s="56">
        <f t="shared" si="89"/>
        <v>1071.2879563969548</v>
      </c>
      <c r="CC99" s="42">
        <f>'[1]побудинковий звіт'!CC99+'[2]побудинковий звіт'!CC99-'[3]побудинковий звіт'!CC99</f>
        <v>0</v>
      </c>
      <c r="CD99" s="42">
        <f>'[1]побудинковий звіт'!CD99+'[2]побудинковий звіт'!CD99-'[3]побудинковий звіт'!CD99</f>
        <v>0</v>
      </c>
      <c r="CE99" s="56">
        <f t="shared" si="90"/>
        <v>0</v>
      </c>
      <c r="CF99" s="42">
        <f>'[1]побудинковий звіт'!CF99+'[2]побудинковий звіт'!CF99-'[3]побудинковий звіт'!CF99</f>
        <v>0</v>
      </c>
      <c r="CG99" s="42">
        <f>'[1]побудинковий звіт'!CG99+'[2]побудинковий звіт'!CG99-'[3]побудинковий звіт'!CG99</f>
        <v>0</v>
      </c>
      <c r="CH99" s="56">
        <f t="shared" si="91"/>
        <v>0</v>
      </c>
      <c r="CI99" s="42">
        <f>'[1]побудинковий звіт'!CI99+'[2]побудинковий звіт'!CI99-'[3]побудинковий звіт'!CI99</f>
        <v>56.152575531576403</v>
      </c>
      <c r="CJ99" s="42">
        <f>'[1]побудинковий звіт'!CJ99+'[2]побудинковий звіт'!CJ99-'[3]побудинковий звіт'!CJ99</f>
        <v>0</v>
      </c>
      <c r="CK99" s="56">
        <f t="shared" si="92"/>
        <v>-56.152575531576403</v>
      </c>
      <c r="CL99" s="42">
        <f>'[1]побудинковий звіт'!CL99+'[2]побудинковий звіт'!CL99-'[3]побудинковий звіт'!CL99</f>
        <v>0</v>
      </c>
      <c r="CM99" s="42">
        <f>'[1]побудинковий звіт'!CM99+'[2]побудинковий звіт'!CM99-'[3]побудинковий звіт'!CM99</f>
        <v>0</v>
      </c>
      <c r="CN99" s="56">
        <f t="shared" si="93"/>
        <v>0</v>
      </c>
      <c r="CO99" s="42">
        <f t="shared" si="64"/>
        <v>56.152575531576403</v>
      </c>
      <c r="CP99" s="43">
        <f t="shared" si="94"/>
        <v>0</v>
      </c>
      <c r="CQ99" s="56">
        <f t="shared" si="95"/>
        <v>-56.152575531576403</v>
      </c>
      <c r="CR99" s="78">
        <f t="shared" si="65"/>
        <v>26558.674701267177</v>
      </c>
      <c r="CS99" s="5">
        <f t="shared" si="65"/>
        <v>40255.10104404622</v>
      </c>
      <c r="CT99" s="56">
        <f t="shared" si="96"/>
        <v>13696.426342779043</v>
      </c>
      <c r="CU99" s="87">
        <f t="shared" si="97"/>
        <v>31870.409641520611</v>
      </c>
      <c r="CV99" s="70">
        <f t="shared" si="98"/>
        <v>48306.121252855461</v>
      </c>
      <c r="CW99" s="37">
        <f t="shared" si="99"/>
        <v>16435.711611334849</v>
      </c>
      <c r="CX99" s="42">
        <f>'[1]побудинковий звіт'!CX99+'[2]побудинковий звіт'!CX99-'[3]побудинковий звіт'!CX99</f>
        <v>-2.0096415206044185</v>
      </c>
      <c r="CY99" s="42">
        <f>'[1]побудинковий звіт'!CY99+'[2]побудинковий звіт'!CY99-'[3]побудинковий звіт'!CY99</f>
        <v>-16437.721252855466</v>
      </c>
      <c r="CZ99" s="56">
        <f t="shared" si="100"/>
        <v>-16435.71161133486</v>
      </c>
      <c r="DA99" s="264">
        <f>'[4]побудинковий звіт'!DA99</f>
        <v>66331.503393820341</v>
      </c>
      <c r="DB99" s="2">
        <v>2</v>
      </c>
      <c r="DC99" s="717">
        <f>'[4]побудинковий звіт'!DC99</f>
        <v>18724.82</v>
      </c>
      <c r="DD99" s="717">
        <f>'[4]побудинковий звіт'!DD99</f>
        <v>4467.99</v>
      </c>
      <c r="DE99" s="717">
        <f>'[4]побудинковий звіт'!DE99</f>
        <v>16388.259999999998</v>
      </c>
      <c r="DF99" s="717">
        <f>'[4]побудинковий звіт'!DF99</f>
        <v>4148.8499999999995</v>
      </c>
      <c r="DG99" s="787">
        <v>51461.161832085098</v>
      </c>
      <c r="DH99" s="761">
        <f t="shared" si="109"/>
        <v>382420.8000000001</v>
      </c>
      <c r="DI99" s="784"/>
      <c r="DJ99" s="5"/>
      <c r="DK99" s="317">
        <f>VLOOKUP($A99,ціни!$A$4:$G$401,5)</f>
        <v>6.0302660374661228</v>
      </c>
      <c r="DL99" s="317"/>
      <c r="DM99" s="317">
        <f>VLOOKUP($A99,ціни!$A$4:$G$401,7)</f>
        <v>4.940238089916317</v>
      </c>
      <c r="DN99" s="30">
        <f t="shared" si="117"/>
        <v>58483.93213776144</v>
      </c>
      <c r="DO99" s="30">
        <f t="shared" si="118"/>
        <v>319.13938060859402</v>
      </c>
      <c r="DP99" s="316">
        <f t="shared" si="101"/>
        <v>58803.07151837003</v>
      </c>
      <c r="DQ99" s="104"/>
      <c r="DR99" s="30">
        <f>VLOOKUP(A99,'ДЗ нас '!$A$1:$C$359,2)</f>
        <v>2336.56</v>
      </c>
      <c r="DS99" s="748">
        <f>VLOOKUP(A99,'ДЗ нежит'!$A$1:$D$153,4,0)</f>
        <v>319.14</v>
      </c>
      <c r="DT99" s="30">
        <f t="shared" si="102"/>
        <v>2655.7</v>
      </c>
      <c r="DU99" s="257">
        <f>VLOOKUP(A99,'новий кошторис с 01.06'!$A$4:$AI$399,35)*1.2</f>
        <v>2655.8674701267169</v>
      </c>
      <c r="DV99" s="30">
        <f t="shared" si="103"/>
        <v>-0.16747012671703487</v>
      </c>
      <c r="DW99" s="930">
        <f>'[5]побудинковий звіт'!DW99+'[6]побудинковий звіт'!DW99</f>
        <v>204</v>
      </c>
      <c r="DY99" s="5">
        <f t="shared" si="104"/>
        <v>7024.3233974811592</v>
      </c>
      <c r="DZ99" s="5">
        <f t="shared" si="105"/>
        <v>20810.399999999998</v>
      </c>
      <c r="EA99" s="752">
        <f t="shared" si="110"/>
        <v>20537.109999999997</v>
      </c>
      <c r="EC99" s="592">
        <f t="shared" si="106"/>
        <v>56810.982728013681</v>
      </c>
      <c r="EE99" s="758">
        <v>-5565</v>
      </c>
      <c r="EF99" s="738">
        <f t="shared" si="107"/>
        <v>45896.161832085098</v>
      </c>
      <c r="EH99" s="813">
        <v>49034.005248332302</v>
      </c>
    </row>
    <row r="100" spans="1:138" x14ac:dyDescent="0.3">
      <c r="A100" s="328">
        <v>150000605</v>
      </c>
      <c r="B100" s="44" t="s">
        <v>550</v>
      </c>
      <c r="C100" s="45" t="s">
        <v>155</v>
      </c>
      <c r="D100" s="45" t="s">
        <v>155</v>
      </c>
      <c r="E100" s="40">
        <f t="shared" si="108"/>
        <v>308.10000000000002</v>
      </c>
      <c r="F100" s="490">
        <v>250.4</v>
      </c>
      <c r="G100" s="30"/>
      <c r="H100" s="30">
        <v>57.7</v>
      </c>
      <c r="I100" s="42">
        <f>'[1]побудинковий звіт'!I100+'[2]побудинковий звіт'!I100-'[3]побудинковий звіт'!I100</f>
        <v>1013.6822724088521</v>
      </c>
      <c r="J100" s="42">
        <f>'[1]побудинковий звіт'!J100+'[2]побудинковий звіт'!J100-'[3]побудинковий звіт'!J100</f>
        <v>1012.7322036456652</v>
      </c>
      <c r="K100" s="56">
        <f t="shared" si="66"/>
        <v>-0.95006876318689137</v>
      </c>
      <c r="L100" s="42">
        <f>'[1]побудинковий звіт'!L100+'[2]побудинковий звіт'!L100-'[3]побудинковий звіт'!L100</f>
        <v>408.92732416500962</v>
      </c>
      <c r="M100" s="42">
        <f>'[1]побудинковий звіт'!M100+'[2]побудинковий звіт'!M100-'[3]побудинковий звіт'!M100</f>
        <v>412.59113133716352</v>
      </c>
      <c r="N100" s="56">
        <f t="shared" si="67"/>
        <v>3.663807172153895</v>
      </c>
      <c r="O100" s="42">
        <f>'[1]побудинковий звіт'!O100+'[2]побудинковий звіт'!O100-'[3]побудинковий звіт'!O100</f>
        <v>530.16</v>
      </c>
      <c r="P100" s="42">
        <f>'[1]побудинковий звіт'!P100+'[2]побудинковий звіт'!P100-'[3]побудинковий звіт'!P100</f>
        <v>416.73627150537635</v>
      </c>
      <c r="Q100" s="56">
        <f t="shared" si="68"/>
        <v>-113.42372849462362</v>
      </c>
      <c r="R100" s="42">
        <f>'[1]побудинковий звіт'!R100+'[2]побудинковий звіт'!R100-'[3]побудинковий звіт'!R100</f>
        <v>0</v>
      </c>
      <c r="S100" s="42">
        <f>'[1]побудинковий звіт'!S100+'[2]побудинковий звіт'!S100-'[3]побудинковий звіт'!S100</f>
        <v>0</v>
      </c>
      <c r="T100" s="56">
        <f t="shared" si="69"/>
        <v>0</v>
      </c>
      <c r="U100" s="42">
        <f>'[1]побудинковий звіт'!U100+'[2]побудинковий звіт'!U100-'[3]побудинковий звіт'!U100</f>
        <v>0</v>
      </c>
      <c r="V100" s="42">
        <f>'[1]побудинковий звіт'!V100+'[2]побудинковий звіт'!V100-'[3]побудинковий звіт'!V100</f>
        <v>0</v>
      </c>
      <c r="W100" s="56">
        <f t="shared" si="70"/>
        <v>0</v>
      </c>
      <c r="X100" s="42">
        <f>'[1]побудинковий звіт'!X100+'[2]побудинковий звіт'!X100-'[3]побудинковий звіт'!X100</f>
        <v>425.18133968942954</v>
      </c>
      <c r="Y100" s="42">
        <f>'[1]побудинковий звіт'!Y100+'[2]побудинковий звіт'!Y100-'[3]побудинковий звіт'!Y100</f>
        <v>309.70600379462206</v>
      </c>
      <c r="Z100" s="56">
        <f t="shared" si="71"/>
        <v>-115.47533589480747</v>
      </c>
      <c r="AA100" s="42">
        <f>'[1]побудинковий звіт'!AA100+'[2]побудинковий звіт'!AA100-'[3]побудинковий звіт'!AA100</f>
        <v>0</v>
      </c>
      <c r="AB100" s="42">
        <f>'[1]побудинковий звіт'!AB100+'[2]побудинковий звіт'!AB100-'[3]побудинковий звіт'!AB100</f>
        <v>0</v>
      </c>
      <c r="AC100" s="56">
        <f t="shared" si="72"/>
        <v>0</v>
      </c>
      <c r="AD100" s="42">
        <f>'[1]побудинковий звіт'!AD100+'[2]побудинковий звіт'!AD100-'[3]побудинковий звіт'!AD100</f>
        <v>1620.5401510843249</v>
      </c>
      <c r="AE100" s="42">
        <f>'[1]побудинковий звіт'!AE100+'[2]побудинковий звіт'!AE100-'[3]побудинковий звіт'!AE100</f>
        <v>1492.8528617461798</v>
      </c>
      <c r="AF100" s="37">
        <f t="shared" si="73"/>
        <v>-127.68728933814509</v>
      </c>
      <c r="AG100" s="87">
        <f t="shared" si="61"/>
        <v>3998.491087347616</v>
      </c>
      <c r="AH100" s="57">
        <f t="shared" si="61"/>
        <v>3644.6184720290071</v>
      </c>
      <c r="AI100" s="56">
        <f t="shared" si="74"/>
        <v>-353.87261531860895</v>
      </c>
      <c r="AJ100" s="42">
        <f>'[1]побудинковий звіт'!AJ100+'[2]побудинковий звіт'!AJ100-'[3]побудинковий звіт'!AJ100</f>
        <v>0</v>
      </c>
      <c r="AK100" s="42">
        <f>'[1]побудинковий звіт'!AK100+'[2]побудинковий звіт'!AK100-'[3]побудинковий звіт'!AK100</f>
        <v>0</v>
      </c>
      <c r="AL100" s="56">
        <f t="shared" si="75"/>
        <v>0</v>
      </c>
      <c r="AM100" s="42">
        <f>'[1]побудинковий звіт'!AM100+'[2]побудинковий звіт'!AM100-'[3]побудинковий звіт'!AM100</f>
        <v>0</v>
      </c>
      <c r="AN100" s="42">
        <f>'[1]побудинковий звіт'!AN100+'[2]побудинковий звіт'!AN100-'[3]побудинковий звіт'!AN100</f>
        <v>0</v>
      </c>
      <c r="AO100" s="56">
        <f t="shared" si="76"/>
        <v>0</v>
      </c>
      <c r="AP100" s="42">
        <f>'[1]побудинковий звіт'!AP100+'[2]побудинковий звіт'!AP100-'[3]побудинковий звіт'!AP100</f>
        <v>1136.4211714723797</v>
      </c>
      <c r="AQ100" s="42">
        <f>'[1]побудинковий звіт'!AQ100+'[2]побудинковий звіт'!AQ100-'[3]побудинковий звіт'!AQ100</f>
        <v>781.01417168934006</v>
      </c>
      <c r="AR100" s="56">
        <f t="shared" si="77"/>
        <v>-355.40699978303962</v>
      </c>
      <c r="AS100" s="42">
        <f>'[1]побудинковий звіт'!AS100+'[2]побудинковий звіт'!AS100-'[3]побудинковий звіт'!AS100</f>
        <v>5949.048823664667</v>
      </c>
      <c r="AT100" s="42">
        <f>'[1]побудинковий звіт'!AT100+'[2]побудинковий звіт'!AT100-'[3]побудинковий звіт'!AT100</f>
        <v>19215</v>
      </c>
      <c r="AU100" s="58">
        <f t="shared" si="78"/>
        <v>13265.951176335333</v>
      </c>
      <c r="AV100" s="42">
        <f>'[1]побудинковий звіт'!AV100+'[2]побудинковий звіт'!AV100-'[3]побудинковий звіт'!AV100</f>
        <v>375.7494945091467</v>
      </c>
      <c r="AW100" s="42">
        <f>'[1]побудинковий звіт'!AW100+'[2]побудинковий звіт'!AW100-'[3]побудинковий звіт'!AW100</f>
        <v>0</v>
      </c>
      <c r="AX100" s="59">
        <f t="shared" si="79"/>
        <v>-375.7494945091467</v>
      </c>
      <c r="AY100" s="42">
        <f>'[1]побудинковий звіт'!AY100+'[2]побудинковий звіт'!AY100-'[3]побудинковий звіт'!AY100</f>
        <v>527.03725495094034</v>
      </c>
      <c r="AZ100" s="42">
        <f>'[1]побудинковий звіт'!AZ100+'[2]побудинковий звіт'!AZ100-'[3]побудинковий звіт'!AZ100</f>
        <v>0</v>
      </c>
      <c r="BA100" s="37">
        <f t="shared" si="80"/>
        <v>-527.03725495094034</v>
      </c>
      <c r="BB100" s="42">
        <f>'[1]побудинковий звіт'!BB100+'[2]побудинковий звіт'!BB100-'[3]побудинковий звіт'!BB100</f>
        <v>161.57824736809303</v>
      </c>
      <c r="BC100" s="42">
        <f>'[1]побудинковий звіт'!BC100+'[2]побудинковий звіт'!BC100-'[3]побудинковий звіт'!BC100</f>
        <v>0</v>
      </c>
      <c r="BD100" s="59">
        <f t="shared" si="81"/>
        <v>-161.57824736809303</v>
      </c>
      <c r="BE100" s="42">
        <f>'[1]побудинковий звіт'!BE100+'[2]побудинковий звіт'!BE100-'[3]побудинковий звіт'!BE100</f>
        <v>0</v>
      </c>
      <c r="BF100" s="42">
        <f>'[1]побудинковий звіт'!BF100+'[2]побудинковий звіт'!BF100-'[3]побудинковий звіт'!BF100</f>
        <v>0</v>
      </c>
      <c r="BG100" s="39">
        <f t="shared" si="82"/>
        <v>0</v>
      </c>
      <c r="BH100" s="42">
        <f>'[1]побудинковий звіт'!BH100+'[2]побудинковий звіт'!BH100-'[3]побудинковий звіт'!BH100</f>
        <v>0</v>
      </c>
      <c r="BI100" s="42">
        <f>'[1]побудинковий звіт'!BI100+'[2]побудинковий звіт'!BI100-'[3]побудинковий звіт'!BI100</f>
        <v>0</v>
      </c>
      <c r="BJ100" s="59">
        <f t="shared" si="83"/>
        <v>0</v>
      </c>
      <c r="BK100" s="42">
        <f>'[1]побудинковий звіт'!BK100+'[2]побудинковий звіт'!BK100-'[3]побудинковий звіт'!BK100</f>
        <v>59.168551776459466</v>
      </c>
      <c r="BL100" s="42">
        <f>'[1]побудинковий звіт'!BL100+'[2]побудинковий звіт'!BL100-'[3]побудинковий звіт'!BL100</f>
        <v>0</v>
      </c>
      <c r="BM100" s="39">
        <f t="shared" si="84"/>
        <v>-59.168551776459466</v>
      </c>
      <c r="BN100" s="42">
        <f>'[1]побудинковий звіт'!BN100+'[2]побудинковий звіт'!BN100-'[3]побудинковий звіт'!BN100</f>
        <v>0</v>
      </c>
      <c r="BO100" s="42">
        <f>'[1]побудинковий звіт'!BO100+'[2]побудинковий звіт'!BO100-'[3]побудинковий звіт'!BO100</f>
        <v>0</v>
      </c>
      <c r="BP100" s="59">
        <f t="shared" si="85"/>
        <v>0</v>
      </c>
      <c r="BQ100" s="87">
        <f t="shared" si="113"/>
        <v>1123.5335486046397</v>
      </c>
      <c r="BR100" s="43">
        <f t="shared" si="114"/>
        <v>0</v>
      </c>
      <c r="BS100" s="59">
        <f t="shared" si="86"/>
        <v>-1123.5335486046397</v>
      </c>
      <c r="BT100" s="42">
        <f>'[1]побудинковий звіт'!BT100+'[2]побудинковий звіт'!BT100-'[3]побудинковий звіт'!BT100</f>
        <v>6493.1686429156016</v>
      </c>
      <c r="BU100" s="42">
        <f>'[1]побудинковий звіт'!BU100+'[2]побудинковий звіт'!BU100-'[3]побудинковий звіт'!BU100</f>
        <v>7514.7937146907443</v>
      </c>
      <c r="BV100" s="56">
        <f t="shared" si="87"/>
        <v>1021.6250717751427</v>
      </c>
      <c r="BW100" s="42">
        <f>'[1]побудинковий звіт'!BW100+'[2]побудинковий звіт'!BW100-'[3]побудинковий звіт'!BW100</f>
        <v>3404.4435285935215</v>
      </c>
      <c r="BX100" s="42">
        <f>'[1]побудинковий звіт'!BX100+'[2]побудинковий звіт'!BX100-'[3]побудинковий звіт'!BX100</f>
        <v>4908.5233860538274</v>
      </c>
      <c r="BY100" s="56">
        <f t="shared" si="88"/>
        <v>1504.0798574603059</v>
      </c>
      <c r="BZ100" s="42">
        <f>'[1]побудинковий звіт'!BZ100+'[2]побудинковий звіт'!BZ100-'[3]побудинковий звіт'!BZ100</f>
        <v>975.81419480016598</v>
      </c>
      <c r="CA100" s="42">
        <f>'[1]побудинковий звіт'!CA100+'[2]побудинковий звіт'!CA100-'[3]побудинковий звіт'!CA100</f>
        <v>1523.9079892709142</v>
      </c>
      <c r="CB100" s="56">
        <f t="shared" si="89"/>
        <v>548.09379447074821</v>
      </c>
      <c r="CC100" s="42">
        <f>'[1]побудинковий звіт'!CC100+'[2]побудинковий звіт'!CC100-'[3]побудинковий звіт'!CC100</f>
        <v>305.89784003868289</v>
      </c>
      <c r="CD100" s="42">
        <f>'[1]побудинковий звіт'!CD100+'[2]побудинковий звіт'!CD100-'[3]побудинковий звіт'!CD100</f>
        <v>303.20738205195653</v>
      </c>
      <c r="CE100" s="56">
        <f t="shared" si="90"/>
        <v>-2.6904579867263578</v>
      </c>
      <c r="CF100" s="42">
        <f>'[1]побудинковий звіт'!CF100+'[2]побудинковий звіт'!CF100-'[3]побудинковий звіт'!CF100</f>
        <v>37.657878035065131</v>
      </c>
      <c r="CG100" s="42">
        <f>'[1]побудинковий звіт'!CG100+'[2]побудинковий звіт'!CG100-'[3]побудинковий звіт'!CG100</f>
        <v>0</v>
      </c>
      <c r="CH100" s="56">
        <f t="shared" si="91"/>
        <v>-37.657878035065131</v>
      </c>
      <c r="CI100" s="42">
        <f>'[1]побудинковий звіт'!CI100+'[2]побудинковий звіт'!CI100-'[3]побудинковий звіт'!CI100</f>
        <v>449.22060425261122</v>
      </c>
      <c r="CJ100" s="42">
        <f>'[1]побудинковий звіт'!CJ100+'[2]побудинковий звіт'!CJ100-'[3]побудинковий звіт'!CJ100</f>
        <v>226.49967376447478</v>
      </c>
      <c r="CK100" s="56">
        <f t="shared" si="92"/>
        <v>-222.72093048813645</v>
      </c>
      <c r="CL100" s="42">
        <f>'[1]побудинковий звіт'!CL100+'[2]побудинковий звіт'!CL100-'[3]побудинковий звіт'!CL100</f>
        <v>0</v>
      </c>
      <c r="CM100" s="42">
        <f>'[1]побудинковий звіт'!CM100+'[2]побудинковий звіт'!CM100-'[3]побудинковий звіт'!CM100</f>
        <v>0</v>
      </c>
      <c r="CN100" s="56">
        <f t="shared" si="93"/>
        <v>0</v>
      </c>
      <c r="CO100" s="42">
        <f t="shared" si="64"/>
        <v>449.22060425261122</v>
      </c>
      <c r="CP100" s="43">
        <f t="shared" si="94"/>
        <v>226.49967376447478</v>
      </c>
      <c r="CQ100" s="56">
        <f t="shared" si="95"/>
        <v>-222.72093048813645</v>
      </c>
      <c r="CR100" s="78">
        <f t="shared" si="65"/>
        <v>23873.69731972495</v>
      </c>
      <c r="CS100" s="5">
        <f t="shared" si="65"/>
        <v>38117.564789550263</v>
      </c>
      <c r="CT100" s="56">
        <f t="shared" si="96"/>
        <v>14243.867469825313</v>
      </c>
      <c r="CU100" s="87">
        <f t="shared" si="97"/>
        <v>28648.436783669938</v>
      </c>
      <c r="CV100" s="70">
        <f t="shared" si="98"/>
        <v>45741.077747460316</v>
      </c>
      <c r="CW100" s="37">
        <f t="shared" si="99"/>
        <v>17092.640963790378</v>
      </c>
      <c r="CX100" s="42">
        <f>'[1]побудинковий звіт'!CX100+'[2]побудинковий звіт'!CX100-'[3]побудинковий звіт'!CX100</f>
        <v>702.84321633005857</v>
      </c>
      <c r="CY100" s="42">
        <f>'[1]побудинковий звіт'!CY100+'[2]побудинковий звіт'!CY100-'[3]побудинковий звіт'!CY100</f>
        <v>-16389.79774746031</v>
      </c>
      <c r="CZ100" s="56">
        <f t="shared" si="100"/>
        <v>-17092.640963790371</v>
      </c>
      <c r="DA100" s="264">
        <f>'[4]побудинковий звіт'!DA100</f>
        <v>34474.527765993844</v>
      </c>
      <c r="DB100" s="2">
        <v>2</v>
      </c>
      <c r="DC100" s="717">
        <f>'[4]побудинковий звіт'!DC100</f>
        <v>32109.4</v>
      </c>
      <c r="DD100" s="717">
        <f>'[4]побудинковий звіт'!DD100</f>
        <v>19866.37</v>
      </c>
      <c r="DE100" s="717">
        <f>'[4]побудинковий звіт'!DE100</f>
        <v>29982.880000000001</v>
      </c>
      <c r="DF100" s="717">
        <f>'[4]побудинковий звіт'!DF100</f>
        <v>19546.95</v>
      </c>
      <c r="DG100" s="787">
        <v>18565.740423995754</v>
      </c>
      <c r="DH100" s="761">
        <f t="shared" si="109"/>
        <v>352215.36</v>
      </c>
      <c r="DI100" s="784"/>
      <c r="DJ100" s="5"/>
      <c r="DK100" s="317">
        <f>VLOOKUP($A100,ціни!$A$4:$G$401,5)</f>
        <v>6.6226300973245644</v>
      </c>
      <c r="DL100" s="317"/>
      <c r="DM100" s="317">
        <f>VLOOKUP($A100,ціни!$A$4:$G$401,7)</f>
        <v>5.535879983089635</v>
      </c>
      <c r="DN100" s="30">
        <f t="shared" si="117"/>
        <v>1658.3065763700711</v>
      </c>
      <c r="DO100" s="30">
        <f t="shared" si="118"/>
        <v>319.42027502427197</v>
      </c>
      <c r="DP100" s="316">
        <f t="shared" si="101"/>
        <v>1977.7268513943432</v>
      </c>
      <c r="DQ100" s="104"/>
      <c r="DR100" s="30">
        <f>VLOOKUP(A100,'ДЗ нас '!$A$1:$C$359,2)</f>
        <v>2126.52</v>
      </c>
      <c r="DS100" s="748">
        <f>VLOOKUP(A100,'ДЗ нежит'!$A$1:$D$153,4,0)</f>
        <v>319.42</v>
      </c>
      <c r="DT100" s="30">
        <f t="shared" si="102"/>
        <v>2445.94</v>
      </c>
      <c r="DU100" s="257">
        <f>VLOOKUP(A100,'новий кошторис с 01.06'!$A$4:$AI$399,35)*1.2</f>
        <v>2458.9908239316701</v>
      </c>
      <c r="DV100" s="30">
        <f t="shared" si="103"/>
        <v>-13.050823931670038</v>
      </c>
      <c r="DW100" s="930">
        <f>'[5]побудинковий звіт'!DW100+'[6]побудинковий звіт'!DW100</f>
        <v>204</v>
      </c>
      <c r="DY100" s="5">
        <f t="shared" si="104"/>
        <v>8487.0988467231673</v>
      </c>
      <c r="DZ100" s="5">
        <f t="shared" si="105"/>
        <v>23058</v>
      </c>
      <c r="EA100" s="752">
        <f t="shared" si="110"/>
        <v>49529.83</v>
      </c>
      <c r="EC100" s="592">
        <f t="shared" si="106"/>
        <v>71388.585883976004</v>
      </c>
      <c r="EE100" s="758">
        <v>-6502</v>
      </c>
      <c r="EF100" s="738">
        <f t="shared" si="107"/>
        <v>12063.740423995754</v>
      </c>
      <c r="EH100" s="813">
        <v>16057.38191785299</v>
      </c>
    </row>
    <row r="101" spans="1:138" x14ac:dyDescent="0.3">
      <c r="A101" s="328">
        <v>150000606</v>
      </c>
      <c r="B101" s="44" t="s">
        <v>551</v>
      </c>
      <c r="C101" s="45" t="s">
        <v>156</v>
      </c>
      <c r="D101" s="45" t="s">
        <v>156</v>
      </c>
      <c r="E101" s="40">
        <f t="shared" si="108"/>
        <v>1861.07</v>
      </c>
      <c r="F101" s="490">
        <v>1780.57</v>
      </c>
      <c r="G101" s="30"/>
      <c r="H101" s="30">
        <v>80.5</v>
      </c>
      <c r="I101" s="42">
        <f>'[1]побудинковий звіт'!I101+'[2]побудинковий звіт'!I101-'[3]побудинковий звіт'!I101</f>
        <v>2079.3951067892367</v>
      </c>
      <c r="J101" s="42">
        <f>'[1]побудинковий звіт'!J101+'[2]побудинковий звіт'!J101-'[3]побудинковий звіт'!J101</f>
        <v>2068.8072352841632</v>
      </c>
      <c r="K101" s="56">
        <f t="shared" si="66"/>
        <v>-10.587871505073508</v>
      </c>
      <c r="L101" s="42">
        <f>'[1]побудинковий звіт'!L101+'[2]побудинковий звіт'!L101-'[3]побудинковий звіт'!L101</f>
        <v>735.89522095422637</v>
      </c>
      <c r="M101" s="42">
        <f>'[1]побудинковий звіт'!M101+'[2]побудинковий звіт'!M101-'[3]побудинковий звіт'!M101</f>
        <v>742.48490856405624</v>
      </c>
      <c r="N101" s="56">
        <f t="shared" si="67"/>
        <v>6.5896876098298662</v>
      </c>
      <c r="O101" s="42">
        <f>'[1]побудинковий звіт'!O101+'[2]побудинковий звіт'!O101-'[3]побудинковий звіт'!O101</f>
        <v>1032.8399999999997</v>
      </c>
      <c r="P101" s="42">
        <f>'[1]побудинковий звіт'!P101+'[2]побудинковий звіт'!P101-'[3]побудинковий звіт'!P101</f>
        <v>811.88366075268834</v>
      </c>
      <c r="Q101" s="56">
        <f t="shared" si="68"/>
        <v>-220.95633924731135</v>
      </c>
      <c r="R101" s="42">
        <f>'[1]побудинковий звіт'!R101+'[2]побудинковий звіт'!R101-'[3]побудинковий звіт'!R101</f>
        <v>0</v>
      </c>
      <c r="S101" s="42">
        <f>'[1]побудинковий звіт'!S101+'[2]побудинковий звіт'!S101-'[3]побудинковий звіт'!S101</f>
        <v>0</v>
      </c>
      <c r="T101" s="56">
        <f t="shared" si="69"/>
        <v>0</v>
      </c>
      <c r="U101" s="42">
        <f>'[1]побудинковий звіт'!U101+'[2]побудинковий звіт'!U101-'[3]побудинковий звіт'!U101</f>
        <v>0</v>
      </c>
      <c r="V101" s="42">
        <f>'[1]побудинковий звіт'!V101+'[2]побудинковий звіт'!V101-'[3]побудинковий звіт'!V101</f>
        <v>0</v>
      </c>
      <c r="W101" s="56">
        <f t="shared" si="70"/>
        <v>0</v>
      </c>
      <c r="X101" s="42">
        <f>'[1]побудинковий звіт'!X101+'[2]побудинковий звіт'!X101-'[3]побудинковий звіт'!X101</f>
        <v>840.80816527939862</v>
      </c>
      <c r="Y101" s="42">
        <f>'[1]побудинковий звіт'!Y101+'[2]побудинковий звіт'!Y101-'[3]побудинковий звіт'!Y101</f>
        <v>621.42537402691755</v>
      </c>
      <c r="Z101" s="56">
        <f t="shared" si="71"/>
        <v>-219.38279125248107</v>
      </c>
      <c r="AA101" s="42">
        <f>'[1]побудинковий звіт'!AA101+'[2]побудинковий звіт'!AA101-'[3]побудинковий звіт'!AA101</f>
        <v>0</v>
      </c>
      <c r="AB101" s="42">
        <f>'[1]побудинковий звіт'!AB101+'[2]побудинковий звіт'!AB101-'[3]побудинковий звіт'!AB101</f>
        <v>0</v>
      </c>
      <c r="AC101" s="56">
        <f t="shared" si="72"/>
        <v>0</v>
      </c>
      <c r="AD101" s="42">
        <f>'[1]побудинковий звіт'!AD101+'[2]побудинковий звіт'!AD101-'[3]побудинковий звіт'!AD101</f>
        <v>3276.569703894244</v>
      </c>
      <c r="AE101" s="42">
        <f>'[1]побудинковий звіт'!AE101+'[2]побудинковий звіт'!AE101-'[3]побудинковий звіт'!AE101</f>
        <v>3019.9924708450308</v>
      </c>
      <c r="AF101" s="37">
        <f t="shared" si="73"/>
        <v>-256.57723304921319</v>
      </c>
      <c r="AG101" s="87">
        <f t="shared" si="61"/>
        <v>7965.508196917106</v>
      </c>
      <c r="AH101" s="57">
        <f t="shared" si="61"/>
        <v>7264.5936494728558</v>
      </c>
      <c r="AI101" s="56">
        <f t="shared" si="74"/>
        <v>-700.91454744425027</v>
      </c>
      <c r="AJ101" s="42">
        <f>'[1]побудинковий звіт'!AJ101+'[2]побудинковий звіт'!AJ101-'[3]побудинковий звіт'!AJ101</f>
        <v>0</v>
      </c>
      <c r="AK101" s="42">
        <f>'[1]побудинковий звіт'!AK101+'[2]побудинковий звіт'!AK101-'[3]побудинковий звіт'!AK101</f>
        <v>0</v>
      </c>
      <c r="AL101" s="56">
        <f t="shared" si="75"/>
        <v>0</v>
      </c>
      <c r="AM101" s="42">
        <f>'[1]побудинковий звіт'!AM101+'[2]побудинковий звіт'!AM101-'[3]побудинковий звіт'!AM101</f>
        <v>0</v>
      </c>
      <c r="AN101" s="42">
        <f>'[1]побудинковий звіт'!AN101+'[2]побудинковий звіт'!AN101-'[3]побудинковий звіт'!AN101</f>
        <v>0</v>
      </c>
      <c r="AO101" s="56">
        <f t="shared" si="76"/>
        <v>0</v>
      </c>
      <c r="AP101" s="42">
        <f>'[1]побудинковий звіт'!AP101+'[2]побудинковий звіт'!AP101-'[3]побудинковий звіт'!AP101</f>
        <v>1988.7370500766642</v>
      </c>
      <c r="AQ101" s="42">
        <f>'[1]побудинковий звіт'!AQ101+'[2]побудинковий звіт'!AQ101-'[3]побудинковий звіт'!AQ101</f>
        <v>1617.0543849498963</v>
      </c>
      <c r="AR101" s="56">
        <f t="shared" si="77"/>
        <v>-371.68266512676792</v>
      </c>
      <c r="AS101" s="42">
        <f>'[1]побудинковий звіт'!AS101+'[2]побудинковий звіт'!AS101-'[3]побудинковий звіт'!AS101</f>
        <v>13316.438056097235</v>
      </c>
      <c r="AT101" s="42">
        <f>'[1]побудинковий звіт'!AT101+'[2]побудинковий звіт'!AT101-'[3]побудинковий звіт'!AT101</f>
        <v>14799</v>
      </c>
      <c r="AU101" s="58">
        <f t="shared" si="78"/>
        <v>1482.5619439027651</v>
      </c>
      <c r="AV101" s="42">
        <f>'[1]побудинковий звіт'!AV101+'[2]побудинковий звіт'!AV101-'[3]побудинковий звіт'!AV101</f>
        <v>778.98413731632706</v>
      </c>
      <c r="AW101" s="42">
        <f>'[1]побудинковий звіт'!AW101+'[2]побудинковий звіт'!AW101-'[3]побудинковий звіт'!AW101</f>
        <v>0</v>
      </c>
      <c r="AX101" s="59">
        <f t="shared" si="79"/>
        <v>-778.98413731632706</v>
      </c>
      <c r="AY101" s="42">
        <f>'[1]побудинковий звіт'!AY101+'[2]побудинковий звіт'!AY101-'[3]побудинковий звіт'!AY101</f>
        <v>948.60920210246854</v>
      </c>
      <c r="AZ101" s="42">
        <f>'[1]побудинковий звіт'!AZ101+'[2]побудинковий звіт'!AZ101-'[3]побудинковий звіт'!AZ101</f>
        <v>0</v>
      </c>
      <c r="BA101" s="37">
        <f t="shared" si="80"/>
        <v>-948.60920210246854</v>
      </c>
      <c r="BB101" s="42">
        <f>'[1]побудинковий звіт'!BB101+'[2]побудинковий звіт'!BB101-'[3]побудинковий звіт'!BB101</f>
        <v>384.71973377700328</v>
      </c>
      <c r="BC101" s="42">
        <f>'[1]побудинковий звіт'!BC101+'[2]побудинковий звіт'!BC101-'[3]побудинковий звіт'!BC101</f>
        <v>0</v>
      </c>
      <c r="BD101" s="59">
        <f t="shared" si="81"/>
        <v>-384.71973377700328</v>
      </c>
      <c r="BE101" s="42">
        <f>'[1]побудинковий звіт'!BE101+'[2]побудинковий звіт'!BE101-'[3]побудинковий звіт'!BE101</f>
        <v>0</v>
      </c>
      <c r="BF101" s="42">
        <f>'[1]побудинковий звіт'!BF101+'[2]побудинковий звіт'!BF101-'[3]побудинковий звіт'!BF101</f>
        <v>0</v>
      </c>
      <c r="BG101" s="39">
        <f t="shared" si="82"/>
        <v>0</v>
      </c>
      <c r="BH101" s="42">
        <f>'[1]побудинковий звіт'!BH101+'[2]побудинковий звіт'!BH101-'[3]побудинковий звіт'!BH101</f>
        <v>0</v>
      </c>
      <c r="BI101" s="42">
        <f>'[1]побудинковий звіт'!BI101+'[2]побудинковий звіт'!BI101-'[3]побудинковий звіт'!BI101</f>
        <v>0</v>
      </c>
      <c r="BJ101" s="59">
        <f t="shared" si="83"/>
        <v>0</v>
      </c>
      <c r="BK101" s="42">
        <f>'[1]побудинковий звіт'!BK101+'[2]побудинковий звіт'!BK101-'[3]побудинковий звіт'!BK101</f>
        <v>177.79633895512248</v>
      </c>
      <c r="BL101" s="42">
        <f>'[1]побудинковий звіт'!BL101+'[2]побудинковий звіт'!BL101-'[3]побудинковий звіт'!BL101</f>
        <v>0</v>
      </c>
      <c r="BM101" s="39">
        <f t="shared" si="84"/>
        <v>-177.79633895512248</v>
      </c>
      <c r="BN101" s="42">
        <f>'[1]побудинковий звіт'!BN101+'[2]побудинковий звіт'!BN101-'[3]побудинковий звіт'!BN101</f>
        <v>0</v>
      </c>
      <c r="BO101" s="42">
        <f>'[1]побудинковий звіт'!BO101+'[2]побудинковий звіт'!BO101-'[3]побудинковий звіт'!BO101</f>
        <v>0</v>
      </c>
      <c r="BP101" s="59">
        <f t="shared" si="85"/>
        <v>0</v>
      </c>
      <c r="BQ101" s="87">
        <f t="shared" si="113"/>
        <v>2290.1094121509213</v>
      </c>
      <c r="BR101" s="43">
        <f t="shared" si="114"/>
        <v>0</v>
      </c>
      <c r="BS101" s="59">
        <f t="shared" si="86"/>
        <v>-2290.1094121509213</v>
      </c>
      <c r="BT101" s="42">
        <f>'[1]побудинковий звіт'!BT101+'[2]побудинковий звіт'!BT101-'[3]побудинковий звіт'!BT101</f>
        <v>11818.379094224023</v>
      </c>
      <c r="BU101" s="42">
        <f>'[1]побудинковий звіт'!BU101+'[2]побудинковий звіт'!BU101-'[3]побудинковий звіт'!BU101</f>
        <v>13281.124635168635</v>
      </c>
      <c r="BV101" s="56">
        <f t="shared" si="87"/>
        <v>1462.745540944612</v>
      </c>
      <c r="BW101" s="42">
        <f>'[1]побудинковий звіт'!BW101+'[2]побудинковий звіт'!BW101-'[3]побудинковий звіт'!BW101</f>
        <v>7221.5452988277739</v>
      </c>
      <c r="BX101" s="42">
        <f>'[1]побудинковий звіт'!BX101+'[2]побудинковий звіт'!BX101-'[3]побудинковий звіт'!BX101</f>
        <v>9649.5469480217107</v>
      </c>
      <c r="BY101" s="56">
        <f t="shared" si="88"/>
        <v>2428.0016491939368</v>
      </c>
      <c r="BZ101" s="42">
        <f>'[1]побудинковий звіт'!BZ101+'[2]побудинковий звіт'!BZ101-'[3]побудинковий звіт'!BZ101</f>
        <v>3075.9253299328998</v>
      </c>
      <c r="CA101" s="42">
        <f>'[1]побудинковий звіт'!CA101+'[2]побудинковий звіт'!CA101-'[3]побудинковий звіт'!CA101</f>
        <v>3327.9749694354623</v>
      </c>
      <c r="CB101" s="56">
        <f t="shared" si="89"/>
        <v>252.04963950256251</v>
      </c>
      <c r="CC101" s="42">
        <f>'[1]побудинковий звіт'!CC101+'[2]побудинковий звіт'!CC101-'[3]побудинковий звіт'!CC101</f>
        <v>0</v>
      </c>
      <c r="CD101" s="42">
        <f>'[1]побудинковий звіт'!CD101+'[2]побудинковий звіт'!CD101-'[3]побудинковий звіт'!CD101</f>
        <v>0</v>
      </c>
      <c r="CE101" s="56">
        <f t="shared" si="90"/>
        <v>0</v>
      </c>
      <c r="CF101" s="42">
        <f>'[1]побудинковий звіт'!CF101+'[2]побудинковий звіт'!CF101-'[3]побудинковий звіт'!CF101</f>
        <v>0</v>
      </c>
      <c r="CG101" s="42">
        <f>'[1]побудинковий звіт'!CG101+'[2]побудинковий звіт'!CG101-'[3]побудинковий звіт'!CG101</f>
        <v>0</v>
      </c>
      <c r="CH101" s="56">
        <f t="shared" si="91"/>
        <v>0</v>
      </c>
      <c r="CI101" s="42">
        <f>'[1]побудинковий звіт'!CI101+'[2]побудинковий звіт'!CI101-'[3]побудинковий звіт'!CI101</f>
        <v>1347.6618127578338</v>
      </c>
      <c r="CJ101" s="42">
        <f>'[1]побудинковий звіт'!CJ101+'[2]побудинковий звіт'!CJ101-'[3]побудинковий звіт'!CJ101</f>
        <v>435.5421433378292</v>
      </c>
      <c r="CK101" s="56">
        <f t="shared" si="92"/>
        <v>-912.11966942000458</v>
      </c>
      <c r="CL101" s="42">
        <f>'[1]побудинковий звіт'!CL101+'[2]побудинковий звіт'!CL101-'[3]побудинковий звіт'!CL101</f>
        <v>0</v>
      </c>
      <c r="CM101" s="42">
        <f>'[1]побудинковий звіт'!CM101+'[2]побудинковий звіт'!CM101-'[3]побудинковий звіт'!CM101</f>
        <v>0</v>
      </c>
      <c r="CN101" s="56">
        <f t="shared" si="93"/>
        <v>0</v>
      </c>
      <c r="CO101" s="42">
        <f t="shared" si="64"/>
        <v>1347.6618127578338</v>
      </c>
      <c r="CP101" s="43">
        <f t="shared" si="94"/>
        <v>435.5421433378292</v>
      </c>
      <c r="CQ101" s="56">
        <f t="shared" si="95"/>
        <v>-912.11966942000458</v>
      </c>
      <c r="CR101" s="78">
        <f t="shared" si="65"/>
        <v>49024.30425098446</v>
      </c>
      <c r="CS101" s="5">
        <f t="shared" si="65"/>
        <v>50374.836730386392</v>
      </c>
      <c r="CT101" s="56">
        <f t="shared" si="96"/>
        <v>1350.5324794019325</v>
      </c>
      <c r="CU101" s="87">
        <f t="shared" si="97"/>
        <v>58829.165101181352</v>
      </c>
      <c r="CV101" s="70">
        <f t="shared" si="98"/>
        <v>60449.804076463668</v>
      </c>
      <c r="CW101" s="37">
        <f t="shared" si="99"/>
        <v>1620.6389752823161</v>
      </c>
      <c r="CX101" s="42">
        <f>'[1]побудинковий звіт'!CX101+'[2]побудинковий звіт'!CX101-'[3]побудинковий звіт'!CX101</f>
        <v>882.47489881864021</v>
      </c>
      <c r="CY101" s="42">
        <f>'[1]побудинковий звіт'!CY101+'[2]побудинковий звіт'!CY101-'[3]побудинковий звіт'!CY101</f>
        <v>-738.16407646367543</v>
      </c>
      <c r="CZ101" s="56">
        <f t="shared" si="100"/>
        <v>-1620.6389752823156</v>
      </c>
      <c r="DA101" s="264">
        <f>'[4]побудинковий звіт'!DA101</f>
        <v>-8443.9531494818912</v>
      </c>
      <c r="DB101" s="2">
        <v>2</v>
      </c>
      <c r="DC101" s="717">
        <f>'[4]побудинковий звіт'!DC101</f>
        <v>21251.35</v>
      </c>
      <c r="DD101" s="717">
        <f>'[4]побудинковий звіт'!DD101</f>
        <v>252.49</v>
      </c>
      <c r="DE101" s="717">
        <f>'[4]побудинковий звіт'!DE101</f>
        <v>16721.11</v>
      </c>
      <c r="DF101" s="717">
        <f>'[4]побудинковий звіт'!DF101</f>
        <v>-193.24</v>
      </c>
      <c r="DG101" s="787">
        <v>569.15406880961382</v>
      </c>
      <c r="DH101" s="761">
        <f t="shared" si="109"/>
        <v>716539.67999999993</v>
      </c>
      <c r="DI101" s="784"/>
      <c r="DJ101" s="5"/>
      <c r="DK101" s="317">
        <f>VLOOKUP($A101,ціни!$A$4:$G$401,5)</f>
        <v>6.6057754514453189</v>
      </c>
      <c r="DL101" s="317"/>
      <c r="DM101" s="317">
        <f>VLOOKUP($A101,ціни!$A$4:$G$401,7)</f>
        <v>5.5369698990524654</v>
      </c>
      <c r="DN101" s="30">
        <f t="shared" si="117"/>
        <v>11762.045595579992</v>
      </c>
      <c r="DO101" s="30">
        <f t="shared" si="118"/>
        <v>445.72607687372346</v>
      </c>
      <c r="DP101" s="316">
        <f t="shared" si="101"/>
        <v>12207.771672453715</v>
      </c>
      <c r="DQ101" s="104"/>
      <c r="DR101" s="30">
        <f>VLOOKUP(A101,'ДЗ нас '!$A$1:$C$359,2)</f>
        <v>4530.24</v>
      </c>
      <c r="DS101" s="748">
        <f>VLOOKUP(A101,'ДЗ нежит'!$A$1:$D$153,4,0)</f>
        <v>445.73</v>
      </c>
      <c r="DT101" s="30">
        <f t="shared" si="102"/>
        <v>4975.9699999999993</v>
      </c>
      <c r="DU101" s="257">
        <f>VLOOKUP(A101,'новий кошторис с 01.06'!$A$4:$AI$399,35)*1.2</f>
        <v>4990.6741727502185</v>
      </c>
      <c r="DV101" s="30">
        <f t="shared" si="103"/>
        <v>-14.704172750219186</v>
      </c>
      <c r="DW101" s="930">
        <f>'[5]побудинковий звіт'!DW101+'[6]побудинковий звіт'!DW101</f>
        <v>204</v>
      </c>
      <c r="DY101" s="5">
        <f t="shared" si="104"/>
        <v>18727.856961897785</v>
      </c>
      <c r="DZ101" s="5">
        <f t="shared" si="105"/>
        <v>17758.8</v>
      </c>
      <c r="EA101" s="752">
        <f t="shared" si="110"/>
        <v>16527.87</v>
      </c>
      <c r="EC101" s="592">
        <f t="shared" si="106"/>
        <v>159797.25667316682</v>
      </c>
      <c r="EE101" s="758">
        <v>4964</v>
      </c>
      <c r="EF101" s="738">
        <f t="shared" si="107"/>
        <v>5533.1540688096138</v>
      </c>
      <c r="EH101" s="813">
        <v>-11780.454996097218</v>
      </c>
    </row>
    <row r="102" spans="1:138" x14ac:dyDescent="0.3">
      <c r="A102" s="328">
        <v>150000607</v>
      </c>
      <c r="B102" s="44" t="s">
        <v>552</v>
      </c>
      <c r="C102" s="45" t="s">
        <v>157</v>
      </c>
      <c r="D102" s="45" t="s">
        <v>157</v>
      </c>
      <c r="E102" s="40">
        <f t="shared" si="108"/>
        <v>9458.3499999999985</v>
      </c>
      <c r="F102" s="490">
        <v>9162.5499999999993</v>
      </c>
      <c r="G102" s="30"/>
      <c r="H102" s="30">
        <v>295.8</v>
      </c>
      <c r="I102" s="42">
        <f>'[1]побудинковий звіт'!I102+'[2]побудинковий звіт'!I102-'[3]побудинковий звіт'!I102</f>
        <v>4347.5795229162641</v>
      </c>
      <c r="J102" s="42">
        <f>'[1]побудинковий звіт'!J102+'[2]побудинковий звіт'!J102-'[3]побудинковий звіт'!J102</f>
        <v>4279.5612159827106</v>
      </c>
      <c r="K102" s="56">
        <f t="shared" si="66"/>
        <v>-68.018306933553504</v>
      </c>
      <c r="L102" s="42">
        <f>'[1]побудинковий звіт'!L102+'[2]побудинковий звіт'!L102-'[3]побудинковий звіт'!L102</f>
        <v>883.24901191810147</v>
      </c>
      <c r="M102" s="42">
        <f>'[1]побудинковий звіт'!M102+'[2]побудинковий звіт'!M102-'[3]побудинковий звіт'!M102</f>
        <v>930.14701552178985</v>
      </c>
      <c r="N102" s="56">
        <f t="shared" si="67"/>
        <v>46.89800360368838</v>
      </c>
      <c r="O102" s="42">
        <f>'[1]побудинковий звіт'!O102+'[2]побудинковий звіт'!O102-'[3]побудинковий звіт'!O102</f>
        <v>1354.3199999999997</v>
      </c>
      <c r="P102" s="42">
        <f>'[1]побудинковий звіт'!P102+'[2]побудинковий звіт'!P102-'[3]побудинковий звіт'!P102</f>
        <v>1064.4999602150538</v>
      </c>
      <c r="Q102" s="56">
        <f t="shared" si="68"/>
        <v>-289.82003978494595</v>
      </c>
      <c r="R102" s="42">
        <f>'[1]побудинковий звіт'!R102+'[2]побудинковий звіт'!R102-'[3]побудинковий звіт'!R102</f>
        <v>0</v>
      </c>
      <c r="S102" s="42">
        <f>'[1]побудинковий звіт'!S102+'[2]побудинковий звіт'!S102-'[3]побудинковий звіт'!S102</f>
        <v>0</v>
      </c>
      <c r="T102" s="56">
        <f t="shared" si="69"/>
        <v>0</v>
      </c>
      <c r="U102" s="42">
        <f>'[1]побудинковий звіт'!U102+'[2]побудинковий звіт'!U102-'[3]побудинковий звіт'!U102</f>
        <v>0</v>
      </c>
      <c r="V102" s="42">
        <f>'[1]побудинковий звіт'!V102+'[2]побудинковий звіт'!V102-'[3]побудинковий звіт'!V102</f>
        <v>0</v>
      </c>
      <c r="W102" s="56">
        <f t="shared" si="70"/>
        <v>0</v>
      </c>
      <c r="X102" s="42">
        <f>'[1]побудинковий звіт'!X102+'[2]побудинковий звіт'!X102-'[3]побудинковий звіт'!X102</f>
        <v>1681.6163305587972</v>
      </c>
      <c r="Y102" s="42">
        <f>'[1]побудинковий звіт'!Y102+'[2]побудинковий звіт'!Y102-'[3]побудинковий звіт'!Y102</f>
        <v>1230.1982614284691</v>
      </c>
      <c r="Z102" s="56">
        <f t="shared" si="71"/>
        <v>-451.41806913032815</v>
      </c>
      <c r="AA102" s="42">
        <f>'[1]побудинковий звіт'!AA102+'[2]побудинковий звіт'!AA102-'[3]побудинковий звіт'!AA102</f>
        <v>0</v>
      </c>
      <c r="AB102" s="42">
        <f>'[1]побудинковий звіт'!AB102+'[2]побудинковий звіт'!AB102-'[3]побудинковий звіт'!AB102</f>
        <v>0</v>
      </c>
      <c r="AC102" s="56">
        <f t="shared" si="72"/>
        <v>0</v>
      </c>
      <c r="AD102" s="42">
        <f>'[1]побудинковий звіт'!AD102+'[2]побудинковий звіт'!AD102-'[3]побудинковий звіт'!AD102</f>
        <v>4253.5972092313632</v>
      </c>
      <c r="AE102" s="42">
        <f>'[1]побудинковий звіт'!AE102+'[2]побудинковий звіт'!AE102-'[3]побудинковий звіт'!AE102</f>
        <v>3920.5122145329979</v>
      </c>
      <c r="AF102" s="37">
        <f t="shared" si="73"/>
        <v>-333.08499469836534</v>
      </c>
      <c r="AG102" s="87">
        <f t="shared" si="61"/>
        <v>12520.362074624525</v>
      </c>
      <c r="AH102" s="57">
        <f t="shared" si="61"/>
        <v>11424.91866768102</v>
      </c>
      <c r="AI102" s="56">
        <f t="shared" si="74"/>
        <v>-1095.4434069435047</v>
      </c>
      <c r="AJ102" s="42">
        <f>'[1]побудинковий звіт'!AJ102+'[2]побудинковий звіт'!AJ102-'[3]побудинковий звіт'!AJ102</f>
        <v>0</v>
      </c>
      <c r="AK102" s="42">
        <f>'[1]побудинковий звіт'!AK102+'[2]побудинковий звіт'!AK102-'[3]побудинковий звіт'!AK102</f>
        <v>0</v>
      </c>
      <c r="AL102" s="56">
        <f t="shared" si="75"/>
        <v>0</v>
      </c>
      <c r="AM102" s="42">
        <f>'[1]побудинковий звіт'!AM102+'[2]побудинковий звіт'!AM102-'[3]побудинковий звіт'!AM102</f>
        <v>0</v>
      </c>
      <c r="AN102" s="42">
        <f>'[1]побудинковий звіт'!AN102+'[2]побудинковий звіт'!AN102-'[3]побудинковий звіт'!AN102</f>
        <v>0</v>
      </c>
      <c r="AO102" s="56">
        <f t="shared" si="76"/>
        <v>0</v>
      </c>
      <c r="AP102" s="42">
        <f>'[1]побудинковий звіт'!AP102+'[2]побудинковий звіт'!AP102-'[3]побудинковий звіт'!AP102</f>
        <v>1846.6844036426169</v>
      </c>
      <c r="AQ102" s="42">
        <f>'[1]побудинковий звіт'!AQ102+'[2]побудинковий звіт'!AQ102-'[3]побудинковий звіт'!AQ102</f>
        <v>1422.2417908699981</v>
      </c>
      <c r="AR102" s="56">
        <f t="shared" si="77"/>
        <v>-424.44261277261876</v>
      </c>
      <c r="AS102" s="42">
        <f>'[1]побудинковий звіт'!AS102+'[2]побудинковий звіт'!AS102-'[3]побудинковий звіт'!AS102</f>
        <v>10759.869337550761</v>
      </c>
      <c r="AT102" s="42">
        <f>'[1]побудинковий звіт'!AT102+'[2]побудинковий звіт'!AT102-'[3]побудинковий звіт'!AT102</f>
        <v>1650</v>
      </c>
      <c r="AU102" s="58">
        <f t="shared" si="78"/>
        <v>-9109.869337550761</v>
      </c>
      <c r="AV102" s="42">
        <f>'[1]побудинковий звіт'!AV102+'[2]побудинковий звіт'!AV102-'[3]побудинковий звіт'!AV102</f>
        <v>821.24397331095224</v>
      </c>
      <c r="AW102" s="42">
        <f>'[1]побудинковий звіт'!AW102+'[2]побудинковий звіт'!AW102-'[3]побудинковий звіт'!AW102</f>
        <v>0</v>
      </c>
      <c r="AX102" s="59">
        <f t="shared" si="79"/>
        <v>-821.24397331095224</v>
      </c>
      <c r="AY102" s="42">
        <f>'[1]побудинковий звіт'!AY102+'[2]побудинковий звіт'!AY102-'[3]побудинковий звіт'!AY102</f>
        <v>1138.2727935986193</v>
      </c>
      <c r="AZ102" s="42">
        <f>'[1]побудинковий звіт'!AZ102+'[2]побудинковий звіт'!AZ102-'[3]побудинковий звіт'!AZ102</f>
        <v>0</v>
      </c>
      <c r="BA102" s="37">
        <f t="shared" si="80"/>
        <v>-1138.2727935986193</v>
      </c>
      <c r="BB102" s="42">
        <f>'[1]побудинковий звіт'!BB102+'[2]побудинковий звіт'!BB102-'[3]побудинковий звіт'!BB102</f>
        <v>617.3558311371778</v>
      </c>
      <c r="BC102" s="42">
        <f>'[1]побудинковий звіт'!BC102+'[2]побудинковий звіт'!BC102-'[3]побудинковий звіт'!BC102</f>
        <v>0</v>
      </c>
      <c r="BD102" s="59">
        <f t="shared" si="81"/>
        <v>-617.3558311371778</v>
      </c>
      <c r="BE102" s="42">
        <f>'[1]побудинковий звіт'!BE102+'[2]побудинковий звіт'!BE102-'[3]побудинковий звіт'!BE102</f>
        <v>0</v>
      </c>
      <c r="BF102" s="42">
        <f>'[1]побудинковий звіт'!BF102+'[2]побудинковий звіт'!BF102-'[3]побудинковий звіт'!BF102</f>
        <v>0</v>
      </c>
      <c r="BG102" s="39">
        <f t="shared" si="82"/>
        <v>0</v>
      </c>
      <c r="BH102" s="42">
        <f>'[1]побудинковий звіт'!BH102+'[2]побудинковий звіт'!BH102-'[3]побудинковий звіт'!BH102</f>
        <v>0</v>
      </c>
      <c r="BI102" s="42">
        <f>'[1]побудинковий звіт'!BI102+'[2]побудинковий звіт'!BI102-'[3]побудинковий звіт'!BI102</f>
        <v>0</v>
      </c>
      <c r="BJ102" s="59">
        <f t="shared" si="83"/>
        <v>0</v>
      </c>
      <c r="BK102" s="42">
        <f>'[1]побудинковий звіт'!BK102+'[2]побудинковий звіт'!BK102-'[3]побудинковий звіт'!BK102</f>
        <v>177.79633895512248</v>
      </c>
      <c r="BL102" s="42">
        <f>'[1]побудинковий звіт'!BL102+'[2]побудинковий звіт'!BL102-'[3]побудинковий звіт'!BL102</f>
        <v>0</v>
      </c>
      <c r="BM102" s="39">
        <f t="shared" si="84"/>
        <v>-177.79633895512248</v>
      </c>
      <c r="BN102" s="42">
        <f>'[1]побудинковий звіт'!BN102+'[2]побудинковий звіт'!BN102-'[3]побудинковий звіт'!BN102</f>
        <v>0</v>
      </c>
      <c r="BO102" s="42">
        <f>'[1]побудинковий звіт'!BO102+'[2]побудинковий звіт'!BO102-'[3]побудинковий звіт'!BO102</f>
        <v>0</v>
      </c>
      <c r="BP102" s="59">
        <f t="shared" si="85"/>
        <v>0</v>
      </c>
      <c r="BQ102" s="87">
        <f t="shared" si="113"/>
        <v>2754.6689370018717</v>
      </c>
      <c r="BR102" s="43">
        <f t="shared" si="114"/>
        <v>0</v>
      </c>
      <c r="BS102" s="59">
        <f t="shared" si="86"/>
        <v>-2754.6689370018717</v>
      </c>
      <c r="BT102" s="42">
        <f>'[1]побудинковий звіт'!BT102+'[2]побудинковий звіт'!BT102-'[3]побудинковий звіт'!BT102</f>
        <v>18177.589403127982</v>
      </c>
      <c r="BU102" s="42">
        <f>'[1]побудинковий звіт'!BU102+'[2]побудинковий звіт'!BU102-'[3]побудинковий звіт'!BU102</f>
        <v>20579.250885274501</v>
      </c>
      <c r="BV102" s="56">
        <f t="shared" si="87"/>
        <v>2401.6614821465191</v>
      </c>
      <c r="BW102" s="42">
        <f>'[1]побудинковий звіт'!BW102+'[2]побудинковий звіт'!BW102-'[3]побудинковий звіт'!BW102</f>
        <v>7533.7086533064121</v>
      </c>
      <c r="BX102" s="42">
        <f>'[1]побудинковий звіт'!BX102+'[2]побудинковий звіт'!BX102-'[3]побудинковий звіт'!BX102</f>
        <v>7734.9952954569098</v>
      </c>
      <c r="BY102" s="56">
        <f t="shared" si="88"/>
        <v>201.28664215049776</v>
      </c>
      <c r="BZ102" s="42">
        <f>'[1]побудинковий звіт'!BZ102+'[2]побудинковий звіт'!BZ102-'[3]побудинковий звіт'!BZ102</f>
        <v>2592.9167144996268</v>
      </c>
      <c r="CA102" s="42">
        <f>'[1]побудинковий звіт'!CA102+'[2]побудинковий звіт'!CA102-'[3]побудинковий звіт'!CA102</f>
        <v>4612.7056324490623</v>
      </c>
      <c r="CB102" s="56">
        <f t="shared" si="89"/>
        <v>2019.7889179494355</v>
      </c>
      <c r="CC102" s="42">
        <f>'[1]побудинковий звіт'!CC102+'[2]побудинковий звіт'!CC102-'[3]побудинковий звіт'!CC102</f>
        <v>573.55845007253049</v>
      </c>
      <c r="CD102" s="42">
        <f>'[1]побудинковий звіт'!CD102+'[2]побудинковий звіт'!CD102-'[3]побудинковий звіт'!CD102</f>
        <v>568.51384134741863</v>
      </c>
      <c r="CE102" s="56">
        <f t="shared" si="90"/>
        <v>-5.044608725111857</v>
      </c>
      <c r="CF102" s="42">
        <f>'[1]побудинковий звіт'!CF102+'[2]побудинковий звіт'!CF102-'[3]побудинковий звіт'!CF102</f>
        <v>70.608521315747126</v>
      </c>
      <c r="CG102" s="42">
        <f>'[1]побудинковий звіт'!CG102+'[2]побудинковий звіт'!CG102-'[3]побудинковий звіт'!CG102</f>
        <v>0</v>
      </c>
      <c r="CH102" s="56">
        <f t="shared" si="91"/>
        <v>-70.608521315747126</v>
      </c>
      <c r="CI102" s="42">
        <f>'[1]побудинковий звіт'!CI102+'[2]побудинковий звіт'!CI102-'[3]побудинковий звіт'!CI102</f>
        <v>917.15873368241455</v>
      </c>
      <c r="CJ102" s="42">
        <f>'[1]побудинковий звіт'!CJ102+'[2]побудинковий звіт'!CJ102-'[3]побудинковий звіт'!CJ102</f>
        <v>127.26272891959462</v>
      </c>
      <c r="CK102" s="56">
        <f t="shared" si="92"/>
        <v>-789.89600476281998</v>
      </c>
      <c r="CL102" s="42">
        <f>'[1]побудинковий звіт'!CL102+'[2]побудинковий звіт'!CL102-'[3]побудинковий звіт'!CL102</f>
        <v>0</v>
      </c>
      <c r="CM102" s="42">
        <f>'[1]побудинковий звіт'!CM102+'[2]побудинковий звіт'!CM102-'[3]побудинковий звіт'!CM102</f>
        <v>0</v>
      </c>
      <c r="CN102" s="56">
        <f t="shared" si="93"/>
        <v>0</v>
      </c>
      <c r="CO102" s="42">
        <f t="shared" si="64"/>
        <v>917.15873368241455</v>
      </c>
      <c r="CP102" s="43">
        <f t="shared" si="94"/>
        <v>127.26272891959462</v>
      </c>
      <c r="CQ102" s="56">
        <f t="shared" si="95"/>
        <v>-789.89600476281998</v>
      </c>
      <c r="CR102" s="78">
        <f t="shared" si="65"/>
        <v>57747.125228824494</v>
      </c>
      <c r="CS102" s="5">
        <f t="shared" si="65"/>
        <v>48119.888841998501</v>
      </c>
      <c r="CT102" s="56">
        <f t="shared" si="96"/>
        <v>-9627.2363868259927</v>
      </c>
      <c r="CU102" s="87">
        <f t="shared" si="97"/>
        <v>69296.55027458939</v>
      </c>
      <c r="CV102" s="70">
        <f t="shared" si="98"/>
        <v>57743.866610398203</v>
      </c>
      <c r="CW102" s="37">
        <f t="shared" si="99"/>
        <v>-11552.683664191187</v>
      </c>
      <c r="CX102" s="42">
        <f>'[1]побудинковий звіт'!CX102+'[2]побудинковий звіт'!CX102-'[3]побудинковий звіт'!CX102</f>
        <v>1732.649725410618</v>
      </c>
      <c r="CY102" s="42">
        <f>'[1]побудинковий звіт'!CY102+'[2]побудинковий звіт'!CY102-'[3]побудинковий звіт'!CY102</f>
        <v>13285.333389601805</v>
      </c>
      <c r="CZ102" s="56">
        <f t="shared" si="100"/>
        <v>11552.683664191187</v>
      </c>
      <c r="DA102" s="264">
        <f>'[4]побудинковий звіт'!DA102</f>
        <v>-11729.871099745691</v>
      </c>
      <c r="DB102" s="2">
        <v>2</v>
      </c>
      <c r="DC102" s="717">
        <f>'[4]побудинковий звіт'!DC102</f>
        <v>9361.2199999999993</v>
      </c>
      <c r="DD102" s="717">
        <f>'[4]побудинковий звіт'!DD102</f>
        <v>8141.21</v>
      </c>
      <c r="DE102" s="717">
        <f>'[4]побудинковий звіт'!DE102</f>
        <v>4972.5399999999991</v>
      </c>
      <c r="DF102" s="717">
        <f>'[4]побудинковий звіт'!DF102</f>
        <v>6610.79</v>
      </c>
      <c r="DG102" s="787">
        <v>-12260.880725784169</v>
      </c>
      <c r="DH102" s="761">
        <f t="shared" si="109"/>
        <v>852350.40000000014</v>
      </c>
      <c r="DI102" s="784"/>
      <c r="DJ102" s="5"/>
      <c r="DK102" s="317">
        <f>VLOOKUP($A102,ціни!$A$4:$G$401,5)</f>
        <v>6.2785072280668155</v>
      </c>
      <c r="DL102" s="317"/>
      <c r="DM102" s="317">
        <f>VLOOKUP($A102,ціни!$A$4:$G$401,7)</f>
        <v>5.1737788490054317</v>
      </c>
      <c r="DN102" s="30">
        <f t="shared" si="117"/>
        <v>57527.136402523596</v>
      </c>
      <c r="DO102" s="30">
        <f t="shared" si="118"/>
        <v>1530.4037835358067</v>
      </c>
      <c r="DP102" s="316">
        <f t="shared" si="101"/>
        <v>59057.540186059399</v>
      </c>
      <c r="DQ102" s="104"/>
      <c r="DR102" s="30">
        <f>VLOOKUP(A102,'ДЗ нас '!$A$1:$C$359,2)</f>
        <v>4388.68</v>
      </c>
      <c r="DS102" s="748">
        <f>VLOOKUP(A102,'ДЗ нежит'!$A$1:$D$153,4,0)</f>
        <v>1530.4199999999998</v>
      </c>
      <c r="DT102" s="30">
        <f t="shared" si="102"/>
        <v>5919.1</v>
      </c>
      <c r="DU102" s="257">
        <f>VLOOKUP(A102,'новий кошторис с 01.06'!$A$4:$AI$399,35)*1.2</f>
        <v>5947.9538985689205</v>
      </c>
      <c r="DV102" s="30">
        <f t="shared" si="103"/>
        <v>-28.853898568920158</v>
      </c>
      <c r="DW102" s="930">
        <f>'[5]побудинковий звіт'!DW102+'[6]побудинковий звіт'!DW102</f>
        <v>204</v>
      </c>
      <c r="DY102" s="5">
        <f t="shared" si="104"/>
        <v>16217.44592946316</v>
      </c>
      <c r="DZ102" s="5">
        <f t="shared" si="105"/>
        <v>1980</v>
      </c>
      <c r="EA102" s="752">
        <f t="shared" si="110"/>
        <v>11583.329999999998</v>
      </c>
      <c r="EC102" s="592">
        <f t="shared" si="106"/>
        <v>129118.43205060913</v>
      </c>
      <c r="EE102" s="758">
        <v>-12107</v>
      </c>
      <c r="EF102" s="738">
        <f t="shared" si="107"/>
        <v>-24367.880725784169</v>
      </c>
      <c r="EH102" s="813">
        <v>-2113.2242656163107</v>
      </c>
    </row>
    <row r="103" spans="1:138" x14ac:dyDescent="0.3">
      <c r="A103" s="328">
        <v>150000608</v>
      </c>
      <c r="B103" s="44" t="s">
        <v>553</v>
      </c>
      <c r="C103" s="45" t="s">
        <v>158</v>
      </c>
      <c r="D103" s="45" t="s">
        <v>158</v>
      </c>
      <c r="E103" s="40">
        <f t="shared" si="108"/>
        <v>3844.3500000000004</v>
      </c>
      <c r="F103" s="490">
        <v>3714.05</v>
      </c>
      <c r="G103" s="30"/>
      <c r="H103" s="30">
        <v>130.30000000000001</v>
      </c>
      <c r="I103" s="42">
        <f>'[1]побудинковий звіт'!I103+'[2]побудинковий звіт'!I103-'[3]побудинковий звіт'!I103</f>
        <v>3279.8641979926406</v>
      </c>
      <c r="J103" s="42">
        <f>'[1]побудинковий звіт'!J103+'[2]побудинковий звіт'!J103-'[3]побудинковий звіт'!J103</f>
        <v>3218.0828257445273</v>
      </c>
      <c r="K103" s="56">
        <f t="shared" si="66"/>
        <v>-61.781372248113257</v>
      </c>
      <c r="L103" s="42">
        <f>'[1]побудинковий звіт'!L103+'[2]побудинковий звіт'!L103-'[3]побудинковий звіт'!L103</f>
        <v>739.15037690254474</v>
      </c>
      <c r="M103" s="42">
        <f>'[1]побудинковий звіт'!M103+'[2]побудинковий звіт'!M103-'[3]побудинковий звіт'!M103</f>
        <v>745.76891901608838</v>
      </c>
      <c r="N103" s="56">
        <f t="shared" si="67"/>
        <v>6.61854211354364</v>
      </c>
      <c r="O103" s="42">
        <f>'[1]побудинковий звіт'!O103+'[2]побудинковий звіт'!O103-'[3]побудинковий звіт'!O103</f>
        <v>825.4799999999999</v>
      </c>
      <c r="P103" s="42">
        <f>'[1]побудинковий звіт'!P103+'[2]побудинковий звіт'!P103-'[3]побудинковий звіт'!P103</f>
        <v>648.88851330645161</v>
      </c>
      <c r="Q103" s="56">
        <f t="shared" si="68"/>
        <v>-176.59148669354829</v>
      </c>
      <c r="R103" s="42">
        <f>'[1]побудинковий звіт'!R103+'[2]побудинковий звіт'!R103-'[3]побудинковий звіт'!R103</f>
        <v>0</v>
      </c>
      <c r="S103" s="42">
        <f>'[1]побудинковий звіт'!S103+'[2]побудинковий звіт'!S103-'[3]побудинковий звіт'!S103</f>
        <v>0</v>
      </c>
      <c r="T103" s="56">
        <f t="shared" si="69"/>
        <v>0</v>
      </c>
      <c r="U103" s="42">
        <f>'[1]побудинковий звіт'!U103+'[2]побудинковий звіт'!U103-'[3]побудинковий звіт'!U103</f>
        <v>0</v>
      </c>
      <c r="V103" s="42">
        <f>'[1]побудинковий звіт'!V103+'[2]побудинковий звіт'!V103-'[3]побудинковий звіт'!V103</f>
        <v>0</v>
      </c>
      <c r="W103" s="56">
        <f t="shared" si="70"/>
        <v>0</v>
      </c>
      <c r="X103" s="42">
        <f>'[1]побудинковий звіт'!X103+'[2]побудинковий звіт'!X103-'[3]побудинковий звіт'!X103</f>
        <v>1207.1775804244428</v>
      </c>
      <c r="Y103" s="42">
        <f>'[1]побудинковий звіт'!Y103+'[2]побудинковий звіт'!Y103-'[3]побудинковий звіт'!Y103</f>
        <v>906.9015708113775</v>
      </c>
      <c r="Z103" s="56">
        <f t="shared" si="71"/>
        <v>-300.2760096130653</v>
      </c>
      <c r="AA103" s="42">
        <f>'[1]побудинковий звіт'!AA103+'[2]побудинковий звіт'!AA103-'[3]побудинковий звіт'!AA103</f>
        <v>0</v>
      </c>
      <c r="AB103" s="42">
        <f>'[1]побудинковий звіт'!AB103+'[2]побудинковий звіт'!AB103-'[3]побудинковий звіт'!AB103</f>
        <v>0</v>
      </c>
      <c r="AC103" s="56">
        <f t="shared" si="72"/>
        <v>0</v>
      </c>
      <c r="AD103" s="42">
        <f>'[1]побудинковий звіт'!AD103+'[2]побудинковий звіт'!AD103-'[3]побудинковий звіт'!AD103</f>
        <v>2558.2727646312997</v>
      </c>
      <c r="AE103" s="42">
        <f>'[1]побудинковий звіт'!AE103+'[2]побудинковий звіт'!AE103-'[3]побудинковий звіт'!AE103</f>
        <v>2357.9429665030539</v>
      </c>
      <c r="AF103" s="37">
        <f t="shared" si="73"/>
        <v>-200.32979812824578</v>
      </c>
      <c r="AG103" s="87">
        <f t="shared" si="61"/>
        <v>8609.9449199509272</v>
      </c>
      <c r="AH103" s="57">
        <f t="shared" si="61"/>
        <v>7877.5847953814982</v>
      </c>
      <c r="AI103" s="56">
        <f t="shared" si="74"/>
        <v>-732.36012456942899</v>
      </c>
      <c r="AJ103" s="42">
        <f>'[1]побудинковий звіт'!AJ103+'[2]побудинковий звіт'!AJ103-'[3]побудинковий звіт'!AJ103</f>
        <v>0</v>
      </c>
      <c r="AK103" s="42">
        <f>'[1]побудинковий звіт'!AK103+'[2]побудинковий звіт'!AK103-'[3]побудинковий звіт'!AK103</f>
        <v>0</v>
      </c>
      <c r="AL103" s="56">
        <f t="shared" si="75"/>
        <v>0</v>
      </c>
      <c r="AM103" s="42">
        <f>'[1]побудинковий звіт'!AM103+'[2]побудинковий звіт'!AM103-'[3]побудинковий звіт'!AM103</f>
        <v>0</v>
      </c>
      <c r="AN103" s="42">
        <f>'[1]побудинковий звіт'!AN103+'[2]побудинковий звіт'!AN103-'[3]побудинковий звіт'!AN103</f>
        <v>0</v>
      </c>
      <c r="AO103" s="56">
        <f t="shared" si="76"/>
        <v>0</v>
      </c>
      <c r="AP103" s="42">
        <f>'[1]побудинковий звіт'!AP103+'[2]побудинковий звіт'!AP103-'[3]побудинковий звіт'!AP103</f>
        <v>1231.1229357617449</v>
      </c>
      <c r="AQ103" s="42">
        <f>'[1]побудинковий звіт'!AQ103+'[2]побудинковий звіт'!AQ103-'[3]побудинковий звіт'!AQ103</f>
        <v>924.65634037858285</v>
      </c>
      <c r="AR103" s="56">
        <f t="shared" si="77"/>
        <v>-306.46659538316203</v>
      </c>
      <c r="AS103" s="42">
        <f>'[1]побудинковий звіт'!AS103+'[2]побудинковий звіт'!AS103-'[3]побудинковий звіт'!AS103</f>
        <v>8464.6761430630268</v>
      </c>
      <c r="AT103" s="42">
        <f>'[1]побудинковий звіт'!AT103+'[2]побудинковий звіт'!AT103-'[3]побудинковий звіт'!AT103</f>
        <v>1076</v>
      </c>
      <c r="AU103" s="58">
        <f t="shared" si="78"/>
        <v>-7388.6761430630268</v>
      </c>
      <c r="AV103" s="42">
        <f>'[1]побудинковий звіт'!AV103+'[2]побудинковий звіт'!AV103-'[3]побудинковий звіт'!AV103</f>
        <v>628.41888790764006</v>
      </c>
      <c r="AW103" s="42">
        <f>'[1]побудинковий звіт'!AW103+'[2]побудинковий звіт'!AW103-'[3]побудинковий звіт'!AW103</f>
        <v>0</v>
      </c>
      <c r="AX103" s="59">
        <f t="shared" si="79"/>
        <v>-628.41888790764006</v>
      </c>
      <c r="AY103" s="42">
        <f>'[1]побудинковий звіт'!AY103+'[2]побудинковий звіт'!AY103-'[3]побудинковий звіт'!AY103</f>
        <v>952.68795817875343</v>
      </c>
      <c r="AZ103" s="42">
        <f>'[1]побудинковий звіт'!AZ103+'[2]побудинковий звіт'!AZ103-'[3]побудинковий звіт'!AZ103</f>
        <v>0</v>
      </c>
      <c r="BA103" s="37">
        <f t="shared" si="80"/>
        <v>-952.68795817875343</v>
      </c>
      <c r="BB103" s="42">
        <f>'[1]побудинковий звіт'!BB103+'[2]побудинковий звіт'!BB103-'[3]побудинковий звіт'!BB103</f>
        <v>234.02220349919816</v>
      </c>
      <c r="BC103" s="42">
        <f>'[1]побудинковий звіт'!BC103+'[2]побудинковий звіт'!BC103-'[3]побудинковий звіт'!BC103</f>
        <v>0</v>
      </c>
      <c r="BD103" s="59">
        <f t="shared" si="81"/>
        <v>-234.02220349919816</v>
      </c>
      <c r="BE103" s="42">
        <f>'[1]побудинковий звіт'!BE103+'[2]побудинковий звіт'!BE103-'[3]побудинковий звіт'!BE103</f>
        <v>0</v>
      </c>
      <c r="BF103" s="42">
        <f>'[1]побудинковий звіт'!BF103+'[2]побудинковий звіт'!BF103-'[3]побудинковий звіт'!BF103</f>
        <v>0</v>
      </c>
      <c r="BG103" s="39">
        <f t="shared" si="82"/>
        <v>0</v>
      </c>
      <c r="BH103" s="42">
        <f>'[1]побудинковий звіт'!BH103+'[2]побудинковий звіт'!BH103-'[3]побудинковий звіт'!BH103</f>
        <v>0</v>
      </c>
      <c r="BI103" s="42">
        <f>'[1]побудинковий звіт'!BI103+'[2]побудинковий звіт'!BI103-'[3]побудинковий звіт'!BI103</f>
        <v>0</v>
      </c>
      <c r="BJ103" s="59">
        <f t="shared" si="83"/>
        <v>0</v>
      </c>
      <c r="BK103" s="42">
        <f>'[1]побудинковий звіт'!BK103+'[2]побудинковий звіт'!BK103-'[3]побудинковий звіт'!BK103</f>
        <v>118.62780668282814</v>
      </c>
      <c r="BL103" s="42">
        <f>'[1]побудинковий звіт'!BL103+'[2]побудинковий звіт'!BL103-'[3]побудинковий звіт'!BL103</f>
        <v>0</v>
      </c>
      <c r="BM103" s="39">
        <f t="shared" si="84"/>
        <v>-118.62780668282814</v>
      </c>
      <c r="BN103" s="42">
        <f>'[1]побудинковий звіт'!BN103+'[2]побудинковий звіт'!BN103-'[3]побудинковий звіт'!BN103</f>
        <v>0</v>
      </c>
      <c r="BO103" s="42">
        <f>'[1]побудинковий звіт'!BO103+'[2]побудинковий звіт'!BO103-'[3]побудинковий звіт'!BO103</f>
        <v>0</v>
      </c>
      <c r="BP103" s="59">
        <f t="shared" si="85"/>
        <v>0</v>
      </c>
      <c r="BQ103" s="87">
        <f t="shared" si="113"/>
        <v>1933.7568562684198</v>
      </c>
      <c r="BR103" s="43">
        <f t="shared" si="114"/>
        <v>0</v>
      </c>
      <c r="BS103" s="59">
        <f t="shared" si="86"/>
        <v>-1933.7568562684198</v>
      </c>
      <c r="BT103" s="42">
        <f>'[1]побудинковий звіт'!BT103+'[2]побудинковий звіт'!BT103-'[3]побудинковий звіт'!BT103</f>
        <v>8572.8333793592628</v>
      </c>
      <c r="BU103" s="42">
        <f>'[1]побудинковий звіт'!BU103+'[2]побудинковий звіт'!BU103-'[3]побудинковий звіт'!BU103</f>
        <v>11628.456486185065</v>
      </c>
      <c r="BV103" s="56">
        <f t="shared" si="87"/>
        <v>3055.6231068258021</v>
      </c>
      <c r="BW103" s="42">
        <f>'[1]побудинковий звіт'!BW103+'[2]побудинковий звіт'!BW103-'[3]побудинковий звіт'!BW103</f>
        <v>5276.1596342491903</v>
      </c>
      <c r="BX103" s="42">
        <f>'[1]побудинковий звіт'!BX103+'[2]побудинковий звіт'!BX103-'[3]побудинковий звіт'!BX103</f>
        <v>5347.6054185845142</v>
      </c>
      <c r="BY103" s="56">
        <f t="shared" si="88"/>
        <v>71.445784335323879</v>
      </c>
      <c r="BZ103" s="42">
        <f>'[1]побудинковий звіт'!BZ103+'[2]побудинковий звіт'!BZ103-'[3]побудинковий звіт'!BZ103</f>
        <v>3002.1118425112691</v>
      </c>
      <c r="CA103" s="42">
        <f>'[1]побудинковий звіт'!CA103+'[2]побудинковий звіт'!CA103-'[3]побудинковий звіт'!CA103</f>
        <v>2818.2422085020353</v>
      </c>
      <c r="CB103" s="56">
        <f t="shared" si="89"/>
        <v>-183.86963400923378</v>
      </c>
      <c r="CC103" s="42">
        <f>'[1]побудинковий звіт'!CC103+'[2]побудинковий звіт'!CC103-'[3]побудинковий звіт'!CC103</f>
        <v>470.61206159797365</v>
      </c>
      <c r="CD103" s="42">
        <f>'[1]побудинковий звіт'!CD103+'[2]побудинковий звіт'!CD103-'[3]побудинковий звіт'!CD103</f>
        <v>466.47289546454863</v>
      </c>
      <c r="CE103" s="56">
        <f t="shared" si="90"/>
        <v>-4.1391661334250216</v>
      </c>
      <c r="CF103" s="42">
        <f>'[1]побудинковий звіт'!CF103+'[2]побудинковий звіт'!CF103-'[3]побудинковий звіт'!CF103</f>
        <v>57.935196977023281</v>
      </c>
      <c r="CG103" s="42">
        <f>'[1]побудинковий звіт'!CG103+'[2]побудинковий звіт'!CG103-'[3]побудинковий звіт'!CG103</f>
        <v>0</v>
      </c>
      <c r="CH103" s="56">
        <f t="shared" si="91"/>
        <v>-57.935196977023281</v>
      </c>
      <c r="CI103" s="42">
        <f>'[1]побудинковий звіт'!CI103+'[2]побудинковий звіт'!CI103-'[3]побудинковий звіт'!CI103</f>
        <v>1385.0968631122182</v>
      </c>
      <c r="CJ103" s="42">
        <f>'[1]побудинковий звіт'!CJ103+'[2]побудинковий звіт'!CJ103-'[3]побудинковий звіт'!CJ103</f>
        <v>1740.7415386245571</v>
      </c>
      <c r="CK103" s="56">
        <f t="shared" si="92"/>
        <v>355.64467551233884</v>
      </c>
      <c r="CL103" s="42">
        <f>'[1]побудинковий звіт'!CL103+'[2]побудинковий звіт'!CL103-'[3]побудинковий звіт'!CL103</f>
        <v>0</v>
      </c>
      <c r="CM103" s="42">
        <f>'[1]побудинковий звіт'!CM103+'[2]побудинковий звіт'!CM103-'[3]побудинковий звіт'!CM103</f>
        <v>0</v>
      </c>
      <c r="CN103" s="56">
        <f t="shared" si="93"/>
        <v>0</v>
      </c>
      <c r="CO103" s="42">
        <f t="shared" si="64"/>
        <v>1385.0968631122182</v>
      </c>
      <c r="CP103" s="43">
        <f t="shared" si="94"/>
        <v>1740.7415386245571</v>
      </c>
      <c r="CQ103" s="56">
        <f t="shared" si="95"/>
        <v>355.64467551233884</v>
      </c>
      <c r="CR103" s="78">
        <f t="shared" si="65"/>
        <v>39004.249832851048</v>
      </c>
      <c r="CS103" s="5">
        <f t="shared" si="65"/>
        <v>31879.759683120799</v>
      </c>
      <c r="CT103" s="56">
        <f t="shared" si="96"/>
        <v>-7124.490149730249</v>
      </c>
      <c r="CU103" s="87">
        <f t="shared" si="97"/>
        <v>46805.099799421259</v>
      </c>
      <c r="CV103" s="70">
        <f t="shared" si="98"/>
        <v>38255.711619744958</v>
      </c>
      <c r="CW103" s="37">
        <f t="shared" si="99"/>
        <v>-8549.3881796763017</v>
      </c>
      <c r="CX103" s="42">
        <f>'[1]побудинковий звіт'!CX103+'[2]побудинковий звіт'!CX103-'[3]побудинковий звіт'!CX103</f>
        <v>-5.9799421260322561E-2</v>
      </c>
      <c r="CY103" s="42">
        <f>'[1]побудинковий звіт'!CY103+'[2]побудинковий звіт'!CY103-'[3]побудинковий звіт'!CY103</f>
        <v>8549.3283802550377</v>
      </c>
      <c r="CZ103" s="56">
        <f t="shared" si="100"/>
        <v>8549.388179676298</v>
      </c>
      <c r="DA103" s="264">
        <f>'[4]побудинковий звіт'!DA103</f>
        <v>-42310.394946886823</v>
      </c>
      <c r="DB103" s="2">
        <v>2</v>
      </c>
      <c r="DC103" s="717">
        <f>'[4]побудинковий звіт'!DC103</f>
        <v>24012.94</v>
      </c>
      <c r="DD103" s="717">
        <f>'[4]побудинковий звіт'!DD103</f>
        <v>5429.0300000000007</v>
      </c>
      <c r="DE103" s="717">
        <f>'[4]побудинковий звіт'!DE103</f>
        <v>20847.05</v>
      </c>
      <c r="DF103" s="717">
        <f>'[4]побудинковий звіт'!DF103</f>
        <v>4694.5000000000009</v>
      </c>
      <c r="DG103" s="787">
        <v>-32510.810433004575</v>
      </c>
      <c r="DH103" s="761">
        <f t="shared" si="109"/>
        <v>561660.48</v>
      </c>
      <c r="DI103" s="784"/>
      <c r="DJ103" s="5"/>
      <c r="DK103" s="317">
        <f>VLOOKUP($A103,ціни!$A$4:$G$401,5)</f>
        <v>6.7645870028965929</v>
      </c>
      <c r="DL103" s="317"/>
      <c r="DM103" s="317">
        <f>VLOOKUP($A103,ціни!$A$4:$G$401,7)</f>
        <v>5.6372265545623286</v>
      </c>
      <c r="DN103" s="30">
        <f t="shared" si="117"/>
        <v>25124.014358108092</v>
      </c>
      <c r="DO103" s="30">
        <f t="shared" si="118"/>
        <v>734.53062005947152</v>
      </c>
      <c r="DP103" s="316">
        <f t="shared" si="101"/>
        <v>25858.544978167563</v>
      </c>
      <c r="DQ103" s="104"/>
      <c r="DR103" s="30">
        <f>VLOOKUP(A103,'ДЗ нас '!$A$1:$C$359,2)</f>
        <v>3165.89</v>
      </c>
      <c r="DS103" s="748">
        <f>VLOOKUP(A103,'ДЗ нежит'!$A$1:$D$153,4,0)</f>
        <v>734.53</v>
      </c>
      <c r="DT103" s="30">
        <f t="shared" si="102"/>
        <v>3900.42</v>
      </c>
      <c r="DU103" s="257">
        <f>VLOOKUP(A103,'новий кошторис с 01.06'!$A$4:$AI$399,35)*1.2</f>
        <v>3900.4249832851051</v>
      </c>
      <c r="DV103" s="30">
        <f t="shared" si="103"/>
        <v>-4.98328510502688E-3</v>
      </c>
      <c r="DW103" s="930">
        <f>'[5]побудинковий звіт'!DW103+'[6]побудинковий звіт'!DW103</f>
        <v>204</v>
      </c>
      <c r="DY103" s="5">
        <f t="shared" si="104"/>
        <v>12478.119599197735</v>
      </c>
      <c r="DZ103" s="5">
        <f t="shared" si="105"/>
        <v>1291.2</v>
      </c>
      <c r="EA103" s="752">
        <f t="shared" si="110"/>
        <v>25541.55</v>
      </c>
      <c r="EC103" s="592">
        <f t="shared" si="106"/>
        <v>101576.11371675631</v>
      </c>
      <c r="EE103" s="758">
        <v>20229</v>
      </c>
      <c r="EF103" s="738">
        <f t="shared" si="107"/>
        <v>-12281.810433004575</v>
      </c>
      <c r="EH103" s="813">
        <v>-35413.187518995961</v>
      </c>
    </row>
    <row r="104" spans="1:138" x14ac:dyDescent="0.3">
      <c r="A104" s="328">
        <v>150000609</v>
      </c>
      <c r="B104" s="44" t="s">
        <v>554</v>
      </c>
      <c r="C104" s="45" t="s">
        <v>159</v>
      </c>
      <c r="D104" s="45" t="s">
        <v>159</v>
      </c>
      <c r="E104" s="40">
        <f t="shared" si="108"/>
        <v>4624.96</v>
      </c>
      <c r="F104" s="490">
        <v>4509.26</v>
      </c>
      <c r="G104" s="30"/>
      <c r="H104" s="30">
        <v>115.7</v>
      </c>
      <c r="I104" s="42">
        <f>'[1]побудинковий звіт'!I104+'[2]побудинковий звіт'!I104-'[3]побудинковий звіт'!I104</f>
        <v>2088.8130729016407</v>
      </c>
      <c r="J104" s="42">
        <f>'[1]побудинковий звіт'!J104+'[2]побудинковий звіт'!J104-'[3]побудинковий звіт'!J104</f>
        <v>2052.897530161204</v>
      </c>
      <c r="K104" s="56">
        <f t="shared" si="66"/>
        <v>-35.915542740436649</v>
      </c>
      <c r="L104" s="42">
        <f>'[1]побудинковий звіт'!L104+'[2]побудинковий звіт'!L104-'[3]побудинковий звіт'!L104</f>
        <v>709.85446351157941</v>
      </c>
      <c r="M104" s="42">
        <f>'[1]побудинковий звіт'!M104+'[2]побудинковий звіт'!M104-'[3]побудинковий звіт'!M104</f>
        <v>716.21282494779666</v>
      </c>
      <c r="N104" s="56">
        <f t="shared" si="67"/>
        <v>6.3583614362172511</v>
      </c>
      <c r="O104" s="42">
        <f>'[1]побудинковий звіт'!O104+'[2]побудинковий звіт'!O104-'[3]побудинковий звіт'!O104</f>
        <v>672.48</v>
      </c>
      <c r="P104" s="42">
        <f>'[1]побудинковий звіт'!P104+'[2]побудинковий звіт'!P104-'[3]побудинковий звіт'!P104</f>
        <v>528.57470685483872</v>
      </c>
      <c r="Q104" s="56">
        <f t="shared" si="68"/>
        <v>-143.90529314516129</v>
      </c>
      <c r="R104" s="42">
        <f>'[1]побудинковий звіт'!R104+'[2]побудинковий звіт'!R104-'[3]побудинковий звіт'!R104</f>
        <v>0</v>
      </c>
      <c r="S104" s="42">
        <f>'[1]побудинковий звіт'!S104+'[2]побудинковий звіт'!S104-'[3]побудинковий звіт'!S104</f>
        <v>0</v>
      </c>
      <c r="T104" s="56">
        <f t="shared" si="69"/>
        <v>0</v>
      </c>
      <c r="U104" s="42">
        <f>'[1]побудинковий звіт'!U104+'[2]побудинковий звіт'!U104-'[3]побудинковий звіт'!U104</f>
        <v>0</v>
      </c>
      <c r="V104" s="42">
        <f>'[1]побудинковий звіт'!V104+'[2]побудинковий звіт'!V104-'[3]побудинковий звіт'!V104</f>
        <v>0</v>
      </c>
      <c r="W104" s="56">
        <f t="shared" si="70"/>
        <v>0</v>
      </c>
      <c r="X104" s="42">
        <f>'[1]побудинковий звіт'!X104+'[2]побудинковий звіт'!X104-'[3]побудинковий звіт'!X104</f>
        <v>1207.1775804244428</v>
      </c>
      <c r="Y104" s="42">
        <f>'[1]побудинковий звіт'!Y104+'[2]побудинковий звіт'!Y104-'[3]побудинковий звіт'!Y104</f>
        <v>2694.194255530093</v>
      </c>
      <c r="Z104" s="56">
        <f t="shared" si="71"/>
        <v>1487.0166751056502</v>
      </c>
      <c r="AA104" s="42">
        <f>'[1]побудинковий звіт'!AA104+'[2]побудинковий звіт'!AA104-'[3]побудинковий звіт'!AA104</f>
        <v>0</v>
      </c>
      <c r="AB104" s="42">
        <f>'[1]побудинковий звіт'!AB104+'[2]побудинковий звіт'!AB104-'[3]побудинковий звіт'!AB104</f>
        <v>0</v>
      </c>
      <c r="AC104" s="56">
        <f t="shared" si="72"/>
        <v>0</v>
      </c>
      <c r="AD104" s="42">
        <f>'[1]побудинковий звіт'!AD104+'[2]побудинковий звіт'!AD104-'[3]побудинковий звіт'!AD104</f>
        <v>1990.8271618597935</v>
      </c>
      <c r="AE104" s="42">
        <f>'[1]побудинковий звіт'!AE104+'[2]побудинковий звіт'!AE104-'[3]побудинковий звіт'!AE104</f>
        <v>1834.9321341843222</v>
      </c>
      <c r="AF104" s="37">
        <f t="shared" si="73"/>
        <v>-155.89502767547128</v>
      </c>
      <c r="AG104" s="87">
        <f t="shared" si="61"/>
        <v>6669.1522786974565</v>
      </c>
      <c r="AH104" s="57">
        <f t="shared" si="61"/>
        <v>7826.8114516782553</v>
      </c>
      <c r="AI104" s="56">
        <f t="shared" si="74"/>
        <v>1157.6591729807988</v>
      </c>
      <c r="AJ104" s="42">
        <f>'[1]побудинковий звіт'!AJ104+'[2]побудинковий звіт'!AJ104-'[3]побудинковий звіт'!AJ104</f>
        <v>0</v>
      </c>
      <c r="AK104" s="42">
        <f>'[1]побудинковий звіт'!AK104+'[2]побудинковий звіт'!AK104-'[3]побудинковий звіт'!AK104</f>
        <v>0</v>
      </c>
      <c r="AL104" s="56">
        <f t="shared" si="75"/>
        <v>0</v>
      </c>
      <c r="AM104" s="42">
        <f>'[1]побудинковий звіт'!AM104+'[2]побудинковий звіт'!AM104-'[3]побудинковий звіт'!AM104</f>
        <v>0</v>
      </c>
      <c r="AN104" s="42">
        <f>'[1]побудинковий звіт'!AN104+'[2]побудинковий звіт'!AN104-'[3]побудинковий звіт'!AN104</f>
        <v>0</v>
      </c>
      <c r="AO104" s="56">
        <f t="shared" si="76"/>
        <v>0</v>
      </c>
      <c r="AP104" s="42">
        <f>'[1]побудинковий звіт'!AP104+'[2]побудинковий звіт'!AP104-'[3]побудинковий звіт'!AP104</f>
        <v>852.31587860428453</v>
      </c>
      <c r="AQ104" s="42">
        <f>'[1]побудинковий звіт'!AQ104+'[2]побудинковий звіт'!AQ104-'[3]побудинковий звіт'!AQ104</f>
        <v>420.88397581125508</v>
      </c>
      <c r="AR104" s="56">
        <f t="shared" si="77"/>
        <v>-431.43190279302945</v>
      </c>
      <c r="AS104" s="42">
        <f>'[1]побудинковий звіт'!AS104+'[2]побудинковий звіт'!AS104-'[3]побудинковий звіт'!AS104</f>
        <v>7391.0732349480368</v>
      </c>
      <c r="AT104" s="42">
        <f>'[1]побудинковий звіт'!AT104+'[2]побудинковий звіт'!AT104-'[3]побудинковий звіт'!AT104</f>
        <v>3986</v>
      </c>
      <c r="AU104" s="58">
        <f t="shared" si="78"/>
        <v>-3405.0732349480368</v>
      </c>
      <c r="AV104" s="42">
        <f>'[1]побудинковий звіт'!AV104+'[2]побудинковий звіт'!AV104-'[3]побудинковий звіт'!AV104</f>
        <v>446.27552779950099</v>
      </c>
      <c r="AW104" s="42">
        <f>'[1]побудинковий звіт'!AW104+'[2]побудинковий звіт'!AW104-'[3]побудинковий звіт'!AW104</f>
        <v>0</v>
      </c>
      <c r="AX104" s="59">
        <f t="shared" si="79"/>
        <v>-446.27552779950099</v>
      </c>
      <c r="AY104" s="42">
        <f>'[1]побудинковий звіт'!AY104+'[2]побудинковий звіт'!AY104-'[3]побудинковий звіт'!AY104</f>
        <v>914.81368486142617</v>
      </c>
      <c r="AZ104" s="42">
        <f>'[1]побудинковий звіт'!AZ104+'[2]побудинковий звіт'!AZ104-'[3]побудинковий звіт'!AZ104</f>
        <v>1385</v>
      </c>
      <c r="BA104" s="37">
        <f t="shared" si="80"/>
        <v>470.18631513857383</v>
      </c>
      <c r="BB104" s="42">
        <f>'[1]побудинковий звіт'!BB104+'[2]побудинковий звіт'!BB104-'[3]побудинковий звіт'!BB104</f>
        <v>223.81888902281307</v>
      </c>
      <c r="BC104" s="42">
        <f>'[1]побудинковий звіт'!BC104+'[2]побудинковий звіт'!BC104-'[3]побудинковий звіт'!BC104</f>
        <v>0</v>
      </c>
      <c r="BD104" s="59">
        <f t="shared" si="81"/>
        <v>-223.81888902281307</v>
      </c>
      <c r="BE104" s="42">
        <f>'[1]побудинковий звіт'!BE104+'[2]побудинковий звіт'!BE104-'[3]побудинковий звіт'!BE104</f>
        <v>0</v>
      </c>
      <c r="BF104" s="42">
        <f>'[1]побудинковий звіт'!BF104+'[2]побудинковий звіт'!BF104-'[3]побудинковий звіт'!BF104</f>
        <v>0</v>
      </c>
      <c r="BG104" s="39">
        <f t="shared" si="82"/>
        <v>0</v>
      </c>
      <c r="BH104" s="42">
        <f>'[1]побудинковий звіт'!BH104+'[2]побудинковий звіт'!BH104-'[3]побудинковий звіт'!BH104</f>
        <v>0</v>
      </c>
      <c r="BI104" s="42">
        <f>'[1]побудинковий звіт'!BI104+'[2]побудинковий звіт'!BI104-'[3]побудинковий звіт'!BI104</f>
        <v>0</v>
      </c>
      <c r="BJ104" s="59">
        <f t="shared" si="83"/>
        <v>0</v>
      </c>
      <c r="BK104" s="42">
        <f>'[1]побудинковий звіт'!BK104+'[2]побудинковий звіт'!BK104-'[3]побудинковий звіт'!BK104</f>
        <v>118.62780668282814</v>
      </c>
      <c r="BL104" s="42">
        <f>'[1]побудинковий звіт'!BL104+'[2]побудинковий звіт'!BL104-'[3]побудинковий звіт'!BL104</f>
        <v>0</v>
      </c>
      <c r="BM104" s="39">
        <f t="shared" si="84"/>
        <v>-118.62780668282814</v>
      </c>
      <c r="BN104" s="42">
        <f>'[1]побудинковий звіт'!BN104+'[2]побудинковий звіт'!BN104-'[3]побудинковий звіт'!BN104</f>
        <v>0</v>
      </c>
      <c r="BO104" s="42">
        <f>'[1]побудинковий звіт'!BO104+'[2]побудинковий звіт'!BO104-'[3]побудинковий звіт'!BO104</f>
        <v>0</v>
      </c>
      <c r="BP104" s="59">
        <f t="shared" si="85"/>
        <v>0</v>
      </c>
      <c r="BQ104" s="87">
        <f t="shared" si="113"/>
        <v>1703.5359083665683</v>
      </c>
      <c r="BR104" s="43">
        <f t="shared" si="114"/>
        <v>1385</v>
      </c>
      <c r="BS104" s="59">
        <f t="shared" si="86"/>
        <v>-318.53590836656826</v>
      </c>
      <c r="BT104" s="42">
        <f>'[1]побудинковий звіт'!BT104+'[2]побудинковий звіт'!BT104-'[3]побудинковий звіт'!BT104</f>
        <v>7780.5163866108105</v>
      </c>
      <c r="BU104" s="42">
        <f>'[1]побудинковий звіт'!BU104+'[2]побудинковий звіт'!BU104-'[3]побудинковий звіт'!BU104</f>
        <v>9894.3561484592246</v>
      </c>
      <c r="BV104" s="56">
        <f t="shared" si="87"/>
        <v>2113.8397618484141</v>
      </c>
      <c r="BW104" s="42">
        <f>'[1]побудинковий звіт'!BW104+'[2]побудинковий звіт'!BW104-'[3]побудинковий звіт'!BW104</f>
        <v>2210.2779617420906</v>
      </c>
      <c r="BX104" s="42">
        <f>'[1]побудинковий звіт'!BX104+'[2]побудинковий звіт'!BX104-'[3]побудинковий звіт'!BX104</f>
        <v>3845.2196616137435</v>
      </c>
      <c r="BY104" s="56">
        <f t="shared" si="88"/>
        <v>1634.9416998716529</v>
      </c>
      <c r="BZ104" s="42">
        <f>'[1]побудинковий звіт'!BZ104+'[2]побудинковий звіт'!BZ104-'[3]побудинковий звіт'!BZ104</f>
        <v>1652.190043335323</v>
      </c>
      <c r="CA104" s="42">
        <f>'[1]побудинковий звіт'!CA104+'[2]побудинковий звіт'!CA104-'[3]побудинковий звіт'!CA104</f>
        <v>2045.3301531714567</v>
      </c>
      <c r="CB104" s="56">
        <f t="shared" si="89"/>
        <v>393.14010983613366</v>
      </c>
      <c r="CC104" s="42">
        <f>'[1]побудинковий звіт'!CC104+'[2]побудинковий звіт'!CC104-'[3]побудинковий звіт'!CC104</f>
        <v>182.36217386921479</v>
      </c>
      <c r="CD104" s="42">
        <f>'[1]побудинковий звіт'!CD104+'[2]побудинковий звіт'!CD104-'[3]побудинковий звіт'!CD104</f>
        <v>180.75824699251257</v>
      </c>
      <c r="CE104" s="56">
        <f t="shared" si="90"/>
        <v>-1.6039268767022179</v>
      </c>
      <c r="CF104" s="42">
        <f>'[1]побудинковий звіт'!CF104+'[2]побудинковий звіт'!CF104-'[3]побудинковий звіт'!CF104</f>
        <v>22.449888828596524</v>
      </c>
      <c r="CG104" s="42">
        <f>'[1]побудинковий звіт'!CG104+'[2]побудинковий звіт'!CG104-'[3]побудинковий звіт'!CG104</f>
        <v>0</v>
      </c>
      <c r="CH104" s="56">
        <f t="shared" si="91"/>
        <v>-22.449888828596524</v>
      </c>
      <c r="CI104" s="42">
        <f>'[1]побудинковий звіт'!CI104+'[2]побудинковий звіт'!CI104-'[3]побудинковий звіт'!CI104</f>
        <v>617.67833084734048</v>
      </c>
      <c r="CJ104" s="42">
        <f>'[1]побудинковий звіт'!CJ104+'[2]побудинковий звіт'!CJ104-'[3]побудинковий звіт'!CJ104</f>
        <v>540.1842636175254</v>
      </c>
      <c r="CK104" s="56">
        <f t="shared" si="92"/>
        <v>-77.494067229815073</v>
      </c>
      <c r="CL104" s="42">
        <f>'[1]побудинковий звіт'!CL104+'[2]побудинковий звіт'!CL104-'[3]побудинковий звіт'!CL104</f>
        <v>0</v>
      </c>
      <c r="CM104" s="42">
        <f>'[1]побудинковий звіт'!CM104+'[2]побудинковий звіт'!CM104-'[3]побудинковий звіт'!CM104</f>
        <v>0</v>
      </c>
      <c r="CN104" s="56">
        <f t="shared" si="93"/>
        <v>0</v>
      </c>
      <c r="CO104" s="42">
        <f t="shared" si="64"/>
        <v>617.67833084734048</v>
      </c>
      <c r="CP104" s="43">
        <f t="shared" si="94"/>
        <v>540.1842636175254</v>
      </c>
      <c r="CQ104" s="56">
        <f t="shared" si="95"/>
        <v>-77.494067229815073</v>
      </c>
      <c r="CR104" s="78">
        <f t="shared" si="65"/>
        <v>29081.552085849718</v>
      </c>
      <c r="CS104" s="5">
        <f t="shared" si="65"/>
        <v>30124.543901343972</v>
      </c>
      <c r="CT104" s="56">
        <f t="shared" si="96"/>
        <v>1042.9918154942534</v>
      </c>
      <c r="CU104" s="87">
        <f t="shared" si="97"/>
        <v>34897.862503019664</v>
      </c>
      <c r="CV104" s="70">
        <f t="shared" si="98"/>
        <v>36149.452681612762</v>
      </c>
      <c r="CW104" s="37">
        <f t="shared" si="99"/>
        <v>1251.5901785930982</v>
      </c>
      <c r="CX104" s="42">
        <f>'[1]побудинковий звіт'!CX104+'[2]побудинковий звіт'!CX104-'[3]побудинковий звіт'!CX104</f>
        <v>872.69749698034138</v>
      </c>
      <c r="CY104" s="42">
        <f>'[1]побудинковий звіт'!CY104+'[2]побудинковий звіт'!CY104-'[3]побудинковий звіт'!CY104</f>
        <v>-378.8926816127655</v>
      </c>
      <c r="CZ104" s="56">
        <f t="shared" si="100"/>
        <v>-1251.5901785931069</v>
      </c>
      <c r="DA104" s="264">
        <f>'[4]побудинковий звіт'!DA104</f>
        <v>13082.537597230021</v>
      </c>
      <c r="DB104" s="2">
        <v>2</v>
      </c>
      <c r="DC104" s="717">
        <f>'[4]побудинковий звіт'!DC104</f>
        <v>15162.5</v>
      </c>
      <c r="DD104" s="717">
        <f>'[4]побудинковий звіт'!DD104</f>
        <v>3743.7799999999997</v>
      </c>
      <c r="DE104" s="717">
        <f>'[4]побудинковий звіт'!DE104</f>
        <v>12866.07</v>
      </c>
      <c r="DF104" s="717">
        <f>'[4]побудинковий звіт'!DF104</f>
        <v>3059.33</v>
      </c>
      <c r="DG104" s="787">
        <v>10741.802702107801</v>
      </c>
      <c r="DH104" s="761">
        <f t="shared" si="109"/>
        <v>429246.72000000009</v>
      </c>
      <c r="DI104" s="784"/>
      <c r="DJ104" s="5"/>
      <c r="DK104" s="317">
        <f>VLOOKUP($A104,ціни!$A$4:$G$401,5)</f>
        <v>6.5630854893787074</v>
      </c>
      <c r="DL104" s="317"/>
      <c r="DM104" s="317">
        <f>VLOOKUP($A104,ціни!$A$4:$G$401,7)</f>
        <v>5.9156048061018733</v>
      </c>
      <c r="DN104" s="30">
        <f t="shared" si="117"/>
        <v>29594.658873835833</v>
      </c>
      <c r="DO104" s="30">
        <f t="shared" si="118"/>
        <v>684.43547606598679</v>
      </c>
      <c r="DP104" s="316">
        <f t="shared" si="101"/>
        <v>30279.094349901821</v>
      </c>
      <c r="DQ104" s="104"/>
      <c r="DR104" s="30">
        <f>VLOOKUP(A104,'ДЗ нас '!$A$1:$C$359,2)</f>
        <v>2296.4299999999998</v>
      </c>
      <c r="DS104" s="748">
        <f>VLOOKUP(A104,'ДЗ нежит'!$A$1:$D$153,4,0)</f>
        <v>684.45</v>
      </c>
      <c r="DT104" s="30">
        <f t="shared" si="102"/>
        <v>2980.88</v>
      </c>
      <c r="DU104" s="257">
        <f>VLOOKUP(A104,'новий кошторис с 01.06'!$A$4:$AI$399,35)*1.2</f>
        <v>2995.3998648425209</v>
      </c>
      <c r="DV104" s="30">
        <f t="shared" si="103"/>
        <v>-14.519864842520747</v>
      </c>
      <c r="DW104" s="930">
        <f>'[5]побудинковий звіт'!DW104+'[6]побудинковий звіт'!DW104</f>
        <v>204</v>
      </c>
      <c r="DY104" s="5">
        <f t="shared" si="104"/>
        <v>10913.530971977525</v>
      </c>
      <c r="DZ104" s="5">
        <f t="shared" si="105"/>
        <v>6445.2</v>
      </c>
      <c r="EA104" s="752">
        <f t="shared" si="110"/>
        <v>15925.4</v>
      </c>
      <c r="EC104" s="592">
        <f t="shared" si="106"/>
        <v>88692.878819376434</v>
      </c>
      <c r="EE104" s="758">
        <v>-8389</v>
      </c>
      <c r="EF104" s="738">
        <f t="shared" si="107"/>
        <v>2352.8027021078015</v>
      </c>
      <c r="EH104" s="813">
        <v>10431.900106350848</v>
      </c>
    </row>
    <row r="105" spans="1:138" x14ac:dyDescent="0.3">
      <c r="A105" s="328">
        <v>150000610</v>
      </c>
      <c r="B105" s="44" t="s">
        <v>555</v>
      </c>
      <c r="C105" s="45" t="s">
        <v>160</v>
      </c>
      <c r="D105" s="45" t="s">
        <v>160</v>
      </c>
      <c r="E105" s="40">
        <f t="shared" si="108"/>
        <v>4786.05</v>
      </c>
      <c r="F105" s="490">
        <v>4786.05</v>
      </c>
      <c r="G105" s="30"/>
      <c r="H105" s="30">
        <v>0</v>
      </c>
      <c r="I105" s="42">
        <f>'[1]побудинковий звіт'!I105+'[2]побудинковий звіт'!I105-'[3]побудинковий звіт'!I105</f>
        <v>954.95848685474868</v>
      </c>
      <c r="J105" s="42">
        <f>'[1]побудинковий звіт'!J105+'[2]побудинковий звіт'!J105-'[3]побудинковий звіт'!J105</f>
        <v>959.66266520292947</v>
      </c>
      <c r="K105" s="56">
        <f t="shared" si="66"/>
        <v>4.7041783481807897</v>
      </c>
      <c r="L105" s="42">
        <f>'[1]побудинковий звіт'!L105+'[2]побудинковий звіт'!L105-'[3]побудинковий звіт'!L105</f>
        <v>592.08734041648677</v>
      </c>
      <c r="M105" s="42">
        <f>'[1]побудинковий звіт'!M105+'[2]побудинковий звіт'!M105-'[3]побудинковий звіт'!M105</f>
        <v>597.39135586516943</v>
      </c>
      <c r="N105" s="56">
        <f t="shared" si="67"/>
        <v>5.3040154486826623</v>
      </c>
      <c r="O105" s="42">
        <f>'[1]побудинковий звіт'!O105+'[2]побудинковий звіт'!O105-'[3]побудинковий звіт'!O105</f>
        <v>667.56000000000006</v>
      </c>
      <c r="P105" s="42">
        <f>'[1]побудинковий звіт'!P105+'[2]побудинковий звіт'!P105-'[3]побудинковий звіт'!P105</f>
        <v>524.73926881720433</v>
      </c>
      <c r="Q105" s="56">
        <f t="shared" si="68"/>
        <v>-142.82073118279573</v>
      </c>
      <c r="R105" s="42">
        <f>'[1]побудинковий звіт'!R105+'[2]побудинковий звіт'!R105-'[3]побудинковий звіт'!R105</f>
        <v>0</v>
      </c>
      <c r="S105" s="42">
        <f>'[1]побудинковий звіт'!S105+'[2]побудинковий звіт'!S105-'[3]побудинковий звіт'!S105</f>
        <v>0</v>
      </c>
      <c r="T105" s="56">
        <f t="shared" si="69"/>
        <v>0</v>
      </c>
      <c r="U105" s="42">
        <f>'[1]побудинковий звіт'!U105+'[2]побудинковий звіт'!U105-'[3]побудинковий звіт'!U105</f>
        <v>0</v>
      </c>
      <c r="V105" s="42">
        <f>'[1]побудинковий звіт'!V105+'[2]побудинковий звіт'!V105-'[3]побудинковий звіт'!V105</f>
        <v>0</v>
      </c>
      <c r="W105" s="56">
        <f t="shared" si="70"/>
        <v>0</v>
      </c>
      <c r="X105" s="42">
        <f>'[1]побудинковий звіт'!X105+'[2]побудинковий звіт'!X105-'[3]побудинковий звіт'!X105</f>
        <v>593.34845657632729</v>
      </c>
      <c r="Y105" s="42">
        <f>'[1]побудинковий звіт'!Y105+'[2]побудинковий звіт'!Y105-'[3]побудинковий звіт'!Y105</f>
        <v>2240.9661871522485</v>
      </c>
      <c r="Z105" s="56">
        <f t="shared" si="71"/>
        <v>1647.6177305759211</v>
      </c>
      <c r="AA105" s="42">
        <f>'[1]побудинковий звіт'!AA105+'[2]побудинковий звіт'!AA105-'[3]побудинковий звіт'!AA105</f>
        <v>0</v>
      </c>
      <c r="AB105" s="42">
        <f>'[1]побудинковий звіт'!AB105+'[2]побудинковий звіт'!AB105-'[3]побудинковий звіт'!AB105</f>
        <v>0</v>
      </c>
      <c r="AC105" s="56">
        <f t="shared" si="72"/>
        <v>0</v>
      </c>
      <c r="AD105" s="42">
        <f>'[1]побудинковий звіт'!AD105+'[2]побудинковий звіт'!AD105-'[3]побудинковий звіт'!AD105</f>
        <v>2031.8751445785517</v>
      </c>
      <c r="AE105" s="42">
        <f>'[1]побудинковий звіт'!AE105+'[2]побудинковий звіт'!AE105-'[3]побудинковий звіт'!AE105</f>
        <v>1872.7657864355451</v>
      </c>
      <c r="AF105" s="37">
        <f t="shared" si="73"/>
        <v>-159.1093581430066</v>
      </c>
      <c r="AG105" s="87">
        <f t="shared" si="61"/>
        <v>4839.8294284261146</v>
      </c>
      <c r="AH105" s="57">
        <f t="shared" si="61"/>
        <v>6195.5252634730969</v>
      </c>
      <c r="AI105" s="56">
        <f t="shared" si="74"/>
        <v>1355.6958350469822</v>
      </c>
      <c r="AJ105" s="42">
        <f>'[1]побудинковий звіт'!AJ105+'[2]побудинковий звіт'!AJ105-'[3]побудинковий звіт'!AJ105</f>
        <v>0</v>
      </c>
      <c r="AK105" s="42">
        <f>'[1]побудинковий звіт'!AK105+'[2]побудинковий звіт'!AK105-'[3]побудинковий звіт'!AK105</f>
        <v>0</v>
      </c>
      <c r="AL105" s="56">
        <f t="shared" si="75"/>
        <v>0</v>
      </c>
      <c r="AM105" s="42">
        <f>'[1]побудинковий звіт'!AM105+'[2]побудинковий звіт'!AM105-'[3]побудинковий звіт'!AM105</f>
        <v>0</v>
      </c>
      <c r="AN105" s="42">
        <f>'[1]побудинковий звіт'!AN105+'[2]побудинковий звіт'!AN105-'[3]побудинковий звіт'!AN105</f>
        <v>0</v>
      </c>
      <c r="AO105" s="56">
        <f t="shared" si="76"/>
        <v>0</v>
      </c>
      <c r="AP105" s="42">
        <f>'[1]побудинковий звіт'!AP105+'[2]побудинковий звіт'!AP105-'[3]побудинковий звіт'!AP105</f>
        <v>1136.4211714723797</v>
      </c>
      <c r="AQ105" s="42">
        <f>'[1]побудинковий звіт'!AQ105+'[2]побудинковий звіт'!AQ105-'[3]побудинковий звіт'!AQ105</f>
        <v>1137.1136747119485</v>
      </c>
      <c r="AR105" s="56">
        <f t="shared" si="77"/>
        <v>0.6925032395688504</v>
      </c>
      <c r="AS105" s="42">
        <f>'[1]побудинковий звіт'!AS105+'[2]побудинковий звіт'!AS105-'[3]побудинковий звіт'!AS105</f>
        <v>6957.5394283459127</v>
      </c>
      <c r="AT105" s="42">
        <f>'[1]побудинковий звіт'!AT105+'[2]побудинковий звіт'!AT105-'[3]побудинковий звіт'!AT105</f>
        <v>23122</v>
      </c>
      <c r="AU105" s="58">
        <f t="shared" si="78"/>
        <v>16164.460571654086</v>
      </c>
      <c r="AV105" s="42">
        <f>'[1]побудинковий звіт'!AV105+'[2]побудинковий звіт'!AV105-'[3]побудинковий звіт'!AV105</f>
        <v>618.00739330426507</v>
      </c>
      <c r="AW105" s="42">
        <f>'[1]побудинковий звіт'!AW105+'[2]побудинковий звіт'!AW105-'[3]побудинковий звіт'!AW105</f>
        <v>0</v>
      </c>
      <c r="AX105" s="59">
        <f t="shared" si="79"/>
        <v>-618.00739330426507</v>
      </c>
      <c r="AY105" s="42">
        <f>'[1]побудинковий звіт'!AY105+'[2]побудинковий звіт'!AY105-'[3]побудинковий звіт'!AY105</f>
        <v>763.02436668260316</v>
      </c>
      <c r="AZ105" s="42">
        <f>'[1]побудинковий звіт'!AZ105+'[2]побудинковий звіт'!AZ105-'[3]побудинковий звіт'!AZ105</f>
        <v>0</v>
      </c>
      <c r="BA105" s="37">
        <f t="shared" si="80"/>
        <v>-763.02436668260316</v>
      </c>
      <c r="BB105" s="42">
        <f>'[1]побудинковий звіт'!BB105+'[2]побудинковий звіт'!BB105-'[3]побудинковий звіт'!BB105</f>
        <v>221.28829516597003</v>
      </c>
      <c r="BC105" s="42">
        <f>'[1]побудинковий звіт'!BC105+'[2]побудинковий звіт'!BC105-'[3]побудинковий звіт'!BC105</f>
        <v>0</v>
      </c>
      <c r="BD105" s="59">
        <f t="shared" si="81"/>
        <v>-221.28829516597003</v>
      </c>
      <c r="BE105" s="42">
        <f>'[1]побудинковий звіт'!BE105+'[2]побудинковий звіт'!BE105-'[3]побудинковий звіт'!BE105</f>
        <v>0</v>
      </c>
      <c r="BF105" s="42">
        <f>'[1]побудинковий звіт'!BF105+'[2]побудинковий звіт'!BF105-'[3]побудинковий звіт'!BF105</f>
        <v>0</v>
      </c>
      <c r="BG105" s="39">
        <f t="shared" si="82"/>
        <v>0</v>
      </c>
      <c r="BH105" s="42">
        <f>'[1]побудинковий звіт'!BH105+'[2]побудинковий звіт'!BH105-'[3]побудинковий звіт'!BH105</f>
        <v>0</v>
      </c>
      <c r="BI105" s="42">
        <f>'[1]побудинковий звіт'!BI105+'[2]побудинковий звіт'!BI105-'[3]побудинковий звіт'!BI105</f>
        <v>0</v>
      </c>
      <c r="BJ105" s="59">
        <f t="shared" si="83"/>
        <v>0</v>
      </c>
      <c r="BK105" s="42">
        <f>'[1]побудинковий звіт'!BK105+'[2]побудинковий звіт'!BK105-'[3]побудинковий звіт'!BK105</f>
        <v>118.62766249183653</v>
      </c>
      <c r="BL105" s="42">
        <f>'[1]побудинковий звіт'!BL105+'[2]побудинковий звіт'!BL105-'[3]побудинковий звіт'!BL105</f>
        <v>0</v>
      </c>
      <c r="BM105" s="39">
        <f t="shared" si="84"/>
        <v>-118.62766249183653</v>
      </c>
      <c r="BN105" s="42">
        <f>'[1]побудинковий звіт'!BN105+'[2]побудинковий звіт'!BN105-'[3]побудинковий звіт'!BN105</f>
        <v>0</v>
      </c>
      <c r="BO105" s="42">
        <f>'[1]побудинковий звіт'!BO105+'[2]побудинковий звіт'!BO105-'[3]побудинковий звіт'!BO105</f>
        <v>0</v>
      </c>
      <c r="BP105" s="59">
        <f t="shared" si="85"/>
        <v>0</v>
      </c>
      <c r="BQ105" s="87">
        <f t="shared" si="113"/>
        <v>1720.9477176446749</v>
      </c>
      <c r="BR105" s="43">
        <f t="shared" si="114"/>
        <v>0</v>
      </c>
      <c r="BS105" s="59">
        <f t="shared" si="86"/>
        <v>-1720.9477176446749</v>
      </c>
      <c r="BT105" s="42">
        <f>'[1]побудинковий звіт'!BT105+'[2]побудинковий звіт'!BT105-'[3]побудинковий звіт'!BT105</f>
        <v>7695.5319231741787</v>
      </c>
      <c r="BU105" s="42">
        <f>'[1]побудинковий звіт'!BU105+'[2]побудинковий звіт'!BU105-'[3]побудинковий звіт'!BU105</f>
        <v>9349.2915161859819</v>
      </c>
      <c r="BV105" s="56">
        <f t="shared" si="87"/>
        <v>1653.7595930118032</v>
      </c>
      <c r="BW105" s="42">
        <f>'[1]побудинковий звіт'!BW105+'[2]побудинковий звіт'!BW105-'[3]побудинковий звіт'!BW105</f>
        <v>2965.9103244936687</v>
      </c>
      <c r="BX105" s="42">
        <f>'[1]побудинковий звіт'!BX105+'[2]побудинковий звіт'!BX105-'[3]побудинковий звіт'!BX105</f>
        <v>5080.9041610594822</v>
      </c>
      <c r="BY105" s="56">
        <f t="shared" si="88"/>
        <v>2114.9938365658136</v>
      </c>
      <c r="BZ105" s="42">
        <f>'[1]побудинковий звіт'!BZ105+'[2]побудинковий звіт'!BZ105-'[3]побудинковий звіт'!BZ105</f>
        <v>2549.2922687470495</v>
      </c>
      <c r="CA105" s="42">
        <f>'[1]побудинковий звіт'!CA105+'[2]побудинковий звіт'!CA105-'[3]побудинковий звіт'!CA105</f>
        <v>2231.5231197710773</v>
      </c>
      <c r="CB105" s="56">
        <f t="shared" si="89"/>
        <v>-317.76914897597226</v>
      </c>
      <c r="CC105" s="42">
        <f>'[1]побудинковий звіт'!CC105+'[2]побудинковий звіт'!CC105-'[3]побудинковий звіт'!CC105</f>
        <v>0</v>
      </c>
      <c r="CD105" s="42">
        <f>'[1]побудинковий звіт'!CD105+'[2]побудинковий звіт'!CD105-'[3]побудинковий звіт'!CD105</f>
        <v>0</v>
      </c>
      <c r="CE105" s="56">
        <f t="shared" si="90"/>
        <v>0</v>
      </c>
      <c r="CF105" s="42">
        <f>'[1]побудинковий звіт'!CF105+'[2]побудинковий звіт'!CF105-'[3]побудинковий звіт'!CF105</f>
        <v>0</v>
      </c>
      <c r="CG105" s="42">
        <f>'[1]побудинковий звіт'!CG105+'[2]побудинковий звіт'!CG105-'[3]побудинковий звіт'!CG105</f>
        <v>0</v>
      </c>
      <c r="CH105" s="56">
        <f t="shared" si="91"/>
        <v>0</v>
      </c>
      <c r="CI105" s="42">
        <f>'[1]побудинковий звіт'!CI105+'[2]побудинковий звіт'!CI105-'[3]побудинковий звіт'!CI105</f>
        <v>299.48040283507419</v>
      </c>
      <c r="CJ105" s="42">
        <f>'[1]побудинковий звіт'!CJ105+'[2]побудинковий звіт'!CJ105-'[3]побудинковий звіт'!CJ105</f>
        <v>130.26610495733962</v>
      </c>
      <c r="CK105" s="56">
        <f t="shared" si="92"/>
        <v>-169.21429787773457</v>
      </c>
      <c r="CL105" s="42">
        <f>'[1]побудинковий звіт'!CL105+'[2]побудинковий звіт'!CL105-'[3]побудинковий звіт'!CL105</f>
        <v>0</v>
      </c>
      <c r="CM105" s="42">
        <f>'[1]побудинковий звіт'!CM105+'[2]побудинковий звіт'!CM105-'[3]побудинковий звіт'!CM105</f>
        <v>0</v>
      </c>
      <c r="CN105" s="56">
        <f t="shared" si="93"/>
        <v>0</v>
      </c>
      <c r="CO105" s="42">
        <f t="shared" si="64"/>
        <v>299.48040283507419</v>
      </c>
      <c r="CP105" s="43">
        <f t="shared" si="94"/>
        <v>130.26610495733962</v>
      </c>
      <c r="CQ105" s="56">
        <f t="shared" si="95"/>
        <v>-169.21429787773457</v>
      </c>
      <c r="CR105" s="78">
        <f t="shared" si="65"/>
        <v>28164.952665139052</v>
      </c>
      <c r="CS105" s="5">
        <f t="shared" si="65"/>
        <v>47246.623840158922</v>
      </c>
      <c r="CT105" s="56">
        <f t="shared" si="96"/>
        <v>19081.67117501987</v>
      </c>
      <c r="CU105" s="87">
        <f t="shared" si="97"/>
        <v>33797.94319816686</v>
      </c>
      <c r="CV105" s="70">
        <f t="shared" si="98"/>
        <v>56695.948608190702</v>
      </c>
      <c r="CW105" s="37">
        <f t="shared" si="99"/>
        <v>22898.005410023841</v>
      </c>
      <c r="CX105" s="42">
        <f>'[1]побудинковий звіт'!CX105+'[2]побудинковий звіт'!CX105-'[3]побудинковий звіт'!CX105</f>
        <v>844.61680183314274</v>
      </c>
      <c r="CY105" s="42">
        <f>'[1]побудинковий звіт'!CY105+'[2]побудинковий звіт'!CY105-'[3]побудинковий звіт'!CY105</f>
        <v>-22053.388608190708</v>
      </c>
      <c r="CZ105" s="56">
        <f t="shared" si="100"/>
        <v>-22898.005410023849</v>
      </c>
      <c r="DA105" s="264">
        <f>'[4]побудинковий звіт'!DA105</f>
        <v>32729.783903731695</v>
      </c>
      <c r="DB105" s="2">
        <v>2</v>
      </c>
      <c r="DC105" s="717">
        <f>'[4]побудинковий звіт'!DC105</f>
        <v>9899.68</v>
      </c>
      <c r="DD105" s="717">
        <f>'[4]побудинковий звіт'!DD105</f>
        <v>0</v>
      </c>
      <c r="DE105" s="717">
        <f>'[4]побудинковий звіт'!DE105</f>
        <v>7012.8</v>
      </c>
      <c r="DF105" s="717">
        <f>'[4]побудинковий звіт'!DF105</f>
        <v>0</v>
      </c>
      <c r="DG105" s="787">
        <v>10847.607058327092</v>
      </c>
      <c r="DH105" s="761">
        <f t="shared" si="109"/>
        <v>415710.72000000009</v>
      </c>
      <c r="DI105" s="784"/>
      <c r="DJ105" s="5"/>
      <c r="DK105" s="317">
        <f>VLOOKUP($A105,ціни!$A$4:$G$401,5)</f>
        <v>6.0751423572743111</v>
      </c>
      <c r="DL105" s="317"/>
      <c r="DM105" s="317">
        <f>VLOOKUP($A105,ціни!$A$4:$G$401,7)</f>
        <v>5.435399494773046</v>
      </c>
      <c r="DN105" s="30">
        <f t="shared" si="117"/>
        <v>29075.935079032719</v>
      </c>
      <c r="DO105" s="30">
        <f t="shared" si="118"/>
        <v>0</v>
      </c>
      <c r="DP105" s="316">
        <f t="shared" si="101"/>
        <v>29075.935079032719</v>
      </c>
      <c r="DQ105" s="104"/>
      <c r="DR105" s="30">
        <f>VLOOKUP(A105,'ДЗ нас '!$A$1:$C$359,2)</f>
        <v>2886.88</v>
      </c>
      <c r="DS105" s="748"/>
      <c r="DT105" s="30">
        <f t="shared" si="102"/>
        <v>2886.88</v>
      </c>
      <c r="DU105" s="257">
        <f>VLOOKUP(A105,'новий кошторис с 01.06'!$A$4:$AI$399,35)*1.2</f>
        <v>2900.990124509322</v>
      </c>
      <c r="DV105" s="30">
        <f t="shared" si="103"/>
        <v>-14.110124509321849</v>
      </c>
      <c r="DW105" s="930">
        <f>'[5]побудинковий звіт'!DW105+'[6]побудинковий звіт'!DW105</f>
        <v>204</v>
      </c>
      <c r="DY105" s="5">
        <f t="shared" si="104"/>
        <v>10414.184575188705</v>
      </c>
      <c r="DZ105" s="5">
        <f t="shared" si="105"/>
        <v>27746.399999999998</v>
      </c>
      <c r="EA105" s="752">
        <f t="shared" si="110"/>
        <v>7012.8</v>
      </c>
      <c r="EC105" s="592">
        <f t="shared" si="106"/>
        <v>83490.473140150949</v>
      </c>
      <c r="EE105" s="758">
        <v>-14830</v>
      </c>
      <c r="EF105" s="738">
        <f t="shared" si="107"/>
        <v>-3982.3929416729079</v>
      </c>
      <c r="EH105" s="813">
        <v>8419.851781016996</v>
      </c>
    </row>
    <row r="106" spans="1:138" x14ac:dyDescent="0.3">
      <c r="A106" s="328">
        <v>150000611</v>
      </c>
      <c r="B106" s="44" t="s">
        <v>556</v>
      </c>
      <c r="C106" s="45" t="s">
        <v>195</v>
      </c>
      <c r="D106" s="45" t="s">
        <v>195</v>
      </c>
      <c r="E106" s="40">
        <f t="shared" si="108"/>
        <v>9608.24</v>
      </c>
      <c r="F106" s="490">
        <v>9553.74</v>
      </c>
      <c r="G106" s="30"/>
      <c r="H106" s="30">
        <v>54.5</v>
      </c>
      <c r="I106" s="42">
        <f>'[1]побудинковий звіт'!I106+'[2]побудинковий звіт'!I106-'[3]побудинковий звіт'!I106</f>
        <v>4564.0459197570772</v>
      </c>
      <c r="J106" s="42">
        <f>'[1]побудинковий звіт'!J106+'[2]побудинковий звіт'!J106-'[3]побудинковий звіт'!J106</f>
        <v>4653.3400139904215</v>
      </c>
      <c r="K106" s="56">
        <f t="shared" si="66"/>
        <v>89.294094233344367</v>
      </c>
      <c r="L106" s="42">
        <f>'[1]побудинковий звіт'!L106+'[2]побудинковий звіт'!L106-'[3]побудинковий звіт'!L106</f>
        <v>976.75274407870995</v>
      </c>
      <c r="M106" s="42">
        <f>'[1]побудинковий звіт'!M106+'[2]побудинковий звіт'!M106-'[3]побудинковий звіт'!M106</f>
        <v>985.50168201445479</v>
      </c>
      <c r="N106" s="56">
        <f t="shared" si="67"/>
        <v>8.7489379357448342</v>
      </c>
      <c r="O106" s="42">
        <f>'[1]побудинковий звіт'!O106+'[2]побудинковий звіт'!O106-'[3]побудинковий звіт'!O106</f>
        <v>1336.92</v>
      </c>
      <c r="P106" s="42">
        <f>'[1]побудинковий звіт'!P106+'[2]побудинковий звіт'!P106-'[3]побудинковий звіт'!P106</f>
        <v>1050.8944408602149</v>
      </c>
      <c r="Q106" s="56">
        <f t="shared" si="68"/>
        <v>-286.02555913978517</v>
      </c>
      <c r="R106" s="42">
        <f>'[1]побудинковий звіт'!R106+'[2]побудинковий звіт'!R106-'[3]побудинковий звіт'!R106</f>
        <v>0</v>
      </c>
      <c r="S106" s="42">
        <f>'[1]побудинковий звіт'!S106+'[2]побудинковий звіт'!S106-'[3]побудинковий звіт'!S106</f>
        <v>0</v>
      </c>
      <c r="T106" s="56">
        <f t="shared" si="69"/>
        <v>0</v>
      </c>
      <c r="U106" s="42">
        <f>'[1]побудинковий звіт'!U106+'[2]побудинковий звіт'!U106-'[3]побудинковий звіт'!U106</f>
        <v>0</v>
      </c>
      <c r="V106" s="42">
        <f>'[1]побудинковий звіт'!V106+'[2]побудинковий звіт'!V106-'[3]побудинковий звіт'!V106</f>
        <v>0</v>
      </c>
      <c r="W106" s="56">
        <f t="shared" si="70"/>
        <v>0</v>
      </c>
      <c r="X106" s="42">
        <f>'[1]побудинковий звіт'!X106+'[2]побудинковий звіт'!X106-'[3]побудинковий звіт'!X106</f>
        <v>2114.0191127993139</v>
      </c>
      <c r="Y106" s="42">
        <f>'[1]побудинковий звіт'!Y106+'[2]побудинковий звіт'!Y106-'[3]побудинковий звіт'!Y106</f>
        <v>3215.5262904409615</v>
      </c>
      <c r="Z106" s="56">
        <f t="shared" si="71"/>
        <v>1101.5071776416476</v>
      </c>
      <c r="AA106" s="42">
        <f>'[1]побудинковий звіт'!AA106+'[2]побудинковий звіт'!AA106-'[3]побудинковий звіт'!AA106</f>
        <v>0</v>
      </c>
      <c r="AB106" s="42">
        <f>'[1]побудинковий звіт'!AB106+'[2]побудинковий звіт'!AB106-'[3]побудинковий звіт'!AB106</f>
        <v>0</v>
      </c>
      <c r="AC106" s="56">
        <f t="shared" si="72"/>
        <v>0</v>
      </c>
      <c r="AD106" s="42">
        <f>'[1]побудинковий звіт'!AD106+'[2]побудинковий звіт'!AD106-'[3]побудинковий звіт'!AD106</f>
        <v>4737.6213387900598</v>
      </c>
      <c r="AE106" s="42">
        <f>'[1]побудинковий звіт'!AE106+'[2]побудинковий звіт'!AE106-'[3]побудинковий звіт'!AE106</f>
        <v>4366.5656967575078</v>
      </c>
      <c r="AF106" s="37">
        <f t="shared" si="73"/>
        <v>-371.05564203255199</v>
      </c>
      <c r="AG106" s="87">
        <f t="shared" si="61"/>
        <v>13729.359115425163</v>
      </c>
      <c r="AH106" s="57">
        <f t="shared" si="61"/>
        <v>14271.828124063559</v>
      </c>
      <c r="AI106" s="56">
        <f t="shared" si="74"/>
        <v>542.46900863839619</v>
      </c>
      <c r="AJ106" s="42">
        <f>'[1]побудинковий звіт'!AJ106+'[2]побудинковий звіт'!AJ106-'[3]побудинковий звіт'!AJ106</f>
        <v>0</v>
      </c>
      <c r="AK106" s="42">
        <f>'[1]побудинковий звіт'!AK106+'[2]побудинковий звіт'!AK106-'[3]побудинковий звіт'!AK106</f>
        <v>0</v>
      </c>
      <c r="AL106" s="56">
        <f t="shared" si="75"/>
        <v>0</v>
      </c>
      <c r="AM106" s="42">
        <f>'[1]побудинковий звіт'!AM106+'[2]побудинковий звіт'!AM106-'[3]побудинковий звіт'!AM106</f>
        <v>0</v>
      </c>
      <c r="AN106" s="42">
        <f>'[1]побудинковий звіт'!AN106+'[2]побудинковий звіт'!AN106-'[3]побудинковий звіт'!AN106</f>
        <v>0</v>
      </c>
      <c r="AO106" s="56">
        <f t="shared" si="76"/>
        <v>0</v>
      </c>
      <c r="AP106" s="42">
        <f>'[1]побудинковий звіт'!AP106+'[2]побудинковий звіт'!AP106-'[3]побудинковий звіт'!AP106</f>
        <v>3409.2635144171381</v>
      </c>
      <c r="AQ106" s="42">
        <f>'[1]побудинковий звіт'!AQ106+'[2]побудинковий звіт'!AQ106-'[3]побудинковий звіт'!AQ106</f>
        <v>2907.0035057479245</v>
      </c>
      <c r="AR106" s="56">
        <f t="shared" si="77"/>
        <v>-502.26000866921368</v>
      </c>
      <c r="AS106" s="42">
        <f>'[1]побудинковий звіт'!AS106+'[2]побудинковий звіт'!AS106-'[3]побудинковий звіт'!AS106</f>
        <v>11454.536671434058</v>
      </c>
      <c r="AT106" s="42">
        <f>'[1]побудинковий звіт'!AT106+'[2]побудинковий звіт'!AT106-'[3]побудинковий звіт'!AT106</f>
        <v>5261</v>
      </c>
      <c r="AU106" s="58">
        <f t="shared" si="78"/>
        <v>-6193.536671434058</v>
      </c>
      <c r="AV106" s="42">
        <f>'[1]побудинковий звіт'!AV106+'[2]побудинковий звіт'!AV106-'[3]побудинковий звіт'!AV106</f>
        <v>768.58353548401806</v>
      </c>
      <c r="AW106" s="42">
        <f>'[1]побудинковий звіт'!AW106+'[2]побудинковий звіт'!AW106-'[3]побудинковий звіт'!AW106</f>
        <v>0</v>
      </c>
      <c r="AX106" s="59">
        <f t="shared" si="79"/>
        <v>-768.58353548401806</v>
      </c>
      <c r="AY106" s="42">
        <f>'[1]побудинковий звіт'!AY106+'[2]побудинковий звіт'!AY106-'[3]побудинковий звіт'!AY106</f>
        <v>1258.7718030201743</v>
      </c>
      <c r="AZ106" s="42">
        <f>'[1]побудинковий звіт'!AZ106+'[2]побудинковий звіт'!AZ106-'[3]побудинковий звіт'!AZ106</f>
        <v>0</v>
      </c>
      <c r="BA106" s="37">
        <f t="shared" si="80"/>
        <v>-1258.7718030201743</v>
      </c>
      <c r="BB106" s="42">
        <f>'[1]побудинковий звіт'!BB106+'[2]побудинковий звіт'!BB106-'[3]побудинковий звіт'!BB106</f>
        <v>794.11016348623605</v>
      </c>
      <c r="BC106" s="42">
        <f>'[1]побудинковий звіт'!BC106+'[2]побудинковий звіт'!BC106-'[3]побудинковий звіт'!BC106</f>
        <v>0</v>
      </c>
      <c r="BD106" s="59">
        <f t="shared" si="81"/>
        <v>-794.11016348623605</v>
      </c>
      <c r="BE106" s="42">
        <f>'[1]побудинковий звіт'!BE106+'[2]побудинковий звіт'!BE106-'[3]побудинковий звіт'!BE106</f>
        <v>0</v>
      </c>
      <c r="BF106" s="42">
        <f>'[1]побудинковий звіт'!BF106+'[2]побудинковий звіт'!BF106-'[3]побудинковий звіт'!BF106</f>
        <v>0</v>
      </c>
      <c r="BG106" s="39">
        <f t="shared" si="82"/>
        <v>0</v>
      </c>
      <c r="BH106" s="42">
        <f>'[1]побудинковий звіт'!BH106+'[2]побудинковий звіт'!BH106-'[3]побудинковий звіт'!BH106</f>
        <v>0</v>
      </c>
      <c r="BI106" s="42">
        <f>'[1]побудинковий звіт'!BI106+'[2]побудинковий звіт'!BI106-'[3]побудинковий звіт'!BI106</f>
        <v>0</v>
      </c>
      <c r="BJ106" s="59">
        <f t="shared" si="83"/>
        <v>0</v>
      </c>
      <c r="BK106" s="42">
        <f>'[1]побудинковий звіт'!BK106+'[2]побудинковий звіт'!BK106-'[3]побудинковий звіт'!BK106</f>
        <v>215.49717539708286</v>
      </c>
      <c r="BL106" s="42">
        <f>'[1]побудинковий звіт'!BL106+'[2]побудинковий звіт'!BL106-'[3]побудинковий звіт'!BL106</f>
        <v>261</v>
      </c>
      <c r="BM106" s="39">
        <f t="shared" si="84"/>
        <v>45.502824602917144</v>
      </c>
      <c r="BN106" s="42">
        <f>'[1]побудинковий звіт'!BN106+'[2]побудинковий звіт'!BN106-'[3]побудинковий звіт'!BN106</f>
        <v>0</v>
      </c>
      <c r="BO106" s="42">
        <f>'[1]побудинковий звіт'!BO106+'[2]побудинковий звіт'!BO106-'[3]побудинковий звіт'!BO106</f>
        <v>0</v>
      </c>
      <c r="BP106" s="59">
        <f t="shared" si="85"/>
        <v>0</v>
      </c>
      <c r="BQ106" s="87">
        <f t="shared" si="113"/>
        <v>3036.9626773875116</v>
      </c>
      <c r="BR106" s="43">
        <f t="shared" si="114"/>
        <v>261</v>
      </c>
      <c r="BS106" s="59">
        <f t="shared" si="86"/>
        <v>-2775.9626773875116</v>
      </c>
      <c r="BT106" s="42">
        <f>'[1]побудинковий звіт'!BT106+'[2]побудинковий звіт'!BT106-'[3]побудинковий звіт'!BT106</f>
        <v>15794.415513448886</v>
      </c>
      <c r="BU106" s="42">
        <f>'[1]побудинковий звіт'!BU106+'[2]побудинковий звіт'!BU106-'[3]побудинковий звіт'!BU106</f>
        <v>22904.762462218052</v>
      </c>
      <c r="BV106" s="56">
        <f t="shared" si="87"/>
        <v>7110.3469487691655</v>
      </c>
      <c r="BW106" s="42">
        <f>'[1]побудинковий звіт'!BW106+'[2]побудинковий звіт'!BW106-'[3]побудинковий звіт'!BW106</f>
        <v>7484.0834915710811</v>
      </c>
      <c r="BX106" s="42">
        <f>'[1]побудинковий звіт'!BX106+'[2]побудинковий звіт'!BX106-'[3]побудинковий звіт'!BX106</f>
        <v>7615.8720731402191</v>
      </c>
      <c r="BY106" s="56">
        <f t="shared" si="88"/>
        <v>131.78858156913793</v>
      </c>
      <c r="BZ106" s="42">
        <f>'[1]побудинковий звіт'!BZ106+'[2]побудинковий звіт'!BZ106-'[3]побудинковий звіт'!BZ106</f>
        <v>5874.3846398010273</v>
      </c>
      <c r="CA106" s="42">
        <f>'[1]побудинковий звіт'!CA106+'[2]побудинковий звіт'!CA106-'[3]побудинковий звіт'!CA106</f>
        <v>4632.1314073547992</v>
      </c>
      <c r="CB106" s="56">
        <f t="shared" si="89"/>
        <v>-1242.2532324462281</v>
      </c>
      <c r="CC106" s="42">
        <f>'[1]побудинковий звіт'!CC106+'[2]побудинковий звіт'!CC106-'[3]побудинковий звіт'!CC106</f>
        <v>258.83663387888555</v>
      </c>
      <c r="CD106" s="42">
        <f>'[1]побудинковий звіт'!CD106+'[2]побудинковий звіт'!CD106-'[3]побудинковий звіт'!CD106</f>
        <v>256.56009250550176</v>
      </c>
      <c r="CE106" s="56">
        <f t="shared" si="90"/>
        <v>-2.2765413733837931</v>
      </c>
      <c r="CF106" s="42">
        <f>'[1]побудинковий звіт'!CF106+'[2]побудинковий звіт'!CF106-'[3]побудинковий звіт'!CF106</f>
        <v>31.864358337362798</v>
      </c>
      <c r="CG106" s="42">
        <f>'[1]побудинковий звіт'!CG106+'[2]побудинковий звіт'!CG106-'[3]побудинковий звіт'!CG106</f>
        <v>0</v>
      </c>
      <c r="CH106" s="56">
        <f t="shared" si="91"/>
        <v>-31.864358337362798</v>
      </c>
      <c r="CI106" s="42">
        <f>'[1]побудинковий звіт'!CI106+'[2]побудинковий звіт'!CI106-'[3]побудинковий звіт'!CI106</f>
        <v>2040.2102443139424</v>
      </c>
      <c r="CJ106" s="42">
        <f>'[1]побудинковий звіт'!CJ106+'[2]побудинковий звіт'!CJ106-'[3]побудинковий звіт'!CJ106</f>
        <v>956.93552390032528</v>
      </c>
      <c r="CK106" s="56">
        <f t="shared" si="92"/>
        <v>-1083.2747204136172</v>
      </c>
      <c r="CL106" s="42">
        <f>'[1]побудинковий звіт'!CL106+'[2]побудинковий звіт'!CL106-'[3]побудинковий звіт'!CL106</f>
        <v>0</v>
      </c>
      <c r="CM106" s="42">
        <f>'[1]побудинковий звіт'!CM106+'[2]побудинковий звіт'!CM106-'[3]побудинковий звіт'!CM106</f>
        <v>0</v>
      </c>
      <c r="CN106" s="56">
        <f t="shared" si="93"/>
        <v>0</v>
      </c>
      <c r="CO106" s="42">
        <f t="shared" si="64"/>
        <v>2040.2102443139424</v>
      </c>
      <c r="CP106" s="43">
        <f t="shared" si="94"/>
        <v>956.93552390032528</v>
      </c>
      <c r="CQ106" s="56">
        <f t="shared" si="95"/>
        <v>-1083.2747204136172</v>
      </c>
      <c r="CR106" s="78">
        <f t="shared" si="65"/>
        <v>63113.916860015051</v>
      </c>
      <c r="CS106" s="5">
        <f t="shared" si="65"/>
        <v>59067.09318893039</v>
      </c>
      <c r="CT106" s="56">
        <f t="shared" si="96"/>
        <v>-4046.8236710846613</v>
      </c>
      <c r="CU106" s="87">
        <f t="shared" si="97"/>
        <v>75736.700232018062</v>
      </c>
      <c r="CV106" s="70">
        <f t="shared" si="98"/>
        <v>70880.511826716465</v>
      </c>
      <c r="CW106" s="37">
        <f t="shared" si="99"/>
        <v>-4856.1884053015965</v>
      </c>
      <c r="CX106" s="42">
        <f>'[1]побудинковий звіт'!CX106+'[2]побудинковий звіт'!CX106-'[3]побудинковий звіт'!CX106</f>
        <v>-14.420232018077513</v>
      </c>
      <c r="CY106" s="42">
        <f>'[1]побудинковий звіт'!CY106+'[2]побудинковий звіт'!CY106-'[3]побудинковий звіт'!CY106</f>
        <v>4841.7681732835435</v>
      </c>
      <c r="CZ106" s="56">
        <f t="shared" si="100"/>
        <v>4856.1884053016211</v>
      </c>
      <c r="DA106" s="264">
        <f>'[4]побудинковий звіт'!DA106</f>
        <v>15473.544576400389</v>
      </c>
      <c r="DB106" s="2">
        <v>2</v>
      </c>
      <c r="DC106" s="717">
        <f>'[4]побудинковий звіт'!DC106</f>
        <v>10505.33</v>
      </c>
      <c r="DD106" s="717">
        <f>'[4]побудинковий звіт'!DD106</f>
        <v>-1012.92</v>
      </c>
      <c r="DE106" s="717">
        <f>'[4]побудинковий звіт'!DE106</f>
        <v>4468.76</v>
      </c>
      <c r="DF106" s="717">
        <f>'[4]побудинковий звіт'!DF106</f>
        <v>-1286.54</v>
      </c>
      <c r="DG106" s="787">
        <v>19152.891586491838</v>
      </c>
      <c r="DH106" s="761">
        <f t="shared" si="109"/>
        <v>908667.35999999987</v>
      </c>
      <c r="DI106" s="784"/>
      <c r="DJ106" s="5"/>
      <c r="DK106" s="317">
        <f>VLOOKUP($A106,ціни!$A$4:$G$401,5)</f>
        <v>5.7311449339674434</v>
      </c>
      <c r="DL106" s="317"/>
      <c r="DM106" s="317">
        <f>VLOOKUP($A106,ціни!$A$4:$G$401,7)</f>
        <v>5.0207430837945832</v>
      </c>
      <c r="DN106" s="30">
        <f t="shared" si="117"/>
        <v>54753.868601442118</v>
      </c>
      <c r="DO106" s="30">
        <v>225.48</v>
      </c>
      <c r="DP106" s="316">
        <f t="shared" si="101"/>
        <v>54979.348601442121</v>
      </c>
      <c r="DQ106" s="104"/>
      <c r="DR106" s="30">
        <f>VLOOKUP(A106,'ДЗ нас '!$A$1:$C$359,2)</f>
        <v>6036.57</v>
      </c>
      <c r="DS106" s="748">
        <f>VLOOKUP(A106,'ДЗ нежит'!$A$1:$D$153,4,0)</f>
        <v>273.62</v>
      </c>
      <c r="DT106" s="30">
        <f t="shared" si="102"/>
        <v>6310.19</v>
      </c>
      <c r="DU106" s="257">
        <f>VLOOKUP(A106,'новий кошторис с 01.06'!$A$4:$AI$399,35)*1.2</f>
        <v>6311.3916860015061</v>
      </c>
      <c r="DV106" s="30">
        <f t="shared" si="103"/>
        <v>-1.2016860015064594</v>
      </c>
      <c r="DW106" s="930">
        <f>'[5]побудинковий звіт'!DW106+'[6]побудинковий звіт'!DW106</f>
        <v>204</v>
      </c>
      <c r="DY106" s="5">
        <f t="shared" si="104"/>
        <v>17389.799218585882</v>
      </c>
      <c r="DZ106" s="5">
        <f t="shared" si="105"/>
        <v>6626.4</v>
      </c>
      <c r="EA106" s="752">
        <f t="shared" si="110"/>
        <v>3182.2200000000003</v>
      </c>
      <c r="EC106" s="592">
        <f t="shared" si="106"/>
        <v>137454.4400572087</v>
      </c>
      <c r="EE106" s="758">
        <v>25176</v>
      </c>
      <c r="EF106" s="738">
        <f t="shared" si="107"/>
        <v>44328.891586491838</v>
      </c>
      <c r="EH106" s="813">
        <v>17329.111975629457</v>
      </c>
    </row>
    <row r="107" spans="1:138" x14ac:dyDescent="0.3">
      <c r="A107" s="328">
        <v>150000623</v>
      </c>
      <c r="B107" s="44" t="s">
        <v>557</v>
      </c>
      <c r="C107" s="45" t="s">
        <v>209</v>
      </c>
      <c r="D107" s="45" t="s">
        <v>209</v>
      </c>
      <c r="E107" s="40">
        <f t="shared" si="108"/>
        <v>7600.2300000000005</v>
      </c>
      <c r="F107" s="490">
        <v>7507.43</v>
      </c>
      <c r="G107" s="30"/>
      <c r="H107" s="30">
        <v>92.8</v>
      </c>
      <c r="I107" s="42">
        <f>'[1]побудинковий звіт'!I107+'[2]побудинковий звіт'!I107-'[3]побудинковий звіт'!I107</f>
        <v>5347.9932204034012</v>
      </c>
      <c r="J107" s="42">
        <f>'[1]побудинковий звіт'!J107+'[2]побудинковий звіт'!J107-'[3]побудинковий звіт'!J107</f>
        <v>5323.1241879792915</v>
      </c>
      <c r="K107" s="56">
        <f t="shared" si="66"/>
        <v>-24.869032424109719</v>
      </c>
      <c r="L107" s="42">
        <f>'[1]побудинковий звіт'!L107+'[2]побудинковий звіт'!L107-'[3]побудинковий звіт'!L107</f>
        <v>935.62177142511223</v>
      </c>
      <c r="M107" s="42">
        <f>'[1]побудинковий звіт'!M107+'[2]побудинковий звіт'!M107-'[3]побудинковий звіт'!M107</f>
        <v>955.90301088757235</v>
      </c>
      <c r="N107" s="56">
        <f t="shared" si="67"/>
        <v>20.281239462460121</v>
      </c>
      <c r="O107" s="42">
        <f>'[1]побудинковий звіт'!O107+'[2]побудинковий звіт'!O107-'[3]побудинковий звіт'!O107</f>
        <v>2129.4</v>
      </c>
      <c r="P107" s="42">
        <f>'[1]побудинковий звіт'!P107+'[2]побудинковий звіт'!P107-'[3]побудинковий звіт'!P107</f>
        <v>1673.6799290322583</v>
      </c>
      <c r="Q107" s="56">
        <f t="shared" si="68"/>
        <v>-455.72007096774178</v>
      </c>
      <c r="R107" s="42">
        <f>'[1]побудинковий звіт'!R107+'[2]побудинковий звіт'!R107-'[3]побудинковий звіт'!R107</f>
        <v>0</v>
      </c>
      <c r="S107" s="42">
        <f>'[1]побудинковий звіт'!S107+'[2]побудинковий звіт'!S107-'[3]побудинковий звіт'!S107</f>
        <v>0</v>
      </c>
      <c r="T107" s="56">
        <f t="shared" si="69"/>
        <v>0</v>
      </c>
      <c r="U107" s="42">
        <f>'[1]побудинковий звіт'!U107+'[2]побудинковий звіт'!U107-'[3]побудинковий звіт'!U107</f>
        <v>0</v>
      </c>
      <c r="V107" s="42">
        <f>'[1]побудинковий звіт'!V107+'[2]побудинковий звіт'!V107-'[3]побудинковий звіт'!V107</f>
        <v>0</v>
      </c>
      <c r="W107" s="56">
        <f t="shared" si="70"/>
        <v>0</v>
      </c>
      <c r="X107" s="42">
        <f>'[1]побудинковий звіт'!X107+'[2]побудинковий звіт'!X107-'[3]побудинковий звіт'!X107</f>
        <v>2933.2812469030778</v>
      </c>
      <c r="Y107" s="42">
        <f>'[1]побудинковий звіт'!Y107+'[2]побудинковий звіт'!Y107-'[3]побудинковий звіт'!Y107</f>
        <v>3420.4449798436044</v>
      </c>
      <c r="Z107" s="56">
        <f t="shared" si="71"/>
        <v>487.16373294052664</v>
      </c>
      <c r="AA107" s="42">
        <f>'[1]побудинковий звіт'!AA107+'[2]побудинковий звіт'!AA107-'[3]побудинковий звіт'!AA107</f>
        <v>0</v>
      </c>
      <c r="AB107" s="42">
        <f>'[1]побудинковий звіт'!AB107+'[2]побудинковий звіт'!AB107-'[3]побудинковий звіт'!AB107</f>
        <v>0</v>
      </c>
      <c r="AC107" s="56">
        <f t="shared" si="72"/>
        <v>0</v>
      </c>
      <c r="AD107" s="42">
        <f>'[1]побудинковий звіт'!AD107+'[2]побудинковий звіт'!AD107-'[3]побудинковий звіт'!AD107</f>
        <v>6296.5895157962477</v>
      </c>
      <c r="AE107" s="42">
        <f>'[1]побудинковий звіт'!AE107+'[2]побудинковий звіт'!AE107-'[3]побудинковий звіт'!AE107</f>
        <v>5803.5246151199162</v>
      </c>
      <c r="AF107" s="37">
        <f t="shared" si="73"/>
        <v>-493.06490067633149</v>
      </c>
      <c r="AG107" s="87">
        <f t="shared" si="61"/>
        <v>17642.885754527837</v>
      </c>
      <c r="AH107" s="57">
        <f t="shared" si="61"/>
        <v>17176.676722862645</v>
      </c>
      <c r="AI107" s="56">
        <f t="shared" si="74"/>
        <v>-466.20903166519201</v>
      </c>
      <c r="AJ107" s="42">
        <f>'[1]побудинковий звіт'!AJ107+'[2]побудинковий звіт'!AJ107-'[3]побудинковий звіт'!AJ107</f>
        <v>0</v>
      </c>
      <c r="AK107" s="42">
        <f>'[1]побудинковий звіт'!AK107+'[2]побудинковий звіт'!AK107-'[3]побудинковий звіт'!AK107</f>
        <v>0</v>
      </c>
      <c r="AL107" s="56">
        <f t="shared" si="75"/>
        <v>0</v>
      </c>
      <c r="AM107" s="42">
        <f>'[1]побудинковий звіт'!AM107+'[2]побудинковий звіт'!AM107-'[3]побудинковий звіт'!AM107</f>
        <v>0</v>
      </c>
      <c r="AN107" s="42">
        <f>'[1]побудинковий звіт'!AN107+'[2]побудинковий звіт'!AN107-'[3]побудинковий звіт'!AN107</f>
        <v>0</v>
      </c>
      <c r="AO107" s="56">
        <f t="shared" si="76"/>
        <v>0</v>
      </c>
      <c r="AP107" s="42">
        <f>'[1]побудинковий звіт'!AP107+'[2]побудинковий звіт'!AP107-'[3]побудинковий звіт'!AP107</f>
        <v>4261.5793930214249</v>
      </c>
      <c r="AQ107" s="42">
        <f>'[1]побудинковий звіт'!AQ107+'[2]побудинковий звіт'!AQ107-'[3]побудинковий звіт'!AQ107</f>
        <v>3834.0331854836613</v>
      </c>
      <c r="AR107" s="56">
        <f t="shared" si="77"/>
        <v>-427.54620753776362</v>
      </c>
      <c r="AS107" s="42">
        <f>'[1]побудинковий звіт'!AS107+'[2]побудинковий звіт'!AS107-'[3]побудинковий звіт'!AS107</f>
        <v>18925.749168742488</v>
      </c>
      <c r="AT107" s="42">
        <f>'[1]побудинковий звіт'!AT107+'[2]побудинковий звіт'!AT107-'[3]побудинковий звіт'!AT107</f>
        <v>68102</v>
      </c>
      <c r="AU107" s="58">
        <f t="shared" si="78"/>
        <v>49176.250831257508</v>
      </c>
      <c r="AV107" s="42">
        <f>'[1]побудинковий звіт'!AV107+'[2]побудинковий звіт'!AV107-'[3]побудинковий звіт'!AV107</f>
        <v>895.65617756303686</v>
      </c>
      <c r="AW107" s="42">
        <f>'[1]побудинковий звіт'!AW107+'[2]побудинковий звіт'!AW107-'[3]побудинковий звіт'!AW107</f>
        <v>1149</v>
      </c>
      <c r="AX107" s="59">
        <f t="shared" si="79"/>
        <v>253.34382243696314</v>
      </c>
      <c r="AY107" s="42">
        <f>'[1]побудинковий звіт'!AY107+'[2]побудинковий звіт'!AY107-'[3]побудинковий звіт'!AY107</f>
        <v>1205.8638280807043</v>
      </c>
      <c r="AZ107" s="42">
        <f>'[1]побудинковий звіт'!AZ107+'[2]побудинковий звіт'!AZ107-'[3]побудинковий звіт'!AZ107</f>
        <v>0</v>
      </c>
      <c r="BA107" s="37">
        <f t="shared" si="80"/>
        <v>-1205.8638280807043</v>
      </c>
      <c r="BB107" s="42">
        <f>'[1]побудинковий звіт'!BB107+'[2]побудинковий звіт'!BB107-'[3]побудинковий звіт'!BB107</f>
        <v>1000.211501379648</v>
      </c>
      <c r="BC107" s="42">
        <f>'[1]побудинковий звіт'!BC107+'[2]побудинковий звіт'!BC107-'[3]побудинковий звіт'!BC107</f>
        <v>910</v>
      </c>
      <c r="BD107" s="59">
        <f t="shared" si="81"/>
        <v>-90.211501379647984</v>
      </c>
      <c r="BE107" s="42">
        <f>'[1]побудинковий звіт'!BE107+'[2]побудинковий звіт'!BE107-'[3]побудинковий звіт'!BE107</f>
        <v>0</v>
      </c>
      <c r="BF107" s="42">
        <f>'[1]побудинковий звіт'!BF107+'[2]побудинковий звіт'!BF107-'[3]побудинковий звіт'!BF107</f>
        <v>0</v>
      </c>
      <c r="BG107" s="39">
        <f t="shared" si="82"/>
        <v>0</v>
      </c>
      <c r="BH107" s="42">
        <f>'[1]побудинковий звіт'!BH107+'[2]побудинковий звіт'!BH107-'[3]побудинковий звіт'!BH107</f>
        <v>0</v>
      </c>
      <c r="BI107" s="42">
        <f>'[1]побудинковий звіт'!BI107+'[2]побудинковий звіт'!BI107-'[3]побудинковий звіт'!BI107</f>
        <v>0</v>
      </c>
      <c r="BJ107" s="59">
        <f t="shared" si="83"/>
        <v>0</v>
      </c>
      <c r="BK107" s="42">
        <f>'[1]побудинковий звіт'!BK107+'[2]побудинковий звіт'!BK107-'[3]побудинковий звіт'!BK107</f>
        <v>362.91232416152599</v>
      </c>
      <c r="BL107" s="42">
        <f>'[1]побудинковий звіт'!BL107+'[2]побудинковий звіт'!BL107-'[3]побудинковий звіт'!BL107</f>
        <v>126</v>
      </c>
      <c r="BM107" s="39">
        <f t="shared" si="84"/>
        <v>-236.91232416152599</v>
      </c>
      <c r="BN107" s="42">
        <f>'[1]побудинковий звіт'!BN107+'[2]побудинковий звіт'!BN107-'[3]побудинковий звіт'!BN107</f>
        <v>0</v>
      </c>
      <c r="BO107" s="42">
        <f>'[1]побудинковий звіт'!BO107+'[2]побудинковий звіт'!BO107-'[3]побудинковий звіт'!BO107</f>
        <v>0</v>
      </c>
      <c r="BP107" s="59">
        <f t="shared" si="85"/>
        <v>0</v>
      </c>
      <c r="BQ107" s="87">
        <f t="shared" si="113"/>
        <v>3464.6438311849151</v>
      </c>
      <c r="BR107" s="43">
        <f t="shared" si="114"/>
        <v>2185</v>
      </c>
      <c r="BS107" s="59">
        <f t="shared" si="86"/>
        <v>-1279.6438311849151</v>
      </c>
      <c r="BT107" s="42">
        <f>'[1]побудинковий звіт'!BT107+'[2]побудинковий звіт'!BT107-'[3]побудинковий звіт'!BT107</f>
        <v>17984.353193391271</v>
      </c>
      <c r="BU107" s="42">
        <f>'[1]побудинковий звіт'!BU107+'[2]побудинковий звіт'!BU107-'[3]побудинковий звіт'!BU107</f>
        <v>26683.151436724638</v>
      </c>
      <c r="BV107" s="56">
        <f t="shared" si="87"/>
        <v>8698.7982433333673</v>
      </c>
      <c r="BW107" s="42">
        <f>'[1]побудинковий звіт'!BW107+'[2]побудинковий звіт'!BW107-'[3]побудинковий звіт'!BW107</f>
        <v>8808.2382686304609</v>
      </c>
      <c r="BX107" s="42">
        <f>'[1]побудинковий звіт'!BX107+'[2]побудинковий звіт'!BX107-'[3]побудинковий звіт'!BX107</f>
        <v>8970.8631543499505</v>
      </c>
      <c r="BY107" s="56">
        <f t="shared" si="88"/>
        <v>162.62488571948961</v>
      </c>
      <c r="BZ107" s="42">
        <f>'[1]побудинковий звіт'!BZ107+'[2]побудинковий звіт'!BZ107-'[3]побудинковий звіт'!BZ107</f>
        <v>7613.7763462078974</v>
      </c>
      <c r="CA107" s="42">
        <f>'[1]побудинковий звіт'!CA107+'[2]побудинковий звіт'!CA107-'[3]побудинковий звіт'!CA107</f>
        <v>8076.4518217812238</v>
      </c>
      <c r="CB107" s="56">
        <f t="shared" si="89"/>
        <v>462.67547557332637</v>
      </c>
      <c r="CC107" s="42">
        <f>'[1]побудинковий звіт'!CC107+'[2]побудинковий звіт'!CC107-'[3]побудинковий звіт'!CC107</f>
        <v>367.66567312341698</v>
      </c>
      <c r="CD107" s="42">
        <f>'[1]побудинковий звіт'!CD107+'[2]побудинковий звіт'!CD107-'[3]побудинковий звіт'!CD107</f>
        <v>364.43194958167851</v>
      </c>
      <c r="CE107" s="56">
        <f t="shared" si="90"/>
        <v>-3.2337235417384704</v>
      </c>
      <c r="CF107" s="42">
        <f>'[1]побудинковий звіт'!CF107+'[2]побудинковий звіт'!CF107-'[3]побудинковий звіт'!CF107</f>
        <v>45.26187263829943</v>
      </c>
      <c r="CG107" s="42">
        <f>'[1]побудинковий звіт'!CG107+'[2]побудинковий звіт'!CG107-'[3]побудинковий звіт'!CG107</f>
        <v>0</v>
      </c>
      <c r="CH107" s="56">
        <f t="shared" si="91"/>
        <v>-45.26187263829943</v>
      </c>
      <c r="CI107" s="42">
        <f>'[1]побудинковий звіт'!CI107+'[2]побудинковий звіт'!CI107-'[3]побудинковий звіт'!CI107</f>
        <v>3032.2390787051254</v>
      </c>
      <c r="CJ107" s="42">
        <f>'[1]побудинковий звіт'!CJ107+'[2]побудинковий звіт'!CJ107-'[3]побудинковий звіт'!CJ107</f>
        <v>1958.5359691791373</v>
      </c>
      <c r="CK107" s="56">
        <f t="shared" si="92"/>
        <v>-1073.7031095259881</v>
      </c>
      <c r="CL107" s="42">
        <f>'[1]побудинковий звіт'!CL107+'[2]побудинковий звіт'!CL107-'[3]побудинковий звіт'!CL107</f>
        <v>0</v>
      </c>
      <c r="CM107" s="42">
        <f>'[1]побудинковий звіт'!CM107+'[2]побудинковий звіт'!CM107-'[3]побудинковий звіт'!CM107</f>
        <v>0</v>
      </c>
      <c r="CN107" s="56">
        <f t="shared" si="93"/>
        <v>0</v>
      </c>
      <c r="CO107" s="42">
        <f t="shared" si="64"/>
        <v>3032.2390787051254</v>
      </c>
      <c r="CP107" s="43">
        <f t="shared" si="94"/>
        <v>1958.5359691791373</v>
      </c>
      <c r="CQ107" s="56">
        <f t="shared" si="95"/>
        <v>-1073.7031095259881</v>
      </c>
      <c r="CR107" s="78">
        <f t="shared" si="65"/>
        <v>82146.392580173124</v>
      </c>
      <c r="CS107" s="5">
        <f t="shared" si="65"/>
        <v>137351.14423996294</v>
      </c>
      <c r="CT107" s="56">
        <f t="shared" si="96"/>
        <v>55204.751659789821</v>
      </c>
      <c r="CU107" s="87">
        <f t="shared" si="97"/>
        <v>98575.671096207749</v>
      </c>
      <c r="CV107" s="70">
        <f t="shared" si="98"/>
        <v>164821.37308795552</v>
      </c>
      <c r="CW107" s="37">
        <f t="shared" si="99"/>
        <v>66245.701991747774</v>
      </c>
      <c r="CX107" s="42">
        <f>'[1]побудинковий звіт'!CX107+'[2]побудинковий звіт'!CX107-'[3]побудинковий звіт'!CX107</f>
        <v>1478.2889037922505</v>
      </c>
      <c r="CY107" s="42">
        <f>'[1]побудинковий звіт'!CY107+'[2]побудинковий звіт'!CY107-'[3]побудинковий звіт'!CY107</f>
        <v>-64767.413087955531</v>
      </c>
      <c r="CZ107" s="56">
        <f t="shared" si="100"/>
        <v>-66245.701991747774</v>
      </c>
      <c r="DA107" s="264">
        <f>'[4]побудинковий звіт'!DA107</f>
        <v>58646.890652083603</v>
      </c>
      <c r="DB107" s="2">
        <v>2</v>
      </c>
      <c r="DC107" s="717">
        <f>'[4]побудинковий звіт'!DC107</f>
        <v>8339.86</v>
      </c>
      <c r="DD107" s="717">
        <f>'[4]побудинковий звіт'!DD107</f>
        <v>1694.42</v>
      </c>
      <c r="DE107" s="717">
        <f>'[4]побудинковий звіт'!DE107</f>
        <v>471.13000000000102</v>
      </c>
      <c r="DF107" s="717">
        <f>'[4]побудинковий звіт'!DF107</f>
        <v>1225.3200000000002</v>
      </c>
      <c r="DG107" s="787">
        <v>-5249.2785709879536</v>
      </c>
      <c r="DH107" s="761">
        <f t="shared" si="109"/>
        <v>1200647.52</v>
      </c>
      <c r="DI107" s="784"/>
      <c r="DJ107" s="5"/>
      <c r="DK107" s="317">
        <f>VLOOKUP($A107,ціни!$A$4:$G$401,5)</f>
        <v>5.7028305415081881</v>
      </c>
      <c r="DL107" s="317"/>
      <c r="DM107" s="317">
        <f>VLOOKUP($A107,ціни!$A$4:$G$401,7)</f>
        <v>5.0548843288208483</v>
      </c>
      <c r="DN107" s="30">
        <f t="shared" si="117"/>
        <v>42813.601092234821</v>
      </c>
      <c r="DO107" s="30">
        <f t="shared" ref="DO107:DO112" si="119">H107*DM107</f>
        <v>469.09326571457473</v>
      </c>
      <c r="DP107" s="316">
        <f t="shared" si="101"/>
        <v>43282.694357949396</v>
      </c>
      <c r="DQ107" s="104"/>
      <c r="DR107" s="30">
        <f>VLOOKUP(A107,'ДЗ нас '!$A$1:$C$359,2)</f>
        <v>7868.73</v>
      </c>
      <c r="DS107" s="748">
        <f>VLOOKUP(A107,'ДЗ нежит'!$A$1:$D$153,4,0)</f>
        <v>469.1</v>
      </c>
      <c r="DT107" s="30">
        <f t="shared" si="102"/>
        <v>8337.83</v>
      </c>
      <c r="DU107" s="257">
        <f>VLOOKUP(A107,'новий кошторис с 01.06'!$A$4:$AI$399,35)*1.2</f>
        <v>8362.5027646616254</v>
      </c>
      <c r="DV107" s="30">
        <f t="shared" si="103"/>
        <v>-24.672764661625479</v>
      </c>
      <c r="DW107" s="930">
        <f>'[5]побудинковий звіт'!DW107+'[6]побудинковий звіт'!DW107</f>
        <v>204</v>
      </c>
      <c r="DY107" s="5">
        <f t="shared" si="104"/>
        <v>26868.471599912886</v>
      </c>
      <c r="DZ107" s="5">
        <f t="shared" si="105"/>
        <v>84344.4</v>
      </c>
      <c r="EA107" s="752">
        <f t="shared" si="110"/>
        <v>1696.4500000000012</v>
      </c>
      <c r="EC107" s="592">
        <f t="shared" si="106"/>
        <v>227108.99002490984</v>
      </c>
      <c r="EE107" s="758">
        <v>-18217</v>
      </c>
      <c r="EF107" s="738">
        <f t="shared" si="107"/>
        <v>-23466.278570987954</v>
      </c>
      <c r="EH107" s="813">
        <v>60382.837450871448</v>
      </c>
    </row>
    <row r="108" spans="1:138" x14ac:dyDescent="0.3">
      <c r="A108" s="328">
        <v>150000612</v>
      </c>
      <c r="B108" s="44" t="s">
        <v>558</v>
      </c>
      <c r="C108" s="45" t="s">
        <v>161</v>
      </c>
      <c r="D108" s="45" t="s">
        <v>161</v>
      </c>
      <c r="E108" s="40">
        <f t="shared" si="108"/>
        <v>311.60000000000002</v>
      </c>
      <c r="F108" s="490">
        <v>311.60000000000002</v>
      </c>
      <c r="G108" s="30"/>
      <c r="H108" s="30">
        <v>0</v>
      </c>
      <c r="I108" s="42">
        <f>'[1]побудинковий звіт'!I108+'[2]побудинковий звіт'!I108-'[3]побудинковий звіт'!I108</f>
        <v>1800.5360678585871</v>
      </c>
      <c r="J108" s="42">
        <f>'[1]побудинковий звіт'!J108+'[2]побудинковий звіт'!J108-'[3]побудинковий звіт'!J108</f>
        <v>1776.0469330475323</v>
      </c>
      <c r="K108" s="56">
        <f t="shared" si="66"/>
        <v>-24.489134811054782</v>
      </c>
      <c r="L108" s="42">
        <f>'[1]побудинковий звіт'!L108+'[2]побудинковий звіт'!L108-'[3]побудинковий звіт'!L108</f>
        <v>690.0322831999531</v>
      </c>
      <c r="M108" s="42">
        <f>'[1]побудинковий звіт'!M108+'[2]побудинковий звіт'!M108-'[3]побудинковий звіт'!M108</f>
        <v>696.21021583087213</v>
      </c>
      <c r="N108" s="56">
        <f t="shared" si="67"/>
        <v>6.177932630919031</v>
      </c>
      <c r="O108" s="42">
        <f>'[1]побудинковий звіт'!O108+'[2]побудинковий звіт'!O108-'[3]побудинковий звіт'!O108</f>
        <v>681.12</v>
      </c>
      <c r="P108" s="42">
        <f>'[1]побудинковий звіт'!P108+'[2]побудинковий звіт'!P108-'[3]побудинковий звіт'!P108</f>
        <v>535.39287236559142</v>
      </c>
      <c r="Q108" s="56">
        <f t="shared" si="68"/>
        <v>-145.72712763440859</v>
      </c>
      <c r="R108" s="42">
        <f>'[1]побудинковий звіт'!R108+'[2]побудинковий звіт'!R108-'[3]побудинковий звіт'!R108</f>
        <v>0</v>
      </c>
      <c r="S108" s="42">
        <f>'[1]побудинковий звіт'!S108+'[2]побудинковий звіт'!S108-'[3]побудинковий звіт'!S108</f>
        <v>0</v>
      </c>
      <c r="T108" s="56">
        <f t="shared" si="69"/>
        <v>0</v>
      </c>
      <c r="U108" s="42">
        <f>'[1]побудинковий звіт'!U108+'[2]побудинковий звіт'!U108-'[3]побудинковий звіт'!U108</f>
        <v>0</v>
      </c>
      <c r="V108" s="42">
        <f>'[1]побудинковий звіт'!V108+'[2]побудинковий звіт'!V108-'[3]побудинковий звіт'!V108</f>
        <v>0</v>
      </c>
      <c r="W108" s="56">
        <f t="shared" si="70"/>
        <v>0</v>
      </c>
      <c r="X108" s="42">
        <f>'[1]побудинковий звіт'!X108+'[2]побудинковий звіт'!X108-'[3]побудинковий звіт'!X108</f>
        <v>1207.1775804244428</v>
      </c>
      <c r="Y108" s="42">
        <f>'[1]побудинковий звіт'!Y108+'[2]побудинковий звіт'!Y108-'[3]побудинковий звіт'!Y108</f>
        <v>904.80547238441443</v>
      </c>
      <c r="Z108" s="56">
        <f t="shared" si="71"/>
        <v>-302.37210804002837</v>
      </c>
      <c r="AA108" s="42">
        <f>'[1]побудинковий звіт'!AA108+'[2]побудинковий звіт'!AA108-'[3]побудинковий звіт'!AA108</f>
        <v>0</v>
      </c>
      <c r="AB108" s="42">
        <f>'[1]побудинковий звіт'!AB108+'[2]побудинковий звіт'!AB108-'[3]побудинковий звіт'!AB108</f>
        <v>0</v>
      </c>
      <c r="AC108" s="56">
        <f t="shared" si="72"/>
        <v>0</v>
      </c>
      <c r="AD108" s="42">
        <f>'[1]побудинковий звіт'!AD108+'[2]побудинковий звіт'!AD108-'[3]побудинковий звіт'!AD108</f>
        <v>2132.6992521315037</v>
      </c>
      <c r="AE108" s="42">
        <f>'[1]побудинковий звіт'!AE108+'[2]побудинковий звіт'!AE108-'[3]побудинковий звіт'!AE108</f>
        <v>1965.6946947776119</v>
      </c>
      <c r="AF108" s="37">
        <f t="shared" si="73"/>
        <v>-167.00455735389187</v>
      </c>
      <c r="AG108" s="87">
        <f t="shared" si="61"/>
        <v>6511.5651836144862</v>
      </c>
      <c r="AH108" s="57">
        <f t="shared" si="61"/>
        <v>5878.1501884060217</v>
      </c>
      <c r="AI108" s="56">
        <f t="shared" si="74"/>
        <v>-633.41499520846446</v>
      </c>
      <c r="AJ108" s="42">
        <f>'[1]побудинковий звіт'!AJ108+'[2]побудинковий звіт'!AJ108-'[3]побудинковий звіт'!AJ108</f>
        <v>0</v>
      </c>
      <c r="AK108" s="42">
        <f>'[1]побудинковий звіт'!AK108+'[2]побудинковий звіт'!AK108-'[3]побудинковий звіт'!AK108</f>
        <v>0</v>
      </c>
      <c r="AL108" s="56">
        <f t="shared" si="75"/>
        <v>0</v>
      </c>
      <c r="AM108" s="42">
        <f>'[1]побудинковий звіт'!AM108+'[2]побудинковий звіт'!AM108-'[3]побудинковий звіт'!AM108</f>
        <v>0</v>
      </c>
      <c r="AN108" s="42">
        <f>'[1]побудинковий звіт'!AN108+'[2]побудинковий звіт'!AN108-'[3]побудинковий звіт'!AN108</f>
        <v>0</v>
      </c>
      <c r="AO108" s="56">
        <f t="shared" si="76"/>
        <v>0</v>
      </c>
      <c r="AP108" s="42">
        <f>'[1]побудинковий звіт'!AP108+'[2]побудинковий звіт'!AP108-'[3]побудинковий звіт'!AP108</f>
        <v>1136.4211714723797</v>
      </c>
      <c r="AQ108" s="42">
        <f>'[1]побудинковий звіт'!AQ108+'[2]побудинковий звіт'!AQ108-'[3]побудинковий звіт'!AQ108</f>
        <v>1137.1136747119485</v>
      </c>
      <c r="AR108" s="56">
        <f t="shared" si="77"/>
        <v>0.6925032395688504</v>
      </c>
      <c r="AS108" s="42">
        <f>'[1]побудинковий звіт'!AS108+'[2]побудинковий звіт'!AS108-'[3]побудинковий звіт'!AS108</f>
        <v>10053.439185568323</v>
      </c>
      <c r="AT108" s="42">
        <f>'[1]побудинковий звіт'!AT108+'[2]побудинковий звіт'!AT108-'[3]побудинковий звіт'!AT108</f>
        <v>284</v>
      </c>
      <c r="AU108" s="58">
        <f t="shared" si="78"/>
        <v>-9769.4391855683225</v>
      </c>
      <c r="AV108" s="42">
        <f>'[1]побудинковий звіт'!AV108+'[2]побудинковий звіт'!AV108-'[3]побудинковий звіт'!AV108</f>
        <v>400.76271578958369</v>
      </c>
      <c r="AW108" s="42">
        <f>'[1]побудинковий звіт'!AW108+'[2]побудинковий звіт'!AW108-'[3]побудинковий звіт'!AW108</f>
        <v>0</v>
      </c>
      <c r="AX108" s="59">
        <f t="shared" si="79"/>
        <v>-400.76271578958369</v>
      </c>
      <c r="AY108" s="42">
        <f>'[1]побудинковий звіт'!AY108+'[2]побудинковий звіт'!AY108-'[3]побудинковий звіт'!AY108</f>
        <v>889.46692439466983</v>
      </c>
      <c r="AZ108" s="42">
        <f>'[1]побудинковий звіт'!AZ108+'[2]побудинковий звіт'!AZ108-'[3]побудинковий звіт'!AZ108</f>
        <v>0</v>
      </c>
      <c r="BA108" s="37">
        <f t="shared" si="80"/>
        <v>-889.46692439466983</v>
      </c>
      <c r="BB108" s="42">
        <f>'[1]побудинковий звіт'!BB108+'[2]побудинковий звіт'!BB108-'[3]побудинковий звіт'!BB108</f>
        <v>165.8791055208878</v>
      </c>
      <c r="BC108" s="42">
        <f>'[1]побудинковий звіт'!BC108+'[2]побудинковий звіт'!BC108-'[3]побудинковий звіт'!BC108</f>
        <v>0</v>
      </c>
      <c r="BD108" s="59">
        <f t="shared" si="81"/>
        <v>-165.8791055208878</v>
      </c>
      <c r="BE108" s="42">
        <f>'[1]побудинковий звіт'!BE108+'[2]побудинковий звіт'!BE108-'[3]побудинковий звіт'!BE108</f>
        <v>0</v>
      </c>
      <c r="BF108" s="42">
        <f>'[1]побудинковий звіт'!BF108+'[2]побудинковий звіт'!BF108-'[3]побудинковий звіт'!BF108</f>
        <v>0</v>
      </c>
      <c r="BG108" s="39">
        <f t="shared" si="82"/>
        <v>0</v>
      </c>
      <c r="BH108" s="42">
        <f>'[1]побудинковий звіт'!BH108+'[2]побудинковий звіт'!BH108-'[3]побудинковий звіт'!BH108</f>
        <v>0</v>
      </c>
      <c r="BI108" s="42">
        <f>'[1]побудинковий звіт'!BI108+'[2]побудинковий звіт'!BI108-'[3]побудинковий звіт'!BI108</f>
        <v>0</v>
      </c>
      <c r="BJ108" s="59">
        <f t="shared" si="83"/>
        <v>0</v>
      </c>
      <c r="BK108" s="42">
        <f>'[1]побудинковий звіт'!BK108+'[2]побудинковий звіт'!BK108-'[3]побудинковий звіт'!BK108</f>
        <v>118.62780668282814</v>
      </c>
      <c r="BL108" s="42">
        <f>'[1]побудинковий звіт'!BL108+'[2]побудинковий звіт'!BL108-'[3]побудинковий звіт'!BL108</f>
        <v>0</v>
      </c>
      <c r="BM108" s="39">
        <f t="shared" si="84"/>
        <v>-118.62780668282814</v>
      </c>
      <c r="BN108" s="42">
        <f>'[1]побудинковий звіт'!BN108+'[2]побудинковий звіт'!BN108-'[3]побудинковий звіт'!BN108</f>
        <v>0</v>
      </c>
      <c r="BO108" s="42">
        <f>'[1]побудинковий звіт'!BO108+'[2]побудинковий звіт'!BO108-'[3]побудинковий звіт'!BO108</f>
        <v>0</v>
      </c>
      <c r="BP108" s="59">
        <f t="shared" si="85"/>
        <v>0</v>
      </c>
      <c r="BQ108" s="87">
        <f t="shared" si="113"/>
        <v>1574.7365523879696</v>
      </c>
      <c r="BR108" s="43">
        <f t="shared" si="114"/>
        <v>0</v>
      </c>
      <c r="BS108" s="59">
        <f t="shared" si="86"/>
        <v>-1574.7365523879696</v>
      </c>
      <c r="BT108" s="42">
        <f>'[1]побудинковий звіт'!BT108+'[2]побудинковий звіт'!BT108-'[3]побудинковий звіт'!BT108</f>
        <v>7262.9294708161005</v>
      </c>
      <c r="BU108" s="42">
        <f>'[1]побудинковий звіт'!BU108+'[2]побудинковий звіт'!BU108-'[3]побудинковий звіт'!BU108</f>
        <v>9202.5866966845351</v>
      </c>
      <c r="BV108" s="56">
        <f t="shared" si="87"/>
        <v>1939.6572258684346</v>
      </c>
      <c r="BW108" s="42">
        <f>'[1]побудинковий звіт'!BW108+'[2]побудинковий звіт'!BW108-'[3]побудинковий звіт'!BW108</f>
        <v>2983.8051568525443</v>
      </c>
      <c r="BX108" s="42">
        <f>'[1]побудинковий звіт'!BX108+'[2]побудинковий звіт'!BX108-'[3]побудинковий звіт'!BX108</f>
        <v>3135.02423632714</v>
      </c>
      <c r="BY108" s="56">
        <f t="shared" si="88"/>
        <v>151.21907947459567</v>
      </c>
      <c r="BZ108" s="42">
        <f>'[1]побудинковий звіт'!BZ108+'[2]побудинковий звіт'!BZ108-'[3]побудинковий звіт'!BZ108</f>
        <v>1972.5737909736029</v>
      </c>
      <c r="CA108" s="42">
        <f>'[1]побудинковий звіт'!CA108+'[2]побудинковий звіт'!CA108-'[3]побудинковий звіт'!CA108</f>
        <v>1727.0472313192038</v>
      </c>
      <c r="CB108" s="56">
        <f t="shared" si="89"/>
        <v>-245.52655965439908</v>
      </c>
      <c r="CC108" s="42">
        <f>'[1]побудинковий звіт'!CC108+'[2]побудинковий звіт'!CC108-'[3]побудинковий звіт'!CC108</f>
        <v>373.54832389339163</v>
      </c>
      <c r="CD108" s="42">
        <f>'[1]побудинковий звіт'!CD108+'[2]побудинковий звіт'!CD108-'[3]побудинковий звіт'!CD108</f>
        <v>370.26286077498537</v>
      </c>
      <c r="CE108" s="56">
        <f t="shared" si="90"/>
        <v>-3.2854631184062555</v>
      </c>
      <c r="CF108" s="42">
        <f>'[1]побудинковий звіт'!CF108+'[2]побудинковий звіт'!CF108-'[3]побудинковий звіт'!CF108</f>
        <v>45.986062600512234</v>
      </c>
      <c r="CG108" s="42">
        <f>'[1]побудинковий звіт'!CG108+'[2]побудинковий звіт'!CG108-'[3]побудинковий звіт'!CG108</f>
        <v>0</v>
      </c>
      <c r="CH108" s="56">
        <f t="shared" si="91"/>
        <v>-45.986062600512234</v>
      </c>
      <c r="CI108" s="42">
        <f>'[1]побудинковий звіт'!CI108+'[2]побудинковий звіт'!CI108-'[3]побудинковий звіт'!CI108</f>
        <v>411.78555389822702</v>
      </c>
      <c r="CJ108" s="42">
        <f>'[1]побудинковий звіт'!CJ108+'[2]побудинковий звіт'!CJ108-'[3]побудинковий звіт'!CJ108</f>
        <v>0</v>
      </c>
      <c r="CK108" s="56">
        <f t="shared" si="92"/>
        <v>-411.78555389822702</v>
      </c>
      <c r="CL108" s="42">
        <f>'[1]побудинковий звіт'!CL108+'[2]побудинковий звіт'!CL108-'[3]побудинковий звіт'!CL108</f>
        <v>0</v>
      </c>
      <c r="CM108" s="42">
        <f>'[1]побудинковий звіт'!CM108+'[2]побудинковий звіт'!CM108-'[3]побудинковий звіт'!CM108</f>
        <v>0</v>
      </c>
      <c r="CN108" s="56">
        <f t="shared" si="93"/>
        <v>0</v>
      </c>
      <c r="CO108" s="42">
        <f t="shared" si="64"/>
        <v>411.78555389822702</v>
      </c>
      <c r="CP108" s="43">
        <f t="shared" si="94"/>
        <v>0</v>
      </c>
      <c r="CQ108" s="56">
        <f t="shared" si="95"/>
        <v>-411.78555389822702</v>
      </c>
      <c r="CR108" s="78">
        <f t="shared" si="65"/>
        <v>32326.790452077537</v>
      </c>
      <c r="CS108" s="5">
        <f t="shared" si="65"/>
        <v>21734.184888223837</v>
      </c>
      <c r="CT108" s="56">
        <f t="shared" si="96"/>
        <v>-10592.6055638537</v>
      </c>
      <c r="CU108" s="87">
        <f t="shared" si="97"/>
        <v>38792.148542493043</v>
      </c>
      <c r="CV108" s="70">
        <f t="shared" si="98"/>
        <v>26081.021865868603</v>
      </c>
      <c r="CW108" s="37">
        <f t="shared" si="99"/>
        <v>-12711.126676624441</v>
      </c>
      <c r="CX108" s="42">
        <f>'[1]побудинковий звіт'!CX108+'[2]побудинковий звіт'!CX108-'[3]побудинковий звіт'!CX108</f>
        <v>0.13145750696457981</v>
      </c>
      <c r="CY108" s="42">
        <f>'[1]побудинковий звіт'!CY108+'[2]побудинковий звіт'!CY108-'[3]побудинковий звіт'!CY108</f>
        <v>12711.258134131403</v>
      </c>
      <c r="CZ108" s="56">
        <f t="shared" si="100"/>
        <v>12711.126676624439</v>
      </c>
      <c r="DA108" s="264">
        <f>'[4]побудинковий звіт'!DA108</f>
        <v>14679.601441295152</v>
      </c>
      <c r="DB108" s="2">
        <v>2</v>
      </c>
      <c r="DC108" s="717">
        <f>'[4]побудинковий звіт'!DC108</f>
        <v>3626.1</v>
      </c>
      <c r="DD108" s="717">
        <f>'[4]побудинковий звіт'!DD108</f>
        <v>0</v>
      </c>
      <c r="DE108" s="717">
        <f>'[4]побудинковий звіт'!DE108</f>
        <v>393.40999999999985</v>
      </c>
      <c r="DF108" s="717">
        <f>'[4]побудинковий звіт'!DF108</f>
        <v>0</v>
      </c>
      <c r="DG108" s="787">
        <v>-13845.167035258055</v>
      </c>
      <c r="DH108" s="761">
        <f t="shared" si="109"/>
        <v>465507.3600000001</v>
      </c>
      <c r="DI108" s="784"/>
      <c r="DJ108" s="5"/>
      <c r="DK108" s="317">
        <f>VLOOKUP($A108,ціни!$A$4:$G$401,5)</f>
        <v>6.4811721504626352</v>
      </c>
      <c r="DL108" s="317"/>
      <c r="DM108" s="317">
        <f>VLOOKUP($A108,ціни!$A$4:$G$401,7)</f>
        <v>5.8829514606088829</v>
      </c>
      <c r="DN108" s="30">
        <f t="shared" si="117"/>
        <v>2019.5332420841573</v>
      </c>
      <c r="DO108" s="30">
        <f t="shared" si="119"/>
        <v>0</v>
      </c>
      <c r="DP108" s="316">
        <f t="shared" si="101"/>
        <v>2019.5332420841573</v>
      </c>
      <c r="DQ108" s="104"/>
      <c r="DR108" s="30">
        <f>VLOOKUP(A108,'ДЗ нас '!$A$1:$C$359,2)</f>
        <v>3232.69</v>
      </c>
      <c r="DS108" s="748"/>
      <c r="DT108" s="30">
        <f t="shared" si="102"/>
        <v>3232.69</v>
      </c>
      <c r="DU108" s="257">
        <f>VLOOKUP(A108,'новий кошторис с 01.06'!$A$4:$AI$399,35)*1.2</f>
        <v>3232.679045207753</v>
      </c>
      <c r="DV108" s="30">
        <f t="shared" si="103"/>
        <v>1.0954792247048317E-2</v>
      </c>
      <c r="DW108" s="930">
        <f>'[5]побудинковий звіт'!DW108+'[6]побудинковий звіт'!DW108</f>
        <v>204</v>
      </c>
      <c r="DY108" s="5">
        <f t="shared" si="104"/>
        <v>13953.810885547549</v>
      </c>
      <c r="DZ108" s="5">
        <f t="shared" si="105"/>
        <v>340.8</v>
      </c>
      <c r="EA108" s="752">
        <f t="shared" si="110"/>
        <v>393.40999999999985</v>
      </c>
      <c r="EC108" s="592">
        <f t="shared" si="106"/>
        <v>120641.27022681988</v>
      </c>
      <c r="EE108" s="758">
        <v>-239</v>
      </c>
      <c r="EF108" s="738">
        <f t="shared" si="107"/>
        <v>-14084.167035258055</v>
      </c>
      <c r="EH108" s="813">
        <v>24656.537874926078</v>
      </c>
    </row>
    <row r="109" spans="1:138" x14ac:dyDescent="0.3">
      <c r="A109" s="328">
        <v>150000613</v>
      </c>
      <c r="B109" s="44" t="s">
        <v>559</v>
      </c>
      <c r="C109" s="45" t="s">
        <v>210</v>
      </c>
      <c r="D109" s="45" t="s">
        <v>210</v>
      </c>
      <c r="E109" s="40">
        <f t="shared" si="108"/>
        <v>2638.4</v>
      </c>
      <c r="F109" s="490">
        <v>2425.9</v>
      </c>
      <c r="G109" s="30"/>
      <c r="H109" s="30">
        <v>212.5</v>
      </c>
      <c r="I109" s="42">
        <f>'[1]побудинковий звіт'!I109+'[2]побудинковий звіт'!I109-'[3]побудинковий звіт'!I109</f>
        <v>5143.526403382707</v>
      </c>
      <c r="J109" s="42">
        <f>'[1]побудинковий звіт'!J109+'[2]побудинковий звіт'!J109-'[3]побудинковий звіт'!J109</f>
        <v>5123.162219447574</v>
      </c>
      <c r="K109" s="56">
        <f t="shared" si="66"/>
        <v>-20.364183935133042</v>
      </c>
      <c r="L109" s="42">
        <f>'[1]побудинковий звіт'!L109+'[2]побудинковий звіт'!L109-'[3]побудинковий звіт'!L109</f>
        <v>930.88980632443668</v>
      </c>
      <c r="M109" s="42">
        <f>'[1]побудинковий звіт'!M109+'[2]побудинковий звіт'!M109-'[3]побудинковий звіт'!M109</f>
        <v>951.61870675034515</v>
      </c>
      <c r="N109" s="56">
        <f t="shared" si="67"/>
        <v>20.728900425908478</v>
      </c>
      <c r="O109" s="42">
        <f>'[1]побудинковий звіт'!O109+'[2]побудинковий звіт'!O109-'[3]побудинковий звіт'!O109</f>
        <v>2163.8399999999997</v>
      </c>
      <c r="P109" s="42">
        <f>'[1]побудинковий звіт'!P109+'[2]побудинковий звіт'!P109-'[3]побудинковий звіт'!P109</f>
        <v>1700.8254118279569</v>
      </c>
      <c r="Q109" s="56">
        <f t="shared" si="68"/>
        <v>-463.01458817204275</v>
      </c>
      <c r="R109" s="42">
        <f>'[1]побудинковий звіт'!R109+'[2]побудинковий звіт'!R109-'[3]побудинковий звіт'!R109</f>
        <v>0</v>
      </c>
      <c r="S109" s="42">
        <f>'[1]побудинковий звіт'!S109+'[2]побудинковий звіт'!S109-'[3]побудинковий звіт'!S109</f>
        <v>0</v>
      </c>
      <c r="T109" s="56">
        <f t="shared" si="69"/>
        <v>0</v>
      </c>
      <c r="U109" s="42">
        <f>'[1]побудинковий звіт'!U109+'[2]побудинковий звіт'!U109-'[3]побудинковий звіт'!U109</f>
        <v>0</v>
      </c>
      <c r="V109" s="42">
        <f>'[1]побудинковий звіт'!V109+'[2]побудинковий звіт'!V109-'[3]побудинковий звіт'!V109</f>
        <v>0</v>
      </c>
      <c r="W109" s="56">
        <f t="shared" si="70"/>
        <v>0</v>
      </c>
      <c r="X109" s="42">
        <f>'[1]побудинковий звіт'!X109+'[2]побудинковий звіт'!X109-'[3]побудинковий звіт'!X109</f>
        <v>2997.0870754563934</v>
      </c>
      <c r="Y109" s="42">
        <f>'[1]побудинковий звіт'!Y109+'[2]побудинковий звіт'!Y109-'[3]побудинковий звіт'!Y109</f>
        <v>2225.6309745563149</v>
      </c>
      <c r="Z109" s="56">
        <f t="shared" si="71"/>
        <v>-771.45610090007858</v>
      </c>
      <c r="AA109" s="42">
        <f>'[1]побудинковий звіт'!AA109+'[2]побудинковий звіт'!AA109-'[3]побудинковий звіт'!AA109</f>
        <v>0</v>
      </c>
      <c r="AB109" s="42">
        <f>'[1]побудинковий звіт'!AB109+'[2]побудинковий звіт'!AB109-'[3]побудинковий звіт'!AB109</f>
        <v>0</v>
      </c>
      <c r="AC109" s="56">
        <f t="shared" si="72"/>
        <v>0</v>
      </c>
      <c r="AD109" s="42">
        <f>'[1]побудинковий звіт'!AD109+'[2]побудинковий звіт'!AD109-'[3]побудинковий звіт'!AD109</f>
        <v>6337.7230151456715</v>
      </c>
      <c r="AE109" s="42">
        <f>'[1]побудинковий звіт'!AE109+'[2]побудинковий звіт'!AE109-'[3]побудинковий звіт'!AE109</f>
        <v>5841.5291021323819</v>
      </c>
      <c r="AF109" s="37">
        <f t="shared" si="73"/>
        <v>-496.1939130132896</v>
      </c>
      <c r="AG109" s="87">
        <f t="shared" si="61"/>
        <v>17573.066300309209</v>
      </c>
      <c r="AH109" s="57">
        <f t="shared" si="61"/>
        <v>15842.766414714573</v>
      </c>
      <c r="AI109" s="56">
        <f t="shared" si="74"/>
        <v>-1730.2998855946353</v>
      </c>
      <c r="AJ109" s="42">
        <f>'[1]побудинковий звіт'!AJ109+'[2]побудинковий звіт'!AJ109-'[3]побудинковий звіт'!AJ109</f>
        <v>0</v>
      </c>
      <c r="AK109" s="42">
        <f>'[1]побудинковий звіт'!AK109+'[2]побудинковий звіт'!AK109-'[3]побудинковий звіт'!AK109</f>
        <v>0</v>
      </c>
      <c r="AL109" s="56">
        <f t="shared" si="75"/>
        <v>0</v>
      </c>
      <c r="AM109" s="42">
        <f>'[1]побудинковий звіт'!AM109+'[2]побудинковий звіт'!AM109-'[3]побудинковий звіт'!AM109</f>
        <v>0</v>
      </c>
      <c r="AN109" s="42">
        <f>'[1]побудинковий звіт'!AN109+'[2]побудинковий звіт'!AN109-'[3]побудинковий звіт'!AN109</f>
        <v>0</v>
      </c>
      <c r="AO109" s="56">
        <f t="shared" si="76"/>
        <v>0</v>
      </c>
      <c r="AP109" s="42">
        <f>'[1]побудинковий звіт'!AP109+'[2]побудинковий звіт'!AP109-'[3]побудинковий звіт'!AP109</f>
        <v>3977.4741001533284</v>
      </c>
      <c r="AQ109" s="42">
        <f>'[1]побудинковий звіт'!AQ109+'[2]побудинковий звіт'!AQ109-'[3]побудинковий звіт'!AQ109</f>
        <v>3483.1621084804674</v>
      </c>
      <c r="AR109" s="56">
        <f t="shared" si="77"/>
        <v>-494.31199167286104</v>
      </c>
      <c r="AS109" s="42">
        <f>'[1]побудинковий звіт'!AS109+'[2]побудинковий звіт'!AS109-'[3]побудинковий звіт'!AS109</f>
        <v>15058.062046617279</v>
      </c>
      <c r="AT109" s="42">
        <f>'[1]побудинковий звіт'!AT109+'[2]побудинковий звіт'!AT109-'[3]побудинковий звіт'!AT109</f>
        <v>79</v>
      </c>
      <c r="AU109" s="58">
        <f t="shared" si="78"/>
        <v>-14979.062046617279</v>
      </c>
      <c r="AV109" s="42">
        <f>'[1]побудинковий звіт'!AV109+'[2]побудинковий звіт'!AV109-'[3]побудинковий звіт'!AV109</f>
        <v>878.12142783221839</v>
      </c>
      <c r="AW109" s="42">
        <f>'[1]побудинковий звіт'!AW109+'[2]побудинковий звіт'!AW109-'[3]побудинковий звіт'!AW109</f>
        <v>0</v>
      </c>
      <c r="AX109" s="59">
        <f t="shared" si="79"/>
        <v>-878.12142783221839</v>
      </c>
      <c r="AY109" s="42">
        <f>'[1]побудинковий звіт'!AY109+'[2]побудинковий звіт'!AY109-'[3]побудинковий звіт'!AY109</f>
        <v>1199.9207699340923</v>
      </c>
      <c r="AZ109" s="42">
        <f>'[1]побудинковий звіт'!AZ109+'[2]побудинковий звіт'!AZ109-'[3]побудинковий звіт'!AZ109</f>
        <v>0</v>
      </c>
      <c r="BA109" s="37">
        <f t="shared" si="80"/>
        <v>-1199.9207699340923</v>
      </c>
      <c r="BB109" s="42">
        <f>'[1]побудинковий звіт'!BB109+'[2]побудинковий звіт'!BB109-'[3]побудинковий звіт'!BB109</f>
        <v>987.14380804143707</v>
      </c>
      <c r="BC109" s="42">
        <f>'[1]побудинковий звіт'!BC109+'[2]побудинковий звіт'!BC109-'[3]побудинковий звіт'!BC109</f>
        <v>0</v>
      </c>
      <c r="BD109" s="59">
        <f t="shared" si="81"/>
        <v>-987.14380804143707</v>
      </c>
      <c r="BE109" s="42">
        <f>'[1]побудинковий звіт'!BE109+'[2]побудинковий звіт'!BE109-'[3]побудинковий звіт'!BE109</f>
        <v>0</v>
      </c>
      <c r="BF109" s="42">
        <f>'[1]побудинковий звіт'!BF109+'[2]побудинковий звіт'!BF109-'[3]побудинковий звіт'!BF109</f>
        <v>0</v>
      </c>
      <c r="BG109" s="39">
        <f t="shared" si="82"/>
        <v>0</v>
      </c>
      <c r="BH109" s="42">
        <f>'[1]побудинковий звіт'!BH109+'[2]побудинковий звіт'!BH109-'[3]побудинковий звіт'!BH109</f>
        <v>0</v>
      </c>
      <c r="BI109" s="42">
        <f>'[1]побудинковий звіт'!BI109+'[2]побудинковий звіт'!BI109-'[3]побудинковий звіт'!BI109</f>
        <v>331</v>
      </c>
      <c r="BJ109" s="59">
        <f t="shared" si="83"/>
        <v>331</v>
      </c>
      <c r="BK109" s="42">
        <f>'[1]побудинковий звіт'!BK109+'[2]побудинковий звіт'!BK109-'[3]побудинковий звіт'!BK109</f>
        <v>360.33688608548937</v>
      </c>
      <c r="BL109" s="42">
        <f>'[1]побудинковий звіт'!BL109+'[2]побудинковий звіт'!BL109-'[3]побудинковий звіт'!BL109</f>
        <v>0</v>
      </c>
      <c r="BM109" s="39">
        <f t="shared" si="84"/>
        <v>-360.33688608548937</v>
      </c>
      <c r="BN109" s="42">
        <f>'[1]побудинковий звіт'!BN109+'[2]побудинковий звіт'!BN109-'[3]побудинковий звіт'!BN109</f>
        <v>0</v>
      </c>
      <c r="BO109" s="42">
        <f>'[1]побудинковий звіт'!BO109+'[2]побудинковий звіт'!BO109-'[3]побудинковий звіт'!BO109</f>
        <v>0</v>
      </c>
      <c r="BP109" s="59">
        <f t="shared" si="85"/>
        <v>0</v>
      </c>
      <c r="BQ109" s="87">
        <f t="shared" si="113"/>
        <v>3425.5228918932376</v>
      </c>
      <c r="BR109" s="43">
        <f t="shared" si="114"/>
        <v>331</v>
      </c>
      <c r="BS109" s="59">
        <f t="shared" si="86"/>
        <v>-3094.5228918932376</v>
      </c>
      <c r="BT109" s="42">
        <f>'[1]побудинковий звіт'!BT109+'[2]побудинковий звіт'!BT109-'[3]побудинковий звіт'!BT109</f>
        <v>25196.377522071845</v>
      </c>
      <c r="BU109" s="42">
        <f>'[1]побудинковий звіт'!BU109+'[2]побудинковий звіт'!BU109-'[3]побудинковий звіт'!BU109</f>
        <v>32536.946700057804</v>
      </c>
      <c r="BV109" s="56">
        <f t="shared" si="87"/>
        <v>7340.569177985959</v>
      </c>
      <c r="BW109" s="42">
        <f>'[1]побудинковий звіт'!BW109+'[2]побудинковий звіт'!BW109-'[3]побудинковий звіт'!BW109</f>
        <v>9448.897325689828</v>
      </c>
      <c r="BX109" s="42">
        <f>'[1]побудинковий звіт'!BX109+'[2]побудинковий звіт'!BX109-'[3]побудинковий звіт'!BX109</f>
        <v>9605.3391921012117</v>
      </c>
      <c r="BY109" s="56">
        <f t="shared" si="88"/>
        <v>156.44186641138367</v>
      </c>
      <c r="BZ109" s="42">
        <f>'[1]побудинковий звіт'!BZ109+'[2]побудинковий звіт'!BZ109-'[3]побудинковий звіт'!BZ109</f>
        <v>5820.3804376399821</v>
      </c>
      <c r="CA109" s="42">
        <f>'[1]побудинковий звіт'!CA109+'[2]побудинковий звіт'!CA109-'[3]побудинковий звіт'!CA109</f>
        <v>6567.6445335895278</v>
      </c>
      <c r="CB109" s="56">
        <f t="shared" si="89"/>
        <v>747.26409594954566</v>
      </c>
      <c r="CC109" s="42">
        <f>'[1]побудинковий звіт'!CC109+'[2]побудинковий звіт'!CC109-'[3]побудинковий звіт'!CC109</f>
        <v>332.36976850356888</v>
      </c>
      <c r="CD109" s="42">
        <f>'[1]побудинковий звіт'!CD109+'[2]побудинковий звіт'!CD109-'[3]побудинковий звіт'!CD109</f>
        <v>329.44648242183746</v>
      </c>
      <c r="CE109" s="56">
        <f t="shared" si="90"/>
        <v>-2.923286081731419</v>
      </c>
      <c r="CF109" s="42">
        <f>'[1]побудинковий звіт'!CF109+'[2]побудинковий звіт'!CF109-'[3]побудинковий звіт'!CF109</f>
        <v>40.916732865022688</v>
      </c>
      <c r="CG109" s="42">
        <f>'[1]побудинковий звіт'!CG109+'[2]побудинковий звіт'!CG109-'[3]побудинковий звіт'!CG109</f>
        <v>0</v>
      </c>
      <c r="CH109" s="56">
        <f t="shared" si="91"/>
        <v>-40.916732865022688</v>
      </c>
      <c r="CI109" s="42">
        <f>'[1]побудинковий звіт'!CI109+'[2]побудинковий звіт'!CI109-'[3]побудинковий звіт'!CI109</f>
        <v>2377.1256975034012</v>
      </c>
      <c r="CJ109" s="42">
        <f>'[1]побудинковий звіт'!CJ109+'[2]побудинковий звіт'!CJ109-'[3]побудинковий звіт'!CJ109</f>
        <v>985.58751253261016</v>
      </c>
      <c r="CK109" s="56">
        <f t="shared" si="92"/>
        <v>-1391.538184970791</v>
      </c>
      <c r="CL109" s="42">
        <f>'[1]побудинковий звіт'!CL109+'[2]побудинковий звіт'!CL109-'[3]побудинковий звіт'!CL109</f>
        <v>0</v>
      </c>
      <c r="CM109" s="42">
        <f>'[1]побудинковий звіт'!CM109+'[2]побудинковий звіт'!CM109-'[3]побудинковий звіт'!CM109</f>
        <v>0</v>
      </c>
      <c r="CN109" s="56">
        <f t="shared" si="93"/>
        <v>0</v>
      </c>
      <c r="CO109" s="42">
        <f t="shared" si="64"/>
        <v>2377.1256975034012</v>
      </c>
      <c r="CP109" s="43">
        <f t="shared" si="94"/>
        <v>985.58751253261016</v>
      </c>
      <c r="CQ109" s="56">
        <f t="shared" si="95"/>
        <v>-1391.538184970791</v>
      </c>
      <c r="CR109" s="78">
        <f t="shared" si="65"/>
        <v>83250.192823246703</v>
      </c>
      <c r="CS109" s="5">
        <f t="shared" si="65"/>
        <v>69760.892943898027</v>
      </c>
      <c r="CT109" s="56">
        <f t="shared" si="96"/>
        <v>-13489.299879348677</v>
      </c>
      <c r="CU109" s="87">
        <f t="shared" si="97"/>
        <v>99900.231387896041</v>
      </c>
      <c r="CV109" s="70">
        <f t="shared" si="98"/>
        <v>83713.071532677626</v>
      </c>
      <c r="CW109" s="37">
        <f t="shared" si="99"/>
        <v>-16187.159855218415</v>
      </c>
      <c r="CX109" s="42">
        <f>'[1]побудинковий звіт'!CX109+'[2]побудинковий звіт'!CX109-'[3]побудинковий звіт'!CX109</f>
        <v>2531.6486121039707</v>
      </c>
      <c r="CY109" s="42">
        <f>'[1]побудинковий звіт'!CY109+'[2]побудинковий звіт'!CY109-'[3]побудинковий звіт'!CY109</f>
        <v>18718.808467322371</v>
      </c>
      <c r="CZ109" s="56">
        <f t="shared" si="100"/>
        <v>16187.1598552184</v>
      </c>
      <c r="DA109" s="264">
        <f>'[4]побудинковий звіт'!DA109</f>
        <v>17837.158569431322</v>
      </c>
      <c r="DB109" s="2">
        <v>2</v>
      </c>
      <c r="DC109" s="717">
        <f>'[4]побудинковий звіт'!DC109</f>
        <v>21240.84</v>
      </c>
      <c r="DD109" s="717">
        <f>'[4]побудинковий звіт'!DD109</f>
        <v>7067.24</v>
      </c>
      <c r="DE109" s="717">
        <f>'[4]побудинковий звіт'!DE109</f>
        <v>13789.36</v>
      </c>
      <c r="DF109" s="717">
        <f>'[4]побудинковий звіт'!DF109</f>
        <v>5982.73</v>
      </c>
      <c r="DG109" s="787">
        <v>35757.248769338737</v>
      </c>
      <c r="DH109" s="761">
        <f t="shared" si="109"/>
        <v>1229182.56</v>
      </c>
      <c r="DI109" s="784"/>
      <c r="DJ109" s="5"/>
      <c r="DK109" s="317">
        <f>VLOOKUP($A109,ціни!$A$4:$G$401,5)</f>
        <v>5.866371037291259</v>
      </c>
      <c r="DL109" s="317"/>
      <c r="DM109" s="317">
        <f>VLOOKUP($A109,ціни!$A$4:$G$401,7)</f>
        <v>5.1035829961136523</v>
      </c>
      <c r="DN109" s="30">
        <f t="shared" si="117"/>
        <v>14231.229499364867</v>
      </c>
      <c r="DO109" s="30">
        <f t="shared" si="119"/>
        <v>1084.511386674151</v>
      </c>
      <c r="DP109" s="316">
        <f t="shared" si="101"/>
        <v>15315.740886039017</v>
      </c>
      <c r="DQ109" s="104"/>
      <c r="DR109" s="30">
        <f>VLOOKUP(A109,'ДЗ нас '!$A$1:$C$359,2)</f>
        <v>7451.48</v>
      </c>
      <c r="DS109" s="748">
        <f>VLOOKUP(A109,'ДЗ нежит'!$A$1:$D$153,4,0)</f>
        <v>1084.51</v>
      </c>
      <c r="DT109" s="30">
        <f t="shared" si="102"/>
        <v>8535.99</v>
      </c>
      <c r="DU109" s="257">
        <f>VLOOKUP(A109,'новий кошторис с 01.06'!$A$4:$AI$399,35)*1.2</f>
        <v>8574.7698607944094</v>
      </c>
      <c r="DV109" s="30">
        <f t="shared" si="103"/>
        <v>-38.779860794409615</v>
      </c>
      <c r="DW109" s="930">
        <f>'[5]побудинковий звіт'!DW109+'[6]побудинковий звіт'!DW109</f>
        <v>204</v>
      </c>
      <c r="DY109" s="5">
        <f t="shared" si="104"/>
        <v>22180.301926212622</v>
      </c>
      <c r="DZ109" s="5">
        <f t="shared" si="105"/>
        <v>492</v>
      </c>
      <c r="EA109" s="752">
        <f t="shared" si="110"/>
        <v>19772.09</v>
      </c>
      <c r="EC109" s="592">
        <f t="shared" si="106"/>
        <v>180696.74455940735</v>
      </c>
      <c r="EE109" s="758">
        <v>17770</v>
      </c>
      <c r="EF109" s="738">
        <f t="shared" si="107"/>
        <v>53527.248769338737</v>
      </c>
      <c r="EH109" s="813">
        <v>31582.182229924565</v>
      </c>
    </row>
    <row r="110" spans="1:138" x14ac:dyDescent="0.3">
      <c r="A110" s="328">
        <v>150000614</v>
      </c>
      <c r="B110" s="44" t="s">
        <v>560</v>
      </c>
      <c r="C110" s="45" t="s">
        <v>162</v>
      </c>
      <c r="D110" s="45" t="s">
        <v>162</v>
      </c>
      <c r="E110" s="40">
        <f t="shared" si="108"/>
        <v>387.5</v>
      </c>
      <c r="F110" s="490">
        <v>387.5</v>
      </c>
      <c r="G110" s="30"/>
      <c r="H110" s="30">
        <v>0</v>
      </c>
      <c r="I110" s="42">
        <f>'[1]побудинковий звіт'!I110+'[2]побудинковий звіт'!I110-'[3]побудинковий звіт'!I110</f>
        <v>1565.3160649652029</v>
      </c>
      <c r="J110" s="42">
        <f>'[1]побудинковий звіт'!J110+'[2]побудинковий звіт'!J110-'[3]побудинковий звіт'!J110</f>
        <v>1566.2268938006023</v>
      </c>
      <c r="K110" s="56">
        <f t="shared" si="66"/>
        <v>0.91082883539934301</v>
      </c>
      <c r="L110" s="42">
        <f>'[1]побудинковий звіт'!L110+'[2]побудинковий звіт'!L110-'[3]побудинковий звіт'!L110</f>
        <v>548.29448422379039</v>
      </c>
      <c r="M110" s="42">
        <f>'[1]побудинковий звіт'!M110+'[2]побудинковий звіт'!M110-'[3]побудинковий звіт'!M110</f>
        <v>553.20648796509693</v>
      </c>
      <c r="N110" s="56">
        <f t="shared" si="67"/>
        <v>4.9120037413065347</v>
      </c>
      <c r="O110" s="42">
        <f>'[1]побудинковий звіт'!O110+'[2]побудинковий звіт'!O110-'[3]побудинковий звіт'!O110</f>
        <v>845.16000000000031</v>
      </c>
      <c r="P110" s="42">
        <f>'[1]побудинковий звіт'!P110+'[2]побудинковий звіт'!P110-'[3]побудинковий звіт'!P110</f>
        <v>664.37561559139795</v>
      </c>
      <c r="Q110" s="56">
        <f t="shared" si="68"/>
        <v>-180.78438440860236</v>
      </c>
      <c r="R110" s="42">
        <f>'[1]побудинковий звіт'!R110+'[2]побудинковий звіт'!R110-'[3]побудинковий звіт'!R110</f>
        <v>0</v>
      </c>
      <c r="S110" s="42">
        <f>'[1]побудинковий звіт'!S110+'[2]побудинковий звіт'!S110-'[3]побудинковий звіт'!S110</f>
        <v>0</v>
      </c>
      <c r="T110" s="56">
        <f t="shared" si="69"/>
        <v>0</v>
      </c>
      <c r="U110" s="42">
        <f>'[1]побудинковий звіт'!U110+'[2]побудинковий звіт'!U110-'[3]побудинковий звіт'!U110</f>
        <v>0</v>
      </c>
      <c r="V110" s="42">
        <f>'[1]побудинковий звіт'!V110+'[2]побудинковий звіт'!V110-'[3]побудинковий звіт'!V110</f>
        <v>0</v>
      </c>
      <c r="W110" s="56">
        <f t="shared" si="70"/>
        <v>0</v>
      </c>
      <c r="X110" s="42">
        <f>'[1]побудинковий звіт'!X110+'[2]побудинковий звіт'!X110-'[3]побудинковий звіт'!X110</f>
        <v>892.51352253048321</v>
      </c>
      <c r="Y110" s="42">
        <f>'[1]побудинковий звіт'!Y110+'[2]побудинковий звіт'!Y110-'[3]побудинковий звіт'!Y110</f>
        <v>703.02700400082301</v>
      </c>
      <c r="Z110" s="56">
        <f t="shared" si="71"/>
        <v>-189.4865185296602</v>
      </c>
      <c r="AA110" s="42">
        <f>'[1]побудинковий звіт'!AA110+'[2]побудинковий звіт'!AA110-'[3]побудинковий звіт'!AA110</f>
        <v>0</v>
      </c>
      <c r="AB110" s="42">
        <f>'[1]побудинковий звіт'!AB110+'[2]побудинковий звіт'!AB110-'[3]побудинковий звіт'!AB110</f>
        <v>0</v>
      </c>
      <c r="AC110" s="56">
        <f t="shared" si="72"/>
        <v>0</v>
      </c>
      <c r="AD110" s="42">
        <f>'[1]побудинковий звіт'!AD110+'[2]побудинковий звіт'!AD110-'[3]побудинковий звіт'!AD110</f>
        <v>2677.9532892456809</v>
      </c>
      <c r="AE110" s="42">
        <f>'[1]побудинковий звіт'!AE110+'[2]побудинковий звіт'!AE110-'[3]побудинковий звіт'!AE110</f>
        <v>2468.2517088480267</v>
      </c>
      <c r="AF110" s="37">
        <f t="shared" si="73"/>
        <v>-209.7015803976542</v>
      </c>
      <c r="AG110" s="87">
        <f t="shared" si="61"/>
        <v>6529.2373609651577</v>
      </c>
      <c r="AH110" s="57">
        <f t="shared" si="61"/>
        <v>5955.0877102059476</v>
      </c>
      <c r="AI110" s="56">
        <f t="shared" si="74"/>
        <v>-574.14965075921009</v>
      </c>
      <c r="AJ110" s="42">
        <f>'[1]побудинковий звіт'!AJ110+'[2]побудинковий звіт'!AJ110-'[3]побудинковий звіт'!AJ110</f>
        <v>0</v>
      </c>
      <c r="AK110" s="42">
        <f>'[1]побудинковий звіт'!AK110+'[2]побудинковий звіт'!AK110-'[3]побудинковий звіт'!AK110</f>
        <v>0</v>
      </c>
      <c r="AL110" s="56">
        <f t="shared" si="75"/>
        <v>0</v>
      </c>
      <c r="AM110" s="42">
        <f>'[1]побудинковий звіт'!AM110+'[2]побудинковий звіт'!AM110-'[3]побудинковий звіт'!AM110</f>
        <v>0</v>
      </c>
      <c r="AN110" s="42">
        <f>'[1]побудинковий звіт'!AN110+'[2]побудинковий звіт'!AN110-'[3]побудинковий звіт'!AN110</f>
        <v>0</v>
      </c>
      <c r="AO110" s="56">
        <f t="shared" si="76"/>
        <v>0</v>
      </c>
      <c r="AP110" s="42">
        <f>'[1]побудинковий звіт'!AP110+'[2]побудинковий звіт'!AP110-'[3]побудинковий звіт'!AP110</f>
        <v>1704.6317572085691</v>
      </c>
      <c r="AQ110" s="42">
        <f>'[1]побудинковий звіт'!AQ110+'[2]побудинковий звіт'!AQ110-'[3]побудинковий звіт'!AQ110</f>
        <v>1635.9246034628165</v>
      </c>
      <c r="AR110" s="56">
        <f t="shared" si="77"/>
        <v>-68.707153745752521</v>
      </c>
      <c r="AS110" s="42">
        <f>'[1]побудинковий звіт'!AS110+'[2]побудинковий звіт'!AS110-'[3]побудинковий звіт'!AS110</f>
        <v>9543.7682875772225</v>
      </c>
      <c r="AT110" s="42">
        <f>'[1]побудинковий звіт'!AT110+'[2]побудинковий звіт'!AT110-'[3]побудинковий звіт'!AT110</f>
        <v>175</v>
      </c>
      <c r="AU110" s="58">
        <f t="shared" si="78"/>
        <v>-9368.7682875772225</v>
      </c>
      <c r="AV110" s="42">
        <f>'[1]побудинковий звіт'!AV110+'[2]побудинковий звіт'!AV110-'[3]побудинковий звіт'!AV110</f>
        <v>568.80140155377376</v>
      </c>
      <c r="AW110" s="42">
        <f>'[1]побудинковий звіт'!AW110+'[2]побудинковий звіт'!AW110-'[3]побудинковий звіт'!AW110</f>
        <v>0</v>
      </c>
      <c r="AX110" s="59">
        <f t="shared" si="79"/>
        <v>-568.80140155377376</v>
      </c>
      <c r="AY110" s="42">
        <f>'[1]побудинковий звіт'!AY110+'[2]побудинковий звіт'!AY110-'[3]побудинковий звіт'!AY110</f>
        <v>706.67854208029485</v>
      </c>
      <c r="AZ110" s="42">
        <f>'[1]побудинковий звіт'!AZ110+'[2]побудинковий звіт'!AZ110-'[3]побудинковий звіт'!AZ110</f>
        <v>0</v>
      </c>
      <c r="BA110" s="37">
        <f t="shared" si="80"/>
        <v>-706.67854208029485</v>
      </c>
      <c r="BB110" s="42">
        <f>'[1]побудинковий звіт'!BB110+'[2]побудинковий звіт'!BB110-'[3]побудинковий звіт'!BB110</f>
        <v>298.12881982235933</v>
      </c>
      <c r="BC110" s="42">
        <f>'[1]побудинковий звіт'!BC110+'[2]побудинковий звіт'!BC110-'[3]побудинковий звіт'!BC110</f>
        <v>642.00000000000011</v>
      </c>
      <c r="BD110" s="59">
        <f t="shared" si="81"/>
        <v>343.87118017764078</v>
      </c>
      <c r="BE110" s="42">
        <f>'[1]побудинковий звіт'!BE110+'[2]побудинковий звіт'!BE110-'[3]побудинковий звіт'!BE110</f>
        <v>0</v>
      </c>
      <c r="BF110" s="42">
        <f>'[1]побудинковий звіт'!BF110+'[2]побудинковий звіт'!BF110-'[3]побудинковий звіт'!BF110</f>
        <v>0</v>
      </c>
      <c r="BG110" s="39">
        <f t="shared" si="82"/>
        <v>0</v>
      </c>
      <c r="BH110" s="42">
        <f>'[1]побудинковий звіт'!BH110+'[2]побудинковий звіт'!BH110-'[3]побудинковий звіт'!BH110</f>
        <v>0</v>
      </c>
      <c r="BI110" s="42">
        <f>'[1]побудинковий звіт'!BI110+'[2]побудинковий звіт'!BI110-'[3]побудинковий звіт'!BI110</f>
        <v>0</v>
      </c>
      <c r="BJ110" s="59">
        <f t="shared" si="83"/>
        <v>0</v>
      </c>
      <c r="BK110" s="42">
        <f>'[1]побудинковий звіт'!BK110+'[2]побудинковий звіт'!BK110-'[3]побудинковий звіт'!BK110</f>
        <v>209.02272712943946</v>
      </c>
      <c r="BL110" s="42">
        <f>'[1]побудинковий звіт'!BL110+'[2]побудинковий звіт'!BL110-'[3]побудинковий звіт'!BL110</f>
        <v>208.19931220172629</v>
      </c>
      <c r="BM110" s="39">
        <f t="shared" si="84"/>
        <v>-0.82341492771317348</v>
      </c>
      <c r="BN110" s="42">
        <f>'[1]побудинковий звіт'!BN110+'[2]побудинковий звіт'!BN110-'[3]побудинковий звіт'!BN110</f>
        <v>0</v>
      </c>
      <c r="BO110" s="42">
        <f>'[1]побудинковий звіт'!BO110+'[2]побудинковий звіт'!BO110-'[3]побудинковий звіт'!BO110</f>
        <v>0</v>
      </c>
      <c r="BP110" s="59">
        <f t="shared" si="85"/>
        <v>0</v>
      </c>
      <c r="BQ110" s="87">
        <f t="shared" si="113"/>
        <v>1782.6314905858674</v>
      </c>
      <c r="BR110" s="43">
        <f t="shared" si="114"/>
        <v>850.19931220172634</v>
      </c>
      <c r="BS110" s="59">
        <f t="shared" si="86"/>
        <v>-932.43217838414103</v>
      </c>
      <c r="BT110" s="42">
        <f>'[1]побудинковий звіт'!BT110+'[2]побудинковий звіт'!BT110-'[3]побудинковий звіт'!BT110</f>
        <v>8506.0158316835405</v>
      </c>
      <c r="BU110" s="42">
        <f>'[1]побудинковий звіт'!BU110+'[2]побудинковий звіт'!BU110-'[3]побудинковий звіт'!BU110</f>
        <v>10168.778697053645</v>
      </c>
      <c r="BV110" s="56">
        <f t="shared" si="87"/>
        <v>1662.7628653701049</v>
      </c>
      <c r="BW110" s="42">
        <f>'[1]побудинковий звіт'!BW110+'[2]побудинковий звіт'!BW110-'[3]побудинковий звіт'!BW110</f>
        <v>4369.2125579155263</v>
      </c>
      <c r="BX110" s="42">
        <f>'[1]побудинковий звіт'!BX110+'[2]побудинковий звіт'!BX110-'[3]побудинковий звіт'!BX110</f>
        <v>4500.8935539597078</v>
      </c>
      <c r="BY110" s="56">
        <f t="shared" si="88"/>
        <v>131.68099604418148</v>
      </c>
      <c r="BZ110" s="42">
        <f>'[1]побудинковий звіт'!BZ110+'[2]побудинковий звіт'!BZ110-'[3]побудинковий звіт'!BZ110</f>
        <v>1887.9216803728782</v>
      </c>
      <c r="CA110" s="42">
        <f>'[1]побудинковий звіт'!CA110+'[2]побудинковий звіт'!CA110-'[3]побудинковий звіт'!CA110</f>
        <v>2190.2549415491139</v>
      </c>
      <c r="CB110" s="56">
        <f t="shared" si="89"/>
        <v>302.33326117623574</v>
      </c>
      <c r="CC110" s="42">
        <f>'[1]побудинковий звіт'!CC110+'[2]побудинковий звіт'!CC110-'[3]побудинковий звіт'!CC110</f>
        <v>0</v>
      </c>
      <c r="CD110" s="42">
        <f>'[1]побудинковий звіт'!CD110+'[2]побудинковий звіт'!CD110-'[3]побудинковий звіт'!CD110</f>
        <v>0</v>
      </c>
      <c r="CE110" s="56">
        <f t="shared" si="90"/>
        <v>0</v>
      </c>
      <c r="CF110" s="42">
        <f>'[1]побудинковий звіт'!CF110+'[2]побудинковий звіт'!CF110-'[3]побудинковий звіт'!CF110</f>
        <v>0</v>
      </c>
      <c r="CG110" s="42">
        <f>'[1]побудинковий звіт'!CG110+'[2]побудинковий звіт'!CG110-'[3]побудинковий звіт'!CG110</f>
        <v>0</v>
      </c>
      <c r="CH110" s="56">
        <f t="shared" si="91"/>
        <v>0</v>
      </c>
      <c r="CI110" s="42">
        <f>'[1]побудинковий звіт'!CI110+'[2]побудинковий звіт'!CI110-'[3]побудинковий звіт'!CI110</f>
        <v>1403.8143882894105</v>
      </c>
      <c r="CJ110" s="42">
        <f>'[1]побудинковий звіт'!CJ110+'[2]побудинковий звіт'!CJ110-'[3]побудинковий звіт'!CJ110</f>
        <v>1100.4171149135886</v>
      </c>
      <c r="CK110" s="56">
        <f t="shared" si="92"/>
        <v>-303.3972733758219</v>
      </c>
      <c r="CL110" s="42">
        <f>'[1]побудинковий звіт'!CL110+'[2]побудинковий звіт'!CL110-'[3]побудинковий звіт'!CL110</f>
        <v>0</v>
      </c>
      <c r="CM110" s="42">
        <f>'[1]побудинковий звіт'!CM110+'[2]побудинковий звіт'!CM110-'[3]побудинковий звіт'!CM110</f>
        <v>0</v>
      </c>
      <c r="CN110" s="56">
        <f t="shared" si="93"/>
        <v>0</v>
      </c>
      <c r="CO110" s="42">
        <f t="shared" si="64"/>
        <v>1403.8143882894105</v>
      </c>
      <c r="CP110" s="43">
        <f t="shared" si="94"/>
        <v>1100.4171149135886</v>
      </c>
      <c r="CQ110" s="56">
        <f t="shared" si="95"/>
        <v>-303.3972733758219</v>
      </c>
      <c r="CR110" s="78">
        <f t="shared" si="65"/>
        <v>35727.233354598167</v>
      </c>
      <c r="CS110" s="5">
        <f t="shared" si="65"/>
        <v>26576.555933346543</v>
      </c>
      <c r="CT110" s="56">
        <f t="shared" si="96"/>
        <v>-9150.6774212516248</v>
      </c>
      <c r="CU110" s="87">
        <f t="shared" si="97"/>
        <v>42872.680025517802</v>
      </c>
      <c r="CV110" s="70">
        <f t="shared" si="98"/>
        <v>31891.86712001585</v>
      </c>
      <c r="CW110" s="37">
        <f t="shared" si="99"/>
        <v>-10980.812905501953</v>
      </c>
      <c r="CX110" s="42">
        <f>'[1]побудинковий звіт'!CX110+'[2]побудинковий звіт'!CX110-'[3]побудинковий звіт'!CX110</f>
        <v>1071.79997448219</v>
      </c>
      <c r="CY110" s="42">
        <f>'[1]побудинковий звіт'!CY110+'[2]побудинковий звіт'!CY110-'[3]побудинковий звіт'!CY110</f>
        <v>12052.612879984146</v>
      </c>
      <c r="CZ110" s="56">
        <f t="shared" si="100"/>
        <v>10980.812905501956</v>
      </c>
      <c r="DA110" s="264">
        <f>'[4]побудинковий звіт'!DA110</f>
        <v>18513.603297004007</v>
      </c>
      <c r="DB110" s="2">
        <v>2</v>
      </c>
      <c r="DC110" s="717">
        <f>'[4]побудинковий звіт'!DC110</f>
        <v>4582.71</v>
      </c>
      <c r="DD110" s="717">
        <f>'[4]побудинковий звіт'!DD110</f>
        <v>0</v>
      </c>
      <c r="DE110" s="717">
        <f>'[4]побудинковий звіт'!DE110</f>
        <v>920.67000000000007</v>
      </c>
      <c r="DF110" s="717">
        <f>'[4]побудинковий звіт'!DF110</f>
        <v>0</v>
      </c>
      <c r="DG110" s="787">
        <v>-20077.324995686606</v>
      </c>
      <c r="DH110" s="761">
        <f t="shared" si="109"/>
        <v>527333.76</v>
      </c>
      <c r="DI110" s="784"/>
      <c r="DJ110" s="5"/>
      <c r="DK110" s="317">
        <f>VLOOKUP($A110,ціни!$A$4:$G$401,5)</f>
        <v>5.8471042932241941</v>
      </c>
      <c r="DL110" s="317"/>
      <c r="DM110" s="317">
        <f>VLOOKUP($A110,ціни!$A$4:$G$401,7)</f>
        <v>5.1320407658629588</v>
      </c>
      <c r="DN110" s="30">
        <f t="shared" si="117"/>
        <v>2265.7529136243752</v>
      </c>
      <c r="DO110" s="30">
        <f t="shared" si="119"/>
        <v>0</v>
      </c>
      <c r="DP110" s="316">
        <f t="shared" si="101"/>
        <v>2265.7529136243752</v>
      </c>
      <c r="DQ110" s="104"/>
      <c r="DR110" s="30">
        <f>VLOOKUP(A110,'ДЗ нас '!$A$1:$C$359,2)</f>
        <v>3662.04</v>
      </c>
      <c r="DS110" s="748"/>
      <c r="DT110" s="30">
        <f t="shared" si="102"/>
        <v>3662.04</v>
      </c>
      <c r="DU110" s="257">
        <f>VLOOKUP(A110,'новий кошторис с 01.06'!$A$4:$AI$399,35)*1.2</f>
        <v>3679.9050355236118</v>
      </c>
      <c r="DV110" s="30">
        <f t="shared" si="103"/>
        <v>-17.865035523611823</v>
      </c>
      <c r="DW110" s="930">
        <f>'[5]побудинковий звіт'!DW110+'[6]побудинковий звіт'!DW110</f>
        <v>204</v>
      </c>
      <c r="DY110" s="5">
        <f t="shared" si="104"/>
        <v>13591.679733795707</v>
      </c>
      <c r="DZ110" s="5">
        <f t="shared" si="105"/>
        <v>1230.2391746420715</v>
      </c>
      <c r="EA110" s="752">
        <f t="shared" si="110"/>
        <v>920.67000000000007</v>
      </c>
      <c r="EC110" s="592">
        <f t="shared" si="106"/>
        <v>114525.21945092667</v>
      </c>
      <c r="EE110" s="758">
        <v>6758</v>
      </c>
      <c r="EF110" s="738">
        <f t="shared" si="107"/>
        <v>-13319.324995686606</v>
      </c>
      <c r="EH110" s="813">
        <v>27967.395433550068</v>
      </c>
    </row>
    <row r="111" spans="1:138" x14ac:dyDescent="0.3">
      <c r="A111" s="328">
        <v>150000615</v>
      </c>
      <c r="B111" s="44" t="s">
        <v>561</v>
      </c>
      <c r="C111" s="45" t="s">
        <v>256</v>
      </c>
      <c r="D111" s="45" t="s">
        <v>256</v>
      </c>
      <c r="E111" s="40">
        <f t="shared" si="108"/>
        <v>453.40000000000003</v>
      </c>
      <c r="F111" s="490">
        <v>321.10000000000002</v>
      </c>
      <c r="G111" s="30"/>
      <c r="H111" s="30">
        <v>132.30000000000001</v>
      </c>
      <c r="I111" s="42">
        <f>'[1]побудинковий звіт'!I111+'[2]побудинковий звіт'!I111-'[3]побудинковий звіт'!I111</f>
        <v>9129.2264237097788</v>
      </c>
      <c r="J111" s="42">
        <f>'[1]побудинковий звіт'!J111+'[2]побудинковий звіт'!J111-'[3]побудинковий звіт'!J111</f>
        <v>9113.4658052448031</v>
      </c>
      <c r="K111" s="56">
        <f t="shared" si="66"/>
        <v>-15.760618464975778</v>
      </c>
      <c r="L111" s="42">
        <f>'[1]побудинковий звіт'!L111+'[2]побудинковий звіт'!L111-'[3]побудинковий звіт'!L111</f>
        <v>1727.144907834667</v>
      </c>
      <c r="M111" s="42">
        <f>'[1]побудинковий звіт'!M111+'[2]побудинковий звіт'!M111-'[3]побудинковий звіт'!M111</f>
        <v>1912.9280406174166</v>
      </c>
      <c r="N111" s="56">
        <f t="shared" si="67"/>
        <v>185.78313278274959</v>
      </c>
      <c r="O111" s="42">
        <f>'[1]побудинковий звіт'!O111+'[2]побудинковий звіт'!O111-'[3]побудинковий звіт'!O111</f>
        <v>3683.04</v>
      </c>
      <c r="P111" s="42">
        <f>'[1]побудинковий звіт'!P111+'[2]побудинковий звіт'!P111-'[3]побудинковий звіт'!P111</f>
        <v>2895.1016850268825</v>
      </c>
      <c r="Q111" s="56">
        <f t="shared" si="68"/>
        <v>-787.93831497311749</v>
      </c>
      <c r="R111" s="42">
        <f>'[1]побудинковий звіт'!R111+'[2]побудинковий звіт'!R111-'[3]побудинковий звіт'!R111</f>
        <v>0</v>
      </c>
      <c r="S111" s="42">
        <f>'[1]побудинковий звіт'!S111+'[2]побудинковий звіт'!S111-'[3]побудинковий звіт'!S111</f>
        <v>0</v>
      </c>
      <c r="T111" s="56">
        <f t="shared" si="69"/>
        <v>0</v>
      </c>
      <c r="U111" s="42">
        <f>'[1]побудинковий звіт'!U111+'[2]побудинковий звіт'!U111-'[3]побудинковий звіт'!U111</f>
        <v>0</v>
      </c>
      <c r="V111" s="42">
        <f>'[1]побудинковий звіт'!V111+'[2]побудинковий звіт'!V111-'[3]побудинковий звіт'!V111</f>
        <v>0</v>
      </c>
      <c r="W111" s="56">
        <f t="shared" si="70"/>
        <v>0</v>
      </c>
      <c r="X111" s="42">
        <f>'[1]побудинковий звіт'!X111+'[2]побудинковий звіт'!X111-'[3]побудинковий звіт'!X111</f>
        <v>5042.3847559313654</v>
      </c>
      <c r="Y111" s="42">
        <f>'[1]побудинковий звіт'!Y111+'[2]побудинковий звіт'!Y111-'[3]побудинковий звіт'!Y111</f>
        <v>3977.7376863765689</v>
      </c>
      <c r="Z111" s="56">
        <f t="shared" si="71"/>
        <v>-1064.6470695547964</v>
      </c>
      <c r="AA111" s="42">
        <f>'[1]побудинковий звіт'!AA111+'[2]побудинковий звіт'!AA111-'[3]побудинковий звіт'!AA111</f>
        <v>0</v>
      </c>
      <c r="AB111" s="42">
        <f>'[1]побудинковий звіт'!AB111+'[2]побудинковий звіт'!AB111-'[3]побудинковий звіт'!AB111</f>
        <v>0</v>
      </c>
      <c r="AC111" s="56">
        <f t="shared" si="72"/>
        <v>0</v>
      </c>
      <c r="AD111" s="42">
        <f>'[1]побудинковий звіт'!AD111+'[2]побудинковий звіт'!AD111-'[3]побудинковий звіт'!AD111</f>
        <v>11274.982928221025</v>
      </c>
      <c r="AE111" s="42">
        <f>'[1]побудинковий звіт'!AE111+'[2]побудинковий звіт'!AE111-'[3]побудинковий звіт'!AE111</f>
        <v>10392.059578791876</v>
      </c>
      <c r="AF111" s="37">
        <f t="shared" si="73"/>
        <v>-882.92334942914931</v>
      </c>
      <c r="AG111" s="87">
        <f t="shared" ref="AG111:AH160" si="120">I111+L111+O111+R111+U111+X111+AA111+AD111</f>
        <v>30856.779015696833</v>
      </c>
      <c r="AH111" s="57">
        <f t="shared" si="120"/>
        <v>28291.292796057547</v>
      </c>
      <c r="AI111" s="56">
        <f t="shared" si="74"/>
        <v>-2565.486219639286</v>
      </c>
      <c r="AJ111" s="42">
        <f>'[1]побудинковий звіт'!AJ111+'[2]побудинковий звіт'!AJ111-'[3]побудинковий звіт'!AJ111</f>
        <v>0</v>
      </c>
      <c r="AK111" s="42">
        <f>'[1]побудинковий звіт'!AK111+'[2]побудинковий звіт'!AK111-'[3]побудинковий звіт'!AK111</f>
        <v>0</v>
      </c>
      <c r="AL111" s="56">
        <f t="shared" si="75"/>
        <v>0</v>
      </c>
      <c r="AM111" s="42">
        <f>'[1]побудинковий звіт'!AM111+'[2]побудинковий звіт'!AM111-'[3]побудинковий звіт'!AM111</f>
        <v>0</v>
      </c>
      <c r="AN111" s="42">
        <f>'[1]побудинковий звіт'!AN111+'[2]побудинковий звіт'!AN111-'[3]побудинковий звіт'!AN111</f>
        <v>0</v>
      </c>
      <c r="AO111" s="56">
        <f t="shared" si="76"/>
        <v>0</v>
      </c>
      <c r="AP111" s="42">
        <f>'[1]побудинковий звіт'!AP111+'[2]побудинковий звіт'!AP111-'[3]побудинковий звіт'!AP111</f>
        <v>8381.1061396087989</v>
      </c>
      <c r="AQ111" s="42">
        <f>'[1]побудинковий звіт'!AQ111+'[2]побудинковий звіт'!AQ111-'[3]побудинковий звіт'!AQ111</f>
        <v>6671.8848339086253</v>
      </c>
      <c r="AR111" s="56">
        <f t="shared" si="77"/>
        <v>-1709.2213057001736</v>
      </c>
      <c r="AS111" s="42">
        <f>'[1]побудинковий звіт'!AS111+'[2]побудинковий звіт'!AS111-'[3]побудинковий звіт'!AS111</f>
        <v>20760.829840791175</v>
      </c>
      <c r="AT111" s="42">
        <f>'[1]побудинковий звіт'!AT111+'[2]побудинковий звіт'!AT111-'[3]побудинковий звіт'!AT111</f>
        <v>64594</v>
      </c>
      <c r="AU111" s="58">
        <f t="shared" si="78"/>
        <v>43833.170159208821</v>
      </c>
      <c r="AV111" s="42">
        <f>'[1]побудинковий звіт'!AV111+'[2]побудинковий звіт'!AV111-'[3]побудинковий звіт'!AV111</f>
        <v>1466.5742598894792</v>
      </c>
      <c r="AW111" s="42">
        <f>'[1]побудинковий звіт'!AW111+'[2]побудинковий звіт'!AW111-'[3]побудинковий звіт'!AW111</f>
        <v>597.16855885903601</v>
      </c>
      <c r="AX111" s="59">
        <f t="shared" si="79"/>
        <v>-869.4057010304432</v>
      </c>
      <c r="AY111" s="42">
        <f>'[1]побудинковий звіт'!AY111+'[2]побудинковий звіт'!AY111-'[3]побудинковий звіт'!AY111</f>
        <v>2225.8525564076244</v>
      </c>
      <c r="AZ111" s="42">
        <f>'[1]побудинковий звіт'!AZ111+'[2]побудинковий звіт'!AZ111-'[3]побудинковий звіт'!AZ111</f>
        <v>0</v>
      </c>
      <c r="BA111" s="37">
        <f t="shared" si="80"/>
        <v>-2225.8525564076244</v>
      </c>
      <c r="BB111" s="42">
        <f>'[1]побудинковий звіт'!BB111+'[2]побудинковий звіт'!BB111-'[3]побудинковий звіт'!BB111</f>
        <v>1882.0003370704185</v>
      </c>
      <c r="BC111" s="42">
        <f>'[1]побудинковий звіт'!BC111+'[2]побудинковий звіт'!BC111-'[3]побудинковий звіт'!BC111</f>
        <v>0</v>
      </c>
      <c r="BD111" s="59">
        <f t="shared" si="81"/>
        <v>-1882.0003370704185</v>
      </c>
      <c r="BE111" s="42">
        <f>'[1]побудинковий звіт'!BE111+'[2]побудинковий звіт'!BE111-'[3]побудинковий звіт'!BE111</f>
        <v>0</v>
      </c>
      <c r="BF111" s="42">
        <f>'[1]побудинковий звіт'!BF111+'[2]побудинковий звіт'!BF111-'[3]побудинковий звіт'!BF111</f>
        <v>0</v>
      </c>
      <c r="BG111" s="39">
        <f t="shared" si="82"/>
        <v>0</v>
      </c>
      <c r="BH111" s="42">
        <f>'[1]побудинковий звіт'!BH111+'[2]побудинковий звіт'!BH111-'[3]побудинковий звіт'!BH111</f>
        <v>0</v>
      </c>
      <c r="BI111" s="42">
        <f>'[1]побудинковий звіт'!BI111+'[2]побудинковий звіт'!BI111-'[3]побудинковий звіт'!BI111</f>
        <v>1120</v>
      </c>
      <c r="BJ111" s="59">
        <f t="shared" si="83"/>
        <v>1120</v>
      </c>
      <c r="BK111" s="42">
        <f>'[1]побудинковий звіт'!BK111+'[2]побудинковий звіт'!BK111-'[3]побудинковий звіт'!BK111</f>
        <v>649.81614847557319</v>
      </c>
      <c r="BL111" s="42">
        <f>'[1]побудинковий звіт'!BL111+'[2]побудинковий звіт'!BL111-'[3]побудинковий звіт'!BL111</f>
        <v>0</v>
      </c>
      <c r="BM111" s="39">
        <f t="shared" si="84"/>
        <v>-649.81614847557319</v>
      </c>
      <c r="BN111" s="42">
        <f>'[1]побудинковий звіт'!BN111+'[2]побудинковий звіт'!BN111-'[3]побудинковий звіт'!BN111</f>
        <v>0</v>
      </c>
      <c r="BO111" s="42">
        <f>'[1]побудинковий звіт'!BO111+'[2]побудинковий звіт'!BO111-'[3]побудинковий звіт'!BO111</f>
        <v>0</v>
      </c>
      <c r="BP111" s="59">
        <f t="shared" si="85"/>
        <v>0</v>
      </c>
      <c r="BQ111" s="87">
        <f t="shared" ref="BQ111:BQ132" si="121">AV111+AY111+BB111+BE111+BH111+BK111+BN111</f>
        <v>6224.2433018430947</v>
      </c>
      <c r="BR111" s="43">
        <f t="shared" ref="BR111:BR132" si="122">AW111+AZ111+BC111+BF111+BI111+BL111+BO111</f>
        <v>1717.168558859036</v>
      </c>
      <c r="BS111" s="59">
        <f t="shared" si="86"/>
        <v>-4507.0747429840585</v>
      </c>
      <c r="BT111" s="42">
        <f>'[1]побудинковий звіт'!BT111+'[2]побудинковий звіт'!BT111-'[3]побудинковий звіт'!BT111</f>
        <v>57441.665294424965</v>
      </c>
      <c r="BU111" s="42">
        <f>'[1]побудинковий звіт'!BU111+'[2]побудинковий звіт'!BU111-'[3]побудинковий звіт'!BU111</f>
        <v>78988.002243607232</v>
      </c>
      <c r="BV111" s="56">
        <f t="shared" si="87"/>
        <v>21546.336949182267</v>
      </c>
      <c r="BW111" s="42">
        <f>'[1]побудинковий звіт'!BW111+'[2]побудинковий звіт'!BW111-'[3]побудинковий звіт'!BW111</f>
        <v>12667.974548727438</v>
      </c>
      <c r="BX111" s="42">
        <f>'[1]побудинковий звіт'!BX111+'[2]побудинковий звіт'!BX111-'[3]побудинковий звіт'!BX111</f>
        <v>13113.833716891822</v>
      </c>
      <c r="BY111" s="56">
        <f t="shared" si="88"/>
        <v>445.85916816438476</v>
      </c>
      <c r="BZ111" s="42">
        <f>'[1]побудинковий звіт'!BZ111+'[2]побудинковий звіт'!BZ111-'[3]побудинковий звіт'!BZ111</f>
        <v>22486.125456832066</v>
      </c>
      <c r="CA111" s="42">
        <f>'[1]побудинковий звіт'!CA111+'[2]побудинковий звіт'!CA111-'[3]побудинковий звіт'!CA111</f>
        <v>18582.362081123189</v>
      </c>
      <c r="CB111" s="56">
        <f t="shared" si="89"/>
        <v>-3903.763375708877</v>
      </c>
      <c r="CC111" s="42">
        <f>'[1]побудинковий звіт'!CC111+'[2]побудинковий звіт'!CC111-'[3]побудинковий звіт'!CC111</f>
        <v>767.68592548169454</v>
      </c>
      <c r="CD111" s="42">
        <f>'[1]побудинковий звіт'!CD111+'[2]побудинковий звіт'!CD111-'[3]побудинковий звіт'!CD111</f>
        <v>760.93391072654481</v>
      </c>
      <c r="CE111" s="56">
        <f t="shared" si="90"/>
        <v>-6.7520147551497303</v>
      </c>
      <c r="CF111" s="42">
        <f>'[1]побудинковий звіт'!CF111+'[2]побудинковий звіт'!CF111-'[3]побудинковий звіт'!CF111</f>
        <v>94.506790068769249</v>
      </c>
      <c r="CG111" s="42">
        <f>'[1]побудинковий звіт'!CG111+'[2]побудинковий звіт'!CG111-'[3]побудинковий звіт'!CG111</f>
        <v>0</v>
      </c>
      <c r="CH111" s="56">
        <f t="shared" si="91"/>
        <v>-94.506790068769249</v>
      </c>
      <c r="CI111" s="42">
        <f>'[1]побудинковий звіт'!CI111+'[2]побудинковий звіт'!CI111-'[3]побудинковий звіт'!CI111</f>
        <v>2732.7586758700522</v>
      </c>
      <c r="CJ111" s="42">
        <f>'[1]побудинковий звіт'!CJ111+'[2]побудинковий звіт'!CJ111-'[3]побудинковий звіт'!CJ111</f>
        <v>1265.6166593150872</v>
      </c>
      <c r="CK111" s="56">
        <f t="shared" si="92"/>
        <v>-1467.142016554965</v>
      </c>
      <c r="CL111" s="42">
        <f>'[1]побудинковий звіт'!CL111+'[2]побудинковий звіт'!CL111-'[3]побудинковий звіт'!CL111</f>
        <v>0</v>
      </c>
      <c r="CM111" s="42">
        <f>'[1]побудинковий звіт'!CM111+'[2]побудинковий звіт'!CM111-'[3]побудинковий звіт'!CM111</f>
        <v>0</v>
      </c>
      <c r="CN111" s="56">
        <f t="shared" si="93"/>
        <v>0</v>
      </c>
      <c r="CO111" s="42">
        <f t="shared" ref="CO111:CO160" si="123">CI111+CL111</f>
        <v>2732.7586758700522</v>
      </c>
      <c r="CP111" s="43">
        <f t="shared" si="94"/>
        <v>1265.6166593150872</v>
      </c>
      <c r="CQ111" s="56">
        <f t="shared" si="95"/>
        <v>-1467.142016554965</v>
      </c>
      <c r="CR111" s="78">
        <f t="shared" ref="CR111:CS160" si="124">AG111+AJ111+AM111+AP111+AS111+BQ111+BT111+BW111+BZ111+CC111+CF111+CO111</f>
        <v>162413.67498934487</v>
      </c>
      <c r="CS111" s="5">
        <f t="shared" si="124"/>
        <v>213985.09480048911</v>
      </c>
      <c r="CT111" s="56">
        <f t="shared" si="96"/>
        <v>51571.419811144238</v>
      </c>
      <c r="CU111" s="87">
        <f t="shared" si="97"/>
        <v>194896.40998721385</v>
      </c>
      <c r="CV111" s="70">
        <f t="shared" si="98"/>
        <v>256782.11376058692</v>
      </c>
      <c r="CW111" s="37">
        <f t="shared" si="99"/>
        <v>61885.703773373069</v>
      </c>
      <c r="CX111" s="42">
        <f>'[1]побудинковий звіт'!CX111+'[2]побудинковий звіт'!CX111-'[3]побудинковий звіт'!CX111</f>
        <v>64.650012786189109</v>
      </c>
      <c r="CY111" s="42">
        <f>'[1]побудинковий звіт'!CY111+'[2]побудинковий звіт'!CY111-'[3]побудинковий звіт'!CY111</f>
        <v>-61821.053760586903</v>
      </c>
      <c r="CZ111" s="56">
        <f t="shared" si="100"/>
        <v>-61885.70377337309</v>
      </c>
      <c r="DA111" s="264">
        <f>'[4]побудинковий звіт'!DA111</f>
        <v>-13691.812068809828</v>
      </c>
      <c r="DB111" s="2">
        <v>2</v>
      </c>
      <c r="DC111" s="717">
        <f>'[4]побудинковий звіт'!DC111</f>
        <v>72575.33</v>
      </c>
      <c r="DD111" s="717">
        <f>'[4]побудинковий звіт'!DD111</f>
        <v>604.36</v>
      </c>
      <c r="DE111" s="717">
        <f>'[4]побудинковий звіт'!DE111</f>
        <v>57075.76</v>
      </c>
      <c r="DF111" s="717">
        <f>'[4]побудинковий звіт'!DF111</f>
        <v>-146.94999999999993</v>
      </c>
      <c r="DG111" s="787">
        <v>-67024.416049397201</v>
      </c>
      <c r="DH111" s="761">
        <f t="shared" si="109"/>
        <v>2339532.7200000002</v>
      </c>
      <c r="DI111" s="784"/>
      <c r="DJ111" s="5"/>
      <c r="DK111" s="317">
        <f>VLOOKUP($A111,ціни!$A$4:$G$401,5)</f>
        <v>6.184618749980368</v>
      </c>
      <c r="DL111" s="317"/>
      <c r="DM111" s="317">
        <f>VLOOKUP($A111,ціни!$A$4:$G$401,7)</f>
        <v>5.6788324379905797</v>
      </c>
      <c r="DN111" s="30">
        <f t="shared" si="117"/>
        <v>1985.8810806186964</v>
      </c>
      <c r="DO111" s="30">
        <f t="shared" si="119"/>
        <v>751.30953154615372</v>
      </c>
      <c r="DP111" s="316">
        <f t="shared" si="101"/>
        <v>2737.1906121648499</v>
      </c>
      <c r="DQ111" s="104"/>
      <c r="DR111" s="30">
        <f>VLOOKUP(A111,'ДЗ нас '!$A$1:$C$359,2)</f>
        <v>15499.57</v>
      </c>
      <c r="DS111" s="748">
        <f>VLOOKUP(A111,'ДЗ нежит'!$A$1:$D$153,4,0)</f>
        <v>751.31</v>
      </c>
      <c r="DT111" s="30">
        <f t="shared" si="102"/>
        <v>16250.88</v>
      </c>
      <c r="DU111" s="257">
        <f>VLOOKUP(A111,'новий кошторис с 01.06'!$A$4:$AI$399,35)*1.2</f>
        <v>16241.367498934484</v>
      </c>
      <c r="DV111" s="30">
        <f t="shared" si="103"/>
        <v>9.5125010655156075</v>
      </c>
      <c r="DW111" s="930">
        <f>'[5]побудинковий звіт'!DW111+'[6]побудинковий звіт'!DW111</f>
        <v>236</v>
      </c>
      <c r="DY111" s="5">
        <f t="shared" si="104"/>
        <v>32382.087771161121</v>
      </c>
      <c r="DZ111" s="5">
        <f t="shared" si="105"/>
        <v>79573.402270630831</v>
      </c>
      <c r="EA111" s="752">
        <f t="shared" si="110"/>
        <v>56928.810000000005</v>
      </c>
      <c r="EC111" s="592">
        <f t="shared" si="106"/>
        <v>249129.95808949409</v>
      </c>
      <c r="EE111" s="758">
        <v>59782</v>
      </c>
      <c r="EF111" s="738">
        <f t="shared" si="107"/>
        <v>-7242.4160493972013</v>
      </c>
      <c r="EH111" s="813">
        <v>-3843.9994717056252</v>
      </c>
    </row>
    <row r="112" spans="1:138" x14ac:dyDescent="0.3">
      <c r="A112" s="328">
        <v>150000616</v>
      </c>
      <c r="B112" s="44" t="s">
        <v>562</v>
      </c>
      <c r="C112" s="45" t="s">
        <v>257</v>
      </c>
      <c r="D112" s="45" t="s">
        <v>257</v>
      </c>
      <c r="E112" s="40">
        <f t="shared" si="108"/>
        <v>774.3</v>
      </c>
      <c r="F112" s="490">
        <v>685.8</v>
      </c>
      <c r="G112" s="30"/>
      <c r="H112" s="30">
        <v>88.5</v>
      </c>
      <c r="I112" s="42">
        <f>'[1]побудинковий звіт'!I112+'[2]побудинковий звіт'!I112-'[3]побудинковий звіт'!I112</f>
        <v>6169.8077255985445</v>
      </c>
      <c r="J112" s="42">
        <f>'[1]побудинковий звіт'!J112+'[2]побудинковий звіт'!J112-'[3]побудинковий звіт'!J112</f>
        <v>6162.3268644123391</v>
      </c>
      <c r="K112" s="56">
        <f t="shared" ref="K112:K161" si="125">J112-I112</f>
        <v>-7.4808611862054022</v>
      </c>
      <c r="L112" s="42">
        <f>'[1]побудинковий звіт'!L112+'[2]побудинковий звіт'!L112-'[3]побудинковий звіт'!L112</f>
        <v>1166.4230722268235</v>
      </c>
      <c r="M112" s="42">
        <f>'[1]побудинковий звіт'!M112+'[2]побудинковий звіт'!M112-'[3]побудинковий звіт'!M112</f>
        <v>1430.332572337428</v>
      </c>
      <c r="N112" s="56">
        <f t="shared" ref="N112:N161" si="126">M112-L112</f>
        <v>263.90950011060454</v>
      </c>
      <c r="O112" s="42">
        <f>'[1]побудинковий звіт'!O112+'[2]побудинковий звіт'!O112-'[3]побудинковий звіт'!O112</f>
        <v>2465.52</v>
      </c>
      <c r="P112" s="42">
        <f>'[1]побудинковий звіт'!P112+'[2]побудинковий звіт'!P112-'[3]побудинковий звіт'!P112</f>
        <v>1938.085187096774</v>
      </c>
      <c r="Q112" s="56">
        <f t="shared" ref="Q112:Q161" si="127">P112-O112</f>
        <v>-527.43481290322597</v>
      </c>
      <c r="R112" s="42">
        <f>'[1]побудинковий звіт'!R112+'[2]побудинковий звіт'!R112-'[3]побудинковий звіт'!R112</f>
        <v>0</v>
      </c>
      <c r="S112" s="42">
        <f>'[1]побудинковий звіт'!S112+'[2]побудинковий звіт'!S112-'[3]побудинковий звіт'!S112</f>
        <v>0</v>
      </c>
      <c r="T112" s="56">
        <f t="shared" ref="T112:T161" si="128">S112-R112</f>
        <v>0</v>
      </c>
      <c r="U112" s="42">
        <f>'[1]побудинковий звіт'!U112+'[2]побудинковий звіт'!U112-'[3]побудинковий звіт'!U112</f>
        <v>0</v>
      </c>
      <c r="V112" s="42">
        <f>'[1]побудинковий звіт'!V112+'[2]побудинковий звіт'!V112-'[3]побудинковий звіт'!V112</f>
        <v>0</v>
      </c>
      <c r="W112" s="56">
        <f t="shared" ref="W112:W161" si="129">V112-U112</f>
        <v>0</v>
      </c>
      <c r="X112" s="42">
        <f>'[1]побудинковий звіт'!X112+'[2]побудинковий звіт'!X112-'[3]побудинковий звіт'!X112</f>
        <v>3304.7073917917305</v>
      </c>
      <c r="Y112" s="42">
        <f>'[1]побудинковий звіт'!Y112+'[2]побудинковий звіт'!Y112-'[3]побудинковий звіт'!Y112</f>
        <v>2502.9169629105481</v>
      </c>
      <c r="Z112" s="56">
        <f t="shared" ref="Z112:Z161" si="130">Y112-X112</f>
        <v>-801.79042888118238</v>
      </c>
      <c r="AA112" s="42">
        <f>'[1]побудинковий звіт'!AA112+'[2]побудинковий звіт'!AA112-'[3]побудинковий звіт'!AA112</f>
        <v>0</v>
      </c>
      <c r="AB112" s="42">
        <f>'[1]побудинковий звіт'!AB112+'[2]побудинковий звіт'!AB112-'[3]побудинковий звіт'!AB112</f>
        <v>0</v>
      </c>
      <c r="AC112" s="56">
        <f t="shared" ref="AC112:AC161" si="131">AB112-AA112</f>
        <v>0</v>
      </c>
      <c r="AD112" s="42">
        <f>'[1]побудинковий звіт'!AD112+'[2]побудинковий звіт'!AD112-'[3]побудинковий звіт'!AD112</f>
        <v>7714.8828353600202</v>
      </c>
      <c r="AE112" s="42">
        <f>'[1]побудинковий звіт'!AE112+'[2]побудинковий звіт'!AE112-'[3]побудинковий звіт'!AE112</f>
        <v>7459.5351021994975</v>
      </c>
      <c r="AF112" s="37">
        <f t="shared" ref="AF112:AF161" si="132">AE112-AD112</f>
        <v>-255.34773316052269</v>
      </c>
      <c r="AG112" s="87">
        <f t="shared" si="120"/>
        <v>20821.341024977119</v>
      </c>
      <c r="AH112" s="57">
        <f t="shared" si="120"/>
        <v>19493.196688956588</v>
      </c>
      <c r="AI112" s="56">
        <f t="shared" ref="AI112:AI161" si="133">AH112-AG112</f>
        <v>-1328.1443360205303</v>
      </c>
      <c r="AJ112" s="42">
        <f>'[1]побудинковий звіт'!AJ112+'[2]побудинковий звіт'!AJ112-'[3]побудинковий звіт'!AJ112</f>
        <v>0</v>
      </c>
      <c r="AK112" s="42">
        <f>'[1]побудинковий звіт'!AK112+'[2]побудинковий звіт'!AK112-'[3]побудинковий звіт'!AK112</f>
        <v>0</v>
      </c>
      <c r="AL112" s="56">
        <f t="shared" ref="AL112:AL161" si="134">AK112-AJ112</f>
        <v>0</v>
      </c>
      <c r="AM112" s="42">
        <f>'[1]побудинковий звіт'!AM112+'[2]побудинковий звіт'!AM112-'[3]побудинковий звіт'!AM112</f>
        <v>0</v>
      </c>
      <c r="AN112" s="42">
        <f>'[1]побудинковий звіт'!AN112+'[2]побудинковий звіт'!AN112-'[3]побудинковий звіт'!AN112</f>
        <v>0</v>
      </c>
      <c r="AO112" s="56">
        <f t="shared" ref="AO112:AO161" si="135">AN112-AM112</f>
        <v>0</v>
      </c>
      <c r="AP112" s="42">
        <f>'[1]побудинковий звіт'!AP112+'[2]побудинковий звіт'!AP112-'[3]побудинковий звіт'!AP112</f>
        <v>5255.9479180597573</v>
      </c>
      <c r="AQ112" s="42">
        <f>'[1]побудинковий звіт'!AQ112+'[2]побудинковий звіт'!AQ112-'[3]побудинковий звіт'!AQ112</f>
        <v>4258.6875093137796</v>
      </c>
      <c r="AR112" s="56">
        <f t="shared" ref="AR112:AR161" si="136">AQ112-AP112</f>
        <v>-997.26040874597766</v>
      </c>
      <c r="AS112" s="42">
        <f>'[1]побудинковий звіт'!AS112+'[2]побудинковий звіт'!AS112-'[3]побудинковий звіт'!AS112</f>
        <v>20051.744600658814</v>
      </c>
      <c r="AT112" s="42">
        <f>'[1]побудинковий звіт'!AT112+'[2]побудинковий звіт'!AT112-'[3]побудинковий звіт'!AT112</f>
        <v>2088.7110114968668</v>
      </c>
      <c r="AU112" s="58">
        <f t="shared" si="78"/>
        <v>-17963.033589161947</v>
      </c>
      <c r="AV112" s="42">
        <f>'[1]побудинковий звіт'!AV112+'[2]побудинковий звіт'!AV112-'[3]побудинковий звіт'!AV112</f>
        <v>1018.7425463430262</v>
      </c>
      <c r="AW112" s="42">
        <f>'[1]побудинковий звіт'!AW112+'[2]побудинковий звіт'!AW112-'[3]побудинковий звіт'!AW112</f>
        <v>0</v>
      </c>
      <c r="AX112" s="59">
        <f t="shared" si="79"/>
        <v>-1018.7425463430262</v>
      </c>
      <c r="AY112" s="42">
        <f>'[1]побудинковий звіт'!AY112+'[2]побудинковий звіт'!AY112-'[3]побудинковий звіт'!AY112</f>
        <v>1503.4989161478395</v>
      </c>
      <c r="AZ112" s="42">
        <f>'[1]побудинковий звіт'!AZ112+'[2]побудинковий звіт'!AZ112-'[3]побудинковий звіт'!AZ112</f>
        <v>0</v>
      </c>
      <c r="BA112" s="37">
        <f t="shared" si="80"/>
        <v>-1503.4989161478395</v>
      </c>
      <c r="BB112" s="42">
        <f>'[1]побудинковий звіт'!BB112+'[2]побудинковий звіт'!BB112-'[3]побудинковий звіт'!BB112</f>
        <v>1443.9845843902519</v>
      </c>
      <c r="BC112" s="42">
        <f>'[1]побудинковий звіт'!BC112+'[2]побудинковий звіт'!BC112-'[3]побудинковий звіт'!BC112</f>
        <v>1825</v>
      </c>
      <c r="BD112" s="59">
        <f t="shared" si="81"/>
        <v>381.01541560974806</v>
      </c>
      <c r="BE112" s="42">
        <f>'[1]побудинковий звіт'!BE112+'[2]побудинковий звіт'!BE112-'[3]побудинковий звіт'!BE112</f>
        <v>0</v>
      </c>
      <c r="BF112" s="42">
        <f>'[1]побудинковий звіт'!BF112+'[2]побудинковий звіт'!BF112-'[3]побудинковий звіт'!BF112</f>
        <v>0</v>
      </c>
      <c r="BG112" s="39">
        <f t="shared" si="82"/>
        <v>0</v>
      </c>
      <c r="BH112" s="42">
        <f>'[1]побудинковий звіт'!BH112+'[2]побудинковий звіт'!BH112-'[3]побудинковий звіт'!BH112</f>
        <v>0</v>
      </c>
      <c r="BI112" s="42">
        <f>'[1]побудинковий звіт'!BI112+'[2]побудинковий звіт'!BI112-'[3]побудинковий звіт'!BI112</f>
        <v>510</v>
      </c>
      <c r="BJ112" s="59">
        <f t="shared" si="83"/>
        <v>510</v>
      </c>
      <c r="BK112" s="42">
        <f>'[1]побудинковий звіт'!BK112+'[2]побудинковий звіт'!BK112-'[3]побудинковий звіт'!BK112</f>
        <v>418.16606863024731</v>
      </c>
      <c r="BL112" s="42">
        <f>'[1]побудинковий звіт'!BL112+'[2]побудинковий звіт'!BL112-'[3]побудинковий звіт'!BL112</f>
        <v>0</v>
      </c>
      <c r="BM112" s="39">
        <f t="shared" si="84"/>
        <v>-418.16606863024731</v>
      </c>
      <c r="BN112" s="42">
        <f>'[1]побудинковий звіт'!BN112+'[2]побудинковий звіт'!BN112-'[3]побудинковий звіт'!BN112</f>
        <v>0</v>
      </c>
      <c r="BO112" s="42">
        <f>'[1]побудинковий звіт'!BO112+'[2]побудинковий звіт'!BO112-'[3]побудинковий звіт'!BO112</f>
        <v>0</v>
      </c>
      <c r="BP112" s="59">
        <f t="shared" si="85"/>
        <v>0</v>
      </c>
      <c r="BQ112" s="87">
        <f t="shared" si="121"/>
        <v>4384.3921155113649</v>
      </c>
      <c r="BR112" s="43">
        <f t="shared" si="122"/>
        <v>2335</v>
      </c>
      <c r="BS112" s="59">
        <f t="shared" si="86"/>
        <v>-2049.3921155113649</v>
      </c>
      <c r="BT112" s="42">
        <f>'[1]побудинковий звіт'!BT112+'[2]побудинковий звіт'!BT112-'[3]побудинковий звіт'!BT112</f>
        <v>20730.490284603668</v>
      </c>
      <c r="BU112" s="42">
        <f>'[1]побудинковий звіт'!BU112+'[2]побудинковий звіт'!BU112-'[3]побудинковий звіт'!BU112</f>
        <v>26324.229610584058</v>
      </c>
      <c r="BV112" s="56">
        <f t="shared" ref="BV112:BV161" si="137">BU112-BT112</f>
        <v>5593.7393259803903</v>
      </c>
      <c r="BW112" s="42">
        <f>'[1]побудинковий звіт'!BW112+'[2]побудинковий звіт'!BW112-'[3]побудинковий звіт'!BW112</f>
        <v>8183.4669796331455</v>
      </c>
      <c r="BX112" s="42">
        <f>'[1]побудинковий звіт'!BX112+'[2]побудинковий звіт'!BX112-'[3]побудинковий звіт'!BX112</f>
        <v>8587.5833273942953</v>
      </c>
      <c r="BY112" s="56">
        <f t="shared" ref="BY112:BY161" si="138">BX112-BW112</f>
        <v>404.11634776114988</v>
      </c>
      <c r="BZ112" s="42">
        <f>'[1]побудинковий звіт'!BZ112+'[2]побудинковий звіт'!BZ112-'[3]побудинковий звіт'!BZ112</f>
        <v>6786.4921253737393</v>
      </c>
      <c r="CA112" s="42">
        <f>'[1]побудинковий звіт'!CA112+'[2]побудинковий звіт'!CA112-'[3]побудинковий звіт'!CA112</f>
        <v>8668.962825267372</v>
      </c>
      <c r="CB112" s="56">
        <f t="shared" ref="CB112:CB161" si="139">CA112-BZ112</f>
        <v>1882.4706998936326</v>
      </c>
      <c r="CC112" s="42">
        <f>'[1]побудинковий звіт'!CC112+'[2]побудинковий звіт'!CC112-'[3]побудинковий звіт'!CC112</f>
        <v>617.67833084734048</v>
      </c>
      <c r="CD112" s="42">
        <f>'[1]побудинковий звіт'!CD112+'[2]побудинковий звіт'!CD112-'[3]побудинковий звіт'!CD112</f>
        <v>612.2456752972198</v>
      </c>
      <c r="CE112" s="56">
        <f t="shared" ref="CE112:CE161" si="140">CD112-CC112</f>
        <v>-5.4326555501206713</v>
      </c>
      <c r="CF112" s="42">
        <f>'[1]побудинковий звіт'!CF112+'[2]побудинковий звіт'!CF112-'[3]побудинковий звіт'!CF112</f>
        <v>76.039946032343053</v>
      </c>
      <c r="CG112" s="42">
        <f>'[1]побудинковий звіт'!CG112+'[2]побудинковий звіт'!CG112-'[3]побудинковий звіт'!CG112</f>
        <v>0</v>
      </c>
      <c r="CH112" s="56">
        <f t="shared" ref="CH112:CH161" si="141">CG112-CF112</f>
        <v>-76.039946032343053</v>
      </c>
      <c r="CI112" s="42">
        <f>'[1]побудинковий звіт'!CI112+'[2]побудинковий звіт'!CI112-'[3]побудинковий звіт'!CI112</f>
        <v>917.15873368241455</v>
      </c>
      <c r="CJ112" s="42">
        <f>'[1]побудинковий звіт'!CJ112+'[2]побудинковий звіт'!CJ112-'[3]побудинковий звіт'!CJ112</f>
        <v>375.30460600487686</v>
      </c>
      <c r="CK112" s="56">
        <f t="shared" ref="CK112:CK161" si="142">CJ112-CI112</f>
        <v>-541.85412767753769</v>
      </c>
      <c r="CL112" s="42">
        <f>'[1]побудинковий звіт'!CL112+'[2]побудинковий звіт'!CL112-'[3]побудинковий звіт'!CL112</f>
        <v>0</v>
      </c>
      <c r="CM112" s="42">
        <f>'[1]побудинковий звіт'!CM112+'[2]побудинковий звіт'!CM112-'[3]побудинковий звіт'!CM112</f>
        <v>0</v>
      </c>
      <c r="CN112" s="56">
        <f t="shared" ref="CN112:CN161" si="143">CM112-CL112</f>
        <v>0</v>
      </c>
      <c r="CO112" s="42">
        <f t="shared" si="123"/>
        <v>917.15873368241455</v>
      </c>
      <c r="CP112" s="43">
        <f t="shared" ref="CP112:CP161" si="144">CJ112+CM112</f>
        <v>375.30460600487686</v>
      </c>
      <c r="CQ112" s="56">
        <f t="shared" ref="CQ112:CQ161" si="145">CP112-CO112</f>
        <v>-541.85412767753769</v>
      </c>
      <c r="CR112" s="78">
        <f t="shared" si="124"/>
        <v>87824.752059379694</v>
      </c>
      <c r="CS112" s="5">
        <f t="shared" si="124"/>
        <v>72743.921254315064</v>
      </c>
      <c r="CT112" s="56">
        <f t="shared" ref="CT112:CT161" si="146">CS112-CR112</f>
        <v>-15080.83080506463</v>
      </c>
      <c r="CU112" s="87">
        <f t="shared" ref="CU112:CU161" si="147">CR112*1.2</f>
        <v>105389.70247125563</v>
      </c>
      <c r="CV112" s="70">
        <f t="shared" ref="CV112:CV161" si="148">CS112*1.2</f>
        <v>87292.705505178077</v>
      </c>
      <c r="CW112" s="37">
        <f t="shared" ref="CW112:CW161" si="149">CV112-CU112</f>
        <v>-18096.996966077553</v>
      </c>
      <c r="CX112" s="42">
        <f>'[1]побудинковий звіт'!CX112+'[2]побудинковий звіт'!CX112-'[3]побудинковий звіт'!CX112</f>
        <v>6889.737528744372</v>
      </c>
      <c r="CY112" s="42">
        <f>'[1]побудинковий звіт'!CY112+'[2]побудинковий звіт'!CY112-'[3]побудинковий звіт'!CY112</f>
        <v>24986.734494821947</v>
      </c>
      <c r="CZ112" s="56">
        <f t="shared" ref="CZ112:CZ161" si="150">CY112-CX112</f>
        <v>18096.996966077575</v>
      </c>
      <c r="DA112" s="264">
        <f>'[4]побудинковий звіт'!DA112</f>
        <v>-5311.5760233568471</v>
      </c>
      <c r="DB112" s="2">
        <v>2</v>
      </c>
      <c r="DC112" s="717">
        <f>'[4]побудинковий звіт'!DC112</f>
        <v>43659.44</v>
      </c>
      <c r="DD112" s="717">
        <f>'[4]побудинковий звіт'!DD112</f>
        <v>1071.52</v>
      </c>
      <c r="DE112" s="717">
        <f>'[4]побудинковий звіт'!DE112</f>
        <v>34701.270000000004</v>
      </c>
      <c r="DF112" s="717">
        <f>'[4]побудинковий звіт'!DF112</f>
        <v>673.06999999999994</v>
      </c>
      <c r="DG112" s="787">
        <v>21990.530605615175</v>
      </c>
      <c r="DH112" s="761">
        <f t="shared" si="109"/>
        <v>1347353.28</v>
      </c>
      <c r="DI112" s="784"/>
      <c r="DJ112" s="5"/>
      <c r="DK112" s="317">
        <f>VLOOKUP($A112,ціни!$A$4:$G$401,5)</f>
        <v>4.9648754143195308</v>
      </c>
      <c r="DL112" s="317"/>
      <c r="DM112" s="317">
        <f>VLOOKUP($A112,ціни!$A$4:$G$401,7)</f>
        <v>4.5022507776612253</v>
      </c>
      <c r="DN112" s="30">
        <f t="shared" si="117"/>
        <v>3404.9115591403338</v>
      </c>
      <c r="DO112" s="30">
        <f t="shared" si="119"/>
        <v>398.44919382301845</v>
      </c>
      <c r="DP112" s="316">
        <f t="shared" si="101"/>
        <v>3803.3607529633523</v>
      </c>
      <c r="DQ112" s="104"/>
      <c r="DR112" s="30">
        <f>VLOOKUP(A112,'ДЗ нас '!$A$1:$C$359,2)</f>
        <v>8958.17</v>
      </c>
      <c r="DS112" s="748">
        <f>VLOOKUP(A112,'ДЗ нежит'!$A$1:$D$153,4,0)</f>
        <v>398.45</v>
      </c>
      <c r="DT112" s="30">
        <f t="shared" si="102"/>
        <v>9356.6200000000008</v>
      </c>
      <c r="DU112" s="257">
        <f>VLOOKUP(A112,'новий кошторис с 01.06'!$A$4:$AI$399,35)*1.2</f>
        <v>8993.25461088048</v>
      </c>
      <c r="DV112" s="30">
        <f t="shared" si="103"/>
        <v>363.36538911952084</v>
      </c>
      <c r="DW112" s="930">
        <f>'[5]побудинковий звіт'!DW112+'[6]побудинковий звіт'!DW112</f>
        <v>236</v>
      </c>
      <c r="DY112" s="5">
        <f t="shared" si="104"/>
        <v>29323.364059404212</v>
      </c>
      <c r="DZ112" s="5">
        <f t="shared" si="105"/>
        <v>5308.4532137962406</v>
      </c>
      <c r="EA112" s="752">
        <f t="shared" si="110"/>
        <v>35374.340000000004</v>
      </c>
      <c r="EC112" s="592">
        <f t="shared" si="106"/>
        <v>240620.93520790577</v>
      </c>
      <c r="EE112" s="758">
        <v>11223</v>
      </c>
      <c r="EF112" s="738">
        <f t="shared" si="107"/>
        <v>33213.530605615175</v>
      </c>
      <c r="EH112" s="813">
        <v>11981.466081724222</v>
      </c>
    </row>
    <row r="113" spans="1:138" x14ac:dyDescent="0.3">
      <c r="A113" s="328">
        <v>150000618</v>
      </c>
      <c r="B113" s="44" t="s">
        <v>563</v>
      </c>
      <c r="C113" s="45" t="s">
        <v>416</v>
      </c>
      <c r="D113" s="45" t="s">
        <v>416</v>
      </c>
      <c r="E113" s="40">
        <f t="shared" si="108"/>
        <v>699</v>
      </c>
      <c r="F113" s="490">
        <v>699</v>
      </c>
      <c r="G113" s="30">
        <v>271.5</v>
      </c>
      <c r="H113" s="30">
        <v>0</v>
      </c>
      <c r="I113" s="42">
        <f>'[1]побудинковий звіт'!I113+'[2]побудинковий звіт'!I113-'[3]побудинковий звіт'!I113</f>
        <v>8171.0688174275092</v>
      </c>
      <c r="J113" s="42">
        <f>'[1]побудинковий звіт'!J113+'[2]побудинковий звіт'!J113-'[3]побудинковий звіт'!J113</f>
        <v>8205.0026021634731</v>
      </c>
      <c r="K113" s="56">
        <f t="shared" si="125"/>
        <v>33.933784735963854</v>
      </c>
      <c r="L113" s="42">
        <f>'[1]побудинковий звіт'!L113+'[2]побудинковий звіт'!L113-'[3]побудинковий звіт'!L113</f>
        <v>1275.9049676366142</v>
      </c>
      <c r="M113" s="42">
        <f>'[1]побудинковий звіт'!M113+'[2]побудинковий звіт'!M113-'[3]побудинковий звіт'!M113</f>
        <v>1287.3320971967069</v>
      </c>
      <c r="N113" s="56">
        <f t="shared" si="126"/>
        <v>11.427129560092681</v>
      </c>
      <c r="O113" s="42">
        <f>'[1]побудинковий звіт'!O113+'[2]побудинковий звіт'!O113-'[3]побудинковий звіт'!O113</f>
        <v>4081.4399999999996</v>
      </c>
      <c r="P113" s="42">
        <f>'[1]побудинковий звіт'!P113+'[2]побудинковий звіт'!P113-'[3]побудинковий звіт'!P113</f>
        <v>3207.9763994623654</v>
      </c>
      <c r="Q113" s="56">
        <f t="shared" si="127"/>
        <v>-873.46360053763419</v>
      </c>
      <c r="R113" s="42">
        <f>'[1]побудинковий звіт'!R113+'[2]побудинковий звіт'!R113-'[3]побудинковий звіт'!R113</f>
        <v>840</v>
      </c>
      <c r="S113" s="42">
        <f>'[1]побудинковий звіт'!S113+'[2]побудинковий звіт'!S113-'[3]побудинковий звіт'!S113</f>
        <v>660.21896451612906</v>
      </c>
      <c r="T113" s="56">
        <f t="shared" si="128"/>
        <v>-179.78103548387094</v>
      </c>
      <c r="U113" s="42">
        <f>'[1]побудинковий звіт'!U113+'[2]побудинковий звіт'!U113-'[3]побудинковий звіт'!U113</f>
        <v>416.79730082204867</v>
      </c>
      <c r="V113" s="42">
        <f>'[1]побудинковий звіт'!V113+'[2]побудинковий звіт'!V113-'[3]побудинковий звіт'!V113</f>
        <v>1175.3206398348664</v>
      </c>
      <c r="W113" s="56">
        <f t="shared" si="129"/>
        <v>758.5233390128177</v>
      </c>
      <c r="X113" s="42">
        <f>'[1]побудинковий звіт'!X113+'[2]побудинковий звіт'!X113-'[3]побудинковий звіт'!X113</f>
        <v>3680.9676571747582</v>
      </c>
      <c r="Y113" s="42">
        <f>'[1]побудинковий звіт'!Y113+'[2]побудинковий звіт'!Y113-'[3]побудинковий звіт'!Y113</f>
        <v>2707.8181384613931</v>
      </c>
      <c r="Z113" s="56">
        <f t="shared" si="130"/>
        <v>-973.14951871336507</v>
      </c>
      <c r="AA113" s="42">
        <f>'[1]побудинковий звіт'!AA113+'[2]побудинковий звіт'!AA113-'[3]побудинковий звіт'!AA113</f>
        <v>0</v>
      </c>
      <c r="AB113" s="42">
        <f>'[1]побудинковий звіт'!AB113+'[2]побудинковий звіт'!AB113-'[3]побудинковий звіт'!AB113</f>
        <v>0</v>
      </c>
      <c r="AC113" s="56">
        <f t="shared" si="131"/>
        <v>0</v>
      </c>
      <c r="AD113" s="42">
        <f>'[1]побудинковий звіт'!AD113+'[2]побудинковий звіт'!AD113-'[3]побудинковий звіт'!AD113</f>
        <v>11733.736893418481</v>
      </c>
      <c r="AE113" s="42">
        <f>'[1]побудинковий звіт'!AE113+'[2]побудинковий звіт'!AE113-'[3]побудинковий звіт'!AE113</f>
        <v>10853.789127888445</v>
      </c>
      <c r="AF113" s="37">
        <f t="shared" si="132"/>
        <v>-879.94776553003612</v>
      </c>
      <c r="AG113" s="87">
        <f t="shared" si="120"/>
        <v>30199.915636479411</v>
      </c>
      <c r="AH113" s="57">
        <f t="shared" si="120"/>
        <v>28097.457969523381</v>
      </c>
      <c r="AI113" s="56">
        <f t="shared" si="133"/>
        <v>-2102.4576669560302</v>
      </c>
      <c r="AJ113" s="42">
        <f>'[1]побудинковий звіт'!AJ113+'[2]побудинковий звіт'!AJ113-'[3]побудинковий звіт'!AJ113</f>
        <v>17862.802759636503</v>
      </c>
      <c r="AK113" s="42">
        <f>'[1]побудинковий звіт'!AK113+'[2]побудинковий звіт'!AK113-'[3]побудинковий звіт'!AK113</f>
        <v>17705.68411685383</v>
      </c>
      <c r="AL113" s="56">
        <f t="shared" si="134"/>
        <v>-157.1186427826724</v>
      </c>
      <c r="AM113" s="42">
        <f>'[1]побудинковий звіт'!AM113+'[2]побудинковий звіт'!AM113-'[3]побудинковий звіт'!AM113</f>
        <v>0</v>
      </c>
      <c r="AN113" s="42">
        <f>'[1]побудинковий звіт'!AN113+'[2]побудинковий звіт'!AN113-'[3]побудинковий звіт'!AN113</f>
        <v>0</v>
      </c>
      <c r="AO113" s="56">
        <f t="shared" si="135"/>
        <v>0</v>
      </c>
      <c r="AP113" s="42">
        <f>'[1]побудинковий звіт'!AP113+'[2]побудинковий звіт'!AP113-'[3]побудинковий звіт'!AP113</f>
        <v>1894.0352857872997</v>
      </c>
      <c r="AQ113" s="42">
        <f>'[1]побудинковий звіт'!AQ113+'[2]побудинковий звіт'!AQ113-'[3]побудинковий звіт'!AQ113</f>
        <v>1722.6390853589799</v>
      </c>
      <c r="AR113" s="56">
        <f t="shared" si="136"/>
        <v>-171.39620042831984</v>
      </c>
      <c r="AS113" s="42">
        <f>'[1]побудинковий звіт'!AS113+'[2]побудинковий звіт'!AS113-'[3]побудинковий звіт'!AS113</f>
        <v>39527.577772903023</v>
      </c>
      <c r="AT113" s="42">
        <f>'[1]побудинковий звіт'!AT113+'[2]побудинковий звіт'!AT113-'[3]побудинковий звіт'!AT113</f>
        <v>111136</v>
      </c>
      <c r="AU113" s="58">
        <f t="shared" ref="AU113:AU162" si="151">AT113-AS113</f>
        <v>71608.422227096977</v>
      </c>
      <c r="AV113" s="42">
        <f>'[1]побудинковий звіт'!AV113+'[2]побудинковий звіт'!AV113-'[3]побудинковий звіт'!AV113</f>
        <v>631.64397880652859</v>
      </c>
      <c r="AW113" s="42">
        <f>'[1]побудинковий звіт'!AW113+'[2]побудинковий звіт'!AW113-'[3]побудинковий звіт'!AW113</f>
        <v>0</v>
      </c>
      <c r="AX113" s="59">
        <f t="shared" ref="AX113:AX162" si="152">AW113-AV113</f>
        <v>-631.64397880652859</v>
      </c>
      <c r="AY113" s="42">
        <f>'[1]побудинковий звіт'!AY113+'[2]побудинковий звіт'!AY113-'[3]побудинковий звіт'!AY113</f>
        <v>845.07220410460582</v>
      </c>
      <c r="AZ113" s="42">
        <f>'[1]побудинковий звіт'!AZ113+'[2]побудинковий звіт'!AZ113-'[3]побудинковий звіт'!AZ113</f>
        <v>0</v>
      </c>
      <c r="BA113" s="37">
        <f t="shared" ref="BA113:BA162" si="153">AZ113-AY113</f>
        <v>-845.07220410460582</v>
      </c>
      <c r="BB113" s="42">
        <f>'[1]побудинковий звіт'!BB113+'[2]побудинковий звіт'!BB113-'[3]побудинковий звіт'!BB113</f>
        <v>1035.1799582332012</v>
      </c>
      <c r="BC113" s="42">
        <f>'[1]побудинковий звіт'!BC113+'[2]побудинковий звіт'!BC113-'[3]побудинковий звіт'!BC113</f>
        <v>0</v>
      </c>
      <c r="BD113" s="59">
        <f t="shared" ref="BD113:BD162" si="154">BC113-BB113</f>
        <v>-1035.1799582332012</v>
      </c>
      <c r="BE113" s="42">
        <f>'[1]побудинковий звіт'!BE113+'[2]побудинковий звіт'!BE113-'[3]побудинковий звіт'!BE113</f>
        <v>372.18331362209653</v>
      </c>
      <c r="BF113" s="42">
        <f>'[1]побудинковий звіт'!BF113+'[2]побудинковий звіт'!BF113-'[3]побудинковий звіт'!BF113</f>
        <v>0</v>
      </c>
      <c r="BG113" s="39">
        <f t="shared" ref="BG113:BG162" si="155">BF113-BE113</f>
        <v>-372.18331362209653</v>
      </c>
      <c r="BH113" s="42">
        <f>'[1]побудинковий звіт'!BH113+'[2]побудинковий звіт'!BH113-'[3]побудинковий звіт'!BH113</f>
        <v>211.31966959543126</v>
      </c>
      <c r="BI113" s="42">
        <f>'[1]побудинковий звіт'!BI113+'[2]побудинковий звіт'!BI113-'[3]побудинковий звіт'!BI113</f>
        <v>0</v>
      </c>
      <c r="BJ113" s="59">
        <f t="shared" ref="BJ113:BJ162" si="156">BI113-BH113</f>
        <v>-211.31966959543126</v>
      </c>
      <c r="BK113" s="42">
        <f>'[1]побудинковий звіт'!BK113+'[2]побудинковий звіт'!BK113-'[3]побудинковий звіт'!BK113</f>
        <v>520.07745196582243</v>
      </c>
      <c r="BL113" s="42">
        <f>'[1]побудинковий звіт'!BL113+'[2]побудинковий звіт'!BL113-'[3]побудинковий звіт'!BL113</f>
        <v>3071</v>
      </c>
      <c r="BM113" s="39">
        <f t="shared" ref="BM113:BM162" si="157">BL113-BK113</f>
        <v>2550.9225480341775</v>
      </c>
      <c r="BN113" s="42">
        <f>'[1]побудинковий звіт'!BN113+'[2]побудинковий звіт'!BN113-'[3]побудинковий звіт'!BN113</f>
        <v>0</v>
      </c>
      <c r="BO113" s="42">
        <f>'[1]побудинковий звіт'!BO113+'[2]побудинковий звіт'!BO113-'[3]побудинковий звіт'!BO113</f>
        <v>0</v>
      </c>
      <c r="BP113" s="59">
        <f t="shared" ref="BP113:BP162" si="158">BO113-BN113</f>
        <v>0</v>
      </c>
      <c r="BQ113" s="87">
        <f t="shared" si="121"/>
        <v>3615.476576327686</v>
      </c>
      <c r="BR113" s="43">
        <f t="shared" si="122"/>
        <v>3071</v>
      </c>
      <c r="BS113" s="59">
        <f t="shared" ref="BS113:BS162" si="159">BR113-BQ113</f>
        <v>-544.47657632768596</v>
      </c>
      <c r="BT113" s="42">
        <f>'[1]побудинковий звіт'!BT113+'[2]побудинковий звіт'!BT113-'[3]побудинковий звіт'!BT113</f>
        <v>38856.045232377779</v>
      </c>
      <c r="BU113" s="42">
        <f>'[1]побудинковий звіт'!BU113+'[2]побудинковий звіт'!BU113-'[3]побудинковий звіт'!BU113</f>
        <v>41837.648706968197</v>
      </c>
      <c r="BV113" s="56">
        <f t="shared" si="137"/>
        <v>2981.603474590418</v>
      </c>
      <c r="BW113" s="42">
        <f>'[1]побудинковий звіт'!BW113+'[2]побудинковий звіт'!BW113-'[3]побудинковий звіт'!BW113</f>
        <v>30137.462441355143</v>
      </c>
      <c r="BX113" s="42">
        <f>'[1]побудинковий звіт'!BX113+'[2]побудинковий звіт'!BX113-'[3]побудинковий звіт'!BX113</f>
        <v>32486.122546565464</v>
      </c>
      <c r="BY113" s="56">
        <f t="shared" si="138"/>
        <v>2348.6601052103215</v>
      </c>
      <c r="BZ113" s="42">
        <f>'[1]побудинковий звіт'!BZ113+'[2]побудинковий звіт'!BZ113-'[3]побудинковий звіт'!BZ113</f>
        <v>3843.2357385567216</v>
      </c>
      <c r="CA113" s="42">
        <f>'[1]побудинковий звіт'!CA113+'[2]побудинковий звіт'!CA113-'[3]побудинковий звіт'!CA113</f>
        <v>9220.7308894413964</v>
      </c>
      <c r="CB113" s="56">
        <f t="shared" si="139"/>
        <v>5377.4951508846752</v>
      </c>
      <c r="CC113" s="42">
        <f>'[1]побудинковий звіт'!CC113+'[2]побудинковий звіт'!CC113-'[3]побудинковий звіт'!CC113</f>
        <v>635.3262831572647</v>
      </c>
      <c r="CD113" s="42">
        <f>'[1]побудинковий звіт'!CD113+'[2]побудинковий звіт'!CD113-'[3]побудинковий звіт'!CD113</f>
        <v>629.73840887714061</v>
      </c>
      <c r="CE113" s="56">
        <f t="shared" si="140"/>
        <v>-5.5878742801240833</v>
      </c>
      <c r="CF113" s="42">
        <f>'[1]побудинковий звіт'!CF113+'[2]побудинковий звіт'!CF113-'[3]побудинковий звіт'!CF113</f>
        <v>78.212515918981438</v>
      </c>
      <c r="CG113" s="42">
        <f>'[1]побудинковий звіт'!CG113+'[2]побудинковий звіт'!CG113-'[3]побудинковий звіт'!CG113</f>
        <v>0</v>
      </c>
      <c r="CH113" s="56">
        <f t="shared" si="141"/>
        <v>-78.212515918981438</v>
      </c>
      <c r="CI113" s="42">
        <f>'[1]побудинковий звіт'!CI113+'[2]побудинковий звіт'!CI113-'[3]побудинковий звіт'!CI113</f>
        <v>6326.5235098909388</v>
      </c>
      <c r="CJ113" s="42">
        <f>'[1]побудинковий звіт'!CJ113+'[2]побудинковий звіт'!CJ113-'[3]побудинковий звіт'!CJ113</f>
        <v>5159.4179189926635</v>
      </c>
      <c r="CK113" s="56">
        <f t="shared" si="142"/>
        <v>-1167.1055908982753</v>
      </c>
      <c r="CL113" s="42">
        <f>'[1]побудинковий звіт'!CL113+'[2]побудинковий звіт'!CL113-'[3]побудинковий звіт'!CL113</f>
        <v>4623.2287187664579</v>
      </c>
      <c r="CM113" s="42">
        <f>'[1]побудинковий звіт'!CM113+'[2]побудинковий звіт'!CM113-'[3]побудинковий звіт'!CM113</f>
        <v>5600.8208681786091</v>
      </c>
      <c r="CN113" s="56">
        <f t="shared" si="143"/>
        <v>977.59214941215123</v>
      </c>
      <c r="CO113" s="42">
        <f t="shared" si="123"/>
        <v>10949.752228657397</v>
      </c>
      <c r="CP113" s="43">
        <f t="shared" si="144"/>
        <v>10760.238787171273</v>
      </c>
      <c r="CQ113" s="56">
        <f t="shared" si="145"/>
        <v>-189.51344148612407</v>
      </c>
      <c r="CR113" s="78">
        <f t="shared" si="124"/>
        <v>177599.8424711572</v>
      </c>
      <c r="CS113" s="5">
        <f t="shared" si="124"/>
        <v>256667.26051075966</v>
      </c>
      <c r="CT113" s="56">
        <f t="shared" si="146"/>
        <v>79067.41803960246</v>
      </c>
      <c r="CU113" s="87">
        <f t="shared" si="147"/>
        <v>213119.81096538863</v>
      </c>
      <c r="CV113" s="70">
        <f t="shared" si="148"/>
        <v>308000.71261291159</v>
      </c>
      <c r="CW113" s="37">
        <f t="shared" si="149"/>
        <v>94880.901647522958</v>
      </c>
      <c r="CX113" s="42">
        <f>'[1]побудинковий звіт'!CX113+'[2]побудинковий звіт'!CX113-'[3]побудинковий звіт'!CX113</f>
        <v>12291.309034611331</v>
      </c>
      <c r="CY113" s="42">
        <f>'[1]побудинковий звіт'!CY113+'[2]побудинковий звіт'!CY113-'[3]побудинковий звіт'!CY113</f>
        <v>-82589.592612911598</v>
      </c>
      <c r="CZ113" s="56">
        <f t="shared" si="150"/>
        <v>-94880.901647522929</v>
      </c>
      <c r="DA113" s="264">
        <f>'[4]побудинковий звіт'!DA113</f>
        <v>-3117.9264191175753</v>
      </c>
      <c r="DB113" s="2">
        <v>2</v>
      </c>
      <c r="DC113" s="717">
        <f>'[4]побудинковий звіт'!DC113</f>
        <v>25853.17</v>
      </c>
      <c r="DD113" s="717">
        <f>'[4]побудинковий звіт'!DD113</f>
        <v>0</v>
      </c>
      <c r="DE113" s="717">
        <f>'[4]побудинковий звіт'!DE113</f>
        <v>7068.91</v>
      </c>
      <c r="DF113" s="717">
        <f>'[4]побудинковий звіт'!DF113</f>
        <v>0</v>
      </c>
      <c r="DG113" s="787">
        <v>-81706.40244168049</v>
      </c>
      <c r="DH113" s="761">
        <f t="shared" si="109"/>
        <v>2704933.4399999995</v>
      </c>
      <c r="DI113" s="784"/>
      <c r="DJ113" s="5"/>
      <c r="DK113" s="317">
        <f>VLOOKUP($A113,ціни!$A$4:$G$401,5)</f>
        <v>5.7372100487444637</v>
      </c>
      <c r="DL113" s="317">
        <f>VLOOKUP($A113,ціни!$A$4:$G$401,6)</f>
        <v>6.6602222196741758</v>
      </c>
      <c r="DM113" s="317">
        <f>VLOOKUP($A113,ціни!$A$4:$G$401,7)</f>
        <v>4.6225127097030141</v>
      </c>
      <c r="DN113" s="30">
        <f>DK113*G113+(F113-G113)*DL113</f>
        <v>4404.8975271448326</v>
      </c>
      <c r="DO113" s="30">
        <f>DM113*H113</f>
        <v>0</v>
      </c>
      <c r="DP113" s="316">
        <f t="shared" si="101"/>
        <v>4404.8975271448326</v>
      </c>
      <c r="DQ113" s="104"/>
      <c r="DR113" s="30">
        <f>VLOOKUP(A113,'ДЗ нас '!$A$1:$C$359,2)</f>
        <v>18784.259999999998</v>
      </c>
      <c r="DS113" s="748"/>
      <c r="DT113" s="30">
        <f t="shared" si="102"/>
        <v>18784.259999999998</v>
      </c>
      <c r="DU113" s="257">
        <f>VLOOKUP(A113,'новий кошторис с 01.06'!$A$4:$AI$399,35)*1.2</f>
        <v>18079.663963563802</v>
      </c>
      <c r="DV113" s="30">
        <f t="shared" si="103"/>
        <v>704.5960364361963</v>
      </c>
      <c r="DW113" s="930">
        <f>'[5]побудинковий звіт'!DW113+'[6]побудинковий звіт'!DW113</f>
        <v>236</v>
      </c>
      <c r="DY113" s="5">
        <f t="shared" si="104"/>
        <v>51771.665219076851</v>
      </c>
      <c r="DZ113" s="5">
        <f t="shared" si="105"/>
        <v>137048.4</v>
      </c>
      <c r="EA113" s="752">
        <f t="shared" si="110"/>
        <v>7068.91</v>
      </c>
      <c r="EC113" s="592">
        <f t="shared" si="106"/>
        <v>474330.93327483628</v>
      </c>
      <c r="EE113" s="758">
        <v>72621</v>
      </c>
      <c r="EF113" s="738">
        <f t="shared" si="107"/>
        <v>-9085.4024416804896</v>
      </c>
      <c r="EH113" s="813">
        <v>-104802.96638740896</v>
      </c>
    </row>
    <row r="114" spans="1:138" x14ac:dyDescent="0.3">
      <c r="A114" s="328">
        <v>150000619</v>
      </c>
      <c r="B114" s="44" t="s">
        <v>564</v>
      </c>
      <c r="C114" s="45" t="s">
        <v>359</v>
      </c>
      <c r="D114" s="45" t="s">
        <v>359</v>
      </c>
      <c r="E114" s="40">
        <f t="shared" si="108"/>
        <v>468.01</v>
      </c>
      <c r="F114" s="490">
        <v>468.01</v>
      </c>
      <c r="G114" s="30">
        <v>465</v>
      </c>
      <c r="H114" s="30">
        <v>0</v>
      </c>
      <c r="I114" s="42">
        <f>'[1]побудинковий звіт'!I114+'[2]побудинковий звіт'!I114-'[3]побудинковий звіт'!I114</f>
        <v>15735.050192330029</v>
      </c>
      <c r="J114" s="42">
        <f>'[1]побудинковий звіт'!J114+'[2]побудинковий звіт'!J114-'[3]побудинковий звіт'!J114</f>
        <v>15721.213015699719</v>
      </c>
      <c r="K114" s="56">
        <f t="shared" si="125"/>
        <v>-13.837176630309841</v>
      </c>
      <c r="L114" s="42">
        <f>'[1]побудинковий звіт'!L114+'[2]побудинковий звіт'!L114-'[3]побудинковий звіт'!L114</f>
        <v>2399.1318870872569</v>
      </c>
      <c r="M114" s="42">
        <f>'[1]побудинковий звіт'!M114+'[2]побудинковий звіт'!M114-'[3]побудинковий звіт'!M114</f>
        <v>2420.6142495526201</v>
      </c>
      <c r="N114" s="56">
        <f t="shared" si="126"/>
        <v>21.482362465363167</v>
      </c>
      <c r="O114" s="42">
        <f>'[1]побудинковий звіт'!O114+'[2]побудинковий звіт'!O114-'[3]побудинковий звіт'!O114</f>
        <v>6215.2800000000025</v>
      </c>
      <c r="P114" s="42">
        <f>'[1]побудинковий звіт'!P114+'[2]побудинковий звіт'!P114-'[3]побудинковий звіт'!P114</f>
        <v>4885.3660102150543</v>
      </c>
      <c r="Q114" s="56">
        <f t="shared" si="127"/>
        <v>-1329.9139897849482</v>
      </c>
      <c r="R114" s="42">
        <f>'[1]побудинковий звіт'!R114+'[2]побудинковий звіт'!R114-'[3]побудинковий звіт'!R114</f>
        <v>1388.2800000000002</v>
      </c>
      <c r="S114" s="42">
        <f>'[1]побудинковий звіт'!S114+'[2]побудинковий звіт'!S114-'[3]побудинковий звіт'!S114</f>
        <v>1091.0416741935485</v>
      </c>
      <c r="T114" s="56">
        <f t="shared" si="128"/>
        <v>-297.23832580645171</v>
      </c>
      <c r="U114" s="42">
        <f>'[1]побудинковий звіт'!U114+'[2]побудинковий звіт'!U114-'[3]побудинковий звіт'!U114</f>
        <v>780.05784393801946</v>
      </c>
      <c r="V114" s="42">
        <f>'[1]побудинковий звіт'!V114+'[2]побудинковий звіт'!V114-'[3]побудинковий звіт'!V114</f>
        <v>2178.5378872646556</v>
      </c>
      <c r="W114" s="56">
        <f t="shared" si="129"/>
        <v>1398.4800433266362</v>
      </c>
      <c r="X114" s="42">
        <f>'[1]побудинковий звіт'!X114+'[2]побудинковий звіт'!X114-'[3]побудинковий звіт'!X114</f>
        <v>6814.6817298816268</v>
      </c>
      <c r="Y114" s="42">
        <f>'[1]побудинковий звіт'!Y114+'[2]побудинковий звіт'!Y114-'[3]побудинковий звіт'!Y114</f>
        <v>4873.2475053240487</v>
      </c>
      <c r="Z114" s="56">
        <f t="shared" si="130"/>
        <v>-1941.4342245575781</v>
      </c>
      <c r="AA114" s="42">
        <f>'[1]побудинковий звіт'!AA114+'[2]побудинковий звіт'!AA114-'[3]побудинковий звіт'!AA114</f>
        <v>0</v>
      </c>
      <c r="AB114" s="42">
        <f>'[1]побудинковий звіт'!AB114+'[2]побудинковий звіт'!AB114-'[3]побудинковий звіт'!AB114</f>
        <v>0</v>
      </c>
      <c r="AC114" s="56">
        <f t="shared" si="131"/>
        <v>0</v>
      </c>
      <c r="AD114" s="42">
        <f>'[1]побудинковий звіт'!AD114+'[2]побудинковий звіт'!AD114-'[3]побудинковий звіт'!AD114</f>
        <v>18189.814925403243</v>
      </c>
      <c r="AE114" s="42">
        <f>'[1]побудинковий звіт'!AE114+'[2]побудинковий звіт'!AE114-'[3]побудинковий звіт'!AE114</f>
        <v>16765.431254367533</v>
      </c>
      <c r="AF114" s="37">
        <f t="shared" si="132"/>
        <v>-1424.38367103571</v>
      </c>
      <c r="AG114" s="87">
        <f t="shared" si="120"/>
        <v>51522.296578640176</v>
      </c>
      <c r="AH114" s="57">
        <f t="shared" si="120"/>
        <v>47935.451596617175</v>
      </c>
      <c r="AI114" s="56">
        <f t="shared" si="133"/>
        <v>-3586.8449820230016</v>
      </c>
      <c r="AJ114" s="42">
        <f>'[1]побудинковий звіт'!AJ114+'[2]побудинковий звіт'!AJ114-'[3]побудинковий звіт'!AJ114</f>
        <v>36838.496087665488</v>
      </c>
      <c r="AK114" s="42">
        <f>'[1]побудинковий звіт'!AK114+'[2]побудинковий звіт'!AK114-'[3]побудинковий звіт'!AK114</f>
        <v>36514.474580539332</v>
      </c>
      <c r="AL114" s="56">
        <f t="shared" si="134"/>
        <v>-324.02150712615548</v>
      </c>
      <c r="AM114" s="42">
        <f>'[1]побудинковий звіт'!AM114+'[2]побудинковий звіт'!AM114-'[3]побудинковий звіт'!AM114</f>
        <v>0</v>
      </c>
      <c r="AN114" s="42">
        <f>'[1]побудинковий звіт'!AN114+'[2]побудинковий звіт'!AN114-'[3]побудинковий звіт'!AN114</f>
        <v>390.62536853724771</v>
      </c>
      <c r="AO114" s="56">
        <f t="shared" si="135"/>
        <v>390.62536853724771</v>
      </c>
      <c r="AP114" s="42">
        <f>'[1]побудинковий звіт'!AP114+'[2]побудинковий звіт'!AP114-'[3]побудинковий звіт'!AP114</f>
        <v>3409.2635144171381</v>
      </c>
      <c r="AQ114" s="42">
        <f>'[1]побудинковий звіт'!AQ114+'[2]побудинковий звіт'!AQ114-'[3]побудинковий звіт'!AQ114</f>
        <v>3280.6414839104536</v>
      </c>
      <c r="AR114" s="56">
        <f t="shared" si="136"/>
        <v>-128.6220305066845</v>
      </c>
      <c r="AS114" s="42">
        <f>'[1]побудинковий звіт'!AS114+'[2]побудинковий звіт'!AS114-'[3]побудинковий звіт'!AS114</f>
        <v>66711.215682327558</v>
      </c>
      <c r="AT114" s="42">
        <f>'[1]побудинковий звіт'!AT114+'[2]побудинковий звіт'!AT114-'[3]побудинковий звіт'!AT114</f>
        <v>19450</v>
      </c>
      <c r="AU114" s="58">
        <f t="shared" si="151"/>
        <v>-47261.215682327558</v>
      </c>
      <c r="AV114" s="42">
        <f>'[1]побудинковий звіт'!AV114+'[2]побудинковий звіт'!AV114-'[3]побудинковий звіт'!AV114</f>
        <v>1252.1014524376478</v>
      </c>
      <c r="AW114" s="42">
        <f>'[1]побудинковий звіт'!AW114+'[2]побудинковий звіт'!AW114-'[3]побудинковий звіт'!AW114</f>
        <v>0</v>
      </c>
      <c r="AX114" s="59">
        <f t="shared" si="152"/>
        <v>-1252.1014524376478</v>
      </c>
      <c r="AY114" s="42">
        <f>'[1]побудинковий звіт'!AY114+'[2]побудинковий звіт'!AY114-'[3]побудинковий звіт'!AY114</f>
        <v>1592.0198949652577</v>
      </c>
      <c r="AZ114" s="42">
        <f>'[1]побудинковий звіт'!AZ114+'[2]побудинковий звіт'!AZ114-'[3]побудинковий звіт'!AZ114</f>
        <v>2414</v>
      </c>
      <c r="BA114" s="37">
        <f t="shared" si="153"/>
        <v>821.98010503474234</v>
      </c>
      <c r="BB114" s="42">
        <f>'[1]побудинковий звіт'!BB114+'[2]побудинковий звіт'!BB114-'[3]побудинковий звіт'!BB114</f>
        <v>1644.2861141645119</v>
      </c>
      <c r="BC114" s="42">
        <f>'[1]побудинковий звіт'!BC114+'[2]побудинковий звіт'!BC114-'[3]побудинковий звіт'!BC114</f>
        <v>0</v>
      </c>
      <c r="BD114" s="59">
        <f t="shared" si="154"/>
        <v>-1644.2861141645119</v>
      </c>
      <c r="BE114" s="42">
        <f>'[1]побудинковий звіт'!BE114+'[2]побудинковий звіт'!BE114-'[3]побудинковий звіт'!BE114</f>
        <v>686.20535737135094</v>
      </c>
      <c r="BF114" s="42">
        <f>'[1]побудинковий звіт'!BF114+'[2]побудинковий звіт'!BF114-'[3]побудинковий звіт'!BF114</f>
        <v>0</v>
      </c>
      <c r="BG114" s="39">
        <f t="shared" si="155"/>
        <v>-686.20535737135094</v>
      </c>
      <c r="BH114" s="42">
        <f>'[1]побудинковий звіт'!BH114+'[2]побудинковий звіт'!BH114-'[3]побудинковий звіт'!BH114</f>
        <v>395.76741189229665</v>
      </c>
      <c r="BI114" s="42">
        <f>'[1]побудинковий звіт'!BI114+'[2]побудинковий звіт'!BI114-'[3]побудинковий звіт'!BI114</f>
        <v>0</v>
      </c>
      <c r="BJ114" s="59">
        <f t="shared" si="156"/>
        <v>-395.76741189229665</v>
      </c>
      <c r="BK114" s="42">
        <f>'[1]побудинковий звіт'!BK114+'[2]побудинковий звіт'!BK114-'[3]побудинковий звіт'!BK114</f>
        <v>1038.4043343240171</v>
      </c>
      <c r="BL114" s="42">
        <f>'[1]побудинковий звіт'!BL114+'[2]побудинковий звіт'!BL114-'[3]побудинковий звіт'!BL114</f>
        <v>1017.0996561008632</v>
      </c>
      <c r="BM114" s="39">
        <f t="shared" si="157"/>
        <v>-21.304678223153928</v>
      </c>
      <c r="BN114" s="42">
        <f>'[1]побудинковий звіт'!BN114+'[2]побудинковий звіт'!BN114-'[3]побудинковий звіт'!BN114</f>
        <v>0</v>
      </c>
      <c r="BO114" s="42">
        <f>'[1]побудинковий звіт'!BO114+'[2]побудинковий звіт'!BO114-'[3]побудинковий звіт'!BO114</f>
        <v>0</v>
      </c>
      <c r="BP114" s="59">
        <f t="shared" si="158"/>
        <v>0</v>
      </c>
      <c r="BQ114" s="87">
        <f t="shared" si="121"/>
        <v>6608.7845651550824</v>
      </c>
      <c r="BR114" s="43">
        <f t="shared" si="122"/>
        <v>3431.0996561008633</v>
      </c>
      <c r="BS114" s="59">
        <f t="shared" si="159"/>
        <v>-3177.6849090542191</v>
      </c>
      <c r="BT114" s="42">
        <f>'[1]побудинковий звіт'!BT114+'[2]побудинковий звіт'!BT114-'[3]побудинковий звіт'!BT114</f>
        <v>50485.364704968772</v>
      </c>
      <c r="BU114" s="42">
        <f>'[1]побудинковий звіт'!BU114+'[2]побудинковий звіт'!BU114-'[3]побудинковий звіт'!BU114</f>
        <v>55015.234211666968</v>
      </c>
      <c r="BV114" s="56">
        <f t="shared" si="137"/>
        <v>4529.8695066981963</v>
      </c>
      <c r="BW114" s="42">
        <f>'[1]побудинковий звіт'!BW114+'[2]побудинковий звіт'!BW114-'[3]побудинковий звіт'!BW114</f>
        <v>37812.464023558015</v>
      </c>
      <c r="BX114" s="42">
        <f>'[1]побудинковий звіт'!BX114+'[2]побудинковий звіт'!BX114-'[3]побудинковий звіт'!BX114</f>
        <v>40986.167139384423</v>
      </c>
      <c r="BY114" s="56">
        <f t="shared" si="138"/>
        <v>3173.7031158264072</v>
      </c>
      <c r="BZ114" s="42">
        <f>'[1]побудинковий звіт'!BZ114+'[2]побудинковий звіт'!BZ114-'[3]побудинковий звіт'!BZ114</f>
        <v>8958.894120284247</v>
      </c>
      <c r="CA114" s="42">
        <f>'[1]побудинковий звіт'!CA114+'[2]побудинковий звіт'!CA114-'[3]побудинковий звіт'!CA114</f>
        <v>12852.957388975243</v>
      </c>
      <c r="CB114" s="56">
        <f t="shared" si="139"/>
        <v>3894.0632686909958</v>
      </c>
      <c r="CC114" s="42">
        <f>'[1]побудинковий звіт'!CC114+'[2]побудинковий звіт'!CC114-'[3]побудинковий звіт'!CC114</f>
        <v>823.57110779645416</v>
      </c>
      <c r="CD114" s="42">
        <f>'[1]побудинковий звіт'!CD114+'[2]побудинковий звіт'!CD114-'[3]побудинковий звіт'!CD114</f>
        <v>816.32756706295993</v>
      </c>
      <c r="CE114" s="56">
        <f t="shared" si="140"/>
        <v>-7.2435407334942283</v>
      </c>
      <c r="CF114" s="42">
        <f>'[1]побудинковий звіт'!CF114+'[2]побудинковий звіт'!CF114-'[3]побудинковий звіт'!CF114</f>
        <v>101.38659470979073</v>
      </c>
      <c r="CG114" s="42">
        <f>'[1]побудинковий звіт'!CG114+'[2]побудинковий звіт'!CG114-'[3]побудинковий звіт'!CG114</f>
        <v>1534.2977470705139</v>
      </c>
      <c r="CH114" s="56">
        <f t="shared" si="141"/>
        <v>1432.9111523607232</v>
      </c>
      <c r="CI114" s="42">
        <f>'[1]побудинковий звіт'!CI114+'[2]побудинковий звіт'!CI114-'[3]побудинковий звіт'!CI114</f>
        <v>13064.832573680113</v>
      </c>
      <c r="CJ114" s="42">
        <f>'[1]побудинковий звіт'!CJ114+'[2]побудинковий звіт'!CJ114-'[3]побудинковий звіт'!CJ114</f>
        <v>7876.9523165165128</v>
      </c>
      <c r="CK114" s="56">
        <f t="shared" si="142"/>
        <v>-5187.8802571635997</v>
      </c>
      <c r="CL114" s="42">
        <f>'[1]побудинковий звіт'!CL114+'[2]побудинковий звіт'!CL114-'[3]побудинковий звіт'!CL114</f>
        <v>6476.2637113084766</v>
      </c>
      <c r="CM114" s="42">
        <f>'[1]побудинковий звіт'!CM114+'[2]побудинковий звіт'!CM114-'[3]побудинковий звіт'!CM114</f>
        <v>8448.2227042024588</v>
      </c>
      <c r="CN114" s="56">
        <f t="shared" si="143"/>
        <v>1971.9589928939822</v>
      </c>
      <c r="CO114" s="42">
        <f t="shared" si="123"/>
        <v>19541.096284988591</v>
      </c>
      <c r="CP114" s="43">
        <f t="shared" si="144"/>
        <v>16325.175020718973</v>
      </c>
      <c r="CQ114" s="56">
        <f t="shared" si="145"/>
        <v>-3215.9212642696184</v>
      </c>
      <c r="CR114" s="78">
        <f t="shared" si="124"/>
        <v>282812.83326451125</v>
      </c>
      <c r="CS114" s="5">
        <f t="shared" si="124"/>
        <v>238532.45176058417</v>
      </c>
      <c r="CT114" s="56">
        <f t="shared" si="146"/>
        <v>-44280.381503927085</v>
      </c>
      <c r="CU114" s="87">
        <f t="shared" si="147"/>
        <v>339375.39991741348</v>
      </c>
      <c r="CV114" s="70">
        <f t="shared" si="148"/>
        <v>286238.94211270101</v>
      </c>
      <c r="CW114" s="37">
        <f t="shared" si="149"/>
        <v>-53136.457804712467</v>
      </c>
      <c r="CX114" s="42">
        <f>'[1]побудинковий звіт'!CX114+'[2]побудинковий звіт'!CX114-'[3]побудинковий звіт'!CX114</f>
        <v>5094.2000825864961</v>
      </c>
      <c r="CY114" s="42">
        <f>'[1]побудинковий звіт'!CY114+'[2]побудинковий звіт'!CY114-'[3]побудинковий звіт'!CY114</f>
        <v>58230.657887298992</v>
      </c>
      <c r="CZ114" s="56">
        <f t="shared" si="150"/>
        <v>53136.457804712496</v>
      </c>
      <c r="DA114" s="264">
        <f>'[4]побудинковий звіт'!DA114</f>
        <v>-116216.665798633</v>
      </c>
      <c r="DB114" s="2">
        <v>2</v>
      </c>
      <c r="DC114" s="717">
        <f>'[4]побудинковий звіт'!DC114</f>
        <v>56242.49</v>
      </c>
      <c r="DD114" s="717">
        <f>'[4]побудинковий звіт'!DD114</f>
        <v>0</v>
      </c>
      <c r="DE114" s="717">
        <f>'[4]побудинковий звіт'!DE114</f>
        <v>27536.69</v>
      </c>
      <c r="DF114" s="717">
        <f>'[4]побудинковий звіт'!DF114</f>
        <v>0</v>
      </c>
      <c r="DG114" s="787">
        <v>-39500.062097643968</v>
      </c>
      <c r="DH114" s="761">
        <f t="shared" si="109"/>
        <v>4133635.1999999997</v>
      </c>
      <c r="DI114" s="784"/>
      <c r="DJ114" s="5"/>
      <c r="DK114" s="317">
        <f>VLOOKUP($A114,ціни!$A$4:$G$401,5)</f>
        <v>5.7142649342403882</v>
      </c>
      <c r="DL114" s="317">
        <f>VLOOKUP($A114,ціни!$A$4:$G$401,6)</f>
        <v>6.8745531608894224</v>
      </c>
      <c r="DM114" s="317">
        <f>VLOOKUP($A114,ціни!$A$4:$G$401,7)</f>
        <v>4.8120846614703217</v>
      </c>
      <c r="DN114" s="30">
        <f>DK114*G114+(F114-G114)*DL114</f>
        <v>2677.8255994360575</v>
      </c>
      <c r="DO114" s="30">
        <f>DM114*H114</f>
        <v>0</v>
      </c>
      <c r="DP114" s="316">
        <f t="shared" si="101"/>
        <v>2677.8255994360575</v>
      </c>
      <c r="DQ114" s="104"/>
      <c r="DR114" s="30">
        <f>VLOOKUP(A114,'ДЗ нас '!$A$1:$C$359,2)</f>
        <v>28705.8</v>
      </c>
      <c r="DS114" s="748"/>
      <c r="DT114" s="30">
        <f t="shared" si="102"/>
        <v>28705.8</v>
      </c>
      <c r="DU114" s="257">
        <f>VLOOKUP(A114,'новий кошторис с 01.06'!$A$4:$AI$399,35)*1.2</f>
        <v>28790.346426327244</v>
      </c>
      <c r="DV114" s="30">
        <f t="shared" si="103"/>
        <v>-84.546426327244262</v>
      </c>
      <c r="DW114" s="930">
        <f>'[5]побудинковий звіт'!DW114+'[6]побудинковий звіт'!DW114</f>
        <v>236</v>
      </c>
      <c r="DY114" s="5">
        <f t="shared" si="104"/>
        <v>87984.000296979168</v>
      </c>
      <c r="DZ114" s="5">
        <f t="shared" si="105"/>
        <v>27457.319587321039</v>
      </c>
      <c r="EA114" s="752">
        <f t="shared" si="110"/>
        <v>27536.69</v>
      </c>
      <c r="EC114" s="592">
        <f t="shared" si="106"/>
        <v>800534.58818793064</v>
      </c>
      <c r="EE114" s="758">
        <v>112852</v>
      </c>
      <c r="EF114" s="738">
        <f t="shared" si="107"/>
        <v>73351.937902356032</v>
      </c>
      <c r="EH114" s="813">
        <v>-73090.770979412002</v>
      </c>
    </row>
    <row r="115" spans="1:138" x14ac:dyDescent="0.3">
      <c r="A115" s="328">
        <v>150000621</v>
      </c>
      <c r="B115" s="44" t="s">
        <v>565</v>
      </c>
      <c r="C115" s="45" t="s">
        <v>80</v>
      </c>
      <c r="D115" s="45" t="s">
        <v>80</v>
      </c>
      <c r="E115" s="40">
        <f t="shared" si="108"/>
        <v>349.9</v>
      </c>
      <c r="F115" s="490">
        <v>349.9</v>
      </c>
      <c r="G115" s="30"/>
      <c r="H115" s="30">
        <v>0</v>
      </c>
      <c r="I115" s="42">
        <f>'[1]побудинковий звіт'!I115+'[2]побудинковий звіт'!I115-'[3]побудинковий звіт'!I115</f>
        <v>0</v>
      </c>
      <c r="J115" s="42">
        <f>'[1]побудинковий звіт'!J115+'[2]побудинковий звіт'!J115-'[3]побудинковий звіт'!J115</f>
        <v>0</v>
      </c>
      <c r="K115" s="56">
        <f t="shared" si="125"/>
        <v>0</v>
      </c>
      <c r="L115" s="42">
        <f>'[1]побудинковий звіт'!L115+'[2]побудинковий звіт'!L115-'[3]побудинковий звіт'!L115</f>
        <v>0</v>
      </c>
      <c r="M115" s="42">
        <f>'[1]побудинковий звіт'!M115+'[2]побудинковий звіт'!M115-'[3]побудинковий звіт'!M115</f>
        <v>0</v>
      </c>
      <c r="N115" s="56">
        <f t="shared" si="126"/>
        <v>0</v>
      </c>
      <c r="O115" s="42">
        <f>'[1]побудинковий звіт'!O115+'[2]побудинковий звіт'!O115-'[3]побудинковий звіт'!O115</f>
        <v>0</v>
      </c>
      <c r="P115" s="42">
        <f>'[1]побудинковий звіт'!P115+'[2]побудинковий звіт'!P115-'[3]побудинковий звіт'!P115</f>
        <v>0</v>
      </c>
      <c r="Q115" s="56">
        <f t="shared" si="127"/>
        <v>0</v>
      </c>
      <c r="R115" s="42">
        <f>'[1]побудинковий звіт'!R115+'[2]побудинковий звіт'!R115-'[3]побудинковий звіт'!R115</f>
        <v>0</v>
      </c>
      <c r="S115" s="42">
        <f>'[1]побудинковий звіт'!S115+'[2]побудинковий звіт'!S115-'[3]побудинковий звіт'!S115</f>
        <v>0</v>
      </c>
      <c r="T115" s="56">
        <f t="shared" si="128"/>
        <v>0</v>
      </c>
      <c r="U115" s="42">
        <f>'[1]побудинковий звіт'!U115+'[2]побудинковий звіт'!U115-'[3]побудинковий звіт'!U115</f>
        <v>0</v>
      </c>
      <c r="V115" s="42">
        <f>'[1]побудинковий звіт'!V115+'[2]побудинковий звіт'!V115-'[3]побудинковий звіт'!V115</f>
        <v>0</v>
      </c>
      <c r="W115" s="56">
        <f t="shared" si="129"/>
        <v>0</v>
      </c>
      <c r="X115" s="42">
        <f>'[1]побудинковий звіт'!X115+'[2]побудинковий звіт'!X115-'[3]побудинковий звіт'!X115</f>
        <v>0</v>
      </c>
      <c r="Y115" s="42">
        <f>'[1]побудинковий звіт'!Y115+'[2]побудинковий звіт'!Y115-'[3]побудинковий звіт'!Y115</f>
        <v>0</v>
      </c>
      <c r="Z115" s="56">
        <f t="shared" si="130"/>
        <v>0</v>
      </c>
      <c r="AA115" s="42">
        <f>'[1]побудинковий звіт'!AA115+'[2]побудинковий звіт'!AA115-'[3]побудинковий звіт'!AA115</f>
        <v>0</v>
      </c>
      <c r="AB115" s="42">
        <f>'[1]побудинковий звіт'!AB115+'[2]побудинковий звіт'!AB115-'[3]побудинковий звіт'!AB115</f>
        <v>0</v>
      </c>
      <c r="AC115" s="56">
        <f t="shared" si="131"/>
        <v>0</v>
      </c>
      <c r="AD115" s="42">
        <f>'[1]побудинковий звіт'!AD115+'[2]побудинковий звіт'!AD115-'[3]побудинковий звіт'!AD115</f>
        <v>0</v>
      </c>
      <c r="AE115" s="42">
        <f>'[1]побудинковий звіт'!AE115+'[2]побудинковий звіт'!AE115-'[3]побудинковий звіт'!AE115</f>
        <v>86.662126404988982</v>
      </c>
      <c r="AF115" s="37">
        <f t="shared" si="132"/>
        <v>86.662126404988982</v>
      </c>
      <c r="AG115" s="87">
        <f t="shared" si="120"/>
        <v>0</v>
      </c>
      <c r="AH115" s="57">
        <f t="shared" si="120"/>
        <v>86.662126404988982</v>
      </c>
      <c r="AI115" s="56">
        <f t="shared" si="133"/>
        <v>86.662126404988982</v>
      </c>
      <c r="AJ115" s="42">
        <f>'[1]побудинковий звіт'!AJ115+'[2]побудинковий звіт'!AJ115-'[3]побудинковий звіт'!AJ115</f>
        <v>0</v>
      </c>
      <c r="AK115" s="42">
        <f>'[1]побудинковий звіт'!AK115+'[2]побудинковий звіт'!AK115-'[3]побудинковий звіт'!AK115</f>
        <v>0</v>
      </c>
      <c r="AL115" s="56">
        <f t="shared" si="134"/>
        <v>0</v>
      </c>
      <c r="AM115" s="42">
        <f>'[1]побудинковий звіт'!AM115+'[2]побудинковий звіт'!AM115-'[3]побудинковий звіт'!AM115</f>
        <v>0</v>
      </c>
      <c r="AN115" s="42">
        <f>'[1]побудинковий звіт'!AN115+'[2]побудинковий звіт'!AN115-'[3]побудинковий звіт'!AN115</f>
        <v>0</v>
      </c>
      <c r="AO115" s="56">
        <f t="shared" si="135"/>
        <v>0</v>
      </c>
      <c r="AP115" s="42">
        <f>'[1]побудинковий звіт'!AP115+'[2]побудинковий звіт'!AP115-'[3]побудинковий звіт'!AP115</f>
        <v>284.10529286809492</v>
      </c>
      <c r="AQ115" s="42">
        <f>'[1]побудинковий звіт'!AQ115+'[2]побудинковий звіт'!AQ115-'[3]побудинковий звіт'!AQ115</f>
        <v>0</v>
      </c>
      <c r="AR115" s="56">
        <f t="shared" si="136"/>
        <v>-284.10529286809492</v>
      </c>
      <c r="AS115" s="42">
        <f>'[1]побудинковий звіт'!AS115+'[2]побудинковий звіт'!AS115-'[3]побудинковий звіт'!AS115</f>
        <v>1756.9026178315785</v>
      </c>
      <c r="AT115" s="42">
        <f>'[1]побудинковий звіт'!AT115+'[2]побудинковий звіт'!AT115-'[3]побудинковий звіт'!AT115</f>
        <v>0</v>
      </c>
      <c r="AU115" s="58">
        <f t="shared" si="151"/>
        <v>-1756.9026178315785</v>
      </c>
      <c r="AV115" s="42">
        <f>'[1]побудинковий звіт'!AV115+'[2]побудинковий звіт'!AV115-'[3]побудинковий звіт'!AV115</f>
        <v>0</v>
      </c>
      <c r="AW115" s="42">
        <f>'[1]побудинковий звіт'!AW115+'[2]побудинковий звіт'!AW115-'[3]побудинковий звіт'!AW115</f>
        <v>0</v>
      </c>
      <c r="AX115" s="59">
        <f t="shared" si="152"/>
        <v>0</v>
      </c>
      <c r="AY115" s="42">
        <f>'[1]побудинковий звіт'!AY115+'[2]побудинковий звіт'!AY115-'[3]побудинковий звіт'!AY115</f>
        <v>0</v>
      </c>
      <c r="AZ115" s="42">
        <f>'[1]побудинковий звіт'!AZ115+'[2]побудинковий звіт'!AZ115-'[3]побудинковий звіт'!AZ115</f>
        <v>0</v>
      </c>
      <c r="BA115" s="37">
        <f t="shared" si="153"/>
        <v>0</v>
      </c>
      <c r="BB115" s="42">
        <f>'[1]побудинковий звіт'!BB115+'[2]побудинковий звіт'!BB115-'[3]побудинковий звіт'!BB115</f>
        <v>0</v>
      </c>
      <c r="BC115" s="42">
        <f>'[1]побудинковий звіт'!BC115+'[2]побудинковий звіт'!BC115-'[3]побудинковий звіт'!BC115</f>
        <v>0</v>
      </c>
      <c r="BD115" s="59">
        <f t="shared" si="154"/>
        <v>0</v>
      </c>
      <c r="BE115" s="42">
        <f>'[1]побудинковий звіт'!BE115+'[2]побудинковий звіт'!BE115-'[3]побудинковий звіт'!BE115</f>
        <v>0</v>
      </c>
      <c r="BF115" s="42">
        <f>'[1]побудинковий звіт'!BF115+'[2]побудинковий звіт'!BF115-'[3]побудинковий звіт'!BF115</f>
        <v>0</v>
      </c>
      <c r="BG115" s="39">
        <f t="shared" si="155"/>
        <v>0</v>
      </c>
      <c r="BH115" s="42">
        <f>'[1]побудинковий звіт'!BH115+'[2]побудинковий звіт'!BH115-'[3]побудинковий звіт'!BH115</f>
        <v>0</v>
      </c>
      <c r="BI115" s="42">
        <f>'[1]побудинковий звіт'!BI115+'[2]побудинковий звіт'!BI115-'[3]побудинковий звіт'!BI115</f>
        <v>0</v>
      </c>
      <c r="BJ115" s="59">
        <f t="shared" si="156"/>
        <v>0</v>
      </c>
      <c r="BK115" s="42">
        <f>'[1]побудинковий звіт'!BK115+'[2]побудинковий звіт'!BK115-'[3]побудинковий звіт'!BK115</f>
        <v>0</v>
      </c>
      <c r="BL115" s="42">
        <f>'[1]побудинковий звіт'!BL115+'[2]побудинковий звіт'!BL115-'[3]побудинковий звіт'!BL115</f>
        <v>0</v>
      </c>
      <c r="BM115" s="39">
        <f t="shared" si="157"/>
        <v>0</v>
      </c>
      <c r="BN115" s="42">
        <f>'[1]побудинковий звіт'!BN115+'[2]побудинковий звіт'!BN115-'[3]побудинковий звіт'!BN115</f>
        <v>0</v>
      </c>
      <c r="BO115" s="42">
        <f>'[1]побудинковий звіт'!BO115+'[2]побудинковий звіт'!BO115-'[3]побудинковий звіт'!BO115</f>
        <v>0</v>
      </c>
      <c r="BP115" s="59">
        <f t="shared" si="158"/>
        <v>0</v>
      </c>
      <c r="BQ115" s="87">
        <f t="shared" si="121"/>
        <v>0</v>
      </c>
      <c r="BR115" s="43">
        <f t="shared" si="122"/>
        <v>0</v>
      </c>
      <c r="BS115" s="59">
        <f t="shared" si="159"/>
        <v>0</v>
      </c>
      <c r="BT115" s="42">
        <f>'[1]побудинковий звіт'!BT115+'[2]побудинковий звіт'!BT115-'[3]побудинковий звіт'!BT115</f>
        <v>191.41608603358003</v>
      </c>
      <c r="BU115" s="42">
        <f>'[1]побудинковий звіт'!BU115+'[2]побудинковий звіт'!BU115-'[3]побудинковий звіт'!BU115</f>
        <v>300.61454053863702</v>
      </c>
      <c r="BV115" s="56">
        <f t="shared" si="137"/>
        <v>109.19845450505699</v>
      </c>
      <c r="BW115" s="42">
        <f>'[1]побудинковий звіт'!BW115+'[2]побудинковий звіт'!BW115-'[3]побудинковий звіт'!BW115</f>
        <v>0</v>
      </c>
      <c r="BX115" s="42">
        <f>'[1]побудинковий звіт'!BX115+'[2]побудинковий звіт'!BX115-'[3]побудинковий звіт'!BX115</f>
        <v>4.1909701223211471</v>
      </c>
      <c r="BY115" s="56">
        <f t="shared" si="138"/>
        <v>4.1909701223211471</v>
      </c>
      <c r="BZ115" s="42">
        <f>'[1]побудинковий звіт'!BZ115+'[2]побудинковий звіт'!BZ115-'[3]побудинковий звіт'!BZ115</f>
        <v>0</v>
      </c>
      <c r="CA115" s="42">
        <f>'[1]побудинковий звіт'!CA115+'[2]побудинковий звіт'!CA115-'[3]побудинковий звіт'!CA115</f>
        <v>72.750463101038775</v>
      </c>
      <c r="CB115" s="56">
        <f t="shared" si="139"/>
        <v>72.750463101038775</v>
      </c>
      <c r="CC115" s="42">
        <f>'[1]побудинковий звіт'!CC115+'[2]побудинковий звіт'!CC115-'[3]побудинковий звіт'!CC115</f>
        <v>0</v>
      </c>
      <c r="CD115" s="42">
        <f>'[1]побудинковий звіт'!CD115+'[2]побудинковий звіт'!CD115-'[3]побудинковий звіт'!CD115</f>
        <v>0</v>
      </c>
      <c r="CE115" s="56">
        <f t="shared" si="140"/>
        <v>0</v>
      </c>
      <c r="CF115" s="42">
        <f>'[1]побудинковий звіт'!CF115+'[2]побудинковий звіт'!CF115-'[3]побудинковий звіт'!CF115</f>
        <v>0</v>
      </c>
      <c r="CG115" s="42">
        <f>'[1]побудинковий звіт'!CG115+'[2]побудинковий звіт'!CG115-'[3]побудинковий звіт'!CG115</f>
        <v>0</v>
      </c>
      <c r="CH115" s="56">
        <f t="shared" si="141"/>
        <v>0</v>
      </c>
      <c r="CI115" s="42">
        <f>'[1]побудинковий звіт'!CI115+'[2]побудинковий звіт'!CI115-'[3]побудинковий звіт'!CI115</f>
        <v>0</v>
      </c>
      <c r="CJ115" s="42">
        <f>'[1]побудинковий звіт'!CJ115+'[2]побудинковий звіт'!CJ115-'[3]побудинковий звіт'!CJ115</f>
        <v>0</v>
      </c>
      <c r="CK115" s="56">
        <f t="shared" si="142"/>
        <v>0</v>
      </c>
      <c r="CL115" s="42">
        <f>'[1]побудинковий звіт'!CL115+'[2]побудинковий звіт'!CL115-'[3]побудинковий звіт'!CL115</f>
        <v>0</v>
      </c>
      <c r="CM115" s="42">
        <f>'[1]побудинковий звіт'!CM115+'[2]побудинковий звіт'!CM115-'[3]побудинковий звіт'!CM115</f>
        <v>0</v>
      </c>
      <c r="CN115" s="56">
        <f t="shared" si="143"/>
        <v>0</v>
      </c>
      <c r="CO115" s="42">
        <f t="shared" si="123"/>
        <v>0</v>
      </c>
      <c r="CP115" s="43">
        <f t="shared" si="144"/>
        <v>0</v>
      </c>
      <c r="CQ115" s="56">
        <f t="shared" si="145"/>
        <v>0</v>
      </c>
      <c r="CR115" s="78">
        <f t="shared" si="124"/>
        <v>2232.4239967332533</v>
      </c>
      <c r="CS115" s="5">
        <f t="shared" si="124"/>
        <v>464.21810016698589</v>
      </c>
      <c r="CT115" s="56">
        <f t="shared" si="146"/>
        <v>-1768.2058965662673</v>
      </c>
      <c r="CU115" s="87">
        <f t="shared" si="147"/>
        <v>2678.9087960799038</v>
      </c>
      <c r="CV115" s="70">
        <f t="shared" si="148"/>
        <v>557.06172020038309</v>
      </c>
      <c r="CW115" s="37">
        <f t="shared" si="149"/>
        <v>-2121.8470758795206</v>
      </c>
      <c r="CX115" s="42">
        <f>'[1]побудинковий звіт'!CX115+'[2]побудинковий звіт'!CX115-'[3]побудинковий звіт'!CX115</f>
        <v>66.811203920096318</v>
      </c>
      <c r="CY115" s="42">
        <f>'[1]побудинковий звіт'!CY115+'[2]побудинковий звіт'!CY115-'[3]побудинковий звіт'!CY115</f>
        <v>2188.658279799617</v>
      </c>
      <c r="CZ115" s="56">
        <f t="shared" si="150"/>
        <v>2121.8470758795206</v>
      </c>
      <c r="DA115" s="264">
        <f>'[4]побудинковий звіт'!DA115</f>
        <v>-6150.163714147131</v>
      </c>
      <c r="DB115" s="2">
        <v>2</v>
      </c>
      <c r="DC115" s="717">
        <f>'[4]побудинковий звіт'!DC115</f>
        <v>176.4</v>
      </c>
      <c r="DD115" s="717">
        <f>'[4]побудинковий звіт'!DD115</f>
        <v>0</v>
      </c>
      <c r="DE115" s="717">
        <f>'[4]побудинковий звіт'!DE115</f>
        <v>-52.41</v>
      </c>
      <c r="DF115" s="717">
        <f>'[4]побудинковий звіт'!DF115</f>
        <v>0</v>
      </c>
      <c r="DG115" s="787">
        <v>-3380.8960699694157</v>
      </c>
      <c r="DH115" s="761">
        <f t="shared" si="109"/>
        <v>32948.639999999999</v>
      </c>
      <c r="DI115" s="784"/>
      <c r="DJ115" s="5"/>
      <c r="DK115" s="317">
        <f>VLOOKUP($A115,ціни!$A$4:$G$401,5)</f>
        <v>1.7588275147206651</v>
      </c>
      <c r="DL115" s="317"/>
      <c r="DM115" s="317">
        <f>VLOOKUP($A115,ціни!$A$4:$G$401,7)</f>
        <v>1.7588275147206651</v>
      </c>
      <c r="DN115" s="30">
        <f t="shared" ref="DN115:DN125" si="160">F115*DK115</f>
        <v>615.41374740076071</v>
      </c>
      <c r="DO115" s="30">
        <f t="shared" ref="DO115:DO125" si="161">H115*DM115</f>
        <v>0</v>
      </c>
      <c r="DP115" s="316">
        <f t="shared" si="101"/>
        <v>615.41374740076071</v>
      </c>
      <c r="DQ115" s="104"/>
      <c r="DR115" s="30">
        <f>VLOOKUP(A115,'ДЗ нас '!$A$1:$C$359,2)</f>
        <v>228.81</v>
      </c>
      <c r="DS115" s="748"/>
      <c r="DT115" s="30">
        <f t="shared" si="102"/>
        <v>228.81</v>
      </c>
      <c r="DU115" s="257">
        <f>VLOOKUP(A115,'новий кошторис с 01.06'!$A$4:$AI$399,35)*1.2</f>
        <v>229.9396716635251</v>
      </c>
      <c r="DV115" s="30">
        <f t="shared" si="103"/>
        <v>-1.1296716635251016</v>
      </c>
      <c r="DW115" s="930">
        <f>'[5]побудинковий звіт'!DW115+'[6]побудинковий звіт'!DW115</f>
        <v>0</v>
      </c>
      <c r="DY115" s="5">
        <f t="shared" si="104"/>
        <v>2108.2831413978943</v>
      </c>
      <c r="DZ115" s="5">
        <f t="shared" si="105"/>
        <v>0</v>
      </c>
      <c r="EA115" s="752">
        <f t="shared" si="110"/>
        <v>-52.41</v>
      </c>
      <c r="EC115" s="592">
        <f t="shared" si="106"/>
        <v>21082.831413978944</v>
      </c>
      <c r="EE115" s="758">
        <v>-2148</v>
      </c>
      <c r="EF115" s="738">
        <f t="shared" si="107"/>
        <v>-5528.8960699694162</v>
      </c>
      <c r="EH115" s="813">
        <v>-4296.0701049633144</v>
      </c>
    </row>
    <row r="116" spans="1:138" x14ac:dyDescent="0.3">
      <c r="A116" s="328">
        <v>150000590</v>
      </c>
      <c r="B116" s="44" t="s">
        <v>566</v>
      </c>
      <c r="C116" s="45" t="s">
        <v>163</v>
      </c>
      <c r="D116" s="45" t="s">
        <v>163</v>
      </c>
      <c r="E116" s="40">
        <f t="shared" si="108"/>
        <v>475.2</v>
      </c>
      <c r="F116" s="490">
        <v>475.2</v>
      </c>
      <c r="G116" s="30"/>
      <c r="H116" s="30">
        <v>0</v>
      </c>
      <c r="I116" s="42">
        <f>'[1]побудинковий звіт'!I116+'[2]побудинковий звіт'!I116-'[3]побудинковий звіт'!I116</f>
        <v>2098.2515492309844</v>
      </c>
      <c r="J116" s="42">
        <f>'[1]побудинковий звіт'!J116+'[2]побудинковий звіт'!J116-'[3]побудинковий звіт'!J116</f>
        <v>1888.0777628154135</v>
      </c>
      <c r="K116" s="56">
        <f t="shared" si="125"/>
        <v>-210.17378641557093</v>
      </c>
      <c r="L116" s="42">
        <f>'[1]побудинковий звіт'!L116+'[2]побудинковий звіт'!L116-'[3]побудинковий звіт'!L116</f>
        <v>419.87835654060507</v>
      </c>
      <c r="M116" s="42">
        <f>'[1]побудинковий звіт'!M116+'[2]побудинковий звіт'!M116-'[3]побудинковий звіт'!M116</f>
        <v>402.04363822775065</v>
      </c>
      <c r="N116" s="56">
        <f t="shared" si="126"/>
        <v>-17.83471831285442</v>
      </c>
      <c r="O116" s="42">
        <f>'[1]побудинковий звіт'!O116+'[2]побудинковий звіт'!O116-'[3]побудинковий звіт'!O116</f>
        <v>0</v>
      </c>
      <c r="P116" s="42">
        <f>'[1]побудинковий звіт'!P116+'[2]побудинковий звіт'!P116-'[3]побудинковий звіт'!P116</f>
        <v>0</v>
      </c>
      <c r="Q116" s="56">
        <f t="shared" si="127"/>
        <v>0</v>
      </c>
      <c r="R116" s="42">
        <f>'[1]побудинковий звіт'!R116+'[2]побудинковий звіт'!R116-'[3]побудинковий звіт'!R116</f>
        <v>0</v>
      </c>
      <c r="S116" s="42">
        <f>'[1]побудинковий звіт'!S116+'[2]побудинковий звіт'!S116-'[3]побудинковий звіт'!S116</f>
        <v>0</v>
      </c>
      <c r="T116" s="56">
        <f t="shared" si="128"/>
        <v>0</v>
      </c>
      <c r="U116" s="42">
        <f>'[1]побудинковий звіт'!U116+'[2]побудинковий звіт'!U116-'[3]побудинковий звіт'!U116</f>
        <v>0</v>
      </c>
      <c r="V116" s="42">
        <f>'[1]побудинковий звіт'!V116+'[2]побудинковий звіт'!V116-'[3]побудинковий звіт'!V116</f>
        <v>0</v>
      </c>
      <c r="W116" s="56">
        <f t="shared" si="129"/>
        <v>0</v>
      </c>
      <c r="X116" s="42">
        <f>'[1]побудинковий звіт'!X116+'[2]побудинковий звіт'!X116-'[3]побудинковий звіт'!X116</f>
        <v>674.42054614143751</v>
      </c>
      <c r="Y116" s="42">
        <f>'[1]побудинковий звіт'!Y116+'[2]побудинковий звіт'!Y116-'[3]побудинковий звіт'!Y116</f>
        <v>2897.2101181719136</v>
      </c>
      <c r="Z116" s="56">
        <f t="shared" si="130"/>
        <v>2222.7895720304759</v>
      </c>
      <c r="AA116" s="42">
        <f>'[1]побудинковий звіт'!AA116+'[2]побудинковий звіт'!AA116-'[3]побудинковий звіт'!AA116</f>
        <v>0</v>
      </c>
      <c r="AB116" s="42">
        <f>'[1]побудинковий звіт'!AB116+'[2]побудинковий звіт'!AB116-'[3]побудинковий звіт'!AB116</f>
        <v>0</v>
      </c>
      <c r="AC116" s="56">
        <f t="shared" si="131"/>
        <v>0</v>
      </c>
      <c r="AD116" s="42">
        <f>'[1]побудинковий звіт'!AD116+'[2]побудинковий звіт'!AD116-'[3]побудинковий звіт'!AD116</f>
        <v>1597.0230776517035</v>
      </c>
      <c r="AE116" s="42">
        <f>'[1]побудинковий звіт'!AE116+'[2]побудинковий звіт'!AE116-'[3]побудинковий звіт'!AE116</f>
        <v>1471.96553289915</v>
      </c>
      <c r="AF116" s="37">
        <f t="shared" si="132"/>
        <v>-125.05754475255344</v>
      </c>
      <c r="AG116" s="87">
        <f t="shared" si="120"/>
        <v>4789.573529564731</v>
      </c>
      <c r="AH116" s="57">
        <f t="shared" si="120"/>
        <v>6659.2970521142279</v>
      </c>
      <c r="AI116" s="56">
        <f t="shared" si="133"/>
        <v>1869.7235225494969</v>
      </c>
      <c r="AJ116" s="42">
        <f>'[1]побудинковий звіт'!AJ116+'[2]побудинковий звіт'!AJ116-'[3]побудинковий звіт'!AJ116</f>
        <v>0</v>
      </c>
      <c r="AK116" s="42">
        <f>'[1]побудинковий звіт'!AK116+'[2]побудинковий звіт'!AK116-'[3]побудинковий звіт'!AK116</f>
        <v>0</v>
      </c>
      <c r="AL116" s="56">
        <f t="shared" si="134"/>
        <v>0</v>
      </c>
      <c r="AM116" s="42">
        <f>'[1]побудинковий звіт'!AM116+'[2]побудинковий звіт'!AM116-'[3]побудинковий звіт'!AM116</f>
        <v>0</v>
      </c>
      <c r="AN116" s="42">
        <f>'[1]побудинковий звіт'!AN116+'[2]побудинковий звіт'!AN116-'[3]побудинковий звіт'!AN116</f>
        <v>0</v>
      </c>
      <c r="AO116" s="56">
        <f t="shared" si="135"/>
        <v>0</v>
      </c>
      <c r="AP116" s="42">
        <f>'[1]побудинковий звіт'!AP116+'[2]побудинковий звіт'!AP116-'[3]побудинковий звіт'!AP116</f>
        <v>1515.2282286298394</v>
      </c>
      <c r="AQ116" s="42">
        <f>'[1]побудинковий звіт'!AQ116+'[2]побудинковий звіт'!AQ116-'[3]побудинковий звіт'!AQ116</f>
        <v>373.71650513920702</v>
      </c>
      <c r="AR116" s="56">
        <f t="shared" si="136"/>
        <v>-1141.5117234906324</v>
      </c>
      <c r="AS116" s="42">
        <f>'[1]побудинковий звіт'!AS116+'[2]побудинковий звіт'!AS116-'[3]побудинковий звіт'!AS116</f>
        <v>4756.3643936749895</v>
      </c>
      <c r="AT116" s="42">
        <f>'[1]побудинковий звіт'!AT116+'[2]побудинковий звіт'!AT116-'[3]побудинковий звіт'!AT116</f>
        <v>0</v>
      </c>
      <c r="AU116" s="58">
        <f t="shared" si="151"/>
        <v>-4756.3643936749895</v>
      </c>
      <c r="AV116" s="42">
        <f>'[1]побудинковий звіт'!AV116+'[2]побудинковий звіт'!AV116-'[3]побудинковий звіт'!AV116</f>
        <v>391.70012268032747</v>
      </c>
      <c r="AW116" s="42">
        <f>'[1]побудинковий звіт'!AW116+'[2]побудинковий звіт'!AW116-'[3]побудинковий звіт'!AW116</f>
        <v>0</v>
      </c>
      <c r="AX116" s="59">
        <f t="shared" si="152"/>
        <v>-391.70012268032747</v>
      </c>
      <c r="AY116" s="42">
        <f>'[1]побудинковий звіт'!AY116+'[2]побудинковий звіт'!AY116-'[3]побудинковий звіт'!AY116</f>
        <v>541.42956001573725</v>
      </c>
      <c r="AZ116" s="42">
        <f>'[1]побудинковий звіт'!AZ116+'[2]побудинковий звіт'!AZ116-'[3]побудинковий звіт'!AZ116</f>
        <v>0</v>
      </c>
      <c r="BA116" s="37">
        <f t="shared" si="153"/>
        <v>-541.42956001573725</v>
      </c>
      <c r="BB116" s="42">
        <f>'[1]побудинковий звіт'!BB116+'[2]побудинковий звіт'!BB116-'[3]побудинковий звіт'!BB116</f>
        <v>0</v>
      </c>
      <c r="BC116" s="42">
        <f>'[1]побудинковий звіт'!BC116+'[2]побудинковий звіт'!BC116-'[3]побудинковий звіт'!BC116</f>
        <v>0</v>
      </c>
      <c r="BD116" s="59">
        <f t="shared" si="154"/>
        <v>0</v>
      </c>
      <c r="BE116" s="42">
        <f>'[1]побудинковий звіт'!BE116+'[2]побудинковий звіт'!BE116-'[3]побудинковий звіт'!BE116</f>
        <v>0</v>
      </c>
      <c r="BF116" s="42">
        <f>'[1]побудинковий звіт'!BF116+'[2]побудинковий звіт'!BF116-'[3]побудинковий звіт'!BF116</f>
        <v>0</v>
      </c>
      <c r="BG116" s="39">
        <f t="shared" si="155"/>
        <v>0</v>
      </c>
      <c r="BH116" s="42">
        <f>'[1]побудинковий звіт'!BH116+'[2]побудинковий звіт'!BH116-'[3]побудинковий звіт'!BH116</f>
        <v>0</v>
      </c>
      <c r="BI116" s="42">
        <f>'[1]побудинковий звіт'!BI116+'[2]побудинковий звіт'!BI116-'[3]побудинковий звіт'!BI116</f>
        <v>0</v>
      </c>
      <c r="BJ116" s="59">
        <f t="shared" si="156"/>
        <v>0</v>
      </c>
      <c r="BK116" s="42">
        <f>'[1]побудинковий звіт'!BK116+'[2]побудинковий звіт'!BK116-'[3]побудинковий звіт'!BK116</f>
        <v>91.330284162915746</v>
      </c>
      <c r="BL116" s="42">
        <f>'[1]побудинковий звіт'!BL116+'[2]побудинковий звіт'!BL116-'[3]побудинковий звіт'!BL116</f>
        <v>0</v>
      </c>
      <c r="BM116" s="39">
        <f t="shared" si="157"/>
        <v>-91.330284162915746</v>
      </c>
      <c r="BN116" s="42">
        <f>'[1]побудинковий звіт'!BN116+'[2]побудинковий звіт'!BN116-'[3]побудинковий звіт'!BN116</f>
        <v>0</v>
      </c>
      <c r="BO116" s="42">
        <f>'[1]побудинковий звіт'!BO116+'[2]побудинковий звіт'!BO116-'[3]побудинковий звіт'!BO116</f>
        <v>0</v>
      </c>
      <c r="BP116" s="59">
        <f t="shared" si="158"/>
        <v>0</v>
      </c>
      <c r="BQ116" s="87">
        <f t="shared" si="121"/>
        <v>1024.4599668589804</v>
      </c>
      <c r="BR116" s="43">
        <f t="shared" si="122"/>
        <v>0</v>
      </c>
      <c r="BS116" s="59">
        <f t="shared" si="159"/>
        <v>-1024.4599668589804</v>
      </c>
      <c r="BT116" s="42">
        <f>'[1]побудинковий звіт'!BT116+'[2]побудинковий звіт'!BT116-'[3]побудинковий звіт'!BT116</f>
        <v>334.97815055876504</v>
      </c>
      <c r="BU116" s="42">
        <f>'[1]побудинковий звіт'!BU116+'[2]побудинковий звіт'!BU116-'[3]побудинковий звіт'!BU116</f>
        <v>1044.5506049503294</v>
      </c>
      <c r="BV116" s="56">
        <f t="shared" si="137"/>
        <v>709.57245439156441</v>
      </c>
      <c r="BW116" s="42">
        <f>'[1]побудинковий звіт'!BW116+'[2]побудинковий звіт'!BW116-'[3]побудинковий звіт'!BW116</f>
        <v>350.30968849628329</v>
      </c>
      <c r="BX116" s="42">
        <f>'[1]побудинковий звіт'!BX116+'[2]побудинковий звіт'!BX116-'[3]побудинковий звіт'!BX116</f>
        <v>824.68484175617152</v>
      </c>
      <c r="BY116" s="56">
        <f t="shared" si="138"/>
        <v>474.37515325988824</v>
      </c>
      <c r="BZ116" s="42">
        <f>'[1]побудинковий звіт'!BZ116+'[2]побудинковий звіт'!BZ116-'[3]побудинковий звіт'!BZ116</f>
        <v>275.49189285954191</v>
      </c>
      <c r="CA116" s="42">
        <f>'[1]побудинковий звіт'!CA116+'[2]побудинковий звіт'!CA116-'[3]побудинковий звіт'!CA116</f>
        <v>229.49662845417791</v>
      </c>
      <c r="CB116" s="56">
        <f t="shared" si="139"/>
        <v>-45.995264405363997</v>
      </c>
      <c r="CC116" s="42">
        <f>'[1]побудинковий звіт'!CC116+'[2]побудинковий звіт'!CC116-'[3]побудинковий звіт'!CC116</f>
        <v>304.4271773461893</v>
      </c>
      <c r="CD116" s="42">
        <f>'[1]побудинковий звіт'!CD116+'[2]побудинковий звіт'!CD116-'[3]побудинковий звіт'!CD116</f>
        <v>301.74965425362984</v>
      </c>
      <c r="CE116" s="56">
        <f t="shared" si="140"/>
        <v>-2.6775230925594542</v>
      </c>
      <c r="CF116" s="42">
        <f>'[1]побудинковий звіт'!CF116+'[2]побудинковий звіт'!CF116-'[3]побудинковий звіт'!CF116</f>
        <v>37.476830544511934</v>
      </c>
      <c r="CG116" s="42">
        <f>'[1]побудинковий звіт'!CG116+'[2]побудинковий звіт'!CG116-'[3]побудинковий звіт'!CG116</f>
        <v>0</v>
      </c>
      <c r="CH116" s="56">
        <f t="shared" si="141"/>
        <v>-37.476830544511934</v>
      </c>
      <c r="CI116" s="42">
        <f>'[1]побудинковий звіт'!CI116+'[2]побудинковий звіт'!CI116-'[3]побудинковий звіт'!CI116</f>
        <v>18.717525177192137</v>
      </c>
      <c r="CJ116" s="42">
        <f>'[1]побудинковий звіт'!CJ116+'[2]побудинковий звіт'!CJ116-'[3]побудинковий звіт'!CJ116</f>
        <v>0</v>
      </c>
      <c r="CK116" s="56">
        <f t="shared" si="142"/>
        <v>-18.717525177192137</v>
      </c>
      <c r="CL116" s="42">
        <f>'[1]побудинковий звіт'!CL116+'[2]побудинковий звіт'!CL116-'[3]побудинковий звіт'!CL116</f>
        <v>0</v>
      </c>
      <c r="CM116" s="42">
        <f>'[1]побудинковий звіт'!CM116+'[2]побудинковий звіт'!CM116-'[3]побудинковий звіт'!CM116</f>
        <v>0</v>
      </c>
      <c r="CN116" s="56">
        <f t="shared" si="143"/>
        <v>0</v>
      </c>
      <c r="CO116" s="42">
        <f t="shared" si="123"/>
        <v>18.717525177192137</v>
      </c>
      <c r="CP116" s="43">
        <f t="shared" si="144"/>
        <v>0</v>
      </c>
      <c r="CQ116" s="56">
        <f t="shared" si="145"/>
        <v>-18.717525177192137</v>
      </c>
      <c r="CR116" s="78">
        <f t="shared" si="124"/>
        <v>13407.027383711024</v>
      </c>
      <c r="CS116" s="5">
        <f t="shared" si="124"/>
        <v>9433.4952866677449</v>
      </c>
      <c r="CT116" s="56">
        <f t="shared" si="146"/>
        <v>-3973.5320970432786</v>
      </c>
      <c r="CU116" s="87">
        <f t="shared" si="147"/>
        <v>16088.432860453227</v>
      </c>
      <c r="CV116" s="70">
        <f t="shared" si="148"/>
        <v>11320.194344001293</v>
      </c>
      <c r="CW116" s="37">
        <f t="shared" si="149"/>
        <v>-4768.2385164519346</v>
      </c>
      <c r="CX116" s="42">
        <f>'[1]побудинковий звіт'!CX116+'[2]побудинковий звіт'!CX116-'[3]побудинковий звіт'!CX116</f>
        <v>402.32713954677092</v>
      </c>
      <c r="CY116" s="42">
        <f>'[1]побудинковий звіт'!CY116+'[2]побудинковий звіт'!CY116-'[3]побудинковий звіт'!CY116</f>
        <v>5170.5656559987074</v>
      </c>
      <c r="CZ116" s="56">
        <f t="shared" si="150"/>
        <v>4768.2385164519364</v>
      </c>
      <c r="DA116" s="264">
        <f>'[4]побудинковий звіт'!DA116</f>
        <v>-16690.310877466385</v>
      </c>
      <c r="DB116" s="2">
        <v>3</v>
      </c>
      <c r="DC116" s="717">
        <f>'[4]побудинковий звіт'!DC116</f>
        <v>1559.31</v>
      </c>
      <c r="DD116" s="717">
        <f>'[4]побудинковий звіт'!DD116</f>
        <v>0</v>
      </c>
      <c r="DE116" s="717">
        <f>'[4]побудинковий звіт'!DE116</f>
        <v>185.07999999999993</v>
      </c>
      <c r="DF116" s="717">
        <f>'[4]побудинковий звіт'!DF116</f>
        <v>0</v>
      </c>
      <c r="DG116" s="787">
        <v>-7629.2123192177714</v>
      </c>
      <c r="DH116" s="761">
        <f t="shared" si="109"/>
        <v>197889.12</v>
      </c>
      <c r="DI116" s="784"/>
      <c r="DJ116" s="5"/>
      <c r="DK116" s="317">
        <f>VLOOKUP($A116,ціни!$A$4:$G$401,5)</f>
        <v>3.6793047036957969</v>
      </c>
      <c r="DL116" s="317"/>
      <c r="DM116" s="317">
        <f>VLOOKUP($A116,ціни!$A$4:$G$401,7)</f>
        <v>3.5831688454069908</v>
      </c>
      <c r="DN116" s="30">
        <f t="shared" si="160"/>
        <v>1748.4055951962425</v>
      </c>
      <c r="DO116" s="30">
        <f t="shared" si="161"/>
        <v>0</v>
      </c>
      <c r="DP116" s="316">
        <f t="shared" si="101"/>
        <v>1748.4055951962425</v>
      </c>
      <c r="DQ116" s="104"/>
      <c r="DR116" s="30">
        <f>VLOOKUP(A116,'ДЗ нас '!$A$1:$C$359,2)</f>
        <v>1374.23</v>
      </c>
      <c r="DS116" s="748"/>
      <c r="DT116" s="30">
        <f t="shared" si="102"/>
        <v>1374.23</v>
      </c>
      <c r="DU116" s="257">
        <f>VLOOKUP(A116,'новий кошторис с 01.06'!$A$4:$AI$399,35)*1.2</f>
        <v>1380.9238205222355</v>
      </c>
      <c r="DV116" s="30">
        <f t="shared" si="103"/>
        <v>-6.6938205222354554</v>
      </c>
      <c r="DW116" s="930">
        <f>'[5]побудинковий звіт'!DW116+'[6]побудинковий звіт'!DW116</f>
        <v>0</v>
      </c>
      <c r="DY116" s="5">
        <f t="shared" si="104"/>
        <v>6936.9892326407644</v>
      </c>
      <c r="DZ116" s="5">
        <f t="shared" si="105"/>
        <v>0</v>
      </c>
      <c r="EA116" s="752">
        <f t="shared" si="110"/>
        <v>185.07999999999993</v>
      </c>
      <c r="EC116" s="592">
        <f t="shared" si="106"/>
        <v>57076.372724099871</v>
      </c>
      <c r="EE116" s="758">
        <v>3304</v>
      </c>
      <c r="EF116" s="738">
        <f t="shared" si="107"/>
        <v>-4325.2123192177714</v>
      </c>
      <c r="EH116" s="813">
        <v>-12284.055693374004</v>
      </c>
    </row>
    <row r="117" spans="1:138" x14ac:dyDescent="0.3">
      <c r="A117" s="328">
        <v>150000578</v>
      </c>
      <c r="B117" s="44" t="s">
        <v>567</v>
      </c>
      <c r="C117" s="45" t="s">
        <v>83</v>
      </c>
      <c r="D117" s="45" t="s">
        <v>83</v>
      </c>
      <c r="E117" s="40">
        <f t="shared" si="108"/>
        <v>1053.5</v>
      </c>
      <c r="F117" s="490">
        <v>1053.5</v>
      </c>
      <c r="G117" s="30"/>
      <c r="H117" s="30">
        <v>0</v>
      </c>
      <c r="I117" s="42">
        <f>'[1]побудинковий звіт'!I117+'[2]побудинковий звіт'!I117-'[3]побудинковий звіт'!I117</f>
        <v>0</v>
      </c>
      <c r="J117" s="42">
        <f>'[1]побудинковий звіт'!J117+'[2]побудинковий звіт'!J117-'[3]побудинковий звіт'!J117</f>
        <v>0</v>
      </c>
      <c r="K117" s="56">
        <f t="shared" si="125"/>
        <v>0</v>
      </c>
      <c r="L117" s="42">
        <f>'[1]побудинковий звіт'!L117+'[2]побудинковий звіт'!L117-'[3]побудинковий звіт'!L117</f>
        <v>0</v>
      </c>
      <c r="M117" s="42">
        <f>'[1]побудинковий звіт'!M117+'[2]побудинковий звіт'!M117-'[3]побудинковий звіт'!M117</f>
        <v>0</v>
      </c>
      <c r="N117" s="56">
        <f t="shared" si="126"/>
        <v>0</v>
      </c>
      <c r="O117" s="42">
        <f>'[1]побудинковий звіт'!O117+'[2]побудинковий звіт'!O117-'[3]побудинковий звіт'!O117</f>
        <v>0</v>
      </c>
      <c r="P117" s="42">
        <f>'[1]побудинковий звіт'!P117+'[2]побудинковий звіт'!P117-'[3]побудинковий звіт'!P117</f>
        <v>0</v>
      </c>
      <c r="Q117" s="56">
        <f t="shared" si="127"/>
        <v>0</v>
      </c>
      <c r="R117" s="42">
        <f>'[1]побудинковий звіт'!R117+'[2]побудинковий звіт'!R117-'[3]побудинковий звіт'!R117</f>
        <v>0</v>
      </c>
      <c r="S117" s="42">
        <f>'[1]побудинковий звіт'!S117+'[2]побудинковий звіт'!S117-'[3]побудинковий звіт'!S117</f>
        <v>0</v>
      </c>
      <c r="T117" s="56">
        <f t="shared" si="128"/>
        <v>0</v>
      </c>
      <c r="U117" s="42">
        <f>'[1]побудинковий звіт'!U117+'[2]побудинковий звіт'!U117-'[3]побудинковий звіт'!U117</f>
        <v>0</v>
      </c>
      <c r="V117" s="42">
        <f>'[1]побудинковий звіт'!V117+'[2]побудинковий звіт'!V117-'[3]побудинковий звіт'!V117</f>
        <v>0</v>
      </c>
      <c r="W117" s="56">
        <f t="shared" si="129"/>
        <v>0</v>
      </c>
      <c r="X117" s="42">
        <f>'[1]побудинковий звіт'!X117+'[2]побудинковий звіт'!X117-'[3]побудинковий звіт'!X117</f>
        <v>0</v>
      </c>
      <c r="Y117" s="42">
        <f>'[1]побудинковий звіт'!Y117+'[2]побудинковий звіт'!Y117-'[3]побудинковий звіт'!Y117</f>
        <v>0</v>
      </c>
      <c r="Z117" s="56">
        <f t="shared" si="130"/>
        <v>0</v>
      </c>
      <c r="AA117" s="42">
        <f>'[1]побудинковий звіт'!AA117+'[2]побудинковий звіт'!AA117-'[3]побудинковий звіт'!AA117</f>
        <v>0</v>
      </c>
      <c r="AB117" s="42">
        <f>'[1]побудинковий звіт'!AB117+'[2]побудинковий звіт'!AB117-'[3]побудинковий звіт'!AB117</f>
        <v>0</v>
      </c>
      <c r="AC117" s="56">
        <f t="shared" si="131"/>
        <v>0</v>
      </c>
      <c r="AD117" s="42">
        <f>'[1]побудинковий звіт'!AD117+'[2]побудинковий звіт'!AD117-'[3]побудинковий звіт'!AD117</f>
        <v>0</v>
      </c>
      <c r="AE117" s="42">
        <f>'[1]побудинковий звіт'!AE117+'[2]побудинковий звіт'!AE117-'[3]побудинковий звіт'!AE117</f>
        <v>115.73823568690881</v>
      </c>
      <c r="AF117" s="37">
        <f t="shared" si="132"/>
        <v>115.73823568690881</v>
      </c>
      <c r="AG117" s="87">
        <f t="shared" si="120"/>
        <v>0</v>
      </c>
      <c r="AH117" s="57">
        <f t="shared" si="120"/>
        <v>115.73823568690881</v>
      </c>
      <c r="AI117" s="56">
        <f t="shared" si="133"/>
        <v>115.73823568690881</v>
      </c>
      <c r="AJ117" s="42">
        <f>'[1]побудинковий звіт'!AJ117+'[2]побудинковий звіт'!AJ117-'[3]побудинковий звіт'!AJ117</f>
        <v>0</v>
      </c>
      <c r="AK117" s="42">
        <f>'[1]побудинковий звіт'!AK117+'[2]побудинковий звіт'!AK117-'[3]побудинковий звіт'!AK117</f>
        <v>0</v>
      </c>
      <c r="AL117" s="56">
        <f t="shared" si="134"/>
        <v>0</v>
      </c>
      <c r="AM117" s="42">
        <f>'[1]побудинковий звіт'!AM117+'[2]побудинковий звіт'!AM117-'[3]побудинковий звіт'!AM117</f>
        <v>0</v>
      </c>
      <c r="AN117" s="42">
        <f>'[1]побудинковий звіт'!AN117+'[2]побудинковий звіт'!AN117-'[3]побудинковий звіт'!AN117</f>
        <v>0</v>
      </c>
      <c r="AO117" s="56">
        <f t="shared" si="135"/>
        <v>0</v>
      </c>
      <c r="AP117" s="42">
        <f>'[1]побудинковий звіт'!AP117+'[2]побудинковий звіт'!AP117-'[3]побудинковий звіт'!AP117</f>
        <v>189.40352857872992</v>
      </c>
      <c r="AQ117" s="42">
        <f>'[1]побудинковий звіт'!AQ117+'[2]побудинковий звіт'!AQ117-'[3]побудинковий звіт'!AQ117</f>
        <v>93.429126284801754</v>
      </c>
      <c r="AR117" s="56">
        <f t="shared" si="136"/>
        <v>-95.974402293928165</v>
      </c>
      <c r="AS117" s="42">
        <f>'[1]побудинковий звіт'!AS117+'[2]побудинковий звіт'!AS117-'[3]побудинковий звіт'!AS117</f>
        <v>2489.1927430636861</v>
      </c>
      <c r="AT117" s="42">
        <f>'[1]побудинковий звіт'!AT117+'[2]побудинковий звіт'!AT117-'[3]побудинковий звіт'!AT117</f>
        <v>0</v>
      </c>
      <c r="AU117" s="58">
        <f t="shared" si="151"/>
        <v>-2489.1927430636861</v>
      </c>
      <c r="AV117" s="42">
        <f>'[1]побудинковий звіт'!AV117+'[2]побудинковий звіт'!AV117-'[3]побудинковий звіт'!AV117</f>
        <v>0</v>
      </c>
      <c r="AW117" s="42">
        <f>'[1]побудинковий звіт'!AW117+'[2]побудинковий звіт'!AW117-'[3]побудинковий звіт'!AW117</f>
        <v>0</v>
      </c>
      <c r="AX117" s="59">
        <f t="shared" si="152"/>
        <v>0</v>
      </c>
      <c r="AY117" s="42">
        <f>'[1]побудинковий звіт'!AY117+'[2]побудинковий звіт'!AY117-'[3]побудинковий звіт'!AY117</f>
        <v>0</v>
      </c>
      <c r="AZ117" s="42">
        <f>'[1]побудинковий звіт'!AZ117+'[2]побудинковий звіт'!AZ117-'[3]побудинковий звіт'!AZ117</f>
        <v>0</v>
      </c>
      <c r="BA117" s="37">
        <f t="shared" si="153"/>
        <v>0</v>
      </c>
      <c r="BB117" s="42">
        <f>'[1]побудинковий звіт'!BB117+'[2]побудинковий звіт'!BB117-'[3]побудинковий звіт'!BB117</f>
        <v>0</v>
      </c>
      <c r="BC117" s="42">
        <f>'[1]побудинковий звіт'!BC117+'[2]побудинковий звіт'!BC117-'[3]побудинковий звіт'!BC117</f>
        <v>0</v>
      </c>
      <c r="BD117" s="59">
        <f t="shared" si="154"/>
        <v>0</v>
      </c>
      <c r="BE117" s="42">
        <f>'[1]побудинковий звіт'!BE117+'[2]побудинковий звіт'!BE117-'[3]побудинковий звіт'!BE117</f>
        <v>0</v>
      </c>
      <c r="BF117" s="42">
        <f>'[1]побудинковий звіт'!BF117+'[2]побудинковий звіт'!BF117-'[3]побудинковий звіт'!BF117</f>
        <v>0</v>
      </c>
      <c r="BG117" s="39">
        <f t="shared" si="155"/>
        <v>0</v>
      </c>
      <c r="BH117" s="42">
        <f>'[1]побудинковий звіт'!BH117+'[2]побудинковий звіт'!BH117-'[3]побудинковий звіт'!BH117</f>
        <v>0</v>
      </c>
      <c r="BI117" s="42">
        <f>'[1]побудинковий звіт'!BI117+'[2]побудинковий звіт'!BI117-'[3]побудинковий звіт'!BI117</f>
        <v>0</v>
      </c>
      <c r="BJ117" s="59">
        <f t="shared" si="156"/>
        <v>0</v>
      </c>
      <c r="BK117" s="42">
        <f>'[1]побудинковий звіт'!BK117+'[2]побудинковий звіт'!BK117-'[3]побудинковий звіт'!BK117</f>
        <v>0</v>
      </c>
      <c r="BL117" s="42">
        <f>'[1]побудинковий звіт'!BL117+'[2]побудинковий звіт'!BL117-'[3]побудинковий звіт'!BL117</f>
        <v>0</v>
      </c>
      <c r="BM117" s="39">
        <f t="shared" si="157"/>
        <v>0</v>
      </c>
      <c r="BN117" s="42">
        <f>'[1]побудинковий звіт'!BN117+'[2]побудинковий звіт'!BN117-'[3]побудинковий звіт'!BN117</f>
        <v>0</v>
      </c>
      <c r="BO117" s="42">
        <f>'[1]побудинковий звіт'!BO117+'[2]побудинковий звіт'!BO117-'[3]побудинковий звіт'!BO117</f>
        <v>0</v>
      </c>
      <c r="BP117" s="59">
        <f t="shared" si="158"/>
        <v>0</v>
      </c>
      <c r="BQ117" s="87">
        <f t="shared" si="121"/>
        <v>0</v>
      </c>
      <c r="BR117" s="43">
        <f t="shared" si="122"/>
        <v>0</v>
      </c>
      <c r="BS117" s="59">
        <f t="shared" si="159"/>
        <v>0</v>
      </c>
      <c r="BT117" s="42">
        <f>'[1]побудинковий звіт'!BT117+'[2]побудинковий звіт'!BT117-'[3]побудинковий звіт'!BT117</f>
        <v>95.708043016790015</v>
      </c>
      <c r="BU117" s="42">
        <f>'[1]побудинковий звіт'!BU117+'[2]побудинковий звіт'!BU117-'[3]побудинковий звіт'!BU117</f>
        <v>414.12991587823905</v>
      </c>
      <c r="BV117" s="56">
        <f t="shared" si="137"/>
        <v>318.42187286144906</v>
      </c>
      <c r="BW117" s="42">
        <f>'[1]побудинковий звіт'!BW117+'[2]побудинковий звіт'!BW117-'[3]побудинковий звіт'!BW117</f>
        <v>0</v>
      </c>
      <c r="BX117" s="42">
        <f>'[1]побудинковий звіт'!BX117+'[2]побудинковий звіт'!BX117-'[3]побудинковий звіт'!BX117</f>
        <v>5.5970873078654817</v>
      </c>
      <c r="BY117" s="56">
        <f t="shared" si="138"/>
        <v>5.5970873078654817</v>
      </c>
      <c r="BZ117" s="42">
        <f>'[1]побудинковий звіт'!BZ117+'[2]побудинковий звіт'!BZ117-'[3]побудинковий звіт'!BZ117</f>
        <v>0</v>
      </c>
      <c r="CA117" s="42">
        <f>'[1]побудинковий звіт'!CA117+'[2]побудинковий звіт'!CA117-'[3]побудинковий звіт'!CA117</f>
        <v>99.823790733434592</v>
      </c>
      <c r="CB117" s="56">
        <f t="shared" si="139"/>
        <v>99.823790733434592</v>
      </c>
      <c r="CC117" s="42">
        <f>'[1]побудинковий звіт'!CC117+'[2]побудинковий звіт'!CC117-'[3]побудинковий звіт'!CC117</f>
        <v>0</v>
      </c>
      <c r="CD117" s="42">
        <f>'[1]побудинковий звіт'!CD117+'[2]побудинковий звіт'!CD117-'[3]побудинковий звіт'!CD117</f>
        <v>0</v>
      </c>
      <c r="CE117" s="56">
        <f t="shared" si="140"/>
        <v>0</v>
      </c>
      <c r="CF117" s="42">
        <f>'[1]побудинковий звіт'!CF117+'[2]побудинковий звіт'!CF117-'[3]побудинковий звіт'!CF117</f>
        <v>0</v>
      </c>
      <c r="CG117" s="42">
        <f>'[1]побудинковий звіт'!CG117+'[2]побудинковий звіт'!CG117-'[3]побудинковий звіт'!CG117</f>
        <v>0</v>
      </c>
      <c r="CH117" s="56">
        <f t="shared" si="141"/>
        <v>0</v>
      </c>
      <c r="CI117" s="42">
        <f>'[1]побудинковий звіт'!CI117+'[2]побудинковий звіт'!CI117-'[3]побудинковий звіт'!CI117</f>
        <v>0</v>
      </c>
      <c r="CJ117" s="42">
        <f>'[1]побудинковий звіт'!CJ117+'[2]побудинковий звіт'!CJ117-'[3]побудинковий звіт'!CJ117</f>
        <v>0</v>
      </c>
      <c r="CK117" s="56">
        <f t="shared" si="142"/>
        <v>0</v>
      </c>
      <c r="CL117" s="42">
        <f>'[1]побудинковий звіт'!CL117+'[2]побудинковий звіт'!CL117-'[3]побудинковий звіт'!CL117</f>
        <v>0</v>
      </c>
      <c r="CM117" s="42">
        <f>'[1]побудинковий звіт'!CM117+'[2]побудинковий звіт'!CM117-'[3]побудинковий звіт'!CM117</f>
        <v>0</v>
      </c>
      <c r="CN117" s="56">
        <f t="shared" si="143"/>
        <v>0</v>
      </c>
      <c r="CO117" s="42">
        <f t="shared" si="123"/>
        <v>0</v>
      </c>
      <c r="CP117" s="43">
        <f t="shared" si="144"/>
        <v>0</v>
      </c>
      <c r="CQ117" s="56">
        <f t="shared" si="145"/>
        <v>0</v>
      </c>
      <c r="CR117" s="78">
        <f t="shared" si="124"/>
        <v>2774.3043146592058</v>
      </c>
      <c r="CS117" s="5">
        <f t="shared" si="124"/>
        <v>728.71815589124981</v>
      </c>
      <c r="CT117" s="56">
        <f t="shared" si="146"/>
        <v>-2045.586158767956</v>
      </c>
      <c r="CU117" s="87">
        <f t="shared" si="147"/>
        <v>3329.1651775910468</v>
      </c>
      <c r="CV117" s="70">
        <f t="shared" si="148"/>
        <v>874.46178706949979</v>
      </c>
      <c r="CW117" s="37">
        <f t="shared" si="149"/>
        <v>-2454.7033905215471</v>
      </c>
      <c r="CX117" s="42">
        <f>'[1]побудинковий звіт'!CX117+'[2]побудинковий звіт'!CX117-'[3]побудинковий звіт'!CX117</f>
        <v>50.034822408953687</v>
      </c>
      <c r="CY117" s="42">
        <f>'[1]побудинковий звіт'!CY117+'[2]побудинковий звіт'!CY117-'[3]побудинковий звіт'!CY117</f>
        <v>2504.7382129305006</v>
      </c>
      <c r="CZ117" s="56">
        <f t="shared" si="150"/>
        <v>2454.7033905215467</v>
      </c>
      <c r="DA117" s="264">
        <f>'[4]побудинковий звіт'!DA117</f>
        <v>-7586.0473826786774</v>
      </c>
      <c r="DB117" s="2">
        <v>3</v>
      </c>
      <c r="DC117" s="717">
        <f>'[4]побудинковий звіт'!DC117</f>
        <v>281.60000000000002</v>
      </c>
      <c r="DD117" s="717">
        <f>'[4]побудинковий звіт'!DD117</f>
        <v>0</v>
      </c>
      <c r="DE117" s="717">
        <f>'[4]побудинковий звіт'!DE117</f>
        <v>0</v>
      </c>
      <c r="DF117" s="717">
        <f>'[4]побудинковий звіт'!DF117</f>
        <v>0</v>
      </c>
      <c r="DG117" s="787">
        <v>-4192.7715484406926</v>
      </c>
      <c r="DH117" s="761">
        <f t="shared" si="109"/>
        <v>40550.400000000009</v>
      </c>
      <c r="DI117" s="784"/>
      <c r="DJ117" s="5"/>
      <c r="DK117" s="317">
        <f>VLOOKUP($A117,ціни!$A$4:$G$401,5)</f>
        <v>1.6206727363332911</v>
      </c>
      <c r="DL117" s="317"/>
      <c r="DM117" s="317">
        <f>VLOOKUP($A117,ціни!$A$4:$G$401,7)</f>
        <v>1.6206727363332911</v>
      </c>
      <c r="DN117" s="30">
        <f t="shared" si="160"/>
        <v>1707.3787277271222</v>
      </c>
      <c r="DO117" s="30">
        <f t="shared" si="161"/>
        <v>0</v>
      </c>
      <c r="DP117" s="316">
        <f t="shared" si="101"/>
        <v>1707.3787277271222</v>
      </c>
      <c r="DQ117" s="104"/>
      <c r="DR117" s="30">
        <f>VLOOKUP(A117,'ДЗ нас '!$A$1:$C$359,2)</f>
        <v>281.60000000000002</v>
      </c>
      <c r="DS117" s="748"/>
      <c r="DT117" s="30">
        <f t="shared" si="102"/>
        <v>281.60000000000002</v>
      </c>
      <c r="DU117" s="257">
        <f>VLOOKUP(A117,'новий кошторис с 01.06'!$A$4:$AI$399,35)*1.2</f>
        <v>282.4241792323071</v>
      </c>
      <c r="DV117" s="30">
        <f t="shared" si="103"/>
        <v>-0.82417923230707402</v>
      </c>
      <c r="DW117" s="930">
        <f>'[5]побудинковий звіт'!DW117+'[6]побудинковий звіт'!DW117</f>
        <v>204</v>
      </c>
      <c r="DY117" s="5">
        <f t="shared" si="104"/>
        <v>2987.0312916764233</v>
      </c>
      <c r="DZ117" s="5">
        <f t="shared" si="105"/>
        <v>0</v>
      </c>
      <c r="EA117" s="752">
        <f t="shared" si="110"/>
        <v>0</v>
      </c>
      <c r="EC117" s="592">
        <f t="shared" si="106"/>
        <v>29870.312916764233</v>
      </c>
      <c r="EE117" s="758">
        <v>588</v>
      </c>
      <c r="EF117" s="738">
        <f t="shared" si="107"/>
        <v>-3604.7715484406926</v>
      </c>
      <c r="EH117" s="813">
        <v>-5442.2502190568721</v>
      </c>
    </row>
    <row r="118" spans="1:138" x14ac:dyDescent="0.3">
      <c r="A118" s="328">
        <v>150000580</v>
      </c>
      <c r="B118" s="44" t="s">
        <v>568</v>
      </c>
      <c r="C118" s="45" t="s">
        <v>84</v>
      </c>
      <c r="D118" s="45" t="s">
        <v>84</v>
      </c>
      <c r="E118" s="40">
        <f t="shared" si="108"/>
        <v>1379.8</v>
      </c>
      <c r="F118" s="490">
        <v>1379.8</v>
      </c>
      <c r="G118" s="30"/>
      <c r="H118" s="30">
        <v>0</v>
      </c>
      <c r="I118" s="42">
        <f>'[1]побудинковий звіт'!I118+'[2]побудинковий звіт'!I118-'[3]побудинковий звіт'!I118</f>
        <v>0</v>
      </c>
      <c r="J118" s="42">
        <f>'[1]побудинковий звіт'!J118+'[2]побудинковий звіт'!J118-'[3]побудинковий звіт'!J118</f>
        <v>0</v>
      </c>
      <c r="K118" s="56">
        <f t="shared" si="125"/>
        <v>0</v>
      </c>
      <c r="L118" s="42">
        <f>'[1]побудинковий звіт'!L118+'[2]побудинковий звіт'!L118-'[3]побудинковий звіт'!L118</f>
        <v>0</v>
      </c>
      <c r="M118" s="42">
        <f>'[1]побудинковий звіт'!M118+'[2]побудинковий звіт'!M118-'[3]побудинковий звіт'!M118</f>
        <v>0</v>
      </c>
      <c r="N118" s="56">
        <f t="shared" si="126"/>
        <v>0</v>
      </c>
      <c r="O118" s="42">
        <f>'[1]побудинковий звіт'!O118+'[2]побудинковий звіт'!O118-'[3]побудинковий звіт'!O118</f>
        <v>0</v>
      </c>
      <c r="P118" s="42">
        <f>'[1]побудинковий звіт'!P118+'[2]побудинковий звіт'!P118-'[3]побудинковий звіт'!P118</f>
        <v>0</v>
      </c>
      <c r="Q118" s="56">
        <f t="shared" si="127"/>
        <v>0</v>
      </c>
      <c r="R118" s="42">
        <f>'[1]побудинковий звіт'!R118+'[2]побудинковий звіт'!R118-'[3]побудинковий звіт'!R118</f>
        <v>0</v>
      </c>
      <c r="S118" s="42">
        <f>'[1]побудинковий звіт'!S118+'[2]побудинковий звіт'!S118-'[3]побудинковий звіт'!S118</f>
        <v>0</v>
      </c>
      <c r="T118" s="56">
        <f t="shared" si="128"/>
        <v>0</v>
      </c>
      <c r="U118" s="42">
        <f>'[1]побудинковий звіт'!U118+'[2]побудинковий звіт'!U118-'[3]побудинковий звіт'!U118</f>
        <v>0</v>
      </c>
      <c r="V118" s="42">
        <f>'[1]побудинковий звіт'!V118+'[2]побудинковий звіт'!V118-'[3]побудинковий звіт'!V118</f>
        <v>0</v>
      </c>
      <c r="W118" s="56">
        <f t="shared" si="129"/>
        <v>0</v>
      </c>
      <c r="X118" s="42">
        <f>'[1]побудинковий звіт'!X118+'[2]побудинковий звіт'!X118-'[3]побудинковий звіт'!X118</f>
        <v>0</v>
      </c>
      <c r="Y118" s="42">
        <f>'[1]побудинковий звіт'!Y118+'[2]побудинковий звіт'!Y118-'[3]побудинковий звіт'!Y118</f>
        <v>0</v>
      </c>
      <c r="Z118" s="56">
        <f t="shared" si="130"/>
        <v>0</v>
      </c>
      <c r="AA118" s="42">
        <f>'[1]побудинковий звіт'!AA118+'[2]побудинковий звіт'!AA118-'[3]побудинковий звіт'!AA118</f>
        <v>0</v>
      </c>
      <c r="AB118" s="42">
        <f>'[1]побудинковий звіт'!AB118+'[2]побудинковий звіт'!AB118-'[3]побудинковий звіт'!AB118</f>
        <v>0</v>
      </c>
      <c r="AC118" s="56">
        <f t="shared" si="131"/>
        <v>0</v>
      </c>
      <c r="AD118" s="42">
        <f>'[1]побудинковий звіт'!AD118+'[2]побудинковий звіт'!AD118-'[3]побудинковий звіт'!AD118</f>
        <v>0</v>
      </c>
      <c r="AE118" s="42">
        <f>'[1]побудинковий звіт'!AE118+'[2]побудинковий звіт'!AE118-'[3]побудинковий звіт'!AE118</f>
        <v>125.49688404842371</v>
      </c>
      <c r="AF118" s="37">
        <f t="shared" si="132"/>
        <v>125.49688404842371</v>
      </c>
      <c r="AG118" s="87">
        <f t="shared" si="120"/>
        <v>0</v>
      </c>
      <c r="AH118" s="57">
        <f t="shared" si="120"/>
        <v>125.49688404842371</v>
      </c>
      <c r="AI118" s="56">
        <f t="shared" si="133"/>
        <v>125.49688404842371</v>
      </c>
      <c r="AJ118" s="42">
        <f>'[1]побудинковий звіт'!AJ118+'[2]побудинковий звіт'!AJ118-'[3]побудинковий звіт'!AJ118</f>
        <v>0</v>
      </c>
      <c r="AK118" s="42">
        <f>'[1]побудинковий звіт'!AK118+'[2]побудинковий звіт'!AK118-'[3]побудинковий звіт'!AK118</f>
        <v>0</v>
      </c>
      <c r="AL118" s="56">
        <f t="shared" si="134"/>
        <v>0</v>
      </c>
      <c r="AM118" s="42">
        <f>'[1]побудинковий звіт'!AM118+'[2]побудинковий звіт'!AM118-'[3]побудинковий звіт'!AM118</f>
        <v>0</v>
      </c>
      <c r="AN118" s="42">
        <f>'[1]побудинковий звіт'!AN118+'[2]побудинковий звіт'!AN118-'[3]побудинковий звіт'!AN118</f>
        <v>0</v>
      </c>
      <c r="AO118" s="56">
        <f t="shared" si="135"/>
        <v>0</v>
      </c>
      <c r="AP118" s="42">
        <f>'[1]побудинковий звіт'!AP118+'[2]побудинковий звіт'!AP118-'[3]побудинковий звіт'!AP118</f>
        <v>142.05264643404746</v>
      </c>
      <c r="AQ118" s="42">
        <f>'[1]побудинковий звіт'!AQ118+'[2]побудинковий звіт'!AQ118-'[3]побудинковий звіт'!AQ118</f>
        <v>70.071844713601308</v>
      </c>
      <c r="AR118" s="56">
        <f t="shared" si="136"/>
        <v>-71.980801720446152</v>
      </c>
      <c r="AS118" s="42">
        <f>'[1]побудинковий звіт'!AS118+'[2]побудинковий звіт'!AS118-'[3]побудинковий звіт'!AS118</f>
        <v>2100.6726300617297</v>
      </c>
      <c r="AT118" s="42">
        <f>'[1]побудинковий звіт'!AT118+'[2]побудинковий звіт'!AT118-'[3]побудинковий звіт'!AT118</f>
        <v>0</v>
      </c>
      <c r="AU118" s="58">
        <f t="shared" si="151"/>
        <v>-2100.6726300617297</v>
      </c>
      <c r="AV118" s="42">
        <f>'[1]побудинковий звіт'!AV118+'[2]побудинковий звіт'!AV118-'[3]побудинковий звіт'!AV118</f>
        <v>0</v>
      </c>
      <c r="AW118" s="42">
        <f>'[1]побудинковий звіт'!AW118+'[2]побудинковий звіт'!AW118-'[3]побудинковий звіт'!AW118</f>
        <v>0</v>
      </c>
      <c r="AX118" s="59">
        <f t="shared" si="152"/>
        <v>0</v>
      </c>
      <c r="AY118" s="42">
        <f>'[1]побудинковий звіт'!AY118+'[2]побудинковий звіт'!AY118-'[3]побудинковий звіт'!AY118</f>
        <v>0</v>
      </c>
      <c r="AZ118" s="42">
        <f>'[1]побудинковий звіт'!AZ118+'[2]побудинковий звіт'!AZ118-'[3]побудинковий звіт'!AZ118</f>
        <v>0</v>
      </c>
      <c r="BA118" s="37">
        <f t="shared" si="153"/>
        <v>0</v>
      </c>
      <c r="BB118" s="42">
        <f>'[1]побудинковий звіт'!BB118+'[2]побудинковий звіт'!BB118-'[3]побудинковий звіт'!BB118</f>
        <v>0</v>
      </c>
      <c r="BC118" s="42">
        <f>'[1]побудинковий звіт'!BC118+'[2]побудинковий звіт'!BC118-'[3]побудинковий звіт'!BC118</f>
        <v>0</v>
      </c>
      <c r="BD118" s="59">
        <f t="shared" si="154"/>
        <v>0</v>
      </c>
      <c r="BE118" s="42">
        <f>'[1]побудинковий звіт'!BE118+'[2]побудинковий звіт'!BE118-'[3]побудинковий звіт'!BE118</f>
        <v>0</v>
      </c>
      <c r="BF118" s="42">
        <f>'[1]побудинковий звіт'!BF118+'[2]побудинковий звіт'!BF118-'[3]побудинковий звіт'!BF118</f>
        <v>0</v>
      </c>
      <c r="BG118" s="39">
        <f t="shared" si="155"/>
        <v>0</v>
      </c>
      <c r="BH118" s="42">
        <f>'[1]побудинковий звіт'!BH118+'[2]побудинковий звіт'!BH118-'[3]побудинковий звіт'!BH118</f>
        <v>0</v>
      </c>
      <c r="BI118" s="42">
        <f>'[1]побудинковий звіт'!BI118+'[2]побудинковий звіт'!BI118-'[3]побудинковий звіт'!BI118</f>
        <v>0</v>
      </c>
      <c r="BJ118" s="59">
        <f t="shared" si="156"/>
        <v>0</v>
      </c>
      <c r="BK118" s="42">
        <f>'[1]побудинковий звіт'!BK118+'[2]побудинковий звіт'!BK118-'[3]побудинковий звіт'!BK118</f>
        <v>0</v>
      </c>
      <c r="BL118" s="42">
        <f>'[1]побудинковий звіт'!BL118+'[2]побудинковий звіт'!BL118-'[3]побудинковий звіт'!BL118</f>
        <v>0</v>
      </c>
      <c r="BM118" s="39">
        <f t="shared" si="157"/>
        <v>0</v>
      </c>
      <c r="BN118" s="42">
        <f>'[1]побудинковий звіт'!BN118+'[2]побудинковий звіт'!BN118-'[3]побудинковий звіт'!BN118</f>
        <v>0</v>
      </c>
      <c r="BO118" s="42">
        <f>'[1]побудинковий звіт'!BO118+'[2]побудинковий звіт'!BO118-'[3]побудинковий звіт'!BO118</f>
        <v>0</v>
      </c>
      <c r="BP118" s="59">
        <f t="shared" si="158"/>
        <v>0</v>
      </c>
      <c r="BQ118" s="87">
        <f t="shared" si="121"/>
        <v>0</v>
      </c>
      <c r="BR118" s="43">
        <f t="shared" si="122"/>
        <v>0</v>
      </c>
      <c r="BS118" s="59">
        <f t="shared" si="159"/>
        <v>0</v>
      </c>
      <c r="BT118" s="42">
        <f>'[1]побудинковий звіт'!BT118+'[2]побудинковий звіт'!BT118-'[3]побудинковий звіт'!BT118</f>
        <v>191.41608603358003</v>
      </c>
      <c r="BU118" s="42">
        <f>'[1]побудинковий звіт'!BU118+'[2]побудинковий звіт'!BU118-'[3]побудинковий звіт'!BU118</f>
        <v>367.94023538039409</v>
      </c>
      <c r="BV118" s="56">
        <f t="shared" si="137"/>
        <v>176.52414934681406</v>
      </c>
      <c r="BW118" s="42">
        <f>'[1]побудинковий звіт'!BW118+'[2]побудинковий звіт'!BW118-'[3]побудинковий звіт'!BW118</f>
        <v>0</v>
      </c>
      <c r="BX118" s="42">
        <f>'[1]побудинковий звіт'!BX118+'[2]побудинковий звіт'!BX118-'[3]побудинковий звіт'!BX118</f>
        <v>6.0690143815934201</v>
      </c>
      <c r="BY118" s="56">
        <f t="shared" si="138"/>
        <v>6.0690143815934201</v>
      </c>
      <c r="BZ118" s="42">
        <f>'[1]побудинковий звіт'!BZ118+'[2]побудинковий звіт'!BZ118-'[3]побудинковий звіт'!BZ118</f>
        <v>0</v>
      </c>
      <c r="CA118" s="42">
        <f>'[1]побудинковий звіт'!CA118+'[2]побудинковий звіт'!CA118-'[3]побудинковий звіт'!CA118</f>
        <v>88.690016467735958</v>
      </c>
      <c r="CB118" s="56">
        <f t="shared" si="139"/>
        <v>88.690016467735958</v>
      </c>
      <c r="CC118" s="42">
        <f>'[1]побудинковий звіт'!CC118+'[2]побудинковий звіт'!CC118-'[3]побудинковий звіт'!CC118</f>
        <v>0</v>
      </c>
      <c r="CD118" s="42">
        <f>'[1]побудинковий звіт'!CD118+'[2]побудинковий звіт'!CD118-'[3]побудинковий звіт'!CD118</f>
        <v>0</v>
      </c>
      <c r="CE118" s="56">
        <f t="shared" si="140"/>
        <v>0</v>
      </c>
      <c r="CF118" s="42">
        <f>'[1]побудинковий звіт'!CF118+'[2]побудинковий звіт'!CF118-'[3]побудинковий звіт'!CF118</f>
        <v>0</v>
      </c>
      <c r="CG118" s="42">
        <f>'[1]побудинковий звіт'!CG118+'[2]побудинковий звіт'!CG118-'[3]побудинковий звіт'!CG118</f>
        <v>0</v>
      </c>
      <c r="CH118" s="56">
        <f t="shared" si="141"/>
        <v>0</v>
      </c>
      <c r="CI118" s="42">
        <f>'[1]побудинковий звіт'!CI118+'[2]побудинковий звіт'!CI118-'[3]побудинковий звіт'!CI118</f>
        <v>0</v>
      </c>
      <c r="CJ118" s="42">
        <f>'[1]побудинковий звіт'!CJ118+'[2]побудинковий звіт'!CJ118-'[3]побудинковий звіт'!CJ118</f>
        <v>0</v>
      </c>
      <c r="CK118" s="56">
        <f t="shared" si="142"/>
        <v>0</v>
      </c>
      <c r="CL118" s="42">
        <f>'[1]побудинковий звіт'!CL118+'[2]побудинковий звіт'!CL118-'[3]побудинковий звіт'!CL118</f>
        <v>0</v>
      </c>
      <c r="CM118" s="42">
        <f>'[1]побудинковий звіт'!CM118+'[2]побудинковий звіт'!CM118-'[3]побудинковий звіт'!CM118</f>
        <v>0</v>
      </c>
      <c r="CN118" s="56">
        <f t="shared" si="143"/>
        <v>0</v>
      </c>
      <c r="CO118" s="42">
        <f t="shared" si="123"/>
        <v>0</v>
      </c>
      <c r="CP118" s="43">
        <f t="shared" si="144"/>
        <v>0</v>
      </c>
      <c r="CQ118" s="56">
        <f t="shared" si="145"/>
        <v>0</v>
      </c>
      <c r="CR118" s="78">
        <f t="shared" si="124"/>
        <v>2434.1413625293571</v>
      </c>
      <c r="CS118" s="5">
        <f t="shared" si="124"/>
        <v>658.26799499174854</v>
      </c>
      <c r="CT118" s="56">
        <f t="shared" si="146"/>
        <v>-1775.8733675376086</v>
      </c>
      <c r="CU118" s="87">
        <f t="shared" si="147"/>
        <v>2920.9696350352283</v>
      </c>
      <c r="CV118" s="70">
        <f t="shared" si="148"/>
        <v>789.92159399009824</v>
      </c>
      <c r="CW118" s="37">
        <f t="shared" si="149"/>
        <v>-2131.04804104513</v>
      </c>
      <c r="CX118" s="42">
        <f>'[1]побудинковий звіт'!CX118+'[2]побудинковий звіт'!CX118-'[3]побудинковий звіт'!CX118</f>
        <v>73.030364964771707</v>
      </c>
      <c r="CY118" s="42">
        <f>'[1]побудинковий звіт'!CY118+'[2]побудинковий звіт'!CY118-'[3]побудинковий звіт'!CY118</f>
        <v>2204.0784060099018</v>
      </c>
      <c r="CZ118" s="56">
        <f t="shared" si="150"/>
        <v>2131.04804104513</v>
      </c>
      <c r="DA118" s="264">
        <f>'[4]побудинковий звіт'!DA118</f>
        <v>-5908.1407554812831</v>
      </c>
      <c r="DB118" s="2">
        <v>3</v>
      </c>
      <c r="DC118" s="717">
        <f>'[4]побудинковий звіт'!DC118</f>
        <v>333.06</v>
      </c>
      <c r="DD118" s="717">
        <f>'[4]побудинковий звіт'!DD118</f>
        <v>0</v>
      </c>
      <c r="DE118" s="717">
        <f>'[4]побудинковий звіт'!DE118</f>
        <v>83.56</v>
      </c>
      <c r="DF118" s="717">
        <f>'[4]побудинковий звіт'!DF118</f>
        <v>0</v>
      </c>
      <c r="DG118" s="787">
        <v>-3264.7690640857741</v>
      </c>
      <c r="DH118" s="761">
        <f t="shared" si="109"/>
        <v>35928</v>
      </c>
      <c r="DI118" s="784"/>
      <c r="DJ118" s="5"/>
      <c r="DK118" s="317">
        <f>VLOOKUP($A118,ціни!$A$4:$G$401,5)</f>
        <v>1.324307269953604</v>
      </c>
      <c r="DL118" s="317"/>
      <c r="DM118" s="317">
        <f>VLOOKUP($A118,ціни!$A$4:$G$401,7)</f>
        <v>1.324307269953604</v>
      </c>
      <c r="DN118" s="30">
        <f t="shared" si="160"/>
        <v>1827.2791710819829</v>
      </c>
      <c r="DO118" s="30">
        <f t="shared" si="161"/>
        <v>0</v>
      </c>
      <c r="DP118" s="316">
        <f t="shared" ref="DP118:DP177" si="162">DN118+DO118</f>
        <v>1827.2791710819829</v>
      </c>
      <c r="DQ118" s="104"/>
      <c r="DR118" s="30">
        <f>VLOOKUP(A118,'ДЗ нас '!$A$1:$C$359,2)</f>
        <v>249.5</v>
      </c>
      <c r="DS118" s="748"/>
      <c r="DT118" s="30">
        <f t="shared" ref="DT118:DT177" si="163">DR118+DS118</f>
        <v>249.5</v>
      </c>
      <c r="DU118" s="257">
        <f>VLOOKUP(A118,'новий кошторис с 01.06'!$A$4:$AI$399,35)*1.2</f>
        <v>250.71656034052373</v>
      </c>
      <c r="DV118" s="30">
        <f t="shared" ref="DV118:DV177" si="164">DT118-DU118</f>
        <v>-1.2165603405237277</v>
      </c>
      <c r="DW118" s="930">
        <f>'[5]побудинковий звіт'!DW118+'[6]побудинковий звіт'!DW118</f>
        <v>0</v>
      </c>
      <c r="DY118" s="5">
        <f t="shared" si="104"/>
        <v>2520.8071560740755</v>
      </c>
      <c r="DZ118" s="5">
        <f t="shared" si="105"/>
        <v>0</v>
      </c>
      <c r="EA118" s="752">
        <f t="shared" si="110"/>
        <v>83.56</v>
      </c>
      <c r="EC118" s="592">
        <f t="shared" si="106"/>
        <v>25208.071560740755</v>
      </c>
      <c r="EE118" s="758">
        <v>-1707</v>
      </c>
      <c r="EF118" s="738">
        <f t="shared" si="107"/>
        <v>-4971.7690640857745</v>
      </c>
      <c r="EH118" s="813">
        <v>-4019.8110796745459</v>
      </c>
    </row>
    <row r="119" spans="1:138" x14ac:dyDescent="0.3">
      <c r="A119" s="328">
        <v>150001054</v>
      </c>
      <c r="B119" s="44" t="s">
        <v>569</v>
      </c>
      <c r="C119" s="45" t="s">
        <v>85</v>
      </c>
      <c r="D119" s="45" t="s">
        <v>85</v>
      </c>
      <c r="E119" s="40">
        <f t="shared" si="108"/>
        <v>498.78</v>
      </c>
      <c r="F119" s="490">
        <v>498.78</v>
      </c>
      <c r="G119" s="30"/>
      <c r="H119" s="30">
        <v>0</v>
      </c>
      <c r="I119" s="42">
        <f>'[1]побудинковий звіт'!I119+'[2]побудинковий звіт'!I119-'[3]побудинковий звіт'!I119</f>
        <v>0</v>
      </c>
      <c r="J119" s="42">
        <f>'[1]побудинковий звіт'!J119+'[2]побудинковий звіт'!J119-'[3]побудинковий звіт'!J119</f>
        <v>0</v>
      </c>
      <c r="K119" s="56">
        <f t="shared" si="125"/>
        <v>0</v>
      </c>
      <c r="L119" s="42">
        <f>'[1]побудинковий звіт'!L119+'[2]побудинковий звіт'!L119-'[3]побудинковий звіт'!L119</f>
        <v>0</v>
      </c>
      <c r="M119" s="42">
        <f>'[1]побудинковий звіт'!M119+'[2]побудинковий звіт'!M119-'[3]побудинковий звіт'!M119</f>
        <v>0</v>
      </c>
      <c r="N119" s="56">
        <f t="shared" si="126"/>
        <v>0</v>
      </c>
      <c r="O119" s="42">
        <f>'[1]побудинковий звіт'!O119+'[2]побудинковий звіт'!O119-'[3]побудинковий звіт'!O119</f>
        <v>0</v>
      </c>
      <c r="P119" s="42">
        <f>'[1]побудинковий звіт'!P119+'[2]побудинковий звіт'!P119-'[3]побудинковий звіт'!P119</f>
        <v>0</v>
      </c>
      <c r="Q119" s="56">
        <f t="shared" si="127"/>
        <v>0</v>
      </c>
      <c r="R119" s="42">
        <f>'[1]побудинковий звіт'!R119+'[2]побудинковий звіт'!R119-'[3]побудинковий звіт'!R119</f>
        <v>0</v>
      </c>
      <c r="S119" s="42">
        <f>'[1]побудинковий звіт'!S119+'[2]побудинковий звіт'!S119-'[3]побудинковий звіт'!S119</f>
        <v>0</v>
      </c>
      <c r="T119" s="56">
        <f t="shared" si="128"/>
        <v>0</v>
      </c>
      <c r="U119" s="42">
        <f>'[1]побудинковий звіт'!U119+'[2]побудинковий звіт'!U119-'[3]побудинковий звіт'!U119</f>
        <v>0</v>
      </c>
      <c r="V119" s="42">
        <f>'[1]побудинковий звіт'!V119+'[2]побудинковий звіт'!V119-'[3]побудинковий звіт'!V119</f>
        <v>0</v>
      </c>
      <c r="W119" s="56">
        <f t="shared" si="129"/>
        <v>0</v>
      </c>
      <c r="X119" s="42">
        <f>'[1]побудинковий звіт'!X119+'[2]побудинковий звіт'!X119-'[3]побудинковий звіт'!X119</f>
        <v>0</v>
      </c>
      <c r="Y119" s="42">
        <f>'[1]побудинковий звіт'!Y119+'[2]побудинковий звіт'!Y119-'[3]побудинковий звіт'!Y119</f>
        <v>0</v>
      </c>
      <c r="Z119" s="56">
        <f t="shared" si="130"/>
        <v>0</v>
      </c>
      <c r="AA119" s="42">
        <f>'[1]побудинковий звіт'!AA119+'[2]побудинковий звіт'!AA119-'[3]побудинковий звіт'!AA119</f>
        <v>0</v>
      </c>
      <c r="AB119" s="42">
        <f>'[1]побудинковий звіт'!AB119+'[2]побудинковий звіт'!AB119-'[3]побудинковий звіт'!AB119</f>
        <v>0</v>
      </c>
      <c r="AC119" s="56">
        <f t="shared" si="131"/>
        <v>0</v>
      </c>
      <c r="AD119" s="42">
        <f>'[1]побудинковий звіт'!AD119+'[2]побудинковий звіт'!AD119-'[3]побудинковий звіт'!AD119</f>
        <v>0</v>
      </c>
      <c r="AE119" s="42">
        <f>'[1]побудинковий звіт'!AE119+'[2]побудинковий звіт'!AE119-'[3]побудинковий звіт'!AE119</f>
        <v>130.22460940692412</v>
      </c>
      <c r="AF119" s="37">
        <f t="shared" si="132"/>
        <v>130.22460940692412</v>
      </c>
      <c r="AG119" s="87">
        <f t="shared" si="120"/>
        <v>0</v>
      </c>
      <c r="AH119" s="57">
        <f t="shared" si="120"/>
        <v>130.22460940692412</v>
      </c>
      <c r="AI119" s="56">
        <f t="shared" si="133"/>
        <v>130.22460940692412</v>
      </c>
      <c r="AJ119" s="42">
        <f>'[1]побудинковий звіт'!AJ119+'[2]побудинковий звіт'!AJ119-'[3]побудинковий звіт'!AJ119</f>
        <v>0</v>
      </c>
      <c r="AK119" s="42">
        <f>'[1]побудинковий звіт'!AK119+'[2]побудинковий звіт'!AK119-'[3]побудинковий звіт'!AK119</f>
        <v>0</v>
      </c>
      <c r="AL119" s="56">
        <f t="shared" si="134"/>
        <v>0</v>
      </c>
      <c r="AM119" s="42">
        <f>'[1]побудинковий звіт'!AM119+'[2]побудинковий звіт'!AM119-'[3]побудинковий звіт'!AM119</f>
        <v>0</v>
      </c>
      <c r="AN119" s="42">
        <f>'[1]побудинковий звіт'!AN119+'[2]побудинковий звіт'!AN119-'[3]побудинковий звіт'!AN119</f>
        <v>0</v>
      </c>
      <c r="AO119" s="56">
        <f t="shared" si="135"/>
        <v>0</v>
      </c>
      <c r="AP119" s="42">
        <f>'[1]побудинковий звіт'!AP119+'[2]побудинковий звіт'!AP119-'[3]побудинковий звіт'!AP119</f>
        <v>284.10529286809492</v>
      </c>
      <c r="AQ119" s="42">
        <f>'[1]побудинковий звіт'!AQ119+'[2]побудинковий звіт'!AQ119-'[3]побудинковий звіт'!AQ119</f>
        <v>95.761445792828511</v>
      </c>
      <c r="AR119" s="56">
        <f t="shared" si="136"/>
        <v>-188.34384707526641</v>
      </c>
      <c r="AS119" s="42">
        <f>'[1]побудинковий звіт'!AS119+'[2]побудинковий звіт'!AS119-'[3]побудинковий звіт'!AS119</f>
        <v>2268.1871834676772</v>
      </c>
      <c r="AT119" s="42">
        <f>'[1]побудинковий звіт'!AT119+'[2]побудинковий звіт'!AT119-'[3]побудинковий звіт'!AT119</f>
        <v>0</v>
      </c>
      <c r="AU119" s="58">
        <f t="shared" si="151"/>
        <v>-2268.1871834676772</v>
      </c>
      <c r="AV119" s="42">
        <f>'[1]побудинковий звіт'!AV119+'[2]побудинковий звіт'!AV119-'[3]побудинковий звіт'!AV119</f>
        <v>0</v>
      </c>
      <c r="AW119" s="42">
        <f>'[1]побудинковий звіт'!AW119+'[2]побудинковий звіт'!AW119-'[3]побудинковий звіт'!AW119</f>
        <v>0</v>
      </c>
      <c r="AX119" s="59">
        <f t="shared" si="152"/>
        <v>0</v>
      </c>
      <c r="AY119" s="42">
        <f>'[1]побудинковий звіт'!AY119+'[2]побудинковий звіт'!AY119-'[3]побудинковий звіт'!AY119</f>
        <v>0</v>
      </c>
      <c r="AZ119" s="42">
        <f>'[1]побудинковий звіт'!AZ119+'[2]побудинковий звіт'!AZ119-'[3]побудинковий звіт'!AZ119</f>
        <v>0</v>
      </c>
      <c r="BA119" s="37">
        <f t="shared" si="153"/>
        <v>0</v>
      </c>
      <c r="BB119" s="42">
        <f>'[1]побудинковий звіт'!BB119+'[2]побудинковий звіт'!BB119-'[3]побудинковий звіт'!BB119</f>
        <v>0</v>
      </c>
      <c r="BC119" s="42">
        <f>'[1]побудинковий звіт'!BC119+'[2]побудинковий звіт'!BC119-'[3]побудинковий звіт'!BC119</f>
        <v>0</v>
      </c>
      <c r="BD119" s="59">
        <f t="shared" si="154"/>
        <v>0</v>
      </c>
      <c r="BE119" s="42">
        <f>'[1]побудинковий звіт'!BE119+'[2]побудинковий звіт'!BE119-'[3]побудинковий звіт'!BE119</f>
        <v>0</v>
      </c>
      <c r="BF119" s="42">
        <f>'[1]побудинковий звіт'!BF119+'[2]побудинковий звіт'!BF119-'[3]побудинковий звіт'!BF119</f>
        <v>0</v>
      </c>
      <c r="BG119" s="39">
        <f t="shared" si="155"/>
        <v>0</v>
      </c>
      <c r="BH119" s="42">
        <f>'[1]побудинковий звіт'!BH119+'[2]побудинковий звіт'!BH119-'[3]побудинковий звіт'!BH119</f>
        <v>0</v>
      </c>
      <c r="BI119" s="42">
        <f>'[1]побудинковий звіт'!BI119+'[2]побудинковий звіт'!BI119-'[3]побудинковий звіт'!BI119</f>
        <v>0</v>
      </c>
      <c r="BJ119" s="59">
        <f t="shared" si="156"/>
        <v>0</v>
      </c>
      <c r="BK119" s="42">
        <f>'[1]побудинковий звіт'!BK119+'[2]побудинковий звіт'!BK119-'[3]побудинковий звіт'!BK119</f>
        <v>0</v>
      </c>
      <c r="BL119" s="42">
        <f>'[1]побудинковий звіт'!BL119+'[2]побудинковий звіт'!BL119-'[3]побудинковий звіт'!BL119</f>
        <v>0</v>
      </c>
      <c r="BM119" s="39">
        <f t="shared" si="157"/>
        <v>0</v>
      </c>
      <c r="BN119" s="42">
        <f>'[1]побудинковий звіт'!BN119+'[2]побудинковий звіт'!BN119-'[3]побудинковий звіт'!BN119</f>
        <v>0</v>
      </c>
      <c r="BO119" s="42">
        <f>'[1]побудинковий звіт'!BO119+'[2]побудинковий звіт'!BO119-'[3]побудинковий звіт'!BO119</f>
        <v>0</v>
      </c>
      <c r="BP119" s="59">
        <f t="shared" si="158"/>
        <v>0</v>
      </c>
      <c r="BQ119" s="87">
        <f t="shared" si="121"/>
        <v>0</v>
      </c>
      <c r="BR119" s="43">
        <f t="shared" si="122"/>
        <v>0</v>
      </c>
      <c r="BS119" s="59">
        <f t="shared" si="159"/>
        <v>0</v>
      </c>
      <c r="BT119" s="42">
        <f>'[1]побудинковий звіт'!BT119+'[2]побудинковий звіт'!BT119-'[3]побудинковий звіт'!BT119</f>
        <v>215.34309678777765</v>
      </c>
      <c r="BU119" s="42">
        <f>'[1]побудинковий звіт'!BU119+'[2]побудинковий звіт'!BU119-'[3]побудинковий звіт'!BU119</f>
        <v>286.71165535247854</v>
      </c>
      <c r="BV119" s="56">
        <f t="shared" si="137"/>
        <v>71.368558564700891</v>
      </c>
      <c r="BW119" s="42">
        <f>'[1]побудинковий звіт'!BW119+'[2]побудинковий звіт'!BW119-'[3]побудинковий звіт'!BW119</f>
        <v>0</v>
      </c>
      <c r="BX119" s="42">
        <f>'[1]побудинковий звіт'!BX119+'[2]побудинковий звіт'!BX119-'[3]побудинковий звіт'!BX119</f>
        <v>6.3005481084060673</v>
      </c>
      <c r="BY119" s="56">
        <f t="shared" si="138"/>
        <v>6.3005481084060673</v>
      </c>
      <c r="BZ119" s="42">
        <f>'[1]побудинковий звіт'!BZ119+'[2]побудинковий звіт'!BZ119-'[3]побудинковий звіт'!BZ119</f>
        <v>0</v>
      </c>
      <c r="CA119" s="42">
        <f>'[1]побудинковий звіт'!CA119+'[2]побудинковий звіт'!CA119-'[3]побудинковий звіт'!CA119</f>
        <v>69.386684575418997</v>
      </c>
      <c r="CB119" s="56">
        <f t="shared" si="139"/>
        <v>69.386684575418997</v>
      </c>
      <c r="CC119" s="42">
        <f>'[1]побудинковий звіт'!CC119+'[2]побудинковий звіт'!CC119-'[3]побудинковий звіт'!CC119</f>
        <v>0</v>
      </c>
      <c r="CD119" s="42">
        <f>'[1]побудинковий звіт'!CD119+'[2]побудинковий звіт'!CD119-'[3]побудинковий звіт'!CD119</f>
        <v>0</v>
      </c>
      <c r="CE119" s="56">
        <f t="shared" si="140"/>
        <v>0</v>
      </c>
      <c r="CF119" s="42">
        <f>'[1]побудинковий звіт'!CF119+'[2]побудинковий звіт'!CF119-'[3]побудинковий звіт'!CF119</f>
        <v>0</v>
      </c>
      <c r="CG119" s="42">
        <f>'[1]побудинковий звіт'!CG119+'[2]побудинковий звіт'!CG119-'[3]побудинковий звіт'!CG119</f>
        <v>0</v>
      </c>
      <c r="CH119" s="56">
        <f t="shared" si="141"/>
        <v>0</v>
      </c>
      <c r="CI119" s="42">
        <f>'[1]побудинковий звіт'!CI119+'[2]побудинковий звіт'!CI119-'[3]побудинковий звіт'!CI119</f>
        <v>0</v>
      </c>
      <c r="CJ119" s="42">
        <f>'[1]побудинковий звіт'!CJ119+'[2]побудинковий звіт'!CJ119-'[3]побудинковий звіт'!CJ119</f>
        <v>0</v>
      </c>
      <c r="CK119" s="56">
        <f t="shared" si="142"/>
        <v>0</v>
      </c>
      <c r="CL119" s="42">
        <f>'[1]побудинковий звіт'!CL119+'[2]побудинковий звіт'!CL119-'[3]побудинковий звіт'!CL119</f>
        <v>0</v>
      </c>
      <c r="CM119" s="42">
        <f>'[1]побудинковий звіт'!CM119+'[2]побудинковий звіт'!CM119-'[3]побудинковий звіт'!CM119</f>
        <v>0</v>
      </c>
      <c r="CN119" s="56">
        <f t="shared" si="143"/>
        <v>0</v>
      </c>
      <c r="CO119" s="42">
        <f t="shared" si="123"/>
        <v>0</v>
      </c>
      <c r="CP119" s="43">
        <f t="shared" si="144"/>
        <v>0</v>
      </c>
      <c r="CQ119" s="56">
        <f t="shared" si="145"/>
        <v>0</v>
      </c>
      <c r="CR119" s="78">
        <f t="shared" si="124"/>
        <v>2767.6355731235499</v>
      </c>
      <c r="CS119" s="5">
        <f t="shared" si="124"/>
        <v>588.38494323605619</v>
      </c>
      <c r="CT119" s="56">
        <f t="shared" si="146"/>
        <v>-2179.2506298874937</v>
      </c>
      <c r="CU119" s="87">
        <f t="shared" si="147"/>
        <v>3321.1626877482599</v>
      </c>
      <c r="CV119" s="70">
        <f t="shared" si="148"/>
        <v>706.06193188326745</v>
      </c>
      <c r="CW119" s="37">
        <f t="shared" si="149"/>
        <v>-2615.1007558649926</v>
      </c>
      <c r="CX119" s="42">
        <f>'[1]побудинковий звіт'!CX119+'[2]побудинковий звіт'!CX119-'[3]побудинковий звіт'!CX119</f>
        <v>79.517312251740123</v>
      </c>
      <c r="CY119" s="42">
        <f>'[1]побудинковий звіт'!CY119+'[2]побудинковий звіт'!CY119-'[3]побудинковий звіт'!CY119</f>
        <v>2694.6180681167325</v>
      </c>
      <c r="CZ119" s="56">
        <f t="shared" si="150"/>
        <v>2615.1007558649926</v>
      </c>
      <c r="DA119" s="264">
        <f>'[4]побудинковий звіт'!DA119</f>
        <v>-6501.5439523683726</v>
      </c>
      <c r="DB119" s="2">
        <v>3</v>
      </c>
      <c r="DC119" s="717">
        <f>'[4]побудинковий звіт'!DC119</f>
        <v>556.04</v>
      </c>
      <c r="DD119" s="717">
        <f>'[4]побудинковий звіт'!DD119</f>
        <v>0</v>
      </c>
      <c r="DE119" s="717">
        <f>'[4]побудинковий звіт'!DE119</f>
        <v>272.64999999999998</v>
      </c>
      <c r="DF119" s="717">
        <f>'[4]побудинковий звіт'!DF119</f>
        <v>0</v>
      </c>
      <c r="DG119" s="787">
        <v>-3094.9754854312205</v>
      </c>
      <c r="DH119" s="761">
        <f t="shared" si="109"/>
        <v>40808.160000000003</v>
      </c>
      <c r="DI119" s="784"/>
      <c r="DJ119" s="5"/>
      <c r="DK119" s="317">
        <f>VLOOKUP($A119,ціни!$A$4:$G$401,5)</f>
        <v>1.4503202773270134</v>
      </c>
      <c r="DL119" s="317"/>
      <c r="DM119" s="317">
        <f>VLOOKUP($A119,ціни!$A$4:$G$401,7)</f>
        <v>1.4503202773270134</v>
      </c>
      <c r="DN119" s="30">
        <f t="shared" si="160"/>
        <v>723.39074792516772</v>
      </c>
      <c r="DO119" s="30">
        <f t="shared" si="161"/>
        <v>0</v>
      </c>
      <c r="DP119" s="316">
        <f t="shared" si="162"/>
        <v>723.39074792516772</v>
      </c>
      <c r="DQ119" s="104"/>
      <c r="DR119" s="30">
        <f>VLOOKUP(A119,'ДЗ нас '!$A$1:$C$359,2)</f>
        <v>283.39</v>
      </c>
      <c r="DS119" s="748"/>
      <c r="DT119" s="30">
        <f t="shared" si="163"/>
        <v>283.39</v>
      </c>
      <c r="DU119" s="257">
        <f>VLOOKUP(A119,'новий кошторис с 01.06'!$A$4:$AI$399,35)*1.2</f>
        <v>285.06646403172562</v>
      </c>
      <c r="DV119" s="30">
        <f t="shared" si="164"/>
        <v>-1.6764640317256294</v>
      </c>
      <c r="DW119" s="930">
        <f>'[5]побудинковий звіт'!DW119+'[6]побудинковий звіт'!DW119</f>
        <v>204</v>
      </c>
      <c r="DY119" s="5">
        <f t="shared" si="104"/>
        <v>2721.8246201612124</v>
      </c>
      <c r="DZ119" s="5">
        <f t="shared" si="105"/>
        <v>0</v>
      </c>
      <c r="EA119" s="752">
        <f t="shared" si="110"/>
        <v>272.64999999999998</v>
      </c>
      <c r="EC119" s="592">
        <f t="shared" si="106"/>
        <v>27218.246201612128</v>
      </c>
      <c r="EE119" s="758">
        <v>489</v>
      </c>
      <c r="EF119" s="738">
        <f t="shared" si="107"/>
        <v>-2605.9754854312205</v>
      </c>
      <c r="EH119" s="813">
        <v>-4212.081266114028</v>
      </c>
    </row>
    <row r="120" spans="1:138" x14ac:dyDescent="0.3">
      <c r="A120" s="328">
        <v>150000634</v>
      </c>
      <c r="B120" s="44" t="s">
        <v>570</v>
      </c>
      <c r="C120" s="45" t="s">
        <v>1741</v>
      </c>
      <c r="D120" s="45" t="s">
        <v>86</v>
      </c>
      <c r="E120" s="40">
        <f t="shared" si="108"/>
        <v>1269.7</v>
      </c>
      <c r="F120" s="490">
        <v>1269.7</v>
      </c>
      <c r="G120" s="30"/>
      <c r="H120" s="30">
        <v>0</v>
      </c>
      <c r="I120" s="42">
        <f>'[1]побудинковий звіт'!I120+'[2]побудинковий звіт'!I120-'[3]побудинковий звіт'!I120</f>
        <v>0</v>
      </c>
      <c r="J120" s="42">
        <f>'[1]побудинковий звіт'!J120+'[2]побудинковий звіт'!J120-'[3]побудинковий звіт'!J120</f>
        <v>0</v>
      </c>
      <c r="K120" s="56">
        <f t="shared" si="125"/>
        <v>0</v>
      </c>
      <c r="L120" s="42">
        <f>'[1]побудинковий звіт'!L120+'[2]побудинковий звіт'!L120-'[3]побудинковий звіт'!L120</f>
        <v>0</v>
      </c>
      <c r="M120" s="42">
        <f>'[1]побудинковий звіт'!M120+'[2]побудинковий звіт'!M120-'[3]побудинковий звіт'!M120</f>
        <v>0</v>
      </c>
      <c r="N120" s="56">
        <f t="shared" si="126"/>
        <v>0</v>
      </c>
      <c r="O120" s="42">
        <f>'[1]побудинковий звіт'!O120+'[2]побудинковий звіт'!O120-'[3]побудинковий звіт'!O120</f>
        <v>0</v>
      </c>
      <c r="P120" s="42">
        <f>'[1]побудинковий звіт'!P120+'[2]побудинковий звіт'!P120-'[3]побудинковий звіт'!P120</f>
        <v>0</v>
      </c>
      <c r="Q120" s="56">
        <f t="shared" si="127"/>
        <v>0</v>
      </c>
      <c r="R120" s="42">
        <f>'[1]побудинковий звіт'!R120+'[2]побудинковий звіт'!R120-'[3]побудинковий звіт'!R120</f>
        <v>0</v>
      </c>
      <c r="S120" s="42">
        <f>'[1]побудинковий звіт'!S120+'[2]побудинковий звіт'!S120-'[3]побудинковий звіт'!S120</f>
        <v>0</v>
      </c>
      <c r="T120" s="56">
        <f t="shared" si="128"/>
        <v>0</v>
      </c>
      <c r="U120" s="42">
        <f>'[1]побудинковий звіт'!U120+'[2]побудинковий звіт'!U120-'[3]побудинковий звіт'!U120</f>
        <v>0</v>
      </c>
      <c r="V120" s="42">
        <f>'[1]побудинковий звіт'!V120+'[2]побудинковий звіт'!V120-'[3]побудинковий звіт'!V120</f>
        <v>0</v>
      </c>
      <c r="W120" s="56">
        <f t="shared" si="129"/>
        <v>0</v>
      </c>
      <c r="X120" s="42">
        <f>'[1]побудинковий звіт'!X120+'[2]побудинковий звіт'!X120-'[3]побудинковий звіт'!X120</f>
        <v>0</v>
      </c>
      <c r="Y120" s="42">
        <f>'[1]побудинковий звіт'!Y120+'[2]побудинковий звіт'!Y120-'[3]побудинковий звіт'!Y120</f>
        <v>0</v>
      </c>
      <c r="Z120" s="56">
        <f t="shared" si="130"/>
        <v>0</v>
      </c>
      <c r="AA120" s="42">
        <f>'[1]побудинковий звіт'!AA120+'[2]побудинковий звіт'!AA120-'[3]побудинковий звіт'!AA120</f>
        <v>0</v>
      </c>
      <c r="AB120" s="42">
        <f>'[1]побудинковий звіт'!AB120+'[2]побудинковий звіт'!AB120-'[3]побудинковий звіт'!AB120</f>
        <v>0</v>
      </c>
      <c r="AC120" s="56">
        <f t="shared" si="131"/>
        <v>0</v>
      </c>
      <c r="AD120" s="42">
        <f>'[1]побудинковий звіт'!AD120+'[2]побудинковий звіт'!AD120-'[3]побудинковий звіт'!AD120</f>
        <v>0</v>
      </c>
      <c r="AE120" s="42">
        <f>'[1]побудинковий звіт'!AE120+'[2]побудинковий звіт'!AE120-'[3]побудинковий звіт'!AE120</f>
        <v>130.79253281798299</v>
      </c>
      <c r="AF120" s="37">
        <f t="shared" si="132"/>
        <v>130.79253281798299</v>
      </c>
      <c r="AG120" s="87">
        <f t="shared" si="120"/>
        <v>0</v>
      </c>
      <c r="AH120" s="57">
        <f t="shared" si="120"/>
        <v>130.79253281798299</v>
      </c>
      <c r="AI120" s="56">
        <f t="shared" si="133"/>
        <v>130.79253281798299</v>
      </c>
      <c r="AJ120" s="42">
        <f>'[1]побудинковий звіт'!AJ120+'[2]побудинковий звіт'!AJ120-'[3]побудинковий звіт'!AJ120</f>
        <v>0</v>
      </c>
      <c r="AK120" s="42">
        <f>'[1]побудинковий звіт'!AK120+'[2]побудинковий звіт'!AK120-'[3]побудинковий звіт'!AK120</f>
        <v>0</v>
      </c>
      <c r="AL120" s="56">
        <f t="shared" si="134"/>
        <v>0</v>
      </c>
      <c r="AM120" s="42">
        <f>'[1]побудинковий звіт'!AM120+'[2]побудинковий звіт'!AM120-'[3]побудинковий звіт'!AM120</f>
        <v>0</v>
      </c>
      <c r="AN120" s="42">
        <f>'[1]побудинковий звіт'!AN120+'[2]побудинковий звіт'!AN120-'[3]побудинковий звіт'!AN120</f>
        <v>0</v>
      </c>
      <c r="AO120" s="56">
        <f t="shared" si="135"/>
        <v>0</v>
      </c>
      <c r="AP120" s="42">
        <f>'[1]побудинковий звіт'!AP120+'[2]побудинковий звіт'!AP120-'[3]побудинковий звіт'!AP120</f>
        <v>378.80705715745984</v>
      </c>
      <c r="AQ120" s="42">
        <f>'[1]побудинковий звіт'!AQ120+'[2]побудинковий звіт'!AQ120-'[3]побудинковий звіт'!AQ120</f>
        <v>163.50097099840306</v>
      </c>
      <c r="AR120" s="56">
        <f t="shared" si="136"/>
        <v>-215.30608615905678</v>
      </c>
      <c r="AS120" s="42">
        <f>'[1]побудинковий звіт'!AS120+'[2]побудинковий звіт'!AS120-'[3]побудинковий звіт'!AS120</f>
        <v>2769.2541397028817</v>
      </c>
      <c r="AT120" s="42">
        <f>'[1]побудинковий звіт'!AT120+'[2]побудинковий звіт'!AT120-'[3]побудинковий звіт'!AT120</f>
        <v>1625</v>
      </c>
      <c r="AU120" s="58">
        <f t="shared" si="151"/>
        <v>-1144.2541397028817</v>
      </c>
      <c r="AV120" s="42">
        <f>'[1]побудинковий звіт'!AV120+'[2]побудинковий звіт'!AV120-'[3]побудинковий звіт'!AV120</f>
        <v>0</v>
      </c>
      <c r="AW120" s="42">
        <f>'[1]побудинковий звіт'!AW120+'[2]побудинковий звіт'!AW120-'[3]побудинковий звіт'!AW120</f>
        <v>0</v>
      </c>
      <c r="AX120" s="59">
        <f t="shared" si="152"/>
        <v>0</v>
      </c>
      <c r="AY120" s="42">
        <f>'[1]побудинковий звіт'!AY120+'[2]побудинковий звіт'!AY120-'[3]побудинковий звіт'!AY120</f>
        <v>0</v>
      </c>
      <c r="AZ120" s="42">
        <f>'[1]побудинковий звіт'!AZ120+'[2]побудинковий звіт'!AZ120-'[3]побудинковий звіт'!AZ120</f>
        <v>0</v>
      </c>
      <c r="BA120" s="37">
        <f t="shared" si="153"/>
        <v>0</v>
      </c>
      <c r="BB120" s="42">
        <f>'[1]побудинковий звіт'!BB120+'[2]побудинковий звіт'!BB120-'[3]побудинковий звіт'!BB120</f>
        <v>0</v>
      </c>
      <c r="BC120" s="42">
        <f>'[1]побудинковий звіт'!BC120+'[2]побудинковий звіт'!BC120-'[3]побудинковий звіт'!BC120</f>
        <v>0</v>
      </c>
      <c r="BD120" s="59">
        <f t="shared" si="154"/>
        <v>0</v>
      </c>
      <c r="BE120" s="42">
        <f>'[1]побудинковий звіт'!BE120+'[2]побудинковий звіт'!BE120-'[3]побудинковий звіт'!BE120</f>
        <v>0</v>
      </c>
      <c r="BF120" s="42">
        <f>'[1]побудинковий звіт'!BF120+'[2]побудинковий звіт'!BF120-'[3]побудинковий звіт'!BF120</f>
        <v>0</v>
      </c>
      <c r="BG120" s="39">
        <f t="shared" si="155"/>
        <v>0</v>
      </c>
      <c r="BH120" s="42">
        <f>'[1]побудинковий звіт'!BH120+'[2]побудинковий звіт'!BH120-'[3]побудинковий звіт'!BH120</f>
        <v>0</v>
      </c>
      <c r="BI120" s="42">
        <f>'[1]побудинковий звіт'!BI120+'[2]побудинковий звіт'!BI120-'[3]побудинковий звіт'!BI120</f>
        <v>0</v>
      </c>
      <c r="BJ120" s="59">
        <f t="shared" si="156"/>
        <v>0</v>
      </c>
      <c r="BK120" s="42">
        <f>'[1]побудинковий звіт'!BK120+'[2]побудинковий звіт'!BK120-'[3]побудинковий звіт'!BK120</f>
        <v>0</v>
      </c>
      <c r="BL120" s="42">
        <f>'[1]побудинковий звіт'!BL120+'[2]побудинковий звіт'!BL120-'[3]побудинковий звіт'!BL120</f>
        <v>0</v>
      </c>
      <c r="BM120" s="39">
        <f t="shared" si="157"/>
        <v>0</v>
      </c>
      <c r="BN120" s="42">
        <f>'[1]побудинковий звіт'!BN120+'[2]побудинковий звіт'!BN120-'[3]побудинковий звіт'!BN120</f>
        <v>0</v>
      </c>
      <c r="BO120" s="42">
        <f>'[1]побудинковий звіт'!BO120+'[2]побудинковий звіт'!BO120-'[3]побудинковий звіт'!BO120</f>
        <v>0</v>
      </c>
      <c r="BP120" s="59">
        <f t="shared" si="158"/>
        <v>0</v>
      </c>
      <c r="BQ120" s="87">
        <f t="shared" si="121"/>
        <v>0</v>
      </c>
      <c r="BR120" s="43">
        <f t="shared" si="122"/>
        <v>0</v>
      </c>
      <c r="BS120" s="59">
        <f t="shared" si="159"/>
        <v>0</v>
      </c>
      <c r="BT120" s="42">
        <f>'[1]побудинковий звіт'!BT120+'[2]побудинковий звіт'!BT120-'[3]побудинковий звіт'!BT120</f>
        <v>239.27010754197514</v>
      </c>
      <c r="BU120" s="42">
        <f>'[1]побудинковий звіт'!BU120+'[2]побудинковий звіт'!BU120-'[3]побудинковий звіт'!BU120</f>
        <v>457.16743183465917</v>
      </c>
      <c r="BV120" s="56">
        <f t="shared" si="137"/>
        <v>217.89732429268403</v>
      </c>
      <c r="BW120" s="42">
        <f>'[1]побудинковий звіт'!BW120+'[2]побудинковий звіт'!BW120-'[3]побудинковий звіт'!BW120</f>
        <v>0</v>
      </c>
      <c r="BX120" s="42">
        <f>'[1]побудинковий звіт'!BX120+'[2]побудинковий звіт'!BX120-'[3]побудинковий звіт'!BX120</f>
        <v>6.3251113260396394</v>
      </c>
      <c r="BY120" s="56">
        <f t="shared" si="138"/>
        <v>6.3251113260396394</v>
      </c>
      <c r="BZ120" s="42">
        <f>'[1]побудинковий звіт'!BZ120+'[2]побудинковий звіт'!BZ120-'[3]побудинковий звіт'!BZ120</f>
        <v>0</v>
      </c>
      <c r="CA120" s="42">
        <f>'[1]побудинковий звіт'!CA120+'[2]побудинковий звіт'!CA120-'[3]побудинковий звіт'!CA120</f>
        <v>108.60403995560861</v>
      </c>
      <c r="CB120" s="56">
        <f t="shared" si="139"/>
        <v>108.60403995560861</v>
      </c>
      <c r="CC120" s="42">
        <f>'[1]побудинковий звіт'!CC120+'[2]побудинковий звіт'!CC120-'[3]побудинковий звіт'!CC120</f>
        <v>0</v>
      </c>
      <c r="CD120" s="42">
        <f>'[1]побудинковий звіт'!CD120+'[2]побудинковий звіт'!CD120-'[3]побудинковий звіт'!CD120</f>
        <v>0</v>
      </c>
      <c r="CE120" s="56">
        <f t="shared" si="140"/>
        <v>0</v>
      </c>
      <c r="CF120" s="42">
        <f>'[1]побудинковий звіт'!CF120+'[2]побудинковий звіт'!CF120-'[3]побудинковий звіт'!CF120</f>
        <v>0</v>
      </c>
      <c r="CG120" s="42">
        <f>'[1]побудинковий звіт'!CG120+'[2]побудинковий звіт'!CG120-'[3]побудинковий звіт'!CG120</f>
        <v>0</v>
      </c>
      <c r="CH120" s="56">
        <f t="shared" si="141"/>
        <v>0</v>
      </c>
      <c r="CI120" s="42">
        <f>'[1]побудинковий звіт'!CI120+'[2]побудинковий звіт'!CI120-'[3]побудинковий звіт'!CI120</f>
        <v>0</v>
      </c>
      <c r="CJ120" s="42">
        <f>'[1]побудинковий звіт'!CJ120+'[2]побудинковий звіт'!CJ120-'[3]побудинковий звіт'!CJ120</f>
        <v>0</v>
      </c>
      <c r="CK120" s="56">
        <f t="shared" si="142"/>
        <v>0</v>
      </c>
      <c r="CL120" s="42">
        <f>'[1]побудинковий звіт'!CL120+'[2]побудинковий звіт'!CL120-'[3]побудинковий звіт'!CL120</f>
        <v>0</v>
      </c>
      <c r="CM120" s="42">
        <f>'[1]побудинковий звіт'!CM120+'[2]побудинковий звіт'!CM120-'[3]побудинковий звіт'!CM120</f>
        <v>0</v>
      </c>
      <c r="CN120" s="56">
        <f t="shared" si="143"/>
        <v>0</v>
      </c>
      <c r="CO120" s="42">
        <f t="shared" si="123"/>
        <v>0</v>
      </c>
      <c r="CP120" s="43">
        <f t="shared" si="144"/>
        <v>0</v>
      </c>
      <c r="CQ120" s="56">
        <f t="shared" si="145"/>
        <v>0</v>
      </c>
      <c r="CR120" s="78">
        <f t="shared" si="124"/>
        <v>3387.3313044023166</v>
      </c>
      <c r="CS120" s="5">
        <f t="shared" si="124"/>
        <v>2491.3900869326935</v>
      </c>
      <c r="CT120" s="56">
        <f t="shared" si="146"/>
        <v>-895.9412174696231</v>
      </c>
      <c r="CU120" s="87">
        <f t="shared" si="147"/>
        <v>4064.7975652827799</v>
      </c>
      <c r="CV120" s="70">
        <f t="shared" si="148"/>
        <v>2989.668104319232</v>
      </c>
      <c r="CW120" s="37">
        <f t="shared" si="149"/>
        <v>-1075.1294609635479</v>
      </c>
      <c r="CX120" s="42">
        <f>'[1]побудинковий звіт'!CX120+'[2]побудинковий звіт'!CX120-'[3]побудинковий звіт'!CX120</f>
        <v>101.72243471721913</v>
      </c>
      <c r="CY120" s="42">
        <f>'[1]побудинковий звіт'!CY120+'[2]побудинковий звіт'!CY120-'[3]побудинковий звіт'!CY120</f>
        <v>1176.8518956807677</v>
      </c>
      <c r="CZ120" s="56">
        <f t="shared" si="150"/>
        <v>1075.1294609635486</v>
      </c>
      <c r="DA120" s="264">
        <f>'[4]побудинковий звіт'!DA120</f>
        <v>-4078.7268312180745</v>
      </c>
      <c r="DB120" s="2">
        <v>3</v>
      </c>
      <c r="DC120" s="717">
        <f>'[4]побудинковий звіт'!DC120</f>
        <v>2352.61</v>
      </c>
      <c r="DD120" s="717">
        <f>'[4]побудинковий звіт'!DD120</f>
        <v>0</v>
      </c>
      <c r="DE120" s="717">
        <f>'[4]побудинковий звіт'!DE120</f>
        <v>2005.4</v>
      </c>
      <c r="DF120" s="717">
        <f>'[4]побудинковий звіт'!DF120</f>
        <v>0</v>
      </c>
      <c r="DG120" s="787">
        <v>-4596.5522048802341</v>
      </c>
      <c r="DH120" s="761">
        <f t="shared" si="109"/>
        <v>49998.239999999983</v>
      </c>
      <c r="DI120" s="784"/>
      <c r="DJ120" s="5"/>
      <c r="DK120" s="317">
        <f>VLOOKUP($A120,ціни!$A$4:$G$401,5)</f>
        <v>1.7682783738285588</v>
      </c>
      <c r="DL120" s="317"/>
      <c r="DM120" s="317">
        <f>VLOOKUP($A120,ціни!$A$4:$G$401,7)</f>
        <v>1.7682783738285588</v>
      </c>
      <c r="DN120" s="30">
        <f t="shared" si="160"/>
        <v>2245.183051250121</v>
      </c>
      <c r="DO120" s="30">
        <f t="shared" si="161"/>
        <v>0</v>
      </c>
      <c r="DP120" s="316">
        <f t="shared" si="162"/>
        <v>2245.183051250121</v>
      </c>
      <c r="DQ120" s="104"/>
      <c r="DR120" s="30">
        <f>VLOOKUP(A120,'ДЗ нас '!$A$1:$C$359,2)</f>
        <v>347.21</v>
      </c>
      <c r="DS120" s="748"/>
      <c r="DT120" s="30">
        <f t="shared" si="163"/>
        <v>347.21</v>
      </c>
      <c r="DU120" s="257">
        <f>VLOOKUP(A120,'новий кошторис с 01.06'!$A$4:$AI$399,35)*1.2</f>
        <v>348.89512435343869</v>
      </c>
      <c r="DV120" s="30">
        <f t="shared" si="164"/>
        <v>-1.6851243534387095</v>
      </c>
      <c r="DW120" s="930">
        <f>'[5]побудинковий звіт'!DW120+'[6]побудинковий звіт'!DW120</f>
        <v>202</v>
      </c>
      <c r="DY120" s="5">
        <f t="shared" si="104"/>
        <v>3323.1049676434582</v>
      </c>
      <c r="DZ120" s="5">
        <f t="shared" si="105"/>
        <v>1950</v>
      </c>
      <c r="EA120" s="752">
        <f t="shared" si="110"/>
        <v>2005.4</v>
      </c>
      <c r="EC120" s="592">
        <f t="shared" si="106"/>
        <v>33231.049676434581</v>
      </c>
      <c r="EE120" s="758">
        <v>-3305</v>
      </c>
      <c r="EF120" s="738">
        <f t="shared" si="107"/>
        <v>-7901.5522048802341</v>
      </c>
      <c r="EH120" s="813">
        <v>-3412.2433567497528</v>
      </c>
    </row>
    <row r="121" spans="1:138" x14ac:dyDescent="0.3">
      <c r="A121" s="328">
        <v>150000636</v>
      </c>
      <c r="B121" s="44" t="s">
        <v>571</v>
      </c>
      <c r="C121" s="45" t="s">
        <v>1742</v>
      </c>
      <c r="D121" s="45" t="s">
        <v>258</v>
      </c>
      <c r="E121" s="40">
        <f t="shared" si="108"/>
        <v>626.29999999999995</v>
      </c>
      <c r="F121" s="490">
        <v>626.29999999999995</v>
      </c>
      <c r="G121" s="30"/>
      <c r="H121" s="30">
        <v>0</v>
      </c>
      <c r="I121" s="42">
        <f>'[1]побудинковий звіт'!I121+'[2]побудинковий звіт'!I121-'[3]побудинковий звіт'!I121</f>
        <v>10982.475617066717</v>
      </c>
      <c r="J121" s="42">
        <f>'[1]побудинковий звіт'!J121+'[2]побудинковий звіт'!J121-'[3]побудинковий звіт'!J121</f>
        <v>10024.514600734585</v>
      </c>
      <c r="K121" s="56">
        <f t="shared" si="125"/>
        <v>-957.9610163321322</v>
      </c>
      <c r="L121" s="42">
        <f>'[1]побудинковий звіт'!L121+'[2]побудинковий звіт'!L121-'[3]побудинковий звіт'!L121</f>
        <v>2233.424392517823</v>
      </c>
      <c r="M121" s="42">
        <f>'[1]побудинковий звіт'!M121+'[2]побудинковий звіт'!M121-'[3]побудинковий звіт'!M121</f>
        <v>2138.5661602135742</v>
      </c>
      <c r="N121" s="56">
        <f t="shared" si="126"/>
        <v>-94.858232304248759</v>
      </c>
      <c r="O121" s="42">
        <f>'[1]побудинковий звіт'!O121+'[2]побудинковий звіт'!O121-'[3]побудинковий звіт'!O121</f>
        <v>4689.72</v>
      </c>
      <c r="P121" s="42">
        <f>'[1]побудинковий звіт'!P121+'[2]побудинковий звіт'!P121-'[3]побудинковий звіт'!P121</f>
        <v>4690.5600000000004</v>
      </c>
      <c r="Q121" s="56">
        <f t="shared" si="127"/>
        <v>0.84000000000014552</v>
      </c>
      <c r="R121" s="42">
        <f>'[1]побудинковий звіт'!R121+'[2]побудинковий звіт'!R121-'[3]побудинковий звіт'!R121</f>
        <v>0</v>
      </c>
      <c r="S121" s="42">
        <f>'[1]побудинковий звіт'!S121+'[2]побудинковий звіт'!S121-'[3]побудинковий звіт'!S121</f>
        <v>0</v>
      </c>
      <c r="T121" s="56">
        <f t="shared" si="128"/>
        <v>0</v>
      </c>
      <c r="U121" s="42">
        <f>'[1]побудинковий звіт'!U121+'[2]побудинковий звіт'!U121-'[3]побудинковий звіт'!U121</f>
        <v>709.3549077326212</v>
      </c>
      <c r="V121" s="42">
        <f>'[1]побудинковий звіт'!V121+'[2]побудинковий звіт'!V121-'[3]побудинковий звіт'!V121</f>
        <v>481.66505641930655</v>
      </c>
      <c r="W121" s="56">
        <f t="shared" si="129"/>
        <v>-227.68985131331465</v>
      </c>
      <c r="X121" s="42">
        <f>'[1]побудинковий звіт'!X121+'[2]побудинковий звіт'!X121-'[3]побудинковий звіт'!X121</f>
        <v>6891.7559257197963</v>
      </c>
      <c r="Y121" s="42">
        <f>'[1]побудинковий звіт'!Y121+'[2]побудинковий звіт'!Y121-'[3]побудинковий звіт'!Y121</f>
        <v>8344.2927778040848</v>
      </c>
      <c r="Z121" s="56">
        <f t="shared" si="130"/>
        <v>1452.5368520842885</v>
      </c>
      <c r="AA121" s="42">
        <f>'[1]побудинковий звіт'!AA121+'[2]побудинковий звіт'!AA121-'[3]побудинковий звіт'!AA121</f>
        <v>0</v>
      </c>
      <c r="AB121" s="42">
        <f>'[1]побудинковий звіт'!AB121+'[2]побудинковий звіт'!AB121-'[3]побудинковий звіт'!AB121</f>
        <v>0</v>
      </c>
      <c r="AC121" s="56">
        <f t="shared" si="131"/>
        <v>0</v>
      </c>
      <c r="AD121" s="42">
        <f>'[1]побудинковий звіт'!AD121+'[2]побудинковий звіт'!AD121-'[3]побудинковий звіт'!AD121</f>
        <v>13579.185783149342</v>
      </c>
      <c r="AE121" s="42">
        <f>'[1]побудинковий звіт'!AE121+'[2]побудинковий звіт'!AE121-'[3]побудинковий звіт'!AE121</f>
        <v>12515.821168491182</v>
      </c>
      <c r="AF121" s="37">
        <f t="shared" si="132"/>
        <v>-1063.3646146581596</v>
      </c>
      <c r="AG121" s="87">
        <f t="shared" si="120"/>
        <v>39085.916626186299</v>
      </c>
      <c r="AH121" s="57">
        <f t="shared" si="120"/>
        <v>38195.419763662736</v>
      </c>
      <c r="AI121" s="56">
        <f t="shared" si="133"/>
        <v>-890.49686252356332</v>
      </c>
      <c r="AJ121" s="42">
        <f>'[1]побудинковий звіт'!AJ121+'[2]побудинковий звіт'!AJ121-'[3]побудинковий звіт'!AJ121</f>
        <v>0</v>
      </c>
      <c r="AK121" s="42">
        <f>'[1]побудинковий звіт'!AK121+'[2]побудинковий звіт'!AK121-'[3]побудинковий звіт'!AK121</f>
        <v>0</v>
      </c>
      <c r="AL121" s="56">
        <f t="shared" si="134"/>
        <v>0</v>
      </c>
      <c r="AM121" s="42">
        <f>'[1]побудинковий звіт'!AM121+'[2]побудинковий звіт'!AM121-'[3]побудинковий звіт'!AM121</f>
        <v>0</v>
      </c>
      <c r="AN121" s="42">
        <f>'[1]побудинковий звіт'!AN121+'[2]побудинковий звіт'!AN121-'[3]побудинковий звіт'!AN121</f>
        <v>0</v>
      </c>
      <c r="AO121" s="56">
        <f t="shared" si="135"/>
        <v>0</v>
      </c>
      <c r="AP121" s="42">
        <f>'[1]побудинковий звіт'!AP121+'[2]побудинковий звіт'!AP121-'[3]побудинковий звіт'!AP121</f>
        <v>9943.6852503833234</v>
      </c>
      <c r="AQ121" s="42">
        <f>'[1]побудинковий звіт'!AQ121+'[2]побудинковий звіт'!AQ121-'[3]побудинковий звіт'!AQ121</f>
        <v>9650.1315875322762</v>
      </c>
      <c r="AR121" s="56">
        <f t="shared" si="136"/>
        <v>-293.55366285104719</v>
      </c>
      <c r="AS121" s="42">
        <f>'[1]побудинковий звіт'!AS121+'[2]побудинковий звіт'!AS121-'[3]побудинковий звіт'!AS121</f>
        <v>40434.331771757577</v>
      </c>
      <c r="AT121" s="42">
        <f>'[1]побудинковий звіт'!AT121+'[2]побудинковий звіт'!AT121-'[3]побудинковий звіт'!AT121</f>
        <v>123843</v>
      </c>
      <c r="AU121" s="58">
        <f t="shared" si="151"/>
        <v>83408.66822824243</v>
      </c>
      <c r="AV121" s="42">
        <f>'[1]побудинковий звіт'!AV121+'[2]побудинковий звіт'!AV121-'[3]побудинковий звіт'!AV121</f>
        <v>1760.5062053184095</v>
      </c>
      <c r="AW121" s="42">
        <f>'[1]побудинковий звіт'!AW121+'[2]побудинковий звіт'!AW121-'[3]побудинковий звіт'!AW121</f>
        <v>1941</v>
      </c>
      <c r="AX121" s="59">
        <f t="shared" si="152"/>
        <v>180.49379468159054</v>
      </c>
      <c r="AY121" s="42">
        <f>'[1]побудинковий звіт'!AY121+'[2]побудинковий звіт'!AY121-'[3]побудинковий звіт'!AY121</f>
        <v>2878.690972513285</v>
      </c>
      <c r="AZ121" s="42">
        <f>'[1]побудинковий звіт'!AZ121+'[2]побудинковий звіт'!AZ121-'[3]побудинковий звіт'!AZ121</f>
        <v>1800</v>
      </c>
      <c r="BA121" s="37">
        <f t="shared" si="153"/>
        <v>-1078.690972513285</v>
      </c>
      <c r="BB121" s="42">
        <f>'[1]побудинковий звіт'!BB121+'[2]побудинковий звіт'!BB121-'[3]побудинковий звіт'!BB121</f>
        <v>1793.2732745772651</v>
      </c>
      <c r="BC121" s="42">
        <f>'[1]побудинковий звіт'!BC121+'[2]побудинковий звіт'!BC121-'[3]побудинковий звіт'!BC121</f>
        <v>1545</v>
      </c>
      <c r="BD121" s="59">
        <f t="shared" si="154"/>
        <v>-248.27327457726506</v>
      </c>
      <c r="BE121" s="42">
        <f>'[1]побудинковий звіт'!BE121+'[2]побудинковий звіт'!BE121-'[3]побудинковий звіт'!BE121</f>
        <v>0</v>
      </c>
      <c r="BF121" s="42">
        <f>'[1]побудинковий звіт'!BF121+'[2]побудинковий звіт'!BF121-'[3]побудинковий звіт'!BF121</f>
        <v>0</v>
      </c>
      <c r="BG121" s="39">
        <f t="shared" si="155"/>
        <v>0</v>
      </c>
      <c r="BH121" s="42">
        <f>'[1]побудинковий звіт'!BH121+'[2]побудинковий звіт'!BH121-'[3]побудинковий звіт'!BH121</f>
        <v>719.6828414324732</v>
      </c>
      <c r="BI121" s="42">
        <f>'[1]побудинковий звіт'!BI121+'[2]побудинковий звіт'!BI121-'[3]побудинковий звіт'!BI121</f>
        <v>0</v>
      </c>
      <c r="BJ121" s="59">
        <f t="shared" si="156"/>
        <v>-719.6828414324732</v>
      </c>
      <c r="BK121" s="42">
        <f>'[1]побудинковий звіт'!BK121+'[2]побудинковий звіт'!BK121-'[3]побудинковий звіт'!BK121</f>
        <v>1298.2546461686622</v>
      </c>
      <c r="BL121" s="42">
        <f>'[1]побудинковий звіт'!BL121+'[2]побудинковий звіт'!BL121-'[3]побудинковий звіт'!BL121</f>
        <v>2640</v>
      </c>
      <c r="BM121" s="39">
        <f t="shared" si="157"/>
        <v>1341.7453538313378</v>
      </c>
      <c r="BN121" s="42">
        <f>'[1]побудинковий звіт'!BN121+'[2]побудинковий звіт'!BN121-'[3]побудинковий звіт'!BN121</f>
        <v>0</v>
      </c>
      <c r="BO121" s="42">
        <f>'[1]побудинковий звіт'!BO121+'[2]побудинковий звіт'!BO121-'[3]побудинковий звіт'!BO121</f>
        <v>0</v>
      </c>
      <c r="BP121" s="59">
        <f t="shared" si="158"/>
        <v>0</v>
      </c>
      <c r="BQ121" s="87">
        <f t="shared" si="121"/>
        <v>8450.4079400100945</v>
      </c>
      <c r="BR121" s="43">
        <f t="shared" si="122"/>
        <v>7926</v>
      </c>
      <c r="BS121" s="59">
        <f t="shared" si="159"/>
        <v>-524.40794001009453</v>
      </c>
      <c r="BT121" s="42">
        <f>'[1]побудинковий звіт'!BT121+'[2]побудинковий звіт'!BT121-'[3]побудинковий звіт'!BT121</f>
        <v>35550.342431136814</v>
      </c>
      <c r="BU121" s="42">
        <f>'[1]побудинковий звіт'!BU121+'[2]побудинковий звіт'!BU121-'[3]побудинковий звіт'!BU121</f>
        <v>42866.638309415954</v>
      </c>
      <c r="BV121" s="56">
        <f t="shared" si="137"/>
        <v>7316.2958782791393</v>
      </c>
      <c r="BW121" s="42">
        <f>'[1]побудинковий звіт'!BW121+'[2]побудинковий звіт'!BW121-'[3]побудинковий звіт'!BW121</f>
        <v>17963.714887897851</v>
      </c>
      <c r="BX121" s="42">
        <f>'[1]побудинковий звіт'!BX121+'[2]побудинковий звіт'!BX121-'[3]побудинковий звіт'!BX121</f>
        <v>17350.365678014256</v>
      </c>
      <c r="BY121" s="56">
        <f t="shared" si="138"/>
        <v>-613.3492098835959</v>
      </c>
      <c r="BZ121" s="42">
        <f>'[1]побудинковий звіт'!BZ121+'[2]побудинковий звіт'!BZ121-'[3]побудинковий звіт'!BZ121</f>
        <v>6280.0726205762439</v>
      </c>
      <c r="CA121" s="42">
        <f>'[1]побудинковий звіт'!CA121+'[2]побудинковий звіт'!CA121-'[3]побудинковий звіт'!CA121</f>
        <v>8780.8120069293946</v>
      </c>
      <c r="CB121" s="56">
        <f t="shared" si="139"/>
        <v>2500.7393863531506</v>
      </c>
      <c r="CC121" s="42">
        <f>'[1]побудинковий звіт'!CC121+'[2]побудинковий звіт'!CC121-'[3]побудинковий звіт'!CC121</f>
        <v>1854.7997877730136</v>
      </c>
      <c r="CD121" s="42">
        <f>'[1]побудинковий звіт'!CD121+'[2]побудинковий звіт'!CD121-'[3]побудинковий звіт'!CD121</f>
        <v>1838.4862992496523</v>
      </c>
      <c r="CE121" s="56">
        <f t="shared" si="140"/>
        <v>-16.313488523361229</v>
      </c>
      <c r="CF121" s="42">
        <f>'[1]побудинковий звіт'!CF121+'[2]побудинковий звіт'!CF121-'[3]побудинковий звіт'!CF121</f>
        <v>228.33709508569297</v>
      </c>
      <c r="CG121" s="42">
        <f>'[1]побудинковий звіт'!CG121+'[2]побудинковий звіт'!CG121-'[3]побудинковий звіт'!CG121</f>
        <v>0</v>
      </c>
      <c r="CH121" s="56">
        <f t="shared" si="141"/>
        <v>-228.33709508569297</v>
      </c>
      <c r="CI121" s="42">
        <f>'[1]побудинковий звіт'!CI121+'[2]побудинковий звіт'!CI121-'[3]побудинковий звіт'!CI121</f>
        <v>7374.7049198136983</v>
      </c>
      <c r="CJ121" s="42">
        <f>'[1]побудинковий звіт'!CJ121+'[2]побудинковий звіт'!CJ121-'[3]побудинковий звіт'!CJ121</f>
        <v>1391.6747743014678</v>
      </c>
      <c r="CK121" s="56">
        <f t="shared" si="142"/>
        <v>-5983.0301455122308</v>
      </c>
      <c r="CL121" s="42">
        <f>'[1]побудинковий звіт'!CL121+'[2]побудинковий звіт'!CL121-'[3]побудинковий звіт'!CL121</f>
        <v>0</v>
      </c>
      <c r="CM121" s="42">
        <f>'[1]побудинковий звіт'!CM121+'[2]побудинковий звіт'!CM121-'[3]побудинковий звіт'!CM121</f>
        <v>0</v>
      </c>
      <c r="CN121" s="56">
        <f t="shared" si="143"/>
        <v>0</v>
      </c>
      <c r="CO121" s="42">
        <f t="shared" si="123"/>
        <v>7374.7049198136983</v>
      </c>
      <c r="CP121" s="43">
        <f t="shared" si="144"/>
        <v>1391.6747743014678</v>
      </c>
      <c r="CQ121" s="56">
        <f t="shared" si="145"/>
        <v>-5983.0301455122308</v>
      </c>
      <c r="CR121" s="78">
        <f t="shared" si="124"/>
        <v>167166.31333062061</v>
      </c>
      <c r="CS121" s="5">
        <f t="shared" si="124"/>
        <v>251842.52841910577</v>
      </c>
      <c r="CT121" s="56">
        <f t="shared" si="146"/>
        <v>84676.215088485158</v>
      </c>
      <c r="CU121" s="87">
        <f t="shared" si="147"/>
        <v>200599.57599674474</v>
      </c>
      <c r="CV121" s="70">
        <f t="shared" si="148"/>
        <v>302211.0341029269</v>
      </c>
      <c r="CW121" s="37">
        <f t="shared" si="149"/>
        <v>101611.45810618217</v>
      </c>
      <c r="CX121" s="42">
        <f>'[1]побудинковий звіт'!CX121+'[2]побудинковий звіт'!CX121-'[3]побудинковий звіт'!CX121</f>
        <v>4016.8640032552685</v>
      </c>
      <c r="CY121" s="42">
        <f>'[1]побудинковий звіт'!CY121+'[2]побудинковий звіт'!CY121-'[3]побудинковий звіт'!CY121</f>
        <v>-97594.594102926858</v>
      </c>
      <c r="CZ121" s="56">
        <f t="shared" si="150"/>
        <v>-101611.45810618212</v>
      </c>
      <c r="DA121" s="264">
        <f>'[4]побудинковий звіт'!DA121</f>
        <v>49899.681220075508</v>
      </c>
      <c r="DB121" s="2">
        <v>3</v>
      </c>
      <c r="DC121" s="717">
        <f>'[4]побудинковий звіт'!DC121</f>
        <v>38104.910000000003</v>
      </c>
      <c r="DD121" s="717">
        <f>'[4]побудинковий звіт'!DD121</f>
        <v>0</v>
      </c>
      <c r="DE121" s="717">
        <f>'[4]побудинковий звіт'!DE121</f>
        <v>21044.190000000002</v>
      </c>
      <c r="DF121" s="717">
        <f>'[4]побудинковий звіт'!DF121</f>
        <v>0</v>
      </c>
      <c r="DG121" s="787">
        <v>-37075.599441255035</v>
      </c>
      <c r="DH121" s="761">
        <f t="shared" si="109"/>
        <v>2455397.2800000003</v>
      </c>
      <c r="DI121" s="784"/>
      <c r="DJ121" s="5"/>
      <c r="DK121" s="317">
        <f>VLOOKUP($A121,ціни!$A$4:$G$401,5)</f>
        <v>5.3690295231826006</v>
      </c>
      <c r="DL121" s="317"/>
      <c r="DM121" s="317">
        <f>VLOOKUP($A121,ціни!$A$4:$G$401,7)</f>
        <v>4.7920728764902458</v>
      </c>
      <c r="DN121" s="30">
        <f t="shared" si="160"/>
        <v>3362.6231903692624</v>
      </c>
      <c r="DO121" s="30">
        <f t="shared" si="161"/>
        <v>0</v>
      </c>
      <c r="DP121" s="316">
        <f t="shared" si="162"/>
        <v>3362.6231903692624</v>
      </c>
      <c r="DQ121" s="104"/>
      <c r="DR121" s="30">
        <f>VLOOKUP(A121,'ДЗ нас '!$A$1:$C$359,2)</f>
        <v>17060.72</v>
      </c>
      <c r="DS121" s="748"/>
      <c r="DT121" s="30">
        <f t="shared" si="163"/>
        <v>17060.72</v>
      </c>
      <c r="DU121" s="257">
        <f>VLOOKUP(A121,'новий кошторис с 01.06'!$A$4:$AI$399,35)*1.2</f>
        <v>17117.830485055554</v>
      </c>
      <c r="DV121" s="30">
        <f t="shared" si="164"/>
        <v>-57.110485055552999</v>
      </c>
      <c r="DW121" s="930">
        <f>'[5]побудинковий звіт'!DW121+'[6]побудинковий звіт'!DW121</f>
        <v>204</v>
      </c>
      <c r="DY121" s="5">
        <f t="shared" si="104"/>
        <v>58661.687654121204</v>
      </c>
      <c r="DZ121" s="5">
        <f t="shared" si="105"/>
        <v>158122.79999999999</v>
      </c>
      <c r="EA121" s="752">
        <f t="shared" si="110"/>
        <v>21044.190000000002</v>
      </c>
      <c r="EC121" s="592">
        <f t="shared" si="106"/>
        <v>485211.98126109096</v>
      </c>
      <c r="EE121" s="758">
        <v>-50182</v>
      </c>
      <c r="EF121" s="738">
        <f t="shared" si="107"/>
        <v>-87257.599441255035</v>
      </c>
      <c r="EH121" s="813">
        <v>-67192.165219158705</v>
      </c>
    </row>
    <row r="122" spans="1:138" x14ac:dyDescent="0.3">
      <c r="A122" s="328">
        <v>150000556</v>
      </c>
      <c r="B122" s="44" t="s">
        <v>573</v>
      </c>
      <c r="C122" s="45" t="s">
        <v>89</v>
      </c>
      <c r="D122" s="45" t="s">
        <v>89</v>
      </c>
      <c r="E122" s="40">
        <f t="shared" si="108"/>
        <v>2504.61</v>
      </c>
      <c r="F122" s="490">
        <v>2504.61</v>
      </c>
      <c r="G122" s="30"/>
      <c r="H122" s="30">
        <v>0</v>
      </c>
      <c r="I122" s="42">
        <f>'[1]побудинковий звіт'!I122+'[2]побудинковий звіт'!I122-'[3]побудинковий звіт'!I122</f>
        <v>0</v>
      </c>
      <c r="J122" s="42">
        <f>'[1]побудинковий звіт'!J122+'[2]побудинковий звіт'!J122-'[3]побудинковий звіт'!J122</f>
        <v>0</v>
      </c>
      <c r="K122" s="56">
        <f t="shared" si="125"/>
        <v>0</v>
      </c>
      <c r="L122" s="42">
        <f>'[1]побудинковий звіт'!L122+'[2]побудинковий звіт'!L122-'[3]побудинковий звіт'!L122</f>
        <v>0</v>
      </c>
      <c r="M122" s="42">
        <f>'[1]побудинковий звіт'!M122+'[2]побудинковий звіт'!M122-'[3]побудинковий звіт'!M122</f>
        <v>0</v>
      </c>
      <c r="N122" s="56">
        <f t="shared" si="126"/>
        <v>0</v>
      </c>
      <c r="O122" s="42">
        <f>'[1]побудинковий звіт'!O122+'[2]побудинковий звіт'!O122-'[3]побудинковий звіт'!O122</f>
        <v>0</v>
      </c>
      <c r="P122" s="42">
        <f>'[1]побудинковий звіт'!P122+'[2]побудинковий звіт'!P122-'[3]побудинковий звіт'!P122</f>
        <v>0</v>
      </c>
      <c r="Q122" s="56">
        <f t="shared" si="127"/>
        <v>0</v>
      </c>
      <c r="R122" s="42">
        <f>'[1]побудинковий звіт'!R122+'[2]побудинковий звіт'!R122-'[3]побудинковий звіт'!R122</f>
        <v>0</v>
      </c>
      <c r="S122" s="42">
        <f>'[1]побудинковий звіт'!S122+'[2]побудинковий звіт'!S122-'[3]побудинковий звіт'!S122</f>
        <v>0</v>
      </c>
      <c r="T122" s="56">
        <f t="shared" si="128"/>
        <v>0</v>
      </c>
      <c r="U122" s="42">
        <f>'[1]побудинковий звіт'!U122+'[2]побудинковий звіт'!U122-'[3]побудинковий звіт'!U122</f>
        <v>0</v>
      </c>
      <c r="V122" s="42">
        <f>'[1]побудинковий звіт'!V122+'[2]побудинковий звіт'!V122-'[3]побудинковий звіт'!V122</f>
        <v>0</v>
      </c>
      <c r="W122" s="56">
        <f t="shared" si="129"/>
        <v>0</v>
      </c>
      <c r="X122" s="42">
        <f>'[1]побудинковий звіт'!X122+'[2]побудинковий звіт'!X122-'[3]побудинковий звіт'!X122</f>
        <v>0</v>
      </c>
      <c r="Y122" s="42">
        <f>'[1]побудинковий звіт'!Y122+'[2]побудинковий звіт'!Y122-'[3]побудинковий звіт'!Y122</f>
        <v>0</v>
      </c>
      <c r="Z122" s="56">
        <f t="shared" si="130"/>
        <v>0</v>
      </c>
      <c r="AA122" s="42">
        <f>'[1]побудинковий звіт'!AA122+'[2]побудинковий звіт'!AA122-'[3]побудинковий звіт'!AA122</f>
        <v>0</v>
      </c>
      <c r="AB122" s="42">
        <f>'[1]побудинковий звіт'!AB122+'[2]побудинковий звіт'!AB122-'[3]побудинковий звіт'!AB122</f>
        <v>0</v>
      </c>
      <c r="AC122" s="56">
        <f t="shared" si="131"/>
        <v>0</v>
      </c>
      <c r="AD122" s="42">
        <f>'[1]побудинковий звіт'!AD122+'[2]побудинковий звіт'!AD122-'[3]побудинковий звіт'!AD122</f>
        <v>0</v>
      </c>
      <c r="AE122" s="42">
        <f>'[1]побудинковий звіт'!AE122+'[2]побудинковий звіт'!AE122-'[3]побудинковий звіт'!AE122</f>
        <v>121.16710832488467</v>
      </c>
      <c r="AF122" s="37">
        <f t="shared" si="132"/>
        <v>121.16710832488467</v>
      </c>
      <c r="AG122" s="87">
        <f t="shared" si="120"/>
        <v>0</v>
      </c>
      <c r="AH122" s="57">
        <f t="shared" si="120"/>
        <v>121.16710832488467</v>
      </c>
      <c r="AI122" s="56">
        <f t="shared" si="133"/>
        <v>121.16710832488467</v>
      </c>
      <c r="AJ122" s="42">
        <f>'[1]побудинковий звіт'!AJ122+'[2]побудинковий звіт'!AJ122-'[3]побудинковий звіт'!AJ122</f>
        <v>0</v>
      </c>
      <c r="AK122" s="42">
        <f>'[1]побудинковий звіт'!AK122+'[2]побудинковий звіт'!AK122-'[3]побудинковий звіт'!AK122</f>
        <v>0</v>
      </c>
      <c r="AL122" s="56">
        <f t="shared" si="134"/>
        <v>0</v>
      </c>
      <c r="AM122" s="42">
        <f>'[1]побудинковий звіт'!AM122+'[2]побудинковий звіт'!AM122-'[3]побудинковий звіт'!AM122</f>
        <v>0</v>
      </c>
      <c r="AN122" s="42">
        <f>'[1]побудинковий звіт'!AN122+'[2]побудинковий звіт'!AN122-'[3]побудинковий звіт'!AN122</f>
        <v>0</v>
      </c>
      <c r="AO122" s="56">
        <f t="shared" si="135"/>
        <v>0</v>
      </c>
      <c r="AP122" s="42">
        <f>'[1]побудинковий звіт'!AP122+'[2]побудинковий звіт'!AP122-'[3]побудинковий звіт'!AP122</f>
        <v>331.45617501277735</v>
      </c>
      <c r="AQ122" s="42">
        <f>'[1]побудинковий звіт'!AQ122+'[2]побудинковий звіт'!AQ122-'[3]побудинковий звіт'!AQ122</f>
        <v>116.78640785600219</v>
      </c>
      <c r="AR122" s="56">
        <f t="shared" si="136"/>
        <v>-214.66976715677515</v>
      </c>
      <c r="AS122" s="42">
        <f>'[1]побудинковий звіт'!AS122+'[2]побудинковий звіт'!AS122-'[3]побудинковий звіт'!AS122</f>
        <v>2555.696423132089</v>
      </c>
      <c r="AT122" s="42">
        <f>'[1]побудинковий звіт'!AT122+'[2]побудинковий звіт'!AT122-'[3]побудинковий звіт'!AT122</f>
        <v>0</v>
      </c>
      <c r="AU122" s="58">
        <f t="shared" si="151"/>
        <v>-2555.696423132089</v>
      </c>
      <c r="AV122" s="42">
        <f>'[1]побудинковий звіт'!AV122+'[2]побудинковий звіт'!AV122-'[3]побудинковий звіт'!AV122</f>
        <v>0</v>
      </c>
      <c r="AW122" s="42">
        <f>'[1]побудинковий звіт'!AW122+'[2]побудинковий звіт'!AW122-'[3]побудинковий звіт'!AW122</f>
        <v>0</v>
      </c>
      <c r="AX122" s="59">
        <f t="shared" si="152"/>
        <v>0</v>
      </c>
      <c r="AY122" s="42">
        <f>'[1]побудинковий звіт'!AY122+'[2]побудинковий звіт'!AY122-'[3]побудинковий звіт'!AY122</f>
        <v>0</v>
      </c>
      <c r="AZ122" s="42">
        <f>'[1]побудинковий звіт'!AZ122+'[2]побудинковий звіт'!AZ122-'[3]побудинковий звіт'!AZ122</f>
        <v>0</v>
      </c>
      <c r="BA122" s="37">
        <f t="shared" si="153"/>
        <v>0</v>
      </c>
      <c r="BB122" s="42">
        <f>'[1]побудинковий звіт'!BB122+'[2]побудинковий звіт'!BB122-'[3]побудинковий звіт'!BB122</f>
        <v>0</v>
      </c>
      <c r="BC122" s="42">
        <f>'[1]побудинковий звіт'!BC122+'[2]побудинковий звіт'!BC122-'[3]побудинковий звіт'!BC122</f>
        <v>0</v>
      </c>
      <c r="BD122" s="59">
        <f t="shared" si="154"/>
        <v>0</v>
      </c>
      <c r="BE122" s="42">
        <f>'[1]побудинковий звіт'!BE122+'[2]побудинковий звіт'!BE122-'[3]побудинковий звіт'!BE122</f>
        <v>0</v>
      </c>
      <c r="BF122" s="42">
        <f>'[1]побудинковий звіт'!BF122+'[2]побудинковий звіт'!BF122-'[3]побудинковий звіт'!BF122</f>
        <v>0</v>
      </c>
      <c r="BG122" s="39">
        <f t="shared" si="155"/>
        <v>0</v>
      </c>
      <c r="BH122" s="42">
        <f>'[1]побудинковий звіт'!BH122+'[2]побудинковий звіт'!BH122-'[3]побудинковий звіт'!BH122</f>
        <v>0</v>
      </c>
      <c r="BI122" s="42">
        <f>'[1]побудинковий звіт'!BI122+'[2]побудинковий звіт'!BI122-'[3]побудинковий звіт'!BI122</f>
        <v>0</v>
      </c>
      <c r="BJ122" s="59">
        <f t="shared" si="156"/>
        <v>0</v>
      </c>
      <c r="BK122" s="42">
        <f>'[1]побудинковий звіт'!BK122+'[2]побудинковий звіт'!BK122-'[3]побудинковий звіт'!BK122</f>
        <v>0</v>
      </c>
      <c r="BL122" s="42">
        <f>'[1]побудинковий звіт'!BL122+'[2]побудинковий звіт'!BL122-'[3]побудинковий звіт'!BL122</f>
        <v>0</v>
      </c>
      <c r="BM122" s="39">
        <f t="shared" si="157"/>
        <v>0</v>
      </c>
      <c r="BN122" s="42">
        <f>'[1]побудинковий звіт'!BN122+'[2]побудинковий звіт'!BN122-'[3]побудинковий звіт'!BN122</f>
        <v>0</v>
      </c>
      <c r="BO122" s="42">
        <f>'[1]побудинковий звіт'!BO122+'[2]побудинковий звіт'!BO122-'[3]побудинковий звіт'!BO122</f>
        <v>0</v>
      </c>
      <c r="BP122" s="59">
        <f t="shared" si="158"/>
        <v>0</v>
      </c>
      <c r="BQ122" s="87">
        <f t="shared" si="121"/>
        <v>0</v>
      </c>
      <c r="BR122" s="43">
        <f t="shared" si="122"/>
        <v>0</v>
      </c>
      <c r="BS122" s="59">
        <f t="shared" si="159"/>
        <v>0</v>
      </c>
      <c r="BT122" s="42">
        <f>'[1]побудинковий звіт'!BT122+'[2]побудинковий звіт'!BT122-'[3]побудинковий звіт'!BT122</f>
        <v>0</v>
      </c>
      <c r="BU122" s="42">
        <f>'[1]побудинковий звіт'!BU122+'[2]побудинковий звіт'!BU122-'[3]побудинковий звіт'!BU122</f>
        <v>0</v>
      </c>
      <c r="BV122" s="56">
        <f t="shared" si="137"/>
        <v>0</v>
      </c>
      <c r="BW122" s="42">
        <f>'[1]побудинковий звіт'!BW122+'[2]побудинковий звіт'!BW122-'[3]побудинковий звіт'!BW122</f>
        <v>0</v>
      </c>
      <c r="BX122" s="42">
        <f>'[1]побудинковий звіт'!BX122+'[2]побудинковий звіт'!BX122-'[3]побудинковий звіт'!BX122</f>
        <v>5.8596269427380214</v>
      </c>
      <c r="BY122" s="56">
        <f t="shared" si="138"/>
        <v>5.8596269427380214</v>
      </c>
      <c r="BZ122" s="42">
        <f>'[1]побудинковий звіт'!BZ122+'[2]побудинковий звіт'!BZ122-'[3]побудинковий звіт'!BZ122</f>
        <v>0</v>
      </c>
      <c r="CA122" s="42">
        <f>'[1]побудинковий звіт'!CA122+'[2]побудинковий звіт'!CA122-'[3]побудинковий звіт'!CA122</f>
        <v>0</v>
      </c>
      <c r="CB122" s="56">
        <f t="shared" si="139"/>
        <v>0</v>
      </c>
      <c r="CC122" s="42">
        <f>'[1]побудинковий звіт'!CC122+'[2]побудинковий звіт'!CC122-'[3]побудинковий звіт'!CC122</f>
        <v>0</v>
      </c>
      <c r="CD122" s="42">
        <f>'[1]побудинковий звіт'!CD122+'[2]побудинковий звіт'!CD122-'[3]побудинковий звіт'!CD122</f>
        <v>0</v>
      </c>
      <c r="CE122" s="56">
        <f t="shared" si="140"/>
        <v>0</v>
      </c>
      <c r="CF122" s="42">
        <f>'[1]побудинковий звіт'!CF122+'[2]побудинковий звіт'!CF122-'[3]побудинковий звіт'!CF122</f>
        <v>0</v>
      </c>
      <c r="CG122" s="42">
        <f>'[1]побудинковий звіт'!CG122+'[2]побудинковий звіт'!CG122-'[3]побудинковий звіт'!CG122</f>
        <v>0</v>
      </c>
      <c r="CH122" s="56">
        <f t="shared" si="141"/>
        <v>0</v>
      </c>
      <c r="CI122" s="42">
        <f>'[1]побудинковий звіт'!CI122+'[2]побудинковий звіт'!CI122-'[3]побудинковий звіт'!CI122</f>
        <v>0</v>
      </c>
      <c r="CJ122" s="42">
        <f>'[1]побудинковий звіт'!CJ122+'[2]побудинковий звіт'!CJ122-'[3]побудинковий звіт'!CJ122</f>
        <v>0</v>
      </c>
      <c r="CK122" s="56">
        <f t="shared" si="142"/>
        <v>0</v>
      </c>
      <c r="CL122" s="42">
        <f>'[1]побудинковий звіт'!CL122+'[2]побудинковий звіт'!CL122-'[3]побудинковий звіт'!CL122</f>
        <v>0</v>
      </c>
      <c r="CM122" s="42">
        <f>'[1]побудинковий звіт'!CM122+'[2]побудинковий звіт'!CM122-'[3]побудинковий звіт'!CM122</f>
        <v>0</v>
      </c>
      <c r="CN122" s="56">
        <f t="shared" si="143"/>
        <v>0</v>
      </c>
      <c r="CO122" s="42">
        <f t="shared" si="123"/>
        <v>0</v>
      </c>
      <c r="CP122" s="43">
        <f t="shared" si="144"/>
        <v>0</v>
      </c>
      <c r="CQ122" s="56">
        <f t="shared" si="145"/>
        <v>0</v>
      </c>
      <c r="CR122" s="78">
        <f t="shared" si="124"/>
        <v>2887.1525981448663</v>
      </c>
      <c r="CS122" s="5">
        <f t="shared" si="124"/>
        <v>243.81314312362488</v>
      </c>
      <c r="CT122" s="56">
        <f t="shared" si="146"/>
        <v>-2643.3394550212415</v>
      </c>
      <c r="CU122" s="87">
        <f t="shared" si="147"/>
        <v>3464.5831177738396</v>
      </c>
      <c r="CV122" s="70">
        <f t="shared" si="148"/>
        <v>292.57577174834984</v>
      </c>
      <c r="CW122" s="37">
        <f t="shared" si="149"/>
        <v>-3172.0073460254898</v>
      </c>
      <c r="CX122" s="42">
        <f>'[1]побудинковий звіт'!CX122+'[2]побудинковий звіт'!CX122-'[3]побудинковий звіт'!CX122</f>
        <v>86.576882226161388</v>
      </c>
      <c r="CY122" s="42">
        <f>'[1]побудинковий звіт'!CY122+'[2]побудинковий звіт'!CY122-'[3]побудинковий звіт'!CY122</f>
        <v>3258.5842282516501</v>
      </c>
      <c r="CZ122" s="56">
        <f t="shared" si="150"/>
        <v>3172.0073460254889</v>
      </c>
      <c r="DA122" s="264">
        <f>'[4]побудинковий звіт'!DA122</f>
        <v>-9163.3031970041302</v>
      </c>
      <c r="DB122" s="2">
        <v>3</v>
      </c>
      <c r="DC122" s="717">
        <f>'[4]побудинковий звіт'!DC122</f>
        <v>319.85000000000002</v>
      </c>
      <c r="DD122" s="717">
        <f>'[4]побудинковий звіт'!DD122</f>
        <v>0</v>
      </c>
      <c r="DE122" s="717">
        <f>'[4]побудинковий звіт'!DE122</f>
        <v>23.920000000000016</v>
      </c>
      <c r="DF122" s="717">
        <f>'[4]побудинковий звіт'!DF122</f>
        <v>0</v>
      </c>
      <c r="DG122" s="787">
        <v>-4746.3821198804235</v>
      </c>
      <c r="DH122" s="761">
        <f t="shared" si="109"/>
        <v>42613.920000000013</v>
      </c>
      <c r="DI122" s="784"/>
      <c r="DJ122" s="5"/>
      <c r="DK122" s="317">
        <f>VLOOKUP($A122,ціни!$A$4:$G$401,5)</f>
        <v>1.6269001721267109</v>
      </c>
      <c r="DL122" s="317"/>
      <c r="DM122" s="317">
        <f>VLOOKUP($A122,ціни!$A$4:$G$401,7)</f>
        <v>1.6269001721267109</v>
      </c>
      <c r="DN122" s="30">
        <f t="shared" si="160"/>
        <v>4074.7504401102815</v>
      </c>
      <c r="DO122" s="30">
        <f t="shared" si="161"/>
        <v>0</v>
      </c>
      <c r="DP122" s="316">
        <f t="shared" si="162"/>
        <v>4074.7504401102815</v>
      </c>
      <c r="DQ122" s="104"/>
      <c r="DR122" s="30">
        <f>VLOOKUP(A122,'ДЗ нас '!$A$1:$C$359,2)</f>
        <v>295.93</v>
      </c>
      <c r="DS122" s="748"/>
      <c r="DT122" s="30">
        <f t="shared" si="163"/>
        <v>295.93</v>
      </c>
      <c r="DU122" s="257">
        <f>VLOOKUP(A122,'новий кошторис с 01.06'!$A$4:$AI$399,35)*1.2</f>
        <v>297.37671760892113</v>
      </c>
      <c r="DV122" s="30">
        <f t="shared" si="164"/>
        <v>-1.4467176089211193</v>
      </c>
      <c r="DW122" s="930">
        <f>'[5]побудинковий звіт'!DW122+'[6]побудинковий звіт'!DW122</f>
        <v>0</v>
      </c>
      <c r="DY122" s="5">
        <f t="shared" si="104"/>
        <v>3066.8357077585065</v>
      </c>
      <c r="DZ122" s="5">
        <f t="shared" si="105"/>
        <v>0</v>
      </c>
      <c r="EA122" s="752">
        <f t="shared" si="110"/>
        <v>23.920000000000016</v>
      </c>
      <c r="EC122" s="592">
        <f t="shared" si="106"/>
        <v>30668.357077585068</v>
      </c>
      <c r="EE122" s="758">
        <v>-2558</v>
      </c>
      <c r="EF122" s="738">
        <f t="shared" si="107"/>
        <v>-7304.3821198804235</v>
      </c>
      <c r="EH122" s="813">
        <v>-6422.4510048689426</v>
      </c>
    </row>
    <row r="123" spans="1:138" x14ac:dyDescent="0.3">
      <c r="A123" s="328">
        <v>150000557</v>
      </c>
      <c r="B123" s="44" t="s">
        <v>574</v>
      </c>
      <c r="C123" s="45" t="s">
        <v>90</v>
      </c>
      <c r="D123" s="45" t="s">
        <v>90</v>
      </c>
      <c r="E123" s="40">
        <f t="shared" si="108"/>
        <v>1804.3</v>
      </c>
      <c r="F123" s="490">
        <v>1804.3</v>
      </c>
      <c r="G123" s="30"/>
      <c r="H123" s="30">
        <v>0</v>
      </c>
      <c r="I123" s="42">
        <f>'[1]побудинковий звіт'!I123+'[2]побудинковий звіт'!I123-'[3]побудинковий звіт'!I123</f>
        <v>0</v>
      </c>
      <c r="J123" s="42">
        <f>'[1]побудинковий звіт'!J123+'[2]побудинковий звіт'!J123-'[3]побудинковий звіт'!J123</f>
        <v>0</v>
      </c>
      <c r="K123" s="56">
        <f t="shared" si="125"/>
        <v>0</v>
      </c>
      <c r="L123" s="42">
        <f>'[1]побудинковий звіт'!L123+'[2]побудинковий звіт'!L123-'[3]побудинковий звіт'!L123</f>
        <v>0</v>
      </c>
      <c r="M123" s="42">
        <f>'[1]побудинковий звіт'!M123+'[2]побудинковий звіт'!M123-'[3]побудинковий звіт'!M123</f>
        <v>0</v>
      </c>
      <c r="N123" s="56">
        <f t="shared" si="126"/>
        <v>0</v>
      </c>
      <c r="O123" s="42">
        <f>'[1]побудинковий звіт'!O123+'[2]побудинковий звіт'!O123-'[3]побудинковий звіт'!O123</f>
        <v>0</v>
      </c>
      <c r="P123" s="42">
        <f>'[1]побудинковий звіт'!P123+'[2]побудинковий звіт'!P123-'[3]побудинковий звіт'!P123</f>
        <v>0</v>
      </c>
      <c r="Q123" s="56">
        <f t="shared" si="127"/>
        <v>0</v>
      </c>
      <c r="R123" s="42">
        <f>'[1]побудинковий звіт'!R123+'[2]побудинковий звіт'!R123-'[3]побудинковий звіт'!R123</f>
        <v>0</v>
      </c>
      <c r="S123" s="42">
        <f>'[1]побудинковий звіт'!S123+'[2]побудинковий звіт'!S123-'[3]побудинковий звіт'!S123</f>
        <v>0</v>
      </c>
      <c r="T123" s="56">
        <f t="shared" si="128"/>
        <v>0</v>
      </c>
      <c r="U123" s="42">
        <f>'[1]побудинковий звіт'!U123+'[2]побудинковий звіт'!U123-'[3]побудинковий звіт'!U123</f>
        <v>0</v>
      </c>
      <c r="V123" s="42">
        <f>'[1]побудинковий звіт'!V123+'[2]побудинковий звіт'!V123-'[3]побудинковий звіт'!V123</f>
        <v>0</v>
      </c>
      <c r="W123" s="56">
        <f t="shared" si="129"/>
        <v>0</v>
      </c>
      <c r="X123" s="42">
        <f>'[1]побудинковий звіт'!X123+'[2]побудинковий звіт'!X123-'[3]побудинковий звіт'!X123</f>
        <v>0</v>
      </c>
      <c r="Y123" s="42">
        <f>'[1]побудинковий звіт'!Y123+'[2]побудинковий звіт'!Y123-'[3]побудинковий звіт'!Y123</f>
        <v>0</v>
      </c>
      <c r="Z123" s="56">
        <f t="shared" si="130"/>
        <v>0</v>
      </c>
      <c r="AA123" s="42">
        <f>'[1]побудинковий звіт'!AA123+'[2]побудинковий звіт'!AA123-'[3]побудинковий звіт'!AA123</f>
        <v>0</v>
      </c>
      <c r="AB123" s="42">
        <f>'[1]побудинковий звіт'!AB123+'[2]побудинковий звіт'!AB123-'[3]побудинковий звіт'!AB123</f>
        <v>0</v>
      </c>
      <c r="AC123" s="56">
        <f t="shared" si="131"/>
        <v>0</v>
      </c>
      <c r="AD123" s="42">
        <f>'[1]побудинковий звіт'!AD123+'[2]побудинковий звіт'!AD123-'[3]побудинковий звіт'!AD123</f>
        <v>0</v>
      </c>
      <c r="AE123" s="42">
        <f>'[1]побудинковий звіт'!AE123+'[2]побудинковий звіт'!AE123-'[3]побудинковий звіт'!AE123</f>
        <v>73.406351497538708</v>
      </c>
      <c r="AF123" s="37">
        <f t="shared" si="132"/>
        <v>73.406351497538708</v>
      </c>
      <c r="AG123" s="87">
        <f t="shared" si="120"/>
        <v>0</v>
      </c>
      <c r="AH123" s="57">
        <f t="shared" si="120"/>
        <v>73.406351497538708</v>
      </c>
      <c r="AI123" s="56">
        <f t="shared" si="133"/>
        <v>73.406351497538708</v>
      </c>
      <c r="AJ123" s="42">
        <f>'[1]побудинковий звіт'!AJ123+'[2]побудинковий звіт'!AJ123-'[3]побудинковий звіт'!AJ123</f>
        <v>0</v>
      </c>
      <c r="AK123" s="42">
        <f>'[1]побудинковий звіт'!AK123+'[2]побудинковий звіт'!AK123-'[3]побудинковий звіт'!AK123</f>
        <v>0</v>
      </c>
      <c r="AL123" s="56">
        <f t="shared" si="134"/>
        <v>0</v>
      </c>
      <c r="AM123" s="42">
        <f>'[1]побудинковий звіт'!AM123+'[2]побудинковий звіт'!AM123-'[3]побудинковий звіт'!AM123</f>
        <v>0</v>
      </c>
      <c r="AN123" s="42">
        <f>'[1]побудинковий звіт'!AN123+'[2]побудинковий звіт'!AN123-'[3]побудинковий звіт'!AN123</f>
        <v>0</v>
      </c>
      <c r="AO123" s="56">
        <f t="shared" si="135"/>
        <v>0</v>
      </c>
      <c r="AP123" s="42">
        <f>'[1]побудинковий звіт'!AP123+'[2]побудинковий звіт'!AP123-'[3]побудинковий звіт'!AP123</f>
        <v>142.05264643404746</v>
      </c>
      <c r="AQ123" s="42">
        <f>'[1]побудинковий звіт'!AQ123+'[2]побудинковий звіт'!AQ123-'[3]побудинковий звіт'!AQ123</f>
        <v>70.071844713601308</v>
      </c>
      <c r="AR123" s="56">
        <f t="shared" si="136"/>
        <v>-71.980801720446152</v>
      </c>
      <c r="AS123" s="42">
        <f>'[1]побудинковий звіт'!AS123+'[2]побудинковий звіт'!AS123-'[3]побудинковий звіт'!AS123</f>
        <v>1661.4004179781432</v>
      </c>
      <c r="AT123" s="42">
        <f>'[1]побудинковий звіт'!AT123+'[2]побудинковий звіт'!AT123-'[3]побудинковий звіт'!AT123</f>
        <v>0</v>
      </c>
      <c r="AU123" s="58">
        <f t="shared" si="151"/>
        <v>-1661.4004179781432</v>
      </c>
      <c r="AV123" s="42">
        <f>'[1]побудинковий звіт'!AV123+'[2]побудинковий звіт'!AV123-'[3]побудинковий звіт'!AV123</f>
        <v>0</v>
      </c>
      <c r="AW123" s="42">
        <f>'[1]побудинковий звіт'!AW123+'[2]побудинковий звіт'!AW123-'[3]побудинковий звіт'!AW123</f>
        <v>0</v>
      </c>
      <c r="AX123" s="59">
        <f t="shared" si="152"/>
        <v>0</v>
      </c>
      <c r="AY123" s="42">
        <f>'[1]побудинковий звіт'!AY123+'[2]побудинковий звіт'!AY123-'[3]побудинковий звіт'!AY123</f>
        <v>0</v>
      </c>
      <c r="AZ123" s="42">
        <f>'[1]побудинковий звіт'!AZ123+'[2]побудинковий звіт'!AZ123-'[3]побудинковий звіт'!AZ123</f>
        <v>0</v>
      </c>
      <c r="BA123" s="37">
        <f t="shared" si="153"/>
        <v>0</v>
      </c>
      <c r="BB123" s="42">
        <f>'[1]побудинковий звіт'!BB123+'[2]побудинковий звіт'!BB123-'[3]побудинковий звіт'!BB123</f>
        <v>0</v>
      </c>
      <c r="BC123" s="42">
        <f>'[1]побудинковий звіт'!BC123+'[2]побудинковий звіт'!BC123-'[3]побудинковий звіт'!BC123</f>
        <v>0</v>
      </c>
      <c r="BD123" s="59">
        <f t="shared" si="154"/>
        <v>0</v>
      </c>
      <c r="BE123" s="42">
        <f>'[1]побудинковий звіт'!BE123+'[2]побудинковий звіт'!BE123-'[3]побудинковий звіт'!BE123</f>
        <v>0</v>
      </c>
      <c r="BF123" s="42">
        <f>'[1]побудинковий звіт'!BF123+'[2]побудинковий звіт'!BF123-'[3]побудинковий звіт'!BF123</f>
        <v>0</v>
      </c>
      <c r="BG123" s="39">
        <f t="shared" si="155"/>
        <v>0</v>
      </c>
      <c r="BH123" s="42">
        <f>'[1]побудинковий звіт'!BH123+'[2]побудинковий звіт'!BH123-'[3]побудинковий звіт'!BH123</f>
        <v>0</v>
      </c>
      <c r="BI123" s="42">
        <f>'[1]побудинковий звіт'!BI123+'[2]побудинковий звіт'!BI123-'[3]побудинковий звіт'!BI123</f>
        <v>0</v>
      </c>
      <c r="BJ123" s="59">
        <f t="shared" si="156"/>
        <v>0</v>
      </c>
      <c r="BK123" s="42">
        <f>'[1]побудинковий звіт'!BK123+'[2]побудинковий звіт'!BK123-'[3]побудинковий звіт'!BK123</f>
        <v>0</v>
      </c>
      <c r="BL123" s="42">
        <f>'[1]побудинковий звіт'!BL123+'[2]побудинковий звіт'!BL123-'[3]побудинковий звіт'!BL123</f>
        <v>0</v>
      </c>
      <c r="BM123" s="39">
        <f t="shared" si="157"/>
        <v>0</v>
      </c>
      <c r="BN123" s="42">
        <f>'[1]побудинковий звіт'!BN123+'[2]побудинковий звіт'!BN123-'[3]побудинковий звіт'!BN123</f>
        <v>0</v>
      </c>
      <c r="BO123" s="42">
        <f>'[1]побудинковий звіт'!BO123+'[2]побудинковий звіт'!BO123-'[3]побудинковий звіт'!BO123</f>
        <v>0</v>
      </c>
      <c r="BP123" s="59">
        <f t="shared" si="158"/>
        <v>0</v>
      </c>
      <c r="BQ123" s="87">
        <f t="shared" si="121"/>
        <v>0</v>
      </c>
      <c r="BR123" s="43">
        <f t="shared" si="122"/>
        <v>0</v>
      </c>
      <c r="BS123" s="59">
        <f t="shared" si="159"/>
        <v>0</v>
      </c>
      <c r="BT123" s="42">
        <f>'[1]побудинковий звіт'!BT123+'[2]побудинковий звіт'!BT123-'[3]побудинковий звіт'!BT123</f>
        <v>0</v>
      </c>
      <c r="BU123" s="42">
        <f>'[1]побудинковий звіт'!BU123+'[2]побудинковий звіт'!BU123-'[3]побудинковий звіт'!BU123</f>
        <v>0</v>
      </c>
      <c r="BV123" s="56">
        <f t="shared" si="137"/>
        <v>0</v>
      </c>
      <c r="BW123" s="42">
        <f>'[1]побудинковий звіт'!BW123+'[2]побудинковий звіт'!BW123-'[3]побудинковий звіт'!BW123</f>
        <v>0</v>
      </c>
      <c r="BX123" s="42">
        <f>'[1]побудинковий звіт'!BX123+'[2]побудинковий звіт'!BX123-'[3]побудинковий звіт'!BX123</f>
        <v>3.5499224249023094</v>
      </c>
      <c r="BY123" s="56">
        <f t="shared" si="138"/>
        <v>3.5499224249023094</v>
      </c>
      <c r="BZ123" s="42">
        <f>'[1]побудинковий звіт'!BZ123+'[2]побудинковий звіт'!BZ123-'[3]побудинковий звіт'!BZ123</f>
        <v>0</v>
      </c>
      <c r="CA123" s="42">
        <f>'[1]побудинковий звіт'!CA123+'[2]побудинковий звіт'!CA123-'[3]побудинковий звіт'!CA123</f>
        <v>0</v>
      </c>
      <c r="CB123" s="56">
        <f t="shared" si="139"/>
        <v>0</v>
      </c>
      <c r="CC123" s="42">
        <f>'[1]побудинковий звіт'!CC123+'[2]побудинковий звіт'!CC123-'[3]побудинковий звіт'!CC123</f>
        <v>0</v>
      </c>
      <c r="CD123" s="42">
        <f>'[1]побудинковий звіт'!CD123+'[2]побудинковий звіт'!CD123-'[3]побудинковий звіт'!CD123</f>
        <v>0</v>
      </c>
      <c r="CE123" s="56">
        <f t="shared" si="140"/>
        <v>0</v>
      </c>
      <c r="CF123" s="42">
        <f>'[1]побудинковий звіт'!CF123+'[2]побудинковий звіт'!CF123-'[3]побудинковий звіт'!CF123</f>
        <v>0</v>
      </c>
      <c r="CG123" s="42">
        <f>'[1]побудинковий звіт'!CG123+'[2]побудинковий звіт'!CG123-'[3]побудинковий звіт'!CG123</f>
        <v>0</v>
      </c>
      <c r="CH123" s="56">
        <f t="shared" si="141"/>
        <v>0</v>
      </c>
      <c r="CI123" s="42">
        <f>'[1]побудинковий звіт'!CI123+'[2]побудинковий звіт'!CI123-'[3]побудинковий звіт'!CI123</f>
        <v>0</v>
      </c>
      <c r="CJ123" s="42">
        <f>'[1]побудинковий звіт'!CJ123+'[2]побудинковий звіт'!CJ123-'[3]побудинковий звіт'!CJ123</f>
        <v>0</v>
      </c>
      <c r="CK123" s="56">
        <f t="shared" si="142"/>
        <v>0</v>
      </c>
      <c r="CL123" s="42">
        <f>'[1]побудинковий звіт'!CL123+'[2]побудинковий звіт'!CL123-'[3]побудинковий звіт'!CL123</f>
        <v>0</v>
      </c>
      <c r="CM123" s="42">
        <f>'[1]побудинковий звіт'!CM123+'[2]побудинковий звіт'!CM123-'[3]побудинковий звіт'!CM123</f>
        <v>0</v>
      </c>
      <c r="CN123" s="56">
        <f t="shared" si="143"/>
        <v>0</v>
      </c>
      <c r="CO123" s="42">
        <f t="shared" si="123"/>
        <v>0</v>
      </c>
      <c r="CP123" s="43">
        <f t="shared" si="144"/>
        <v>0</v>
      </c>
      <c r="CQ123" s="56">
        <f t="shared" si="145"/>
        <v>0</v>
      </c>
      <c r="CR123" s="78">
        <f t="shared" si="124"/>
        <v>1803.4530644121905</v>
      </c>
      <c r="CS123" s="5">
        <f t="shared" si="124"/>
        <v>147.02811863604234</v>
      </c>
      <c r="CT123" s="56">
        <f t="shared" si="146"/>
        <v>-1656.4249457761482</v>
      </c>
      <c r="CU123" s="87">
        <f t="shared" si="147"/>
        <v>2164.1436772946286</v>
      </c>
      <c r="CV123" s="70">
        <f t="shared" si="148"/>
        <v>176.43374236325079</v>
      </c>
      <c r="CW123" s="37">
        <f t="shared" si="149"/>
        <v>-1987.7099349313778</v>
      </c>
      <c r="CX123" s="42">
        <f>'[1]побудинковий звіт'!CX123+'[2]побудинковий звіт'!CX123-'[3]побудинковий звіт'!CX123</f>
        <v>43.376322705370967</v>
      </c>
      <c r="CY123" s="42">
        <f>'[1]побудинковий звіт'!CY123+'[2]побудинковий звіт'!CY123-'[3]побудинковий звіт'!CY123</f>
        <v>2031.0862576367495</v>
      </c>
      <c r="CZ123" s="56">
        <f t="shared" si="150"/>
        <v>1987.7099349313785</v>
      </c>
      <c r="DA123" s="264">
        <f>'[4]побудинковий звіт'!DA123</f>
        <v>-5879.5499101772511</v>
      </c>
      <c r="DB123" s="2">
        <v>3</v>
      </c>
      <c r="DC123" s="717">
        <f>'[4]побудинковий звіт'!DC123</f>
        <v>327.26</v>
      </c>
      <c r="DD123" s="717">
        <f>'[4]побудинковий звіт'!DD123</f>
        <v>0</v>
      </c>
      <c r="DE123" s="717">
        <f>'[4]побудинковий звіт'!DE123</f>
        <v>143.29999999999998</v>
      </c>
      <c r="DF123" s="717">
        <f>'[4]побудинковий звіт'!DF123</f>
        <v>0</v>
      </c>
      <c r="DG123" s="787">
        <v>-3160.5666568355723</v>
      </c>
      <c r="DH123" s="761">
        <f t="shared" si="109"/>
        <v>26490.239999999994</v>
      </c>
      <c r="DI123" s="784"/>
      <c r="DJ123" s="5"/>
      <c r="DK123" s="317">
        <f>VLOOKUP($A123,ціни!$A$4:$G$401,5)</f>
        <v>1.6692578273143692</v>
      </c>
      <c r="DL123" s="317"/>
      <c r="DM123" s="317">
        <f>VLOOKUP($A123,ціни!$A$4:$G$401,7)</f>
        <v>1.6692578273143692</v>
      </c>
      <c r="DN123" s="30">
        <f t="shared" si="160"/>
        <v>3011.8418978233162</v>
      </c>
      <c r="DO123" s="30">
        <f t="shared" si="161"/>
        <v>0</v>
      </c>
      <c r="DP123" s="316">
        <f t="shared" si="162"/>
        <v>3011.8418978233162</v>
      </c>
      <c r="DQ123" s="104"/>
      <c r="DR123" s="30">
        <f>VLOOKUP(A123,'ДЗ нас '!$A$1:$C$359,2)</f>
        <v>183.96</v>
      </c>
      <c r="DS123" s="748"/>
      <c r="DT123" s="30">
        <f t="shared" si="163"/>
        <v>183.96</v>
      </c>
      <c r="DU123" s="257">
        <f>VLOOKUP(A123,'новий кошторис с 01.06'!$A$4:$AI$399,35)*1.2</f>
        <v>184.67359379580839</v>
      </c>
      <c r="DV123" s="30">
        <f t="shared" si="164"/>
        <v>-0.71359379580837867</v>
      </c>
      <c r="DW123" s="930">
        <f>'[5]побудинковий звіт'!DW123+'[6]побудинковий звіт'!DW123</f>
        <v>0</v>
      </c>
      <c r="DY123" s="5">
        <f t="shared" si="104"/>
        <v>1993.6805015737718</v>
      </c>
      <c r="DZ123" s="5">
        <f t="shared" si="105"/>
        <v>0</v>
      </c>
      <c r="EA123" s="752">
        <f t="shared" si="110"/>
        <v>143.29999999999998</v>
      </c>
      <c r="EC123" s="592">
        <f t="shared" si="106"/>
        <v>19936.805015737718</v>
      </c>
      <c r="EE123" s="758">
        <v>-1713</v>
      </c>
      <c r="EF123" s="738">
        <f t="shared" si="107"/>
        <v>-4873.5666568355718</v>
      </c>
      <c r="EH123" s="813">
        <v>-4163.9129668836622</v>
      </c>
    </row>
    <row r="124" spans="1:138" x14ac:dyDescent="0.3">
      <c r="A124" s="328">
        <v>150000552</v>
      </c>
      <c r="B124" s="44" t="s">
        <v>575</v>
      </c>
      <c r="C124" s="45" t="s">
        <v>91</v>
      </c>
      <c r="D124" s="45" t="s">
        <v>91</v>
      </c>
      <c r="E124" s="40">
        <f t="shared" si="108"/>
        <v>2744.2</v>
      </c>
      <c r="F124" s="490">
        <v>2744.2</v>
      </c>
      <c r="G124" s="30"/>
      <c r="H124" s="30">
        <v>0</v>
      </c>
      <c r="I124" s="42">
        <f>'[1]побудинковий звіт'!I124+'[2]побудинковий звіт'!I124-'[3]побудинковий звіт'!I124</f>
        <v>0</v>
      </c>
      <c r="J124" s="42">
        <f>'[1]побудинковий звіт'!J124+'[2]побудинковий звіт'!J124-'[3]побудинковий звіт'!J124</f>
        <v>0</v>
      </c>
      <c r="K124" s="56">
        <f t="shared" si="125"/>
        <v>0</v>
      </c>
      <c r="L124" s="42">
        <f>'[1]побудинковий звіт'!L124+'[2]побудинковий звіт'!L124-'[3]побудинковий звіт'!L124</f>
        <v>0</v>
      </c>
      <c r="M124" s="42">
        <f>'[1]побудинковий звіт'!M124+'[2]побудинковий звіт'!M124-'[3]побудинковий звіт'!M124</f>
        <v>0</v>
      </c>
      <c r="N124" s="56">
        <f t="shared" si="126"/>
        <v>0</v>
      </c>
      <c r="O124" s="42">
        <f>'[1]побудинковий звіт'!O124+'[2]побудинковий звіт'!O124-'[3]побудинковий звіт'!O124</f>
        <v>0</v>
      </c>
      <c r="P124" s="42">
        <f>'[1]побудинковий звіт'!P124+'[2]побудинковий звіт'!P124-'[3]побудинковий звіт'!P124</f>
        <v>0</v>
      </c>
      <c r="Q124" s="56">
        <f t="shared" si="127"/>
        <v>0</v>
      </c>
      <c r="R124" s="42">
        <f>'[1]побудинковий звіт'!R124+'[2]побудинковий звіт'!R124-'[3]побудинковий звіт'!R124</f>
        <v>0</v>
      </c>
      <c r="S124" s="42">
        <f>'[1]побудинковий звіт'!S124+'[2]побудинковий звіт'!S124-'[3]побудинковий звіт'!S124</f>
        <v>0</v>
      </c>
      <c r="T124" s="56">
        <f t="shared" si="128"/>
        <v>0</v>
      </c>
      <c r="U124" s="42">
        <f>'[1]побудинковий звіт'!U124+'[2]побудинковий звіт'!U124-'[3]побудинковий звіт'!U124</f>
        <v>0</v>
      </c>
      <c r="V124" s="42">
        <f>'[1]побудинковий звіт'!V124+'[2]побудинковий звіт'!V124-'[3]побудинковий звіт'!V124</f>
        <v>0</v>
      </c>
      <c r="W124" s="56">
        <f t="shared" si="129"/>
        <v>0</v>
      </c>
      <c r="X124" s="42">
        <f>'[1]побудинковий звіт'!X124+'[2]побудинковий звіт'!X124-'[3]побудинковий звіт'!X124</f>
        <v>0</v>
      </c>
      <c r="Y124" s="42">
        <f>'[1]побудинковий звіт'!Y124+'[2]побудинковий звіт'!Y124-'[3]побудинковий звіт'!Y124</f>
        <v>0</v>
      </c>
      <c r="Z124" s="56">
        <f t="shared" si="130"/>
        <v>0</v>
      </c>
      <c r="AA124" s="42">
        <f>'[1]побудинковий звіт'!AA124+'[2]побудинковий звіт'!AA124-'[3]побудинковий звіт'!AA124</f>
        <v>0</v>
      </c>
      <c r="AB124" s="42">
        <f>'[1]побудинковий звіт'!AB124+'[2]побудинковий звіт'!AB124-'[3]побудинковий звіт'!AB124</f>
        <v>0</v>
      </c>
      <c r="AC124" s="56">
        <f t="shared" si="131"/>
        <v>0</v>
      </c>
      <c r="AD124" s="42">
        <f>'[1]побудинковий звіт'!AD124+'[2]побудинковий звіт'!AD124-'[3]побудинковий звіт'!AD124</f>
        <v>0</v>
      </c>
      <c r="AE124" s="42">
        <f>'[1]побудинковий звіт'!AE124+'[2]побудинковий звіт'!AE124-'[3]побудинковий звіт'!AE124</f>
        <v>66.74515807670943</v>
      </c>
      <c r="AF124" s="37">
        <f t="shared" si="132"/>
        <v>66.74515807670943</v>
      </c>
      <c r="AG124" s="87">
        <f t="shared" si="120"/>
        <v>0</v>
      </c>
      <c r="AH124" s="57">
        <f t="shared" si="120"/>
        <v>66.74515807670943</v>
      </c>
      <c r="AI124" s="56">
        <f t="shared" si="133"/>
        <v>66.74515807670943</v>
      </c>
      <c r="AJ124" s="42">
        <f>'[1]побудинковий звіт'!AJ124+'[2]побудинковий звіт'!AJ124-'[3]побудинковий звіт'!AJ124</f>
        <v>0</v>
      </c>
      <c r="AK124" s="42">
        <f>'[1]побудинковий звіт'!AK124+'[2]побудинковий звіт'!AK124-'[3]побудинковий звіт'!AK124</f>
        <v>0</v>
      </c>
      <c r="AL124" s="56">
        <f t="shared" si="134"/>
        <v>0</v>
      </c>
      <c r="AM124" s="42">
        <f>'[1]побудинковий звіт'!AM124+'[2]побудинковий звіт'!AM124-'[3]побудинковий звіт'!AM124</f>
        <v>0</v>
      </c>
      <c r="AN124" s="42">
        <f>'[1]побудинковий звіт'!AN124+'[2]побудинковий звіт'!AN124-'[3]побудинковий звіт'!AN124</f>
        <v>0</v>
      </c>
      <c r="AO124" s="56">
        <f t="shared" si="135"/>
        <v>0</v>
      </c>
      <c r="AP124" s="42">
        <f>'[1]побудинковий звіт'!AP124+'[2]побудинковий звіт'!AP124-'[3]побудинковий звіт'!AP124</f>
        <v>189.40352857872992</v>
      </c>
      <c r="AQ124" s="42">
        <f>'[1]побудинковий звіт'!AQ124+'[2]побудинковий звіт'!AQ124-'[3]побудинковий звіт'!AQ124</f>
        <v>70.071844713601308</v>
      </c>
      <c r="AR124" s="56">
        <f t="shared" si="136"/>
        <v>-119.33168386512861</v>
      </c>
      <c r="AS124" s="42">
        <f>'[1]побудинковий звіт'!AS124+'[2]побудинковий звіт'!AS124-'[3]побудинковий звіт'!AS124</f>
        <v>1578.9652040362787</v>
      </c>
      <c r="AT124" s="42">
        <f>'[1]побудинковий звіт'!AT124+'[2]побудинковий звіт'!AT124-'[3]побудинковий звіт'!AT124</f>
        <v>0</v>
      </c>
      <c r="AU124" s="58">
        <f t="shared" si="151"/>
        <v>-1578.9652040362787</v>
      </c>
      <c r="AV124" s="42">
        <f>'[1]побудинковий звіт'!AV124+'[2]побудинковий звіт'!AV124-'[3]побудинковий звіт'!AV124</f>
        <v>0</v>
      </c>
      <c r="AW124" s="42">
        <f>'[1]побудинковий звіт'!AW124+'[2]побудинковий звіт'!AW124-'[3]побудинковий звіт'!AW124</f>
        <v>0</v>
      </c>
      <c r="AX124" s="59">
        <f t="shared" si="152"/>
        <v>0</v>
      </c>
      <c r="AY124" s="42">
        <f>'[1]побудинковий звіт'!AY124+'[2]побудинковий звіт'!AY124-'[3]побудинковий звіт'!AY124</f>
        <v>0</v>
      </c>
      <c r="AZ124" s="42">
        <f>'[1]побудинковий звіт'!AZ124+'[2]побудинковий звіт'!AZ124-'[3]побудинковий звіт'!AZ124</f>
        <v>0</v>
      </c>
      <c r="BA124" s="37">
        <f t="shared" si="153"/>
        <v>0</v>
      </c>
      <c r="BB124" s="42">
        <f>'[1]побудинковий звіт'!BB124+'[2]побудинковий звіт'!BB124-'[3]побудинковий звіт'!BB124</f>
        <v>0</v>
      </c>
      <c r="BC124" s="42">
        <f>'[1]побудинковий звіт'!BC124+'[2]побудинковий звіт'!BC124-'[3]побудинковий звіт'!BC124</f>
        <v>0</v>
      </c>
      <c r="BD124" s="59">
        <f t="shared" si="154"/>
        <v>0</v>
      </c>
      <c r="BE124" s="42">
        <f>'[1]побудинковий звіт'!BE124+'[2]побудинковий звіт'!BE124-'[3]побудинковий звіт'!BE124</f>
        <v>0</v>
      </c>
      <c r="BF124" s="42">
        <f>'[1]побудинковий звіт'!BF124+'[2]побудинковий звіт'!BF124-'[3]побудинковий звіт'!BF124</f>
        <v>0</v>
      </c>
      <c r="BG124" s="39">
        <f t="shared" si="155"/>
        <v>0</v>
      </c>
      <c r="BH124" s="42">
        <f>'[1]побудинковий звіт'!BH124+'[2]побудинковий звіт'!BH124-'[3]побудинковий звіт'!BH124</f>
        <v>0</v>
      </c>
      <c r="BI124" s="42">
        <f>'[1]побудинковий звіт'!BI124+'[2]побудинковий звіт'!BI124-'[3]побудинковий звіт'!BI124</f>
        <v>0</v>
      </c>
      <c r="BJ124" s="59">
        <f t="shared" si="156"/>
        <v>0</v>
      </c>
      <c r="BK124" s="42">
        <f>'[1]побудинковий звіт'!BK124+'[2]побудинковий звіт'!BK124-'[3]побудинковий звіт'!BK124</f>
        <v>0</v>
      </c>
      <c r="BL124" s="42">
        <f>'[1]побудинковий звіт'!BL124+'[2]побудинковий звіт'!BL124-'[3]побудинковий звіт'!BL124</f>
        <v>0</v>
      </c>
      <c r="BM124" s="39">
        <f t="shared" si="157"/>
        <v>0</v>
      </c>
      <c r="BN124" s="42">
        <f>'[1]побудинковий звіт'!BN124+'[2]побудинковий звіт'!BN124-'[3]побудинковий звіт'!BN124</f>
        <v>0</v>
      </c>
      <c r="BO124" s="42">
        <f>'[1]побудинковий звіт'!BO124+'[2]побудинковий звіт'!BO124-'[3]побудинковий звіт'!BO124</f>
        <v>0</v>
      </c>
      <c r="BP124" s="59">
        <f t="shared" si="158"/>
        <v>0</v>
      </c>
      <c r="BQ124" s="87">
        <f t="shared" si="121"/>
        <v>0</v>
      </c>
      <c r="BR124" s="43">
        <f t="shared" si="122"/>
        <v>0</v>
      </c>
      <c r="BS124" s="59">
        <f t="shared" si="159"/>
        <v>0</v>
      </c>
      <c r="BT124" s="42">
        <f>'[1]побудинковий звіт'!BT124+'[2]побудинковий звіт'!BT124-'[3]побудинковий звіт'!BT124</f>
        <v>0</v>
      </c>
      <c r="BU124" s="42">
        <f>'[1]побудинковий звіт'!BU124+'[2]побудинковий звіт'!BU124-'[3]побудинковий звіт'!BU124</f>
        <v>0</v>
      </c>
      <c r="BV124" s="56">
        <f t="shared" si="137"/>
        <v>0</v>
      </c>
      <c r="BW124" s="42">
        <f>'[1]побудинковий звіт'!BW124+'[2]побудинковий звіт'!BW124-'[3]побудинковий звіт'!BW124</f>
        <v>0</v>
      </c>
      <c r="BX124" s="42">
        <f>'[1]побудинковий звіт'!BX124+'[2]побудинковий звіт'!BX124-'[3]побудинковий звіт'!BX124</f>
        <v>3.2277879035863104</v>
      </c>
      <c r="BY124" s="56">
        <f t="shared" si="138"/>
        <v>3.2277879035863104</v>
      </c>
      <c r="BZ124" s="42">
        <f>'[1]побудинковий звіт'!BZ124+'[2]побудинковий звіт'!BZ124-'[3]побудинковий звіт'!BZ124</f>
        <v>0</v>
      </c>
      <c r="CA124" s="42">
        <f>'[1]побудинковий звіт'!CA124+'[2]побудинковий звіт'!CA124-'[3]побудинковий звіт'!CA124</f>
        <v>0</v>
      </c>
      <c r="CB124" s="56">
        <f t="shared" si="139"/>
        <v>0</v>
      </c>
      <c r="CC124" s="42">
        <f>'[1]побудинковий звіт'!CC124+'[2]побудинковий звіт'!CC124-'[3]побудинковий звіт'!CC124</f>
        <v>0</v>
      </c>
      <c r="CD124" s="42">
        <f>'[1]побудинковий звіт'!CD124+'[2]побудинковий звіт'!CD124-'[3]побудинковий звіт'!CD124</f>
        <v>0</v>
      </c>
      <c r="CE124" s="56">
        <f t="shared" si="140"/>
        <v>0</v>
      </c>
      <c r="CF124" s="42">
        <f>'[1]побудинковий звіт'!CF124+'[2]побудинковий звіт'!CF124-'[3]побудинковий звіт'!CF124</f>
        <v>0</v>
      </c>
      <c r="CG124" s="42">
        <f>'[1]побудинковий звіт'!CG124+'[2]побудинковий звіт'!CG124-'[3]побудинковий звіт'!CG124</f>
        <v>0</v>
      </c>
      <c r="CH124" s="56">
        <f t="shared" si="141"/>
        <v>0</v>
      </c>
      <c r="CI124" s="42">
        <f>'[1]побудинковий звіт'!CI124+'[2]побудинковий звіт'!CI124-'[3]побудинковий звіт'!CI124</f>
        <v>0</v>
      </c>
      <c r="CJ124" s="42">
        <f>'[1]побудинковий звіт'!CJ124+'[2]побудинковий звіт'!CJ124-'[3]побудинковий звіт'!CJ124</f>
        <v>0</v>
      </c>
      <c r="CK124" s="56">
        <f t="shared" si="142"/>
        <v>0</v>
      </c>
      <c r="CL124" s="42">
        <f>'[1]побудинковий звіт'!CL124+'[2]побудинковий звіт'!CL124-'[3]побудинковий звіт'!CL124</f>
        <v>0</v>
      </c>
      <c r="CM124" s="42">
        <f>'[1]побудинковий звіт'!CM124+'[2]побудинковий звіт'!CM124-'[3]побудинковий звіт'!CM124</f>
        <v>0</v>
      </c>
      <c r="CN124" s="56">
        <f t="shared" si="143"/>
        <v>0</v>
      </c>
      <c r="CO124" s="42">
        <f t="shared" si="123"/>
        <v>0</v>
      </c>
      <c r="CP124" s="43">
        <f t="shared" si="144"/>
        <v>0</v>
      </c>
      <c r="CQ124" s="56">
        <f t="shared" si="145"/>
        <v>0</v>
      </c>
      <c r="CR124" s="78">
        <f t="shared" si="124"/>
        <v>1768.3687326150086</v>
      </c>
      <c r="CS124" s="5">
        <f t="shared" si="124"/>
        <v>140.04479069389706</v>
      </c>
      <c r="CT124" s="56">
        <f t="shared" si="146"/>
        <v>-1628.3239419211116</v>
      </c>
      <c r="CU124" s="87">
        <f t="shared" si="147"/>
        <v>2122.0424791380101</v>
      </c>
      <c r="CV124" s="70">
        <f t="shared" si="148"/>
        <v>168.05374883267646</v>
      </c>
      <c r="CW124" s="37">
        <f t="shared" si="149"/>
        <v>-1953.9887303053335</v>
      </c>
      <c r="CX124" s="42">
        <f>'[1]побудинковий звіт'!CX124+'[2]побудинковий звіт'!CX124-'[3]побудинковий звіт'!CX124</f>
        <v>53.077520861989797</v>
      </c>
      <c r="CY124" s="42">
        <f>'[1]побудинковий звіт'!CY124+'[2]побудинковий звіт'!CY124-'[3]побудинковий звіт'!CY124</f>
        <v>2007.0662511673236</v>
      </c>
      <c r="CZ124" s="56">
        <f t="shared" si="150"/>
        <v>1953.9887303053338</v>
      </c>
      <c r="DA124" s="264">
        <f>'[4]побудинковий звіт'!DA124</f>
        <v>-5725.1960958329819</v>
      </c>
      <c r="DB124" s="2">
        <v>3</v>
      </c>
      <c r="DC124" s="717">
        <f>'[4]побудинковий звіт'!DC124</f>
        <v>1117.3399999999999</v>
      </c>
      <c r="DD124" s="717">
        <f>'[4]побудинковий звіт'!DD124</f>
        <v>0</v>
      </c>
      <c r="DE124" s="717">
        <f>'[4]побудинковий звіт'!DE124</f>
        <v>936.07999999999993</v>
      </c>
      <c r="DF124" s="717">
        <f>'[4]побудинковий звіт'!DF124</f>
        <v>0</v>
      </c>
      <c r="DG124" s="787">
        <v>-3018.724076809176</v>
      </c>
      <c r="DH124" s="761">
        <f t="shared" si="109"/>
        <v>26101.439999999999</v>
      </c>
      <c r="DI124" s="784"/>
      <c r="DJ124" s="5"/>
      <c r="DK124" s="317">
        <f>VLOOKUP($A124,ціни!$A$4:$G$401,5)</f>
        <v>1.8089600308686467</v>
      </c>
      <c r="DL124" s="317"/>
      <c r="DM124" s="317">
        <f>VLOOKUP($A124,ціни!$A$4:$G$401,7)</f>
        <v>1.8089600308686467</v>
      </c>
      <c r="DN124" s="30">
        <f t="shared" si="160"/>
        <v>4964.14811670974</v>
      </c>
      <c r="DO124" s="30">
        <f t="shared" si="161"/>
        <v>0</v>
      </c>
      <c r="DP124" s="316">
        <f t="shared" si="162"/>
        <v>4964.14811670974</v>
      </c>
      <c r="DQ124" s="104"/>
      <c r="DR124" s="30">
        <f>VLOOKUP(A124,'ДЗ нас '!$A$1:$C$359,2)</f>
        <v>181.26</v>
      </c>
      <c r="DS124" s="748"/>
      <c r="DT124" s="30">
        <f t="shared" si="163"/>
        <v>181.26</v>
      </c>
      <c r="DU124" s="257">
        <f>VLOOKUP(A124,'новий кошторис с 01.06'!$A$4:$AI$399,35)*1.2</f>
        <v>182.14197945934586</v>
      </c>
      <c r="DV124" s="30">
        <f t="shared" si="164"/>
        <v>-0.88197945934587096</v>
      </c>
      <c r="DW124" s="930">
        <f>'[5]побудинковий звіт'!DW124+'[6]побудинковий звіт'!DW124</f>
        <v>0</v>
      </c>
      <c r="DY124" s="5">
        <f t="shared" si="104"/>
        <v>1894.7582448435344</v>
      </c>
      <c r="DZ124" s="5">
        <f t="shared" si="105"/>
        <v>0</v>
      </c>
      <c r="EA124" s="752">
        <f t="shared" si="110"/>
        <v>936.07999999999993</v>
      </c>
      <c r="EC124" s="592">
        <f t="shared" si="106"/>
        <v>18947.582448435343</v>
      </c>
      <c r="EE124" s="758">
        <v>-1669</v>
      </c>
      <c r="EF124" s="738">
        <f t="shared" si="107"/>
        <v>-4687.724076809176</v>
      </c>
      <c r="EH124" s="813">
        <v>-4044.3050172347344</v>
      </c>
    </row>
    <row r="125" spans="1:138" x14ac:dyDescent="0.3">
      <c r="A125" s="328">
        <v>150000553</v>
      </c>
      <c r="B125" s="44" t="s">
        <v>576</v>
      </c>
      <c r="C125" s="45" t="s">
        <v>259</v>
      </c>
      <c r="D125" s="45" t="s">
        <v>259</v>
      </c>
      <c r="E125" s="40">
        <f t="shared" si="108"/>
        <v>4344.2000000000007</v>
      </c>
      <c r="F125" s="490">
        <v>4254.1000000000004</v>
      </c>
      <c r="G125" s="30"/>
      <c r="H125" s="30">
        <v>90.1</v>
      </c>
      <c r="I125" s="42">
        <f>'[1]побудинковий звіт'!I125+'[2]побудинковий звіт'!I125-'[3]побудинковий звіт'!I125</f>
        <v>11353.036026245261</v>
      </c>
      <c r="J125" s="42">
        <f>'[1]побудинковий звіт'!J125+'[2]побудинковий звіт'!J125-'[3]побудинковий звіт'!J125</f>
        <v>10367.674634342</v>
      </c>
      <c r="K125" s="56">
        <f t="shared" si="125"/>
        <v>-985.36139190326139</v>
      </c>
      <c r="L125" s="42">
        <f>'[1]побудинковий звіт'!L125+'[2]побудинковий звіт'!L125-'[3]побудинковий звіт'!L125</f>
        <v>2282.542486220415</v>
      </c>
      <c r="M125" s="42">
        <f>'[1]побудинковий звіт'!M125+'[2]побудинковий звіт'!M125-'[3]побудинковий звіт'!M125</f>
        <v>2185.5987493226698</v>
      </c>
      <c r="N125" s="56">
        <f t="shared" si="126"/>
        <v>-96.943736897745111</v>
      </c>
      <c r="O125" s="42">
        <f>'[1]побудинковий звіт'!O125+'[2]побудинковий звіт'!O125-'[3]побудинковий звіт'!O125</f>
        <v>4487.28</v>
      </c>
      <c r="P125" s="42">
        <f>'[1]побудинковий звіт'!P125+'[2]побудинковий звіт'!P125-'[3]побудинковий звіт'!P125</f>
        <v>4485.72</v>
      </c>
      <c r="Q125" s="56">
        <f t="shared" si="127"/>
        <v>-1.5599999999994907</v>
      </c>
      <c r="R125" s="42">
        <f>'[1]побудинковий звіт'!R125+'[2]побудинковий звіт'!R125-'[3]побудинковий звіт'!R125</f>
        <v>0</v>
      </c>
      <c r="S125" s="42">
        <f>'[1]побудинковий звіт'!S125+'[2]побудинковий звіт'!S125-'[3]побудинковий звіт'!S125</f>
        <v>0</v>
      </c>
      <c r="T125" s="56">
        <f t="shared" si="128"/>
        <v>0</v>
      </c>
      <c r="U125" s="42">
        <f>'[1]побудинковий звіт'!U125+'[2]побудинковий звіт'!U125-'[3]побудинковий звіт'!U125</f>
        <v>0</v>
      </c>
      <c r="V125" s="42">
        <f>'[1]побудинковий звіт'!V125+'[2]побудинковий звіт'!V125-'[3]побудинковий звіт'!V125</f>
        <v>0</v>
      </c>
      <c r="W125" s="56">
        <f t="shared" si="129"/>
        <v>0</v>
      </c>
      <c r="X125" s="42">
        <f>'[1]побудинковий звіт'!X125+'[2]побудинковий звіт'!X125-'[3]побудинковий звіт'!X125</f>
        <v>7531.682432024063</v>
      </c>
      <c r="Y125" s="42">
        <f>'[1]побудинковий звіт'!Y125+'[2]побудинковий звіт'!Y125-'[3]побудинковий звіт'!Y125</f>
        <v>6594.8075471072298</v>
      </c>
      <c r="Z125" s="56">
        <f t="shared" si="130"/>
        <v>-936.87488491683325</v>
      </c>
      <c r="AA125" s="42">
        <f>'[1]побудинковий звіт'!AA125+'[2]побудинковий звіт'!AA125-'[3]побудинковий звіт'!AA125</f>
        <v>0</v>
      </c>
      <c r="AB125" s="42">
        <f>'[1]побудинковий звіт'!AB125+'[2]побудинковий звіт'!AB125-'[3]побудинковий звіт'!AB125</f>
        <v>0</v>
      </c>
      <c r="AC125" s="56">
        <f t="shared" si="131"/>
        <v>0</v>
      </c>
      <c r="AD125" s="42">
        <f>'[1]побудинковий звіт'!AD125+'[2]побудинковий звіт'!AD125-'[3]побудинковий звіт'!AD125</f>
        <v>14452.524373806262</v>
      </c>
      <c r="AE125" s="42">
        <f>'[1]побудинковий звіт'!AE125+'[2]побудинковий звіт'!AE125-'[3]побудинковий звіт'!AE125</f>
        <v>12483.27581765228</v>
      </c>
      <c r="AF125" s="37">
        <f t="shared" si="132"/>
        <v>-1969.2485561539816</v>
      </c>
      <c r="AG125" s="87">
        <f t="shared" si="120"/>
        <v>40107.065318296001</v>
      </c>
      <c r="AH125" s="57">
        <f t="shared" si="120"/>
        <v>36117.076748424181</v>
      </c>
      <c r="AI125" s="56">
        <f t="shared" si="133"/>
        <v>-3989.9885698718208</v>
      </c>
      <c r="AJ125" s="42">
        <f>'[1]побудинковий звіт'!AJ125+'[2]побудинковий звіт'!AJ125-'[3]побудинковий звіт'!AJ125</f>
        <v>0</v>
      </c>
      <c r="AK125" s="42">
        <f>'[1]побудинковий звіт'!AK125+'[2]побудинковий звіт'!AK125-'[3]побудинковий звіт'!AK125</f>
        <v>0</v>
      </c>
      <c r="AL125" s="56">
        <f t="shared" si="134"/>
        <v>0</v>
      </c>
      <c r="AM125" s="42">
        <f>'[1]побудинковий звіт'!AM125+'[2]побудинковий звіт'!AM125-'[3]побудинковий звіт'!AM125</f>
        <v>0</v>
      </c>
      <c r="AN125" s="42">
        <f>'[1]побудинковий звіт'!AN125+'[2]побудинковий звіт'!AN125-'[3]побудинковий звіт'!AN125</f>
        <v>0</v>
      </c>
      <c r="AO125" s="56">
        <f t="shared" si="135"/>
        <v>0</v>
      </c>
      <c r="AP125" s="42">
        <f>'[1]побудинковий звіт'!AP125+'[2]побудинковий звіт'!AP125-'[3]побудинковий звіт'!AP125</f>
        <v>9659.5799575152269</v>
      </c>
      <c r="AQ125" s="42">
        <f>'[1]побудинковий звіт'!AQ125+'[2]побудинковий звіт'!AQ125-'[3]побудинковий звіт'!AQ125</f>
        <v>9224.0405904503896</v>
      </c>
      <c r="AR125" s="56">
        <f t="shared" si="136"/>
        <v>-435.53936706483728</v>
      </c>
      <c r="AS125" s="42">
        <f>'[1]побудинковий звіт'!AS125+'[2]побудинковий звіт'!AS125-'[3]побудинковий звіт'!AS125</f>
        <v>42163.677303373763</v>
      </c>
      <c r="AT125" s="42">
        <f>'[1]побудинковий звіт'!AT125+'[2]побудинковий звіт'!AT125-'[3]побудинковий звіт'!AT125</f>
        <v>3582.5183524947774</v>
      </c>
      <c r="AU125" s="58">
        <f t="shared" si="151"/>
        <v>-38581.158950878984</v>
      </c>
      <c r="AV125" s="42">
        <f>'[1]побудинковий звіт'!AV125+'[2]побудинковий звіт'!AV125-'[3]побудинковий звіт'!AV125</f>
        <v>1864.1579130546475</v>
      </c>
      <c r="AW125" s="42">
        <f>'[1]побудинковий звіт'!AW125+'[2]побудинковий звіт'!AW125-'[3]побудинковий звіт'!AW125</f>
        <v>0</v>
      </c>
      <c r="AX125" s="59">
        <f t="shared" si="152"/>
        <v>-1864.1579130546475</v>
      </c>
      <c r="AY125" s="42">
        <f>'[1]побудинковий звіт'!AY125+'[2]побудинковий звіт'!AY125-'[3]побудинковий звіт'!AY125</f>
        <v>2941.9120062973689</v>
      </c>
      <c r="AZ125" s="42">
        <f>'[1]побудинковий звіт'!AZ125+'[2]побудинковий звіт'!AZ125-'[3]побудинковий звіт'!AZ125</f>
        <v>0</v>
      </c>
      <c r="BA125" s="37">
        <f t="shared" si="153"/>
        <v>-2941.9120062973689</v>
      </c>
      <c r="BB125" s="42">
        <f>'[1]побудинковий звіт'!BB125+'[2]побудинковий звіт'!BB125-'[3]побудинковий звіт'!BB125</f>
        <v>1793.8057321216502</v>
      </c>
      <c r="BC125" s="42">
        <f>'[1]побудинковий звіт'!BC125+'[2]побудинковий звіт'!BC125-'[3]побудинковий звіт'!BC125</f>
        <v>0</v>
      </c>
      <c r="BD125" s="59">
        <f t="shared" si="154"/>
        <v>-1793.8057321216502</v>
      </c>
      <c r="BE125" s="42">
        <f>'[1]побудинковий звіт'!BE125+'[2]побудинковий звіт'!BE125-'[3]побудинковий звіт'!BE125</f>
        <v>0</v>
      </c>
      <c r="BF125" s="42">
        <f>'[1]побудинковий звіт'!BF125+'[2]побудинковий звіт'!BF125-'[3]побудинковий звіт'!BF125</f>
        <v>0</v>
      </c>
      <c r="BG125" s="39">
        <f t="shared" si="155"/>
        <v>0</v>
      </c>
      <c r="BH125" s="42">
        <f>'[1]побудинковий звіт'!BH125+'[2]побудинковий звіт'!BH125-'[3]побудинковий звіт'!BH125</f>
        <v>0</v>
      </c>
      <c r="BI125" s="42">
        <f>'[1]побудинковий звіт'!BI125+'[2]побудинковий звіт'!BI125-'[3]побудинковий звіт'!BI125</f>
        <v>0</v>
      </c>
      <c r="BJ125" s="59">
        <f t="shared" si="156"/>
        <v>0</v>
      </c>
      <c r="BK125" s="42">
        <f>'[1]побудинковий звіт'!BK125+'[2]побудинковий звіт'!BK125-'[3]побудинковий звіт'!BK125</f>
        <v>1558.9163486434295</v>
      </c>
      <c r="BL125" s="42">
        <f>'[1]побудинковий звіт'!BL125+'[2]побудинковий звіт'!BL125-'[3]побудинковий звіт'!BL125</f>
        <v>4954</v>
      </c>
      <c r="BM125" s="39">
        <f t="shared" si="157"/>
        <v>3395.0836513565705</v>
      </c>
      <c r="BN125" s="42">
        <f>'[1]побудинковий звіт'!BN125+'[2]побудинковий звіт'!BN125-'[3]побудинковий звіт'!BN125</f>
        <v>0</v>
      </c>
      <c r="BO125" s="42">
        <f>'[1]побудинковий звіт'!BO125+'[2]побудинковий звіт'!BO125-'[3]побудинковий звіт'!BO125</f>
        <v>0</v>
      </c>
      <c r="BP125" s="59">
        <f t="shared" si="158"/>
        <v>0</v>
      </c>
      <c r="BQ125" s="87">
        <f t="shared" si="121"/>
        <v>8158.7920001170951</v>
      </c>
      <c r="BR125" s="43">
        <f t="shared" si="122"/>
        <v>4954</v>
      </c>
      <c r="BS125" s="59">
        <f t="shared" si="159"/>
        <v>-3204.7920001170951</v>
      </c>
      <c r="BT125" s="42">
        <f>'[1]побудинковий звіт'!BT125+'[2]побудинковий звіт'!BT125-'[3]побудинковий звіт'!BT125</f>
        <v>24560.853931344562</v>
      </c>
      <c r="BU125" s="42">
        <f>'[1]побудинковий звіт'!BU125+'[2]побудинковий звіт'!BU125-'[3]побудинковий звіт'!BU125</f>
        <v>30524.239430536458</v>
      </c>
      <c r="BV125" s="56">
        <f t="shared" si="137"/>
        <v>5963.3854991918961</v>
      </c>
      <c r="BW125" s="42">
        <f>'[1]побудинковий звіт'!BW125+'[2]побудинковий звіт'!BW125-'[3]побудинковий звіт'!BW125</f>
        <v>17254.512423016404</v>
      </c>
      <c r="BX125" s="42">
        <f>'[1]побудинковий звіт'!BX125+'[2]побудинковий звіт'!BX125-'[3]побудинковий звіт'!BX125</f>
        <v>16718.741284186341</v>
      </c>
      <c r="BY125" s="56">
        <f t="shared" si="138"/>
        <v>-535.77113883006314</v>
      </c>
      <c r="BZ125" s="42">
        <f>'[1]побудинковий звіт'!BZ125+'[2]побудинковий звіт'!BZ125-'[3]побудинковий звіт'!BZ125</f>
        <v>5217.4610338322927</v>
      </c>
      <c r="CA125" s="42">
        <f>'[1]побудинковий звіт'!CA125+'[2]побудинковий звіт'!CA125-'[3]побудинковий звіт'!CA125</f>
        <v>7123.0181608956636</v>
      </c>
      <c r="CB125" s="56">
        <f t="shared" si="139"/>
        <v>1905.5571270633709</v>
      </c>
      <c r="CC125" s="42">
        <f>'[1]побудинковий звіт'!CC125+'[2]побудинковий звіт'!CC125-'[3]побудинковий звіт'!CC125</f>
        <v>1710.3807113701362</v>
      </c>
      <c r="CD125" s="42">
        <f>'[1]побудинковий звіт'!CD125+'[2]побудинковий звіт'!CD125-'[3]побудинковий звіт'!CD125</f>
        <v>1695.3374294539685</v>
      </c>
      <c r="CE125" s="56">
        <f t="shared" si="140"/>
        <v>-15.043281916167643</v>
      </c>
      <c r="CF125" s="42">
        <f>'[1]побудинковий звіт'!CF125+'[2]побудинковий звіт'!CF125-'[3]побудинковий звіт'!CF125</f>
        <v>210.55823151336898</v>
      </c>
      <c r="CG125" s="42">
        <f>'[1]побудинковий звіт'!CG125+'[2]побудинковий звіт'!CG125-'[3]побудинковий звіт'!CG125</f>
        <v>2191.8539243864484</v>
      </c>
      <c r="CH125" s="56">
        <f t="shared" si="141"/>
        <v>1981.2956928730794</v>
      </c>
      <c r="CI125" s="42">
        <f>'[1]побудинковий звіт'!CI125+'[2]побудинковий звіт'!CI125-'[3]побудинковий звіт'!CI125</f>
        <v>4024.2679130963088</v>
      </c>
      <c r="CJ125" s="42">
        <f>'[1]побудинковий звіт'!CJ125+'[2]побудинковий звіт'!CJ125-'[3]побудинковий звіт'!CJ125</f>
        <v>1326.1875882439203</v>
      </c>
      <c r="CK125" s="56">
        <f t="shared" si="142"/>
        <v>-2698.0803248523885</v>
      </c>
      <c r="CL125" s="42">
        <f>'[1]побудинковий звіт'!CL125+'[2]побудинковий звіт'!CL125-'[3]побудинковий звіт'!CL125</f>
        <v>0</v>
      </c>
      <c r="CM125" s="42">
        <f>'[1]побудинковий звіт'!CM125+'[2]побудинковий звіт'!CM125-'[3]побудинковий звіт'!CM125</f>
        <v>0</v>
      </c>
      <c r="CN125" s="56">
        <f t="shared" si="143"/>
        <v>0</v>
      </c>
      <c r="CO125" s="42">
        <f t="shared" si="123"/>
        <v>4024.2679130963088</v>
      </c>
      <c r="CP125" s="43">
        <f t="shared" si="144"/>
        <v>1326.1875882439203</v>
      </c>
      <c r="CQ125" s="56">
        <f t="shared" si="145"/>
        <v>-2698.0803248523885</v>
      </c>
      <c r="CR125" s="78">
        <f t="shared" si="124"/>
        <v>153067.14882347517</v>
      </c>
      <c r="CS125" s="5">
        <f t="shared" si="124"/>
        <v>113457.01350907215</v>
      </c>
      <c r="CT125" s="56">
        <f t="shared" si="146"/>
        <v>-39610.135314403029</v>
      </c>
      <c r="CU125" s="87">
        <f t="shared" si="147"/>
        <v>183680.5785881702</v>
      </c>
      <c r="CV125" s="70">
        <f t="shared" si="148"/>
        <v>136148.41621088656</v>
      </c>
      <c r="CW125" s="37">
        <f t="shared" si="149"/>
        <v>-47532.162377283646</v>
      </c>
      <c r="CX125" s="42">
        <f>'[1]побудинковий звіт'!CX125+'[2]побудинковий звіт'!CX125-'[3]побудинковий звіт'!CX125</f>
        <v>-6531.378588170166</v>
      </c>
      <c r="CY125" s="42">
        <f>'[1]побудинковий звіт'!CY125+'[2]побудинковий звіт'!CY125-'[3]побудинковий звіт'!CY125</f>
        <v>41000.783789113448</v>
      </c>
      <c r="CZ125" s="56">
        <f t="shared" si="150"/>
        <v>47532.162377283617</v>
      </c>
      <c r="DA125" s="264">
        <f>'[4]побудинковий звіт'!DA125</f>
        <v>-4541.8258938119616</v>
      </c>
      <c r="DB125" s="2">
        <v>3</v>
      </c>
      <c r="DC125" s="717">
        <f>'[4]побудинковий звіт'!DC125</f>
        <v>38430.18</v>
      </c>
      <c r="DD125" s="717">
        <f>'[4]побудинковий звіт'!DD125</f>
        <v>0</v>
      </c>
      <c r="DE125" s="717">
        <f>'[4]побудинковий звіт'!DE125</f>
        <v>24030.39</v>
      </c>
      <c r="DF125" s="717">
        <f>'[4]побудинковий звіт'!DF125</f>
        <v>-369.26</v>
      </c>
      <c r="DG125" s="787">
        <v>26796.911615364952</v>
      </c>
      <c r="DH125" s="761">
        <f t="shared" si="109"/>
        <v>2125790.4000000004</v>
      </c>
      <c r="DI125" s="784"/>
      <c r="DJ125" s="5"/>
      <c r="DK125" s="317">
        <f>VLOOKUP($A125,ціни!$A$4:$G$401,5)</f>
        <v>4.6703907097448614</v>
      </c>
      <c r="DL125" s="317"/>
      <c r="DM125" s="317">
        <f>VLOOKUP($A125,ціни!$A$4:$G$401,7)</f>
        <v>4.098427216415967</v>
      </c>
      <c r="DN125" s="30">
        <f t="shared" si="160"/>
        <v>19868.309118325615</v>
      </c>
      <c r="DO125" s="30">
        <f t="shared" si="161"/>
        <v>369.26829219907859</v>
      </c>
      <c r="DP125" s="316">
        <f t="shared" si="162"/>
        <v>20237.577410524693</v>
      </c>
      <c r="DQ125" s="104"/>
      <c r="DR125" s="30">
        <f>VLOOKUP(A125,'ДЗ нас '!$A$1:$C$359,2)</f>
        <v>14399.79</v>
      </c>
      <c r="DS125" s="748">
        <f>VLOOKUP(A125,'ДЗ нежит'!$A$1:$D$153,4,0)</f>
        <v>369.26</v>
      </c>
      <c r="DT125" s="30">
        <f t="shared" si="163"/>
        <v>14769.050000000001</v>
      </c>
      <c r="DU125" s="257">
        <f>VLOOKUP(A125,'новий кошторис с 01.06'!$A$4:$AI$399,35)*1.2</f>
        <v>15674.076039523854</v>
      </c>
      <c r="DV125" s="30">
        <f t="shared" si="164"/>
        <v>-905.02603952385289</v>
      </c>
      <c r="DW125" s="930">
        <f>'[5]побудинковий звіт'!DW125+'[6]побудинковий звіт'!DW125</f>
        <v>204</v>
      </c>
      <c r="DY125" s="5">
        <f t="shared" si="104"/>
        <v>60386.963164189023</v>
      </c>
      <c r="DZ125" s="5">
        <f t="shared" si="105"/>
        <v>10243.822022993732</v>
      </c>
      <c r="EA125" s="752">
        <f t="shared" si="110"/>
        <v>23661.13</v>
      </c>
      <c r="EC125" s="592">
        <f t="shared" si="106"/>
        <v>505964.12764048518</v>
      </c>
      <c r="EE125" s="758">
        <v>-1714</v>
      </c>
      <c r="EF125" s="738">
        <f t="shared" si="107"/>
        <v>25082.911615364952</v>
      </c>
      <c r="EH125" s="813">
        <v>31103.437202029287</v>
      </c>
    </row>
    <row r="126" spans="1:138" x14ac:dyDescent="0.3">
      <c r="A126" s="328">
        <v>150000493</v>
      </c>
      <c r="B126" s="44" t="s">
        <v>577</v>
      </c>
      <c r="C126" s="45" t="s">
        <v>417</v>
      </c>
      <c r="D126" s="45" t="s">
        <v>417</v>
      </c>
      <c r="E126" s="40">
        <f t="shared" si="108"/>
        <v>130.1</v>
      </c>
      <c r="F126" s="490">
        <v>130.1</v>
      </c>
      <c r="G126" s="30">
        <v>625.84</v>
      </c>
      <c r="H126" s="30">
        <v>0</v>
      </c>
      <c r="I126" s="42">
        <f>'[1]побудинковий звіт'!I126+'[2]побудинковий звіт'!I126-'[3]побудинковий звіт'!I126</f>
        <v>25398.523408070356</v>
      </c>
      <c r="J126" s="42">
        <f>'[1]побудинковий звіт'!J126+'[2]побудинковий звіт'!J126-'[3]побудинковий звіт'!J126</f>
        <v>21503.233349640548</v>
      </c>
      <c r="K126" s="56">
        <f t="shared" si="125"/>
        <v>-3895.2900584298077</v>
      </c>
      <c r="L126" s="42">
        <f>'[1]побудинковий звіт'!L126+'[2]побудинковий звіт'!L126-'[3]побудинковий звіт'!L126</f>
        <v>3919.7986826104234</v>
      </c>
      <c r="M126" s="42">
        <f>'[1]побудинковий звіт'!M126+'[2]побудинковий звіт'!M126-'[3]побудинковий звіт'!M126</f>
        <v>3746.2689391027798</v>
      </c>
      <c r="N126" s="56">
        <f t="shared" si="126"/>
        <v>-173.52974350764362</v>
      </c>
      <c r="O126" s="42">
        <f>'[1]побудинковий звіт'!O126+'[2]побудинковий звіт'!O126-'[3]побудинковий звіт'!O126</f>
        <v>10745.64</v>
      </c>
      <c r="P126" s="42">
        <f>'[1]побудинковий звіт'!P126+'[2]побудинковий звіт'!P126-'[3]побудинковий звіт'!P126</f>
        <v>10745.400000000001</v>
      </c>
      <c r="Q126" s="56">
        <f t="shared" si="127"/>
        <v>-0.23999999999796273</v>
      </c>
      <c r="R126" s="42">
        <f>'[1]побудинковий звіт'!R126+'[2]побудинковий звіт'!R126-'[3]побудинковий звіт'!R126</f>
        <v>2201.7599999999998</v>
      </c>
      <c r="S126" s="42">
        <f>'[1]побудинковий звіт'!S126+'[2]побудинковий звіт'!S126-'[3]побудинковий звіт'!S126</f>
        <v>2204.52</v>
      </c>
      <c r="T126" s="56">
        <f t="shared" si="128"/>
        <v>2.7600000000002183</v>
      </c>
      <c r="U126" s="42">
        <f>'[1]побудинковий звіт'!U126+'[2]побудинковий звіт'!U126-'[3]побудинковий звіт'!U126</f>
        <v>1250.1001677005297</v>
      </c>
      <c r="V126" s="42">
        <f>'[1]побудинковий звіт'!V126+'[2]побудинковий звіт'!V126-'[3]побудинковий звіт'!V126</f>
        <v>545.08219997540459</v>
      </c>
      <c r="W126" s="56">
        <f t="shared" si="129"/>
        <v>-705.01796772512512</v>
      </c>
      <c r="X126" s="42">
        <f>'[1]побудинковий звіт'!X126+'[2]побудинковий звіт'!X126-'[3]побудинковий звіт'!X126</f>
        <v>10664.027072401996</v>
      </c>
      <c r="Y126" s="42">
        <f>'[1]побудинковий звіт'!Y126+'[2]побудинковий звіт'!Y126-'[3]побудинковий звіт'!Y126</f>
        <v>10964.244767480819</v>
      </c>
      <c r="Z126" s="56">
        <f t="shared" si="130"/>
        <v>300.21769507882345</v>
      </c>
      <c r="AA126" s="42">
        <f>'[1]побудинковий звіт'!AA126+'[2]побудинковий звіт'!AA126-'[3]побудинковий звіт'!AA126</f>
        <v>0</v>
      </c>
      <c r="AB126" s="42">
        <f>'[1]побудинковий звіт'!AB126+'[2]побудинковий звіт'!AB126-'[3]побудинковий звіт'!AB126</f>
        <v>0</v>
      </c>
      <c r="AC126" s="56">
        <f t="shared" si="131"/>
        <v>0</v>
      </c>
      <c r="AD126" s="42">
        <f>'[1]побудинковий звіт'!AD126+'[2]побудинковий звіт'!AD126-'[3]побудинковий звіт'!AD126</f>
        <v>30407.319398488427</v>
      </c>
      <c r="AE126" s="42">
        <f>'[1]побудинковий звіт'!AE126+'[2]побудинковий звіт'!AE126-'[3]побудинковий звіт'!AE126</f>
        <v>28026.264746742519</v>
      </c>
      <c r="AF126" s="37">
        <f t="shared" si="132"/>
        <v>-2381.0546517459079</v>
      </c>
      <c r="AG126" s="87">
        <f t="shared" si="120"/>
        <v>84587.16872927174</v>
      </c>
      <c r="AH126" s="57">
        <f t="shared" si="120"/>
        <v>77735.014002942073</v>
      </c>
      <c r="AI126" s="56">
        <f t="shared" si="133"/>
        <v>-6852.154726329667</v>
      </c>
      <c r="AJ126" s="42">
        <f>'[1]побудинковий звіт'!AJ126+'[2]побудинковий звіт'!AJ126-'[3]побудинковий звіт'!AJ126</f>
        <v>63957.783530465524</v>
      </c>
      <c r="AK126" s="42">
        <f>'[1]побудинковий звіт'!AK126+'[2]побудинковий звіт'!AK126-'[3]побудинковий звіт'!AK126</f>
        <v>56462.560562834653</v>
      </c>
      <c r="AL126" s="56">
        <f t="shared" si="134"/>
        <v>-7495.2229676308707</v>
      </c>
      <c r="AM126" s="42">
        <f>'[1]побудинковий звіт'!AM126+'[2]побудинковий звіт'!AM126-'[3]побудинковий звіт'!AM126</f>
        <v>0</v>
      </c>
      <c r="AN126" s="42">
        <f>'[1]побудинковий звіт'!AN126+'[2]побудинковий звіт'!AN126-'[3]побудинковий звіт'!AN126</f>
        <v>1564.7535825027114</v>
      </c>
      <c r="AO126" s="56">
        <f t="shared" si="135"/>
        <v>1564.7535825027114</v>
      </c>
      <c r="AP126" s="42">
        <f>'[1]побудинковий звіт'!AP126+'[2]побудинковий звіт'!AP126-'[3]побудинковий звіт'!AP126</f>
        <v>5682.1058573618993</v>
      </c>
      <c r="AQ126" s="42">
        <f>'[1]побудинковий звіт'!AQ126+'[2]побудинковий звіт'!AQ126-'[3]побудинковий звіт'!AQ126</f>
        <v>5514.312972506913</v>
      </c>
      <c r="AR126" s="56">
        <f t="shared" si="136"/>
        <v>-167.79288485498637</v>
      </c>
      <c r="AS126" s="42">
        <f>'[1]побудинковий звіт'!AS126+'[2]побудинковий звіт'!AS126-'[3]побудинковий звіт'!AS126</f>
        <v>104706.94423218329</v>
      </c>
      <c r="AT126" s="42">
        <f>'[1]побудинковий звіт'!AT126+'[2]побудинковий звіт'!AT126-'[3]побудинковий звіт'!AT126</f>
        <v>192487</v>
      </c>
      <c r="AU126" s="58">
        <f t="shared" si="151"/>
        <v>87780.05576781671</v>
      </c>
      <c r="AV126" s="42">
        <f>'[1]побудинковий звіт'!AV126+'[2]побудинковий звіт'!AV126-'[3]побудинковий звіт'!AV126</f>
        <v>1970.7759348256154</v>
      </c>
      <c r="AW126" s="42">
        <f>'[1]побудинковий звіт'!AW126+'[2]побудинковий звіт'!AW126-'[3]побудинковий звіт'!AW126</f>
        <v>489</v>
      </c>
      <c r="AX126" s="59">
        <f t="shared" si="152"/>
        <v>-1481.7759348256154</v>
      </c>
      <c r="AY126" s="42">
        <f>'[1]побудинковий звіт'!AY126+'[2]побудинковий звіт'!AY126-'[3]побудинковий звіт'!AY126</f>
        <v>2353.0803165712614</v>
      </c>
      <c r="AZ126" s="42">
        <f>'[1]побудинковий звіт'!AZ126+'[2]побудинковий звіт'!AZ126-'[3]побудинковий звіт'!AZ126</f>
        <v>0</v>
      </c>
      <c r="BA126" s="37">
        <f t="shared" si="153"/>
        <v>-2353.0803165712614</v>
      </c>
      <c r="BB126" s="42">
        <f>'[1]побудинковий звіт'!BB126+'[2]побудинковий звіт'!BB126-'[3]побудинковий звіт'!BB126</f>
        <v>2232.0196605652586</v>
      </c>
      <c r="BC126" s="42">
        <f>'[1]побудинковий звіт'!BC126+'[2]побудинковий звіт'!BC126-'[3]побудинковий звіт'!BC126</f>
        <v>0</v>
      </c>
      <c r="BD126" s="59">
        <f t="shared" si="154"/>
        <v>-2232.0196605652586</v>
      </c>
      <c r="BE126" s="42">
        <f>'[1]побудинковий звіт'!BE126+'[2]побудинковий звіт'!BE126-'[3]побудинковий звіт'!BE126</f>
        <v>1136.8640410315986</v>
      </c>
      <c r="BF126" s="42">
        <f>'[1]побудинковий звіт'!BF126+'[2]побудинковий звіт'!BF126-'[3]побудинковий звіт'!BF126</f>
        <v>0</v>
      </c>
      <c r="BG126" s="39">
        <f t="shared" si="155"/>
        <v>-1136.8640410315986</v>
      </c>
      <c r="BH126" s="42">
        <f>'[1]побудинковий звіт'!BH126+'[2]побудинковий звіт'!BH126-'[3]побудинковий звіт'!BH126</f>
        <v>634.10414095325257</v>
      </c>
      <c r="BI126" s="42">
        <f>'[1]побудинковий звіт'!BI126+'[2]побудинковий звіт'!BI126-'[3]побудинковий звіт'!BI126</f>
        <v>0</v>
      </c>
      <c r="BJ126" s="59">
        <f t="shared" si="156"/>
        <v>-634.10414095325257</v>
      </c>
      <c r="BK126" s="42">
        <f>'[1]побудинковий звіт'!BK126+'[2]побудинковий звіт'!BK126-'[3]побудинковий звіт'!BK126</f>
        <v>1320.4697977905525</v>
      </c>
      <c r="BL126" s="42">
        <f>'[1]побудинковий звіт'!BL126+'[2]побудинковий звіт'!BL126-'[3]побудинковий звіт'!BL126</f>
        <v>6559.1638441736659</v>
      </c>
      <c r="BM126" s="39">
        <f t="shared" si="157"/>
        <v>5238.6940463831133</v>
      </c>
      <c r="BN126" s="42">
        <f>'[1]побудинковий звіт'!BN126+'[2]побудинковий звіт'!BN126-'[3]побудинковий звіт'!BN126</f>
        <v>478.61464761695726</v>
      </c>
      <c r="BO126" s="42">
        <f>'[1]побудинковий звіт'!BO126+'[2]побудинковий звіт'!BO126-'[3]побудинковий звіт'!BO126</f>
        <v>0</v>
      </c>
      <c r="BP126" s="59">
        <f t="shared" si="158"/>
        <v>-478.61464761695726</v>
      </c>
      <c r="BQ126" s="87">
        <f t="shared" si="121"/>
        <v>10125.928539354496</v>
      </c>
      <c r="BR126" s="43">
        <f t="shared" si="122"/>
        <v>7048.1638441736659</v>
      </c>
      <c r="BS126" s="59">
        <f t="shared" si="159"/>
        <v>-3077.7646951808301</v>
      </c>
      <c r="BT126" s="42">
        <f>'[1]побудинковий звіт'!BT126+'[2]побудинковий звіт'!BT126-'[3]побудинковий звіт'!BT126</f>
        <v>101256.94300685692</v>
      </c>
      <c r="BU126" s="42">
        <f>'[1]побудинковий звіт'!BU126+'[2]побудинковий звіт'!BU126-'[3]побудинковий звіт'!BU126</f>
        <v>91664.99921144468</v>
      </c>
      <c r="BV126" s="56">
        <f t="shared" si="137"/>
        <v>-9591.9437954122404</v>
      </c>
      <c r="BW126" s="42">
        <f>'[1]побудинковий звіт'!BW126+'[2]побудинковий звіт'!BW126-'[3]побудинковий звіт'!BW126</f>
        <v>75201.515584307796</v>
      </c>
      <c r="BX126" s="42">
        <f>'[1]побудинковий звіт'!BX126+'[2]побудинковий звіт'!BX126-'[3]побудинковий звіт'!BX126</f>
        <v>70935.099161997729</v>
      </c>
      <c r="BY126" s="56">
        <f t="shared" si="138"/>
        <v>-4266.416422310067</v>
      </c>
      <c r="BZ126" s="42">
        <f>'[1]побудинковий звіт'!BZ126+'[2]побудинковий звіт'!BZ126-'[3]побудинковий звіт'!BZ126</f>
        <v>18177.466331011517</v>
      </c>
      <c r="CA126" s="42">
        <f>'[1]побудинковий звіт'!CA126+'[2]побудинковий звіт'!CA126-'[3]побудинковий звіт'!CA126</f>
        <v>28368.51717215684</v>
      </c>
      <c r="CB126" s="56">
        <f t="shared" si="139"/>
        <v>10191.050841145323</v>
      </c>
      <c r="CC126" s="42">
        <f>'[1]побудинковий звіт'!CC126+'[2]побудинковий звіт'!CC126-'[3]побудинковий звіт'!CC126</f>
        <v>1780.0901229943354</v>
      </c>
      <c r="CD126" s="42">
        <f>'[1]побудинковий звіт'!CD126+'[2]побудинковий звіт'!CD126-'[3]побудинковий звіт'!CD126</f>
        <v>1764.4337270946546</v>
      </c>
      <c r="CE126" s="56">
        <f t="shared" si="140"/>
        <v>-15.656395899680774</v>
      </c>
      <c r="CF126" s="42">
        <f>'[1]побудинковий звіт'!CF126+'[2]побудинковий звіт'!CF126-'[3]побудинковий звіт'!CF126</f>
        <v>219.13988256559048</v>
      </c>
      <c r="CG126" s="42">
        <f>'[1]побудинковий звіт'!CG126+'[2]побудинковий звіт'!CG126-'[3]побудинковий звіт'!CG126</f>
        <v>0</v>
      </c>
      <c r="CH126" s="56">
        <f t="shared" si="141"/>
        <v>-219.13988256559048</v>
      </c>
      <c r="CI126" s="42">
        <f>'[1]побудинковий звіт'!CI126+'[2]побудинковий звіт'!CI126-'[3]побудинковий звіт'!CI126</f>
        <v>17950.106644927258</v>
      </c>
      <c r="CJ126" s="42">
        <f>'[1]побудинковий звіт'!CJ126+'[2]побудинковий звіт'!CJ126-'[3]побудинковий звіт'!CJ126</f>
        <v>14485.553554549115</v>
      </c>
      <c r="CK126" s="56">
        <f t="shared" si="142"/>
        <v>-3464.5530903781437</v>
      </c>
      <c r="CL126" s="42">
        <f>'[1]побудинковий звіт'!CL126+'[2]побудинковий звіт'!CL126-'[3]побудинковий звіт'!CL126</f>
        <v>16171.941753094001</v>
      </c>
      <c r="CM126" s="42">
        <f>'[1]побудинковий звіт'!CM126+'[2]побудинковий звіт'!CM126-'[3]побудинковий звіт'!CM126</f>
        <v>15209.353704617708</v>
      </c>
      <c r="CN126" s="56">
        <f t="shared" si="143"/>
        <v>-962.5880484762929</v>
      </c>
      <c r="CO126" s="42">
        <f t="shared" si="123"/>
        <v>34122.048398021259</v>
      </c>
      <c r="CP126" s="43">
        <f t="shared" si="144"/>
        <v>29694.907259166823</v>
      </c>
      <c r="CQ126" s="56">
        <f t="shared" si="145"/>
        <v>-4427.1411388544366</v>
      </c>
      <c r="CR126" s="78">
        <f t="shared" si="124"/>
        <v>499817.13421439426</v>
      </c>
      <c r="CS126" s="5">
        <f t="shared" si="124"/>
        <v>563239.76149682084</v>
      </c>
      <c r="CT126" s="56">
        <f t="shared" si="146"/>
        <v>63422.627282426576</v>
      </c>
      <c r="CU126" s="87">
        <f t="shared" si="147"/>
        <v>599780.56105727307</v>
      </c>
      <c r="CV126" s="70">
        <f t="shared" si="148"/>
        <v>675887.71379618498</v>
      </c>
      <c r="CW126" s="37">
        <f t="shared" si="149"/>
        <v>76107.152738911915</v>
      </c>
      <c r="CX126" s="42">
        <f>'[1]побудинковий звіт'!CX126+'[2]побудинковий звіт'!CX126-'[3]побудинковий звіт'!CX126</f>
        <v>14813.588942726841</v>
      </c>
      <c r="CY126" s="42">
        <f>'[1]побудинковий звіт'!CY126+'[2]побудинковий звіт'!CY126-'[3]побудинковий звіт'!CY126</f>
        <v>-61293.563796184841</v>
      </c>
      <c r="CZ126" s="56">
        <f t="shared" si="150"/>
        <v>-76107.152738911682</v>
      </c>
      <c r="DA126" s="264">
        <f>'[4]побудинковий звіт'!DA126</f>
        <v>95077.707930330798</v>
      </c>
      <c r="DB126" s="2">
        <v>1</v>
      </c>
      <c r="DC126" s="717">
        <f>'[4]побудинковий звіт'!DC126</f>
        <v>174194.78</v>
      </c>
      <c r="DD126" s="717">
        <f>'[4]побудинковий звіт'!DD126</f>
        <v>0</v>
      </c>
      <c r="DE126" s="717">
        <f>'[4]побудинковий звіт'!DE126</f>
        <v>123154.72</v>
      </c>
      <c r="DF126" s="717">
        <f>'[4]побудинковий звіт'!DF126</f>
        <v>0</v>
      </c>
      <c r="DG126" s="787">
        <v>51714.639698005747</v>
      </c>
      <c r="DH126" s="761">
        <f t="shared" si="109"/>
        <v>7375129.7999999989</v>
      </c>
      <c r="DI126" s="784"/>
      <c r="DJ126" s="5"/>
      <c r="DK126" s="317">
        <f>VLOOKUP($A126,ціни!$A$4:$G$401,5)</f>
        <v>6.0491207709564545</v>
      </c>
      <c r="DL126" s="317">
        <f>VLOOKUP($A126,ціни!$A$4:$G$401,6)</f>
        <v>7.3155104406192235</v>
      </c>
      <c r="DM126" s="317">
        <f>VLOOKUP($A126,ціни!$A$4:$G$401,7)</f>
        <v>4.9652115560307077</v>
      </c>
      <c r="DN126" s="30">
        <f>DK126*G126+(F126-G126)*DL126</f>
        <v>159.19059746281346</v>
      </c>
      <c r="DO126" s="30">
        <f>DM126*H126</f>
        <v>0</v>
      </c>
      <c r="DP126" s="316">
        <f t="shared" si="162"/>
        <v>159.19059746281346</v>
      </c>
      <c r="DQ126" s="104"/>
      <c r="DR126" s="30">
        <f>VLOOKUP(A126,'ДЗ нас '!$A$1:$C$359,2)</f>
        <v>51232.19</v>
      </c>
      <c r="DS126" s="748"/>
      <c r="DT126" s="30">
        <f t="shared" si="163"/>
        <v>51232.19</v>
      </c>
      <c r="DU126" s="257">
        <f>VLOOKUP(A126,'новий кошторис с 01.06'!$A$4:$AI$399,35)*1.2</f>
        <v>51481.164824082625</v>
      </c>
      <c r="DV126" s="30">
        <f t="shared" si="164"/>
        <v>-248.97482408262294</v>
      </c>
      <c r="DW126" s="930">
        <f>'[5]побудинковий звіт'!DW126+'[6]побудинковий звіт'!DW126</f>
        <v>264</v>
      </c>
      <c r="DY126" s="5">
        <f t="shared" si="104"/>
        <v>137799.44732584534</v>
      </c>
      <c r="DZ126" s="5">
        <f t="shared" si="105"/>
        <v>239442.19661300839</v>
      </c>
      <c r="EA126" s="752">
        <f t="shared" si="110"/>
        <v>123154.72</v>
      </c>
      <c r="EC126" s="592">
        <f t="shared" si="106"/>
        <v>1256483.3307861995</v>
      </c>
      <c r="EE126" s="758">
        <v>-26945</v>
      </c>
      <c r="EF126" s="738">
        <f t="shared" si="107"/>
        <v>24769.639698005747</v>
      </c>
      <c r="EH126" s="813">
        <v>-3659.9594381983916</v>
      </c>
    </row>
    <row r="127" spans="1:138" x14ac:dyDescent="0.3">
      <c r="A127" s="328">
        <v>150000494</v>
      </c>
      <c r="B127" s="44" t="s">
        <v>578</v>
      </c>
      <c r="C127" s="45" t="s">
        <v>418</v>
      </c>
      <c r="D127" s="45" t="s">
        <v>418</v>
      </c>
      <c r="E127" s="40">
        <f t="shared" si="108"/>
        <v>373.5</v>
      </c>
      <c r="F127" s="490">
        <v>373.5</v>
      </c>
      <c r="G127" s="30">
        <v>988.9</v>
      </c>
      <c r="H127" s="30">
        <v>0</v>
      </c>
      <c r="I127" s="42">
        <f>'[1]побудинковий звіт'!I127+'[2]побудинковий звіт'!I127-'[3]побудинковий звіт'!I127</f>
        <v>28660.405902420236</v>
      </c>
      <c r="J127" s="42">
        <f>'[1]побудинковий звіт'!J127+'[2]побудинковий звіт'!J127-'[3]побудинковий звіт'!J127</f>
        <v>24423.482798876605</v>
      </c>
      <c r="K127" s="56">
        <f t="shared" si="125"/>
        <v>-4236.9231035436314</v>
      </c>
      <c r="L127" s="42">
        <f>'[1]побудинковий звіт'!L127+'[2]побудинковий звіт'!L127-'[3]побудинковий звіт'!L127</f>
        <v>4317.4273632296909</v>
      </c>
      <c r="M127" s="42">
        <f>'[1]побудинковий звіт'!M127+'[2]побудинковий звіт'!M127-'[3]побудинковий звіт'!M127</f>
        <v>4157.9708159665643</v>
      </c>
      <c r="N127" s="56">
        <f t="shared" si="126"/>
        <v>-159.45654726312659</v>
      </c>
      <c r="O127" s="42">
        <f>'[1]побудинковий звіт'!O127+'[2]побудинковий звіт'!O127-'[3]побудинковий звіт'!O127</f>
        <v>14726.519999999995</v>
      </c>
      <c r="P127" s="42">
        <f>'[1]побудинковий звіт'!P127+'[2]побудинковий звіт'!P127-'[3]побудинковий звіт'!P127</f>
        <v>14727.360000000002</v>
      </c>
      <c r="Q127" s="56">
        <f t="shared" si="127"/>
        <v>0.84000000000742148</v>
      </c>
      <c r="R127" s="42">
        <f>'[1]побудинковий звіт'!R127+'[2]побудинковий звіт'!R127-'[3]побудинковий звіт'!R127</f>
        <v>3006.84</v>
      </c>
      <c r="S127" s="42">
        <f>'[1]побудинковий звіт'!S127+'[2]побудинковий звіт'!S127-'[3]побудинковий звіт'!S127</f>
        <v>3009.84</v>
      </c>
      <c r="T127" s="56">
        <f t="shared" si="128"/>
        <v>3</v>
      </c>
      <c r="U127" s="42">
        <f>'[1]побудинковий звіт'!U127+'[2]побудинковий звіт'!U127-'[3]побудинковий звіт'!U127</f>
        <v>1250.1001677005297</v>
      </c>
      <c r="V127" s="42">
        <f>'[1]побудинковий звіт'!V127+'[2]побудинковий звіт'!V127-'[3]побудинковий звіт'!V127</f>
        <v>550.81502304287403</v>
      </c>
      <c r="W127" s="56">
        <f t="shared" si="129"/>
        <v>-699.28514465765568</v>
      </c>
      <c r="X127" s="42">
        <f>'[1]побудинковий звіт'!X127+'[2]побудинковий звіт'!X127-'[3]побудинковий звіт'!X127</f>
        <v>11112.361130506943</v>
      </c>
      <c r="Y127" s="42">
        <f>'[1]побудинковий звіт'!Y127+'[2]побудинковий звіт'!Y127-'[3]побудинковий звіт'!Y127</f>
        <v>10011.733400556812</v>
      </c>
      <c r="Z127" s="56">
        <f t="shared" si="130"/>
        <v>-1100.6277299501307</v>
      </c>
      <c r="AA127" s="42">
        <f>'[1]побудинковий звіт'!AA127+'[2]побудинковий звіт'!AA127-'[3]побудинковий звіт'!AA127</f>
        <v>0</v>
      </c>
      <c r="AB127" s="42">
        <f>'[1]побудинковий звіт'!AB127+'[2]побудинковий звіт'!AB127-'[3]побудинковий звіт'!AB127</f>
        <v>0</v>
      </c>
      <c r="AC127" s="56">
        <f t="shared" si="131"/>
        <v>0</v>
      </c>
      <c r="AD127" s="42">
        <f>'[1]побудинковий звіт'!AD127+'[2]побудинковий звіт'!AD127-'[3]побудинковий звіт'!AD127</f>
        <v>40488.276371062231</v>
      </c>
      <c r="AE127" s="42">
        <f>'[1]побудинковий звіт'!AE127+'[2]побудинковий звіт'!AE127-'[3]побудинковий звіт'!AE127</f>
        <v>37319.380485511618</v>
      </c>
      <c r="AF127" s="37">
        <f t="shared" si="132"/>
        <v>-3168.8958855506135</v>
      </c>
      <c r="AG127" s="87">
        <f t="shared" si="120"/>
        <v>103561.93093491963</v>
      </c>
      <c r="AH127" s="57">
        <f t="shared" si="120"/>
        <v>94200.582523954479</v>
      </c>
      <c r="AI127" s="56">
        <f t="shared" si="133"/>
        <v>-9361.3484109651472</v>
      </c>
      <c r="AJ127" s="42">
        <f>'[1]побудинковий звіт'!AJ127+'[2]побудинковий звіт'!AJ127-'[3]побудинковий звіт'!AJ127</f>
        <v>47364.964854101512</v>
      </c>
      <c r="AK127" s="42">
        <f>'[1]побудинковий звіт'!AK127+'[2]побудинковий звіт'!AK127-'[3]побудинковий звіт'!AK127</f>
        <v>46948.366354832411</v>
      </c>
      <c r="AL127" s="56">
        <f t="shared" si="134"/>
        <v>-416.59849926910101</v>
      </c>
      <c r="AM127" s="42">
        <f>'[1]побудинковий звіт'!AM127+'[2]побудинковий звіт'!AM127-'[3]побудинковий звіт'!AM127</f>
        <v>0</v>
      </c>
      <c r="AN127" s="42">
        <f>'[1]побудинковий звіт'!AN127+'[2]побудинковий звіт'!AN127-'[3]побудинковий звіт'!AN127</f>
        <v>1035.593820883156</v>
      </c>
      <c r="AO127" s="56">
        <f t="shared" si="135"/>
        <v>1035.593820883156</v>
      </c>
      <c r="AP127" s="42">
        <f>'[1]побудинковий звіт'!AP127+'[2]побудинковий звіт'!AP127-'[3]побудинковий звіт'!AP127</f>
        <v>5918.860268085311</v>
      </c>
      <c r="AQ127" s="42">
        <f>'[1]побудинковий звіт'!AQ127+'[2]побудинковий звіт'!AQ127-'[3]побудинковий звіт'!AQ127</f>
        <v>5701.7701348787286</v>
      </c>
      <c r="AR127" s="56">
        <f t="shared" si="136"/>
        <v>-217.09013320658232</v>
      </c>
      <c r="AS127" s="42">
        <f>'[1]побудинковий звіт'!AS127+'[2]побудинковий звіт'!AS127-'[3]побудинковий звіт'!AS127</f>
        <v>130382.60750647324</v>
      </c>
      <c r="AT127" s="42">
        <f>'[1]побудинковий звіт'!AT127+'[2]побудинковий звіт'!AT127-'[3]побудинковий звіт'!AT127</f>
        <v>246572</v>
      </c>
      <c r="AU127" s="58">
        <f t="shared" si="151"/>
        <v>116189.39249352676</v>
      </c>
      <c r="AV127" s="42">
        <f>'[1]побудинковий звіт'!AV127+'[2]побудинковий звіт'!AV127-'[3]побудинковий звіт'!AV127</f>
        <v>2216.8447038712529</v>
      </c>
      <c r="AW127" s="42">
        <f>'[1]побудинковий звіт'!AW127+'[2]побудинковий звіт'!AW127-'[3]побудинковий звіт'!AW127</f>
        <v>1465</v>
      </c>
      <c r="AX127" s="59">
        <f t="shared" si="152"/>
        <v>-751.84470387125293</v>
      </c>
      <c r="AY127" s="42">
        <f>'[1]побудинковий звіт'!AY127+'[2]побудинковий звіт'!AY127-'[3]побудинковий звіт'!AY127</f>
        <v>2851.1469503383723</v>
      </c>
      <c r="AZ127" s="42">
        <f>'[1]побудинковий звіт'!AZ127+'[2]побудинковий звіт'!AZ127-'[3]побудинковий звіт'!AZ127</f>
        <v>0</v>
      </c>
      <c r="BA127" s="37">
        <f t="shared" si="153"/>
        <v>-2851.1469503383723</v>
      </c>
      <c r="BB127" s="42">
        <f>'[1]побудинковий звіт'!BB127+'[2]побудинковий звіт'!BB127-'[3]побудинковий звіт'!BB127</f>
        <v>3935.2562316470835</v>
      </c>
      <c r="BC127" s="42">
        <f>'[1]побудинковий звіт'!BC127+'[2]побудинковий звіт'!BC127-'[3]побудинковий звіт'!BC127</f>
        <v>0</v>
      </c>
      <c r="BD127" s="59">
        <f t="shared" si="154"/>
        <v>-3935.2562316470835</v>
      </c>
      <c r="BE127" s="42">
        <f>'[1]побудинковий звіт'!BE127+'[2]побудинковий звіт'!BE127-'[3]побудинковий звіт'!BE127</f>
        <v>1430.9247220667485</v>
      </c>
      <c r="BF127" s="42">
        <f>'[1]побудинковий звіт'!BF127+'[2]побудинковий звіт'!BF127-'[3]побудинковий звіт'!BF127</f>
        <v>0</v>
      </c>
      <c r="BG127" s="39">
        <f t="shared" si="155"/>
        <v>-1430.9247220667485</v>
      </c>
      <c r="BH127" s="42">
        <f>'[1]побудинковий звіт'!BH127+'[2]побудинковий звіт'!BH127-'[3]побудинковий звіт'!BH127</f>
        <v>634.10414095325257</v>
      </c>
      <c r="BI127" s="42">
        <f>'[1]побудинковий звіт'!BI127+'[2]побудинковий звіт'!BI127-'[3]побудинковий звіт'!BI127</f>
        <v>0</v>
      </c>
      <c r="BJ127" s="59">
        <f t="shared" si="156"/>
        <v>-634.10414095325257</v>
      </c>
      <c r="BK127" s="42">
        <f>'[1]побудинковий звіт'!BK127+'[2]побудинковий звіт'!BK127-'[3]побудинковий звіт'!BK127</f>
        <v>1341.8675289495609</v>
      </c>
      <c r="BL127" s="42">
        <f>'[1]побудинковий звіт'!BL127+'[2]побудинковий звіт'!BL127-'[3]побудинковий звіт'!BL127</f>
        <v>3556</v>
      </c>
      <c r="BM127" s="39">
        <f t="shared" si="157"/>
        <v>2214.1324710504391</v>
      </c>
      <c r="BN127" s="42">
        <f>'[1]побудинковий звіт'!BN127+'[2]побудинковий звіт'!BN127-'[3]побудинковий звіт'!BN127</f>
        <v>490.61628459552355</v>
      </c>
      <c r="BO127" s="42">
        <f>'[1]побудинковий звіт'!BO127+'[2]побудинковий звіт'!BO127-'[3]побудинковий звіт'!BO127</f>
        <v>0</v>
      </c>
      <c r="BP127" s="59">
        <f t="shared" si="158"/>
        <v>-490.61628459552355</v>
      </c>
      <c r="BQ127" s="87">
        <f t="shared" si="121"/>
        <v>12900.760562421794</v>
      </c>
      <c r="BR127" s="43">
        <f t="shared" si="122"/>
        <v>5021</v>
      </c>
      <c r="BS127" s="59">
        <f t="shared" si="159"/>
        <v>-7879.760562421794</v>
      </c>
      <c r="BT127" s="42">
        <f>'[1]побудинковий звіт'!BT127+'[2]побудинковий звіт'!BT127-'[3]побудинковий звіт'!BT127</f>
        <v>105524.68926907008</v>
      </c>
      <c r="BU127" s="42">
        <f>'[1]побудинковий звіт'!BU127+'[2]побудинковий звіт'!BU127-'[3]побудинковий звіт'!BU127</f>
        <v>121848.52545473442</v>
      </c>
      <c r="BV127" s="56">
        <f t="shared" si="137"/>
        <v>16323.836185664346</v>
      </c>
      <c r="BW127" s="42">
        <f>'[1]побудинковий звіт'!BW127+'[2]побудинковий звіт'!BW127-'[3]побудинковий звіт'!BW127</f>
        <v>79430.418694440741</v>
      </c>
      <c r="BX127" s="42">
        <f>'[1]побудинковий звіт'!BX127+'[2]побудинковий звіт'!BX127-'[3]побудинковий звіт'!BX127</f>
        <v>85094.368070444689</v>
      </c>
      <c r="BY127" s="56">
        <f t="shared" si="138"/>
        <v>5663.9493760039477</v>
      </c>
      <c r="BZ127" s="42">
        <f>'[1]побудинковий звіт'!BZ127+'[2]побудинковий звіт'!BZ127-'[3]побудинковий звіт'!BZ127</f>
        <v>25967.809044302161</v>
      </c>
      <c r="CA127" s="42">
        <f>'[1]побудинковий звіт'!CA127+'[2]побудинковий звіт'!CA127-'[3]побудинковий звіт'!CA127</f>
        <v>28040.60975942764</v>
      </c>
      <c r="CB127" s="56">
        <f t="shared" si="139"/>
        <v>2072.8007151254787</v>
      </c>
      <c r="CC127" s="42">
        <f>'[1]побудинковий звіт'!CC127+'[2]побудинковий звіт'!CC127-'[3]побудинковий звіт'!CC127</f>
        <v>1284.7709281624684</v>
      </c>
      <c r="CD127" s="42">
        <f>'[1]побудинковий звіт'!CD127+'[2]побудинковий звіт'!CD127-'[3]побудинковий звіт'!CD127</f>
        <v>1273.4710046182174</v>
      </c>
      <c r="CE127" s="56">
        <f t="shared" si="140"/>
        <v>-11.299923544250987</v>
      </c>
      <c r="CF127" s="42">
        <f>'[1]побудинковий звіт'!CF127+'[2]побудинковий звіт'!CF127-'[3]побудинковий звіт'!CF127</f>
        <v>158.16308774727358</v>
      </c>
      <c r="CG127" s="42">
        <f>'[1]побудинковий звіт'!CG127+'[2]побудинковий звіт'!CG127-'[3]побудинковий звіт'!CG127</f>
        <v>0</v>
      </c>
      <c r="CH127" s="56">
        <f t="shared" si="141"/>
        <v>-158.16308774727358</v>
      </c>
      <c r="CI127" s="42">
        <f>'[1]побудинковий звіт'!CI127+'[2]побудинковий звіт'!CI127-'[3]побудинковий звіт'!CI127</f>
        <v>19634.683910874552</v>
      </c>
      <c r="CJ127" s="42">
        <f>'[1]побудинковий звіт'!CJ127+'[2]побудинковий звіт'!CJ127-'[3]побудинковий звіт'!CJ127</f>
        <v>11264.814267494197</v>
      </c>
      <c r="CK127" s="56">
        <f t="shared" si="142"/>
        <v>-8369.8696433803543</v>
      </c>
      <c r="CL127" s="42">
        <f>'[1]побудинковий звіт'!CL127+'[2]побудинковий звіт'!CL127-'[3]побудинковий звіт'!CL127</f>
        <v>19821.859162646473</v>
      </c>
      <c r="CM127" s="42">
        <f>'[1]побудинковий звіт'!CM127+'[2]побудинковий звіт'!CM127-'[3]побудинковий звіт'!CM127</f>
        <v>20794.544055925704</v>
      </c>
      <c r="CN127" s="56">
        <f t="shared" si="143"/>
        <v>972.68489327923089</v>
      </c>
      <c r="CO127" s="42">
        <f t="shared" si="123"/>
        <v>39456.543073521025</v>
      </c>
      <c r="CP127" s="43">
        <f t="shared" si="144"/>
        <v>32059.358323419903</v>
      </c>
      <c r="CQ127" s="56">
        <f t="shared" si="145"/>
        <v>-7397.1847501011216</v>
      </c>
      <c r="CR127" s="78">
        <f t="shared" si="124"/>
        <v>551951.51822324516</v>
      </c>
      <c r="CS127" s="5">
        <f t="shared" si="124"/>
        <v>667795.64544719364</v>
      </c>
      <c r="CT127" s="56">
        <f t="shared" si="146"/>
        <v>115844.12722394848</v>
      </c>
      <c r="CU127" s="87">
        <f t="shared" si="147"/>
        <v>662341.82186789415</v>
      </c>
      <c r="CV127" s="70">
        <f t="shared" si="148"/>
        <v>801354.77453663235</v>
      </c>
      <c r="CW127" s="37">
        <f t="shared" si="149"/>
        <v>139012.9526687382</v>
      </c>
      <c r="CX127" s="42">
        <f>'[1]побудинковий звіт'!CX127+'[2]побудинковий звіт'!CX127-'[3]побудинковий звіт'!CX127</f>
        <v>452.4981321056548</v>
      </c>
      <c r="CY127" s="42">
        <f>'[1]побудинковий звіт'!CY127+'[2]побудинковий звіт'!CY127-'[3]побудинковий звіт'!CY127</f>
        <v>-138560.45453663231</v>
      </c>
      <c r="CZ127" s="56">
        <f t="shared" si="150"/>
        <v>-139012.95266873797</v>
      </c>
      <c r="DA127" s="264">
        <f>'[4]побудинковий звіт'!DA127</f>
        <v>-5445.2362602190115</v>
      </c>
      <c r="DB127" s="2">
        <v>1</v>
      </c>
      <c r="DC127" s="717">
        <f>'[4]побудинковий звіт'!DC127</f>
        <v>137292.85</v>
      </c>
      <c r="DD127" s="717">
        <f>'[4]побудинковий звіт'!DD127</f>
        <v>0</v>
      </c>
      <c r="DE127" s="717">
        <f>'[4]побудинковий звіт'!DE127</f>
        <v>82049.94</v>
      </c>
      <c r="DF127" s="717">
        <f>'[4]побудинковий звіт'!DF127</f>
        <v>0</v>
      </c>
      <c r="DG127" s="787">
        <v>-125647.93569250987</v>
      </c>
      <c r="DH127" s="761">
        <f t="shared" si="109"/>
        <v>7953531.839999998</v>
      </c>
      <c r="DI127" s="784"/>
      <c r="DJ127" s="5"/>
      <c r="DK127" s="317">
        <f>VLOOKUP($A127,ціни!$A$4:$G$401,5)</f>
        <v>5.1194379001858374</v>
      </c>
      <c r="DL127" s="317">
        <f>VLOOKUP($A127,ціни!$A$4:$G$401,6)</f>
        <v>5.9117166673935442</v>
      </c>
      <c r="DM127" s="317">
        <f>VLOOKUP($A127,ціни!$A$4:$G$401,7)</f>
        <v>4.2805997984186082</v>
      </c>
      <c r="DN127" s="30">
        <f>DK127*G127+(F127-G127)*DL127</f>
        <v>1424.5417023797877</v>
      </c>
      <c r="DO127" s="30">
        <f>DM127*H127</f>
        <v>0</v>
      </c>
      <c r="DP127" s="316">
        <f t="shared" si="162"/>
        <v>1424.5417023797877</v>
      </c>
      <c r="DQ127" s="104"/>
      <c r="DR127" s="30">
        <f>VLOOKUP(A127,'ДЗ нас '!$A$1:$C$359,2)</f>
        <v>55242.91</v>
      </c>
      <c r="DS127" s="748"/>
      <c r="DT127" s="30">
        <f t="shared" si="163"/>
        <v>55242.91</v>
      </c>
      <c r="DU127" s="257">
        <f>VLOOKUP(A127,'новий кошторис с 01.06'!$A$4:$AI$399,35)*1.2</f>
        <v>55195.151822324529</v>
      </c>
      <c r="DV127" s="30">
        <f t="shared" si="164"/>
        <v>47.758177675474144</v>
      </c>
      <c r="DW127" s="930">
        <f>'[5]побудинковий звіт'!DW127+'[6]побудинковий звіт'!DW127</f>
        <v>264</v>
      </c>
      <c r="DY127" s="5">
        <f t="shared" si="104"/>
        <v>171940.04168267405</v>
      </c>
      <c r="DZ127" s="5">
        <f t="shared" si="105"/>
        <v>301911.59999999998</v>
      </c>
      <c r="EA127" s="752">
        <f t="shared" si="110"/>
        <v>82049.94</v>
      </c>
      <c r="EC127" s="592">
        <f t="shared" si="106"/>
        <v>1564591.2900776789</v>
      </c>
      <c r="EE127" s="758">
        <v>-85009</v>
      </c>
      <c r="EF127" s="738">
        <f t="shared" si="107"/>
        <v>-210656.93569250987</v>
      </c>
      <c r="EH127" s="813">
        <v>-150662.97642728058</v>
      </c>
    </row>
    <row r="128" spans="1:138" x14ac:dyDescent="0.3">
      <c r="A128" s="328">
        <v>150000688</v>
      </c>
      <c r="B128" s="44" t="s">
        <v>579</v>
      </c>
      <c r="C128" s="45" t="s">
        <v>92</v>
      </c>
      <c r="D128" s="45" t="s">
        <v>92</v>
      </c>
      <c r="E128" s="40">
        <f t="shared" si="108"/>
        <v>173.75</v>
      </c>
      <c r="F128" s="490">
        <v>173.75</v>
      </c>
      <c r="G128" s="30"/>
      <c r="H128" s="30">
        <v>0</v>
      </c>
      <c r="I128" s="42">
        <f>'[1]побудинковий звіт'!I128+'[2]побудинковий звіт'!I128-'[3]побудинковий звіт'!I128</f>
        <v>0</v>
      </c>
      <c r="J128" s="42">
        <f>'[1]побудинковий звіт'!J128+'[2]побудинковий звіт'!J128-'[3]побудинковий звіт'!J128</f>
        <v>0</v>
      </c>
      <c r="K128" s="56">
        <f t="shared" si="125"/>
        <v>0</v>
      </c>
      <c r="L128" s="42">
        <f>'[1]побудинковий звіт'!L128+'[2]побудинковий звіт'!L128-'[3]побудинковий звіт'!L128</f>
        <v>0</v>
      </c>
      <c r="M128" s="42">
        <f>'[1]побудинковий звіт'!M128+'[2]побудинковий звіт'!M128-'[3]побудинковий звіт'!M128</f>
        <v>0</v>
      </c>
      <c r="N128" s="56">
        <f t="shared" si="126"/>
        <v>0</v>
      </c>
      <c r="O128" s="42">
        <f>'[1]побудинковий звіт'!O128+'[2]побудинковий звіт'!O128-'[3]побудинковий звіт'!O128</f>
        <v>0</v>
      </c>
      <c r="P128" s="42">
        <f>'[1]побудинковий звіт'!P128+'[2]побудинковий звіт'!P128-'[3]побудинковий звіт'!P128</f>
        <v>0</v>
      </c>
      <c r="Q128" s="56">
        <f t="shared" si="127"/>
        <v>0</v>
      </c>
      <c r="R128" s="42">
        <f>'[1]побудинковий звіт'!R128+'[2]побудинковий звіт'!R128-'[3]побудинковий звіт'!R128</f>
        <v>0</v>
      </c>
      <c r="S128" s="42">
        <f>'[1]побудинковий звіт'!S128+'[2]побудинковий звіт'!S128-'[3]побудинковий звіт'!S128</f>
        <v>0</v>
      </c>
      <c r="T128" s="56">
        <f t="shared" si="128"/>
        <v>0</v>
      </c>
      <c r="U128" s="42">
        <f>'[1]побудинковий звіт'!U128+'[2]побудинковий звіт'!U128-'[3]побудинковий звіт'!U128</f>
        <v>0</v>
      </c>
      <c r="V128" s="42">
        <f>'[1]побудинковий звіт'!V128+'[2]побудинковий звіт'!V128-'[3]побудинковий звіт'!V128</f>
        <v>0</v>
      </c>
      <c r="W128" s="56">
        <f t="shared" si="129"/>
        <v>0</v>
      </c>
      <c r="X128" s="42">
        <f>'[1]побудинковий звіт'!X128+'[2]побудинковий звіт'!X128-'[3]побудинковий звіт'!X128</f>
        <v>0</v>
      </c>
      <c r="Y128" s="42">
        <f>'[1]побудинковий звіт'!Y128+'[2]побудинковий звіт'!Y128-'[3]побудинковий звіт'!Y128</f>
        <v>0</v>
      </c>
      <c r="Z128" s="56">
        <f t="shared" si="130"/>
        <v>0</v>
      </c>
      <c r="AA128" s="42">
        <f>'[1]побудинковий звіт'!AA128+'[2]побудинковий звіт'!AA128-'[3]побудинковий звіт'!AA128</f>
        <v>0</v>
      </c>
      <c r="AB128" s="42">
        <f>'[1]побудинковий звіт'!AB128+'[2]побудинковий звіт'!AB128-'[3]побудинковий звіт'!AB128</f>
        <v>0</v>
      </c>
      <c r="AC128" s="56">
        <f t="shared" si="131"/>
        <v>0</v>
      </c>
      <c r="AD128" s="42">
        <f>'[1]побудинковий звіт'!AD128+'[2]побудинковий звіт'!AD128-'[3]побудинковий звіт'!AD128</f>
        <v>0</v>
      </c>
      <c r="AE128" s="42">
        <f>'[1]побудинковий звіт'!AE128+'[2]побудинковий звіт'!AE128-'[3]побудинковий звіт'!AE128</f>
        <v>160.60137337619403</v>
      </c>
      <c r="AF128" s="37">
        <f t="shared" si="132"/>
        <v>160.60137337619403</v>
      </c>
      <c r="AG128" s="87">
        <f t="shared" si="120"/>
        <v>0</v>
      </c>
      <c r="AH128" s="57">
        <f t="shared" si="120"/>
        <v>160.60137337619403</v>
      </c>
      <c r="AI128" s="56">
        <f t="shared" si="133"/>
        <v>160.60137337619403</v>
      </c>
      <c r="AJ128" s="42">
        <f>'[1]побудинковий звіт'!AJ128+'[2]побудинковий звіт'!AJ128-'[3]побудинковий звіт'!AJ128</f>
        <v>0</v>
      </c>
      <c r="AK128" s="42">
        <f>'[1]побудинковий звіт'!AK128+'[2]побудинковий звіт'!AK128-'[3]побудинковий звіт'!AK128</f>
        <v>0</v>
      </c>
      <c r="AL128" s="56">
        <f t="shared" si="134"/>
        <v>0</v>
      </c>
      <c r="AM128" s="42">
        <f>'[1]побудинковий звіт'!AM128+'[2]побудинковий звіт'!AM128-'[3]побудинковий звіт'!AM128</f>
        <v>0</v>
      </c>
      <c r="AN128" s="42">
        <f>'[1]побудинковий звіт'!AN128+'[2]побудинковий звіт'!AN128-'[3]побудинковий звіт'!AN128</f>
        <v>0</v>
      </c>
      <c r="AO128" s="56">
        <f t="shared" si="135"/>
        <v>0</v>
      </c>
      <c r="AP128" s="42">
        <f>'[1]побудинковий звіт'!AP128+'[2]побудинковий звіт'!AP128-'[3]побудинковий звіт'!AP128</f>
        <v>378.80705715745984</v>
      </c>
      <c r="AQ128" s="42">
        <f>'[1]побудинковий звіт'!AQ128+'[2]побудинковий звіт'!AQ128-'[3]побудинковий звіт'!AQ128</f>
        <v>331.90160886601905</v>
      </c>
      <c r="AR128" s="56">
        <f t="shared" si="136"/>
        <v>-46.905448291440791</v>
      </c>
      <c r="AS128" s="42">
        <f>'[1]побудинковий звіт'!AS128+'[2]побудинковий звіт'!AS128-'[3]побудинковий звіт'!AS128</f>
        <v>3415.5464534845241</v>
      </c>
      <c r="AT128" s="42">
        <f>'[1]побудинковий звіт'!AT128+'[2]побудинковий звіт'!AT128-'[3]побудинковий звіт'!AT128</f>
        <v>0</v>
      </c>
      <c r="AU128" s="58">
        <f t="shared" si="151"/>
        <v>-3415.5464534845241</v>
      </c>
      <c r="AV128" s="42">
        <f>'[1]побудинковий звіт'!AV128+'[2]побудинковий звіт'!AV128-'[3]побудинковий звіт'!AV128</f>
        <v>0</v>
      </c>
      <c r="AW128" s="42">
        <f>'[1]побудинковий звіт'!AW128+'[2]побудинковий звіт'!AW128-'[3]побудинковий звіт'!AW128</f>
        <v>0</v>
      </c>
      <c r="AX128" s="59">
        <f t="shared" si="152"/>
        <v>0</v>
      </c>
      <c r="AY128" s="42">
        <f>'[1]побудинковий звіт'!AY128+'[2]побудинковий звіт'!AY128-'[3]побудинковий звіт'!AY128</f>
        <v>0</v>
      </c>
      <c r="AZ128" s="42">
        <f>'[1]побудинковий звіт'!AZ128+'[2]побудинковий звіт'!AZ128-'[3]побудинковий звіт'!AZ128</f>
        <v>0</v>
      </c>
      <c r="BA128" s="37">
        <f t="shared" si="153"/>
        <v>0</v>
      </c>
      <c r="BB128" s="42">
        <f>'[1]побудинковий звіт'!BB128+'[2]побудинковий звіт'!BB128-'[3]побудинковий звіт'!BB128</f>
        <v>0</v>
      </c>
      <c r="BC128" s="42">
        <f>'[1]побудинковий звіт'!BC128+'[2]побудинковий звіт'!BC128-'[3]побудинковий звіт'!BC128</f>
        <v>0</v>
      </c>
      <c r="BD128" s="59">
        <f t="shared" si="154"/>
        <v>0</v>
      </c>
      <c r="BE128" s="42">
        <f>'[1]побудинковий звіт'!BE128+'[2]побудинковий звіт'!BE128-'[3]побудинковий звіт'!BE128</f>
        <v>0</v>
      </c>
      <c r="BF128" s="42">
        <f>'[1]побудинковий звіт'!BF128+'[2]побудинковий звіт'!BF128-'[3]побудинковий звіт'!BF128</f>
        <v>0</v>
      </c>
      <c r="BG128" s="39">
        <f t="shared" si="155"/>
        <v>0</v>
      </c>
      <c r="BH128" s="42">
        <f>'[1]побудинковий звіт'!BH128+'[2]побудинковий звіт'!BH128-'[3]побудинковий звіт'!BH128</f>
        <v>0</v>
      </c>
      <c r="BI128" s="42">
        <f>'[1]побудинковий звіт'!BI128+'[2]побудинковий звіт'!BI128-'[3]побудинковий звіт'!BI128</f>
        <v>0</v>
      </c>
      <c r="BJ128" s="59">
        <f t="shared" si="156"/>
        <v>0</v>
      </c>
      <c r="BK128" s="42">
        <f>'[1]побудинковий звіт'!BK128+'[2]побудинковий звіт'!BK128-'[3]побудинковий звіт'!BK128</f>
        <v>0</v>
      </c>
      <c r="BL128" s="42">
        <f>'[1]побудинковий звіт'!BL128+'[2]побудинковий звіт'!BL128-'[3]побудинковий звіт'!BL128</f>
        <v>0</v>
      </c>
      <c r="BM128" s="39">
        <f t="shared" si="157"/>
        <v>0</v>
      </c>
      <c r="BN128" s="42">
        <f>'[1]побудинковий звіт'!BN128+'[2]побудинковий звіт'!BN128-'[3]побудинковий звіт'!BN128</f>
        <v>0</v>
      </c>
      <c r="BO128" s="42">
        <f>'[1]побудинковий звіт'!BO128+'[2]побудинковий звіт'!BO128-'[3]побудинковий звіт'!BO128</f>
        <v>0</v>
      </c>
      <c r="BP128" s="59">
        <f t="shared" si="158"/>
        <v>0</v>
      </c>
      <c r="BQ128" s="87">
        <f t="shared" si="121"/>
        <v>0</v>
      </c>
      <c r="BR128" s="43">
        <f t="shared" si="122"/>
        <v>0</v>
      </c>
      <c r="BS128" s="59">
        <f t="shared" si="159"/>
        <v>0</v>
      </c>
      <c r="BT128" s="42">
        <f>'[1]побудинковий звіт'!BT128+'[2]побудинковий звіт'!BT128-'[3]побудинковий звіт'!BT128</f>
        <v>191.41608603358003</v>
      </c>
      <c r="BU128" s="42">
        <f>'[1]побудинковий звіт'!BU128+'[2]побудинковий звіт'!BU128-'[3]побудинковий звіт'!BU128</f>
        <v>665.33593465709964</v>
      </c>
      <c r="BV128" s="56">
        <f t="shared" si="137"/>
        <v>473.91984862351961</v>
      </c>
      <c r="BW128" s="42">
        <f>'[1]побудинковий звіт'!BW128+'[2]побудинковий звіт'!BW128-'[3]побудинковий звіт'!BW128</f>
        <v>0</v>
      </c>
      <c r="BX128" s="42">
        <f>'[1]побудинковий звіт'!BX128+'[2]побудинковий звіт'!BX128-'[3]побудинковий звіт'!BX128</f>
        <v>7.7666633089287345</v>
      </c>
      <c r="BY128" s="56">
        <f t="shared" si="138"/>
        <v>7.7666633089287345</v>
      </c>
      <c r="BZ128" s="42">
        <f>'[1]побудинковий звіт'!BZ128+'[2]побудинковий звіт'!BZ128-'[3]побудинковий звіт'!BZ128</f>
        <v>0</v>
      </c>
      <c r="CA128" s="42">
        <f>'[1]побудинковий звіт'!CA128+'[2]побудинковий звіт'!CA128-'[3]побудинковий звіт'!CA128</f>
        <v>161.01635257468013</v>
      </c>
      <c r="CB128" s="56">
        <f t="shared" si="139"/>
        <v>161.01635257468013</v>
      </c>
      <c r="CC128" s="42">
        <f>'[1]побудинковий звіт'!CC128+'[2]побудинковий звіт'!CC128-'[3]побудинковий звіт'!CC128</f>
        <v>0</v>
      </c>
      <c r="CD128" s="42">
        <f>'[1]побудинковий звіт'!CD128+'[2]побудинковий звіт'!CD128-'[3]побудинковий звіт'!CD128</f>
        <v>0</v>
      </c>
      <c r="CE128" s="56">
        <f t="shared" si="140"/>
        <v>0</v>
      </c>
      <c r="CF128" s="42">
        <f>'[1]побудинковий звіт'!CF128+'[2]побудинковий звіт'!CF128-'[3]побудинковий звіт'!CF128</f>
        <v>0</v>
      </c>
      <c r="CG128" s="42">
        <f>'[1]побудинковий звіт'!CG128+'[2]побудинковий звіт'!CG128-'[3]побудинковий звіт'!CG128</f>
        <v>0</v>
      </c>
      <c r="CH128" s="56">
        <f t="shared" si="141"/>
        <v>0</v>
      </c>
      <c r="CI128" s="42">
        <f>'[1]побудинковий звіт'!CI128+'[2]побудинковий звіт'!CI128-'[3]побудинковий звіт'!CI128</f>
        <v>0</v>
      </c>
      <c r="CJ128" s="42">
        <f>'[1]побудинковий звіт'!CJ128+'[2]побудинковий звіт'!CJ128-'[3]побудинковий звіт'!CJ128</f>
        <v>0</v>
      </c>
      <c r="CK128" s="56">
        <f t="shared" si="142"/>
        <v>0</v>
      </c>
      <c r="CL128" s="42">
        <f>'[1]побудинковий звіт'!CL128+'[2]побудинковий звіт'!CL128-'[3]побудинковий звіт'!CL128</f>
        <v>0</v>
      </c>
      <c r="CM128" s="42">
        <f>'[1]побудинковий звіт'!CM128+'[2]побудинковий звіт'!CM128-'[3]побудинковий звіт'!CM128</f>
        <v>0</v>
      </c>
      <c r="CN128" s="56">
        <f t="shared" si="143"/>
        <v>0</v>
      </c>
      <c r="CO128" s="42">
        <f t="shared" si="123"/>
        <v>0</v>
      </c>
      <c r="CP128" s="43">
        <f t="shared" si="144"/>
        <v>0</v>
      </c>
      <c r="CQ128" s="56">
        <f t="shared" si="145"/>
        <v>0</v>
      </c>
      <c r="CR128" s="78">
        <f t="shared" si="124"/>
        <v>3985.7695966755641</v>
      </c>
      <c r="CS128" s="5">
        <f t="shared" si="124"/>
        <v>1326.6219327829212</v>
      </c>
      <c r="CT128" s="56">
        <f t="shared" si="146"/>
        <v>-2659.1476638926429</v>
      </c>
      <c r="CU128" s="87">
        <f t="shared" si="147"/>
        <v>4782.9235160106764</v>
      </c>
      <c r="CV128" s="70">
        <f t="shared" si="148"/>
        <v>1591.9463193395054</v>
      </c>
      <c r="CW128" s="37">
        <f t="shared" si="149"/>
        <v>-3190.977196671171</v>
      </c>
      <c r="CX128" s="42">
        <f>'[1]побудинковий звіт'!CX128+'[2]побудинковий звіт'!CX128-'[3]побудинковий звіт'!CX128</f>
        <v>70.576483989322867</v>
      </c>
      <c r="CY128" s="42">
        <f>'[1]побудинковий звіт'!CY128+'[2]побудинковий звіт'!CY128-'[3]побудинковий звіт'!CY128</f>
        <v>3261.5536806604946</v>
      </c>
      <c r="CZ128" s="56">
        <f t="shared" si="150"/>
        <v>3190.9771966711719</v>
      </c>
      <c r="DA128" s="264">
        <f>'[4]побудинковий звіт'!DA128</f>
        <v>-8666.2335778946363</v>
      </c>
      <c r="DB128" s="2">
        <v>3</v>
      </c>
      <c r="DC128" s="717">
        <f>'[4]побудинковий звіт'!DC128</f>
        <v>615.73</v>
      </c>
      <c r="DD128" s="717">
        <f>'[4]побудинковий звіт'!DD128</f>
        <v>0</v>
      </c>
      <c r="DE128" s="717">
        <f>'[4]побудинковий звіт'!DE128</f>
        <v>212.5</v>
      </c>
      <c r="DF128" s="717">
        <f>'[4]побудинковий звіт'!DF128</f>
        <v>0</v>
      </c>
      <c r="DG128" s="787">
        <v>-6297.1860918920993</v>
      </c>
      <c r="DH128" s="761">
        <f t="shared" si="109"/>
        <v>58241.999999999985</v>
      </c>
      <c r="DI128" s="784"/>
      <c r="DJ128" s="5"/>
      <c r="DK128" s="317">
        <f>VLOOKUP($A128,ціни!$A$4:$G$401,5)</f>
        <v>1.6779577522296552</v>
      </c>
      <c r="DL128" s="317"/>
      <c r="DM128" s="317">
        <f>VLOOKUP($A128,ціни!$A$4:$G$401,7)</f>
        <v>1.6779577522296552</v>
      </c>
      <c r="DN128" s="30">
        <f>F128*DK128</f>
        <v>291.5451594499026</v>
      </c>
      <c r="DO128" s="30">
        <f>H128*DM128</f>
        <v>0</v>
      </c>
      <c r="DP128" s="316">
        <f t="shared" si="162"/>
        <v>291.5451594499026</v>
      </c>
      <c r="DQ128" s="104"/>
      <c r="DR128" s="30">
        <f>VLOOKUP(A128,'ДЗ нас '!$A$1:$C$359,2)</f>
        <v>403.23</v>
      </c>
      <c r="DS128" s="748"/>
      <c r="DT128" s="30">
        <f t="shared" si="163"/>
        <v>403.23</v>
      </c>
      <c r="DU128" s="257">
        <f>VLOOKUP(A128,'новий кошторис с 01.06'!$A$4:$AI$399,35)*1.2</f>
        <v>405.75134494157243</v>
      </c>
      <c r="DV128" s="30">
        <f t="shared" si="164"/>
        <v>-2.5213449415724085</v>
      </c>
      <c r="DW128" s="930">
        <f>'[5]побудинковий звіт'!DW128+'[6]побудинковий звіт'!DW128</f>
        <v>0</v>
      </c>
      <c r="DY128" s="5">
        <f t="shared" si="104"/>
        <v>4098.6557441814284</v>
      </c>
      <c r="DZ128" s="5">
        <f t="shared" si="105"/>
        <v>0</v>
      </c>
      <c r="EA128" s="752">
        <f t="shared" si="110"/>
        <v>212.5</v>
      </c>
      <c r="EC128" s="592">
        <f t="shared" si="106"/>
        <v>40986.557441814293</v>
      </c>
      <c r="EE128" s="758">
        <v>-3597</v>
      </c>
      <c r="EF128" s="738">
        <f t="shared" si="107"/>
        <v>-9894.1860918920993</v>
      </c>
      <c r="EH128" s="813">
        <v>-8128.1373818215325</v>
      </c>
    </row>
    <row r="129" spans="1:138" x14ac:dyDescent="0.3">
      <c r="A129" s="328">
        <v>150000689</v>
      </c>
      <c r="B129" s="44" t="s">
        <v>580</v>
      </c>
      <c r="C129" s="45" t="s">
        <v>93</v>
      </c>
      <c r="D129" s="45" t="s">
        <v>93</v>
      </c>
      <c r="E129" s="40">
        <f t="shared" si="108"/>
        <v>188.4</v>
      </c>
      <c r="F129" s="490">
        <v>188.4</v>
      </c>
      <c r="G129" s="30"/>
      <c r="H129" s="30">
        <v>0</v>
      </c>
      <c r="I129" s="42">
        <f>'[1]побудинковий звіт'!I129+'[2]побудинковий звіт'!I129-'[3]побудинковий звіт'!I129</f>
        <v>0</v>
      </c>
      <c r="J129" s="42">
        <f>'[1]побудинковий звіт'!J129+'[2]побудинковий звіт'!J129-'[3]побудинковий звіт'!J129</f>
        <v>0</v>
      </c>
      <c r="K129" s="56">
        <f t="shared" si="125"/>
        <v>0</v>
      </c>
      <c r="L129" s="42">
        <f>'[1]побудинковий звіт'!L129+'[2]побудинковий звіт'!L129-'[3]побудинковий звіт'!L129</f>
        <v>0</v>
      </c>
      <c r="M129" s="42">
        <f>'[1]побудинковий звіт'!M129+'[2]побудинковий звіт'!M129-'[3]побудинковий звіт'!M129</f>
        <v>0</v>
      </c>
      <c r="N129" s="56">
        <f t="shared" si="126"/>
        <v>0</v>
      </c>
      <c r="O129" s="42">
        <f>'[1]побудинковий звіт'!O129+'[2]побудинковий звіт'!O129-'[3]побудинковий звіт'!O129</f>
        <v>0</v>
      </c>
      <c r="P129" s="42">
        <f>'[1]побудинковий звіт'!P129+'[2]побудинковий звіт'!P129-'[3]побудинковий звіт'!P129</f>
        <v>0</v>
      </c>
      <c r="Q129" s="56">
        <f t="shared" si="127"/>
        <v>0</v>
      </c>
      <c r="R129" s="42">
        <f>'[1]побудинковий звіт'!R129+'[2]побудинковий звіт'!R129-'[3]побудинковий звіт'!R129</f>
        <v>0</v>
      </c>
      <c r="S129" s="42">
        <f>'[1]побудинковий звіт'!S129+'[2]побудинковий звіт'!S129-'[3]побудинковий звіт'!S129</f>
        <v>0</v>
      </c>
      <c r="T129" s="56">
        <f t="shared" si="128"/>
        <v>0</v>
      </c>
      <c r="U129" s="42">
        <f>'[1]побудинковий звіт'!U129+'[2]побудинковий звіт'!U129-'[3]побудинковий звіт'!U129</f>
        <v>0</v>
      </c>
      <c r="V129" s="42">
        <f>'[1]побудинковий звіт'!V129+'[2]побудинковий звіт'!V129-'[3]побудинковий звіт'!V129</f>
        <v>0</v>
      </c>
      <c r="W129" s="56">
        <f t="shared" si="129"/>
        <v>0</v>
      </c>
      <c r="X129" s="42">
        <f>'[1]побудинковий звіт'!X129+'[2]побудинковий звіт'!X129-'[3]побудинковий звіт'!X129</f>
        <v>0</v>
      </c>
      <c r="Y129" s="42">
        <f>'[1]побудинковий звіт'!Y129+'[2]побудинковий звіт'!Y129-'[3]побудинковий звіт'!Y129</f>
        <v>0</v>
      </c>
      <c r="Z129" s="56">
        <f t="shared" si="130"/>
        <v>0</v>
      </c>
      <c r="AA129" s="42">
        <f>'[1]побудинковий звіт'!AA129+'[2]побудинковий звіт'!AA129-'[3]побудинковий звіт'!AA129</f>
        <v>0</v>
      </c>
      <c r="AB129" s="42">
        <f>'[1]побудинковий звіт'!AB129+'[2]побудинковий звіт'!AB129-'[3]побудинковий звіт'!AB129</f>
        <v>0</v>
      </c>
      <c r="AC129" s="56">
        <f t="shared" si="131"/>
        <v>0</v>
      </c>
      <c r="AD129" s="42">
        <f>'[1]побудинковий звіт'!AD129+'[2]побудинковий звіт'!AD129-'[3]побудинковий звіт'!AD129</f>
        <v>0</v>
      </c>
      <c r="AE129" s="42">
        <f>'[1]побудинковий звіт'!AE129+'[2]побудинковий звіт'!AE129-'[3]побудинковий звіт'!AE129</f>
        <v>125.82994371946518</v>
      </c>
      <c r="AF129" s="37">
        <f t="shared" si="132"/>
        <v>125.82994371946518</v>
      </c>
      <c r="AG129" s="87">
        <f t="shared" si="120"/>
        <v>0</v>
      </c>
      <c r="AH129" s="57">
        <f t="shared" si="120"/>
        <v>125.82994371946518</v>
      </c>
      <c r="AI129" s="56">
        <f t="shared" si="133"/>
        <v>125.82994371946518</v>
      </c>
      <c r="AJ129" s="42">
        <f>'[1]побудинковий звіт'!AJ129+'[2]побудинковий звіт'!AJ129-'[3]побудинковий звіт'!AJ129</f>
        <v>0</v>
      </c>
      <c r="AK129" s="42">
        <f>'[1]побудинковий звіт'!AK129+'[2]побудинковий звіт'!AK129-'[3]побудинковий звіт'!AK129</f>
        <v>0</v>
      </c>
      <c r="AL129" s="56">
        <f t="shared" si="134"/>
        <v>0</v>
      </c>
      <c r="AM129" s="42">
        <f>'[1]побудинковий звіт'!AM129+'[2]побудинковий звіт'!AM129-'[3]побудинковий звіт'!AM129</f>
        <v>0</v>
      </c>
      <c r="AN129" s="42">
        <f>'[1]побудинковий звіт'!AN129+'[2]побудинковий звіт'!AN129-'[3]побудинковий звіт'!AN129</f>
        <v>0</v>
      </c>
      <c r="AO129" s="56">
        <f t="shared" si="135"/>
        <v>0</v>
      </c>
      <c r="AP129" s="42">
        <f>'[1]побудинковий звіт'!AP129+'[2]побудинковий звіт'!AP129-'[3]побудинковий звіт'!AP129</f>
        <v>378.80705715745984</v>
      </c>
      <c r="AQ129" s="42">
        <f>'[1]побудинковий звіт'!AQ129+'[2]побудинковий звіт'!AQ129-'[3]побудинковий звіт'!AQ129</f>
        <v>378.61617200841994</v>
      </c>
      <c r="AR129" s="56">
        <f t="shared" si="136"/>
        <v>-0.19088514903990017</v>
      </c>
      <c r="AS129" s="42">
        <f>'[1]побудинковий звіт'!AS129+'[2]побудинковий звіт'!AS129-'[3]побудинковий звіт'!AS129</f>
        <v>2290.0588304553385</v>
      </c>
      <c r="AT129" s="42">
        <f>'[1]побудинковий звіт'!AT129+'[2]побудинковий звіт'!AT129-'[3]побудинковий звіт'!AT129</f>
        <v>0</v>
      </c>
      <c r="AU129" s="58">
        <f t="shared" si="151"/>
        <v>-2290.0588304553385</v>
      </c>
      <c r="AV129" s="42">
        <f>'[1]побудинковий звіт'!AV129+'[2]побудинковий звіт'!AV129-'[3]побудинковий звіт'!AV129</f>
        <v>0</v>
      </c>
      <c r="AW129" s="42">
        <f>'[1]побудинковий звіт'!AW129+'[2]побудинковий звіт'!AW129-'[3]побудинковий звіт'!AW129</f>
        <v>0</v>
      </c>
      <c r="AX129" s="59">
        <f t="shared" si="152"/>
        <v>0</v>
      </c>
      <c r="AY129" s="42">
        <f>'[1]побудинковий звіт'!AY129+'[2]побудинковий звіт'!AY129-'[3]побудинковий звіт'!AY129</f>
        <v>0</v>
      </c>
      <c r="AZ129" s="42">
        <f>'[1]побудинковий звіт'!AZ129+'[2]побудинковий звіт'!AZ129-'[3]побудинковий звіт'!AZ129</f>
        <v>0</v>
      </c>
      <c r="BA129" s="37">
        <f t="shared" si="153"/>
        <v>0</v>
      </c>
      <c r="BB129" s="42">
        <f>'[1]побудинковий звіт'!BB129+'[2]побудинковий звіт'!BB129-'[3]побудинковий звіт'!BB129</f>
        <v>0</v>
      </c>
      <c r="BC129" s="42">
        <f>'[1]побудинковий звіт'!BC129+'[2]побудинковий звіт'!BC129-'[3]побудинковий звіт'!BC129</f>
        <v>0</v>
      </c>
      <c r="BD129" s="59">
        <f t="shared" si="154"/>
        <v>0</v>
      </c>
      <c r="BE129" s="42">
        <f>'[1]побудинковий звіт'!BE129+'[2]побудинковий звіт'!BE129-'[3]побудинковий звіт'!BE129</f>
        <v>0</v>
      </c>
      <c r="BF129" s="42">
        <f>'[1]побудинковий звіт'!BF129+'[2]побудинковий звіт'!BF129-'[3]побудинковий звіт'!BF129</f>
        <v>0</v>
      </c>
      <c r="BG129" s="39">
        <f t="shared" si="155"/>
        <v>0</v>
      </c>
      <c r="BH129" s="42">
        <f>'[1]побудинковий звіт'!BH129+'[2]побудинковий звіт'!BH129-'[3]побудинковий звіт'!BH129</f>
        <v>0</v>
      </c>
      <c r="BI129" s="42">
        <f>'[1]побудинковий звіт'!BI129+'[2]побудинковий звіт'!BI129-'[3]побудинковий звіт'!BI129</f>
        <v>0</v>
      </c>
      <c r="BJ129" s="59">
        <f t="shared" si="156"/>
        <v>0</v>
      </c>
      <c r="BK129" s="42">
        <f>'[1]побудинковий звіт'!BK129+'[2]побудинковий звіт'!BK129-'[3]побудинковий звіт'!BK129</f>
        <v>0</v>
      </c>
      <c r="BL129" s="42">
        <f>'[1]побудинковий звіт'!BL129+'[2]побудинковий звіт'!BL129-'[3]побудинковий звіт'!BL129</f>
        <v>0</v>
      </c>
      <c r="BM129" s="39">
        <f t="shared" si="157"/>
        <v>0</v>
      </c>
      <c r="BN129" s="42">
        <f>'[1]побудинковий звіт'!BN129+'[2]побудинковий звіт'!BN129-'[3]побудинковий звіт'!BN129</f>
        <v>0</v>
      </c>
      <c r="BO129" s="42">
        <f>'[1]побудинковий звіт'!BO129+'[2]побудинковий звіт'!BO129-'[3]побудинковий звіт'!BO129</f>
        <v>0</v>
      </c>
      <c r="BP129" s="59">
        <f t="shared" si="158"/>
        <v>0</v>
      </c>
      <c r="BQ129" s="87">
        <f t="shared" si="121"/>
        <v>0</v>
      </c>
      <c r="BR129" s="43">
        <f t="shared" si="122"/>
        <v>0</v>
      </c>
      <c r="BS129" s="59">
        <f t="shared" si="159"/>
        <v>0</v>
      </c>
      <c r="BT129" s="42">
        <f>'[1]побудинковий звіт'!BT129+'[2]побудинковий звіт'!BT129-'[3]побудинковий звіт'!BT129</f>
        <v>95.708043016790015</v>
      </c>
      <c r="BU129" s="42">
        <f>'[1]побудинковий звіт'!BU129+'[2]побудинковий звіт'!BU129-'[3]побудинковий звіт'!BU129</f>
        <v>285.13444675011317</v>
      </c>
      <c r="BV129" s="56">
        <f t="shared" si="137"/>
        <v>189.42640373332316</v>
      </c>
      <c r="BW129" s="42">
        <f>'[1]побудинковий звіт'!BW129+'[2]побудинковий звіт'!BW129-'[3]побудинковий звіт'!BW129</f>
        <v>0</v>
      </c>
      <c r="BX129" s="42">
        <f>'[1]побудинковий звіт'!BX129+'[2]побудинковий звіт'!BX129-'[3]побудинковий звіт'!BX129</f>
        <v>6.0851211076592211</v>
      </c>
      <c r="BY129" s="56">
        <f t="shared" si="138"/>
        <v>6.0851211076592211</v>
      </c>
      <c r="BZ129" s="42">
        <f>'[1]побудинковий звіт'!BZ129+'[2]побудинковий звіт'!BZ129-'[3]побудинковий звіт'!BZ129</f>
        <v>0</v>
      </c>
      <c r="CA129" s="42">
        <f>'[1]побудинковий звіт'!CA129+'[2]побудинковий звіт'!CA129-'[3]побудинковий звіт'!CA129</f>
        <v>69.006506917565872</v>
      </c>
      <c r="CB129" s="56">
        <f t="shared" si="139"/>
        <v>69.006506917565872</v>
      </c>
      <c r="CC129" s="42">
        <f>'[1]побудинковий звіт'!CC129+'[2]побудинковий звіт'!CC129-'[3]побудинковий звіт'!CC129</f>
        <v>0</v>
      </c>
      <c r="CD129" s="42">
        <f>'[1]побудинковий звіт'!CD129+'[2]побудинковий звіт'!CD129-'[3]побудинковий звіт'!CD129</f>
        <v>0</v>
      </c>
      <c r="CE129" s="56">
        <f t="shared" si="140"/>
        <v>0</v>
      </c>
      <c r="CF129" s="42">
        <f>'[1]побудинковий звіт'!CF129+'[2]побудинковий звіт'!CF129-'[3]побудинковий звіт'!CF129</f>
        <v>0</v>
      </c>
      <c r="CG129" s="42">
        <f>'[1]побудинковий звіт'!CG129+'[2]побудинковий звіт'!CG129-'[3]побудинковий звіт'!CG129</f>
        <v>0</v>
      </c>
      <c r="CH129" s="56">
        <f t="shared" si="141"/>
        <v>0</v>
      </c>
      <c r="CI129" s="42">
        <f>'[1]побудинковий звіт'!CI129+'[2]побудинковий звіт'!CI129-'[3]побудинковий звіт'!CI129</f>
        <v>0</v>
      </c>
      <c r="CJ129" s="42">
        <f>'[1]побудинковий звіт'!CJ129+'[2]побудинковий звіт'!CJ129-'[3]побудинковий звіт'!CJ129</f>
        <v>0</v>
      </c>
      <c r="CK129" s="56">
        <f t="shared" si="142"/>
        <v>0</v>
      </c>
      <c r="CL129" s="42">
        <f>'[1]побудинковий звіт'!CL129+'[2]побудинковий звіт'!CL129-'[3]побудинковий звіт'!CL129</f>
        <v>0</v>
      </c>
      <c r="CM129" s="42">
        <f>'[1]побудинковий звіт'!CM129+'[2]побудинковий звіт'!CM129-'[3]побудинковий звіт'!CM129</f>
        <v>0</v>
      </c>
      <c r="CN129" s="56">
        <f t="shared" si="143"/>
        <v>0</v>
      </c>
      <c r="CO129" s="42">
        <f t="shared" si="123"/>
        <v>0</v>
      </c>
      <c r="CP129" s="43">
        <f t="shared" si="144"/>
        <v>0</v>
      </c>
      <c r="CQ129" s="56">
        <f t="shared" si="145"/>
        <v>0</v>
      </c>
      <c r="CR129" s="78">
        <f t="shared" si="124"/>
        <v>2764.5739306295882</v>
      </c>
      <c r="CS129" s="5">
        <f t="shared" si="124"/>
        <v>864.67219050322331</v>
      </c>
      <c r="CT129" s="56">
        <f t="shared" si="146"/>
        <v>-1899.901740126365</v>
      </c>
      <c r="CU129" s="87">
        <f t="shared" si="147"/>
        <v>3317.4887167555057</v>
      </c>
      <c r="CV129" s="70">
        <f t="shared" si="148"/>
        <v>1037.6066286038679</v>
      </c>
      <c r="CW129" s="37">
        <f t="shared" si="149"/>
        <v>-2279.8820881516376</v>
      </c>
      <c r="CX129" s="42">
        <f>'[1]побудинковий звіт'!CX129+'[2]побудинковий звіт'!CX129-'[3]побудинковий звіт'!CX129</f>
        <v>82.711283244493643</v>
      </c>
      <c r="CY129" s="42">
        <f>'[1]побудинковий звіт'!CY129+'[2]побудинковий звіт'!CY129-'[3]побудинковий звіт'!CY129</f>
        <v>2362.5933713961322</v>
      </c>
      <c r="CZ129" s="56">
        <f t="shared" si="150"/>
        <v>2279.8820881516385</v>
      </c>
      <c r="DA129" s="264">
        <f>'[4]побудинковий звіт'!DA129</f>
        <v>-6850.4848546352696</v>
      </c>
      <c r="DB129" s="2">
        <v>3</v>
      </c>
      <c r="DC129" s="717">
        <f>'[4]побудинковий звіт'!DC129</f>
        <v>1553.83</v>
      </c>
      <c r="DD129" s="717">
        <f>'[4]побудинковий звіт'!DD129</f>
        <v>0</v>
      </c>
      <c r="DE129" s="717">
        <f>'[4]побудинковий звіт'!DE129</f>
        <v>1270.48</v>
      </c>
      <c r="DF129" s="717">
        <f>'[4]побудинковий звіт'!DF129</f>
        <v>0</v>
      </c>
      <c r="DG129" s="787">
        <v>-3699.9944347291812</v>
      </c>
      <c r="DH129" s="761">
        <f t="shared" si="109"/>
        <v>40802.399999999994</v>
      </c>
      <c r="DI129" s="784"/>
      <c r="DJ129" s="5"/>
      <c r="DK129" s="317">
        <f>VLOOKUP($A129,ціни!$A$4:$G$401,5)</f>
        <v>1.5000996711992209</v>
      </c>
      <c r="DL129" s="317"/>
      <c r="DM129" s="317">
        <f>VLOOKUP($A129,ціни!$A$4:$G$401,7)</f>
        <v>1.5000996711992209</v>
      </c>
      <c r="DN129" s="30">
        <f>F129*DK129</f>
        <v>282.61877805393323</v>
      </c>
      <c r="DO129" s="30">
        <f>H129*DM129</f>
        <v>0</v>
      </c>
      <c r="DP129" s="316">
        <f t="shared" si="162"/>
        <v>282.61877805393323</v>
      </c>
      <c r="DQ129" s="104"/>
      <c r="DR129" s="30">
        <f>VLOOKUP(A129,'ДЗ нас '!$A$1:$C$359,2)</f>
        <v>283.35000000000002</v>
      </c>
      <c r="DS129" s="748"/>
      <c r="DT129" s="30">
        <f t="shared" si="163"/>
        <v>283.35000000000002</v>
      </c>
      <c r="DU129" s="257">
        <f>VLOOKUP(A129,'новий кошторис с 01.06'!$A$4:$AI$399,35)*1.2</f>
        <v>284.75111485484763</v>
      </c>
      <c r="DV129" s="30">
        <f t="shared" si="164"/>
        <v>-1.4011148548476058</v>
      </c>
      <c r="DW129" s="930">
        <f>'[5]побудинковий звіт'!DW129+'[6]побудинковий звіт'!DW129</f>
        <v>0</v>
      </c>
      <c r="DY129" s="5">
        <f t="shared" si="104"/>
        <v>2748.0705965464063</v>
      </c>
      <c r="DZ129" s="5">
        <f t="shared" si="105"/>
        <v>0</v>
      </c>
      <c r="EA129" s="752">
        <f t="shared" si="110"/>
        <v>1270.48</v>
      </c>
      <c r="EC129" s="592">
        <f t="shared" si="106"/>
        <v>27480.705965464062</v>
      </c>
      <c r="EE129" s="758">
        <v>-1749</v>
      </c>
      <c r="EF129" s="738">
        <f t="shared" si="107"/>
        <v>-5448.9944347291812</v>
      </c>
      <c r="EH129" s="813">
        <v>-4901.330816374706</v>
      </c>
    </row>
    <row r="130" spans="1:138" x14ac:dyDescent="0.3">
      <c r="A130" s="328">
        <v>150000690</v>
      </c>
      <c r="B130" s="44" t="s">
        <v>581</v>
      </c>
      <c r="C130" s="45" t="s">
        <v>95</v>
      </c>
      <c r="D130" s="45" t="s">
        <v>95</v>
      </c>
      <c r="E130" s="40">
        <f t="shared" si="108"/>
        <v>195.6</v>
      </c>
      <c r="F130" s="490">
        <v>195.6</v>
      </c>
      <c r="G130" s="30"/>
      <c r="H130" s="30">
        <v>0</v>
      </c>
      <c r="I130" s="42">
        <f>'[1]побудинковий звіт'!I130+'[2]побудинковий звіт'!I130-'[3]побудинковий звіт'!I130</f>
        <v>0</v>
      </c>
      <c r="J130" s="42">
        <f>'[1]побудинковий звіт'!J130+'[2]побудинковий звіт'!J130-'[3]побудинковий звіт'!J130</f>
        <v>0</v>
      </c>
      <c r="K130" s="56">
        <f t="shared" si="125"/>
        <v>0</v>
      </c>
      <c r="L130" s="42">
        <f>'[1]побудинковий звіт'!L130+'[2]побудинковий звіт'!L130-'[3]побудинковий звіт'!L130</f>
        <v>0</v>
      </c>
      <c r="M130" s="42">
        <f>'[1]побудинковий звіт'!M130+'[2]побудинковий звіт'!M130-'[3]побудинковий звіт'!M130</f>
        <v>0</v>
      </c>
      <c r="N130" s="56">
        <f t="shared" si="126"/>
        <v>0</v>
      </c>
      <c r="O130" s="42">
        <f>'[1]побудинковий звіт'!O130+'[2]побудинковий звіт'!O130-'[3]побудинковий звіт'!O130</f>
        <v>0</v>
      </c>
      <c r="P130" s="42">
        <f>'[1]побудинковий звіт'!P130+'[2]побудинковий звіт'!P130-'[3]побудинковий звіт'!P130</f>
        <v>0</v>
      </c>
      <c r="Q130" s="56">
        <f t="shared" si="127"/>
        <v>0</v>
      </c>
      <c r="R130" s="42">
        <f>'[1]побудинковий звіт'!R130+'[2]побудинковий звіт'!R130-'[3]побудинковий звіт'!R130</f>
        <v>0</v>
      </c>
      <c r="S130" s="42">
        <f>'[1]побудинковий звіт'!S130+'[2]побудинковий звіт'!S130-'[3]побудинковий звіт'!S130</f>
        <v>0</v>
      </c>
      <c r="T130" s="56">
        <f t="shared" si="128"/>
        <v>0</v>
      </c>
      <c r="U130" s="42">
        <f>'[1]побудинковий звіт'!U130+'[2]побудинковий звіт'!U130-'[3]побудинковий звіт'!U130</f>
        <v>0</v>
      </c>
      <c r="V130" s="42">
        <f>'[1]побудинковий звіт'!V130+'[2]побудинковий звіт'!V130-'[3]побудинковий звіт'!V130</f>
        <v>0</v>
      </c>
      <c r="W130" s="56">
        <f t="shared" si="129"/>
        <v>0</v>
      </c>
      <c r="X130" s="42">
        <f>'[1]побудинковий звіт'!X130+'[2]побудинковий звіт'!X130-'[3]побудинковий звіт'!X130</f>
        <v>0</v>
      </c>
      <c r="Y130" s="42">
        <f>'[1]побудинковий звіт'!Y130+'[2]побудинковий звіт'!Y130-'[3]побудинковий звіт'!Y130</f>
        <v>0</v>
      </c>
      <c r="Z130" s="56">
        <f t="shared" si="130"/>
        <v>0</v>
      </c>
      <c r="AA130" s="42">
        <f>'[1]побудинковий звіт'!AA130+'[2]побудинковий звіт'!AA130-'[3]побудинковий звіт'!AA130</f>
        <v>0</v>
      </c>
      <c r="AB130" s="42">
        <f>'[1]побудинковий звіт'!AB130+'[2]побудинковий звіт'!AB130-'[3]побудинковий звіт'!AB130</f>
        <v>0</v>
      </c>
      <c r="AC130" s="56">
        <f t="shared" si="131"/>
        <v>0</v>
      </c>
      <c r="AD130" s="42">
        <f>'[1]побудинковий звіт'!AD130+'[2]побудинковий звіт'!AD130-'[3]побудинковий звіт'!AD130</f>
        <v>0</v>
      </c>
      <c r="AE130" s="42">
        <f>'[1]побудинковий звіт'!AE130+'[2]побудинковий звіт'!AE130-'[3]побудинковий звіт'!AE130</f>
        <v>94.655558509984104</v>
      </c>
      <c r="AF130" s="37">
        <f t="shared" si="132"/>
        <v>94.655558509984104</v>
      </c>
      <c r="AG130" s="87">
        <f t="shared" si="120"/>
        <v>0</v>
      </c>
      <c r="AH130" s="57">
        <f t="shared" si="120"/>
        <v>94.655558509984104</v>
      </c>
      <c r="AI130" s="56">
        <f t="shared" si="133"/>
        <v>94.655558509984104</v>
      </c>
      <c r="AJ130" s="42">
        <f>'[1]побудинковий звіт'!AJ130+'[2]побудинковий звіт'!AJ130-'[3]побудинковий звіт'!AJ130</f>
        <v>0</v>
      </c>
      <c r="AK130" s="42">
        <f>'[1]побудинковий звіт'!AK130+'[2]побудинковий звіт'!AK130-'[3]побудинковий звіт'!AK130</f>
        <v>0</v>
      </c>
      <c r="AL130" s="56">
        <f t="shared" si="134"/>
        <v>0</v>
      </c>
      <c r="AM130" s="42">
        <f>'[1]побудинковий звіт'!AM130+'[2]побудинковий звіт'!AM130-'[3]побудинковий звіт'!AM130</f>
        <v>0</v>
      </c>
      <c r="AN130" s="42">
        <f>'[1]побудинковий звіт'!AN130+'[2]побудинковий звіт'!AN130-'[3]побудинковий звіт'!AN130</f>
        <v>0</v>
      </c>
      <c r="AO130" s="56">
        <f t="shared" si="135"/>
        <v>0</v>
      </c>
      <c r="AP130" s="42">
        <f>'[1]побудинковий звіт'!AP130+'[2]побудинковий звіт'!AP130-'[3]побудинковий звіт'!AP130</f>
        <v>378.80705715745984</v>
      </c>
      <c r="AQ130" s="42">
        <f>'[1]побудинковий звіт'!AQ130+'[2]побудинковий звіт'!AQ130-'[3]побудинковий звіт'!AQ130</f>
        <v>70.071844713601308</v>
      </c>
      <c r="AR130" s="56">
        <f t="shared" si="136"/>
        <v>-308.73521244385853</v>
      </c>
      <c r="AS130" s="42">
        <f>'[1]побудинковий звіт'!AS130+'[2]побудинковий звіт'!AS130-'[3]побудинковий звіт'!AS130</f>
        <v>1854.3944442377779</v>
      </c>
      <c r="AT130" s="42">
        <f>'[1]побудинковий звіт'!AT130+'[2]побудинковий звіт'!AT130-'[3]побудинковий звіт'!AT130</f>
        <v>0</v>
      </c>
      <c r="AU130" s="58">
        <f t="shared" si="151"/>
        <v>-1854.3944442377779</v>
      </c>
      <c r="AV130" s="42">
        <f>'[1]побудинковий звіт'!AV130+'[2]побудинковий звіт'!AV130-'[3]побудинковий звіт'!AV130</f>
        <v>0</v>
      </c>
      <c r="AW130" s="42">
        <f>'[1]побудинковий звіт'!AW130+'[2]побудинковий звіт'!AW130-'[3]побудинковий звіт'!AW130</f>
        <v>0</v>
      </c>
      <c r="AX130" s="59">
        <f t="shared" si="152"/>
        <v>0</v>
      </c>
      <c r="AY130" s="42">
        <f>'[1]побудинковий звіт'!AY130+'[2]побудинковий звіт'!AY130-'[3]побудинковий звіт'!AY130</f>
        <v>0</v>
      </c>
      <c r="AZ130" s="42">
        <f>'[1]побудинковий звіт'!AZ130+'[2]побудинковий звіт'!AZ130-'[3]побудинковий звіт'!AZ130</f>
        <v>0</v>
      </c>
      <c r="BA130" s="37">
        <f t="shared" si="153"/>
        <v>0</v>
      </c>
      <c r="BB130" s="42">
        <f>'[1]побудинковий звіт'!BB130+'[2]побудинковий звіт'!BB130-'[3]побудинковий звіт'!BB130</f>
        <v>0</v>
      </c>
      <c r="BC130" s="42">
        <f>'[1]побудинковий звіт'!BC130+'[2]побудинковий звіт'!BC130-'[3]побудинковий звіт'!BC130</f>
        <v>0</v>
      </c>
      <c r="BD130" s="59">
        <f t="shared" si="154"/>
        <v>0</v>
      </c>
      <c r="BE130" s="42">
        <f>'[1]побудинковий звіт'!BE130+'[2]побудинковий звіт'!BE130-'[3]побудинковий звіт'!BE130</f>
        <v>0</v>
      </c>
      <c r="BF130" s="42">
        <f>'[1]побудинковий звіт'!BF130+'[2]побудинковий звіт'!BF130-'[3]побудинковий звіт'!BF130</f>
        <v>0</v>
      </c>
      <c r="BG130" s="39">
        <f t="shared" si="155"/>
        <v>0</v>
      </c>
      <c r="BH130" s="42">
        <f>'[1]побудинковий звіт'!BH130+'[2]побудинковий звіт'!BH130-'[3]побудинковий звіт'!BH130</f>
        <v>0</v>
      </c>
      <c r="BI130" s="42">
        <f>'[1]побудинковий звіт'!BI130+'[2]побудинковий звіт'!BI130-'[3]побудинковий звіт'!BI130</f>
        <v>0</v>
      </c>
      <c r="BJ130" s="59">
        <f t="shared" si="156"/>
        <v>0</v>
      </c>
      <c r="BK130" s="42">
        <f>'[1]побудинковий звіт'!BK130+'[2]побудинковий звіт'!BK130-'[3]побудинковий звіт'!BK130</f>
        <v>0</v>
      </c>
      <c r="BL130" s="42">
        <f>'[1]побудинковий звіт'!BL130+'[2]побудинковий звіт'!BL130-'[3]побудинковий звіт'!BL130</f>
        <v>0</v>
      </c>
      <c r="BM130" s="39">
        <f t="shared" si="157"/>
        <v>0</v>
      </c>
      <c r="BN130" s="42">
        <f>'[1]побудинковий звіт'!BN130+'[2]побудинковий звіт'!BN130-'[3]побудинковий звіт'!BN130</f>
        <v>0</v>
      </c>
      <c r="BO130" s="42">
        <f>'[1]побудинковий звіт'!BO130+'[2]побудинковий звіт'!BO130-'[3]побудинковий звіт'!BO130</f>
        <v>0</v>
      </c>
      <c r="BP130" s="59">
        <f t="shared" si="158"/>
        <v>0</v>
      </c>
      <c r="BQ130" s="87">
        <f t="shared" si="121"/>
        <v>0</v>
      </c>
      <c r="BR130" s="43">
        <f t="shared" si="122"/>
        <v>0</v>
      </c>
      <c r="BS130" s="59">
        <f t="shared" si="159"/>
        <v>0</v>
      </c>
      <c r="BT130" s="42">
        <f>'[1]побудинковий звіт'!BT130+'[2]побудинковий звіт'!BT130-'[3]побудинковий звіт'!BT130</f>
        <v>0</v>
      </c>
      <c r="BU130" s="42">
        <f>'[1]побудинковий звіт'!BU130+'[2]побудинковий звіт'!BU130-'[3]побудинковий звіт'!BU130</f>
        <v>0</v>
      </c>
      <c r="BV130" s="56">
        <f t="shared" si="137"/>
        <v>0</v>
      </c>
      <c r="BW130" s="42">
        <f>'[1]побудинковий звіт'!BW130+'[2]побудинковий звіт'!BW130-'[3]побудинковий звіт'!BW130</f>
        <v>0</v>
      </c>
      <c r="BX130" s="42">
        <f>'[1]побудинковий звіт'!BX130+'[2]побудинковий звіт'!BX130-'[3]побудинковий звіт'!BX130</f>
        <v>4.5775315479003451</v>
      </c>
      <c r="BY130" s="56">
        <f t="shared" si="138"/>
        <v>4.5775315479003451</v>
      </c>
      <c r="BZ130" s="42">
        <f>'[1]побудинковий звіт'!BZ130+'[2]побудинковий звіт'!BZ130-'[3]побудинковий звіт'!BZ130</f>
        <v>0</v>
      </c>
      <c r="CA130" s="42">
        <f>'[1]побудинковий звіт'!CA130+'[2]побудинковий звіт'!CA130-'[3]побудинковий звіт'!CA130</f>
        <v>0</v>
      </c>
      <c r="CB130" s="56">
        <f t="shared" si="139"/>
        <v>0</v>
      </c>
      <c r="CC130" s="42">
        <f>'[1]побудинковий звіт'!CC130+'[2]побудинковий звіт'!CC130-'[3]побудинковий звіт'!CC130</f>
        <v>0</v>
      </c>
      <c r="CD130" s="42">
        <f>'[1]побудинковий звіт'!CD130+'[2]побудинковий звіт'!CD130-'[3]побудинковий звіт'!CD130</f>
        <v>0</v>
      </c>
      <c r="CE130" s="56">
        <f t="shared" si="140"/>
        <v>0</v>
      </c>
      <c r="CF130" s="42">
        <f>'[1]побудинковий звіт'!CF130+'[2]побудинковий звіт'!CF130-'[3]побудинковий звіт'!CF130</f>
        <v>0</v>
      </c>
      <c r="CG130" s="42">
        <f>'[1]побудинковий звіт'!CG130+'[2]побудинковий звіт'!CG130-'[3]побудинковий звіт'!CG130</f>
        <v>0</v>
      </c>
      <c r="CH130" s="56">
        <f t="shared" si="141"/>
        <v>0</v>
      </c>
      <c r="CI130" s="42">
        <f>'[1]побудинковий звіт'!CI130+'[2]побудинковий звіт'!CI130-'[3]побудинковий звіт'!CI130</f>
        <v>0</v>
      </c>
      <c r="CJ130" s="42">
        <f>'[1]побудинковий звіт'!CJ130+'[2]побудинковий звіт'!CJ130-'[3]побудинковий звіт'!CJ130</f>
        <v>0</v>
      </c>
      <c r="CK130" s="56">
        <f t="shared" si="142"/>
        <v>0</v>
      </c>
      <c r="CL130" s="42">
        <f>'[1]побудинковий звіт'!CL130+'[2]побудинковий звіт'!CL130-'[3]побудинковий звіт'!CL130</f>
        <v>0</v>
      </c>
      <c r="CM130" s="42">
        <f>'[1]побудинковий звіт'!CM130+'[2]побудинковий звіт'!CM130-'[3]побудинковий звіт'!CM130</f>
        <v>0</v>
      </c>
      <c r="CN130" s="56">
        <f t="shared" si="143"/>
        <v>0</v>
      </c>
      <c r="CO130" s="42">
        <f t="shared" si="123"/>
        <v>0</v>
      </c>
      <c r="CP130" s="43">
        <f t="shared" si="144"/>
        <v>0</v>
      </c>
      <c r="CQ130" s="56">
        <f t="shared" si="145"/>
        <v>0</v>
      </c>
      <c r="CR130" s="78">
        <f t="shared" si="124"/>
        <v>2233.2015013952378</v>
      </c>
      <c r="CS130" s="5">
        <f t="shared" si="124"/>
        <v>169.30493477148576</v>
      </c>
      <c r="CT130" s="56">
        <f t="shared" si="146"/>
        <v>-2063.8965666237518</v>
      </c>
      <c r="CU130" s="87">
        <f t="shared" si="147"/>
        <v>2679.8418016742853</v>
      </c>
      <c r="CV130" s="70">
        <f t="shared" si="148"/>
        <v>203.16592172578291</v>
      </c>
      <c r="CW130" s="37">
        <f t="shared" si="149"/>
        <v>-2476.6758799485024</v>
      </c>
      <c r="CX130" s="42">
        <f>'[1]побудинковий звіт'!CX130+'[2]побудинковий звіт'!CX130-'[3]побудинковий звіт'!CX130</f>
        <v>-1.801674285388799E-3</v>
      </c>
      <c r="CY130" s="42">
        <f>'[1]побудинковий звіт'!CY130+'[2]побудинковий звіт'!CY130-'[3]побудинковий звіт'!CY130</f>
        <v>2476.6740782742172</v>
      </c>
      <c r="CZ130" s="56">
        <f t="shared" si="150"/>
        <v>2476.6758799485024</v>
      </c>
      <c r="DA130" s="264">
        <f>'[4]побудинковий звіт'!DA130</f>
        <v>-6033.4576811071383</v>
      </c>
      <c r="DB130" s="2">
        <v>3</v>
      </c>
      <c r="DC130" s="717">
        <f>'[4]побудинковий звіт'!DC130</f>
        <v>276.83999999999997</v>
      </c>
      <c r="DD130" s="717">
        <f>'[4]побудинковий звіт'!DD130</f>
        <v>0</v>
      </c>
      <c r="DE130" s="717">
        <f>'[4]побудинковий звіт'!DE130</f>
        <v>53.519999999999982</v>
      </c>
      <c r="DF130" s="717">
        <f>'[4]побудинковий звіт'!DF130</f>
        <v>0</v>
      </c>
      <c r="DG130" s="787">
        <v>-2638.9047531913716</v>
      </c>
      <c r="DH130" s="761">
        <f t="shared" si="109"/>
        <v>32158.080000000002</v>
      </c>
      <c r="DI130" s="784"/>
      <c r="DJ130" s="5"/>
      <c r="DK130" s="317">
        <f>VLOOKUP($A130,ціни!$A$4:$G$401,5)</f>
        <v>1.5715703739586471</v>
      </c>
      <c r="DL130" s="317"/>
      <c r="DM130" s="317">
        <f>VLOOKUP($A130,ціни!$A$4:$G$401,7)</f>
        <v>1.5715703739586471</v>
      </c>
      <c r="DN130" s="30">
        <f>F130*DK130</f>
        <v>307.39916514631136</v>
      </c>
      <c r="DO130" s="30">
        <f>H130*DM130</f>
        <v>0</v>
      </c>
      <c r="DP130" s="316">
        <f t="shared" si="162"/>
        <v>307.39916514631136</v>
      </c>
      <c r="DQ130" s="104"/>
      <c r="DR130" s="30">
        <f>VLOOKUP(A130,'ДЗ нас '!$A$1:$C$359,2)</f>
        <v>223.32</v>
      </c>
      <c r="DS130" s="748"/>
      <c r="DT130" s="30">
        <f t="shared" si="163"/>
        <v>223.32</v>
      </c>
      <c r="DU130" s="257">
        <f>VLOOKUP(A130,'новий кошторис с 01.06'!$A$4:$AI$399,35)*1.2</f>
        <v>223.32015013952378</v>
      </c>
      <c r="DV130" s="30">
        <f t="shared" si="164"/>
        <v>-1.5013952378239992E-4</v>
      </c>
      <c r="DW130" s="930">
        <f>'[5]побудинковий звіт'!DW130+'[6]побудинковий звіт'!DW130</f>
        <v>0</v>
      </c>
      <c r="DY130" s="5">
        <f t="shared" si="104"/>
        <v>2225.2733330853334</v>
      </c>
      <c r="DZ130" s="5">
        <f t="shared" si="105"/>
        <v>0</v>
      </c>
      <c r="EA130" s="752">
        <f t="shared" si="110"/>
        <v>53.519999999999982</v>
      </c>
      <c r="EC130" s="592">
        <f t="shared" si="106"/>
        <v>22252.733330853334</v>
      </c>
      <c r="EE130" s="758">
        <v>-1938</v>
      </c>
      <c r="EF130" s="738">
        <f t="shared" si="107"/>
        <v>-4576.9047531913711</v>
      </c>
      <c r="EH130" s="813">
        <v>-3889.1520108853724</v>
      </c>
    </row>
    <row r="131" spans="1:138" x14ac:dyDescent="0.3">
      <c r="A131" s="328">
        <v>150000648</v>
      </c>
      <c r="B131" s="44" t="s">
        <v>582</v>
      </c>
      <c r="C131" s="45" t="s">
        <v>361</v>
      </c>
      <c r="D131" s="45" t="s">
        <v>361</v>
      </c>
      <c r="E131" s="40">
        <f t="shared" si="108"/>
        <v>196.35</v>
      </c>
      <c r="F131" s="490">
        <v>196.35</v>
      </c>
      <c r="G131" s="30">
        <v>314.8</v>
      </c>
      <c r="H131" s="30">
        <v>0</v>
      </c>
      <c r="I131" s="42">
        <f>'[1]побудинковий звіт'!I131+'[2]побудинковий звіт'!I131-'[3]побудинковий звіт'!I131</f>
        <v>8580.206845254168</v>
      </c>
      <c r="J131" s="42">
        <f>'[1]побудинковий звіт'!J131+'[2]побудинковий звіт'!J131-'[3]побудинковий звіт'!J131</f>
        <v>7923.077379895085</v>
      </c>
      <c r="K131" s="56">
        <f t="shared" si="125"/>
        <v>-657.12946535908304</v>
      </c>
      <c r="L131" s="42">
        <f>'[1]побудинковий звіт'!L131+'[2]побудинковий звіт'!L131-'[3]побудинковий звіт'!L131</f>
        <v>1388.9396354871324</v>
      </c>
      <c r="M131" s="42">
        <f>'[1]побудинковий звіт'!M131+'[2]побудинковий звіт'!M131-'[3]побудинковий звіт'!M131</f>
        <v>1329.9456221571963</v>
      </c>
      <c r="N131" s="56">
        <f t="shared" si="126"/>
        <v>-58.994013329936024</v>
      </c>
      <c r="O131" s="42">
        <f>'[1]побудинковий звіт'!O131+'[2]побудинковий звіт'!O131-'[3]побудинковий звіт'!O131</f>
        <v>4920.3599999999988</v>
      </c>
      <c r="P131" s="42">
        <f>'[1]побудинковий звіт'!P131+'[2]побудинковий звіт'!P131-'[3]побудинковий звіт'!P131</f>
        <v>4921.32</v>
      </c>
      <c r="Q131" s="56">
        <f t="shared" si="127"/>
        <v>0.96000000000094587</v>
      </c>
      <c r="R131" s="42">
        <f>'[1]побудинковий звіт'!R131+'[2]побудинковий звіт'!R131-'[3]побудинковий звіт'!R131</f>
        <v>1167.8399999999997</v>
      </c>
      <c r="S131" s="42">
        <f>'[1]побудинковий звіт'!S131+'[2]побудинковий звіт'!S131-'[3]побудинковий звіт'!S131</f>
        <v>1167.3599999999999</v>
      </c>
      <c r="T131" s="56">
        <f t="shared" si="128"/>
        <v>-0.47999999999979082</v>
      </c>
      <c r="U131" s="42">
        <f>'[1]побудинковий звіт'!U131+'[2]побудинковий звіт'!U131-'[3]побудинковий звіт'!U131</f>
        <v>390.17454427986797</v>
      </c>
      <c r="V131" s="42">
        <f>'[1]побудинковий звіт'!V131+'[2]побудинковий звіт'!V131-'[3]побудинковий звіт'!V131</f>
        <v>264.93586714639923</v>
      </c>
      <c r="W131" s="56">
        <f t="shared" si="129"/>
        <v>-125.23867713346874</v>
      </c>
      <c r="X131" s="42">
        <f>'[1]побудинковий звіт'!X131+'[2]побудинковий звіт'!X131-'[3]побудинковий звіт'!X131</f>
        <v>3925.5419960890149</v>
      </c>
      <c r="Y131" s="42">
        <f>'[1]побудинковий звіт'!Y131+'[2]побудинковий звіт'!Y131-'[3]побудинковий звіт'!Y131</f>
        <v>5467.8909235462052</v>
      </c>
      <c r="Z131" s="56">
        <f t="shared" si="130"/>
        <v>1542.3489274571903</v>
      </c>
      <c r="AA131" s="42">
        <f>'[1]побудинковий звіт'!AA131+'[2]побудинковий звіт'!AA131-'[3]побудинковий звіт'!AA131</f>
        <v>0</v>
      </c>
      <c r="AB131" s="42">
        <f>'[1]побудинковий звіт'!AB131+'[2]побудинковий звіт'!AB131-'[3]побудинковий звіт'!AB131</f>
        <v>0</v>
      </c>
      <c r="AC131" s="56">
        <f t="shared" si="131"/>
        <v>0</v>
      </c>
      <c r="AD131" s="42">
        <f>'[1]побудинковий звіт'!AD131+'[2]побудинковий звіт'!AD131-'[3]побудинковий звіт'!AD131</f>
        <v>16312.297299173357</v>
      </c>
      <c r="AE131" s="42">
        <f>'[1]побудинковий звіт'!AE131+'[2]побудинковий звіт'!AE131-'[3]побудинковий звіт'!AE131</f>
        <v>15036.336609460546</v>
      </c>
      <c r="AF131" s="37">
        <f t="shared" si="132"/>
        <v>-1275.9606897128106</v>
      </c>
      <c r="AG131" s="87">
        <f t="shared" si="120"/>
        <v>36685.360320283537</v>
      </c>
      <c r="AH131" s="57">
        <f t="shared" si="120"/>
        <v>36110.866402205429</v>
      </c>
      <c r="AI131" s="56">
        <f t="shared" si="133"/>
        <v>-574.49391807810753</v>
      </c>
      <c r="AJ131" s="42">
        <f>'[1]побудинковий звіт'!AJ131+'[2]побудинковий звіт'!AJ131-'[3]побудинковий звіт'!AJ131</f>
        <v>14978.432129831193</v>
      </c>
      <c r="AK131" s="42">
        <f>'[1]побудинковий звіт'!AK131+'[2]побудинковий звіт'!AK131-'[3]побудинковий звіт'!AK131</f>
        <v>14846.676065502113</v>
      </c>
      <c r="AL131" s="56">
        <f t="shared" si="134"/>
        <v>-131.75606432907989</v>
      </c>
      <c r="AM131" s="42">
        <f>'[1]побудинковий звіт'!AM131+'[2]побудинковий звіт'!AM131-'[3]побудинковий звіт'!AM131</f>
        <v>0</v>
      </c>
      <c r="AN131" s="42">
        <f>'[1]побудинковий звіт'!AN131+'[2]побудинковий звіт'!AN131-'[3]побудинковий звіт'!AN131</f>
        <v>0</v>
      </c>
      <c r="AO131" s="56">
        <f t="shared" si="135"/>
        <v>0</v>
      </c>
      <c r="AP131" s="42">
        <f>'[1]побудинковий звіт'!AP131+'[2]побудинковий звіт'!AP131-'[3]побудинковий звіт'!AP131</f>
        <v>2130.7896965107125</v>
      </c>
      <c r="AQ131" s="42">
        <f>'[1]побудинковий звіт'!AQ131+'[2]побудинковий звіт'!AQ131-'[3]побудинковий звіт'!AQ131</f>
        <v>2015.2418649468473</v>
      </c>
      <c r="AR131" s="56">
        <f t="shared" si="136"/>
        <v>-115.5478315638652</v>
      </c>
      <c r="AS131" s="42">
        <f>'[1]побудинковий звіт'!AS131+'[2]побудинковий звіт'!AS131-'[3]побудинковий звіт'!AS131</f>
        <v>49130.208966203034</v>
      </c>
      <c r="AT131" s="42">
        <f>'[1]побудинковий звіт'!AT131+'[2]побудинковий звіт'!AT131-'[3]побудинковий звіт'!AT131</f>
        <v>60836</v>
      </c>
      <c r="AU131" s="58">
        <f t="shared" si="151"/>
        <v>11705.791033796966</v>
      </c>
      <c r="AV131" s="42">
        <f>'[1]побудинковий звіт'!AV131+'[2]побудинковий звіт'!AV131-'[3]побудинковий звіт'!AV131</f>
        <v>749.97295389459441</v>
      </c>
      <c r="AW131" s="42">
        <f>'[1]побудинковий звіт'!AW131+'[2]побудинковий звіт'!AW131-'[3]побудинковий звіт'!AW131</f>
        <v>368</v>
      </c>
      <c r="AX131" s="59">
        <f t="shared" si="152"/>
        <v>-381.97295389459441</v>
      </c>
      <c r="AY131" s="42">
        <f>'[1]побудинковий звіт'!AY131+'[2]побудинковий звіт'!AY131-'[3]побудинковий звіт'!AY131</f>
        <v>918.14046628767005</v>
      </c>
      <c r="AZ131" s="42">
        <f>'[1]побудинковий звіт'!AZ131+'[2]побудинковий звіт'!AZ131-'[3]побудинковий звіт'!AZ131</f>
        <v>0</v>
      </c>
      <c r="BA131" s="37">
        <f t="shared" si="153"/>
        <v>-918.14046628767005</v>
      </c>
      <c r="BB131" s="42">
        <f>'[1]побудинковий звіт'!BB131+'[2]побудинковий звіт'!BB131-'[3]побудинковий звіт'!BB131</f>
        <v>2015.3764471703334</v>
      </c>
      <c r="BC131" s="42">
        <f>'[1]побудинковий звіт'!BC131+'[2]побудинковий звіт'!BC131-'[3]побудинковий звіт'!BC131</f>
        <v>0</v>
      </c>
      <c r="BD131" s="59">
        <f t="shared" si="154"/>
        <v>-2015.3764471703334</v>
      </c>
      <c r="BE131" s="42">
        <f>'[1]побудинковий звіт'!BE131+'[2]побудинковий звіт'!BE131-'[3]побудинковий звіт'!BE131</f>
        <v>669.55845203206354</v>
      </c>
      <c r="BF131" s="42">
        <f>'[1]побудинковий звіт'!BF131+'[2]побудинковий звіт'!BF131-'[3]побудинковий звіт'!BF131</f>
        <v>0</v>
      </c>
      <c r="BG131" s="39">
        <f t="shared" si="155"/>
        <v>-669.55845203206354</v>
      </c>
      <c r="BH131" s="42">
        <f>'[1]побудинковий звіт'!BH131+'[2]побудинковий звіт'!BH131-'[3]побудинковий звіт'!BH131</f>
        <v>197.88370594614832</v>
      </c>
      <c r="BI131" s="42">
        <f>'[1]побудинковий звіт'!BI131+'[2]побудинковий звіт'!BI131-'[3]побудинковий звіт'!BI131</f>
        <v>0</v>
      </c>
      <c r="BJ131" s="59">
        <f t="shared" si="156"/>
        <v>-197.88370594614832</v>
      </c>
      <c r="BK131" s="42">
        <f>'[1]побудинковий звіт'!BK131+'[2]побудинковий звіт'!BK131-'[3]побудинковий звіт'!BK131</f>
        <v>260.28476034010987</v>
      </c>
      <c r="BL131" s="42">
        <f>'[1]побудинковий звіт'!BL131+'[2]побудинковий звіт'!BL131-'[3]побудинковий звіт'!BL131</f>
        <v>0</v>
      </c>
      <c r="BM131" s="39">
        <f t="shared" si="157"/>
        <v>-260.28476034010987</v>
      </c>
      <c r="BN131" s="42">
        <f>'[1]побудинковий звіт'!BN131+'[2]побудинковий звіт'!BN131-'[3]побудинковий звіт'!BN131</f>
        <v>0</v>
      </c>
      <c r="BO131" s="42">
        <f>'[1]побудинковий звіт'!BO131+'[2]побудинковий звіт'!BO131-'[3]побудинковий звіт'!BO131</f>
        <v>0</v>
      </c>
      <c r="BP131" s="59">
        <f t="shared" si="158"/>
        <v>0</v>
      </c>
      <c r="BQ131" s="87">
        <f t="shared" si="121"/>
        <v>4811.2167856709193</v>
      </c>
      <c r="BR131" s="43">
        <f t="shared" si="122"/>
        <v>368</v>
      </c>
      <c r="BS131" s="59">
        <f t="shared" si="159"/>
        <v>-4443.2167856709193</v>
      </c>
      <c r="BT131" s="42">
        <f>'[1]побудинковий звіт'!BT131+'[2]побудинковий звіт'!BT131-'[3]побудинковий звіт'!BT131</f>
        <v>28670.996727443708</v>
      </c>
      <c r="BU131" s="42">
        <f>'[1]побудинковий звіт'!BU131+'[2]побудинковий звіт'!BU131-'[3]побудинковий звіт'!BU131</f>
        <v>29572.748377973548</v>
      </c>
      <c r="BV131" s="56">
        <f t="shared" si="137"/>
        <v>901.75165052984084</v>
      </c>
      <c r="BW131" s="42">
        <f>'[1]побудинковий звіт'!BW131+'[2]побудинковий звіт'!BW131-'[3]побудинковий звіт'!BW131</f>
        <v>30550.691602395284</v>
      </c>
      <c r="BX131" s="42">
        <f>'[1]побудинковий звіт'!BX131+'[2]побудинковий звіт'!BX131-'[3]побудинковий звіт'!BX131</f>
        <v>31130.518662257407</v>
      </c>
      <c r="BY131" s="56">
        <f t="shared" si="138"/>
        <v>579.82705986212386</v>
      </c>
      <c r="BZ131" s="42">
        <f>'[1]побудинковий звіт'!BZ131+'[2]побудинковий звіт'!BZ131-'[3]побудинковий звіт'!BZ131</f>
        <v>2316.0075878796406</v>
      </c>
      <c r="CA131" s="42">
        <f>'[1]побудинковий звіт'!CA131+'[2]побудинковий звіт'!CA131-'[3]побудинковий звіт'!CA131</f>
        <v>6566.3704541101206</v>
      </c>
      <c r="CB131" s="56">
        <f t="shared" si="139"/>
        <v>4250.36286623048</v>
      </c>
      <c r="CC131" s="42">
        <f>'[1]побудинковий звіт'!CC131+'[2]побудинковий звіт'!CC131-'[3]побудинковий звіт'!CC131</f>
        <v>1348.5976890166935</v>
      </c>
      <c r="CD131" s="42">
        <f>'[1]побудинковий звіт'!CD131+'[2]побудинковий звіт'!CD131-'[3]побудинковий звіт'!CD131</f>
        <v>1336.736391065597</v>
      </c>
      <c r="CE131" s="56">
        <f t="shared" si="140"/>
        <v>-11.861297951096503</v>
      </c>
      <c r="CF131" s="42">
        <f>'[1]побудинковий звіт'!CF131+'[2]побудинковий звіт'!CF131-'[3]побудинковий звіт'!CF131</f>
        <v>166.02054883728238</v>
      </c>
      <c r="CG131" s="42">
        <f>'[1]побудинковий звіт'!CG131+'[2]побудинковий звіт'!CG131-'[3]побудинковий звіт'!CG131</f>
        <v>0</v>
      </c>
      <c r="CH131" s="56">
        <f t="shared" si="141"/>
        <v>-166.02054883728238</v>
      </c>
      <c r="CI131" s="42">
        <f>'[1]побудинковий звіт'!CI131+'[2]побудинковий звіт'!CI131-'[3]побудинковий звіт'!CI131</f>
        <v>3518.8947333121209</v>
      </c>
      <c r="CJ131" s="42">
        <f>'[1]побудинковий звіт'!CJ131+'[2]побудинковий звіт'!CJ131-'[3]побудинковий звіт'!CJ131</f>
        <v>2495.8439957306477</v>
      </c>
      <c r="CK131" s="56">
        <f t="shared" si="142"/>
        <v>-1023.0507375814732</v>
      </c>
      <c r="CL131" s="42">
        <f>'[1]побудинковий звіт'!CL131+'[2]побудинковий звіт'!CL131-'[3]побудинковий звіт'!CL131</f>
        <v>3406.5895822489674</v>
      </c>
      <c r="CM131" s="42">
        <f>'[1]побудинковий звіт'!CM131+'[2]побудинковий звіт'!CM131-'[3]побудинковий звіт'!CM131</f>
        <v>2083.3912987847098</v>
      </c>
      <c r="CN131" s="56">
        <f t="shared" si="143"/>
        <v>-1323.1982834642577</v>
      </c>
      <c r="CO131" s="42">
        <f t="shared" si="123"/>
        <v>6925.4843155610888</v>
      </c>
      <c r="CP131" s="43">
        <f t="shared" si="144"/>
        <v>4579.235294515358</v>
      </c>
      <c r="CQ131" s="56">
        <f t="shared" si="145"/>
        <v>-2346.2490210457308</v>
      </c>
      <c r="CR131" s="78">
        <f t="shared" si="124"/>
        <v>177713.80636963309</v>
      </c>
      <c r="CS131" s="5">
        <f t="shared" si="124"/>
        <v>187362.39351257641</v>
      </c>
      <c r="CT131" s="56">
        <f t="shared" si="146"/>
        <v>9648.5871429433173</v>
      </c>
      <c r="CU131" s="87">
        <f t="shared" si="147"/>
        <v>213256.56764355971</v>
      </c>
      <c r="CV131" s="70">
        <f t="shared" si="148"/>
        <v>224834.87221509169</v>
      </c>
      <c r="CW131" s="37">
        <f t="shared" si="149"/>
        <v>11578.304571531975</v>
      </c>
      <c r="CX131" s="42">
        <f>'[1]побудинковий звіт'!CX131+'[2]побудинковий звіт'!CX131-'[3]побудинковий звіт'!CX131</f>
        <v>3460.1923564402823</v>
      </c>
      <c r="CY131" s="42">
        <f>'[1]побудинковий звіт'!CY131+'[2]побудинковий звіт'!CY131-'[3]побудинковий звіт'!CY131</f>
        <v>-8118.112215091709</v>
      </c>
      <c r="CZ131" s="56">
        <f t="shared" si="150"/>
        <v>-11578.304571531991</v>
      </c>
      <c r="DA131" s="264">
        <f>'[4]побудинковий звіт'!DA131</f>
        <v>8396.1531028750651</v>
      </c>
      <c r="DB131" s="2">
        <v>3</v>
      </c>
      <c r="DC131" s="717">
        <f>'[4]побудинковий звіт'!DC131</f>
        <v>27316.29</v>
      </c>
      <c r="DD131" s="717">
        <f>'[4]побудинковий звіт'!DD131</f>
        <v>0</v>
      </c>
      <c r="DE131" s="717">
        <f>'[4]побудинковий звіт'!DE131</f>
        <v>9252.4200000000019</v>
      </c>
      <c r="DF131" s="717">
        <f>'[4]побудинковий звіт'!DF131</f>
        <v>0</v>
      </c>
      <c r="DG131" s="787">
        <v>9903.0440428702859</v>
      </c>
      <c r="DH131" s="761">
        <f t="shared" si="109"/>
        <v>2600601.12</v>
      </c>
      <c r="DI131" s="784"/>
      <c r="DJ131" s="5"/>
      <c r="DK131" s="317">
        <f>VLOOKUP($A131,ціни!$A$4:$G$401,5)</f>
        <v>4.2390227110725087</v>
      </c>
      <c r="DL131" s="317">
        <f>VLOOKUP($A131,ціни!$A$4:$G$401,6)</f>
        <v>4.7721578758562746</v>
      </c>
      <c r="DM131" s="317">
        <f>VLOOKUP($A131,ціни!$A$4:$G$401,7)</f>
        <v>3.4077530996326342</v>
      </c>
      <c r="DN131" s="30">
        <f>DK131*G131+(F131-G131)*DL131</f>
        <v>769.18224905045008</v>
      </c>
      <c r="DO131" s="30">
        <f>DM131*H131</f>
        <v>0</v>
      </c>
      <c r="DP131" s="316">
        <f t="shared" si="162"/>
        <v>769.18224905045008</v>
      </c>
      <c r="DQ131" s="104"/>
      <c r="DR131" s="30">
        <f>VLOOKUP(A131,'ДЗ нас '!$A$1:$C$359,2)</f>
        <v>18063.87</v>
      </c>
      <c r="DS131" s="748"/>
      <c r="DT131" s="30">
        <f t="shared" si="163"/>
        <v>18063.87</v>
      </c>
      <c r="DU131" s="257">
        <f>VLOOKUP(A131,'новий кошторис с 01.06'!$A$4:$AI$399,35)*1.2</f>
        <v>18091.265488428649</v>
      </c>
      <c r="DV131" s="30">
        <f t="shared" si="164"/>
        <v>-27.395488428650424</v>
      </c>
      <c r="DW131" s="930">
        <f>'[5]побудинковий звіт'!DW131+'[6]побудинковий звіт'!DW131</f>
        <v>202</v>
      </c>
      <c r="DY131" s="5">
        <f t="shared" si="104"/>
        <v>64729.710902248742</v>
      </c>
      <c r="DZ131" s="5">
        <f t="shared" si="105"/>
        <v>73444.800000000003</v>
      </c>
      <c r="EA131" s="752">
        <f t="shared" si="110"/>
        <v>9252.4200000000019</v>
      </c>
      <c r="EC131" s="592">
        <f t="shared" si="106"/>
        <v>589562.50759443641</v>
      </c>
      <c r="EE131" s="758">
        <v>-77938</v>
      </c>
      <c r="EF131" s="738">
        <f t="shared" si="107"/>
        <v>-68034.955957129714</v>
      </c>
      <c r="EH131" s="813">
        <v>-17727.384390169969</v>
      </c>
    </row>
    <row r="132" spans="1:138" x14ac:dyDescent="0.3">
      <c r="A132" s="328">
        <v>150000686</v>
      </c>
      <c r="B132" s="44" t="s">
        <v>584</v>
      </c>
      <c r="C132" s="45" t="s">
        <v>97</v>
      </c>
      <c r="D132" s="45" t="s">
        <v>97</v>
      </c>
      <c r="E132" s="40">
        <f t="shared" si="108"/>
        <v>3175.8</v>
      </c>
      <c r="F132" s="490">
        <v>3175.8</v>
      </c>
      <c r="G132" s="30"/>
      <c r="H132" s="30">
        <v>0</v>
      </c>
      <c r="I132" s="42">
        <f>'[1]побудинковий звіт'!I132+'[2]побудинковий звіт'!I132-'[3]побудинковий звіт'!I132</f>
        <v>0</v>
      </c>
      <c r="J132" s="42">
        <f>'[1]побудинковий звіт'!J132+'[2]побудинковий звіт'!J132-'[3]побудинковий звіт'!J132</f>
        <v>0</v>
      </c>
      <c r="K132" s="56">
        <f t="shared" si="125"/>
        <v>0</v>
      </c>
      <c r="L132" s="42">
        <f>'[1]побудинковий звіт'!L132+'[2]побудинковий звіт'!L132-'[3]побудинковий звіт'!L132</f>
        <v>0</v>
      </c>
      <c r="M132" s="42">
        <f>'[1]побудинковий звіт'!M132+'[2]побудинковий звіт'!M132-'[3]побудинковий звіт'!M132</f>
        <v>0</v>
      </c>
      <c r="N132" s="56">
        <f t="shared" si="126"/>
        <v>0</v>
      </c>
      <c r="O132" s="42">
        <f>'[1]побудинковий звіт'!O132+'[2]побудинковий звіт'!O132-'[3]побудинковий звіт'!O132</f>
        <v>0</v>
      </c>
      <c r="P132" s="42">
        <f>'[1]побудинковий звіт'!P132+'[2]побудинковий звіт'!P132-'[3]побудинковий звіт'!P132</f>
        <v>0</v>
      </c>
      <c r="Q132" s="56">
        <f t="shared" si="127"/>
        <v>0</v>
      </c>
      <c r="R132" s="42">
        <f>'[1]побудинковий звіт'!R132+'[2]побудинковий звіт'!R132-'[3]побудинковий звіт'!R132</f>
        <v>0</v>
      </c>
      <c r="S132" s="42">
        <f>'[1]побудинковий звіт'!S132+'[2]побудинковий звіт'!S132-'[3]побудинковий звіт'!S132</f>
        <v>0</v>
      </c>
      <c r="T132" s="56">
        <f t="shared" si="128"/>
        <v>0</v>
      </c>
      <c r="U132" s="42">
        <f>'[1]побудинковий звіт'!U132+'[2]побудинковий звіт'!U132-'[3]побудинковий звіт'!U132</f>
        <v>0</v>
      </c>
      <c r="V132" s="42">
        <f>'[1]побудинковий звіт'!V132+'[2]побудинковий звіт'!V132-'[3]побудинковий звіт'!V132</f>
        <v>0</v>
      </c>
      <c r="W132" s="56">
        <f t="shared" si="129"/>
        <v>0</v>
      </c>
      <c r="X132" s="42">
        <f>'[1]побудинковий звіт'!X132+'[2]побудинковий звіт'!X132-'[3]побудинковий звіт'!X132</f>
        <v>0</v>
      </c>
      <c r="Y132" s="42">
        <f>'[1]побудинковий звіт'!Y132+'[2]побудинковий звіт'!Y132-'[3]побудинковий звіт'!Y132</f>
        <v>0</v>
      </c>
      <c r="Z132" s="56">
        <f t="shared" si="130"/>
        <v>0</v>
      </c>
      <c r="AA132" s="42">
        <f>'[1]побудинковий звіт'!AA132+'[2]побудинковий звіт'!AA132-'[3]побудинковий звіт'!AA132</f>
        <v>0</v>
      </c>
      <c r="AB132" s="42">
        <f>'[1]побудинковий звіт'!AB132+'[2]побудинковий звіт'!AB132-'[3]побудинковий звіт'!AB132</f>
        <v>0</v>
      </c>
      <c r="AC132" s="56">
        <f t="shared" si="131"/>
        <v>0</v>
      </c>
      <c r="AD132" s="42">
        <f>'[1]побудинковий звіт'!AD132+'[2]побудинковий звіт'!AD132-'[3]побудинковий звіт'!AD132</f>
        <v>0</v>
      </c>
      <c r="AE132" s="42">
        <f>'[1]побудинковий звіт'!AE132+'[2]побудинковий звіт'!AE132-'[3]побудинковий звіт'!AE132</f>
        <v>143.14904661362129</v>
      </c>
      <c r="AF132" s="37">
        <f t="shared" si="132"/>
        <v>143.14904661362129</v>
      </c>
      <c r="AG132" s="87">
        <f t="shared" si="120"/>
        <v>0</v>
      </c>
      <c r="AH132" s="57">
        <f t="shared" si="120"/>
        <v>143.14904661362129</v>
      </c>
      <c r="AI132" s="56">
        <f t="shared" si="133"/>
        <v>143.14904661362129</v>
      </c>
      <c r="AJ132" s="42">
        <f>'[1]побудинковий звіт'!AJ132+'[2]побудинковий звіт'!AJ132-'[3]побудинковий звіт'!AJ132</f>
        <v>0</v>
      </c>
      <c r="AK132" s="42">
        <f>'[1]побудинковий звіт'!AK132+'[2]побудинковий звіт'!AK132-'[3]побудинковий звіт'!AK132</f>
        <v>0</v>
      </c>
      <c r="AL132" s="56">
        <f t="shared" si="134"/>
        <v>0</v>
      </c>
      <c r="AM132" s="42">
        <f>'[1]побудинковий звіт'!AM132+'[2]побудинковий звіт'!AM132-'[3]побудинковий звіт'!AM132</f>
        <v>0</v>
      </c>
      <c r="AN132" s="42">
        <f>'[1]побудинковий звіт'!AN132+'[2]побудинковий звіт'!AN132-'[3]побудинковий звіт'!AN132</f>
        <v>0</v>
      </c>
      <c r="AO132" s="56">
        <f t="shared" si="135"/>
        <v>0</v>
      </c>
      <c r="AP132" s="42">
        <f>'[1]побудинковий звіт'!AP132+'[2]побудинковий звіт'!AP132-'[3]побудинковий звіт'!AP132</f>
        <v>284.10529286809492</v>
      </c>
      <c r="AQ132" s="42">
        <f>'[1]побудинковий звіт'!AQ132+'[2]побудинковий звіт'!AQ132-'[3]побудинковий звіт'!AQ132</f>
        <v>236.39769578157291</v>
      </c>
      <c r="AR132" s="56">
        <f t="shared" si="136"/>
        <v>-47.707597086522014</v>
      </c>
      <c r="AS132" s="42">
        <f>'[1]побудинковий звіт'!AS132+'[2]побудинковий звіт'!AS132-'[3]побудинковий звіт'!AS132</f>
        <v>2179.095682066808</v>
      </c>
      <c r="AT132" s="42">
        <f>'[1]побудинковий звіт'!AT132+'[2]побудинковий звіт'!AT132-'[3]побудинковий звіт'!AT132</f>
        <v>0</v>
      </c>
      <c r="AU132" s="58">
        <f t="shared" si="151"/>
        <v>-2179.095682066808</v>
      </c>
      <c r="AV132" s="42">
        <f>'[1]побудинковий звіт'!AV132+'[2]побудинковий звіт'!AV132-'[3]побудинковий звіт'!AV132</f>
        <v>0</v>
      </c>
      <c r="AW132" s="42">
        <f>'[1]побудинковий звіт'!AW132+'[2]побудинковий звіт'!AW132-'[3]побудинковий звіт'!AW132</f>
        <v>0</v>
      </c>
      <c r="AX132" s="59">
        <f t="shared" si="152"/>
        <v>0</v>
      </c>
      <c r="AY132" s="42">
        <f>'[1]побудинковий звіт'!AY132+'[2]побудинковий звіт'!AY132-'[3]побудинковий звіт'!AY132</f>
        <v>0</v>
      </c>
      <c r="AZ132" s="42">
        <f>'[1]побудинковий звіт'!AZ132+'[2]побудинковий звіт'!AZ132-'[3]побудинковий звіт'!AZ132</f>
        <v>0</v>
      </c>
      <c r="BA132" s="37">
        <f t="shared" si="153"/>
        <v>0</v>
      </c>
      <c r="BB132" s="42">
        <f>'[1]побудинковий звіт'!BB132+'[2]побудинковий звіт'!BB132-'[3]побудинковий звіт'!BB132</f>
        <v>0</v>
      </c>
      <c r="BC132" s="42">
        <f>'[1]побудинковий звіт'!BC132+'[2]побудинковий звіт'!BC132-'[3]побудинковий звіт'!BC132</f>
        <v>0</v>
      </c>
      <c r="BD132" s="59">
        <f t="shared" si="154"/>
        <v>0</v>
      </c>
      <c r="BE132" s="42">
        <f>'[1]побудинковий звіт'!BE132+'[2]побудинковий звіт'!BE132-'[3]побудинковий звіт'!BE132</f>
        <v>0</v>
      </c>
      <c r="BF132" s="42">
        <f>'[1]побудинковий звіт'!BF132+'[2]побудинковий звіт'!BF132-'[3]побудинковий звіт'!BF132</f>
        <v>0</v>
      </c>
      <c r="BG132" s="39">
        <f t="shared" si="155"/>
        <v>0</v>
      </c>
      <c r="BH132" s="42">
        <f>'[1]побудинковий звіт'!BH132+'[2]побудинковий звіт'!BH132-'[3]побудинковий звіт'!BH132</f>
        <v>0</v>
      </c>
      <c r="BI132" s="42">
        <f>'[1]побудинковий звіт'!BI132+'[2]побудинковий звіт'!BI132-'[3]побудинковий звіт'!BI132</f>
        <v>0</v>
      </c>
      <c r="BJ132" s="59">
        <f t="shared" si="156"/>
        <v>0</v>
      </c>
      <c r="BK132" s="42">
        <f>'[1]побудинковий звіт'!BK132+'[2]побудинковий звіт'!BK132-'[3]побудинковий звіт'!BK132</f>
        <v>0</v>
      </c>
      <c r="BL132" s="42">
        <f>'[1]побудинковий звіт'!BL132+'[2]побудинковий звіт'!BL132-'[3]побудинковий звіт'!BL132</f>
        <v>0</v>
      </c>
      <c r="BM132" s="39">
        <f t="shared" si="157"/>
        <v>0</v>
      </c>
      <c r="BN132" s="42">
        <f>'[1]побудинковий звіт'!BN132+'[2]побудинковий звіт'!BN132-'[3]побудинковий звіт'!BN132</f>
        <v>0</v>
      </c>
      <c r="BO132" s="42">
        <f>'[1]побудинковий звіт'!BO132+'[2]побудинковий звіт'!BO132-'[3]побудинковий звіт'!BO132</f>
        <v>0</v>
      </c>
      <c r="BP132" s="59">
        <f t="shared" si="158"/>
        <v>0</v>
      </c>
      <c r="BQ132" s="87">
        <f t="shared" si="121"/>
        <v>0</v>
      </c>
      <c r="BR132" s="43">
        <f t="shared" si="122"/>
        <v>0</v>
      </c>
      <c r="BS132" s="59">
        <f t="shared" si="159"/>
        <v>0</v>
      </c>
      <c r="BT132" s="42">
        <f>'[1]побудинковий звіт'!BT132+'[2]побудинковий звіт'!BT132-'[3]побудинковий звіт'!BT132</f>
        <v>0</v>
      </c>
      <c r="BU132" s="42">
        <f>'[1]побудинковий звіт'!BU132+'[2]побудинковий звіт'!BU132-'[3]побудинковий звіт'!BU132</f>
        <v>0</v>
      </c>
      <c r="BV132" s="56">
        <f t="shared" si="137"/>
        <v>0</v>
      </c>
      <c r="BW132" s="42">
        <f>'[1]побудинковий звіт'!BW132+'[2]побудинковий звіт'!BW132-'[3]побудинковий звіт'!BW132</f>
        <v>0</v>
      </c>
      <c r="BX132" s="42">
        <f>'[1]побудинковий звіт'!BX132+'[2]побудинковий звіт'!BX132-'[3]побудинковий звіт'!BX132</f>
        <v>6.9226708630808176</v>
      </c>
      <c r="BY132" s="56">
        <f t="shared" si="138"/>
        <v>6.9226708630808176</v>
      </c>
      <c r="BZ132" s="42">
        <f>'[1]побудинковий звіт'!BZ132+'[2]побудинковий звіт'!BZ132-'[3]побудинковий звіт'!BZ132</f>
        <v>0</v>
      </c>
      <c r="CA132" s="42">
        <f>'[1]побудинковий звіт'!CA132+'[2]побудинковий звіт'!CA132-'[3]побудинковий звіт'!CA132</f>
        <v>0</v>
      </c>
      <c r="CB132" s="56">
        <f t="shared" si="139"/>
        <v>0</v>
      </c>
      <c r="CC132" s="42">
        <f>'[1]побудинковий звіт'!CC132+'[2]побудинковий звіт'!CC132-'[3]побудинковий звіт'!CC132</f>
        <v>0</v>
      </c>
      <c r="CD132" s="42">
        <f>'[1]побудинковий звіт'!CD132+'[2]побудинковий звіт'!CD132-'[3]побудинковий звіт'!CD132</f>
        <v>0</v>
      </c>
      <c r="CE132" s="56">
        <f t="shared" si="140"/>
        <v>0</v>
      </c>
      <c r="CF132" s="42">
        <f>'[1]побудинковий звіт'!CF132+'[2]побудинковий звіт'!CF132-'[3]побудинковий звіт'!CF132</f>
        <v>0</v>
      </c>
      <c r="CG132" s="42">
        <f>'[1]побудинковий звіт'!CG132+'[2]побудинковий звіт'!CG132-'[3]побудинковий звіт'!CG132</f>
        <v>0</v>
      </c>
      <c r="CH132" s="56">
        <f t="shared" si="141"/>
        <v>0</v>
      </c>
      <c r="CI132" s="42">
        <f>'[1]побудинковий звіт'!CI132+'[2]побудинковий звіт'!CI132-'[3]побудинковий звіт'!CI132</f>
        <v>0</v>
      </c>
      <c r="CJ132" s="42">
        <f>'[1]побудинковий звіт'!CJ132+'[2]побудинковий звіт'!CJ132-'[3]побудинковий звіт'!CJ132</f>
        <v>0</v>
      </c>
      <c r="CK132" s="56">
        <f t="shared" si="142"/>
        <v>0</v>
      </c>
      <c r="CL132" s="42">
        <f>'[1]побудинковий звіт'!CL132+'[2]побудинковий звіт'!CL132-'[3]побудинковий звіт'!CL132</f>
        <v>0</v>
      </c>
      <c r="CM132" s="42">
        <f>'[1]побудинковий звіт'!CM132+'[2]побудинковий звіт'!CM132-'[3]побудинковий звіт'!CM132</f>
        <v>0</v>
      </c>
      <c r="CN132" s="56">
        <f t="shared" si="143"/>
        <v>0</v>
      </c>
      <c r="CO132" s="42">
        <f t="shared" si="123"/>
        <v>0</v>
      </c>
      <c r="CP132" s="43">
        <f t="shared" si="144"/>
        <v>0</v>
      </c>
      <c r="CQ132" s="56">
        <f t="shared" si="145"/>
        <v>0</v>
      </c>
      <c r="CR132" s="78">
        <f t="shared" si="124"/>
        <v>2463.2009749349027</v>
      </c>
      <c r="CS132" s="5">
        <f t="shared" si="124"/>
        <v>386.46941325827504</v>
      </c>
      <c r="CT132" s="56">
        <f t="shared" si="146"/>
        <v>-2076.7315616766277</v>
      </c>
      <c r="CU132" s="87">
        <f t="shared" si="147"/>
        <v>2955.8411699218832</v>
      </c>
      <c r="CV132" s="70">
        <f t="shared" si="148"/>
        <v>463.76329590993004</v>
      </c>
      <c r="CW132" s="37">
        <f t="shared" si="149"/>
        <v>-2492.0778740119531</v>
      </c>
      <c r="CX132" s="42">
        <f>'[1]побудинковий звіт'!CX132+'[2]побудинковий звіт'!CX132-'[3]побудинковий звіт'!CX132</f>
        <v>58.918830078116684</v>
      </c>
      <c r="CY132" s="42">
        <f>'[1]побудинковий звіт'!CY132+'[2]побудинковий звіт'!CY132-'[3]побудинковий звіт'!CY132</f>
        <v>2550.9967040900701</v>
      </c>
      <c r="CZ132" s="56">
        <f t="shared" si="150"/>
        <v>2492.0778740119536</v>
      </c>
      <c r="DA132" s="264">
        <f>'[4]побудинковий звіт'!DA132</f>
        <v>-5712.4389192670787</v>
      </c>
      <c r="DB132" s="2">
        <v>3</v>
      </c>
      <c r="DC132" s="717">
        <f>'[4]побудинковий звіт'!DC132</f>
        <v>251.23</v>
      </c>
      <c r="DD132" s="717">
        <f>'[4]побудинковий звіт'!DD132</f>
        <v>0</v>
      </c>
      <c r="DE132" s="717">
        <f>'[4]побудинковий звіт'!DE132</f>
        <v>0</v>
      </c>
      <c r="DF132" s="717">
        <f>'[4]побудинковий звіт'!DF132</f>
        <v>0</v>
      </c>
      <c r="DG132" s="787">
        <v>-2701.7622144670941</v>
      </c>
      <c r="DH132" s="761">
        <f t="shared" si="109"/>
        <v>36177.119999999995</v>
      </c>
      <c r="DI132" s="784"/>
      <c r="DJ132" s="5"/>
      <c r="DK132" s="317">
        <f>VLOOKUP($A132,ціни!$A$4:$G$401,5)</f>
        <v>1.1691321519002329</v>
      </c>
      <c r="DL132" s="317"/>
      <c r="DM132" s="317">
        <f>VLOOKUP($A132,ціни!$A$4:$G$401,7)</f>
        <v>1.1691321519002329</v>
      </c>
      <c r="DN132" s="30">
        <f>F132*DK132</f>
        <v>3712.92988800476</v>
      </c>
      <c r="DO132" s="30">
        <f>H132*DM132</f>
        <v>0</v>
      </c>
      <c r="DP132" s="316">
        <f t="shared" si="162"/>
        <v>3712.92988800476</v>
      </c>
      <c r="DQ132" s="104"/>
      <c r="DR132" s="30">
        <f>VLOOKUP(A132,'ДЗ нас '!$A$1:$C$359,2)</f>
        <v>251.23</v>
      </c>
      <c r="DS132" s="748"/>
      <c r="DT132" s="30">
        <f t="shared" si="163"/>
        <v>251.23</v>
      </c>
      <c r="DU132" s="257">
        <f>VLOOKUP(A132,'новий кошторис с 01.06'!$A$4:$AI$399,35)*1.2</f>
        <v>252.23177983333406</v>
      </c>
      <c r="DV132" s="30">
        <f t="shared" si="164"/>
        <v>-1.0017798333340693</v>
      </c>
      <c r="DW132" s="930">
        <f>'[5]побудинковий звіт'!DW132+'[6]побудинковий звіт'!DW132</f>
        <v>0</v>
      </c>
      <c r="DY132" s="5">
        <f t="shared" si="104"/>
        <v>2614.9148184801693</v>
      </c>
      <c r="DZ132" s="5">
        <f t="shared" si="105"/>
        <v>0</v>
      </c>
      <c r="EA132" s="752">
        <f t="shared" si="110"/>
        <v>0</v>
      </c>
      <c r="EC132" s="592">
        <f t="shared" si="106"/>
        <v>26149.148184801696</v>
      </c>
      <c r="EE132" s="758">
        <v>-767</v>
      </c>
      <c r="EF132" s="738">
        <f t="shared" si="107"/>
        <v>-3468.7622144670941</v>
      </c>
      <c r="EH132" s="813">
        <v>-3540.1888372886115</v>
      </c>
    </row>
    <row r="133" spans="1:138" x14ac:dyDescent="0.3">
      <c r="A133" s="328">
        <v>150000796</v>
      </c>
      <c r="B133" s="44" t="s">
        <v>585</v>
      </c>
      <c r="C133" s="45" t="s">
        <v>98</v>
      </c>
      <c r="D133" s="45" t="s">
        <v>98</v>
      </c>
      <c r="E133" s="40">
        <f t="shared" si="108"/>
        <v>181.9</v>
      </c>
      <c r="F133" s="490">
        <v>181.9</v>
      </c>
      <c r="G133" s="30"/>
      <c r="H133" s="30">
        <v>0</v>
      </c>
      <c r="I133" s="42">
        <f>'[1]побудинковий звіт'!I133+'[2]побудинковий звіт'!I133-'[3]побудинковий звіт'!I133</f>
        <v>0</v>
      </c>
      <c r="J133" s="42">
        <f>'[1]побудинковий звіт'!J133+'[2]побудинковий звіт'!J133-'[3]побудинковий звіт'!J133</f>
        <v>0</v>
      </c>
      <c r="K133" s="56">
        <f t="shared" si="125"/>
        <v>0</v>
      </c>
      <c r="L133" s="42">
        <f>'[1]побудинковий звіт'!L133+'[2]побудинковий звіт'!L133-'[3]побудинковий звіт'!L133</f>
        <v>0</v>
      </c>
      <c r="M133" s="42">
        <f>'[1]побудинковий звіт'!M133+'[2]побудинковий звіт'!M133-'[3]побудинковий звіт'!M133</f>
        <v>0</v>
      </c>
      <c r="N133" s="56">
        <f t="shared" si="126"/>
        <v>0</v>
      </c>
      <c r="O133" s="42">
        <f>'[1]побудинковий звіт'!O133+'[2]побудинковий звіт'!O133-'[3]побудинковий звіт'!O133</f>
        <v>168.60000000000002</v>
      </c>
      <c r="P133" s="42">
        <f>'[1]побудинковий звіт'!P133+'[2]побудинковий звіт'!P133-'[3]побудинковий звіт'!P133</f>
        <v>168.47999999999996</v>
      </c>
      <c r="Q133" s="56">
        <f t="shared" si="127"/>
        <v>-0.12000000000006139</v>
      </c>
      <c r="R133" s="42">
        <f>'[1]побудинковий звіт'!R133+'[2]побудинковий звіт'!R133-'[3]побудинковий звіт'!R133</f>
        <v>0</v>
      </c>
      <c r="S133" s="42">
        <f>'[1]побудинковий звіт'!S133+'[2]побудинковий звіт'!S133-'[3]побудинковий звіт'!S133</f>
        <v>0</v>
      </c>
      <c r="T133" s="56">
        <f t="shared" si="128"/>
        <v>0</v>
      </c>
      <c r="U133" s="42">
        <f>'[1]побудинковий звіт'!U133+'[2]побудинковий звіт'!U133-'[3]побудинковий звіт'!U133</f>
        <v>0</v>
      </c>
      <c r="V133" s="42">
        <f>'[1]побудинковий звіт'!V133+'[2]побудинковий звіт'!V133-'[3]побудинковий звіт'!V133</f>
        <v>0</v>
      </c>
      <c r="W133" s="56">
        <f t="shared" si="129"/>
        <v>0</v>
      </c>
      <c r="X133" s="42">
        <f>'[1]побудинковий звіт'!X133+'[2]побудинковий звіт'!X133-'[3]побудинковий звіт'!X133</f>
        <v>0</v>
      </c>
      <c r="Y133" s="42">
        <f>'[1]побудинковий звіт'!Y133+'[2]побудинковий звіт'!Y133-'[3]побудинковий звіт'!Y133</f>
        <v>0</v>
      </c>
      <c r="Z133" s="56">
        <f t="shared" si="130"/>
        <v>0</v>
      </c>
      <c r="AA133" s="42">
        <f>'[1]побудинковий звіт'!AA133+'[2]побудинковий звіт'!AA133-'[3]побудинковий звіт'!AA133</f>
        <v>0</v>
      </c>
      <c r="AB133" s="42">
        <f>'[1]побудинковий звіт'!AB133+'[2]побудинковий звіт'!AB133-'[3]побудинковий звіт'!AB133</f>
        <v>0</v>
      </c>
      <c r="AC133" s="56">
        <f t="shared" si="131"/>
        <v>0</v>
      </c>
      <c r="AD133" s="42">
        <f>'[1]побудинковий звіт'!AD133+'[2]побудинковий звіт'!AD133-'[3]побудинковий звіт'!AD133</f>
        <v>0</v>
      </c>
      <c r="AE133" s="42">
        <f>'[1]побудинковий звіт'!AE133+'[2]побудинковий звіт'!AE133-'[3]побудинковий звіт'!AE133</f>
        <v>125.29659701153236</v>
      </c>
      <c r="AF133" s="37">
        <f t="shared" si="132"/>
        <v>125.29659701153236</v>
      </c>
      <c r="AG133" s="87">
        <f t="shared" si="120"/>
        <v>168.60000000000002</v>
      </c>
      <c r="AH133" s="57">
        <f t="shared" si="120"/>
        <v>293.77659701153232</v>
      </c>
      <c r="AI133" s="56">
        <f t="shared" si="133"/>
        <v>125.17659701153229</v>
      </c>
      <c r="AJ133" s="42">
        <f>'[1]побудинковий звіт'!AJ133+'[2]побудинковий звіт'!AJ133-'[3]побудинковий звіт'!AJ133</f>
        <v>0</v>
      </c>
      <c r="AK133" s="42">
        <f>'[1]побудинковий звіт'!AK133+'[2]побудинковий звіт'!AK133-'[3]побудинковий звіт'!AK133</f>
        <v>0</v>
      </c>
      <c r="AL133" s="56">
        <f t="shared" si="134"/>
        <v>0</v>
      </c>
      <c r="AM133" s="42">
        <f>'[1]побудинковий звіт'!AM133+'[2]побудинковий звіт'!AM133-'[3]побудинковий звіт'!AM133</f>
        <v>0</v>
      </c>
      <c r="AN133" s="42">
        <f>'[1]побудинковий звіт'!AN133+'[2]побудинковий звіт'!AN133-'[3]побудинковий звіт'!AN133</f>
        <v>0</v>
      </c>
      <c r="AO133" s="56">
        <f t="shared" si="135"/>
        <v>0</v>
      </c>
      <c r="AP133" s="42">
        <f>'[1]побудинковий звіт'!AP133+'[2]побудинковий звіт'!AP133-'[3]побудинковий звіт'!AP133</f>
        <v>71.02632321702373</v>
      </c>
      <c r="AQ133" s="42">
        <f>'[1]побудинковий звіт'!AQ133+'[2]побудинковий звіт'!AQ133-'[3]побудинковий звіт'!AQ133</f>
        <v>46.39220271760361</v>
      </c>
      <c r="AR133" s="56">
        <f t="shared" si="136"/>
        <v>-24.634120499420121</v>
      </c>
      <c r="AS133" s="42">
        <f>'[1]побудинковий звіт'!AS133+'[2]побудинковий звіт'!AS133-'[3]побудинковий звіт'!AS133</f>
        <v>2256.2843608271974</v>
      </c>
      <c r="AT133" s="42">
        <f>'[1]побудинковий звіт'!AT133+'[2]побудинковий звіт'!AT133-'[3]побудинковий звіт'!AT133</f>
        <v>12096</v>
      </c>
      <c r="AU133" s="58">
        <f t="shared" si="151"/>
        <v>9839.7156391728022</v>
      </c>
      <c r="AV133" s="42">
        <f>'[1]побудинковий звіт'!AV133+'[2]побудинковий звіт'!AV133-'[3]побудинковий звіт'!AV133</f>
        <v>0</v>
      </c>
      <c r="AW133" s="42">
        <f>'[1]побудинковий звіт'!AW133+'[2]побудинковий звіт'!AW133-'[3]побудинковий звіт'!AW133</f>
        <v>0</v>
      </c>
      <c r="AX133" s="59">
        <f t="shared" si="152"/>
        <v>0</v>
      </c>
      <c r="AY133" s="42">
        <f>'[1]побудинковий звіт'!AY133+'[2]побудинковий звіт'!AY133-'[3]побудинковий звіт'!AY133</f>
        <v>0</v>
      </c>
      <c r="AZ133" s="42">
        <f>'[1]побудинковий звіт'!AZ133+'[2]побудинковий звіт'!AZ133-'[3]побудинковий звіт'!AZ133</f>
        <v>0</v>
      </c>
      <c r="BA133" s="37">
        <f t="shared" si="153"/>
        <v>0</v>
      </c>
      <c r="BB133" s="42">
        <f>'[1]побудинковий звіт'!BB133+'[2]побудинковий звіт'!BB133-'[3]побудинковий звіт'!BB133</f>
        <v>65.048332709546671</v>
      </c>
      <c r="BC133" s="42">
        <f>'[1]побудинковий звіт'!BC133+'[2]побудинковий звіт'!BC133-'[3]побудинковий звіт'!BC133</f>
        <v>0</v>
      </c>
      <c r="BD133" s="59">
        <f t="shared" si="154"/>
        <v>-65.048332709546671</v>
      </c>
      <c r="BE133" s="42">
        <f>'[1]побудинковий звіт'!BE133+'[2]побудинковий звіт'!BE133-'[3]побудинковий звіт'!BE133</f>
        <v>0</v>
      </c>
      <c r="BF133" s="42">
        <f>'[1]побудинковий звіт'!BF133+'[2]побудинковий звіт'!BF133-'[3]побудинковий звіт'!BF133</f>
        <v>0</v>
      </c>
      <c r="BG133" s="39">
        <f t="shared" si="155"/>
        <v>0</v>
      </c>
      <c r="BH133" s="42">
        <f>'[1]побудинковий звіт'!BH133+'[2]побудинковий звіт'!BH133-'[3]побудинковий звіт'!BH133</f>
        <v>0</v>
      </c>
      <c r="BI133" s="42">
        <f>'[1]побудинковий звіт'!BI133+'[2]побудинковий звіт'!BI133-'[3]побудинковий звіт'!BI133</f>
        <v>0</v>
      </c>
      <c r="BJ133" s="59">
        <f t="shared" si="156"/>
        <v>0</v>
      </c>
      <c r="BK133" s="42">
        <f>'[1]побудинковий звіт'!BK133+'[2]побудинковий звіт'!BK133-'[3]побудинковий звіт'!BK133</f>
        <v>0</v>
      </c>
      <c r="BL133" s="42">
        <f>'[1]побудинковий звіт'!BL133+'[2]побудинковий звіт'!BL133-'[3]побудинковий звіт'!BL133</f>
        <v>2050</v>
      </c>
      <c r="BM133" s="39">
        <f t="shared" si="157"/>
        <v>2050</v>
      </c>
      <c r="BN133" s="42">
        <f>'[1]побудинковий звіт'!BN133+'[2]побудинковий звіт'!BN133-'[3]побудинковий звіт'!BN133</f>
        <v>0</v>
      </c>
      <c r="BO133" s="42">
        <f>'[1]побудинковий звіт'!BO133+'[2]побудинковий звіт'!BO133-'[3]побудинковий звіт'!BO133</f>
        <v>0</v>
      </c>
      <c r="BP133" s="59">
        <f t="shared" si="158"/>
        <v>0</v>
      </c>
      <c r="BQ133" s="87">
        <f t="shared" ref="BQ133:BQ143" si="165">AV133+AY133+BB133+BE133+BH133+BK133+BN133</f>
        <v>65.048332709546671</v>
      </c>
      <c r="BR133" s="43">
        <f t="shared" ref="BR133:BR144" si="166">AW133+AZ133+BC133+BF133+BI133+BL133+BO133</f>
        <v>2050</v>
      </c>
      <c r="BS133" s="59">
        <f t="shared" si="159"/>
        <v>1984.9516672904533</v>
      </c>
      <c r="BT133" s="42">
        <f>'[1]побудинковий звіт'!BT133+'[2]побудинковий звіт'!BT133-'[3]побудинковий звіт'!BT133</f>
        <v>0</v>
      </c>
      <c r="BU133" s="42">
        <f>'[1]побудинковий звіт'!BU133+'[2]побудинковий звіт'!BU133-'[3]побудинковий звіт'!BU133</f>
        <v>308.5046527442135</v>
      </c>
      <c r="BV133" s="56">
        <f t="shared" si="137"/>
        <v>308.5046527442135</v>
      </c>
      <c r="BW133" s="42">
        <f>'[1]побудинковий звіт'!BW133+'[2]побудинковий звіт'!BW133-'[3]побудинковий звіт'!BW133</f>
        <v>0</v>
      </c>
      <c r="BX133" s="42">
        <f>'[1]побудинковий звіт'!BX133+'[2]побудинковий звіт'!BX133-'[3]побудинковий звіт'!BX133</f>
        <v>5.8692808666636402</v>
      </c>
      <c r="BY133" s="56">
        <f t="shared" si="138"/>
        <v>5.8692808666636402</v>
      </c>
      <c r="BZ133" s="42">
        <f>'[1]побудинковий звіт'!BZ133+'[2]побудинковий звіт'!BZ133-'[3]побудинковий звіт'!BZ133</f>
        <v>0</v>
      </c>
      <c r="CA133" s="42">
        <f>'[1]побудинковий звіт'!CA133+'[2]побудинковий звіт'!CA133-'[3]побудинковий звіт'!CA133</f>
        <v>0</v>
      </c>
      <c r="CB133" s="56">
        <f t="shared" si="139"/>
        <v>0</v>
      </c>
      <c r="CC133" s="42">
        <f>'[1]побудинковий звіт'!CC133+'[2]побудинковий звіт'!CC133-'[3]побудинковий звіт'!CC133</f>
        <v>0</v>
      </c>
      <c r="CD133" s="42">
        <f>'[1]побудинковий звіт'!CD133+'[2]побудинковий звіт'!CD133-'[3]побудинковий звіт'!CD133</f>
        <v>0</v>
      </c>
      <c r="CE133" s="56">
        <f t="shared" si="140"/>
        <v>0</v>
      </c>
      <c r="CF133" s="42">
        <f>'[1]побудинковий звіт'!CF133+'[2]побудинковий звіт'!CF133-'[3]побудинковий звіт'!CF133</f>
        <v>0</v>
      </c>
      <c r="CG133" s="42">
        <f>'[1]побудинковий звіт'!CG133+'[2]побудинковий звіт'!CG133-'[3]побудинковий звіт'!CG133</f>
        <v>0</v>
      </c>
      <c r="CH133" s="56">
        <f t="shared" si="141"/>
        <v>0</v>
      </c>
      <c r="CI133" s="42">
        <f>'[1]побудинковий звіт'!CI133+'[2]побудинковий звіт'!CI133-'[3]побудинковий звіт'!CI133</f>
        <v>0</v>
      </c>
      <c r="CJ133" s="42">
        <f>'[1]побудинковий звіт'!CJ133+'[2]побудинковий звіт'!CJ133-'[3]побудинковий звіт'!CJ133</f>
        <v>0</v>
      </c>
      <c r="CK133" s="56">
        <f t="shared" si="142"/>
        <v>0</v>
      </c>
      <c r="CL133" s="42">
        <f>'[1]побудинковий звіт'!CL133+'[2]побудинковий звіт'!CL133-'[3]побудинковий звіт'!CL133</f>
        <v>0</v>
      </c>
      <c r="CM133" s="42">
        <f>'[1]побудинковий звіт'!CM133+'[2]побудинковий звіт'!CM133-'[3]побудинковий звіт'!CM133</f>
        <v>0</v>
      </c>
      <c r="CN133" s="56">
        <f t="shared" si="143"/>
        <v>0</v>
      </c>
      <c r="CO133" s="42">
        <f t="shared" si="123"/>
        <v>0</v>
      </c>
      <c r="CP133" s="43">
        <f t="shared" si="144"/>
        <v>0</v>
      </c>
      <c r="CQ133" s="56">
        <f t="shared" si="145"/>
        <v>0</v>
      </c>
      <c r="CR133" s="78">
        <f t="shared" si="124"/>
        <v>2560.9590167537676</v>
      </c>
      <c r="CS133" s="5">
        <f t="shared" si="124"/>
        <v>14800.542733340013</v>
      </c>
      <c r="CT133" s="56">
        <f t="shared" si="146"/>
        <v>12239.583716586245</v>
      </c>
      <c r="CU133" s="87">
        <f t="shared" si="147"/>
        <v>3073.1508201045212</v>
      </c>
      <c r="CV133" s="70">
        <f t="shared" si="148"/>
        <v>17760.651280008016</v>
      </c>
      <c r="CW133" s="37">
        <f t="shared" si="149"/>
        <v>14687.500459903495</v>
      </c>
      <c r="CX133" s="42">
        <f>'[1]побудинковий звіт'!CX133+'[2]побудинковий звіт'!CX133-'[3]побудинковий звіт'!CX133</f>
        <v>287.929179895478</v>
      </c>
      <c r="CY133" s="42">
        <f>'[1]побудинковий звіт'!CY133+'[2]побудинковий звіт'!CY133-'[3]побудинковий звіт'!CY133</f>
        <v>-14399.571280008018</v>
      </c>
      <c r="CZ133" s="56">
        <f t="shared" si="150"/>
        <v>-14687.500459903496</v>
      </c>
      <c r="DA133" s="264">
        <f>'[4]побудинковий звіт'!DA133</f>
        <v>12208.548887130744</v>
      </c>
      <c r="DB133" s="2">
        <v>3</v>
      </c>
      <c r="DC133" s="717">
        <f>'[4]побудинковий звіт'!DC133</f>
        <v>61.95</v>
      </c>
      <c r="DD133" s="717">
        <f>'[4]побудинковий звіт'!DD133</f>
        <v>0</v>
      </c>
      <c r="DE133" s="717">
        <f>'[4]побудинковий звіт'!DE133</f>
        <v>-218.14</v>
      </c>
      <c r="DF133" s="717">
        <f>'[4]побудинковий звіт'!DF133</f>
        <v>0</v>
      </c>
      <c r="DG133" s="787">
        <v>-1627.1660367646882</v>
      </c>
      <c r="DH133" s="761">
        <f t="shared" si="109"/>
        <v>40332.959999999992</v>
      </c>
      <c r="DI133" s="784"/>
      <c r="DJ133" s="5"/>
      <c r="DK133" s="317">
        <f>VLOOKUP($A133,ціни!$A$4:$G$401,5)</f>
        <v>1.440168815243601</v>
      </c>
      <c r="DL133" s="317"/>
      <c r="DM133" s="317">
        <f>VLOOKUP($A133,ціни!$A$4:$G$401,7)</f>
        <v>1.440168815243601</v>
      </c>
      <c r="DN133" s="30">
        <f>F133*DK133</f>
        <v>261.966707492811</v>
      </c>
      <c r="DO133" s="30">
        <f>H133*DM133</f>
        <v>0</v>
      </c>
      <c r="DP133" s="316">
        <f t="shared" si="162"/>
        <v>261.966707492811</v>
      </c>
      <c r="DQ133" s="104"/>
      <c r="DR133" s="30">
        <f>VLOOKUP(A133,'ДЗ нас '!$A$1:$C$359,2)</f>
        <v>280.08999999999997</v>
      </c>
      <c r="DS133" s="748"/>
      <c r="DT133" s="30">
        <f t="shared" si="163"/>
        <v>280.08999999999997</v>
      </c>
      <c r="DU133" s="257">
        <f>VLOOKUP(A133,'новий кошторис с 01.06'!$A$4:$AI$399,35)*1.2</f>
        <v>262.24220331558581</v>
      </c>
      <c r="DV133" s="30">
        <f t="shared" si="164"/>
        <v>17.847796684414163</v>
      </c>
      <c r="DW133" s="930">
        <f>'[5]побудинковий звіт'!DW133+'[6]побудинковий звіт'!DW133</f>
        <v>0</v>
      </c>
      <c r="DY133" s="5">
        <f t="shared" ref="DY133:DY196" si="167">(AS133+BQ133)*1.2</f>
        <v>2785.5992322440929</v>
      </c>
      <c r="DZ133" s="5">
        <f t="shared" ref="DZ133:DZ196" si="168">(AT133+BR133)*1.2</f>
        <v>16975.2</v>
      </c>
      <c r="EA133" s="752">
        <f t="shared" si="110"/>
        <v>-218.14</v>
      </c>
      <c r="EC133" s="592">
        <f t="shared" ref="EC133:EC196" si="169">AS133*12</f>
        <v>27075.412329926367</v>
      </c>
      <c r="EE133" s="758">
        <v>-397</v>
      </c>
      <c r="EF133" s="738">
        <f t="shared" ref="EF133:EF196" si="170">EE133+DG133</f>
        <v>-2024.1660367646882</v>
      </c>
      <c r="EH133" s="813">
        <v>-2806.1874389628451</v>
      </c>
    </row>
    <row r="134" spans="1:138" x14ac:dyDescent="0.3">
      <c r="A134" s="328">
        <v>150001008</v>
      </c>
      <c r="B134" s="44" t="s">
        <v>586</v>
      </c>
      <c r="C134" s="45" t="s">
        <v>211</v>
      </c>
      <c r="D134" s="45" t="s">
        <v>211</v>
      </c>
      <c r="E134" s="40">
        <f t="shared" si="108"/>
        <v>155.19999999999999</v>
      </c>
      <c r="F134" s="490">
        <v>110.2</v>
      </c>
      <c r="G134" s="30"/>
      <c r="H134" s="30">
        <v>45</v>
      </c>
      <c r="I134" s="42">
        <f>'[1]побудинковий звіт'!I134+'[2]побудинковий звіт'!I134-'[3]побудинковий звіт'!I134</f>
        <v>5190.8150717912986</v>
      </c>
      <c r="J134" s="42">
        <f>'[1]побудинковий звіт'!J134+'[2]побудинковий звіт'!J134-'[3]побудинковий звіт'!J134</f>
        <v>5174.1052475776496</v>
      </c>
      <c r="K134" s="56">
        <f t="shared" si="125"/>
        <v>-16.709824213648972</v>
      </c>
      <c r="L134" s="42">
        <f>'[1]побудинковий звіт'!L134+'[2]побудинковий звіт'!L134-'[3]побудинковий звіт'!L134</f>
        <v>911.35887063452697</v>
      </c>
      <c r="M134" s="42">
        <f>'[1]побудинковий звіт'!M134+'[2]побудинковий звіт'!M134-'[3]побудинковий звіт'!M134</f>
        <v>960.4928443700561</v>
      </c>
      <c r="N134" s="56">
        <f t="shared" si="126"/>
        <v>49.133973735529139</v>
      </c>
      <c r="O134" s="42">
        <f>'[1]побудинковий звіт'!O134+'[2]побудинковий звіт'!O134-'[3]побудинковий звіт'!O134</f>
        <v>2134.4399999999996</v>
      </c>
      <c r="P134" s="42">
        <f>'[1]побудинковий звіт'!P134+'[2]побудинковий звіт'!P134-'[3]побудинковий звіт'!P134</f>
        <v>1677.7857225806451</v>
      </c>
      <c r="Q134" s="56">
        <f t="shared" si="127"/>
        <v>-456.65427741935446</v>
      </c>
      <c r="R134" s="42">
        <f>'[1]побудинковий звіт'!R134+'[2]побудинковий звіт'!R134-'[3]побудинковий звіт'!R134</f>
        <v>0</v>
      </c>
      <c r="S134" s="42">
        <f>'[1]побудинковий звіт'!S134+'[2]побудинковий звіт'!S134-'[3]побудинковий звіт'!S134</f>
        <v>0</v>
      </c>
      <c r="T134" s="56">
        <f t="shared" si="128"/>
        <v>0</v>
      </c>
      <c r="U134" s="42">
        <f>'[1]побудинковий звіт'!U134+'[2]побудинковий звіт'!U134-'[3]побудинковий звіт'!U134</f>
        <v>0</v>
      </c>
      <c r="V134" s="42">
        <f>'[1]побудинковий звіт'!V134+'[2]побудинковий звіт'!V134-'[3]побудинковий звіт'!V134</f>
        <v>0</v>
      </c>
      <c r="W134" s="56">
        <f t="shared" si="129"/>
        <v>0</v>
      </c>
      <c r="X134" s="42">
        <f>'[1]побудинковий звіт'!X134+'[2]побудинковий звіт'!X134-'[3]побудинковий звіт'!X134</f>
        <v>3006.6029525217373</v>
      </c>
      <c r="Y134" s="42">
        <f>'[1]побудинковий звіт'!Y134+'[2]побудинковий звіт'!Y134-'[3]побудинковий звіт'!Y134</f>
        <v>2199.8543851939248</v>
      </c>
      <c r="Z134" s="56">
        <f t="shared" si="130"/>
        <v>-806.74856732781245</v>
      </c>
      <c r="AA134" s="42">
        <f>'[1]побудинковий звіт'!AA134+'[2]побудинковий звіт'!AA134-'[3]побудинковий звіт'!AA134</f>
        <v>0</v>
      </c>
      <c r="AB134" s="42">
        <f>'[1]побудинковий звіт'!AB134+'[2]побудинковий звіт'!AB134-'[3]побудинковий звіт'!AB134</f>
        <v>0</v>
      </c>
      <c r="AC134" s="56">
        <f t="shared" si="131"/>
        <v>0</v>
      </c>
      <c r="AD134" s="42">
        <f>'[1]побудинковий звіт'!AD134+'[2]побудинковий звіт'!AD134-'[3]побудинковий звіт'!AD134</f>
        <v>6352.175325727897</v>
      </c>
      <c r="AE134" s="42">
        <f>'[1]побудинковий звіт'!AE134+'[2]побудинковий звіт'!AE134-'[3]побудинковий звіт'!AE134</f>
        <v>5852.7871831553621</v>
      </c>
      <c r="AF134" s="37">
        <f t="shared" si="132"/>
        <v>-499.38814257253489</v>
      </c>
      <c r="AG134" s="87">
        <f t="shared" si="120"/>
        <v>17595.392220675461</v>
      </c>
      <c r="AH134" s="57">
        <f t="shared" si="120"/>
        <v>15865.025382877639</v>
      </c>
      <c r="AI134" s="56">
        <f t="shared" si="133"/>
        <v>-1730.3668377978229</v>
      </c>
      <c r="AJ134" s="42">
        <f>'[1]побудинковий звіт'!AJ134+'[2]побудинковий звіт'!AJ134-'[3]побудинковий звіт'!AJ134</f>
        <v>0</v>
      </c>
      <c r="AK134" s="42">
        <f>'[1]побудинковий звіт'!AK134+'[2]побудинковий звіт'!AK134-'[3]побудинковий звіт'!AK134</f>
        <v>0</v>
      </c>
      <c r="AL134" s="56">
        <f t="shared" si="134"/>
        <v>0</v>
      </c>
      <c r="AM134" s="42">
        <f>'[1]побудинковий звіт'!AM134+'[2]побудинковий звіт'!AM134-'[3]побудинковий звіт'!AM134</f>
        <v>0</v>
      </c>
      <c r="AN134" s="42">
        <f>'[1]побудинковий звіт'!AN134+'[2]побудинковий звіт'!AN134-'[3]побудинковий звіт'!AN134</f>
        <v>0</v>
      </c>
      <c r="AO134" s="56">
        <f t="shared" si="135"/>
        <v>0</v>
      </c>
      <c r="AP134" s="42">
        <f>'[1]побудинковий звіт'!AP134+'[2]побудинковий звіт'!AP134-'[3]побудинковий звіт'!AP134</f>
        <v>4403.6320394554705</v>
      </c>
      <c r="AQ134" s="42">
        <f>'[1]побудинковий звіт'!AQ134+'[2]побудинковий звіт'!AQ134-'[3]побудинковий звіт'!AQ134</f>
        <v>4234.8238215116908</v>
      </c>
      <c r="AR134" s="56">
        <f t="shared" si="136"/>
        <v>-168.80821794377971</v>
      </c>
      <c r="AS134" s="42">
        <f>'[1]побудинковий звіт'!AS134+'[2]побудинковий звіт'!AS134-'[3]побудинковий звіт'!AS134</f>
        <v>14625.516023077911</v>
      </c>
      <c r="AT134" s="42">
        <f>'[1]побудинковий звіт'!AT134+'[2]побудинковий звіт'!AT134-'[3]побудинковий звіт'!AT134</f>
        <v>27228.098066426526</v>
      </c>
      <c r="AU134" s="58">
        <f t="shared" si="151"/>
        <v>12602.582043348615</v>
      </c>
      <c r="AV134" s="42">
        <f>'[1]побудинковий звіт'!AV134+'[2]побудинковий звіт'!AV134-'[3]побудинковий звіт'!AV134</f>
        <v>860.44005602076572</v>
      </c>
      <c r="AW134" s="42">
        <f>'[1]побудинковий звіт'!AW134+'[2]побудинковий звіт'!AW134-'[3]побудинковий звіт'!AW134</f>
        <v>400</v>
      </c>
      <c r="AX134" s="59">
        <f t="shared" si="152"/>
        <v>-460.44005602076572</v>
      </c>
      <c r="AY134" s="42">
        <f>'[1]побудинковий звіт'!AY134+'[2]побудинковий звіт'!AY134-'[3]побудинковий звіт'!AY134</f>
        <v>1174.5740094673354</v>
      </c>
      <c r="AZ134" s="42">
        <f>'[1]побудинковий звіт'!AZ134+'[2]побудинковий звіт'!AZ134-'[3]побудинковий звіт'!AZ134</f>
        <v>0</v>
      </c>
      <c r="BA134" s="37">
        <f t="shared" si="153"/>
        <v>-1174.5740094673354</v>
      </c>
      <c r="BB134" s="42">
        <f>'[1]побудинковий звіт'!BB134+'[2]побудинковий звіт'!BB134-'[3]побудинковий звіт'!BB134</f>
        <v>1174.9843043850026</v>
      </c>
      <c r="BC134" s="42">
        <f>'[1]побудинковий звіт'!BC134+'[2]побудинковий звіт'!BC134-'[3]побудинковий звіт'!BC134</f>
        <v>0</v>
      </c>
      <c r="BD134" s="59">
        <f t="shared" si="154"/>
        <v>-1174.9843043850026</v>
      </c>
      <c r="BE134" s="42">
        <f>'[1]побудинковий звіт'!BE134+'[2]побудинковий звіт'!BE134-'[3]побудинковий звіт'!BE134</f>
        <v>0</v>
      </c>
      <c r="BF134" s="42">
        <f>'[1]побудинковий звіт'!BF134+'[2]побудинковий звіт'!BF134-'[3]побудинковий звіт'!BF134</f>
        <v>0</v>
      </c>
      <c r="BG134" s="39">
        <f t="shared" si="155"/>
        <v>0</v>
      </c>
      <c r="BH134" s="42">
        <f>'[1]побудинковий звіт'!BH134+'[2]побудинковий звіт'!BH134-'[3]побудинковий звіт'!BH134</f>
        <v>0</v>
      </c>
      <c r="BI134" s="42">
        <f>'[1]побудинковий звіт'!BI134+'[2]побудинковий звіт'!BI134-'[3]побудинковий звіт'!BI134</f>
        <v>0</v>
      </c>
      <c r="BJ134" s="59">
        <f t="shared" si="156"/>
        <v>0</v>
      </c>
      <c r="BK134" s="42">
        <f>'[1]побудинковий звіт'!BK134+'[2]побудинковий звіт'!BK134-'[3]побудинковий звіт'!BK134</f>
        <v>349.45267117081045</v>
      </c>
      <c r="BL134" s="42">
        <f>'[1]побудинковий звіт'!BL134+'[2]побудинковий звіт'!BL134-'[3]побудинковий звіт'!BL134</f>
        <v>264</v>
      </c>
      <c r="BM134" s="39">
        <f t="shared" si="157"/>
        <v>-85.452671170810447</v>
      </c>
      <c r="BN134" s="42">
        <f>'[1]побудинковий звіт'!BN134+'[2]побудинковий звіт'!BN134-'[3]побудинковий звіт'!BN134</f>
        <v>0</v>
      </c>
      <c r="BO134" s="42">
        <f>'[1]побудинковий звіт'!BO134+'[2]побудинковий звіт'!BO134-'[3]побудинковий звіт'!BO134</f>
        <v>0</v>
      </c>
      <c r="BP134" s="59">
        <f t="shared" si="158"/>
        <v>0</v>
      </c>
      <c r="BQ134" s="87">
        <f t="shared" si="165"/>
        <v>3559.4510410439143</v>
      </c>
      <c r="BR134" s="43">
        <f t="shared" si="166"/>
        <v>664</v>
      </c>
      <c r="BS134" s="59">
        <f t="shared" si="159"/>
        <v>-2895.4510410439143</v>
      </c>
      <c r="BT134" s="42">
        <f>'[1]побудинковий звіт'!BT134+'[2]побудинковий звіт'!BT134-'[3]побудинковий звіт'!BT134</f>
        <v>27139.34135634626</v>
      </c>
      <c r="BU134" s="42">
        <f>'[1]побудинковий звіт'!BU134+'[2]побудинковий звіт'!BU134-'[3]побудинковий звіт'!BU134</f>
        <v>38593.043910911954</v>
      </c>
      <c r="BV134" s="56">
        <f t="shared" si="137"/>
        <v>11453.702554565694</v>
      </c>
      <c r="BW134" s="42">
        <f>'[1]побудинковий звіт'!BW134+'[2]побудинковий звіт'!BW134-'[3]побудинковий звіт'!BW134</f>
        <v>9544.1228567327325</v>
      </c>
      <c r="BX134" s="42">
        <f>'[1]побудинковий звіт'!BX134+'[2]побудинковий звіт'!BX134-'[3]побудинковий звіт'!BX134</f>
        <v>11985.565691562284</v>
      </c>
      <c r="BY134" s="56">
        <f t="shared" si="138"/>
        <v>2441.4428348295514</v>
      </c>
      <c r="BZ134" s="42">
        <f>'[1]побудинковий звіт'!BZ134+'[2]побудинковий звіт'!BZ134-'[3]побудинковий звіт'!BZ134</f>
        <v>6917.1397128507861</v>
      </c>
      <c r="CA134" s="42">
        <f>'[1]побудинковий звіт'!CA134+'[2]побудинковий звіт'!CA134-'[3]побудинковий звіт'!CA134</f>
        <v>10246.340898736626</v>
      </c>
      <c r="CB134" s="56">
        <f t="shared" si="139"/>
        <v>3329.2011858858395</v>
      </c>
      <c r="CC134" s="42">
        <f>'[1]побудинковий звіт'!CC134+'[2]побудинковий звіт'!CC134-'[3]побудинковий звіт'!CC134</f>
        <v>591.20640238245448</v>
      </c>
      <c r="CD134" s="42">
        <f>'[1]побудинковий звіт'!CD134+'[2]побудинковий звіт'!CD134-'[3]побудинковий звіт'!CD134</f>
        <v>586.00657492733899</v>
      </c>
      <c r="CE134" s="56">
        <f t="shared" si="140"/>
        <v>-5.1998274551154964</v>
      </c>
      <c r="CF134" s="42">
        <f>'[1]побудинковий звіт'!CF134+'[2]побудинковий звіт'!CF134-'[3]побудинковий звіт'!CF134</f>
        <v>72.781091202385497</v>
      </c>
      <c r="CG134" s="42">
        <f>'[1]побудинковий звіт'!CG134+'[2]побудинковий звіт'!CG134-'[3]побудинковий звіт'!CG134</f>
        <v>0</v>
      </c>
      <c r="CH134" s="56">
        <f t="shared" si="141"/>
        <v>-72.781091202385497</v>
      </c>
      <c r="CI134" s="42">
        <f>'[1]побудинковий звіт'!CI134+'[2]побудинковий звіт'!CI134-'[3]побудинковий звіт'!CI134</f>
        <v>1628.4246904157158</v>
      </c>
      <c r="CJ134" s="42">
        <f>'[1]побудинковий звіт'!CJ134+'[2]побудинковий звіт'!CJ134-'[3]побудинковий звіт'!CJ134</f>
        <v>1186.9397326879609</v>
      </c>
      <c r="CK134" s="56">
        <f t="shared" si="142"/>
        <v>-441.48495772775482</v>
      </c>
      <c r="CL134" s="42">
        <f>'[1]побудинковий звіт'!CL134+'[2]побудинковий звіт'!CL134-'[3]побудинковий звіт'!CL134</f>
        <v>0</v>
      </c>
      <c r="CM134" s="42">
        <f>'[1]побудинковий звіт'!CM134+'[2]побудинковий звіт'!CM134-'[3]побудинковий звіт'!CM134</f>
        <v>0</v>
      </c>
      <c r="CN134" s="56">
        <f t="shared" si="143"/>
        <v>0</v>
      </c>
      <c r="CO134" s="42">
        <f t="shared" si="123"/>
        <v>1628.4246904157158</v>
      </c>
      <c r="CP134" s="43">
        <f t="shared" si="144"/>
        <v>1186.9397326879609</v>
      </c>
      <c r="CQ134" s="56">
        <f t="shared" si="145"/>
        <v>-441.48495772775482</v>
      </c>
      <c r="CR134" s="78">
        <f t="shared" si="124"/>
        <v>86077.007434183077</v>
      </c>
      <c r="CS134" s="5">
        <f t="shared" si="124"/>
        <v>110589.84407964202</v>
      </c>
      <c r="CT134" s="56">
        <f t="shared" si="146"/>
        <v>24512.836645458941</v>
      </c>
      <c r="CU134" s="87">
        <f t="shared" si="147"/>
        <v>103292.40892101968</v>
      </c>
      <c r="CV134" s="70">
        <f t="shared" si="148"/>
        <v>132707.81289557042</v>
      </c>
      <c r="CW134" s="37">
        <f t="shared" si="149"/>
        <v>29415.403974550733</v>
      </c>
      <c r="CX134" s="42">
        <f>'[1]побудинковий звіт'!CX134+'[2]побудинковий звіт'!CX134-'[3]побудинковий звіт'!CX134</f>
        <v>1595.9910789802834</v>
      </c>
      <c r="CY134" s="42">
        <f>'[1]побудинковий звіт'!CY134+'[2]побудинковий звіт'!CY134-'[3]побудинковий звіт'!CY134</f>
        <v>-27819.412895570433</v>
      </c>
      <c r="CZ134" s="56">
        <f t="shared" si="150"/>
        <v>-29415.403974550718</v>
      </c>
      <c r="DA134" s="264">
        <f>'[4]побудинковий звіт'!DA134</f>
        <v>79749.556656484201</v>
      </c>
      <c r="DB134" s="2">
        <v>2</v>
      </c>
      <c r="DC134" s="717">
        <f>'[4]побудинковий звіт'!DC134</f>
        <v>27119.5</v>
      </c>
      <c r="DD134" s="717">
        <f>'[4]побудинковий звіт'!DD134</f>
        <v>15709.18</v>
      </c>
      <c r="DE134" s="717">
        <f>'[4]побудинковий звіт'!DE134</f>
        <v>18606.43</v>
      </c>
      <c r="DF134" s="717">
        <f>'[4]побудинковий звіт'!DF134</f>
        <v>15473.880000000001</v>
      </c>
      <c r="DG134" s="787">
        <v>37140.997214403207</v>
      </c>
      <c r="DH134" s="761">
        <f t="shared" ref="DH134:DH196" si="171">(CU134+CX134)*12</f>
        <v>1258660.7999999996</v>
      </c>
      <c r="DI134" s="784"/>
      <c r="DJ134" s="5"/>
      <c r="DK134" s="317">
        <f>VLOOKUP($A134,ціни!$A$4:$G$401,5)</f>
        <v>5.9016042392444232</v>
      </c>
      <c r="DL134" s="317"/>
      <c r="DM134" s="317">
        <f>VLOOKUP($A134,ціни!$A$4:$G$401,7)</f>
        <v>5.2289228490920916</v>
      </c>
      <c r="DN134" s="30">
        <f>F134*DK134</f>
        <v>650.35678716473547</v>
      </c>
      <c r="DO134" s="30">
        <f>H134*DM134</f>
        <v>235.30152820914412</v>
      </c>
      <c r="DP134" s="316">
        <f t="shared" si="162"/>
        <v>885.65831537387953</v>
      </c>
      <c r="DQ134" s="104"/>
      <c r="DR134" s="30">
        <f>VLOOKUP(A134,'ДЗ нас '!$A$1:$C$359,2)</f>
        <v>8513.07</v>
      </c>
      <c r="DS134" s="748">
        <f>VLOOKUP(A134,'ДЗ нежит'!$A$1:$D$153,4,0)</f>
        <v>235.3</v>
      </c>
      <c r="DT134" s="30">
        <f t="shared" si="163"/>
        <v>8748.369999999999</v>
      </c>
      <c r="DU134" s="257">
        <f>VLOOKUP(A134,'новий кошторис с 01.06'!$A$4:$AI$399,35)*1.2</f>
        <v>8762.6393567998366</v>
      </c>
      <c r="DV134" s="30">
        <f t="shared" si="164"/>
        <v>-14.269356799837624</v>
      </c>
      <c r="DW134" s="930">
        <f>'[5]побудинковий звіт'!DW134+'[6]побудинковий звіт'!DW134</f>
        <v>236</v>
      </c>
      <c r="DY134" s="5">
        <f t="shared" si="167"/>
        <v>21821.960476946191</v>
      </c>
      <c r="DZ134" s="5">
        <f t="shared" si="168"/>
        <v>33470.517679711833</v>
      </c>
      <c r="EA134" s="752">
        <f t="shared" ref="EA134:EA196" si="172">DE134+DF134</f>
        <v>34080.31</v>
      </c>
      <c r="EC134" s="592">
        <f t="shared" si="169"/>
        <v>175506.19227693492</v>
      </c>
      <c r="EE134" s="758">
        <v>-6158</v>
      </c>
      <c r="EF134" s="738">
        <f t="shared" si="170"/>
        <v>30982.997214403207</v>
      </c>
      <c r="EH134" s="813">
        <v>51368.673397109975</v>
      </c>
    </row>
    <row r="135" spans="1:138" x14ac:dyDescent="0.3">
      <c r="A135" s="328">
        <v>150001033</v>
      </c>
      <c r="B135" s="44" t="s">
        <v>587</v>
      </c>
      <c r="C135" s="45" t="s">
        <v>362</v>
      </c>
      <c r="D135" s="45" t="s">
        <v>362</v>
      </c>
      <c r="E135" s="40">
        <f t="shared" si="108"/>
        <v>100.2</v>
      </c>
      <c r="F135" s="490">
        <v>100.2</v>
      </c>
      <c r="G135" s="30">
        <v>446.8</v>
      </c>
      <c r="H135" s="30">
        <v>0</v>
      </c>
      <c r="I135" s="42">
        <f>'[1]побудинковий звіт'!I135+'[2]побудинковий звіт'!I135-'[3]побудинковий звіт'!I135</f>
        <v>11410.201987019738</v>
      </c>
      <c r="J135" s="42">
        <f>'[1]побудинковий звіт'!J135+'[2]побудинковий звіт'!J135-'[3]побудинковий звіт'!J135</f>
        <v>9773.5239436467873</v>
      </c>
      <c r="K135" s="56">
        <f t="shared" si="125"/>
        <v>-1636.6780433729509</v>
      </c>
      <c r="L135" s="42">
        <f>'[1]побудинковий звіт'!L135+'[2]побудинковий звіт'!L135-'[3]побудинковий звіт'!L135</f>
        <v>1947.8870454502103</v>
      </c>
      <c r="M135" s="42">
        <f>'[1]побудинковий звіт'!M135+'[2]побудинковий звіт'!M135-'[3]побудинковий звіт'!M135</f>
        <v>1861.6406964575649</v>
      </c>
      <c r="N135" s="56">
        <f t="shared" si="126"/>
        <v>-86.24634899264538</v>
      </c>
      <c r="O135" s="42">
        <f>'[1]побудинковий звіт'!O135+'[2]побудинковий звіт'!O135-'[3]побудинковий звіт'!O135</f>
        <v>5949.6000000000013</v>
      </c>
      <c r="P135" s="42">
        <f>'[1]побудинковий звіт'!P135+'[2]побудинковий звіт'!P135-'[3]побудинковий звіт'!P135</f>
        <v>4676.3058397849463</v>
      </c>
      <c r="Q135" s="56">
        <f t="shared" si="127"/>
        <v>-1273.2941602150549</v>
      </c>
      <c r="R135" s="42">
        <f>'[1]побудинковий звіт'!R135+'[2]побудинковий звіт'!R135-'[3]побудинковий звіт'!R135</f>
        <v>1194.24</v>
      </c>
      <c r="S135" s="42">
        <f>'[1]побудинковий звіт'!S135+'[2]побудинковий звіт'!S135-'[3]побудинковий звіт'!S135</f>
        <v>938.80526505376338</v>
      </c>
      <c r="T135" s="56">
        <f t="shared" si="128"/>
        <v>-255.43473494623663</v>
      </c>
      <c r="U135" s="42">
        <f>'[1]побудинковий звіт'!U135+'[2]побудинковий звіт'!U135-'[3]побудинковий звіт'!U135</f>
        <v>780.05784393801946</v>
      </c>
      <c r="V135" s="42">
        <f>'[1]побудинковий звіт'!V135+'[2]побудинковий звіт'!V135-'[3]побудинковий звіт'!V135</f>
        <v>356.91045722083197</v>
      </c>
      <c r="W135" s="56">
        <f t="shared" si="129"/>
        <v>-423.14738671718749</v>
      </c>
      <c r="X135" s="42">
        <f>'[1]побудинковий звіт'!X135+'[2]побудинковий звіт'!X135-'[3]побудинковий звіт'!X135</f>
        <v>8955.8746860324536</v>
      </c>
      <c r="Y135" s="42">
        <f>'[1]побудинковий звіт'!Y135+'[2]побудинковий звіт'!Y135-'[3]побудинковий звіт'!Y135</f>
        <v>6512.6846223583243</v>
      </c>
      <c r="Z135" s="56">
        <f t="shared" si="130"/>
        <v>-2443.1900636741293</v>
      </c>
      <c r="AA135" s="42">
        <f>'[1]побудинковий звіт'!AA135+'[2]побудинковий звіт'!AA135-'[3]побудинковий звіт'!AA135</f>
        <v>0</v>
      </c>
      <c r="AB135" s="42">
        <f>'[1]побудинковий звіт'!AB135+'[2]побудинковий звіт'!AB135-'[3]побудинковий звіт'!AB135</f>
        <v>0</v>
      </c>
      <c r="AC135" s="56">
        <f t="shared" si="131"/>
        <v>0</v>
      </c>
      <c r="AD135" s="42">
        <f>'[1]побудинковий звіт'!AD135+'[2]побудинковий звіт'!AD135-'[3]побудинковий звіт'!AD135</f>
        <v>17206.801255919636</v>
      </c>
      <c r="AE135" s="42">
        <f>'[1]побудинковий звіт'!AE135+'[2]побудинковий звіт'!AE135-'[3]побудинковий звіт'!AE135</f>
        <v>15859.3941030596</v>
      </c>
      <c r="AF135" s="37">
        <f t="shared" si="132"/>
        <v>-1347.4071528600361</v>
      </c>
      <c r="AG135" s="87">
        <f t="shared" si="120"/>
        <v>47444.662818360055</v>
      </c>
      <c r="AH135" s="57">
        <f t="shared" si="120"/>
        <v>39979.264927581818</v>
      </c>
      <c r="AI135" s="56">
        <f t="shared" si="133"/>
        <v>-7465.3978907782366</v>
      </c>
      <c r="AJ135" s="42">
        <f>'[1]побудинковий звіт'!AJ135+'[2]побудинковий звіт'!AJ135-'[3]побудинковий звіт'!AJ135</f>
        <v>41478.570579091407</v>
      </c>
      <c r="AK135" s="42">
        <f>'[1]побудинковий звіт'!AK135+'[2]побудинковий звіт'!AK135-'[3]побудинковий звіт'!AK135</f>
        <v>40942.249350789862</v>
      </c>
      <c r="AL135" s="56">
        <f t="shared" si="134"/>
        <v>-536.32122830154549</v>
      </c>
      <c r="AM135" s="42">
        <f>'[1]побудинковий звіт'!AM135+'[2]побудинковий звіт'!AM135-'[3]побудинковий звіт'!AM135</f>
        <v>0</v>
      </c>
      <c r="AN135" s="42">
        <f>'[1]побудинковий звіт'!AN135+'[2]побудинковий звіт'!AN135-'[3]побудинковий звіт'!AN135</f>
        <v>0</v>
      </c>
      <c r="AO135" s="56">
        <f t="shared" si="135"/>
        <v>0</v>
      </c>
      <c r="AP135" s="42">
        <f>'[1]побудинковий звіт'!AP135+'[2]побудинковий звіт'!AP135-'[3]побудинковий звіт'!AP135</f>
        <v>3314.5617501277748</v>
      </c>
      <c r="AQ135" s="42">
        <f>'[1]побудинковий звіт'!AQ135+'[2]побудинковий звіт'!AQ135-'[3]побудинковий звіт'!AQ135</f>
        <v>5020.3266453505903</v>
      </c>
      <c r="AR135" s="56">
        <f t="shared" si="136"/>
        <v>1705.7648952228155</v>
      </c>
      <c r="AS135" s="42">
        <f>'[1]побудинковий звіт'!AS135+'[2]побудинковий звіт'!AS135-'[3]побудинковий звіт'!AS135</f>
        <v>74458.814502803594</v>
      </c>
      <c r="AT135" s="42">
        <f>'[1]побудинковий звіт'!AT135+'[2]побудинковий звіт'!AT135-'[3]побудинковий звіт'!AT135</f>
        <v>32600.305378878489</v>
      </c>
      <c r="AU135" s="58">
        <f t="shared" si="151"/>
        <v>-41858.509123925105</v>
      </c>
      <c r="AV135" s="42">
        <f>'[1]побудинковий звіт'!AV135+'[2]побудинковий звіт'!AV135-'[3]побудинковий звіт'!AV135</f>
        <v>968.61593634290193</v>
      </c>
      <c r="AW135" s="42">
        <f>'[1]побудинковий звіт'!AW135+'[2]побудинковий звіт'!AW135-'[3]побудинковий звіт'!AW135</f>
        <v>610</v>
      </c>
      <c r="AX135" s="59">
        <f t="shared" si="152"/>
        <v>-358.61593634290193</v>
      </c>
      <c r="AY135" s="42">
        <f>'[1]побудинковий звіт'!AY135+'[2]побудинковий звіт'!AY135-'[3]побудинковий звіт'!AY135</f>
        <v>1301.1151289848876</v>
      </c>
      <c r="AZ135" s="42">
        <f>'[1]побудинковий звіт'!AZ135+'[2]побудинковий звіт'!AZ135-'[3]побудинковий звіт'!AZ135</f>
        <v>0</v>
      </c>
      <c r="BA135" s="37">
        <f t="shared" si="153"/>
        <v>-1301.1151289848876</v>
      </c>
      <c r="BB135" s="42">
        <f>'[1]побудинковий звіт'!BB135+'[2]побудинковий звіт'!BB135-'[3]побудинковий звіт'!BB135</f>
        <v>1470.8501088812288</v>
      </c>
      <c r="BC135" s="42">
        <f>'[1]побудинковий звіт'!BC135+'[2]побудинковий звіт'!BC135-'[3]побудинковий звіт'!BC135</f>
        <v>426.6062064460242</v>
      </c>
      <c r="BD135" s="59">
        <f t="shared" si="154"/>
        <v>-1044.2439024352047</v>
      </c>
      <c r="BE135" s="42">
        <f>'[1]побудинковий звіт'!BE135+'[2]побудинковий звіт'!BE135-'[3]побудинковий звіт'!BE135</f>
        <v>597.02457128481444</v>
      </c>
      <c r="BF135" s="42">
        <f>'[1]побудинковий звіт'!BF135+'[2]побудинковий звіт'!BF135-'[3]побудинковий звіт'!BF135</f>
        <v>0</v>
      </c>
      <c r="BG135" s="39">
        <f t="shared" si="155"/>
        <v>-597.02457128481444</v>
      </c>
      <c r="BH135" s="42">
        <f>'[1]побудинковий звіт'!BH135+'[2]побудинковий звіт'!BH135-'[3]побудинковий звіт'!BH135</f>
        <v>395.76741189229665</v>
      </c>
      <c r="BI135" s="42">
        <f>'[1]побудинковий звіт'!BI135+'[2]побудинковий звіт'!BI135-'[3]побудинковий звіт'!BI135</f>
        <v>0</v>
      </c>
      <c r="BJ135" s="59">
        <f t="shared" si="156"/>
        <v>-395.76741189229665</v>
      </c>
      <c r="BK135" s="42">
        <f>'[1]побудинковий звіт'!BK135+'[2]побудинковий звіт'!BK135-'[3]побудинковий звіт'!BK135</f>
        <v>863.94389620380832</v>
      </c>
      <c r="BL135" s="42">
        <f>'[1]побудинковий звіт'!BL135+'[2]побудинковий звіт'!BL135-'[3]побудинковий звіт'!BL135</f>
        <v>3939</v>
      </c>
      <c r="BM135" s="39">
        <f t="shared" si="157"/>
        <v>3075.0561037961916</v>
      </c>
      <c r="BN135" s="42">
        <f>'[1]побудинковий звіт'!BN135+'[2]побудинковий звіт'!BN135-'[3]побудинковий звіт'!BN135</f>
        <v>394.89345310091193</v>
      </c>
      <c r="BO135" s="42">
        <f>'[1]побудинковий звіт'!BO135+'[2]побудинковий звіт'!BO135-'[3]побудинковий звіт'!BO135</f>
        <v>0</v>
      </c>
      <c r="BP135" s="59">
        <f t="shared" si="158"/>
        <v>-394.89345310091193</v>
      </c>
      <c r="BQ135" s="87">
        <f t="shared" si="165"/>
        <v>5992.2105066908498</v>
      </c>
      <c r="BR135" s="43">
        <f t="shared" si="166"/>
        <v>4975.6062064460239</v>
      </c>
      <c r="BS135" s="59">
        <f t="shared" si="159"/>
        <v>-1016.6043002448259</v>
      </c>
      <c r="BT135" s="42">
        <f>'[1]побудинковий звіт'!BT135+'[2]побудинковий звіт'!BT135-'[3]побудинковий звіт'!BT135</f>
        <v>49252.34819660963</v>
      </c>
      <c r="BU135" s="42">
        <f>'[1]побудинковий звіт'!BU135+'[2]побудинковий звіт'!BU135-'[3]побудинковий звіт'!BU135</f>
        <v>49780.897037061775</v>
      </c>
      <c r="BV135" s="56">
        <f t="shared" si="137"/>
        <v>528.54884045214567</v>
      </c>
      <c r="BW135" s="42">
        <f>'[1]побудинковий звіт'!BW135+'[2]побудинковий звіт'!BW135-'[3]побудинковий звіт'!BW135</f>
        <v>48639.982380881156</v>
      </c>
      <c r="BX135" s="42">
        <f>'[1]побудинковий звіт'!BX135+'[2]побудинковий звіт'!BX135-'[3]побудинковий звіт'!BX135</f>
        <v>50099.270889116015</v>
      </c>
      <c r="BY135" s="56">
        <f t="shared" si="138"/>
        <v>1459.2885082348585</v>
      </c>
      <c r="BZ135" s="42">
        <f>'[1]побудинковий звіт'!BZ135+'[2]побудинковий звіт'!BZ135-'[3]побудинковий звіт'!BZ135</f>
        <v>6491.9522610755403</v>
      </c>
      <c r="CA135" s="42">
        <f>'[1]побудинковий звіт'!CA135+'[2]побудинковий звіт'!CA135-'[3]побудинковий звіт'!CA135</f>
        <v>13459.733031685968</v>
      </c>
      <c r="CB135" s="56">
        <f t="shared" si="139"/>
        <v>6967.7807706104277</v>
      </c>
      <c r="CC135" s="42">
        <f>'[1]побудинковий звіт'!CC135+'[2]побудинковий звіт'!CC135-'[3]побудинковий звіт'!CC135</f>
        <v>1127.410020065646</v>
      </c>
      <c r="CD135" s="42">
        <f>'[1]побудинковий звіт'!CD135+'[2]побудинковий звіт'!CD135-'[3]побудинковий звіт'!CD135</f>
        <v>1117.4941301972592</v>
      </c>
      <c r="CE135" s="56">
        <f t="shared" si="140"/>
        <v>-9.9158898683867847</v>
      </c>
      <c r="CF135" s="42">
        <f>'[1]побудинковий звіт'!CF135+'[2]побудинковий звіт'!CF135-'[3]побудинковий звіт'!CF135</f>
        <v>138.79100625808135</v>
      </c>
      <c r="CG135" s="42">
        <f>'[1]побудинковий звіт'!CG135+'[2]побудинковий звіт'!CG135-'[3]побудинковий звіт'!CG135</f>
        <v>0</v>
      </c>
      <c r="CH135" s="56">
        <f t="shared" si="141"/>
        <v>-138.79100625808135</v>
      </c>
      <c r="CI135" s="42">
        <f>'[1]побудинковий звіт'!CI135+'[2]побудинковий звіт'!CI135-'[3]побудинковий звіт'!CI135</f>
        <v>6363.9585602453253</v>
      </c>
      <c r="CJ135" s="42">
        <f>'[1]побудинковий звіт'!CJ135+'[2]побудинковий звіт'!CJ135-'[3]побудинковий звіт'!CJ135</f>
        <v>7911.5725357374231</v>
      </c>
      <c r="CK135" s="56">
        <f t="shared" si="142"/>
        <v>1547.6139754920978</v>
      </c>
      <c r="CL135" s="42">
        <f>'[1]побудинковий звіт'!CL135+'[2]побудинковий звіт'!CL135-'[3]побудинковий звіт'!CL135</f>
        <v>6944.2018407382839</v>
      </c>
      <c r="CM135" s="42">
        <f>'[1]побудинковий звіт'!CM135+'[2]побудинковий звіт'!CM135-'[3]побудинковий звіт'!CM135</f>
        <v>6041.6504677928997</v>
      </c>
      <c r="CN135" s="56">
        <f t="shared" si="143"/>
        <v>-902.55137294538417</v>
      </c>
      <c r="CO135" s="42">
        <f t="shared" si="123"/>
        <v>13308.160400983608</v>
      </c>
      <c r="CP135" s="43">
        <f t="shared" si="144"/>
        <v>13953.223003530322</v>
      </c>
      <c r="CQ135" s="56">
        <f t="shared" si="145"/>
        <v>645.06260254671361</v>
      </c>
      <c r="CR135" s="78">
        <f t="shared" si="124"/>
        <v>291647.46442294738</v>
      </c>
      <c r="CS135" s="5">
        <f t="shared" si="124"/>
        <v>251928.37060063813</v>
      </c>
      <c r="CT135" s="56">
        <f t="shared" si="146"/>
        <v>-39719.093822309253</v>
      </c>
      <c r="CU135" s="87">
        <f t="shared" si="147"/>
        <v>349976.95730753685</v>
      </c>
      <c r="CV135" s="70">
        <f t="shared" si="148"/>
        <v>302314.04472076573</v>
      </c>
      <c r="CW135" s="37">
        <f t="shared" si="149"/>
        <v>-47662.912586771126</v>
      </c>
      <c r="CX135" s="42">
        <f>'[1]побудинковий звіт'!CX135+'[2]побудинковий звіт'!CX135-'[3]побудинковий звіт'!CX135</f>
        <v>8751.0426924632338</v>
      </c>
      <c r="CY135" s="42">
        <f>'[1]побудинковий звіт'!CY135+'[2]побудинковий звіт'!CY135-'[3]побудинковий звіт'!CY135</f>
        <v>56413.955279234287</v>
      </c>
      <c r="CZ135" s="56">
        <f t="shared" si="150"/>
        <v>47662.912586771054</v>
      </c>
      <c r="DA135" s="264">
        <f>'[4]побудинковий звіт'!DA135</f>
        <v>-119442.13923792233</v>
      </c>
      <c r="DB135" s="2">
        <v>1</v>
      </c>
      <c r="DC135" s="717">
        <f>'[4]побудинковий звіт'!DC135</f>
        <v>51337.79</v>
      </c>
      <c r="DD135" s="717">
        <f>'[4]побудинковий звіт'!DD135</f>
        <v>0</v>
      </c>
      <c r="DE135" s="717">
        <f>'[4]побудинковий звіт'!DE135</f>
        <v>21443.79</v>
      </c>
      <c r="DF135" s="717">
        <f>'[4]побудинковий звіт'!DF135</f>
        <v>0</v>
      </c>
      <c r="DG135" s="787">
        <v>-72774.780498107197</v>
      </c>
      <c r="DH135" s="761">
        <f t="shared" si="171"/>
        <v>4304736.0000000019</v>
      </c>
      <c r="DI135" s="784"/>
      <c r="DJ135" s="5"/>
      <c r="DK135" s="317">
        <f>VLOOKUP($A135,ціни!$A$4:$G$401,5)</f>
        <v>6.1951520626011511</v>
      </c>
      <c r="DL135" s="317">
        <f>VLOOKUP($A135,ціни!$A$4:$G$401,6)</f>
        <v>7.5825658751556722</v>
      </c>
      <c r="DM135" s="317">
        <f>VLOOKUP($A135,ціни!$A$4:$G$401,7)</f>
        <v>4.9562478843693736</v>
      </c>
      <c r="DN135" s="30">
        <f>DK135*G135+(F135-G135)*DL135</f>
        <v>139.87660924123793</v>
      </c>
      <c r="DO135" s="30">
        <f>DM135*H135</f>
        <v>0</v>
      </c>
      <c r="DP135" s="316">
        <f t="shared" si="162"/>
        <v>139.87660924123793</v>
      </c>
      <c r="DQ135" s="104"/>
      <c r="DR135" s="30">
        <f>VLOOKUP(A135,'ДЗ нас '!$A$1:$C$359,2)</f>
        <v>29894</v>
      </c>
      <c r="DS135" s="748"/>
      <c r="DT135" s="30">
        <f t="shared" si="163"/>
        <v>29894</v>
      </c>
      <c r="DU135" s="257">
        <f>VLOOKUP(A135,'новий кошторис с 01.06'!$A$4:$AI$399,35)*1.2</f>
        <v>30039.688835563571</v>
      </c>
      <c r="DV135" s="30">
        <f t="shared" si="164"/>
        <v>-145.68883556357105</v>
      </c>
      <c r="DW135" s="930">
        <f>'[5]побудинковий звіт'!DW135+'[6]побудинковий звіт'!DW135</f>
        <v>236</v>
      </c>
      <c r="DY135" s="5">
        <f t="shared" si="167"/>
        <v>96541.230011393331</v>
      </c>
      <c r="DZ135" s="5">
        <f t="shared" si="168"/>
        <v>45091.093902389417</v>
      </c>
      <c r="EA135" s="752">
        <f t="shared" si="172"/>
        <v>21443.79</v>
      </c>
      <c r="EC135" s="592">
        <f t="shared" si="169"/>
        <v>893505.77403364307</v>
      </c>
      <c r="EE135" s="758">
        <v>16420</v>
      </c>
      <c r="EF135" s="738">
        <f t="shared" si="170"/>
        <v>-56354.780498107197</v>
      </c>
      <c r="EH135" s="813">
        <v>-75986.91240194792</v>
      </c>
    </row>
    <row r="136" spans="1:138" x14ac:dyDescent="0.3">
      <c r="A136" s="328">
        <v>150001009</v>
      </c>
      <c r="B136" s="44" t="s">
        <v>588</v>
      </c>
      <c r="C136" s="45" t="s">
        <v>212</v>
      </c>
      <c r="D136" s="45" t="s">
        <v>212</v>
      </c>
      <c r="E136" s="40">
        <f t="shared" si="108"/>
        <v>3162.15</v>
      </c>
      <c r="F136" s="490">
        <v>3077.05</v>
      </c>
      <c r="G136" s="30"/>
      <c r="H136" s="30">
        <v>85.1</v>
      </c>
      <c r="I136" s="42">
        <f>'[1]побудинковий звіт'!I136+'[2]побудинковий звіт'!I136-'[3]побудинковий звіт'!I136</f>
        <v>5133.1957027864637</v>
      </c>
      <c r="J136" s="42">
        <f>'[1]побудинковий звіт'!J136+'[2]побудинковий звіт'!J136-'[3]побудинковий звіт'!J136</f>
        <v>5117.1877162018509</v>
      </c>
      <c r="K136" s="56">
        <f t="shared" si="125"/>
        <v>-16.007986584612809</v>
      </c>
      <c r="L136" s="42">
        <f>'[1]побудинковий звіт'!L136+'[2]побудинковий звіт'!L136-'[3]побудинковий звіт'!L136</f>
        <v>911.35887063452697</v>
      </c>
      <c r="M136" s="42">
        <f>'[1]побудинковий звіт'!M136+'[2]побудинковий звіт'!M136-'[3]побудинковий звіт'!M136</f>
        <v>919.52292656907628</v>
      </c>
      <c r="N136" s="56">
        <f t="shared" si="126"/>
        <v>8.1640559345493102</v>
      </c>
      <c r="O136" s="42">
        <f>'[1]побудинковий звіт'!O136+'[2]побудинковий звіт'!O136-'[3]побудинковий звіт'!O136</f>
        <v>2134.4399999999996</v>
      </c>
      <c r="P136" s="42">
        <f>'[1]побудинковий звіт'!P136+'[2]побудинковий звіт'!P136-'[3]побудинковий звіт'!P136</f>
        <v>1677.8109338709678</v>
      </c>
      <c r="Q136" s="56">
        <f t="shared" si="127"/>
        <v>-456.6290661290318</v>
      </c>
      <c r="R136" s="42">
        <f>'[1]побудинковий звіт'!R136+'[2]побудинковий звіт'!R136-'[3]побудинковий звіт'!R136</f>
        <v>0</v>
      </c>
      <c r="S136" s="42">
        <f>'[1]побудинковий звіт'!S136+'[2]побудинковий звіт'!S136-'[3]побудинковий звіт'!S136</f>
        <v>0</v>
      </c>
      <c r="T136" s="56">
        <f t="shared" si="128"/>
        <v>0</v>
      </c>
      <c r="U136" s="42">
        <f>'[1]побудинковий звіт'!U136+'[2]побудинковий звіт'!U136-'[3]побудинковий звіт'!U136</f>
        <v>0</v>
      </c>
      <c r="V136" s="42">
        <f>'[1]побудинковий звіт'!V136+'[2]побудинковий звіт'!V136-'[3]побудинковий звіт'!V136</f>
        <v>0</v>
      </c>
      <c r="W136" s="56">
        <f t="shared" si="129"/>
        <v>0</v>
      </c>
      <c r="X136" s="42">
        <f>'[1]побудинковий звіт'!X136+'[2]побудинковий звіт'!X136-'[3]побудинковий звіт'!X136</f>
        <v>3006.6029525217373</v>
      </c>
      <c r="Y136" s="42">
        <f>'[1]побудинковий звіт'!Y136+'[2]побудинковий звіт'!Y136-'[3]побудинковий звіт'!Y136</f>
        <v>4427.8377357228628</v>
      </c>
      <c r="Z136" s="56">
        <f t="shared" si="130"/>
        <v>1421.2347832011255</v>
      </c>
      <c r="AA136" s="42">
        <f>'[1]побудинковий звіт'!AA136+'[2]побудинковий звіт'!AA136-'[3]побудинковий звіт'!AA136</f>
        <v>0</v>
      </c>
      <c r="AB136" s="42">
        <f>'[1]побудинковий звіт'!AB136+'[2]побудинковий звіт'!AB136-'[3]побудинковий звіт'!AB136</f>
        <v>0</v>
      </c>
      <c r="AC136" s="56">
        <f t="shared" si="131"/>
        <v>0</v>
      </c>
      <c r="AD136" s="42">
        <f>'[1]побудинковий звіт'!AD136+'[2]побудинковий звіт'!AD136-'[3]побудинковий звіт'!AD136</f>
        <v>6349.6098268079768</v>
      </c>
      <c r="AE136" s="42">
        <f>'[1]побудинковий звіт'!AE136+'[2]побудинковий звіт'!AE136-'[3]побудинковий звіт'!AE136</f>
        <v>5852.3930826110809</v>
      </c>
      <c r="AF136" s="37">
        <f t="shared" si="132"/>
        <v>-497.21674419689589</v>
      </c>
      <c r="AG136" s="87">
        <f t="shared" si="120"/>
        <v>17535.207352750705</v>
      </c>
      <c r="AH136" s="57">
        <f t="shared" si="120"/>
        <v>17994.75239497584</v>
      </c>
      <c r="AI136" s="56">
        <f t="shared" si="133"/>
        <v>459.54504222513424</v>
      </c>
      <c r="AJ136" s="42">
        <f>'[1]побудинковий звіт'!AJ136+'[2]побудинковий звіт'!AJ136-'[3]побудинковий звіт'!AJ136</f>
        <v>0</v>
      </c>
      <c r="AK136" s="42">
        <f>'[1]побудинковий звіт'!AK136+'[2]побудинковий звіт'!AK136-'[3]побудинковий звіт'!AK136</f>
        <v>0</v>
      </c>
      <c r="AL136" s="56">
        <f t="shared" si="134"/>
        <v>0</v>
      </c>
      <c r="AM136" s="42">
        <f>'[1]побудинковий звіт'!AM136+'[2]побудинковий звіт'!AM136-'[3]побудинковий звіт'!AM136</f>
        <v>0</v>
      </c>
      <c r="AN136" s="42">
        <f>'[1]побудинковий звіт'!AN136+'[2]побудинковий звіт'!AN136-'[3]побудинковий звіт'!AN136</f>
        <v>0</v>
      </c>
      <c r="AO136" s="56">
        <f t="shared" si="135"/>
        <v>0</v>
      </c>
      <c r="AP136" s="42">
        <f>'[1]побудинковий звіт'!AP136+'[2]побудинковий звіт'!AP136-'[3]побудинковий звіт'!AP136</f>
        <v>4261.5793930214249</v>
      </c>
      <c r="AQ136" s="42">
        <f>'[1]побудинковий звіт'!AQ136+'[2]побудинковий звіт'!AQ136-'[3]побудинковий звіт'!AQ136</f>
        <v>1978.5550109573785</v>
      </c>
      <c r="AR136" s="56">
        <f t="shared" si="136"/>
        <v>-2283.0243820640462</v>
      </c>
      <c r="AS136" s="42">
        <f>'[1]побудинковий звіт'!AS136+'[2]побудинковий звіт'!AS136-'[3]побудинковий звіт'!AS136</f>
        <v>18402.43746795717</v>
      </c>
      <c r="AT136" s="42">
        <f>'[1]побудинковий звіт'!AT136+'[2]побудинковий звіт'!AT136-'[3]побудинковий звіт'!AT136</f>
        <v>230</v>
      </c>
      <c r="AU136" s="58">
        <f t="shared" si="151"/>
        <v>-18172.43746795717</v>
      </c>
      <c r="AV136" s="42">
        <f>'[1]побудинковий звіт'!AV136+'[2]побудинковий звіт'!AV136-'[3]побудинковий звіт'!AV136</f>
        <v>857.03979903924915</v>
      </c>
      <c r="AW136" s="42">
        <f>'[1]побудинковий звіт'!AW136+'[2]побудинковий звіт'!AW136-'[3]побудинковий звіт'!AW136</f>
        <v>0</v>
      </c>
      <c r="AX136" s="59">
        <f t="shared" si="152"/>
        <v>-857.03979903924915</v>
      </c>
      <c r="AY136" s="42">
        <f>'[1]побудинковий звіт'!AY136+'[2]побудинковий звіт'!AY136-'[3]побудинковий звіт'!AY136</f>
        <v>1174.5740094673354</v>
      </c>
      <c r="AZ136" s="42">
        <f>'[1]побудинковий звіт'!AZ136+'[2]побудинковий звіт'!AZ136-'[3]побудинковий звіт'!AZ136</f>
        <v>0</v>
      </c>
      <c r="BA136" s="37">
        <f t="shared" si="153"/>
        <v>-1174.5740094673354</v>
      </c>
      <c r="BB136" s="42">
        <f>'[1]побудинковий звіт'!BB136+'[2]побудинковий звіт'!BB136-'[3]побудинковий звіт'!BB136</f>
        <v>1115.367375233762</v>
      </c>
      <c r="BC136" s="42">
        <f>'[1]побудинковий звіт'!BC136+'[2]побудинковий звіт'!BC136-'[3]побудинковий звіт'!BC136</f>
        <v>0</v>
      </c>
      <c r="BD136" s="59">
        <f t="shared" si="154"/>
        <v>-1115.367375233762</v>
      </c>
      <c r="BE136" s="42">
        <f>'[1]побудинковий звіт'!BE136+'[2]побудинковий звіт'!BE136-'[3]побудинковий звіт'!BE136</f>
        <v>0</v>
      </c>
      <c r="BF136" s="42">
        <f>'[1]побудинковий звіт'!BF136+'[2]побудинковий звіт'!BF136-'[3]побудинковий звіт'!BF136</f>
        <v>0</v>
      </c>
      <c r="BG136" s="39">
        <f t="shared" si="155"/>
        <v>0</v>
      </c>
      <c r="BH136" s="42">
        <f>'[1]побудинковий звіт'!BH136+'[2]побудинковий звіт'!BH136-'[3]побудинковий звіт'!BH136</f>
        <v>0</v>
      </c>
      <c r="BI136" s="42">
        <f>'[1]побудинковий звіт'!BI136+'[2]побудинковий звіт'!BI136-'[3]побудинковий звіт'!BI136</f>
        <v>0</v>
      </c>
      <c r="BJ136" s="59">
        <f t="shared" si="156"/>
        <v>0</v>
      </c>
      <c r="BK136" s="42">
        <f>'[1]побудинковий звіт'!BK136+'[2]побудинковий звіт'!BK136-'[3]побудинковий звіт'!BK136</f>
        <v>349.45267117081045</v>
      </c>
      <c r="BL136" s="42">
        <f>'[1]побудинковий звіт'!BL136+'[2]побудинковий звіт'!BL136-'[3]побудинковий звіт'!BL136</f>
        <v>0</v>
      </c>
      <c r="BM136" s="39">
        <f t="shared" si="157"/>
        <v>-349.45267117081045</v>
      </c>
      <c r="BN136" s="42">
        <f>'[1]побудинковий звіт'!BN136+'[2]побудинковий звіт'!BN136-'[3]побудинковий звіт'!BN136</f>
        <v>0</v>
      </c>
      <c r="BO136" s="42">
        <f>'[1]побудинковий звіт'!BO136+'[2]побудинковий звіт'!BO136-'[3]побудинковий звіт'!BO136</f>
        <v>0</v>
      </c>
      <c r="BP136" s="59">
        <f t="shared" si="158"/>
        <v>0</v>
      </c>
      <c r="BQ136" s="87">
        <f t="shared" si="165"/>
        <v>3496.4338549111571</v>
      </c>
      <c r="BR136" s="43">
        <f t="shared" si="166"/>
        <v>0</v>
      </c>
      <c r="BS136" s="59">
        <f t="shared" si="159"/>
        <v>-3496.4338549111571</v>
      </c>
      <c r="BT136" s="42">
        <f>'[1]побудинковий звіт'!BT136+'[2]побудинковий звіт'!BT136-'[3]побудинковий звіт'!BT136</f>
        <v>10375.096033894439</v>
      </c>
      <c r="BU136" s="42">
        <f>'[1]побудинковий звіт'!BU136+'[2]побудинковий звіт'!BU136-'[3]побудинковий звіт'!BU136</f>
        <v>18191.415685478773</v>
      </c>
      <c r="BV136" s="56">
        <f t="shared" si="137"/>
        <v>7816.3196515843338</v>
      </c>
      <c r="BW136" s="42">
        <f>'[1]побудинковий звіт'!BW136+'[2]побудинковий звіт'!BW136-'[3]побудинковий звіт'!BW136</f>
        <v>8073.0433213973174</v>
      </c>
      <c r="BX136" s="42">
        <f>'[1]побудинковий звіт'!BX136+'[2]побудинковий звіт'!BX136-'[3]побудинковий звіт'!BX136</f>
        <v>8294.1345159233497</v>
      </c>
      <c r="BY136" s="56">
        <f t="shared" si="138"/>
        <v>221.09119452603227</v>
      </c>
      <c r="BZ136" s="42">
        <f>'[1]побудинковий звіт'!BZ136+'[2]побудинковий звіт'!BZ136-'[3]побудинковий звіт'!BZ136</f>
        <v>6183.1212220046764</v>
      </c>
      <c r="CA136" s="42">
        <f>'[1]побудинковий звіт'!CA136+'[2]побудинковий звіт'!CA136-'[3]побудинковий звіт'!CA136</f>
        <v>6279.8947127199372</v>
      </c>
      <c r="CB136" s="56">
        <f t="shared" si="139"/>
        <v>96.773490715260778</v>
      </c>
      <c r="CC136" s="42">
        <f>'[1]побудинковий звіт'!CC136+'[2]побудинковий звіт'!CC136-'[3]побудинковий звіт'!CC136</f>
        <v>617.67833084734048</v>
      </c>
      <c r="CD136" s="42">
        <f>'[1]побудинковий звіт'!CD136+'[2]побудинковий звіт'!CD136-'[3]побудинковий звіт'!CD136</f>
        <v>612.2456752972198</v>
      </c>
      <c r="CE136" s="56">
        <f t="shared" si="140"/>
        <v>-5.4326555501206713</v>
      </c>
      <c r="CF136" s="42">
        <f>'[1]побудинковий звіт'!CF136+'[2]побудинковий звіт'!CF136-'[3]побудинковий звіт'!CF136</f>
        <v>76.039946032343053</v>
      </c>
      <c r="CG136" s="42">
        <f>'[1]побудинковий звіт'!CG136+'[2]побудинковий звіт'!CG136-'[3]побудинковий звіт'!CG136</f>
        <v>0</v>
      </c>
      <c r="CH136" s="56">
        <f t="shared" si="141"/>
        <v>-76.039946032343053</v>
      </c>
      <c r="CI136" s="42">
        <f>'[1]побудинковий звіт'!CI136+'[2]побудинковий звіт'!CI136-'[3]побудинковий звіт'!CI136</f>
        <v>2938.6514528191651</v>
      </c>
      <c r="CJ136" s="42">
        <f>'[1]побудинковий звіт'!CJ136+'[2]побудинковий звіт'!CJ136-'[3]побудинковий звіт'!CJ136</f>
        <v>2077.3949998352164</v>
      </c>
      <c r="CK136" s="56">
        <f t="shared" si="142"/>
        <v>-861.25645298394875</v>
      </c>
      <c r="CL136" s="42">
        <f>'[1]побудинковий звіт'!CL136+'[2]побудинковий звіт'!CL136-'[3]побудинковий звіт'!CL136</f>
        <v>0</v>
      </c>
      <c r="CM136" s="42">
        <f>'[1]побудинковий звіт'!CM136+'[2]побудинковий звіт'!CM136-'[3]побудинковий звіт'!CM136</f>
        <v>0</v>
      </c>
      <c r="CN136" s="56">
        <f t="shared" si="143"/>
        <v>0</v>
      </c>
      <c r="CO136" s="42">
        <f t="shared" si="123"/>
        <v>2938.6514528191651</v>
      </c>
      <c r="CP136" s="43">
        <f t="shared" si="144"/>
        <v>2077.3949998352164</v>
      </c>
      <c r="CQ136" s="56">
        <f t="shared" si="145"/>
        <v>-861.25645298394875</v>
      </c>
      <c r="CR136" s="78">
        <f t="shared" si="124"/>
        <v>71959.288375635719</v>
      </c>
      <c r="CS136" s="5">
        <f t="shared" si="124"/>
        <v>55658.392995187707</v>
      </c>
      <c r="CT136" s="56">
        <f t="shared" si="146"/>
        <v>-16300.895380448012</v>
      </c>
      <c r="CU136" s="87">
        <f t="shared" si="147"/>
        <v>86351.146050762865</v>
      </c>
      <c r="CV136" s="70">
        <f t="shared" si="148"/>
        <v>66790.071594225243</v>
      </c>
      <c r="CW136" s="37">
        <f t="shared" si="149"/>
        <v>-19561.074456537623</v>
      </c>
      <c r="CX136" s="42">
        <f>'[1]побудинковий звіт'!CX136+'[2]побудинковий звіт'!CX136-'[3]побудинковий звіт'!CX136</f>
        <v>2139.7939492371079</v>
      </c>
      <c r="CY136" s="42">
        <f>'[1]побудинковий звіт'!CY136+'[2]побудинковий звіт'!CY136-'[3]побудинковий звіт'!CY136</f>
        <v>21700.86840577476</v>
      </c>
      <c r="CZ136" s="56">
        <f t="shared" si="150"/>
        <v>19561.074456537652</v>
      </c>
      <c r="DA136" s="264">
        <f>'[4]побудинковий звіт'!DA136</f>
        <v>-64731.813368703741</v>
      </c>
      <c r="DB136" s="2">
        <v>2</v>
      </c>
      <c r="DC136" s="717">
        <f>'[4]побудинковий звіт'!DC136</f>
        <v>9251.69</v>
      </c>
      <c r="DD136" s="717">
        <f>'[4]побудинковий звіт'!DD136</f>
        <v>1463.1200000000001</v>
      </c>
      <c r="DE136" s="717">
        <f>'[4]побудинковий звіт'!DE136</f>
        <v>2257.5800000000008</v>
      </c>
      <c r="DF136" s="717">
        <f>'[4]побудинковий звіт'!DF136</f>
        <v>1087.8600000000001</v>
      </c>
      <c r="DG136" s="787">
        <v>-36887.382338355383</v>
      </c>
      <c r="DH136" s="761">
        <f t="shared" si="171"/>
        <v>1061891.2799999998</v>
      </c>
      <c r="DI136" s="784"/>
      <c r="DJ136" s="5"/>
      <c r="DK136" s="317">
        <f>VLOOKUP($A136,ціни!$A$4:$G$401,5)</f>
        <v>5.0007609672117503</v>
      </c>
      <c r="DL136" s="317"/>
      <c r="DM136" s="317">
        <f>VLOOKUP($A136,ціни!$A$4:$G$401,7)</f>
        <v>4.4096566451578711</v>
      </c>
      <c r="DN136" s="30">
        <f t="shared" ref="DN136:DN144" si="173">F136*DK136</f>
        <v>15387.591534158917</v>
      </c>
      <c r="DO136" s="30">
        <f t="shared" ref="DO136:DO144" si="174">H136*DM136</f>
        <v>375.26178050293481</v>
      </c>
      <c r="DP136" s="316">
        <f t="shared" si="162"/>
        <v>15762.853314661852</v>
      </c>
      <c r="DQ136" s="104"/>
      <c r="DR136" s="30">
        <f>VLOOKUP(A136,'ДЗ нас '!$A$1:$C$359,2)</f>
        <v>6994.11</v>
      </c>
      <c r="DS136" s="748">
        <f>VLOOKUP(A136,'ДЗ нежит'!$A$1:$D$153,4,0)</f>
        <v>375.26</v>
      </c>
      <c r="DT136" s="30">
        <f t="shared" si="163"/>
        <v>7369.37</v>
      </c>
      <c r="DU136" s="257">
        <f>VLOOKUP(A136,'новий кошторис с 01.06'!$A$4:$AI$399,35)*1.2</f>
        <v>7411.8067026904819</v>
      </c>
      <c r="DV136" s="30">
        <f t="shared" si="164"/>
        <v>-42.43670269048198</v>
      </c>
      <c r="DW136" s="930">
        <f>'[5]побудинковий звіт'!DW136+'[6]побудинковий звіт'!DW136</f>
        <v>253</v>
      </c>
      <c r="DY136" s="5">
        <f t="shared" si="167"/>
        <v>26278.645587441992</v>
      </c>
      <c r="DZ136" s="5">
        <f t="shared" si="168"/>
        <v>276</v>
      </c>
      <c r="EA136" s="752">
        <f t="shared" si="172"/>
        <v>3345.440000000001</v>
      </c>
      <c r="EC136" s="592">
        <f t="shared" si="169"/>
        <v>220829.24961548604</v>
      </c>
      <c r="EE136" s="758">
        <v>29583</v>
      </c>
      <c r="EF136" s="738">
        <f t="shared" si="170"/>
        <v>-7304.3823383553827</v>
      </c>
      <c r="EH136" s="813">
        <v>-47078.283169387214</v>
      </c>
    </row>
    <row r="137" spans="1:138" x14ac:dyDescent="0.3">
      <c r="A137" s="328">
        <v>150001010</v>
      </c>
      <c r="B137" s="44" t="s">
        <v>589</v>
      </c>
      <c r="C137" s="45" t="s">
        <v>164</v>
      </c>
      <c r="D137" s="45" t="s">
        <v>164</v>
      </c>
      <c r="E137" s="40">
        <f t="shared" ref="E137:E200" si="175">F137+H137</f>
        <v>7316.74</v>
      </c>
      <c r="F137" s="490">
        <v>7111.44</v>
      </c>
      <c r="G137" s="30"/>
      <c r="H137" s="30">
        <v>205.3</v>
      </c>
      <c r="I137" s="42">
        <f>'[1]побудинковий звіт'!I137+'[2]побудинковий звіт'!I137-'[3]побудинковий звіт'!I137</f>
        <v>3254.9714338735789</v>
      </c>
      <c r="J137" s="42">
        <f>'[1]побудинковий звіт'!J137+'[2]побудинковий звіт'!J137-'[3]побудинковий звіт'!J137</f>
        <v>3214.4441299451164</v>
      </c>
      <c r="K137" s="56">
        <f t="shared" si="125"/>
        <v>-40.527303928462516</v>
      </c>
      <c r="L137" s="42">
        <f>'[1]побудинковий звіт'!L137+'[2]побудинковий звіт'!L137-'[3]побудинковий звіт'!L137</f>
        <v>695.35703056594923</v>
      </c>
      <c r="M137" s="42">
        <f>'[1]побудинковий звіт'!M137+'[2]побудинковий звіт'!M137-'[3]побудинковий звіт'!M137</f>
        <v>701.58405111601598</v>
      </c>
      <c r="N137" s="56">
        <f t="shared" si="126"/>
        <v>6.2270205500667544</v>
      </c>
      <c r="O137" s="42">
        <f>'[1]побудинковий звіт'!O137+'[2]побудинковий звіт'!O137-'[3]побудинковий звіт'!O137</f>
        <v>1014.9600000000002</v>
      </c>
      <c r="P137" s="42">
        <f>'[1]побудинковий звіт'!P137+'[2]побудинковий звіт'!P137-'[3]побудинковий звіт'!P137</f>
        <v>797.83360430107541</v>
      </c>
      <c r="Q137" s="56">
        <f t="shared" si="127"/>
        <v>-217.12639569892474</v>
      </c>
      <c r="R137" s="42">
        <f>'[1]побудинковий звіт'!R137+'[2]побудинковий звіт'!R137-'[3]побудинковий звіт'!R137</f>
        <v>0</v>
      </c>
      <c r="S137" s="42">
        <f>'[1]побудинковий звіт'!S137+'[2]побудинковий звіт'!S137-'[3]побудинковий звіт'!S137</f>
        <v>0</v>
      </c>
      <c r="T137" s="56">
        <f t="shared" si="128"/>
        <v>0</v>
      </c>
      <c r="U137" s="42">
        <f>'[1]побудинковий звіт'!U137+'[2]побудинковий звіт'!U137-'[3]побудинковий звіт'!U137</f>
        <v>0</v>
      </c>
      <c r="V137" s="42">
        <f>'[1]побудинковий звіт'!V137+'[2]побудинковий звіт'!V137-'[3]побудинковий звіт'!V137</f>
        <v>0</v>
      </c>
      <c r="W137" s="56">
        <f t="shared" si="129"/>
        <v>0</v>
      </c>
      <c r="X137" s="42">
        <f>'[1]побудинковий звіт'!X137+'[2]побудинковий звіт'!X137-'[3]побудинковий звіт'!X137</f>
        <v>2022.1327814129768</v>
      </c>
      <c r="Y137" s="42">
        <f>'[1]побудинковий звіт'!Y137+'[2]побудинковий звіт'!Y137-'[3]побудинковий звіт'!Y137</f>
        <v>1591.7037638628631</v>
      </c>
      <c r="Z137" s="56">
        <f t="shared" si="130"/>
        <v>-430.42901755011371</v>
      </c>
      <c r="AA137" s="42">
        <f>'[1]побудинковий звіт'!AA137+'[2]побудинковий звіт'!AA137-'[3]побудинковий звіт'!AA137</f>
        <v>0</v>
      </c>
      <c r="AB137" s="42">
        <f>'[1]побудинковий звіт'!AB137+'[2]побудинковий звіт'!AB137-'[3]побудинковий звіт'!AB137</f>
        <v>0</v>
      </c>
      <c r="AC137" s="56">
        <f t="shared" si="131"/>
        <v>0</v>
      </c>
      <c r="AD137" s="42">
        <f>'[1]побудинковий звіт'!AD137+'[2]побудинковий звіт'!AD137-'[3]побудинковий звіт'!AD137</f>
        <v>3183.7841596237163</v>
      </c>
      <c r="AE137" s="42">
        <f>'[1]побудинковий звіт'!AE137+'[2]побудинковий звіт'!AE137-'[3]побудинковий звіт'!AE137</f>
        <v>2934.4726527354942</v>
      </c>
      <c r="AF137" s="37">
        <f t="shared" si="132"/>
        <v>-249.31150688822208</v>
      </c>
      <c r="AG137" s="87">
        <f t="shared" si="120"/>
        <v>10171.205405476221</v>
      </c>
      <c r="AH137" s="57">
        <f t="shared" si="120"/>
        <v>9240.038201960564</v>
      </c>
      <c r="AI137" s="56">
        <f t="shared" si="133"/>
        <v>-931.16720351565709</v>
      </c>
      <c r="AJ137" s="42">
        <f>'[1]побудинковий звіт'!AJ137+'[2]побудинковий звіт'!AJ137-'[3]побудинковий звіт'!AJ137</f>
        <v>0</v>
      </c>
      <c r="AK137" s="42">
        <f>'[1]побудинковий звіт'!AK137+'[2]побудинковий звіт'!AK137-'[3]побудинковий звіт'!AK137</f>
        <v>0</v>
      </c>
      <c r="AL137" s="56">
        <f t="shared" si="134"/>
        <v>0</v>
      </c>
      <c r="AM137" s="42">
        <f>'[1]побудинковий звіт'!AM137+'[2]побудинковий звіт'!AM137-'[3]побудинковий звіт'!AM137</f>
        <v>0</v>
      </c>
      <c r="AN137" s="42">
        <f>'[1]побудинковий звіт'!AN137+'[2]побудинковий звіт'!AN137-'[3]побудинковий звіт'!AN137</f>
        <v>0</v>
      </c>
      <c r="AO137" s="56">
        <f t="shared" si="135"/>
        <v>0</v>
      </c>
      <c r="AP137" s="42">
        <f>'[1]побудинковий звіт'!AP137+'[2]побудинковий звіт'!AP137-'[3]побудинковий звіт'!AP137</f>
        <v>1562.579110774522</v>
      </c>
      <c r="AQ137" s="42">
        <f>'[1]побудинковий звіт'!AQ137+'[2]побудинковий звіт'!AQ137-'[3]побудинковий звіт'!AQ137</f>
        <v>1335.0551404321041</v>
      </c>
      <c r="AR137" s="56">
        <f t="shared" si="136"/>
        <v>-227.5239703424179</v>
      </c>
      <c r="AS137" s="42">
        <f>'[1]побудинковий звіт'!AS137+'[2]побудинковий звіт'!AS137-'[3]побудинковий звіт'!AS137</f>
        <v>9048.6808015984734</v>
      </c>
      <c r="AT137" s="42">
        <f>'[1]побудинковий звіт'!AT137+'[2]побудинковий звіт'!AT137-'[3]побудинковий звіт'!AT137</f>
        <v>5679.9999999999991</v>
      </c>
      <c r="AU137" s="58">
        <f t="shared" si="151"/>
        <v>-3368.6808015984743</v>
      </c>
      <c r="AV137" s="42">
        <f>'[1]побудинковий звіт'!AV137+'[2]побудинковий звіт'!AV137-'[3]побудинковий звіт'!AV137</f>
        <v>575.39784503202395</v>
      </c>
      <c r="AW137" s="42">
        <f>'[1]побудинковий звіт'!AW137+'[2]побудинковий звіт'!AW137-'[3]побудинковий звіт'!AW137</f>
        <v>0</v>
      </c>
      <c r="AX137" s="59">
        <f t="shared" si="152"/>
        <v>-575.39784503202395</v>
      </c>
      <c r="AY137" s="42">
        <f>'[1]побудинковий звіт'!AY137+'[2]побудинковий звіт'!AY137-'[3]побудинковий звіт'!AY137</f>
        <v>896.34213357644535</v>
      </c>
      <c r="AZ137" s="42">
        <f>'[1]побудинковий звіт'!AZ137+'[2]побудинковий звіт'!AZ137-'[3]побудинковий звіт'!AZ137</f>
        <v>0</v>
      </c>
      <c r="BA137" s="37">
        <f t="shared" si="153"/>
        <v>-896.34213357644535</v>
      </c>
      <c r="BB137" s="42">
        <f>'[1]побудинковий звіт'!BB137+'[2]побудинковий звіт'!BB137-'[3]побудинковий звіт'!BB137</f>
        <v>455.88890488936164</v>
      </c>
      <c r="BC137" s="42">
        <f>'[1]побудинковий звіт'!BC137+'[2]побудинковий звіт'!BC137-'[3]побудинковий звіт'!BC137</f>
        <v>0</v>
      </c>
      <c r="BD137" s="59">
        <f t="shared" si="154"/>
        <v>-455.88890488936164</v>
      </c>
      <c r="BE137" s="42">
        <f>'[1]побудинковий звіт'!BE137+'[2]побудинковий звіт'!BE137-'[3]побудинковий звіт'!BE137</f>
        <v>0</v>
      </c>
      <c r="BF137" s="42">
        <f>'[1]побудинковий звіт'!BF137+'[2]побудинковий звіт'!BF137-'[3]побудинковий звіт'!BF137</f>
        <v>0</v>
      </c>
      <c r="BG137" s="39">
        <f t="shared" si="155"/>
        <v>0</v>
      </c>
      <c r="BH137" s="42">
        <f>'[1]побудинковий звіт'!BH137+'[2]побудинковий звіт'!BH137-'[3]побудинковий звіт'!BH137</f>
        <v>0</v>
      </c>
      <c r="BI137" s="42">
        <f>'[1]побудинковий звіт'!BI137+'[2]побудинковий звіт'!BI137-'[3]побудинковий звіт'!BI137</f>
        <v>0</v>
      </c>
      <c r="BJ137" s="59">
        <f t="shared" si="156"/>
        <v>0</v>
      </c>
      <c r="BK137" s="42">
        <f>'[1]побудинковий звіт'!BK137+'[2]побудинковий звіт'!BK137-'[3]побудинковий звіт'!BK137</f>
        <v>244.6771623942879</v>
      </c>
      <c r="BL137" s="42">
        <f>'[1]побудинковий звіт'!BL137+'[2]побудинковий звіт'!BL137-'[3]побудинковий звіт'!BL137</f>
        <v>0</v>
      </c>
      <c r="BM137" s="39">
        <f t="shared" si="157"/>
        <v>-244.6771623942879</v>
      </c>
      <c r="BN137" s="42">
        <f>'[1]побудинковий звіт'!BN137+'[2]побудинковий звіт'!BN137-'[3]побудинковий звіт'!BN137</f>
        <v>0</v>
      </c>
      <c r="BO137" s="42">
        <f>'[1]побудинковий звіт'!BO137+'[2]побудинковий звіт'!BO137-'[3]побудинковий звіт'!BO137</f>
        <v>0</v>
      </c>
      <c r="BP137" s="59">
        <f t="shared" si="158"/>
        <v>0</v>
      </c>
      <c r="BQ137" s="87">
        <f t="shared" si="165"/>
        <v>2172.3060458921186</v>
      </c>
      <c r="BR137" s="43">
        <f t="shared" si="166"/>
        <v>0</v>
      </c>
      <c r="BS137" s="59">
        <f t="shared" si="159"/>
        <v>-2172.3060458921186</v>
      </c>
      <c r="BT137" s="42">
        <f>'[1]побудинковий звіт'!BT137+'[2]побудинковий звіт'!BT137-'[3]побудинковий звіт'!BT137</f>
        <v>8961.6078687236422</v>
      </c>
      <c r="BU137" s="42">
        <f>'[1]побудинковий звіт'!BU137+'[2]побудинковий звіт'!BU137-'[3]побудинковий звіт'!BU137</f>
        <v>12579.396838864915</v>
      </c>
      <c r="BV137" s="56">
        <f t="shared" si="137"/>
        <v>3617.7889701412732</v>
      </c>
      <c r="BW137" s="42">
        <f>'[1]побудинковий звіт'!BW137+'[2]побудинковий звіт'!BW137-'[3]побудинковий звіт'!BW137</f>
        <v>5018.5958157671275</v>
      </c>
      <c r="BX137" s="42">
        <f>'[1]побудинковий звіт'!BX137+'[2]побудинковий звіт'!BX137-'[3]побудинковий звіт'!BX137</f>
        <v>4974.0282048033805</v>
      </c>
      <c r="BY137" s="56">
        <f t="shared" si="138"/>
        <v>-44.567610963747029</v>
      </c>
      <c r="BZ137" s="42">
        <f>'[1]побудинковий звіт'!BZ137+'[2]побудинковий звіт'!BZ137-'[3]побудинковий звіт'!BZ137</f>
        <v>4893.7906000064904</v>
      </c>
      <c r="CA137" s="42">
        <f>'[1]побудинковий звіт'!CA137+'[2]побудинковий звіт'!CA137-'[3]побудинковий звіт'!CA137</f>
        <v>3086.2242335545297</v>
      </c>
      <c r="CB137" s="56">
        <f t="shared" si="139"/>
        <v>-1807.5663664519607</v>
      </c>
      <c r="CC137" s="42">
        <f>'[1]побудинковий звіт'!CC137+'[2]побудинковий звіт'!CC137-'[3]побудинковий звіт'!CC137</f>
        <v>308.83916542367024</v>
      </c>
      <c r="CD137" s="42">
        <f>'[1]побудинковий звіт'!CD137+'[2]побудинковий звіт'!CD137-'[3]побудинковий звіт'!CD137</f>
        <v>306.1228376486099</v>
      </c>
      <c r="CE137" s="56">
        <f t="shared" si="140"/>
        <v>-2.7163277750603356</v>
      </c>
      <c r="CF137" s="42">
        <f>'[1]побудинковий звіт'!CF137+'[2]побудинковий звіт'!CF137-'[3]побудинковий звіт'!CF137</f>
        <v>38.019973016171527</v>
      </c>
      <c r="CG137" s="42">
        <f>'[1]побудинковий звіт'!CG137+'[2]побудинковий звіт'!CG137-'[3]побудинковий звіт'!CG137</f>
        <v>1369.9087027415303</v>
      </c>
      <c r="CH137" s="56">
        <f t="shared" si="141"/>
        <v>1331.8887297253589</v>
      </c>
      <c r="CI137" s="42">
        <f>'[1]побудинковий звіт'!CI137+'[2]побудинковий звіт'!CI137-'[3]побудинковий звіт'!CI137</f>
        <v>842.28863297364626</v>
      </c>
      <c r="CJ137" s="42">
        <f>'[1]побудинковий звіт'!CJ137+'[2]побудинковий звіт'!CJ137-'[3]побудинковий звіт'!CJ137</f>
        <v>737.25639667026303</v>
      </c>
      <c r="CK137" s="56">
        <f t="shared" si="142"/>
        <v>-105.03223630338323</v>
      </c>
      <c r="CL137" s="42">
        <f>'[1]побудинковий звіт'!CL137+'[2]побудинковий звіт'!CL137-'[3]побудинковий звіт'!CL137</f>
        <v>0</v>
      </c>
      <c r="CM137" s="42">
        <f>'[1]побудинковий звіт'!CM137+'[2]побудинковий звіт'!CM137-'[3]побудинковий звіт'!CM137</f>
        <v>0</v>
      </c>
      <c r="CN137" s="56">
        <f t="shared" si="143"/>
        <v>0</v>
      </c>
      <c r="CO137" s="42">
        <f t="shared" si="123"/>
        <v>842.28863297364626</v>
      </c>
      <c r="CP137" s="43">
        <f t="shared" si="144"/>
        <v>737.25639667026303</v>
      </c>
      <c r="CQ137" s="56">
        <f t="shared" si="145"/>
        <v>-105.03223630338323</v>
      </c>
      <c r="CR137" s="78">
        <f t="shared" si="124"/>
        <v>43017.913419652075</v>
      </c>
      <c r="CS137" s="5">
        <f t="shared" si="124"/>
        <v>39308.030556675905</v>
      </c>
      <c r="CT137" s="56">
        <f t="shared" si="146"/>
        <v>-3709.8828629761701</v>
      </c>
      <c r="CU137" s="87">
        <f t="shared" si="147"/>
        <v>51621.496103582489</v>
      </c>
      <c r="CV137" s="70">
        <f t="shared" si="148"/>
        <v>47169.636668011088</v>
      </c>
      <c r="CW137" s="37">
        <f t="shared" si="149"/>
        <v>-4451.8594355714013</v>
      </c>
      <c r="CX137" s="42">
        <f>'[1]побудинковий звіт'!CX137+'[2]побудинковий звіт'!CX137-'[3]побудинковий звіт'!CX137</f>
        <v>-0.13610358249570709</v>
      </c>
      <c r="CY137" s="42">
        <f>'[1]побудинковий звіт'!CY137+'[2]побудинковий звіт'!CY137-'[3]побудинковий звіт'!CY137</f>
        <v>4451.723331988931</v>
      </c>
      <c r="CZ137" s="56">
        <f t="shared" si="150"/>
        <v>4451.8594355714267</v>
      </c>
      <c r="DA137" s="264">
        <f>'[4]побудинковий звіт'!DA137</f>
        <v>30299.848042111582</v>
      </c>
      <c r="DB137" s="2">
        <v>2</v>
      </c>
      <c r="DC137" s="717">
        <f>'[4]побудинковий звіт'!DC137</f>
        <v>3522.92</v>
      </c>
      <c r="DD137" s="717">
        <f>'[4]побудинковий звіт'!DD137</f>
        <v>16223.07</v>
      </c>
      <c r="DE137" s="717">
        <f>'[4]побудинковий звіт'!DE137</f>
        <v>268.84999999999991</v>
      </c>
      <c r="DF137" s="717">
        <f>'[4]побудинковий звіт'!DF137</f>
        <v>15175.36</v>
      </c>
      <c r="DG137" s="787">
        <v>34239.043765225186</v>
      </c>
      <c r="DH137" s="761">
        <f t="shared" si="171"/>
        <v>619456.31999999995</v>
      </c>
      <c r="DI137" s="784"/>
      <c r="DJ137" s="5"/>
      <c r="DK137" s="317">
        <f>VLOOKUP($A137,ціни!$A$4:$G$401,5)</f>
        <v>6.0338954791067447</v>
      </c>
      <c r="DL137" s="317"/>
      <c r="DM137" s="317">
        <f>VLOOKUP($A137,ціни!$A$4:$G$401,7)</f>
        <v>5.1033195815048291</v>
      </c>
      <c r="DN137" s="30">
        <f t="shared" si="173"/>
        <v>42909.685665938865</v>
      </c>
      <c r="DO137" s="30">
        <f t="shared" si="174"/>
        <v>1047.7115100829415</v>
      </c>
      <c r="DP137" s="316">
        <f t="shared" si="162"/>
        <v>43957.397176021805</v>
      </c>
      <c r="DQ137" s="104"/>
      <c r="DR137" s="30">
        <f>VLOOKUP(A137,'ДЗ нас '!$A$1:$C$359,2)</f>
        <v>3254.07</v>
      </c>
      <c r="DS137" s="748">
        <f>VLOOKUP(A137,'ДЗ нежит'!$A$1:$D$153,4,0)</f>
        <v>1047.71</v>
      </c>
      <c r="DT137" s="30">
        <f t="shared" si="163"/>
        <v>4301.7800000000007</v>
      </c>
      <c r="DU137" s="257">
        <f>VLOOKUP(A137,'новий кошторис с 01.06'!$A$4:$AI$399,35)*1.2</f>
        <v>4301.7913419652086</v>
      </c>
      <c r="DV137" s="30">
        <f t="shared" si="164"/>
        <v>-1.1341965207975591E-2</v>
      </c>
      <c r="DW137" s="930">
        <f>'[5]побудинковий звіт'!DW137+'[6]побудинковий звіт'!DW137</f>
        <v>204</v>
      </c>
      <c r="DY137" s="5">
        <f t="shared" si="167"/>
        <v>13465.184216988711</v>
      </c>
      <c r="DZ137" s="5">
        <f t="shared" si="168"/>
        <v>6815.9999999999991</v>
      </c>
      <c r="EA137" s="752">
        <f t="shared" si="172"/>
        <v>15444.210000000001</v>
      </c>
      <c r="EC137" s="592">
        <f t="shared" si="169"/>
        <v>108584.16961918169</v>
      </c>
      <c r="EE137" s="758">
        <v>-18436</v>
      </c>
      <c r="EF137" s="738">
        <f t="shared" si="170"/>
        <v>15803.043765225186</v>
      </c>
      <c r="EH137" s="813">
        <v>33923.249577028691</v>
      </c>
    </row>
    <row r="138" spans="1:138" x14ac:dyDescent="0.3">
      <c r="A138" s="328">
        <v>150001011</v>
      </c>
      <c r="B138" s="44" t="s">
        <v>590</v>
      </c>
      <c r="C138" s="45" t="s">
        <v>165</v>
      </c>
      <c r="D138" s="45" t="s">
        <v>165</v>
      </c>
      <c r="E138" s="40">
        <f t="shared" si="175"/>
        <v>9469.1</v>
      </c>
      <c r="F138" s="490">
        <v>9469.1</v>
      </c>
      <c r="G138" s="30"/>
      <c r="H138" s="30">
        <v>0</v>
      </c>
      <c r="I138" s="42">
        <f>'[1]побудинковий звіт'!I138+'[2]побудинковий звіт'!I138-'[3]побудинковий звіт'!I138</f>
        <v>2109.4717231050295</v>
      </c>
      <c r="J138" s="42">
        <f>'[1]побудинковий звіт'!J138+'[2]побудинковий звіт'!J138-'[3]побудинковий звіт'!J138</f>
        <v>2081.5702633521837</v>
      </c>
      <c r="K138" s="56">
        <f t="shared" si="125"/>
        <v>-27.901459752845767</v>
      </c>
      <c r="L138" s="42">
        <f>'[1]побудинковий звіт'!L138+'[2]побудинковий звіт'!L138-'[3]побудинковий звіт'!L138</f>
        <v>335.54730995963166</v>
      </c>
      <c r="M138" s="42">
        <f>'[1]побудинковий звіт'!M138+'[2]побудинковий звіт'!M138-'[3]побудинковий звіт'!M138</f>
        <v>338.551622964069</v>
      </c>
      <c r="N138" s="56">
        <f t="shared" si="126"/>
        <v>3.0043130044373356</v>
      </c>
      <c r="O138" s="42">
        <f>'[1]побудинковий звіт'!O138+'[2]побудинковий звіт'!O138-'[3]побудинковий звіт'!O138</f>
        <v>568.32000000000005</v>
      </c>
      <c r="P138" s="42">
        <f>'[1]побудинковий звіт'!P138+'[2]побудинковий звіт'!P138-'[3]побудинковий звіт'!P138</f>
        <v>446.74760860215054</v>
      </c>
      <c r="Q138" s="56">
        <f t="shared" si="127"/>
        <v>-121.57239139784951</v>
      </c>
      <c r="R138" s="42">
        <f>'[1]побудинковий звіт'!R138+'[2]побудинковий звіт'!R138-'[3]побудинковий звіт'!R138</f>
        <v>0</v>
      </c>
      <c r="S138" s="42">
        <f>'[1]побудинковий звіт'!S138+'[2]побудинковий звіт'!S138-'[3]побудинковий звіт'!S138</f>
        <v>0</v>
      </c>
      <c r="T138" s="56">
        <f t="shared" si="128"/>
        <v>0</v>
      </c>
      <c r="U138" s="42">
        <f>'[1]побудинковий звіт'!U138+'[2]побудинковий звіт'!U138-'[3]побудинковий звіт'!U138</f>
        <v>0</v>
      </c>
      <c r="V138" s="42">
        <f>'[1]побудинковий звіт'!V138+'[2]побудинковий звіт'!V138-'[3]побудинковий звіт'!V138</f>
        <v>0</v>
      </c>
      <c r="W138" s="56">
        <f t="shared" si="129"/>
        <v>0</v>
      </c>
      <c r="X138" s="42">
        <f>'[1]побудинковий звіт'!X138+'[2]побудинковий звіт'!X138-'[3]побудинковий звіт'!X138</f>
        <v>964.30804907366803</v>
      </c>
      <c r="Y138" s="42">
        <f>'[1]побудинковий звіт'!Y138+'[2]побудинковий звіт'!Y138-'[3]побудинковий звіт'!Y138</f>
        <v>3208.5650738473714</v>
      </c>
      <c r="Z138" s="56">
        <f t="shared" si="130"/>
        <v>2244.2570247737035</v>
      </c>
      <c r="AA138" s="42">
        <f>'[1]побудинковий звіт'!AA138+'[2]побудинковий звіт'!AA138-'[3]побудинковий звіт'!AA138</f>
        <v>0</v>
      </c>
      <c r="AB138" s="42">
        <f>'[1]побудинковий звіт'!AB138+'[2]побудинковий звіт'!AB138-'[3]побудинковий звіт'!AB138</f>
        <v>0</v>
      </c>
      <c r="AC138" s="56">
        <f t="shared" si="131"/>
        <v>0</v>
      </c>
      <c r="AD138" s="42">
        <f>'[1]побудинковий звіт'!AD138+'[2]побудинковий звіт'!AD138-'[3]побудинковий звіт'!AD138</f>
        <v>1808.2491553919822</v>
      </c>
      <c r="AE138" s="42">
        <f>'[1]побудинковий звіт'!AE138+'[2]побудинковий звіт'!AE138-'[3]побудинковий звіт'!AE138</f>
        <v>1666.6512017752359</v>
      </c>
      <c r="AF138" s="37">
        <f t="shared" si="132"/>
        <v>-141.59795361674628</v>
      </c>
      <c r="AG138" s="87">
        <f t="shared" si="120"/>
        <v>5785.8962375303108</v>
      </c>
      <c r="AH138" s="57">
        <f t="shared" si="120"/>
        <v>7742.0857705410108</v>
      </c>
      <c r="AI138" s="56">
        <f t="shared" si="133"/>
        <v>1956.1895330107</v>
      </c>
      <c r="AJ138" s="42">
        <f>'[1]побудинковий звіт'!AJ138+'[2]побудинковий звіт'!AJ138-'[3]побудинковий звіт'!AJ138</f>
        <v>0</v>
      </c>
      <c r="AK138" s="42">
        <f>'[1]побудинковий звіт'!AK138+'[2]побудинковий звіт'!AK138-'[3]побудинковий звіт'!AK138</f>
        <v>0</v>
      </c>
      <c r="AL138" s="56">
        <f t="shared" si="134"/>
        <v>0</v>
      </c>
      <c r="AM138" s="42">
        <f>'[1]побудинковий звіт'!AM138+'[2]побудинковий звіт'!AM138-'[3]побудинковий звіт'!AM138</f>
        <v>0</v>
      </c>
      <c r="AN138" s="42">
        <f>'[1]побудинковий звіт'!AN138+'[2]побудинковий звіт'!AN138-'[3]побудинковий звіт'!AN138</f>
        <v>0</v>
      </c>
      <c r="AO138" s="56">
        <f t="shared" si="135"/>
        <v>0</v>
      </c>
      <c r="AP138" s="42">
        <f>'[1]побудинковий звіт'!AP138+'[2]побудинковий звіт'!AP138-'[3]побудинковий звіт'!AP138</f>
        <v>1136.4211714723797</v>
      </c>
      <c r="AQ138" s="42">
        <f>'[1]побудинковий звіт'!AQ138+'[2]побудинковий звіт'!AQ138-'[3]побудинковий звіт'!AQ138</f>
        <v>702.03726394287401</v>
      </c>
      <c r="AR138" s="56">
        <f t="shared" si="136"/>
        <v>-434.38390752950568</v>
      </c>
      <c r="AS138" s="42">
        <f>'[1]побудинковий звіт'!AS138+'[2]побудинковий звіт'!AS138-'[3]побудинковий звіт'!AS138</f>
        <v>6090.1891488953243</v>
      </c>
      <c r="AT138" s="42">
        <f>'[1]побудинковий звіт'!AT138+'[2]побудинковий звіт'!AT138-'[3]побудинковий звіт'!AT138</f>
        <v>1558</v>
      </c>
      <c r="AU138" s="58">
        <f t="shared" si="151"/>
        <v>-4532.1891488953243</v>
      </c>
      <c r="AV138" s="42">
        <f>'[1]побудинковий звіт'!AV138+'[2]побудинковий звіт'!AV138-'[3]побудинковий звіт'!AV138</f>
        <v>354.51183936379158</v>
      </c>
      <c r="AW138" s="42">
        <f>'[1]побудинковий звіт'!AW138+'[2]побудинковий звіт'!AW138-'[3]побудинковий звіт'!AW138</f>
        <v>0</v>
      </c>
      <c r="AX138" s="59">
        <f t="shared" si="152"/>
        <v>-354.51183936379158</v>
      </c>
      <c r="AY138" s="42">
        <f>'[1]побудинковий звіт'!AY138+'[2]побудинковий звіт'!AY138-'[3]побудинковий звіт'!AY138</f>
        <v>432.5264025534882</v>
      </c>
      <c r="AZ138" s="42">
        <f>'[1]побудинковий звіт'!AZ138+'[2]побудинковий звіт'!AZ138-'[3]побудинковий звіт'!AZ138</f>
        <v>0</v>
      </c>
      <c r="BA138" s="37">
        <f t="shared" si="153"/>
        <v>-432.5264025534882</v>
      </c>
      <c r="BB138" s="42">
        <f>'[1]побудинковий звіт'!BB138+'[2]побудинковий звіт'!BB138-'[3]побудинковий звіт'!BB138</f>
        <v>265.25455075913317</v>
      </c>
      <c r="BC138" s="42">
        <f>'[1]побудинковий звіт'!BC138+'[2]побудинковий звіт'!BC138-'[3]побудинковий звіт'!BC138</f>
        <v>0</v>
      </c>
      <c r="BD138" s="59">
        <f t="shared" si="154"/>
        <v>-265.25455075913317</v>
      </c>
      <c r="BE138" s="42">
        <f>'[1]побудинковий звіт'!BE138+'[2]побудинковий звіт'!BE138-'[3]побудинковий звіт'!BE138</f>
        <v>0</v>
      </c>
      <c r="BF138" s="42">
        <f>'[1]побудинковий звіт'!BF138+'[2]побудинковий звіт'!BF138-'[3]побудинковий звіт'!BF138</f>
        <v>0</v>
      </c>
      <c r="BG138" s="39">
        <f t="shared" si="155"/>
        <v>0</v>
      </c>
      <c r="BH138" s="42">
        <f>'[1]побудинковий звіт'!BH138+'[2]побудинковий звіт'!BH138-'[3]побудинковий звіт'!BH138</f>
        <v>0</v>
      </c>
      <c r="BI138" s="42">
        <f>'[1]побудинковий звіт'!BI138+'[2]побудинковий звіт'!BI138-'[3]побудинковий звіт'!BI138</f>
        <v>0</v>
      </c>
      <c r="BJ138" s="59">
        <f t="shared" si="156"/>
        <v>0</v>
      </c>
      <c r="BK138" s="42">
        <f>'[1]побудинковий звіт'!BK138+'[2]побудинковий звіт'!BK138-'[3]побудинковий звіт'!BK138</f>
        <v>78.787193100235982</v>
      </c>
      <c r="BL138" s="42">
        <f>'[1]побудинковий звіт'!BL138+'[2]побудинковий звіт'!BL138-'[3]побудинковий звіт'!BL138</f>
        <v>0</v>
      </c>
      <c r="BM138" s="39">
        <f t="shared" si="157"/>
        <v>-78.787193100235982</v>
      </c>
      <c r="BN138" s="42">
        <f>'[1]побудинковий звіт'!BN138+'[2]побудинковий звіт'!BN138-'[3]побудинковий звіт'!BN138</f>
        <v>0</v>
      </c>
      <c r="BO138" s="42">
        <f>'[1]побудинковий звіт'!BO138+'[2]побудинковий звіт'!BO138-'[3]побудинковий звіт'!BO138</f>
        <v>0</v>
      </c>
      <c r="BP138" s="59">
        <f t="shared" si="158"/>
        <v>0</v>
      </c>
      <c r="BQ138" s="87">
        <f t="shared" si="165"/>
        <v>1131.0799857766488</v>
      </c>
      <c r="BR138" s="43">
        <f t="shared" si="166"/>
        <v>0</v>
      </c>
      <c r="BS138" s="59">
        <f t="shared" si="159"/>
        <v>-1131.0799857766488</v>
      </c>
      <c r="BT138" s="42">
        <f>'[1]побудинковий звіт'!BT138+'[2]побудинковий звіт'!BT138-'[3]побудинковий звіт'!BT138</f>
        <v>6600.3234909493831</v>
      </c>
      <c r="BU138" s="42">
        <f>'[1]побудинковий звіт'!BU138+'[2]побудинковий звіт'!BU138-'[3]побудинковий звіт'!BU138</f>
        <v>9816.5094872232676</v>
      </c>
      <c r="BV138" s="56">
        <f t="shared" si="137"/>
        <v>3216.1859962738845</v>
      </c>
      <c r="BW138" s="42">
        <f>'[1]побудинковий звіт'!BW138+'[2]побудинковий звіт'!BW138-'[3]побудинковий звіт'!BW138</f>
        <v>3281.8269221078772</v>
      </c>
      <c r="BX138" s="42">
        <f>'[1]побудинковий звіт'!BX138+'[2]побудинковий звіт'!BX138-'[3]побудинковий звіт'!BX138</f>
        <v>3498.525145123629</v>
      </c>
      <c r="BY138" s="56">
        <f t="shared" si="138"/>
        <v>216.69822301575186</v>
      </c>
      <c r="BZ138" s="42">
        <f>'[1]побудинковий звіт'!BZ138+'[2]побудинковий звіт'!BZ138-'[3]побудинковий звіт'!BZ138</f>
        <v>910.49040106164432</v>
      </c>
      <c r="CA138" s="42">
        <f>'[1]побудинковий звіт'!CA138+'[2]побудинковий звіт'!CA138-'[3]побудинковий звіт'!CA138</f>
        <v>1734.7815066065375</v>
      </c>
      <c r="CB138" s="56">
        <f t="shared" si="139"/>
        <v>824.29110554489318</v>
      </c>
      <c r="CC138" s="42">
        <f>'[1]побудинковий звіт'!CC138+'[2]побудинковий звіт'!CC138-'[3]побудинковий звіт'!CC138</f>
        <v>0</v>
      </c>
      <c r="CD138" s="42">
        <f>'[1]побудинковий звіт'!CD138+'[2]побудинковий звіт'!CD138-'[3]побудинковий звіт'!CD138</f>
        <v>0</v>
      </c>
      <c r="CE138" s="56">
        <f t="shared" si="140"/>
        <v>0</v>
      </c>
      <c r="CF138" s="42">
        <f>'[1]побудинковий звіт'!CF138+'[2]побудинковий звіт'!CF138-'[3]побудинковий звіт'!CF138</f>
        <v>0</v>
      </c>
      <c r="CG138" s="42">
        <f>'[1]побудинковий звіт'!CG138+'[2]побудинковий звіт'!CG138-'[3]побудинковий звіт'!CG138</f>
        <v>0</v>
      </c>
      <c r="CH138" s="56">
        <f t="shared" si="141"/>
        <v>0</v>
      </c>
      <c r="CI138" s="42">
        <f>'[1]побудинковий звіт'!CI138+'[2]побудинковий звіт'!CI138-'[3]побудинковий звіт'!CI138</f>
        <v>748.70100708768541</v>
      </c>
      <c r="CJ138" s="42">
        <f>'[1]побудинковий звіт'!CJ138+'[2]побудинковий звіт'!CJ138-'[3]побудинковий звіт'!CJ138</f>
        <v>269.04222506902073</v>
      </c>
      <c r="CK138" s="56">
        <f t="shared" si="142"/>
        <v>-479.65878201866468</v>
      </c>
      <c r="CL138" s="42">
        <f>'[1]побудинковий звіт'!CL138+'[2]побудинковий звіт'!CL138-'[3]побудинковий звіт'!CL138</f>
        <v>0</v>
      </c>
      <c r="CM138" s="42">
        <f>'[1]побудинковий звіт'!CM138+'[2]побудинковий звіт'!CM138-'[3]побудинковий звіт'!CM138</f>
        <v>0</v>
      </c>
      <c r="CN138" s="56">
        <f t="shared" si="143"/>
        <v>0</v>
      </c>
      <c r="CO138" s="42">
        <f t="shared" si="123"/>
        <v>748.70100708768541</v>
      </c>
      <c r="CP138" s="43">
        <f t="shared" si="144"/>
        <v>269.04222506902073</v>
      </c>
      <c r="CQ138" s="56">
        <f t="shared" si="145"/>
        <v>-479.65878201866468</v>
      </c>
      <c r="CR138" s="78">
        <f t="shared" si="124"/>
        <v>25684.928364881252</v>
      </c>
      <c r="CS138" s="5">
        <f t="shared" si="124"/>
        <v>25320.981398506337</v>
      </c>
      <c r="CT138" s="56">
        <f t="shared" si="146"/>
        <v>-363.94696637491506</v>
      </c>
      <c r="CU138" s="87">
        <f t="shared" si="147"/>
        <v>30821.914037857503</v>
      </c>
      <c r="CV138" s="70">
        <f t="shared" si="148"/>
        <v>30385.177678207605</v>
      </c>
      <c r="CW138" s="37">
        <f t="shared" si="149"/>
        <v>-436.73635964989808</v>
      </c>
      <c r="CX138" s="42">
        <f>'[1]побудинковий звіт'!CX138+'[2]побудинковий звіт'!CX138-'[3]побудинковий звіт'!CX138</f>
        <v>-0.15403785750277166</v>
      </c>
      <c r="CY138" s="42">
        <f>'[1]побудинковий звіт'!CY138+'[2]побудинковий звіт'!CY138-'[3]побудинковий звіт'!CY138</f>
        <v>436.58232179239189</v>
      </c>
      <c r="CZ138" s="56">
        <f t="shared" si="150"/>
        <v>436.73635964989467</v>
      </c>
      <c r="DA138" s="264">
        <f>'[4]побудинковий звіт'!DA138</f>
        <v>4984.260387162607</v>
      </c>
      <c r="DB138" s="2">
        <v>2</v>
      </c>
      <c r="DC138" s="717">
        <f>'[4]побудинковий звіт'!DC138</f>
        <v>7229.6</v>
      </c>
      <c r="DD138" s="717">
        <f>'[4]побудинковий звіт'!DD138</f>
        <v>0</v>
      </c>
      <c r="DE138" s="717">
        <f>'[4]побудинковий звіт'!DE138</f>
        <v>4661.1200000000008</v>
      </c>
      <c r="DF138" s="717">
        <f>'[4]побудинковий звіт'!DF138</f>
        <v>0</v>
      </c>
      <c r="DG138" s="787">
        <v>7483.9189637788513</v>
      </c>
      <c r="DH138" s="761">
        <f t="shared" si="171"/>
        <v>369861.12</v>
      </c>
      <c r="DI138" s="784"/>
      <c r="DJ138" s="5"/>
      <c r="DK138" s="317">
        <f>VLOOKUP($A138,ціни!$A$4:$G$401,5)</f>
        <v>6.0735229049139887</v>
      </c>
      <c r="DL138" s="317"/>
      <c r="DM138" s="317">
        <f>VLOOKUP($A138,ціни!$A$4:$G$401,7)</f>
        <v>5.2974938384425112</v>
      </c>
      <c r="DN138" s="30">
        <f t="shared" si="173"/>
        <v>57510.79573892105</v>
      </c>
      <c r="DO138" s="30">
        <f t="shared" si="174"/>
        <v>0</v>
      </c>
      <c r="DP138" s="316">
        <f t="shared" si="162"/>
        <v>57510.79573892105</v>
      </c>
      <c r="DQ138" s="104"/>
      <c r="DR138" s="30">
        <f>VLOOKUP(A138,'ДЗ нас '!$A$1:$C$359,2)</f>
        <v>2568.48</v>
      </c>
      <c r="DS138" s="748"/>
      <c r="DT138" s="30">
        <f t="shared" si="163"/>
        <v>2568.48</v>
      </c>
      <c r="DU138" s="257">
        <f>VLOOKUP(A138,'новий кошторис с 01.06'!$A$4:$AI$399,35)*1.2</f>
        <v>2568.4928364881252</v>
      </c>
      <c r="DV138" s="30">
        <f t="shared" si="164"/>
        <v>-1.2836488125230971E-2</v>
      </c>
      <c r="DW138" s="930">
        <f>'[5]побудинковий звіт'!DW138+'[6]побудинковий звіт'!DW138</f>
        <v>204</v>
      </c>
      <c r="DY138" s="5">
        <f t="shared" si="167"/>
        <v>8665.522961606368</v>
      </c>
      <c r="DZ138" s="5">
        <f t="shared" si="168"/>
        <v>1869.6</v>
      </c>
      <c r="EA138" s="752">
        <f t="shared" si="172"/>
        <v>4661.1200000000008</v>
      </c>
      <c r="EC138" s="592">
        <f t="shared" si="169"/>
        <v>73082.269786743884</v>
      </c>
      <c r="EE138" s="758">
        <v>724</v>
      </c>
      <c r="EF138" s="738">
        <f t="shared" si="170"/>
        <v>8207.9189637788513</v>
      </c>
      <c r="EH138" s="813">
        <v>4279.8154989399754</v>
      </c>
    </row>
    <row r="139" spans="1:138" x14ac:dyDescent="0.3">
      <c r="A139" s="429">
        <v>150001013</v>
      </c>
      <c r="B139" s="44" t="s">
        <v>591</v>
      </c>
      <c r="C139" s="45" t="s">
        <v>260</v>
      </c>
      <c r="D139" s="45" t="s">
        <v>260</v>
      </c>
      <c r="E139" s="40">
        <f t="shared" si="175"/>
        <v>1226.4799999999998</v>
      </c>
      <c r="F139" s="490">
        <v>241.1</v>
      </c>
      <c r="G139" s="30"/>
      <c r="H139" s="30">
        <v>985.37999999999988</v>
      </c>
      <c r="I139" s="42">
        <f>'[1]побудинковий звіт'!I139+'[2]побудинковий звіт'!I139-'[3]побудинковий звіт'!I139</f>
        <v>11191.873613308861</v>
      </c>
      <c r="J139" s="42">
        <f>'[1]побудинковий звіт'!J139+'[2]побудинковий звіт'!J139-'[3]побудинковий звіт'!J139</f>
        <v>11186.737630566537</v>
      </c>
      <c r="K139" s="56">
        <f t="shared" si="125"/>
        <v>-5.1359827423239039</v>
      </c>
      <c r="L139" s="42">
        <f>'[1]побудинковий звіт'!L139+'[2]побудинковий звіт'!L139-'[3]побудинковий звіт'!L139</f>
        <v>2283.1352684857343</v>
      </c>
      <c r="M139" s="42">
        <f>'[1]побудинковий звіт'!M139+'[2]побудинковий звіт'!M139-'[3]побудинковий звіт'!M139</f>
        <v>2313.6180822453889</v>
      </c>
      <c r="N139" s="56">
        <f t="shared" si="126"/>
        <v>30.482813759654618</v>
      </c>
      <c r="O139" s="42">
        <f>'[1]побудинковий звіт'!O139+'[2]побудинковий звіт'!O139-'[3]побудинковий звіт'!O139</f>
        <v>4923.1200000000008</v>
      </c>
      <c r="P139" s="42">
        <f>'[1]побудинковий звіт'!P139+'[2]побудинковий звіт'!P139-'[3]побудинковий звіт'!P139</f>
        <v>3869.8865693279563</v>
      </c>
      <c r="Q139" s="56">
        <f t="shared" si="127"/>
        <v>-1053.2334306720445</v>
      </c>
      <c r="R139" s="42">
        <f>'[1]побудинковий звіт'!R139+'[2]побудинковий звіт'!R139-'[3]побудинковий звіт'!R139</f>
        <v>0</v>
      </c>
      <c r="S139" s="42">
        <f>'[1]побудинковий звіт'!S139+'[2]побудинковий звіт'!S139-'[3]побудинковий звіт'!S139</f>
        <v>0</v>
      </c>
      <c r="T139" s="56">
        <f t="shared" si="128"/>
        <v>0</v>
      </c>
      <c r="U139" s="42">
        <f>'[1]побудинковий звіт'!U139+'[2]побудинковий звіт'!U139-'[3]побудинковий звіт'!U139</f>
        <v>0</v>
      </c>
      <c r="V139" s="42">
        <f>'[1]побудинковий звіт'!V139+'[2]побудинковий звіт'!V139-'[3]побудинковий звіт'!V139</f>
        <v>0</v>
      </c>
      <c r="W139" s="56">
        <f t="shared" si="129"/>
        <v>0</v>
      </c>
      <c r="X139" s="42">
        <f>'[1]побудинковий звіт'!X139+'[2]побудинковий звіт'!X139-'[3]побудинковий звіт'!X139</f>
        <v>7505.8604278254297</v>
      </c>
      <c r="Y139" s="42">
        <f>'[1]побудинковий звіт'!Y139+'[2]побудинковий звіт'!Y139-'[3]побудинковий звіт'!Y139</f>
        <v>8193.4425063356193</v>
      </c>
      <c r="Z139" s="56">
        <f t="shared" si="130"/>
        <v>687.5820785101896</v>
      </c>
      <c r="AA139" s="42">
        <f>'[1]побудинковий звіт'!AA139+'[2]побудинковий звіт'!AA139-'[3]побудинковий звіт'!AA139</f>
        <v>0</v>
      </c>
      <c r="AB139" s="42">
        <f>'[1]побудинковий звіт'!AB139+'[2]побудинковий звіт'!AB139-'[3]побудинковий звіт'!AB139</f>
        <v>0</v>
      </c>
      <c r="AC139" s="56">
        <f t="shared" si="131"/>
        <v>0</v>
      </c>
      <c r="AD139" s="42">
        <f>'[1]побудинковий звіт'!AD139+'[2]побудинковий звіт'!AD139-'[3]побудинковий звіт'!AD139</f>
        <v>14863.773850669832</v>
      </c>
      <c r="AE139" s="42">
        <f>'[1]побудинковий звіт'!AE139+'[2]побудинковий звіт'!AE139-'[3]побудинковий звіт'!AE139</f>
        <v>14181.189505217404</v>
      </c>
      <c r="AF139" s="37">
        <f t="shared" si="132"/>
        <v>-682.58434545242744</v>
      </c>
      <c r="AG139" s="87">
        <f t="shared" si="120"/>
        <v>40767.763160289855</v>
      </c>
      <c r="AH139" s="57">
        <f t="shared" si="120"/>
        <v>39744.874293692905</v>
      </c>
      <c r="AI139" s="56">
        <f t="shared" si="133"/>
        <v>-1022.8888665969498</v>
      </c>
      <c r="AJ139" s="42">
        <f>'[1]побудинковий звіт'!AJ139+'[2]побудинковий звіт'!AJ139-'[3]побудинковий звіт'!AJ139</f>
        <v>0</v>
      </c>
      <c r="AK139" s="42">
        <f>'[1]побудинковий звіт'!AK139+'[2]побудинковий звіт'!AK139-'[3]побудинковий звіт'!AK139</f>
        <v>0</v>
      </c>
      <c r="AL139" s="56">
        <f t="shared" si="134"/>
        <v>0</v>
      </c>
      <c r="AM139" s="42">
        <f>'[1]побудинковий звіт'!AM139+'[2]побудинковий звіт'!AM139-'[3]побудинковий звіт'!AM139</f>
        <v>0</v>
      </c>
      <c r="AN139" s="42">
        <f>'[1]побудинковий звіт'!AN139+'[2]побудинковий звіт'!AN139-'[3]побудинковий звіт'!AN139</f>
        <v>0</v>
      </c>
      <c r="AO139" s="56">
        <f t="shared" si="135"/>
        <v>0</v>
      </c>
      <c r="AP139" s="42">
        <f>'[1]побудинковий звіт'!AP139+'[2]побудинковий звіт'!AP139-'[3]побудинковий звіт'!AP139</f>
        <v>9233.422018213083</v>
      </c>
      <c r="AQ139" s="42">
        <f>'[1]побудинковий звіт'!AQ139+'[2]побудинковий звіт'!AQ139-'[3]побудинковий звіт'!AQ139</f>
        <v>9085.7414773053042</v>
      </c>
      <c r="AR139" s="56">
        <f t="shared" si="136"/>
        <v>-147.68054090777878</v>
      </c>
      <c r="AS139" s="42">
        <f>'[1]побудинковий звіт'!AS139+'[2]побудинковий звіт'!AS139-'[3]побудинковий звіт'!AS139</f>
        <v>32609.581849515518</v>
      </c>
      <c r="AT139" s="42">
        <f>'[1]побудинковий звіт'!AT139+'[2]побудинковий звіт'!AT139-'[3]побудинковий звіт'!AT139</f>
        <v>12769</v>
      </c>
      <c r="AU139" s="58">
        <f t="shared" si="151"/>
        <v>-19840.581849515518</v>
      </c>
      <c r="AV139" s="42">
        <f>'[1]побудинковий звіт'!AV139+'[2]побудинковий звіт'!AV139-'[3]побудинковий звіт'!AV139</f>
        <v>1855.484670395695</v>
      </c>
      <c r="AW139" s="42">
        <f>'[1]побудинковий звіт'!AW139+'[2]побудинковий звіт'!AW139-'[3]побудинковий звіт'!AW139</f>
        <v>0</v>
      </c>
      <c r="AX139" s="59">
        <f t="shared" si="152"/>
        <v>-1855.484670395695</v>
      </c>
      <c r="AY139" s="42">
        <f>'[1]побудинковий звіт'!AY139+'[2]побудинковий звіт'!AY139-'[3]побудинковий звіт'!AY139</f>
        <v>2942.5534028547149</v>
      </c>
      <c r="AZ139" s="42">
        <f>'[1]побудинковий звіт'!AZ139+'[2]побудинковий звіт'!AZ139-'[3]побудинковий звіт'!AZ139</f>
        <v>0</v>
      </c>
      <c r="BA139" s="37">
        <f t="shared" si="153"/>
        <v>-2942.5534028547149</v>
      </c>
      <c r="BB139" s="42">
        <f>'[1]побудинковий звіт'!BB139+'[2]побудинковий звіт'!BB139-'[3]побудинковий звіт'!BB139</f>
        <v>2585.0395270709578</v>
      </c>
      <c r="BC139" s="42">
        <f>'[1]побудинковий звіт'!BC139+'[2]побудинковий звіт'!BC139-'[3]побудинковий звіт'!BC139</f>
        <v>1472</v>
      </c>
      <c r="BD139" s="59">
        <f t="shared" si="154"/>
        <v>-1113.0395270709578</v>
      </c>
      <c r="BE139" s="42">
        <f>'[1]побудинковий звіт'!BE139+'[2]побудинковий звіт'!BE139-'[3]побудинковий звіт'!BE139</f>
        <v>0</v>
      </c>
      <c r="BF139" s="42">
        <f>'[1]побудинковий звіт'!BF139+'[2]побудинковий звіт'!BF139-'[3]побудинковий звіт'!BF139</f>
        <v>0</v>
      </c>
      <c r="BG139" s="39">
        <f t="shared" si="155"/>
        <v>0</v>
      </c>
      <c r="BH139" s="42">
        <f>'[1]побудинковий звіт'!BH139+'[2]побудинковий звіт'!BH139-'[3]побудинковий звіт'!BH139</f>
        <v>0</v>
      </c>
      <c r="BI139" s="42">
        <f>'[1]побудинковий звіт'!BI139+'[2]побудинковий звіт'!BI139-'[3]побудинковий звіт'!BI139</f>
        <v>0</v>
      </c>
      <c r="BJ139" s="59">
        <f t="shared" si="156"/>
        <v>0</v>
      </c>
      <c r="BK139" s="42">
        <f>'[1]побудинковий звіт'!BK139+'[2]побудинковий звіт'!BK139-'[3]побудинковий звіт'!BK139</f>
        <v>1046.5117185354666</v>
      </c>
      <c r="BL139" s="42">
        <f>'[1]побудинковий звіт'!BL139+'[2]побудинковий звіт'!BL139-'[3]побудинковий звіт'!BL139</f>
        <v>806</v>
      </c>
      <c r="BM139" s="39">
        <f t="shared" si="157"/>
        <v>-240.51171853546657</v>
      </c>
      <c r="BN139" s="42">
        <f>'[1]побудинковий звіт'!BN139+'[2]побудинковий звіт'!BN139-'[3]побудинковий звіт'!BN139</f>
        <v>0</v>
      </c>
      <c r="BO139" s="42">
        <f>'[1]побудинковий звіт'!BO139+'[2]побудинковий звіт'!BO139-'[3]побудинковий звіт'!BO139</f>
        <v>0</v>
      </c>
      <c r="BP139" s="59">
        <f t="shared" si="158"/>
        <v>0</v>
      </c>
      <c r="BQ139" s="87">
        <f t="shared" si="165"/>
        <v>8429.5893188568334</v>
      </c>
      <c r="BR139" s="43">
        <f t="shared" si="166"/>
        <v>2278</v>
      </c>
      <c r="BS139" s="59">
        <f t="shared" si="159"/>
        <v>-6151.5893188568334</v>
      </c>
      <c r="BT139" s="42">
        <f>'[1]побудинковий звіт'!BT139+'[2]побудинковий звіт'!BT139-'[3]побудинковий звіт'!BT139</f>
        <v>27815.657935057578</v>
      </c>
      <c r="BU139" s="42">
        <f>'[1]побудинковий звіт'!BU139+'[2]побудинковий звіт'!BU139-'[3]побудинковий звіт'!BU139</f>
        <v>38951.531562351796</v>
      </c>
      <c r="BV139" s="56">
        <f t="shared" si="137"/>
        <v>11135.873627294219</v>
      </c>
      <c r="BW139" s="42">
        <f>'[1]побудинковий звіт'!BW139+'[2]побудинковий звіт'!BW139-'[3]побудинковий звіт'!BW139</f>
        <v>20575.747127198294</v>
      </c>
      <c r="BX139" s="42">
        <f>'[1]побудинковий звіт'!BX139+'[2]побудинковий звіт'!BX139-'[3]побудинковий звіт'!BX139</f>
        <v>20399.204673471475</v>
      </c>
      <c r="BY139" s="56">
        <f t="shared" si="138"/>
        <v>-176.54245372681908</v>
      </c>
      <c r="BZ139" s="42">
        <f>'[1]побудинковий звіт'!BZ139+'[2]побудинковий звіт'!BZ139-'[3]побудинковий звіт'!BZ139</f>
        <v>15151.360806661174</v>
      </c>
      <c r="CA139" s="42">
        <f>'[1]побудинковий звіт'!CA139+'[2]побудинковий звіт'!CA139-'[3]побудинковий звіт'!CA139</f>
        <v>12172.018392889344</v>
      </c>
      <c r="CB139" s="56">
        <f t="shared" si="139"/>
        <v>-2979.3424137718303</v>
      </c>
      <c r="CC139" s="42">
        <f>'[1]побудинковий звіт'!CC139+'[2]побудинковий звіт'!CC139-'[3]побудинковий звіт'!CC139</f>
        <v>879.45629011121332</v>
      </c>
      <c r="CD139" s="42">
        <f>'[1]побудинковий звіт'!CD139+'[2]побудинковий звіт'!CD139-'[3]побудинковий звіт'!CD139</f>
        <v>871.72122339937505</v>
      </c>
      <c r="CE139" s="56">
        <f t="shared" si="140"/>
        <v>-7.7350667118382717</v>
      </c>
      <c r="CF139" s="42">
        <f>'[1]побудинковий звіт'!CF139+'[2]побудинковий звіт'!CF139-'[3]побудинковий звіт'!CF139</f>
        <v>108.26639935081225</v>
      </c>
      <c r="CG139" s="42">
        <f>'[1]побудинковий звіт'!CG139+'[2]побудинковий звіт'!CG139-'[3]побудинковий звіт'!CG139</f>
        <v>0</v>
      </c>
      <c r="CH139" s="56">
        <f t="shared" si="141"/>
        <v>-108.26639935081225</v>
      </c>
      <c r="CI139" s="42">
        <f>'[1]побудинковий звіт'!CI139+'[2]побудинковий звіт'!CI139-'[3]побудинковий звіт'!CI139</f>
        <v>4847.8390208927622</v>
      </c>
      <c r="CJ139" s="42">
        <f>'[1]побудинковий звіт'!CJ139+'[2]побудинковий звіт'!CJ139-'[3]побудинковий звіт'!CJ139</f>
        <v>2722.2417397209042</v>
      </c>
      <c r="CK139" s="56">
        <f t="shared" si="142"/>
        <v>-2125.597281171858</v>
      </c>
      <c r="CL139" s="42">
        <f>'[1]побудинковий звіт'!CL139+'[2]побудинковий звіт'!CL139-'[3]побудинковий звіт'!CL139</f>
        <v>0</v>
      </c>
      <c r="CM139" s="42">
        <f>'[1]побудинковий звіт'!CM139+'[2]побудинковий звіт'!CM139-'[3]побудинковий звіт'!CM139</f>
        <v>0</v>
      </c>
      <c r="CN139" s="56">
        <f t="shared" si="143"/>
        <v>0</v>
      </c>
      <c r="CO139" s="42">
        <f t="shared" si="123"/>
        <v>4847.8390208927622</v>
      </c>
      <c r="CP139" s="43">
        <f t="shared" si="144"/>
        <v>2722.2417397209042</v>
      </c>
      <c r="CQ139" s="56">
        <f t="shared" si="145"/>
        <v>-2125.597281171858</v>
      </c>
      <c r="CR139" s="78">
        <f t="shared" si="124"/>
        <v>160418.68392614712</v>
      </c>
      <c r="CS139" s="5">
        <f t="shared" si="124"/>
        <v>138994.33336283109</v>
      </c>
      <c r="CT139" s="56">
        <f t="shared" si="146"/>
        <v>-21424.350563316024</v>
      </c>
      <c r="CU139" s="87">
        <f t="shared" si="147"/>
        <v>192502.42071137653</v>
      </c>
      <c r="CV139" s="70">
        <f t="shared" si="148"/>
        <v>166793.20003539731</v>
      </c>
      <c r="CW139" s="37">
        <f t="shared" si="149"/>
        <v>-25709.220675979217</v>
      </c>
      <c r="CX139" s="42">
        <f>'[1]побудинковий звіт'!CX139+'[2]побудинковий звіт'!CX139-'[3]побудинковий звіт'!CX139</f>
        <v>9443.2992886234679</v>
      </c>
      <c r="CY139" s="42">
        <f>'[1]побудинковий звіт'!CY139+'[2]побудинковий звіт'!CY139-'[3]побудинковий звіт'!CY139</f>
        <v>35152.519964602674</v>
      </c>
      <c r="CZ139" s="56">
        <f t="shared" si="150"/>
        <v>25709.220675979206</v>
      </c>
      <c r="DA139" s="264">
        <f>'[4]побудинковий звіт'!DA139</f>
        <v>-58257.826746669409</v>
      </c>
      <c r="DB139" s="2">
        <v>2</v>
      </c>
      <c r="DC139" s="717">
        <f>'[4]побудинковий звіт'!DC139</f>
        <v>57962.36</v>
      </c>
      <c r="DD139" s="717">
        <f>'[4]побудинковий звіт'!DD139</f>
        <v>82198.409999999989</v>
      </c>
      <c r="DE139" s="717">
        <f>'[4]побудинковий звіт'!DE139</f>
        <v>45129.15</v>
      </c>
      <c r="DF139" s="717">
        <f>'[4]побудинковий звіт'!DF139</f>
        <v>78195.559999999983</v>
      </c>
      <c r="DG139" s="787">
        <v>-59889.427017938928</v>
      </c>
      <c r="DH139" s="761">
        <f t="shared" si="171"/>
        <v>2423348.64</v>
      </c>
      <c r="DI139" s="784"/>
      <c r="DJ139" s="5"/>
      <c r="DK139" s="317">
        <f>VLOOKUP($A139,ціни!$A$4:$G$401,5)</f>
        <v>4.9065532376532737</v>
      </c>
      <c r="DL139" s="317"/>
      <c r="DM139" s="317">
        <f>VLOOKUP($A139,ціни!$A$4:$G$401,7)</f>
        <v>4.1032899300370742</v>
      </c>
      <c r="DN139" s="30">
        <f t="shared" si="173"/>
        <v>1182.9699855982042</v>
      </c>
      <c r="DO139" s="30">
        <f t="shared" si="174"/>
        <v>4043.2998312599316</v>
      </c>
      <c r="DP139" s="316">
        <f t="shared" si="162"/>
        <v>5226.2698168581355</v>
      </c>
      <c r="DQ139" s="104"/>
      <c r="DR139" s="30">
        <f>VLOOKUP(A139,'ДЗ нас '!$A$1:$C$359,2)</f>
        <v>12833.21</v>
      </c>
      <c r="DS139" s="748">
        <f>VLOOKUP(A139,'ДЗ нежит'!$A$1:$D$153,4,0)</f>
        <v>4002.8499999999995</v>
      </c>
      <c r="DT139" s="30">
        <f t="shared" si="163"/>
        <v>16836.059999999998</v>
      </c>
      <c r="DU139" s="257">
        <f>VLOOKUP(A139,'новий кошторис с 01.06'!$A$4:$AI$399,35)*1.2</f>
        <v>16426.873234037466</v>
      </c>
      <c r="DV139" s="30">
        <f t="shared" si="164"/>
        <v>409.18676596253135</v>
      </c>
      <c r="DW139" s="930">
        <f>'[5]побудинковий звіт'!DW139+'[6]побудинковий звіт'!DW139</f>
        <v>253</v>
      </c>
      <c r="DY139" s="5">
        <f t="shared" si="167"/>
        <v>49247.005402046823</v>
      </c>
      <c r="DZ139" s="5">
        <f t="shared" si="168"/>
        <v>18056.399999999998</v>
      </c>
      <c r="EA139" s="752">
        <f t="shared" si="172"/>
        <v>123324.70999999999</v>
      </c>
      <c r="EC139" s="592">
        <f t="shared" si="169"/>
        <v>391314.98219418619</v>
      </c>
      <c r="EE139" s="758">
        <v>-3138</v>
      </c>
      <c r="EF139" s="738">
        <f t="shared" si="170"/>
        <v>-63027.427017938928</v>
      </c>
      <c r="EH139" s="813">
        <v>-38630.954899841236</v>
      </c>
    </row>
    <row r="140" spans="1:138" x14ac:dyDescent="0.3">
      <c r="A140" s="328">
        <v>150001014</v>
      </c>
      <c r="B140" s="44" t="s">
        <v>592</v>
      </c>
      <c r="C140" s="45" t="s">
        <v>166</v>
      </c>
      <c r="D140" s="45" t="s">
        <v>166</v>
      </c>
      <c r="E140" s="40">
        <f t="shared" si="175"/>
        <v>188.9</v>
      </c>
      <c r="F140" s="490">
        <v>188.9</v>
      </c>
      <c r="G140" s="30"/>
      <c r="H140" s="30">
        <v>0</v>
      </c>
      <c r="I140" s="42">
        <f>'[1]побудинковий звіт'!I140+'[2]побудинковий звіт'!I140-'[3]побудинковий звіт'!I140</f>
        <v>836.06943510328381</v>
      </c>
      <c r="J140" s="42">
        <f>'[1]побудинковий звіт'!J140+'[2]побудинковий звіт'!J140-'[3]побудинковий звіт'!J140</f>
        <v>835.38450491973981</v>
      </c>
      <c r="K140" s="56">
        <f t="shared" si="125"/>
        <v>-0.68493018354399737</v>
      </c>
      <c r="L140" s="42">
        <f>'[1]побудинковий звіт'!L140+'[2]побудинковий звіт'!L140-'[3]побудинковий звіт'!L140</f>
        <v>281.39571351276072</v>
      </c>
      <c r="M140" s="42">
        <f>'[1]побудинковий звіт'!M140+'[2]побудинковий звіт'!M140-'[3]побудинковий звіт'!M140</f>
        <v>283.91763089843886</v>
      </c>
      <c r="N140" s="56">
        <f t="shared" si="126"/>
        <v>2.5219173856781367</v>
      </c>
      <c r="O140" s="42">
        <f>'[1]побудинковий звіт'!O140+'[2]побудинковий звіт'!O140-'[3]побудинковий звіт'!O140</f>
        <v>461.15999999999997</v>
      </c>
      <c r="P140" s="42">
        <f>'[1]побудинковий звіт'!P140+'[2]побудинковий звіт'!P140-'[3]побудинковий звіт'!P140</f>
        <v>362.44943629032264</v>
      </c>
      <c r="Q140" s="56">
        <f t="shared" si="127"/>
        <v>-98.710563709677331</v>
      </c>
      <c r="R140" s="42">
        <f>'[1]побудинковий звіт'!R140+'[2]побудинковий звіт'!R140-'[3]побудинковий звіт'!R140</f>
        <v>0</v>
      </c>
      <c r="S140" s="42">
        <f>'[1]побудинковий звіт'!S140+'[2]побудинковий звіт'!S140-'[3]побудинковий звіт'!S140</f>
        <v>0</v>
      </c>
      <c r="T140" s="56">
        <f t="shared" si="128"/>
        <v>0</v>
      </c>
      <c r="U140" s="42">
        <f>'[1]побудинковий звіт'!U140+'[2]побудинковий звіт'!U140-'[3]побудинковий звіт'!U140</f>
        <v>0</v>
      </c>
      <c r="V140" s="42">
        <f>'[1]побудинковий звіт'!V140+'[2]побудинковий звіт'!V140-'[3]побудинковий звіт'!V140</f>
        <v>0</v>
      </c>
      <c r="W140" s="56">
        <f t="shared" si="129"/>
        <v>0</v>
      </c>
      <c r="X140" s="42">
        <f>'[1]побудинковий звіт'!X140+'[2]побудинковий звіт'!X140-'[3]побудинковий звіт'!X140</f>
        <v>480.28728157563921</v>
      </c>
      <c r="Y140" s="42">
        <f>'[1]побудинковий звіт'!Y140+'[2]побудинковий звіт'!Y140-'[3]побудинковий звіт'!Y140</f>
        <v>1854.4787957015831</v>
      </c>
      <c r="Z140" s="56">
        <f t="shared" si="130"/>
        <v>1374.1915141259437</v>
      </c>
      <c r="AA140" s="42">
        <f>'[1]побудинковий звіт'!AA140+'[2]побудинковий звіт'!AA140-'[3]побудинковий звіт'!AA140</f>
        <v>0</v>
      </c>
      <c r="AB140" s="42">
        <f>'[1]побудинковий звіт'!AB140+'[2]побудинковий звіт'!AB140-'[3]побудинковий звіт'!AB140</f>
        <v>0</v>
      </c>
      <c r="AC140" s="56">
        <f t="shared" si="131"/>
        <v>0</v>
      </c>
      <c r="AD140" s="42">
        <f>'[1]побудинковий звіт'!AD140+'[2]побудинковий звіт'!AD140-'[3]побудинковий звіт'!AD140</f>
        <v>1450.7896392161256</v>
      </c>
      <c r="AE140" s="42">
        <f>'[1]побудинковий звіт'!AE140+'[2]побудинковий звіт'!AE140-'[3]побудинковий звіт'!AE140</f>
        <v>1337.1831467541679</v>
      </c>
      <c r="AF140" s="37">
        <f t="shared" si="132"/>
        <v>-113.60649246195771</v>
      </c>
      <c r="AG140" s="87">
        <f t="shared" si="120"/>
        <v>3509.7020694078092</v>
      </c>
      <c r="AH140" s="57">
        <f t="shared" si="120"/>
        <v>4673.4135145642522</v>
      </c>
      <c r="AI140" s="56">
        <f t="shared" si="133"/>
        <v>1163.711445156443</v>
      </c>
      <c r="AJ140" s="42">
        <f>'[1]побудинковий звіт'!AJ140+'[2]побудинковий звіт'!AJ140-'[3]побудинковий звіт'!AJ140</f>
        <v>0</v>
      </c>
      <c r="AK140" s="42">
        <f>'[1]побудинковий звіт'!AK140+'[2]побудинковий звіт'!AK140-'[3]побудинковий звіт'!AK140</f>
        <v>0</v>
      </c>
      <c r="AL140" s="56">
        <f t="shared" si="134"/>
        <v>0</v>
      </c>
      <c r="AM140" s="42">
        <f>'[1]побудинковий звіт'!AM140+'[2]побудинковий звіт'!AM140-'[3]побудинковий звіт'!AM140</f>
        <v>0</v>
      </c>
      <c r="AN140" s="42">
        <f>'[1]побудинковий звіт'!AN140+'[2]побудинковий звіт'!AN140-'[3]побудинковий звіт'!AN140</f>
        <v>0</v>
      </c>
      <c r="AO140" s="56">
        <f t="shared" si="135"/>
        <v>0</v>
      </c>
      <c r="AP140" s="42">
        <f>'[1]побудинковий звіт'!AP140+'[2]побудинковий звіт'!AP140-'[3]побудинковий звіт'!AP140</f>
        <v>568.21058573618984</v>
      </c>
      <c r="AQ140" s="42">
        <f>'[1]побудинковий звіт'!AQ140+'[2]побудинковий звіт'!AQ140-'[3]побудинковий звіт'!AQ140</f>
        <v>711.74269759174217</v>
      </c>
      <c r="AR140" s="56">
        <f t="shared" si="136"/>
        <v>143.53211185555233</v>
      </c>
      <c r="AS140" s="42">
        <f>'[1]побудинковий звіт'!AS140+'[2]побудинковий звіт'!AS140-'[3]побудинковий звіт'!AS140</f>
        <v>4590.8806844035407</v>
      </c>
      <c r="AT140" s="42">
        <f>'[1]побудинковий звіт'!AT140+'[2]побудинковий звіт'!AT140-'[3]побудинковий звіт'!AT140</f>
        <v>1982</v>
      </c>
      <c r="AU140" s="58">
        <f t="shared" si="151"/>
        <v>-2608.8806844035407</v>
      </c>
      <c r="AV140" s="42">
        <f>'[1]побудинковий звіт'!AV140+'[2]побудинковий звіт'!AV140-'[3]побудинковий звіт'!AV140</f>
        <v>282.3558587495657</v>
      </c>
      <c r="AW140" s="42">
        <f>'[1]побудинковий звіт'!AW140+'[2]побудинковий звіт'!AW140-'[3]побудинковий звіт'!AW140</f>
        <v>0</v>
      </c>
      <c r="AX140" s="59">
        <f t="shared" si="152"/>
        <v>-282.3558587495657</v>
      </c>
      <c r="AY140" s="42">
        <f>'[1]побудинковий звіт'!AY140+'[2]побудинковий звіт'!AY140-'[3]побудинковий звіт'!AY140</f>
        <v>362.42966944372938</v>
      </c>
      <c r="AZ140" s="42">
        <f>'[1]побудинковий звіт'!AZ140+'[2]побудинковий звіт'!AZ140-'[3]побудинковий звіт'!AZ140</f>
        <v>0</v>
      </c>
      <c r="BA140" s="37">
        <f t="shared" si="153"/>
        <v>-362.42966944372938</v>
      </c>
      <c r="BB140" s="42">
        <f>'[1]побудинковий звіт'!BB140+'[2]побудинковий звіт'!BB140-'[3]побудинковий звіт'!BB140</f>
        <v>179.3944928587479</v>
      </c>
      <c r="BC140" s="42">
        <f>'[1]побудинковий звіт'!BC140+'[2]побудинковий звіт'!BC140-'[3]побудинковий звіт'!BC140</f>
        <v>0</v>
      </c>
      <c r="BD140" s="59">
        <f t="shared" si="154"/>
        <v>-179.3944928587479</v>
      </c>
      <c r="BE140" s="42">
        <f>'[1]побудинковий звіт'!BE140+'[2]побудинковий звіт'!BE140-'[3]побудинковий звіт'!BE140</f>
        <v>0</v>
      </c>
      <c r="BF140" s="42">
        <f>'[1]побудинковий звіт'!BF140+'[2]побудинковий звіт'!BF140-'[3]побудинковий звіт'!BF140</f>
        <v>0</v>
      </c>
      <c r="BG140" s="39">
        <f t="shared" si="155"/>
        <v>0</v>
      </c>
      <c r="BH140" s="42">
        <f>'[1]побудинковий звіт'!BH140+'[2]побудинковий звіт'!BH140-'[3]побудинковий звіт'!BH140</f>
        <v>0</v>
      </c>
      <c r="BI140" s="42">
        <f>'[1]побудинковий звіт'!BI140+'[2]побудинковий звіт'!BI140-'[3]побудинковий звіт'!BI140</f>
        <v>0</v>
      </c>
      <c r="BJ140" s="59">
        <f t="shared" si="156"/>
        <v>0</v>
      </c>
      <c r="BK140" s="42">
        <f>'[1]побудинковий звіт'!BK140+'[2]побудинковий звіт'!BK140-'[3]побудинковий звіт'!BK140</f>
        <v>58.692624500359138</v>
      </c>
      <c r="BL140" s="42">
        <f>'[1]побудинковий звіт'!BL140+'[2]побудинковий звіт'!BL140-'[3]побудинковий звіт'!BL140</f>
        <v>1018.8606752042521</v>
      </c>
      <c r="BM140" s="39">
        <f t="shared" si="157"/>
        <v>960.16805070389296</v>
      </c>
      <c r="BN140" s="42">
        <f>'[1]побудинковий звіт'!BN140+'[2]побудинковий звіт'!BN140-'[3]побудинковий звіт'!BN140</f>
        <v>0</v>
      </c>
      <c r="BO140" s="42">
        <f>'[1]побудинковий звіт'!BO140+'[2]побудинковий звіт'!BO140-'[3]побудинковий звіт'!BO140</f>
        <v>0</v>
      </c>
      <c r="BP140" s="59">
        <f t="shared" si="158"/>
        <v>0</v>
      </c>
      <c r="BQ140" s="87">
        <f t="shared" si="165"/>
        <v>882.87264555240199</v>
      </c>
      <c r="BR140" s="43">
        <f t="shared" si="166"/>
        <v>1018.8606752042521</v>
      </c>
      <c r="BS140" s="59">
        <f t="shared" si="159"/>
        <v>135.98802965185007</v>
      </c>
      <c r="BT140" s="42">
        <f>'[1]побудинковий звіт'!BT140+'[2]побудинковий звіт'!BT140-'[3]побудинковий звіт'!BT140</f>
        <v>3525.4869127511938</v>
      </c>
      <c r="BU140" s="42">
        <f>'[1]побудинковий звіт'!BU140+'[2]побудинковий звіт'!BU140-'[3]побудинковий звіт'!BU140</f>
        <v>4894.1026800659656</v>
      </c>
      <c r="BV140" s="56">
        <f t="shared" si="137"/>
        <v>1368.6157673147718</v>
      </c>
      <c r="BW140" s="42">
        <f>'[1]побудинковий звіт'!BW140+'[2]побудинковий звіт'!BW140-'[3]побудинковий звіт'!BW140</f>
        <v>2516.5072393903497</v>
      </c>
      <c r="BX140" s="42">
        <f>'[1]побудинковий звіт'!BX140+'[2]побудинковий звіт'!BX140-'[3]побудинковий звіт'!BX140</f>
        <v>2511.8857844536569</v>
      </c>
      <c r="BY140" s="56">
        <f t="shared" si="138"/>
        <v>-4.6214549366927713</v>
      </c>
      <c r="BZ140" s="42">
        <f>'[1]побудинковий звіт'!BZ140+'[2]побудинковий звіт'!BZ140-'[3]побудинковий звіт'!BZ140</f>
        <v>2166.5238165503351</v>
      </c>
      <c r="CA140" s="42">
        <f>'[1]побудинковий звіт'!CA140+'[2]побудинковий звіт'!CA140-'[3]побудинковий звіт'!CA140</f>
        <v>1229.8304607498633</v>
      </c>
      <c r="CB140" s="56">
        <f t="shared" si="139"/>
        <v>-936.69335580047186</v>
      </c>
      <c r="CC140" s="42">
        <f>'[1]побудинковий звіт'!CC140+'[2]побудинковий звіт'!CC140-'[3]побудинковий звіт'!CC140</f>
        <v>0</v>
      </c>
      <c r="CD140" s="42">
        <f>'[1]побудинковий звіт'!CD140+'[2]побудинковий звіт'!CD140-'[3]побудинковий звіт'!CD140</f>
        <v>0</v>
      </c>
      <c r="CE140" s="56">
        <f t="shared" si="140"/>
        <v>0</v>
      </c>
      <c r="CF140" s="42">
        <f>'[1]побудинковий звіт'!CF140+'[2]побудинковий звіт'!CF140-'[3]побудинковий звіт'!CF140</f>
        <v>0</v>
      </c>
      <c r="CG140" s="42">
        <f>'[1]побудинковий звіт'!CG140+'[2]побудинковий звіт'!CG140-'[3]побудинковий звіт'!CG140</f>
        <v>0</v>
      </c>
      <c r="CH140" s="56">
        <f t="shared" si="141"/>
        <v>0</v>
      </c>
      <c r="CI140" s="42">
        <f>'[1]побудинковий звіт'!CI140+'[2]побудинковий звіт'!CI140-'[3]побудинковий звіт'!CI140</f>
        <v>18.717525177192137</v>
      </c>
      <c r="CJ140" s="42">
        <f>'[1]побудинковий звіт'!CJ140+'[2]побудинковий звіт'!CJ140-'[3]побудинковий звіт'!CJ140</f>
        <v>0</v>
      </c>
      <c r="CK140" s="56">
        <f t="shared" si="142"/>
        <v>-18.717525177192137</v>
      </c>
      <c r="CL140" s="42">
        <f>'[1]побудинковий звіт'!CL140+'[2]побудинковий звіт'!CL140-'[3]побудинковий звіт'!CL140</f>
        <v>0</v>
      </c>
      <c r="CM140" s="42">
        <f>'[1]побудинковий звіт'!CM140+'[2]побудинковий звіт'!CM140-'[3]побудинковий звіт'!CM140</f>
        <v>0</v>
      </c>
      <c r="CN140" s="56">
        <f t="shared" si="143"/>
        <v>0</v>
      </c>
      <c r="CO140" s="42">
        <f t="shared" si="123"/>
        <v>18.717525177192137</v>
      </c>
      <c r="CP140" s="43">
        <f t="shared" si="144"/>
        <v>0</v>
      </c>
      <c r="CQ140" s="56">
        <f t="shared" si="145"/>
        <v>-18.717525177192137</v>
      </c>
      <c r="CR140" s="78">
        <f t="shared" si="124"/>
        <v>17778.901478969012</v>
      </c>
      <c r="CS140" s="5">
        <f t="shared" si="124"/>
        <v>17021.835812629735</v>
      </c>
      <c r="CT140" s="56">
        <f t="shared" si="146"/>
        <v>-757.0656663392765</v>
      </c>
      <c r="CU140" s="87">
        <f t="shared" si="147"/>
        <v>21334.681774762812</v>
      </c>
      <c r="CV140" s="70">
        <f t="shared" si="148"/>
        <v>20426.20297515568</v>
      </c>
      <c r="CW140" s="37">
        <f t="shared" si="149"/>
        <v>-908.4787996071318</v>
      </c>
      <c r="CX140" s="42">
        <f>'[1]побудинковий звіт'!CX140+'[2]побудинковий звіт'!CX140-'[3]побудинковий звіт'!CX140</f>
        <v>-172.411774762817</v>
      </c>
      <c r="CY140" s="42">
        <f>'[1]побудинковий звіт'!CY140+'[2]побудинковий звіт'!CY140-'[3]побудинковий звіт'!CY140</f>
        <v>736.0670248443223</v>
      </c>
      <c r="CZ140" s="56">
        <f t="shared" si="150"/>
        <v>908.47879960713931</v>
      </c>
      <c r="DA140" s="264">
        <f>'[4]побудинковий звіт'!DA140</f>
        <v>-20414.486005721981</v>
      </c>
      <c r="DB140" s="2">
        <v>2</v>
      </c>
      <c r="DC140" s="717">
        <f>'[4]побудинковий звіт'!DC140</f>
        <v>638.16999999999996</v>
      </c>
      <c r="DD140" s="717">
        <f>'[4]побудинковий звіт'!DD140</f>
        <v>0</v>
      </c>
      <c r="DE140" s="717">
        <f>'[4]побудинковий звіт'!DE140</f>
        <v>-1105.75</v>
      </c>
      <c r="DF140" s="717">
        <f>'[4]побудинковий звіт'!DF140</f>
        <v>0</v>
      </c>
      <c r="DG140" s="787">
        <v>-17866.147202010397</v>
      </c>
      <c r="DH140" s="761">
        <f t="shared" si="171"/>
        <v>253947.23999999996</v>
      </c>
      <c r="DI140" s="784"/>
      <c r="DJ140" s="5"/>
      <c r="DK140" s="317">
        <f>VLOOKUP($A140,ціни!$A$4:$G$401,5)</f>
        <v>5.3708735679172532</v>
      </c>
      <c r="DL140" s="317"/>
      <c r="DM140" s="317">
        <f>VLOOKUP($A140,ціни!$A$4:$G$401,7)</f>
        <v>4.6106554953044894</v>
      </c>
      <c r="DN140" s="30">
        <f t="shared" si="173"/>
        <v>1014.5580169795692</v>
      </c>
      <c r="DO140" s="30">
        <f t="shared" si="174"/>
        <v>0</v>
      </c>
      <c r="DP140" s="316">
        <f t="shared" si="162"/>
        <v>1014.5580169795692</v>
      </c>
      <c r="DQ140" s="104"/>
      <c r="DR140" s="30">
        <f>VLOOKUP(A140,'ДЗ нас '!$A$1:$C$359,2)</f>
        <v>1743.92</v>
      </c>
      <c r="DS140" s="748"/>
      <c r="DT140" s="30">
        <f t="shared" si="163"/>
        <v>1743.92</v>
      </c>
      <c r="DU140" s="257">
        <f>VLOOKUP(A140,'новий кошторис с 01.06'!$A$4:$AI$399,35)*1.2</f>
        <v>1831.2268523338087</v>
      </c>
      <c r="DV140" s="30">
        <f t="shared" si="164"/>
        <v>-87.306852333808592</v>
      </c>
      <c r="DW140" s="930">
        <f>'[5]побудинковий звіт'!DW140+'[6]побудинковий звіт'!DW140</f>
        <v>0</v>
      </c>
      <c r="DY140" s="5">
        <f t="shared" si="167"/>
        <v>6568.5039959471314</v>
      </c>
      <c r="DZ140" s="5">
        <f t="shared" si="168"/>
        <v>3601.0328102451022</v>
      </c>
      <c r="EA140" s="752">
        <f t="shared" si="172"/>
        <v>-1105.75</v>
      </c>
      <c r="EC140" s="592">
        <f t="shared" si="169"/>
        <v>55090.568212842489</v>
      </c>
      <c r="EE140" s="758">
        <v>8869</v>
      </c>
      <c r="EF140" s="738">
        <f t="shared" si="170"/>
        <v>-8997.1472020103975</v>
      </c>
      <c r="EH140" s="813">
        <v>-20389.213747493493</v>
      </c>
    </row>
    <row r="141" spans="1:138" x14ac:dyDescent="0.3">
      <c r="A141" s="328">
        <v>150001015</v>
      </c>
      <c r="B141" s="44" t="s">
        <v>593</v>
      </c>
      <c r="C141" s="45" t="s">
        <v>99</v>
      </c>
      <c r="D141" s="45" t="s">
        <v>99</v>
      </c>
      <c r="E141" s="40">
        <f t="shared" si="175"/>
        <v>428.70000000000005</v>
      </c>
      <c r="F141" s="490">
        <v>142.1</v>
      </c>
      <c r="G141" s="30"/>
      <c r="H141" s="30">
        <v>286.60000000000002</v>
      </c>
      <c r="I141" s="42">
        <f>'[1]побудинковий звіт'!I141+'[2]побудинковий звіт'!I141-'[3]побудинковий звіт'!I141</f>
        <v>0</v>
      </c>
      <c r="J141" s="42">
        <f>'[1]побудинковий звіт'!J141+'[2]побудинковий звіт'!J141-'[3]побудинковий звіт'!J141</f>
        <v>0</v>
      </c>
      <c r="K141" s="56">
        <f t="shared" si="125"/>
        <v>0</v>
      </c>
      <c r="L141" s="42">
        <f>'[1]побудинковий звіт'!L141+'[2]побудинковий звіт'!L141-'[3]побудинковий звіт'!L141</f>
        <v>0</v>
      </c>
      <c r="M141" s="42">
        <f>'[1]побудинковий звіт'!M141+'[2]побудинковий звіт'!M141-'[3]побудинковий звіт'!M141</f>
        <v>0</v>
      </c>
      <c r="N141" s="56">
        <f t="shared" si="126"/>
        <v>0</v>
      </c>
      <c r="O141" s="42">
        <f>'[1]побудинковий звіт'!O141+'[2]побудинковий звіт'!O141-'[3]побудинковий звіт'!O141</f>
        <v>509.15999999999997</v>
      </c>
      <c r="P141" s="42">
        <f>'[1]побудинковий звіт'!P141+'[2]побудинковий звіт'!P141-'[3]побудинковий звіт'!P141</f>
        <v>400.20656451612905</v>
      </c>
      <c r="Q141" s="56">
        <f t="shared" si="127"/>
        <v>-108.95343548387092</v>
      </c>
      <c r="R141" s="42">
        <f>'[1]побудинковий звіт'!R141+'[2]побудинковий звіт'!R141-'[3]побудинковий звіт'!R141</f>
        <v>0</v>
      </c>
      <c r="S141" s="42">
        <f>'[1]побудинковий звіт'!S141+'[2]побудинковий звіт'!S141-'[3]побудинковий звіт'!S141</f>
        <v>0</v>
      </c>
      <c r="T141" s="56">
        <f t="shared" si="128"/>
        <v>0</v>
      </c>
      <c r="U141" s="42">
        <f>'[1]побудинковий звіт'!U141+'[2]побудинковий звіт'!U141-'[3]побудинковий звіт'!U141</f>
        <v>0</v>
      </c>
      <c r="V141" s="42">
        <f>'[1]побудинковий звіт'!V141+'[2]побудинковий звіт'!V141-'[3]побудинковий звіт'!V141</f>
        <v>0</v>
      </c>
      <c r="W141" s="56">
        <f t="shared" si="129"/>
        <v>0</v>
      </c>
      <c r="X141" s="42">
        <f>'[1]побудинковий звіт'!X141+'[2]побудинковий звіт'!X141-'[3]побудинковий звіт'!X141</f>
        <v>0</v>
      </c>
      <c r="Y141" s="42">
        <f>'[1]побудинковий звіт'!Y141+'[2]побудинковий звіт'!Y141-'[3]побудинковий звіт'!Y141</f>
        <v>0</v>
      </c>
      <c r="Z141" s="56">
        <f t="shared" si="130"/>
        <v>0</v>
      </c>
      <c r="AA141" s="42">
        <f>'[1]побудинковий звіт'!AA141+'[2]побудинковий звіт'!AA141-'[3]побудинковий звіт'!AA141</f>
        <v>0</v>
      </c>
      <c r="AB141" s="42">
        <f>'[1]побудинковий звіт'!AB141+'[2]побудинковий звіт'!AB141-'[3]побудинковий звіт'!AB141</f>
        <v>0</v>
      </c>
      <c r="AC141" s="56">
        <f t="shared" si="131"/>
        <v>0</v>
      </c>
      <c r="AD141" s="42">
        <f>'[1]побудинковий звіт'!AD141+'[2]побудинковий звіт'!AD141-'[3]побудинковий звіт'!AD141</f>
        <v>0</v>
      </c>
      <c r="AE141" s="42">
        <f>'[1]побудинковий звіт'!AE141+'[2]побудинковий звіт'!AE141-'[3]побудинковий звіт'!AE141</f>
        <v>332.99305910725587</v>
      </c>
      <c r="AF141" s="37">
        <f t="shared" si="132"/>
        <v>332.99305910725587</v>
      </c>
      <c r="AG141" s="87">
        <f t="shared" si="120"/>
        <v>509.15999999999997</v>
      </c>
      <c r="AH141" s="57">
        <f t="shared" si="120"/>
        <v>733.19962362338492</v>
      </c>
      <c r="AI141" s="56">
        <f t="shared" si="133"/>
        <v>224.03962362338495</v>
      </c>
      <c r="AJ141" s="42">
        <f>'[1]побудинковий звіт'!AJ141+'[2]побудинковий звіт'!AJ141-'[3]побудинковий звіт'!AJ141</f>
        <v>0</v>
      </c>
      <c r="AK141" s="42">
        <f>'[1]побудинковий звіт'!AK141+'[2]побудинковий звіт'!AK141-'[3]побудинковий звіт'!AK141</f>
        <v>0</v>
      </c>
      <c r="AL141" s="56">
        <f t="shared" si="134"/>
        <v>0</v>
      </c>
      <c r="AM141" s="42">
        <f>'[1]побудинковий звіт'!AM141+'[2]побудинковий звіт'!AM141-'[3]побудинковий звіт'!AM141</f>
        <v>0</v>
      </c>
      <c r="AN141" s="42">
        <f>'[1]побудинковий звіт'!AN141+'[2]побудинковий звіт'!AN141-'[3]побудинковий звіт'!AN141</f>
        <v>0</v>
      </c>
      <c r="AO141" s="56">
        <f t="shared" si="135"/>
        <v>0</v>
      </c>
      <c r="AP141" s="42">
        <f>'[1]побудинковий звіт'!AP141+'[2]побудинковий звіт'!AP141-'[3]побудинковий звіт'!AP141</f>
        <v>142.05264643404746</v>
      </c>
      <c r="AQ141" s="42">
        <f>'[1]побудинковий звіт'!AQ141+'[2]побудинковий звіт'!AQ141-'[3]побудинковий звіт'!AQ141</f>
        <v>234.94584463983568</v>
      </c>
      <c r="AR141" s="56">
        <f t="shared" si="136"/>
        <v>92.893198205788224</v>
      </c>
      <c r="AS141" s="42">
        <f>'[1]побудинковий звіт'!AS141+'[2]побудинковий звіт'!AS141-'[3]побудинковий звіт'!AS141</f>
        <v>3123.0193119924425</v>
      </c>
      <c r="AT141" s="42">
        <f>'[1]побудинковий звіт'!AT141+'[2]побудинковий звіт'!AT141-'[3]побудинковий звіт'!AT141</f>
        <v>0</v>
      </c>
      <c r="AU141" s="58">
        <f t="shared" si="151"/>
        <v>-3123.0193119924425</v>
      </c>
      <c r="AV141" s="42">
        <f>'[1]побудинковий звіт'!AV141+'[2]побудинковий звіт'!AV141-'[3]побудинковий звіт'!AV141</f>
        <v>0</v>
      </c>
      <c r="AW141" s="42">
        <f>'[1]побудинковий звіт'!AW141+'[2]побудинковий звіт'!AW141-'[3]побудинковий звіт'!AW141</f>
        <v>0</v>
      </c>
      <c r="AX141" s="59">
        <f t="shared" si="152"/>
        <v>0</v>
      </c>
      <c r="AY141" s="42">
        <f>'[1]побудинковий звіт'!AY141+'[2]побудинковий звіт'!AY141-'[3]побудинковий звіт'!AY141</f>
        <v>0</v>
      </c>
      <c r="AZ141" s="42">
        <f>'[1]побудинковий звіт'!AZ141+'[2]побудинковий звіт'!AZ141-'[3]побудинковий звіт'!AZ141</f>
        <v>0</v>
      </c>
      <c r="BA141" s="37">
        <f t="shared" si="153"/>
        <v>0</v>
      </c>
      <c r="BB141" s="42">
        <f>'[1]побудинковий звіт'!BB141+'[2]побудинковий звіт'!BB141-'[3]побудинковий звіт'!BB141</f>
        <v>225.05177326440102</v>
      </c>
      <c r="BC141" s="42">
        <f>'[1]побудинковий звіт'!BC141+'[2]побудинковий звіт'!BC141-'[3]побудинковий звіт'!BC141</f>
        <v>0</v>
      </c>
      <c r="BD141" s="59">
        <f t="shared" si="154"/>
        <v>-225.05177326440102</v>
      </c>
      <c r="BE141" s="42">
        <f>'[1]побудинковий звіт'!BE141+'[2]побудинковий звіт'!BE141-'[3]побудинковий звіт'!BE141</f>
        <v>0</v>
      </c>
      <c r="BF141" s="42">
        <f>'[1]побудинковий звіт'!BF141+'[2]побудинковий звіт'!BF141-'[3]побудинковий звіт'!BF141</f>
        <v>0</v>
      </c>
      <c r="BG141" s="39">
        <f t="shared" si="155"/>
        <v>0</v>
      </c>
      <c r="BH141" s="42">
        <f>'[1]побудинковий звіт'!BH141+'[2]побудинковий звіт'!BH141-'[3]побудинковий звіт'!BH141</f>
        <v>0</v>
      </c>
      <c r="BI141" s="42">
        <f>'[1]побудинковий звіт'!BI141+'[2]побудинковий звіт'!BI141-'[3]побудинковий звіт'!BI141</f>
        <v>0</v>
      </c>
      <c r="BJ141" s="59">
        <f t="shared" si="156"/>
        <v>0</v>
      </c>
      <c r="BK141" s="42">
        <f>'[1]побудинковий звіт'!BK141+'[2]побудинковий звіт'!BK141-'[3]побудинковий звіт'!BK141</f>
        <v>0</v>
      </c>
      <c r="BL141" s="42">
        <f>'[1]побудинковий звіт'!BL141+'[2]побудинковий звіт'!BL141-'[3]побудинковий звіт'!BL141</f>
        <v>0</v>
      </c>
      <c r="BM141" s="39">
        <f t="shared" si="157"/>
        <v>0</v>
      </c>
      <c r="BN141" s="42">
        <f>'[1]побудинковий звіт'!BN141+'[2]побудинковий звіт'!BN141-'[3]побудинковий звіт'!BN141</f>
        <v>0</v>
      </c>
      <c r="BO141" s="42">
        <f>'[1]побудинковий звіт'!BO141+'[2]побудинковий звіт'!BO141-'[3]побудинковий звіт'!BO141</f>
        <v>0</v>
      </c>
      <c r="BP141" s="59">
        <f t="shared" si="158"/>
        <v>0</v>
      </c>
      <c r="BQ141" s="87">
        <f t="shared" si="165"/>
        <v>225.05177326440102</v>
      </c>
      <c r="BR141" s="43">
        <f t="shared" si="166"/>
        <v>0</v>
      </c>
      <c r="BS141" s="59">
        <f t="shared" si="159"/>
        <v>-225.05177326440102</v>
      </c>
      <c r="BT141" s="42">
        <f>'[1]побудинковий звіт'!BT141+'[2]побудинковий звіт'!BT141-'[3]побудинковий звіт'!BT141</f>
        <v>334.97815055876504</v>
      </c>
      <c r="BU141" s="42">
        <f>'[1]побудинковий звіт'!BU141+'[2]побудинковий звіт'!BU141-'[3]побудинковий звіт'!BU141</f>
        <v>604.07089470596236</v>
      </c>
      <c r="BV141" s="56">
        <f t="shared" si="137"/>
        <v>269.09274414719732</v>
      </c>
      <c r="BW141" s="42">
        <f>'[1]побудинковий звіт'!BW141+'[2]побудинковий звіт'!BW141-'[3]побудинковий звіт'!BW141</f>
        <v>0</v>
      </c>
      <c r="BX141" s="42">
        <f>'[1]побудинковий звіт'!BX141+'[2]побудинковий звіт'!BX141-'[3]побудинковий звіт'!BX141</f>
        <v>16.103504720586795</v>
      </c>
      <c r="BY141" s="56">
        <f t="shared" si="138"/>
        <v>16.103504720586795</v>
      </c>
      <c r="BZ141" s="42">
        <f>'[1]побудинковий звіт'!BZ141+'[2]побудинковий звіт'!BZ141-'[3]побудинковий звіт'!BZ141</f>
        <v>0</v>
      </c>
      <c r="CA141" s="42">
        <f>'[1]побудинковий звіт'!CA141+'[2]побудинковий звіт'!CA141-'[3]побудинковий звіт'!CA141</f>
        <v>145.60804295774653</v>
      </c>
      <c r="CB141" s="56">
        <f t="shared" si="139"/>
        <v>145.60804295774653</v>
      </c>
      <c r="CC141" s="42">
        <f>'[1]побудинковий звіт'!CC141+'[2]побудинковий звіт'!CC141-'[3]побудинковий звіт'!CC141</f>
        <v>0</v>
      </c>
      <c r="CD141" s="42">
        <f>'[1]побудинковий звіт'!CD141+'[2]побудинковий звіт'!CD141-'[3]побудинковий звіт'!CD141</f>
        <v>0</v>
      </c>
      <c r="CE141" s="56">
        <f t="shared" si="140"/>
        <v>0</v>
      </c>
      <c r="CF141" s="42">
        <f>'[1]побудинковий звіт'!CF141+'[2]побудинковий звіт'!CF141-'[3]побудинковий звіт'!CF141</f>
        <v>0</v>
      </c>
      <c r="CG141" s="42">
        <f>'[1]побудинковий звіт'!CG141+'[2]побудинковий звіт'!CG141-'[3]побудинковий звіт'!CG141</f>
        <v>0</v>
      </c>
      <c r="CH141" s="56">
        <f t="shared" si="141"/>
        <v>0</v>
      </c>
      <c r="CI141" s="42">
        <f>'[1]побудинковий звіт'!CI141+'[2]побудинковий звіт'!CI141-'[3]побудинковий звіт'!CI141</f>
        <v>0</v>
      </c>
      <c r="CJ141" s="42">
        <f>'[1]побудинковий звіт'!CJ141+'[2]побудинковий звіт'!CJ141-'[3]побудинковий звіт'!CJ141</f>
        <v>0</v>
      </c>
      <c r="CK141" s="56">
        <f t="shared" si="142"/>
        <v>0</v>
      </c>
      <c r="CL141" s="42">
        <f>'[1]побудинковий звіт'!CL141+'[2]побудинковий звіт'!CL141-'[3]побудинковий звіт'!CL141</f>
        <v>0</v>
      </c>
      <c r="CM141" s="42">
        <f>'[1]побудинковий звіт'!CM141+'[2]побудинковий звіт'!CM141-'[3]побудинковий звіт'!CM141</f>
        <v>0</v>
      </c>
      <c r="CN141" s="56">
        <f t="shared" si="143"/>
        <v>0</v>
      </c>
      <c r="CO141" s="42">
        <f t="shared" si="123"/>
        <v>0</v>
      </c>
      <c r="CP141" s="43">
        <f t="shared" si="144"/>
        <v>0</v>
      </c>
      <c r="CQ141" s="56">
        <f t="shared" si="145"/>
        <v>0</v>
      </c>
      <c r="CR141" s="78">
        <f t="shared" si="124"/>
        <v>4334.2618822496561</v>
      </c>
      <c r="CS141" s="5">
        <f t="shared" si="124"/>
        <v>1733.9279106475165</v>
      </c>
      <c r="CT141" s="56">
        <f t="shared" si="146"/>
        <v>-2600.3339716021396</v>
      </c>
      <c r="CU141" s="87">
        <f t="shared" si="147"/>
        <v>5201.1142586995875</v>
      </c>
      <c r="CV141" s="70">
        <f t="shared" si="148"/>
        <v>2080.7134927770198</v>
      </c>
      <c r="CW141" s="37">
        <f t="shared" si="149"/>
        <v>-3120.4007659225676</v>
      </c>
      <c r="CX141" s="42">
        <f>'[1]побудинковий звіт'!CX141+'[2]побудинковий звіт'!CX141-'[3]побудинковий звіт'!CX141</f>
        <v>4783.6957413004147</v>
      </c>
      <c r="CY141" s="42">
        <f>'[1]побудинковий звіт'!CY141+'[2]побудинковий звіт'!CY141-'[3]побудинковий звіт'!CY141</f>
        <v>7904.096507222981</v>
      </c>
      <c r="CZ141" s="56">
        <f t="shared" si="150"/>
        <v>3120.4007659225663</v>
      </c>
      <c r="DA141" s="264">
        <f>'[4]побудинковий звіт'!DA141</f>
        <v>-7517.1734753493138</v>
      </c>
      <c r="DB141" s="2">
        <v>2</v>
      </c>
      <c r="DC141" s="717">
        <f>'[4]побудинковий звіт'!DC141</f>
        <v>220.29</v>
      </c>
      <c r="DD141" s="717">
        <f>'[4]побудинковий звіт'!DD141</f>
        <v>4849.6000000000004</v>
      </c>
      <c r="DE141" s="717">
        <f>'[4]побудинковий звіт'!DE141</f>
        <v>-50.599999999999994</v>
      </c>
      <c r="DF141" s="717">
        <f>'[4]побудинковий звіт'!DF141</f>
        <v>4614.1400000000003</v>
      </c>
      <c r="DG141" s="787">
        <v>-4502.1559456387131</v>
      </c>
      <c r="DH141" s="761">
        <f t="shared" si="171"/>
        <v>119817.72000000002</v>
      </c>
      <c r="DI141" s="784"/>
      <c r="DJ141" s="5"/>
      <c r="DK141" s="317">
        <f>VLOOKUP($A141,ціни!$A$4:$G$401,5)</f>
        <v>1.2699987905552541</v>
      </c>
      <c r="DL141" s="317"/>
      <c r="DM141" s="317">
        <f>VLOOKUP($A141,ціни!$A$4:$G$401,7)</f>
        <v>1.2699987905552541</v>
      </c>
      <c r="DN141" s="30">
        <f t="shared" si="173"/>
        <v>180.46682813790162</v>
      </c>
      <c r="DO141" s="30">
        <f t="shared" si="174"/>
        <v>363.98165337313588</v>
      </c>
      <c r="DP141" s="316">
        <f t="shared" si="162"/>
        <v>544.44848151103747</v>
      </c>
      <c r="DQ141" s="104"/>
      <c r="DR141" s="30">
        <f>VLOOKUP(A141,'ДЗ нас '!$A$1:$C$359,2)</f>
        <v>270.89</v>
      </c>
      <c r="DS141" s="748">
        <f>VLOOKUP(A141,'ДЗ нежит'!$A$1:$D$153,4,0)</f>
        <v>235.45999999999998</v>
      </c>
      <c r="DT141" s="30">
        <f t="shared" si="163"/>
        <v>506.34999999999997</v>
      </c>
      <c r="DU141" s="257">
        <f>VLOOKUP(A141,'новий кошторис с 01.06'!$A$4:$AI$399,35)*1.2</f>
        <v>441.22785961301491</v>
      </c>
      <c r="DV141" s="30">
        <f t="shared" si="164"/>
        <v>65.122140386985052</v>
      </c>
      <c r="DW141" s="930">
        <f>'[5]побудинковий звіт'!DW141+'[6]побудинковий звіт'!DW141</f>
        <v>0</v>
      </c>
      <c r="DY141" s="5">
        <f t="shared" si="167"/>
        <v>4017.6853023082122</v>
      </c>
      <c r="DZ141" s="5">
        <f t="shared" si="168"/>
        <v>0</v>
      </c>
      <c r="EA141" s="752">
        <f t="shared" si="172"/>
        <v>4563.54</v>
      </c>
      <c r="EC141" s="592">
        <f t="shared" si="169"/>
        <v>37476.231743909309</v>
      </c>
      <c r="EE141" s="758">
        <v>1818</v>
      </c>
      <c r="EF141" s="738">
        <f t="shared" si="170"/>
        <v>-2684.1559456387131</v>
      </c>
      <c r="EH141" s="813">
        <v>-4437.9374117335219</v>
      </c>
    </row>
    <row r="142" spans="1:138" x14ac:dyDescent="0.3">
      <c r="A142" s="328">
        <v>150001016</v>
      </c>
      <c r="B142" s="44" t="s">
        <v>594</v>
      </c>
      <c r="C142" s="45" t="s">
        <v>261</v>
      </c>
      <c r="D142" s="45" t="s">
        <v>261</v>
      </c>
      <c r="E142" s="40">
        <f t="shared" si="175"/>
        <v>4942.8999999999996</v>
      </c>
      <c r="F142" s="490">
        <v>3815</v>
      </c>
      <c r="G142" s="30"/>
      <c r="H142" s="30">
        <v>1127.9000000000001</v>
      </c>
      <c r="I142" s="42">
        <f>'[1]побудинковий звіт'!I142+'[2]побудинковий звіт'!I142-'[3]побудинковий звіт'!I142</f>
        <v>6054.7851322479301</v>
      </c>
      <c r="J142" s="42">
        <f>'[1]побудинковий звіт'!J142+'[2]побудинковий звіт'!J142-'[3]побудинковий звіт'!J142</f>
        <v>6121.1481742256783</v>
      </c>
      <c r="K142" s="56">
        <f t="shared" si="125"/>
        <v>66.363041977748253</v>
      </c>
      <c r="L142" s="42">
        <f>'[1]побудинковий звіт'!L142+'[2]побудинковий звіт'!L142-'[3]побудинковий звіт'!L142</f>
        <v>1202.5200519922423</v>
      </c>
      <c r="M142" s="42">
        <f>'[1]побудинковий звіт'!M142+'[2]побудинковий звіт'!M142-'[3]побудинковий звіт'!M142</f>
        <v>1227.9576998692487</v>
      </c>
      <c r="N142" s="56">
        <f t="shared" si="126"/>
        <v>25.437647877006384</v>
      </c>
      <c r="O142" s="42">
        <f>'[1]побудинковий звіт'!O142+'[2]побудинковий звіт'!O142-'[3]побудинковий звіт'!O142</f>
        <v>4055.3999999999992</v>
      </c>
      <c r="P142" s="42">
        <f>'[1]побудинковий звіт'!P142+'[2]побудинковий звіт'!P142-'[3]побудинковий звіт'!P142</f>
        <v>3187.5225758064516</v>
      </c>
      <c r="Q142" s="56">
        <f t="shared" si="127"/>
        <v>-867.87742419354754</v>
      </c>
      <c r="R142" s="42">
        <f>'[1]побудинковий звіт'!R142+'[2]побудинковий звіт'!R142-'[3]побудинковий звіт'!R142</f>
        <v>1197.5999999999997</v>
      </c>
      <c r="S142" s="42">
        <f>'[1]побудинковий звіт'!S142+'[2]побудинковий звіт'!S142-'[3]побудинковий звіт'!S142</f>
        <v>941.26856999999984</v>
      </c>
      <c r="T142" s="56">
        <f t="shared" si="128"/>
        <v>-256.33142999999984</v>
      </c>
      <c r="U142" s="42">
        <f>'[1]побудинковий звіт'!U142+'[2]побудинковий звіт'!U142-'[3]побудинковий звіт'!U142</f>
        <v>0</v>
      </c>
      <c r="V142" s="42">
        <f>'[1]побудинковий звіт'!V142+'[2]побудинковий звіт'!V142-'[3]побудинковий звіт'!V142</f>
        <v>0</v>
      </c>
      <c r="W142" s="56">
        <f t="shared" si="129"/>
        <v>0</v>
      </c>
      <c r="X142" s="42">
        <f>'[1]побудинковий звіт'!X142+'[2]побудинковий звіт'!X142-'[3]побудинковий звіт'!X142</f>
        <v>5394.6334894290385</v>
      </c>
      <c r="Y142" s="42">
        <f>'[1]побудинковий звіт'!Y142+'[2]побудинковий звіт'!Y142-'[3]побудинковий звіт'!Y142</f>
        <v>4274.7133997455348</v>
      </c>
      <c r="Z142" s="56">
        <f t="shared" si="130"/>
        <v>-1119.9200896835036</v>
      </c>
      <c r="AA142" s="42">
        <f>'[1]побудинковий звіт'!AA142+'[2]побудинковий звіт'!AA142-'[3]побудинковий звіт'!AA142</f>
        <v>0</v>
      </c>
      <c r="AB142" s="42">
        <f>'[1]побудинковий звіт'!AB142+'[2]побудинковий звіт'!AB142-'[3]побудинковий звіт'!AB142</f>
        <v>0</v>
      </c>
      <c r="AC142" s="56">
        <f t="shared" si="131"/>
        <v>0</v>
      </c>
      <c r="AD142" s="42">
        <f>'[1]побудинковий звіт'!AD142+'[2]побудинковий звіт'!AD142-'[3]побудинковий звіт'!AD142</f>
        <v>14102.889629336172</v>
      </c>
      <c r="AE142" s="42">
        <f>'[1]побудинковий звіт'!AE142+'[2]побудинковий звіт'!AE142-'[3]побудинковий звіт'!AE142</f>
        <v>12965.993088191535</v>
      </c>
      <c r="AF142" s="37">
        <f t="shared" si="132"/>
        <v>-1136.896541144637</v>
      </c>
      <c r="AG142" s="87">
        <f t="shared" si="120"/>
        <v>32007.828303005383</v>
      </c>
      <c r="AH142" s="57">
        <f t="shared" si="120"/>
        <v>28718.603507838448</v>
      </c>
      <c r="AI142" s="56">
        <f t="shared" si="133"/>
        <v>-3289.2247951669342</v>
      </c>
      <c r="AJ142" s="42">
        <f>'[1]побудинковий звіт'!AJ142+'[2]побудинковий звіт'!AJ142-'[3]побудинковий звіт'!AJ142</f>
        <v>0</v>
      </c>
      <c r="AK142" s="42">
        <f>'[1]побудинковий звіт'!AK142+'[2]побудинковий звіт'!AK142-'[3]побудинковий звіт'!AK142</f>
        <v>0</v>
      </c>
      <c r="AL142" s="56">
        <f t="shared" si="134"/>
        <v>0</v>
      </c>
      <c r="AM142" s="42">
        <f>'[1]побудинковий звіт'!AM142+'[2]побудинковий звіт'!AM142-'[3]побудинковий звіт'!AM142</f>
        <v>0</v>
      </c>
      <c r="AN142" s="42">
        <f>'[1]побудинковий звіт'!AN142+'[2]побудинковий звіт'!AN142-'[3]побудинковий звіт'!AN142</f>
        <v>0</v>
      </c>
      <c r="AO142" s="56">
        <f t="shared" si="135"/>
        <v>0</v>
      </c>
      <c r="AP142" s="42">
        <f>'[1]побудинковий звіт'!AP142+'[2]побудинковий звіт'!AP142-'[3]побудинковий звіт'!AP142</f>
        <v>1704.6317572085691</v>
      </c>
      <c r="AQ142" s="42">
        <f>'[1]побудинковий звіт'!AQ142+'[2]побудинковий звіт'!AQ142-'[3]побудинковий звіт'!AQ142</f>
        <v>2012.479537443106</v>
      </c>
      <c r="AR142" s="56">
        <f t="shared" si="136"/>
        <v>307.84778023453691</v>
      </c>
      <c r="AS142" s="42">
        <f>'[1]побудинковий звіт'!AS142+'[2]побудинковий звіт'!AS142-'[3]побудинковий звіт'!AS142</f>
        <v>39971.153413274209</v>
      </c>
      <c r="AT142" s="42">
        <f>'[1]побудинковий звіт'!AT142+'[2]побудинковий звіт'!AT142-'[3]побудинковий звіт'!AT142</f>
        <v>22971</v>
      </c>
      <c r="AU142" s="58">
        <f t="shared" si="151"/>
        <v>-17000.153413274209</v>
      </c>
      <c r="AV142" s="42">
        <f>'[1]побудинковий звіт'!AV142+'[2]побудинковий звіт'!AV142-'[3]побудинковий звіт'!AV142</f>
        <v>1124.6346405670176</v>
      </c>
      <c r="AW142" s="42">
        <f>'[1]побудинковий звіт'!AW142+'[2]побудинковий звіт'!AW142-'[3]побудинковий звіт'!AW142</f>
        <v>0</v>
      </c>
      <c r="AX142" s="59">
        <f t="shared" si="152"/>
        <v>-1124.6346405670176</v>
      </c>
      <c r="AY142" s="42">
        <f>'[1]побудинковий звіт'!AY142+'[2]побудинковий звіт'!AY142-'[3]побудинковий звіт'!AY142</f>
        <v>1549.8224363833519</v>
      </c>
      <c r="AZ142" s="42">
        <f>'[1]побудинковий звіт'!AZ142+'[2]побудинковий звіт'!AZ142-'[3]побудинковий звіт'!AZ142</f>
        <v>0</v>
      </c>
      <c r="BA142" s="37">
        <f t="shared" si="153"/>
        <v>-1549.8224363833519</v>
      </c>
      <c r="BB142" s="42">
        <f>'[1]побудинковий звіт'!BB142+'[2]побудинковий звіт'!BB142-'[3]побудинковий звіт'!BB142</f>
        <v>2505.1613766477335</v>
      </c>
      <c r="BC142" s="42">
        <f>'[1]побудинковий звіт'!BC142+'[2]побудинковий звіт'!BC142-'[3]побудинковий звіт'!BC142</f>
        <v>0</v>
      </c>
      <c r="BD142" s="59">
        <f t="shared" si="154"/>
        <v>-2505.1613766477335</v>
      </c>
      <c r="BE142" s="42">
        <f>'[1]побудинковий звіт'!BE142+'[2]побудинковий звіт'!BE142-'[3]побудинковий звіт'!BE142</f>
        <v>1409.5264689858579</v>
      </c>
      <c r="BF142" s="42">
        <f>'[1]побудинковий звіт'!BF142+'[2]побудинковий звіт'!BF142-'[3]побудинковий звіт'!BF142</f>
        <v>0</v>
      </c>
      <c r="BG142" s="39">
        <f t="shared" si="155"/>
        <v>-1409.5264689858579</v>
      </c>
      <c r="BH142" s="42">
        <f>'[1]побудинковий звіт'!BH142+'[2]побудинковий звіт'!BH142-'[3]побудинковий звіт'!BH142</f>
        <v>0</v>
      </c>
      <c r="BI142" s="42">
        <f>'[1]побудинковий звіт'!BI142+'[2]побудинковий звіт'!BI142-'[3]побудинковий звіт'!BI142</f>
        <v>0</v>
      </c>
      <c r="BJ142" s="59">
        <f t="shared" si="156"/>
        <v>0</v>
      </c>
      <c r="BK142" s="42">
        <f>'[1]побудинковий звіт'!BK142+'[2]побудинковий звіт'!BK142-'[3]побудинковий звіт'!BK142</f>
        <v>724.43508708272213</v>
      </c>
      <c r="BL142" s="42">
        <f>'[1]побудинковий звіт'!BL142+'[2]побудинковий звіт'!BL142-'[3]побудинковий звіт'!BL142</f>
        <v>1263.0374459231459</v>
      </c>
      <c r="BM142" s="39">
        <f t="shared" si="157"/>
        <v>538.60235884042379</v>
      </c>
      <c r="BN142" s="42">
        <f>'[1]побудинковий звіт'!BN142+'[2]побудинковий звіт'!BN142-'[3]побудинковий звіт'!BN142</f>
        <v>0</v>
      </c>
      <c r="BO142" s="42">
        <f>'[1]побудинковий звіт'!BO142+'[2]побудинковий звіт'!BO142-'[3]побудинковий звіт'!BO142</f>
        <v>0</v>
      </c>
      <c r="BP142" s="59">
        <f t="shared" si="158"/>
        <v>0</v>
      </c>
      <c r="BQ142" s="87">
        <f t="shared" si="165"/>
        <v>7313.5800096666826</v>
      </c>
      <c r="BR142" s="43">
        <f t="shared" si="166"/>
        <v>1263.0374459231459</v>
      </c>
      <c r="BS142" s="59">
        <f t="shared" si="159"/>
        <v>-6050.5425637435364</v>
      </c>
      <c r="BT142" s="42">
        <f>'[1]побудинковий звіт'!BT142+'[2]побудинковий звіт'!BT142-'[3]побудинковий звіт'!BT142</f>
        <v>37849.612969520749</v>
      </c>
      <c r="BU142" s="42">
        <f>'[1]побудинковий звіт'!BU142+'[2]побудинковий звіт'!BU142-'[3]побудинковий звіт'!BU142</f>
        <v>57436.375727911152</v>
      </c>
      <c r="BV142" s="56">
        <f t="shared" si="137"/>
        <v>19586.762758390403</v>
      </c>
      <c r="BW142" s="42">
        <f>'[1]побудинковий звіт'!BW142+'[2]побудинковий звіт'!BW142-'[3]побудинковий звіт'!BW142</f>
        <v>15462.479083582903</v>
      </c>
      <c r="BX142" s="42">
        <f>'[1]побудинковий звіт'!BX142+'[2]побудинковий звіт'!BX142-'[3]побудинковий звіт'!BX142</f>
        <v>15762.233672035291</v>
      </c>
      <c r="BY142" s="56">
        <f t="shared" si="138"/>
        <v>299.75458845238791</v>
      </c>
      <c r="BZ142" s="42">
        <f>'[1]побудинковий звіт'!BZ142+'[2]побудинковий звіт'!BZ142-'[3]побудинковий звіт'!BZ142</f>
        <v>16513.363511236526</v>
      </c>
      <c r="CA142" s="42">
        <f>'[1]побудинковий звіт'!CA142+'[2]побудинковий звіт'!CA142-'[3]побудинковий звіт'!CA142</f>
        <v>12732.03283155624</v>
      </c>
      <c r="CB142" s="56">
        <f t="shared" si="139"/>
        <v>-3781.3306796802863</v>
      </c>
      <c r="CC142" s="42">
        <f>'[1]побудинковий звіт'!CC142+'[2]побудинковий звіт'!CC142-'[3]побудинковий звіт'!CC142</f>
        <v>0</v>
      </c>
      <c r="CD142" s="42">
        <f>'[1]побудинковий звіт'!CD142+'[2]побудинковий звіт'!CD142-'[3]побудинковий звіт'!CD142</f>
        <v>0</v>
      </c>
      <c r="CE142" s="56">
        <f t="shared" si="140"/>
        <v>0</v>
      </c>
      <c r="CF142" s="42">
        <f>'[1]побудинковий звіт'!CF142+'[2]побудинковий звіт'!CF142-'[3]побудинковий звіт'!CF142</f>
        <v>0</v>
      </c>
      <c r="CG142" s="42">
        <f>'[1]побудинковий звіт'!CG142+'[2]побудинковий звіт'!CG142-'[3]побудинковий звіт'!CG142</f>
        <v>0</v>
      </c>
      <c r="CH142" s="56">
        <f t="shared" si="141"/>
        <v>0</v>
      </c>
      <c r="CI142" s="42">
        <f>'[1]побудинковий звіт'!CI142+'[2]побудинковий звіт'!CI142-'[3]побудинковий звіт'!CI142</f>
        <v>3406.5895822489674</v>
      </c>
      <c r="CJ142" s="42">
        <f>'[1]побудинковий звіт'!CJ142+'[2]побудинковий звіт'!CJ142-'[3]побудинковий звіт'!CJ142</f>
        <v>1808.3719776599519</v>
      </c>
      <c r="CK142" s="56">
        <f t="shared" si="142"/>
        <v>-1598.2176045890155</v>
      </c>
      <c r="CL142" s="42">
        <f>'[1]побудинковий звіт'!CL142+'[2]побудинковий звіт'!CL142-'[3]побудинковий звіт'!CL142</f>
        <v>0</v>
      </c>
      <c r="CM142" s="42">
        <f>'[1]побудинковий звіт'!CM142+'[2]побудинковий звіт'!CM142-'[3]побудинковий звіт'!CM142</f>
        <v>0</v>
      </c>
      <c r="CN142" s="56">
        <f t="shared" si="143"/>
        <v>0</v>
      </c>
      <c r="CO142" s="42">
        <f t="shared" si="123"/>
        <v>3406.5895822489674</v>
      </c>
      <c r="CP142" s="43">
        <f t="shared" si="144"/>
        <v>1808.3719776599519</v>
      </c>
      <c r="CQ142" s="56">
        <f t="shared" si="145"/>
        <v>-1598.2176045890155</v>
      </c>
      <c r="CR142" s="78">
        <f t="shared" si="124"/>
        <v>154229.23862974398</v>
      </c>
      <c r="CS142" s="5">
        <f t="shared" si="124"/>
        <v>142704.13470036734</v>
      </c>
      <c r="CT142" s="56">
        <f t="shared" si="146"/>
        <v>-11525.103929376637</v>
      </c>
      <c r="CU142" s="87">
        <f t="shared" si="147"/>
        <v>185075.08635569277</v>
      </c>
      <c r="CV142" s="70">
        <f t="shared" si="148"/>
        <v>171244.9616404408</v>
      </c>
      <c r="CW142" s="37">
        <f t="shared" si="149"/>
        <v>-13830.124715251965</v>
      </c>
      <c r="CX142" s="42">
        <f>'[1]побудинковий звіт'!CX142+'[2]побудинковий звіт'!CX142-'[3]побудинковий звіт'!CX142</f>
        <v>4606.7836443072083</v>
      </c>
      <c r="CY142" s="42">
        <f>'[1]побудинковий звіт'!CY142+'[2]побудинковий звіт'!CY142-'[3]побудинковий звіт'!CY142</f>
        <v>18436.908359559209</v>
      </c>
      <c r="CZ142" s="56">
        <f t="shared" si="150"/>
        <v>13830.124715252001</v>
      </c>
      <c r="DA142" s="264">
        <f>'[4]побудинковий звіт'!DA142</f>
        <v>-6594.3437594899224</v>
      </c>
      <c r="DB142" s="2">
        <v>2</v>
      </c>
      <c r="DC142" s="717">
        <f>'[4]побудинковий звіт'!DC142</f>
        <v>52542.58</v>
      </c>
      <c r="DD142" s="717">
        <f>'[4]побудинковий звіт'!DD142</f>
        <v>49131.92</v>
      </c>
      <c r="DE142" s="717">
        <f>'[4]побудинковий звіт'!DE142</f>
        <v>41684.61</v>
      </c>
      <c r="DF142" s="717">
        <f>'[4]побудинковий звіт'!DF142</f>
        <v>43857.35</v>
      </c>
      <c r="DG142" s="787">
        <v>-17910.825230468763</v>
      </c>
      <c r="DH142" s="761">
        <f t="shared" si="171"/>
        <v>2276182.4399999995</v>
      </c>
      <c r="DI142" s="784"/>
      <c r="DJ142" s="5"/>
      <c r="DK142" s="317">
        <f>VLOOKUP($A142,ціни!$A$4:$G$401,5)</f>
        <v>5.0208612816706939</v>
      </c>
      <c r="DL142" s="317"/>
      <c r="DM142" s="317">
        <f>VLOOKUP($A142,ціни!$A$4:$G$401,7)</f>
        <v>4.2913911110361864</v>
      </c>
      <c r="DN142" s="30">
        <f t="shared" si="173"/>
        <v>19154.585789573699</v>
      </c>
      <c r="DO142" s="30">
        <f t="shared" si="174"/>
        <v>4840.2600341377147</v>
      </c>
      <c r="DP142" s="316">
        <f t="shared" si="162"/>
        <v>23994.845823711414</v>
      </c>
      <c r="DQ142" s="104"/>
      <c r="DR142" s="30">
        <f>VLOOKUP(A142,'ДЗ нас '!$A$1:$C$359,2)</f>
        <v>10857.97</v>
      </c>
      <c r="DS142" s="748">
        <f>VLOOKUP(A142,'ДЗ нежит'!$A$1:$D$153,4,0)</f>
        <v>5274.5700000000006</v>
      </c>
      <c r="DT142" s="30">
        <f t="shared" si="163"/>
        <v>16132.54</v>
      </c>
      <c r="DU142" s="257">
        <f>VLOOKUP(A142,'новий кошторис с 01.06'!$A$4:$AI$399,35)*1.2</f>
        <v>15793.074035685786</v>
      </c>
      <c r="DV142" s="30">
        <f t="shared" si="164"/>
        <v>339.46596431421494</v>
      </c>
      <c r="DW142" s="930">
        <f>'[5]побудинковий звіт'!DW142+'[6]побудинковий звіт'!DW142</f>
        <v>236</v>
      </c>
      <c r="DY142" s="5">
        <f t="shared" si="167"/>
        <v>56741.680107529064</v>
      </c>
      <c r="DZ142" s="5">
        <f t="shared" si="168"/>
        <v>29080.844935107776</v>
      </c>
      <c r="EA142" s="752">
        <f t="shared" si="172"/>
        <v>85541.959999999992</v>
      </c>
      <c r="EC142" s="592">
        <f t="shared" si="169"/>
        <v>479653.84095929051</v>
      </c>
      <c r="EE142" s="758">
        <v>68920</v>
      </c>
      <c r="EF142" s="738">
        <f t="shared" si="170"/>
        <v>51009.174769531237</v>
      </c>
      <c r="EH142" s="813">
        <v>-6018.3055562854643</v>
      </c>
    </row>
    <row r="143" spans="1:138" x14ac:dyDescent="0.3">
      <c r="A143" s="328">
        <v>150001007</v>
      </c>
      <c r="B143" s="44" t="s">
        <v>595</v>
      </c>
      <c r="C143" s="45" t="s">
        <v>213</v>
      </c>
      <c r="D143" s="45" t="s">
        <v>213</v>
      </c>
      <c r="E143" s="40">
        <f t="shared" si="175"/>
        <v>261</v>
      </c>
      <c r="F143" s="490">
        <v>214.9</v>
      </c>
      <c r="G143" s="30"/>
      <c r="H143" s="30">
        <v>46.1</v>
      </c>
      <c r="I143" s="42">
        <f>'[1]побудинковий звіт'!I143+'[2]побудинковий звіт'!I143-'[3]побудинковий звіт'!I143</f>
        <v>7896.6966553825168</v>
      </c>
      <c r="J143" s="42">
        <f>'[1]побудинковий звіт'!J143+'[2]побудинковий звіт'!J143-'[3]побудинковий звіт'!J143</f>
        <v>7863.0424113545923</v>
      </c>
      <c r="K143" s="56">
        <f t="shared" si="125"/>
        <v>-33.654244027924506</v>
      </c>
      <c r="L143" s="42">
        <f>'[1]побудинковий звіт'!L143+'[2]побудинковий звіт'!L143-'[3]побудинковий звіт'!L143</f>
        <v>1452.2595062185435</v>
      </c>
      <c r="M143" s="42">
        <f>'[1]побудинковий звіт'!M143+'[2]побудинковий звіт'!M143-'[3]побудинковий звіт'!M143</f>
        <v>1523.9908904250187</v>
      </c>
      <c r="N143" s="56">
        <f t="shared" si="126"/>
        <v>71.731384206475241</v>
      </c>
      <c r="O143" s="42">
        <f>'[1]побудинковий звіт'!O143+'[2]побудинковий звіт'!O143-'[3]побудинковий звіт'!O143</f>
        <v>2851.1999999999994</v>
      </c>
      <c r="P143" s="42">
        <f>'[1]побудинковий звіт'!P143+'[2]побудинковий звіт'!P143-'[3]побудинковий звіт'!P143</f>
        <v>2241.0335306451611</v>
      </c>
      <c r="Q143" s="56">
        <f t="shared" si="127"/>
        <v>-610.16646935483823</v>
      </c>
      <c r="R143" s="42">
        <f>'[1]побудинковий звіт'!R143+'[2]побудинковий звіт'!R143-'[3]побудинковий звіт'!R143</f>
        <v>0</v>
      </c>
      <c r="S143" s="42">
        <f>'[1]побудинковий звіт'!S143+'[2]побудинковий звіт'!S143-'[3]побудинковий звіт'!S143</f>
        <v>0</v>
      </c>
      <c r="T143" s="56">
        <f t="shared" si="128"/>
        <v>0</v>
      </c>
      <c r="U143" s="42">
        <f>'[1]побудинковий звіт'!U143+'[2]побудинковий звіт'!U143-'[3]побудинковий звіт'!U143</f>
        <v>0</v>
      </c>
      <c r="V143" s="42">
        <f>'[1]побудинковий звіт'!V143+'[2]побудинковий звіт'!V143-'[3]побудинковий звіт'!V143</f>
        <v>0</v>
      </c>
      <c r="W143" s="56">
        <f t="shared" si="129"/>
        <v>0</v>
      </c>
      <c r="X143" s="42">
        <f>'[1]побудинковий звіт'!X143+'[2]побудинковий звіт'!X143-'[3]побудинковий звіт'!X143</f>
        <v>4072.409313770665</v>
      </c>
      <c r="Y143" s="42">
        <f>'[1]побудинковий звіт'!Y143+'[2]побудинковий звіт'!Y143-'[3]побудинковий звіт'!Y143</f>
        <v>3073.3019172698532</v>
      </c>
      <c r="Z143" s="56">
        <f t="shared" si="130"/>
        <v>-999.10739650081177</v>
      </c>
      <c r="AA143" s="42">
        <f>'[1]побудинковий звіт'!AA143+'[2]побудинковий звіт'!AA143-'[3]побудинковий звіт'!AA143</f>
        <v>0</v>
      </c>
      <c r="AB143" s="42">
        <f>'[1]побудинковий звіт'!AB143+'[2]побудинковий звіт'!AB143-'[3]побудинковий звіт'!AB143</f>
        <v>0</v>
      </c>
      <c r="AC143" s="56">
        <f t="shared" si="131"/>
        <v>0</v>
      </c>
      <c r="AD143" s="42">
        <f>'[1]побудинковий звіт'!AD143+'[2]побудинковий звіт'!AD143-'[3]побудинковий звіт'!AD143</f>
        <v>8749.2064832420747</v>
      </c>
      <c r="AE143" s="42">
        <f>'[1]побудинковий звіт'!AE143+'[2]побудинковий звіт'!AE143-'[3]побудинковий звіт'!AE143</f>
        <v>8064.0853371304984</v>
      </c>
      <c r="AF143" s="37">
        <f t="shared" si="132"/>
        <v>-685.12114611157631</v>
      </c>
      <c r="AG143" s="87">
        <f t="shared" si="120"/>
        <v>25021.771958613797</v>
      </c>
      <c r="AH143" s="57">
        <f t="shared" si="120"/>
        <v>22765.454086825124</v>
      </c>
      <c r="AI143" s="56">
        <f t="shared" si="133"/>
        <v>-2256.3178717886731</v>
      </c>
      <c r="AJ143" s="42">
        <f>'[1]побудинковий звіт'!AJ143+'[2]побудинковий звіт'!AJ143-'[3]побудинковий звіт'!AJ143</f>
        <v>0</v>
      </c>
      <c r="AK143" s="42">
        <f>'[1]побудинковий звіт'!AK143+'[2]побудинковий звіт'!AK143-'[3]побудинковий звіт'!AK143</f>
        <v>0</v>
      </c>
      <c r="AL143" s="56">
        <f t="shared" si="134"/>
        <v>0</v>
      </c>
      <c r="AM143" s="42">
        <f>'[1]побудинковий звіт'!AM143+'[2]побудинковий звіт'!AM143-'[3]побудинковий звіт'!AM143</f>
        <v>0</v>
      </c>
      <c r="AN143" s="42">
        <f>'[1]побудинковий звіт'!AN143+'[2]побудинковий звіт'!AN143-'[3]побудинковий звіт'!AN143</f>
        <v>0</v>
      </c>
      <c r="AO143" s="56">
        <f t="shared" si="135"/>
        <v>0</v>
      </c>
      <c r="AP143" s="42">
        <f>'[1]побудинковий звіт'!AP143+'[2]побудинковий звіт'!AP143-'[3]побудинковий звіт'!AP143</f>
        <v>6676.4743824002298</v>
      </c>
      <c r="AQ143" s="42">
        <f>'[1]побудинковий звіт'!AQ143+'[2]побудинковий звіт'!AQ143-'[3]побудинковий звіт'!AQ143</f>
        <v>8969.2653112825865</v>
      </c>
      <c r="AR143" s="56">
        <f t="shared" si="136"/>
        <v>2292.7909288823566</v>
      </c>
      <c r="AS143" s="42">
        <f>'[1]побудинковий звіт'!AS143+'[2]побудинковий звіт'!AS143-'[3]побудинковий звіт'!AS143</f>
        <v>26028.242005534124</v>
      </c>
      <c r="AT143" s="42">
        <f>'[1]побудинковий звіт'!AT143+'[2]побудинковий звіт'!AT143-'[3]побудинковий звіт'!AT143</f>
        <v>2926</v>
      </c>
      <c r="AU143" s="58">
        <f t="shared" si="151"/>
        <v>-23102.242005534124</v>
      </c>
      <c r="AV143" s="42">
        <f>'[1]побудинковий звіт'!AV143+'[2]побудинковий звіт'!AV143-'[3]побудинковий звіт'!AV143</f>
        <v>1258.1166188767129</v>
      </c>
      <c r="AW143" s="42">
        <f>'[1]побудинковий звіт'!AW143+'[2]побудинковий звіт'!AW143-'[3]побудинковий звіт'!AW143</f>
        <v>809</v>
      </c>
      <c r="AX143" s="59">
        <f t="shared" si="152"/>
        <v>-449.11661887671289</v>
      </c>
      <c r="AY143" s="42">
        <f>'[1]побудинковий звіт'!AY143+'[2]побудинковий звіт'!AY143-'[3]побудинковий звіт'!AY143</f>
        <v>1871.8716437381809</v>
      </c>
      <c r="AZ143" s="42">
        <f>'[1]побудинковий звіт'!AZ143+'[2]побудинковий звіт'!AZ143-'[3]побудинковий звіт'!AZ143</f>
        <v>0</v>
      </c>
      <c r="BA143" s="37">
        <f t="shared" si="153"/>
        <v>-1871.8716437381809</v>
      </c>
      <c r="BB143" s="42">
        <f>'[1]побудинковий звіт'!BB143+'[2]побудинковий звіт'!BB143-'[3]побудинковий звіт'!BB143</f>
        <v>1414.2557007532516</v>
      </c>
      <c r="BC143" s="42">
        <f>'[1]побудинковий звіт'!BC143+'[2]побудинковий звіт'!BC143-'[3]побудинковий звіт'!BC143</f>
        <v>0</v>
      </c>
      <c r="BD143" s="59">
        <f t="shared" si="154"/>
        <v>-1414.2557007532516</v>
      </c>
      <c r="BE143" s="42">
        <f>'[1]побудинковий звіт'!BE143+'[2]побудинковий звіт'!BE143-'[3]побудинковий звіт'!BE143</f>
        <v>0</v>
      </c>
      <c r="BF143" s="42">
        <f>'[1]побудинковий звіт'!BF143+'[2]побудинковий звіт'!BF143-'[3]побудинковий звіт'!BF143</f>
        <v>0</v>
      </c>
      <c r="BG143" s="39">
        <f t="shared" si="155"/>
        <v>0</v>
      </c>
      <c r="BH143" s="42">
        <f>'[1]побудинковий звіт'!BH143+'[2]побудинковий звіт'!BH143-'[3]побудинковий звіт'!BH143</f>
        <v>0</v>
      </c>
      <c r="BI143" s="42">
        <f>'[1]побудинковий звіт'!BI143+'[2]побудинковий звіт'!BI143-'[3]побудинковий звіт'!BI143</f>
        <v>457.81107576101647</v>
      </c>
      <c r="BJ143" s="59">
        <f t="shared" si="156"/>
        <v>457.81107576101647</v>
      </c>
      <c r="BK143" s="42">
        <f>'[1]побудинковий звіт'!BK143+'[2]побудинковий звіт'!BK143-'[3]побудинковий звіт'!BK143</f>
        <v>519.14742865626056</v>
      </c>
      <c r="BL143" s="42">
        <f>'[1]побудинковий звіт'!BL143+'[2]побудинковий звіт'!BL143-'[3]побудинковий звіт'!BL143</f>
        <v>795</v>
      </c>
      <c r="BM143" s="39">
        <f t="shared" si="157"/>
        <v>275.85257134373944</v>
      </c>
      <c r="BN143" s="42">
        <f>'[1]побудинковий звіт'!BN143+'[2]побудинковий звіт'!BN143-'[3]побудинковий звіт'!BN143</f>
        <v>0</v>
      </c>
      <c r="BO143" s="42">
        <f>'[1]побудинковий звіт'!BO143+'[2]побудинковий звіт'!BO143-'[3]побудинковий звіт'!BO143</f>
        <v>0</v>
      </c>
      <c r="BP143" s="59">
        <f t="shared" si="158"/>
        <v>0</v>
      </c>
      <c r="BQ143" s="87">
        <f t="shared" si="165"/>
        <v>5063.3913920244058</v>
      </c>
      <c r="BR143" s="43">
        <f t="shared" si="166"/>
        <v>2061.8110757610166</v>
      </c>
      <c r="BS143" s="59">
        <f t="shared" si="159"/>
        <v>-3001.5803162633892</v>
      </c>
      <c r="BT143" s="42">
        <f>'[1]побудинковий звіт'!BT143+'[2]побудинковий звіт'!BT143-'[3]побудинковий звіт'!BT143</f>
        <v>12739.867904494198</v>
      </c>
      <c r="BU143" s="42">
        <f>'[1]побудинковий звіт'!BU143+'[2]побудинковий звіт'!BU143-'[3]побудинковий звіт'!BU143</f>
        <v>20413.2343480573</v>
      </c>
      <c r="BV143" s="56">
        <f t="shared" si="137"/>
        <v>7673.3664435631017</v>
      </c>
      <c r="BW143" s="42">
        <f>'[1]побудинковий звіт'!BW143+'[2]побудинковий звіт'!BW143-'[3]побудинковий звіт'!BW143</f>
        <v>11108.308677483119</v>
      </c>
      <c r="BX143" s="42">
        <f>'[1]побудинковий звіт'!BX143+'[2]побудинковий звіт'!BX143-'[3]побудинковий звіт'!BX143</f>
        <v>11170.794548524833</v>
      </c>
      <c r="BY143" s="56">
        <f t="shared" si="138"/>
        <v>62.485871041713835</v>
      </c>
      <c r="BZ143" s="42">
        <f>'[1]побудинковий звіт'!BZ143+'[2]побудинковий звіт'!BZ143-'[3]побудинковий звіт'!BZ143</f>
        <v>7303.4226794931774</v>
      </c>
      <c r="CA143" s="42">
        <f>'[1]побудинковий звіт'!CA143+'[2]побудинковий звіт'!CA143-'[3]побудинковий звіт'!CA143</f>
        <v>4567.1413920496625</v>
      </c>
      <c r="CB143" s="56">
        <f t="shared" si="139"/>
        <v>-2736.2812874435149</v>
      </c>
      <c r="CC143" s="42">
        <f>'[1]побудинковий звіт'!CC143+'[2]побудинковий звіт'!CC143-'[3]побудинковий звіт'!CC143</f>
        <v>2007.7487077923556</v>
      </c>
      <c r="CD143" s="42">
        <f>'[1]побудинковий звіт'!CD143+'[2]побудинковий звіт'!CD143-'[3]побудинковий звіт'!CD143</f>
        <v>1990.0899902756303</v>
      </c>
      <c r="CE143" s="56">
        <f t="shared" si="140"/>
        <v>-17.658717516725346</v>
      </c>
      <c r="CF143" s="42">
        <f>'[1]побудинковий звіт'!CF143+'[2]побудинковий звіт'!CF143-'[3]побудинковий звіт'!CF143</f>
        <v>247.16603410322554</v>
      </c>
      <c r="CG143" s="42">
        <f>'[1]побудинковий звіт'!CG143+'[2]побудинковий звіт'!CG143-'[3]побудинковий звіт'!CG143</f>
        <v>0</v>
      </c>
      <c r="CH143" s="56">
        <f t="shared" si="141"/>
        <v>-247.16603410322554</v>
      </c>
      <c r="CI143" s="42">
        <f>'[1]побудинковий звіт'!CI143+'[2]побудинковий звіт'!CI143-'[3]побудинковий звіт'!CI143</f>
        <v>3313.0019563630076</v>
      </c>
      <c r="CJ143" s="42">
        <f>'[1]побудинковий звіт'!CJ143+'[2]побудинковий звіт'!CJ143-'[3]побудинковий звіт'!CJ143</f>
        <v>1653.6890265844002</v>
      </c>
      <c r="CK143" s="56">
        <f t="shared" si="142"/>
        <v>-1659.3129297786074</v>
      </c>
      <c r="CL143" s="42">
        <f>'[1]побудинковий звіт'!CL143+'[2]побудинковий звіт'!CL143-'[3]побудинковий звіт'!CL143</f>
        <v>0</v>
      </c>
      <c r="CM143" s="42">
        <f>'[1]побудинковий звіт'!CM143+'[2]побудинковий звіт'!CM143-'[3]побудинковий звіт'!CM143</f>
        <v>0</v>
      </c>
      <c r="CN143" s="56">
        <f t="shared" si="143"/>
        <v>0</v>
      </c>
      <c r="CO143" s="42">
        <f t="shared" si="123"/>
        <v>3313.0019563630076</v>
      </c>
      <c r="CP143" s="43">
        <f t="shared" si="144"/>
        <v>1653.6890265844002</v>
      </c>
      <c r="CQ143" s="56">
        <f t="shared" si="145"/>
        <v>-1659.3129297786074</v>
      </c>
      <c r="CR143" s="78">
        <f t="shared" si="124"/>
        <v>99509.39569830164</v>
      </c>
      <c r="CS143" s="5">
        <f t="shared" si="124"/>
        <v>76517.479779360554</v>
      </c>
      <c r="CT143" s="56">
        <f t="shared" si="146"/>
        <v>-22991.915918941086</v>
      </c>
      <c r="CU143" s="87">
        <f t="shared" si="147"/>
        <v>119411.27483796196</v>
      </c>
      <c r="CV143" s="70">
        <f t="shared" si="148"/>
        <v>91820.975735232656</v>
      </c>
      <c r="CW143" s="37">
        <f t="shared" si="149"/>
        <v>-27590.299102729303</v>
      </c>
      <c r="CX143" s="42">
        <f>'[1]побудинковий звіт'!CX143+'[2]побудинковий звіт'!CX143-'[3]побудинковий звіт'!CX143</f>
        <v>1773.3651620380551</v>
      </c>
      <c r="CY143" s="42">
        <f>'[1]побудинковий звіт'!CY143+'[2]побудинковий звіт'!CY143-'[3]побудинковий звіт'!CY143</f>
        <v>29363.664264767329</v>
      </c>
      <c r="CZ143" s="56">
        <f t="shared" si="150"/>
        <v>27590.299102729274</v>
      </c>
      <c r="DA143" s="264">
        <f>'[4]побудинковий звіт'!DA143</f>
        <v>-21389.854361227768</v>
      </c>
      <c r="DB143" s="2">
        <v>2</v>
      </c>
      <c r="DC143" s="717">
        <f>'[4]побудинковий звіт'!DC143</f>
        <v>18757.84</v>
      </c>
      <c r="DD143" s="717">
        <f>'[4]побудинковий звіт'!DD143</f>
        <v>0</v>
      </c>
      <c r="DE143" s="717">
        <f>'[4]побудинковий звіт'!DE143</f>
        <v>8861.27</v>
      </c>
      <c r="DF143" s="717">
        <f>'[4]побудинковий звіт'!DF143</f>
        <v>-202.15</v>
      </c>
      <c r="DG143" s="787">
        <v>17690.53215082176</v>
      </c>
      <c r="DH143" s="761">
        <f t="shared" si="171"/>
        <v>1454215.6800000002</v>
      </c>
      <c r="DI143" s="784"/>
      <c r="DJ143" s="5"/>
      <c r="DK143" s="317">
        <f>VLOOKUP($A143,ціни!$A$4:$G$401,5)</f>
        <v>4.94877875343595</v>
      </c>
      <c r="DL143" s="317"/>
      <c r="DM143" s="317">
        <f>VLOOKUP($A143,ціни!$A$4:$G$401,7)</f>
        <v>4.385060273977655</v>
      </c>
      <c r="DN143" s="30">
        <f t="shared" si="173"/>
        <v>1063.4925541133857</v>
      </c>
      <c r="DO143" s="30">
        <f t="shared" si="174"/>
        <v>202.15127863036989</v>
      </c>
      <c r="DP143" s="316">
        <f t="shared" si="162"/>
        <v>1265.6438327437556</v>
      </c>
      <c r="DQ143" s="104"/>
      <c r="DR143" s="30">
        <f>VLOOKUP(A143,'ДЗ нас '!$A$1:$C$359,2)</f>
        <v>9900.5300000000007</v>
      </c>
      <c r="DS143" s="748">
        <f>VLOOKUP(A143,'ДЗ нежит'!$A$1:$D$153,4,0)</f>
        <v>202.15</v>
      </c>
      <c r="DT143" s="30">
        <f t="shared" si="163"/>
        <v>10102.68</v>
      </c>
      <c r="DU143" s="257">
        <f>VLOOKUP(A143,'новий кошторис с 01.06'!$A$4:$AI$399,35)*1.2</f>
        <v>10130.056482087102</v>
      </c>
      <c r="DV143" s="30">
        <f t="shared" si="164"/>
        <v>-27.376482087101977</v>
      </c>
      <c r="DW143" s="930">
        <f>'[5]побудинковий звіт'!DW143+'[6]побудинковий звіт'!DW143</f>
        <v>202</v>
      </c>
      <c r="DY143" s="5">
        <f t="shared" si="167"/>
        <v>37309.960077070231</v>
      </c>
      <c r="DZ143" s="5">
        <f t="shared" si="168"/>
        <v>5985.3732909132195</v>
      </c>
      <c r="EA143" s="752">
        <f t="shared" si="172"/>
        <v>8659.1200000000008</v>
      </c>
      <c r="EC143" s="592">
        <f t="shared" si="169"/>
        <v>312338.90406640951</v>
      </c>
      <c r="EE143" s="758">
        <v>12145</v>
      </c>
      <c r="EF143" s="738">
        <f t="shared" si="170"/>
        <v>29835.53215082176</v>
      </c>
      <c r="EH143" s="813">
        <v>3624.767792028917</v>
      </c>
    </row>
    <row r="144" spans="1:138" ht="15.6" customHeight="1" x14ac:dyDescent="0.3">
      <c r="A144" s="328">
        <v>150001018</v>
      </c>
      <c r="B144" s="44" t="s">
        <v>823</v>
      </c>
      <c r="C144" s="47" t="s">
        <v>429</v>
      </c>
      <c r="D144" s="47" t="s">
        <v>429</v>
      </c>
      <c r="E144" s="40">
        <f t="shared" si="175"/>
        <v>664.88</v>
      </c>
      <c r="F144" s="490">
        <v>181.38</v>
      </c>
      <c r="G144" s="30"/>
      <c r="H144" s="30">
        <v>483.5</v>
      </c>
      <c r="I144" s="42">
        <f>'[1]побудинковий звіт'!I144+'[2]побудинковий звіт'!I144-'[3]побудинковий звіт'!I144</f>
        <v>6411.159371044525</v>
      </c>
      <c r="J144" s="42">
        <f>'[1]побудинковий звіт'!J144+'[2]побудинковий звіт'!J144-'[3]побудинковий звіт'!J144</f>
        <v>6450.8490279422795</v>
      </c>
      <c r="K144" s="56">
        <f t="shared" si="125"/>
        <v>39.689656897754503</v>
      </c>
      <c r="L144" s="42">
        <f>'[1]побудинковий звіт'!L144+'[2]побудинковий звіт'!L144-'[3]побудинковий звіт'!L144</f>
        <v>1285.3752697086579</v>
      </c>
      <c r="M144" s="42">
        <f>'[1]побудинковий звіт'!M144+'[2]побудинковий звіт'!M144-'[3]побудинковий звіт'!M144</f>
        <v>1306.9263409367243</v>
      </c>
      <c r="N144" s="56">
        <f t="shared" si="126"/>
        <v>21.551071228066348</v>
      </c>
      <c r="O144" s="42">
        <f>'[1]побудинковий звіт'!O144+'[2]побудинковий звіт'!O144-'[3]побудинковий звіт'!O144</f>
        <v>3600.8400000000006</v>
      </c>
      <c r="P144" s="42">
        <f>'[1]побудинковий звіт'!P144+'[2]побудинковий звіт'!P144-'[3]побудинковий звіт'!P144</f>
        <v>2830.5239067204297</v>
      </c>
      <c r="Q144" s="56">
        <f t="shared" si="127"/>
        <v>-770.31609327957085</v>
      </c>
      <c r="R144" s="42">
        <f>'[1]побудинковий звіт'!R144+'[2]побудинковий звіт'!R144-'[3]побудинковий звіт'!R144</f>
        <v>1063.9199999999998</v>
      </c>
      <c r="S144" s="42">
        <f>'[1]побудинковий звіт'!S144+'[2]побудинковий звіт'!S144-'[3]побудинковий звіт'!S144</f>
        <v>836.28397905913971</v>
      </c>
      <c r="T144" s="56">
        <f t="shared" si="128"/>
        <v>-227.63602094086013</v>
      </c>
      <c r="U144" s="42">
        <f>'[1]побудинковий звіт'!U144+'[2]побудинковий звіт'!U144-'[3]побудинковий звіт'!U144</f>
        <v>0</v>
      </c>
      <c r="V144" s="42">
        <f>'[1]побудинковий звіт'!V144+'[2]побудинковий звіт'!V144-'[3]побудинковий звіт'!V144</f>
        <v>0</v>
      </c>
      <c r="W144" s="56">
        <f t="shared" si="129"/>
        <v>0</v>
      </c>
      <c r="X144" s="42">
        <f>'[1]побудинковий звіт'!X144+'[2]побудинковий звіт'!X144-'[3]побудинковий звіт'!X144</f>
        <v>5292.8102146223391</v>
      </c>
      <c r="Y144" s="42">
        <f>'[1]побудинковий звіт'!Y144+'[2]побудинковий звіт'!Y144-'[3]побудинковий звіт'!Y144</f>
        <v>4076.8659063529808</v>
      </c>
      <c r="Z144" s="56">
        <f t="shared" si="130"/>
        <v>-1215.9443082693583</v>
      </c>
      <c r="AA144" s="42">
        <f>'[1]побудинковий звіт'!AA144+'[2]побудинковий звіт'!AA144-'[3]побудинковий звіт'!AA144</f>
        <v>0</v>
      </c>
      <c r="AB144" s="42">
        <f>'[1]побудинковий звіт'!AB144+'[2]побудинковий звіт'!AB144-'[3]побудинковий звіт'!AB144</f>
        <v>0</v>
      </c>
      <c r="AC144" s="56">
        <f t="shared" si="131"/>
        <v>0</v>
      </c>
      <c r="AD144" s="42">
        <f>'[1]побудинковий звіт'!AD144+'[2]побудинковий звіт'!AD144-'[3]побудинковий звіт'!AD144</f>
        <v>12041.040905709859</v>
      </c>
      <c r="AE144" s="42">
        <f>'[1]побудинковий звіт'!AE144+'[2]побудинковий звіт'!AE144-'[3]побудинковий звіт'!AE144</f>
        <v>11120.820402347701</v>
      </c>
      <c r="AF144" s="37">
        <f t="shared" si="132"/>
        <v>-920.22050336215761</v>
      </c>
      <c r="AG144" s="87">
        <f t="shared" si="120"/>
        <v>29695.145761085383</v>
      </c>
      <c r="AH144" s="57">
        <f t="shared" si="120"/>
        <v>26622.269563359256</v>
      </c>
      <c r="AI144" s="56">
        <f t="shared" si="133"/>
        <v>-3072.8761977261274</v>
      </c>
      <c r="AJ144" s="42">
        <f>'[1]побудинковий звіт'!AJ144+'[2]побудинковий звіт'!AJ144-'[3]побудинковий звіт'!AJ144</f>
        <v>0</v>
      </c>
      <c r="AK144" s="42">
        <f>'[1]побудинковий звіт'!AK144+'[2]побудинковий звіт'!AK144-'[3]побудинковий звіт'!AK144</f>
        <v>0</v>
      </c>
      <c r="AL144" s="56">
        <f t="shared" si="134"/>
        <v>0</v>
      </c>
      <c r="AM144" s="42">
        <f>'[1]побудинковий звіт'!AM144+'[2]побудинковий звіт'!AM144-'[3]побудинковий звіт'!AM144</f>
        <v>0</v>
      </c>
      <c r="AN144" s="42">
        <f>'[1]побудинковий звіт'!AN144+'[2]побудинковий звіт'!AN144-'[3]побудинковий звіт'!AN144</f>
        <v>0</v>
      </c>
      <c r="AO144" s="56">
        <f t="shared" si="135"/>
        <v>0</v>
      </c>
      <c r="AP144" s="42">
        <f>'[1]побудинковий звіт'!AP144+'[2]побудинковий звіт'!AP144-'[3]побудинковий звіт'!AP144</f>
        <v>1562.579110774522</v>
      </c>
      <c r="AQ144" s="42">
        <f>'[1]побудинковий звіт'!AQ144+'[2]побудинковий звіт'!AQ144-'[3]побудинковий звіт'!AQ144</f>
        <v>1356.3263175186266</v>
      </c>
      <c r="AR144" s="56">
        <f t="shared" si="136"/>
        <v>-206.25279325589531</v>
      </c>
      <c r="AS144" s="42">
        <f>'[1]побудинковий звіт'!AS144+'[2]побудинковий звіт'!AS144-'[3]побудинковий звіт'!AS144</f>
        <v>36208.926701410528</v>
      </c>
      <c r="AT144" s="42">
        <f>'[1]побудинковий звіт'!AT144+'[2]побудинковий звіт'!AT144-'[3]побудинковий звіт'!AT144</f>
        <v>199.4076048641312</v>
      </c>
      <c r="AU144" s="58">
        <f t="shared" si="151"/>
        <v>-36009.519096546399</v>
      </c>
      <c r="AV144" s="42">
        <f>'[1]побудинковий звіт'!AV144+'[2]побудинковий звіт'!AV144-'[3]побудинковий звіт'!AV144</f>
        <v>1110.2083740881446</v>
      </c>
      <c r="AW144" s="42">
        <f>'[1]побудинковий звіт'!AW144+'[2]побудинковий звіт'!AW144-'[3]побудинковий звіт'!AW144</f>
        <v>0</v>
      </c>
      <c r="AX144" s="59">
        <f t="shared" si="152"/>
        <v>-1110.2083740881446</v>
      </c>
      <c r="AY144" s="42">
        <f>'[1]побудинковий звіт'!AY144+'[2]побудинковий звіт'!AY144-'[3]побудинковий звіт'!AY144</f>
        <v>1656.8612917752732</v>
      </c>
      <c r="AZ144" s="42">
        <f>'[1]побудинковий звіт'!AZ144+'[2]побудинковий звіт'!AZ144-'[3]побудинковий звіт'!AZ144</f>
        <v>0</v>
      </c>
      <c r="BA144" s="37">
        <f t="shared" si="153"/>
        <v>-1656.8612917752732</v>
      </c>
      <c r="BB144" s="42">
        <f>'[1]побудинковий звіт'!BB144+'[2]побудинковий звіт'!BB144-'[3]побудинковий звіт'!BB144</f>
        <v>2225.5889058904513</v>
      </c>
      <c r="BC144" s="42">
        <f>'[1]побудинковий звіт'!BC144+'[2]побудинковий звіт'!BC144-'[3]побудинковий звіт'!BC144</f>
        <v>0</v>
      </c>
      <c r="BD144" s="59">
        <f t="shared" si="154"/>
        <v>-2225.5889058904513</v>
      </c>
      <c r="BE144" s="42">
        <f>'[1]побудинковий звіт'!BE144+'[2]побудинковий звіт'!BE144-'[3]побудинковий звіт'!BE144</f>
        <v>1280.8136499215125</v>
      </c>
      <c r="BF144" s="42">
        <f>'[1]побудинковий звіт'!BF144+'[2]побудинковий звіт'!BF144-'[3]побудинковий звіт'!BF144</f>
        <v>0</v>
      </c>
      <c r="BG144" s="39">
        <f t="shared" si="155"/>
        <v>-1280.8136499215125</v>
      </c>
      <c r="BH144" s="42">
        <f>'[1]побудинковий звіт'!BH144+'[2]побудинковий звіт'!BH144-'[3]побудинковий звіт'!BH144</f>
        <v>0</v>
      </c>
      <c r="BI144" s="42">
        <f>'[1]побудинковий звіт'!BI144+'[2]побудинковий звіт'!BI144-'[3]побудинковий звіт'!BI144</f>
        <v>382</v>
      </c>
      <c r="BJ144" s="59">
        <f t="shared" si="156"/>
        <v>382</v>
      </c>
      <c r="BK144" s="42">
        <f>'[1]побудинковий звіт'!BK144+'[2]побудинковий звіт'!BK144-'[3]побудинковий звіт'!BK144</f>
        <v>709.27539010590624</v>
      </c>
      <c r="BL144" s="42">
        <f>'[1]побудинковий звіт'!BL144+'[2]побудинковий звіт'!BL144-'[3]побудинковий звіт'!BL144</f>
        <v>0</v>
      </c>
      <c r="BM144" s="39">
        <f t="shared" si="157"/>
        <v>-709.27539010590624</v>
      </c>
      <c r="BN144" s="42">
        <f>'[1]побудинковий звіт'!BN144+'[2]побудинковий звіт'!BN144-'[3]побудинковий звіт'!BN144</f>
        <v>0</v>
      </c>
      <c r="BO144" s="42">
        <f>'[1]побудинковий звіт'!BO144+'[2]побудинковий звіт'!BO144-'[3]побудинковий звіт'!BO144</f>
        <v>0</v>
      </c>
      <c r="BP144" s="59">
        <f t="shared" si="158"/>
        <v>0</v>
      </c>
      <c r="BQ144" s="87">
        <f t="shared" ref="BQ144:BQ201" si="176">AV144+AY144+BB144+BE144+BH144+BK144+BN144</f>
        <v>6982.7476117812876</v>
      </c>
      <c r="BR144" s="43">
        <f t="shared" si="166"/>
        <v>382</v>
      </c>
      <c r="BS144" s="59">
        <f t="shared" si="159"/>
        <v>-6600.7476117812876</v>
      </c>
      <c r="BT144" s="42">
        <f>'[1]побудинковий звіт'!BT144+'[2]побудинковий звіт'!BT144-'[3]побудинковий звіт'!BT144</f>
        <v>31389.338637196684</v>
      </c>
      <c r="BU144" s="42">
        <f>'[1]побудинковий звіт'!BU144+'[2]побудинковий звіт'!BU144-'[3]побудинковий звіт'!BU144</f>
        <v>41693.616095973804</v>
      </c>
      <c r="BV144" s="56">
        <f t="shared" si="137"/>
        <v>10304.27745877712</v>
      </c>
      <c r="BW144" s="42">
        <f>'[1]побудинковий звіт'!BW144+'[2]побудинковий звіт'!BW144-'[3]побудинковий звіт'!BW144</f>
        <v>20877.270179594056</v>
      </c>
      <c r="BX144" s="42">
        <f>'[1]побудинковий звіт'!BX144+'[2]побудинковий звіт'!BX144-'[3]побудинковий звіт'!BX144</f>
        <v>21024.78327089097</v>
      </c>
      <c r="BY144" s="56">
        <f t="shared" si="138"/>
        <v>147.51309129691435</v>
      </c>
      <c r="BZ144" s="42">
        <f>'[1]побудинковий звіт'!BZ144+'[2]побудинковий звіт'!BZ144-'[3]побудинковий звіт'!BZ144</f>
        <v>12206.392878465873</v>
      </c>
      <c r="CA144" s="42">
        <f>'[1]побудинковий звіт'!CA144+'[2]побудинковий звіт'!CA144-'[3]побудинковий звіт'!CA144</f>
        <v>9360.1943969390031</v>
      </c>
      <c r="CB144" s="56">
        <f t="shared" si="139"/>
        <v>-2846.1984815268697</v>
      </c>
      <c r="CC144" s="42">
        <f>'[1]побудинковий звіт'!CC144+'[2]побудинковий звіт'!CC144-'[3]побудинковий звіт'!CC144</f>
        <v>1717.7340248326038</v>
      </c>
      <c r="CD144" s="42">
        <f>'[1]побудинковий звіт'!CD144+'[2]побудинковий звіт'!CD144-'[3]побудинковий звіт'!CD144</f>
        <v>1702.626068445602</v>
      </c>
      <c r="CE144" s="56">
        <f t="shared" si="140"/>
        <v>-15.107956387001877</v>
      </c>
      <c r="CF144" s="42">
        <f>'[1]побудинковий звіт'!CF144+'[2]побудинковий звіт'!CF144-'[3]побудинковий звіт'!CF144</f>
        <v>211.46346896613497</v>
      </c>
      <c r="CG144" s="42">
        <f>'[1]побудинковий звіт'!CG144+'[2]побудинковий звіт'!CG144-'[3]побудинковий звіт'!CG144</f>
        <v>0</v>
      </c>
      <c r="CH144" s="56">
        <f t="shared" si="141"/>
        <v>-211.46346896613497</v>
      </c>
      <c r="CI144" s="42">
        <f>'[1]побудинковий звіт'!CI144+'[2]побудинковий звіт'!CI144-'[3]побудинковий звіт'!CI144</f>
        <v>580.24328049295616</v>
      </c>
      <c r="CJ144" s="42">
        <f>'[1]побудинковий звіт'!CJ144+'[2]побудинковий звіт'!CJ144-'[3]побудинковий звіт'!CJ144</f>
        <v>236.745965634236</v>
      </c>
      <c r="CK144" s="56">
        <f t="shared" si="142"/>
        <v>-343.49731485872019</v>
      </c>
      <c r="CL144" s="42">
        <f>'[1]побудинковий звіт'!CL144+'[2]побудинковий звіт'!CL144-'[3]побудинковий звіт'!CL144</f>
        <v>0</v>
      </c>
      <c r="CM144" s="42">
        <f>'[1]побудинковий звіт'!CM144+'[2]побудинковий звіт'!CM144-'[3]побудинковий звіт'!CM144</f>
        <v>0</v>
      </c>
      <c r="CN144" s="56">
        <f t="shared" si="143"/>
        <v>0</v>
      </c>
      <c r="CO144" s="42">
        <f t="shared" si="123"/>
        <v>580.24328049295616</v>
      </c>
      <c r="CP144" s="43">
        <f t="shared" si="144"/>
        <v>236.745965634236</v>
      </c>
      <c r="CQ144" s="56">
        <f t="shared" si="145"/>
        <v>-343.49731485872019</v>
      </c>
      <c r="CR144" s="78">
        <f t="shared" si="124"/>
        <v>141431.84165460002</v>
      </c>
      <c r="CS144" s="5">
        <f t="shared" si="124"/>
        <v>102577.96928362563</v>
      </c>
      <c r="CT144" s="56">
        <f t="shared" si="146"/>
        <v>-38853.872370974394</v>
      </c>
      <c r="CU144" s="87">
        <f t="shared" si="147"/>
        <v>169718.20998552002</v>
      </c>
      <c r="CV144" s="70">
        <f t="shared" si="148"/>
        <v>123093.56314035074</v>
      </c>
      <c r="CW144" s="37">
        <f t="shared" si="149"/>
        <v>-46624.646845169278</v>
      </c>
      <c r="CX144" s="42">
        <f>'[1]побудинковий звіт'!CX144+'[2]побудинковий звіт'!CX144-'[3]побудинковий звіт'!CX144</f>
        <v>7269.9100144799668</v>
      </c>
      <c r="CY144" s="42">
        <f>'[1]побудинковий звіт'!CY144+'[2]побудинковий звіт'!CY144-'[3]побудинковий звіт'!CY144</f>
        <v>53894.556859649208</v>
      </c>
      <c r="CZ144" s="56">
        <f t="shared" si="150"/>
        <v>46624.646845169242</v>
      </c>
      <c r="DA144" s="264">
        <f>'[4]побудинковий звіт'!DA144</f>
        <v>152385.39516977634</v>
      </c>
      <c r="DB144" s="2">
        <v>2</v>
      </c>
      <c r="DC144" s="717">
        <f>'[4]побудинковий звіт'!DC144</f>
        <v>19990.22</v>
      </c>
      <c r="DD144" s="717">
        <f>'[4]побудинковий звіт'!DD144</f>
        <v>28245.269999999997</v>
      </c>
      <c r="DE144" s="717">
        <f>'[4]побудинковий звіт'!DE144</f>
        <v>7393.85</v>
      </c>
      <c r="DF144" s="717">
        <f>'[4]побудинковий звіт'!DF144</f>
        <v>26092.629999999997</v>
      </c>
      <c r="DG144" s="787">
        <v>214186.51184811577</v>
      </c>
      <c r="DH144" s="761">
        <f t="shared" si="171"/>
        <v>2123857.44</v>
      </c>
      <c r="DI144" s="784"/>
      <c r="DJ144" s="5"/>
      <c r="DK144" s="317">
        <v>5.3807999999999998</v>
      </c>
      <c r="DL144" s="317"/>
      <c r="DM144" s="317">
        <v>4.4522000000000004</v>
      </c>
      <c r="DN144" s="30">
        <f t="shared" si="173"/>
        <v>975.96950399999992</v>
      </c>
      <c r="DO144" s="30">
        <f t="shared" si="174"/>
        <v>2152.6387</v>
      </c>
      <c r="DP144" s="316">
        <f t="shared" si="162"/>
        <v>3128.6082040000001</v>
      </c>
      <c r="DQ144" s="104"/>
      <c r="DR144" s="30">
        <f>VLOOKUP(A144,'ДЗ нас '!$A$1:$C$359,2)</f>
        <v>12596.37</v>
      </c>
      <c r="DS144" s="748">
        <f>VLOOKUP(A144,'ДЗ нежит'!$A$1:$D$153,4,0)</f>
        <v>2152.64</v>
      </c>
      <c r="DT144" s="30">
        <f t="shared" si="163"/>
        <v>14749.01</v>
      </c>
      <c r="DU144" s="257">
        <f>VLOOKUP(A144,'новий кошторис с 01.06'!$A$4:$AI$399,35)*1.2</f>
        <v>14822.057005402081</v>
      </c>
      <c r="DV144" s="30">
        <f t="shared" si="164"/>
        <v>-73.047005402080686</v>
      </c>
      <c r="DW144" s="930">
        <f>'[5]побудинковий звіт'!DW144+'[6]побудинковий звіт'!DW144</f>
        <v>202</v>
      </c>
      <c r="DY144" s="5">
        <f t="shared" si="167"/>
        <v>51830.009175830179</v>
      </c>
      <c r="DZ144" s="5">
        <f t="shared" si="168"/>
        <v>697.68912583695737</v>
      </c>
      <c r="EA144" s="752">
        <f t="shared" si="172"/>
        <v>33486.479999999996</v>
      </c>
      <c r="EC144" s="592">
        <f t="shared" si="169"/>
        <v>434507.12041692634</v>
      </c>
      <c r="EE144" s="758">
        <v>-68875</v>
      </c>
      <c r="EF144" s="738">
        <f t="shared" si="170"/>
        <v>145311.51184811577</v>
      </c>
      <c r="EH144" s="813">
        <v>191672.3138957551</v>
      </c>
    </row>
    <row r="145" spans="1:138" x14ac:dyDescent="0.3">
      <c r="A145" s="328">
        <v>150001019</v>
      </c>
      <c r="B145" s="44" t="s">
        <v>596</v>
      </c>
      <c r="C145" s="45" t="s">
        <v>419</v>
      </c>
      <c r="D145" s="45" t="s">
        <v>419</v>
      </c>
      <c r="E145" s="40">
        <f t="shared" si="175"/>
        <v>1440.1</v>
      </c>
      <c r="F145" s="490">
        <v>1440.1</v>
      </c>
      <c r="G145" s="30">
        <v>646.79999999999995</v>
      </c>
      <c r="H145" s="30">
        <v>0</v>
      </c>
      <c r="I145" s="42">
        <f>'[1]побудинковий звіт'!I145+'[2]побудинковий звіт'!I145-'[3]побудинковий звіт'!I145</f>
        <v>25277.081475628089</v>
      </c>
      <c r="J145" s="42">
        <f>'[1]побудинковий звіт'!J145+'[2]побудинковий звіт'!J145-'[3]побудинковий звіт'!J145</f>
        <v>21384.670223658923</v>
      </c>
      <c r="K145" s="56">
        <f t="shared" si="125"/>
        <v>-3892.4112519691662</v>
      </c>
      <c r="L145" s="42">
        <f>'[1]побудинковий звіт'!L145+'[2]побудинковий звіт'!L145-'[3]побудинковий звіт'!L145</f>
        <v>3922.462526725119</v>
      </c>
      <c r="M145" s="42">
        <f>'[1]побудинковий звіт'!M145+'[2]побудинковий звіт'!M145-'[3]побудинковий звіт'!M145</f>
        <v>3597.8401961784248</v>
      </c>
      <c r="N145" s="56">
        <f t="shared" si="126"/>
        <v>-324.62233054669423</v>
      </c>
      <c r="O145" s="42">
        <f>'[1]побудинковий звіт'!O145+'[2]побудинковий звіт'!O145-'[3]побудинковий звіт'!O145</f>
        <v>10401.240000000002</v>
      </c>
      <c r="P145" s="42">
        <f>'[1]побудинковий звіт'!P145+'[2]побудинковий звіт'!P145-'[3]побудинковий звіт'!P145</f>
        <v>8175.9131989247289</v>
      </c>
      <c r="Q145" s="56">
        <f t="shared" si="127"/>
        <v>-2225.3268010752727</v>
      </c>
      <c r="R145" s="42">
        <f>'[1]побудинковий звіт'!R145+'[2]побудинковий звіт'!R145-'[3]побудинковий звіт'!R145</f>
        <v>2185.3200000000006</v>
      </c>
      <c r="S145" s="42">
        <f>'[1]побудинковий звіт'!S145+'[2]побудинковий звіт'!S145-'[3]побудинковий звіт'!S145</f>
        <v>1717.9662795698928</v>
      </c>
      <c r="T145" s="56">
        <f t="shared" si="128"/>
        <v>-467.35372043010784</v>
      </c>
      <c r="U145" s="42">
        <f>'[1]побудинковий звіт'!U145+'[2]побудинковий звіт'!U145-'[3]побудинковий звіт'!U145</f>
        <v>1250.1001677005297</v>
      </c>
      <c r="V145" s="42">
        <f>'[1]побудинковий звіт'!V145+'[2]побудинковий звіт'!V145-'[3]побудинковий звіт'!V145</f>
        <v>446.27928753903336</v>
      </c>
      <c r="W145" s="56">
        <f t="shared" si="129"/>
        <v>-803.82088016149635</v>
      </c>
      <c r="X145" s="42">
        <f>'[1]побудинковий звіт'!X145+'[2]побудинковий звіт'!X145-'[3]побудинковий звіт'!X145</f>
        <v>11172.981298913786</v>
      </c>
      <c r="Y145" s="42">
        <f>'[1]побудинковий звіт'!Y145+'[2]побудинковий звіт'!Y145-'[3]побудинковий звіт'!Y145</f>
        <v>10952.342310118973</v>
      </c>
      <c r="Z145" s="56">
        <f t="shared" si="130"/>
        <v>-220.63898879481349</v>
      </c>
      <c r="AA145" s="42">
        <f>'[1]побудинковий звіт'!AA145+'[2]побудинковий звіт'!AA145-'[3]побудинковий звіт'!AA145</f>
        <v>0</v>
      </c>
      <c r="AB145" s="42">
        <f>'[1]побудинковий звіт'!AB145+'[2]побудинковий звіт'!AB145-'[3]побудинковий звіт'!AB145</f>
        <v>0</v>
      </c>
      <c r="AC145" s="56">
        <f t="shared" si="131"/>
        <v>0</v>
      </c>
      <c r="AD145" s="42">
        <f>'[1]побудинковий звіт'!AD145+'[2]побудинковий звіт'!AD145-'[3]побудинковий звіт'!AD145</f>
        <v>29596.450706531621</v>
      </c>
      <c r="AE145" s="42">
        <f>'[1]побудинковий звіт'!AE145+'[2]побудинковий звіт'!AE145-'[3]побудинковий звіт'!AE145</f>
        <v>27279.773981931165</v>
      </c>
      <c r="AF145" s="37">
        <f t="shared" si="132"/>
        <v>-2316.6767246004565</v>
      </c>
      <c r="AG145" s="87">
        <f t="shared" si="120"/>
        <v>83805.636175499152</v>
      </c>
      <c r="AH145" s="57">
        <f t="shared" si="120"/>
        <v>73554.785477921148</v>
      </c>
      <c r="AI145" s="56">
        <f t="shared" si="133"/>
        <v>-10250.850697578004</v>
      </c>
      <c r="AJ145" s="42">
        <f>'[1]побудинковий звіт'!AJ145+'[2]побудинковий звіт'!AJ145-'[3]побудинковий звіт'!AJ145</f>
        <v>53588.408278909483</v>
      </c>
      <c r="AK145" s="42">
        <f>'[1]побудинковий звіт'!AK145+'[2]побудинковий звіт'!AK145-'[3]побудинковий звіт'!AK145</f>
        <v>52926.187025699386</v>
      </c>
      <c r="AL145" s="56">
        <f t="shared" si="134"/>
        <v>-662.22125321009662</v>
      </c>
      <c r="AM145" s="42">
        <f>'[1]побудинковий звіт'!AM145+'[2]побудинковий звіт'!AM145-'[3]побудинковий звіт'!AM145</f>
        <v>0</v>
      </c>
      <c r="AN145" s="42">
        <f>'[1]побудинковий звіт'!AN145+'[2]побудинковий звіт'!AN145-'[3]побудинковий звіт'!AN145</f>
        <v>0</v>
      </c>
      <c r="AO145" s="56">
        <f t="shared" si="135"/>
        <v>0</v>
      </c>
      <c r="AP145" s="42">
        <f>'[1]побудинковий звіт'!AP145+'[2]побудинковий звіт'!AP145-'[3]побудинковий звіт'!AP145</f>
        <v>5587.4040930725341</v>
      </c>
      <c r="AQ145" s="42">
        <f>'[1]побудинковий звіт'!AQ145+'[2]побудинковий звіт'!AQ145-'[3]побудинковий звіт'!AQ145</f>
        <v>5702.6668350083537</v>
      </c>
      <c r="AR145" s="56">
        <f t="shared" si="136"/>
        <v>115.26274193581958</v>
      </c>
      <c r="AS145" s="42">
        <f>'[1]побудинковий звіт'!AS145+'[2]побудинковий звіт'!AS145-'[3]побудинковий звіт'!AS145</f>
        <v>102928.98718616011</v>
      </c>
      <c r="AT145" s="42">
        <f>'[1]побудинковий звіт'!AT145+'[2]побудинковий звіт'!AT145-'[3]побудинковий звіт'!AT145</f>
        <v>62916</v>
      </c>
      <c r="AU145" s="58">
        <f t="shared" si="151"/>
        <v>-40012.987186160113</v>
      </c>
      <c r="AV145" s="42">
        <f>'[1]побудинковий звіт'!AV145+'[2]побудинковий звіт'!AV145-'[3]побудинковий звіт'!AV145</f>
        <v>1967.3756778440991</v>
      </c>
      <c r="AW145" s="42">
        <f>'[1]побудинковий звіт'!AW145+'[2]побудинковий звіт'!AW145-'[3]побудинковий звіт'!AW145</f>
        <v>648</v>
      </c>
      <c r="AX145" s="59">
        <f t="shared" si="152"/>
        <v>-1319.3756778440991</v>
      </c>
      <c r="AY145" s="42">
        <f>'[1]побудинковий звіт'!AY145+'[2]побудинковий звіт'!AY145-'[3]побудинковий звіт'!AY145</f>
        <v>2340.4438870699346</v>
      </c>
      <c r="AZ145" s="42">
        <f>'[1]побудинковий звіт'!AZ145+'[2]побудинковий звіт'!AZ145-'[3]побудинковий звіт'!AZ145</f>
        <v>3296</v>
      </c>
      <c r="BA145" s="37">
        <f t="shared" si="153"/>
        <v>955.55611293006541</v>
      </c>
      <c r="BB145" s="42">
        <f>'[1]побудинковий звіт'!BB145+'[2]побудинковий звіт'!BB145-'[3]побудинковий звіт'!BB145</f>
        <v>2537.8956901924998</v>
      </c>
      <c r="BC145" s="42">
        <f>'[1]побудинковий звіт'!BC145+'[2]побудинковий звіт'!BC145-'[3]побудинковий звіт'!BC145</f>
        <v>0</v>
      </c>
      <c r="BD145" s="59">
        <f t="shared" si="154"/>
        <v>-2537.8956901924998</v>
      </c>
      <c r="BE145" s="42">
        <f>'[1]побудинковий звіт'!BE145+'[2]побудинковий звіт'!BE145-'[3]побудинковий звіт'!BE145</f>
        <v>1079.8411689040149</v>
      </c>
      <c r="BF145" s="42">
        <f>'[1]побудинковий звіт'!BF145+'[2]побудинковий звіт'!BF145-'[3]побудинковий звіт'!BF145</f>
        <v>0</v>
      </c>
      <c r="BG145" s="39">
        <f t="shared" si="155"/>
        <v>-1079.8411689040149</v>
      </c>
      <c r="BH145" s="42">
        <f>'[1]побудинковий звіт'!BH145+'[2]побудинковий звіт'!BH145-'[3]побудинковий звіт'!BH145</f>
        <v>634.10414095325257</v>
      </c>
      <c r="BI145" s="42">
        <f>'[1]побудинковий звіт'!BI145+'[2]побудинковий звіт'!BI145-'[3]побудинковий звіт'!BI145</f>
        <v>0</v>
      </c>
      <c r="BJ145" s="59">
        <f t="shared" si="156"/>
        <v>-634.10414095325257</v>
      </c>
      <c r="BK145" s="42">
        <f>'[1]побудинковий звіт'!BK145+'[2]побудинковий звіт'!BK145-'[3]побудинковий звіт'!BK145</f>
        <v>1320.4697890563455</v>
      </c>
      <c r="BL145" s="42">
        <f>'[1]побудинковий звіт'!BL145+'[2]побудинковий звіт'!BL145-'[3]побудинковий звіт'!BL145</f>
        <v>4152.9860736521805</v>
      </c>
      <c r="BM145" s="39">
        <f t="shared" si="157"/>
        <v>2832.5162845958348</v>
      </c>
      <c r="BN145" s="42">
        <f>'[1]побудинковий звіт'!BN145+'[2]побудинковий звіт'!BN145-'[3]побудинковий звіт'!BN145</f>
        <v>710.06625734530007</v>
      </c>
      <c r="BO145" s="42">
        <f>'[1]побудинковий звіт'!BO145+'[2]побудинковий звіт'!BO145-'[3]побудинковий звіт'!BO145</f>
        <v>0</v>
      </c>
      <c r="BP145" s="59">
        <f t="shared" si="158"/>
        <v>-710.06625734530007</v>
      </c>
      <c r="BQ145" s="87">
        <f t="shared" si="176"/>
        <v>10590.196611365445</v>
      </c>
      <c r="BR145" s="43">
        <f t="shared" ref="BR145:BR173" si="177">AW145+AZ145+BC145+BF145+BI145+BL145+BO145</f>
        <v>8096.9860736521805</v>
      </c>
      <c r="BS145" s="59">
        <f t="shared" si="159"/>
        <v>-2493.2105377132648</v>
      </c>
      <c r="BT145" s="42">
        <f>'[1]побудинковий звіт'!BT145+'[2]побудинковий звіт'!BT145-'[3]побудинковий звіт'!BT145</f>
        <v>92806.864021511414</v>
      </c>
      <c r="BU145" s="42">
        <f>'[1]побудинковий звіт'!BU145+'[2]побудинковий звіт'!BU145-'[3]побудинковий звіт'!BU145</f>
        <v>100593.29324333555</v>
      </c>
      <c r="BV145" s="56">
        <f t="shared" si="137"/>
        <v>7786.4292218241317</v>
      </c>
      <c r="BW145" s="42">
        <f>'[1]побудинковий звіт'!BW145+'[2]побудинковий звіт'!BW145-'[3]побудинковий звіт'!BW145</f>
        <v>68836.546951833836</v>
      </c>
      <c r="BX145" s="42">
        <f>'[1]побудинковий звіт'!BX145+'[2]побудинковий звіт'!BX145-'[3]побудинковий звіт'!BX145</f>
        <v>75294.22201718828</v>
      </c>
      <c r="BY145" s="56">
        <f t="shared" si="138"/>
        <v>6457.6750653544441</v>
      </c>
      <c r="BZ145" s="42">
        <f>'[1]побудинковий звіт'!BZ145+'[2]побудинковий звіт'!BZ145-'[3]побудинковий звіт'!BZ145</f>
        <v>16879.075878796411</v>
      </c>
      <c r="CA145" s="42">
        <f>'[1]побудинковий звіт'!CA145+'[2]побудинковий звіт'!CA145-'[3]побудинковий звіт'!CA145</f>
        <v>25877.792369175102</v>
      </c>
      <c r="CB145" s="56">
        <f t="shared" si="139"/>
        <v>8998.7164903786907</v>
      </c>
      <c r="CC145" s="42">
        <f>'[1]побудинковий звіт'!CC145+'[2]побудинковий звіт'!CC145-'[3]побудинковий звіт'!CC145</f>
        <v>1573.6090809682246</v>
      </c>
      <c r="CD145" s="42">
        <f>'[1]побудинковий звіт'!CD145+'[2]побудинковий звіт'!CD145-'[3]побудинковий звіт'!CD145</f>
        <v>1559.7687442095839</v>
      </c>
      <c r="CE145" s="56">
        <f t="shared" si="140"/>
        <v>-13.84033675864066</v>
      </c>
      <c r="CF145" s="42">
        <f>'[1]побудинковий звіт'!CF145+'[2]побудинковий звіт'!CF145-'[3]побудинковий звіт'!CF145</f>
        <v>193.72081489192155</v>
      </c>
      <c r="CG145" s="42">
        <f>'[1]побудинковий звіт'!CG145+'[2]побудинковий звіт'!CG145-'[3]побудинковий звіт'!CG145</f>
        <v>0</v>
      </c>
      <c r="CH145" s="56">
        <f t="shared" si="141"/>
        <v>-193.72081489192155</v>
      </c>
      <c r="CI145" s="42">
        <f>'[1]побудинковий звіт'!CI145+'[2]побудинковий звіт'!CI145-'[3]побудинковий звіт'!CI145</f>
        <v>12259.978991060849</v>
      </c>
      <c r="CJ145" s="42">
        <f>'[1]побудинковий звіт'!CJ145+'[2]побудинковий звіт'!CJ145-'[3]побудинковий звіт'!CJ145</f>
        <v>12921.470359307423</v>
      </c>
      <c r="CK145" s="56">
        <f t="shared" si="142"/>
        <v>661.49136824657398</v>
      </c>
      <c r="CL145" s="42">
        <f>'[1]побудинковий звіт'!CL145+'[2]побудинковий звіт'!CL145-'[3]побудинковий звіт'!CL145</f>
        <v>18361.892198825484</v>
      </c>
      <c r="CM145" s="42">
        <f>'[1]побудинковий звіт'!CM145+'[2]побудинковий звіт'!CM145-'[3]побудинковий звіт'!CM145</f>
        <v>19377.612379474922</v>
      </c>
      <c r="CN145" s="56">
        <f t="shared" si="143"/>
        <v>1015.7201806494377</v>
      </c>
      <c r="CO145" s="42">
        <f t="shared" si="123"/>
        <v>30621.871189886333</v>
      </c>
      <c r="CP145" s="43">
        <f t="shared" si="144"/>
        <v>32299.082738782345</v>
      </c>
      <c r="CQ145" s="56">
        <f t="shared" si="145"/>
        <v>1677.2115488960117</v>
      </c>
      <c r="CR145" s="78">
        <f t="shared" si="124"/>
        <v>467412.32028289489</v>
      </c>
      <c r="CS145" s="5">
        <f t="shared" si="124"/>
        <v>438820.78452497197</v>
      </c>
      <c r="CT145" s="56">
        <f t="shared" si="146"/>
        <v>-28591.535757922917</v>
      </c>
      <c r="CU145" s="87">
        <f t="shared" si="147"/>
        <v>560894.78433947382</v>
      </c>
      <c r="CV145" s="70">
        <f t="shared" si="148"/>
        <v>526584.94142996636</v>
      </c>
      <c r="CW145" s="37">
        <f t="shared" si="149"/>
        <v>-34309.842909507453</v>
      </c>
      <c r="CX145" s="42">
        <f>'[1]побудинковий звіт'!CX145+'[2]побудинковий звіт'!CX145-'[3]побудинковий звіт'!CX145</f>
        <v>14228.495660526271</v>
      </c>
      <c r="CY145" s="42">
        <f>'[1]побудинковий звіт'!CY145+'[2]побудинковий звіт'!CY145-'[3]побудинковий звіт'!CY145</f>
        <v>48538.338570033739</v>
      </c>
      <c r="CZ145" s="56">
        <f t="shared" si="150"/>
        <v>34309.842909507468</v>
      </c>
      <c r="DA145" s="264">
        <f>'[4]побудинковий звіт'!DA145</f>
        <v>-39477.166443228954</v>
      </c>
      <c r="DB145" s="2">
        <v>1</v>
      </c>
      <c r="DC145" s="717">
        <f>'[4]побудинковий звіт'!DC145</f>
        <v>146874.22</v>
      </c>
      <c r="DD145" s="717">
        <f>'[4]побудинковий звіт'!DD145</f>
        <v>0</v>
      </c>
      <c r="DE145" s="717">
        <f>'[4]побудинковий звіт'!DE145</f>
        <v>98947.28</v>
      </c>
      <c r="DF145" s="717">
        <f>'[4]побудинковий звіт'!DF145</f>
        <v>0</v>
      </c>
      <c r="DG145" s="787">
        <v>-13490.901188258082</v>
      </c>
      <c r="DH145" s="761">
        <f t="shared" si="171"/>
        <v>6901479.3600000003</v>
      </c>
      <c r="DI145" s="784"/>
      <c r="DJ145" s="5"/>
      <c r="DK145" s="317">
        <f>VLOOKUP($A145,ціни!$A$4:$G$401,5)</f>
        <v>5.8561150322212265</v>
      </c>
      <c r="DL145" s="317">
        <f>VLOOKUP($A145,ціни!$A$4:$G$401,6)</f>
        <v>7.0313988248854233</v>
      </c>
      <c r="DM145" s="317">
        <f>VLOOKUP($A145,ціни!$A$4:$G$401,7)</f>
        <v>4.8367636983827786</v>
      </c>
      <c r="DN145" s="30">
        <f>DK145*G145+(F145-G145)*DL145</f>
        <v>9365.7438906222942</v>
      </c>
      <c r="DO145" s="30">
        <f>DM145*H145</f>
        <v>0</v>
      </c>
      <c r="DP145" s="316">
        <f t="shared" si="162"/>
        <v>9365.7438906222942</v>
      </c>
      <c r="DQ145" s="104"/>
      <c r="DR145" s="30">
        <f>VLOOKUP(A145,'ДЗ нас '!$A$1:$C$359,2)</f>
        <v>47926.94</v>
      </c>
      <c r="DS145" s="748"/>
      <c r="DT145" s="30">
        <f t="shared" si="163"/>
        <v>47926.94</v>
      </c>
      <c r="DU145" s="257">
        <f>VLOOKUP(A145,'новий кошторис с 01.06'!$A$4:$AI$399,35)*1.2</f>
        <v>48143.468989138149</v>
      </c>
      <c r="DV145" s="30">
        <f t="shared" si="164"/>
        <v>-216.52898913814715</v>
      </c>
      <c r="DW145" s="930">
        <f>'[5]побудинковий звіт'!DW145+'[6]побудинковий звіт'!DW145</f>
        <v>311.2</v>
      </c>
      <c r="DY145" s="5">
        <f t="shared" si="167"/>
        <v>136223.02055703066</v>
      </c>
      <c r="DZ145" s="5">
        <f t="shared" si="168"/>
        <v>85215.583288382608</v>
      </c>
      <c r="EA145" s="752">
        <f t="shared" si="172"/>
        <v>98947.28</v>
      </c>
      <c r="EC145" s="592">
        <f t="shared" si="169"/>
        <v>1235147.8462339214</v>
      </c>
      <c r="EE145" s="758">
        <v>-4439</v>
      </c>
      <c r="EF145" s="738">
        <f t="shared" si="170"/>
        <v>-17929.901188258082</v>
      </c>
      <c r="EH145" s="813">
        <v>-6676.0779897596803</v>
      </c>
    </row>
    <row r="146" spans="1:138" x14ac:dyDescent="0.3">
      <c r="A146" s="328">
        <v>150001020</v>
      </c>
      <c r="B146" s="44" t="s">
        <v>597</v>
      </c>
      <c r="C146" s="45" t="s">
        <v>100</v>
      </c>
      <c r="D146" s="45" t="s">
        <v>100</v>
      </c>
      <c r="E146" s="40">
        <f t="shared" si="175"/>
        <v>4024.2</v>
      </c>
      <c r="F146" s="490">
        <v>4024.2</v>
      </c>
      <c r="G146" s="30"/>
      <c r="H146" s="30">
        <v>0</v>
      </c>
      <c r="I146" s="42">
        <f>'[1]побудинковий звіт'!I146+'[2]побудинковий звіт'!I146-'[3]побудинковий звіт'!I146</f>
        <v>0</v>
      </c>
      <c r="J146" s="42">
        <f>'[1]побудинковий звіт'!J146+'[2]побудинковий звіт'!J146-'[3]побудинковий звіт'!J146</f>
        <v>0</v>
      </c>
      <c r="K146" s="56">
        <f t="shared" si="125"/>
        <v>0</v>
      </c>
      <c r="L146" s="42">
        <f>'[1]побудинковий звіт'!L146+'[2]побудинковий звіт'!L146-'[3]побудинковий звіт'!L146</f>
        <v>0</v>
      </c>
      <c r="M146" s="42">
        <f>'[1]побудинковий звіт'!M146+'[2]побудинковий звіт'!M146-'[3]побудинковий звіт'!M146</f>
        <v>0</v>
      </c>
      <c r="N146" s="56">
        <f t="shared" si="126"/>
        <v>0</v>
      </c>
      <c r="O146" s="42">
        <f>'[1]побудинковий звіт'!O146+'[2]побудинковий звіт'!O146-'[3]побудинковий звіт'!O146</f>
        <v>0</v>
      </c>
      <c r="P146" s="42">
        <f>'[1]побудинковий звіт'!P146+'[2]побудинковий звіт'!P146-'[3]побудинковий звіт'!P146</f>
        <v>0</v>
      </c>
      <c r="Q146" s="56">
        <f t="shared" si="127"/>
        <v>0</v>
      </c>
      <c r="R146" s="42">
        <f>'[1]побудинковий звіт'!R146+'[2]побудинковий звіт'!R146-'[3]побудинковий звіт'!R146</f>
        <v>0</v>
      </c>
      <c r="S146" s="42">
        <f>'[1]побудинковий звіт'!S146+'[2]побудинковий звіт'!S146-'[3]побудинковий звіт'!S146</f>
        <v>0</v>
      </c>
      <c r="T146" s="56">
        <f t="shared" si="128"/>
        <v>0</v>
      </c>
      <c r="U146" s="42">
        <f>'[1]побудинковий звіт'!U146+'[2]побудинковий звіт'!U146-'[3]побудинковий звіт'!U146</f>
        <v>0</v>
      </c>
      <c r="V146" s="42">
        <f>'[1]побудинковий звіт'!V146+'[2]побудинковий звіт'!V146-'[3]побудинковий звіт'!V146</f>
        <v>0</v>
      </c>
      <c r="W146" s="56">
        <f t="shared" si="129"/>
        <v>0</v>
      </c>
      <c r="X146" s="42">
        <f>'[1]побудинковий звіт'!X146+'[2]побудинковий звіт'!X146-'[3]побудинковий звіт'!X146</f>
        <v>0</v>
      </c>
      <c r="Y146" s="42">
        <f>'[1]побудинковий звіт'!Y146+'[2]побудинковий звіт'!Y146-'[3]побудинковий звіт'!Y146</f>
        <v>0</v>
      </c>
      <c r="Z146" s="56">
        <f t="shared" si="130"/>
        <v>0</v>
      </c>
      <c r="AA146" s="42">
        <f>'[1]побудинковий звіт'!AA146+'[2]побудинковий звіт'!AA146-'[3]побудинковий звіт'!AA146</f>
        <v>0</v>
      </c>
      <c r="AB146" s="42">
        <f>'[1]побудинковий звіт'!AB146+'[2]побудинковий звіт'!AB146-'[3]побудинковий звіт'!AB146</f>
        <v>0</v>
      </c>
      <c r="AC146" s="56">
        <f t="shared" si="131"/>
        <v>0</v>
      </c>
      <c r="AD146" s="42">
        <f>'[1]побудинковий звіт'!AD146+'[2]побудинковий звіт'!AD146-'[3]побудинковий звіт'!AD146</f>
        <v>0</v>
      </c>
      <c r="AE146" s="42">
        <f>'[1]побудинковий звіт'!AE146+'[2]побудинковий звіт'!AE146-'[3]побудинковий звіт'!AE146</f>
        <v>213.49124913757854</v>
      </c>
      <c r="AF146" s="37">
        <f t="shared" si="132"/>
        <v>213.49124913757854</v>
      </c>
      <c r="AG146" s="87">
        <f t="shared" si="120"/>
        <v>0</v>
      </c>
      <c r="AH146" s="57">
        <f t="shared" si="120"/>
        <v>213.49124913757854</v>
      </c>
      <c r="AI146" s="56">
        <f t="shared" si="133"/>
        <v>213.49124913757854</v>
      </c>
      <c r="AJ146" s="42">
        <f>'[1]побудинковий звіт'!AJ146+'[2]побудинковий звіт'!AJ146-'[3]побудинковий звіт'!AJ146</f>
        <v>0</v>
      </c>
      <c r="AK146" s="42">
        <f>'[1]побудинковий звіт'!AK146+'[2]побудинковий звіт'!AK146-'[3]побудинковий звіт'!AK146</f>
        <v>0</v>
      </c>
      <c r="AL146" s="56">
        <f t="shared" si="134"/>
        <v>0</v>
      </c>
      <c r="AM146" s="42">
        <f>'[1]побудинковий звіт'!AM146+'[2]побудинковий звіт'!AM146-'[3]побудинковий звіт'!AM146</f>
        <v>0</v>
      </c>
      <c r="AN146" s="42">
        <f>'[1]побудинковий звіт'!AN146+'[2]побудинковий звіт'!AN146-'[3]побудинковий звіт'!AN146</f>
        <v>0</v>
      </c>
      <c r="AO146" s="56">
        <f t="shared" si="135"/>
        <v>0</v>
      </c>
      <c r="AP146" s="42">
        <f>'[1]побудинковий звіт'!AP146+'[2]побудинковий звіт'!AP146-'[3]побудинковий звіт'!AP146</f>
        <v>568.21058573618984</v>
      </c>
      <c r="AQ146" s="42">
        <f>'[1]побудинковий звіт'!AQ146+'[2]побудинковий звіт'!AQ146-'[3]побудинковий звіт'!AQ146</f>
        <v>140.14368942720262</v>
      </c>
      <c r="AR146" s="56">
        <f t="shared" si="136"/>
        <v>-428.06689630898722</v>
      </c>
      <c r="AS146" s="42">
        <f>'[1]побудинковий звіт'!AS146+'[2]побудинковий звіт'!AS146-'[3]побудинковий звіт'!AS146</f>
        <v>3613.4219715197546</v>
      </c>
      <c r="AT146" s="42">
        <f>'[1]побудинковий звіт'!AT146+'[2]побудинковий звіт'!AT146-'[3]побудинковий звіт'!AT146</f>
        <v>2600</v>
      </c>
      <c r="AU146" s="58">
        <f t="shared" si="151"/>
        <v>-1013.4219715197546</v>
      </c>
      <c r="AV146" s="42">
        <f>'[1]побудинковий звіт'!AV146+'[2]побудинковий звіт'!AV146-'[3]побудинковий звіт'!AV146</f>
        <v>0</v>
      </c>
      <c r="AW146" s="42">
        <f>'[1]побудинковий звіт'!AW146+'[2]побудинковий звіт'!AW146-'[3]побудинковий звіт'!AW146</f>
        <v>0</v>
      </c>
      <c r="AX146" s="59">
        <f t="shared" si="152"/>
        <v>0</v>
      </c>
      <c r="AY146" s="42">
        <f>'[1]побудинковий звіт'!AY146+'[2]побудинковий звіт'!AY146-'[3]побудинковий звіт'!AY146</f>
        <v>0</v>
      </c>
      <c r="AZ146" s="42">
        <f>'[1]побудинковий звіт'!AZ146+'[2]побудинковий звіт'!AZ146-'[3]побудинковий звіт'!AZ146</f>
        <v>0</v>
      </c>
      <c r="BA146" s="37">
        <f t="shared" si="153"/>
        <v>0</v>
      </c>
      <c r="BB146" s="42">
        <f>'[1]побудинковий звіт'!BB146+'[2]побудинковий звіт'!BB146-'[3]побудинковий звіт'!BB146</f>
        <v>0</v>
      </c>
      <c r="BC146" s="42">
        <f>'[1]побудинковий звіт'!BC146+'[2]побудинковий звіт'!BC146-'[3]побудинковий звіт'!BC146</f>
        <v>0</v>
      </c>
      <c r="BD146" s="59">
        <f t="shared" si="154"/>
        <v>0</v>
      </c>
      <c r="BE146" s="42">
        <f>'[1]побудинковий звіт'!BE146+'[2]побудинковий звіт'!BE146-'[3]побудинковий звіт'!BE146</f>
        <v>0</v>
      </c>
      <c r="BF146" s="42">
        <f>'[1]побудинковий звіт'!BF146+'[2]побудинковий звіт'!BF146-'[3]побудинковий звіт'!BF146</f>
        <v>0</v>
      </c>
      <c r="BG146" s="39">
        <f t="shared" si="155"/>
        <v>0</v>
      </c>
      <c r="BH146" s="42">
        <f>'[1]побудинковий звіт'!BH146+'[2]побудинковий звіт'!BH146-'[3]побудинковий звіт'!BH146</f>
        <v>0</v>
      </c>
      <c r="BI146" s="42">
        <f>'[1]побудинковий звіт'!BI146+'[2]побудинковий звіт'!BI146-'[3]побудинковий звіт'!BI146</f>
        <v>0</v>
      </c>
      <c r="BJ146" s="59">
        <f t="shared" si="156"/>
        <v>0</v>
      </c>
      <c r="BK146" s="42">
        <f>'[1]побудинковий звіт'!BK146+'[2]побудинковий звіт'!BK146-'[3]побудинковий звіт'!BK146</f>
        <v>0</v>
      </c>
      <c r="BL146" s="42">
        <f>'[1]побудинковий звіт'!BL146+'[2]побудинковий звіт'!BL146-'[3]побудинковий звіт'!BL146</f>
        <v>0</v>
      </c>
      <c r="BM146" s="39">
        <f t="shared" si="157"/>
        <v>0</v>
      </c>
      <c r="BN146" s="42">
        <f>'[1]побудинковий звіт'!BN146+'[2]побудинковий звіт'!BN146-'[3]побудинковий звіт'!BN146</f>
        <v>0</v>
      </c>
      <c r="BO146" s="42">
        <f>'[1]побудинковий звіт'!BO146+'[2]побудинковий звіт'!BO146-'[3]побудинковий звіт'!BO146</f>
        <v>0</v>
      </c>
      <c r="BP146" s="59">
        <f t="shared" si="158"/>
        <v>0</v>
      </c>
      <c r="BQ146" s="87">
        <f t="shared" si="176"/>
        <v>0</v>
      </c>
      <c r="BR146" s="43">
        <f t="shared" si="177"/>
        <v>0</v>
      </c>
      <c r="BS146" s="59">
        <f t="shared" si="159"/>
        <v>0</v>
      </c>
      <c r="BT146" s="42">
        <f>'[1]побудинковий звіт'!BT146+'[2]побудинковий звіт'!BT146-'[3]побудинковий звіт'!BT146</f>
        <v>813.51836564271503</v>
      </c>
      <c r="BU146" s="42">
        <f>'[1]побудинковий звіт'!BU146+'[2]побудинковий звіт'!BU146-'[3]побудинковий звіт'!BU146</f>
        <v>1618.2160260269386</v>
      </c>
      <c r="BV146" s="56">
        <f t="shared" si="137"/>
        <v>804.69766038422358</v>
      </c>
      <c r="BW146" s="42">
        <f>'[1]побудинковий звіт'!BW146+'[2]побудинковий звіт'!BW146-'[3]побудинковий звіт'!BW146</f>
        <v>0</v>
      </c>
      <c r="BX146" s="42">
        <f>'[1]побудинковий звіт'!BX146+'[2]побудинковий звіт'!BX146-'[3]побудинковий звіт'!BX146</f>
        <v>10.324411408177767</v>
      </c>
      <c r="BY146" s="56">
        <f t="shared" si="138"/>
        <v>10.324411408177767</v>
      </c>
      <c r="BZ146" s="42">
        <f>'[1]побудинковий звіт'!BZ146+'[2]побудинковий звіт'!BZ146-'[3]побудинковий звіт'!BZ146</f>
        <v>0</v>
      </c>
      <c r="CA146" s="42">
        <f>'[1]побудинковий звіт'!CA146+'[2]побудинковий звіт'!CA146-'[3]побудинковий звіт'!CA146</f>
        <v>390.06227695730541</v>
      </c>
      <c r="CB146" s="56">
        <f t="shared" si="139"/>
        <v>390.06227695730541</v>
      </c>
      <c r="CC146" s="42">
        <f>'[1]побудинковий звіт'!CC146+'[2]побудинковий звіт'!CC146-'[3]побудинковий звіт'!CC146</f>
        <v>0</v>
      </c>
      <c r="CD146" s="42">
        <f>'[1]побудинковий звіт'!CD146+'[2]побудинковий звіт'!CD146-'[3]побудинковий звіт'!CD146</f>
        <v>0</v>
      </c>
      <c r="CE146" s="56">
        <f t="shared" si="140"/>
        <v>0</v>
      </c>
      <c r="CF146" s="42">
        <f>'[1]побудинковий звіт'!CF146+'[2]побудинковий звіт'!CF146-'[3]побудинковий звіт'!CF146</f>
        <v>0</v>
      </c>
      <c r="CG146" s="42">
        <f>'[1]побудинковий звіт'!CG146+'[2]побудинковий звіт'!CG146-'[3]побудинковий звіт'!CG146</f>
        <v>0</v>
      </c>
      <c r="CH146" s="56">
        <f t="shared" si="141"/>
        <v>0</v>
      </c>
      <c r="CI146" s="42">
        <f>'[1]побудинковий звіт'!CI146+'[2]побудинковий звіт'!CI146-'[3]побудинковий звіт'!CI146</f>
        <v>0</v>
      </c>
      <c r="CJ146" s="42">
        <f>'[1]побудинковий звіт'!CJ146+'[2]побудинковий звіт'!CJ146-'[3]побудинковий звіт'!CJ146</f>
        <v>0</v>
      </c>
      <c r="CK146" s="56">
        <f t="shared" si="142"/>
        <v>0</v>
      </c>
      <c r="CL146" s="42">
        <f>'[1]побудинковий звіт'!CL146+'[2]побудинковий звіт'!CL146-'[3]побудинковий звіт'!CL146</f>
        <v>0</v>
      </c>
      <c r="CM146" s="42">
        <f>'[1]побудинковий звіт'!CM146+'[2]побудинковий звіт'!CM146-'[3]побудинковий звіт'!CM146</f>
        <v>0</v>
      </c>
      <c r="CN146" s="56">
        <f t="shared" si="143"/>
        <v>0</v>
      </c>
      <c r="CO146" s="42">
        <f t="shared" si="123"/>
        <v>0</v>
      </c>
      <c r="CP146" s="43">
        <f t="shared" si="144"/>
        <v>0</v>
      </c>
      <c r="CQ146" s="56">
        <f t="shared" si="145"/>
        <v>0</v>
      </c>
      <c r="CR146" s="78">
        <f t="shared" si="124"/>
        <v>4995.1509228986597</v>
      </c>
      <c r="CS146" s="5">
        <f t="shared" si="124"/>
        <v>4972.237652957203</v>
      </c>
      <c r="CT146" s="56">
        <f t="shared" si="146"/>
        <v>-22.913269941456747</v>
      </c>
      <c r="CU146" s="87">
        <f t="shared" si="147"/>
        <v>5994.1811074783918</v>
      </c>
      <c r="CV146" s="70">
        <f t="shared" si="148"/>
        <v>5966.6851835486432</v>
      </c>
      <c r="CW146" s="37">
        <f t="shared" si="149"/>
        <v>-27.495923929748642</v>
      </c>
      <c r="CX146" s="42">
        <f>'[1]побудинковий звіт'!CX146+'[2]побудинковий звіт'!CX146-'[3]побудинковий звіт'!CX146</f>
        <v>89.818892521609314</v>
      </c>
      <c r="CY146" s="42">
        <f>'[1]побудинковий звіт'!CY146+'[2]побудинковий звіт'!CY146-'[3]побудинковий звіт'!CY146</f>
        <v>117.31481645135636</v>
      </c>
      <c r="CZ146" s="56">
        <f t="shared" si="150"/>
        <v>27.49592392974705</v>
      </c>
      <c r="DA146" s="264">
        <f>'[4]побудинковий звіт'!DA146</f>
        <v>-7329.9891792520821</v>
      </c>
      <c r="DB146" s="2">
        <v>2</v>
      </c>
      <c r="DC146" s="717">
        <f>'[4]побудинковий звіт'!DC146</f>
        <v>553.66999999999996</v>
      </c>
      <c r="DD146" s="717">
        <f>'[4]побудинковий звіт'!DD146</f>
        <v>0</v>
      </c>
      <c r="DE146" s="717">
        <f>'[4]побудинковий звіт'!DE146</f>
        <v>46.669999999999959</v>
      </c>
      <c r="DF146" s="717">
        <f>'[4]побудинковий звіт'!DF146</f>
        <v>0</v>
      </c>
      <c r="DG146" s="787">
        <v>-6443.0187692602958</v>
      </c>
      <c r="DH146" s="761">
        <f t="shared" si="171"/>
        <v>73008.000000000015</v>
      </c>
      <c r="DI146" s="784"/>
      <c r="DJ146" s="5"/>
      <c r="DK146" s="317">
        <f>VLOOKUP($A146,ціни!$A$4:$G$401,5)</f>
        <v>1.581927671370402</v>
      </c>
      <c r="DL146" s="317"/>
      <c r="DM146" s="317">
        <f>VLOOKUP($A146,ціни!$A$4:$G$401,7)</f>
        <v>1.581927671370402</v>
      </c>
      <c r="DN146" s="30">
        <f>F146*DK146</f>
        <v>6365.9933351287718</v>
      </c>
      <c r="DO146" s="30">
        <f>H146*DM146</f>
        <v>0</v>
      </c>
      <c r="DP146" s="316">
        <f t="shared" si="162"/>
        <v>6365.9933351287718</v>
      </c>
      <c r="DQ146" s="104"/>
      <c r="DR146" s="30">
        <f>VLOOKUP(A146,'ДЗ нас '!$A$1:$C$359,2)</f>
        <v>507</v>
      </c>
      <c r="DS146" s="748"/>
      <c r="DT146" s="30">
        <f t="shared" si="163"/>
        <v>507</v>
      </c>
      <c r="DU146" s="257">
        <f>VLOOKUP(A146,'новий кошторис с 01.06'!$A$4:$AI$399,35)*1.2</f>
        <v>508.50636395108347</v>
      </c>
      <c r="DV146" s="30">
        <f t="shared" si="164"/>
        <v>-1.5063639510834719</v>
      </c>
      <c r="DW146" s="930">
        <f>'[5]побудинковий звіт'!DW146+'[6]побудинковий звіт'!DW146</f>
        <v>0</v>
      </c>
      <c r="DY146" s="5">
        <f t="shared" si="167"/>
        <v>4336.1063658237053</v>
      </c>
      <c r="DZ146" s="5">
        <f t="shared" si="168"/>
        <v>3120</v>
      </c>
      <c r="EA146" s="752">
        <f t="shared" si="172"/>
        <v>46.669999999999959</v>
      </c>
      <c r="EC146" s="592">
        <f t="shared" si="169"/>
        <v>43361.063658237057</v>
      </c>
      <c r="EE146" s="758">
        <v>-3922</v>
      </c>
      <c r="EF146" s="738">
        <f t="shared" si="170"/>
        <v>-10365.018769260296</v>
      </c>
      <c r="EH146" s="813">
        <v>-7636.5007729544486</v>
      </c>
    </row>
    <row r="147" spans="1:138" x14ac:dyDescent="0.3">
      <c r="A147" s="328">
        <v>150001021</v>
      </c>
      <c r="B147" s="44" t="s">
        <v>598</v>
      </c>
      <c r="C147" s="45" t="s">
        <v>363</v>
      </c>
      <c r="D147" s="45" t="s">
        <v>363</v>
      </c>
      <c r="E147" s="40">
        <f t="shared" si="175"/>
        <v>1399.9</v>
      </c>
      <c r="F147" s="490">
        <v>1399.9</v>
      </c>
      <c r="G147" s="30">
        <v>1227.6300000000001</v>
      </c>
      <c r="H147" s="30">
        <v>0</v>
      </c>
      <c r="I147" s="42">
        <f>'[1]побудинковий звіт'!I147+'[2]побудинковий звіт'!I147-'[3]побудинковий звіт'!I147</f>
        <v>29721.329203998779</v>
      </c>
      <c r="J147" s="42">
        <f>'[1]побудинковий звіт'!J147+'[2]побудинковий звіт'!J147-'[3]побудинковий звіт'!J147</f>
        <v>25454.693474224168</v>
      </c>
      <c r="K147" s="56">
        <f t="shared" si="125"/>
        <v>-4266.6357297746108</v>
      </c>
      <c r="L147" s="42">
        <f>'[1]побудинковий звіт'!L147+'[2]побудинковий звіт'!L147-'[3]побудинковий звіт'!L147</f>
        <v>8376.0543394625074</v>
      </c>
      <c r="M147" s="42">
        <f>'[1]побудинковий звіт'!M147+'[2]побудинковий звіт'!M147-'[3]побудинковий звіт'!M147</f>
        <v>7667.4107064935588</v>
      </c>
      <c r="N147" s="56">
        <f t="shared" si="126"/>
        <v>-708.64363296894862</v>
      </c>
      <c r="O147" s="42">
        <f>'[1]побудинковий звіт'!O147+'[2]побудинковий звіт'!O147-'[3]побудинковий звіт'!O147</f>
        <v>17383.320000000003</v>
      </c>
      <c r="P147" s="42">
        <f>'[1]побудинковий звіт'!P147+'[2]побудинковий звіт'!P147-'[3]побудинковий звіт'!P147</f>
        <v>13664.090840430108</v>
      </c>
      <c r="Q147" s="56">
        <f t="shared" si="127"/>
        <v>-3719.2291595698953</v>
      </c>
      <c r="R147" s="42">
        <f>'[1]побудинковий звіт'!R147+'[2]побудинковий звіт'!R147-'[3]побудинковий звіт'!R147</f>
        <v>3785.6400000000017</v>
      </c>
      <c r="S147" s="42">
        <f>'[1]побудинковий звіт'!S147+'[2]побудинковий звіт'!S147-'[3]побудинковий звіт'!S147</f>
        <v>2975.8932077419358</v>
      </c>
      <c r="T147" s="56">
        <f t="shared" si="128"/>
        <v>-809.74679225806585</v>
      </c>
      <c r="U147" s="42">
        <f>'[1]побудинковий звіт'!U147+'[2]побудинковий звіт'!U147-'[3]побудинковий звіт'!U147</f>
        <v>3457.4511614254002</v>
      </c>
      <c r="V147" s="42">
        <f>'[1]побудинковий звіт'!V147+'[2]побудинковий звіт'!V147-'[3]побудинковий звіт'!V147</f>
        <v>1272.2961533060761</v>
      </c>
      <c r="W147" s="56">
        <f t="shared" si="129"/>
        <v>-2185.1550081193241</v>
      </c>
      <c r="X147" s="42">
        <f>'[1]побудинковий звіт'!X147+'[2]побудинковий звіт'!X147-'[3]побудинковий звіт'!X147</f>
        <v>22693.627915030345</v>
      </c>
      <c r="Y147" s="42">
        <f>'[1]побудинковий звіт'!Y147+'[2]побудинковий звіт'!Y147-'[3]побудинковий звіт'!Y147</f>
        <v>15445.752653015232</v>
      </c>
      <c r="Z147" s="56">
        <f t="shared" si="130"/>
        <v>-7247.8752620151135</v>
      </c>
      <c r="AA147" s="42">
        <f>'[1]побудинковий звіт'!AA147+'[2]побудинковий звіт'!AA147-'[3]побудинковий звіт'!AA147</f>
        <v>0</v>
      </c>
      <c r="AB147" s="42">
        <f>'[1]побудинковий звіт'!AB147+'[2]побудинковий звіт'!AB147-'[3]побудинковий звіт'!AB147</f>
        <v>0</v>
      </c>
      <c r="AC147" s="56">
        <f t="shared" si="131"/>
        <v>0</v>
      </c>
      <c r="AD147" s="42">
        <f>'[1]побудинковий звіт'!AD147+'[2]побудинковий звіт'!AD147-'[3]побудинковий звіт'!AD147</f>
        <v>49523.193917353012</v>
      </c>
      <c r="AE147" s="42">
        <f>'[1]побудинковий звіт'!AE147+'[2]побудинковий звіт'!AE147-'[3]побудинковий звіт'!AE147</f>
        <v>45646.632971571162</v>
      </c>
      <c r="AF147" s="37">
        <f t="shared" si="132"/>
        <v>-3876.56094578185</v>
      </c>
      <c r="AG147" s="87">
        <f t="shared" si="120"/>
        <v>134940.61653727005</v>
      </c>
      <c r="AH147" s="57">
        <f t="shared" si="120"/>
        <v>112126.77000678224</v>
      </c>
      <c r="AI147" s="56">
        <f t="shared" si="133"/>
        <v>-22813.846530487805</v>
      </c>
      <c r="AJ147" s="42">
        <f>'[1]побудинковий звіт'!AJ147+'[2]побудинковий звіт'!AJ147-'[3]побудинковий звіт'!AJ147</f>
        <v>124231.95810605967</v>
      </c>
      <c r="AK147" s="42">
        <f>'[1]побудинковий звіт'!AK147+'[2]побудинковий звіт'!AK147-'[3]побудинковий звіт'!AK147</f>
        <v>114010.46015403859</v>
      </c>
      <c r="AL147" s="56">
        <f t="shared" si="134"/>
        <v>-10221.497952021076</v>
      </c>
      <c r="AM147" s="42">
        <f>'[1]побудинковий звіт'!AM147+'[2]побудинковий звіт'!AM147-'[3]побудинковий звіт'!AM147</f>
        <v>6313.6886354837225</v>
      </c>
      <c r="AN147" s="42">
        <f>'[1]побудинковий звіт'!AN147+'[2]побудинковий звіт'!AN147-'[3]побудинковий звіт'!AN147</f>
        <v>4554.0256374712735</v>
      </c>
      <c r="AO147" s="56">
        <f t="shared" si="135"/>
        <v>-1759.662998012449</v>
      </c>
      <c r="AP147" s="42">
        <f>'[1]побудинковий звіт'!AP147+'[2]побудинковий звіт'!AP147-'[3]побудинковий звіт'!AP147</f>
        <v>10133.088778962052</v>
      </c>
      <c r="AQ147" s="42">
        <f>'[1]побудинковий звіт'!AQ147+'[2]побудинковий звіт'!AQ147-'[3]побудинковий звіт'!AQ147</f>
        <v>18679.89954459657</v>
      </c>
      <c r="AR147" s="56">
        <f t="shared" si="136"/>
        <v>8546.8107656345182</v>
      </c>
      <c r="AS147" s="42">
        <f>'[1]побудинковий звіт'!AS147+'[2]побудинковий звіт'!AS147-'[3]побудинковий звіт'!AS147</f>
        <v>210868.00857367172</v>
      </c>
      <c r="AT147" s="42">
        <f>'[1]побудинковий звіт'!AT147+'[2]побудинковий звіт'!AT147-'[3]побудинковий звіт'!AT147</f>
        <v>170911</v>
      </c>
      <c r="AU147" s="58">
        <f t="shared" si="151"/>
        <v>-39957.008573671716</v>
      </c>
      <c r="AV147" s="42">
        <f>'[1]побудинковий звіт'!AV147+'[2]побудинковий звіт'!AV147-'[3]побудинковий звіт'!AV147</f>
        <v>980.427571520019</v>
      </c>
      <c r="AW147" s="42">
        <f>'[1]побудинковий звіт'!AW147+'[2]побудинковий звіт'!AW147-'[3]побудинковий звіт'!AW147</f>
        <v>6559</v>
      </c>
      <c r="AX147" s="59">
        <f t="shared" si="152"/>
        <v>5578.5724284799808</v>
      </c>
      <c r="AY147" s="42">
        <f>'[1]побудинковий звіт'!AY147+'[2]побудинковий звіт'!AY147-'[3]побудинковий звіт'!AY147</f>
        <v>2020.9989703454362</v>
      </c>
      <c r="AZ147" s="42">
        <f>'[1]побудинковий звіт'!AZ147+'[2]побудинковий звіт'!AZ147-'[3]побудинковий звіт'!AZ147</f>
        <v>44524</v>
      </c>
      <c r="BA147" s="37">
        <f t="shared" si="153"/>
        <v>42503.001029654566</v>
      </c>
      <c r="BB147" s="42">
        <f>'[1]побудинковий звіт'!BB147+'[2]побудинковий звіт'!BB147-'[3]побудинковий звіт'!BB147</f>
        <v>1468.3521030800036</v>
      </c>
      <c r="BC147" s="42">
        <f>'[1]побудинковий звіт'!BC147+'[2]побудинковий звіт'!BC147-'[3]побудинковий звіт'!BC147</f>
        <v>0</v>
      </c>
      <c r="BD147" s="59">
        <f t="shared" si="154"/>
        <v>-1468.3521030800036</v>
      </c>
      <c r="BE147" s="42">
        <f>'[1]побудинковий звіт'!BE147+'[2]побудинковий звіт'!BE147-'[3]побудинковий звіт'!BE147</f>
        <v>618.16010783714466</v>
      </c>
      <c r="BF147" s="42">
        <f>'[1]побудинковий звіт'!BF147+'[2]побудинковий звіт'!BF147-'[3]побудинковий звіт'!BF147</f>
        <v>3046</v>
      </c>
      <c r="BG147" s="39">
        <f t="shared" si="155"/>
        <v>2427.8398921628554</v>
      </c>
      <c r="BH147" s="42">
        <f>'[1]побудинковий звіт'!BH147+'[2]побудинковий звіт'!BH147-'[3]побудинковий звіт'!BH147</f>
        <v>701.57432156236484</v>
      </c>
      <c r="BI147" s="42">
        <f>'[1]побудинковий звіт'!BI147+'[2]побудинковий звіт'!BI147-'[3]побудинковий звіт'!BI147</f>
        <v>1886.8687076802848</v>
      </c>
      <c r="BJ147" s="59">
        <f t="shared" si="156"/>
        <v>1185.2943861179201</v>
      </c>
      <c r="BK147" s="42">
        <f>'[1]побудинковий звіт'!BK147+'[2]побудинковий звіт'!BK147-'[3]побудинковий звіт'!BK147</f>
        <v>999.6833985752528</v>
      </c>
      <c r="BL147" s="42">
        <f>'[1]побудинковий звіт'!BL147+'[2]побудинковий звіт'!BL147-'[3]побудинковий звіт'!BL147</f>
        <v>13354.486858486063</v>
      </c>
      <c r="BM147" s="39">
        <f t="shared" si="157"/>
        <v>12354.80345991081</v>
      </c>
      <c r="BN147" s="42">
        <f>'[1]побудинковий звіт'!BN147+'[2]побудинковий звіт'!BN147-'[3]побудинковий звіт'!BN147</f>
        <v>1124.9624387438232</v>
      </c>
      <c r="BO147" s="42">
        <f>'[1]побудинковий звіт'!BO147+'[2]побудинковий звіт'!BO147-'[3]побудинковий звіт'!BO147</f>
        <v>1216</v>
      </c>
      <c r="BP147" s="59">
        <f t="shared" si="158"/>
        <v>91.037561256176787</v>
      </c>
      <c r="BQ147" s="87">
        <f t="shared" si="176"/>
        <v>7914.1589116640453</v>
      </c>
      <c r="BR147" s="43">
        <f t="shared" si="177"/>
        <v>70586.355566166341</v>
      </c>
      <c r="BS147" s="59">
        <f t="shared" si="159"/>
        <v>62672.196654502295</v>
      </c>
      <c r="BT147" s="42">
        <f>'[1]побудинковий звіт'!BT147+'[2]побудинковий звіт'!BT147-'[3]побудинковий звіт'!BT147</f>
        <v>144497.24505855216</v>
      </c>
      <c r="BU147" s="42">
        <f>'[1]побудинковий звіт'!BU147+'[2]побудинковий звіт'!BU147-'[3]побудинковий звіт'!BU147</f>
        <v>151605.50982482525</v>
      </c>
      <c r="BV147" s="56">
        <f t="shared" si="137"/>
        <v>7108.2647662730888</v>
      </c>
      <c r="BW147" s="42">
        <f>'[1]побудинковий звіт'!BW147+'[2]побудинковий звіт'!BW147-'[3]побудинковий звіт'!BW147</f>
        <v>88753.761994788205</v>
      </c>
      <c r="BX147" s="42">
        <f>'[1]побудинковий звіт'!BX147+'[2]побудинковий звіт'!BX147-'[3]побудинковий звіт'!BX147</f>
        <v>100039.9914653569</v>
      </c>
      <c r="BY147" s="56">
        <f t="shared" si="138"/>
        <v>11286.229470568695</v>
      </c>
      <c r="BZ147" s="42">
        <f>'[1]побудинковий звіт'!BZ147+'[2]побудинковий звіт'!BZ147-'[3]побудинковий звіт'!BZ147</f>
        <v>15580.685426581298</v>
      </c>
      <c r="CA147" s="42">
        <f>'[1]побудинковий звіт'!CA147+'[2]побудинковий звіт'!CA147-'[3]побудинковий звіт'!CA147</f>
        <v>37289.940309821948</v>
      </c>
      <c r="CB147" s="56">
        <f t="shared" si="139"/>
        <v>21709.25488324065</v>
      </c>
      <c r="CC147" s="42">
        <f>'[1]побудинковий звіт'!CC147+'[2]побудинковий звіт'!CC147-'[3]побудинковий звіт'!CC147</f>
        <v>1720.6753502175916</v>
      </c>
      <c r="CD147" s="42">
        <f>'[1]побудинковий звіт'!CD147+'[2]побудинковий звіт'!CD147-'[3]побудинковий звіт'!CD147</f>
        <v>1705.541524042256</v>
      </c>
      <c r="CE147" s="56">
        <f t="shared" si="140"/>
        <v>-15.133826175335571</v>
      </c>
      <c r="CF147" s="42">
        <f>'[1]побудинковий звіт'!CF147+'[2]побудинковий звіт'!CF147-'[3]побудинковий звіт'!CF147</f>
        <v>211.82556394724136</v>
      </c>
      <c r="CG147" s="42">
        <f>'[1]побудинковий звіт'!CG147+'[2]побудинковий звіт'!CG147-'[3]побудинковий звіт'!CG147</f>
        <v>0</v>
      </c>
      <c r="CH147" s="56">
        <f t="shared" si="141"/>
        <v>-211.82556394724136</v>
      </c>
      <c r="CI147" s="42">
        <f>'[1]побудинковий звіт'!CI147+'[2]побудинковий звіт'!CI147-'[3]побудинковий звіт'!CI147</f>
        <v>7767.7729485347354</v>
      </c>
      <c r="CJ147" s="42">
        <f>'[1]побудинковий звіт'!CJ147+'[2]побудинковий звіт'!CJ147-'[3]побудинковий звіт'!CJ147</f>
        <v>9461.9438888885652</v>
      </c>
      <c r="CK147" s="56">
        <f t="shared" si="142"/>
        <v>1694.1709403538298</v>
      </c>
      <c r="CL147" s="42">
        <f>'[1]побудинковий звіт'!CL147+'[2]побудинковий звіт'!CL147-'[3]побудинковий звіт'!CL147</f>
        <v>27851.677463661887</v>
      </c>
      <c r="CM147" s="42">
        <f>'[1]побудинковий звіт'!CM147+'[2]побудинковий звіт'!CM147-'[3]побудинковий звіт'!CM147</f>
        <v>27775.781161229621</v>
      </c>
      <c r="CN147" s="56">
        <f t="shared" si="143"/>
        <v>-75.896302432265657</v>
      </c>
      <c r="CO147" s="42">
        <f t="shared" si="123"/>
        <v>35619.450412196624</v>
      </c>
      <c r="CP147" s="43">
        <f t="shared" si="144"/>
        <v>37237.725050118184</v>
      </c>
      <c r="CQ147" s="56">
        <f t="shared" si="145"/>
        <v>1618.2746379215605</v>
      </c>
      <c r="CR147" s="78">
        <f t="shared" si="124"/>
        <v>780785.16334939422</v>
      </c>
      <c r="CS147" s="5">
        <f t="shared" si="124"/>
        <v>818747.21908321953</v>
      </c>
      <c r="CT147" s="56">
        <f t="shared" si="146"/>
        <v>37962.055733825313</v>
      </c>
      <c r="CU147" s="87">
        <f t="shared" si="147"/>
        <v>936942.19601927302</v>
      </c>
      <c r="CV147" s="70">
        <f t="shared" si="148"/>
        <v>982496.66289986344</v>
      </c>
      <c r="CW147" s="37">
        <f t="shared" si="149"/>
        <v>45554.466880590422</v>
      </c>
      <c r="CX147" s="42">
        <f>'[1]побудинковий звіт'!CX147+'[2]побудинковий звіт'!CX147-'[3]побудинковий звіт'!CX147</f>
        <v>14439.363980726863</v>
      </c>
      <c r="CY147" s="42">
        <f>'[1]побудинковий звіт'!CY147+'[2]побудинковий звіт'!CY147-'[3]побудинковий звіт'!CY147</f>
        <v>-31115.102899863443</v>
      </c>
      <c r="CZ147" s="56">
        <f t="shared" si="150"/>
        <v>-45554.466880590306</v>
      </c>
      <c r="DA147" s="264">
        <f>'[4]побудинковий звіт'!DA147</f>
        <v>8015.2845519765106</v>
      </c>
      <c r="DB147" s="2">
        <v>1</v>
      </c>
      <c r="DC147" s="717">
        <f>'[4]побудинковий звіт'!DC147</f>
        <v>183386.26</v>
      </c>
      <c r="DD147" s="717">
        <f>'[4]побудинковий звіт'!DD147</f>
        <v>0</v>
      </c>
      <c r="DE147" s="717">
        <f>'[4]побудинковий звіт'!DE147</f>
        <v>104099.65000000001</v>
      </c>
      <c r="DF147" s="717">
        <f>'[4]побудинковий звіт'!DF147</f>
        <v>0</v>
      </c>
      <c r="DG147" s="787">
        <v>52008.061688149814</v>
      </c>
      <c r="DH147" s="761">
        <f t="shared" si="171"/>
        <v>11416578.719999999</v>
      </c>
      <c r="DI147" s="784"/>
      <c r="DJ147" s="5"/>
      <c r="DK147" s="317">
        <f>VLOOKUP($A147,ціни!$A$4:$G$401,5)</f>
        <v>5.454300738822873</v>
      </c>
      <c r="DL147" s="317">
        <f>VLOOKUP($A147,ціни!$A$4:$G$401,6)</f>
        <v>7.0069922192172074</v>
      </c>
      <c r="DM147" s="317">
        <f>VLOOKUP($A147,ціни!$A$4:$G$401,7)</f>
        <v>4.676506445336793</v>
      </c>
      <c r="DN147" s="30">
        <f>DK147*G147+(F147-G147)*DL147</f>
        <v>7902.9577656056717</v>
      </c>
      <c r="DO147" s="30">
        <f>DM147*H147</f>
        <v>0</v>
      </c>
      <c r="DP147" s="316">
        <f t="shared" si="162"/>
        <v>7902.9577656056717</v>
      </c>
      <c r="DQ147" s="104"/>
      <c r="DR147" s="30">
        <f>VLOOKUP(A147,'ДЗ нас '!$A$1:$C$359,2)</f>
        <v>79287.7</v>
      </c>
      <c r="DS147" s="748"/>
      <c r="DT147" s="30">
        <f t="shared" si="163"/>
        <v>79287.7</v>
      </c>
      <c r="DU147" s="257">
        <f>VLOOKUP(A147,'новий кошторис с 01.06'!$A$4:$AI$399,35)*1.2</f>
        <v>79483.929628968297</v>
      </c>
      <c r="DV147" s="30">
        <f t="shared" si="164"/>
        <v>-196.22962896829995</v>
      </c>
      <c r="DW147" s="930">
        <f>'[5]побудинковий звіт'!DW147+'[6]побудинковий звіт'!DW147</f>
        <v>404</v>
      </c>
      <c r="DY147" s="5">
        <f t="shared" si="167"/>
        <v>262538.60098240292</v>
      </c>
      <c r="DZ147" s="5">
        <f t="shared" si="168"/>
        <v>289796.82667939959</v>
      </c>
      <c r="EA147" s="752">
        <f t="shared" si="172"/>
        <v>104099.65000000001</v>
      </c>
      <c r="EC147" s="592">
        <f t="shared" si="169"/>
        <v>2530416.1028840607</v>
      </c>
      <c r="EE147" s="758">
        <v>53105</v>
      </c>
      <c r="EF147" s="738">
        <f t="shared" si="170"/>
        <v>105113.06168814981</v>
      </c>
      <c r="EH147" s="813">
        <v>-26120.036987825384</v>
      </c>
    </row>
    <row r="148" spans="1:138" ht="18.75" customHeight="1" x14ac:dyDescent="0.3">
      <c r="A148" s="328">
        <v>150001035</v>
      </c>
      <c r="B148" s="44" t="s">
        <v>599</v>
      </c>
      <c r="C148" s="45" t="s">
        <v>262</v>
      </c>
      <c r="D148" s="45" t="s">
        <v>262</v>
      </c>
      <c r="E148" s="40">
        <f t="shared" si="175"/>
        <v>618.69999999999993</v>
      </c>
      <c r="F148" s="490">
        <v>539.29999999999995</v>
      </c>
      <c r="G148" s="30"/>
      <c r="H148" s="30">
        <v>79.400000000000006</v>
      </c>
      <c r="I148" s="42">
        <f>'[1]побудинковий звіт'!I148+'[2]побудинковий звіт'!I148-'[3]побудинковий звіт'!I148</f>
        <v>10589.838949515703</v>
      </c>
      <c r="J148" s="42">
        <f>'[1]побудинковий звіт'!J148+'[2]побудинковий звіт'!J148-'[3]побудинковий звіт'!J148</f>
        <v>8929.4932896633763</v>
      </c>
      <c r="K148" s="56">
        <f t="shared" si="125"/>
        <v>-1660.3456598523262</v>
      </c>
      <c r="L148" s="42">
        <f>'[1]побудинковий звіт'!L148+'[2]побудинковий звіт'!L148-'[3]побудинковий звіт'!L148</f>
        <v>2008.2498668696112</v>
      </c>
      <c r="M148" s="42">
        <f>'[1]побудинковий звіт'!M148+'[2]побудинковий звіт'!M148-'[3]побудинковий звіт'!M148</f>
        <v>1905.9936933984295</v>
      </c>
      <c r="N148" s="56">
        <f t="shared" si="126"/>
        <v>-102.25617347118168</v>
      </c>
      <c r="O148" s="42">
        <f>'[1]побудинковий звіт'!O148+'[2]побудинковий звіт'!O148-'[3]побудинковий звіт'!O148</f>
        <v>4423.4399999999996</v>
      </c>
      <c r="P148" s="42">
        <f>'[1]побудинковий звіт'!P148+'[2]побудинковий звіт'!P148-'[3]побудинковий звіт'!P148</f>
        <v>3477.0569075268822</v>
      </c>
      <c r="Q148" s="56">
        <f t="shared" si="127"/>
        <v>-946.38309247311736</v>
      </c>
      <c r="R148" s="42">
        <f>'[1]побудинковий звіт'!R148+'[2]побудинковий звіт'!R148-'[3]побудинковий звіт'!R148</f>
        <v>934.31999999999994</v>
      </c>
      <c r="S148" s="42">
        <f>'[1]побудинковий звіт'!S148+'[2]побудинковий звіт'!S148-'[3]побудинковий звіт'!S148</f>
        <v>734.4798344086023</v>
      </c>
      <c r="T148" s="56">
        <f t="shared" si="128"/>
        <v>-199.84016559139764</v>
      </c>
      <c r="U148" s="42">
        <f>'[1]побудинковий звіт'!U148+'[2]побудинковий звіт'!U148-'[3]побудинковий звіт'!U148</f>
        <v>709.3549077326212</v>
      </c>
      <c r="V148" s="42">
        <f>'[1]побудинковий звіт'!V148+'[2]побудинковий звіт'!V148-'[3]побудинковий звіт'!V148</f>
        <v>250.31856734601649</v>
      </c>
      <c r="W148" s="56">
        <f t="shared" si="129"/>
        <v>-459.03634038660471</v>
      </c>
      <c r="X148" s="42">
        <f>'[1]побудинковий звіт'!X148+'[2]побудинковий звіт'!X148-'[3]побудинковий звіт'!X148</f>
        <v>7200.4900099314109</v>
      </c>
      <c r="Y148" s="42">
        <f>'[1]побудинковий звіт'!Y148+'[2]побудинковий звіт'!Y148-'[3]побудинковий звіт'!Y148</f>
        <v>7535.361434281499</v>
      </c>
      <c r="Z148" s="56">
        <f t="shared" si="130"/>
        <v>334.87142435008809</v>
      </c>
      <c r="AA148" s="42">
        <f>'[1]побудинковий звіт'!AA148+'[2]побудинковий звіт'!AA148-'[3]побудинковий звіт'!AA148</f>
        <v>0</v>
      </c>
      <c r="AB148" s="42">
        <f>'[1]побудинковий звіт'!AB148+'[2]побудинковий звіт'!AB148-'[3]побудинковий звіт'!AB148</f>
        <v>0</v>
      </c>
      <c r="AC148" s="56">
        <f t="shared" si="131"/>
        <v>0</v>
      </c>
      <c r="AD148" s="42">
        <f>'[1]побудинковий звіт'!AD148+'[2]побудинковий звіт'!AD148-'[3]побудинковий звіт'!AD148</f>
        <v>12189.112951704712</v>
      </c>
      <c r="AE148" s="42">
        <f>'[1]побудинковий звіт'!AE148+'[2]побудинковий звіт'!AE148-'[3]побудинковий звіт'!AE148</f>
        <v>11289.380120609341</v>
      </c>
      <c r="AF148" s="37">
        <f t="shared" si="132"/>
        <v>-899.73283109537078</v>
      </c>
      <c r="AG148" s="87">
        <f t="shared" si="120"/>
        <v>38054.806685754054</v>
      </c>
      <c r="AH148" s="57">
        <f t="shared" si="120"/>
        <v>34122.083847234142</v>
      </c>
      <c r="AI148" s="56">
        <f t="shared" si="133"/>
        <v>-3932.7228385199123</v>
      </c>
      <c r="AJ148" s="42">
        <f>'[1]побудинковий звіт'!AJ148+'[2]побудинковий звіт'!AJ148-'[3]побудинковий звіт'!AJ148</f>
        <v>0</v>
      </c>
      <c r="AK148" s="42">
        <f>'[1]побудинковий звіт'!AK148+'[2]побудинковий звіт'!AK148-'[3]побудинковий звіт'!AK148</f>
        <v>0</v>
      </c>
      <c r="AL148" s="56">
        <f t="shared" si="134"/>
        <v>0</v>
      </c>
      <c r="AM148" s="42">
        <f>'[1]побудинковий звіт'!AM148+'[2]побудинковий звіт'!AM148-'[3]побудинковий звіт'!AM148</f>
        <v>0</v>
      </c>
      <c r="AN148" s="42">
        <f>'[1]побудинковий звіт'!AN148+'[2]побудинковий звіт'!AN148-'[3]побудинковий звіт'!AN148</f>
        <v>0</v>
      </c>
      <c r="AO148" s="56">
        <f t="shared" si="135"/>
        <v>0</v>
      </c>
      <c r="AP148" s="42">
        <f>'[1]побудинковий звіт'!AP148+'[2]побудинковий звіт'!AP148-'[3]побудинковий звіт'!AP148</f>
        <v>2793.7020465362671</v>
      </c>
      <c r="AQ148" s="42">
        <f>'[1]побудинковий звіт'!AQ148+'[2]побудинковий звіт'!AQ148-'[3]побудинковий звіт'!AQ148</f>
        <v>5427.9915849287054</v>
      </c>
      <c r="AR148" s="56">
        <f t="shared" si="136"/>
        <v>2634.2895383924383</v>
      </c>
      <c r="AS148" s="42">
        <f>'[1]побудинковий звіт'!AS148+'[2]побудинковий звіт'!AS148-'[3]побудинковий звіт'!AS148</f>
        <v>37704.767864327339</v>
      </c>
      <c r="AT148" s="42">
        <f>'[1]побудинковий звіт'!AT148+'[2]побудинковий звіт'!AT148-'[3]побудинковий звіт'!AT148</f>
        <v>67771</v>
      </c>
      <c r="AU148" s="58">
        <f t="shared" si="151"/>
        <v>30066.232135672661</v>
      </c>
      <c r="AV148" s="42">
        <f>'[1]побудинковий звіт'!AV148+'[2]побудинковий звіт'!AV148-'[3]побудинковий звіт'!AV148</f>
        <v>1778.4455992733497</v>
      </c>
      <c r="AW148" s="42">
        <f>'[1]побудинковий звіт'!AW148+'[2]побудинковий звіт'!AW148-'[3]побудинковий звіт'!AW148</f>
        <v>0</v>
      </c>
      <c r="AX148" s="59">
        <f t="shared" si="152"/>
        <v>-1778.4455992733497</v>
      </c>
      <c r="AY148" s="42">
        <f>'[1]побудинковий звіт'!AY148+'[2]побудинковий звіт'!AY148-'[3]побудинковий звіт'!AY148</f>
        <v>2588.5724901852714</v>
      </c>
      <c r="AZ148" s="42">
        <f>'[1]побудинковий звіт'!AZ148+'[2]побудинковий звіт'!AZ148-'[3]побудинковий звіт'!AZ148</f>
        <v>0</v>
      </c>
      <c r="BA148" s="37">
        <f t="shared" si="153"/>
        <v>-2588.5724901852714</v>
      </c>
      <c r="BB148" s="42">
        <f>'[1]побудинковий звіт'!BB148+'[2]побудинковий звіт'!BB148-'[3]побудинковий звіт'!BB148</f>
        <v>1740.2053212211663</v>
      </c>
      <c r="BC148" s="42">
        <f>'[1]побудинковий звіт'!BC148+'[2]побудинковий звіт'!BC148-'[3]побудинковий звіт'!BC148</f>
        <v>1688</v>
      </c>
      <c r="BD148" s="59">
        <f t="shared" si="154"/>
        <v>-52.205321221166287</v>
      </c>
      <c r="BE148" s="42">
        <f>'[1]побудинковий звіт'!BE148+'[2]побудинковий звіт'!BE148-'[3]побудинковий звіт'!BE148</f>
        <v>865.27994836956782</v>
      </c>
      <c r="BF148" s="42">
        <f>'[1]побудинковий звіт'!BF148+'[2]побудинковий звіт'!BF148-'[3]побудинковий звіт'!BF148</f>
        <v>0</v>
      </c>
      <c r="BG148" s="39">
        <f t="shared" si="155"/>
        <v>-865.27994836956782</v>
      </c>
      <c r="BH148" s="42">
        <f>'[1]побудинковий звіт'!BH148+'[2]побудинковий звіт'!BH148-'[3]побудинковий звіт'!BH148</f>
        <v>719.6828414324732</v>
      </c>
      <c r="BI148" s="42">
        <f>'[1]побудинковий звіт'!BI148+'[2]побудинковий звіт'!BI148-'[3]побудинковий звіт'!BI148</f>
        <v>0</v>
      </c>
      <c r="BJ148" s="59">
        <f t="shared" si="156"/>
        <v>-719.6828414324732</v>
      </c>
      <c r="BK148" s="42">
        <f>'[1]побудинковий звіт'!BK148+'[2]побудинковий звіт'!BK148-'[3]побудинковий звіт'!BK148</f>
        <v>995.48717196728126</v>
      </c>
      <c r="BL148" s="42">
        <f>'[1]побудинковий звіт'!BL148+'[2]побудинковий звіт'!BL148-'[3]побудинковий звіт'!BL148</f>
        <v>12016</v>
      </c>
      <c r="BM148" s="39">
        <f t="shared" si="157"/>
        <v>11020.512828032719</v>
      </c>
      <c r="BN148" s="42">
        <f>'[1]побудинковий звіт'!BN148+'[2]побудинковий звіт'!BN148-'[3]побудинковий звіт'!BN148</f>
        <v>1396.4533431190202</v>
      </c>
      <c r="BO148" s="42">
        <f>'[1]побудинковий звіт'!BO148+'[2]побудинковий звіт'!BO148-'[3]побудинковий звіт'!BO148</f>
        <v>3063</v>
      </c>
      <c r="BP148" s="59">
        <f t="shared" si="158"/>
        <v>1666.5466568809798</v>
      </c>
      <c r="BQ148" s="87">
        <f t="shared" si="176"/>
        <v>10084.126715568131</v>
      </c>
      <c r="BR148" s="43">
        <f t="shared" si="177"/>
        <v>16767</v>
      </c>
      <c r="BS148" s="59">
        <f t="shared" si="159"/>
        <v>6682.8732844318693</v>
      </c>
      <c r="BT148" s="42">
        <f>'[1]побудинковий звіт'!BT148+'[2]побудинковий звіт'!BT148-'[3]побудинковий звіт'!BT148</f>
        <v>41205.487194156478</v>
      </c>
      <c r="BU148" s="42">
        <f>'[1]побудинковий звіт'!BU148+'[2]побудинковий звіт'!BU148-'[3]побудинковий звіт'!BU148</f>
        <v>75137.474057565589</v>
      </c>
      <c r="BV148" s="56">
        <f t="shared" si="137"/>
        <v>33931.986863409111</v>
      </c>
      <c r="BW148" s="42">
        <f>'[1]побудинковий звіт'!BW148+'[2]побудинковий звіт'!BW148-'[3]побудинковий звіт'!BW148</f>
        <v>17548.116708277237</v>
      </c>
      <c r="BX148" s="42">
        <f>'[1]побудинковий звіт'!BX148+'[2]побудинковий звіт'!BX148-'[3]побудинковий звіт'!BX148</f>
        <v>19233.517624032782</v>
      </c>
      <c r="BY148" s="56">
        <f t="shared" si="138"/>
        <v>1685.4009157555447</v>
      </c>
      <c r="BZ148" s="42">
        <f>'[1]побудинковий звіт'!BZ148+'[2]побудинковий звіт'!BZ148-'[3]побудинковий звіт'!BZ148</f>
        <v>19457.249918961996</v>
      </c>
      <c r="CA148" s="42">
        <f>'[1]побудинковий звіт'!CA148+'[2]побудинковий звіт'!CA148-'[3]побудинковий звіт'!CA148</f>
        <v>18543.871337805729</v>
      </c>
      <c r="CB148" s="56">
        <f t="shared" si="139"/>
        <v>-913.37858115626659</v>
      </c>
      <c r="CC148" s="42">
        <f>'[1]побудинковий звіт'!CC148+'[2]побудинковий звіт'!CC148-'[3]побудинковий звіт'!CC148</f>
        <v>1670.6728186728064</v>
      </c>
      <c r="CD148" s="42">
        <f>'[1]побудинковий звіт'!CD148+'[2]побудинковий звіт'!CD148-'[3]побудинковий звіт'!CD148</f>
        <v>1655.9787788991475</v>
      </c>
      <c r="CE148" s="56">
        <f t="shared" si="140"/>
        <v>-14.694039773658915</v>
      </c>
      <c r="CF148" s="42">
        <f>'[1]побудинковий звіт'!CF148+'[2]побудинковий звіт'!CF148-'[3]побудинковий звіт'!CF148</f>
        <v>205.66994926843265</v>
      </c>
      <c r="CG148" s="42">
        <f>'[1]побудинковий звіт'!CG148+'[2]побудинковий звіт'!CG148-'[3]побудинковий звіт'!CG148</f>
        <v>0</v>
      </c>
      <c r="CH148" s="56">
        <f t="shared" si="141"/>
        <v>-205.66994926843265</v>
      </c>
      <c r="CI148" s="42">
        <f>'[1]побудинковий звіт'!CI148+'[2]побудинковий звіт'!CI148-'[3]побудинковий звіт'!CI148</f>
        <v>6027.043107055867</v>
      </c>
      <c r="CJ148" s="42">
        <f>'[1]побудинковий звіт'!CJ148+'[2]побудинковий звіт'!CJ148-'[3]побудинковий звіт'!CJ148</f>
        <v>2599.3659758321419</v>
      </c>
      <c r="CK148" s="56">
        <f t="shared" si="142"/>
        <v>-3427.6771312237252</v>
      </c>
      <c r="CL148" s="42">
        <f>'[1]побудинковий звіт'!CL148+'[2]побудинковий звіт'!CL148-'[3]побудинковий звіт'!CL148</f>
        <v>0</v>
      </c>
      <c r="CM148" s="42">
        <f>'[1]побудинковий звіт'!CM148+'[2]побудинковий звіт'!CM148-'[3]побудинковий звіт'!CM148</f>
        <v>0</v>
      </c>
      <c r="CN148" s="56">
        <f t="shared" si="143"/>
        <v>0</v>
      </c>
      <c r="CO148" s="42">
        <f t="shared" si="123"/>
        <v>6027.043107055867</v>
      </c>
      <c r="CP148" s="43">
        <f t="shared" si="144"/>
        <v>2599.3659758321419</v>
      </c>
      <c r="CQ148" s="56">
        <f t="shared" si="145"/>
        <v>-3427.6771312237252</v>
      </c>
      <c r="CR148" s="78">
        <f t="shared" si="124"/>
        <v>174751.64300857857</v>
      </c>
      <c r="CS148" s="5">
        <f t="shared" si="124"/>
        <v>241258.28320629822</v>
      </c>
      <c r="CT148" s="56">
        <f t="shared" si="146"/>
        <v>66506.640197719651</v>
      </c>
      <c r="CU148" s="87">
        <f t="shared" si="147"/>
        <v>209701.97161029428</v>
      </c>
      <c r="CV148" s="70">
        <f t="shared" si="148"/>
        <v>289509.93984755786</v>
      </c>
      <c r="CW148" s="37">
        <f t="shared" si="149"/>
        <v>79807.968237263587</v>
      </c>
      <c r="CX148" s="42">
        <f>'[1]побудинковий звіт'!CX148+'[2]побудинковий звіт'!CX148-'[3]побудинковий звіт'!CX148</f>
        <v>4256.068389705666</v>
      </c>
      <c r="CY148" s="42">
        <f>'[1]побудинковий звіт'!CY148+'[2]побудинковий звіт'!CY148-'[3]побудинковий звіт'!CY148</f>
        <v>-75551.899847557856</v>
      </c>
      <c r="CZ148" s="56">
        <f t="shared" si="150"/>
        <v>-79807.968237263529</v>
      </c>
      <c r="DA148" s="264">
        <f>'[4]побудинковий звіт'!DA148</f>
        <v>25822.068791189013</v>
      </c>
      <c r="DB148" s="2">
        <v>1</v>
      </c>
      <c r="DC148" s="717">
        <f>'[4]побудинковий звіт'!DC148</f>
        <v>35487.86</v>
      </c>
      <c r="DD148" s="717">
        <f>'[4]побудинковий звіт'!DD148</f>
        <v>446.62</v>
      </c>
      <c r="DE148" s="717">
        <f>'[4]побудинковий звіт'!DE148</f>
        <v>18110.91</v>
      </c>
      <c r="DF148" s="717">
        <f>'[4]побудинковий звіт'!DF148</f>
        <v>0</v>
      </c>
      <c r="DG148" s="787">
        <v>-33044.241515051282</v>
      </c>
      <c r="DH148" s="761">
        <f t="shared" si="171"/>
        <v>2567496.4799999995</v>
      </c>
      <c r="DI148" s="784"/>
      <c r="DJ148" s="5"/>
      <c r="DK148" s="317">
        <f>VLOOKUP($A148,ціни!$A$4:$G$401,5)</f>
        <v>6.2707229469166439</v>
      </c>
      <c r="DL148" s="317"/>
      <c r="DM148" s="317">
        <f>VLOOKUP($A148,ціни!$A$4:$G$401,7)</f>
        <v>5.6248499255027671</v>
      </c>
      <c r="DN148" s="30">
        <f>F148*DK148</f>
        <v>3381.8008852721459</v>
      </c>
      <c r="DO148" s="30">
        <f>H148*DM148</f>
        <v>446.61308408491976</v>
      </c>
      <c r="DP148" s="316">
        <f t="shared" si="162"/>
        <v>3828.4139693570655</v>
      </c>
      <c r="DQ148" s="104"/>
      <c r="DR148" s="30">
        <f>VLOOKUP(A148,'ДЗ нас '!$A$1:$C$359,2)</f>
        <v>17376.95</v>
      </c>
      <c r="DS148" s="748">
        <f>VLOOKUP(A148,'ДЗ нежит'!$A$1:$D$153,4,0)</f>
        <v>446.62</v>
      </c>
      <c r="DT148" s="30">
        <f t="shared" si="163"/>
        <v>17823.57</v>
      </c>
      <c r="DU148" s="257">
        <f>VLOOKUP(A148,'новий кошторис с 01.06'!$A$4:$AI$399,35)*1.2</f>
        <v>17894.568244078451</v>
      </c>
      <c r="DV148" s="30">
        <f t="shared" si="164"/>
        <v>-70.998244078451535</v>
      </c>
      <c r="DW148" s="930">
        <f>'[5]побудинковий звіт'!DW148+'[6]побудинковий звіт'!DW148</f>
        <v>302</v>
      </c>
      <c r="DY148" s="5">
        <f t="shared" si="167"/>
        <v>57346.673495874558</v>
      </c>
      <c r="DZ148" s="5">
        <f t="shared" si="168"/>
        <v>101445.59999999999</v>
      </c>
      <c r="EA148" s="752">
        <f t="shared" si="172"/>
        <v>18110.91</v>
      </c>
      <c r="EC148" s="592">
        <f t="shared" si="169"/>
        <v>452457.21437192807</v>
      </c>
      <c r="EE148" s="758">
        <v>-14522</v>
      </c>
      <c r="EF148" s="738">
        <f t="shared" si="170"/>
        <v>-47566.241515051282</v>
      </c>
      <c r="EH148" s="813">
        <v>13007.941349044777</v>
      </c>
    </row>
    <row r="149" spans="1:138" x14ac:dyDescent="0.3">
      <c r="A149" s="328">
        <v>150001022</v>
      </c>
      <c r="B149" s="44" t="s">
        <v>600</v>
      </c>
      <c r="C149" s="45" t="s">
        <v>364</v>
      </c>
      <c r="D149" s="45" t="s">
        <v>364</v>
      </c>
      <c r="E149" s="40">
        <f t="shared" si="175"/>
        <v>422.9</v>
      </c>
      <c r="F149" s="490">
        <v>422.9</v>
      </c>
      <c r="G149" s="30">
        <v>405</v>
      </c>
      <c r="H149" s="30">
        <v>0</v>
      </c>
      <c r="I149" s="42">
        <f>'[1]побудинковий звіт'!I149+'[2]побудинковий звіт'!I149-'[3]побудинковий звіт'!I149</f>
        <v>9916.1086947867552</v>
      </c>
      <c r="J149" s="42">
        <f>'[1]побудинковий звіт'!J149+'[2]побудинковий звіт'!J149-'[3]побудинковий звіт'!J149</f>
        <v>8478.9192896769619</v>
      </c>
      <c r="K149" s="56">
        <f t="shared" si="125"/>
        <v>-1437.1894051097934</v>
      </c>
      <c r="L149" s="42">
        <f>'[1]побудинковий звіт'!L149+'[2]побудинковий звіт'!L149-'[3]побудинковий звіт'!L149</f>
        <v>2249.4437278545552</v>
      </c>
      <c r="M149" s="42">
        <f>'[1]побудинковий звіт'!M149+'[2]побудинковий звіт'!M149-'[3]побудинковий звіт'!M149</f>
        <v>2106.6946214027485</v>
      </c>
      <c r="N149" s="56">
        <f t="shared" si="126"/>
        <v>-142.74910645180671</v>
      </c>
      <c r="O149" s="42">
        <f>'[1]побудинковий звіт'!O149+'[2]побудинковий звіт'!O149-'[3]побудинковий звіт'!O149</f>
        <v>5365.32</v>
      </c>
      <c r="P149" s="42">
        <f>'[1]побудинковий звіт'!P149+'[2]побудинковий звіт'!P149-'[3]побудинковий звіт'!P149</f>
        <v>4217.478109381721</v>
      </c>
      <c r="Q149" s="56">
        <f t="shared" si="127"/>
        <v>-1147.8418906182787</v>
      </c>
      <c r="R149" s="42">
        <f>'[1]побудинковий звіт'!R149+'[2]побудинковий звіт'!R149-'[3]побудинковий звіт'!R149</f>
        <v>1143.3599999999999</v>
      </c>
      <c r="S149" s="42">
        <f>'[1]побудинковий звіт'!S149+'[2]побудинковий звіт'!S149-'[3]побудинковий звіт'!S149</f>
        <v>898.63956744623636</v>
      </c>
      <c r="T149" s="56">
        <f t="shared" si="128"/>
        <v>-244.72043255376354</v>
      </c>
      <c r="U149" s="42">
        <f>'[1]побудинковий звіт'!U149+'[2]побудинковий звіт'!U149-'[3]побудинковий звіт'!U149</f>
        <v>726.81233085365818</v>
      </c>
      <c r="V149" s="42">
        <f>'[1]побудинковий звіт'!V149+'[2]побудинковий звіт'!V149-'[3]побудинковий звіт'!V149</f>
        <v>263.5744144201949</v>
      </c>
      <c r="W149" s="56">
        <f t="shared" si="129"/>
        <v>-463.23791643346328</v>
      </c>
      <c r="X149" s="42">
        <f>'[1]побудинковий звіт'!X149+'[2]побудинковий звіт'!X149-'[3]побудинковий звіт'!X149</f>
        <v>6730.6303966831247</v>
      </c>
      <c r="Y149" s="42">
        <f>'[1]побудинковий звіт'!Y149+'[2]побудинковий звіт'!Y149-'[3]побудинковий звіт'!Y149</f>
        <v>5448.3026416393986</v>
      </c>
      <c r="Z149" s="56">
        <f t="shared" si="130"/>
        <v>-1282.327755043726</v>
      </c>
      <c r="AA149" s="42">
        <f>'[1]побудинковий звіт'!AA149+'[2]побудинковий звіт'!AA149-'[3]побудинковий звіт'!AA149</f>
        <v>0</v>
      </c>
      <c r="AB149" s="42">
        <f>'[1]побудинковий звіт'!AB149+'[2]побудинковий звіт'!AB149-'[3]побудинковий звіт'!AB149</f>
        <v>0</v>
      </c>
      <c r="AC149" s="56">
        <f t="shared" si="131"/>
        <v>0</v>
      </c>
      <c r="AD149" s="42">
        <f>'[1]побудинковий звіт'!AD149+'[2]побудинковий звіт'!AD149-'[3]побудинковий звіт'!AD149</f>
        <v>16126.170352532983</v>
      </c>
      <c r="AE149" s="42">
        <f>'[1]побудинковий звіт'!AE149+'[2]побудинковий звіт'!AE149-'[3]побудинковий звіт'!AE149</f>
        <v>14863.284713330202</v>
      </c>
      <c r="AF149" s="37">
        <f t="shared" si="132"/>
        <v>-1262.885639202781</v>
      </c>
      <c r="AG149" s="87">
        <f t="shared" si="120"/>
        <v>42257.845502711076</v>
      </c>
      <c r="AH149" s="57">
        <f t="shared" si="120"/>
        <v>36276.893357297464</v>
      </c>
      <c r="AI149" s="56">
        <f t="shared" si="133"/>
        <v>-5980.952145413612</v>
      </c>
      <c r="AJ149" s="42">
        <f>'[1]побудинковий звіт'!AJ149+'[2]побудинковий звіт'!AJ149-'[3]побудинковий звіт'!AJ149</f>
        <v>36838.496087665488</v>
      </c>
      <c r="AK149" s="42">
        <f>'[1]побудинковий звіт'!AK149+'[2]побудинковий звіт'!AK149-'[3]побудинковий звіт'!AK149</f>
        <v>36514.474580539332</v>
      </c>
      <c r="AL149" s="56">
        <f t="shared" si="134"/>
        <v>-324.02150712615548</v>
      </c>
      <c r="AM149" s="42">
        <f>'[1]побудинковий звіт'!AM149+'[2]побудинковий звіт'!AM149-'[3]побудинковий звіт'!AM149</f>
        <v>3156.8443177418612</v>
      </c>
      <c r="AN149" s="42">
        <f>'[1]побудинковий звіт'!AN149+'[2]побудинковий звіт'!AN149-'[3]побудинковий звіт'!AN149</f>
        <v>2471.2831379657405</v>
      </c>
      <c r="AO149" s="56">
        <f t="shared" si="135"/>
        <v>-685.56117977612075</v>
      </c>
      <c r="AP149" s="42">
        <f>'[1]побудинковий звіт'!AP149+'[2]побудинковий звіт'!AP149-'[3]побудинковий звіт'!AP149</f>
        <v>3409.2635144171381</v>
      </c>
      <c r="AQ149" s="42">
        <f>'[1]побудинковий звіт'!AQ149+'[2]побудинковий звіт'!AQ149-'[3]побудинковий звіт'!AQ149</f>
        <v>3306.2495815519478</v>
      </c>
      <c r="AR149" s="56">
        <f t="shared" si="136"/>
        <v>-103.01393286519033</v>
      </c>
      <c r="AS149" s="42">
        <f>'[1]побудинковий звіт'!AS149+'[2]побудинковий звіт'!AS149-'[3]побудинковий звіт'!AS149</f>
        <v>68468.787996827901</v>
      </c>
      <c r="AT149" s="42">
        <f>'[1]побудинковий звіт'!AT149+'[2]побудинковий звіт'!AT149-'[3]побудинковий звіт'!AT149</f>
        <v>100000</v>
      </c>
      <c r="AU149" s="58">
        <f t="shared" si="151"/>
        <v>31531.212003172099</v>
      </c>
      <c r="AV149" s="42">
        <f>'[1]побудинковий звіт'!AV149+'[2]побудинковий звіт'!AV149-'[3]побудинковий звіт'!AV149</f>
        <v>827.9733583788003</v>
      </c>
      <c r="AW149" s="42">
        <f>'[1]побудинковий звіт'!AW149+'[2]побудинковий звіт'!AW149-'[3]побудинковий звіт'!AW149</f>
        <v>1544</v>
      </c>
      <c r="AX149" s="59">
        <f t="shared" si="152"/>
        <v>716.0266416211997</v>
      </c>
      <c r="AY149" s="42">
        <f>'[1]побудинковий звіт'!AY149+'[2]побудинковий звіт'!AY149-'[3]побудинковий звіт'!AY149</f>
        <v>1325.1039907172446</v>
      </c>
      <c r="AZ149" s="42">
        <f>'[1]побудинковий звіт'!AZ149+'[2]побудинковий звіт'!AZ149-'[3]побудинковий звіт'!AZ149</f>
        <v>14293</v>
      </c>
      <c r="BA149" s="37">
        <f t="shared" si="153"/>
        <v>12967.896009282755</v>
      </c>
      <c r="BB149" s="42">
        <f>'[1]побудинковий звіт'!BB149+'[2]побудинковий звіт'!BB149-'[3]побудинковий звіт'!BB149</f>
        <v>1064.92192263991</v>
      </c>
      <c r="BC149" s="42">
        <f>'[1]побудинковий звіт'!BC149+'[2]побудинковий звіт'!BC149-'[3]побудинковий звіт'!BC149</f>
        <v>0</v>
      </c>
      <c r="BD149" s="59">
        <f t="shared" si="154"/>
        <v>-1064.92192263991</v>
      </c>
      <c r="BE149" s="42">
        <f>'[1]побудинковий звіт'!BE149+'[2]побудинковий звіт'!BE149-'[3]побудинковий звіт'!BE149</f>
        <v>522.94427701185418</v>
      </c>
      <c r="BF149" s="42">
        <f>'[1]побудинковий звіт'!BF149+'[2]побудинковий звіт'!BF149-'[3]побудинковий звіт'!BF149</f>
        <v>0</v>
      </c>
      <c r="BG149" s="39">
        <f t="shared" si="155"/>
        <v>-522.94427701185418</v>
      </c>
      <c r="BH149" s="42">
        <f>'[1]побудинковий звіт'!BH149+'[2]побудинковий звіт'!BH149-'[3]побудинковий звіт'!BH149</f>
        <v>368.75010735482255</v>
      </c>
      <c r="BI149" s="42">
        <f>'[1]побудинковий звіт'!BI149+'[2]побудинковий звіт'!BI149-'[3]побудинковий звіт'!BI149</f>
        <v>0</v>
      </c>
      <c r="BJ149" s="59">
        <f t="shared" si="156"/>
        <v>-368.75010735482255</v>
      </c>
      <c r="BK149" s="42">
        <f>'[1]побудинковий звіт'!BK149+'[2]побудинковий звіт'!BK149-'[3]побудинковий звіт'!BK149</f>
        <v>772.73981883861711</v>
      </c>
      <c r="BL149" s="42">
        <f>'[1]побудинковий звіт'!BL149+'[2]побудинковий звіт'!BL149-'[3]побудинковий звіт'!BL149</f>
        <v>11776.409383947635</v>
      </c>
      <c r="BM149" s="39">
        <f t="shared" si="157"/>
        <v>11003.669565109018</v>
      </c>
      <c r="BN149" s="42">
        <f>'[1]побудинковий звіт'!BN149+'[2]побудинковий звіт'!BN149-'[3]побудинковий звіт'!BN149</f>
        <v>390.89290744138987</v>
      </c>
      <c r="BO149" s="42">
        <f>'[1]побудинковий звіт'!BO149+'[2]побудинковий звіт'!BO149-'[3]побудинковий звіт'!BO149</f>
        <v>0</v>
      </c>
      <c r="BP149" s="59">
        <f t="shared" si="158"/>
        <v>-390.89290744138987</v>
      </c>
      <c r="BQ149" s="87">
        <f t="shared" si="176"/>
        <v>5273.3263823826392</v>
      </c>
      <c r="BR149" s="43">
        <f t="shared" si="177"/>
        <v>27613.409383947634</v>
      </c>
      <c r="BS149" s="59">
        <f t="shared" si="159"/>
        <v>22340.083001564995</v>
      </c>
      <c r="BT149" s="42">
        <f>'[1]побудинковий звіт'!BT149+'[2]побудинковий звіт'!BT149-'[3]побудинковий звіт'!BT149</f>
        <v>53609.024661430951</v>
      </c>
      <c r="BU149" s="42">
        <f>'[1]побудинковий звіт'!BU149+'[2]побудинковий звіт'!BU149-'[3]побудинковий звіт'!BU149</f>
        <v>44834.364269844024</v>
      </c>
      <c r="BV149" s="56">
        <f t="shared" si="137"/>
        <v>-8774.6603915869273</v>
      </c>
      <c r="BW149" s="42">
        <f>'[1]побудинковий звіт'!BW149+'[2]побудинковий звіт'!BW149-'[3]побудинковий звіт'!BW149</f>
        <v>27203.437311498688</v>
      </c>
      <c r="BX149" s="42">
        <f>'[1]побудинковий звіт'!BX149+'[2]побудинковий звіт'!BX149-'[3]побудинковий звіт'!BX149</f>
        <v>24932.111601289122</v>
      </c>
      <c r="BY149" s="56">
        <f t="shared" si="138"/>
        <v>-2271.3257102095668</v>
      </c>
      <c r="BZ149" s="42">
        <f>'[1]побудинковий звіт'!BZ149+'[2]побудинковий звіт'!BZ149-'[3]побудинковий звіт'!BZ149</f>
        <v>8543.4091755754107</v>
      </c>
      <c r="CA149" s="42">
        <f>'[1]побудинковий звіт'!CA149+'[2]побудинковий звіт'!CA149-'[3]побудинковий звіт'!CA149</f>
        <v>11129.795584381474</v>
      </c>
      <c r="CB149" s="56">
        <f t="shared" si="139"/>
        <v>2586.3864088060636</v>
      </c>
      <c r="CC149" s="42">
        <f>'[1]побудинковий звіт'!CC149+'[2]побудинковий звіт'!CC149-'[3]побудинковий звіт'!CC149</f>
        <v>941.2241231959473</v>
      </c>
      <c r="CD149" s="42">
        <f>'[1]побудинковий звіт'!CD149+'[2]побудинковий звіт'!CD149-'[3]побудинковий звіт'!CD149</f>
        <v>932.94579092909726</v>
      </c>
      <c r="CE149" s="56">
        <f t="shared" si="140"/>
        <v>-8.2783322668500432</v>
      </c>
      <c r="CF149" s="42">
        <f>'[1]побудинковий звіт'!CF149+'[2]побудинковий звіт'!CF149-'[3]побудинковий звіт'!CF149</f>
        <v>115.87039395404656</v>
      </c>
      <c r="CG149" s="42">
        <f>'[1]побудинковий звіт'!CG149+'[2]побудинковий звіт'!CG149-'[3]побудинковий звіт'!CG149</f>
        <v>0</v>
      </c>
      <c r="CH149" s="56">
        <f t="shared" si="141"/>
        <v>-115.87039395404656</v>
      </c>
      <c r="CI149" s="42">
        <f>'[1]побудинковий звіт'!CI149+'[2]побудинковий звіт'!CI149-'[3]побудинковий звіт'!CI149</f>
        <v>8385.4512793820759</v>
      </c>
      <c r="CJ149" s="42">
        <f>'[1]побудинковий звіт'!CJ149+'[2]побудинковий звіт'!CJ149-'[3]побудинковий звіт'!CJ149</f>
        <v>3166.5230259053833</v>
      </c>
      <c r="CK149" s="56">
        <f t="shared" si="142"/>
        <v>-5218.9282534766926</v>
      </c>
      <c r="CL149" s="42">
        <f>'[1]побудинковий звіт'!CL149+'[2]побудинковий звіт'!CL149-'[3]побудинковий звіт'!CL149</f>
        <v>9134.1522864697617</v>
      </c>
      <c r="CM149" s="42">
        <f>'[1]побудинковий звіт'!CM149+'[2]побудинковий звіт'!CM149-'[3]побудинковий звіт'!CM149</f>
        <v>9584.9736607231516</v>
      </c>
      <c r="CN149" s="56">
        <f t="shared" si="143"/>
        <v>450.82137425338988</v>
      </c>
      <c r="CO149" s="42">
        <f t="shared" si="123"/>
        <v>17519.603565851838</v>
      </c>
      <c r="CP149" s="43">
        <f t="shared" si="144"/>
        <v>12751.496686628536</v>
      </c>
      <c r="CQ149" s="56">
        <f t="shared" si="145"/>
        <v>-4768.1068792233018</v>
      </c>
      <c r="CR149" s="78">
        <f t="shared" si="124"/>
        <v>267337.13303325296</v>
      </c>
      <c r="CS149" s="5">
        <f t="shared" si="124"/>
        <v>300763.0239743744</v>
      </c>
      <c r="CT149" s="56">
        <f t="shared" si="146"/>
        <v>33425.890941121441</v>
      </c>
      <c r="CU149" s="87">
        <f t="shared" si="147"/>
        <v>320804.55963990354</v>
      </c>
      <c r="CV149" s="70">
        <f t="shared" si="148"/>
        <v>360915.62876924925</v>
      </c>
      <c r="CW149" s="37">
        <f t="shared" si="149"/>
        <v>40111.069129345706</v>
      </c>
      <c r="CX149" s="42">
        <f>'[1]побудинковий звіт'!CX149+'[2]побудинковий звіт'!CX149-'[3]побудинковий звіт'!CX149</f>
        <v>4786.4003600964497</v>
      </c>
      <c r="CY149" s="42">
        <f>'[1]побудинковий звіт'!CY149+'[2]побудинковий звіт'!CY149-'[3]побудинковий звіт'!CY149</f>
        <v>-35324.668769249198</v>
      </c>
      <c r="CZ149" s="56">
        <f t="shared" si="150"/>
        <v>-40111.069129345648</v>
      </c>
      <c r="DA149" s="264">
        <f>'[4]побудинковий звіт'!DA149</f>
        <v>-18134.658520217017</v>
      </c>
      <c r="DB149" s="2">
        <v>1</v>
      </c>
      <c r="DC149" s="717">
        <f>'[4]побудинковий звіт'!DC149</f>
        <v>39296.980000000003</v>
      </c>
      <c r="DD149" s="717">
        <f>'[4]побудинковий звіт'!DD149</f>
        <v>0</v>
      </c>
      <c r="DE149" s="717">
        <f>'[4]побудинковий звіт'!DE149</f>
        <v>12164.400000000001</v>
      </c>
      <c r="DF149" s="717">
        <f>'[4]побудинковий звіт'!DF149</f>
        <v>0</v>
      </c>
      <c r="DG149" s="787">
        <v>-7927.8496954188449</v>
      </c>
      <c r="DH149" s="761">
        <f t="shared" si="171"/>
        <v>3907091.5199999996</v>
      </c>
      <c r="DI149" s="784"/>
      <c r="DJ149" s="5"/>
      <c r="DK149" s="317">
        <f>VLOOKUP($A149,ціни!$A$4:$G$401,5)</f>
        <v>5.8725312662303164</v>
      </c>
      <c r="DL149" s="317">
        <f>VLOOKUP($A149,ціни!$A$4:$G$401,6)</f>
        <v>7.3537990358006748</v>
      </c>
      <c r="DM149" s="317">
        <f>VLOOKUP($A149,ціни!$A$4:$G$401,7)</f>
        <v>5.1404164974221018</v>
      </c>
      <c r="DN149" s="30">
        <f t="shared" ref="DN149:DN154" si="178">DK149*G149+(F149-G149)*DL149</f>
        <v>2510.0081655641097</v>
      </c>
      <c r="DO149" s="30">
        <f t="shared" ref="DO149:DO154" si="179">DM149*H149</f>
        <v>0</v>
      </c>
      <c r="DP149" s="316">
        <f t="shared" si="162"/>
        <v>2510.0081655641097</v>
      </c>
      <c r="DQ149" s="104"/>
      <c r="DR149" s="30">
        <f>VLOOKUP(A149,'ДЗ нас '!$A$1:$C$359,2)</f>
        <v>27132.58</v>
      </c>
      <c r="DS149" s="748"/>
      <c r="DT149" s="30">
        <f t="shared" si="163"/>
        <v>27132.58</v>
      </c>
      <c r="DU149" s="257">
        <f>VLOOKUP(A149,'новий кошторис с 01.06'!$A$4:$AI$399,35)*1.2</f>
        <v>27214.920142785151</v>
      </c>
      <c r="DV149" s="30">
        <f t="shared" si="164"/>
        <v>-82.34014278514951</v>
      </c>
      <c r="DW149" s="930">
        <f>'[5]побудинковий звіт'!DW149+'[6]побудинковий звіт'!DW149</f>
        <v>253</v>
      </c>
      <c r="DY149" s="5">
        <f t="shared" si="167"/>
        <v>88490.537255052652</v>
      </c>
      <c r="DZ149" s="5">
        <f t="shared" si="168"/>
        <v>153136.09126073716</v>
      </c>
      <c r="EA149" s="752">
        <f t="shared" si="172"/>
        <v>12164.400000000001</v>
      </c>
      <c r="EC149" s="592">
        <f t="shared" si="169"/>
        <v>821625.45596193476</v>
      </c>
      <c r="EE149" s="758">
        <v>-6151</v>
      </c>
      <c r="EF149" s="738">
        <f t="shared" si="170"/>
        <v>-14078.849695418845</v>
      </c>
      <c r="EH149" s="813">
        <v>-56493.020801555387</v>
      </c>
    </row>
    <row r="150" spans="1:138" x14ac:dyDescent="0.3">
      <c r="A150" s="328">
        <v>150001023</v>
      </c>
      <c r="B150" s="44" t="s">
        <v>601</v>
      </c>
      <c r="C150" s="45" t="s">
        <v>365</v>
      </c>
      <c r="D150" s="45" t="s">
        <v>365</v>
      </c>
      <c r="E150" s="40">
        <f t="shared" si="175"/>
        <v>2612.75</v>
      </c>
      <c r="F150" s="490">
        <v>2612.75</v>
      </c>
      <c r="G150" s="30">
        <v>406.43</v>
      </c>
      <c r="H150" s="30">
        <v>0</v>
      </c>
      <c r="I150" s="42">
        <f>'[1]побудинковий звіт'!I150+'[2]побудинковий звіт'!I150-'[3]побудинковий звіт'!I150</f>
        <v>9915.5168928092371</v>
      </c>
      <c r="J150" s="42">
        <f>'[1]побудинковий звіт'!J150+'[2]побудинковий звіт'!J150-'[3]побудинковий звіт'!J150</f>
        <v>8478.0670983260061</v>
      </c>
      <c r="K150" s="56">
        <f t="shared" si="125"/>
        <v>-1437.449794483231</v>
      </c>
      <c r="L150" s="42">
        <f>'[1]побудинковий звіт'!L150+'[2]побудинковий звіт'!L150-'[3]побудинковий звіт'!L150</f>
        <v>2249.4437278545552</v>
      </c>
      <c r="M150" s="42">
        <f>'[1]побудинковий звіт'!M150+'[2]побудинковий звіт'!M150-'[3]побудинковий звіт'!M150</f>
        <v>2073.9837963576092</v>
      </c>
      <c r="N150" s="56">
        <f t="shared" si="126"/>
        <v>-175.45993149694596</v>
      </c>
      <c r="O150" s="42">
        <f>'[1]побудинковий звіт'!O150+'[2]побудинковий звіт'!O150-'[3]побудинковий звіт'!O150</f>
        <v>4790.16</v>
      </c>
      <c r="P150" s="42">
        <f>'[1]побудинковий звіт'!P150+'[2]побудинковий звіт'!P150-'[3]побудинковий звіт'!P150</f>
        <v>3764.9828875000007</v>
      </c>
      <c r="Q150" s="56">
        <f t="shared" si="127"/>
        <v>-1025.1771124999991</v>
      </c>
      <c r="R150" s="42">
        <f>'[1]побудинковий звіт'!R150+'[2]побудинковий звіт'!R150-'[3]побудинковий звіт'!R150</f>
        <v>1177.56</v>
      </c>
      <c r="S150" s="42">
        <f>'[1]побудинковий звіт'!S150+'[2]побудинковий звіт'!S150-'[3]побудинковий звіт'!S150</f>
        <v>925.83811680107533</v>
      </c>
      <c r="T150" s="56">
        <f t="shared" si="128"/>
        <v>-251.72188319892462</v>
      </c>
      <c r="U150" s="42">
        <f>'[1]побудинковий звіт'!U150+'[2]побудинковий звіт'!U150-'[3]побудинковий звіт'!U150</f>
        <v>726.81233085365818</v>
      </c>
      <c r="V150" s="42">
        <f>'[1]побудинковий звіт'!V150+'[2]побудинковий звіт'!V150-'[3]побудинковий звіт'!V150</f>
        <v>287.51476498376644</v>
      </c>
      <c r="W150" s="56">
        <f t="shared" si="129"/>
        <v>-439.29756586989174</v>
      </c>
      <c r="X150" s="42">
        <f>'[1]побудинковий звіт'!X150+'[2]побудинковий звіт'!X150-'[3]побудинковий звіт'!X150</f>
        <v>7298.1059563086146</v>
      </c>
      <c r="Y150" s="42">
        <f>'[1]побудинковий звіт'!Y150+'[2]побудинковий звіт'!Y150-'[3]побудинковий звіт'!Y150</f>
        <v>4976.4136871909323</v>
      </c>
      <c r="Z150" s="56">
        <f t="shared" si="130"/>
        <v>-2321.6922691176824</v>
      </c>
      <c r="AA150" s="42">
        <f>'[1]побудинковий звіт'!AA150+'[2]побудинковий звіт'!AA150-'[3]побудинковий звіт'!AA150</f>
        <v>0</v>
      </c>
      <c r="AB150" s="42">
        <f>'[1]побудинковий звіт'!AB150+'[2]побудинковий звіт'!AB150-'[3]побудинковий звіт'!AB150</f>
        <v>0</v>
      </c>
      <c r="AC150" s="56">
        <f t="shared" si="131"/>
        <v>0</v>
      </c>
      <c r="AD150" s="42">
        <f>'[1]побудинковий звіт'!AD150+'[2]побудинковий звіт'!AD150-'[3]побудинковий звіт'!AD150</f>
        <v>16110.691842382779</v>
      </c>
      <c r="AE150" s="42">
        <f>'[1]побудинковий звіт'!AE150+'[2]побудинковий звіт'!AE150-'[3]побудинковий звіт'!AE150</f>
        <v>14849.117357788658</v>
      </c>
      <c r="AF150" s="37">
        <f t="shared" si="132"/>
        <v>-1261.5744845941208</v>
      </c>
      <c r="AG150" s="87">
        <f t="shared" si="120"/>
        <v>42268.290750208849</v>
      </c>
      <c r="AH150" s="57">
        <f t="shared" si="120"/>
        <v>35355.917708948051</v>
      </c>
      <c r="AI150" s="56">
        <f t="shared" si="133"/>
        <v>-6912.3730412607983</v>
      </c>
      <c r="AJ150" s="42">
        <f>'[1]побудинковий звіт'!AJ150+'[2]побудинковий звіт'!AJ150-'[3]побудинковий звіт'!AJ150</f>
        <v>29784.395634815395</v>
      </c>
      <c r="AK150" s="42">
        <f>'[1]побудинковий звіт'!AK150+'[2]побудинковий звіт'!AK150-'[3]побудинковий звіт'!AK150</f>
        <v>29522.300933839433</v>
      </c>
      <c r="AL150" s="56">
        <f t="shared" si="134"/>
        <v>-262.09470097596204</v>
      </c>
      <c r="AM150" s="42">
        <f>'[1]побудинковий звіт'!AM150+'[2]побудинковий звіт'!AM150-'[3]побудинковий звіт'!AM150</f>
        <v>0</v>
      </c>
      <c r="AN150" s="42">
        <f>'[1]побудинковий звіт'!AN150+'[2]побудинковий звіт'!AN150-'[3]побудинковий звіт'!AN150</f>
        <v>0</v>
      </c>
      <c r="AO150" s="56">
        <f t="shared" si="135"/>
        <v>0</v>
      </c>
      <c r="AP150" s="42">
        <f>'[1]побудинковий звіт'!AP150+'[2]побудинковий звіт'!AP150-'[3]побудинковий звіт'!AP150</f>
        <v>3409.2635144171381</v>
      </c>
      <c r="AQ150" s="42">
        <f>'[1]побудинковий звіт'!AQ150+'[2]побудинковий звіт'!AQ150-'[3]побудинковий звіт'!AQ150</f>
        <v>3251.279177085527</v>
      </c>
      <c r="AR150" s="56">
        <f t="shared" si="136"/>
        <v>-157.98433733161119</v>
      </c>
      <c r="AS150" s="42">
        <f>'[1]побудинковий звіт'!AS150+'[2]побудинковий звіт'!AS150-'[3]побудинковий звіт'!AS150</f>
        <v>62171.906358242872</v>
      </c>
      <c r="AT150" s="42">
        <f>'[1]побудинковий звіт'!AT150+'[2]побудинковий звіт'!AT150-'[3]побудинковий звіт'!AT150</f>
        <v>4649.0321143342762</v>
      </c>
      <c r="AU150" s="58">
        <f t="shared" si="151"/>
        <v>-57522.874243908598</v>
      </c>
      <c r="AV150" s="42">
        <f>'[1]побудинковий звіт'!AV150+'[2]побудинковий звіт'!AV150-'[3]побудинковий звіт'!AV150</f>
        <v>827.9733583788003</v>
      </c>
      <c r="AW150" s="42">
        <f>'[1]побудинковий звіт'!AW150+'[2]побудинковий звіт'!AW150-'[3]побудинковий звіт'!AW150</f>
        <v>351</v>
      </c>
      <c r="AX150" s="59">
        <f t="shared" si="152"/>
        <v>-476.9733583788003</v>
      </c>
      <c r="AY150" s="42">
        <f>'[1]побудинковий звіт'!AY150+'[2]побудинковий звіт'!AY150-'[3]побудинковий звіт'!AY150</f>
        <v>1325.1039907172446</v>
      </c>
      <c r="AZ150" s="42">
        <f>'[1]побудинковий звіт'!AZ150+'[2]побудинковий звіт'!AZ150-'[3]побудинковий звіт'!AZ150</f>
        <v>1974</v>
      </c>
      <c r="BA150" s="37">
        <f t="shared" si="153"/>
        <v>648.89600928275536</v>
      </c>
      <c r="BB150" s="42">
        <f>'[1]побудинковий звіт'!BB150+'[2]побудинковий звіт'!BB150-'[3]побудинковий звіт'!BB150</f>
        <v>1903.4152532119219</v>
      </c>
      <c r="BC150" s="42">
        <f>'[1]побудинковий звіт'!BC150+'[2]побудинковий звіт'!BC150-'[3]побудинковий звіт'!BC150</f>
        <v>0</v>
      </c>
      <c r="BD150" s="59">
        <f t="shared" si="154"/>
        <v>-1903.4152532119219</v>
      </c>
      <c r="BE150" s="42">
        <f>'[1]побудинковий звіт'!BE150+'[2]побудинковий звіт'!BE150-'[3]побудинковий звіт'!BE150</f>
        <v>659.51097617257381</v>
      </c>
      <c r="BF150" s="42">
        <f>'[1]побудинковий звіт'!BF150+'[2]побудинковий звіт'!BF150-'[3]побудинковий звіт'!BF150</f>
        <v>0</v>
      </c>
      <c r="BG150" s="39">
        <f t="shared" si="155"/>
        <v>-659.51097617257381</v>
      </c>
      <c r="BH150" s="42">
        <f>'[1]побудинковий звіт'!BH150+'[2]побудинковий звіт'!BH150-'[3]побудинковий звіт'!BH150</f>
        <v>368.75010735482255</v>
      </c>
      <c r="BI150" s="42">
        <f>'[1]побудинковий звіт'!BI150+'[2]побудинковий звіт'!BI150-'[3]побудинковий звіт'!BI150</f>
        <v>0</v>
      </c>
      <c r="BJ150" s="59">
        <f t="shared" si="156"/>
        <v>-368.75010735482255</v>
      </c>
      <c r="BK150" s="42">
        <f>'[1]побудинковий звіт'!BK150+'[2]побудинковий звіт'!BK150-'[3]побудинковий звіт'!BK150</f>
        <v>803.28287652192216</v>
      </c>
      <c r="BL150" s="42">
        <f>'[1]побудинковий звіт'!BL150+'[2]побудинковий звіт'!BL150-'[3]побудинковий звіт'!BL150</f>
        <v>492</v>
      </c>
      <c r="BM150" s="39">
        <f t="shared" si="157"/>
        <v>-311.28287652192216</v>
      </c>
      <c r="BN150" s="42">
        <f>'[1]побудинковий звіт'!BN150+'[2]побудинковий звіт'!BN150-'[3]побудинковий звіт'!BN150</f>
        <v>378.89127046282334</v>
      </c>
      <c r="BO150" s="42">
        <f>'[1]побудинковий звіт'!BO150+'[2]побудинковий звіт'!BO150-'[3]побудинковий звіт'!BO150</f>
        <v>0</v>
      </c>
      <c r="BP150" s="59">
        <f t="shared" si="158"/>
        <v>-378.89127046282334</v>
      </c>
      <c r="BQ150" s="87">
        <f t="shared" si="176"/>
        <v>6266.927832820109</v>
      </c>
      <c r="BR150" s="43">
        <f t="shared" si="177"/>
        <v>2817</v>
      </c>
      <c r="BS150" s="59">
        <f t="shared" si="159"/>
        <v>-3449.927832820109</v>
      </c>
      <c r="BT150" s="42">
        <f>'[1]побудинковий звіт'!BT150+'[2]побудинковий звіт'!BT150-'[3]побудинковий звіт'!BT150</f>
        <v>48593.051362833678</v>
      </c>
      <c r="BU150" s="42">
        <f>'[1]побудинковий звіт'!BU150+'[2]побудинковий звіт'!BU150-'[3]побудинковий звіт'!BU150</f>
        <v>54812.374452264259</v>
      </c>
      <c r="BV150" s="56">
        <f t="shared" si="137"/>
        <v>6219.3230894305816</v>
      </c>
      <c r="BW150" s="42">
        <f>'[1]побудинковий звіт'!BW150+'[2]побудинковий звіт'!BW150-'[3]побудинковий звіт'!BW150</f>
        <v>37282.24348519848</v>
      </c>
      <c r="BX150" s="42">
        <f>'[1]побудинковий звіт'!BX150+'[2]побудинковий звіт'!BX150-'[3]побудинковий звіт'!BX150</f>
        <v>40010.280651755267</v>
      </c>
      <c r="BY150" s="56">
        <f t="shared" si="138"/>
        <v>2728.0371665567873</v>
      </c>
      <c r="BZ150" s="42">
        <f>'[1]побудинковий звіт'!BZ150+'[2]побудинковий звіт'!BZ150-'[3]побудинковий звіт'!BZ150</f>
        <v>7530.6646228476257</v>
      </c>
      <c r="CA150" s="42">
        <f>'[1]побудинковий звіт'!CA150+'[2]побудинковий звіт'!CA150-'[3]побудинковий звіт'!CA150</f>
        <v>12149.579355517686</v>
      </c>
      <c r="CB150" s="56">
        <f t="shared" si="139"/>
        <v>4618.9147326700604</v>
      </c>
      <c r="CC150" s="42">
        <f>'[1]побудинковий звіт'!CC150+'[2]побудинковий звіт'!CC150-'[3]побудинковий звіт'!CC150</f>
        <v>941.2241231959473</v>
      </c>
      <c r="CD150" s="42">
        <f>'[1]побудинковий звіт'!CD150+'[2]побудинковий звіт'!CD150-'[3]побудинковий звіт'!CD150</f>
        <v>932.94579092909726</v>
      </c>
      <c r="CE150" s="56">
        <f t="shared" si="140"/>
        <v>-8.2783322668500432</v>
      </c>
      <c r="CF150" s="42">
        <f>'[1]побудинковий звіт'!CF150+'[2]побудинковий звіт'!CF150-'[3]побудинковий звіт'!CF150</f>
        <v>115.87039395404656</v>
      </c>
      <c r="CG150" s="42">
        <f>'[1]побудинковий звіт'!CG150+'[2]побудинковий звіт'!CG150-'[3]побудинковий звіт'!CG150</f>
        <v>0</v>
      </c>
      <c r="CH150" s="56">
        <f t="shared" si="141"/>
        <v>-115.87039395404656</v>
      </c>
      <c r="CI150" s="42">
        <f>'[1]побудинковий звіт'!CI150+'[2]побудинковий звіт'!CI150-'[3]побудинковий звіт'!CI150</f>
        <v>7243.6822435733548</v>
      </c>
      <c r="CJ150" s="42">
        <f>'[1]побудинковий звіт'!CJ150+'[2]побудинковий звіт'!CJ150-'[3]побудинковий звіт'!CJ150</f>
        <v>1731.3760441574134</v>
      </c>
      <c r="CK150" s="56">
        <f t="shared" si="142"/>
        <v>-5512.3061994159416</v>
      </c>
      <c r="CL150" s="42">
        <f>'[1]побудинковий звіт'!CL150+'[2]побудинковий звіт'!CL150-'[3]побудинковий звіт'!CL150</f>
        <v>8946.9770346978403</v>
      </c>
      <c r="CM150" s="42">
        <f>'[1]побудинковий звіт'!CM150+'[2]побудинковий звіт'!CM150-'[3]побудинковий звіт'!CM150</f>
        <v>9486.3394280654338</v>
      </c>
      <c r="CN150" s="56">
        <f t="shared" si="143"/>
        <v>539.36239336759354</v>
      </c>
      <c r="CO150" s="42">
        <f t="shared" si="123"/>
        <v>16190.659278271196</v>
      </c>
      <c r="CP150" s="43">
        <f t="shared" si="144"/>
        <v>11217.715472222848</v>
      </c>
      <c r="CQ150" s="56">
        <f t="shared" si="145"/>
        <v>-4972.9438060483481</v>
      </c>
      <c r="CR150" s="78">
        <f t="shared" si="124"/>
        <v>254554.49735680534</v>
      </c>
      <c r="CS150" s="5">
        <f t="shared" si="124"/>
        <v>194718.42565689649</v>
      </c>
      <c r="CT150" s="56">
        <f t="shared" si="146"/>
        <v>-59836.071699908847</v>
      </c>
      <c r="CU150" s="87">
        <f t="shared" si="147"/>
        <v>305465.39682816638</v>
      </c>
      <c r="CV150" s="70">
        <f t="shared" si="148"/>
        <v>233662.11078827578</v>
      </c>
      <c r="CW150" s="37">
        <f t="shared" si="149"/>
        <v>-71803.286039890605</v>
      </c>
      <c r="CX150" s="42">
        <f>'[1]побудинковий звіт'!CX150+'[2]побудинковий звіт'!CX150-'[3]побудинковий звіт'!CX150</f>
        <v>4678.4731718335934</v>
      </c>
      <c r="CY150" s="42">
        <f>'[1]побудинковий звіт'!CY150+'[2]побудинковий звіт'!CY150-'[3]побудинковий звіт'!CY150</f>
        <v>76481.759211724275</v>
      </c>
      <c r="CZ150" s="56">
        <f t="shared" si="150"/>
        <v>71803.286039890678</v>
      </c>
      <c r="DA150" s="264">
        <f>'[4]побудинковий звіт'!DA150</f>
        <v>-12835.461290896361</v>
      </c>
      <c r="DB150" s="2">
        <v>1</v>
      </c>
      <c r="DC150" s="717">
        <f>'[4]побудинковий звіт'!DC150</f>
        <v>83523.34</v>
      </c>
      <c r="DD150" s="717">
        <f>'[4]побудинковий звіт'!DD150</f>
        <v>0</v>
      </c>
      <c r="DE150" s="717">
        <f>'[4]побудинковий звіт'!DE150</f>
        <v>57675.399999999994</v>
      </c>
      <c r="DF150" s="717">
        <f>'[4]побудинковий звіт'!DF150</f>
        <v>0</v>
      </c>
      <c r="DG150" s="787">
        <v>43268.994573111413</v>
      </c>
      <c r="DH150" s="761">
        <f t="shared" si="171"/>
        <v>3721726.44</v>
      </c>
      <c r="DI150" s="784"/>
      <c r="DJ150" s="5"/>
      <c r="DK150" s="317">
        <f>VLOOKUP($A150,ціни!$A$4:$G$401,5)</f>
        <v>5.8139382288998096</v>
      </c>
      <c r="DL150" s="317">
        <f>VLOOKUP($A150,ціни!$A$4:$G$401,6)</f>
        <v>6.9834541852383785</v>
      </c>
      <c r="DM150" s="317">
        <f>VLOOKUP($A150,ціни!$A$4:$G$401,7)</f>
        <v>4.8096127611270356</v>
      </c>
      <c r="DN150" s="30">
        <f t="shared" si="178"/>
        <v>17770.693552346889</v>
      </c>
      <c r="DO150" s="30">
        <f t="shared" si="179"/>
        <v>0</v>
      </c>
      <c r="DP150" s="316">
        <f t="shared" si="162"/>
        <v>17770.693552346889</v>
      </c>
      <c r="DQ150" s="104"/>
      <c r="DR150" s="30">
        <f>VLOOKUP(A150,'ДЗ нас '!$A$1:$C$359,2)</f>
        <v>25847.94</v>
      </c>
      <c r="DS150" s="748"/>
      <c r="DT150" s="30">
        <f t="shared" si="163"/>
        <v>25847.94</v>
      </c>
      <c r="DU150" s="257">
        <f>VLOOKUP(A150,'новий кошторис с 01.06'!$A$4:$AI$399,35)*1.2</f>
        <v>25913.647830922782</v>
      </c>
      <c r="DV150" s="30">
        <f t="shared" si="164"/>
        <v>-65.707830922783614</v>
      </c>
      <c r="DW150" s="930">
        <f>'[5]побудинковий звіт'!DW150+'[6]побудинковий звіт'!DW150</f>
        <v>236</v>
      </c>
      <c r="DY150" s="5">
        <f t="shared" si="167"/>
        <v>82126.601029275582</v>
      </c>
      <c r="DZ150" s="5">
        <f t="shared" si="168"/>
        <v>8959.2385372011304</v>
      </c>
      <c r="EA150" s="752">
        <f t="shared" si="172"/>
        <v>57675.399999999994</v>
      </c>
      <c r="EC150" s="592">
        <f t="shared" si="169"/>
        <v>746062.87629891443</v>
      </c>
      <c r="EE150" s="758">
        <v>1344</v>
      </c>
      <c r="EF150" s="738">
        <f t="shared" si="170"/>
        <v>44612.994573111413</v>
      </c>
      <c r="EH150" s="813">
        <v>49528.660379795459</v>
      </c>
    </row>
    <row r="151" spans="1:138" x14ac:dyDescent="0.3">
      <c r="A151" s="328">
        <v>150001024</v>
      </c>
      <c r="B151" s="44" t="s">
        <v>602</v>
      </c>
      <c r="C151" s="45" t="s">
        <v>366</v>
      </c>
      <c r="D151" s="45" t="s">
        <v>366</v>
      </c>
      <c r="E151" s="40">
        <f t="shared" si="175"/>
        <v>829.3</v>
      </c>
      <c r="F151" s="490">
        <v>339.3</v>
      </c>
      <c r="G151" s="30">
        <v>344.66</v>
      </c>
      <c r="H151" s="30">
        <v>490</v>
      </c>
      <c r="I151" s="42">
        <f>'[1]побудинковий звіт'!I151+'[2]побудинковий звіт'!I151-'[3]побудинковий звіт'!I151</f>
        <v>15677.035234992905</v>
      </c>
      <c r="J151" s="42">
        <f>'[1]побудинковий звіт'!J151+'[2]побудинковий звіт'!J151-'[3]побудинковий звіт'!J151</f>
        <v>13252.851098358415</v>
      </c>
      <c r="K151" s="56">
        <f t="shared" si="125"/>
        <v>-2424.1841366344906</v>
      </c>
      <c r="L151" s="42">
        <f>'[1]побудинковий звіт'!L151+'[2]побудинковий звіт'!L151-'[3]побудинковий звіт'!L151</f>
        <v>2445.3154780972104</v>
      </c>
      <c r="M151" s="42">
        <f>'[1]побудинковий звіт'!M151+'[2]побудинковий звіт'!M151-'[3]побудинковий звіт'!M151</f>
        <v>2319.6005919040476</v>
      </c>
      <c r="N151" s="56">
        <f t="shared" si="126"/>
        <v>-125.71488619316278</v>
      </c>
      <c r="O151" s="42">
        <f>'[1]побудинковий звіт'!O151+'[2]побудинковий звіт'!O151-'[3]побудинковий звіт'!O151</f>
        <v>6062.8799999999992</v>
      </c>
      <c r="P151" s="42">
        <f>'[1]побудинковий звіт'!P151+'[2]побудинковий звіт'!P151-'[3]побудинковий звіт'!P151</f>
        <v>4765.7691389784959</v>
      </c>
      <c r="Q151" s="56">
        <f t="shared" si="127"/>
        <v>-1297.1108610215033</v>
      </c>
      <c r="R151" s="42">
        <f>'[1]побудинковий звіт'!R151+'[2]побудинковий звіт'!R151-'[3]побудинковий звіт'!R151</f>
        <v>1400.64</v>
      </c>
      <c r="S151" s="42">
        <f>'[1]побудинковий звіт'!S151+'[2]побудинковий звіт'!S151-'[3]побудинковий звіт'!S151</f>
        <v>1100.7311327956991</v>
      </c>
      <c r="T151" s="56">
        <f t="shared" si="128"/>
        <v>-299.90886720430103</v>
      </c>
      <c r="U151" s="42">
        <f>'[1]побудинковий звіт'!U151+'[2]побудинковий звіт'!U151-'[3]побудинковий звіт'!U151</f>
        <v>780.05784393801946</v>
      </c>
      <c r="V151" s="42">
        <f>'[1]побудинковий звіт'!V151+'[2]побудинковий звіт'!V151-'[3]побудинковий звіт'!V151</f>
        <v>329.09366711558425</v>
      </c>
      <c r="W151" s="56">
        <f t="shared" si="129"/>
        <v>-450.96417682243521</v>
      </c>
      <c r="X151" s="42">
        <f>'[1]побудинковий звіт'!X151+'[2]побудинковий звіт'!X151-'[3]побудинковий звіт'!X151</f>
        <v>6765.6699599457952</v>
      </c>
      <c r="Y151" s="42">
        <f>'[1]побудинковий звіт'!Y151+'[2]побудинковий звіт'!Y151-'[3]побудинковий звіт'!Y151</f>
        <v>5338.5585764222951</v>
      </c>
      <c r="Z151" s="56">
        <f t="shared" si="130"/>
        <v>-1427.1113835235001</v>
      </c>
      <c r="AA151" s="42">
        <f>'[1]побудинковий звіт'!AA151+'[2]побудинковий звіт'!AA151-'[3]побудинковий звіт'!AA151</f>
        <v>0</v>
      </c>
      <c r="AB151" s="42">
        <f>'[1]побудинковий звіт'!AB151+'[2]побудинковий звіт'!AB151-'[3]побудинковий звіт'!AB151</f>
        <v>0</v>
      </c>
      <c r="AC151" s="56">
        <f t="shared" si="131"/>
        <v>0</v>
      </c>
      <c r="AD151" s="42">
        <f>'[1]побудинковий звіт'!AD151+'[2]побудинковий звіт'!AD151-'[3]побудинковий звіт'!AD151</f>
        <v>18357.513038135505</v>
      </c>
      <c r="AE151" s="42">
        <f>'[1]побудинковий звіт'!AE151+'[2]побудинковий звіт'!AE151-'[3]побудинковий звіт'!AE151</f>
        <v>18590.931364576114</v>
      </c>
      <c r="AF151" s="37">
        <f t="shared" si="132"/>
        <v>233.41832644060923</v>
      </c>
      <c r="AG151" s="87">
        <f t="shared" si="120"/>
        <v>51489.111555109434</v>
      </c>
      <c r="AH151" s="57">
        <f t="shared" si="120"/>
        <v>45697.535570150649</v>
      </c>
      <c r="AI151" s="56">
        <f t="shared" si="133"/>
        <v>-5791.5759849587848</v>
      </c>
      <c r="AJ151" s="42">
        <f>'[1]побудинковий звіт'!AJ151+'[2]побудинковий звіт'!AJ151-'[3]побудинковий звіт'!AJ151</f>
        <v>41478.570579091407</v>
      </c>
      <c r="AK151" s="42">
        <f>'[1]побудинковий звіт'!AK151+'[2]побудинковий звіт'!AK151-'[3]побудинковий звіт'!AK151</f>
        <v>41113.63254562908</v>
      </c>
      <c r="AL151" s="56">
        <f t="shared" si="134"/>
        <v>-364.93803346232744</v>
      </c>
      <c r="AM151" s="42">
        <f>'[1]побудинковий звіт'!AM151+'[2]побудинковий звіт'!AM151-'[3]побудинковий звіт'!AM151</f>
        <v>0</v>
      </c>
      <c r="AN151" s="42">
        <f>'[1]побудинковий звіт'!AN151+'[2]побудинковий звіт'!AN151-'[3]побудинковий звіт'!AN151</f>
        <v>0</v>
      </c>
      <c r="AO151" s="56">
        <f t="shared" si="135"/>
        <v>0</v>
      </c>
      <c r="AP151" s="42">
        <f>'[1]побудинковий звіт'!AP151+'[2]побудинковий звіт'!AP151-'[3]побудинковий звіт'!AP151</f>
        <v>3314.5617501277748</v>
      </c>
      <c r="AQ151" s="42">
        <f>'[1]побудинковий звіт'!AQ151+'[2]побудинковий звіт'!AQ151-'[3]побудинковий звіт'!AQ151</f>
        <v>3234.0893648492988</v>
      </c>
      <c r="AR151" s="56">
        <f t="shared" si="136"/>
        <v>-80.47238527847594</v>
      </c>
      <c r="AS151" s="42">
        <f>'[1]побудинковий звіт'!AS151+'[2]побудинковий звіт'!AS151-'[3]побудинковий звіт'!AS151</f>
        <v>66276.03729887669</v>
      </c>
      <c r="AT151" s="42">
        <f>'[1]побудинковий звіт'!AT151+'[2]побудинковий звіт'!AT151-'[3]побудинковий звіт'!AT151</f>
        <v>111420.00000000001</v>
      </c>
      <c r="AU151" s="58">
        <f t="shared" si="151"/>
        <v>45143.962701123324</v>
      </c>
      <c r="AV151" s="42">
        <f>'[1]побудинковий звіт'!AV151+'[2]побудинковий звіт'!AV151-'[3]побудинковий звіт'!AV151</f>
        <v>1240.6791587241366</v>
      </c>
      <c r="AW151" s="42">
        <f>'[1]побудинковий звіт'!AW151+'[2]побудинковий звіт'!AW151-'[3]побудинковий звіт'!AW151</f>
        <v>985</v>
      </c>
      <c r="AX151" s="59">
        <f t="shared" si="152"/>
        <v>-255.67915872413664</v>
      </c>
      <c r="AY151" s="42">
        <f>'[1]побудинковий звіт'!AY151+'[2]побудинковий звіт'!AY151-'[3]побудинковий звіт'!AY151</f>
        <v>1498.3557380609514</v>
      </c>
      <c r="AZ151" s="42">
        <f>'[1]побудинковий звіт'!AZ151+'[2]побудинковий звіт'!AZ151-'[3]побудинковий звіт'!AZ151</f>
        <v>0</v>
      </c>
      <c r="BA151" s="37">
        <f t="shared" si="153"/>
        <v>-1498.3557380609514</v>
      </c>
      <c r="BB151" s="42">
        <f>'[1]побудинковий звіт'!BB151+'[2]побудинковий звіт'!BB151-'[3]побудинковий звіт'!BB151</f>
        <v>1569.9120280542759</v>
      </c>
      <c r="BC151" s="42">
        <f>'[1]побудинковий звіт'!BC151+'[2]побудинковий звіт'!BC151-'[3]побудинковий звіт'!BC151</f>
        <v>0</v>
      </c>
      <c r="BD151" s="59">
        <f t="shared" si="154"/>
        <v>-1569.9120280542759</v>
      </c>
      <c r="BE151" s="42">
        <f>'[1]побудинковий звіт'!BE151+'[2]побудинковий звіт'!BE151-'[3]побудинковий звіт'!BE151</f>
        <v>817.10735496454504</v>
      </c>
      <c r="BF151" s="42">
        <f>'[1]побудинковий звіт'!BF151+'[2]побудинковий звіт'!BF151-'[3]побудинковий звіт'!BF151</f>
        <v>0</v>
      </c>
      <c r="BG151" s="39">
        <f t="shared" si="155"/>
        <v>-817.10735496454504</v>
      </c>
      <c r="BH151" s="42">
        <f>'[1]побудинковий звіт'!BH151+'[2]побудинковий звіт'!BH151-'[3]побудинковий звіт'!BH151</f>
        <v>395.76741189229665</v>
      </c>
      <c r="BI151" s="42">
        <f>'[1]побудинковий звіт'!BI151+'[2]побудинковий звіт'!BI151-'[3]побудинковий звіт'!BI151</f>
        <v>3860</v>
      </c>
      <c r="BJ151" s="59">
        <f t="shared" si="156"/>
        <v>3464.2325881077031</v>
      </c>
      <c r="BK151" s="42">
        <f>'[1]побудинковий звіт'!BK151+'[2]побудинковий звіт'!BK151-'[3]побудинковий звіт'!BK151</f>
        <v>763.74009071507896</v>
      </c>
      <c r="BL151" s="42">
        <f>'[1]побудинковий звіт'!BL151+'[2]побудинковий звіт'!BL151-'[3]побудинковий звіт'!BL151</f>
        <v>6771</v>
      </c>
      <c r="BM151" s="39">
        <f t="shared" si="157"/>
        <v>6007.2599092849214</v>
      </c>
      <c r="BN151" s="42">
        <f>'[1]побудинковий звіт'!BN151+'[2]побудинковий звіт'!BN151-'[3]побудинковий звіт'!BN151</f>
        <v>382.89181612234574</v>
      </c>
      <c r="BO151" s="42">
        <f>'[1]побудинковий звіт'!BO151+'[2]побудинковий звіт'!BO151-'[3]побудинковий звіт'!BO151</f>
        <v>0</v>
      </c>
      <c r="BP151" s="59">
        <f t="shared" si="158"/>
        <v>-382.89181612234574</v>
      </c>
      <c r="BQ151" s="87">
        <f t="shared" si="176"/>
        <v>6668.4535985336297</v>
      </c>
      <c r="BR151" s="43">
        <f t="shared" si="177"/>
        <v>11616</v>
      </c>
      <c r="BS151" s="59">
        <f t="shared" si="159"/>
        <v>4947.5464014663703</v>
      </c>
      <c r="BT151" s="42">
        <f>'[1]побудинковий звіт'!BT151+'[2]побудинковий звіт'!BT151-'[3]побудинковий звіт'!BT151</f>
        <v>60047.428742577176</v>
      </c>
      <c r="BU151" s="42">
        <f>'[1]побудинковий звіт'!BU151+'[2]побудинковий звіт'!BU151-'[3]побудинковий звіт'!BU151</f>
        <v>65583.564510631986</v>
      </c>
      <c r="BV151" s="56">
        <f t="shared" si="137"/>
        <v>5536.1357680548099</v>
      </c>
      <c r="BW151" s="42">
        <f>'[1]побудинковий звіт'!BW151+'[2]побудинковий звіт'!BW151-'[3]побудинковий звіт'!BW151</f>
        <v>41533.404367949697</v>
      </c>
      <c r="BX151" s="42">
        <f>'[1]побудинковий звіт'!BX151+'[2]побудинковий звіт'!BX151-'[3]побудинковий звіт'!BX151</f>
        <v>44621.079835805445</v>
      </c>
      <c r="BY151" s="56">
        <f t="shared" si="138"/>
        <v>3087.6754678557481</v>
      </c>
      <c r="BZ151" s="42">
        <f>'[1]побудинковий звіт'!BZ151+'[2]побудинковий звіт'!BZ151-'[3]побудинковий звіт'!BZ151</f>
        <v>10387.123617720867</v>
      </c>
      <c r="CA151" s="42">
        <f>'[1]побудинковий звіт'!CA151+'[2]побудинковий звіт'!CA151-'[3]побудинковий звіт'!CA151</f>
        <v>15067.154708646831</v>
      </c>
      <c r="CB151" s="56">
        <f t="shared" si="139"/>
        <v>4680.0310909259642</v>
      </c>
      <c r="CC151" s="42">
        <f>'[1]побудинковий звіт'!CC151+'[2]побудинковий звіт'!CC151-'[3]побудинковий звіт'!CC151</f>
        <v>705.91809239696045</v>
      </c>
      <c r="CD151" s="42">
        <f>'[1]побудинковий звіт'!CD151+'[2]побудинковий звіт'!CD151-'[3]побудинковий звіт'!CD151</f>
        <v>699.70934319682283</v>
      </c>
      <c r="CE151" s="56">
        <f t="shared" si="140"/>
        <v>-6.2087492001376177</v>
      </c>
      <c r="CF151" s="42">
        <f>'[1]побудинковий звіт'!CF151+'[2]побудинковий звіт'!CF151-'[3]побудинковий звіт'!CF151</f>
        <v>86.902795465534894</v>
      </c>
      <c r="CG151" s="42">
        <f>'[1]побудинковий звіт'!CG151+'[2]побудинковий звіт'!CG151-'[3]побудинковий звіт'!CG151</f>
        <v>0</v>
      </c>
      <c r="CH151" s="56">
        <f t="shared" si="141"/>
        <v>-86.902795465534894</v>
      </c>
      <c r="CI151" s="42">
        <f>'[1]побудинковий звіт'!CI151+'[2]побудинковий звіт'!CI151-'[3]побудинковий звіт'!CI151</f>
        <v>14375.059336083559</v>
      </c>
      <c r="CJ151" s="42">
        <f>'[1]побудинковий звіт'!CJ151+'[2]побудинковий звіт'!CJ151-'[3]побудинковий звіт'!CJ151</f>
        <v>5292.115754234519</v>
      </c>
      <c r="CK151" s="56">
        <f t="shared" si="142"/>
        <v>-9082.9435818490401</v>
      </c>
      <c r="CL151" s="42">
        <f>'[1]побудинковий звіт'!CL151+'[2]побудинковий звіт'!CL151-'[3]побудинковий звіт'!CL151</f>
        <v>10294.638847455673</v>
      </c>
      <c r="CM151" s="42">
        <f>'[1]побудинковий звіт'!CM151+'[2]побудинковий звіт'!CM151-'[3]побудинковий звіт'!CM151</f>
        <v>9893.3025042924601</v>
      </c>
      <c r="CN151" s="56">
        <f t="shared" si="143"/>
        <v>-401.33634316321331</v>
      </c>
      <c r="CO151" s="42">
        <f t="shared" si="123"/>
        <v>24669.698183539233</v>
      </c>
      <c r="CP151" s="43">
        <f t="shared" si="144"/>
        <v>15185.418258526979</v>
      </c>
      <c r="CQ151" s="56">
        <f t="shared" si="145"/>
        <v>-9484.2799250122534</v>
      </c>
      <c r="CR151" s="78">
        <f t="shared" si="124"/>
        <v>306657.21058138844</v>
      </c>
      <c r="CS151" s="5">
        <f t="shared" si="124"/>
        <v>354238.18413743709</v>
      </c>
      <c r="CT151" s="56">
        <f t="shared" si="146"/>
        <v>47580.973556048644</v>
      </c>
      <c r="CU151" s="87">
        <f t="shared" si="147"/>
        <v>367988.65269766614</v>
      </c>
      <c r="CV151" s="70">
        <f t="shared" si="148"/>
        <v>425085.82096492447</v>
      </c>
      <c r="CW151" s="37">
        <f t="shared" si="149"/>
        <v>57097.168267258327</v>
      </c>
      <c r="CX151" s="42">
        <f>'[1]побудинковий звіт'!CX151+'[2]побудинковий звіт'!CX151-'[3]побудинковий звіт'!CX151</f>
        <v>29572.427302333934</v>
      </c>
      <c r="CY151" s="42">
        <f>'[1]побудинковий звіт'!CY151+'[2]побудинковий звіт'!CY151-'[3]побудинковий звіт'!CY151</f>
        <v>-27524.740964924549</v>
      </c>
      <c r="CZ151" s="56">
        <f t="shared" si="150"/>
        <v>-57097.168267258487</v>
      </c>
      <c r="DA151" s="264">
        <f>'[4]побудинковий звіт'!DA151</f>
        <v>39150.951072866381</v>
      </c>
      <c r="DB151" s="2">
        <v>1</v>
      </c>
      <c r="DC151" s="717">
        <f>'[4]побудинковий звіт'!DC151</f>
        <v>50997.72</v>
      </c>
      <c r="DD151" s="717">
        <f>'[4]побудинковий звіт'!DD151</f>
        <v>14673.34</v>
      </c>
      <c r="DE151" s="717">
        <f>'[4]побудинковий звіт'!DE151</f>
        <v>20197.22</v>
      </c>
      <c r="DF151" s="717">
        <f>'[4]побудинковий звіт'!DF151</f>
        <v>12343.75</v>
      </c>
      <c r="DG151" s="787">
        <v>-6716.0771786113037</v>
      </c>
      <c r="DH151" s="761">
        <f t="shared" si="171"/>
        <v>4770732.9600000009</v>
      </c>
      <c r="DI151" s="784"/>
      <c r="DJ151" s="5"/>
      <c r="DK151" s="317">
        <f>VLOOKUP($A151,ціни!$A$4:$G$401,5)</f>
        <v>6.0411627952491722</v>
      </c>
      <c r="DL151" s="317">
        <f>VLOOKUP($A151,ціни!$A$4:$G$401,6)</f>
        <v>7.3946462589418207</v>
      </c>
      <c r="DM151" s="317">
        <f>VLOOKUP($A151,ціни!$A$4:$G$401,7)</f>
        <v>5.0439020557213281</v>
      </c>
      <c r="DN151" s="30">
        <f t="shared" si="178"/>
        <v>2042.5118650626519</v>
      </c>
      <c r="DO151" s="30">
        <f t="shared" si="179"/>
        <v>2471.5120073034509</v>
      </c>
      <c r="DP151" s="316">
        <f t="shared" si="162"/>
        <v>4514.0238723661023</v>
      </c>
      <c r="DQ151" s="104"/>
      <c r="DR151" s="30">
        <f>VLOOKUP(A151,'ДЗ нас '!$A$1:$C$359,2)</f>
        <v>30800.5</v>
      </c>
      <c r="DS151" s="748">
        <f>VLOOKUP(A151,'ДЗ нежит'!$A$1:$D$153,4,0)</f>
        <v>2329.59</v>
      </c>
      <c r="DT151" s="30">
        <f t="shared" si="163"/>
        <v>33130.089999999997</v>
      </c>
      <c r="DU151" s="257">
        <f>VLOOKUP(A151,'новий кошторис с 01.06'!$A$4:$AI$399,35)*1.2</f>
        <v>31217.70403718534</v>
      </c>
      <c r="DV151" s="30">
        <f t="shared" si="164"/>
        <v>1912.3859628146565</v>
      </c>
      <c r="DW151" s="930">
        <f>'[5]побудинковий звіт'!DW151+'[6]побудинковий звіт'!DW151</f>
        <v>236</v>
      </c>
      <c r="DY151" s="5">
        <f t="shared" si="167"/>
        <v>87533.389076892374</v>
      </c>
      <c r="DZ151" s="5">
        <f t="shared" si="168"/>
        <v>147643.20000000001</v>
      </c>
      <c r="EA151" s="752">
        <f t="shared" si="172"/>
        <v>32540.97</v>
      </c>
      <c r="EC151" s="592">
        <f t="shared" si="169"/>
        <v>795312.44758652034</v>
      </c>
      <c r="EE151" s="758">
        <v>-19849</v>
      </c>
      <c r="EF151" s="738">
        <f t="shared" si="170"/>
        <v>-26565.077178611304</v>
      </c>
      <c r="EH151" s="813">
        <v>-31870.936407898211</v>
      </c>
    </row>
    <row r="152" spans="1:138" x14ac:dyDescent="0.3">
      <c r="A152" s="328">
        <v>150001025</v>
      </c>
      <c r="B152" s="44" t="s">
        <v>603</v>
      </c>
      <c r="C152" s="45" t="s">
        <v>420</v>
      </c>
      <c r="D152" s="45" t="s">
        <v>420</v>
      </c>
      <c r="E152" s="40">
        <f t="shared" si="175"/>
        <v>416.5</v>
      </c>
      <c r="F152" s="490">
        <v>213.3</v>
      </c>
      <c r="G152" s="30">
        <v>311.8</v>
      </c>
      <c r="H152" s="30">
        <v>203.20000000000002</v>
      </c>
      <c r="I152" s="42">
        <f>'[1]побудинковий звіт'!I152+'[2]побудинковий звіт'!I152-'[3]побудинковий звіт'!I152</f>
        <v>18630.02566310397</v>
      </c>
      <c r="J152" s="42">
        <f>'[1]побудинковий звіт'!J152+'[2]побудинковий звіт'!J152-'[3]побудинковий звіт'!J152</f>
        <v>15771.474994793574</v>
      </c>
      <c r="K152" s="56">
        <f t="shared" si="125"/>
        <v>-2858.5506683103958</v>
      </c>
      <c r="L152" s="42">
        <f>'[1]побудинковий звіт'!L152+'[2]побудинковий звіт'!L152-'[3]побудинковий звіт'!L152</f>
        <v>3093.9480906412214</v>
      </c>
      <c r="M152" s="42">
        <f>'[1]побудинковий звіт'!M152+'[2]побудинковий звіт'!M152-'[3]побудинковий звіт'!M152</f>
        <v>2885.6346563499474</v>
      </c>
      <c r="N152" s="56">
        <f t="shared" si="126"/>
        <v>-208.31343429127401</v>
      </c>
      <c r="O152" s="42">
        <f>'[1]побудинковий звіт'!O152+'[2]побудинковий звіт'!O152-'[3]побудинковий звіт'!O152</f>
        <v>7758.48</v>
      </c>
      <c r="P152" s="42">
        <f>'[1]побудинковий звіт'!P152+'[2]побудинковий звіт'!P152-'[3]побудинковий звіт'!P152</f>
        <v>6098.0076553763447</v>
      </c>
      <c r="Q152" s="56">
        <f t="shared" si="127"/>
        <v>-1660.4723446236549</v>
      </c>
      <c r="R152" s="42">
        <f>'[1]побудинковий звіт'!R152+'[2]побудинковий звіт'!R152-'[3]побудинковий звіт'!R152</f>
        <v>1589.88</v>
      </c>
      <c r="S152" s="42">
        <f>'[1]побудинковий звіт'!S152+'[2]побудинковий звіт'!S152-'[3]побудинковий звіт'!S152</f>
        <v>1249.7180139784948</v>
      </c>
      <c r="T152" s="56">
        <f t="shared" si="128"/>
        <v>-340.1619860215053</v>
      </c>
      <c r="U152" s="42">
        <f>'[1]побудинковий звіт'!U152+'[2]побудинковий звіт'!U152-'[3]побудинковий звіт'!U152</f>
        <v>833.30286687848127</v>
      </c>
      <c r="V152" s="42">
        <f>'[1]побудинковий звіт'!V152+'[2]побудинковий звіт'!V152-'[3]побудинковий звіт'!V152</f>
        <v>359.05484351884826</v>
      </c>
      <c r="W152" s="56">
        <f t="shared" si="129"/>
        <v>-474.24802335963301</v>
      </c>
      <c r="X152" s="42">
        <f>'[1]побудинковий звіт'!X152+'[2]побудинковий звіт'!X152-'[3]побудинковий звіт'!X152</f>
        <v>7116.3846805404628</v>
      </c>
      <c r="Y152" s="42">
        <f>'[1]побудинковий звіт'!Y152+'[2]побудинковий звіт'!Y152-'[3]побудинковий звіт'!Y152</f>
        <v>5299.8807926111967</v>
      </c>
      <c r="Z152" s="56">
        <f t="shared" si="130"/>
        <v>-1816.5038879292661</v>
      </c>
      <c r="AA152" s="42">
        <f>'[1]побудинковий звіт'!AA152+'[2]побудинковий звіт'!AA152-'[3]побудинковий звіт'!AA152</f>
        <v>0</v>
      </c>
      <c r="AB152" s="42">
        <f>'[1]побудинковий звіт'!AB152+'[2]побудинковий звіт'!AB152-'[3]побудинковий звіт'!AB152</f>
        <v>0</v>
      </c>
      <c r="AC152" s="56">
        <f t="shared" si="131"/>
        <v>0</v>
      </c>
      <c r="AD152" s="42">
        <f>'[1]побудинковий звіт'!AD152+'[2]побудинковий звіт'!AD152-'[3]побудинковий звіт'!AD152</f>
        <v>22513.963354932464</v>
      </c>
      <c r="AE152" s="42">
        <f>'[1]побудинковий звіт'!AE152+'[2]побудинковий звіт'!AE152-'[3]побудинковий звіт'!AE152</f>
        <v>20751.858399465782</v>
      </c>
      <c r="AF152" s="37">
        <f t="shared" si="132"/>
        <v>-1762.1049554666824</v>
      </c>
      <c r="AG152" s="87">
        <f t="shared" si="120"/>
        <v>61535.984656096603</v>
      </c>
      <c r="AH152" s="57">
        <f t="shared" si="120"/>
        <v>52415.629356094185</v>
      </c>
      <c r="AI152" s="56">
        <f t="shared" si="133"/>
        <v>-9120.3553000024185</v>
      </c>
      <c r="AJ152" s="42">
        <f>'[1]побудинковий звіт'!AJ152+'[2]побудинковий звіт'!AJ152-'[3]побудинковий звіт'!AJ152</f>
        <v>42638.522353643682</v>
      </c>
      <c r="AK152" s="42">
        <f>'[1]побудинковий звіт'!AK152+'[2]побудинковий звіт'!AK152-'[3]побудинковий звіт'!AK152</f>
        <v>42263.504494759611</v>
      </c>
      <c r="AL152" s="56">
        <f t="shared" si="134"/>
        <v>-375.01785888407176</v>
      </c>
      <c r="AM152" s="42">
        <f>'[1]побудинковий звіт'!AM152+'[2]побудинковий звіт'!AM152-'[3]побудинковий звіт'!AM152</f>
        <v>0</v>
      </c>
      <c r="AN152" s="42">
        <f>'[1]побудинковий звіт'!AN152+'[2]побудинковий звіт'!AN152-'[3]побудинковий звіт'!AN152</f>
        <v>0</v>
      </c>
      <c r="AO152" s="56">
        <f t="shared" si="135"/>
        <v>0</v>
      </c>
      <c r="AP152" s="42">
        <f>'[1]побудинковий звіт'!AP152+'[2]побудинковий звіт'!AP152-'[3]побудинковий звіт'!AP152</f>
        <v>3646.0179251405516</v>
      </c>
      <c r="AQ152" s="42">
        <f>'[1]побудинковий звіт'!AQ152+'[2]побудинковий звіт'!AQ152-'[3]побудинковий звіт'!AQ152</f>
        <v>3634.9146304298642</v>
      </c>
      <c r="AR152" s="56">
        <f t="shared" si="136"/>
        <v>-11.103294710687351</v>
      </c>
      <c r="AS152" s="42">
        <f>'[1]побудинковий звіт'!AS152+'[2]побудинковий звіт'!AS152-'[3]побудинковий звіт'!AS152</f>
        <v>77906.54847371974</v>
      </c>
      <c r="AT152" s="42">
        <f>'[1]побудинковий звіт'!AT152+'[2]побудинковий звіт'!AT152-'[3]побудинковий звіт'!AT152</f>
        <v>104801</v>
      </c>
      <c r="AU152" s="58">
        <f t="shared" si="151"/>
        <v>26894.45152628026</v>
      </c>
      <c r="AV152" s="42">
        <f>'[1]побудинковий звіт'!AV152+'[2]побудинковий звіт'!AV152-'[3]побудинковий звіт'!AV152</f>
        <v>1522.7735606482195</v>
      </c>
      <c r="AW152" s="42">
        <f>'[1]побудинковий звіт'!AW152+'[2]побудинковий звіт'!AW152-'[3]побудинковий звіт'!AW152</f>
        <v>358</v>
      </c>
      <c r="AX152" s="59">
        <f t="shared" si="152"/>
        <v>-1164.7735606482195</v>
      </c>
      <c r="AY152" s="42">
        <f>'[1]побудинковий звіт'!AY152+'[2]побудинковий звіт'!AY152-'[3]побудинковий звіт'!AY152</f>
        <v>1799.1550947066946</v>
      </c>
      <c r="AZ152" s="42">
        <f>'[1]побудинковий звіт'!AZ152+'[2]побудинковий звіт'!AZ152-'[3]побудинковий звіт'!AZ152</f>
        <v>0</v>
      </c>
      <c r="BA152" s="37">
        <f t="shared" si="153"/>
        <v>-1799.1550947066946</v>
      </c>
      <c r="BB152" s="42">
        <f>'[1]побудинковий звіт'!BB152+'[2]побудинковий звіт'!BB152-'[3]побудинковий звіт'!BB152</f>
        <v>1885.1996056536161</v>
      </c>
      <c r="BC152" s="42">
        <f>'[1]побудинковий звіт'!BC152+'[2]побудинковий звіт'!BC152-'[3]побудинковий звіт'!BC152</f>
        <v>4901</v>
      </c>
      <c r="BD152" s="59">
        <f t="shared" si="154"/>
        <v>3015.8003943463837</v>
      </c>
      <c r="BE152" s="42">
        <f>'[1]побудинковий звіт'!BE152+'[2]побудинковий звіт'!BE152-'[3]побудинковий звіт'!BE152</f>
        <v>894.5936359729692</v>
      </c>
      <c r="BF152" s="42">
        <f>'[1]побудинковий звіт'!BF152+'[2]побудинковий звіт'!BF152-'[3]побудинковий звіт'!BF152</f>
        <v>0</v>
      </c>
      <c r="BG152" s="39">
        <f t="shared" si="155"/>
        <v>-894.5936359729692</v>
      </c>
      <c r="BH152" s="42">
        <f>'[1]побудинковий звіт'!BH152+'[2]побудинковий звіт'!BH152-'[3]побудинковий звіт'!BH152</f>
        <v>422.7844713578213</v>
      </c>
      <c r="BI152" s="42">
        <f>'[1]побудинковий звіт'!BI152+'[2]побудинковий звіт'!BI152-'[3]побудинковий звіт'!BI152</f>
        <v>0</v>
      </c>
      <c r="BJ152" s="59">
        <f t="shared" si="156"/>
        <v>-422.7844713578213</v>
      </c>
      <c r="BK152" s="42">
        <f>'[1]побудинковий звіт'!BK152+'[2]побудинковий звіт'!BK152-'[3]побудинковий звіт'!BK152</f>
        <v>834.81469293796044</v>
      </c>
      <c r="BL152" s="42">
        <f>'[1]побудинковий звіт'!BL152+'[2]побудинковий звіт'!BL152-'[3]побудинковий звіт'!BL152</f>
        <v>8596</v>
      </c>
      <c r="BM152" s="39">
        <f t="shared" si="157"/>
        <v>7761.18530706204</v>
      </c>
      <c r="BN152" s="42">
        <f>'[1]побудинковий звіт'!BN152+'[2]побудинковий звіт'!BN152-'[3]побудинковий звіт'!BN152</f>
        <v>485.26514130904343</v>
      </c>
      <c r="BO152" s="42">
        <f>'[1]побудинковий звіт'!BO152+'[2]побудинковий звіт'!BO152-'[3]побудинковий звіт'!BO152</f>
        <v>0</v>
      </c>
      <c r="BP152" s="59">
        <f t="shared" si="158"/>
        <v>-485.26514130904343</v>
      </c>
      <c r="BQ152" s="87">
        <f t="shared" si="176"/>
        <v>7844.5862025863253</v>
      </c>
      <c r="BR152" s="43">
        <f t="shared" si="177"/>
        <v>13855</v>
      </c>
      <c r="BS152" s="59">
        <f t="shared" si="159"/>
        <v>6010.4137974136747</v>
      </c>
      <c r="BT152" s="42">
        <f>'[1]побудинковий звіт'!BT152+'[2]побудинковий звіт'!BT152-'[3]побудинковий звіт'!BT152</f>
        <v>77596.931858452983</v>
      </c>
      <c r="BU152" s="42">
        <f>'[1]побудинковий звіт'!BU152+'[2]побудинковий звіт'!BU152-'[3]побудинковий звіт'!BU152</f>
        <v>85434.817779284698</v>
      </c>
      <c r="BV152" s="56">
        <f t="shared" si="137"/>
        <v>7837.8859208317153</v>
      </c>
      <c r="BW152" s="42">
        <f>'[1]побудинковий звіт'!BW152+'[2]побудинковий звіт'!BW152-'[3]побудинковий звіт'!BW152</f>
        <v>45528.274774722988</v>
      </c>
      <c r="BX152" s="42">
        <f>'[1]побудинковий звіт'!BX152+'[2]побудинковий звіт'!BX152-'[3]побудинковий звіт'!BX152</f>
        <v>49058.260219290009</v>
      </c>
      <c r="BY152" s="56">
        <f t="shared" si="138"/>
        <v>3529.9854445670207</v>
      </c>
      <c r="BZ152" s="42">
        <f>'[1]побудинковий звіт'!BZ152+'[2]побудинковий звіт'!BZ152-'[3]побудинковий звіт'!BZ152</f>
        <v>7790.342713290649</v>
      </c>
      <c r="CA152" s="42">
        <f>'[1]побудинковий звіт'!CA152+'[2]побудинковий звіт'!CA152-'[3]побудинковий звіт'!CA152</f>
        <v>24695.621530300697</v>
      </c>
      <c r="CB152" s="56">
        <f t="shared" si="139"/>
        <v>16905.278817010047</v>
      </c>
      <c r="CC152" s="42">
        <f>'[1]побудинковий звіт'!CC152+'[2]побудинковий звіт'!CC152-'[3]побудинковий звіт'!CC152</f>
        <v>588.2650769974673</v>
      </c>
      <c r="CD152" s="42">
        <f>'[1]побудинковий звіт'!CD152+'[2]побудинковий звіт'!CD152-'[3]побудинковий звіт'!CD152</f>
        <v>583.09111933068561</v>
      </c>
      <c r="CE152" s="56">
        <f t="shared" si="140"/>
        <v>-5.1739576667816891</v>
      </c>
      <c r="CF152" s="42">
        <f>'[1]побудинковий звіт'!CF152+'[2]побудинковий звіт'!CF152-'[3]побудинковий звіт'!CF152</f>
        <v>72.418996221279116</v>
      </c>
      <c r="CG152" s="42">
        <f>'[1]побудинковий звіт'!CG152+'[2]побудинковий звіт'!CG152-'[3]побудинковий звіт'!CG152</f>
        <v>0</v>
      </c>
      <c r="CH152" s="56">
        <f t="shared" si="141"/>
        <v>-72.418996221279116</v>
      </c>
      <c r="CI152" s="42">
        <f>'[1]побудинковий звіт'!CI152+'[2]побудинковий звіт'!CI152-'[3]побудинковий звіт'!CI152</f>
        <v>12016.651163757348</v>
      </c>
      <c r="CJ152" s="42">
        <f>'[1]побудинковий звіт'!CJ152+'[2]побудинковий звіт'!CJ152-'[3]побудинковий звіт'!CJ152</f>
        <v>6226.228444058459</v>
      </c>
      <c r="CK152" s="56">
        <f t="shared" si="142"/>
        <v>-5790.4227196988886</v>
      </c>
      <c r="CL152" s="42">
        <f>'[1]побудинковий звіт'!CL152+'[2]побудинковий звіт'!CL152-'[3]побудинковий звіт'!CL152</f>
        <v>10144.898646038135</v>
      </c>
      <c r="CM152" s="42">
        <f>'[1]побудинковий звіт'!CM152+'[2]побудинковий звіт'!CM152-'[3]побудинковий звіт'!CM152</f>
        <v>11781.926668545553</v>
      </c>
      <c r="CN152" s="56">
        <f t="shared" si="143"/>
        <v>1637.0280225074184</v>
      </c>
      <c r="CO152" s="42">
        <f t="shared" si="123"/>
        <v>22161.549809795484</v>
      </c>
      <c r="CP152" s="43">
        <f t="shared" si="144"/>
        <v>18008.155112604014</v>
      </c>
      <c r="CQ152" s="56">
        <f t="shared" si="145"/>
        <v>-4153.3946971914702</v>
      </c>
      <c r="CR152" s="78">
        <f t="shared" si="124"/>
        <v>347309.44284066779</v>
      </c>
      <c r="CS152" s="5">
        <f t="shared" si="124"/>
        <v>394749.99424209382</v>
      </c>
      <c r="CT152" s="56">
        <f t="shared" si="146"/>
        <v>47440.551401426026</v>
      </c>
      <c r="CU152" s="87">
        <f t="shared" si="147"/>
        <v>416771.33140880131</v>
      </c>
      <c r="CV152" s="70">
        <f t="shared" si="148"/>
        <v>473699.99309051258</v>
      </c>
      <c r="CW152" s="37">
        <f t="shared" si="149"/>
        <v>56928.661681711266</v>
      </c>
      <c r="CX152" s="42">
        <f>'[1]побудинковий звіт'!CX152+'[2]побудинковий звіт'!CX152-'[3]побудинковий звіт'!CX152</f>
        <v>10632.668591198686</v>
      </c>
      <c r="CY152" s="42">
        <f>'[1]побудинковий звіт'!CY152+'[2]побудинковий звіт'!CY152-'[3]побудинковий звіт'!CY152</f>
        <v>-46295.993090512493</v>
      </c>
      <c r="CZ152" s="56">
        <f t="shared" si="150"/>
        <v>-56928.661681711179</v>
      </c>
      <c r="DA152" s="264">
        <f>'[4]побудинковий звіт'!DA152</f>
        <v>-12673.537321607284</v>
      </c>
      <c r="DB152" s="2">
        <v>1</v>
      </c>
      <c r="DC152" s="717">
        <f>'[4]побудинковий звіт'!DC152</f>
        <v>46490.48</v>
      </c>
      <c r="DD152" s="717">
        <f>'[4]побудинковий звіт'!DD152</f>
        <v>3761.01</v>
      </c>
      <c r="DE152" s="717">
        <f>'[4]побудинковий звіт'!DE152</f>
        <v>11858.43</v>
      </c>
      <c r="DF152" s="717">
        <f>'[4]побудинковий звіт'!DF152</f>
        <v>2776.0600000000004</v>
      </c>
      <c r="DG152" s="787">
        <v>-48413.051782117342</v>
      </c>
      <c r="DH152" s="761">
        <f t="shared" si="171"/>
        <v>5128848</v>
      </c>
      <c r="DI152" s="784"/>
      <c r="DJ152" s="5"/>
      <c r="DK152" s="317">
        <f>VLOOKUP($A152,ціни!$A$4:$G$401,5)</f>
        <v>5.7690279049624094</v>
      </c>
      <c r="DL152" s="317">
        <f>VLOOKUP($A152,ціни!$A$4:$G$401,6)</f>
        <v>6.9079426600288008</v>
      </c>
      <c r="DM152" s="317">
        <f>VLOOKUP($A152,ціни!$A$4:$G$401,7)</f>
        <v>4.8471662313009372</v>
      </c>
      <c r="DN152" s="30">
        <f t="shared" si="178"/>
        <v>1118.3505487544423</v>
      </c>
      <c r="DO152" s="30">
        <f t="shared" si="179"/>
        <v>984.94417820035051</v>
      </c>
      <c r="DP152" s="316">
        <f t="shared" si="162"/>
        <v>2103.2947269547931</v>
      </c>
      <c r="DQ152" s="104"/>
      <c r="DR152" s="30">
        <f>VLOOKUP(A152,'ДЗ нас '!$A$1:$C$359,2)</f>
        <v>34632.050000000003</v>
      </c>
      <c r="DS152" s="748">
        <f>VLOOKUP(A152,'ДЗ нежит'!$A$1:$D$153,4,0)</f>
        <v>984.95</v>
      </c>
      <c r="DT152" s="30">
        <f t="shared" si="163"/>
        <v>35617</v>
      </c>
      <c r="DU152" s="257">
        <f>VLOOKUP(A152,'новий кошторис с 01.06'!$A$4:$AI$399,35)*1.2</f>
        <v>35772.872612588777</v>
      </c>
      <c r="DV152" s="30">
        <f t="shared" si="164"/>
        <v>-155.87261258877697</v>
      </c>
      <c r="DW152" s="930">
        <f>'[5]побудинковий звіт'!DW152+'[6]побудинковий звіт'!DW152</f>
        <v>236</v>
      </c>
      <c r="DY152" s="5">
        <f t="shared" si="167"/>
        <v>102901.36161156728</v>
      </c>
      <c r="DZ152" s="5">
        <f t="shared" si="168"/>
        <v>142387.19999999998</v>
      </c>
      <c r="EA152" s="752">
        <f t="shared" si="172"/>
        <v>14634.490000000002</v>
      </c>
      <c r="EC152" s="592">
        <f t="shared" si="169"/>
        <v>934878.58168463688</v>
      </c>
      <c r="EE152" s="758">
        <v>42045</v>
      </c>
      <c r="EF152" s="738">
        <f t="shared" si="170"/>
        <v>-6368.0517821173416</v>
      </c>
      <c r="EH152" s="813">
        <v>-46965.223258866979</v>
      </c>
    </row>
    <row r="153" spans="1:138" x14ac:dyDescent="0.3">
      <c r="A153" s="328">
        <v>150001026</v>
      </c>
      <c r="B153" s="44" t="s">
        <v>604</v>
      </c>
      <c r="C153" s="45" t="s">
        <v>334</v>
      </c>
      <c r="D153" s="45" t="s">
        <v>334</v>
      </c>
      <c r="E153" s="40">
        <f t="shared" si="175"/>
        <v>2162.08</v>
      </c>
      <c r="F153" s="490">
        <v>2162.08</v>
      </c>
      <c r="G153" s="30">
        <v>879.7</v>
      </c>
      <c r="H153" s="30">
        <v>0</v>
      </c>
      <c r="I153" s="42">
        <f>'[1]побудинковий звіт'!I153+'[2]побудинковий звіт'!I153-'[3]побудинковий звіт'!I153</f>
        <v>11571.008944052155</v>
      </c>
      <c r="J153" s="42">
        <f>'[1]побудинковий звіт'!J153+'[2]побудинковий звіт'!J153-'[3]побудинковий звіт'!J153</f>
        <v>10177.518391642301</v>
      </c>
      <c r="K153" s="56">
        <f t="shared" si="125"/>
        <v>-1393.490552409854</v>
      </c>
      <c r="L153" s="42">
        <f>'[1]побудинковий звіт'!L153+'[2]побудинковий звіт'!L153-'[3]побудинковий звіт'!L153</f>
        <v>3863.2235117050373</v>
      </c>
      <c r="M153" s="42">
        <f>'[1]побудинковий звіт'!M153+'[2]побудинковий звіт'!M153-'[3]побудинковий звіт'!M153</f>
        <v>3574.0343893454583</v>
      </c>
      <c r="N153" s="56">
        <f t="shared" si="126"/>
        <v>-289.18912235957896</v>
      </c>
      <c r="O153" s="42">
        <f>'[1]побудинковий звіт'!O153+'[2]побудинковий звіт'!O153-'[3]побудинковий звіт'!O153</f>
        <v>10101.36</v>
      </c>
      <c r="P153" s="42">
        <f>'[1]побудинковий звіт'!P153+'[2]побудинковий звіт'!P153-'[3]побудинковий звіт'!P153</f>
        <v>7940.3425443010738</v>
      </c>
      <c r="Q153" s="56">
        <f t="shared" si="127"/>
        <v>-2161.0174556989268</v>
      </c>
      <c r="R153" s="42">
        <f>'[1]побудинковий звіт'!R153+'[2]побудинковий звіт'!R153-'[3]побудинковий звіт'!R153</f>
        <v>2288.7599999999998</v>
      </c>
      <c r="S153" s="42">
        <f>'[1]побудинковий звіт'!S153+'[2]побудинковий звіт'!S153-'[3]побудинковий звіт'!S153</f>
        <v>1799.3880806451609</v>
      </c>
      <c r="T153" s="56">
        <f t="shared" si="128"/>
        <v>-489.37191935483884</v>
      </c>
      <c r="U153" s="42">
        <f>'[1]побудинковий звіт'!U153+'[2]побудинковий звіт'!U153-'[3]побудинковий звіт'!U153</f>
        <v>2251.7219278659054</v>
      </c>
      <c r="V153" s="42">
        <f>'[1]побудинковий звіт'!V153+'[2]побудинковий звіт'!V153-'[3]побудинковий звіт'!V153</f>
        <v>820.0800459994615</v>
      </c>
      <c r="W153" s="56">
        <f t="shared" si="129"/>
        <v>-1431.6418818664438</v>
      </c>
      <c r="X153" s="42">
        <f>'[1]побудинковий звіт'!X153+'[2]побудинковий звіт'!X153-'[3]побудинковий звіт'!X153</f>
        <v>18288.335636414136</v>
      </c>
      <c r="Y153" s="42">
        <f>'[1]побудинковий звіт'!Y153+'[2]побудинковий звіт'!Y153-'[3]побудинковий звіт'!Y153</f>
        <v>13242.103091675835</v>
      </c>
      <c r="Z153" s="56">
        <f t="shared" si="130"/>
        <v>-5046.2325447383009</v>
      </c>
      <c r="AA153" s="42">
        <f>'[1]побудинковий звіт'!AA153+'[2]побудинковий звіт'!AA153-'[3]побудинковий звіт'!AA153</f>
        <v>0</v>
      </c>
      <c r="AB153" s="42">
        <f>'[1]побудинковий звіт'!AB153+'[2]побудинковий звіт'!AB153-'[3]побудинковий звіт'!AB153</f>
        <v>0</v>
      </c>
      <c r="AC153" s="56">
        <f t="shared" si="131"/>
        <v>0</v>
      </c>
      <c r="AD153" s="42">
        <f>'[1]побудинковий звіт'!AD153+'[2]побудинковий звіт'!AD153-'[3]побудинковий звіт'!AD153</f>
        <v>30156.755670642666</v>
      </c>
      <c r="AE153" s="42">
        <f>'[1]побудинковий звіт'!AE153+'[2]побудинковий звіт'!AE153-'[3]побудинковий звіт'!AE153</f>
        <v>27795.38332830639</v>
      </c>
      <c r="AF153" s="37">
        <f t="shared" si="132"/>
        <v>-2361.3723423362753</v>
      </c>
      <c r="AG153" s="87">
        <f t="shared" si="120"/>
        <v>78521.165690679903</v>
      </c>
      <c r="AH153" s="57">
        <f t="shared" si="120"/>
        <v>65348.849871915678</v>
      </c>
      <c r="AI153" s="56">
        <f t="shared" si="133"/>
        <v>-13172.315818764226</v>
      </c>
      <c r="AJ153" s="42">
        <f>'[1]побудинковий звіт'!AJ153+'[2]побудинковий звіт'!AJ153-'[3]побудинковий звіт'!AJ153</f>
        <v>62704.110433418871</v>
      </c>
      <c r="AK153" s="42">
        <f>'[1]побудинковий звіт'!AK153+'[2]побудинковий звіт'!AK153-'[3]побудинковий звіт'!AK153</f>
        <v>62152.467291380031</v>
      </c>
      <c r="AL153" s="56">
        <f t="shared" si="134"/>
        <v>-551.64314203883987</v>
      </c>
      <c r="AM153" s="42">
        <f>'[1]побудинковий звіт'!AM153+'[2]побудинковий звіт'!AM153-'[3]побудинковий звіт'!AM153</f>
        <v>6313.6886354837225</v>
      </c>
      <c r="AN153" s="42">
        <f>'[1]побудинковий звіт'!AN153+'[2]побудинковий звіт'!AN153-'[3]побудинковий звіт'!AN153</f>
        <v>4434.0479701460372</v>
      </c>
      <c r="AO153" s="56">
        <f t="shared" si="135"/>
        <v>-1879.6406653376853</v>
      </c>
      <c r="AP153" s="42">
        <f>'[1]побудинковий звіт'!AP153+'[2]побудинковий звіт'!AP153-'[3]побудинковий звіт'!AP153</f>
        <v>6060.9129145193574</v>
      </c>
      <c r="AQ153" s="42">
        <f>'[1]побудинковий звіт'!AQ153+'[2]побудинковий звіт'!AQ153-'[3]побудинковий звіт'!AQ153</f>
        <v>5902.3611924986981</v>
      </c>
      <c r="AR153" s="56">
        <f t="shared" si="136"/>
        <v>-158.55172202065933</v>
      </c>
      <c r="AS153" s="42">
        <f>'[1]побудинковий звіт'!AS153+'[2]побудинковий звіт'!AS153-'[3]побудинковий звіт'!AS153</f>
        <v>140943.94860369209</v>
      </c>
      <c r="AT153" s="42">
        <f>'[1]побудинковий звіт'!AT153+'[2]побудинковий звіт'!AT153-'[3]побудинковий звіт'!AT153</f>
        <v>128080.00000000001</v>
      </c>
      <c r="AU153" s="58">
        <f t="shared" si="151"/>
        <v>-12863.948603692072</v>
      </c>
      <c r="AV153" s="42">
        <f>'[1]побудинковий звіт'!AV153+'[2]побудинковий звіт'!AV153-'[3]побудинковий звіт'!AV153</f>
        <v>566.60269825880027</v>
      </c>
      <c r="AW153" s="42">
        <f>'[1]побудинковий звіт'!AW153+'[2]побудинковий звіт'!AW153-'[3]побудинковий звіт'!AW153</f>
        <v>38223</v>
      </c>
      <c r="AX153" s="59">
        <f t="shared" si="152"/>
        <v>37656.397301741199</v>
      </c>
      <c r="AY153" s="42">
        <f>'[1]побудинковий звіт'!AY153+'[2]побудинковий звіт'!AY153-'[3]побудинковий звіт'!AY153</f>
        <v>988.17390963875391</v>
      </c>
      <c r="AZ153" s="42">
        <f>'[1]побудинковий звіт'!AZ153+'[2]побудинковий звіт'!AZ153-'[3]побудинковий звіт'!AZ153</f>
        <v>6220</v>
      </c>
      <c r="BA153" s="37">
        <f t="shared" si="153"/>
        <v>5231.8260903612463</v>
      </c>
      <c r="BB153" s="42">
        <f>'[1]побудинковий звіт'!BB153+'[2]побудинковий звіт'!BB153-'[3]побудинковий звіт'!BB153</f>
        <v>513.13541491922399</v>
      </c>
      <c r="BC153" s="42">
        <f>'[1]побудинковий звіт'!BC153+'[2]побудинковий звіт'!BC153-'[3]побудинковий звіт'!BC153</f>
        <v>1204</v>
      </c>
      <c r="BD153" s="59">
        <f t="shared" si="154"/>
        <v>690.86458508077601</v>
      </c>
      <c r="BE153" s="42">
        <f>'[1]побудинковий звіт'!BE153+'[2]побудинковий звіт'!BE153-'[3]побудинковий звіт'!BE153</f>
        <v>463.01394901605153</v>
      </c>
      <c r="BF153" s="42">
        <f>'[1]побудинковий звіт'!BF153+'[2]побудинковий звіт'!BF153-'[3]побудинковий звіт'!BF153</f>
        <v>0</v>
      </c>
      <c r="BG153" s="39">
        <f t="shared" si="155"/>
        <v>-463.01394901605153</v>
      </c>
      <c r="BH153" s="42">
        <f>'[1]побудинковий звіт'!BH153+'[2]побудинковий звіт'!BH153-'[3]побудинковий звіт'!BH153</f>
        <v>685.39301428766191</v>
      </c>
      <c r="BI153" s="42">
        <f>'[1]побудинковий звіт'!BI153+'[2]побудинковий звіт'!BI153-'[3]побудинковий звіт'!BI153</f>
        <v>0</v>
      </c>
      <c r="BJ153" s="59">
        <f t="shared" si="156"/>
        <v>-685.39301428766191</v>
      </c>
      <c r="BK153" s="42">
        <f>'[1]побудинковий звіт'!BK153+'[2]побудинковий звіт'!BK153-'[3]побудинковий звіт'!BK153</f>
        <v>706.91428536070816</v>
      </c>
      <c r="BL153" s="42">
        <f>'[1]побудинковий звіт'!BL153+'[2]побудинковий звіт'!BL153-'[3]побудинковий звіт'!BL153</f>
        <v>3471</v>
      </c>
      <c r="BM153" s="39">
        <f t="shared" si="157"/>
        <v>2764.0857146392918</v>
      </c>
      <c r="BN153" s="42">
        <f>'[1]побудинковий звіт'!BN153+'[2]побудинковий звіт'!BN153-'[3]побудинковий звіт'!BN153</f>
        <v>1118.5937498727455</v>
      </c>
      <c r="BO153" s="42">
        <f>'[1]побудинковий звіт'!BO153+'[2]побудинковий звіт'!BO153-'[3]побудинковий звіт'!BO153</f>
        <v>0</v>
      </c>
      <c r="BP153" s="59">
        <f t="shared" si="158"/>
        <v>-1118.5937498727455</v>
      </c>
      <c r="BQ153" s="87">
        <f t="shared" si="176"/>
        <v>5041.8270213539454</v>
      </c>
      <c r="BR153" s="43">
        <f t="shared" si="177"/>
        <v>49118</v>
      </c>
      <c r="BS153" s="59">
        <f t="shared" si="159"/>
        <v>44076.172978646056</v>
      </c>
      <c r="BT153" s="42">
        <f>'[1]побудинковий звіт'!BT153+'[2]побудинковий звіт'!BT153-'[3]побудинковий звіт'!BT153</f>
        <v>103542.78377467571</v>
      </c>
      <c r="BU153" s="42">
        <f>'[1]побудинковий звіт'!BU153+'[2]побудинковий звіт'!BU153-'[3]побудинковий звіт'!BU153</f>
        <v>108884.41026776054</v>
      </c>
      <c r="BV153" s="56">
        <f t="shared" si="137"/>
        <v>5341.6264930848265</v>
      </c>
      <c r="BW153" s="42">
        <f>'[1]побудинковий звіт'!BW153+'[2]побудинковий звіт'!BW153-'[3]побудинковий звіт'!BW153</f>
        <v>51871.713640700887</v>
      </c>
      <c r="BX153" s="42">
        <f>'[1]побудинковий звіт'!BX153+'[2]побудинковий звіт'!BX153-'[3]побудинковий звіт'!BX153</f>
        <v>64549.314035201809</v>
      </c>
      <c r="BY153" s="56">
        <f t="shared" si="138"/>
        <v>12677.600394500922</v>
      </c>
      <c r="BZ153" s="42">
        <f>'[1]побудинковий звіт'!BZ153+'[2]побудинковий звіт'!BZ153-'[3]побудинковий звіт'!BZ153</f>
        <v>12464.548341265037</v>
      </c>
      <c r="CA153" s="42">
        <f>'[1]побудинковий звіт'!CA153+'[2]побудинковий звіт'!CA153-'[3]побудинковий звіт'!CA153</f>
        <v>36427.997761168837</v>
      </c>
      <c r="CB153" s="56">
        <f t="shared" si="139"/>
        <v>23963.449419903802</v>
      </c>
      <c r="CC153" s="42">
        <f>'[1]побудинковий звіт'!CC153+'[2]побудинковий звіт'!CC153-'[3]побудинковий звіт'!CC153</f>
        <v>2981.0332776846649</v>
      </c>
      <c r="CD153" s="42">
        <f>'[1]побудинковий звіт'!CD153+'[2]побудинковий звіт'!CD153-'[3]побудинковий звіт'!CD153</f>
        <v>2954.81424720825</v>
      </c>
      <c r="CE153" s="56">
        <f t="shared" si="140"/>
        <v>-26.2190304764149</v>
      </c>
      <c r="CF153" s="42">
        <f>'[1]побудинковий звіт'!CF153+'[2]побудинковий звіт'!CF153-'[3]побудинковий звіт'!CF153</f>
        <v>366.98326335133191</v>
      </c>
      <c r="CG153" s="42">
        <f>'[1]побудинковий звіт'!CG153+'[2]побудинковий звіт'!CG153-'[3]побудинковий звіт'!CG153</f>
        <v>0</v>
      </c>
      <c r="CH153" s="56">
        <f t="shared" si="141"/>
        <v>-366.98326335133191</v>
      </c>
      <c r="CI153" s="42">
        <f>'[1]побудинковий звіт'!CI153+'[2]побудинковий звіт'!CI153-'[3]побудинковий звіт'!CI153</f>
        <v>25680.444543107609</v>
      </c>
      <c r="CJ153" s="42">
        <f>'[1]побудинковий звіт'!CJ153+'[2]побудинковий звіт'!CJ153-'[3]побудинковий звіт'!CJ153</f>
        <v>29302.85598900303</v>
      </c>
      <c r="CK153" s="56">
        <f t="shared" si="142"/>
        <v>3622.4114458954209</v>
      </c>
      <c r="CL153" s="42">
        <f>'[1]побудинковий звіт'!CL153+'[2]побудинковий звіт'!CL153-'[3]побудинковий звіт'!CL153</f>
        <v>26054.795046651452</v>
      </c>
      <c r="CM153" s="42">
        <f>'[1]побудинковий звіт'!CM153+'[2]побудинковий звіт'!CM153-'[3]побудинковий звіт'!CM153</f>
        <v>19091.64159008089</v>
      </c>
      <c r="CN153" s="56">
        <f t="shared" si="143"/>
        <v>-6963.1534565705624</v>
      </c>
      <c r="CO153" s="42">
        <f t="shared" si="123"/>
        <v>51735.239589759061</v>
      </c>
      <c r="CP153" s="43">
        <f t="shared" si="144"/>
        <v>48394.497579083923</v>
      </c>
      <c r="CQ153" s="56">
        <f t="shared" si="145"/>
        <v>-3340.7420106751379</v>
      </c>
      <c r="CR153" s="78">
        <f t="shared" si="124"/>
        <v>522547.95518658462</v>
      </c>
      <c r="CS153" s="5">
        <f t="shared" si="124"/>
        <v>576246.76021636382</v>
      </c>
      <c r="CT153" s="56">
        <f t="shared" si="146"/>
        <v>53698.805029779207</v>
      </c>
      <c r="CU153" s="87">
        <f t="shared" si="147"/>
        <v>627057.54622390156</v>
      </c>
      <c r="CV153" s="70">
        <f t="shared" si="148"/>
        <v>691496.11225963652</v>
      </c>
      <c r="CW153" s="37">
        <f t="shared" si="149"/>
        <v>64438.566035734955</v>
      </c>
      <c r="CX153" s="42">
        <f>'[1]побудинковий звіт'!CX153+'[2]побудинковий звіт'!CX153-'[3]побудинковий звіт'!CX153</f>
        <v>9556.1937760984729</v>
      </c>
      <c r="CY153" s="42">
        <f>'[1]побудинковий звіт'!CY153+'[2]побудинковий звіт'!CY153-'[3]побудинковий звіт'!CY153</f>
        <v>-54882.372259636642</v>
      </c>
      <c r="CZ153" s="56">
        <f t="shared" si="150"/>
        <v>-64438.566035735115</v>
      </c>
      <c r="DA153" s="264">
        <f>'[4]побудинковий звіт'!DA153</f>
        <v>-105176.79353526994</v>
      </c>
      <c r="DB153" s="2">
        <v>1</v>
      </c>
      <c r="DC153" s="717">
        <f>'[4]побудинковий звіт'!DC153</f>
        <v>109879.55</v>
      </c>
      <c r="DD153" s="717">
        <f>'[4]побудинковий звіт'!DD153</f>
        <v>0</v>
      </c>
      <c r="DE153" s="717">
        <f>'[4]побудинковий звіт'!DE153</f>
        <v>56818.76</v>
      </c>
      <c r="DF153" s="717">
        <f>'[4]побудинковий звіт'!DF153</f>
        <v>0</v>
      </c>
      <c r="DG153" s="787">
        <v>-113011.37079313793</v>
      </c>
      <c r="DH153" s="761">
        <f t="shared" si="171"/>
        <v>7639364.8799999999</v>
      </c>
      <c r="DI153" s="784"/>
      <c r="DJ153" s="5"/>
      <c r="DK153" s="317">
        <f>VLOOKUP($A153,ціни!$A$4:$G$401,5)</f>
        <v>6.1519542693028075</v>
      </c>
      <c r="DL153" s="317">
        <f>VLOOKUP($A153,ціни!$A$4:$G$401,6)</f>
        <v>7.7151568376438355</v>
      </c>
      <c r="DM153" s="317">
        <f>VLOOKUP($A153,ціни!$A$4:$G$401,7)</f>
        <v>5.4054494663395838</v>
      </c>
      <c r="DN153" s="30">
        <f t="shared" si="178"/>
        <v>15305.636996163381</v>
      </c>
      <c r="DO153" s="30">
        <f t="shared" si="179"/>
        <v>0</v>
      </c>
      <c r="DP153" s="316">
        <f t="shared" si="162"/>
        <v>15305.636996163381</v>
      </c>
      <c r="DQ153" s="104"/>
      <c r="DR153" s="30">
        <f>VLOOKUP(A153,'ДЗ нас '!$A$1:$C$359,2)</f>
        <v>53060.79</v>
      </c>
      <c r="DS153" s="748"/>
      <c r="DT153" s="30">
        <f t="shared" si="163"/>
        <v>53060.79</v>
      </c>
      <c r="DU153" s="257">
        <f>VLOOKUP(A153,'новий кошторис с 01.06'!$A$4:$AI$399,35)*1.2</f>
        <v>53195.381837994304</v>
      </c>
      <c r="DV153" s="30">
        <f t="shared" si="164"/>
        <v>-134.59183799430321</v>
      </c>
      <c r="DW153" s="930">
        <f>'[5]побудинковий звіт'!DW153+'[6]побудинковий звіт'!DW153</f>
        <v>276</v>
      </c>
      <c r="DY153" s="5">
        <f t="shared" si="167"/>
        <v>175182.93075005521</v>
      </c>
      <c r="DZ153" s="5">
        <f t="shared" si="168"/>
        <v>212637.6</v>
      </c>
      <c r="EA153" s="752">
        <f t="shared" si="172"/>
        <v>56818.76</v>
      </c>
      <c r="EC153" s="592">
        <f t="shared" si="169"/>
        <v>1691327.3832443049</v>
      </c>
      <c r="EE153" s="758">
        <v>150217</v>
      </c>
      <c r="EF153" s="738">
        <f t="shared" si="170"/>
        <v>37205.629206862068</v>
      </c>
      <c r="EH153" s="813">
        <v>-119612.86367598301</v>
      </c>
    </row>
    <row r="154" spans="1:138" x14ac:dyDescent="0.3">
      <c r="A154" s="328">
        <v>150001027</v>
      </c>
      <c r="B154" s="44" t="s">
        <v>605</v>
      </c>
      <c r="C154" s="45" t="s">
        <v>367</v>
      </c>
      <c r="D154" s="45" t="s">
        <v>367</v>
      </c>
      <c r="E154" s="40">
        <f t="shared" si="175"/>
        <v>2130.7999999999997</v>
      </c>
      <c r="F154" s="490">
        <v>2000.1</v>
      </c>
      <c r="G154" s="30">
        <v>1160.45</v>
      </c>
      <c r="H154" s="30">
        <v>130.69999999999999</v>
      </c>
      <c r="I154" s="42">
        <f>'[1]побудинковий звіт'!I154+'[2]побудинковий звіт'!I154-'[3]побудинковий звіт'!I154</f>
        <v>26757.70188507529</v>
      </c>
      <c r="J154" s="42">
        <f>'[1]побудинковий звіт'!J154+'[2]побудинковий звіт'!J154-'[3]побудинковий звіт'!J154</f>
        <v>22931.060693022784</v>
      </c>
      <c r="K154" s="56">
        <f t="shared" si="125"/>
        <v>-3826.6411920525061</v>
      </c>
      <c r="L154" s="42">
        <f>'[1]побудинковий звіт'!L154+'[2]побудинковий звіт'!L154-'[3]побудинковий звіт'!L154</f>
        <v>4415.0746895207494</v>
      </c>
      <c r="M154" s="42">
        <f>'[1]побудинковий звіт'!M154+'[2]побудинковий звіт'!M154-'[3]побудинковий звіт'!M154</f>
        <v>4136.0120173644355</v>
      </c>
      <c r="N154" s="56">
        <f t="shared" si="126"/>
        <v>-279.06267215631397</v>
      </c>
      <c r="O154" s="42">
        <f>'[1]побудинковий звіт'!O154+'[2]побудинковий звіт'!O154-'[3]побудинковий звіт'!O154</f>
        <v>15529.679999999998</v>
      </c>
      <c r="P154" s="42">
        <f>'[1]побудинковий звіт'!P154+'[2]побудинковий звіт'!P154-'[3]побудинковий звіт'!P154</f>
        <v>12206.000084005376</v>
      </c>
      <c r="Q154" s="56">
        <f t="shared" si="127"/>
        <v>-3323.6799159946222</v>
      </c>
      <c r="R154" s="42">
        <f>'[1]побудинковий звіт'!R154+'[2]побудинковий звіт'!R154-'[3]побудинковий звіт'!R154</f>
        <v>3470.8799999999992</v>
      </c>
      <c r="S154" s="42">
        <f>'[1]побудинковий звіт'!S154+'[2]побудинковий звіт'!S154-'[3]побудинковий звіт'!S154</f>
        <v>2727.8582368279576</v>
      </c>
      <c r="T154" s="56">
        <f t="shared" si="128"/>
        <v>-743.02176317204157</v>
      </c>
      <c r="U154" s="42">
        <f>'[1]побудинковий звіт'!U154+'[2]побудинковий звіт'!U154-'[3]побудинковий звіт'!U154</f>
        <v>4609.9343917566339</v>
      </c>
      <c r="V154" s="42">
        <f>'[1]побудинковий звіт'!V154+'[2]побудинковий звіт'!V154-'[3]побудинковий звіт'!V154</f>
        <v>1682.2728064523239</v>
      </c>
      <c r="W154" s="56">
        <f t="shared" si="129"/>
        <v>-2927.6615853043099</v>
      </c>
      <c r="X154" s="42">
        <f>'[1]побудинковий звіт'!X154+'[2]побудинковий звіт'!X154-'[3]побудинковий звіт'!X154</f>
        <v>24808.75476488467</v>
      </c>
      <c r="Y154" s="42">
        <f>'[1]побудинковий звіт'!Y154+'[2]побудинковий звіт'!Y154-'[3]побудинковий звіт'!Y154</f>
        <v>17003.233070674105</v>
      </c>
      <c r="Z154" s="56">
        <f t="shared" si="130"/>
        <v>-7805.5216942105653</v>
      </c>
      <c r="AA154" s="42">
        <f>'[1]побудинковий звіт'!AA154+'[2]побудинковий звіт'!AA154-'[3]побудинковий звіт'!AA154</f>
        <v>0</v>
      </c>
      <c r="AB154" s="42">
        <f>'[1]побудинковий звіт'!AB154+'[2]побудинковий звіт'!AB154-'[3]побудинковий звіт'!AB154</f>
        <v>0</v>
      </c>
      <c r="AC154" s="56">
        <f t="shared" si="131"/>
        <v>0</v>
      </c>
      <c r="AD154" s="42">
        <f>'[1]побудинковий звіт'!AD154+'[2]побудинковий звіт'!AD154-'[3]побудинковий звіт'!AD154</f>
        <v>44389.758853534237</v>
      </c>
      <c r="AE154" s="42">
        <f>'[1]побудинковий звіт'!AE154+'[2]побудинковий звіт'!AE154-'[3]побудинковий звіт'!AE154</f>
        <v>40950.987556506218</v>
      </c>
      <c r="AF154" s="37">
        <f t="shared" si="132"/>
        <v>-3438.771297028019</v>
      </c>
      <c r="AG154" s="87">
        <f t="shared" si="120"/>
        <v>123981.78458477158</v>
      </c>
      <c r="AH154" s="57">
        <f t="shared" si="120"/>
        <v>101637.4244648532</v>
      </c>
      <c r="AI154" s="56">
        <f t="shared" si="133"/>
        <v>-22344.360119918376</v>
      </c>
      <c r="AJ154" s="42">
        <f>'[1]побудинковий звіт'!AJ154+'[2]побудинковий звіт'!AJ154-'[3]побудинковий звіт'!AJ154</f>
        <v>90740.289216684527</v>
      </c>
      <c r="AK154" s="42">
        <f>'[1]побудинковий звіт'!AK154+'[2]побудинковий звіт'!AK154-'[3]побудинковий звіт'!AK154</f>
        <v>89942.164281308244</v>
      </c>
      <c r="AL154" s="56">
        <f t="shared" si="134"/>
        <v>-798.12493537628325</v>
      </c>
      <c r="AM154" s="42">
        <f>'[1]побудинковий звіт'!AM154+'[2]побудинковий звіт'!AM154-'[3]побудинковий звіт'!AM154</f>
        <v>0</v>
      </c>
      <c r="AN154" s="42">
        <f>'[1]побудинковий звіт'!AN154+'[2]побудинковий звіт'!AN154-'[3]побудинковий звіт'!AN154</f>
        <v>2607.1954354971062</v>
      </c>
      <c r="AO154" s="56">
        <f t="shared" si="135"/>
        <v>2607.1954354971062</v>
      </c>
      <c r="AP154" s="42">
        <f>'[1]побудинковий звіт'!AP154+'[2]побудинковий звіт'!AP154-'[3]побудинковий звіт'!AP154</f>
        <v>7576.1411431491988</v>
      </c>
      <c r="AQ154" s="42">
        <f>'[1]побудинковий звіт'!AQ154+'[2]побудинковий звіт'!AQ154-'[3]побудинковий звіт'!AQ154</f>
        <v>7787.1005862089351</v>
      </c>
      <c r="AR154" s="56">
        <f t="shared" si="136"/>
        <v>210.95944305973626</v>
      </c>
      <c r="AS154" s="42">
        <f>'[1]побудинковий звіт'!AS154+'[2]побудинковий звіт'!AS154-'[3]побудинковий звіт'!AS154</f>
        <v>191367.01750452758</v>
      </c>
      <c r="AT154" s="42">
        <f>'[1]побудинковий звіт'!AT154+'[2]побудинковий звіт'!AT154-'[3]побудинковий звіт'!AT154</f>
        <v>108682</v>
      </c>
      <c r="AU154" s="58">
        <f t="shared" si="151"/>
        <v>-82685.017504527583</v>
      </c>
      <c r="AV154" s="42">
        <f>'[1]побудинковий звіт'!AV154+'[2]побудинковий звіт'!AV154-'[3]побудинковий звіт'!AV154</f>
        <v>1313.0199237000613</v>
      </c>
      <c r="AW154" s="42">
        <f>'[1]побудинковий звіт'!AW154+'[2]побудинковий звіт'!AW154-'[3]побудинковий звіт'!AW154</f>
        <v>6592.9981729397841</v>
      </c>
      <c r="AX154" s="59">
        <f t="shared" si="152"/>
        <v>5279.9782492397226</v>
      </c>
      <c r="AY154" s="42">
        <f>'[1]побудинковий звіт'!AY154+'[2]побудинковий звіт'!AY154-'[3]побудинковий звіт'!AY154</f>
        <v>1762.2590807213041</v>
      </c>
      <c r="AZ154" s="42">
        <f>'[1]побудинковий звіт'!AZ154+'[2]побудинковий звіт'!AZ154-'[3]побудинковий звіт'!AZ154</f>
        <v>7520.0000000000009</v>
      </c>
      <c r="BA154" s="37">
        <f t="shared" si="153"/>
        <v>5757.7409192786963</v>
      </c>
      <c r="BB154" s="42">
        <f>'[1]побудинковий звіт'!BB154+'[2]побудинковий звіт'!BB154-'[3]побудинковий звіт'!BB154</f>
        <v>2188.1542531115529</v>
      </c>
      <c r="BC154" s="42">
        <f>'[1]побудинковий звіт'!BC154+'[2]побудинковий звіт'!BC154-'[3]побудинковий звіт'!BC154</f>
        <v>0</v>
      </c>
      <c r="BD154" s="59">
        <f t="shared" si="154"/>
        <v>-2188.1542531115529</v>
      </c>
      <c r="BE154" s="42">
        <f>'[1]побудинковий звіт'!BE154+'[2]побудинковий звіт'!BE154-'[3]побудинковий звіт'!BE154</f>
        <v>1201.8649330612939</v>
      </c>
      <c r="BF154" s="42">
        <f>'[1]побудинковий звіт'!BF154+'[2]побудинковий звіт'!BF154-'[3]побудинковий звіт'!BF154</f>
        <v>1275</v>
      </c>
      <c r="BG154" s="39">
        <f t="shared" si="155"/>
        <v>73.135066938706132</v>
      </c>
      <c r="BH154" s="42">
        <f>'[1]побудинковий звіт'!BH154+'[2]побудинковий звіт'!BH154-'[3]побудинковий звіт'!BH154</f>
        <v>1403.1194206337796</v>
      </c>
      <c r="BI154" s="42">
        <f>'[1]побудинковий звіт'!BI154+'[2]побудинковий звіт'!BI154-'[3]побудинковий звіт'!BI154</f>
        <v>0</v>
      </c>
      <c r="BJ154" s="59">
        <f t="shared" si="156"/>
        <v>-1403.1194206337796</v>
      </c>
      <c r="BK154" s="42">
        <f>'[1]побудинковий звіт'!BK154+'[2]побудинковий звіт'!BK154-'[3]побудинковий звіт'!BK154</f>
        <v>1672.3335980942118</v>
      </c>
      <c r="BL154" s="42">
        <f>'[1]побудинковий звіт'!BL154+'[2]побудинковий звіт'!BL154-'[3]побудинковий звіт'!BL154</f>
        <v>9864.475202155365</v>
      </c>
      <c r="BM154" s="39">
        <f t="shared" si="157"/>
        <v>8192.141604061153</v>
      </c>
      <c r="BN154" s="42">
        <f>'[1]побудинковий звіт'!BN154+'[2]побудинковий звіт'!BN154-'[3]побудинковий звіт'!BN154</f>
        <v>762.07335091908692</v>
      </c>
      <c r="BO154" s="42">
        <f>'[1]побудинковий звіт'!BO154+'[2]побудинковий звіт'!BO154-'[3]побудинковий звіт'!BO154</f>
        <v>12972</v>
      </c>
      <c r="BP154" s="59">
        <f t="shared" si="158"/>
        <v>12209.926649080913</v>
      </c>
      <c r="BQ154" s="87">
        <f t="shared" si="176"/>
        <v>10302.82456024129</v>
      </c>
      <c r="BR154" s="43">
        <f t="shared" si="177"/>
        <v>38224.473375095149</v>
      </c>
      <c r="BS154" s="59">
        <f t="shared" si="159"/>
        <v>27921.648814853859</v>
      </c>
      <c r="BT154" s="42">
        <f>'[1]побудинковий звіт'!BT154+'[2]побудинковий звіт'!BT154-'[3]побудинковий звіт'!BT154</f>
        <v>119870.43414309768</v>
      </c>
      <c r="BU154" s="42">
        <f>'[1]побудинковий звіт'!BU154+'[2]побудинковий звіт'!BU154-'[3]побудинковий звіт'!BU154</f>
        <v>133271.36136759692</v>
      </c>
      <c r="BV154" s="56">
        <f t="shared" si="137"/>
        <v>13400.927224499246</v>
      </c>
      <c r="BW154" s="42">
        <f>'[1]побудинковий звіт'!BW154+'[2]побудинковий звіт'!BW154-'[3]побудинковий звіт'!BW154</f>
        <v>84790.938605165691</v>
      </c>
      <c r="BX154" s="42">
        <f>'[1]побудинковий звіт'!BX154+'[2]побудинковий звіт'!BX154-'[3]побудинковий звіт'!BX154</f>
        <v>95848.039705934963</v>
      </c>
      <c r="BY154" s="56">
        <f t="shared" si="138"/>
        <v>11057.101100769272</v>
      </c>
      <c r="BZ154" s="42">
        <f>'[1]побудинковий звіт'!BZ154+'[2]побудинковий звіт'!BZ154-'[3]побудинковий звіт'!BZ154</f>
        <v>20774.247235441733</v>
      </c>
      <c r="CA154" s="42">
        <f>'[1]побудинковий звіт'!CA154+'[2]побудинковий звіт'!CA154-'[3]побудинковий звіт'!CA154</f>
        <v>34681.292280027832</v>
      </c>
      <c r="CB154" s="56">
        <f t="shared" si="139"/>
        <v>13907.045044586099</v>
      </c>
      <c r="CC154" s="42">
        <f>'[1]побудинковий звіт'!CC154+'[2]побудинковий звіт'!CC154-'[3]побудинковий звіт'!CC154</f>
        <v>2187.7578213535803</v>
      </c>
      <c r="CD154" s="42">
        <f>'[1]побудинковий звіт'!CD154+'[2]побудинковий звіт'!CD154-'[3]побудинковий звіт'!CD154</f>
        <v>2168.5158727908201</v>
      </c>
      <c r="CE154" s="56">
        <f t="shared" si="140"/>
        <v>-19.241948562760172</v>
      </c>
      <c r="CF154" s="42">
        <f>'[1]побудинковий звіт'!CF154+'[2]побудинковий звіт'!CF154-'[3]побудинковий звіт'!CF154</f>
        <v>269.32624694693698</v>
      </c>
      <c r="CG154" s="42">
        <f>'[1]побудинковий звіт'!CG154+'[2]побудинковий звіт'!CG154-'[3]побудинковий звіт'!CG154</f>
        <v>0</v>
      </c>
      <c r="CH154" s="56">
        <f t="shared" si="141"/>
        <v>-269.32624694693698</v>
      </c>
      <c r="CI154" s="42">
        <f>'[1]побудинковий звіт'!CI154+'[2]побудинковий звіт'!CI154-'[3]побудинковий звіт'!CI154</f>
        <v>30621.871189886344</v>
      </c>
      <c r="CJ154" s="42">
        <f>'[1]побудинковий звіт'!CJ154+'[2]побудинковий звіт'!CJ154-'[3]побудинковий звіт'!CJ154</f>
        <v>20642.562893798204</v>
      </c>
      <c r="CK154" s="56">
        <f t="shared" si="142"/>
        <v>-9979.3082960881402</v>
      </c>
      <c r="CL154" s="42">
        <f>'[1]побудинковий звіт'!CL154+'[2]побудинковий звіт'!CL154-'[3]побудинковий звіт'!CL154</f>
        <v>17369.863364434303</v>
      </c>
      <c r="CM154" s="42">
        <f>'[1]побудинковий звіт'!CM154+'[2]побудинковий звіт'!CM154-'[3]побудинковий звіт'!CM154</f>
        <v>18474.024310594519</v>
      </c>
      <c r="CN154" s="56">
        <f t="shared" si="143"/>
        <v>1104.1609461602166</v>
      </c>
      <c r="CO154" s="42">
        <f t="shared" si="123"/>
        <v>47991.734554320647</v>
      </c>
      <c r="CP154" s="43">
        <f t="shared" si="144"/>
        <v>39116.587204392723</v>
      </c>
      <c r="CQ154" s="56">
        <f t="shared" si="145"/>
        <v>-8875.1473499279236</v>
      </c>
      <c r="CR154" s="78">
        <f t="shared" si="124"/>
        <v>699852.49561570049</v>
      </c>
      <c r="CS154" s="5">
        <f t="shared" si="124"/>
        <v>653966.15457370598</v>
      </c>
      <c r="CT154" s="56">
        <f t="shared" si="146"/>
        <v>-45886.341041994514</v>
      </c>
      <c r="CU154" s="87">
        <f t="shared" si="147"/>
        <v>839822.99473884061</v>
      </c>
      <c r="CV154" s="70">
        <f t="shared" si="148"/>
        <v>784759.38548844715</v>
      </c>
      <c r="CW154" s="37">
        <f t="shared" si="149"/>
        <v>-55063.609250393463</v>
      </c>
      <c r="CX154" s="42">
        <f>'[1]побудинковий звіт'!CX154+'[2]побудинковий звіт'!CX154-'[3]побудинковий звіт'!CX154</f>
        <v>21444.685261159597</v>
      </c>
      <c r="CY154" s="42">
        <f>'[1]побудинковий звіт'!CY154+'[2]побудинковий звіт'!CY154-'[3]побудинковий звіт'!CY154</f>
        <v>76508.294511552871</v>
      </c>
      <c r="CZ154" s="56">
        <f t="shared" si="150"/>
        <v>55063.609250393274</v>
      </c>
      <c r="DA154" s="264">
        <f>'[4]побудинковий звіт'!DA154</f>
        <v>-88265.870574432454</v>
      </c>
      <c r="DB154" s="2">
        <v>1</v>
      </c>
      <c r="DC154" s="717">
        <f>'[4]побудинковий звіт'!DC154</f>
        <v>224234.67</v>
      </c>
      <c r="DD154" s="717">
        <f>'[4]побудинковий звіт'!DD154</f>
        <v>22136.82</v>
      </c>
      <c r="DE154" s="717">
        <f>'[4]побудинковий звіт'!DE154</f>
        <v>153116.21000000002</v>
      </c>
      <c r="DF154" s="717">
        <f>'[4]побудинковий звіт'!DF154</f>
        <v>21482.63</v>
      </c>
      <c r="DG154" s="787">
        <v>5781.1615782235749</v>
      </c>
      <c r="DH154" s="761">
        <f t="shared" si="171"/>
        <v>10335212.160000002</v>
      </c>
      <c r="DI154" s="784"/>
      <c r="DJ154" s="5"/>
      <c r="DK154" s="317">
        <f>VLOOKUP($A154,ціни!$A$4:$G$401,5)</f>
        <v>5.8523338005686236</v>
      </c>
      <c r="DL154" s="317">
        <f>VLOOKUP($A154,ціни!$A$4:$G$401,6)</f>
        <v>7.0700781193831848</v>
      </c>
      <c r="DM154" s="317">
        <f>VLOOKUP($A154,ціни!$A$4:$G$401,7)</f>
        <v>5.005275604704031</v>
      </c>
      <c r="DN154" s="30">
        <f t="shared" si="178"/>
        <v>12727.731851809949</v>
      </c>
      <c r="DO154" s="30">
        <f t="shared" si="179"/>
        <v>654.18952153481678</v>
      </c>
      <c r="DP154" s="316">
        <f t="shared" si="162"/>
        <v>13381.921373344765</v>
      </c>
      <c r="DQ154" s="104"/>
      <c r="DR154" s="30">
        <f>VLOOKUP(A154,'ДЗ нас '!$A$1:$C$359,2)</f>
        <v>71109.63</v>
      </c>
      <c r="DS154" s="748">
        <f>VLOOKUP(A154,'ДЗ нежит'!$A$1:$D$153,4,0)</f>
        <v>654.19000000000005</v>
      </c>
      <c r="DT154" s="30">
        <f t="shared" si="163"/>
        <v>71763.820000000007</v>
      </c>
      <c r="DU154" s="257">
        <f>VLOOKUP(A154,'новий кошторис с 01.06'!$A$4:$AI$399,35)*1.2</f>
        <v>72084.807048417133</v>
      </c>
      <c r="DV154" s="30">
        <f t="shared" si="164"/>
        <v>-320.98704841712606</v>
      </c>
      <c r="DW154" s="930">
        <f>'[5]побудинковий звіт'!DW154+'[6]побудинковий звіт'!DW154</f>
        <v>276</v>
      </c>
      <c r="DY154" s="5">
        <f t="shared" si="167"/>
        <v>242003.81047772261</v>
      </c>
      <c r="DZ154" s="5">
        <f t="shared" si="168"/>
        <v>176287.76805011416</v>
      </c>
      <c r="EA154" s="752">
        <f t="shared" si="172"/>
        <v>174598.84000000003</v>
      </c>
      <c r="EC154" s="592">
        <f t="shared" si="169"/>
        <v>2296404.210054331</v>
      </c>
      <c r="EE154" s="758">
        <v>47510</v>
      </c>
      <c r="EF154" s="738">
        <f t="shared" si="170"/>
        <v>53291.161578223575</v>
      </c>
      <c r="EH154" s="813">
        <v>-57365.708734197106</v>
      </c>
    </row>
    <row r="155" spans="1:138" x14ac:dyDescent="0.3">
      <c r="A155" s="328">
        <v>150001028</v>
      </c>
      <c r="B155" s="44" t="s">
        <v>606</v>
      </c>
      <c r="C155" s="45" t="s">
        <v>101</v>
      </c>
      <c r="D155" s="45" t="s">
        <v>101</v>
      </c>
      <c r="E155" s="40">
        <f t="shared" si="175"/>
        <v>2338.0700000000002</v>
      </c>
      <c r="F155" s="490">
        <v>2338.0700000000002</v>
      </c>
      <c r="G155" s="30"/>
      <c r="H155" s="30">
        <v>0</v>
      </c>
      <c r="I155" s="42">
        <f>'[1]побудинковий звіт'!I155+'[2]побудинковий звіт'!I155-'[3]побудинковий звіт'!I155</f>
        <v>0</v>
      </c>
      <c r="J155" s="42">
        <f>'[1]побудинковий звіт'!J155+'[2]побудинковий звіт'!J155-'[3]побудинковий звіт'!J155</f>
        <v>0</v>
      </c>
      <c r="K155" s="56">
        <f t="shared" si="125"/>
        <v>0</v>
      </c>
      <c r="L155" s="42">
        <f>'[1]побудинковий звіт'!L155+'[2]побудинковий звіт'!L155-'[3]побудинковий звіт'!L155</f>
        <v>0</v>
      </c>
      <c r="M155" s="42">
        <f>'[1]побудинковий звіт'!M155+'[2]побудинковий звіт'!M155-'[3]побудинковий звіт'!M155</f>
        <v>0</v>
      </c>
      <c r="N155" s="56">
        <f t="shared" si="126"/>
        <v>0</v>
      </c>
      <c r="O155" s="42">
        <f>'[1]побудинковий звіт'!O155+'[2]побудинковий звіт'!O155-'[3]побудинковий звіт'!O155</f>
        <v>0</v>
      </c>
      <c r="P155" s="42">
        <f>'[1]побудинковий звіт'!P155+'[2]побудинковий звіт'!P155-'[3]побудинковий звіт'!P155</f>
        <v>0</v>
      </c>
      <c r="Q155" s="56">
        <f t="shared" si="127"/>
        <v>0</v>
      </c>
      <c r="R155" s="42">
        <f>'[1]побудинковий звіт'!R155+'[2]побудинковий звіт'!R155-'[3]побудинковий звіт'!R155</f>
        <v>0</v>
      </c>
      <c r="S155" s="42">
        <f>'[1]побудинковий звіт'!S155+'[2]побудинковий звіт'!S155-'[3]побудинковий звіт'!S155</f>
        <v>0</v>
      </c>
      <c r="T155" s="56">
        <f t="shared" si="128"/>
        <v>0</v>
      </c>
      <c r="U155" s="42">
        <f>'[1]побудинковий звіт'!U155+'[2]побудинковий звіт'!U155-'[3]побудинковий звіт'!U155</f>
        <v>0</v>
      </c>
      <c r="V155" s="42">
        <f>'[1]побудинковий звіт'!V155+'[2]побудинковий звіт'!V155-'[3]побудинковий звіт'!V155</f>
        <v>0</v>
      </c>
      <c r="W155" s="56">
        <f t="shared" si="129"/>
        <v>0</v>
      </c>
      <c r="X155" s="42">
        <f>'[1]побудинковий звіт'!X155+'[2]побудинковий звіт'!X155-'[3]побудинковий звіт'!X155</f>
        <v>0</v>
      </c>
      <c r="Y155" s="42">
        <f>'[1]побудинковий звіт'!Y155+'[2]побудинковий звіт'!Y155-'[3]побудинковий звіт'!Y155</f>
        <v>0</v>
      </c>
      <c r="Z155" s="56">
        <f t="shared" si="130"/>
        <v>0</v>
      </c>
      <c r="AA155" s="42">
        <f>'[1]побудинковий звіт'!AA155+'[2]побудинковий звіт'!AA155-'[3]побудинковий звіт'!AA155</f>
        <v>0</v>
      </c>
      <c r="AB155" s="42">
        <f>'[1]побудинковий звіт'!AB155+'[2]побудинковий звіт'!AB155-'[3]побудинковий звіт'!AB155</f>
        <v>0</v>
      </c>
      <c r="AC155" s="56">
        <f t="shared" si="131"/>
        <v>0</v>
      </c>
      <c r="AD155" s="42">
        <f>'[1]побудинковий звіт'!AD155+'[2]побудинковий звіт'!AD155-'[3]побудинковий звіт'!AD155</f>
        <v>0</v>
      </c>
      <c r="AE155" s="42">
        <f>'[1]побудинковий звіт'!AE155+'[2]побудинковий звіт'!AE155-'[3]побудинковий звіт'!AE155</f>
        <v>73.739411168580176</v>
      </c>
      <c r="AF155" s="37">
        <f t="shared" si="132"/>
        <v>73.739411168580176</v>
      </c>
      <c r="AG155" s="87">
        <f t="shared" si="120"/>
        <v>0</v>
      </c>
      <c r="AH155" s="57">
        <f t="shared" si="120"/>
        <v>73.739411168580176</v>
      </c>
      <c r="AI155" s="56">
        <f t="shared" si="133"/>
        <v>73.739411168580176</v>
      </c>
      <c r="AJ155" s="42">
        <f>'[1]побудинковий звіт'!AJ155+'[2]побудинковий звіт'!AJ155-'[3]побудинковий звіт'!AJ155</f>
        <v>0</v>
      </c>
      <c r="AK155" s="42">
        <f>'[1]побудинковий звіт'!AK155+'[2]побудинковий звіт'!AK155-'[3]побудинковий звіт'!AK155</f>
        <v>0</v>
      </c>
      <c r="AL155" s="56">
        <f t="shared" si="134"/>
        <v>0</v>
      </c>
      <c r="AM155" s="42">
        <f>'[1]побудинковий звіт'!AM155+'[2]побудинковий звіт'!AM155-'[3]побудинковий звіт'!AM155</f>
        <v>0</v>
      </c>
      <c r="AN155" s="42">
        <f>'[1]побудинковий звіт'!AN155+'[2]побудинковий звіт'!AN155-'[3]побудинковий звіт'!AN155</f>
        <v>0</v>
      </c>
      <c r="AO155" s="56">
        <f t="shared" si="135"/>
        <v>0</v>
      </c>
      <c r="AP155" s="42">
        <f>'[1]побудинковий звіт'!AP155+'[2]побудинковий звіт'!AP155-'[3]побудинковий звіт'!AP155</f>
        <v>236.75441072341246</v>
      </c>
      <c r="AQ155" s="42">
        <f>'[1]побудинковий звіт'!AQ155+'[2]побудинковий звіт'!AQ155-'[3]побудинковий звіт'!AQ155</f>
        <v>70.071844713601308</v>
      </c>
      <c r="AR155" s="56">
        <f t="shared" si="136"/>
        <v>-166.68256600981115</v>
      </c>
      <c r="AS155" s="42">
        <f>'[1]побудинковий звіт'!AS155+'[2]побудинковий звіт'!AS155-'[3]побудинковий звіт'!AS155</f>
        <v>2113.5918291671687</v>
      </c>
      <c r="AT155" s="42">
        <f>'[1]побудинковий звіт'!AT155+'[2]побудинковий звіт'!AT155-'[3]побудинковий звіт'!AT155</f>
        <v>0</v>
      </c>
      <c r="AU155" s="58">
        <f t="shared" si="151"/>
        <v>-2113.5918291671687</v>
      </c>
      <c r="AV155" s="42">
        <f>'[1]побудинковий звіт'!AV155+'[2]побудинковий звіт'!AV155-'[3]побудинковий звіт'!AV155</f>
        <v>0</v>
      </c>
      <c r="AW155" s="42">
        <f>'[1]побудинковий звіт'!AW155+'[2]побудинковий звіт'!AW155-'[3]побудинковий звіт'!AW155</f>
        <v>0</v>
      </c>
      <c r="AX155" s="59">
        <f t="shared" si="152"/>
        <v>0</v>
      </c>
      <c r="AY155" s="42">
        <f>'[1]побудинковий звіт'!AY155+'[2]побудинковий звіт'!AY155-'[3]побудинковий звіт'!AY155</f>
        <v>0</v>
      </c>
      <c r="AZ155" s="42">
        <f>'[1]побудинковий звіт'!AZ155+'[2]побудинковий звіт'!AZ155-'[3]побудинковий звіт'!AZ155</f>
        <v>0</v>
      </c>
      <c r="BA155" s="37">
        <f t="shared" si="153"/>
        <v>0</v>
      </c>
      <c r="BB155" s="42">
        <f>'[1]побудинковий звіт'!BB155+'[2]побудинковий звіт'!BB155-'[3]побудинковий звіт'!BB155</f>
        <v>0</v>
      </c>
      <c r="BC155" s="42">
        <f>'[1]побудинковий звіт'!BC155+'[2]побудинковий звіт'!BC155-'[3]побудинковий звіт'!BC155</f>
        <v>0</v>
      </c>
      <c r="BD155" s="59">
        <f t="shared" si="154"/>
        <v>0</v>
      </c>
      <c r="BE155" s="42">
        <f>'[1]побудинковий звіт'!BE155+'[2]побудинковий звіт'!BE155-'[3]побудинковий звіт'!BE155</f>
        <v>0</v>
      </c>
      <c r="BF155" s="42">
        <f>'[1]побудинковий звіт'!BF155+'[2]побудинковий звіт'!BF155-'[3]побудинковий звіт'!BF155</f>
        <v>0</v>
      </c>
      <c r="BG155" s="39">
        <f t="shared" si="155"/>
        <v>0</v>
      </c>
      <c r="BH155" s="42">
        <f>'[1]побудинковий звіт'!BH155+'[2]побудинковий звіт'!BH155-'[3]побудинковий звіт'!BH155</f>
        <v>0</v>
      </c>
      <c r="BI155" s="42">
        <f>'[1]побудинковий звіт'!BI155+'[2]побудинковий звіт'!BI155-'[3]побудинковий звіт'!BI155</f>
        <v>0</v>
      </c>
      <c r="BJ155" s="59">
        <f t="shared" si="156"/>
        <v>0</v>
      </c>
      <c r="BK155" s="42">
        <f>'[1]побудинковий звіт'!BK155+'[2]побудинковий звіт'!BK155-'[3]побудинковий звіт'!BK155</f>
        <v>0</v>
      </c>
      <c r="BL155" s="42">
        <f>'[1]побудинковий звіт'!BL155+'[2]побудинковий звіт'!BL155-'[3]побудинковий звіт'!BL155</f>
        <v>0</v>
      </c>
      <c r="BM155" s="39">
        <f t="shared" si="157"/>
        <v>0</v>
      </c>
      <c r="BN155" s="42">
        <f>'[1]побудинковий звіт'!BN155+'[2]побудинковий звіт'!BN155-'[3]побудинковий звіт'!BN155</f>
        <v>0</v>
      </c>
      <c r="BO155" s="42">
        <f>'[1]побудинковий звіт'!BO155+'[2]побудинковий звіт'!BO155-'[3]побудинковий звіт'!BO155</f>
        <v>0</v>
      </c>
      <c r="BP155" s="59">
        <f t="shared" si="158"/>
        <v>0</v>
      </c>
      <c r="BQ155" s="87">
        <f t="shared" si="176"/>
        <v>0</v>
      </c>
      <c r="BR155" s="43">
        <f t="shared" si="177"/>
        <v>0</v>
      </c>
      <c r="BS155" s="59">
        <f t="shared" si="159"/>
        <v>0</v>
      </c>
      <c r="BT155" s="42">
        <f>'[1]побудинковий звіт'!BT155+'[2]побудинковий звіт'!BT155-'[3]побудинковий звіт'!BT155</f>
        <v>215.34309678777765</v>
      </c>
      <c r="BU155" s="42">
        <f>'[1]побудинковий звіт'!BU155+'[2]побудинковий звіт'!BU155-'[3]побудинковий звіт'!BU155</f>
        <v>1188.7646551542923</v>
      </c>
      <c r="BV155" s="56">
        <f t="shared" si="137"/>
        <v>973.42155836651466</v>
      </c>
      <c r="BW155" s="42">
        <f>'[1]побудинковий звіт'!BW155+'[2]побудинковий звіт'!BW155-'[3]побудинковий звіт'!BW155</f>
        <v>0</v>
      </c>
      <c r="BX155" s="42">
        <f>'[1]побудинковий звіт'!BX155+'[2]побудинковий звіт'!BX155-'[3]побудинковий звіт'!BX155</f>
        <v>3.5660291509681086</v>
      </c>
      <c r="BY155" s="56">
        <f t="shared" si="138"/>
        <v>3.5660291509681086</v>
      </c>
      <c r="BZ155" s="42">
        <f>'[1]побудинковий звіт'!BZ155+'[2]побудинковий звіт'!BZ155-'[3]побудинковий звіт'!BZ155</f>
        <v>0</v>
      </c>
      <c r="CA155" s="42">
        <f>'[1]побудинковий звіт'!CA155+'[2]побудинковий звіт'!CA155-'[3]побудинковий звіт'!CA155</f>
        <v>286.54533183329761</v>
      </c>
      <c r="CB155" s="56">
        <f t="shared" si="139"/>
        <v>286.54533183329761</v>
      </c>
      <c r="CC155" s="42">
        <f>'[1]побудинковий звіт'!CC155+'[2]побудинковий звіт'!CC155-'[3]побудинковий звіт'!CC155</f>
        <v>0</v>
      </c>
      <c r="CD155" s="42">
        <f>'[1]побудинковий звіт'!CD155+'[2]побудинковий звіт'!CD155-'[3]побудинковий звіт'!CD155</f>
        <v>0</v>
      </c>
      <c r="CE155" s="56">
        <f t="shared" si="140"/>
        <v>0</v>
      </c>
      <c r="CF155" s="42">
        <f>'[1]побудинковий звіт'!CF155+'[2]побудинковий звіт'!CF155-'[3]побудинковий звіт'!CF155</f>
        <v>0</v>
      </c>
      <c r="CG155" s="42">
        <f>'[1]побудинковий звіт'!CG155+'[2]побудинковий звіт'!CG155-'[3]побудинковий звіт'!CG155</f>
        <v>0</v>
      </c>
      <c r="CH155" s="56">
        <f t="shared" si="141"/>
        <v>0</v>
      </c>
      <c r="CI155" s="42">
        <f>'[1]побудинковий звіт'!CI155+'[2]побудинковий звіт'!CI155-'[3]побудинковий звіт'!CI155</f>
        <v>0</v>
      </c>
      <c r="CJ155" s="42">
        <f>'[1]побудинковий звіт'!CJ155+'[2]побудинковий звіт'!CJ155-'[3]побудинковий звіт'!CJ155</f>
        <v>0</v>
      </c>
      <c r="CK155" s="56">
        <f t="shared" si="142"/>
        <v>0</v>
      </c>
      <c r="CL155" s="42">
        <f>'[1]побудинковий звіт'!CL155+'[2]побудинковий звіт'!CL155-'[3]побудинковий звіт'!CL155</f>
        <v>0</v>
      </c>
      <c r="CM155" s="42">
        <f>'[1]побудинковий звіт'!CM155+'[2]побудинковий звіт'!CM155-'[3]побудинковий звіт'!CM155</f>
        <v>0</v>
      </c>
      <c r="CN155" s="56">
        <f t="shared" si="143"/>
        <v>0</v>
      </c>
      <c r="CO155" s="42">
        <f t="shared" si="123"/>
        <v>0</v>
      </c>
      <c r="CP155" s="43">
        <f t="shared" si="144"/>
        <v>0</v>
      </c>
      <c r="CQ155" s="56">
        <f t="shared" si="145"/>
        <v>0</v>
      </c>
      <c r="CR155" s="78">
        <f t="shared" si="124"/>
        <v>2565.6893366783588</v>
      </c>
      <c r="CS155" s="5">
        <f t="shared" si="124"/>
        <v>1622.6872720207393</v>
      </c>
      <c r="CT155" s="56">
        <f t="shared" si="146"/>
        <v>-943.00206465761948</v>
      </c>
      <c r="CU155" s="87">
        <f t="shared" si="147"/>
        <v>3078.8272040140305</v>
      </c>
      <c r="CV155" s="70">
        <f t="shared" si="148"/>
        <v>1947.2247264248872</v>
      </c>
      <c r="CW155" s="37">
        <f t="shared" si="149"/>
        <v>-1131.6024775891433</v>
      </c>
      <c r="CX155" s="42">
        <f>'[1]побудинковий звіт'!CX155+'[2]побудинковий звіт'!CX155-'[3]побудинковий звіт'!CX155</f>
        <v>15.252795985968305</v>
      </c>
      <c r="CY155" s="42">
        <f>'[1]побудинковий звіт'!CY155+'[2]побудинковий звіт'!CY155-'[3]побудинковий звіт'!CY155</f>
        <v>1146.8552735751125</v>
      </c>
      <c r="CZ155" s="56">
        <f t="shared" si="150"/>
        <v>1131.6024775891442</v>
      </c>
      <c r="DA155" s="264">
        <f>'[4]побудинковий звіт'!DA155</f>
        <v>-1439.057310553665</v>
      </c>
      <c r="DB155" s="2">
        <v>1</v>
      </c>
      <c r="DC155" s="717">
        <f>'[4]побудинковий звіт'!DC155</f>
        <v>1382.39</v>
      </c>
      <c r="DD155" s="717">
        <f>'[4]побудинковий звіт'!DD155</f>
        <v>0</v>
      </c>
      <c r="DE155" s="717">
        <f>'[4]побудинковий звіт'!DE155</f>
        <v>1124.5500000000002</v>
      </c>
      <c r="DF155" s="717">
        <f>'[4]побудинковий звіт'!DF155</f>
        <v>0</v>
      </c>
      <c r="DG155" s="787">
        <v>-309.94121651592923</v>
      </c>
      <c r="DH155" s="761">
        <f t="shared" si="171"/>
        <v>37128.959999999992</v>
      </c>
      <c r="DI155" s="784"/>
      <c r="DJ155" s="5"/>
      <c r="DK155" s="317">
        <f>VLOOKUP($A155,ціни!$A$4:$G$401,5)</f>
        <v>2.3292843571470194</v>
      </c>
      <c r="DL155" s="317"/>
      <c r="DM155" s="317">
        <f>VLOOKUP($A155,ціни!$A$4:$G$401,7)</f>
        <v>2.3292843571470194</v>
      </c>
      <c r="DN155" s="30">
        <f>F155*DK155</f>
        <v>5446.0298769147321</v>
      </c>
      <c r="DO155" s="30">
        <f>H155*DM155</f>
        <v>0</v>
      </c>
      <c r="DP155" s="316">
        <f t="shared" si="162"/>
        <v>5446.0298769147321</v>
      </c>
      <c r="DQ155" s="104"/>
      <c r="DR155" s="30">
        <f>VLOOKUP(A155,'ДЗ нас '!$A$1:$C$359,2)</f>
        <v>257.83999999999997</v>
      </c>
      <c r="DS155" s="748"/>
      <c r="DT155" s="30">
        <f t="shared" si="163"/>
        <v>257.83999999999997</v>
      </c>
      <c r="DU155" s="257">
        <f>VLOOKUP(A155,'новий кошторис с 01.06'!$A$4:$AI$399,35)*1.2</f>
        <v>258.10834726984297</v>
      </c>
      <c r="DV155" s="30">
        <f t="shared" si="164"/>
        <v>-0.26834726984299095</v>
      </c>
      <c r="DW155" s="930">
        <f>'[5]побудинковий звіт'!DW155+'[6]побудинковий звіт'!DW155</f>
        <v>204</v>
      </c>
      <c r="DY155" s="5">
        <f t="shared" si="167"/>
        <v>2536.3101950006026</v>
      </c>
      <c r="DZ155" s="5">
        <f t="shared" si="168"/>
        <v>0</v>
      </c>
      <c r="EA155" s="752">
        <f t="shared" si="172"/>
        <v>1124.5500000000002</v>
      </c>
      <c r="EC155" s="592">
        <f t="shared" si="169"/>
        <v>25363.101950006025</v>
      </c>
      <c r="EE155" s="758">
        <v>-1387</v>
      </c>
      <c r="EF155" s="738">
        <f t="shared" si="170"/>
        <v>-1696.9412165159292</v>
      </c>
      <c r="EH155" s="813">
        <v>-432.37065713013897</v>
      </c>
    </row>
    <row r="156" spans="1:138" x14ac:dyDescent="0.3">
      <c r="A156" s="328">
        <v>150001036</v>
      </c>
      <c r="B156" s="44" t="s">
        <v>607</v>
      </c>
      <c r="C156" s="45" t="s">
        <v>102</v>
      </c>
      <c r="D156" s="45" t="s">
        <v>102</v>
      </c>
      <c r="E156" s="40">
        <f t="shared" si="175"/>
        <v>6921.8</v>
      </c>
      <c r="F156" s="490">
        <v>6921.8</v>
      </c>
      <c r="G156" s="30"/>
      <c r="H156" s="30">
        <v>0</v>
      </c>
      <c r="I156" s="42">
        <f>'[1]побудинковий звіт'!I156+'[2]побудинковий звіт'!I156-'[3]побудинковий звіт'!I156</f>
        <v>0</v>
      </c>
      <c r="J156" s="42">
        <f>'[1]побудинковий звіт'!J156+'[2]побудинковий звіт'!J156-'[3]побудинковий звіт'!J156</f>
        <v>0</v>
      </c>
      <c r="K156" s="56">
        <f t="shared" si="125"/>
        <v>0</v>
      </c>
      <c r="L156" s="42">
        <f>'[1]побудинковий звіт'!L156+'[2]побудинковий звіт'!L156-'[3]побудинковий звіт'!L156</f>
        <v>0</v>
      </c>
      <c r="M156" s="42">
        <f>'[1]побудинковий звіт'!M156+'[2]побудинковий звіт'!M156-'[3]побудинковий звіт'!M156</f>
        <v>0</v>
      </c>
      <c r="N156" s="56">
        <f t="shared" si="126"/>
        <v>0</v>
      </c>
      <c r="O156" s="42">
        <f>'[1]побудинковий звіт'!O156+'[2]побудинковий звіт'!O156-'[3]побудинковий звіт'!O156</f>
        <v>0</v>
      </c>
      <c r="P156" s="42">
        <f>'[1]побудинковий звіт'!P156+'[2]побудинковий звіт'!P156-'[3]побудинковий звіт'!P156</f>
        <v>0</v>
      </c>
      <c r="Q156" s="56">
        <f t="shared" si="127"/>
        <v>0</v>
      </c>
      <c r="R156" s="42">
        <f>'[1]побудинковий звіт'!R156+'[2]побудинковий звіт'!R156-'[3]побудинковий звіт'!R156</f>
        <v>0</v>
      </c>
      <c r="S156" s="42">
        <f>'[1]побудинковий звіт'!S156+'[2]побудинковий звіт'!S156-'[3]побудинковий звіт'!S156</f>
        <v>0</v>
      </c>
      <c r="T156" s="56">
        <f t="shared" si="128"/>
        <v>0</v>
      </c>
      <c r="U156" s="42">
        <f>'[1]побудинковий звіт'!U156+'[2]побудинковий звіт'!U156-'[3]побудинковий звіт'!U156</f>
        <v>0</v>
      </c>
      <c r="V156" s="42">
        <f>'[1]побудинковий звіт'!V156+'[2]побудинковий звіт'!V156-'[3]побудинковий звіт'!V156</f>
        <v>0</v>
      </c>
      <c r="W156" s="56">
        <f t="shared" si="129"/>
        <v>0</v>
      </c>
      <c r="X156" s="42">
        <f>'[1]побудинковий звіт'!X156+'[2]побудинковий звіт'!X156-'[3]побудинковий звіт'!X156</f>
        <v>0</v>
      </c>
      <c r="Y156" s="42">
        <f>'[1]побудинковий звіт'!Y156+'[2]побудинковий звіт'!Y156-'[3]побудинковий звіт'!Y156</f>
        <v>0</v>
      </c>
      <c r="Z156" s="56">
        <f t="shared" si="130"/>
        <v>0</v>
      </c>
      <c r="AA156" s="42">
        <f>'[1]побудинковий звіт'!AA156+'[2]побудинковий звіт'!AA156-'[3]побудинковий звіт'!AA156</f>
        <v>0</v>
      </c>
      <c r="AB156" s="42">
        <f>'[1]побудинковий звіт'!AB156+'[2]побудинковий звіт'!AB156-'[3]побудинковий звіт'!AB156</f>
        <v>0</v>
      </c>
      <c r="AC156" s="56">
        <f t="shared" si="131"/>
        <v>0</v>
      </c>
      <c r="AD156" s="42">
        <f>'[1]побудинковий звіт'!AD156+'[2]побудинковий звіт'!AD156-'[3]побудинковий звіт'!AD156</f>
        <v>0</v>
      </c>
      <c r="AE156" s="42">
        <f>'[1]побудинковий звіт'!AE156+'[2]побудинковий звіт'!AE156-'[3]побудинковий звіт'!AE156</f>
        <v>140.81762891633105</v>
      </c>
      <c r="AF156" s="37">
        <f t="shared" si="132"/>
        <v>140.81762891633105</v>
      </c>
      <c r="AG156" s="87">
        <f t="shared" si="120"/>
        <v>0</v>
      </c>
      <c r="AH156" s="57">
        <f t="shared" si="120"/>
        <v>140.81762891633105</v>
      </c>
      <c r="AI156" s="56">
        <f t="shared" si="133"/>
        <v>140.81762891633105</v>
      </c>
      <c r="AJ156" s="42">
        <f>'[1]побудинковий звіт'!AJ156+'[2]побудинковий звіт'!AJ156-'[3]побудинковий звіт'!AJ156</f>
        <v>0</v>
      </c>
      <c r="AK156" s="42">
        <f>'[1]побудинковий звіт'!AK156+'[2]побудинковий звіт'!AK156-'[3]побудинковий звіт'!AK156</f>
        <v>0</v>
      </c>
      <c r="AL156" s="56">
        <f t="shared" si="134"/>
        <v>0</v>
      </c>
      <c r="AM156" s="42">
        <f>'[1]побудинковий звіт'!AM156+'[2]побудинковий звіт'!AM156-'[3]побудинковий звіт'!AM156</f>
        <v>0</v>
      </c>
      <c r="AN156" s="42">
        <f>'[1]побудинковий звіт'!AN156+'[2]побудинковий звіт'!AN156-'[3]побудинковий звіт'!AN156</f>
        <v>0</v>
      </c>
      <c r="AO156" s="56">
        <f t="shared" si="135"/>
        <v>0</v>
      </c>
      <c r="AP156" s="42">
        <f>'[1]побудинковий звіт'!AP156+'[2]побудинковий звіт'!AP156-'[3]побудинковий звіт'!AP156</f>
        <v>236.75441072341246</v>
      </c>
      <c r="AQ156" s="42">
        <f>'[1]побудинковий звіт'!AQ156+'[2]побудинковий звіт'!AQ156-'[3]побудинковий звіт'!AQ156</f>
        <v>93.429126284801754</v>
      </c>
      <c r="AR156" s="56">
        <f t="shared" si="136"/>
        <v>-143.32528443861071</v>
      </c>
      <c r="AS156" s="42">
        <f>'[1]побудинковий звіт'!AS156+'[2]побудинковий звіт'!AS156-'[3]побудинковий звіт'!AS156</f>
        <v>2652.696404846834</v>
      </c>
      <c r="AT156" s="42">
        <f>'[1]побудинковий звіт'!AT156+'[2]побудинковий звіт'!AT156-'[3]побудинковий звіт'!AT156</f>
        <v>0</v>
      </c>
      <c r="AU156" s="58">
        <f t="shared" si="151"/>
        <v>-2652.696404846834</v>
      </c>
      <c r="AV156" s="42">
        <f>'[1]побудинковий звіт'!AV156+'[2]побудинковий звіт'!AV156-'[3]побудинковий звіт'!AV156</f>
        <v>0</v>
      </c>
      <c r="AW156" s="42">
        <f>'[1]побудинковий звіт'!AW156+'[2]побудинковий звіт'!AW156-'[3]побудинковий звіт'!AW156</f>
        <v>0</v>
      </c>
      <c r="AX156" s="59">
        <f t="shared" si="152"/>
        <v>0</v>
      </c>
      <c r="AY156" s="42">
        <f>'[1]побудинковий звіт'!AY156+'[2]побудинковий звіт'!AY156-'[3]побудинковий звіт'!AY156</f>
        <v>0</v>
      </c>
      <c r="AZ156" s="42">
        <f>'[1]побудинковий звіт'!AZ156+'[2]побудинковий звіт'!AZ156-'[3]побудинковий звіт'!AZ156</f>
        <v>0</v>
      </c>
      <c r="BA156" s="37">
        <f t="shared" si="153"/>
        <v>0</v>
      </c>
      <c r="BB156" s="42">
        <f>'[1]побудинковий звіт'!BB156+'[2]побудинковий звіт'!BB156-'[3]побудинковий звіт'!BB156</f>
        <v>0</v>
      </c>
      <c r="BC156" s="42">
        <f>'[1]побудинковий звіт'!BC156+'[2]побудинковий звіт'!BC156-'[3]побудинковий звіт'!BC156</f>
        <v>0</v>
      </c>
      <c r="BD156" s="59">
        <f t="shared" si="154"/>
        <v>0</v>
      </c>
      <c r="BE156" s="42">
        <f>'[1]побудинковий звіт'!BE156+'[2]побудинковий звіт'!BE156-'[3]побудинковий звіт'!BE156</f>
        <v>0</v>
      </c>
      <c r="BF156" s="42">
        <f>'[1]побудинковий звіт'!BF156+'[2]побудинковий звіт'!BF156-'[3]побудинковий звіт'!BF156</f>
        <v>0</v>
      </c>
      <c r="BG156" s="39">
        <f t="shared" si="155"/>
        <v>0</v>
      </c>
      <c r="BH156" s="42">
        <f>'[1]побудинковий звіт'!BH156+'[2]побудинковий звіт'!BH156-'[3]побудинковий звіт'!BH156</f>
        <v>0</v>
      </c>
      <c r="BI156" s="42">
        <f>'[1]побудинковий звіт'!BI156+'[2]побудинковий звіт'!BI156-'[3]побудинковий звіт'!BI156</f>
        <v>0</v>
      </c>
      <c r="BJ156" s="59">
        <f t="shared" si="156"/>
        <v>0</v>
      </c>
      <c r="BK156" s="42">
        <f>'[1]побудинковий звіт'!BK156+'[2]побудинковий звіт'!BK156-'[3]побудинковий звіт'!BK156</f>
        <v>0</v>
      </c>
      <c r="BL156" s="42">
        <f>'[1]побудинковий звіт'!BL156+'[2]побудинковий звіт'!BL156-'[3]побудинковий звіт'!BL156</f>
        <v>0</v>
      </c>
      <c r="BM156" s="39">
        <f t="shared" si="157"/>
        <v>0</v>
      </c>
      <c r="BN156" s="42">
        <f>'[1]побудинковий звіт'!BN156+'[2]побудинковий звіт'!BN156-'[3]побудинковий звіт'!BN156</f>
        <v>0</v>
      </c>
      <c r="BO156" s="42">
        <f>'[1]побудинковий звіт'!BO156+'[2]побудинковий звіт'!BO156-'[3]побудинковий звіт'!BO156</f>
        <v>0</v>
      </c>
      <c r="BP156" s="59">
        <f t="shared" si="158"/>
        <v>0</v>
      </c>
      <c r="BQ156" s="87">
        <f t="shared" si="176"/>
        <v>0</v>
      </c>
      <c r="BR156" s="43">
        <f t="shared" si="177"/>
        <v>0</v>
      </c>
      <c r="BS156" s="59">
        <f t="shared" si="159"/>
        <v>0</v>
      </c>
      <c r="BT156" s="42">
        <f>'[1]побудинковий звіт'!BT156+'[2]побудинковий звіт'!BT156-'[3]побудинковий звіт'!BT156</f>
        <v>957.08043016790054</v>
      </c>
      <c r="BU156" s="42">
        <f>'[1]побудинковий звіт'!BU156+'[2]побудинковий звіт'!BU156-'[3]побудинковий звіт'!BU156</f>
        <v>1337.4728948058905</v>
      </c>
      <c r="BV156" s="56">
        <f t="shared" si="137"/>
        <v>380.39246463798997</v>
      </c>
      <c r="BW156" s="42">
        <f>'[1]побудинковий звіт'!BW156+'[2]побудинковий звіт'!BW156-'[3]побудинковий звіт'!BW156</f>
        <v>0</v>
      </c>
      <c r="BX156" s="42">
        <f>'[1]побудинковий звіт'!BX156+'[2]побудинковий звіт'!BX156-'[3]побудинковий звіт'!BX156</f>
        <v>6.8099237806202204</v>
      </c>
      <c r="BY156" s="56">
        <f t="shared" si="138"/>
        <v>6.8099237806202204</v>
      </c>
      <c r="BZ156" s="42">
        <f>'[1]побудинковий звіт'!BZ156+'[2]побудинковий звіт'!BZ156-'[3]побудинковий звіт'!BZ156</f>
        <v>0</v>
      </c>
      <c r="CA156" s="42">
        <f>'[1]побудинковий звіт'!CA156+'[2]побудинковий звіт'!CA156-'[3]побудинковий звіт'!CA156</f>
        <v>322.39065385944929</v>
      </c>
      <c r="CB156" s="56">
        <f t="shared" si="139"/>
        <v>322.39065385944929</v>
      </c>
      <c r="CC156" s="42">
        <f>'[1]побудинковий звіт'!CC156+'[2]побудинковий звіт'!CC156-'[3]побудинковий звіт'!CC156</f>
        <v>0</v>
      </c>
      <c r="CD156" s="42">
        <f>'[1]побудинковий звіт'!CD156+'[2]побудинковий звіт'!CD156-'[3]побудинковий звіт'!CD156</f>
        <v>0</v>
      </c>
      <c r="CE156" s="56">
        <f t="shared" si="140"/>
        <v>0</v>
      </c>
      <c r="CF156" s="42">
        <f>'[1]побудинковий звіт'!CF156+'[2]побудинковий звіт'!CF156-'[3]побудинковий звіт'!CF156</f>
        <v>0</v>
      </c>
      <c r="CG156" s="42">
        <f>'[1]побудинковий звіт'!CG156+'[2]побудинковий звіт'!CG156-'[3]побудинковий звіт'!CG156</f>
        <v>0</v>
      </c>
      <c r="CH156" s="56">
        <f t="shared" si="141"/>
        <v>0</v>
      </c>
      <c r="CI156" s="42">
        <f>'[1]побудинковий звіт'!CI156+'[2]побудинковий звіт'!CI156-'[3]побудинковий звіт'!CI156</f>
        <v>0</v>
      </c>
      <c r="CJ156" s="42">
        <f>'[1]побудинковий звіт'!CJ156+'[2]побудинковий звіт'!CJ156-'[3]побудинковий звіт'!CJ156</f>
        <v>0</v>
      </c>
      <c r="CK156" s="56">
        <f t="shared" si="142"/>
        <v>0</v>
      </c>
      <c r="CL156" s="42">
        <f>'[1]побудинковий звіт'!CL156+'[2]побудинковий звіт'!CL156-'[3]побудинковий звіт'!CL156</f>
        <v>0</v>
      </c>
      <c r="CM156" s="42">
        <f>'[1]побудинковий звіт'!CM156+'[2]побудинковий звіт'!CM156-'[3]побудинковий звіт'!CM156</f>
        <v>0</v>
      </c>
      <c r="CN156" s="56">
        <f t="shared" si="143"/>
        <v>0</v>
      </c>
      <c r="CO156" s="42">
        <f t="shared" si="123"/>
        <v>0</v>
      </c>
      <c r="CP156" s="43">
        <f t="shared" si="144"/>
        <v>0</v>
      </c>
      <c r="CQ156" s="56">
        <f t="shared" si="145"/>
        <v>0</v>
      </c>
      <c r="CR156" s="78">
        <f t="shared" si="124"/>
        <v>3846.5312457381469</v>
      </c>
      <c r="CS156" s="5">
        <f t="shared" si="124"/>
        <v>1900.9202276470928</v>
      </c>
      <c r="CT156" s="56">
        <f t="shared" si="146"/>
        <v>-1945.6110180910541</v>
      </c>
      <c r="CU156" s="87">
        <f t="shared" si="147"/>
        <v>4615.8374948857763</v>
      </c>
      <c r="CV156" s="70">
        <f t="shared" si="148"/>
        <v>2281.1042731765115</v>
      </c>
      <c r="CW156" s="37">
        <f t="shared" si="149"/>
        <v>-2334.7332217092649</v>
      </c>
      <c r="CX156" s="42">
        <f>'[1]побудинковий звіт'!CX156+'[2]побудинковий звіт'!CX156-'[3]побудинковий звіт'!CX156</f>
        <v>115.28250511422425</v>
      </c>
      <c r="CY156" s="42">
        <f>'[1]побудинковий звіт'!CY156+'[2]побудинковий звіт'!CY156-'[3]побудинковий звіт'!CY156</f>
        <v>2450.015726823488</v>
      </c>
      <c r="CZ156" s="56">
        <f t="shared" si="150"/>
        <v>2334.7332217092635</v>
      </c>
      <c r="DA156" s="264">
        <f>'[4]побудинковий звіт'!DA156</f>
        <v>-8234.7957460977268</v>
      </c>
      <c r="DB156" s="2">
        <v>1</v>
      </c>
      <c r="DC156" s="717">
        <f>'[4]побудинковий звіт'!DC156</f>
        <v>394.26</v>
      </c>
      <c r="DD156" s="717">
        <f>'[4]побудинковий звіт'!DD156</f>
        <v>0</v>
      </c>
      <c r="DE156" s="717">
        <f>'[4]побудинковий звіт'!DE156</f>
        <v>0</v>
      </c>
      <c r="DF156" s="717">
        <f>'[4]побудинковий звіт'!DF156</f>
        <v>0</v>
      </c>
      <c r="DG156" s="787">
        <v>-5723.4017705669994</v>
      </c>
      <c r="DH156" s="761">
        <f t="shared" si="171"/>
        <v>56773.44000000001</v>
      </c>
      <c r="DI156" s="784"/>
      <c r="DJ156" s="5"/>
      <c r="DK156" s="317">
        <f>VLOOKUP($A156,ціни!$A$4:$G$401,5)</f>
        <v>1.8650399843337748</v>
      </c>
      <c r="DL156" s="317"/>
      <c r="DM156" s="317">
        <f>VLOOKUP($A156,ціни!$A$4:$G$401,7)</f>
        <v>1.8650399843337748</v>
      </c>
      <c r="DN156" s="30">
        <f>F156*DK156</f>
        <v>12909.433763561523</v>
      </c>
      <c r="DO156" s="30">
        <f>H156*DM156</f>
        <v>0</v>
      </c>
      <c r="DP156" s="316">
        <f t="shared" si="162"/>
        <v>12909.433763561523</v>
      </c>
      <c r="DQ156" s="104"/>
      <c r="DR156" s="30">
        <f>VLOOKUP(A156,'ДЗ нас '!$A$1:$C$359,2)</f>
        <v>394.26</v>
      </c>
      <c r="DS156" s="748"/>
      <c r="DT156" s="30">
        <f t="shared" si="163"/>
        <v>394.26</v>
      </c>
      <c r="DU156" s="257">
        <f>VLOOKUP(A156,'новий кошторис с 01.06'!$A$4:$AI$399,35)*1.2</f>
        <v>396.19271831102907</v>
      </c>
      <c r="DV156" s="30">
        <f t="shared" si="164"/>
        <v>-1.9327183110290775</v>
      </c>
      <c r="DW156" s="930">
        <f>'[5]побудинковий звіт'!DW156+'[6]побудинковий звіт'!DW156</f>
        <v>204</v>
      </c>
      <c r="DY156" s="5">
        <f t="shared" si="167"/>
        <v>3183.2356858162007</v>
      </c>
      <c r="DZ156" s="5">
        <f t="shared" si="168"/>
        <v>0</v>
      </c>
      <c r="EA156" s="752">
        <f t="shared" si="172"/>
        <v>0</v>
      </c>
      <c r="EC156" s="592">
        <f t="shared" si="169"/>
        <v>31832.356858162006</v>
      </c>
      <c r="EE156" s="758">
        <v>-2580</v>
      </c>
      <c r="EF156" s="738">
        <f t="shared" si="170"/>
        <v>-8303.4017705669994</v>
      </c>
      <c r="EH156" s="813">
        <v>-6162.739910991645</v>
      </c>
    </row>
    <row r="157" spans="1:138" x14ac:dyDescent="0.3">
      <c r="A157" s="328">
        <v>150001029</v>
      </c>
      <c r="B157" s="44" t="s">
        <v>608</v>
      </c>
      <c r="C157" s="45" t="s">
        <v>368</v>
      </c>
      <c r="D157" s="45" t="s">
        <v>368</v>
      </c>
      <c r="E157" s="40">
        <f t="shared" si="175"/>
        <v>320.5</v>
      </c>
      <c r="F157" s="490">
        <v>320.5</v>
      </c>
      <c r="G157" s="30">
        <v>926.05</v>
      </c>
      <c r="H157" s="30">
        <v>0</v>
      </c>
      <c r="I157" s="42">
        <f>'[1]побудинковий звіт'!I157+'[2]побудинковий звіт'!I157-'[3]побудинковий звіт'!I157</f>
        <v>20625.612762451961</v>
      </c>
      <c r="J157" s="42">
        <f>'[1]побудинковий звіт'!J157+'[2]побудинковий звіт'!J157-'[3]побудинковий звіт'!J157</f>
        <v>17614.144973187231</v>
      </c>
      <c r="K157" s="56">
        <f t="shared" si="125"/>
        <v>-3011.4677892647305</v>
      </c>
      <c r="L157" s="42">
        <f>'[1]побудинковий звіт'!L157+'[2]побудинковий звіт'!L157-'[3]побудинковий звіт'!L157</f>
        <v>3527.0897913507783</v>
      </c>
      <c r="M157" s="42">
        <f>'[1]побудинковий звіт'!M157+'[2]побудинковий звіт'!M157-'[3]побудинковий звіт'!M157</f>
        <v>3279.8498518263546</v>
      </c>
      <c r="N157" s="56">
        <f t="shared" si="126"/>
        <v>-247.23993952442379</v>
      </c>
      <c r="O157" s="42">
        <f>'[1]побудинковий звіт'!O157+'[2]побудинковий звіт'!O157-'[3]побудинковий звіт'!O157</f>
        <v>12571.92</v>
      </c>
      <c r="P157" s="42">
        <f>'[1]побудинковий звіт'!P157+'[2]побудинковий звіт'!P157-'[3]побудинковий звіт'!P157</f>
        <v>9882.1696826612897</v>
      </c>
      <c r="Q157" s="56">
        <f t="shared" si="127"/>
        <v>-2689.7503173387104</v>
      </c>
      <c r="R157" s="42">
        <f>'[1]побудинковий звіт'!R157+'[2]побудинковий звіт'!R157-'[3]побудинковий звіт'!R157</f>
        <v>2342.64</v>
      </c>
      <c r="S157" s="42">
        <f>'[1]побудинковий звіт'!S157+'[2]побудинковий звіт'!S157-'[3]побудинковий звіт'!S157</f>
        <v>1840.9497936827956</v>
      </c>
      <c r="T157" s="56">
        <f t="shared" si="128"/>
        <v>-501.69020631720423</v>
      </c>
      <c r="U157" s="42">
        <f>'[1]побудинковий звіт'!U157+'[2]побудинковий звіт'!U157-'[3]побудинковий звіт'!U157</f>
        <v>3457.4511614254002</v>
      </c>
      <c r="V157" s="42">
        <f>'[1]побудинковий звіт'!V157+'[2]побудинковий звіт'!V157-'[3]побудинковий звіт'!V157</f>
        <v>1279.3410068827004</v>
      </c>
      <c r="W157" s="56">
        <f t="shared" si="129"/>
        <v>-2178.1101545427</v>
      </c>
      <c r="X157" s="42">
        <f>'[1]побудинковий звіт'!X157+'[2]побудинковий звіт'!X157-'[3]побудинковий звіт'!X157</f>
        <v>15615.975099385087</v>
      </c>
      <c r="Y157" s="42">
        <f>'[1]побудинковий звіт'!Y157+'[2]побудинковий звіт'!Y157-'[3]побудинковий звіт'!Y157</f>
        <v>11003.532299743401</v>
      </c>
      <c r="Z157" s="56">
        <f t="shared" si="130"/>
        <v>-4612.4427996416853</v>
      </c>
      <c r="AA157" s="42">
        <f>'[1]побудинковий звіт'!AA157+'[2]побудинковий звіт'!AA157-'[3]побудинковий звіт'!AA157</f>
        <v>0</v>
      </c>
      <c r="AB157" s="42">
        <f>'[1]побудинковий звіт'!AB157+'[2]побудинковий звіт'!AB157-'[3]побудинковий звіт'!AB157</f>
        <v>0</v>
      </c>
      <c r="AC157" s="56">
        <f t="shared" si="131"/>
        <v>0</v>
      </c>
      <c r="AD157" s="42">
        <f>'[1]побудинковий звіт'!AD157+'[2]побудинковий звіт'!AD157-'[3]побудинковий звіт'!AD157</f>
        <v>31748.476717193204</v>
      </c>
      <c r="AE157" s="42">
        <f>'[1]побудинковий звіт'!AE157+'[2]побудинковий звіт'!AE157-'[3]побудинковий звіт'!AE157</f>
        <v>29262.154511886194</v>
      </c>
      <c r="AF157" s="37">
        <f t="shared" si="132"/>
        <v>-2486.3222053070094</v>
      </c>
      <c r="AG157" s="87">
        <f t="shared" si="120"/>
        <v>89889.165531806429</v>
      </c>
      <c r="AH157" s="57">
        <f t="shared" si="120"/>
        <v>74162.142119869968</v>
      </c>
      <c r="AI157" s="56">
        <f t="shared" si="133"/>
        <v>-15727.023411936461</v>
      </c>
      <c r="AJ157" s="42">
        <f>'[1]побудинковий звіт'!AJ157+'[2]побудинковий звіт'!AJ157-'[3]побудинковий звіт'!AJ157</f>
        <v>70965.223866981061</v>
      </c>
      <c r="AK157" s="42">
        <f>'[1]побудинковий звіт'!AK157+'[2]побудинковий звіт'!AK157-'[3]побудинковий звіт'!AK157</f>
        <v>70340.916654676301</v>
      </c>
      <c r="AL157" s="56">
        <f t="shared" si="134"/>
        <v>-624.30721230476047</v>
      </c>
      <c r="AM157" s="42">
        <f>'[1]побудинковий звіт'!AM157+'[2]побудинковий звіт'!AM157-'[3]побудинковий звіт'!AM157</f>
        <v>0</v>
      </c>
      <c r="AN157" s="42">
        <f>'[1]побудинковий звіт'!AN157+'[2]побудинковий звіт'!AN157-'[3]побудинковий звіт'!AN157</f>
        <v>1564.7535825027112</v>
      </c>
      <c r="AO157" s="56">
        <f t="shared" si="135"/>
        <v>1564.7535825027112</v>
      </c>
      <c r="AP157" s="42">
        <f>'[1]побудинковий звіт'!AP157+'[2]побудинковий звіт'!AP157-'[3]побудинковий звіт'!AP157</f>
        <v>5682.1058573618993</v>
      </c>
      <c r="AQ157" s="42">
        <f>'[1]побудинковий звіт'!AQ157+'[2]побудинковий звіт'!AQ157-'[3]побудинковий звіт'!AQ157</f>
        <v>5497.4941106324923</v>
      </c>
      <c r="AR157" s="56">
        <f t="shared" si="136"/>
        <v>-184.61174672940706</v>
      </c>
      <c r="AS157" s="42">
        <f>'[1]побудинковий звіт'!AS157+'[2]побудинковий звіт'!AS157-'[3]побудинковий звіт'!AS157</f>
        <v>129933.42574774713</v>
      </c>
      <c r="AT157" s="42">
        <f>'[1]побудинковий звіт'!AT157+'[2]побудинковий звіт'!AT157-'[3]побудинковий звіт'!AT157</f>
        <v>118024.99999999999</v>
      </c>
      <c r="AU157" s="58">
        <f t="shared" si="151"/>
        <v>-11908.42574774714</v>
      </c>
      <c r="AV157" s="42">
        <f>'[1]побудинковий звіт'!AV157+'[2]побудинковий звіт'!AV157-'[3]побудинковий звіт'!AV157</f>
        <v>1713.6354169913027</v>
      </c>
      <c r="AW157" s="42">
        <f>'[1]побудинковий звіт'!AW157+'[2]побудинковий звіт'!AW157-'[3]побудинковий звіт'!AW157</f>
        <v>6907.0000000000018</v>
      </c>
      <c r="AX157" s="59">
        <f t="shared" si="152"/>
        <v>5193.3645830086989</v>
      </c>
      <c r="AY157" s="42">
        <f>'[1]побудинковий звіт'!AY157+'[2]побудинковий звіт'!AY157-'[3]побудинковий звіт'!AY157</f>
        <v>2341.9396050431133</v>
      </c>
      <c r="AZ157" s="42">
        <f>'[1]побудинковий звіт'!AZ157+'[2]побудинковий звіт'!AZ157-'[3]побудинковий звіт'!AZ157</f>
        <v>15254.999999999998</v>
      </c>
      <c r="BA157" s="37">
        <f t="shared" si="153"/>
        <v>12913.060394956885</v>
      </c>
      <c r="BB157" s="42">
        <f>'[1]побудинковий звіт'!BB157+'[2]побудинковий звіт'!BB157-'[3]побудинковий звіт'!BB157</f>
        <v>2746.7723477039435</v>
      </c>
      <c r="BC157" s="42">
        <f>'[1]побудинковий звіт'!BC157+'[2]побудинковий звіт'!BC157-'[3]побудинковий звіт'!BC157</f>
        <v>0</v>
      </c>
      <c r="BD157" s="59">
        <f t="shared" si="154"/>
        <v>-2746.7723477039435</v>
      </c>
      <c r="BE157" s="42">
        <f>'[1]побудинковий звіт'!BE157+'[2]побудинковий звіт'!BE157-'[3]побудинковий звіт'!BE157</f>
        <v>1143.8677440355241</v>
      </c>
      <c r="BF157" s="42">
        <f>'[1]побудинковий звіт'!BF157+'[2]побудинковий звіт'!BF157-'[3]побудинковий звіт'!BF157</f>
        <v>0</v>
      </c>
      <c r="BG157" s="39">
        <f t="shared" si="155"/>
        <v>-1143.8677440355241</v>
      </c>
      <c r="BH157" s="42">
        <f>'[1]побудинковий звіт'!BH157+'[2]побудинковий звіт'!BH157-'[3]побудинковий звіт'!BH157</f>
        <v>1753.9358039059116</v>
      </c>
      <c r="BI157" s="42">
        <f>'[1]побудинковий звіт'!BI157+'[2]побудинковий звіт'!BI157-'[3]побудинковий звіт'!BI157</f>
        <v>0</v>
      </c>
      <c r="BJ157" s="59">
        <f t="shared" si="156"/>
        <v>-1753.9358039059116</v>
      </c>
      <c r="BK157" s="42">
        <f>'[1]побудинковий звіт'!BK157+'[2]побудинковий звіт'!BK157-'[3]побудинковий звіт'!BK157</f>
        <v>1388.5686105247341</v>
      </c>
      <c r="BL157" s="42">
        <f>'[1]побудинковий звіт'!BL157+'[2]побудинковий звіт'!BL157-'[3]побудинковий звіт'!BL157</f>
        <v>17991</v>
      </c>
      <c r="BM157" s="39">
        <f t="shared" si="157"/>
        <v>16602.431389475267</v>
      </c>
      <c r="BN157" s="42">
        <f>'[1]побудинковий звіт'!BN157+'[2]побудинковий звіт'!BN157-'[3]побудинковий звіт'!BN157</f>
        <v>858.12972459995842</v>
      </c>
      <c r="BO157" s="42">
        <f>'[1]побудинковий звіт'!BO157+'[2]побудинковий звіт'!BO157-'[3]побудинковий звіт'!BO157</f>
        <v>0</v>
      </c>
      <c r="BP157" s="59">
        <f t="shared" si="158"/>
        <v>-858.12972459995842</v>
      </c>
      <c r="BQ157" s="87">
        <f t="shared" si="176"/>
        <v>11946.849252804486</v>
      </c>
      <c r="BR157" s="43">
        <f t="shared" si="177"/>
        <v>40153</v>
      </c>
      <c r="BS157" s="59">
        <f t="shared" si="159"/>
        <v>28206.150747195512</v>
      </c>
      <c r="BT157" s="42">
        <f>'[1]побудинковий звіт'!BT157+'[2]побудинковий звіт'!BT157-'[3]побудинковий звіт'!BT157</f>
        <v>109494.17865597284</v>
      </c>
      <c r="BU157" s="42">
        <f>'[1]побудинковий звіт'!BU157+'[2]побудинковий звіт'!BU157-'[3]побудинковий звіт'!BU157</f>
        <v>141209.43778133625</v>
      </c>
      <c r="BV157" s="56">
        <f t="shared" si="137"/>
        <v>31715.259125363416</v>
      </c>
      <c r="BW157" s="42">
        <f>'[1]побудинковий звіт'!BW157+'[2]побудинковий звіт'!BW157-'[3]побудинковий звіт'!BW157</f>
        <v>43464.953605292132</v>
      </c>
      <c r="BX157" s="42">
        <f>'[1]побудинковий звіт'!BX157+'[2]побудинковий звіт'!BX157-'[3]побудинковий звіт'!BX157</f>
        <v>49163.635934871338</v>
      </c>
      <c r="BY157" s="56">
        <f t="shared" si="138"/>
        <v>5698.6823295792055</v>
      </c>
      <c r="BZ157" s="42">
        <f>'[1]побудинковий звіт'!BZ157+'[2]побудинковий звіт'!BZ157-'[3]побудинковий звіт'!BZ157</f>
        <v>38951.713566453254</v>
      </c>
      <c r="CA157" s="42">
        <f>'[1]побудинковий звіт'!CA157+'[2]побудинковий звіт'!CA157-'[3]побудинковий звіт'!CA157</f>
        <v>34820.9391168781</v>
      </c>
      <c r="CB157" s="56">
        <f t="shared" si="139"/>
        <v>-4130.774449575154</v>
      </c>
      <c r="CC157" s="42">
        <f>'[1]побудинковий звіт'!CC157+'[2]побудинковий звіт'!CC157-'[3]побудинковий звіт'!CC157</f>
        <v>2207.1705688944967</v>
      </c>
      <c r="CD157" s="42">
        <f>'[1]побудинковий звіт'!CD157+'[2]побудинковий звіт'!CD157-'[3]побудинковий звіт'!CD157</f>
        <v>2187.7578797287324</v>
      </c>
      <c r="CE157" s="56">
        <f t="shared" si="140"/>
        <v>-19.412689165764277</v>
      </c>
      <c r="CF157" s="42">
        <f>'[1]побудинковий звіт'!CF157+'[2]побудинковий звіт'!CF157-'[3]побудинковий звіт'!CF157</f>
        <v>271.71607382223914</v>
      </c>
      <c r="CG157" s="42">
        <f>'[1]побудинковий звіт'!CG157+'[2]побудинковий звіт'!CG157-'[3]побудинковий звіт'!CG157</f>
        <v>0</v>
      </c>
      <c r="CH157" s="56">
        <f t="shared" si="141"/>
        <v>-271.71607382223914</v>
      </c>
      <c r="CI157" s="42">
        <f>'[1]побудинковий звіт'!CI157+'[2]побудинковий звіт'!CI157-'[3]побудинковий звіт'!CI157</f>
        <v>25979.924945942679</v>
      </c>
      <c r="CJ157" s="42">
        <f>'[1]побудинковий звіт'!CJ157+'[2]побудинковий звіт'!CJ157-'[3]побудинковий звіт'!CJ157</f>
        <v>18357.439244631736</v>
      </c>
      <c r="CK157" s="56">
        <f t="shared" si="142"/>
        <v>-7622.4857013109431</v>
      </c>
      <c r="CL157" s="42">
        <f>'[1]побудинковий звіт'!CL157+'[2]побудинковий звіт'!CL157-'[3]побудинковий звіт'!CL157</f>
        <v>10668.98935099952</v>
      </c>
      <c r="CM157" s="42">
        <f>'[1]побудинковий звіт'!CM157+'[2]побудинковий звіт'!CM157-'[3]побудинковий звіт'!CM157</f>
        <v>12654.607260542612</v>
      </c>
      <c r="CN157" s="56">
        <f t="shared" si="143"/>
        <v>1985.6179095430925</v>
      </c>
      <c r="CO157" s="42">
        <f t="shared" si="123"/>
        <v>36648.914296942196</v>
      </c>
      <c r="CP157" s="43">
        <f t="shared" si="144"/>
        <v>31012.046505174349</v>
      </c>
      <c r="CQ157" s="56">
        <f t="shared" si="145"/>
        <v>-5636.8677917678469</v>
      </c>
      <c r="CR157" s="78">
        <f t="shared" si="124"/>
        <v>539455.41702407808</v>
      </c>
      <c r="CS157" s="5">
        <f t="shared" si="124"/>
        <v>568137.1236856702</v>
      </c>
      <c r="CT157" s="56">
        <f t="shared" si="146"/>
        <v>28681.706661592121</v>
      </c>
      <c r="CU157" s="87">
        <f t="shared" si="147"/>
        <v>647346.50042889372</v>
      </c>
      <c r="CV157" s="70">
        <f t="shared" si="148"/>
        <v>681764.54842280422</v>
      </c>
      <c r="CW157" s="37">
        <f t="shared" si="149"/>
        <v>34418.047993910499</v>
      </c>
      <c r="CX157" s="42">
        <f>'[1]побудинковий звіт'!CX157+'[2]побудинковий звіт'!CX157-'[3]побудинковий звіт'!CX157</f>
        <v>16137.339571106248</v>
      </c>
      <c r="CY157" s="42">
        <f>'[1]побудинковий звіт'!CY157+'[2]побудинковий звіт'!CY157-'[3]побудинковий звіт'!CY157</f>
        <v>-18280.708422804273</v>
      </c>
      <c r="CZ157" s="56">
        <f t="shared" si="150"/>
        <v>-34418.047993910521</v>
      </c>
      <c r="DA157" s="264">
        <f>'[4]побудинковий звіт'!DA157</f>
        <v>-760.65421834344306</v>
      </c>
      <c r="DB157" s="2">
        <v>1</v>
      </c>
      <c r="DC157" s="717">
        <f>'[4]побудинковий звіт'!DC157</f>
        <v>123037.26</v>
      </c>
      <c r="DD157" s="717">
        <f>'[4]побудинковий звіт'!DD157</f>
        <v>0</v>
      </c>
      <c r="DE157" s="717">
        <f>'[4]побудинковий звіт'!DE157</f>
        <v>67746.94</v>
      </c>
      <c r="DF157" s="717">
        <f>'[4]побудинковий звіт'!DF157</f>
        <v>0</v>
      </c>
      <c r="DG157" s="787">
        <v>-9605.9169250538107</v>
      </c>
      <c r="DH157" s="761">
        <f t="shared" si="171"/>
        <v>7961806.0800000001</v>
      </c>
      <c r="DI157" s="784"/>
      <c r="DJ157" s="5"/>
      <c r="DK157" s="317">
        <f>VLOOKUP($A157,ціни!$A$4:$G$401,5)</f>
        <v>6.3200055743525345</v>
      </c>
      <c r="DL157" s="317">
        <f>VLOOKUP($A157,ціни!$A$4:$G$401,6)</f>
        <v>7.6075024938781581</v>
      </c>
      <c r="DM157" s="317">
        <f>VLOOKUP($A157,ціни!$A$4:$G$401,7)</f>
        <v>5.7199924102816881</v>
      </c>
      <c r="DN157" s="30">
        <f>DK157*G157+(F157-G157)*DL157</f>
        <v>1245.9180269612461</v>
      </c>
      <c r="DO157" s="30">
        <f>DM157*H157</f>
        <v>0</v>
      </c>
      <c r="DP157" s="316">
        <f t="shared" si="162"/>
        <v>1245.9180269612461</v>
      </c>
      <c r="DQ157" s="104"/>
      <c r="DR157" s="30">
        <f>VLOOKUP(A157,'ДЗ нас '!$A$1:$C$359,2)</f>
        <v>55290.32</v>
      </c>
      <c r="DS157" s="748"/>
      <c r="DT157" s="30">
        <f t="shared" si="163"/>
        <v>55290.32</v>
      </c>
      <c r="DU157" s="257">
        <f>VLOOKUP(A157,'новий кошторис с 01.06'!$A$4:$AI$399,35)*1.2</f>
        <v>55563.907953480055</v>
      </c>
      <c r="DV157" s="30">
        <f t="shared" si="164"/>
        <v>-273.58795348005515</v>
      </c>
      <c r="DW157" s="930">
        <f>'[5]побудинковий звіт'!DW157+'[6]побудинковий звіт'!DW157</f>
        <v>232</v>
      </c>
      <c r="DY157" s="5">
        <f t="shared" si="167"/>
        <v>170256.33000066192</v>
      </c>
      <c r="DZ157" s="5">
        <f t="shared" si="168"/>
        <v>189813.6</v>
      </c>
      <c r="EA157" s="752">
        <f t="shared" si="172"/>
        <v>67746.94</v>
      </c>
      <c r="EC157" s="592">
        <f t="shared" si="169"/>
        <v>1559201.1089729655</v>
      </c>
      <c r="EE157" s="758">
        <v>-13294</v>
      </c>
      <c r="EF157" s="738">
        <f t="shared" si="170"/>
        <v>-22899.916925053811</v>
      </c>
      <c r="EH157" s="813">
        <v>30549.220052319804</v>
      </c>
    </row>
    <row r="158" spans="1:138" x14ac:dyDescent="0.3">
      <c r="A158" s="328">
        <v>150001030</v>
      </c>
      <c r="B158" s="44" t="s">
        <v>609</v>
      </c>
      <c r="C158" s="45" t="s">
        <v>335</v>
      </c>
      <c r="D158" s="45" t="s">
        <v>335</v>
      </c>
      <c r="E158" s="40">
        <f t="shared" si="175"/>
        <v>11582.12</v>
      </c>
      <c r="F158" s="490">
        <v>11582.12</v>
      </c>
      <c r="G158" s="30">
        <v>715.15</v>
      </c>
      <c r="H158" s="30">
        <v>0</v>
      </c>
      <c r="I158" s="42">
        <f>'[1]побудинковий звіт'!I158+'[2]побудинковий звіт'!I158-'[3]побудинковий звіт'!I158</f>
        <v>10107.397816381092</v>
      </c>
      <c r="J158" s="42">
        <f>'[1]побудинковий звіт'!J158+'[2]побудинковий звіт'!J158-'[3]побудинковий звіт'!J158</f>
        <v>8851.0127025785496</v>
      </c>
      <c r="K158" s="56">
        <f t="shared" si="125"/>
        <v>-1256.385113802542</v>
      </c>
      <c r="L158" s="42">
        <f>'[1]побудинковий звіт'!L158+'[2]побудинковий звіт'!L158-'[3]побудинковий звіт'!L158</f>
        <v>2818.7126271354537</v>
      </c>
      <c r="M158" s="42">
        <f>'[1]побудинковий звіт'!M158+'[2]побудинковий звіт'!M158-'[3]побудинковий звіт'!M158</f>
        <v>2614.9922710361357</v>
      </c>
      <c r="N158" s="56">
        <f t="shared" si="126"/>
        <v>-203.720356099318</v>
      </c>
      <c r="O158" s="42">
        <f>'[1]побудинковий звіт'!O158+'[2]побудинковий звіт'!O158-'[3]побудинковий звіт'!O158</f>
        <v>9513.8399999999983</v>
      </c>
      <c r="P158" s="42">
        <f>'[1]побудинковий звіт'!P158+'[2]побудинковий звіт'!P158-'[3]побудинковий звіт'!P158</f>
        <v>7478.1553547043004</v>
      </c>
      <c r="Q158" s="56">
        <f t="shared" si="127"/>
        <v>-2035.6846452956979</v>
      </c>
      <c r="R158" s="42">
        <f>'[1]побудинковий звіт'!R158+'[2]побудинковий звіт'!R158-'[3]побудинковий звіт'!R158</f>
        <v>1938.3600000000001</v>
      </c>
      <c r="S158" s="42">
        <f>'[1]побудинковий звіт'!S158+'[2]побудинковий звіт'!S158-'[3]побудинковий звіт'!S158</f>
        <v>1523.2530844086025</v>
      </c>
      <c r="T158" s="56">
        <f t="shared" si="128"/>
        <v>-415.10691559139764</v>
      </c>
      <c r="U158" s="42">
        <f>'[1]побудинковий звіт'!U158+'[2]побудинковий звіт'!U158-'[3]побудинковий звіт'!U158</f>
        <v>1090.3641185913455</v>
      </c>
      <c r="V158" s="42">
        <f>'[1]побудинковий звіт'!V158+'[2]побудинковий звіт'!V158-'[3]побудинковий звіт'!V158</f>
        <v>400.62746271322453</v>
      </c>
      <c r="W158" s="56">
        <f t="shared" si="129"/>
        <v>-689.73665587812093</v>
      </c>
      <c r="X158" s="42">
        <f>'[1]побудинковий звіт'!X158+'[2]побудинковий звіт'!X158-'[3]побудинковий звіт'!X158</f>
        <v>12834.718424181272</v>
      </c>
      <c r="Y158" s="42">
        <f>'[1]побудинковий звіт'!Y158+'[2]побудинковий звіт'!Y158-'[3]побудинковий звіт'!Y158</f>
        <v>8753.788665021817</v>
      </c>
      <c r="Z158" s="56">
        <f t="shared" si="130"/>
        <v>-4080.929759159455</v>
      </c>
      <c r="AA158" s="42">
        <f>'[1]побудинковий звіт'!AA158+'[2]побудинковий звіт'!AA158-'[3]побудинковий звіт'!AA158</f>
        <v>0</v>
      </c>
      <c r="AB158" s="42">
        <f>'[1]побудинковий звіт'!AB158+'[2]побудинковий звіт'!AB158-'[3]побудинковий звіт'!AB158</f>
        <v>0</v>
      </c>
      <c r="AC158" s="56">
        <f t="shared" si="131"/>
        <v>0</v>
      </c>
      <c r="AD158" s="42">
        <f>'[1]побудинковий звіт'!AD158+'[2]побудинковий звіт'!AD158-'[3]побудинковий звіт'!AD158</f>
        <v>26192.675014524557</v>
      </c>
      <c r="AE158" s="42">
        <f>'[1]побудинковий звіт'!AE158+'[2]побудинковий звіт'!AE158-'[3]побудинковий звіт'!AE158</f>
        <v>24141.614091451058</v>
      </c>
      <c r="AF158" s="37">
        <f t="shared" si="132"/>
        <v>-2051.060923073499</v>
      </c>
      <c r="AG158" s="87">
        <f t="shared" si="120"/>
        <v>64496.068000813713</v>
      </c>
      <c r="AH158" s="57">
        <f t="shared" si="120"/>
        <v>53763.443631913688</v>
      </c>
      <c r="AI158" s="56">
        <f t="shared" si="133"/>
        <v>-10732.624368900026</v>
      </c>
      <c r="AJ158" s="42">
        <f>'[1]побудинковий звіт'!AJ158+'[2]побудинковий звіт'!AJ158-'[3]побудинковий звіт'!AJ158</f>
        <v>74280.498665686988</v>
      </c>
      <c r="AK158" s="42">
        <f>'[1]побудинковий звіт'!AK158+'[2]побудинковий звіт'!AK158-'[3]побудинковий звіт'!AK158</f>
        <v>73627.054435300844</v>
      </c>
      <c r="AL158" s="56">
        <f t="shared" si="134"/>
        <v>-653.44423038614332</v>
      </c>
      <c r="AM158" s="42">
        <f>'[1]побудинковий звіт'!AM158+'[2]побудинковий звіт'!AM158-'[3]побудинковий звіт'!AM158</f>
        <v>0</v>
      </c>
      <c r="AN158" s="42">
        <f>'[1]побудинковий звіт'!AN158+'[2]побудинковий звіт'!AN158-'[3]побудинковий звіт'!AN158</f>
        <v>1174.1282139654638</v>
      </c>
      <c r="AO158" s="56">
        <f t="shared" si="135"/>
        <v>1174.1282139654638</v>
      </c>
      <c r="AP158" s="42">
        <f>'[1]побудинковий звіт'!AP158+'[2]побудинковий звіт'!AP158-'[3]побудинковий звіт'!AP158</f>
        <v>4829.7899787576134</v>
      </c>
      <c r="AQ158" s="42">
        <f>'[1]побудинковий звіт'!AQ158+'[2]побудинковий звіт'!AQ158-'[3]побудинковий звіт'!AQ158</f>
        <v>4720.7358124040111</v>
      </c>
      <c r="AR158" s="56">
        <f t="shared" si="136"/>
        <v>-109.05416635360234</v>
      </c>
      <c r="AS158" s="42">
        <f>'[1]побудинковий звіт'!AS158+'[2]побудинковий звіт'!AS158-'[3]побудинковий звіт'!AS158</f>
        <v>115620.46434241463</v>
      </c>
      <c r="AT158" s="42">
        <f>'[1]побудинковий звіт'!AT158+'[2]побудинковий звіт'!AT158-'[3]побудинковий звіт'!AT158</f>
        <v>8929.4629753040117</v>
      </c>
      <c r="AU158" s="58">
        <f t="shared" si="151"/>
        <v>-106691.00136711063</v>
      </c>
      <c r="AV158" s="42">
        <f>'[1]побудинковий звіт'!AV158+'[2]побудинковий звіт'!AV158-'[3]побудинковий звіт'!AV158</f>
        <v>518.65821468004685</v>
      </c>
      <c r="AW158" s="42">
        <f>'[1]побудинковий звіт'!AW158+'[2]побудинковий звіт'!AW158-'[3]побудинковий звіт'!AW158</f>
        <v>659</v>
      </c>
      <c r="AX158" s="59">
        <f t="shared" si="152"/>
        <v>140.34178531995315</v>
      </c>
      <c r="AY158" s="42">
        <f>'[1]побудинковий звіт'!AY158+'[2]побудинковий звіт'!AY158-'[3]побудинковий звіт'!AY158</f>
        <v>720.85312188444175</v>
      </c>
      <c r="AZ158" s="42">
        <f>'[1]побудинковий звіт'!AZ158+'[2]побудинковий звіт'!AZ158-'[3]побудинковий звіт'!AZ158</f>
        <v>7923</v>
      </c>
      <c r="BA158" s="37">
        <f t="shared" si="153"/>
        <v>7202.1468781155581</v>
      </c>
      <c r="BB158" s="42">
        <f>'[1]побудинковий звіт'!BB158+'[2]побудинковий звіт'!BB158-'[3]побудинковий звіт'!BB158</f>
        <v>468.10980607454405</v>
      </c>
      <c r="BC158" s="42">
        <f>'[1]побудинковий звіт'!BC158+'[2]побудинковий звіт'!BC158-'[3]побудинковий звіт'!BC158</f>
        <v>0</v>
      </c>
      <c r="BD158" s="59">
        <f t="shared" si="154"/>
        <v>-468.10980607454405</v>
      </c>
      <c r="BE158" s="42">
        <f>'[1]побудинковий звіт'!BE158+'[2]побудинковий звіт'!BE158-'[3]побудинковий звіт'!BE158</f>
        <v>384.09316315831461</v>
      </c>
      <c r="BF158" s="42">
        <f>'[1]побудинковий звіт'!BF158+'[2]побудинковий звіт'!BF158-'[3]побудинковий звіт'!BF158</f>
        <v>0</v>
      </c>
      <c r="BG158" s="39">
        <f t="shared" si="155"/>
        <v>-384.09316315831461</v>
      </c>
      <c r="BH158" s="42">
        <f>'[1]побудинковий звіт'!BH158+'[2]побудинковий звіт'!BH158-'[3]побудинковий звіт'!BH158</f>
        <v>331.91870979101282</v>
      </c>
      <c r="BI158" s="42">
        <f>'[1]побудинковий звіт'!BI158+'[2]побудинковий звіт'!BI158-'[3]побудинковий звіт'!BI158</f>
        <v>0</v>
      </c>
      <c r="BJ158" s="59">
        <f t="shared" si="156"/>
        <v>-331.91870979101282</v>
      </c>
      <c r="BK158" s="42">
        <f>'[1]побудинковий звіт'!BK158+'[2]побудинковий звіт'!BK158-'[3]побудинковий звіт'!BK158</f>
        <v>471.86814018867574</v>
      </c>
      <c r="BL158" s="42">
        <f>'[1]побудинковий звіт'!BL158+'[2]побудинковий звіт'!BL158-'[3]побудинковий звіт'!BL158</f>
        <v>552</v>
      </c>
      <c r="BM158" s="39">
        <f t="shared" si="157"/>
        <v>80.131859811324261</v>
      </c>
      <c r="BN158" s="42">
        <f>'[1]побудинковий звіт'!BN158+'[2]побудинковий звіт'!BN158-'[3]побудинковий звіт'!BN158</f>
        <v>1106.6179815768044</v>
      </c>
      <c r="BO158" s="42">
        <f>'[1]побудинковий звіт'!BO158+'[2]побудинковий звіт'!BO158-'[3]побудинковий звіт'!BO158</f>
        <v>0</v>
      </c>
      <c r="BP158" s="59">
        <f t="shared" si="158"/>
        <v>-1106.6179815768044</v>
      </c>
      <c r="BQ158" s="87">
        <f t="shared" si="176"/>
        <v>4002.1191373538395</v>
      </c>
      <c r="BR158" s="43">
        <f t="shared" si="177"/>
        <v>9134</v>
      </c>
      <c r="BS158" s="59">
        <f t="shared" si="159"/>
        <v>5131.8808626461605</v>
      </c>
      <c r="BT158" s="42">
        <f>'[1]побудинковий звіт'!BT158+'[2]побудинковий звіт'!BT158-'[3]побудинковий звіт'!BT158</f>
        <v>85970.439508934505</v>
      </c>
      <c r="BU158" s="42">
        <f>'[1]побудинковий звіт'!BU158+'[2]побудинковий звіт'!BU158-'[3]побудинковий звіт'!BU158</f>
        <v>87635.303777895751</v>
      </c>
      <c r="BV158" s="56">
        <f t="shared" si="137"/>
        <v>1664.8642689612461</v>
      </c>
      <c r="BW158" s="42">
        <f>'[1]побудинковий звіт'!BW158+'[2]побудинковий звіт'!BW158-'[3]побудинковий звіт'!BW158</f>
        <v>38056.09575571031</v>
      </c>
      <c r="BX158" s="42">
        <f>'[1]побудинковий звіт'!BX158+'[2]побудинковий звіт'!BX158-'[3]побудинковий звіт'!BX158</f>
        <v>43607.32996178075</v>
      </c>
      <c r="BY158" s="56">
        <f t="shared" si="138"/>
        <v>5551.2342060704395</v>
      </c>
      <c r="BZ158" s="42">
        <f>'[1]побудинковий звіт'!BZ158+'[2]побудинковий звіт'!BZ158-'[3]побудинковий звіт'!BZ158</f>
        <v>13009.872331195387</v>
      </c>
      <c r="CA158" s="42">
        <f>'[1]побудинковий звіт'!CA158+'[2]побудинковий звіт'!CA158-'[3]побудинковий звіт'!CA158</f>
        <v>22791.241636328097</v>
      </c>
      <c r="CB158" s="56">
        <f t="shared" si="139"/>
        <v>9781.36930513271</v>
      </c>
      <c r="CC158" s="42">
        <f>'[1]побудинковий звіт'!CC158+'[2]побудинковий звіт'!CC158-'[3]побудинковий звіт'!CC158</f>
        <v>2470.7133233893619</v>
      </c>
      <c r="CD158" s="42">
        <f>'[1]побудинковий звіт'!CD158+'[2]побудинковий звіт'!CD158-'[3]побудинковий звіт'!CD158</f>
        <v>2448.9827011888792</v>
      </c>
      <c r="CE158" s="56">
        <f t="shared" si="140"/>
        <v>-21.730622200482685</v>
      </c>
      <c r="CF158" s="42">
        <f>'[1]побудинковий звіт'!CF158+'[2]побудинковий звіт'!CF158-'[3]побудинковий звіт'!CF158</f>
        <v>304.15978412937221</v>
      </c>
      <c r="CG158" s="42">
        <f>'[1]побудинковий звіт'!CG158+'[2]побудинковий звіт'!CG158-'[3]побудинковий звіт'!CG158</f>
        <v>0</v>
      </c>
      <c r="CH158" s="56">
        <f t="shared" si="141"/>
        <v>-304.15978412937221</v>
      </c>
      <c r="CI158" s="42">
        <f>'[1]побудинковий звіт'!CI158+'[2]побудинковий звіт'!CI158-'[3]побудинковий звіт'!CI158</f>
        <v>11848.193437162623</v>
      </c>
      <c r="CJ158" s="42">
        <f>'[1]побудинковий звіт'!CJ158+'[2]побудинковий звіт'!CJ158-'[3]побудинковий звіт'!CJ158</f>
        <v>6355.4594719859479</v>
      </c>
      <c r="CK158" s="56">
        <f t="shared" si="142"/>
        <v>-5492.7339651766752</v>
      </c>
      <c r="CL158" s="42">
        <f>'[1]побудинковий звіт'!CL158+'[2]побудинковий звіт'!CL158-'[3]побудинковий звіт'!CL158</f>
        <v>11005.904804188973</v>
      </c>
      <c r="CM158" s="42">
        <f>'[1]побудинковий звіт'!CM158+'[2]побудинковий звіт'!CM158-'[3]побудинковий звіт'!CM158</f>
        <v>18492.995582307467</v>
      </c>
      <c r="CN158" s="56">
        <f t="shared" si="143"/>
        <v>7487.0907781184942</v>
      </c>
      <c r="CO158" s="42">
        <f t="shared" si="123"/>
        <v>22854.098241351596</v>
      </c>
      <c r="CP158" s="43">
        <f t="shared" si="144"/>
        <v>24848.455054293416</v>
      </c>
      <c r="CQ158" s="56">
        <f t="shared" si="145"/>
        <v>1994.35681294182</v>
      </c>
      <c r="CR158" s="78">
        <f t="shared" si="124"/>
        <v>425894.31906973734</v>
      </c>
      <c r="CS158" s="5">
        <f t="shared" si="124"/>
        <v>332680.1382003749</v>
      </c>
      <c r="CT158" s="56">
        <f t="shared" si="146"/>
        <v>-93214.180869362433</v>
      </c>
      <c r="CU158" s="87">
        <f t="shared" si="147"/>
        <v>511073.18288368476</v>
      </c>
      <c r="CV158" s="70">
        <f t="shared" si="148"/>
        <v>399216.16584044986</v>
      </c>
      <c r="CW158" s="37">
        <f t="shared" si="149"/>
        <v>-111857.0170432349</v>
      </c>
      <c r="CX158" s="42">
        <f>'[1]побудинковий звіт'!CX158+'[2]побудинковий звіт'!CX158-'[3]побудинковий звіт'!CX158</f>
        <v>7635.0371163152086</v>
      </c>
      <c r="CY158" s="42">
        <f>'[1]побудинковий звіт'!CY158+'[2]побудинковий звіт'!CY158-'[3]побудинковий звіт'!CY158</f>
        <v>119492.05415955016</v>
      </c>
      <c r="CZ158" s="56">
        <f t="shared" si="150"/>
        <v>111857.01704323496</v>
      </c>
      <c r="DA158" s="264">
        <f>'[4]побудинковий звіт'!DA158</f>
        <v>15711.448066805431</v>
      </c>
      <c r="DB158" s="2">
        <v>1</v>
      </c>
      <c r="DC158" s="717">
        <f>'[4]побудинковий звіт'!DC158</f>
        <v>65368.26</v>
      </c>
      <c r="DD158" s="717">
        <f>'[4]побудинковий звіт'!DD158</f>
        <v>0</v>
      </c>
      <c r="DE158" s="717">
        <f>'[4]побудинковий звіт'!DE158</f>
        <v>22143.480000000003</v>
      </c>
      <c r="DF158" s="717">
        <f>'[4]побудинковий звіт'!DF158</f>
        <v>0</v>
      </c>
      <c r="DG158" s="787">
        <v>-32679.032591189025</v>
      </c>
      <c r="DH158" s="761">
        <f t="shared" si="171"/>
        <v>6224498.6399999997</v>
      </c>
      <c r="DI158" s="784"/>
      <c r="DJ158" s="5"/>
      <c r="DK158" s="317">
        <f>VLOOKUP($A158,ціни!$A$4:$G$401,5)</f>
        <v>5.6436686827549165</v>
      </c>
      <c r="DL158" s="317">
        <f>VLOOKUP($A158,ціни!$A$4:$G$401,6)</f>
        <v>7.2435965931885855</v>
      </c>
      <c r="DM158" s="317">
        <f>VLOOKUP($A158,ціни!$A$4:$G$401,7)</f>
        <v>5.0131020224758327</v>
      </c>
      <c r="DN158" s="30">
        <f>DK158*G158+(F158-G158)*DL158</f>
        <v>82752.016528754742</v>
      </c>
      <c r="DO158" s="30">
        <f>DM158*H158</f>
        <v>0</v>
      </c>
      <c r="DP158" s="316">
        <f t="shared" si="162"/>
        <v>82752.016528754742</v>
      </c>
      <c r="DQ158" s="104"/>
      <c r="DR158" s="30">
        <f>VLOOKUP(A158,'ДЗ нас '!$A$1:$C$359,2)</f>
        <v>43238.54</v>
      </c>
      <c r="DS158" s="748"/>
      <c r="DT158" s="30">
        <f t="shared" si="163"/>
        <v>43238.54</v>
      </c>
      <c r="DU158" s="257">
        <f>VLOOKUP(A158,'новий кошторис с 01.06'!$A$4:$AI$399,35)*1.2</f>
        <v>43356.041681299255</v>
      </c>
      <c r="DV158" s="30">
        <f t="shared" si="164"/>
        <v>-117.50168129925441</v>
      </c>
      <c r="DW158" s="930">
        <f>'[5]побудинковий звіт'!DW158+'[6]побудинковий звіт'!DW158</f>
        <v>232</v>
      </c>
      <c r="DY158" s="5">
        <f t="shared" si="167"/>
        <v>143547.10017572218</v>
      </c>
      <c r="DZ158" s="5">
        <f t="shared" si="168"/>
        <v>21676.155570364816</v>
      </c>
      <c r="EA158" s="752">
        <f t="shared" si="172"/>
        <v>22143.480000000003</v>
      </c>
      <c r="EC158" s="592">
        <f t="shared" si="169"/>
        <v>1387445.5721089756</v>
      </c>
      <c r="EE158" s="758">
        <v>54469</v>
      </c>
      <c r="EF158" s="738">
        <f t="shared" si="170"/>
        <v>21789.967408810975</v>
      </c>
      <c r="EH158" s="813">
        <v>112284.09446629218</v>
      </c>
    </row>
    <row r="159" spans="1:138" x14ac:dyDescent="0.3">
      <c r="A159" s="328">
        <v>150001031</v>
      </c>
      <c r="B159" s="44" t="s">
        <v>610</v>
      </c>
      <c r="C159" s="45" t="s">
        <v>103</v>
      </c>
      <c r="D159" s="45" t="s">
        <v>103</v>
      </c>
      <c r="E159" s="40">
        <f t="shared" si="175"/>
        <v>2771.3</v>
      </c>
      <c r="F159" s="490">
        <v>2771.3</v>
      </c>
      <c r="G159" s="30"/>
      <c r="H159" s="30">
        <v>0</v>
      </c>
      <c r="I159" s="42">
        <f>'[1]побудинковий звіт'!I159+'[2]побудинковий звіт'!I159-'[3]побудинковий звіт'!I159</f>
        <v>0</v>
      </c>
      <c r="J159" s="42">
        <f>'[1]побудинковий звіт'!J159+'[2]побудинковий звіт'!J159-'[3]побудинковий звіт'!J159</f>
        <v>0</v>
      </c>
      <c r="K159" s="56">
        <f t="shared" si="125"/>
        <v>0</v>
      </c>
      <c r="L159" s="42">
        <f>'[1]побудинковий звіт'!L159+'[2]побудинковий звіт'!L159-'[3]побудинковий звіт'!L159</f>
        <v>0</v>
      </c>
      <c r="M159" s="42">
        <f>'[1]побудинковий звіт'!M159+'[2]побудинковий звіт'!M159-'[3]побудинковий звіт'!M159</f>
        <v>0</v>
      </c>
      <c r="N159" s="56">
        <f t="shared" si="126"/>
        <v>0</v>
      </c>
      <c r="O159" s="42">
        <f>'[1]побудинковий звіт'!O159+'[2]побудинковий звіт'!O159-'[3]побудинковий звіт'!O159</f>
        <v>0</v>
      </c>
      <c r="P159" s="42">
        <f>'[1]побудинковий звіт'!P159+'[2]побудинковий звіт'!P159-'[3]побудинковий звіт'!P159</f>
        <v>0</v>
      </c>
      <c r="Q159" s="56">
        <f t="shared" si="127"/>
        <v>0</v>
      </c>
      <c r="R159" s="42">
        <f>'[1]побудинковий звіт'!R159+'[2]побудинковий звіт'!R159-'[3]побудинковий звіт'!R159</f>
        <v>0</v>
      </c>
      <c r="S159" s="42">
        <f>'[1]побудинковий звіт'!S159+'[2]побудинковий звіт'!S159-'[3]побудинковий звіт'!S159</f>
        <v>0</v>
      </c>
      <c r="T159" s="56">
        <f t="shared" si="128"/>
        <v>0</v>
      </c>
      <c r="U159" s="42">
        <f>'[1]побудинковий звіт'!U159+'[2]побудинковий звіт'!U159-'[3]побудинковий звіт'!U159</f>
        <v>0</v>
      </c>
      <c r="V159" s="42">
        <f>'[1]побудинковий звіт'!V159+'[2]побудинковий звіт'!V159-'[3]побудинковий звіт'!V159</f>
        <v>0</v>
      </c>
      <c r="W159" s="56">
        <f t="shared" si="129"/>
        <v>0</v>
      </c>
      <c r="X159" s="42">
        <f>'[1]побудинковий звіт'!X159+'[2]побудинковий звіт'!X159-'[3]побудинковий звіт'!X159</f>
        <v>0</v>
      </c>
      <c r="Y159" s="42">
        <f>'[1]побудинковий звіт'!Y159+'[2]побудинковий звіт'!Y159-'[3]побудинковий звіт'!Y159</f>
        <v>0</v>
      </c>
      <c r="Z159" s="56">
        <f t="shared" si="130"/>
        <v>0</v>
      </c>
      <c r="AA159" s="42">
        <f>'[1]побудинковий звіт'!AA159+'[2]побудинковий звіт'!AA159-'[3]побудинковий звіт'!AA159</f>
        <v>0</v>
      </c>
      <c r="AB159" s="42">
        <f>'[1]побудинковий звіт'!AB159+'[2]побудинковий звіт'!AB159-'[3]побудинковий звіт'!AB159</f>
        <v>0</v>
      </c>
      <c r="AC159" s="56">
        <f t="shared" si="131"/>
        <v>0</v>
      </c>
      <c r="AD159" s="42">
        <f>'[1]побудинковий звіт'!AD159+'[2]побудинковий звіт'!AD159-'[3]побудинковий звіт'!AD159</f>
        <v>0</v>
      </c>
      <c r="AE159" s="42">
        <f>'[1]побудинковий звіт'!AE159+'[2]побудинковий звіт'!AE159-'[3]побудинковий звіт'!AE159</f>
        <v>106.51248279906025</v>
      </c>
      <c r="AF159" s="37">
        <f t="shared" si="132"/>
        <v>106.51248279906025</v>
      </c>
      <c r="AG159" s="87">
        <f t="shared" si="120"/>
        <v>0</v>
      </c>
      <c r="AH159" s="57">
        <f t="shared" si="120"/>
        <v>106.51248279906025</v>
      </c>
      <c r="AI159" s="56">
        <f t="shared" si="133"/>
        <v>106.51248279906025</v>
      </c>
      <c r="AJ159" s="42">
        <f>'[1]побудинковий звіт'!AJ159+'[2]побудинковий звіт'!AJ159-'[3]побудинковий звіт'!AJ159</f>
        <v>0</v>
      </c>
      <c r="AK159" s="42">
        <f>'[1]побудинковий звіт'!AK159+'[2]побудинковий звіт'!AK159-'[3]побудинковий звіт'!AK159</f>
        <v>0</v>
      </c>
      <c r="AL159" s="56">
        <f t="shared" si="134"/>
        <v>0</v>
      </c>
      <c r="AM159" s="42">
        <f>'[1]побудинковий звіт'!AM159+'[2]побудинковий звіт'!AM159-'[3]побудинковий звіт'!AM159</f>
        <v>0</v>
      </c>
      <c r="AN159" s="42">
        <f>'[1]побудинковий звіт'!AN159+'[2]побудинковий звіт'!AN159-'[3]побудинковий звіт'!AN159</f>
        <v>0</v>
      </c>
      <c r="AO159" s="56">
        <f t="shared" si="135"/>
        <v>0</v>
      </c>
      <c r="AP159" s="42">
        <f>'[1]побудинковий звіт'!AP159+'[2]побудинковий звіт'!AP159-'[3]побудинковий звіт'!AP159</f>
        <v>236.75441072341246</v>
      </c>
      <c r="AQ159" s="42">
        <f>'[1]побудинковий звіт'!AQ159+'[2]побудинковий звіт'!AQ159-'[3]побудинковий звіт'!AQ159</f>
        <v>93.429126284801754</v>
      </c>
      <c r="AR159" s="56">
        <f t="shared" si="136"/>
        <v>-143.32528443861071</v>
      </c>
      <c r="AS159" s="42">
        <f>'[1]побудинковий звіт'!AS159+'[2]побудинковий звіт'!AS159-'[3]побудинковий звіт'!AS159</f>
        <v>2036.6853319925362</v>
      </c>
      <c r="AT159" s="42">
        <f>'[1]побудинковий звіт'!AT159+'[2]побудинковий звіт'!AT159-'[3]побудинковий звіт'!AT159</f>
        <v>0</v>
      </c>
      <c r="AU159" s="58">
        <f t="shared" si="151"/>
        <v>-2036.6853319925362</v>
      </c>
      <c r="AV159" s="42">
        <f>'[1]побудинковий звіт'!AV159+'[2]побудинковий звіт'!AV159-'[3]побудинковий звіт'!AV159</f>
        <v>0</v>
      </c>
      <c r="AW159" s="42">
        <f>'[1]побудинковий звіт'!AW159+'[2]побудинковий звіт'!AW159-'[3]побудинковий звіт'!AW159</f>
        <v>0</v>
      </c>
      <c r="AX159" s="59">
        <f t="shared" si="152"/>
        <v>0</v>
      </c>
      <c r="AY159" s="42">
        <f>'[1]побудинковий звіт'!AY159+'[2]побудинковий звіт'!AY159-'[3]побудинковий звіт'!AY159</f>
        <v>0</v>
      </c>
      <c r="AZ159" s="42">
        <f>'[1]побудинковий звіт'!AZ159+'[2]побудинковий звіт'!AZ159-'[3]побудинковий звіт'!AZ159</f>
        <v>0</v>
      </c>
      <c r="BA159" s="37">
        <f t="shared" si="153"/>
        <v>0</v>
      </c>
      <c r="BB159" s="42">
        <f>'[1]побудинковий звіт'!BB159+'[2]побудинковий звіт'!BB159-'[3]побудинковий звіт'!BB159</f>
        <v>0</v>
      </c>
      <c r="BC159" s="42">
        <f>'[1]побудинковий звіт'!BC159+'[2]побудинковий звіт'!BC159-'[3]побудинковий звіт'!BC159</f>
        <v>0</v>
      </c>
      <c r="BD159" s="59">
        <f t="shared" si="154"/>
        <v>0</v>
      </c>
      <c r="BE159" s="42">
        <f>'[1]побудинковий звіт'!BE159+'[2]побудинковий звіт'!BE159-'[3]побудинковий звіт'!BE159</f>
        <v>0</v>
      </c>
      <c r="BF159" s="42">
        <f>'[1]побудинковий звіт'!BF159+'[2]побудинковий звіт'!BF159-'[3]побудинковий звіт'!BF159</f>
        <v>0</v>
      </c>
      <c r="BG159" s="39">
        <f t="shared" si="155"/>
        <v>0</v>
      </c>
      <c r="BH159" s="42">
        <f>'[1]побудинковий звіт'!BH159+'[2]побудинковий звіт'!BH159-'[3]побудинковий звіт'!BH159</f>
        <v>0</v>
      </c>
      <c r="BI159" s="42">
        <f>'[1]побудинковий звіт'!BI159+'[2]побудинковий звіт'!BI159-'[3]побудинковий звіт'!BI159</f>
        <v>0</v>
      </c>
      <c r="BJ159" s="59">
        <f t="shared" si="156"/>
        <v>0</v>
      </c>
      <c r="BK159" s="42">
        <f>'[1]побудинковий звіт'!BK159+'[2]побудинковий звіт'!BK159-'[3]побудинковий звіт'!BK159</f>
        <v>0</v>
      </c>
      <c r="BL159" s="42">
        <f>'[1]побудинковий звіт'!BL159+'[2]побудинковий звіт'!BL159-'[3]побудинковий звіт'!BL159</f>
        <v>0</v>
      </c>
      <c r="BM159" s="39">
        <f t="shared" si="157"/>
        <v>0</v>
      </c>
      <c r="BN159" s="42">
        <f>'[1]побудинковий звіт'!BN159+'[2]побудинковий звіт'!BN159-'[3]побудинковий звіт'!BN159</f>
        <v>0</v>
      </c>
      <c r="BO159" s="42">
        <f>'[1]побудинковий звіт'!BO159+'[2]побудинковий звіт'!BO159-'[3]побудинковий звіт'!BO159</f>
        <v>0</v>
      </c>
      <c r="BP159" s="59">
        <f t="shared" si="158"/>
        <v>0</v>
      </c>
      <c r="BQ159" s="87">
        <f t="shared" si="176"/>
        <v>0</v>
      </c>
      <c r="BR159" s="43">
        <f t="shared" si="177"/>
        <v>0</v>
      </c>
      <c r="BS159" s="59">
        <f t="shared" si="159"/>
        <v>0</v>
      </c>
      <c r="BT159" s="42">
        <f>'[1]побудинковий звіт'!BT159+'[2]побудинковий звіт'!BT159-'[3]побудинковий звіт'!BT159</f>
        <v>1100.6424946930854</v>
      </c>
      <c r="BU159" s="42">
        <f>'[1]побудинковий звіт'!BU159+'[2]побудинковий звіт'!BU159-'[3]побудинковий звіт'!BU159</f>
        <v>2229.0463861716098</v>
      </c>
      <c r="BV159" s="56">
        <f t="shared" si="137"/>
        <v>1128.4038914785244</v>
      </c>
      <c r="BW159" s="42">
        <f>'[1]побудинковий звіт'!BW159+'[2]побудинковий звіт'!BW159-'[3]побудинковий звіт'!BW159</f>
        <v>0</v>
      </c>
      <c r="BX159" s="42">
        <f>'[1]побудинковий звіт'!BX159+'[2]побудинковий звіт'!BX159-'[3]побудинковий звіт'!BX159</f>
        <v>5.150930995842824</v>
      </c>
      <c r="BY159" s="56">
        <f t="shared" si="138"/>
        <v>5.150930995842824</v>
      </c>
      <c r="BZ159" s="42">
        <f>'[1]побудинковий звіт'!BZ159+'[2]побудинковий звіт'!BZ159-'[3]побудинковий звіт'!BZ159</f>
        <v>0</v>
      </c>
      <c r="CA159" s="42">
        <f>'[1]побудинковий звіт'!CA159+'[2]побудинковий звіт'!CA159-'[3]побудинковий звіт'!CA159</f>
        <v>537.29965273442258</v>
      </c>
      <c r="CB159" s="56">
        <f t="shared" si="139"/>
        <v>537.29965273442258</v>
      </c>
      <c r="CC159" s="42">
        <f>'[1]побудинковий звіт'!CC159+'[2]побудинковий звіт'!CC159-'[3]побудинковий звіт'!CC159</f>
        <v>0</v>
      </c>
      <c r="CD159" s="42">
        <f>'[1]побудинковий звіт'!CD159+'[2]побудинковий звіт'!CD159-'[3]побудинковий звіт'!CD159</f>
        <v>0</v>
      </c>
      <c r="CE159" s="56">
        <f t="shared" si="140"/>
        <v>0</v>
      </c>
      <c r="CF159" s="42">
        <f>'[1]побудинковий звіт'!CF159+'[2]побудинковий звіт'!CF159-'[3]побудинковий звіт'!CF159</f>
        <v>0</v>
      </c>
      <c r="CG159" s="42">
        <f>'[1]побудинковий звіт'!CG159+'[2]побудинковий звіт'!CG159-'[3]побудинковий звіт'!CG159</f>
        <v>0</v>
      </c>
      <c r="CH159" s="56">
        <f t="shared" si="141"/>
        <v>0</v>
      </c>
      <c r="CI159" s="42">
        <f>'[1]побудинковий звіт'!CI159+'[2]побудинковий звіт'!CI159-'[3]побудинковий звіт'!CI159</f>
        <v>0</v>
      </c>
      <c r="CJ159" s="42">
        <f>'[1]побудинковий звіт'!CJ159+'[2]побудинковий звіт'!CJ159-'[3]побудинковий звіт'!CJ159</f>
        <v>0</v>
      </c>
      <c r="CK159" s="56">
        <f t="shared" si="142"/>
        <v>0</v>
      </c>
      <c r="CL159" s="42">
        <f>'[1]побудинковий звіт'!CL159+'[2]побудинковий звіт'!CL159-'[3]побудинковий звіт'!CL159</f>
        <v>0</v>
      </c>
      <c r="CM159" s="42">
        <f>'[1]побудинковий звіт'!CM159+'[2]побудинковий звіт'!CM159-'[3]побудинковий звіт'!CM159</f>
        <v>0</v>
      </c>
      <c r="CN159" s="56">
        <f t="shared" si="143"/>
        <v>0</v>
      </c>
      <c r="CO159" s="42">
        <f t="shared" si="123"/>
        <v>0</v>
      </c>
      <c r="CP159" s="43">
        <f t="shared" si="144"/>
        <v>0</v>
      </c>
      <c r="CQ159" s="56">
        <f t="shared" si="145"/>
        <v>0</v>
      </c>
      <c r="CR159" s="78">
        <f t="shared" si="124"/>
        <v>3374.082237409034</v>
      </c>
      <c r="CS159" s="5">
        <f t="shared" si="124"/>
        <v>2971.4385789857374</v>
      </c>
      <c r="CT159" s="56">
        <f t="shared" si="146"/>
        <v>-402.64365842329653</v>
      </c>
      <c r="CU159" s="87">
        <f t="shared" si="147"/>
        <v>4048.8986848908407</v>
      </c>
      <c r="CV159" s="70">
        <f t="shared" si="148"/>
        <v>3565.7262947828849</v>
      </c>
      <c r="CW159" s="37">
        <f t="shared" si="149"/>
        <v>-483.17239010795583</v>
      </c>
      <c r="CX159" s="42">
        <f>'[1]побудинковий звіт'!CX159+'[2]побудинковий звіт'!CX159-'[3]побудинковий звіт'!CX159</f>
        <v>182.18131510915964</v>
      </c>
      <c r="CY159" s="42">
        <f>'[1]побудинковий звіт'!CY159+'[2]побудинковий звіт'!CY159-'[3]побудинковий звіт'!CY159</f>
        <v>665.35370521711502</v>
      </c>
      <c r="CZ159" s="56">
        <f t="shared" si="150"/>
        <v>483.17239010795538</v>
      </c>
      <c r="DA159" s="264">
        <f>'[4]побудинковий звіт'!DA159</f>
        <v>-359.82541350412066</v>
      </c>
      <c r="DB159" s="2">
        <v>1</v>
      </c>
      <c r="DC159" s="717">
        <f>'[4]побудинковий звіт'!DC159</f>
        <v>463.39</v>
      </c>
      <c r="DD159" s="717">
        <f>'[4]побудинковий звіт'!DD159</f>
        <v>0</v>
      </c>
      <c r="DE159" s="717">
        <f>'[4]побудинковий звіт'!DE159</f>
        <v>110.80000000000001</v>
      </c>
      <c r="DF159" s="717">
        <f>'[4]побудинковий звіт'!DF159</f>
        <v>0</v>
      </c>
      <c r="DG159" s="787">
        <v>-1117.6700122391539</v>
      </c>
      <c r="DH159" s="761">
        <f t="shared" si="171"/>
        <v>50772.959999999999</v>
      </c>
      <c r="DI159" s="784"/>
      <c r="DJ159" s="5"/>
      <c r="DK159" s="317">
        <f>VLOOKUP($A159,ціни!$A$4:$G$401,5)</f>
        <v>2.2050756335787618</v>
      </c>
      <c r="DL159" s="317"/>
      <c r="DM159" s="317">
        <f>VLOOKUP($A159,ціни!$A$4:$G$401,7)</f>
        <v>2.2050756335787618</v>
      </c>
      <c r="DN159" s="30">
        <f>F159*DK159</f>
        <v>6110.926103336823</v>
      </c>
      <c r="DO159" s="30">
        <f>H159*DM159</f>
        <v>0</v>
      </c>
      <c r="DP159" s="316">
        <f t="shared" si="162"/>
        <v>6110.926103336823</v>
      </c>
      <c r="DQ159" s="104"/>
      <c r="DR159" s="30">
        <f>VLOOKUP(A159,'ДЗ нас '!$A$1:$C$359,2)</f>
        <v>352.59</v>
      </c>
      <c r="DS159" s="748"/>
      <c r="DT159" s="30">
        <f t="shared" si="163"/>
        <v>352.59</v>
      </c>
      <c r="DU159" s="257">
        <f>VLOOKUP(A159,'новий кошторис с 01.06'!$A$4:$AI$399,35)*1.2</f>
        <v>355.62826782291211</v>
      </c>
      <c r="DV159" s="30">
        <f t="shared" si="164"/>
        <v>-3.0382678229121325</v>
      </c>
      <c r="DW159" s="930">
        <f>'[5]побудинковий звіт'!DW159+'[6]побудинковий звіт'!DW159</f>
        <v>0</v>
      </c>
      <c r="DY159" s="5">
        <f t="shared" si="167"/>
        <v>2444.0223983910432</v>
      </c>
      <c r="DZ159" s="5">
        <f t="shared" si="168"/>
        <v>0</v>
      </c>
      <c r="EA159" s="752">
        <f t="shared" si="172"/>
        <v>110.80000000000001</v>
      </c>
      <c r="EC159" s="592">
        <f t="shared" si="169"/>
        <v>24440.223983910437</v>
      </c>
      <c r="EE159" s="758">
        <v>-2112</v>
      </c>
      <c r="EF159" s="738">
        <f t="shared" si="170"/>
        <v>-3229.6700122391539</v>
      </c>
      <c r="EH159" s="813">
        <v>138.14728976147171</v>
      </c>
    </row>
    <row r="160" spans="1:138" x14ac:dyDescent="0.3">
      <c r="A160" s="328">
        <v>150001037</v>
      </c>
      <c r="B160" s="44" t="s">
        <v>611</v>
      </c>
      <c r="C160" s="45" t="s">
        <v>104</v>
      </c>
      <c r="D160" s="45" t="s">
        <v>104</v>
      </c>
      <c r="E160" s="40">
        <f t="shared" si="175"/>
        <v>3771.47</v>
      </c>
      <c r="F160" s="490">
        <v>3771.47</v>
      </c>
      <c r="G160" s="30"/>
      <c r="H160" s="30">
        <v>0</v>
      </c>
      <c r="I160" s="42">
        <f>'[1]побудинковий звіт'!I160+'[2]побудинковий звіт'!I160-'[3]побудинковий звіт'!I160</f>
        <v>0</v>
      </c>
      <c r="J160" s="42">
        <f>'[1]побудинковий звіт'!J160+'[2]побудинковий звіт'!J160-'[3]побудинковий звіт'!J160</f>
        <v>0</v>
      </c>
      <c r="K160" s="56">
        <f t="shared" si="125"/>
        <v>0</v>
      </c>
      <c r="L160" s="42">
        <f>'[1]побудинковий звіт'!L160+'[2]побудинковий звіт'!L160-'[3]побудинковий звіт'!L160</f>
        <v>0</v>
      </c>
      <c r="M160" s="42">
        <f>'[1]побудинковий звіт'!M160+'[2]побудинковий звіт'!M160-'[3]побудинковий звіт'!M160</f>
        <v>0</v>
      </c>
      <c r="N160" s="56">
        <f t="shared" si="126"/>
        <v>0</v>
      </c>
      <c r="O160" s="42">
        <f>'[1]побудинковий звіт'!O160+'[2]побудинковий звіт'!O160-'[3]побудинковий звіт'!O160</f>
        <v>0</v>
      </c>
      <c r="P160" s="42">
        <f>'[1]побудинковий звіт'!P160+'[2]побудинковий звіт'!P160-'[3]побудинковий звіт'!P160</f>
        <v>0</v>
      </c>
      <c r="Q160" s="56">
        <f t="shared" si="127"/>
        <v>0</v>
      </c>
      <c r="R160" s="42">
        <f>'[1]побудинковий звіт'!R160+'[2]побудинковий звіт'!R160-'[3]побудинковий звіт'!R160</f>
        <v>0</v>
      </c>
      <c r="S160" s="42">
        <f>'[1]побудинковий звіт'!S160+'[2]побудинковий звіт'!S160-'[3]побудинковий звіт'!S160</f>
        <v>0</v>
      </c>
      <c r="T160" s="56">
        <f t="shared" si="128"/>
        <v>0</v>
      </c>
      <c r="U160" s="42">
        <f>'[1]побудинковий звіт'!U160+'[2]побудинковий звіт'!U160-'[3]побудинковий звіт'!U160</f>
        <v>0</v>
      </c>
      <c r="V160" s="42">
        <f>'[1]побудинковий звіт'!V160+'[2]побудинковий звіт'!V160-'[3]побудинковий звіт'!V160</f>
        <v>0</v>
      </c>
      <c r="W160" s="56">
        <f t="shared" si="129"/>
        <v>0</v>
      </c>
      <c r="X160" s="42">
        <f>'[1]побудинковий звіт'!X160+'[2]побудинковий звіт'!X160-'[3]побудинковий звіт'!X160</f>
        <v>0</v>
      </c>
      <c r="Y160" s="42">
        <f>'[1]побудинковий звіт'!Y160+'[2]побудинковий звіт'!Y160-'[3]побудинковий звіт'!Y160</f>
        <v>0</v>
      </c>
      <c r="Z160" s="56">
        <f t="shared" si="130"/>
        <v>0</v>
      </c>
      <c r="AA160" s="42">
        <f>'[1]побудинковий звіт'!AA160+'[2]побудинковий звіт'!AA160-'[3]побудинковий звіт'!AA160</f>
        <v>0</v>
      </c>
      <c r="AB160" s="42">
        <f>'[1]побудинковий звіт'!AB160+'[2]побудинковий звіт'!AB160-'[3]побудинковий звіт'!AB160</f>
        <v>0</v>
      </c>
      <c r="AC160" s="56">
        <f t="shared" si="131"/>
        <v>0</v>
      </c>
      <c r="AD160" s="42">
        <f>'[1]побудинковий звіт'!AD160+'[2]побудинковий звіт'!AD160-'[3]побудинковий звіт'!AD160</f>
        <v>0</v>
      </c>
      <c r="AE160" s="42">
        <f>'[1]побудинковий звіт'!AE160+'[2]побудинковий звіт'!AE160-'[3]побудинковий звіт'!AE160</f>
        <v>107.51166181218463</v>
      </c>
      <c r="AF160" s="37">
        <f t="shared" si="132"/>
        <v>107.51166181218463</v>
      </c>
      <c r="AG160" s="87">
        <f t="shared" si="120"/>
        <v>0</v>
      </c>
      <c r="AH160" s="57">
        <f t="shared" si="120"/>
        <v>107.51166181218463</v>
      </c>
      <c r="AI160" s="56">
        <f t="shared" si="133"/>
        <v>107.51166181218463</v>
      </c>
      <c r="AJ160" s="42">
        <f>'[1]побудинковий звіт'!AJ160+'[2]побудинковий звіт'!AJ160-'[3]побудинковий звіт'!AJ160</f>
        <v>0</v>
      </c>
      <c r="AK160" s="42">
        <f>'[1]побудинковий звіт'!AK160+'[2]побудинковий звіт'!AK160-'[3]побудинковий звіт'!AK160</f>
        <v>0</v>
      </c>
      <c r="AL160" s="56">
        <f t="shared" si="134"/>
        <v>0</v>
      </c>
      <c r="AM160" s="42">
        <f>'[1]побудинковий звіт'!AM160+'[2]побудинковий звіт'!AM160-'[3]побудинковий звіт'!AM160</f>
        <v>0</v>
      </c>
      <c r="AN160" s="42">
        <f>'[1]побудинковий звіт'!AN160+'[2]побудинковий звіт'!AN160-'[3]побудинковий звіт'!AN160</f>
        <v>0</v>
      </c>
      <c r="AO160" s="56">
        <f t="shared" si="135"/>
        <v>0</v>
      </c>
      <c r="AP160" s="42">
        <f>'[1]побудинковий звіт'!AP160+'[2]побудинковий звіт'!AP160-'[3]побудинковий звіт'!AP160</f>
        <v>331.45617501277735</v>
      </c>
      <c r="AQ160" s="42">
        <f>'[1]побудинковий звіт'!AQ160+'[2]побудинковий звіт'!AQ160-'[3]побудинковий звіт'!AQ160</f>
        <v>117.95256761001556</v>
      </c>
      <c r="AR160" s="56">
        <f t="shared" si="136"/>
        <v>-213.50360740276179</v>
      </c>
      <c r="AS160" s="42">
        <f>'[1]побудинковий звіт'!AS160+'[2]побудинковий звіт'!AS160-'[3]побудинковий звіт'!AS160</f>
        <v>1939.4149335927591</v>
      </c>
      <c r="AT160" s="42">
        <f>'[1]побудинковий звіт'!AT160+'[2]побудинковий звіт'!AT160-'[3]побудинковий звіт'!AT160</f>
        <v>0</v>
      </c>
      <c r="AU160" s="58">
        <f t="shared" si="151"/>
        <v>-1939.4149335927591</v>
      </c>
      <c r="AV160" s="42">
        <f>'[1]побудинковий звіт'!AV160+'[2]побудинковий звіт'!AV160-'[3]побудинковий звіт'!AV160</f>
        <v>0</v>
      </c>
      <c r="AW160" s="42">
        <f>'[1]побудинковий звіт'!AW160+'[2]побудинковий звіт'!AW160-'[3]побудинковий звіт'!AW160</f>
        <v>0</v>
      </c>
      <c r="AX160" s="59">
        <f t="shared" si="152"/>
        <v>0</v>
      </c>
      <c r="AY160" s="42">
        <f>'[1]побудинковий звіт'!AY160+'[2]побудинковий звіт'!AY160-'[3]побудинковий звіт'!AY160</f>
        <v>0</v>
      </c>
      <c r="AZ160" s="42">
        <f>'[1]побудинковий звіт'!AZ160+'[2]побудинковий звіт'!AZ160-'[3]побудинковий звіт'!AZ160</f>
        <v>0</v>
      </c>
      <c r="BA160" s="37">
        <f t="shared" si="153"/>
        <v>0</v>
      </c>
      <c r="BB160" s="42">
        <f>'[1]побудинковий звіт'!BB160+'[2]побудинковий звіт'!BB160-'[3]побудинковий звіт'!BB160</f>
        <v>0</v>
      </c>
      <c r="BC160" s="42">
        <f>'[1]побудинковий звіт'!BC160+'[2]побудинковий звіт'!BC160-'[3]побудинковий звіт'!BC160</f>
        <v>0</v>
      </c>
      <c r="BD160" s="59">
        <f t="shared" si="154"/>
        <v>0</v>
      </c>
      <c r="BE160" s="42">
        <f>'[1]побудинковий звіт'!BE160+'[2]побудинковий звіт'!BE160-'[3]побудинковий звіт'!BE160</f>
        <v>0</v>
      </c>
      <c r="BF160" s="42">
        <f>'[1]побудинковий звіт'!BF160+'[2]побудинковий звіт'!BF160-'[3]побудинковий звіт'!BF160</f>
        <v>0</v>
      </c>
      <c r="BG160" s="39">
        <f t="shared" si="155"/>
        <v>0</v>
      </c>
      <c r="BH160" s="42">
        <f>'[1]побудинковий звіт'!BH160+'[2]побудинковий звіт'!BH160-'[3]побудинковий звіт'!BH160</f>
        <v>0</v>
      </c>
      <c r="BI160" s="42">
        <f>'[1]побудинковий звіт'!BI160+'[2]побудинковий звіт'!BI160-'[3]побудинковий звіт'!BI160</f>
        <v>0</v>
      </c>
      <c r="BJ160" s="59">
        <f t="shared" si="156"/>
        <v>0</v>
      </c>
      <c r="BK160" s="42">
        <f>'[1]побудинковий звіт'!BK160+'[2]побудинковий звіт'!BK160-'[3]побудинковий звіт'!BK160</f>
        <v>0</v>
      </c>
      <c r="BL160" s="42">
        <f>'[1]побудинковий звіт'!BL160+'[2]побудинковий звіт'!BL160-'[3]побудинковий звіт'!BL160</f>
        <v>0</v>
      </c>
      <c r="BM160" s="39">
        <f t="shared" si="157"/>
        <v>0</v>
      </c>
      <c r="BN160" s="42">
        <f>'[1]побудинковий звіт'!BN160+'[2]побудинковий звіт'!BN160-'[3]побудинковий звіт'!BN160</f>
        <v>0</v>
      </c>
      <c r="BO160" s="42">
        <f>'[1]побудинковий звіт'!BO160+'[2]побудинковий звіт'!BO160-'[3]побудинковий звіт'!BO160</f>
        <v>0</v>
      </c>
      <c r="BP160" s="59">
        <f t="shared" si="158"/>
        <v>0</v>
      </c>
      <c r="BQ160" s="87">
        <f t="shared" si="176"/>
        <v>0</v>
      </c>
      <c r="BR160" s="43">
        <f t="shared" si="177"/>
        <v>0</v>
      </c>
      <c r="BS160" s="59">
        <f t="shared" si="159"/>
        <v>0</v>
      </c>
      <c r="BT160" s="42">
        <f>'[1]побудинковий звіт'!BT160+'[2]побудинковий звіт'!BT160-'[3]побудинковий звіт'!BT160</f>
        <v>957.08043016790054</v>
      </c>
      <c r="BU160" s="42">
        <f>'[1]побудинковий звіт'!BU160+'[2]побудинковий звіт'!BU160-'[3]побудинковий звіт'!BU160</f>
        <v>2229.0463861716098</v>
      </c>
      <c r="BV160" s="56">
        <f t="shared" si="137"/>
        <v>1271.9659560037094</v>
      </c>
      <c r="BW160" s="42">
        <f>'[1]побудинковий звіт'!BW160+'[2]побудинковий звіт'!BW160-'[3]побудинковий звіт'!BW160</f>
        <v>0</v>
      </c>
      <c r="BX160" s="42">
        <f>'[1]побудинковий звіт'!BX160+'[2]побудинковий звіт'!BX160-'[3]побудинковий звіт'!BX160</f>
        <v>5.1992511740402243</v>
      </c>
      <c r="BY160" s="56">
        <f t="shared" si="138"/>
        <v>5.1992511740402243</v>
      </c>
      <c r="BZ160" s="42">
        <f>'[1]побудинковий звіт'!BZ160+'[2]побудинковий звіт'!BZ160-'[3]побудинковий звіт'!BZ160</f>
        <v>0</v>
      </c>
      <c r="CA160" s="42">
        <f>'[1]побудинковий звіт'!CA160+'[2]побудинковий звіт'!CA160-'[3]побудинковий звіт'!CA160</f>
        <v>537.29965273442258</v>
      </c>
      <c r="CB160" s="56">
        <f t="shared" si="139"/>
        <v>537.29965273442258</v>
      </c>
      <c r="CC160" s="42">
        <f>'[1]побудинковий звіт'!CC160+'[2]побудинковий звіт'!CC160-'[3]побудинковий звіт'!CC160</f>
        <v>0</v>
      </c>
      <c r="CD160" s="42">
        <f>'[1]побудинковий звіт'!CD160+'[2]побудинковий звіт'!CD160-'[3]побудинковий звіт'!CD160</f>
        <v>0</v>
      </c>
      <c r="CE160" s="56">
        <f t="shared" si="140"/>
        <v>0</v>
      </c>
      <c r="CF160" s="42">
        <f>'[1]побудинковий звіт'!CF160+'[2]побудинковий звіт'!CF160-'[3]побудинковий звіт'!CF160</f>
        <v>0</v>
      </c>
      <c r="CG160" s="42">
        <f>'[1]побудинковий звіт'!CG160+'[2]побудинковий звіт'!CG160-'[3]побудинковий звіт'!CG160</f>
        <v>0</v>
      </c>
      <c r="CH160" s="56">
        <f t="shared" si="141"/>
        <v>0</v>
      </c>
      <c r="CI160" s="42">
        <f>'[1]побудинковий звіт'!CI160+'[2]побудинковий звіт'!CI160-'[3]побудинковий звіт'!CI160</f>
        <v>0</v>
      </c>
      <c r="CJ160" s="42">
        <f>'[1]побудинковий звіт'!CJ160+'[2]побудинковий звіт'!CJ160-'[3]побудинковий звіт'!CJ160</f>
        <v>0</v>
      </c>
      <c r="CK160" s="56">
        <f t="shared" si="142"/>
        <v>0</v>
      </c>
      <c r="CL160" s="42">
        <f>'[1]побудинковий звіт'!CL160+'[2]побудинковий звіт'!CL160-'[3]побудинковий звіт'!CL160</f>
        <v>0</v>
      </c>
      <c r="CM160" s="42">
        <f>'[1]побудинковий звіт'!CM160+'[2]побудинковий звіт'!CM160-'[3]побудинковий звіт'!CM160</f>
        <v>0</v>
      </c>
      <c r="CN160" s="56">
        <f t="shared" si="143"/>
        <v>0</v>
      </c>
      <c r="CO160" s="42">
        <f t="shared" si="123"/>
        <v>0</v>
      </c>
      <c r="CP160" s="43">
        <f t="shared" si="144"/>
        <v>0</v>
      </c>
      <c r="CQ160" s="56">
        <f t="shared" si="145"/>
        <v>0</v>
      </c>
      <c r="CR160" s="78">
        <f t="shared" si="124"/>
        <v>3227.9515387734368</v>
      </c>
      <c r="CS160" s="5">
        <f t="shared" si="124"/>
        <v>2997.0095195022727</v>
      </c>
      <c r="CT160" s="56">
        <f t="shared" si="146"/>
        <v>-230.9420192711641</v>
      </c>
      <c r="CU160" s="87">
        <f t="shared" si="147"/>
        <v>3873.5418465281241</v>
      </c>
      <c r="CV160" s="70">
        <f t="shared" si="148"/>
        <v>3596.411423402727</v>
      </c>
      <c r="CW160" s="37">
        <f t="shared" si="149"/>
        <v>-277.1304231253971</v>
      </c>
      <c r="CX160" s="42">
        <f>'[1]побудинковий звіт'!CX160+'[2]побудинковий звіт'!CX160-'[3]побудинковий звіт'!CX160</f>
        <v>154.97815347187543</v>
      </c>
      <c r="CY160" s="42">
        <f>'[1]побудинковий звіт'!CY160+'[2]побудинковий звіт'!CY160-'[3]побудинковий звіт'!CY160</f>
        <v>432.1085765972723</v>
      </c>
      <c r="CZ160" s="56">
        <f t="shared" si="150"/>
        <v>277.13042312539687</v>
      </c>
      <c r="DA160" s="264">
        <f>'[4]побудинковий звіт'!DA160</f>
        <v>-4642.6193952481135</v>
      </c>
      <c r="DB160" s="2">
        <v>1</v>
      </c>
      <c r="DC160" s="717">
        <f>'[4]побудинковий звіт'!DC160</f>
        <v>335.71</v>
      </c>
      <c r="DD160" s="717">
        <f>'[4]побудинковий звіт'!DD160</f>
        <v>0</v>
      </c>
      <c r="DE160" s="717">
        <f>'[4]побудинковий звіт'!DE160</f>
        <v>0</v>
      </c>
      <c r="DF160" s="717">
        <f>'[4]побудинковий звіт'!DF160</f>
        <v>0</v>
      </c>
      <c r="DG160" s="787">
        <v>-4529.5850056727995</v>
      </c>
      <c r="DH160" s="761">
        <f t="shared" si="171"/>
        <v>48342.239999999991</v>
      </c>
      <c r="DI160" s="784"/>
      <c r="DJ160" s="5"/>
      <c r="DK160" s="317">
        <f>VLOOKUP($A160,ціни!$A$4:$G$401,5)</f>
        <v>2.0799687734351764</v>
      </c>
      <c r="DL160" s="317"/>
      <c r="DM160" s="317">
        <f>VLOOKUP($A160,ціни!$A$4:$G$401,7)</f>
        <v>2.0799687734351764</v>
      </c>
      <c r="DN160" s="30">
        <f>F160*DK160</f>
        <v>7844.5398299475646</v>
      </c>
      <c r="DO160" s="30">
        <f>H160*DM160</f>
        <v>0</v>
      </c>
      <c r="DP160" s="316">
        <f t="shared" si="162"/>
        <v>7844.5398299475646</v>
      </c>
      <c r="DQ160" s="104"/>
      <c r="DR160" s="30">
        <f>VLOOKUP(A160,'ДЗ нас '!$A$1:$C$359,2)</f>
        <v>335.71</v>
      </c>
      <c r="DS160" s="748"/>
      <c r="DT160" s="30">
        <f t="shared" si="163"/>
        <v>335.71</v>
      </c>
      <c r="DU160" s="257">
        <f>VLOOKUP(A160,'новий кошторис с 01.06'!$A$4:$AI$399,35)*1.2</f>
        <v>338.2893212634562</v>
      </c>
      <c r="DV160" s="30">
        <f t="shared" si="164"/>
        <v>-2.5793212634562224</v>
      </c>
      <c r="DW160" s="930">
        <f>'[5]побудинковий звіт'!DW160+'[6]побудинковий звіт'!DW160</f>
        <v>0</v>
      </c>
      <c r="DY160" s="5">
        <f t="shared" si="167"/>
        <v>2327.2979203113109</v>
      </c>
      <c r="DZ160" s="5">
        <f t="shared" si="168"/>
        <v>0</v>
      </c>
      <c r="EA160" s="752">
        <f t="shared" si="172"/>
        <v>0</v>
      </c>
      <c r="EC160" s="592">
        <f t="shared" si="169"/>
        <v>23272.979203113107</v>
      </c>
      <c r="EE160" s="758">
        <v>-300</v>
      </c>
      <c r="EF160" s="738">
        <f t="shared" si="170"/>
        <v>-4829.5850056727995</v>
      </c>
      <c r="EH160" s="813">
        <v>-4320.2562902736518</v>
      </c>
    </row>
    <row r="161" spans="1:138" x14ac:dyDescent="0.3">
      <c r="A161" s="328">
        <v>150001032</v>
      </c>
      <c r="B161" s="44" t="s">
        <v>612</v>
      </c>
      <c r="C161" s="45" t="s">
        <v>369</v>
      </c>
      <c r="D161" s="45" t="s">
        <v>369</v>
      </c>
      <c r="E161" s="40">
        <f t="shared" si="175"/>
        <v>3767.85</v>
      </c>
      <c r="F161" s="490">
        <v>3767.85</v>
      </c>
      <c r="G161" s="30">
        <v>735.55</v>
      </c>
      <c r="H161" s="30">
        <v>0</v>
      </c>
      <c r="I161" s="42">
        <f>'[1]побудинковий звіт'!I161+'[2]побудинковий звіт'!I161-'[3]побудинковий звіт'!I161</f>
        <v>14086.156130760308</v>
      </c>
      <c r="J161" s="42">
        <f>'[1]побудинковий звіт'!J161+'[2]побудинковий звіт'!J161-'[3]побудинковий звіт'!J161</f>
        <v>12115.093923509548</v>
      </c>
      <c r="K161" s="56">
        <f t="shared" si="125"/>
        <v>-1971.0622072507595</v>
      </c>
      <c r="L161" s="42">
        <f>'[1]побудинковий звіт'!L161+'[2]побудинковий звіт'!L161-'[3]побудинковий звіт'!L161</f>
        <v>1864.1527022857522</v>
      </c>
      <c r="M161" s="42">
        <f>'[1]побудинковий звіт'!M161+'[2]побудинковий звіт'!M161-'[3]побудинковий звіт'!M161</f>
        <v>1992.2652683406486</v>
      </c>
      <c r="N161" s="56">
        <f t="shared" si="126"/>
        <v>128.11256605489643</v>
      </c>
      <c r="O161" s="42">
        <f>'[1]побудинковий звіт'!O161+'[2]побудинковий звіт'!O161-'[3]побудинковий звіт'!O161</f>
        <v>8901.2400000000016</v>
      </c>
      <c r="P161" s="42">
        <f>'[1]побудинковий звіт'!P161+'[2]побудинковий звіт'!P161-'[3]побудинковий звіт'!P161</f>
        <v>6996.269513709678</v>
      </c>
      <c r="Q161" s="56">
        <f t="shared" si="127"/>
        <v>-1904.9704862903236</v>
      </c>
      <c r="R161" s="42">
        <f>'[1]побудинковий звіт'!R161+'[2]побудинковий звіт'!R161-'[3]побудинковий звіт'!R161</f>
        <v>1868.1600000000003</v>
      </c>
      <c r="S161" s="42">
        <f>'[1]побудинковий звіт'!S161+'[2]побудинковий звіт'!S161-'[3]побудинковий звіт'!S161</f>
        <v>1468.2148750000001</v>
      </c>
      <c r="T161" s="56">
        <f t="shared" si="128"/>
        <v>-399.94512500000019</v>
      </c>
      <c r="U161" s="42">
        <f>'[1]побудинковий звіт'!U161+'[2]побудинковий звіт'!U161-'[3]побудинковий звіт'!U161</f>
        <v>1728.7253356407509</v>
      </c>
      <c r="V161" s="42">
        <f>'[1]побудинковий звіт'!V161+'[2]побудинковий звіт'!V161-'[3]побудинковий звіт'!V161</f>
        <v>696.23146967158345</v>
      </c>
      <c r="W161" s="56">
        <f t="shared" si="129"/>
        <v>-1032.4938659691675</v>
      </c>
      <c r="X161" s="42">
        <f>'[1]побудинковий звіт'!X161+'[2]побудинковий звіт'!X161-'[3]побудинковий звіт'!X161</f>
        <v>15429.899657356018</v>
      </c>
      <c r="Y161" s="42">
        <f>'[1]побудинковий звіт'!Y161+'[2]побудинковий звіт'!Y161-'[3]побудинковий звіт'!Y161</f>
        <v>10924.471940137775</v>
      </c>
      <c r="Z161" s="56">
        <f t="shared" si="130"/>
        <v>-4505.4277172182428</v>
      </c>
      <c r="AA161" s="42">
        <f>'[1]побудинковий звіт'!AA161+'[2]побудинковий звіт'!AA161-'[3]побудинковий звіт'!AA161</f>
        <v>0</v>
      </c>
      <c r="AB161" s="42">
        <f>'[1]побудинковий звіт'!AB161+'[2]побудинковий звіт'!AB161-'[3]побудинковий звіт'!AB161</f>
        <v>0</v>
      </c>
      <c r="AC161" s="56">
        <f t="shared" si="131"/>
        <v>0</v>
      </c>
      <c r="AD161" s="42">
        <f>'[1]побудинковий звіт'!AD161+'[2]побудинковий звіт'!AD161-'[3]побудинковий звіт'!AD161</f>
        <v>25740.505829888225</v>
      </c>
      <c r="AE161" s="42">
        <f>'[1]побудинковий звіт'!AE161+'[2]побудинковий звіт'!AE161-'[3]побудинковий звіт'!AE161</f>
        <v>23724.613597205444</v>
      </c>
      <c r="AF161" s="37">
        <f t="shared" si="132"/>
        <v>-2015.8922326827815</v>
      </c>
      <c r="AG161" s="87">
        <f t="shared" ref="AG161:AH215" si="180">I161+L161+O161+R161+U161+X161+AA161+AD161</f>
        <v>69618.839655931049</v>
      </c>
      <c r="AH161" s="57">
        <f t="shared" si="180"/>
        <v>57917.160587574675</v>
      </c>
      <c r="AI161" s="56">
        <f t="shared" si="133"/>
        <v>-11701.679068356374</v>
      </c>
      <c r="AJ161" s="42">
        <f>'[1]побудинковий звіт'!AJ161+'[2]побудинковий звіт'!AJ161-'[3]побудинковий звіт'!AJ161</f>
        <v>85841.511787988129</v>
      </c>
      <c r="AK161" s="42">
        <f>'[1]побудинковий звіт'!AK161+'[2]побудинковий звіт'!AK161-'[3]побудинковий звіт'!AK161</f>
        <v>85086.361665974007</v>
      </c>
      <c r="AL161" s="56">
        <f t="shared" si="134"/>
        <v>-755.15012201412173</v>
      </c>
      <c r="AM161" s="42">
        <f>'[1]побудинковий звіт'!AM161+'[2]побудинковий звіт'!AM161-'[3]побудинковий звіт'!AM161</f>
        <v>0</v>
      </c>
      <c r="AN161" s="42">
        <f>'[1]побудинковий звіт'!AN161+'[2]побудинковий звіт'!AN161-'[3]побудинковий звіт'!AN161</f>
        <v>0</v>
      </c>
      <c r="AO161" s="56">
        <f t="shared" si="135"/>
        <v>0</v>
      </c>
      <c r="AP161" s="42">
        <f>'[1]побудинковий звіт'!AP161+'[2]побудинковий звіт'!AP161-'[3]побудинковий звіт'!AP161</f>
        <v>5066.544389481026</v>
      </c>
      <c r="AQ161" s="42">
        <f>'[1]побудинковий звіт'!AQ161+'[2]побудинковий звіт'!AQ161-'[3]побудинковий звіт'!AQ161</f>
        <v>5015.1552337716339</v>
      </c>
      <c r="AR161" s="56">
        <f t="shared" si="136"/>
        <v>-51.389155709392071</v>
      </c>
      <c r="AS161" s="42">
        <f>'[1]побудинковий звіт'!AS161+'[2]побудинковий звіт'!AS161-'[3]побудинковий звіт'!AS161</f>
        <v>105825.06924715194</v>
      </c>
      <c r="AT161" s="42">
        <f>'[1]побудинковий звіт'!AT161+'[2]побудинковий звіт'!AT161-'[3]побудинковий звіт'!AT161</f>
        <v>83636</v>
      </c>
      <c r="AU161" s="58">
        <f t="shared" si="151"/>
        <v>-22189.069247151943</v>
      </c>
      <c r="AV161" s="42">
        <f>'[1]побудинковий звіт'!AV161+'[2]побудинковий звіт'!AV161-'[3]побудинковий звіт'!AV161</f>
        <v>1018.8785603844715</v>
      </c>
      <c r="AW161" s="42">
        <f>'[1]побудинковий звіт'!AW161+'[2]побудинковий звіт'!AW161-'[3]побудинковий звіт'!AW161</f>
        <v>1251</v>
      </c>
      <c r="AX161" s="59">
        <f t="shared" si="152"/>
        <v>232.12143961552852</v>
      </c>
      <c r="AY161" s="42">
        <f>'[1]побудинковий звіт'!AY161+'[2]побудинковий звіт'!AY161-'[3]побудинковий звіт'!AY161</f>
        <v>1270.1803176525073</v>
      </c>
      <c r="AZ161" s="42">
        <f>'[1]побудинковий звіт'!AZ161+'[2]побудинковий звіт'!AZ161-'[3]побудинковий звіт'!AZ161</f>
        <v>4410</v>
      </c>
      <c r="BA161" s="37">
        <f t="shared" si="153"/>
        <v>3139.8196823474927</v>
      </c>
      <c r="BB161" s="42">
        <f>'[1]побудинковий звіт'!BB161+'[2]побудинковий звіт'!BB161-'[3]побудинковий звіт'!BB161</f>
        <v>2107.4458868333245</v>
      </c>
      <c r="BC161" s="42">
        <f>'[1]побудинковий звіт'!BC161+'[2]побудинковий звіт'!BC161-'[3]побудинковий звіт'!BC161</f>
        <v>0</v>
      </c>
      <c r="BD161" s="59">
        <f t="shared" si="154"/>
        <v>-2107.4458868333245</v>
      </c>
      <c r="BE161" s="42">
        <f>'[1]побудинковий звіт'!BE161+'[2]побудинковий звіт'!BE161-'[3]побудинковий звіт'!BE161</f>
        <v>796.55683979232253</v>
      </c>
      <c r="BF161" s="42">
        <f>'[1]побудинковий звіт'!BF161+'[2]побудинковий звіт'!BF161-'[3]побудинковий звіт'!BF161</f>
        <v>0</v>
      </c>
      <c r="BG161" s="39">
        <f t="shared" si="155"/>
        <v>-796.55683979232253</v>
      </c>
      <c r="BH161" s="42">
        <f>'[1]побудинковий звіт'!BH161+'[2]побудинковий звіт'!BH161-'[3]побудинковий звіт'!BH161</f>
        <v>876.9679019529558</v>
      </c>
      <c r="BI161" s="42">
        <f>'[1]побудинковий звіт'!BI161+'[2]побудинковий звіт'!BI161-'[3]побудинковий звіт'!BI161</f>
        <v>0</v>
      </c>
      <c r="BJ161" s="59">
        <f t="shared" si="156"/>
        <v>-876.9679019529558</v>
      </c>
      <c r="BK161" s="42">
        <f>'[1]побудинковий звіт'!BK161+'[2]побудинковий звіт'!BK161-'[3]побудинковий звіт'!BK161</f>
        <v>1392.9619780179046</v>
      </c>
      <c r="BL161" s="42">
        <f>'[1]побудинковий звіт'!BL161+'[2]побудинковий звіт'!BL161-'[3]побудинковий звіт'!BL161</f>
        <v>10932</v>
      </c>
      <c r="BM161" s="39">
        <f t="shared" si="157"/>
        <v>9539.0380219820945</v>
      </c>
      <c r="BN161" s="42">
        <f>'[1]побудинковий звіт'!BN161+'[2]побудинковий звіт'!BN161-'[3]побудинковий звіт'!BN161</f>
        <v>1106.6179815768044</v>
      </c>
      <c r="BO161" s="42">
        <f>'[1]побудинковий звіт'!BO161+'[2]побудинковий звіт'!BO161-'[3]побудинковий звіт'!BO161</f>
        <v>0</v>
      </c>
      <c r="BP161" s="59">
        <f t="shared" si="158"/>
        <v>-1106.6179815768044</v>
      </c>
      <c r="BQ161" s="87">
        <f t="shared" si="176"/>
        <v>8569.6094662102914</v>
      </c>
      <c r="BR161" s="43">
        <f t="shared" si="177"/>
        <v>16593</v>
      </c>
      <c r="BS161" s="59">
        <f t="shared" si="159"/>
        <v>8023.3905337897086</v>
      </c>
      <c r="BT161" s="42">
        <f>'[1]побудинковий звіт'!BT161+'[2]побудинковий звіт'!BT161-'[3]побудинковий звіт'!BT161</f>
        <v>80724.998630992981</v>
      </c>
      <c r="BU161" s="42">
        <f>'[1]побудинковий звіт'!BU161+'[2]побудинковий звіт'!BU161-'[3]побудинковий звіт'!BU161</f>
        <v>79292.833224654372</v>
      </c>
      <c r="BV161" s="56">
        <f t="shared" si="137"/>
        <v>-1432.1654063386086</v>
      </c>
      <c r="BW161" s="42">
        <f>'[1]побудинковий звіт'!BW161+'[2]побудинковий звіт'!BW161-'[3]побудинковий звіт'!BW161</f>
        <v>61419.932741280842</v>
      </c>
      <c r="BX161" s="42">
        <f>'[1]побудинковий звіт'!BX161+'[2]побудинковий звіт'!BX161-'[3]побудинковий звіт'!BX161</f>
        <v>52550.976881089999</v>
      </c>
      <c r="BY161" s="56">
        <f t="shared" si="138"/>
        <v>-8868.9558601908429</v>
      </c>
      <c r="BZ161" s="42">
        <f>'[1]побудинковий звіт'!BZ161+'[2]побудинковий звіт'!BZ161-'[3]побудинковий звіт'!BZ161</f>
        <v>9348.4112559487785</v>
      </c>
      <c r="CA161" s="42">
        <f>'[1]побудинковий звіт'!CA161+'[2]побудинковий звіт'!CA161-'[3]побудинковий звіт'!CA161</f>
        <v>19570.578111471368</v>
      </c>
      <c r="CB161" s="56">
        <f t="shared" si="139"/>
        <v>10222.16685552259</v>
      </c>
      <c r="CC161" s="42">
        <f>'[1]побудинковий звіт'!CC161+'[2]побудинковий звіт'!CC161-'[3]побудинковий звіт'!CC161</f>
        <v>2701.607366110868</v>
      </c>
      <c r="CD161" s="42">
        <f>'[1]побудинковий звіт'!CD161+'[2]побудинковий звіт'!CD161-'[3]побудинковий звіт'!CD161</f>
        <v>2677.8459655261745</v>
      </c>
      <c r="CE161" s="56">
        <f t="shared" si="140"/>
        <v>-23.761400584693547</v>
      </c>
      <c r="CF161" s="42">
        <f>'[1]побудинковий звіт'!CF161+'[2]побудинковий звіт'!CF161-'[3]побудинковий звіт'!CF161</f>
        <v>332.5842401462242</v>
      </c>
      <c r="CG161" s="42">
        <f>'[1]побудинковий звіт'!CG161+'[2]побудинковий звіт'!CG161-'[3]побудинковий звіт'!CG161</f>
        <v>0</v>
      </c>
      <c r="CH161" s="56">
        <f t="shared" si="141"/>
        <v>-332.5842401462242</v>
      </c>
      <c r="CI161" s="42">
        <f>'[1]побудинковий звіт'!CI161+'[2]побудинковий звіт'!CI161-'[3]побудинковий звіт'!CI161</f>
        <v>27683.219737067171</v>
      </c>
      <c r="CJ161" s="42">
        <f>'[1]побудинковий звіт'!CJ161+'[2]побудинковий звіт'!CJ161-'[3]побудинковий звіт'!CJ161</f>
        <v>22795.10383955919</v>
      </c>
      <c r="CK161" s="56">
        <f t="shared" si="142"/>
        <v>-4888.1158975079816</v>
      </c>
      <c r="CL161" s="42">
        <f>'[1]побудинковий звіт'!CL161+'[2]побудинковий звіт'!CL161-'[3]побудинковий звіт'!CL161</f>
        <v>12128.956314820502</v>
      </c>
      <c r="CM161" s="42">
        <f>'[1]побудинковий звіт'!CM161+'[2]побудинковий звіт'!CM161-'[3]побудинковий звіт'!CM161</f>
        <v>13675.093236716653</v>
      </c>
      <c r="CN161" s="56">
        <f t="shared" si="143"/>
        <v>1546.1369218961518</v>
      </c>
      <c r="CO161" s="42">
        <f t="shared" ref="CO161:CO215" si="181">CI161+CL161</f>
        <v>39812.176051887669</v>
      </c>
      <c r="CP161" s="43">
        <f t="shared" si="144"/>
        <v>36470.197076275843</v>
      </c>
      <c r="CQ161" s="56">
        <f t="shared" si="145"/>
        <v>-3341.9789756118262</v>
      </c>
      <c r="CR161" s="78">
        <f t="shared" ref="CR161:CS215" si="182">AG161+AJ161+AM161+AP161+AS161+BQ161+BT161+BW161+BZ161+CC161+CF161+CO161</f>
        <v>469261.28483312984</v>
      </c>
      <c r="CS161" s="5">
        <f t="shared" si="182"/>
        <v>438810.10874633805</v>
      </c>
      <c r="CT161" s="56">
        <f t="shared" si="146"/>
        <v>-30451.176086791791</v>
      </c>
      <c r="CU161" s="87">
        <f t="shared" si="147"/>
        <v>563113.54179975577</v>
      </c>
      <c r="CV161" s="70">
        <f t="shared" si="148"/>
        <v>526572.13049560564</v>
      </c>
      <c r="CW161" s="37">
        <f t="shared" si="149"/>
        <v>-36541.411304150126</v>
      </c>
      <c r="CX161" s="42">
        <f>'[1]побудинковий звіт'!CX161+'[2]побудинковий звіт'!CX161-'[3]побудинковий звіт'!CX161</f>
        <v>14008.578200244228</v>
      </c>
      <c r="CY161" s="42">
        <f>'[1]побудинковий звіт'!CY161+'[2]побудинковий звіт'!CY161-'[3]побудинковий звіт'!CY161</f>
        <v>50549.989504394369</v>
      </c>
      <c r="CZ161" s="56">
        <f t="shared" si="150"/>
        <v>36541.41130415014</v>
      </c>
      <c r="DA161" s="264">
        <f>'[4]побудинковий звіт'!DA161</f>
        <v>-82245.963823036029</v>
      </c>
      <c r="DB161" s="2">
        <v>1</v>
      </c>
      <c r="DC161" s="717">
        <f>'[4]побудинковий звіт'!DC161</f>
        <v>68021.11</v>
      </c>
      <c r="DD161" s="717">
        <f>'[4]побудинковий звіт'!DD161</f>
        <v>0</v>
      </c>
      <c r="DE161" s="717">
        <f>'[4]побудинковий звіт'!DE161</f>
        <v>19927.599999999999</v>
      </c>
      <c r="DF161" s="717">
        <f>'[4]побудинковий звіт'!DF161</f>
        <v>0</v>
      </c>
      <c r="DG161" s="787">
        <v>-53658.112336913124</v>
      </c>
      <c r="DH161" s="761">
        <f t="shared" si="171"/>
        <v>6925465.4399999995</v>
      </c>
      <c r="DI161" s="784"/>
      <c r="DJ161" s="5"/>
      <c r="DK161" s="317">
        <f>VLOOKUP($A161,ціни!$A$4:$G$401,5)</f>
        <v>6.321812078880054</v>
      </c>
      <c r="DL161" s="317">
        <f>VLOOKUP($A161,ціни!$A$4:$G$401,6)</f>
        <v>8.2220993330953238</v>
      </c>
      <c r="DM161" s="317">
        <f>VLOOKUP($A161,ціни!$A$4:$G$401,7)</f>
        <v>5.2760407988167168</v>
      </c>
      <c r="DN161" s="30">
        <f>DK161*G161+(F161-G161)*DL161</f>
        <v>29581.880682365176</v>
      </c>
      <c r="DO161" s="30">
        <f>DM161*H161</f>
        <v>0</v>
      </c>
      <c r="DP161" s="316">
        <f t="shared" si="162"/>
        <v>29581.880682365176</v>
      </c>
      <c r="DQ161" s="104"/>
      <c r="DR161" s="30">
        <f>VLOOKUP(A161,'ДЗ нас '!$A$1:$C$359,2)</f>
        <v>48093.51</v>
      </c>
      <c r="DS161" s="748"/>
      <c r="DT161" s="30">
        <f t="shared" si="163"/>
        <v>48093.51</v>
      </c>
      <c r="DU161" s="257">
        <f>VLOOKUP(A161,'новий кошторис с 01.06'!$A$4:$AI$399,35)*1.2</f>
        <v>48333.91233781237</v>
      </c>
      <c r="DV161" s="30">
        <f t="shared" si="164"/>
        <v>-240.40233781236748</v>
      </c>
      <c r="DW161" s="930">
        <f>'[5]побудинковий звіт'!DW161+'[6]побудинковий звіт'!DW161</f>
        <v>276</v>
      </c>
      <c r="DY161" s="5">
        <f t="shared" si="167"/>
        <v>137273.61445603467</v>
      </c>
      <c r="DZ161" s="5">
        <f t="shared" si="168"/>
        <v>120274.79999999999</v>
      </c>
      <c r="EA161" s="752">
        <f t="shared" si="172"/>
        <v>19927.599999999999</v>
      </c>
      <c r="EC161" s="592">
        <f t="shared" si="169"/>
        <v>1269900.8309658233</v>
      </c>
      <c r="EE161" s="758">
        <v>9914</v>
      </c>
      <c r="EF161" s="738">
        <f t="shared" si="170"/>
        <v>-43744.112336913124</v>
      </c>
      <c r="EH161" s="813">
        <v>-27970.010296648696</v>
      </c>
    </row>
    <row r="162" spans="1:138" x14ac:dyDescent="0.3">
      <c r="A162" s="328">
        <v>150000537</v>
      </c>
      <c r="B162" s="44" t="s">
        <v>613</v>
      </c>
      <c r="C162" s="45" t="s">
        <v>105</v>
      </c>
      <c r="D162" s="45" t="s">
        <v>105</v>
      </c>
      <c r="E162" s="40">
        <f t="shared" si="175"/>
        <v>4227.22</v>
      </c>
      <c r="F162" s="490">
        <v>4227.22</v>
      </c>
      <c r="G162" s="30"/>
      <c r="H162" s="30">
        <v>0</v>
      </c>
      <c r="I162" s="42">
        <f>'[1]побудинковий звіт'!I162+'[2]побудинковий звіт'!I162-'[3]побудинковий звіт'!I162</f>
        <v>0</v>
      </c>
      <c r="J162" s="42">
        <f>'[1]побудинковий звіт'!J162+'[2]побудинковий звіт'!J162-'[3]побудинковий звіт'!J162</f>
        <v>0</v>
      </c>
      <c r="K162" s="56">
        <f t="shared" ref="K162:K216" si="183">J162-I162</f>
        <v>0</v>
      </c>
      <c r="L162" s="42">
        <f>'[1]побудинковий звіт'!L162+'[2]побудинковий звіт'!L162-'[3]побудинковий звіт'!L162</f>
        <v>0</v>
      </c>
      <c r="M162" s="42">
        <f>'[1]побудинковий звіт'!M162+'[2]побудинковий звіт'!M162-'[3]побудинковий звіт'!M162</f>
        <v>0</v>
      </c>
      <c r="N162" s="56">
        <f t="shared" ref="N162:N216" si="184">M162-L162</f>
        <v>0</v>
      </c>
      <c r="O162" s="42">
        <f>'[1]побудинковий звіт'!O162+'[2]побудинковий звіт'!O162-'[3]побудинковий звіт'!O162</f>
        <v>0</v>
      </c>
      <c r="P162" s="42">
        <f>'[1]побудинковий звіт'!P162+'[2]побудинковий звіт'!P162-'[3]побудинковий звіт'!P162</f>
        <v>0</v>
      </c>
      <c r="Q162" s="56">
        <f t="shared" ref="Q162:Q216" si="185">P162-O162</f>
        <v>0</v>
      </c>
      <c r="R162" s="42">
        <f>'[1]побудинковий звіт'!R162+'[2]побудинковий звіт'!R162-'[3]побудинковий звіт'!R162</f>
        <v>0</v>
      </c>
      <c r="S162" s="42">
        <f>'[1]побудинковий звіт'!S162+'[2]побудинковий звіт'!S162-'[3]побудинковий звіт'!S162</f>
        <v>0</v>
      </c>
      <c r="T162" s="56">
        <f t="shared" ref="T162:T216" si="186">S162-R162</f>
        <v>0</v>
      </c>
      <c r="U162" s="42">
        <f>'[1]побудинковий звіт'!U162+'[2]побудинковий звіт'!U162-'[3]побудинковий звіт'!U162</f>
        <v>0</v>
      </c>
      <c r="V162" s="42">
        <f>'[1]побудинковий звіт'!V162+'[2]побудинковий звіт'!V162-'[3]побудинковий звіт'!V162</f>
        <v>0</v>
      </c>
      <c r="W162" s="56">
        <f t="shared" ref="W162:W216" si="187">V162-U162</f>
        <v>0</v>
      </c>
      <c r="X162" s="42">
        <f>'[1]побудинковий звіт'!X162+'[2]побудинковий звіт'!X162-'[3]побудинковий звіт'!X162</f>
        <v>0</v>
      </c>
      <c r="Y162" s="42">
        <f>'[1]побудинковий звіт'!Y162+'[2]побудинковий звіт'!Y162-'[3]побудинковий звіт'!Y162</f>
        <v>0</v>
      </c>
      <c r="Z162" s="56">
        <f t="shared" ref="Z162:Z216" si="188">Y162-X162</f>
        <v>0</v>
      </c>
      <c r="AA162" s="42">
        <f>'[1]побудинковий звіт'!AA162+'[2]побудинковий звіт'!AA162-'[3]побудинковий звіт'!AA162</f>
        <v>0</v>
      </c>
      <c r="AB162" s="42">
        <f>'[1]побудинковий звіт'!AB162+'[2]побудинковий звіт'!AB162-'[3]побудинковий звіт'!AB162</f>
        <v>0</v>
      </c>
      <c r="AC162" s="56">
        <f t="shared" ref="AC162:AC216" si="189">AB162-AA162</f>
        <v>0</v>
      </c>
      <c r="AD162" s="42">
        <f>'[1]побудинковий звіт'!AD162+'[2]побудинковий звіт'!AD162-'[3]побудинковий звіт'!AD162</f>
        <v>0</v>
      </c>
      <c r="AE162" s="42">
        <f>'[1]побудинковий звіт'!AE162+'[2]побудинковий звіт'!AE162-'[3]побудинковий звіт'!AE162</f>
        <v>0</v>
      </c>
      <c r="AF162" s="37">
        <f t="shared" ref="AF162:AF216" si="190">AE162-AD162</f>
        <v>0</v>
      </c>
      <c r="AG162" s="87">
        <f t="shared" si="180"/>
        <v>0</v>
      </c>
      <c r="AH162" s="57">
        <f t="shared" si="180"/>
        <v>0</v>
      </c>
      <c r="AI162" s="56">
        <f t="shared" ref="AI162:AI216" si="191">AH162-AG162</f>
        <v>0</v>
      </c>
      <c r="AJ162" s="42">
        <f>'[1]побудинковий звіт'!AJ162+'[2]побудинковий звіт'!AJ162-'[3]побудинковий звіт'!AJ162</f>
        <v>0</v>
      </c>
      <c r="AK162" s="42">
        <f>'[1]побудинковий звіт'!AK162+'[2]побудинковий звіт'!AK162-'[3]побудинковий звіт'!AK162</f>
        <v>0</v>
      </c>
      <c r="AL162" s="56">
        <f t="shared" ref="AL162:AL216" si="192">AK162-AJ162</f>
        <v>0</v>
      </c>
      <c r="AM162" s="42">
        <f>'[1]побудинковий звіт'!AM162+'[2]побудинковий звіт'!AM162-'[3]побудинковий звіт'!AM162</f>
        <v>0</v>
      </c>
      <c r="AN162" s="42">
        <f>'[1]побудинковий звіт'!AN162+'[2]побудинковий звіт'!AN162-'[3]побудинковий звіт'!AN162</f>
        <v>0</v>
      </c>
      <c r="AO162" s="56">
        <f t="shared" ref="AO162:AO216" si="193">AN162-AM162</f>
        <v>0</v>
      </c>
      <c r="AP162" s="42">
        <f>'[1]побудинковий звіт'!AP162+'[2]побудинковий звіт'!AP162-'[3]побудинковий звіт'!AP162</f>
        <v>426.15793930214227</v>
      </c>
      <c r="AQ162" s="42">
        <f>'[1]побудинковий звіт'!AQ162+'[2]побудинковий звіт'!AQ162-'[3]побудинковий звіт'!AQ162</f>
        <v>140.14368942720262</v>
      </c>
      <c r="AR162" s="56">
        <f t="shared" ref="AR162:AR216" si="194">AQ162-AP162</f>
        <v>-286.01424987493965</v>
      </c>
      <c r="AS162" s="42">
        <f>'[1]побудинковий звіт'!AS162+'[2]побудинковий звіт'!AS162-'[3]побудинковий звіт'!AS162</f>
        <v>162.45600000000002</v>
      </c>
      <c r="AT162" s="42">
        <f>'[1]побудинковий звіт'!AT162+'[2]побудинковий звіт'!AT162-'[3]побудинковий звіт'!AT162</f>
        <v>769</v>
      </c>
      <c r="AU162" s="58">
        <f t="shared" si="151"/>
        <v>606.54399999999998</v>
      </c>
      <c r="AV162" s="42">
        <f>'[1]побудинковий звіт'!AV162+'[2]побудинковий звіт'!AV162-'[3]побудинковий звіт'!AV162</f>
        <v>0</v>
      </c>
      <c r="AW162" s="42">
        <f>'[1]побудинковий звіт'!AW162+'[2]побудинковий звіт'!AW162-'[3]побудинковий звіт'!AW162</f>
        <v>0</v>
      </c>
      <c r="AX162" s="59">
        <f t="shared" si="152"/>
        <v>0</v>
      </c>
      <c r="AY162" s="42">
        <f>'[1]побудинковий звіт'!AY162+'[2]побудинковий звіт'!AY162-'[3]побудинковий звіт'!AY162</f>
        <v>0</v>
      </c>
      <c r="AZ162" s="42">
        <f>'[1]побудинковий звіт'!AZ162+'[2]побудинковий звіт'!AZ162-'[3]побудинковий звіт'!AZ162</f>
        <v>0</v>
      </c>
      <c r="BA162" s="37">
        <f t="shared" si="153"/>
        <v>0</v>
      </c>
      <c r="BB162" s="42">
        <f>'[1]побудинковий звіт'!BB162+'[2]побудинковий звіт'!BB162-'[3]побудинковий звіт'!BB162</f>
        <v>0</v>
      </c>
      <c r="BC162" s="42">
        <f>'[1]побудинковий звіт'!BC162+'[2]побудинковий звіт'!BC162-'[3]побудинковий звіт'!BC162</f>
        <v>0</v>
      </c>
      <c r="BD162" s="59">
        <f t="shared" si="154"/>
        <v>0</v>
      </c>
      <c r="BE162" s="42">
        <f>'[1]побудинковий звіт'!BE162+'[2]побудинковий звіт'!BE162-'[3]побудинковий звіт'!BE162</f>
        <v>0</v>
      </c>
      <c r="BF162" s="42">
        <f>'[1]побудинковий звіт'!BF162+'[2]побудинковий звіт'!BF162-'[3]побудинковий звіт'!BF162</f>
        <v>0</v>
      </c>
      <c r="BG162" s="39">
        <f t="shared" si="155"/>
        <v>0</v>
      </c>
      <c r="BH162" s="42">
        <f>'[1]побудинковий звіт'!BH162+'[2]побудинковий звіт'!BH162-'[3]побудинковий звіт'!BH162</f>
        <v>0</v>
      </c>
      <c r="BI162" s="42">
        <f>'[1]побудинковий звіт'!BI162+'[2]побудинковий звіт'!BI162-'[3]побудинковий звіт'!BI162</f>
        <v>0</v>
      </c>
      <c r="BJ162" s="59">
        <f t="shared" si="156"/>
        <v>0</v>
      </c>
      <c r="BK162" s="42">
        <f>'[1]побудинковий звіт'!BK162+'[2]побудинковий звіт'!BK162-'[3]побудинковий звіт'!BK162</f>
        <v>0</v>
      </c>
      <c r="BL162" s="42">
        <f>'[1]побудинковий звіт'!BL162+'[2]побудинковий звіт'!BL162-'[3]побудинковий звіт'!BL162</f>
        <v>0</v>
      </c>
      <c r="BM162" s="39">
        <f t="shared" si="157"/>
        <v>0</v>
      </c>
      <c r="BN162" s="42">
        <f>'[1]побудинковий звіт'!BN162+'[2]побудинковий звіт'!BN162-'[3]побудинковий звіт'!BN162</f>
        <v>0</v>
      </c>
      <c r="BO162" s="42">
        <f>'[1]побудинковий звіт'!BO162+'[2]побудинковий звіт'!BO162-'[3]побудинковий звіт'!BO162</f>
        <v>0</v>
      </c>
      <c r="BP162" s="59">
        <f t="shared" si="158"/>
        <v>0</v>
      </c>
      <c r="BQ162" s="87">
        <f t="shared" si="176"/>
        <v>0</v>
      </c>
      <c r="BR162" s="43">
        <f t="shared" si="177"/>
        <v>0</v>
      </c>
      <c r="BS162" s="59">
        <f t="shared" si="159"/>
        <v>0</v>
      </c>
      <c r="BT162" s="42">
        <f>'[1]побудинковий звіт'!BT162+'[2]побудинковий звіт'!BT162-'[3]побудинковий звіт'!BT162</f>
        <v>0</v>
      </c>
      <c r="BU162" s="42">
        <f>'[1]побудинковий звіт'!BU162+'[2]побудинковий звіт'!BU162-'[3]побудинковий звіт'!BU162</f>
        <v>0</v>
      </c>
      <c r="BV162" s="56">
        <f t="shared" ref="BV162:BV216" si="195">BU162-BT162</f>
        <v>0</v>
      </c>
      <c r="BW162" s="42">
        <f>'[1]побудинковий звіт'!BW162+'[2]побудинковий звіт'!BW162-'[3]побудинковий звіт'!BW162</f>
        <v>0</v>
      </c>
      <c r="BX162" s="42">
        <f>'[1]побудинковий звіт'!BX162+'[2]побудинковий звіт'!BX162-'[3]побудинковий звіт'!BX162</f>
        <v>3.4887168658522687</v>
      </c>
      <c r="BY162" s="56">
        <f t="shared" ref="BY162:BY216" si="196">BX162-BW162</f>
        <v>3.4887168658522687</v>
      </c>
      <c r="BZ162" s="42">
        <f>'[1]побудинковий звіт'!BZ162+'[2]побудинковий звіт'!BZ162-'[3]побудинковий звіт'!BZ162</f>
        <v>0</v>
      </c>
      <c r="CA162" s="42">
        <f>'[1]побудинковий звіт'!CA162+'[2]побудинковий звіт'!CA162-'[3]побудинковий звіт'!CA162</f>
        <v>0</v>
      </c>
      <c r="CB162" s="56">
        <f t="shared" ref="CB162:CB216" si="197">CA162-BZ162</f>
        <v>0</v>
      </c>
      <c r="CC162" s="42">
        <f>'[1]побудинковий звіт'!CC162+'[2]побудинковий звіт'!CC162-'[3]побудинковий звіт'!CC162</f>
        <v>0</v>
      </c>
      <c r="CD162" s="42">
        <f>'[1]побудинковий звіт'!CD162+'[2]побудинковий звіт'!CD162-'[3]побудинковий звіт'!CD162</f>
        <v>0</v>
      </c>
      <c r="CE162" s="56">
        <f t="shared" ref="CE162:CE216" si="198">CD162-CC162</f>
        <v>0</v>
      </c>
      <c r="CF162" s="42">
        <f>'[1]побудинковий звіт'!CF162+'[2]побудинковий звіт'!CF162-'[3]побудинковий звіт'!CF162</f>
        <v>0</v>
      </c>
      <c r="CG162" s="42">
        <f>'[1]побудинковий звіт'!CG162+'[2]побудинковий звіт'!CG162-'[3]побудинковий звіт'!CG162</f>
        <v>0</v>
      </c>
      <c r="CH162" s="56">
        <f t="shared" ref="CH162:CH216" si="199">CG162-CF162</f>
        <v>0</v>
      </c>
      <c r="CI162" s="42">
        <f>'[1]побудинковий звіт'!CI162+'[2]побудинковий звіт'!CI162-'[3]побудинковий звіт'!CI162</f>
        <v>0</v>
      </c>
      <c r="CJ162" s="42">
        <f>'[1]побудинковий звіт'!CJ162+'[2]побудинковий звіт'!CJ162-'[3]побудинковий звіт'!CJ162</f>
        <v>0</v>
      </c>
      <c r="CK162" s="56">
        <f t="shared" ref="CK162:CK216" si="200">CJ162-CI162</f>
        <v>0</v>
      </c>
      <c r="CL162" s="42">
        <f>'[1]побудинковий звіт'!CL162+'[2]побудинковий звіт'!CL162-'[3]побудинковий звіт'!CL162</f>
        <v>0</v>
      </c>
      <c r="CM162" s="42">
        <f>'[1]побудинковий звіт'!CM162+'[2]побудинковий звіт'!CM162-'[3]побудинковий звіт'!CM162</f>
        <v>0</v>
      </c>
      <c r="CN162" s="56">
        <f t="shared" ref="CN162:CN216" si="201">CM162-CL162</f>
        <v>0</v>
      </c>
      <c r="CO162" s="42">
        <f t="shared" si="181"/>
        <v>0</v>
      </c>
      <c r="CP162" s="43">
        <f t="shared" ref="CP162:CP216" si="202">CJ162+CM162</f>
        <v>0</v>
      </c>
      <c r="CQ162" s="56">
        <f t="shared" ref="CQ162:CQ216" si="203">CP162-CO162</f>
        <v>0</v>
      </c>
      <c r="CR162" s="78">
        <f t="shared" si="182"/>
        <v>588.61393930214228</v>
      </c>
      <c r="CS162" s="5">
        <f t="shared" si="182"/>
        <v>912.63240629305494</v>
      </c>
      <c r="CT162" s="56">
        <f t="shared" ref="CT162:CT216" si="204">CS162-CR162</f>
        <v>324.01846699091266</v>
      </c>
      <c r="CU162" s="87">
        <f t="shared" ref="CU162:CU216" si="205">CR162*1.2</f>
        <v>706.3367271625707</v>
      </c>
      <c r="CV162" s="70">
        <f t="shared" ref="CV162:CV216" si="206">CS162*1.2</f>
        <v>1095.1588875516659</v>
      </c>
      <c r="CW162" s="37">
        <f t="shared" ref="CW162:CW216" si="207">CV162-CU162</f>
        <v>388.82216038909519</v>
      </c>
      <c r="CX162" s="42">
        <f>'[1]побудинковий звіт'!CX162+'[2]побудинковий звіт'!CX162-'[3]побудинковий звіт'!CX162</f>
        <v>-1.6727162570816745E-2</v>
      </c>
      <c r="CY162" s="42">
        <f>'[1]побудинковий звіт'!CY162+'[2]побудинковий звіт'!CY162-'[3]побудинковий звіт'!CY162</f>
        <v>-388.83888755166583</v>
      </c>
      <c r="CZ162" s="56">
        <f t="shared" ref="CZ162:CZ216" si="208">CY162-CX162</f>
        <v>-388.82216038909502</v>
      </c>
      <c r="DA162" s="264">
        <f>'[4]побудинковий звіт'!DA162</f>
        <v>-505.0813869180007</v>
      </c>
      <c r="DB162" s="2">
        <v>2</v>
      </c>
      <c r="DC162" s="717">
        <f>'[4]побудинковий звіт'!DC162</f>
        <v>58.86</v>
      </c>
      <c r="DD162" s="717">
        <f>'[4]побудинковий звіт'!DD162</f>
        <v>0</v>
      </c>
      <c r="DE162" s="717">
        <f>'[4]побудинковий звіт'!DE162</f>
        <v>0</v>
      </c>
      <c r="DF162" s="717">
        <f>'[4]побудинковий звіт'!DF162</f>
        <v>0</v>
      </c>
      <c r="DG162" s="787">
        <v>-626.66455300547432</v>
      </c>
      <c r="DH162" s="761">
        <f t="shared" si="171"/>
        <v>8475.84</v>
      </c>
      <c r="DI162" s="784"/>
      <c r="DJ162" s="5"/>
      <c r="DK162" s="317">
        <f>VLOOKUP($A162,ціни!$A$4:$G$401,5)</f>
        <v>0.543503175717583</v>
      </c>
      <c r="DL162" s="317"/>
      <c r="DM162" s="317">
        <f>VLOOKUP($A162,ціни!$A$4:$G$401,7)</f>
        <v>0.543503175717583</v>
      </c>
      <c r="DN162" s="30">
        <f t="shared" ref="DN162:DN180" si="209">F162*DK162</f>
        <v>2297.5074944568814</v>
      </c>
      <c r="DO162" s="30">
        <f t="shared" ref="DO162:DO180" si="210">H162*DM162</f>
        <v>0</v>
      </c>
      <c r="DP162" s="316">
        <f t="shared" si="162"/>
        <v>2297.5074944568814</v>
      </c>
      <c r="DQ162" s="104"/>
      <c r="DR162" s="30">
        <f>VLOOKUP(A162,'ДЗ нас '!$A$1:$C$359,2)</f>
        <v>58.86</v>
      </c>
      <c r="DS162" s="748"/>
      <c r="DT162" s="30">
        <f t="shared" si="163"/>
        <v>58.86</v>
      </c>
      <c r="DU162" s="257">
        <f>VLOOKUP(A162,'новий кошторис с 01.06'!$A$4:$AI$399,35)*1.2</f>
        <v>58.861393930214234</v>
      </c>
      <c r="DV162" s="30">
        <f t="shared" si="164"/>
        <v>-1.3939302142347287E-3</v>
      </c>
      <c r="DW162" s="930">
        <f>'[5]побудинковий звіт'!DW162+'[6]побудинковий звіт'!DW162</f>
        <v>0</v>
      </c>
      <c r="DY162" s="5">
        <f t="shared" si="167"/>
        <v>194.94720000000001</v>
      </c>
      <c r="DZ162" s="5">
        <f t="shared" si="168"/>
        <v>922.8</v>
      </c>
      <c r="EA162" s="752">
        <f t="shared" si="172"/>
        <v>0</v>
      </c>
      <c r="EC162" s="592">
        <f t="shared" si="169"/>
        <v>1949.4720000000002</v>
      </c>
      <c r="EE162" s="758">
        <v>529</v>
      </c>
      <c r="EF162" s="738">
        <f t="shared" si="170"/>
        <v>-97.664553005474318</v>
      </c>
      <c r="EH162" s="813">
        <v>-1011.1054736414321</v>
      </c>
    </row>
    <row r="163" spans="1:138" x14ac:dyDescent="0.3">
      <c r="A163" s="328">
        <v>150000545</v>
      </c>
      <c r="B163" s="44" t="s">
        <v>614</v>
      </c>
      <c r="C163" s="45" t="s">
        <v>106</v>
      </c>
      <c r="D163" s="45" t="s">
        <v>106</v>
      </c>
      <c r="E163" s="40">
        <f t="shared" si="175"/>
        <v>5062.2</v>
      </c>
      <c r="F163" s="490">
        <v>5062.2</v>
      </c>
      <c r="G163" s="30"/>
      <c r="H163" s="30"/>
      <c r="I163" s="42">
        <f>'[1]побудинковий звіт'!I163+'[2]побудинковий звіт'!I163-'[3]побудинковий звіт'!I163</f>
        <v>0</v>
      </c>
      <c r="J163" s="42">
        <f>'[1]побудинковий звіт'!J163+'[2]побудинковий звіт'!J163-'[3]побудинковий звіт'!J163</f>
        <v>0</v>
      </c>
      <c r="K163" s="56">
        <f t="shared" si="183"/>
        <v>0</v>
      </c>
      <c r="L163" s="42">
        <f>'[1]побудинковий звіт'!L163+'[2]побудинковий звіт'!L163-'[3]побудинковий звіт'!L163</f>
        <v>0</v>
      </c>
      <c r="M163" s="42">
        <f>'[1]побудинковий звіт'!M163+'[2]побудинковий звіт'!M163-'[3]побудинковий звіт'!M163</f>
        <v>0</v>
      </c>
      <c r="N163" s="56">
        <f t="shared" si="184"/>
        <v>0</v>
      </c>
      <c r="O163" s="42">
        <f>'[1]побудинковий звіт'!O163+'[2]побудинковий звіт'!O163-'[3]побудинковий звіт'!O163</f>
        <v>0</v>
      </c>
      <c r="P163" s="42">
        <f>'[1]побудинковий звіт'!P163+'[2]побудинковий звіт'!P163-'[3]побудинковий звіт'!P163</f>
        <v>0</v>
      </c>
      <c r="Q163" s="56">
        <f t="shared" si="185"/>
        <v>0</v>
      </c>
      <c r="R163" s="42">
        <f>'[1]побудинковий звіт'!R163+'[2]побудинковий звіт'!R163-'[3]побудинковий звіт'!R163</f>
        <v>0</v>
      </c>
      <c r="S163" s="42">
        <f>'[1]побудинковий звіт'!S163+'[2]побудинковий звіт'!S163-'[3]побудинковий звіт'!S163</f>
        <v>0</v>
      </c>
      <c r="T163" s="56">
        <f t="shared" si="186"/>
        <v>0</v>
      </c>
      <c r="U163" s="42">
        <f>'[1]побудинковий звіт'!U163+'[2]побудинковий звіт'!U163-'[3]побудинковий звіт'!U163</f>
        <v>0</v>
      </c>
      <c r="V163" s="42">
        <f>'[1]побудинковий звіт'!V163+'[2]побудинковий звіт'!V163-'[3]побудинковий звіт'!V163</f>
        <v>0</v>
      </c>
      <c r="W163" s="56">
        <f t="shared" si="187"/>
        <v>0</v>
      </c>
      <c r="X163" s="42">
        <f>'[1]побудинковий звіт'!X163+'[2]побудинковий звіт'!X163-'[3]побудинковий звіт'!X163</f>
        <v>0</v>
      </c>
      <c r="Y163" s="42">
        <f>'[1]побудинковий звіт'!Y163+'[2]побудинковий звіт'!Y163-'[3]побудинковий звіт'!Y163</f>
        <v>0</v>
      </c>
      <c r="Z163" s="56">
        <f t="shared" si="188"/>
        <v>0</v>
      </c>
      <c r="AA163" s="42">
        <f>'[1]побудинковий звіт'!AA163+'[2]побудинковий звіт'!AA163-'[3]побудинковий звіт'!AA163</f>
        <v>0</v>
      </c>
      <c r="AB163" s="42">
        <f>'[1]побудинковий звіт'!AB163+'[2]побудинковий звіт'!AB163-'[3]побудинковий звіт'!AB163</f>
        <v>0</v>
      </c>
      <c r="AC163" s="56">
        <f t="shared" si="189"/>
        <v>0</v>
      </c>
      <c r="AD163" s="42">
        <f>'[1]побудинковий звіт'!AD163+'[2]побудинковий звіт'!AD163-'[3]побудинковий звіт'!AD163</f>
        <v>0</v>
      </c>
      <c r="AE163" s="42">
        <f>'[1]побудинковий звіт'!AE163+'[2]побудинковий звіт'!AE163-'[3]побудинковий звіт'!AE163</f>
        <v>63.281337497878191</v>
      </c>
      <c r="AF163" s="37">
        <f t="shared" si="190"/>
        <v>63.281337497878191</v>
      </c>
      <c r="AG163" s="87">
        <f t="shared" si="180"/>
        <v>0</v>
      </c>
      <c r="AH163" s="57">
        <f t="shared" si="180"/>
        <v>63.281337497878191</v>
      </c>
      <c r="AI163" s="56">
        <f t="shared" si="191"/>
        <v>63.281337497878191</v>
      </c>
      <c r="AJ163" s="42">
        <f>'[1]побудинковий звіт'!AJ163+'[2]побудинковий звіт'!AJ163-'[3]побудинковий звіт'!AJ163</f>
        <v>0</v>
      </c>
      <c r="AK163" s="42">
        <f>'[1]побудинковий звіт'!AK163+'[2]побудинковий звіт'!AK163-'[3]побудинковий звіт'!AK163</f>
        <v>0</v>
      </c>
      <c r="AL163" s="56">
        <f t="shared" si="192"/>
        <v>0</v>
      </c>
      <c r="AM163" s="42">
        <f>'[1]побудинковий звіт'!AM163+'[2]побудинковий звіт'!AM163-'[3]побудинковий звіт'!AM163</f>
        <v>0</v>
      </c>
      <c r="AN163" s="42">
        <f>'[1]побудинковий звіт'!AN163+'[2]побудинковий звіт'!AN163-'[3]побудинковий звіт'!AN163</f>
        <v>0</v>
      </c>
      <c r="AO163" s="56">
        <f t="shared" si="193"/>
        <v>0</v>
      </c>
      <c r="AP163" s="42">
        <f>'[1]побудинковий звіт'!AP163+'[2]побудинковий звіт'!AP163-'[3]побудинковий звіт'!AP163</f>
        <v>177.56580804255933</v>
      </c>
      <c r="AQ163" s="42">
        <f>'[1]побудинковий звіт'!AQ163+'[2]побудинковий звіт'!AQ163-'[3]побудинковий звіт'!AQ163</f>
        <v>0</v>
      </c>
      <c r="AR163" s="56">
        <f t="shared" si="194"/>
        <v>-177.56580804255933</v>
      </c>
      <c r="AS163" s="42">
        <f>'[1]побудинковий звіт'!AS163+'[2]побудинковий звіт'!AS163-'[3]побудинковий звіт'!AS163</f>
        <v>517.27528115585164</v>
      </c>
      <c r="AT163" s="42">
        <f>'[1]побудинковий звіт'!AT163+'[2]побудинковий звіт'!AT163-'[3]побудинковий звіт'!AT163</f>
        <v>0</v>
      </c>
      <c r="AU163" s="58">
        <f t="shared" ref="AU163:AU217" si="211">AT163-AS163</f>
        <v>-517.27528115585164</v>
      </c>
      <c r="AV163" s="42">
        <f>'[1]побудинковий звіт'!AV163+'[2]побудинковий звіт'!AV163-'[3]побудинковий звіт'!AV163</f>
        <v>0</v>
      </c>
      <c r="AW163" s="42">
        <f>'[1]побудинковий звіт'!AW163+'[2]побудинковий звіт'!AW163-'[3]побудинковий звіт'!AW163</f>
        <v>0</v>
      </c>
      <c r="AX163" s="59">
        <f t="shared" ref="AX163:AX217" si="212">AW163-AV163</f>
        <v>0</v>
      </c>
      <c r="AY163" s="42">
        <f>'[1]побудинковий звіт'!AY163+'[2]побудинковий звіт'!AY163-'[3]побудинковий звіт'!AY163</f>
        <v>0</v>
      </c>
      <c r="AZ163" s="42">
        <f>'[1]побудинковий звіт'!AZ163+'[2]побудинковий звіт'!AZ163-'[3]побудинковий звіт'!AZ163</f>
        <v>0</v>
      </c>
      <c r="BA163" s="37">
        <f t="shared" ref="BA163:BA217" si="213">AZ163-AY163</f>
        <v>0</v>
      </c>
      <c r="BB163" s="42">
        <f>'[1]побудинковий звіт'!BB163+'[2]побудинковий звіт'!BB163-'[3]побудинковий звіт'!BB163</f>
        <v>0</v>
      </c>
      <c r="BC163" s="42">
        <f>'[1]побудинковий звіт'!BC163+'[2]побудинковий звіт'!BC163-'[3]побудинковий звіт'!BC163</f>
        <v>0</v>
      </c>
      <c r="BD163" s="59">
        <f t="shared" ref="BD163:BD217" si="214">BC163-BB163</f>
        <v>0</v>
      </c>
      <c r="BE163" s="42">
        <f>'[1]побудинковий звіт'!BE163+'[2]побудинковий звіт'!BE163-'[3]побудинковий звіт'!BE163</f>
        <v>0</v>
      </c>
      <c r="BF163" s="42">
        <f>'[1]побудинковий звіт'!BF163+'[2]побудинковий звіт'!BF163-'[3]побудинковий звіт'!BF163</f>
        <v>0</v>
      </c>
      <c r="BG163" s="39">
        <f t="shared" ref="BG163:BG217" si="215">BF163-BE163</f>
        <v>0</v>
      </c>
      <c r="BH163" s="42">
        <f>'[1]побудинковий звіт'!BH163+'[2]побудинковий звіт'!BH163-'[3]побудинковий звіт'!BH163</f>
        <v>0</v>
      </c>
      <c r="BI163" s="42">
        <f>'[1]побудинковий звіт'!BI163+'[2]побудинковий звіт'!BI163-'[3]побудинковий звіт'!BI163</f>
        <v>0</v>
      </c>
      <c r="BJ163" s="59">
        <f t="shared" ref="BJ163:BJ217" si="216">BI163-BH163</f>
        <v>0</v>
      </c>
      <c r="BK163" s="42">
        <f>'[1]побудинковий звіт'!BK163+'[2]побудинковий звіт'!BK163-'[3]побудинковий звіт'!BK163</f>
        <v>0</v>
      </c>
      <c r="BL163" s="42">
        <f>'[1]побудинковий звіт'!BL163+'[2]побудинковий звіт'!BL163-'[3]побудинковий звіт'!BL163</f>
        <v>0</v>
      </c>
      <c r="BM163" s="39">
        <f t="shared" ref="BM163:BM217" si="217">BL163-BK163</f>
        <v>0</v>
      </c>
      <c r="BN163" s="42">
        <f>'[1]побудинковий звіт'!BN163+'[2]побудинковий звіт'!BN163-'[3]побудинковий звіт'!BN163</f>
        <v>0</v>
      </c>
      <c r="BO163" s="42">
        <f>'[1]побудинковий звіт'!BO163+'[2]побудинковий звіт'!BO163-'[3]побудинковий звіт'!BO163</f>
        <v>0</v>
      </c>
      <c r="BP163" s="59">
        <f t="shared" ref="BP163:BP217" si="218">BO163-BN163</f>
        <v>0</v>
      </c>
      <c r="BQ163" s="87">
        <f t="shared" si="176"/>
        <v>0</v>
      </c>
      <c r="BR163" s="43">
        <f t="shared" si="177"/>
        <v>0</v>
      </c>
      <c r="BS163" s="59">
        <f t="shared" ref="BS163:BS217" si="219">BR163-BQ163</f>
        <v>0</v>
      </c>
      <c r="BT163" s="42">
        <f>'[1]побудинковий звіт'!BT163+'[2]побудинковий звіт'!BT163-'[3]побудинковий звіт'!BT163</f>
        <v>0</v>
      </c>
      <c r="BU163" s="42">
        <f>'[1]побудинковий звіт'!BU163+'[2]побудинковий звіт'!BU163-'[3]побудинковий звіт'!BU163</f>
        <v>0</v>
      </c>
      <c r="BV163" s="56">
        <f t="shared" si="195"/>
        <v>0</v>
      </c>
      <c r="BW163" s="42">
        <f>'[1]побудинковий звіт'!BW163+'[2]побудинковий звіт'!BW163-'[3]побудинковий звіт'!BW163</f>
        <v>0</v>
      </c>
      <c r="BX163" s="42">
        <f>'[1]побудинковий звіт'!BX163+'[2]побудинковий звіт'!BX163-'[3]побудинковий звіт'!BX163</f>
        <v>1.7213792406460255</v>
      </c>
      <c r="BY163" s="56">
        <f t="shared" si="196"/>
        <v>1.7213792406460255</v>
      </c>
      <c r="BZ163" s="42">
        <f>'[1]побудинковий звіт'!BZ163+'[2]побудинковий звіт'!BZ163-'[3]побудинковий звіт'!BZ163</f>
        <v>0</v>
      </c>
      <c r="CA163" s="42">
        <f>'[1]побудинковий звіт'!CA163+'[2]побудинковий звіт'!CA163-'[3]побудинковий звіт'!CA163</f>
        <v>0</v>
      </c>
      <c r="CB163" s="56">
        <f t="shared" si="197"/>
        <v>0</v>
      </c>
      <c r="CC163" s="42">
        <f>'[1]побудинковий звіт'!CC163+'[2]побудинковий звіт'!CC163-'[3]побудинковий звіт'!CC163</f>
        <v>0</v>
      </c>
      <c r="CD163" s="42">
        <f>'[1]побудинковий звіт'!CD163+'[2]побудинковий звіт'!CD163-'[3]побудинковий звіт'!CD163</f>
        <v>0</v>
      </c>
      <c r="CE163" s="56">
        <f t="shared" si="198"/>
        <v>0</v>
      </c>
      <c r="CF163" s="42">
        <f>'[1]побудинковий звіт'!CF163+'[2]побудинковий звіт'!CF163-'[3]побудинковий звіт'!CF163</f>
        <v>0</v>
      </c>
      <c r="CG163" s="42">
        <f>'[1]побудинковий звіт'!CG163+'[2]побудинковий звіт'!CG163-'[3]побудинковий звіт'!CG163</f>
        <v>0</v>
      </c>
      <c r="CH163" s="56">
        <f t="shared" si="199"/>
        <v>0</v>
      </c>
      <c r="CI163" s="42">
        <f>'[1]побудинковий звіт'!CI163+'[2]побудинковий звіт'!CI163-'[3]побудинковий звіт'!CI163</f>
        <v>0</v>
      </c>
      <c r="CJ163" s="42">
        <f>'[1]побудинковий звіт'!CJ163+'[2]побудинковий звіт'!CJ163-'[3]побудинковий звіт'!CJ163</f>
        <v>0</v>
      </c>
      <c r="CK163" s="56">
        <f t="shared" si="200"/>
        <v>0</v>
      </c>
      <c r="CL163" s="42">
        <f>'[1]побудинковий звіт'!CL163+'[2]побудинковий звіт'!CL163-'[3]побудинковий звіт'!CL163</f>
        <v>0</v>
      </c>
      <c r="CM163" s="42">
        <f>'[1]побудинковий звіт'!CM163+'[2]побудинковий звіт'!CM163-'[3]побудинковий звіт'!CM163</f>
        <v>0</v>
      </c>
      <c r="CN163" s="56">
        <f t="shared" si="201"/>
        <v>0</v>
      </c>
      <c r="CO163" s="42">
        <f t="shared" si="181"/>
        <v>0</v>
      </c>
      <c r="CP163" s="43">
        <f t="shared" si="202"/>
        <v>0</v>
      </c>
      <c r="CQ163" s="56">
        <f t="shared" si="203"/>
        <v>0</v>
      </c>
      <c r="CR163" s="78">
        <f t="shared" si="182"/>
        <v>694.84108919841094</v>
      </c>
      <c r="CS163" s="5">
        <f t="shared" si="182"/>
        <v>65.002716738524214</v>
      </c>
      <c r="CT163" s="56">
        <f t="shared" si="204"/>
        <v>-629.83837245988673</v>
      </c>
      <c r="CU163" s="87">
        <f t="shared" si="205"/>
        <v>833.80930703809315</v>
      </c>
      <c r="CV163" s="70">
        <f t="shared" si="206"/>
        <v>78.003260086229048</v>
      </c>
      <c r="CW163" s="37">
        <f t="shared" si="207"/>
        <v>-755.80604695186412</v>
      </c>
      <c r="CX163" s="42">
        <f>'[1]побудинковий звіт'!CX163+'[2]побудинковий звіт'!CX163-'[3]побудинковий звіт'!CX163</f>
        <v>-9.3070380933113483E-3</v>
      </c>
      <c r="CY163" s="42">
        <f>'[1]побудинковий звіт'!CY163+'[2]побудинковий звіт'!CY163-'[3]побудинковий звіт'!CY163</f>
        <v>755.79673991377103</v>
      </c>
      <c r="CZ163" s="56">
        <f t="shared" si="208"/>
        <v>755.80604695186435</v>
      </c>
      <c r="DA163" s="264">
        <f>'[4]побудинковий звіт'!DA163</f>
        <v>-3730.0424435814061</v>
      </c>
      <c r="DB163" s="2">
        <v>2</v>
      </c>
      <c r="DC163" s="717">
        <f>'[4]побудинковий звіт'!DC163</f>
        <v>0</v>
      </c>
      <c r="DD163" s="717">
        <f>'[4]побудинковий звіт'!DD163</f>
        <v>0</v>
      </c>
      <c r="DE163" s="717">
        <f>'[4]побудинковий звіт'!DE163</f>
        <v>0</v>
      </c>
      <c r="DF163" s="717">
        <f>'[4]побудинковий звіт'!DF163</f>
        <v>0</v>
      </c>
      <c r="DG163" s="787">
        <v>-2136.3524434880433</v>
      </c>
      <c r="DH163" s="761">
        <f t="shared" si="171"/>
        <v>10005.599999999999</v>
      </c>
      <c r="DI163" s="784"/>
      <c r="DJ163" s="5"/>
      <c r="DK163" s="317">
        <f>VLOOKUP($A163,ціни!$A$4:$G$401,5)</f>
        <v>1.7553880148170384</v>
      </c>
      <c r="DL163" s="317"/>
      <c r="DM163" s="317">
        <f>VLOOKUP($A163,ціни!$A$4:$G$401,7)</f>
        <v>1.7553880148170384</v>
      </c>
      <c r="DN163" s="30">
        <f t="shared" si="209"/>
        <v>8886.1252086068125</v>
      </c>
      <c r="DO163" s="30">
        <f t="shared" si="210"/>
        <v>0</v>
      </c>
      <c r="DP163" s="316">
        <f t="shared" si="162"/>
        <v>8886.1252086068125</v>
      </c>
      <c r="DQ163" s="104"/>
      <c r="DR163" s="30">
        <f>VLOOKUP(A163,'ДЗ нас '!$A$1:$C$359,2)</f>
        <v>242.77</v>
      </c>
      <c r="DS163" s="748"/>
      <c r="DT163" s="30">
        <f t="shared" si="163"/>
        <v>242.77</v>
      </c>
      <c r="DU163" s="257">
        <f>VLOOKUP(A163,'новий кошторис с 01.06'!$A$4:$AI$399,35)*1.2</f>
        <v>166.76186140761865</v>
      </c>
      <c r="DV163" s="30">
        <f t="shared" si="164"/>
        <v>76.008138592381357</v>
      </c>
      <c r="DW163" s="930">
        <f>'[5]побудинковий звіт'!DW163+'[6]побудинковий звіт'!DW163</f>
        <v>0</v>
      </c>
      <c r="DY163" s="5">
        <f t="shared" si="167"/>
        <v>620.7303373870219</v>
      </c>
      <c r="DZ163" s="5">
        <f t="shared" si="168"/>
        <v>0</v>
      </c>
      <c r="EA163" s="752">
        <f t="shared" si="172"/>
        <v>0</v>
      </c>
      <c r="EC163" s="592">
        <f t="shared" si="169"/>
        <v>6207.3033738702197</v>
      </c>
      <c r="EE163" s="758">
        <v>-1035</v>
      </c>
      <c r="EF163" s="738">
        <f t="shared" si="170"/>
        <v>-3171.3524434880433</v>
      </c>
      <c r="EH163" s="813">
        <v>-3231.3656183718058</v>
      </c>
    </row>
    <row r="164" spans="1:138" x14ac:dyDescent="0.3">
      <c r="A164" s="328">
        <v>150000546</v>
      </c>
      <c r="B164" s="44" t="s">
        <v>615</v>
      </c>
      <c r="C164" s="45" t="s">
        <v>107</v>
      </c>
      <c r="D164" s="45" t="s">
        <v>107</v>
      </c>
      <c r="E164" s="40">
        <f t="shared" si="175"/>
        <v>7052.84</v>
      </c>
      <c r="F164" s="490">
        <v>7052.84</v>
      </c>
      <c r="G164" s="30"/>
      <c r="H164" s="30"/>
      <c r="I164" s="42">
        <f>'[1]побудинковий звіт'!I164+'[2]побудинковий звіт'!I164-'[3]побудинковий звіт'!I164</f>
        <v>0</v>
      </c>
      <c r="J164" s="42">
        <f>'[1]побудинковий звіт'!J164+'[2]побудинковий звіт'!J164-'[3]побудинковий звіт'!J164</f>
        <v>0</v>
      </c>
      <c r="K164" s="56">
        <f t="shared" si="183"/>
        <v>0</v>
      </c>
      <c r="L164" s="42">
        <f>'[1]побудинковий звіт'!L164+'[2]побудинковий звіт'!L164-'[3]побудинковий звіт'!L164</f>
        <v>0</v>
      </c>
      <c r="M164" s="42">
        <f>'[1]побудинковий звіт'!M164+'[2]побудинковий звіт'!M164-'[3]побудинковий звіт'!M164</f>
        <v>0</v>
      </c>
      <c r="N164" s="56">
        <f t="shared" si="184"/>
        <v>0</v>
      </c>
      <c r="O164" s="42">
        <f>'[1]побудинковий звіт'!O164+'[2]побудинковий звіт'!O164-'[3]побудинковий звіт'!O164</f>
        <v>0</v>
      </c>
      <c r="P164" s="42">
        <f>'[1]побудинковий звіт'!P164+'[2]побудинковий звіт'!P164-'[3]побудинковий звіт'!P164</f>
        <v>0</v>
      </c>
      <c r="Q164" s="56">
        <f t="shared" si="185"/>
        <v>0</v>
      </c>
      <c r="R164" s="42">
        <f>'[1]побудинковий звіт'!R164+'[2]побудинковий звіт'!R164-'[3]побудинковий звіт'!R164</f>
        <v>0</v>
      </c>
      <c r="S164" s="42">
        <f>'[1]побудинковий звіт'!S164+'[2]побудинковий звіт'!S164-'[3]побудинковий звіт'!S164</f>
        <v>0</v>
      </c>
      <c r="T164" s="56">
        <f t="shared" si="186"/>
        <v>0</v>
      </c>
      <c r="U164" s="42">
        <f>'[1]побудинковий звіт'!U164+'[2]побудинковий звіт'!U164-'[3]побудинковий звіт'!U164</f>
        <v>0</v>
      </c>
      <c r="V164" s="42">
        <f>'[1]побудинковий звіт'!V164+'[2]побудинковий звіт'!V164-'[3]побудинковий звіт'!V164</f>
        <v>0</v>
      </c>
      <c r="W164" s="56">
        <f t="shared" si="187"/>
        <v>0</v>
      </c>
      <c r="X164" s="42">
        <f>'[1]побудинковий звіт'!X164+'[2]побудинковий звіт'!X164-'[3]побудинковий звіт'!X164</f>
        <v>0</v>
      </c>
      <c r="Y164" s="42">
        <f>'[1]побудинковий звіт'!Y164+'[2]побудинковий звіт'!Y164-'[3]побудинковий звіт'!Y164</f>
        <v>0</v>
      </c>
      <c r="Z164" s="56">
        <f t="shared" si="188"/>
        <v>0</v>
      </c>
      <c r="AA164" s="42">
        <f>'[1]побудинковий звіт'!AA164+'[2]побудинковий звіт'!AA164-'[3]побудинковий звіт'!AA164</f>
        <v>0</v>
      </c>
      <c r="AB164" s="42">
        <f>'[1]побудинковий звіт'!AB164+'[2]побудинковий звіт'!AB164-'[3]побудинковий звіт'!AB164</f>
        <v>0</v>
      </c>
      <c r="AC164" s="56">
        <f t="shared" si="189"/>
        <v>0</v>
      </c>
      <c r="AD164" s="42">
        <f>'[1]побудинковий звіт'!AD164+'[2]побудинковий звіт'!AD164-'[3]побудинковий звіт'!AD164</f>
        <v>0</v>
      </c>
      <c r="AE164" s="42">
        <f>'[1]побудинковий звіт'!AE164+'[2]побудинковий звіт'!AE164-'[3]побудинковий звіт'!AE164</f>
        <v>87.461469615488497</v>
      </c>
      <c r="AF164" s="37">
        <f t="shared" si="190"/>
        <v>87.461469615488497</v>
      </c>
      <c r="AG164" s="87">
        <f t="shared" si="180"/>
        <v>0</v>
      </c>
      <c r="AH164" s="57">
        <f t="shared" si="180"/>
        <v>87.461469615488497</v>
      </c>
      <c r="AI164" s="56">
        <f t="shared" si="191"/>
        <v>87.461469615488497</v>
      </c>
      <c r="AJ164" s="42">
        <f>'[1]побудинковий звіт'!AJ164+'[2]побудинковий звіт'!AJ164-'[3]побудинковий звіт'!AJ164</f>
        <v>0</v>
      </c>
      <c r="AK164" s="42">
        <f>'[1]побудинковий звіт'!AK164+'[2]побудинковий звіт'!AK164-'[3]побудинковий звіт'!AK164</f>
        <v>0</v>
      </c>
      <c r="AL164" s="56">
        <f t="shared" si="192"/>
        <v>0</v>
      </c>
      <c r="AM164" s="42">
        <f>'[1]побудинковий звіт'!AM164+'[2]побудинковий звіт'!AM164-'[3]побудинковий звіт'!AM164</f>
        <v>0</v>
      </c>
      <c r="AN164" s="42">
        <f>'[1]побудинковий звіт'!AN164+'[2]побудинковий звіт'!AN164-'[3]побудинковий звіт'!AN164</f>
        <v>0</v>
      </c>
      <c r="AO164" s="56">
        <f t="shared" si="193"/>
        <v>0</v>
      </c>
      <c r="AP164" s="42">
        <f>'[1]побудинковий звіт'!AP164+'[2]побудинковий звіт'!AP164-'[3]побудинковий звіт'!AP164</f>
        <v>177.56580804255933</v>
      </c>
      <c r="AQ164" s="42">
        <f>'[1]побудинковий звіт'!AQ164+'[2]побудинковий звіт'!AQ164-'[3]побудинковий звіт'!AQ164</f>
        <v>0</v>
      </c>
      <c r="AR164" s="56">
        <f t="shared" si="194"/>
        <v>-177.56580804255933</v>
      </c>
      <c r="AS164" s="42">
        <f>'[1]побудинковий звіт'!AS164+'[2]побудинковий звіт'!AS164-'[3]побудинковий звіт'!AS164</f>
        <v>708.30275463812609</v>
      </c>
      <c r="AT164" s="42">
        <f>'[1]побудинковий звіт'!AT164+'[2]побудинковий звіт'!AT164-'[3]побудинковий звіт'!AT164</f>
        <v>0</v>
      </c>
      <c r="AU164" s="58">
        <f t="shared" si="211"/>
        <v>-708.30275463812609</v>
      </c>
      <c r="AV164" s="42">
        <f>'[1]побудинковий звіт'!AV164+'[2]побудинковий звіт'!AV164-'[3]побудинковий звіт'!AV164</f>
        <v>0</v>
      </c>
      <c r="AW164" s="42">
        <f>'[1]побудинковий звіт'!AW164+'[2]побудинковий звіт'!AW164-'[3]побудинковий звіт'!AW164</f>
        <v>0</v>
      </c>
      <c r="AX164" s="59">
        <f t="shared" si="212"/>
        <v>0</v>
      </c>
      <c r="AY164" s="42">
        <f>'[1]побудинковий звіт'!AY164+'[2]побудинковий звіт'!AY164-'[3]побудинковий звіт'!AY164</f>
        <v>0</v>
      </c>
      <c r="AZ164" s="42">
        <f>'[1]побудинковий звіт'!AZ164+'[2]побудинковий звіт'!AZ164-'[3]побудинковий звіт'!AZ164</f>
        <v>0</v>
      </c>
      <c r="BA164" s="37">
        <f t="shared" si="213"/>
        <v>0</v>
      </c>
      <c r="BB164" s="42">
        <f>'[1]побудинковий звіт'!BB164+'[2]побудинковий звіт'!BB164-'[3]побудинковий звіт'!BB164</f>
        <v>0</v>
      </c>
      <c r="BC164" s="42">
        <f>'[1]побудинковий звіт'!BC164+'[2]побудинковий звіт'!BC164-'[3]побудинковий звіт'!BC164</f>
        <v>0</v>
      </c>
      <c r="BD164" s="59">
        <f t="shared" si="214"/>
        <v>0</v>
      </c>
      <c r="BE164" s="42">
        <f>'[1]побудинковий звіт'!BE164+'[2]побудинковий звіт'!BE164-'[3]побудинковий звіт'!BE164</f>
        <v>0</v>
      </c>
      <c r="BF164" s="42">
        <f>'[1]побудинковий звіт'!BF164+'[2]побудинковий звіт'!BF164-'[3]побудинковий звіт'!BF164</f>
        <v>0</v>
      </c>
      <c r="BG164" s="39">
        <f t="shared" si="215"/>
        <v>0</v>
      </c>
      <c r="BH164" s="42">
        <f>'[1]побудинковий звіт'!BH164+'[2]побудинковий звіт'!BH164-'[3]побудинковий звіт'!BH164</f>
        <v>0</v>
      </c>
      <c r="BI164" s="42">
        <f>'[1]побудинковий звіт'!BI164+'[2]побудинковий звіт'!BI164-'[3]побудинковий звіт'!BI164</f>
        <v>0</v>
      </c>
      <c r="BJ164" s="59">
        <f t="shared" si="216"/>
        <v>0</v>
      </c>
      <c r="BK164" s="42">
        <f>'[1]побудинковий звіт'!BK164+'[2]побудинковий звіт'!BK164-'[3]побудинковий звіт'!BK164</f>
        <v>0</v>
      </c>
      <c r="BL164" s="42">
        <f>'[1]побудинковий звіт'!BL164+'[2]побудинковий звіт'!BL164-'[3]побудинковий звіт'!BL164</f>
        <v>0</v>
      </c>
      <c r="BM164" s="39">
        <f t="shared" si="217"/>
        <v>0</v>
      </c>
      <c r="BN164" s="42">
        <f>'[1]побудинковий звіт'!BN164+'[2]побудинковий звіт'!BN164-'[3]побудинковий звіт'!BN164</f>
        <v>0</v>
      </c>
      <c r="BO164" s="42">
        <f>'[1]побудинковий звіт'!BO164+'[2]побудинковий звіт'!BO164-'[3]побудинковий звіт'!BO164</f>
        <v>0</v>
      </c>
      <c r="BP164" s="59">
        <f t="shared" si="218"/>
        <v>0</v>
      </c>
      <c r="BQ164" s="87">
        <f t="shared" si="176"/>
        <v>0</v>
      </c>
      <c r="BR164" s="43">
        <f t="shared" si="177"/>
        <v>0</v>
      </c>
      <c r="BS164" s="59">
        <f t="shared" si="219"/>
        <v>0</v>
      </c>
      <c r="BT164" s="42">
        <f>'[1]побудинковий звіт'!BT164+'[2]побудинковий звіт'!BT164-'[3]побудинковий звіт'!BT164</f>
        <v>0</v>
      </c>
      <c r="BU164" s="42">
        <f>'[1]побудинковий звіт'!BU164+'[2]побудинковий звіт'!BU164-'[3]побудинковий звіт'!BU164</f>
        <v>0</v>
      </c>
      <c r="BV164" s="56">
        <f t="shared" si="195"/>
        <v>0</v>
      </c>
      <c r="BW164" s="42">
        <f>'[1]побудинковий звіт'!BW164+'[2]побудинковий звіт'!BW164-'[3]побудинковий звіт'!BW164</f>
        <v>0</v>
      </c>
      <c r="BX164" s="42">
        <f>'[1]побудинковий звіт'!BX164+'[2]побудинковий звіт'!BX164-'[3]побудинковий звіт'!BX164</f>
        <v>2.3791273083876123</v>
      </c>
      <c r="BY164" s="56">
        <f t="shared" si="196"/>
        <v>2.3791273083876123</v>
      </c>
      <c r="BZ164" s="42">
        <f>'[1]побудинковий звіт'!BZ164+'[2]побудинковий звіт'!BZ164-'[3]побудинковий звіт'!BZ164</f>
        <v>0</v>
      </c>
      <c r="CA164" s="42">
        <f>'[1]побудинковий звіт'!CA164+'[2]побудинковий звіт'!CA164-'[3]побудинковий звіт'!CA164</f>
        <v>0</v>
      </c>
      <c r="CB164" s="56">
        <f t="shared" si="197"/>
        <v>0</v>
      </c>
      <c r="CC164" s="42">
        <f>'[1]побудинковий звіт'!CC164+'[2]побудинковий звіт'!CC164-'[3]побудинковий звіт'!CC164</f>
        <v>0</v>
      </c>
      <c r="CD164" s="42">
        <f>'[1]побудинковий звіт'!CD164+'[2]побудинковий звіт'!CD164-'[3]побудинковий звіт'!CD164</f>
        <v>0</v>
      </c>
      <c r="CE164" s="56">
        <f t="shared" si="198"/>
        <v>0</v>
      </c>
      <c r="CF164" s="42">
        <f>'[1]побудинковий звіт'!CF164+'[2]побудинковий звіт'!CF164-'[3]побудинковий звіт'!CF164</f>
        <v>0</v>
      </c>
      <c r="CG164" s="42">
        <f>'[1]побудинковий звіт'!CG164+'[2]побудинковий звіт'!CG164-'[3]побудинковий звіт'!CG164</f>
        <v>0</v>
      </c>
      <c r="CH164" s="56">
        <f t="shared" si="199"/>
        <v>0</v>
      </c>
      <c r="CI164" s="42">
        <f>'[1]побудинковий звіт'!CI164+'[2]побудинковий звіт'!CI164-'[3]побудинковий звіт'!CI164</f>
        <v>0</v>
      </c>
      <c r="CJ164" s="42">
        <f>'[1]побудинковий звіт'!CJ164+'[2]побудинковий звіт'!CJ164-'[3]побудинковий звіт'!CJ164</f>
        <v>0</v>
      </c>
      <c r="CK164" s="56">
        <f t="shared" si="200"/>
        <v>0</v>
      </c>
      <c r="CL164" s="42">
        <f>'[1]побудинковий звіт'!CL164+'[2]побудинковий звіт'!CL164-'[3]побудинковий звіт'!CL164</f>
        <v>0</v>
      </c>
      <c r="CM164" s="42">
        <f>'[1]побудинковий звіт'!CM164+'[2]побудинковий звіт'!CM164-'[3]побудинковий звіт'!CM164</f>
        <v>0</v>
      </c>
      <c r="CN164" s="56">
        <f t="shared" si="201"/>
        <v>0</v>
      </c>
      <c r="CO164" s="42">
        <f t="shared" si="181"/>
        <v>0</v>
      </c>
      <c r="CP164" s="43">
        <f t="shared" si="202"/>
        <v>0</v>
      </c>
      <c r="CQ164" s="56">
        <f t="shared" si="203"/>
        <v>0</v>
      </c>
      <c r="CR164" s="78">
        <f t="shared" si="182"/>
        <v>885.86856268068539</v>
      </c>
      <c r="CS164" s="5">
        <f t="shared" si="182"/>
        <v>89.840596923876106</v>
      </c>
      <c r="CT164" s="56">
        <f t="shared" si="204"/>
        <v>-796.02796575680929</v>
      </c>
      <c r="CU164" s="87">
        <f t="shared" si="205"/>
        <v>1063.0422752168224</v>
      </c>
      <c r="CV164" s="70">
        <f t="shared" si="206"/>
        <v>107.80871630865133</v>
      </c>
      <c r="CW164" s="37">
        <f t="shared" si="207"/>
        <v>-955.23355890817106</v>
      </c>
      <c r="CX164" s="42">
        <f>'[1]побудинковий звіт'!CX164+'[2]побудинковий звіт'!CX164-'[3]побудинковий звіт'!CX164</f>
        <v>5.7724783177519612E-2</v>
      </c>
      <c r="CY164" s="42">
        <f>'[1]побудинковий звіт'!CY164+'[2]побудинковий звіт'!CY164-'[3]побудинковий звіт'!CY164</f>
        <v>955.29128369134878</v>
      </c>
      <c r="CZ164" s="56">
        <f t="shared" si="208"/>
        <v>955.23355890817129</v>
      </c>
      <c r="DA164" s="264">
        <f>'[4]побудинковий звіт'!DA164</f>
        <v>-4799.0765918096913</v>
      </c>
      <c r="DB164" s="2">
        <v>2</v>
      </c>
      <c r="DC164" s="717">
        <f>'[4]побудинковий звіт'!DC164</f>
        <v>0</v>
      </c>
      <c r="DD164" s="717">
        <f>'[4]побудинковий звіт'!DD164</f>
        <v>0</v>
      </c>
      <c r="DE164" s="717">
        <f>'[4]побудинковий звіт'!DE164</f>
        <v>0</v>
      </c>
      <c r="DF164" s="717">
        <f>'[4]побудинковий звіт'!DF164</f>
        <v>0</v>
      </c>
      <c r="DG164" s="787">
        <v>-2818.0634224317323</v>
      </c>
      <c r="DH164" s="761">
        <f t="shared" si="171"/>
        <v>12757.199999999999</v>
      </c>
      <c r="DI164" s="784"/>
      <c r="DJ164" s="5"/>
      <c r="DK164" s="317">
        <f>VLOOKUP($A164,ціни!$A$4:$G$401,5)</f>
        <v>1.6192570833462641</v>
      </c>
      <c r="DL164" s="317"/>
      <c r="DM164" s="317">
        <f>VLOOKUP($A164,ціни!$A$4:$G$401,7)</f>
        <v>1.6192570833462641</v>
      </c>
      <c r="DN164" s="30">
        <f t="shared" si="209"/>
        <v>11420.361127707865</v>
      </c>
      <c r="DO164" s="30">
        <f t="shared" si="210"/>
        <v>0</v>
      </c>
      <c r="DP164" s="316">
        <f t="shared" si="162"/>
        <v>11420.361127707865</v>
      </c>
      <c r="DQ164" s="104"/>
      <c r="DR164" s="30">
        <f>VLOOKUP(A164,'ДЗ нас '!$A$1:$C$359,2)</f>
        <v>242.77</v>
      </c>
      <c r="DS164" s="748"/>
      <c r="DT164" s="30">
        <f t="shared" si="163"/>
        <v>242.77</v>
      </c>
      <c r="DU164" s="257">
        <f>VLOOKUP(A164,'новий кошторис с 01.06'!$A$4:$AI$399,35)*1.2</f>
        <v>212.6084550433645</v>
      </c>
      <c r="DV164" s="30">
        <f t="shared" si="164"/>
        <v>30.16154495663551</v>
      </c>
      <c r="DW164" s="930">
        <f>'[5]побудинковий звіт'!DW164+'[6]побудинковий звіт'!DW164</f>
        <v>0</v>
      </c>
      <c r="DY164" s="5">
        <f t="shared" si="167"/>
        <v>849.96330556575128</v>
      </c>
      <c r="DZ164" s="5">
        <f t="shared" si="168"/>
        <v>0</v>
      </c>
      <c r="EA164" s="752">
        <f t="shared" si="172"/>
        <v>0</v>
      </c>
      <c r="EC164" s="592">
        <f t="shared" si="169"/>
        <v>8499.6330556575122</v>
      </c>
      <c r="EE164" s="758">
        <v>-1128</v>
      </c>
      <c r="EF164" s="738">
        <f t="shared" si="170"/>
        <v>-3946.0634224317323</v>
      </c>
      <c r="EH164" s="813">
        <v>-4163.4747009789717</v>
      </c>
    </row>
    <row r="165" spans="1:138" x14ac:dyDescent="0.3">
      <c r="A165" s="328">
        <v>150000502</v>
      </c>
      <c r="B165" s="44" t="s">
        <v>616</v>
      </c>
      <c r="C165" s="45" t="s">
        <v>108</v>
      </c>
      <c r="D165" s="45" t="s">
        <v>108</v>
      </c>
      <c r="E165" s="40">
        <f t="shared" si="175"/>
        <v>10260.299999999999</v>
      </c>
      <c r="F165" s="490">
        <v>10260.299999999999</v>
      </c>
      <c r="G165" s="30"/>
      <c r="H165" s="30">
        <v>0</v>
      </c>
      <c r="I165" s="42">
        <f>'[1]побудинковий звіт'!I165+'[2]побудинковий звіт'!I165-'[3]побудинковий звіт'!I165</f>
        <v>0</v>
      </c>
      <c r="J165" s="42">
        <f>'[1]побудинковий звіт'!J165+'[2]побудинковий звіт'!J165-'[3]побудинковий звіт'!J165</f>
        <v>0</v>
      </c>
      <c r="K165" s="56">
        <f t="shared" si="183"/>
        <v>0</v>
      </c>
      <c r="L165" s="42">
        <f>'[1]побудинковий звіт'!L165+'[2]побудинковий звіт'!L165-'[3]побудинковий звіт'!L165</f>
        <v>0</v>
      </c>
      <c r="M165" s="42">
        <f>'[1]побудинковий звіт'!M165+'[2]побудинковий звіт'!M165-'[3]побудинковий звіт'!M165</f>
        <v>0</v>
      </c>
      <c r="N165" s="56">
        <f t="shared" si="184"/>
        <v>0</v>
      </c>
      <c r="O165" s="42">
        <f>'[1]побудинковий звіт'!O165+'[2]побудинковий звіт'!O165-'[3]побудинковий звіт'!O165</f>
        <v>0</v>
      </c>
      <c r="P165" s="42">
        <f>'[1]побудинковий звіт'!P165+'[2]побудинковий звіт'!P165-'[3]побудинковий звіт'!P165</f>
        <v>0</v>
      </c>
      <c r="Q165" s="56">
        <f t="shared" si="185"/>
        <v>0</v>
      </c>
      <c r="R165" s="42">
        <f>'[1]побудинковий звіт'!R165+'[2]побудинковий звіт'!R165-'[3]побудинковий звіт'!R165</f>
        <v>0</v>
      </c>
      <c r="S165" s="42">
        <f>'[1]побудинковий звіт'!S165+'[2]побудинковий звіт'!S165-'[3]побудинковий звіт'!S165</f>
        <v>0</v>
      </c>
      <c r="T165" s="56">
        <f t="shared" si="186"/>
        <v>0</v>
      </c>
      <c r="U165" s="42">
        <f>'[1]побудинковий звіт'!U165+'[2]побудинковий звіт'!U165-'[3]побудинковий звіт'!U165</f>
        <v>0</v>
      </c>
      <c r="V165" s="42">
        <f>'[1]побудинковий звіт'!V165+'[2]побудинковий звіт'!V165-'[3]побудинковий звіт'!V165</f>
        <v>0</v>
      </c>
      <c r="W165" s="56">
        <f t="shared" si="187"/>
        <v>0</v>
      </c>
      <c r="X165" s="42">
        <f>'[1]побудинковий звіт'!X165+'[2]побудинковий звіт'!X165-'[3]побудинковий звіт'!X165</f>
        <v>0</v>
      </c>
      <c r="Y165" s="42">
        <f>'[1]побудинковий звіт'!Y165+'[2]побудинковий звіт'!Y165-'[3]побудинковий звіт'!Y165</f>
        <v>0</v>
      </c>
      <c r="Z165" s="56">
        <f t="shared" si="188"/>
        <v>0</v>
      </c>
      <c r="AA165" s="42">
        <f>'[1]побудинковий звіт'!AA165+'[2]побудинковий звіт'!AA165-'[3]побудинковий звіт'!AA165</f>
        <v>0</v>
      </c>
      <c r="AB165" s="42">
        <f>'[1]побудинковий звіт'!AB165+'[2]побудинковий звіт'!AB165-'[3]побудинковий звіт'!AB165</f>
        <v>0</v>
      </c>
      <c r="AC165" s="56">
        <f t="shared" si="189"/>
        <v>0</v>
      </c>
      <c r="AD165" s="42">
        <f>'[1]побудинковий звіт'!AD165+'[2]побудинковий звіт'!AD165-'[3]побудинковий звіт'!AD165</f>
        <v>0</v>
      </c>
      <c r="AE165" s="42">
        <f>'[1]побудинковий звіт'!AE165+'[2]побудинковий звіт'!AE165-'[3]побудинковий звіт'!AE165</f>
        <v>91.458185667986072</v>
      </c>
      <c r="AF165" s="37">
        <f t="shared" si="190"/>
        <v>91.458185667986072</v>
      </c>
      <c r="AG165" s="87">
        <f t="shared" si="180"/>
        <v>0</v>
      </c>
      <c r="AH165" s="57">
        <f t="shared" si="180"/>
        <v>91.458185667986072</v>
      </c>
      <c r="AI165" s="56">
        <f t="shared" si="191"/>
        <v>91.458185667986072</v>
      </c>
      <c r="AJ165" s="42">
        <f>'[1]побудинковий звіт'!AJ165+'[2]побудинковий звіт'!AJ165-'[3]побудинковий звіт'!AJ165</f>
        <v>0</v>
      </c>
      <c r="AK165" s="42">
        <f>'[1]побудинковий звіт'!AK165+'[2]побудинковий звіт'!AK165-'[3]побудинковий звіт'!AK165</f>
        <v>0</v>
      </c>
      <c r="AL165" s="56">
        <f t="shared" si="192"/>
        <v>0</v>
      </c>
      <c r="AM165" s="42">
        <f>'[1]побудинковий звіт'!AM165+'[2]побудинковий звіт'!AM165-'[3]побудинковий звіт'!AM165</f>
        <v>0</v>
      </c>
      <c r="AN165" s="42">
        <f>'[1]побудинковий звіт'!AN165+'[2]побудинковий звіт'!AN165-'[3]побудинковий звіт'!AN165</f>
        <v>0</v>
      </c>
      <c r="AO165" s="56">
        <f t="shared" si="193"/>
        <v>0</v>
      </c>
      <c r="AP165" s="42">
        <f>'[1]побудинковий звіт'!AP165+'[2]побудинковий звіт'!AP165-'[3]побудинковий звіт'!AP165</f>
        <v>284.10529286809492</v>
      </c>
      <c r="AQ165" s="42">
        <f>'[1]побудинковий звіт'!AQ165+'[2]побудинковий звіт'!AQ165-'[3]побудинковий звіт'!AQ165</f>
        <v>140.14368942720262</v>
      </c>
      <c r="AR165" s="56">
        <f t="shared" si="194"/>
        <v>-143.9616034408923</v>
      </c>
      <c r="AS165" s="42">
        <f>'[1]побудинковий звіт'!AS165+'[2]побудинковий звіт'!AS165-'[3]побудинковий звіт'!AS165</f>
        <v>1980.3936856804623</v>
      </c>
      <c r="AT165" s="42">
        <f>'[1]побудинковий звіт'!AT165+'[2]побудинковий звіт'!AT165-'[3]побудинковий звіт'!AT165</f>
        <v>0</v>
      </c>
      <c r="AU165" s="58">
        <f t="shared" si="211"/>
        <v>-1980.3936856804623</v>
      </c>
      <c r="AV165" s="42">
        <f>'[1]побудинковий звіт'!AV165+'[2]побудинковий звіт'!AV165-'[3]побудинковий звіт'!AV165</f>
        <v>0</v>
      </c>
      <c r="AW165" s="42">
        <f>'[1]побудинковий звіт'!AW165+'[2]побудинковий звіт'!AW165-'[3]побудинковий звіт'!AW165</f>
        <v>0</v>
      </c>
      <c r="AX165" s="59">
        <f t="shared" si="212"/>
        <v>0</v>
      </c>
      <c r="AY165" s="42">
        <f>'[1]побудинковий звіт'!AY165+'[2]побудинковий звіт'!AY165-'[3]побудинковий звіт'!AY165</f>
        <v>0</v>
      </c>
      <c r="AZ165" s="42">
        <f>'[1]побудинковий звіт'!AZ165+'[2]побудинковий звіт'!AZ165-'[3]побудинковий звіт'!AZ165</f>
        <v>0</v>
      </c>
      <c r="BA165" s="37">
        <f t="shared" si="213"/>
        <v>0</v>
      </c>
      <c r="BB165" s="42">
        <f>'[1]побудинковий звіт'!BB165+'[2]побудинковий звіт'!BB165-'[3]побудинковий звіт'!BB165</f>
        <v>0</v>
      </c>
      <c r="BC165" s="42">
        <f>'[1]побудинковий звіт'!BC165+'[2]побудинковий звіт'!BC165-'[3]побудинковий звіт'!BC165</f>
        <v>0</v>
      </c>
      <c r="BD165" s="59">
        <f t="shared" si="214"/>
        <v>0</v>
      </c>
      <c r="BE165" s="42">
        <f>'[1]побудинковий звіт'!BE165+'[2]побудинковий звіт'!BE165-'[3]побудинковий звіт'!BE165</f>
        <v>0</v>
      </c>
      <c r="BF165" s="42">
        <f>'[1]побудинковий звіт'!BF165+'[2]побудинковий звіт'!BF165-'[3]побудинковий звіт'!BF165</f>
        <v>0</v>
      </c>
      <c r="BG165" s="39">
        <f t="shared" si="215"/>
        <v>0</v>
      </c>
      <c r="BH165" s="42">
        <f>'[1]побудинковий звіт'!BH165+'[2]побудинковий звіт'!BH165-'[3]побудинковий звіт'!BH165</f>
        <v>0</v>
      </c>
      <c r="BI165" s="42">
        <f>'[1]побудинковий звіт'!BI165+'[2]побудинковий звіт'!BI165-'[3]побудинковий звіт'!BI165</f>
        <v>0</v>
      </c>
      <c r="BJ165" s="59">
        <f t="shared" si="216"/>
        <v>0</v>
      </c>
      <c r="BK165" s="42">
        <f>'[1]побудинковий звіт'!BK165+'[2]побудинковий звіт'!BK165-'[3]побудинковий звіт'!BK165</f>
        <v>0</v>
      </c>
      <c r="BL165" s="42">
        <f>'[1]побудинковий звіт'!BL165+'[2]побудинковий звіт'!BL165-'[3]побудинковий звіт'!BL165</f>
        <v>0</v>
      </c>
      <c r="BM165" s="39">
        <f t="shared" si="217"/>
        <v>0</v>
      </c>
      <c r="BN165" s="42">
        <f>'[1]побудинковий звіт'!BN165+'[2]побудинковий звіт'!BN165-'[3]побудинковий звіт'!BN165</f>
        <v>0</v>
      </c>
      <c r="BO165" s="42">
        <f>'[1]побудинковий звіт'!BO165+'[2]побудинковий звіт'!BO165-'[3]побудинковий звіт'!BO165</f>
        <v>0</v>
      </c>
      <c r="BP165" s="59">
        <f t="shared" si="218"/>
        <v>0</v>
      </c>
      <c r="BQ165" s="87">
        <f t="shared" si="176"/>
        <v>0</v>
      </c>
      <c r="BR165" s="43">
        <f t="shared" si="177"/>
        <v>0</v>
      </c>
      <c r="BS165" s="59">
        <f t="shared" si="219"/>
        <v>0</v>
      </c>
      <c r="BT165" s="42">
        <f>'[1]побудинковий звіт'!BT165+'[2]побудинковий звіт'!BT165-'[3]побудинковий звіт'!BT165</f>
        <v>0</v>
      </c>
      <c r="BU165" s="42">
        <f>'[1]побудинковий звіт'!BU165+'[2]побудинковий звіт'!BU165-'[3]побудинковий звіт'!BU165</f>
        <v>0</v>
      </c>
      <c r="BV165" s="56">
        <f t="shared" si="195"/>
        <v>0</v>
      </c>
      <c r="BW165" s="42">
        <f>'[1]побудинковий звіт'!BW165+'[2]побудинковий звіт'!BW165-'[3]побудинковий звіт'!BW165</f>
        <v>0</v>
      </c>
      <c r="BX165" s="42">
        <f>'[1]побудинковий звіт'!BX165+'[2]побудинковий звіт'!BX165-'[3]побудинковий звіт'!BX165</f>
        <v>4.4229069776686671</v>
      </c>
      <c r="BY165" s="56">
        <f t="shared" si="196"/>
        <v>4.4229069776686671</v>
      </c>
      <c r="BZ165" s="42">
        <f>'[1]побудинковий звіт'!BZ165+'[2]побудинковий звіт'!BZ165-'[3]побудинковий звіт'!BZ165</f>
        <v>0</v>
      </c>
      <c r="CA165" s="42">
        <f>'[1]побудинковий звіт'!CA165+'[2]побудинковий звіт'!CA165-'[3]побудинковий звіт'!CA165</f>
        <v>0</v>
      </c>
      <c r="CB165" s="56">
        <f t="shared" si="197"/>
        <v>0</v>
      </c>
      <c r="CC165" s="42">
        <f>'[1]побудинковий звіт'!CC165+'[2]побудинковий звіт'!CC165-'[3]побудинковий звіт'!CC165</f>
        <v>0</v>
      </c>
      <c r="CD165" s="42">
        <f>'[1]побудинковий звіт'!CD165+'[2]побудинковий звіт'!CD165-'[3]побудинковий звіт'!CD165</f>
        <v>0</v>
      </c>
      <c r="CE165" s="56">
        <f t="shared" si="198"/>
        <v>0</v>
      </c>
      <c r="CF165" s="42">
        <f>'[1]побудинковий звіт'!CF165+'[2]побудинковий звіт'!CF165-'[3]побудинковий звіт'!CF165</f>
        <v>0</v>
      </c>
      <c r="CG165" s="42">
        <f>'[1]побудинковий звіт'!CG165+'[2]побудинковий звіт'!CG165-'[3]побудинковий звіт'!CG165</f>
        <v>0</v>
      </c>
      <c r="CH165" s="56">
        <f t="shared" si="199"/>
        <v>0</v>
      </c>
      <c r="CI165" s="42">
        <f>'[1]побудинковий звіт'!CI165+'[2]побудинковий звіт'!CI165-'[3]побудинковий звіт'!CI165</f>
        <v>0</v>
      </c>
      <c r="CJ165" s="42">
        <f>'[1]побудинковий звіт'!CJ165+'[2]побудинковий звіт'!CJ165-'[3]побудинковий звіт'!CJ165</f>
        <v>0</v>
      </c>
      <c r="CK165" s="56">
        <f t="shared" si="200"/>
        <v>0</v>
      </c>
      <c r="CL165" s="42">
        <f>'[1]побудинковий звіт'!CL165+'[2]побудинковий звіт'!CL165-'[3]побудинковий звіт'!CL165</f>
        <v>0</v>
      </c>
      <c r="CM165" s="42">
        <f>'[1]побудинковий звіт'!CM165+'[2]побудинковий звіт'!CM165-'[3]побудинковий звіт'!CM165</f>
        <v>0</v>
      </c>
      <c r="CN165" s="56">
        <f t="shared" si="201"/>
        <v>0</v>
      </c>
      <c r="CO165" s="42">
        <f t="shared" si="181"/>
        <v>0</v>
      </c>
      <c r="CP165" s="43">
        <f t="shared" si="202"/>
        <v>0</v>
      </c>
      <c r="CQ165" s="56">
        <f t="shared" si="203"/>
        <v>0</v>
      </c>
      <c r="CR165" s="78">
        <f t="shared" si="182"/>
        <v>2264.4989785485573</v>
      </c>
      <c r="CS165" s="5">
        <f t="shared" si="182"/>
        <v>236.02478207285736</v>
      </c>
      <c r="CT165" s="56">
        <f t="shared" si="204"/>
        <v>-2028.4741964757</v>
      </c>
      <c r="CU165" s="87">
        <f t="shared" si="205"/>
        <v>2717.3987742582685</v>
      </c>
      <c r="CV165" s="70">
        <f t="shared" si="206"/>
        <v>283.22973848742885</v>
      </c>
      <c r="CW165" s="37">
        <f t="shared" si="207"/>
        <v>-2434.1690357708399</v>
      </c>
      <c r="CX165" s="42">
        <f>'[1]побудинковий звіт'!CX165+'[2]побудинковий звіт'!CX165-'[3]побудинковий звіт'!CX165</f>
        <v>67.92122574173186</v>
      </c>
      <c r="CY165" s="42">
        <f>'[1]побудинковий звіт'!CY165+'[2]побудинковий звіт'!CY165-'[3]побудинковий звіт'!CY165</f>
        <v>2502.0902615125715</v>
      </c>
      <c r="CZ165" s="56">
        <f t="shared" si="208"/>
        <v>2434.1690357708394</v>
      </c>
      <c r="DA165" s="264">
        <f>'[4]побудинковий звіт'!DA165</f>
        <v>-6501.6802018649969</v>
      </c>
      <c r="DB165" s="2">
        <v>3</v>
      </c>
      <c r="DC165" s="717">
        <f>'[4]побудинковий звіт'!DC165</f>
        <v>230.89</v>
      </c>
      <c r="DD165" s="717">
        <f>'[4]побудинковий звіт'!DD165</f>
        <v>0</v>
      </c>
      <c r="DE165" s="717">
        <f>'[4]побудинковий звіт'!DE165</f>
        <v>-1.2200000000000273</v>
      </c>
      <c r="DF165" s="717">
        <f>'[4]побудинковий звіт'!DF165</f>
        <v>0</v>
      </c>
      <c r="DG165" s="787">
        <v>-3100.9429672461984</v>
      </c>
      <c r="DH165" s="761">
        <f t="shared" si="171"/>
        <v>33423.840000000011</v>
      </c>
      <c r="DI165" s="784"/>
      <c r="DJ165" s="5"/>
      <c r="DK165" s="317">
        <f>VLOOKUP($A165,ціни!$A$4:$G$401,5)</f>
        <v>1.690540024043897</v>
      </c>
      <c r="DL165" s="317"/>
      <c r="DM165" s="317">
        <f>VLOOKUP($A165,ціни!$A$4:$G$401,7)</f>
        <v>1.690540024043897</v>
      </c>
      <c r="DN165" s="30">
        <f t="shared" si="209"/>
        <v>17345.447808697594</v>
      </c>
      <c r="DO165" s="30">
        <f t="shared" si="210"/>
        <v>0</v>
      </c>
      <c r="DP165" s="316">
        <f t="shared" si="162"/>
        <v>17345.447808697594</v>
      </c>
      <c r="DQ165" s="104"/>
      <c r="DR165" s="30">
        <f>VLOOKUP(A165,'ДЗ нас '!$A$1:$C$359,2)</f>
        <v>232.11</v>
      </c>
      <c r="DS165" s="748"/>
      <c r="DT165" s="30">
        <f t="shared" si="163"/>
        <v>232.11</v>
      </c>
      <c r="DU165" s="257">
        <f>VLOOKUP(A165,'новий кошторис с 01.06'!$A$4:$AI$399,35)*1.2</f>
        <v>233.24339479050136</v>
      </c>
      <c r="DV165" s="30">
        <f t="shared" si="164"/>
        <v>-1.1333947905013417</v>
      </c>
      <c r="DW165" s="930">
        <f>'[5]побудинковий звіт'!DW165+'[6]побудинковий звіт'!DW165</f>
        <v>0</v>
      </c>
      <c r="DY165" s="5">
        <f t="shared" si="167"/>
        <v>2376.4724228165546</v>
      </c>
      <c r="DZ165" s="5">
        <f t="shared" si="168"/>
        <v>0</v>
      </c>
      <c r="EA165" s="752">
        <f t="shared" si="172"/>
        <v>-1.2200000000000273</v>
      </c>
      <c r="EC165" s="592">
        <f t="shared" si="169"/>
        <v>23764.724228165549</v>
      </c>
      <c r="EE165" s="758">
        <v>-1956</v>
      </c>
      <c r="EF165" s="738">
        <f t="shared" si="170"/>
        <v>-5056.9429672461984</v>
      </c>
      <c r="EH165" s="813">
        <v>-4410.0008039373506</v>
      </c>
    </row>
    <row r="166" spans="1:138" x14ac:dyDescent="0.3">
      <c r="A166" s="328">
        <v>150000503</v>
      </c>
      <c r="B166" s="44" t="s">
        <v>617</v>
      </c>
      <c r="C166" s="45" t="s">
        <v>109</v>
      </c>
      <c r="D166" s="45" t="s">
        <v>109</v>
      </c>
      <c r="E166" s="40">
        <f t="shared" si="175"/>
        <v>110.7</v>
      </c>
      <c r="F166" s="490">
        <v>110.7</v>
      </c>
      <c r="G166" s="30"/>
      <c r="H166" s="30">
        <v>0</v>
      </c>
      <c r="I166" s="42">
        <f>'[1]побудинковий звіт'!I166+'[2]побудинковий звіт'!I166-'[3]побудинковий звіт'!I166</f>
        <v>0.29707457968954226</v>
      </c>
      <c r="J166" s="42">
        <f>'[1]побудинковий звіт'!J166+'[2]побудинковий звіт'!J166-'[3]побудинковий звіт'!J166</f>
        <v>0.26798806766488603</v>
      </c>
      <c r="K166" s="56">
        <f t="shared" si="183"/>
        <v>-2.908651202465623E-2</v>
      </c>
      <c r="L166" s="42">
        <f>'[1]побудинковий звіт'!L166+'[2]побудинковий звіт'!L166-'[3]побудинковий звіт'!L166</f>
        <v>0</v>
      </c>
      <c r="M166" s="42">
        <f>'[1]побудинковий звіт'!M166+'[2]побудинковий звіт'!M166-'[3]побудинковий звіт'!M166</f>
        <v>0</v>
      </c>
      <c r="N166" s="56">
        <f t="shared" si="184"/>
        <v>0</v>
      </c>
      <c r="O166" s="42">
        <f>'[1]побудинковий звіт'!O166+'[2]побудинковий звіт'!O166-'[3]побудинковий звіт'!O166</f>
        <v>0</v>
      </c>
      <c r="P166" s="42">
        <f>'[1]побудинковий звіт'!P166+'[2]побудинковий звіт'!P166-'[3]побудинковий звіт'!P166</f>
        <v>0</v>
      </c>
      <c r="Q166" s="56">
        <f t="shared" si="185"/>
        <v>0</v>
      </c>
      <c r="R166" s="42">
        <f>'[1]побудинковий звіт'!R166+'[2]побудинковий звіт'!R166-'[3]побудинковий звіт'!R166</f>
        <v>0</v>
      </c>
      <c r="S166" s="42">
        <f>'[1]побудинковий звіт'!S166+'[2]побудинковий звіт'!S166-'[3]побудинковий звіт'!S166</f>
        <v>0</v>
      </c>
      <c r="T166" s="56">
        <f t="shared" si="186"/>
        <v>0</v>
      </c>
      <c r="U166" s="42">
        <f>'[1]побудинковий звіт'!U166+'[2]побудинковий звіт'!U166-'[3]побудинковий звіт'!U166</f>
        <v>0</v>
      </c>
      <c r="V166" s="42">
        <f>'[1]побудинковий звіт'!V166+'[2]побудинковий звіт'!V166-'[3]побудинковий звіт'!V166</f>
        <v>0</v>
      </c>
      <c r="W166" s="56">
        <f t="shared" si="187"/>
        <v>0</v>
      </c>
      <c r="X166" s="42">
        <f>'[1]побудинковий звіт'!X166+'[2]побудинковий звіт'!X166-'[3]побудинковий звіт'!X166</f>
        <v>0</v>
      </c>
      <c r="Y166" s="42">
        <f>'[1]побудинковий звіт'!Y166+'[2]побудинковий звіт'!Y166-'[3]побудинковий звіт'!Y166</f>
        <v>0</v>
      </c>
      <c r="Z166" s="56">
        <f t="shared" si="188"/>
        <v>0</v>
      </c>
      <c r="AA166" s="42">
        <f>'[1]побудинковий звіт'!AA166+'[2]побудинковий звіт'!AA166-'[3]побудинковий звіт'!AA166</f>
        <v>0</v>
      </c>
      <c r="AB166" s="42">
        <f>'[1]побудинковий звіт'!AB166+'[2]побудинковий звіт'!AB166-'[3]побудинковий звіт'!AB166</f>
        <v>0</v>
      </c>
      <c r="AC166" s="56">
        <f t="shared" si="189"/>
        <v>0</v>
      </c>
      <c r="AD166" s="42">
        <f>'[1]побудинковий звіт'!AD166+'[2]побудинковий звіт'!AD166-'[3]побудинковий звіт'!AD166</f>
        <v>0</v>
      </c>
      <c r="AE166" s="42">
        <f>'[1]побудинковий звіт'!AE166+'[2]побудинковий звіт'!AE166-'[3]побудинковий звіт'!AE166</f>
        <v>140.95085278474761</v>
      </c>
      <c r="AF166" s="37">
        <f t="shared" si="190"/>
        <v>140.95085278474761</v>
      </c>
      <c r="AG166" s="87">
        <f t="shared" si="180"/>
        <v>0.29707457968954226</v>
      </c>
      <c r="AH166" s="57">
        <f t="shared" si="180"/>
        <v>141.21884085241248</v>
      </c>
      <c r="AI166" s="56">
        <f t="shared" si="191"/>
        <v>140.92176627272295</v>
      </c>
      <c r="AJ166" s="42">
        <f>'[1]побудинковий звіт'!AJ166+'[2]побудинковий звіт'!AJ166-'[3]побудинковий звіт'!AJ166</f>
        <v>0</v>
      </c>
      <c r="AK166" s="42">
        <f>'[1]побудинковий звіт'!AK166+'[2]побудинковий звіт'!AK166-'[3]побудинковий звіт'!AK166</f>
        <v>0</v>
      </c>
      <c r="AL166" s="56">
        <f t="shared" si="192"/>
        <v>0</v>
      </c>
      <c r="AM166" s="42">
        <f>'[1]побудинковий звіт'!AM166+'[2]побудинковий звіт'!AM166-'[3]побудинковий звіт'!AM166</f>
        <v>0</v>
      </c>
      <c r="AN166" s="42">
        <f>'[1]побудинковий звіт'!AN166+'[2]побудинковий звіт'!AN166-'[3]побудинковий звіт'!AN166</f>
        <v>0</v>
      </c>
      <c r="AO166" s="56">
        <f t="shared" si="193"/>
        <v>0</v>
      </c>
      <c r="AP166" s="42">
        <f>'[1]побудинковий звіт'!AP166+'[2]побудинковий звіт'!AP166-'[3]побудинковий звіт'!AP166</f>
        <v>378.80705715745984</v>
      </c>
      <c r="AQ166" s="42">
        <f>'[1]побудинковий звіт'!AQ166+'[2]побудинковий звіт'!AQ166-'[3]побудинковий звіт'!AQ166</f>
        <v>186.85825256960351</v>
      </c>
      <c r="AR166" s="56">
        <f t="shared" si="194"/>
        <v>-191.94880458785633</v>
      </c>
      <c r="AS166" s="42">
        <f>'[1]побудинковий звіт'!AS166+'[2]побудинковий звіт'!AS166-'[3]побудинковий звіт'!AS166</f>
        <v>2948.0032961762181</v>
      </c>
      <c r="AT166" s="42">
        <f>'[1]побудинковий звіт'!AT166+'[2]побудинковий звіт'!AT166-'[3]побудинковий звіт'!AT166</f>
        <v>0</v>
      </c>
      <c r="AU166" s="58">
        <f t="shared" si="211"/>
        <v>-2948.0032961762181</v>
      </c>
      <c r="AV166" s="42">
        <f>'[1]побудинковий звіт'!AV166+'[2]побудинковий звіт'!AV166-'[3]побудинковий звіт'!AV166</f>
        <v>1.4844325232435191E-2</v>
      </c>
      <c r="AW166" s="42">
        <f>'[1]побудинковий звіт'!AW166+'[2]побудинковий звіт'!AW166-'[3]побудинковий звіт'!AW166</f>
        <v>0</v>
      </c>
      <c r="AX166" s="59">
        <f t="shared" si="212"/>
        <v>-1.4844325232435191E-2</v>
      </c>
      <c r="AY166" s="42">
        <f>'[1]побудинковий звіт'!AY166+'[2]побудинковий звіт'!AY166-'[3]побудинковий звіт'!AY166</f>
        <v>0</v>
      </c>
      <c r="AZ166" s="42">
        <f>'[1]побудинковий звіт'!AZ166+'[2]побудинковий звіт'!AZ166-'[3]побудинковий звіт'!AZ166</f>
        <v>0</v>
      </c>
      <c r="BA166" s="37">
        <f t="shared" si="213"/>
        <v>0</v>
      </c>
      <c r="BB166" s="42">
        <f>'[1]побудинковий звіт'!BB166+'[2]побудинковий звіт'!BB166-'[3]побудинковий звіт'!BB166</f>
        <v>0</v>
      </c>
      <c r="BC166" s="42">
        <f>'[1]побудинковий звіт'!BC166+'[2]побудинковий звіт'!BC166-'[3]побудинковий звіт'!BC166</f>
        <v>0</v>
      </c>
      <c r="BD166" s="59">
        <f t="shared" si="214"/>
        <v>0</v>
      </c>
      <c r="BE166" s="42">
        <f>'[1]побудинковий звіт'!BE166+'[2]побудинковий звіт'!BE166-'[3]побудинковий звіт'!BE166</f>
        <v>0</v>
      </c>
      <c r="BF166" s="42">
        <f>'[1]побудинковий звіт'!BF166+'[2]побудинковий звіт'!BF166-'[3]побудинковий звіт'!BF166</f>
        <v>0</v>
      </c>
      <c r="BG166" s="39">
        <f t="shared" si="215"/>
        <v>0</v>
      </c>
      <c r="BH166" s="42">
        <f>'[1]побудинковий звіт'!BH166+'[2]побудинковий звіт'!BH166-'[3]побудинковий звіт'!BH166</f>
        <v>0</v>
      </c>
      <c r="BI166" s="42">
        <f>'[1]побудинковий звіт'!BI166+'[2]побудинковий звіт'!BI166-'[3]побудинковий звіт'!BI166</f>
        <v>0</v>
      </c>
      <c r="BJ166" s="59">
        <f t="shared" si="216"/>
        <v>0</v>
      </c>
      <c r="BK166" s="42">
        <f>'[1]побудинковий звіт'!BK166+'[2]побудинковий звіт'!BK166-'[3]побудинковий звіт'!BK166</f>
        <v>0</v>
      </c>
      <c r="BL166" s="42">
        <f>'[1]побудинковий звіт'!BL166+'[2]побудинковий звіт'!BL166-'[3]побудинковий звіт'!BL166</f>
        <v>0</v>
      </c>
      <c r="BM166" s="39">
        <f t="shared" si="217"/>
        <v>0</v>
      </c>
      <c r="BN166" s="42">
        <f>'[1]побудинковий звіт'!BN166+'[2]побудинковий звіт'!BN166-'[3]побудинковий звіт'!BN166</f>
        <v>0</v>
      </c>
      <c r="BO166" s="42">
        <f>'[1]побудинковий звіт'!BO166+'[2]побудинковий звіт'!BO166-'[3]побудинковий звіт'!BO166</f>
        <v>0</v>
      </c>
      <c r="BP166" s="59">
        <f t="shared" si="218"/>
        <v>0</v>
      </c>
      <c r="BQ166" s="87">
        <f t="shared" si="176"/>
        <v>1.4844325232435191E-2</v>
      </c>
      <c r="BR166" s="43">
        <f t="shared" si="177"/>
        <v>0</v>
      </c>
      <c r="BS166" s="59">
        <f t="shared" si="219"/>
        <v>-1.4844325232435191E-2</v>
      </c>
      <c r="BT166" s="42">
        <f>'[1]побудинковий звіт'!BT166+'[2]побудинковий звіт'!BT166-'[3]побудинковий звіт'!BT166</f>
        <v>0</v>
      </c>
      <c r="BU166" s="42">
        <f>'[1]побудинковий звіт'!BU166+'[2]побудинковий звіт'!BU166-'[3]побудинковий звіт'!BU166</f>
        <v>0</v>
      </c>
      <c r="BV166" s="56">
        <f t="shared" si="195"/>
        <v>0</v>
      </c>
      <c r="BW166" s="42">
        <f>'[1]побудинковий звіт'!BW166+'[2]побудинковий звіт'!BW166-'[3]побудинковий звіт'!BW166</f>
        <v>0</v>
      </c>
      <c r="BX166" s="42">
        <f>'[1]побудинковий звіт'!BX166+'[2]побудинковий звіт'!BX166-'[3]побудинковий звіт'!BX166</f>
        <v>6.8163664710465381</v>
      </c>
      <c r="BY166" s="56">
        <f t="shared" si="196"/>
        <v>6.8163664710465381</v>
      </c>
      <c r="BZ166" s="42">
        <f>'[1]побудинковий звіт'!BZ166+'[2]побудинковий звіт'!BZ166-'[3]побудинковий звіт'!BZ166</f>
        <v>0</v>
      </c>
      <c r="CA166" s="42">
        <f>'[1]побудинковий звіт'!CA166+'[2]побудинковий звіт'!CA166-'[3]побудинковий звіт'!CA166</f>
        <v>0</v>
      </c>
      <c r="CB166" s="56">
        <f t="shared" si="197"/>
        <v>0</v>
      </c>
      <c r="CC166" s="42">
        <f>'[1]побудинковий звіт'!CC166+'[2]побудинковий звіт'!CC166-'[3]побудинковий звіт'!CC166</f>
        <v>0</v>
      </c>
      <c r="CD166" s="42">
        <f>'[1]побудинковий звіт'!CD166+'[2]побудинковий звіт'!CD166-'[3]побудинковий звіт'!CD166</f>
        <v>0</v>
      </c>
      <c r="CE166" s="56">
        <f t="shared" si="198"/>
        <v>0</v>
      </c>
      <c r="CF166" s="42">
        <f>'[1]побудинковий звіт'!CF166+'[2]побудинковий звіт'!CF166-'[3]побудинковий звіт'!CF166</f>
        <v>0</v>
      </c>
      <c r="CG166" s="42">
        <f>'[1]побудинковий звіт'!CG166+'[2]побудинковий звіт'!CG166-'[3]побудинковий звіт'!CG166</f>
        <v>0</v>
      </c>
      <c r="CH166" s="56">
        <f t="shared" si="199"/>
        <v>0</v>
      </c>
      <c r="CI166" s="42">
        <f>'[1]побудинковий звіт'!CI166+'[2]побудинковий звіт'!CI166-'[3]побудинковий звіт'!CI166</f>
        <v>0</v>
      </c>
      <c r="CJ166" s="42">
        <f>'[1]побудинковий звіт'!CJ166+'[2]побудинковий звіт'!CJ166-'[3]побудинковий звіт'!CJ166</f>
        <v>0</v>
      </c>
      <c r="CK166" s="56">
        <f t="shared" si="200"/>
        <v>0</v>
      </c>
      <c r="CL166" s="42">
        <f>'[1]побудинковий звіт'!CL166+'[2]побудинковий звіт'!CL166-'[3]побудинковий звіт'!CL166</f>
        <v>0</v>
      </c>
      <c r="CM166" s="42">
        <f>'[1]побудинковий звіт'!CM166+'[2]побудинковий звіт'!CM166-'[3]побудинковий звіт'!CM166</f>
        <v>0</v>
      </c>
      <c r="CN166" s="56">
        <f t="shared" si="201"/>
        <v>0</v>
      </c>
      <c r="CO166" s="42">
        <f t="shared" si="181"/>
        <v>0</v>
      </c>
      <c r="CP166" s="43">
        <f t="shared" si="202"/>
        <v>0</v>
      </c>
      <c r="CQ166" s="56">
        <f t="shared" si="203"/>
        <v>0</v>
      </c>
      <c r="CR166" s="78">
        <f t="shared" si="182"/>
        <v>3327.1222722385996</v>
      </c>
      <c r="CS166" s="5">
        <f t="shared" si="182"/>
        <v>334.89345989306253</v>
      </c>
      <c r="CT166" s="56">
        <f t="shared" si="204"/>
        <v>-2992.2288123455373</v>
      </c>
      <c r="CU166" s="87">
        <f t="shared" si="205"/>
        <v>3992.5467266863193</v>
      </c>
      <c r="CV166" s="70">
        <f t="shared" si="206"/>
        <v>401.87215187167504</v>
      </c>
      <c r="CW166" s="37">
        <f t="shared" si="207"/>
        <v>-3590.6745748146441</v>
      </c>
      <c r="CX166" s="42">
        <f>'[1]побудинковий звіт'!CX166+'[2]побудинковий звіт'!CX166-'[3]побудинковий звіт'!CX166</f>
        <v>99.813273313679019</v>
      </c>
      <c r="CY166" s="42">
        <f>'[1]побудинковий звіт'!CY166+'[2]побудинковий звіт'!CY166-'[3]побудинковий звіт'!CY166</f>
        <v>3690.4878481283249</v>
      </c>
      <c r="CZ166" s="56">
        <f t="shared" si="208"/>
        <v>3590.6745748146459</v>
      </c>
      <c r="DA166" s="264">
        <f>'[4]побудинковий звіт'!DA166</f>
        <v>-6268.7947953295698</v>
      </c>
      <c r="DB166" s="2">
        <v>3</v>
      </c>
      <c r="DC166" s="717">
        <f>'[4]побудинковий звіт'!DC166</f>
        <v>312.75</v>
      </c>
      <c r="DD166" s="717">
        <f>'[4]побудинковий звіт'!DD166</f>
        <v>0</v>
      </c>
      <c r="DE166" s="717">
        <f>'[4]побудинковий звіт'!DE166</f>
        <v>-28.279999999999973</v>
      </c>
      <c r="DF166" s="717">
        <f>'[4]побудинковий звіт'!DF166</f>
        <v>0</v>
      </c>
      <c r="DG166" s="787">
        <v>-1227.7808439325581</v>
      </c>
      <c r="DH166" s="761">
        <f t="shared" si="171"/>
        <v>49108.319999999978</v>
      </c>
      <c r="DI166" s="784"/>
      <c r="DJ166" s="5"/>
      <c r="DK166" s="317">
        <f>VLOOKUP($A166,ціни!$A$4:$G$401,5)</f>
        <v>1.611673123366997</v>
      </c>
      <c r="DL166" s="317"/>
      <c r="DM166" s="317">
        <f>VLOOKUP($A166,ціни!$A$4:$G$401,7)</f>
        <v>1.611673123366997</v>
      </c>
      <c r="DN166" s="30">
        <f t="shared" si="209"/>
        <v>178.41221475672657</v>
      </c>
      <c r="DO166" s="30">
        <f t="shared" si="210"/>
        <v>0</v>
      </c>
      <c r="DP166" s="316">
        <f t="shared" si="162"/>
        <v>178.41221475672657</v>
      </c>
      <c r="DQ166" s="104"/>
      <c r="DR166" s="30">
        <f>VLOOKUP(A166,'ДЗ нас '!$A$1:$C$359,2)</f>
        <v>341.03</v>
      </c>
      <c r="DS166" s="748"/>
      <c r="DT166" s="30">
        <f t="shared" si="163"/>
        <v>341.03</v>
      </c>
      <c r="DU166" s="257">
        <f>VLOOKUP(A166,'новий кошторис с 01.06'!$A$4:$AI$399,35)*1.2</f>
        <v>342.69359404057587</v>
      </c>
      <c r="DV166" s="30">
        <f t="shared" si="164"/>
        <v>-1.6635940405759015</v>
      </c>
      <c r="DW166" s="930">
        <f>'[5]побудинковий звіт'!DW166+'[6]побудинковий звіт'!DW166</f>
        <v>0</v>
      </c>
      <c r="DY166" s="5">
        <f t="shared" si="167"/>
        <v>3537.6217686017403</v>
      </c>
      <c r="DZ166" s="5">
        <f t="shared" si="168"/>
        <v>0</v>
      </c>
      <c r="EA166" s="752">
        <f t="shared" si="172"/>
        <v>-28.279999999999973</v>
      </c>
      <c r="EC166" s="592">
        <f t="shared" si="169"/>
        <v>35376.039554114614</v>
      </c>
      <c r="EE166" s="758">
        <v>-785</v>
      </c>
      <c r="EF166" s="738">
        <f t="shared" si="170"/>
        <v>-2012.7808439325581</v>
      </c>
      <c r="EH166" s="813">
        <v>-3173.3263563344262</v>
      </c>
    </row>
    <row r="167" spans="1:138" x14ac:dyDescent="0.3">
      <c r="A167" s="328">
        <v>150000504</v>
      </c>
      <c r="B167" s="44" t="s">
        <v>618</v>
      </c>
      <c r="C167" s="45" t="s">
        <v>110</v>
      </c>
      <c r="D167" s="45" t="s">
        <v>110</v>
      </c>
      <c r="E167" s="40">
        <f t="shared" si="175"/>
        <v>211.4</v>
      </c>
      <c r="F167" s="490">
        <v>211.4</v>
      </c>
      <c r="G167" s="30"/>
      <c r="H167" s="30">
        <v>0</v>
      </c>
      <c r="I167" s="42">
        <f>'[1]побудинковий звіт'!I167+'[2]побудинковий звіт'!I167-'[3]побудинковий звіт'!I167</f>
        <v>0</v>
      </c>
      <c r="J167" s="42">
        <f>'[1]побудинковий звіт'!J167+'[2]побудинковий звіт'!J167-'[3]побудинковий звіт'!J167</f>
        <v>0</v>
      </c>
      <c r="K167" s="56">
        <f t="shared" si="183"/>
        <v>0</v>
      </c>
      <c r="L167" s="42">
        <f>'[1]побудинковий звіт'!L167+'[2]побудинковий звіт'!L167-'[3]побудинковий звіт'!L167</f>
        <v>0</v>
      </c>
      <c r="M167" s="42">
        <f>'[1]побудинковий звіт'!M167+'[2]побудинковий звіт'!M167-'[3]побудинковий звіт'!M167</f>
        <v>0</v>
      </c>
      <c r="N167" s="56">
        <f t="shared" si="184"/>
        <v>0</v>
      </c>
      <c r="O167" s="42">
        <f>'[1]побудинковий звіт'!O167+'[2]побудинковий звіт'!O167-'[3]побудинковий звіт'!O167</f>
        <v>0</v>
      </c>
      <c r="P167" s="42">
        <f>'[1]побудинковий звіт'!P167+'[2]побудинковий звіт'!P167-'[3]побудинковий звіт'!P167</f>
        <v>0</v>
      </c>
      <c r="Q167" s="56">
        <f t="shared" si="185"/>
        <v>0</v>
      </c>
      <c r="R167" s="42">
        <f>'[1]побудинковий звіт'!R167+'[2]побудинковий звіт'!R167-'[3]побудинковий звіт'!R167</f>
        <v>0</v>
      </c>
      <c r="S167" s="42">
        <f>'[1]побудинковий звіт'!S167+'[2]побудинковий звіт'!S167-'[3]побудинковий звіт'!S167</f>
        <v>0</v>
      </c>
      <c r="T167" s="56">
        <f t="shared" si="186"/>
        <v>0</v>
      </c>
      <c r="U167" s="42">
        <f>'[1]побудинковий звіт'!U167+'[2]побудинковий звіт'!U167-'[3]побудинковий звіт'!U167</f>
        <v>0</v>
      </c>
      <c r="V167" s="42">
        <f>'[1]побудинковий звіт'!V167+'[2]побудинковий звіт'!V167-'[3]побудинковий звіт'!V167</f>
        <v>0</v>
      </c>
      <c r="W167" s="56">
        <f t="shared" si="187"/>
        <v>0</v>
      </c>
      <c r="X167" s="42">
        <f>'[1]побудинковий звіт'!X167+'[2]побудинковий звіт'!X167-'[3]побудинковий звіт'!X167</f>
        <v>0</v>
      </c>
      <c r="Y167" s="42">
        <f>'[1]побудинковий звіт'!Y167+'[2]побудинковий звіт'!Y167-'[3]побудинковий звіт'!Y167</f>
        <v>0</v>
      </c>
      <c r="Z167" s="56">
        <f t="shared" si="188"/>
        <v>0</v>
      </c>
      <c r="AA167" s="42">
        <f>'[1]побудинковий звіт'!AA167+'[2]побудинковий звіт'!AA167-'[3]побудинковий звіт'!AA167</f>
        <v>0</v>
      </c>
      <c r="AB167" s="42">
        <f>'[1]побудинковий звіт'!AB167+'[2]побудинковий звіт'!AB167-'[3]побудинковий звіт'!AB167</f>
        <v>0</v>
      </c>
      <c r="AC167" s="56">
        <f t="shared" si="189"/>
        <v>0</v>
      </c>
      <c r="AD167" s="42">
        <f>'[1]побудинковий звіт'!AD167+'[2]побудинковий звіт'!AD167-'[3]побудинковий звіт'!AD167</f>
        <v>0</v>
      </c>
      <c r="AE167" s="42">
        <f>'[1]побудинковий звіт'!AE167+'[2]побудинковий звіт'!AE167-'[3]побудинковий звіт'!AE167</f>
        <v>120.30115318017684</v>
      </c>
      <c r="AF167" s="37">
        <f t="shared" si="190"/>
        <v>120.30115318017684</v>
      </c>
      <c r="AG167" s="87">
        <f t="shared" si="180"/>
        <v>0</v>
      </c>
      <c r="AH167" s="57">
        <f t="shared" si="180"/>
        <v>120.30115318017684</v>
      </c>
      <c r="AI167" s="56">
        <f t="shared" si="191"/>
        <v>120.30115318017684</v>
      </c>
      <c r="AJ167" s="42">
        <f>'[1]побудинковий звіт'!AJ167+'[2]побудинковий звіт'!AJ167-'[3]побудинковий звіт'!AJ167</f>
        <v>0</v>
      </c>
      <c r="AK167" s="42">
        <f>'[1]побудинковий звіт'!AK167+'[2]побудинковий звіт'!AK167-'[3]побудинковий звіт'!AK167</f>
        <v>0</v>
      </c>
      <c r="AL167" s="56">
        <f t="shared" si="192"/>
        <v>0</v>
      </c>
      <c r="AM167" s="42">
        <f>'[1]побудинковий звіт'!AM167+'[2]побудинковий звіт'!AM167-'[3]побудинковий звіт'!AM167</f>
        <v>0</v>
      </c>
      <c r="AN167" s="42">
        <f>'[1]побудинковий звіт'!AN167+'[2]побудинковий звіт'!AN167-'[3]побудинковий звіт'!AN167</f>
        <v>0</v>
      </c>
      <c r="AO167" s="56">
        <f t="shared" si="193"/>
        <v>0</v>
      </c>
      <c r="AP167" s="42">
        <f>'[1]побудинковий звіт'!AP167+'[2]побудинковий звіт'!AP167-'[3]побудинковий звіт'!AP167</f>
        <v>236.75441072341246</v>
      </c>
      <c r="AQ167" s="42">
        <f>'[1]побудинковий звіт'!AQ167+'[2]побудинковий звіт'!AQ167-'[3]побудинковий звіт'!AQ167</f>
        <v>116.78640785600219</v>
      </c>
      <c r="AR167" s="56">
        <f t="shared" si="194"/>
        <v>-119.96800286741028</v>
      </c>
      <c r="AS167" s="42">
        <f>'[1]побудинковий звіт'!AS167+'[2]побудинковий звіт'!AS167-'[3]побудинковий звіт'!AS167</f>
        <v>2661.531840831618</v>
      </c>
      <c r="AT167" s="42">
        <f>'[1]побудинковий звіт'!AT167+'[2]побудинковий звіт'!AT167-'[3]побудинковий звіт'!AT167</f>
        <v>0</v>
      </c>
      <c r="AU167" s="58">
        <f t="shared" si="211"/>
        <v>-2661.531840831618</v>
      </c>
      <c r="AV167" s="42">
        <f>'[1]побудинковий звіт'!AV167+'[2]побудинковий звіт'!AV167-'[3]побудинковий звіт'!AV167</f>
        <v>0</v>
      </c>
      <c r="AW167" s="42">
        <f>'[1]побудинковий звіт'!AW167+'[2]побудинковий звіт'!AW167-'[3]побудинковий звіт'!AW167</f>
        <v>0</v>
      </c>
      <c r="AX167" s="59">
        <f t="shared" si="212"/>
        <v>0</v>
      </c>
      <c r="AY167" s="42">
        <f>'[1]побудинковий звіт'!AY167+'[2]побудинковий звіт'!AY167-'[3]побудинковий звіт'!AY167</f>
        <v>0</v>
      </c>
      <c r="AZ167" s="42">
        <f>'[1]побудинковий звіт'!AZ167+'[2]побудинковий звіт'!AZ167-'[3]побудинковий звіт'!AZ167</f>
        <v>0</v>
      </c>
      <c r="BA167" s="37">
        <f t="shared" si="213"/>
        <v>0</v>
      </c>
      <c r="BB167" s="42">
        <f>'[1]побудинковий звіт'!BB167+'[2]побудинковий звіт'!BB167-'[3]побудинковий звіт'!BB167</f>
        <v>0</v>
      </c>
      <c r="BC167" s="42">
        <f>'[1]побудинковий звіт'!BC167+'[2]побудинковий звіт'!BC167-'[3]побудинковий звіт'!BC167</f>
        <v>0</v>
      </c>
      <c r="BD167" s="59">
        <f t="shared" si="214"/>
        <v>0</v>
      </c>
      <c r="BE167" s="42">
        <f>'[1]побудинковий звіт'!BE167+'[2]побудинковий звіт'!BE167-'[3]побудинковий звіт'!BE167</f>
        <v>0</v>
      </c>
      <c r="BF167" s="42">
        <f>'[1]побудинковий звіт'!BF167+'[2]побудинковий звіт'!BF167-'[3]побудинковий звіт'!BF167</f>
        <v>0</v>
      </c>
      <c r="BG167" s="39">
        <f t="shared" si="215"/>
        <v>0</v>
      </c>
      <c r="BH167" s="42">
        <f>'[1]побудинковий звіт'!BH167+'[2]побудинковий звіт'!BH167-'[3]побудинковий звіт'!BH167</f>
        <v>0</v>
      </c>
      <c r="BI167" s="42">
        <f>'[1]побудинковий звіт'!BI167+'[2]побудинковий звіт'!BI167-'[3]побудинковий звіт'!BI167</f>
        <v>0</v>
      </c>
      <c r="BJ167" s="59">
        <f t="shared" si="216"/>
        <v>0</v>
      </c>
      <c r="BK167" s="42">
        <f>'[1]побудинковий звіт'!BK167+'[2]побудинковий звіт'!BK167-'[3]побудинковий звіт'!BK167</f>
        <v>0</v>
      </c>
      <c r="BL167" s="42">
        <f>'[1]побудинковий звіт'!BL167+'[2]побудинковий звіт'!BL167-'[3]побудинковий звіт'!BL167</f>
        <v>0</v>
      </c>
      <c r="BM167" s="39">
        <f t="shared" si="217"/>
        <v>0</v>
      </c>
      <c r="BN167" s="42">
        <f>'[1]побудинковий звіт'!BN167+'[2]побудинковий звіт'!BN167-'[3]побудинковий звіт'!BN167</f>
        <v>0</v>
      </c>
      <c r="BO167" s="42">
        <f>'[1]побудинковий звіт'!BO167+'[2]побудинковий звіт'!BO167-'[3]побудинковий звіт'!BO167</f>
        <v>0</v>
      </c>
      <c r="BP167" s="59">
        <f t="shared" si="218"/>
        <v>0</v>
      </c>
      <c r="BQ167" s="87">
        <f t="shared" si="176"/>
        <v>0</v>
      </c>
      <c r="BR167" s="43">
        <f t="shared" si="177"/>
        <v>0</v>
      </c>
      <c r="BS167" s="59">
        <f t="shared" si="219"/>
        <v>0</v>
      </c>
      <c r="BT167" s="42">
        <f>'[1]побудинковий звіт'!BT167+'[2]побудинковий звіт'!BT167-'[3]побудинковий звіт'!BT167</f>
        <v>0</v>
      </c>
      <c r="BU167" s="42">
        <f>'[1]побудинковий звіт'!BU167+'[2]побудинковий звіт'!BU167-'[3]побудинковий звіт'!BU167</f>
        <v>131.50863020466909</v>
      </c>
      <c r="BV167" s="56">
        <f t="shared" si="195"/>
        <v>131.50863020466909</v>
      </c>
      <c r="BW167" s="42">
        <f>'[1]побудинковий звіт'!BW167+'[2]побудинковий звіт'!BW167-'[3]побудинковий звіт'!BW167</f>
        <v>0</v>
      </c>
      <c r="BX167" s="42">
        <f>'[1]побудинковий звіт'!BX167+'[2]побудинковий звіт'!BX167-'[3]побудинковий звіт'!BX167</f>
        <v>5.8177494549669397</v>
      </c>
      <c r="BY167" s="56">
        <f t="shared" si="196"/>
        <v>5.8177494549669397</v>
      </c>
      <c r="BZ167" s="42">
        <f>'[1]побудинковий звіт'!BZ167+'[2]побудинковий звіт'!BZ167-'[3]побудинковий звіт'!BZ167</f>
        <v>0</v>
      </c>
      <c r="CA167" s="42">
        <f>'[1]побудинковий звіт'!CA167+'[2]побудинковий звіт'!CA167-'[3]побудинковий звіт'!CA167</f>
        <v>0</v>
      </c>
      <c r="CB167" s="56">
        <f t="shared" si="197"/>
        <v>0</v>
      </c>
      <c r="CC167" s="42">
        <f>'[1]побудинковий звіт'!CC167+'[2]побудинковий звіт'!CC167-'[3]побудинковий звіт'!CC167</f>
        <v>0</v>
      </c>
      <c r="CD167" s="42">
        <f>'[1]побудинковий звіт'!CD167+'[2]побудинковий звіт'!CD167-'[3]побудинковий звіт'!CD167</f>
        <v>0</v>
      </c>
      <c r="CE167" s="56">
        <f t="shared" si="198"/>
        <v>0</v>
      </c>
      <c r="CF167" s="42">
        <f>'[1]побудинковий звіт'!CF167+'[2]побудинковий звіт'!CF167-'[3]побудинковий звіт'!CF167</f>
        <v>0</v>
      </c>
      <c r="CG167" s="42">
        <f>'[1]побудинковий звіт'!CG167+'[2]побудинковий звіт'!CG167-'[3]побудинковий звіт'!CG167</f>
        <v>0</v>
      </c>
      <c r="CH167" s="56">
        <f t="shared" si="199"/>
        <v>0</v>
      </c>
      <c r="CI167" s="42">
        <f>'[1]побудинковий звіт'!CI167+'[2]побудинковий звіт'!CI167-'[3]побудинковий звіт'!CI167</f>
        <v>0</v>
      </c>
      <c r="CJ167" s="42">
        <f>'[1]побудинковий звіт'!CJ167+'[2]побудинковий звіт'!CJ167-'[3]побудинковий звіт'!CJ167</f>
        <v>0</v>
      </c>
      <c r="CK167" s="56">
        <f t="shared" si="200"/>
        <v>0</v>
      </c>
      <c r="CL167" s="42">
        <f>'[1]побудинковий звіт'!CL167+'[2]побудинковий звіт'!CL167-'[3]побудинковий звіт'!CL167</f>
        <v>0</v>
      </c>
      <c r="CM167" s="42">
        <f>'[1]побудинковий звіт'!CM167+'[2]побудинковий звіт'!CM167-'[3]побудинковий звіт'!CM167</f>
        <v>0</v>
      </c>
      <c r="CN167" s="56">
        <f t="shared" si="201"/>
        <v>0</v>
      </c>
      <c r="CO167" s="42">
        <f t="shared" si="181"/>
        <v>0</v>
      </c>
      <c r="CP167" s="43">
        <f t="shared" si="202"/>
        <v>0</v>
      </c>
      <c r="CQ167" s="56">
        <f t="shared" si="203"/>
        <v>0</v>
      </c>
      <c r="CR167" s="78">
        <f t="shared" si="182"/>
        <v>2898.2862515550305</v>
      </c>
      <c r="CS167" s="5">
        <f t="shared" si="182"/>
        <v>374.41394069581503</v>
      </c>
      <c r="CT167" s="56">
        <f t="shared" si="204"/>
        <v>-2523.8723108592153</v>
      </c>
      <c r="CU167" s="87">
        <f t="shared" si="205"/>
        <v>3477.9435018660365</v>
      </c>
      <c r="CV167" s="70">
        <f t="shared" si="206"/>
        <v>449.29672883497801</v>
      </c>
      <c r="CW167" s="37">
        <f t="shared" si="207"/>
        <v>-3028.6467730310587</v>
      </c>
      <c r="CX167" s="42">
        <f>'[1]побудинковий звіт'!CX167+'[2]побудинковий звіт'!CX167-'[3]побудинковий звіт'!CX167</f>
        <v>87.016498133963069</v>
      </c>
      <c r="CY167" s="42">
        <f>'[1]побудинковий звіт'!CY167+'[2]побудинковий звіт'!CY167-'[3]побудинковий звіт'!CY167</f>
        <v>3115.6632711650218</v>
      </c>
      <c r="CZ167" s="56">
        <f t="shared" si="208"/>
        <v>3028.6467730310587</v>
      </c>
      <c r="DA167" s="264">
        <f>'[4]побудинковий звіт'!DA167</f>
        <v>-9210.9964744761019</v>
      </c>
      <c r="DB167" s="2">
        <v>3</v>
      </c>
      <c r="DC167" s="717">
        <f>'[4]побудинковий звіт'!DC167</f>
        <v>1262.3599999999999</v>
      </c>
      <c r="DD167" s="717">
        <f>'[4]побудинковий звіт'!DD167</f>
        <v>0</v>
      </c>
      <c r="DE167" s="717">
        <f>'[4]побудинковий звіт'!DE167</f>
        <v>965.28</v>
      </c>
      <c r="DF167" s="717">
        <f>'[4]побудинковий звіт'!DF167</f>
        <v>0</v>
      </c>
      <c r="DG167" s="787">
        <v>-4894.0476824384841</v>
      </c>
      <c r="DH167" s="761">
        <f t="shared" si="171"/>
        <v>42779.519999999997</v>
      </c>
      <c r="DI167" s="784"/>
      <c r="DJ167" s="5"/>
      <c r="DK167" s="317">
        <f>VLOOKUP($A167,ціни!$A$4:$G$401,5)</f>
        <v>1.644929904675474</v>
      </c>
      <c r="DL167" s="317"/>
      <c r="DM167" s="317">
        <f>VLOOKUP($A167,ціни!$A$4:$G$401,7)</f>
        <v>1.644929904675474</v>
      </c>
      <c r="DN167" s="30">
        <f t="shared" si="209"/>
        <v>347.73818184839519</v>
      </c>
      <c r="DO167" s="30">
        <f t="shared" si="210"/>
        <v>0</v>
      </c>
      <c r="DP167" s="316">
        <f t="shared" si="162"/>
        <v>347.73818184839519</v>
      </c>
      <c r="DQ167" s="104"/>
      <c r="DR167" s="30">
        <f>VLOOKUP(A167,'ДЗ нас '!$A$1:$C$359,2)</f>
        <v>297.08</v>
      </c>
      <c r="DS167" s="748"/>
      <c r="DT167" s="30">
        <f t="shared" si="163"/>
        <v>297.08</v>
      </c>
      <c r="DU167" s="257">
        <f>VLOOKUP(A167,'новий кошторис с 01.06'!$A$4:$AI$399,35)*1.2</f>
        <v>298.52348391016812</v>
      </c>
      <c r="DV167" s="30">
        <f t="shared" si="164"/>
        <v>-1.4434839101681405</v>
      </c>
      <c r="DW167" s="930">
        <f>'[5]побудинковий звіт'!DW167+'[6]побудинковий звіт'!DW167</f>
        <v>0</v>
      </c>
      <c r="DY167" s="5">
        <f t="shared" si="167"/>
        <v>3193.8382089979414</v>
      </c>
      <c r="DZ167" s="5">
        <f t="shared" si="168"/>
        <v>0</v>
      </c>
      <c r="EA167" s="752">
        <f t="shared" si="172"/>
        <v>965.28</v>
      </c>
      <c r="EC167" s="592">
        <f t="shared" si="169"/>
        <v>31938.382089979415</v>
      </c>
      <c r="EE167" s="758">
        <v>-2431</v>
      </c>
      <c r="EF167" s="738">
        <f t="shared" si="170"/>
        <v>-7325.0476824384841</v>
      </c>
      <c r="EH167" s="813">
        <v>-6616.776984453114</v>
      </c>
    </row>
    <row r="168" spans="1:138" x14ac:dyDescent="0.3">
      <c r="A168" s="328">
        <v>150000506</v>
      </c>
      <c r="B168" s="44" t="s">
        <v>619</v>
      </c>
      <c r="C168" s="45" t="s">
        <v>111</v>
      </c>
      <c r="D168" s="45" t="s">
        <v>111</v>
      </c>
      <c r="E168" s="40">
        <f t="shared" si="175"/>
        <v>7425.1</v>
      </c>
      <c r="F168" s="490">
        <v>7425.1</v>
      </c>
      <c r="G168" s="30"/>
      <c r="H168" s="30">
        <v>0</v>
      </c>
      <c r="I168" s="42">
        <f>'[1]побудинковий звіт'!I168+'[2]побудинковий звіт'!I168-'[3]побудинковий звіт'!I168</f>
        <v>0</v>
      </c>
      <c r="J168" s="42">
        <f>'[1]побудинковий звіт'!J168+'[2]побудинковий звіт'!J168-'[3]побудинковий звіт'!J168</f>
        <v>0</v>
      </c>
      <c r="K168" s="56">
        <f t="shared" si="183"/>
        <v>0</v>
      </c>
      <c r="L168" s="42">
        <f>'[1]побудинковий звіт'!L168+'[2]побудинковий звіт'!L168-'[3]побудинковий звіт'!L168</f>
        <v>0</v>
      </c>
      <c r="M168" s="42">
        <f>'[1]побудинковий звіт'!M168+'[2]побудинковий звіт'!M168-'[3]побудинковий звіт'!M168</f>
        <v>0</v>
      </c>
      <c r="N168" s="56">
        <f t="shared" si="184"/>
        <v>0</v>
      </c>
      <c r="O168" s="42">
        <f>'[1]побудинковий звіт'!O168+'[2]побудинковий звіт'!O168-'[3]побудинковий звіт'!O168</f>
        <v>0</v>
      </c>
      <c r="P168" s="42">
        <f>'[1]побудинковий звіт'!P168+'[2]побудинковий звіт'!P168-'[3]побудинковий звіт'!P168</f>
        <v>0</v>
      </c>
      <c r="Q168" s="56">
        <f t="shared" si="185"/>
        <v>0</v>
      </c>
      <c r="R168" s="42">
        <f>'[1]побудинковий звіт'!R168+'[2]побудинковий звіт'!R168-'[3]побудинковий звіт'!R168</f>
        <v>0</v>
      </c>
      <c r="S168" s="42">
        <f>'[1]побудинковий звіт'!S168+'[2]побудинковий звіт'!S168-'[3]побудинковий звіт'!S168</f>
        <v>0</v>
      </c>
      <c r="T168" s="56">
        <f t="shared" si="186"/>
        <v>0</v>
      </c>
      <c r="U168" s="42">
        <f>'[1]побудинковий звіт'!U168+'[2]побудинковий звіт'!U168-'[3]побудинковий звіт'!U168</f>
        <v>0</v>
      </c>
      <c r="V168" s="42">
        <f>'[1]побудинковий звіт'!V168+'[2]побудинковий звіт'!V168-'[3]побудинковий звіт'!V168</f>
        <v>0</v>
      </c>
      <c r="W168" s="56">
        <f t="shared" si="187"/>
        <v>0</v>
      </c>
      <c r="X168" s="42">
        <f>'[1]побудинковий звіт'!X168+'[2]побудинковий звіт'!X168-'[3]побудинковий звіт'!X168</f>
        <v>0</v>
      </c>
      <c r="Y168" s="42">
        <f>'[1]побудинковий звіт'!Y168+'[2]побудинковий звіт'!Y168-'[3]побудинковий звіт'!Y168</f>
        <v>0</v>
      </c>
      <c r="Z168" s="56">
        <f t="shared" si="188"/>
        <v>0</v>
      </c>
      <c r="AA168" s="42">
        <f>'[1]побудинковий звіт'!AA168+'[2]побудинковий звіт'!AA168-'[3]побудинковий звіт'!AA168</f>
        <v>0</v>
      </c>
      <c r="AB168" s="42">
        <f>'[1]побудинковий звіт'!AB168+'[2]побудинковий звіт'!AB168-'[3]побудинковий звіт'!AB168</f>
        <v>0</v>
      </c>
      <c r="AC168" s="56">
        <f t="shared" si="189"/>
        <v>0</v>
      </c>
      <c r="AD168" s="42">
        <f>'[1]побудинковий звіт'!AD168+'[2]побудинковий звіт'!AD168-'[3]побудинковий звіт'!AD168</f>
        <v>0</v>
      </c>
      <c r="AE168" s="42">
        <f>'[1]побудинковий звіт'!AE168+'[2]побудинковий звіт'!AE168-'[3]побудинковий звіт'!AE168</f>
        <v>68.210620629291867</v>
      </c>
      <c r="AF168" s="37">
        <f t="shared" si="190"/>
        <v>68.210620629291867</v>
      </c>
      <c r="AG168" s="87">
        <f t="shared" si="180"/>
        <v>0</v>
      </c>
      <c r="AH168" s="57">
        <f t="shared" si="180"/>
        <v>68.210620629291867</v>
      </c>
      <c r="AI168" s="56">
        <f t="shared" si="191"/>
        <v>68.210620629291867</v>
      </c>
      <c r="AJ168" s="42">
        <f>'[1]побудинковий звіт'!AJ168+'[2]побудинковий звіт'!AJ168-'[3]побудинковий звіт'!AJ168</f>
        <v>0</v>
      </c>
      <c r="AK168" s="42">
        <f>'[1]побудинковий звіт'!AK168+'[2]побудинковий звіт'!AK168-'[3]побудинковий звіт'!AK168</f>
        <v>0</v>
      </c>
      <c r="AL168" s="56">
        <f t="shared" si="192"/>
        <v>0</v>
      </c>
      <c r="AM168" s="42">
        <f>'[1]побудинковий звіт'!AM168+'[2]побудинковий звіт'!AM168-'[3]побудинковий звіт'!AM168</f>
        <v>0</v>
      </c>
      <c r="AN168" s="42">
        <f>'[1]побудинковий звіт'!AN168+'[2]побудинковий звіт'!AN168-'[3]побудинковий звіт'!AN168</f>
        <v>0</v>
      </c>
      <c r="AO168" s="56">
        <f t="shared" si="193"/>
        <v>0</v>
      </c>
      <c r="AP168" s="42">
        <f>'[1]побудинковий звіт'!AP168+'[2]побудинковий звіт'!AP168-'[3]побудинковий звіт'!AP168</f>
        <v>331.45617501277735</v>
      </c>
      <c r="AQ168" s="42">
        <f>'[1]побудинковий звіт'!AQ168+'[2]побудинковий звіт'!AQ168-'[3]побудинковий звіт'!AQ168</f>
        <v>93.429126284801754</v>
      </c>
      <c r="AR168" s="56">
        <f t="shared" si="194"/>
        <v>-238.0270487279756</v>
      </c>
      <c r="AS168" s="42">
        <f>'[1]побудинковий звіт'!AS168+'[2]побудинковий звіт'!AS168-'[3]побудинковий звіт'!AS168</f>
        <v>1719.6101674778683</v>
      </c>
      <c r="AT168" s="42">
        <f>'[1]побудинковий звіт'!AT168+'[2]побудинковий звіт'!AT168-'[3]побудинковий звіт'!AT168</f>
        <v>0</v>
      </c>
      <c r="AU168" s="58">
        <f t="shared" si="211"/>
        <v>-1719.6101674778683</v>
      </c>
      <c r="AV168" s="42">
        <f>'[1]побудинковий звіт'!AV168+'[2]побудинковий звіт'!AV168-'[3]побудинковий звіт'!AV168</f>
        <v>0</v>
      </c>
      <c r="AW168" s="42">
        <f>'[1]побудинковий звіт'!AW168+'[2]побудинковий звіт'!AW168-'[3]побудинковий звіт'!AW168</f>
        <v>0</v>
      </c>
      <c r="AX168" s="59">
        <f t="shared" si="212"/>
        <v>0</v>
      </c>
      <c r="AY168" s="42">
        <f>'[1]побудинковий звіт'!AY168+'[2]побудинковий звіт'!AY168-'[3]побудинковий звіт'!AY168</f>
        <v>0</v>
      </c>
      <c r="AZ168" s="42">
        <f>'[1]побудинковий звіт'!AZ168+'[2]побудинковий звіт'!AZ168-'[3]побудинковий звіт'!AZ168</f>
        <v>0</v>
      </c>
      <c r="BA168" s="37">
        <f t="shared" si="213"/>
        <v>0</v>
      </c>
      <c r="BB168" s="42">
        <f>'[1]побудинковий звіт'!BB168+'[2]побудинковий звіт'!BB168-'[3]побудинковий звіт'!BB168</f>
        <v>0</v>
      </c>
      <c r="BC168" s="42">
        <f>'[1]побудинковий звіт'!BC168+'[2]побудинковий звіт'!BC168-'[3]побудинковий звіт'!BC168</f>
        <v>0</v>
      </c>
      <c r="BD168" s="59">
        <f t="shared" si="214"/>
        <v>0</v>
      </c>
      <c r="BE168" s="42">
        <f>'[1]побудинковий звіт'!BE168+'[2]побудинковий звіт'!BE168-'[3]побудинковий звіт'!BE168</f>
        <v>0</v>
      </c>
      <c r="BF168" s="42">
        <f>'[1]побудинковий звіт'!BF168+'[2]побудинковий звіт'!BF168-'[3]побудинковий звіт'!BF168</f>
        <v>0</v>
      </c>
      <c r="BG168" s="39">
        <f t="shared" si="215"/>
        <v>0</v>
      </c>
      <c r="BH168" s="42">
        <f>'[1]побудинковий звіт'!BH168+'[2]побудинковий звіт'!BH168-'[3]побудинковий звіт'!BH168</f>
        <v>0</v>
      </c>
      <c r="BI168" s="42">
        <f>'[1]побудинковий звіт'!BI168+'[2]побудинковий звіт'!BI168-'[3]побудинковий звіт'!BI168</f>
        <v>0</v>
      </c>
      <c r="BJ168" s="59">
        <f t="shared" si="216"/>
        <v>0</v>
      </c>
      <c r="BK168" s="42">
        <f>'[1]побудинковий звіт'!BK168+'[2]побудинковий звіт'!BK168-'[3]побудинковий звіт'!BK168</f>
        <v>0</v>
      </c>
      <c r="BL168" s="42">
        <f>'[1]побудинковий звіт'!BL168+'[2]побудинковий звіт'!BL168-'[3]побудинковий звіт'!BL168</f>
        <v>0</v>
      </c>
      <c r="BM168" s="39">
        <f t="shared" si="217"/>
        <v>0</v>
      </c>
      <c r="BN168" s="42">
        <f>'[1]побудинковий звіт'!BN168+'[2]побудинковий звіт'!BN168-'[3]побудинковий звіт'!BN168</f>
        <v>0</v>
      </c>
      <c r="BO168" s="42">
        <f>'[1]побудинковий звіт'!BO168+'[2]побудинковий звіт'!BO168-'[3]побудинковий звіт'!BO168</f>
        <v>0</v>
      </c>
      <c r="BP168" s="59">
        <f t="shared" si="218"/>
        <v>0</v>
      </c>
      <c r="BQ168" s="87">
        <f t="shared" si="176"/>
        <v>0</v>
      </c>
      <c r="BR168" s="43">
        <f t="shared" si="177"/>
        <v>0</v>
      </c>
      <c r="BS168" s="59">
        <f t="shared" si="219"/>
        <v>0</v>
      </c>
      <c r="BT168" s="42">
        <f>'[1]побудинковий звіт'!BT168+'[2]побудинковий звіт'!BT168-'[3]побудинковий звіт'!BT168</f>
        <v>0</v>
      </c>
      <c r="BU168" s="42">
        <f>'[1]побудинковий звіт'!BU168+'[2]побудинковий звіт'!BU168-'[3]побудинковий звіт'!BU168</f>
        <v>0</v>
      </c>
      <c r="BV168" s="56">
        <f t="shared" si="195"/>
        <v>0</v>
      </c>
      <c r="BW168" s="42">
        <f>'[1]побудинковий звіт'!BW168+'[2]побудинковий звіт'!BW168-'[3]побудинковий звіт'!BW168</f>
        <v>0</v>
      </c>
      <c r="BX168" s="42">
        <f>'[1]побудинковий звіт'!BX168+'[2]побудинковий звіт'!BX168-'[3]побудинковий звіт'!BX168</f>
        <v>3.2986574982758299</v>
      </c>
      <c r="BY168" s="56">
        <f t="shared" si="196"/>
        <v>3.2986574982758299</v>
      </c>
      <c r="BZ168" s="42">
        <f>'[1]побудинковий звіт'!BZ168+'[2]побудинковий звіт'!BZ168-'[3]побудинковий звіт'!BZ168</f>
        <v>0</v>
      </c>
      <c r="CA168" s="42">
        <f>'[1]побудинковий звіт'!CA168+'[2]побудинковий звіт'!CA168-'[3]побудинковий звіт'!CA168</f>
        <v>0</v>
      </c>
      <c r="CB168" s="56">
        <f t="shared" si="197"/>
        <v>0</v>
      </c>
      <c r="CC168" s="42">
        <f>'[1]побудинковий звіт'!CC168+'[2]побудинковий звіт'!CC168-'[3]побудинковий звіт'!CC168</f>
        <v>0</v>
      </c>
      <c r="CD168" s="42">
        <f>'[1]побудинковий звіт'!CD168+'[2]побудинковий звіт'!CD168-'[3]побудинковий звіт'!CD168</f>
        <v>0</v>
      </c>
      <c r="CE168" s="56">
        <f t="shared" si="198"/>
        <v>0</v>
      </c>
      <c r="CF168" s="42">
        <f>'[1]побудинковий звіт'!CF168+'[2]побудинковий звіт'!CF168-'[3]побудинковий звіт'!CF168</f>
        <v>0</v>
      </c>
      <c r="CG168" s="42">
        <f>'[1]побудинковий звіт'!CG168+'[2]побудинковий звіт'!CG168-'[3]побудинковий звіт'!CG168</f>
        <v>0</v>
      </c>
      <c r="CH168" s="56">
        <f t="shared" si="199"/>
        <v>0</v>
      </c>
      <c r="CI168" s="42">
        <f>'[1]побудинковий звіт'!CI168+'[2]побудинковий звіт'!CI168-'[3]побудинковий звіт'!CI168</f>
        <v>0</v>
      </c>
      <c r="CJ168" s="42">
        <f>'[1]побудинковий звіт'!CJ168+'[2]побудинковий звіт'!CJ168-'[3]побудинковий звіт'!CJ168</f>
        <v>0</v>
      </c>
      <c r="CK168" s="56">
        <f t="shared" si="200"/>
        <v>0</v>
      </c>
      <c r="CL168" s="42">
        <f>'[1]побудинковий звіт'!CL168+'[2]побудинковий звіт'!CL168-'[3]побудинковий звіт'!CL168</f>
        <v>0</v>
      </c>
      <c r="CM168" s="42">
        <f>'[1]побудинковий звіт'!CM168+'[2]побудинковий звіт'!CM168-'[3]побудинковий звіт'!CM168</f>
        <v>0</v>
      </c>
      <c r="CN168" s="56">
        <f t="shared" si="201"/>
        <v>0</v>
      </c>
      <c r="CO168" s="42">
        <f t="shared" si="181"/>
        <v>0</v>
      </c>
      <c r="CP168" s="43">
        <f t="shared" si="202"/>
        <v>0</v>
      </c>
      <c r="CQ168" s="56">
        <f t="shared" si="203"/>
        <v>0</v>
      </c>
      <c r="CR168" s="78">
        <f t="shared" si="182"/>
        <v>2051.0663424906456</v>
      </c>
      <c r="CS168" s="5">
        <f t="shared" si="182"/>
        <v>164.93840441236944</v>
      </c>
      <c r="CT168" s="56">
        <f t="shared" si="204"/>
        <v>-1886.1279380782762</v>
      </c>
      <c r="CU168" s="87">
        <f t="shared" si="205"/>
        <v>2461.2796109887745</v>
      </c>
      <c r="CV168" s="70">
        <f t="shared" si="206"/>
        <v>197.92608529484332</v>
      </c>
      <c r="CW168" s="37">
        <f t="shared" si="207"/>
        <v>-2263.3535256939313</v>
      </c>
      <c r="CX168" s="42">
        <f>'[1]побудинковий звіт'!CX168+'[2]побудинковий звіт'!CX168-'[3]побудинковий звіт'!CX168</f>
        <v>61.600389011224934</v>
      </c>
      <c r="CY168" s="42">
        <f>'[1]побудинковий звіт'!CY168+'[2]побудинковий звіт'!CY168-'[3]побудинковий звіт'!CY168</f>
        <v>2324.9539147051564</v>
      </c>
      <c r="CZ168" s="56">
        <f t="shared" si="208"/>
        <v>2263.3535256939313</v>
      </c>
      <c r="DA168" s="264">
        <f>'[4]побудинковий звіт'!DA168</f>
        <v>-6858.8152368940509</v>
      </c>
      <c r="DB168" s="2">
        <v>3</v>
      </c>
      <c r="DC168" s="717">
        <f>'[4]побудинковий звіт'!DC168</f>
        <v>-116.26</v>
      </c>
      <c r="DD168" s="717">
        <f>'[4]побудинковий звіт'!DD168</f>
        <v>0</v>
      </c>
      <c r="DE168" s="717">
        <f>'[4]побудинковий звіт'!DE168</f>
        <v>-326.5</v>
      </c>
      <c r="DF168" s="717">
        <f>'[4]побудинковий звіт'!DF168</f>
        <v>0</v>
      </c>
      <c r="DG168" s="787">
        <v>-3515.3601763122733</v>
      </c>
      <c r="DH168" s="761">
        <f t="shared" si="171"/>
        <v>30274.55999999999</v>
      </c>
      <c r="DI168" s="784"/>
      <c r="DJ168" s="5"/>
      <c r="DK168" s="317">
        <f>VLOOKUP($A168,ціни!$A$4:$G$401,5)</f>
        <v>2.0530693369657347</v>
      </c>
      <c r="DL168" s="317"/>
      <c r="DM168" s="317">
        <f>VLOOKUP($A168,ціни!$A$4:$G$401,7)</f>
        <v>2.0530693369657347</v>
      </c>
      <c r="DN168" s="30">
        <f t="shared" si="209"/>
        <v>15244.245133904278</v>
      </c>
      <c r="DO168" s="30">
        <f t="shared" si="210"/>
        <v>0</v>
      </c>
      <c r="DP168" s="316">
        <f t="shared" si="162"/>
        <v>15244.245133904278</v>
      </c>
      <c r="DQ168" s="104"/>
      <c r="DR168" s="30">
        <f>VLOOKUP(A168,'ДЗ нас '!$A$1:$C$359,2)</f>
        <v>210.24</v>
      </c>
      <c r="DS168" s="748"/>
      <c r="DT168" s="30">
        <f t="shared" si="163"/>
        <v>210.24</v>
      </c>
      <c r="DU168" s="257">
        <f>VLOOKUP(A168,'новий кошторис с 01.06'!$A$4:$AI$399,35)*1.2</f>
        <v>211.25983327653657</v>
      </c>
      <c r="DV168" s="30">
        <f t="shared" si="164"/>
        <v>-1.0198332765365592</v>
      </c>
      <c r="DW168" s="930">
        <f>'[5]побудинковий звіт'!DW168+'[6]побудинковий звіт'!DW168</f>
        <v>0</v>
      </c>
      <c r="DY168" s="5">
        <f t="shared" si="167"/>
        <v>2063.5322009734418</v>
      </c>
      <c r="DZ168" s="5">
        <f t="shared" si="168"/>
        <v>0</v>
      </c>
      <c r="EA168" s="752">
        <f t="shared" si="172"/>
        <v>-326.5</v>
      </c>
      <c r="EC168" s="592">
        <f t="shared" si="169"/>
        <v>20635.32200973442</v>
      </c>
      <c r="EE168" s="758">
        <v>-1696</v>
      </c>
      <c r="EF168" s="738">
        <f t="shared" si="170"/>
        <v>-5211.3601763122733</v>
      </c>
      <c r="EH168" s="813">
        <v>-4923.3297490680125</v>
      </c>
    </row>
    <row r="169" spans="1:138" x14ac:dyDescent="0.3">
      <c r="A169" s="328">
        <v>150000505</v>
      </c>
      <c r="B169" s="44" t="s">
        <v>620</v>
      </c>
      <c r="C169" s="45" t="s">
        <v>112</v>
      </c>
      <c r="D169" s="45" t="s">
        <v>112</v>
      </c>
      <c r="E169" s="40">
        <f t="shared" si="175"/>
        <v>6125.75</v>
      </c>
      <c r="F169" s="490">
        <v>6125.75</v>
      </c>
      <c r="G169" s="30"/>
      <c r="H169" s="30">
        <v>0</v>
      </c>
      <c r="I169" s="42">
        <f>'[1]побудинковий звіт'!I169+'[2]побудинковий звіт'!I169-'[3]побудинковий звіт'!I169</f>
        <v>0</v>
      </c>
      <c r="J169" s="42">
        <f>'[1]побудинковий звіт'!J169+'[2]побудинковий звіт'!J169-'[3]побудинковий звіт'!J169</f>
        <v>0</v>
      </c>
      <c r="K169" s="56">
        <f t="shared" si="183"/>
        <v>0</v>
      </c>
      <c r="L169" s="42">
        <f>'[1]побудинковий звіт'!L169+'[2]побудинковий звіт'!L169-'[3]побудинковий звіт'!L169</f>
        <v>0</v>
      </c>
      <c r="M169" s="42">
        <f>'[1]побудинковий звіт'!M169+'[2]побудинковий звіт'!M169-'[3]побудинковий звіт'!M169</f>
        <v>0</v>
      </c>
      <c r="N169" s="56">
        <f t="shared" si="184"/>
        <v>0</v>
      </c>
      <c r="O169" s="42">
        <f>'[1]побудинковий звіт'!O169+'[2]побудинковий звіт'!O169-'[3]побудинковий звіт'!O169</f>
        <v>0</v>
      </c>
      <c r="P169" s="42">
        <f>'[1]побудинковий звіт'!P169+'[2]побудинковий звіт'!P169-'[3]побудинковий звіт'!P169</f>
        <v>0</v>
      </c>
      <c r="Q169" s="56">
        <f t="shared" si="185"/>
        <v>0</v>
      </c>
      <c r="R169" s="42">
        <f>'[1]побудинковий звіт'!R169+'[2]побудинковий звіт'!R169-'[3]побудинковий звіт'!R169</f>
        <v>0</v>
      </c>
      <c r="S169" s="42">
        <f>'[1]побудинковий звіт'!S169+'[2]побудинковий звіт'!S169-'[3]побудинковий звіт'!S169</f>
        <v>0</v>
      </c>
      <c r="T169" s="56">
        <f t="shared" si="186"/>
        <v>0</v>
      </c>
      <c r="U169" s="42">
        <f>'[1]побудинковий звіт'!U169+'[2]побудинковий звіт'!U169-'[3]побудинковий звіт'!U169</f>
        <v>0</v>
      </c>
      <c r="V169" s="42">
        <f>'[1]побудинковий звіт'!V169+'[2]побудинковий звіт'!V169-'[3]побудинковий звіт'!V169</f>
        <v>0</v>
      </c>
      <c r="W169" s="56">
        <f t="shared" si="187"/>
        <v>0</v>
      </c>
      <c r="X169" s="42">
        <f>'[1]побудинковий звіт'!X169+'[2]побудинковий звіт'!X169-'[3]побудинковий звіт'!X169</f>
        <v>0</v>
      </c>
      <c r="Y169" s="42">
        <f>'[1]побудинковий звіт'!Y169+'[2]побудинковий звіт'!Y169-'[3]побудинковий звіт'!Y169</f>
        <v>0</v>
      </c>
      <c r="Z169" s="56">
        <f t="shared" si="188"/>
        <v>0</v>
      </c>
      <c r="AA169" s="42">
        <f>'[1]побудинковий звіт'!AA169+'[2]побудинковий звіт'!AA169-'[3]побудинковий звіт'!AA169</f>
        <v>0</v>
      </c>
      <c r="AB169" s="42">
        <f>'[1]побудинковий звіт'!AB169+'[2]побудинковий звіт'!AB169-'[3]побудинковий звіт'!AB169</f>
        <v>0</v>
      </c>
      <c r="AC169" s="56">
        <f t="shared" si="189"/>
        <v>0</v>
      </c>
      <c r="AD169" s="42">
        <f>'[1]побудинковий звіт'!AD169+'[2]побудинковий звіт'!AD169-'[3]побудинковий звіт'!AD169</f>
        <v>0</v>
      </c>
      <c r="AE169" s="42">
        <f>'[1]побудинковий звіт'!AE169+'[2]побудинковий звіт'!AE169-'[3]побудинковий звіт'!AE169</f>
        <v>120.04802783018533</v>
      </c>
      <c r="AF169" s="37">
        <f t="shared" si="190"/>
        <v>120.04802783018533</v>
      </c>
      <c r="AG169" s="87">
        <f t="shared" si="180"/>
        <v>0</v>
      </c>
      <c r="AH169" s="57">
        <f t="shared" si="180"/>
        <v>120.04802783018533</v>
      </c>
      <c r="AI169" s="56">
        <f t="shared" si="191"/>
        <v>120.04802783018533</v>
      </c>
      <c r="AJ169" s="42">
        <f>'[1]побудинковий звіт'!AJ169+'[2]побудинковий звіт'!AJ169-'[3]побудинковий звіт'!AJ169</f>
        <v>0</v>
      </c>
      <c r="AK169" s="42">
        <f>'[1]побудинковий звіт'!AK169+'[2]побудинковий звіт'!AK169-'[3]побудинковий звіт'!AK169</f>
        <v>0</v>
      </c>
      <c r="AL169" s="56">
        <f t="shared" si="192"/>
        <v>0</v>
      </c>
      <c r="AM169" s="42">
        <f>'[1]побудинковий звіт'!AM169+'[2]побудинковий звіт'!AM169-'[3]побудинковий звіт'!AM169</f>
        <v>0</v>
      </c>
      <c r="AN169" s="42">
        <f>'[1]побудинковий звіт'!AN169+'[2]побудинковий звіт'!AN169-'[3]побудинковий звіт'!AN169</f>
        <v>0</v>
      </c>
      <c r="AO169" s="56">
        <f t="shared" si="193"/>
        <v>0</v>
      </c>
      <c r="AP169" s="42">
        <f>'[1]побудинковий звіт'!AP169+'[2]побудинковий звіт'!AP169-'[3]побудинковий звіт'!AP169</f>
        <v>426.15793930214227</v>
      </c>
      <c r="AQ169" s="42">
        <f>'[1]побудинковий звіт'!AQ169+'[2]побудинковий звіт'!AQ169-'[3]побудинковий звіт'!AQ169</f>
        <v>93.429126284801754</v>
      </c>
      <c r="AR169" s="56">
        <f t="shared" si="194"/>
        <v>-332.72881301734049</v>
      </c>
      <c r="AS169" s="42">
        <f>'[1]побудинковий звіт'!AS169+'[2]побудинковий звіт'!AS169-'[3]побудинковий звіт'!AS169</f>
        <v>2707.0823180135071</v>
      </c>
      <c r="AT169" s="42">
        <f>'[1]побудинковий звіт'!AT169+'[2]побудинковий звіт'!AT169-'[3]побудинковий звіт'!AT169</f>
        <v>0</v>
      </c>
      <c r="AU169" s="58">
        <f t="shared" si="211"/>
        <v>-2707.0823180135071</v>
      </c>
      <c r="AV169" s="42">
        <f>'[1]побудинковий звіт'!AV169+'[2]побудинковий звіт'!AV169-'[3]побудинковий звіт'!AV169</f>
        <v>0</v>
      </c>
      <c r="AW169" s="42">
        <f>'[1]побудинковий звіт'!AW169+'[2]побудинковий звіт'!AW169-'[3]побудинковий звіт'!AW169</f>
        <v>0</v>
      </c>
      <c r="AX169" s="59">
        <f t="shared" si="212"/>
        <v>0</v>
      </c>
      <c r="AY169" s="42">
        <f>'[1]побудинковий звіт'!AY169+'[2]побудинковий звіт'!AY169-'[3]побудинковий звіт'!AY169</f>
        <v>0</v>
      </c>
      <c r="AZ169" s="42">
        <f>'[1]побудинковий звіт'!AZ169+'[2]побудинковий звіт'!AZ169-'[3]побудинковий звіт'!AZ169</f>
        <v>0</v>
      </c>
      <c r="BA169" s="37">
        <f t="shared" si="213"/>
        <v>0</v>
      </c>
      <c r="BB169" s="42">
        <f>'[1]побудинковий звіт'!BB169+'[2]побудинковий звіт'!BB169-'[3]побудинковий звіт'!BB169</f>
        <v>0</v>
      </c>
      <c r="BC169" s="42">
        <f>'[1]побудинковий звіт'!BC169+'[2]побудинковий звіт'!BC169-'[3]побудинковий звіт'!BC169</f>
        <v>0</v>
      </c>
      <c r="BD169" s="59">
        <f t="shared" si="214"/>
        <v>0</v>
      </c>
      <c r="BE169" s="42">
        <f>'[1]побудинковий звіт'!BE169+'[2]побудинковий звіт'!BE169-'[3]побудинковий звіт'!BE169</f>
        <v>0</v>
      </c>
      <c r="BF169" s="42">
        <f>'[1]побудинковий звіт'!BF169+'[2]побудинковий звіт'!BF169-'[3]побудинковий звіт'!BF169</f>
        <v>0</v>
      </c>
      <c r="BG169" s="39">
        <f t="shared" si="215"/>
        <v>0</v>
      </c>
      <c r="BH169" s="42">
        <f>'[1]побудинковий звіт'!BH169+'[2]побудинковий звіт'!BH169-'[3]побудинковий звіт'!BH169</f>
        <v>0</v>
      </c>
      <c r="BI169" s="42">
        <f>'[1]побудинковий звіт'!BI169+'[2]побудинковий звіт'!BI169-'[3]побудинковий звіт'!BI169</f>
        <v>0</v>
      </c>
      <c r="BJ169" s="59">
        <f t="shared" si="216"/>
        <v>0</v>
      </c>
      <c r="BK169" s="42">
        <f>'[1]побудинковий звіт'!BK169+'[2]побудинковий звіт'!BK169-'[3]побудинковий звіт'!BK169</f>
        <v>0</v>
      </c>
      <c r="BL169" s="42">
        <f>'[1]побудинковий звіт'!BL169+'[2]побудинковий звіт'!BL169-'[3]побудинковий звіт'!BL169</f>
        <v>0</v>
      </c>
      <c r="BM169" s="39">
        <f t="shared" si="217"/>
        <v>0</v>
      </c>
      <c r="BN169" s="42">
        <f>'[1]побудинковий звіт'!BN169+'[2]побудинковий звіт'!BN169-'[3]побудинковий звіт'!BN169</f>
        <v>0</v>
      </c>
      <c r="BO169" s="42">
        <f>'[1]побудинковий звіт'!BO169+'[2]побудинковий звіт'!BO169-'[3]побудинковий звіт'!BO169</f>
        <v>0</v>
      </c>
      <c r="BP169" s="59">
        <f t="shared" si="218"/>
        <v>0</v>
      </c>
      <c r="BQ169" s="87">
        <f t="shared" si="176"/>
        <v>0</v>
      </c>
      <c r="BR169" s="43">
        <f t="shared" si="177"/>
        <v>0</v>
      </c>
      <c r="BS169" s="59">
        <f t="shared" si="219"/>
        <v>0</v>
      </c>
      <c r="BT169" s="42">
        <f>'[1]побудинковий звіт'!BT169+'[2]побудинковий звіт'!BT169-'[3]побудинковий звіт'!BT169</f>
        <v>0</v>
      </c>
      <c r="BU169" s="42">
        <f>'[1]побудинковий звіт'!BU169+'[2]побудинковий звіт'!BU169-'[3]побудинковий звіт'!BU169</f>
        <v>0</v>
      </c>
      <c r="BV169" s="56">
        <f t="shared" si="195"/>
        <v>0</v>
      </c>
      <c r="BW169" s="42">
        <f>'[1]побудинковий звіт'!BW169+'[2]побудинковий звіт'!BW169-'[3]побудинковий звіт'!BW169</f>
        <v>0</v>
      </c>
      <c r="BX169" s="42">
        <f>'[1]побудинковий звіт'!BX169+'[2]побудинковий звіт'!BX169-'[3]побудинковий звіт'!BX169</f>
        <v>5.8055083431569336</v>
      </c>
      <c r="BY169" s="56">
        <f t="shared" si="196"/>
        <v>5.8055083431569336</v>
      </c>
      <c r="BZ169" s="42">
        <f>'[1]побудинковий звіт'!BZ169+'[2]побудинковий звіт'!BZ169-'[3]побудинковий звіт'!BZ169</f>
        <v>0</v>
      </c>
      <c r="CA169" s="42">
        <f>'[1]побудинковий звіт'!CA169+'[2]побудинковий звіт'!CA169-'[3]побудинковий звіт'!CA169</f>
        <v>0</v>
      </c>
      <c r="CB169" s="56">
        <f t="shared" si="197"/>
        <v>0</v>
      </c>
      <c r="CC169" s="42">
        <f>'[1]побудинковий звіт'!CC169+'[2]побудинковий звіт'!CC169-'[3]побудинковий звіт'!CC169</f>
        <v>0</v>
      </c>
      <c r="CD169" s="42">
        <f>'[1]побудинковий звіт'!CD169+'[2]побудинковий звіт'!CD169-'[3]побудинковий звіт'!CD169</f>
        <v>0</v>
      </c>
      <c r="CE169" s="56">
        <f t="shared" si="198"/>
        <v>0</v>
      </c>
      <c r="CF169" s="42">
        <f>'[1]побудинковий звіт'!CF169+'[2]побудинковий звіт'!CF169-'[3]побудинковий звіт'!CF169</f>
        <v>0</v>
      </c>
      <c r="CG169" s="42">
        <f>'[1]побудинковий звіт'!CG169+'[2]побудинковий звіт'!CG169-'[3]побудинковий звіт'!CG169</f>
        <v>0</v>
      </c>
      <c r="CH169" s="56">
        <f t="shared" si="199"/>
        <v>0</v>
      </c>
      <c r="CI169" s="42">
        <f>'[1]побудинковий звіт'!CI169+'[2]побудинковий звіт'!CI169-'[3]побудинковий звіт'!CI169</f>
        <v>0</v>
      </c>
      <c r="CJ169" s="42">
        <f>'[1]побудинковий звіт'!CJ169+'[2]побудинковий звіт'!CJ169-'[3]побудинковий звіт'!CJ169</f>
        <v>0</v>
      </c>
      <c r="CK169" s="56">
        <f t="shared" si="200"/>
        <v>0</v>
      </c>
      <c r="CL169" s="42">
        <f>'[1]побудинковий звіт'!CL169+'[2]побудинковий звіт'!CL169-'[3]побудинковий звіт'!CL169</f>
        <v>0</v>
      </c>
      <c r="CM169" s="42">
        <f>'[1]побудинковий звіт'!CM169+'[2]побудинковий звіт'!CM169-'[3]побудинковий звіт'!CM169</f>
        <v>0</v>
      </c>
      <c r="CN169" s="56">
        <f t="shared" si="201"/>
        <v>0</v>
      </c>
      <c r="CO169" s="42">
        <f t="shared" si="181"/>
        <v>0</v>
      </c>
      <c r="CP169" s="43">
        <f t="shared" si="202"/>
        <v>0</v>
      </c>
      <c r="CQ169" s="56">
        <f t="shared" si="203"/>
        <v>0</v>
      </c>
      <c r="CR169" s="78">
        <f t="shared" si="182"/>
        <v>3133.2402573156496</v>
      </c>
      <c r="CS169" s="5">
        <f t="shared" si="182"/>
        <v>219.28266245814402</v>
      </c>
      <c r="CT169" s="56">
        <f t="shared" si="204"/>
        <v>-2913.9575948575057</v>
      </c>
      <c r="CU169" s="87">
        <f t="shared" si="205"/>
        <v>3759.8883087787794</v>
      </c>
      <c r="CV169" s="70">
        <f t="shared" si="206"/>
        <v>263.13919494977279</v>
      </c>
      <c r="CW169" s="37">
        <f t="shared" si="207"/>
        <v>-3496.7491138290065</v>
      </c>
      <c r="CX169" s="42">
        <f>'[1]побудинковий звіт'!CX169+'[2]побудинковий звіт'!CX169-'[3]побудинковий звіт'!CX169</f>
        <v>94.031691221220626</v>
      </c>
      <c r="CY169" s="42">
        <f>'[1]побудинковий звіт'!CY169+'[2]побудинковий звіт'!CY169-'[3]побудинковий звіт'!CY169</f>
        <v>3590.7808050502281</v>
      </c>
      <c r="CZ169" s="56">
        <f t="shared" si="208"/>
        <v>3496.7491138290075</v>
      </c>
      <c r="DA169" s="264">
        <f>'[4]побудинковий звіт'!DA169</f>
        <v>-8847.8463458587539</v>
      </c>
      <c r="DB169" s="2">
        <v>3</v>
      </c>
      <c r="DC169" s="717">
        <f>'[4]побудинковий звіт'!DC169</f>
        <v>393.68</v>
      </c>
      <c r="DD169" s="717">
        <f>'[4]побудинковий звіт'!DD169</f>
        <v>0</v>
      </c>
      <c r="DE169" s="717">
        <f>'[4]побудинковий звіт'!DE169</f>
        <v>72.519999999999982</v>
      </c>
      <c r="DF169" s="717">
        <f>'[4]побудинковий звіт'!DF169</f>
        <v>0</v>
      </c>
      <c r="DG169" s="787">
        <v>-3957.1853614560723</v>
      </c>
      <c r="DH169" s="761">
        <f t="shared" si="171"/>
        <v>46247.040000000001</v>
      </c>
      <c r="DI169" s="784"/>
      <c r="DJ169" s="5"/>
      <c r="DK169" s="317">
        <f>VLOOKUP($A169,ціни!$A$4:$G$401,5)</f>
        <v>1.7820282231431257</v>
      </c>
      <c r="DL169" s="317"/>
      <c r="DM169" s="317">
        <f>VLOOKUP($A169,ціни!$A$4:$G$401,7)</f>
        <v>1.7820282231431257</v>
      </c>
      <c r="DN169" s="30">
        <f t="shared" si="209"/>
        <v>10916.259387919003</v>
      </c>
      <c r="DO169" s="30">
        <f t="shared" si="210"/>
        <v>0</v>
      </c>
      <c r="DP169" s="316">
        <f t="shared" si="162"/>
        <v>10916.259387919003</v>
      </c>
      <c r="DQ169" s="104"/>
      <c r="DR169" s="30">
        <f>VLOOKUP(A169,'ДЗ нас '!$A$1:$C$359,2)</f>
        <v>321.16000000000003</v>
      </c>
      <c r="DS169" s="748"/>
      <c r="DT169" s="30">
        <f t="shared" si="163"/>
        <v>321.16000000000003</v>
      </c>
      <c r="DU169" s="257">
        <f>VLOOKUP(A169,'новий кошторис с 01.06'!$A$4:$AI$399,35)*1.2</f>
        <v>322.72374650351196</v>
      </c>
      <c r="DV169" s="30">
        <f t="shared" si="164"/>
        <v>-1.5637465035119362</v>
      </c>
      <c r="DW169" s="930">
        <f>'[5]побудинковий звіт'!DW169+'[6]побудинковий звіт'!DW169</f>
        <v>0</v>
      </c>
      <c r="DY169" s="5">
        <f t="shared" si="167"/>
        <v>3248.4987816162084</v>
      </c>
      <c r="DZ169" s="5">
        <f t="shared" si="168"/>
        <v>0</v>
      </c>
      <c r="EA169" s="752">
        <f t="shared" si="172"/>
        <v>72.519999999999982</v>
      </c>
      <c r="EC169" s="592">
        <f t="shared" si="169"/>
        <v>32484.987816162087</v>
      </c>
      <c r="EE169" s="758">
        <v>-2936</v>
      </c>
      <c r="EF169" s="738">
        <f t="shared" si="170"/>
        <v>-6893.1853614560723</v>
      </c>
      <c r="EH169" s="813">
        <v>-5832.820894194233</v>
      </c>
    </row>
    <row r="170" spans="1:138" x14ac:dyDescent="0.3">
      <c r="A170" s="328">
        <v>150000507</v>
      </c>
      <c r="B170" s="44" t="s">
        <v>621</v>
      </c>
      <c r="C170" s="45" t="s">
        <v>113</v>
      </c>
      <c r="D170" s="45" t="s">
        <v>113</v>
      </c>
      <c r="E170" s="40">
        <f t="shared" si="175"/>
        <v>211.3</v>
      </c>
      <c r="F170" s="490">
        <v>159.9</v>
      </c>
      <c r="G170" s="30"/>
      <c r="H170" s="30">
        <v>51.4</v>
      </c>
      <c r="I170" s="42">
        <f>'[1]побудинковий звіт'!I170+'[2]побудинковий звіт'!I170-'[3]побудинковий звіт'!I170</f>
        <v>0</v>
      </c>
      <c r="J170" s="42">
        <f>'[1]побудинковий звіт'!J170+'[2]побудинковий звіт'!J170-'[3]побудинковий звіт'!J170</f>
        <v>0</v>
      </c>
      <c r="K170" s="56">
        <f t="shared" si="183"/>
        <v>0</v>
      </c>
      <c r="L170" s="42">
        <f>'[1]побудинковий звіт'!L170+'[2]побудинковий звіт'!L170-'[3]побудинковий звіт'!L170</f>
        <v>0</v>
      </c>
      <c r="M170" s="42">
        <f>'[1]побудинковий звіт'!M170+'[2]побудинковий звіт'!M170-'[3]побудинковий звіт'!M170</f>
        <v>0</v>
      </c>
      <c r="N170" s="56">
        <f t="shared" si="184"/>
        <v>0</v>
      </c>
      <c r="O170" s="42">
        <f>'[1]побудинковий звіт'!O170+'[2]побудинковий звіт'!O170-'[3]побудинковий звіт'!O170</f>
        <v>0</v>
      </c>
      <c r="P170" s="42">
        <f>'[1]побудинковий звіт'!P170+'[2]побудинковий звіт'!P170-'[3]побудинковий звіт'!P170</f>
        <v>0</v>
      </c>
      <c r="Q170" s="56">
        <f t="shared" si="185"/>
        <v>0</v>
      </c>
      <c r="R170" s="42">
        <f>'[1]побудинковий звіт'!R170+'[2]побудинковий звіт'!R170-'[3]побудинковий звіт'!R170</f>
        <v>0</v>
      </c>
      <c r="S170" s="42">
        <f>'[1]побудинковий звіт'!S170+'[2]побудинковий звіт'!S170-'[3]побудинковий звіт'!S170</f>
        <v>0</v>
      </c>
      <c r="T170" s="56">
        <f t="shared" si="186"/>
        <v>0</v>
      </c>
      <c r="U170" s="42">
        <f>'[1]побудинковий звіт'!U170+'[2]побудинковий звіт'!U170-'[3]побудинковий звіт'!U170</f>
        <v>0</v>
      </c>
      <c r="V170" s="42">
        <f>'[1]побудинковий звіт'!V170+'[2]побудинковий звіт'!V170-'[3]побудинковий звіт'!V170</f>
        <v>0</v>
      </c>
      <c r="W170" s="56">
        <f t="shared" si="187"/>
        <v>0</v>
      </c>
      <c r="X170" s="42">
        <f>'[1]побудинковий звіт'!X170+'[2]побудинковий звіт'!X170-'[3]побудинковий звіт'!X170</f>
        <v>0</v>
      </c>
      <c r="Y170" s="42">
        <f>'[1]побудинковий звіт'!Y170+'[2]побудинковий звіт'!Y170-'[3]побудинковий звіт'!Y170</f>
        <v>0</v>
      </c>
      <c r="Z170" s="56">
        <f t="shared" si="188"/>
        <v>0</v>
      </c>
      <c r="AA170" s="42">
        <f>'[1]побудинковий звіт'!AA170+'[2]побудинковий звіт'!AA170-'[3]побудинковий звіт'!AA170</f>
        <v>0</v>
      </c>
      <c r="AB170" s="42">
        <f>'[1]побудинковий звіт'!AB170+'[2]побудинковий звіт'!AB170-'[3]побудинковий звіт'!AB170</f>
        <v>0</v>
      </c>
      <c r="AC170" s="56">
        <f t="shared" si="189"/>
        <v>0</v>
      </c>
      <c r="AD170" s="42">
        <f>'[1]побудинковий звіт'!AD170+'[2]побудинковий звіт'!AD170-'[3]побудинковий звіт'!AD170</f>
        <v>0</v>
      </c>
      <c r="AE170" s="42">
        <f>'[1]побудинковий звіт'!AE170+'[2]побудинковий звіт'!AE170-'[3]побудинковий звіт'!AE170</f>
        <v>219.85871575047975</v>
      </c>
      <c r="AF170" s="37">
        <f t="shared" si="190"/>
        <v>219.85871575047975</v>
      </c>
      <c r="AG170" s="87">
        <f t="shared" si="180"/>
        <v>0</v>
      </c>
      <c r="AH170" s="57">
        <f t="shared" si="180"/>
        <v>219.85871575047975</v>
      </c>
      <c r="AI170" s="56">
        <f t="shared" si="191"/>
        <v>219.85871575047975</v>
      </c>
      <c r="AJ170" s="42">
        <f>'[1]побудинковий звіт'!AJ170+'[2]побудинковий звіт'!AJ170-'[3]побудинковий звіт'!AJ170</f>
        <v>0</v>
      </c>
      <c r="AK170" s="42">
        <f>'[1]побудинковий звіт'!AK170+'[2]побудинковий звіт'!AK170-'[3]побудинковий звіт'!AK170</f>
        <v>0</v>
      </c>
      <c r="AL170" s="56">
        <f t="shared" si="192"/>
        <v>0</v>
      </c>
      <c r="AM170" s="42">
        <f>'[1]побудинковий звіт'!AM170+'[2]побудинковий звіт'!AM170-'[3]побудинковий звіт'!AM170</f>
        <v>0</v>
      </c>
      <c r="AN170" s="42">
        <f>'[1]побудинковий звіт'!AN170+'[2]побудинковий звіт'!AN170-'[3]побудинковий звіт'!AN170</f>
        <v>0</v>
      </c>
      <c r="AO170" s="56">
        <f t="shared" si="193"/>
        <v>0</v>
      </c>
      <c r="AP170" s="42">
        <f>'[1]побудинковий звіт'!AP170+'[2]побудинковий звіт'!AP170-'[3]побудинковий звіт'!AP170</f>
        <v>378.80705715745984</v>
      </c>
      <c r="AQ170" s="42">
        <f>'[1]побудинковий звіт'!AQ170+'[2]побудинковий звіт'!AQ170-'[3]побудинковий звіт'!AQ170</f>
        <v>163.50097099840306</v>
      </c>
      <c r="AR170" s="56">
        <f t="shared" si="194"/>
        <v>-215.30608615905678</v>
      </c>
      <c r="AS170" s="42">
        <f>'[1]побудинковий звіт'!AS170+'[2]побудинковий звіт'!AS170-'[3]побудинковий звіт'!AS170</f>
        <v>4198.0550126458775</v>
      </c>
      <c r="AT170" s="42">
        <f>'[1]побудинковий звіт'!AT170+'[2]побудинковий звіт'!AT170-'[3]побудинковий звіт'!AT170</f>
        <v>0</v>
      </c>
      <c r="AU170" s="58">
        <f t="shared" si="211"/>
        <v>-4198.0550126458775</v>
      </c>
      <c r="AV170" s="42">
        <f>'[1]побудинковий звіт'!AV170+'[2]побудинковий звіт'!AV170-'[3]побудинковий звіт'!AV170</f>
        <v>0</v>
      </c>
      <c r="AW170" s="42">
        <f>'[1]побудинковий звіт'!AW170+'[2]побудинковий звіт'!AW170-'[3]побудинковий звіт'!AW170</f>
        <v>0</v>
      </c>
      <c r="AX170" s="59">
        <f t="shared" si="212"/>
        <v>0</v>
      </c>
      <c r="AY170" s="42">
        <f>'[1]побудинковий звіт'!AY170+'[2]побудинковий звіт'!AY170-'[3]побудинковий звіт'!AY170</f>
        <v>0</v>
      </c>
      <c r="AZ170" s="42">
        <f>'[1]побудинковий звіт'!AZ170+'[2]побудинковий звіт'!AZ170-'[3]побудинковий звіт'!AZ170</f>
        <v>0</v>
      </c>
      <c r="BA170" s="37">
        <f t="shared" si="213"/>
        <v>0</v>
      </c>
      <c r="BB170" s="42">
        <f>'[1]побудинковий звіт'!BB170+'[2]побудинковий звіт'!BB170-'[3]побудинковий звіт'!BB170</f>
        <v>0</v>
      </c>
      <c r="BC170" s="42">
        <f>'[1]побудинковий звіт'!BC170+'[2]побудинковий звіт'!BC170-'[3]побудинковий звіт'!BC170</f>
        <v>0</v>
      </c>
      <c r="BD170" s="59">
        <f t="shared" si="214"/>
        <v>0</v>
      </c>
      <c r="BE170" s="42">
        <f>'[1]побудинковий звіт'!BE170+'[2]побудинковий звіт'!BE170-'[3]побудинковий звіт'!BE170</f>
        <v>0</v>
      </c>
      <c r="BF170" s="42">
        <f>'[1]побудинковий звіт'!BF170+'[2]побудинковий звіт'!BF170-'[3]побудинковий звіт'!BF170</f>
        <v>0</v>
      </c>
      <c r="BG170" s="39">
        <f t="shared" si="215"/>
        <v>0</v>
      </c>
      <c r="BH170" s="42">
        <f>'[1]побудинковий звіт'!BH170+'[2]побудинковий звіт'!BH170-'[3]побудинковий звіт'!BH170</f>
        <v>0</v>
      </c>
      <c r="BI170" s="42">
        <f>'[1]побудинковий звіт'!BI170+'[2]побудинковий звіт'!BI170-'[3]побудинковий звіт'!BI170</f>
        <v>0</v>
      </c>
      <c r="BJ170" s="59">
        <f t="shared" si="216"/>
        <v>0</v>
      </c>
      <c r="BK170" s="42">
        <f>'[1]побудинковий звіт'!BK170+'[2]побудинковий звіт'!BK170-'[3]побудинковий звіт'!BK170</f>
        <v>0</v>
      </c>
      <c r="BL170" s="42">
        <f>'[1]побудинковий звіт'!BL170+'[2]побудинковий звіт'!BL170-'[3]побудинковий звіт'!BL170</f>
        <v>0</v>
      </c>
      <c r="BM170" s="39">
        <f t="shared" si="217"/>
        <v>0</v>
      </c>
      <c r="BN170" s="42">
        <f>'[1]побудинковий звіт'!BN170+'[2]побудинковий звіт'!BN170-'[3]побудинковий звіт'!BN170</f>
        <v>0</v>
      </c>
      <c r="BO170" s="42">
        <f>'[1]побудинковий звіт'!BO170+'[2]побудинковий звіт'!BO170-'[3]побудинковий звіт'!BO170</f>
        <v>0</v>
      </c>
      <c r="BP170" s="59">
        <f t="shared" si="218"/>
        <v>0</v>
      </c>
      <c r="BQ170" s="87">
        <f t="shared" si="176"/>
        <v>0</v>
      </c>
      <c r="BR170" s="43">
        <f t="shared" si="177"/>
        <v>0</v>
      </c>
      <c r="BS170" s="59">
        <f t="shared" si="219"/>
        <v>0</v>
      </c>
      <c r="BT170" s="42">
        <f>'[1]побудинковий звіт'!BT170+'[2]побудинковий звіт'!BT170-'[3]побудинковий звіт'!BT170</f>
        <v>0</v>
      </c>
      <c r="BU170" s="42">
        <f>'[1]побудинковий звіт'!BU170+'[2]побудинковий звіт'!BU170-'[3]побудинковий звіт'!BU170</f>
        <v>0</v>
      </c>
      <c r="BV170" s="56">
        <f t="shared" si="195"/>
        <v>0</v>
      </c>
      <c r="BW170" s="42">
        <f>'[1]побудинковий звіт'!BW170+'[2]побудинковий звіт'!BW170-'[3]побудинковий звіт'!BW170</f>
        <v>0</v>
      </c>
      <c r="BX170" s="42">
        <f>'[1]побудинковий звіт'!BX170+'[2]побудинковий звіт'!BX170-'[3]побудинковий звіт'!BX170</f>
        <v>10.622186117660535</v>
      </c>
      <c r="BY170" s="56">
        <f t="shared" si="196"/>
        <v>10.622186117660535</v>
      </c>
      <c r="BZ170" s="42">
        <f>'[1]побудинковий звіт'!BZ170+'[2]побудинковий звіт'!BZ170-'[3]побудинковий звіт'!BZ170</f>
        <v>0</v>
      </c>
      <c r="CA170" s="42">
        <f>'[1]побудинковий звіт'!CA170+'[2]побудинковий звіт'!CA170-'[3]побудинковий звіт'!CA170</f>
        <v>0</v>
      </c>
      <c r="CB170" s="56">
        <f t="shared" si="197"/>
        <v>0</v>
      </c>
      <c r="CC170" s="42">
        <f>'[1]побудинковий звіт'!CC170+'[2]побудинковий звіт'!CC170-'[3]побудинковий звіт'!CC170</f>
        <v>0</v>
      </c>
      <c r="CD170" s="42">
        <f>'[1]побудинковий звіт'!CD170+'[2]побудинковий звіт'!CD170-'[3]побудинковий звіт'!CD170</f>
        <v>0</v>
      </c>
      <c r="CE170" s="56">
        <f t="shared" si="198"/>
        <v>0</v>
      </c>
      <c r="CF170" s="42">
        <f>'[1]побудинковий звіт'!CF170+'[2]побудинковий звіт'!CF170-'[3]побудинковий звіт'!CF170</f>
        <v>0</v>
      </c>
      <c r="CG170" s="42">
        <f>'[1]побудинковий звіт'!CG170+'[2]побудинковий звіт'!CG170-'[3]побудинковий звіт'!CG170</f>
        <v>0</v>
      </c>
      <c r="CH170" s="56">
        <f t="shared" si="199"/>
        <v>0</v>
      </c>
      <c r="CI170" s="42">
        <f>'[1]побудинковий звіт'!CI170+'[2]побудинковий звіт'!CI170-'[3]побудинковий звіт'!CI170</f>
        <v>0</v>
      </c>
      <c r="CJ170" s="42">
        <f>'[1]побудинковий звіт'!CJ170+'[2]побудинковий звіт'!CJ170-'[3]побудинковий звіт'!CJ170</f>
        <v>0</v>
      </c>
      <c r="CK170" s="56">
        <f t="shared" si="200"/>
        <v>0</v>
      </c>
      <c r="CL170" s="42">
        <f>'[1]побудинковий звіт'!CL170+'[2]побудинковий звіт'!CL170-'[3]побудинковий звіт'!CL170</f>
        <v>0</v>
      </c>
      <c r="CM170" s="42">
        <f>'[1]побудинковий звіт'!CM170+'[2]побудинковий звіт'!CM170-'[3]побудинковий звіт'!CM170</f>
        <v>0</v>
      </c>
      <c r="CN170" s="56">
        <f t="shared" si="201"/>
        <v>0</v>
      </c>
      <c r="CO170" s="42">
        <f t="shared" si="181"/>
        <v>0</v>
      </c>
      <c r="CP170" s="43">
        <f t="shared" si="202"/>
        <v>0</v>
      </c>
      <c r="CQ170" s="56">
        <f t="shared" si="203"/>
        <v>0</v>
      </c>
      <c r="CR170" s="78">
        <f t="shared" si="182"/>
        <v>4576.8620698033374</v>
      </c>
      <c r="CS170" s="5">
        <f t="shared" si="182"/>
        <v>393.98187286654337</v>
      </c>
      <c r="CT170" s="56">
        <f t="shared" si="204"/>
        <v>-4182.8801969367942</v>
      </c>
      <c r="CU170" s="87">
        <f t="shared" si="205"/>
        <v>5492.2344837640048</v>
      </c>
      <c r="CV170" s="70">
        <f t="shared" si="206"/>
        <v>472.77824743985201</v>
      </c>
      <c r="CW170" s="37">
        <f t="shared" si="207"/>
        <v>-5019.456236324153</v>
      </c>
      <c r="CX170" s="42">
        <f>'[1]побудинковий звіт'!CX170+'[2]побудинковий звіт'!CX170-'[3]побудинковий звіт'!CX170</f>
        <v>149.44551623599432</v>
      </c>
      <c r="CY170" s="42">
        <f>'[1]побудинковий звіт'!CY170+'[2]побудинковий звіт'!CY170-'[3]побудинковий звіт'!CY170</f>
        <v>5168.9017525601475</v>
      </c>
      <c r="CZ170" s="56">
        <f t="shared" si="208"/>
        <v>5019.456236324153</v>
      </c>
      <c r="DA170" s="264">
        <f>'[4]побудинковий звіт'!DA170</f>
        <v>-13645.968036433042</v>
      </c>
      <c r="DB170" s="2">
        <v>3</v>
      </c>
      <c r="DC170" s="717">
        <f>'[4]побудинковий звіт'!DC170</f>
        <v>692.13</v>
      </c>
      <c r="DD170" s="717">
        <f>'[4]побудинковий звіт'!DD170</f>
        <v>73.08</v>
      </c>
      <c r="DE170" s="717">
        <f>'[4]побудинковий звіт'!DE170</f>
        <v>295.13</v>
      </c>
      <c r="DF170" s="717">
        <f>'[4]побудинковий звіт'!DF170</f>
        <v>-6.0000000000002274E-2</v>
      </c>
      <c r="DG170" s="787">
        <v>-6642.5064789181597</v>
      </c>
      <c r="DH170" s="761">
        <f t="shared" si="171"/>
        <v>67700.159999999989</v>
      </c>
      <c r="DI170" s="784"/>
      <c r="DJ170" s="5"/>
      <c r="DK170" s="317">
        <f>VLOOKUP($A170,ціни!$A$4:$G$401,5)</f>
        <v>1.4228946380189329</v>
      </c>
      <c r="DL170" s="317"/>
      <c r="DM170" s="317">
        <f>VLOOKUP($A170,ціни!$A$4:$G$401,7)</f>
        <v>1.4228946380189329</v>
      </c>
      <c r="DN170" s="30">
        <f t="shared" si="209"/>
        <v>227.52085261922738</v>
      </c>
      <c r="DO170" s="30">
        <f t="shared" si="210"/>
        <v>73.136784394173148</v>
      </c>
      <c r="DP170" s="316">
        <f t="shared" si="162"/>
        <v>300.65763701340052</v>
      </c>
      <c r="DQ170" s="104"/>
      <c r="DR170" s="30">
        <f>VLOOKUP(A170,'ДЗ нас '!$A$1:$C$359,2)</f>
        <v>397</v>
      </c>
      <c r="DS170" s="748">
        <f>VLOOKUP(A170,'ДЗ нежит'!$A$1:$D$153,4,0)</f>
        <v>73.14</v>
      </c>
      <c r="DT170" s="30">
        <f t="shared" si="163"/>
        <v>470.14</v>
      </c>
      <c r="DU170" s="257">
        <f>VLOOKUP(A170,'новий кошторис с 01.06'!$A$4:$AI$399,35)*1.2</f>
        <v>471.41679318974383</v>
      </c>
      <c r="DV170" s="30">
        <f t="shared" si="164"/>
        <v>-1.2767931897438416</v>
      </c>
      <c r="DW170" s="930">
        <f>'[5]побудинковий звіт'!DW170+'[6]побудинковий звіт'!DW170</f>
        <v>0</v>
      </c>
      <c r="DY170" s="5">
        <f t="shared" si="167"/>
        <v>5037.666015175053</v>
      </c>
      <c r="DZ170" s="5">
        <f t="shared" si="168"/>
        <v>0</v>
      </c>
      <c r="EA170" s="752">
        <f t="shared" si="172"/>
        <v>295.07</v>
      </c>
      <c r="EC170" s="592">
        <f t="shared" si="169"/>
        <v>50376.660151750533</v>
      </c>
      <c r="EE170" s="758">
        <v>-4165</v>
      </c>
      <c r="EF170" s="738">
        <f t="shared" si="170"/>
        <v>-10807.50647891816</v>
      </c>
      <c r="EH170" s="813">
        <v>-9276.4663921754636</v>
      </c>
    </row>
    <row r="171" spans="1:138" x14ac:dyDescent="0.3">
      <c r="A171" s="328">
        <v>150000508</v>
      </c>
      <c r="B171" s="44" t="s">
        <v>622</v>
      </c>
      <c r="C171" s="45" t="s">
        <v>114</v>
      </c>
      <c r="D171" s="45" t="s">
        <v>114</v>
      </c>
      <c r="E171" s="40">
        <f t="shared" si="175"/>
        <v>161.4</v>
      </c>
      <c r="F171" s="490">
        <v>161.4</v>
      </c>
      <c r="G171" s="30"/>
      <c r="H171" s="30">
        <v>0</v>
      </c>
      <c r="I171" s="42">
        <f>'[1]побудинковий звіт'!I171+'[2]побудинковий звіт'!I171-'[3]побудинковий звіт'!I171</f>
        <v>0</v>
      </c>
      <c r="J171" s="42">
        <f>'[1]побудинковий звіт'!J171+'[2]побудинковий звіт'!J171-'[3]побудинковий звіт'!J171</f>
        <v>0</v>
      </c>
      <c r="K171" s="56">
        <f t="shared" si="183"/>
        <v>0</v>
      </c>
      <c r="L171" s="42">
        <f>'[1]побудинковий звіт'!L171+'[2]побудинковий звіт'!L171-'[3]побудинковий звіт'!L171</f>
        <v>0</v>
      </c>
      <c r="M171" s="42">
        <f>'[1]побудинковий звіт'!M171+'[2]побудинковий звіт'!M171-'[3]побудинковий звіт'!M171</f>
        <v>0</v>
      </c>
      <c r="N171" s="56">
        <f t="shared" si="184"/>
        <v>0</v>
      </c>
      <c r="O171" s="42">
        <f>'[1]побудинковий звіт'!O171+'[2]побудинковий звіт'!O171-'[3]побудинковий звіт'!O171</f>
        <v>0</v>
      </c>
      <c r="P171" s="42">
        <f>'[1]побудинковий звіт'!P171+'[2]побудинковий звіт'!P171-'[3]побудинковий звіт'!P171</f>
        <v>0</v>
      </c>
      <c r="Q171" s="56">
        <f t="shared" si="185"/>
        <v>0</v>
      </c>
      <c r="R171" s="42">
        <f>'[1]побудинковий звіт'!R171+'[2]побудинковий звіт'!R171-'[3]побудинковий звіт'!R171</f>
        <v>0</v>
      </c>
      <c r="S171" s="42">
        <f>'[1]побудинковий звіт'!S171+'[2]побудинковий звіт'!S171-'[3]побудинковий звіт'!S171</f>
        <v>0</v>
      </c>
      <c r="T171" s="56">
        <f t="shared" si="186"/>
        <v>0</v>
      </c>
      <c r="U171" s="42">
        <f>'[1]побудинковий звіт'!U171+'[2]побудинковий звіт'!U171-'[3]побудинковий звіт'!U171</f>
        <v>0</v>
      </c>
      <c r="V171" s="42">
        <f>'[1]побудинковий звіт'!V171+'[2]побудинковий звіт'!V171-'[3]побудинковий звіт'!V171</f>
        <v>0</v>
      </c>
      <c r="W171" s="56">
        <f t="shared" si="187"/>
        <v>0</v>
      </c>
      <c r="X171" s="42">
        <f>'[1]побудинковий звіт'!X171+'[2]побудинковий звіт'!X171-'[3]побудинковий звіт'!X171</f>
        <v>0</v>
      </c>
      <c r="Y171" s="42">
        <f>'[1]побудинковий звіт'!Y171+'[2]побудинковий звіт'!Y171-'[3]побудинковий звіт'!Y171</f>
        <v>0</v>
      </c>
      <c r="Z171" s="56">
        <f t="shared" si="188"/>
        <v>0</v>
      </c>
      <c r="AA171" s="42">
        <f>'[1]побудинковий звіт'!AA171+'[2]побудинковий звіт'!AA171-'[3]побудинковий звіт'!AA171</f>
        <v>0</v>
      </c>
      <c r="AB171" s="42">
        <f>'[1]побудинковий звіт'!AB171+'[2]побудинковий звіт'!AB171-'[3]побудинковий звіт'!AB171</f>
        <v>0</v>
      </c>
      <c r="AC171" s="56">
        <f t="shared" si="189"/>
        <v>0</v>
      </c>
      <c r="AD171" s="42">
        <f>'[1]побудинковий звіт'!AD171+'[2]побудинковий звіт'!AD171-'[3]побудинковий звіт'!AD171</f>
        <v>0</v>
      </c>
      <c r="AE171" s="42">
        <f>'[1]побудинковий звіт'!AE171+'[2]побудинковий звіт'!AE171-'[3]побудинковий звіт'!AE171</f>
        <v>101.11691612818854</v>
      </c>
      <c r="AF171" s="37">
        <f t="shared" si="190"/>
        <v>101.11691612818854</v>
      </c>
      <c r="AG171" s="87">
        <f t="shared" si="180"/>
        <v>0</v>
      </c>
      <c r="AH171" s="57">
        <f t="shared" si="180"/>
        <v>101.11691612818854</v>
      </c>
      <c r="AI171" s="56">
        <f t="shared" si="191"/>
        <v>101.11691612818854</v>
      </c>
      <c r="AJ171" s="42">
        <f>'[1]побудинковий звіт'!AJ171+'[2]побудинковий звіт'!AJ171-'[3]побудинковий звіт'!AJ171</f>
        <v>0</v>
      </c>
      <c r="AK171" s="42">
        <f>'[1]побудинковий звіт'!AK171+'[2]побудинковий звіт'!AK171-'[3]побудинковий звіт'!AK171</f>
        <v>0</v>
      </c>
      <c r="AL171" s="56">
        <f t="shared" si="192"/>
        <v>0</v>
      </c>
      <c r="AM171" s="42">
        <f>'[1]побудинковий звіт'!AM171+'[2]побудинковий звіт'!AM171-'[3]побудинковий звіт'!AM171</f>
        <v>0</v>
      </c>
      <c r="AN171" s="42">
        <f>'[1]побудинковий звіт'!AN171+'[2]побудинковий звіт'!AN171-'[3]побудинковий звіт'!AN171</f>
        <v>0</v>
      </c>
      <c r="AO171" s="56">
        <f t="shared" si="193"/>
        <v>0</v>
      </c>
      <c r="AP171" s="42">
        <f>'[1]побудинковий звіт'!AP171+'[2]побудинковий звіт'!AP171-'[3]побудинковий звіт'!AP171</f>
        <v>189.40352857872992</v>
      </c>
      <c r="AQ171" s="42">
        <f>'[1]побудинковий звіт'!AQ171+'[2]побудинковий звіт'!AQ171-'[3]побудинковий звіт'!AQ171</f>
        <v>70.071844713601308</v>
      </c>
      <c r="AR171" s="56">
        <f t="shared" si="194"/>
        <v>-119.33168386512861</v>
      </c>
      <c r="AS171" s="42">
        <f>'[1]побудинковий звіт'!AS171+'[2]побудинковий звіт'!AS171-'[3]побудинковий звіт'!AS171</f>
        <v>1758.8982184726769</v>
      </c>
      <c r="AT171" s="42">
        <f>'[1]побудинковий звіт'!AT171+'[2]побудинковий звіт'!AT171-'[3]побудинковий звіт'!AT171</f>
        <v>0</v>
      </c>
      <c r="AU171" s="58">
        <f t="shared" si="211"/>
        <v>-1758.8982184726769</v>
      </c>
      <c r="AV171" s="42">
        <f>'[1]побудинковий звіт'!AV171+'[2]побудинковий звіт'!AV171-'[3]побудинковий звіт'!AV171</f>
        <v>0</v>
      </c>
      <c r="AW171" s="42">
        <f>'[1]побудинковий звіт'!AW171+'[2]побудинковий звіт'!AW171-'[3]побудинковий звіт'!AW171</f>
        <v>0</v>
      </c>
      <c r="AX171" s="59">
        <f t="shared" si="212"/>
        <v>0</v>
      </c>
      <c r="AY171" s="42">
        <f>'[1]побудинковий звіт'!AY171+'[2]побудинковий звіт'!AY171-'[3]побудинковий звіт'!AY171</f>
        <v>0</v>
      </c>
      <c r="AZ171" s="42">
        <f>'[1]побудинковий звіт'!AZ171+'[2]побудинковий звіт'!AZ171-'[3]побудинковий звіт'!AZ171</f>
        <v>0</v>
      </c>
      <c r="BA171" s="37">
        <f t="shared" si="213"/>
        <v>0</v>
      </c>
      <c r="BB171" s="42">
        <f>'[1]побудинковий звіт'!BB171+'[2]побудинковий звіт'!BB171-'[3]побудинковий звіт'!BB171</f>
        <v>0</v>
      </c>
      <c r="BC171" s="42">
        <f>'[1]побудинковий звіт'!BC171+'[2]побудинковий звіт'!BC171-'[3]побудинковий звіт'!BC171</f>
        <v>0</v>
      </c>
      <c r="BD171" s="59">
        <f t="shared" si="214"/>
        <v>0</v>
      </c>
      <c r="BE171" s="42">
        <f>'[1]побудинковий звіт'!BE171+'[2]побудинковий звіт'!BE171-'[3]побудинковий звіт'!BE171</f>
        <v>0</v>
      </c>
      <c r="BF171" s="42">
        <f>'[1]побудинковий звіт'!BF171+'[2]побудинковий звіт'!BF171-'[3]побудинковий звіт'!BF171</f>
        <v>0</v>
      </c>
      <c r="BG171" s="39">
        <f t="shared" si="215"/>
        <v>0</v>
      </c>
      <c r="BH171" s="42">
        <f>'[1]побудинковий звіт'!BH171+'[2]побудинковий звіт'!BH171-'[3]побудинковий звіт'!BH171</f>
        <v>0</v>
      </c>
      <c r="BI171" s="42">
        <f>'[1]побудинковий звіт'!BI171+'[2]побудинковий звіт'!BI171-'[3]побудинковий звіт'!BI171</f>
        <v>0</v>
      </c>
      <c r="BJ171" s="59">
        <f t="shared" si="216"/>
        <v>0</v>
      </c>
      <c r="BK171" s="42">
        <f>'[1]побудинковий звіт'!BK171+'[2]побудинковий звіт'!BK171-'[3]побудинковий звіт'!BK171</f>
        <v>0</v>
      </c>
      <c r="BL171" s="42">
        <f>'[1]побудинковий звіт'!BL171+'[2]побудинковий звіт'!BL171-'[3]побудинковий звіт'!BL171</f>
        <v>0</v>
      </c>
      <c r="BM171" s="39">
        <f t="shared" si="217"/>
        <v>0</v>
      </c>
      <c r="BN171" s="42">
        <f>'[1]побудинковий звіт'!BN171+'[2]побудинковий звіт'!BN171-'[3]побудинковий звіт'!BN171</f>
        <v>0</v>
      </c>
      <c r="BO171" s="42">
        <f>'[1]побудинковий звіт'!BO171+'[2]побудинковий звіт'!BO171-'[3]побудинковий звіт'!BO171</f>
        <v>0</v>
      </c>
      <c r="BP171" s="59">
        <f t="shared" si="218"/>
        <v>0</v>
      </c>
      <c r="BQ171" s="87">
        <f t="shared" si="176"/>
        <v>0</v>
      </c>
      <c r="BR171" s="43">
        <f t="shared" si="177"/>
        <v>0</v>
      </c>
      <c r="BS171" s="59">
        <f t="shared" si="219"/>
        <v>0</v>
      </c>
      <c r="BT171" s="42">
        <f>'[1]побудинковий звіт'!BT171+'[2]побудинковий звіт'!BT171-'[3]побудинковий звіт'!BT171</f>
        <v>0</v>
      </c>
      <c r="BU171" s="42">
        <f>'[1]побудинковий звіт'!BU171+'[2]побудинковий звіт'!BU171-'[3]побудинковий звіт'!BU171</f>
        <v>0</v>
      </c>
      <c r="BV171" s="56">
        <f t="shared" si="195"/>
        <v>0</v>
      </c>
      <c r="BW171" s="42">
        <f>'[1]побудинковий звіт'!BW171+'[2]побудинковий звіт'!BW171-'[3]побудинковий звіт'!BW171</f>
        <v>0</v>
      </c>
      <c r="BX171" s="42">
        <f>'[1]побудинковий звіт'!BX171+'[2]побудинковий звіт'!BX171-'[3]побудинковий звіт'!BX171</f>
        <v>4.8900020335768657</v>
      </c>
      <c r="BY171" s="56">
        <f t="shared" si="196"/>
        <v>4.8900020335768657</v>
      </c>
      <c r="BZ171" s="42">
        <f>'[1]побудинковий звіт'!BZ171+'[2]побудинковий звіт'!BZ171-'[3]побудинковий звіт'!BZ171</f>
        <v>0</v>
      </c>
      <c r="CA171" s="42">
        <f>'[1]побудинковий звіт'!CA171+'[2]побудинковий звіт'!CA171-'[3]побудинковий звіт'!CA171</f>
        <v>0</v>
      </c>
      <c r="CB171" s="56">
        <f t="shared" si="197"/>
        <v>0</v>
      </c>
      <c r="CC171" s="42">
        <f>'[1]побудинковий звіт'!CC171+'[2]побудинковий звіт'!CC171-'[3]побудинковий звіт'!CC171</f>
        <v>0</v>
      </c>
      <c r="CD171" s="42">
        <f>'[1]побудинковий звіт'!CD171+'[2]побудинковий звіт'!CD171-'[3]побудинковий звіт'!CD171</f>
        <v>0</v>
      </c>
      <c r="CE171" s="56">
        <f t="shared" si="198"/>
        <v>0</v>
      </c>
      <c r="CF171" s="42">
        <f>'[1]побудинковий звіт'!CF171+'[2]побудинковий звіт'!CF171-'[3]побудинковий звіт'!CF171</f>
        <v>0</v>
      </c>
      <c r="CG171" s="42">
        <f>'[1]побудинковий звіт'!CG171+'[2]побудинковий звіт'!CG171-'[3]побудинковий звіт'!CG171</f>
        <v>0</v>
      </c>
      <c r="CH171" s="56">
        <f t="shared" si="199"/>
        <v>0</v>
      </c>
      <c r="CI171" s="42">
        <f>'[1]побудинковий звіт'!CI171+'[2]побудинковий звіт'!CI171-'[3]побудинковий звіт'!CI171</f>
        <v>0</v>
      </c>
      <c r="CJ171" s="42">
        <f>'[1]побудинковий звіт'!CJ171+'[2]побудинковий звіт'!CJ171-'[3]побудинковий звіт'!CJ171</f>
        <v>0</v>
      </c>
      <c r="CK171" s="56">
        <f t="shared" si="200"/>
        <v>0</v>
      </c>
      <c r="CL171" s="42">
        <f>'[1]побудинковий звіт'!CL171+'[2]побудинковий звіт'!CL171-'[3]побудинковий звіт'!CL171</f>
        <v>0</v>
      </c>
      <c r="CM171" s="42">
        <f>'[1]побудинковий звіт'!CM171+'[2]побудинковий звіт'!CM171-'[3]побудинковий звіт'!CM171</f>
        <v>0</v>
      </c>
      <c r="CN171" s="56">
        <f t="shared" si="201"/>
        <v>0</v>
      </c>
      <c r="CO171" s="42">
        <f t="shared" si="181"/>
        <v>0</v>
      </c>
      <c r="CP171" s="43">
        <f t="shared" si="202"/>
        <v>0</v>
      </c>
      <c r="CQ171" s="56">
        <f t="shared" si="203"/>
        <v>0</v>
      </c>
      <c r="CR171" s="78">
        <f t="shared" si="182"/>
        <v>1948.3017470514069</v>
      </c>
      <c r="CS171" s="5">
        <f t="shared" si="182"/>
        <v>176.07876287536672</v>
      </c>
      <c r="CT171" s="56">
        <f t="shared" si="204"/>
        <v>-1772.2229841760402</v>
      </c>
      <c r="CU171" s="87">
        <f t="shared" si="205"/>
        <v>2337.9620964616884</v>
      </c>
      <c r="CV171" s="70">
        <f t="shared" si="206"/>
        <v>211.29451545044006</v>
      </c>
      <c r="CW171" s="37">
        <f t="shared" si="207"/>
        <v>-2126.6675810112483</v>
      </c>
      <c r="CX171" s="42">
        <f>'[1]побудинковий звіт'!CX171+'[2]побудинковий звіт'!CX171-'[3]побудинковий звіт'!CX171</f>
        <v>58.557903538311962</v>
      </c>
      <c r="CY171" s="42">
        <f>'[1]побудинковий звіт'!CY171+'[2]побудинковий звіт'!CY171-'[3]побудинковий звіт'!CY171</f>
        <v>2185.2254845495604</v>
      </c>
      <c r="CZ171" s="56">
        <f t="shared" si="208"/>
        <v>2126.6675810112483</v>
      </c>
      <c r="DA171" s="264">
        <f>'[4]побудинковий звіт'!DA171</f>
        <v>-5481.2088224081099</v>
      </c>
      <c r="DB171" s="2">
        <v>3</v>
      </c>
      <c r="DC171" s="717">
        <f>'[4]побудинковий звіт'!DC171</f>
        <v>533.86</v>
      </c>
      <c r="DD171" s="717">
        <f>'[4]побудинковий звіт'!DD171</f>
        <v>0</v>
      </c>
      <c r="DE171" s="717">
        <f>'[4]побудинковий звіт'!DE171</f>
        <v>334.15</v>
      </c>
      <c r="DF171" s="717">
        <f>'[4]побудинковий звіт'!DF171</f>
        <v>0</v>
      </c>
      <c r="DG171" s="787">
        <v>-2656.2325125117181</v>
      </c>
      <c r="DH171" s="761">
        <f t="shared" si="171"/>
        <v>28758.240000000005</v>
      </c>
      <c r="DI171" s="784"/>
      <c r="DJ171" s="5"/>
      <c r="DK171" s="317">
        <f>VLOOKUP($A171,ціни!$A$4:$G$401,5)</f>
        <v>1.3155528924424846</v>
      </c>
      <c r="DL171" s="317"/>
      <c r="DM171" s="317">
        <f>VLOOKUP($A171,ціни!$A$4:$G$401,7)</f>
        <v>1.3155528924424846</v>
      </c>
      <c r="DN171" s="30">
        <f t="shared" si="209"/>
        <v>212.33023684021703</v>
      </c>
      <c r="DO171" s="30">
        <f t="shared" si="210"/>
        <v>0</v>
      </c>
      <c r="DP171" s="316">
        <f t="shared" si="162"/>
        <v>212.33023684021703</v>
      </c>
      <c r="DQ171" s="104"/>
      <c r="DR171" s="30">
        <f>VLOOKUP(A171,'ДЗ нас '!$A$1:$C$359,2)</f>
        <v>199.71</v>
      </c>
      <c r="DS171" s="748"/>
      <c r="DT171" s="30">
        <f t="shared" si="163"/>
        <v>199.71</v>
      </c>
      <c r="DU171" s="257">
        <f>VLOOKUP(A171,'новий кошторис с 01.06'!$A$4:$AI$399,35)*1.2</f>
        <v>200.67507994629489</v>
      </c>
      <c r="DV171" s="30">
        <f t="shared" si="164"/>
        <v>-0.96507994629487825</v>
      </c>
      <c r="DW171" s="930">
        <f>'[5]побудинковий звіт'!DW171+'[6]побудинковий звіт'!DW171</f>
        <v>0</v>
      </c>
      <c r="DY171" s="5">
        <f t="shared" si="167"/>
        <v>2110.6778621672124</v>
      </c>
      <c r="DZ171" s="5">
        <f t="shared" si="168"/>
        <v>0</v>
      </c>
      <c r="EA171" s="752">
        <f t="shared" si="172"/>
        <v>334.15</v>
      </c>
      <c r="EC171" s="592">
        <f t="shared" si="169"/>
        <v>21106.778621672122</v>
      </c>
      <c r="EE171" s="758">
        <v>-1656</v>
      </c>
      <c r="EF171" s="738">
        <f t="shared" si="170"/>
        <v>-4312.2325125117186</v>
      </c>
      <c r="EH171" s="813">
        <v>-3622.1312196189601</v>
      </c>
    </row>
    <row r="172" spans="1:138" x14ac:dyDescent="0.3">
      <c r="A172" s="328">
        <v>150000501</v>
      </c>
      <c r="B172" s="44" t="s">
        <v>623</v>
      </c>
      <c r="C172" s="45" t="s">
        <v>263</v>
      </c>
      <c r="D172" s="45" t="s">
        <v>263</v>
      </c>
      <c r="E172" s="40">
        <f t="shared" si="175"/>
        <v>6060.6</v>
      </c>
      <c r="F172" s="490">
        <v>6020</v>
      </c>
      <c r="G172" s="30"/>
      <c r="H172" s="30">
        <v>40.6</v>
      </c>
      <c r="I172" s="42">
        <f>'[1]побудинковий звіт'!I172+'[2]побудинковий звіт'!I172-'[3]побудинковий звіт'!I172</f>
        <v>16676.175840193606</v>
      </c>
      <c r="J172" s="42">
        <f>'[1]побудинковий звіт'!J172+'[2]побудинковий звіт'!J172-'[3]побудинковий звіт'!J172</f>
        <v>16628.266991141834</v>
      </c>
      <c r="K172" s="56">
        <f t="shared" si="183"/>
        <v>-47.90884905177154</v>
      </c>
      <c r="L172" s="42">
        <f>'[1]побудинковий звіт'!L172+'[2]побудинковий звіт'!L172-'[3]побудинковий звіт'!L172</f>
        <v>3452.813006516978</v>
      </c>
      <c r="M172" s="42">
        <f>'[1]побудинковий звіт'!M172+'[2]побудинковий звіт'!M172-'[3]побудинковий звіт'!M172</f>
        <v>3503.5648775371933</v>
      </c>
      <c r="N172" s="56">
        <f t="shared" si="184"/>
        <v>50.751871020215276</v>
      </c>
      <c r="O172" s="42">
        <f>'[1]побудинковий звіт'!O172+'[2]побудинковий звіт'!O172-'[3]побудинковий звіт'!O172</f>
        <v>5976.1200000000008</v>
      </c>
      <c r="P172" s="42">
        <f>'[1]побудинковий звіт'!P172+'[2]побудинковий звіт'!P172-'[3]побудинковий звіт'!P172</f>
        <v>5977.7999999999993</v>
      </c>
      <c r="Q172" s="56">
        <f t="shared" si="185"/>
        <v>1.679999999998472</v>
      </c>
      <c r="R172" s="42">
        <f>'[1]побудинковий звіт'!R172+'[2]побудинковий звіт'!R172-'[3]побудинковий звіт'!R172</f>
        <v>0</v>
      </c>
      <c r="S172" s="42">
        <f>'[1]побудинковий звіт'!S172+'[2]побудинковий звіт'!S172-'[3]побудинковий звіт'!S172</f>
        <v>0</v>
      </c>
      <c r="T172" s="56">
        <f t="shared" si="186"/>
        <v>0</v>
      </c>
      <c r="U172" s="42">
        <f>'[1]побудинковий звіт'!U172+'[2]побудинковий звіт'!U172-'[3]побудинковий звіт'!U172</f>
        <v>0</v>
      </c>
      <c r="V172" s="42">
        <f>'[1]побудинковий звіт'!V172+'[2]побудинковий звіт'!V172-'[3]побудинковий звіт'!V172</f>
        <v>0</v>
      </c>
      <c r="W172" s="56">
        <f t="shared" si="187"/>
        <v>0</v>
      </c>
      <c r="X172" s="42">
        <f>'[1]побудинковий звіт'!X172+'[2]побудинковий звіт'!X172-'[3]побудинковий звіт'!X172</f>
        <v>13072.031148694265</v>
      </c>
      <c r="Y172" s="42">
        <f>'[1]побудинковий звіт'!Y172+'[2]побудинковий звіт'!Y172-'[3]побудинковий звіт'!Y172</f>
        <v>10364.266874432393</v>
      </c>
      <c r="Z172" s="56">
        <f t="shared" si="188"/>
        <v>-2707.7642742618718</v>
      </c>
      <c r="AA172" s="42">
        <f>'[1]побудинковий звіт'!AA172+'[2]побудинковий звіт'!AA172-'[3]побудинковий звіт'!AA172</f>
        <v>0</v>
      </c>
      <c r="AB172" s="42">
        <f>'[1]побудинковий звіт'!AB172+'[2]побудинковий звіт'!AB172-'[3]побудинковий звіт'!AB172</f>
        <v>0</v>
      </c>
      <c r="AC172" s="56">
        <f t="shared" si="189"/>
        <v>0</v>
      </c>
      <c r="AD172" s="42">
        <f>'[1]побудинковий звіт'!AD172+'[2]побудинковий звіт'!AD172-'[3]побудинковий звіт'!AD172</f>
        <v>19367.934787746944</v>
      </c>
      <c r="AE172" s="42">
        <f>'[1]побудинковий звіт'!AE172+'[2]побудинковий звіт'!AE172-'[3]побудинковий звіт'!AE172</f>
        <v>17852.082323933781</v>
      </c>
      <c r="AF172" s="37">
        <f t="shared" si="190"/>
        <v>-1515.8524638131639</v>
      </c>
      <c r="AG172" s="87">
        <f t="shared" si="180"/>
        <v>58545.074783151795</v>
      </c>
      <c r="AH172" s="57">
        <f t="shared" si="180"/>
        <v>54325.981067045199</v>
      </c>
      <c r="AI172" s="56">
        <f t="shared" si="191"/>
        <v>-4219.0937161065958</v>
      </c>
      <c r="AJ172" s="42">
        <f>'[1]побудинковий звіт'!AJ172+'[2]побудинковий звіт'!AJ172-'[3]побудинковий звіт'!AJ172</f>
        <v>0</v>
      </c>
      <c r="AK172" s="42">
        <f>'[1]побудинковий звіт'!AK172+'[2]побудинковий звіт'!AK172-'[3]побудинковий звіт'!AK172</f>
        <v>0</v>
      </c>
      <c r="AL172" s="56">
        <f t="shared" si="192"/>
        <v>0</v>
      </c>
      <c r="AM172" s="42">
        <f>'[1]побудинковий звіт'!AM172+'[2]побудинковий звіт'!AM172-'[3]побудинковий звіт'!AM172</f>
        <v>0</v>
      </c>
      <c r="AN172" s="42">
        <f>'[1]побудинковий звіт'!AN172+'[2]побудинковий звіт'!AN172-'[3]побудинковий звіт'!AN172</f>
        <v>0</v>
      </c>
      <c r="AO172" s="56">
        <f t="shared" si="193"/>
        <v>0</v>
      </c>
      <c r="AP172" s="42">
        <f>'[1]побудинковий звіт'!AP172+'[2]побудинковий звіт'!AP172-'[3]побудинковий звіт'!AP172</f>
        <v>14063.211996970698</v>
      </c>
      <c r="AQ172" s="42">
        <f>'[1]побудинковий звіт'!AQ172+'[2]побудинковий звіт'!AQ172-'[3]побудинковий звіт'!AQ172</f>
        <v>12784.102759754101</v>
      </c>
      <c r="AR172" s="56">
        <f t="shared" si="194"/>
        <v>-1279.1092372165967</v>
      </c>
      <c r="AS172" s="42">
        <f>'[1]побудинковий звіт'!AS172+'[2]побудинковий звіт'!AS172-'[3]побудинковий звіт'!AS172</f>
        <v>62546.713719935142</v>
      </c>
      <c r="AT172" s="42">
        <f>'[1]побудинковий звіт'!AT172+'[2]побудинковий звіт'!AT172-'[3]побудинковий звіт'!AT172</f>
        <v>38970</v>
      </c>
      <c r="AU172" s="58">
        <f t="shared" si="211"/>
        <v>-23576.713719935142</v>
      </c>
      <c r="AV172" s="42">
        <f>'[1]побудинковий звіт'!AV172+'[2]побудинковий звіт'!AV172-'[3]побудинковий звіт'!AV172</f>
        <v>2728.3265049784609</v>
      </c>
      <c r="AW172" s="42">
        <f>'[1]побудинковий звіт'!AW172+'[2]побудинковий звіт'!AW172-'[3]побудинковий звіт'!AW172</f>
        <v>2567</v>
      </c>
      <c r="AX172" s="59">
        <f t="shared" si="212"/>
        <v>-161.32650497846089</v>
      </c>
      <c r="AY172" s="42">
        <f>'[1]побудинковий звіт'!AY172+'[2]побудинковий звіт'!AY172-'[3]побудинковий звіт'!AY172</f>
        <v>4450.1310750788462</v>
      </c>
      <c r="AZ172" s="42">
        <f>'[1]побудинковий звіт'!AZ172+'[2]побудинковий звіт'!AZ172-'[3]побудинковий звіт'!AZ172</f>
        <v>923</v>
      </c>
      <c r="BA172" s="37">
        <f t="shared" si="213"/>
        <v>-3527.1310750788462</v>
      </c>
      <c r="BB172" s="42">
        <f>'[1]побудинковий звіт'!BB172+'[2]побудинковий звіт'!BB172-'[3]побудинковий звіт'!BB172</f>
        <v>3665.0130763925531</v>
      </c>
      <c r="BC172" s="42">
        <f>'[1]побудинковий звіт'!BC172+'[2]побудинковий звіт'!BC172-'[3]побудинковий звіт'!BC172</f>
        <v>2189</v>
      </c>
      <c r="BD172" s="59">
        <f t="shared" si="214"/>
        <v>-1476.0130763925531</v>
      </c>
      <c r="BE172" s="42">
        <f>'[1]побудинковий звіт'!BE172+'[2]побудинковий звіт'!BE172-'[3]побудинковий звіт'!BE172</f>
        <v>0</v>
      </c>
      <c r="BF172" s="42">
        <f>'[1]побудинковий звіт'!BF172+'[2]побудинковий звіт'!BF172-'[3]побудинковий звіт'!BF172</f>
        <v>0</v>
      </c>
      <c r="BG172" s="39">
        <f t="shared" si="215"/>
        <v>0</v>
      </c>
      <c r="BH172" s="42">
        <f>'[1]побудинковий звіт'!BH172+'[2]побудинковий звіт'!BH172-'[3]побудинковий звіт'!BH172</f>
        <v>0</v>
      </c>
      <c r="BI172" s="42">
        <f>'[1]побудинковий звіт'!BI172+'[2]побудинковий звіт'!BI172-'[3]побудинковий звіт'!BI172</f>
        <v>0</v>
      </c>
      <c r="BJ172" s="59">
        <f t="shared" si="216"/>
        <v>0</v>
      </c>
      <c r="BK172" s="42">
        <f>'[1]побудинковий звіт'!BK172+'[2]побудинковий звіт'!BK172-'[3]побудинковий звіт'!BK172</f>
        <v>1918.0614651354695</v>
      </c>
      <c r="BL172" s="42">
        <f>'[1]побудинковий звіт'!BL172+'[2]побудинковий звіт'!BL172-'[3]побудинковий звіт'!BL172</f>
        <v>976</v>
      </c>
      <c r="BM172" s="39">
        <f t="shared" si="217"/>
        <v>-942.06146513546946</v>
      </c>
      <c r="BN172" s="42">
        <f>'[1]побудинковий звіт'!BN172+'[2]побудинковий звіт'!BN172-'[3]побудинковий звіт'!BN172</f>
        <v>0</v>
      </c>
      <c r="BO172" s="42">
        <f>'[1]побудинковий звіт'!BO172+'[2]побудинковий звіт'!BO172-'[3]побудинковий звіт'!BO172</f>
        <v>0</v>
      </c>
      <c r="BP172" s="59">
        <f t="shared" si="218"/>
        <v>0</v>
      </c>
      <c r="BQ172" s="87">
        <f t="shared" si="176"/>
        <v>12761.532121585331</v>
      </c>
      <c r="BR172" s="43">
        <f t="shared" si="177"/>
        <v>6655</v>
      </c>
      <c r="BS172" s="59">
        <f t="shared" si="219"/>
        <v>-6106.532121585331</v>
      </c>
      <c r="BT172" s="42">
        <f>'[1]побудинковий звіт'!BT172+'[2]побудинковий звіт'!BT172-'[3]побудинковий звіт'!BT172</f>
        <v>32176.742146567656</v>
      </c>
      <c r="BU172" s="42">
        <f>'[1]побудинковий звіт'!BU172+'[2]побудинковий звіт'!BU172-'[3]побудинковий звіт'!BU172</f>
        <v>46298.20328579846</v>
      </c>
      <c r="BV172" s="56">
        <f t="shared" si="195"/>
        <v>14121.461139230803</v>
      </c>
      <c r="BW172" s="42">
        <f>'[1]побудинковий звіт'!BW172+'[2]побудинковий звіт'!BW172-'[3]побудинковий звіт'!BW172</f>
        <v>25195.995908840443</v>
      </c>
      <c r="BX172" s="42">
        <f>'[1]побудинковий звіт'!BX172+'[2]побудинковий звіт'!BX172-'[3]побудинковий звіт'!BX172</f>
        <v>25736.31080858568</v>
      </c>
      <c r="BY172" s="56">
        <f t="shared" si="196"/>
        <v>540.3148997452372</v>
      </c>
      <c r="BZ172" s="42">
        <f>'[1]побудинковий звіт'!BZ172+'[2]побудинковий звіт'!BZ172-'[3]побудинковий звіт'!BZ172</f>
        <v>12722.966389891157</v>
      </c>
      <c r="CA172" s="42">
        <f>'[1]побудинковий звіт'!CA172+'[2]побудинковий звіт'!CA172-'[3]побудинковий звіт'!CA172</f>
        <v>9839.1290794681427</v>
      </c>
      <c r="CB172" s="56">
        <f t="shared" si="197"/>
        <v>-2883.8373104230141</v>
      </c>
      <c r="CC172" s="42">
        <f>'[1]побудинковий звіт'!CC172+'[2]побудинковий звіт'!CC172-'[3]побудинковий звіт'!CC172</f>
        <v>2653.6637623355746</v>
      </c>
      <c r="CD172" s="42">
        <f>'[1]побудинковий звіт'!CD172+'[2]побудинковий звіт'!CD172-'[3]побудинковий звіт'!CD172</f>
        <v>2630.3240393007236</v>
      </c>
      <c r="CE172" s="56">
        <f t="shared" si="198"/>
        <v>-23.339723034850977</v>
      </c>
      <c r="CF172" s="42">
        <f>'[1]побудинковий звіт'!CF172+'[2]побудинковий звіт'!CF172-'[3]побудинковий звіт'!CF172</f>
        <v>326.68209195419001</v>
      </c>
      <c r="CG172" s="42">
        <f>'[1]побудинковий звіт'!CG172+'[2]побудинковий звіт'!CG172-'[3]побудинковий звіт'!CG172</f>
        <v>0</v>
      </c>
      <c r="CH172" s="56">
        <f t="shared" si="199"/>
        <v>-326.68209195419001</v>
      </c>
      <c r="CI172" s="42">
        <f>'[1]побудинковий звіт'!CI172+'[2]побудинковий звіт'!CI172-'[3]побудинковий звіт'!CI172</f>
        <v>7468.2925456996618</v>
      </c>
      <c r="CJ172" s="42">
        <f>'[1]побудинковий звіт'!CJ172+'[2]побудинковий звіт'!CJ172-'[3]побудинковий звіт'!CJ172</f>
        <v>5841.7924008007521</v>
      </c>
      <c r="CK172" s="56">
        <f t="shared" si="200"/>
        <v>-1626.5001448989096</v>
      </c>
      <c r="CL172" s="42">
        <f>'[1]побудинковий звіт'!CL172+'[2]побудинковий звіт'!CL172-'[3]побудинковий звіт'!CL172</f>
        <v>0</v>
      </c>
      <c r="CM172" s="42">
        <f>'[1]побудинковий звіт'!CM172+'[2]побудинковий звіт'!CM172-'[3]побудинковий звіт'!CM172</f>
        <v>0</v>
      </c>
      <c r="CN172" s="56">
        <f t="shared" si="201"/>
        <v>0</v>
      </c>
      <c r="CO172" s="42">
        <f t="shared" si="181"/>
        <v>7468.2925456996618</v>
      </c>
      <c r="CP172" s="43">
        <f t="shared" si="202"/>
        <v>5841.7924008007521</v>
      </c>
      <c r="CQ172" s="56">
        <f t="shared" si="203"/>
        <v>-1626.5001448989096</v>
      </c>
      <c r="CR172" s="78">
        <f t="shared" si="182"/>
        <v>228460.87546693167</v>
      </c>
      <c r="CS172" s="5">
        <f t="shared" si="182"/>
        <v>203080.84344075306</v>
      </c>
      <c r="CT172" s="56">
        <f t="shared" si="204"/>
        <v>-25380.032026178611</v>
      </c>
      <c r="CU172" s="87">
        <f t="shared" si="205"/>
        <v>274153.05056031799</v>
      </c>
      <c r="CV172" s="70">
        <f t="shared" si="206"/>
        <v>243697.01212890365</v>
      </c>
      <c r="CW172" s="37">
        <f t="shared" si="207"/>
        <v>-30456.038431414345</v>
      </c>
      <c r="CX172" s="42">
        <f>'[1]побудинковий звіт'!CX172+'[2]побудинковий звіт'!CX172-'[3]побудинковий звіт'!CX172</f>
        <v>11112.749439681997</v>
      </c>
      <c r="CY172" s="42">
        <f>'[1]побудинковий звіт'!CY172+'[2]побудинковий звіт'!CY172-'[3]побудинковий звіт'!CY172</f>
        <v>41568.78787109629</v>
      </c>
      <c r="CZ172" s="56">
        <f t="shared" si="208"/>
        <v>30456.038431414294</v>
      </c>
      <c r="DA172" s="264">
        <f>'[4]побудинковий звіт'!DA172</f>
        <v>78912.896501531155</v>
      </c>
      <c r="DB172" s="2">
        <v>2</v>
      </c>
      <c r="DC172" s="717">
        <f>'[4]побудинковий звіт'!DC172</f>
        <v>86429.48</v>
      </c>
      <c r="DD172" s="717">
        <f>'[4]побудинковий звіт'!DD172</f>
        <v>2294.66</v>
      </c>
      <c r="DE172" s="717">
        <f>'[4]побудинковий звіт'!DE172</f>
        <v>62846.81</v>
      </c>
      <c r="DF172" s="717">
        <f>'[4]побудинковий звіт'!DF172</f>
        <v>2105.1799999999998</v>
      </c>
      <c r="DG172" s="787">
        <v>137595.79377124191</v>
      </c>
      <c r="DH172" s="761">
        <f t="shared" si="171"/>
        <v>3423189.5999999996</v>
      </c>
      <c r="DI172" s="784"/>
      <c r="DJ172" s="5"/>
      <c r="DK172" s="317">
        <f>VLOOKUP($A172,ціни!$A$4:$G$401,5)</f>
        <v>5.2506784230692372</v>
      </c>
      <c r="DL172" s="317"/>
      <c r="DM172" s="317">
        <f>VLOOKUP($A172,ціни!$A$4:$G$401,7)</f>
        <v>4.6669479569063004</v>
      </c>
      <c r="DN172" s="30">
        <f t="shared" si="209"/>
        <v>31609.084106876806</v>
      </c>
      <c r="DO172" s="30">
        <f t="shared" si="210"/>
        <v>189.4780870503958</v>
      </c>
      <c r="DP172" s="316">
        <f t="shared" si="162"/>
        <v>31798.562193927202</v>
      </c>
      <c r="DQ172" s="104"/>
      <c r="DR172" s="30">
        <f>VLOOKUP(A172,'ДЗ нас '!$A$1:$C$359,2)</f>
        <v>23582.67</v>
      </c>
      <c r="DS172" s="748">
        <f>VLOOKUP(A172,'ДЗ нежит'!$A$1:$D$153,4,0)</f>
        <v>189.48</v>
      </c>
      <c r="DT172" s="30">
        <f t="shared" si="163"/>
        <v>23772.149999999998</v>
      </c>
      <c r="DU172" s="257">
        <f>VLOOKUP(A172,'новий кошторис с 01.06'!$A$4:$AI$399,35)*1.2</f>
        <v>23942.699748934436</v>
      </c>
      <c r="DV172" s="30">
        <f t="shared" si="164"/>
        <v>-170.54974893443796</v>
      </c>
      <c r="DW172" s="930">
        <f>'[5]побудинковий звіт'!DW172+'[6]побудинковий звіт'!DW172</f>
        <v>268</v>
      </c>
      <c r="DY172" s="5">
        <f t="shared" si="167"/>
        <v>90369.89500982457</v>
      </c>
      <c r="DZ172" s="5">
        <f t="shared" si="168"/>
        <v>54750</v>
      </c>
      <c r="EA172" s="752">
        <f t="shared" si="172"/>
        <v>64951.99</v>
      </c>
      <c r="EC172" s="592">
        <f t="shared" si="169"/>
        <v>750560.56463922164</v>
      </c>
      <c r="EE172" s="758">
        <v>-38326</v>
      </c>
      <c r="EF172" s="738">
        <f t="shared" si="170"/>
        <v>99269.793771241908</v>
      </c>
      <c r="EH172" s="813">
        <v>97863.613379381772</v>
      </c>
    </row>
    <row r="173" spans="1:138" x14ac:dyDescent="0.3">
      <c r="A173" s="328">
        <v>150000778</v>
      </c>
      <c r="B173" s="44" t="s">
        <v>624</v>
      </c>
      <c r="C173" s="45" t="s">
        <v>214</v>
      </c>
      <c r="D173" s="45" t="s">
        <v>214</v>
      </c>
      <c r="E173" s="40">
        <f t="shared" si="175"/>
        <v>108.3</v>
      </c>
      <c r="F173" s="490">
        <v>108.3</v>
      </c>
      <c r="G173" s="30"/>
      <c r="H173" s="30">
        <v>0</v>
      </c>
      <c r="I173" s="42">
        <f>'[1]побудинковий звіт'!I173+'[2]побудинковий звіт'!I173-'[3]побудинковий звіт'!I173</f>
        <v>7246.8986218241653</v>
      </c>
      <c r="J173" s="42">
        <f>'[1]побудинковий звіт'!J173+'[2]побудинковий звіт'!J173-'[3]побудинковий звіт'!J173</f>
        <v>6615.519516555727</v>
      </c>
      <c r="K173" s="56">
        <f t="shared" si="183"/>
        <v>-631.37910526843825</v>
      </c>
      <c r="L173" s="42">
        <f>'[1]побудинковий звіт'!L173+'[2]побудинковий звіт'!L173-'[3]побудинковий звіт'!L173</f>
        <v>1353.4305365480398</v>
      </c>
      <c r="M173" s="42">
        <f>'[1]побудинковий звіт'!M173+'[2]побудинковий звіт'!M173-'[3]побудинковий звіт'!M173</f>
        <v>1295.9461601506209</v>
      </c>
      <c r="N173" s="56">
        <f t="shared" si="184"/>
        <v>-57.484376397418828</v>
      </c>
      <c r="O173" s="42">
        <f>'[1]побудинковий звіт'!O173+'[2]побудинковий звіт'!O173-'[3]побудинковий звіт'!O173</f>
        <v>2985.2400000000002</v>
      </c>
      <c r="P173" s="42">
        <f>'[1]побудинковий звіт'!P173+'[2]побудинковий звіт'!P173-'[3]побудинковий звіт'!P173</f>
        <v>2985.84</v>
      </c>
      <c r="Q173" s="56">
        <f t="shared" si="185"/>
        <v>0.59999999999990905</v>
      </c>
      <c r="R173" s="42">
        <f>'[1]побудинковий звіт'!R173+'[2]побудинковий звіт'!R173-'[3]побудинковий звіт'!R173</f>
        <v>667.56000000000006</v>
      </c>
      <c r="S173" s="42">
        <f>'[1]побудинковий звіт'!S173+'[2]побудинковий звіт'!S173-'[3]побудинковий звіт'!S173</f>
        <v>667.68</v>
      </c>
      <c r="T173" s="56">
        <f t="shared" si="186"/>
        <v>0.11999999999989086</v>
      </c>
      <c r="U173" s="42">
        <f>'[1]побудинковий звіт'!U173+'[2]побудинковий звіт'!U173-'[3]побудинковий звіт'!U173</f>
        <v>0</v>
      </c>
      <c r="V173" s="42">
        <f>'[1]побудинковий звіт'!V173+'[2]побудинковий звіт'!V173-'[3]побудинковий звіт'!V173</f>
        <v>0</v>
      </c>
      <c r="W173" s="56">
        <f t="shared" si="187"/>
        <v>0</v>
      </c>
      <c r="X173" s="42">
        <f>'[1]побудинковий звіт'!X173+'[2]побудинковий звіт'!X173-'[3]побудинковий звіт'!X173</f>
        <v>5031.678765618055</v>
      </c>
      <c r="Y173" s="42">
        <f>'[1]побудинковий звіт'!Y173+'[2]побудинковий звіт'!Y173-'[3]побудинковий звіт'!Y173</f>
        <v>4704.640180988541</v>
      </c>
      <c r="Z173" s="56">
        <f t="shared" si="188"/>
        <v>-327.03858462951393</v>
      </c>
      <c r="AA173" s="42">
        <f>'[1]побудинковий звіт'!AA173+'[2]побудинковий звіт'!AA173-'[3]побудинковий звіт'!AA173</f>
        <v>0</v>
      </c>
      <c r="AB173" s="42">
        <f>'[1]побудинковий звіт'!AB173+'[2]побудинковий звіт'!AB173-'[3]побудинковий звіт'!AB173</f>
        <v>0</v>
      </c>
      <c r="AC173" s="56">
        <f t="shared" si="189"/>
        <v>0</v>
      </c>
      <c r="AD173" s="42">
        <f>'[1]побудинковий звіт'!AD173+'[2]побудинковий звіт'!AD173-'[3]побудинковий звіт'!AD173</f>
        <v>8789.3992996541929</v>
      </c>
      <c r="AE173" s="42">
        <f>'[1]побудинковий звіт'!AE173+'[2]побудинковий звіт'!AE173-'[3]побудинковий звіт'!AE173</f>
        <v>8101.1307882931551</v>
      </c>
      <c r="AF173" s="37">
        <f t="shared" si="190"/>
        <v>-688.26851136103778</v>
      </c>
      <c r="AG173" s="87">
        <f t="shared" si="180"/>
        <v>26074.207223644451</v>
      </c>
      <c r="AH173" s="57">
        <f t="shared" si="180"/>
        <v>24370.756645988044</v>
      </c>
      <c r="AI173" s="56">
        <f t="shared" si="191"/>
        <v>-1703.4505776564074</v>
      </c>
      <c r="AJ173" s="42">
        <f>'[1]побудинковий звіт'!AJ173+'[2]побудинковий звіт'!AJ173-'[3]побудинковий звіт'!AJ173</f>
        <v>0</v>
      </c>
      <c r="AK173" s="42">
        <f>'[1]побудинковий звіт'!AK173+'[2]побудинковий звіт'!AK173-'[3]побудинковий звіт'!AK173</f>
        <v>0</v>
      </c>
      <c r="AL173" s="56">
        <f t="shared" si="192"/>
        <v>0</v>
      </c>
      <c r="AM173" s="42">
        <f>'[1]побудинковий звіт'!AM173+'[2]побудинковий звіт'!AM173-'[3]побудинковий звіт'!AM173</f>
        <v>0</v>
      </c>
      <c r="AN173" s="42">
        <f>'[1]побудинковий звіт'!AN173+'[2]побудинковий звіт'!AN173-'[3]побудинковий звіт'!AN173</f>
        <v>0</v>
      </c>
      <c r="AO173" s="56">
        <f t="shared" si="193"/>
        <v>0</v>
      </c>
      <c r="AP173" s="42">
        <f>'[1]побудинковий звіт'!AP173+'[2]побудинковий звіт'!AP173-'[3]побудинковий звіт'!AP173</f>
        <v>2272.8423429447594</v>
      </c>
      <c r="AQ173" s="42">
        <f>'[1]побудинковий звіт'!AQ173+'[2]побудинковий звіт'!AQ173-'[3]побудинковий звіт'!AQ173</f>
        <v>2172.472938808954</v>
      </c>
      <c r="AR173" s="56">
        <f t="shared" si="194"/>
        <v>-100.36940413580533</v>
      </c>
      <c r="AS173" s="42">
        <f>'[1]побудинковий звіт'!AS173+'[2]побудинковий звіт'!AS173-'[3]побудинковий звіт'!AS173</f>
        <v>25833.173347294232</v>
      </c>
      <c r="AT173" s="42">
        <f>'[1]побудинковий звіт'!AT173+'[2]побудинковий звіт'!AT173-'[3]побудинковий звіт'!AT173</f>
        <v>56437</v>
      </c>
      <c r="AU173" s="58">
        <f t="shared" si="211"/>
        <v>30603.826652705768</v>
      </c>
      <c r="AV173" s="42">
        <f>'[1]побудинковий звіт'!AV173+'[2]побудинковий звіт'!AV173-'[3]побудинковий звіт'!AV173</f>
        <v>1144.7436804979795</v>
      </c>
      <c r="AW173" s="42">
        <f>'[1]побудинковий звіт'!AW173+'[2]побудинковий звіт'!AW173-'[3]побудинковий звіт'!AW173</f>
        <v>0</v>
      </c>
      <c r="AX173" s="59">
        <f t="shared" si="212"/>
        <v>-1144.7436804979795</v>
      </c>
      <c r="AY173" s="42">
        <f>'[1]побудинковий звіт'!AY173+'[2]побудинковий звіт'!AY173-'[3]побудинковий звіт'!AY173</f>
        <v>1744.4969349909506</v>
      </c>
      <c r="AZ173" s="42">
        <f>'[1]побудинковий звіт'!AZ173+'[2]побудинковий звіт'!AZ173-'[3]побудинковий звіт'!AZ173</f>
        <v>1858</v>
      </c>
      <c r="BA173" s="37">
        <f t="shared" si="213"/>
        <v>113.50306500904935</v>
      </c>
      <c r="BB173" s="42">
        <f>'[1]побудинковий звіт'!BB173+'[2]побудинковий звіт'!BB173-'[3]побудинковий звіт'!BB173</f>
        <v>1224.9330211872611</v>
      </c>
      <c r="BC173" s="42">
        <f>'[1]побудинковий звіт'!BC173+'[2]побудинковий звіт'!BC173-'[3]побудинковий звіт'!BC173</f>
        <v>767</v>
      </c>
      <c r="BD173" s="59">
        <f t="shared" si="214"/>
        <v>-457.93302118726115</v>
      </c>
      <c r="BE173" s="42">
        <f>'[1]побудинковий звіт'!BE173+'[2]побудинковий звіт'!BE173-'[3]побудинковий звіт'!BE173</f>
        <v>696.27999111277632</v>
      </c>
      <c r="BF173" s="42">
        <f>'[1]побудинковий звіт'!BF173+'[2]побудинковий звіт'!BF173-'[3]побудинковий звіт'!BF173</f>
        <v>0</v>
      </c>
      <c r="BG173" s="39">
        <f t="shared" si="215"/>
        <v>-696.27999111277632</v>
      </c>
      <c r="BH173" s="42">
        <f>'[1]побудинковий звіт'!BH173+'[2]побудинковий звіт'!BH173-'[3]побудинковий звіт'!BH173</f>
        <v>0</v>
      </c>
      <c r="BI173" s="42">
        <f>'[1]побудинковий звіт'!BI173+'[2]побудинковий звіт'!BI173-'[3]побудинковий звіт'!BI173</f>
        <v>0</v>
      </c>
      <c r="BJ173" s="59">
        <f t="shared" si="216"/>
        <v>0</v>
      </c>
      <c r="BK173" s="42">
        <f>'[1]побудинковий звіт'!BK173+'[2]побудинковий звіт'!BK173-'[3]побудинковий звіт'!BK173</f>
        <v>1116.5477701656484</v>
      </c>
      <c r="BL173" s="42">
        <f>'[1]побудинковий звіт'!BL173+'[2]побудинковий звіт'!BL173-'[3]побудинковий звіт'!BL173</f>
        <v>0</v>
      </c>
      <c r="BM173" s="39">
        <f t="shared" si="217"/>
        <v>-1116.5477701656484</v>
      </c>
      <c r="BN173" s="42">
        <f>'[1]побудинковий звіт'!BN173+'[2]побудинковий звіт'!BN173-'[3]побудинковий звіт'!BN173</f>
        <v>0</v>
      </c>
      <c r="BO173" s="42">
        <f>'[1]побудинковий звіт'!BO173+'[2]побудинковий звіт'!BO173-'[3]побудинковий звіт'!BO173</f>
        <v>0</v>
      </c>
      <c r="BP173" s="59">
        <f t="shared" si="218"/>
        <v>0</v>
      </c>
      <c r="BQ173" s="87">
        <f t="shared" si="176"/>
        <v>5927.0013979546156</v>
      </c>
      <c r="BR173" s="43">
        <f t="shared" si="177"/>
        <v>2625</v>
      </c>
      <c r="BS173" s="59">
        <f t="shared" si="219"/>
        <v>-3302.0013979546156</v>
      </c>
      <c r="BT173" s="42">
        <f>'[1]побудинковий звіт'!BT173+'[2]побудинковий звіт'!BT173-'[3]побудинковий звіт'!BT173</f>
        <v>26419.319275117046</v>
      </c>
      <c r="BU173" s="42">
        <f>'[1]побудинковий звіт'!BU173+'[2]побудинковий звіт'!BU173-'[3]побудинковий звіт'!BU173</f>
        <v>32641.052271741904</v>
      </c>
      <c r="BV173" s="56">
        <f t="shared" si="195"/>
        <v>6221.7329966248581</v>
      </c>
      <c r="BW173" s="42">
        <f>'[1]побудинковий звіт'!BW173+'[2]побудинковий звіт'!BW173-'[3]побудинковий звіт'!BW173</f>
        <v>10851.713154798017</v>
      </c>
      <c r="BX173" s="42">
        <f>'[1]побудинковий звіт'!BX173+'[2]побудинковий звіт'!BX173-'[3]побудинковий звіт'!BX173</f>
        <v>10531.424620550308</v>
      </c>
      <c r="BY173" s="56">
        <f t="shared" si="196"/>
        <v>-320.28853424770932</v>
      </c>
      <c r="BZ173" s="42">
        <f>'[1]побудинковий звіт'!BZ173+'[2]побудинковий звіт'!BZ173-'[3]побудинковий звіт'!BZ173</f>
        <v>4560.5374278635609</v>
      </c>
      <c r="CA173" s="42">
        <f>'[1]побудинковий звіт'!CA173+'[2]побудинковий звіт'!CA173-'[3]побудинковий звіт'!CA173</f>
        <v>6672.3216025183283</v>
      </c>
      <c r="CB173" s="56">
        <f t="shared" si="197"/>
        <v>2111.7841746547674</v>
      </c>
      <c r="CC173" s="42">
        <f>'[1]побудинковий звіт'!CC173+'[2]побудинковий звіт'!CC173-'[3]побудинковий звіт'!CC173</f>
        <v>1536.9307534174327</v>
      </c>
      <c r="CD173" s="42">
        <f>'[1]побудинковий звіт'!CD173+'[2]побудинковий звіт'!CD173-'[3]побудинковий звіт'!CD173</f>
        <v>1523.4130129193156</v>
      </c>
      <c r="CE173" s="56">
        <f t="shared" si="198"/>
        <v>-13.517740498117064</v>
      </c>
      <c r="CF173" s="42">
        <f>'[1]побудинковий звіт'!CF173+'[2]побудинковий звіт'!CF173-'[3]побудинковий звіт'!CF173</f>
        <v>189.20549047752485</v>
      </c>
      <c r="CG173" s="42">
        <f>'[1]побудинковий звіт'!CG173+'[2]побудинковий звіт'!CG173-'[3]побудинковий звіт'!CG173</f>
        <v>0</v>
      </c>
      <c r="CH173" s="56">
        <f t="shared" si="199"/>
        <v>-189.20549047752485</v>
      </c>
      <c r="CI173" s="42">
        <f>'[1]побудинковий звіт'!CI173+'[2]побудинковий звіт'!CI173-'[3]побудинковий звіт'!CI173</f>
        <v>4417.3359418173441</v>
      </c>
      <c r="CJ173" s="42">
        <f>'[1]побудинковий звіт'!CJ173+'[2]побудинковий звіт'!CJ173-'[3]побудинковий звіт'!CJ173</f>
        <v>1291.5602037020733</v>
      </c>
      <c r="CK173" s="56">
        <f t="shared" si="200"/>
        <v>-3125.7757381152705</v>
      </c>
      <c r="CL173" s="42">
        <f>'[1]побудинковий звіт'!CL173+'[2]побудинковий звіт'!CL173-'[3]побудинковий звіт'!CL173</f>
        <v>0</v>
      </c>
      <c r="CM173" s="42">
        <f>'[1]побудинковий звіт'!CM173+'[2]побудинковий звіт'!CM173-'[3]побудинковий звіт'!CM173</f>
        <v>0</v>
      </c>
      <c r="CN173" s="56">
        <f t="shared" si="201"/>
        <v>0</v>
      </c>
      <c r="CO173" s="42">
        <f t="shared" si="181"/>
        <v>4417.3359418173441</v>
      </c>
      <c r="CP173" s="43">
        <f t="shared" si="202"/>
        <v>1291.5602037020733</v>
      </c>
      <c r="CQ173" s="56">
        <f t="shared" si="203"/>
        <v>-3125.7757381152705</v>
      </c>
      <c r="CR173" s="78">
        <f t="shared" si="182"/>
        <v>108082.26635532897</v>
      </c>
      <c r="CS173" s="5">
        <f t="shared" si="182"/>
        <v>138265.0012962289</v>
      </c>
      <c r="CT173" s="56">
        <f t="shared" si="204"/>
        <v>30182.734940899929</v>
      </c>
      <c r="CU173" s="87">
        <f t="shared" si="205"/>
        <v>129698.71962639477</v>
      </c>
      <c r="CV173" s="70">
        <f t="shared" si="206"/>
        <v>165918.00155547468</v>
      </c>
      <c r="CW173" s="37">
        <f t="shared" si="207"/>
        <v>36219.281929079909</v>
      </c>
      <c r="CX173" s="42">
        <f>'[1]побудинковий звіт'!CX173+'[2]побудинковий звіт'!CX173-'[3]побудинковий звіт'!CX173</f>
        <v>1945.4803736052345</v>
      </c>
      <c r="CY173" s="42">
        <f>'[1]побудинковий звіт'!CY173+'[2]побудинковий звіт'!CY173-'[3]побудинковий звіт'!CY173</f>
        <v>-34273.801555474718</v>
      </c>
      <c r="CZ173" s="56">
        <f t="shared" si="208"/>
        <v>-36219.281929079953</v>
      </c>
      <c r="DA173" s="264">
        <f>'[4]побудинковий звіт'!DA173</f>
        <v>1952.5898689121022</v>
      </c>
      <c r="DB173" s="2">
        <v>3</v>
      </c>
      <c r="DC173" s="717">
        <f>'[4]побудинковий звіт'!DC173</f>
        <v>74567.95</v>
      </c>
      <c r="DD173" s="717">
        <f>'[4]побудинковий звіт'!DD173</f>
        <v>0</v>
      </c>
      <c r="DE173" s="717">
        <f>'[4]побудинковий звіт'!DE173</f>
        <v>63597.599999999999</v>
      </c>
      <c r="DF173" s="717">
        <f>'[4]побудинковий звіт'!DF173</f>
        <v>0</v>
      </c>
      <c r="DG173" s="787">
        <v>-36054.651857599325</v>
      </c>
      <c r="DH173" s="761">
        <f t="shared" si="171"/>
        <v>1579730.4000000001</v>
      </c>
      <c r="DI173" s="784"/>
      <c r="DJ173" s="5"/>
      <c r="DK173" s="317">
        <f>VLOOKUP($A173,ціни!$A$4:$G$401,5)</f>
        <v>5.3368116535638697</v>
      </c>
      <c r="DL173" s="317"/>
      <c r="DM173" s="317">
        <f>VLOOKUP($A173,ціни!$A$4:$G$401,7)</f>
        <v>4.8009832408318216</v>
      </c>
      <c r="DN173" s="30">
        <f t="shared" si="209"/>
        <v>577.97670208096702</v>
      </c>
      <c r="DO173" s="30">
        <f t="shared" si="210"/>
        <v>0</v>
      </c>
      <c r="DP173" s="316">
        <f t="shared" si="162"/>
        <v>577.97670208096702</v>
      </c>
      <c r="DQ173" s="104"/>
      <c r="DR173" s="30">
        <f>VLOOKUP(A173,'ДЗ нас '!$A$1:$C$359,2)</f>
        <v>10970.35</v>
      </c>
      <c r="DS173" s="748"/>
      <c r="DT173" s="30">
        <f t="shared" si="163"/>
        <v>10970.35</v>
      </c>
      <c r="DU173" s="257">
        <f>VLOOKUP(A173,'новий кошторис с 01.06'!$A$4:$AI$399,35)*1.2</f>
        <v>11002.774714972489</v>
      </c>
      <c r="DV173" s="30">
        <f t="shared" si="164"/>
        <v>-32.4247149724888</v>
      </c>
      <c r="DW173" s="930">
        <f>'[5]побудинковий звіт'!DW173+'[6]побудинковий звіт'!DW173</f>
        <v>202</v>
      </c>
      <c r="DY173" s="5">
        <f t="shared" si="167"/>
        <v>38112.209694298617</v>
      </c>
      <c r="DZ173" s="5">
        <f t="shared" si="168"/>
        <v>70874.399999999994</v>
      </c>
      <c r="EA173" s="752">
        <f t="shared" si="172"/>
        <v>63597.599999999999</v>
      </c>
      <c r="EC173" s="592">
        <f t="shared" si="169"/>
        <v>309998.0801675308</v>
      </c>
      <c r="EE173" s="758">
        <v>-14169</v>
      </c>
      <c r="EF173" s="738">
        <f t="shared" si="170"/>
        <v>-50223.651857599325</v>
      </c>
      <c r="EH173" s="813">
        <v>-40961.74159796429</v>
      </c>
    </row>
    <row r="174" spans="1:138" x14ac:dyDescent="0.3">
      <c r="A174" s="328">
        <v>150001071</v>
      </c>
      <c r="B174" s="44" t="s">
        <v>625</v>
      </c>
      <c r="C174" s="45" t="s">
        <v>167</v>
      </c>
      <c r="D174" s="45" t="s">
        <v>167</v>
      </c>
      <c r="E174" s="40">
        <f t="shared" si="175"/>
        <v>0</v>
      </c>
      <c r="F174" s="490"/>
      <c r="G174" s="30"/>
      <c r="H174" s="30">
        <v>0</v>
      </c>
      <c r="I174" s="42">
        <f>'[1]побудинковий звіт'!I174+'[2]побудинковий звіт'!I174-'[3]побудинковий звіт'!I174</f>
        <v>1777.6970902092744</v>
      </c>
      <c r="J174" s="42">
        <f>'[1]побудинковий звіт'!J174+'[2]побудинковий звіт'!J174-'[3]побудинковий звіт'!J174</f>
        <v>1621.973757683696</v>
      </c>
      <c r="K174" s="56">
        <f t="shared" si="183"/>
        <v>-155.72333252557837</v>
      </c>
      <c r="L174" s="42">
        <f>'[1]побудинковий звіт'!L174+'[2]побудинковий звіт'!L174-'[3]побудинковий звіт'!L174</f>
        <v>288.49880767471757</v>
      </c>
      <c r="M174" s="42">
        <f>'[1]побудинковий звіт'!M174+'[2]побудинковий звіт'!M174-'[3]побудинковий звіт'!M174</f>
        <v>276.24562880342268</v>
      </c>
      <c r="N174" s="56">
        <f t="shared" si="184"/>
        <v>-12.253178871294892</v>
      </c>
      <c r="O174" s="42">
        <f>'[1]побудинковий звіт'!O174+'[2]побудинковий звіт'!O174-'[3]побудинковий звіт'!O174</f>
        <v>663.84000000000015</v>
      </c>
      <c r="P174" s="42">
        <f>'[1]побудинковий звіт'!P174+'[2]побудинковий звіт'!P174-'[3]побудинковий звіт'!P174</f>
        <v>663.96</v>
      </c>
      <c r="Q174" s="56">
        <f t="shared" si="185"/>
        <v>0.11999999999989086</v>
      </c>
      <c r="R174" s="42">
        <f>'[1]побудинковий звіт'!R174+'[2]побудинковий звіт'!R174-'[3]побудинковий звіт'!R174</f>
        <v>0</v>
      </c>
      <c r="S174" s="42">
        <f>'[1]побудинковий звіт'!S174+'[2]побудинковий звіт'!S174-'[3]побудинковий звіт'!S174</f>
        <v>0</v>
      </c>
      <c r="T174" s="56">
        <f t="shared" si="186"/>
        <v>0</v>
      </c>
      <c r="U174" s="42">
        <f>'[1]побудинковий звіт'!U174+'[2]побудинковий звіт'!U174-'[3]побудинковий звіт'!U174</f>
        <v>0</v>
      </c>
      <c r="V174" s="42">
        <f>'[1]побудинковий звіт'!V174+'[2]побудинковий звіт'!V174-'[3]побудинковий звіт'!V174</f>
        <v>0</v>
      </c>
      <c r="W174" s="56">
        <f t="shared" si="187"/>
        <v>0</v>
      </c>
      <c r="X174" s="42">
        <f>'[1]побудинковий звіт'!X174+'[2]побудинковий звіт'!X174-'[3]побудинковий звіт'!X174</f>
        <v>1260.3483591944548</v>
      </c>
      <c r="Y174" s="42">
        <f>'[1]побудинковий звіт'!Y174+'[2]побудинковий звіт'!Y174-'[3]побудинковий звіт'!Y174</f>
        <v>1002.5096685653459</v>
      </c>
      <c r="Z174" s="56">
        <f t="shared" si="188"/>
        <v>-257.8386906291089</v>
      </c>
      <c r="AA174" s="42">
        <f>'[1]побудинковий звіт'!AA174+'[2]побудинковий звіт'!AA174-'[3]побудинковий звіт'!AA174</f>
        <v>0</v>
      </c>
      <c r="AB174" s="42">
        <f>'[1]побудинковий звіт'!AB174+'[2]побудинковий звіт'!AB174-'[3]побудинковий звіт'!AB174</f>
        <v>0</v>
      </c>
      <c r="AC174" s="56">
        <f t="shared" si="189"/>
        <v>0</v>
      </c>
      <c r="AD174" s="42">
        <f>'[1]побудинковий звіт'!AD174+'[2]побудинковий звіт'!AD174-'[3]побудинковий звіт'!AD174</f>
        <v>1598.4341020576601</v>
      </c>
      <c r="AE174" s="42">
        <f>'[1]побудинковий звіт'!AE174+'[2]побудинковий звіт'!AE174-'[3]побудинковий звіт'!AE174</f>
        <v>1474.2842398722864</v>
      </c>
      <c r="AF174" s="37">
        <f t="shared" si="190"/>
        <v>-124.14986218537365</v>
      </c>
      <c r="AG174" s="87">
        <f t="shared" si="180"/>
        <v>5588.8183591361076</v>
      </c>
      <c r="AH174" s="57">
        <f t="shared" si="180"/>
        <v>5038.9732949247518</v>
      </c>
      <c r="AI174" s="56">
        <f t="shared" si="191"/>
        <v>-549.84506421135575</v>
      </c>
      <c r="AJ174" s="42">
        <f>'[1]побудинковий звіт'!AJ174+'[2]побудинковий звіт'!AJ174-'[3]побудинковий звіт'!AJ174</f>
        <v>0</v>
      </c>
      <c r="AK174" s="42">
        <f>'[1]побудинковий звіт'!AK174+'[2]побудинковий звіт'!AK174-'[3]побудинковий звіт'!AK174</f>
        <v>0</v>
      </c>
      <c r="AL174" s="56">
        <f t="shared" si="192"/>
        <v>0</v>
      </c>
      <c r="AM174" s="42">
        <f>'[1]побудинковий звіт'!AM174+'[2]побудинковий звіт'!AM174-'[3]побудинковий звіт'!AM174</f>
        <v>0</v>
      </c>
      <c r="AN174" s="42">
        <f>'[1]побудинковий звіт'!AN174+'[2]побудинковий звіт'!AN174-'[3]побудинковий звіт'!AN174</f>
        <v>0</v>
      </c>
      <c r="AO174" s="56">
        <f t="shared" si="193"/>
        <v>0</v>
      </c>
      <c r="AP174" s="42">
        <f>'[1]побудинковий звіт'!AP174+'[2]побудинковий звіт'!AP174-'[3]побудинковий звіт'!AP174</f>
        <v>94.701764289364959</v>
      </c>
      <c r="AQ174" s="42">
        <f>'[1]побудинковий звіт'!AQ174+'[2]побудинковий звіт'!AQ174-'[3]побудинковий звіт'!AQ174</f>
        <v>47.880722896414255</v>
      </c>
      <c r="AR174" s="56">
        <f t="shared" si="194"/>
        <v>-46.821041392950704</v>
      </c>
      <c r="AS174" s="42">
        <f>'[1]побудинковий звіт'!AS174+'[2]побудинковий звіт'!AS174-'[3]побудинковий звіт'!AS174</f>
        <v>5034.5294386225805</v>
      </c>
      <c r="AT174" s="42">
        <f>'[1]побудинковий звіт'!AT174+'[2]побудинковий звіт'!AT174-'[3]побудинковий звіт'!AT174</f>
        <v>2888</v>
      </c>
      <c r="AU174" s="58">
        <f t="shared" si="211"/>
        <v>-2146.5294386225805</v>
      </c>
      <c r="AV174" s="42">
        <f>'[1]побудинковий звіт'!AV174+'[2]побудинковий звіт'!AV174-'[3]побудинковий звіт'!AV174</f>
        <v>307.32114445056493</v>
      </c>
      <c r="AW174" s="42">
        <f>'[1]побудинковий звіт'!AW174+'[2]побудинковий звіт'!AW174-'[3]побудинковий звіт'!AW174</f>
        <v>0</v>
      </c>
      <c r="AX174" s="59">
        <f t="shared" si="212"/>
        <v>-307.32114445056493</v>
      </c>
      <c r="AY174" s="42">
        <f>'[1]побудинковий звіт'!AY174+'[2]побудинковий звіт'!AY174-'[3]побудинковий звіт'!AY174</f>
        <v>371.81057725317874</v>
      </c>
      <c r="AZ174" s="42">
        <f>'[1]побудинковий звіт'!AZ174+'[2]побудинковий звіт'!AZ174-'[3]побудинковий звіт'!AZ174</f>
        <v>0</v>
      </c>
      <c r="BA174" s="37">
        <f t="shared" si="213"/>
        <v>-371.81057725317874</v>
      </c>
      <c r="BB174" s="42">
        <f>'[1]побудинковий звіт'!BB174+'[2]побудинковий звіт'!BB174-'[3]побудинковий звіт'!BB174</f>
        <v>212.5921125036071</v>
      </c>
      <c r="BC174" s="42">
        <f>'[1]побудинковий звіт'!BC174+'[2]побудинковий звіт'!BC174-'[3]побудинковий звіт'!BC174</f>
        <v>0</v>
      </c>
      <c r="BD174" s="59">
        <f t="shared" si="214"/>
        <v>-212.5921125036071</v>
      </c>
      <c r="BE174" s="42">
        <f>'[1]побудинковий звіт'!BE174+'[2]побудинковий звіт'!BE174-'[3]побудинковий звіт'!BE174</f>
        <v>0</v>
      </c>
      <c r="BF174" s="42">
        <f>'[1]побудинковий звіт'!BF174+'[2]побудинковий звіт'!BF174-'[3]побудинковий звіт'!BF174</f>
        <v>0</v>
      </c>
      <c r="BG174" s="39">
        <f t="shared" si="215"/>
        <v>0</v>
      </c>
      <c r="BH174" s="42">
        <f>'[1]побудинковий звіт'!BH174+'[2]побудинковий звіт'!BH174-'[3]побудинковий звіт'!BH174</f>
        <v>0</v>
      </c>
      <c r="BI174" s="42">
        <f>'[1]побудинковий звіт'!BI174+'[2]побудинковий звіт'!BI174-'[3]побудинковий звіт'!BI174</f>
        <v>0</v>
      </c>
      <c r="BJ174" s="59">
        <f t="shared" si="216"/>
        <v>0</v>
      </c>
      <c r="BK174" s="42">
        <f>'[1]побудинковий звіт'!BK174+'[2]побудинковий звіт'!BK174-'[3]побудинковий звіт'!BK174</f>
        <v>230.53118778196281</v>
      </c>
      <c r="BL174" s="42">
        <f>'[1]побудинковий звіт'!BL174+'[2]побудинковий звіт'!BL174-'[3]побудинковий звіт'!BL174</f>
        <v>0</v>
      </c>
      <c r="BM174" s="39">
        <f t="shared" si="217"/>
        <v>-230.53118778196281</v>
      </c>
      <c r="BN174" s="42">
        <f>'[1]побудинковий звіт'!BN174+'[2]побудинковий звіт'!BN174-'[3]побудинковий звіт'!BN174</f>
        <v>108.71887928658182</v>
      </c>
      <c r="BO174" s="42">
        <f>'[1]побудинковий звіт'!BO174+'[2]побудинковий звіт'!BO174-'[3]побудинковий звіт'!BO174</f>
        <v>0</v>
      </c>
      <c r="BP174" s="59">
        <f t="shared" si="218"/>
        <v>-108.71887928658182</v>
      </c>
      <c r="BQ174" s="87">
        <f t="shared" si="176"/>
        <v>1230.9739012758955</v>
      </c>
      <c r="BR174" s="43">
        <f t="shared" ref="BR174:BR202" si="220">AW174+AZ174+BC174+BF174+BI174+BL174+BO174</f>
        <v>0</v>
      </c>
      <c r="BS174" s="59">
        <f t="shared" si="219"/>
        <v>-1230.9739012758955</v>
      </c>
      <c r="BT174" s="42">
        <f>'[1]побудинковий звіт'!BT174+'[2]побудинковий звіт'!BT174-'[3]побудинковий звіт'!BT174</f>
        <v>0</v>
      </c>
      <c r="BU174" s="42">
        <f>'[1]побудинковий звіт'!BU174+'[2]побудинковий звіт'!BU174-'[3]побудинковий звіт'!BU174</f>
        <v>0</v>
      </c>
      <c r="BV174" s="56">
        <f t="shared" si="195"/>
        <v>0</v>
      </c>
      <c r="BW174" s="42">
        <f>'[1]побудинковий звіт'!BW174+'[2]побудинковий звіт'!BW174-'[3]побудинковий звіт'!BW174</f>
        <v>206.93673321744163</v>
      </c>
      <c r="BX174" s="42">
        <f>'[1]побудинковий звіт'!BX174+'[2]побудинковий звіт'!BX174-'[3]побудинковий звіт'!BX174</f>
        <v>275.43159523403904</v>
      </c>
      <c r="BY174" s="56">
        <f t="shared" si="196"/>
        <v>68.494862016597409</v>
      </c>
      <c r="BZ174" s="42">
        <f>'[1]побудинковий звіт'!BZ174+'[2]побудинковий звіт'!BZ174-'[3]побудинковий звіт'!BZ174</f>
        <v>0</v>
      </c>
      <c r="CA174" s="42">
        <f>'[1]побудинковий звіт'!CA174+'[2]побудинковий звіт'!CA174-'[3]побудинковий звіт'!CA174</f>
        <v>0</v>
      </c>
      <c r="CB174" s="56">
        <f t="shared" si="197"/>
        <v>0</v>
      </c>
      <c r="CC174" s="42">
        <f>'[1]побудинковий звіт'!CC174+'[2]побудинковий звіт'!CC174-'[3]побудинковий звіт'!CC174</f>
        <v>88.239761549620056</v>
      </c>
      <c r="CD174" s="42">
        <f>'[1]побудинковий звіт'!CD174+'[2]побудинковий звіт'!CD174-'[3]побудинковий звіт'!CD174</f>
        <v>87.463667899602854</v>
      </c>
      <c r="CE174" s="56">
        <f t="shared" si="198"/>
        <v>-0.77609365001720221</v>
      </c>
      <c r="CF174" s="42">
        <f>'[1]побудинковий звіт'!CF174+'[2]побудинковий звіт'!CF174-'[3]побудинковий звіт'!CF174</f>
        <v>10.862849433191862</v>
      </c>
      <c r="CG174" s="42">
        <f>'[1]побудинковий звіт'!CG174+'[2]побудинковий звіт'!CG174-'[3]побудинковий звіт'!CG174</f>
        <v>0</v>
      </c>
      <c r="CH174" s="56">
        <f t="shared" si="199"/>
        <v>-10.862849433191862</v>
      </c>
      <c r="CI174" s="42">
        <f>'[1]побудинковий звіт'!CI174+'[2]побудинковий звіт'!CI174-'[3]побудинковий звіт'!CI174</f>
        <v>1291.5092372262573</v>
      </c>
      <c r="CJ174" s="42">
        <f>'[1]побудинковий звіт'!CJ174+'[2]побудинковий звіт'!CJ174-'[3]побудинковий звіт'!CJ174</f>
        <v>523.73148660762706</v>
      </c>
      <c r="CK174" s="56">
        <f t="shared" si="200"/>
        <v>-767.77775061863019</v>
      </c>
      <c r="CL174" s="42">
        <f>'[1]побудинковий звіт'!CL174+'[2]побудинковий звіт'!CL174-'[3]побудинковий звіт'!CL174</f>
        <v>0</v>
      </c>
      <c r="CM174" s="42">
        <f>'[1]побудинковий звіт'!CM174+'[2]побудинковий звіт'!CM174-'[3]побудинковий звіт'!CM174</f>
        <v>0</v>
      </c>
      <c r="CN174" s="56">
        <f t="shared" si="201"/>
        <v>0</v>
      </c>
      <c r="CO174" s="42">
        <f t="shared" si="181"/>
        <v>1291.5092372262573</v>
      </c>
      <c r="CP174" s="43">
        <f t="shared" si="202"/>
        <v>523.73148660762706</v>
      </c>
      <c r="CQ174" s="56">
        <f t="shared" si="203"/>
        <v>-767.77775061863019</v>
      </c>
      <c r="CR174" s="78">
        <f t="shared" si="182"/>
        <v>13546.572044750459</v>
      </c>
      <c r="CS174" s="5">
        <f t="shared" si="182"/>
        <v>8861.4807675624343</v>
      </c>
      <c r="CT174" s="56">
        <f t="shared" si="204"/>
        <v>-4685.0912771880248</v>
      </c>
      <c r="CU174" s="87">
        <f t="shared" si="205"/>
        <v>16255.88645370055</v>
      </c>
      <c r="CV174" s="70">
        <f t="shared" si="206"/>
        <v>10633.776921074921</v>
      </c>
      <c r="CW174" s="37">
        <f t="shared" si="207"/>
        <v>-5622.1095326256291</v>
      </c>
      <c r="CX174" s="42">
        <f>'[1]побудинковий звіт'!CX174+'[2]побудинковий звіт'!CX174-'[3]побудинковий звіт'!CX174</f>
        <v>375.27354629944875</v>
      </c>
      <c r="CY174" s="42">
        <f>'[1]побудинковий звіт'!CY174+'[2]побудинковий звіт'!CY174-'[3]побудинковий звіт'!CY174</f>
        <v>5997.3830789250796</v>
      </c>
      <c r="CZ174" s="56">
        <f t="shared" si="208"/>
        <v>5622.1095326256309</v>
      </c>
      <c r="DA174" s="264">
        <f>'[4]побудинковий звіт'!DA174</f>
        <v>-2518.3952210132575</v>
      </c>
      <c r="DB174" s="2">
        <v>3</v>
      </c>
      <c r="DC174" s="717">
        <f>'[4]побудинковий звіт'!DC174</f>
        <v>1412.3</v>
      </c>
      <c r="DD174" s="717">
        <f>'[4]побудинковий звіт'!DD174</f>
        <v>0</v>
      </c>
      <c r="DE174" s="717">
        <f>'[4]побудинковий звіт'!DE174</f>
        <v>26.369999999999891</v>
      </c>
      <c r="DF174" s="717">
        <f>'[4]побудинковий звіт'!DF174</f>
        <v>0</v>
      </c>
      <c r="DG174" s="787">
        <v>7312.708589057911</v>
      </c>
      <c r="DH174" s="761">
        <f t="shared" si="171"/>
        <v>199573.91999999998</v>
      </c>
      <c r="DI174" s="784"/>
      <c r="DJ174" s="5"/>
      <c r="DK174" s="317">
        <f>VLOOKUP($A174,ціни!$A$4:$G$401,5)</f>
        <v>3.6780811131855971</v>
      </c>
      <c r="DL174" s="317"/>
      <c r="DM174" s="317">
        <f>VLOOKUP($A174,ціни!$A$4:$G$401,7)</f>
        <v>3.6218949365235571</v>
      </c>
      <c r="DN174" s="30">
        <f t="shared" si="209"/>
        <v>0</v>
      </c>
      <c r="DO174" s="30">
        <f t="shared" si="210"/>
        <v>0</v>
      </c>
      <c r="DP174" s="316">
        <f t="shared" si="162"/>
        <v>0</v>
      </c>
      <c r="DQ174" s="104"/>
      <c r="DR174" s="30">
        <f>VLOOKUP(A174,'ДЗ нас '!$A$1:$C$359,2)</f>
        <v>1385.93</v>
      </c>
      <c r="DS174" s="748"/>
      <c r="DT174" s="30">
        <f t="shared" si="163"/>
        <v>1385.93</v>
      </c>
      <c r="DU174" s="257">
        <f>VLOOKUP(A174,'новий кошторис с 01.06'!$A$4:$AI$399,35)*1.2</f>
        <v>1379.0410341555967</v>
      </c>
      <c r="DV174" s="30">
        <f t="shared" si="164"/>
        <v>6.8889658444034012</v>
      </c>
      <c r="DW174" s="930">
        <f>'[5]побудинковий звіт'!DW174+'[6]побудинковий звіт'!DW174</f>
        <v>0</v>
      </c>
      <c r="DY174" s="5">
        <f t="shared" si="167"/>
        <v>7518.6040078781707</v>
      </c>
      <c r="DZ174" s="5">
        <f t="shared" si="168"/>
        <v>3465.6</v>
      </c>
      <c r="EA174" s="752">
        <f t="shared" si="172"/>
        <v>26.369999999999891</v>
      </c>
      <c r="EC174" s="592">
        <f t="shared" si="169"/>
        <v>60414.35326347097</v>
      </c>
      <c r="EE174" s="758">
        <v>5977</v>
      </c>
      <c r="EF174" s="738">
        <f t="shared" si="170"/>
        <v>13289.708589057911</v>
      </c>
      <c r="EH174" s="813">
        <v>1522.221750305378</v>
      </c>
    </row>
    <row r="175" spans="1:138" x14ac:dyDescent="0.3">
      <c r="A175" s="328">
        <v>150000768</v>
      </c>
      <c r="B175" s="44" t="s">
        <v>626</v>
      </c>
      <c r="C175" s="45" t="s">
        <v>116</v>
      </c>
      <c r="D175" s="45" t="s">
        <v>116</v>
      </c>
      <c r="E175" s="40">
        <f t="shared" si="175"/>
        <v>0</v>
      </c>
      <c r="F175" s="490"/>
      <c r="G175" s="30"/>
      <c r="H175" s="30">
        <v>0</v>
      </c>
      <c r="I175" s="42">
        <f>'[1]побудинковий звіт'!I175+'[2]побудинковий звіт'!I175-'[3]побудинковий звіт'!I175</f>
        <v>0</v>
      </c>
      <c r="J175" s="42">
        <f>'[1]побудинковий звіт'!J175+'[2]побудинковий звіт'!J175-'[3]побудинковий звіт'!J175</f>
        <v>0</v>
      </c>
      <c r="K175" s="56">
        <f t="shared" si="183"/>
        <v>0</v>
      </c>
      <c r="L175" s="42">
        <f>'[1]побудинковий звіт'!L175+'[2]побудинковий звіт'!L175-'[3]побудинковий звіт'!L175</f>
        <v>0</v>
      </c>
      <c r="M175" s="42">
        <f>'[1]побудинковий звіт'!M175+'[2]побудинковий звіт'!M175-'[3]побудинковий звіт'!M175</f>
        <v>0</v>
      </c>
      <c r="N175" s="56">
        <f t="shared" si="184"/>
        <v>0</v>
      </c>
      <c r="O175" s="42">
        <f>'[1]побудинковий звіт'!O175+'[2]побудинковий звіт'!O175-'[3]побудинковий звіт'!O175</f>
        <v>0</v>
      </c>
      <c r="P175" s="42">
        <f>'[1]побудинковий звіт'!P175+'[2]побудинковий звіт'!P175-'[3]побудинковий звіт'!P175</f>
        <v>0</v>
      </c>
      <c r="Q175" s="56">
        <f t="shared" si="185"/>
        <v>0</v>
      </c>
      <c r="R175" s="42">
        <f>'[1]побудинковий звіт'!R175+'[2]побудинковий звіт'!R175-'[3]побудинковий звіт'!R175</f>
        <v>0</v>
      </c>
      <c r="S175" s="42">
        <f>'[1]побудинковий звіт'!S175+'[2]побудинковий звіт'!S175-'[3]побудинковий звіт'!S175</f>
        <v>0</v>
      </c>
      <c r="T175" s="56">
        <f t="shared" si="186"/>
        <v>0</v>
      </c>
      <c r="U175" s="42">
        <f>'[1]побудинковий звіт'!U175+'[2]побудинковий звіт'!U175-'[3]побудинковий звіт'!U175</f>
        <v>0</v>
      </c>
      <c r="V175" s="42">
        <f>'[1]побудинковий звіт'!V175+'[2]побудинковий звіт'!V175-'[3]побудинковий звіт'!V175</f>
        <v>0</v>
      </c>
      <c r="W175" s="56">
        <f t="shared" si="187"/>
        <v>0</v>
      </c>
      <c r="X175" s="42">
        <f>'[1]побудинковий звіт'!X175+'[2]побудинковий звіт'!X175-'[3]побудинковий звіт'!X175</f>
        <v>0</v>
      </c>
      <c r="Y175" s="42">
        <f>'[1]побудинковий звіт'!Y175+'[2]побудинковий звіт'!Y175-'[3]побудинковий звіт'!Y175</f>
        <v>0</v>
      </c>
      <c r="Z175" s="56">
        <f t="shared" si="188"/>
        <v>0</v>
      </c>
      <c r="AA175" s="42">
        <f>'[1]побудинковий звіт'!AA175+'[2]побудинковий звіт'!AA175-'[3]побудинковий звіт'!AA175</f>
        <v>0</v>
      </c>
      <c r="AB175" s="42">
        <f>'[1]побудинковий звіт'!AB175+'[2]побудинковий звіт'!AB175-'[3]побудинковий звіт'!AB175</f>
        <v>0</v>
      </c>
      <c r="AC175" s="56">
        <f t="shared" si="189"/>
        <v>0</v>
      </c>
      <c r="AD175" s="42">
        <f>'[1]побудинковий звіт'!AD175+'[2]побудинковий звіт'!AD175-'[3]побудинковий звіт'!AD175</f>
        <v>0</v>
      </c>
      <c r="AE175" s="42">
        <f>'[1]побудинковий звіт'!AE175+'[2]побудинковий звіт'!AE175-'[3]побудинковий звіт'!AE175</f>
        <v>79.468037510493346</v>
      </c>
      <c r="AF175" s="37">
        <f t="shared" si="190"/>
        <v>79.468037510493346</v>
      </c>
      <c r="AG175" s="87">
        <f t="shared" si="180"/>
        <v>0</v>
      </c>
      <c r="AH175" s="57">
        <f t="shared" si="180"/>
        <v>79.468037510493346</v>
      </c>
      <c r="AI175" s="56">
        <f t="shared" si="191"/>
        <v>79.468037510493346</v>
      </c>
      <c r="AJ175" s="42">
        <f>'[1]побудинковий звіт'!AJ175+'[2]побудинковий звіт'!AJ175-'[3]побудинковий звіт'!AJ175</f>
        <v>0</v>
      </c>
      <c r="AK175" s="42">
        <f>'[1]побудинковий звіт'!AK175+'[2]побудинковий звіт'!AK175-'[3]побудинковий звіт'!AK175</f>
        <v>0</v>
      </c>
      <c r="AL175" s="56">
        <f t="shared" si="192"/>
        <v>0</v>
      </c>
      <c r="AM175" s="42">
        <f>'[1]побудинковий звіт'!AM175+'[2]побудинковий звіт'!AM175-'[3]побудинковий звіт'!AM175</f>
        <v>0</v>
      </c>
      <c r="AN175" s="42">
        <f>'[1]побудинковий звіт'!AN175+'[2]побудинковий звіт'!AN175-'[3]побудинковий звіт'!AN175</f>
        <v>0</v>
      </c>
      <c r="AO175" s="56">
        <f t="shared" si="193"/>
        <v>0</v>
      </c>
      <c r="AP175" s="42">
        <f>'[1]побудинковий звіт'!AP175+'[2]побудинковий звіт'!AP175-'[3]побудинковий звіт'!AP175</f>
        <v>189.40352857872992</v>
      </c>
      <c r="AQ175" s="42">
        <f>'[1]побудинковий звіт'!AQ175+'[2]побудинковий звіт'!AQ175-'[3]побудинковий звіт'!AQ175</f>
        <v>93.429126284801754</v>
      </c>
      <c r="AR175" s="56">
        <f t="shared" si="194"/>
        <v>-95.974402293928165</v>
      </c>
      <c r="AS175" s="42">
        <f>'[1]побудинковий звіт'!AS175+'[2]побудинковий звіт'!AS175-'[3]побудинковий звіт'!AS175</f>
        <v>2097.0382102120825</v>
      </c>
      <c r="AT175" s="42">
        <f>'[1]побудинковий звіт'!AT175+'[2]побудинковий звіт'!AT175-'[3]побудинковий звіт'!AT175</f>
        <v>0</v>
      </c>
      <c r="AU175" s="58">
        <f t="shared" si="211"/>
        <v>-2097.0382102120825</v>
      </c>
      <c r="AV175" s="42">
        <f>'[1]побудинковий звіт'!AV175+'[2]побудинковий звіт'!AV175-'[3]побудинковий звіт'!AV175</f>
        <v>0</v>
      </c>
      <c r="AW175" s="42">
        <f>'[1]побудинковий звіт'!AW175+'[2]побудинковий звіт'!AW175-'[3]побудинковий звіт'!AW175</f>
        <v>0</v>
      </c>
      <c r="AX175" s="59">
        <f t="shared" si="212"/>
        <v>0</v>
      </c>
      <c r="AY175" s="42">
        <f>'[1]побудинковий звіт'!AY175+'[2]побудинковий звіт'!AY175-'[3]побудинковий звіт'!AY175</f>
        <v>0</v>
      </c>
      <c r="AZ175" s="42">
        <f>'[1]побудинковий звіт'!AZ175+'[2]побудинковий звіт'!AZ175-'[3]побудинковий звіт'!AZ175</f>
        <v>0</v>
      </c>
      <c r="BA175" s="37">
        <f t="shared" si="213"/>
        <v>0</v>
      </c>
      <c r="BB175" s="42">
        <f>'[1]побудинковий звіт'!BB175+'[2]побудинковий звіт'!BB175-'[3]побудинковий звіт'!BB175</f>
        <v>0</v>
      </c>
      <c r="BC175" s="42">
        <f>'[1]побудинковий звіт'!BC175+'[2]побудинковий звіт'!BC175-'[3]побудинковий звіт'!BC175</f>
        <v>0</v>
      </c>
      <c r="BD175" s="59">
        <f t="shared" si="214"/>
        <v>0</v>
      </c>
      <c r="BE175" s="42">
        <f>'[1]побудинковий звіт'!BE175+'[2]побудинковий звіт'!BE175-'[3]побудинковий звіт'!BE175</f>
        <v>0</v>
      </c>
      <c r="BF175" s="42">
        <f>'[1]побудинковий звіт'!BF175+'[2]побудинковий звіт'!BF175-'[3]побудинковий звіт'!BF175</f>
        <v>0</v>
      </c>
      <c r="BG175" s="39">
        <f t="shared" si="215"/>
        <v>0</v>
      </c>
      <c r="BH175" s="42">
        <f>'[1]побудинковий звіт'!BH175+'[2]побудинковий звіт'!BH175-'[3]побудинковий звіт'!BH175</f>
        <v>0</v>
      </c>
      <c r="BI175" s="42">
        <f>'[1]побудинковий звіт'!BI175+'[2]побудинковий звіт'!BI175-'[3]побудинковий звіт'!BI175</f>
        <v>0</v>
      </c>
      <c r="BJ175" s="59">
        <f t="shared" si="216"/>
        <v>0</v>
      </c>
      <c r="BK175" s="42">
        <f>'[1]побудинковий звіт'!BK175+'[2]побудинковий звіт'!BK175-'[3]побудинковий звіт'!BK175</f>
        <v>0</v>
      </c>
      <c r="BL175" s="42">
        <f>'[1]побудинковий звіт'!BL175+'[2]побудинковий звіт'!BL175-'[3]побудинковий звіт'!BL175</f>
        <v>0</v>
      </c>
      <c r="BM175" s="39">
        <f t="shared" si="217"/>
        <v>0</v>
      </c>
      <c r="BN175" s="42">
        <f>'[1]побудинковий звіт'!BN175+'[2]побудинковий звіт'!BN175-'[3]побудинковий звіт'!BN175</f>
        <v>0</v>
      </c>
      <c r="BO175" s="42">
        <f>'[1]побудинковий звіт'!BO175+'[2]побудинковий звіт'!BO175-'[3]побудинковий звіт'!BO175</f>
        <v>0</v>
      </c>
      <c r="BP175" s="59">
        <f t="shared" si="218"/>
        <v>0</v>
      </c>
      <c r="BQ175" s="87">
        <f t="shared" si="176"/>
        <v>0</v>
      </c>
      <c r="BR175" s="43">
        <f t="shared" si="220"/>
        <v>0</v>
      </c>
      <c r="BS175" s="59">
        <f t="shared" si="219"/>
        <v>0</v>
      </c>
      <c r="BT175" s="42">
        <f>'[1]побудинковий звіт'!BT175+'[2]побудинковий звіт'!BT175-'[3]побудинковий звіт'!BT175</f>
        <v>0</v>
      </c>
      <c r="BU175" s="42">
        <f>'[1]побудинковий звіт'!BU175+'[2]побудинковий звіт'!BU175-'[3]побудинковий звіт'!BU175</f>
        <v>0</v>
      </c>
      <c r="BV175" s="56">
        <f t="shared" si="195"/>
        <v>0</v>
      </c>
      <c r="BW175" s="42">
        <f>'[1]побудинковий звіт'!BW175+'[2]побудинковий звіт'!BW175-'[3]побудинковий звіт'!BW175</f>
        <v>0</v>
      </c>
      <c r="BX175" s="42">
        <f>'[1]побудинковий звіт'!BX175+'[2]побудинковий звіт'!BX175-'[3]побудинковий звіт'!BX175</f>
        <v>3.8430648392998679</v>
      </c>
      <c r="BY175" s="56">
        <f t="shared" si="196"/>
        <v>3.8430648392998679</v>
      </c>
      <c r="BZ175" s="42">
        <f>'[1]побудинковий звіт'!BZ175+'[2]побудинковий звіт'!BZ175-'[3]побудинковий звіт'!BZ175</f>
        <v>0</v>
      </c>
      <c r="CA175" s="42">
        <f>'[1]побудинковий звіт'!CA175+'[2]побудинковий звіт'!CA175-'[3]побудинковий звіт'!CA175</f>
        <v>0</v>
      </c>
      <c r="CB175" s="56">
        <f t="shared" si="197"/>
        <v>0</v>
      </c>
      <c r="CC175" s="42">
        <f>'[1]побудинковий звіт'!CC175+'[2]побудинковий звіт'!CC175-'[3]побудинковий звіт'!CC175</f>
        <v>0</v>
      </c>
      <c r="CD175" s="42">
        <f>'[1]побудинковий звіт'!CD175+'[2]побудинковий звіт'!CD175-'[3]побудинковий звіт'!CD175</f>
        <v>0</v>
      </c>
      <c r="CE175" s="56">
        <f t="shared" si="198"/>
        <v>0</v>
      </c>
      <c r="CF175" s="42">
        <f>'[1]побудинковий звіт'!CF175+'[2]побудинковий звіт'!CF175-'[3]побудинковий звіт'!CF175</f>
        <v>0</v>
      </c>
      <c r="CG175" s="42">
        <f>'[1]побудинковий звіт'!CG175+'[2]побудинковий звіт'!CG175-'[3]побудинковий звіт'!CG175</f>
        <v>0</v>
      </c>
      <c r="CH175" s="56">
        <f t="shared" si="199"/>
        <v>0</v>
      </c>
      <c r="CI175" s="42">
        <f>'[1]побудинковий звіт'!CI175+'[2]побудинковий звіт'!CI175-'[3]побудинковий звіт'!CI175</f>
        <v>0</v>
      </c>
      <c r="CJ175" s="42">
        <f>'[1]побудинковий звіт'!CJ175+'[2]побудинковий звіт'!CJ175-'[3]побудинковий звіт'!CJ175</f>
        <v>0</v>
      </c>
      <c r="CK175" s="56">
        <f t="shared" si="200"/>
        <v>0</v>
      </c>
      <c r="CL175" s="42">
        <f>'[1]побудинковий звіт'!CL175+'[2]побудинковий звіт'!CL175-'[3]побудинковий звіт'!CL175</f>
        <v>0</v>
      </c>
      <c r="CM175" s="42">
        <f>'[1]побудинковий звіт'!CM175+'[2]побудинковий звіт'!CM175-'[3]побудинковий звіт'!CM175</f>
        <v>0</v>
      </c>
      <c r="CN175" s="56">
        <f t="shared" si="201"/>
        <v>0</v>
      </c>
      <c r="CO175" s="42">
        <f t="shared" si="181"/>
        <v>0</v>
      </c>
      <c r="CP175" s="43">
        <f t="shared" si="202"/>
        <v>0</v>
      </c>
      <c r="CQ175" s="56">
        <f t="shared" si="203"/>
        <v>0</v>
      </c>
      <c r="CR175" s="78">
        <f t="shared" si="182"/>
        <v>2286.4417387908125</v>
      </c>
      <c r="CS175" s="5">
        <f t="shared" si="182"/>
        <v>176.74022863459498</v>
      </c>
      <c r="CT175" s="56">
        <f t="shared" si="204"/>
        <v>-2109.7015101562174</v>
      </c>
      <c r="CU175" s="87">
        <f t="shared" si="205"/>
        <v>2743.7300865489747</v>
      </c>
      <c r="CV175" s="70">
        <f t="shared" si="206"/>
        <v>212.08827436151398</v>
      </c>
      <c r="CW175" s="37">
        <f t="shared" si="207"/>
        <v>-2531.6418121874608</v>
      </c>
      <c r="CX175" s="42">
        <f>'[1]побудинковий звіт'!CX175+'[2]побудинковий звіт'!CX175-'[3]побудинковий звіт'!CX175</f>
        <v>41.229913451025482</v>
      </c>
      <c r="CY175" s="42">
        <f>'[1]побудинковий звіт'!CY175+'[2]побудинковий звіт'!CY175-'[3]побудинковий звіт'!CY175</f>
        <v>2572.8717256384857</v>
      </c>
      <c r="CZ175" s="56">
        <f t="shared" si="208"/>
        <v>2531.6418121874603</v>
      </c>
      <c r="DA175" s="264">
        <f>'[4]побудинковий звіт'!DA175</f>
        <v>-89.158216270938738</v>
      </c>
      <c r="DB175" s="2">
        <v>3</v>
      </c>
      <c r="DC175" s="717">
        <f>'[4]побудинковий звіт'!DC175</f>
        <v>232.08</v>
      </c>
      <c r="DD175" s="717">
        <f>'[4]побудинковий звіт'!DD175</f>
        <v>0</v>
      </c>
      <c r="DE175" s="717">
        <f>'[4]побудинковий звіт'!DE175</f>
        <v>0</v>
      </c>
      <c r="DF175" s="717">
        <f>'[4]побудинковий звіт'!DF175</f>
        <v>0</v>
      </c>
      <c r="DG175" s="787">
        <v>3571.4559843674188</v>
      </c>
      <c r="DH175" s="761">
        <f t="shared" si="171"/>
        <v>33419.520000000004</v>
      </c>
      <c r="DI175" s="784"/>
      <c r="DJ175" s="5"/>
      <c r="DK175" s="317">
        <f>VLOOKUP($A175,ціни!$A$4:$G$401,5)</f>
        <v>1.945296198552116</v>
      </c>
      <c r="DL175" s="317"/>
      <c r="DM175" s="317">
        <f>VLOOKUP($A175,ціни!$A$4:$G$401,7)</f>
        <v>1.945296198552116</v>
      </c>
      <c r="DN175" s="30">
        <f t="shared" si="209"/>
        <v>0</v>
      </c>
      <c r="DO175" s="30">
        <f t="shared" si="210"/>
        <v>0</v>
      </c>
      <c r="DP175" s="316">
        <f t="shared" si="162"/>
        <v>0</v>
      </c>
      <c r="DQ175" s="104"/>
      <c r="DR175" s="30">
        <f>VLOOKUP(A175,'ДЗ нас '!$A$1:$C$359,2)</f>
        <v>232.08</v>
      </c>
      <c r="DS175" s="748"/>
      <c r="DT175" s="30">
        <f t="shared" si="163"/>
        <v>232.08</v>
      </c>
      <c r="DU175" s="257">
        <f>VLOOKUP(A175,'новий кошторис с 01.06'!$A$4:$AI$399,35)*1.2</f>
        <v>232.75976900890467</v>
      </c>
      <c r="DV175" s="30">
        <f t="shared" si="164"/>
        <v>-0.67976900890465686</v>
      </c>
      <c r="DW175" s="930">
        <f>'[5]побудинковий звіт'!DW175+'[6]побудинковий звіт'!DW175</f>
        <v>0</v>
      </c>
      <c r="DY175" s="5">
        <f t="shared" si="167"/>
        <v>2516.4458522544987</v>
      </c>
      <c r="DZ175" s="5">
        <f t="shared" si="168"/>
        <v>0</v>
      </c>
      <c r="EA175" s="752">
        <f t="shared" si="172"/>
        <v>0</v>
      </c>
      <c r="EC175" s="592">
        <f t="shared" si="169"/>
        <v>25164.458522544992</v>
      </c>
      <c r="EE175" s="758">
        <v>475</v>
      </c>
      <c r="EF175" s="738">
        <f t="shared" si="170"/>
        <v>4046.4559843674188</v>
      </c>
      <c r="EH175" s="813">
        <v>2081.1306584531567</v>
      </c>
    </row>
    <row r="176" spans="1:138" x14ac:dyDescent="0.3">
      <c r="A176" s="328">
        <v>150000763</v>
      </c>
      <c r="B176" s="44" t="s">
        <v>627</v>
      </c>
      <c r="C176" s="45" t="s">
        <v>117</v>
      </c>
      <c r="D176" s="45" t="s">
        <v>117</v>
      </c>
      <c r="E176" s="40">
        <f t="shared" si="175"/>
        <v>137.30000000000001</v>
      </c>
      <c r="F176" s="490">
        <v>137.30000000000001</v>
      </c>
      <c r="G176" s="30"/>
      <c r="H176" s="30">
        <v>0</v>
      </c>
      <c r="I176" s="42">
        <f>'[1]побудинковий звіт'!I176+'[2]побудинковий звіт'!I176-'[3]побудинковий звіт'!I176</f>
        <v>0</v>
      </c>
      <c r="J176" s="42">
        <f>'[1]побудинковий звіт'!J176+'[2]побудинковий звіт'!J176-'[3]побудинковий звіт'!J176</f>
        <v>0</v>
      </c>
      <c r="K176" s="56">
        <f t="shared" si="183"/>
        <v>0</v>
      </c>
      <c r="L176" s="42">
        <f>'[1]побудинковий звіт'!L176+'[2]побудинковий звіт'!L176-'[3]побудинковий звіт'!L176</f>
        <v>0</v>
      </c>
      <c r="M176" s="42">
        <f>'[1]побудинковий звіт'!M176+'[2]побудинковий звіт'!M176-'[3]побудинковий звіт'!M176</f>
        <v>0</v>
      </c>
      <c r="N176" s="56">
        <f t="shared" si="184"/>
        <v>0</v>
      </c>
      <c r="O176" s="42">
        <f>'[1]побудинковий звіт'!O176+'[2]побудинковий звіт'!O176-'[3]побудинковий звіт'!O176</f>
        <v>0</v>
      </c>
      <c r="P176" s="42">
        <f>'[1]побудинковий звіт'!P176+'[2]побудинковий звіт'!P176-'[3]побудинковий звіт'!P176</f>
        <v>0</v>
      </c>
      <c r="Q176" s="56">
        <f t="shared" si="185"/>
        <v>0</v>
      </c>
      <c r="R176" s="42">
        <f>'[1]побудинковий звіт'!R176+'[2]побудинковий звіт'!R176-'[3]побудинковий звіт'!R176</f>
        <v>0</v>
      </c>
      <c r="S176" s="42">
        <f>'[1]побудинковий звіт'!S176+'[2]побудинковий звіт'!S176-'[3]побудинковий звіт'!S176</f>
        <v>0</v>
      </c>
      <c r="T176" s="56">
        <f t="shared" si="186"/>
        <v>0</v>
      </c>
      <c r="U176" s="42">
        <f>'[1]побудинковий звіт'!U176+'[2]побудинковий звіт'!U176-'[3]побудинковий звіт'!U176</f>
        <v>0</v>
      </c>
      <c r="V176" s="42">
        <f>'[1]побудинковий звіт'!V176+'[2]побудинковий звіт'!V176-'[3]побудинковий звіт'!V176</f>
        <v>0</v>
      </c>
      <c r="W176" s="56">
        <f t="shared" si="187"/>
        <v>0</v>
      </c>
      <c r="X176" s="42">
        <f>'[1]побудинковий звіт'!X176+'[2]побудинковий звіт'!X176-'[3]побудинковий звіт'!X176</f>
        <v>0</v>
      </c>
      <c r="Y176" s="42">
        <f>'[1]побудинковий звіт'!Y176+'[2]побудинковий звіт'!Y176-'[3]побудинковий звіт'!Y176</f>
        <v>0</v>
      </c>
      <c r="Z176" s="56">
        <f t="shared" si="188"/>
        <v>0</v>
      </c>
      <c r="AA176" s="42">
        <f>'[1]побудинковий звіт'!AA176+'[2]побудинковий звіт'!AA176-'[3]побудинковий звіт'!AA176</f>
        <v>0</v>
      </c>
      <c r="AB176" s="42">
        <f>'[1]побудинковий звіт'!AB176+'[2]побудинковий звіт'!AB176-'[3]побудинковий звіт'!AB176</f>
        <v>0</v>
      </c>
      <c r="AC176" s="56">
        <f t="shared" si="189"/>
        <v>0</v>
      </c>
      <c r="AD176" s="42">
        <f>'[1]побудинковий звіт'!AD176+'[2]побудинковий звіт'!AD176-'[3]побудинковий звіт'!AD176</f>
        <v>0</v>
      </c>
      <c r="AE176" s="42">
        <f>'[1]побудинковий звіт'!AE176+'[2]побудинковий звіт'!AE176-'[3]побудинковий звіт'!AE176</f>
        <v>121.76661573275931</v>
      </c>
      <c r="AF176" s="37">
        <f t="shared" si="190"/>
        <v>121.76661573275931</v>
      </c>
      <c r="AG176" s="87">
        <f t="shared" si="180"/>
        <v>0</v>
      </c>
      <c r="AH176" s="57">
        <f t="shared" si="180"/>
        <v>121.76661573275931</v>
      </c>
      <c r="AI176" s="56">
        <f t="shared" si="191"/>
        <v>121.76661573275931</v>
      </c>
      <c r="AJ176" s="42">
        <f>'[1]побудинковий звіт'!AJ176+'[2]побудинковий звіт'!AJ176-'[3]побудинковий звіт'!AJ176</f>
        <v>0</v>
      </c>
      <c r="AK176" s="42">
        <f>'[1]побудинковий звіт'!AK176+'[2]побудинковий звіт'!AK176-'[3]побудинковий звіт'!AK176</f>
        <v>0</v>
      </c>
      <c r="AL176" s="56">
        <f t="shared" si="192"/>
        <v>0</v>
      </c>
      <c r="AM176" s="42">
        <f>'[1]побудинковий звіт'!AM176+'[2]побудинковий звіт'!AM176-'[3]побудинковий звіт'!AM176</f>
        <v>0</v>
      </c>
      <c r="AN176" s="42">
        <f>'[1]побудинковий звіт'!AN176+'[2]побудинковий звіт'!AN176-'[3]побудинковий звіт'!AN176</f>
        <v>0</v>
      </c>
      <c r="AO176" s="56">
        <f t="shared" si="193"/>
        <v>0</v>
      </c>
      <c r="AP176" s="42">
        <f>'[1]побудинковий звіт'!AP176+'[2]побудинковий звіт'!AP176-'[3]побудинковий звіт'!AP176</f>
        <v>236.75441072341246</v>
      </c>
      <c r="AQ176" s="42">
        <f>'[1]побудинковий звіт'!AQ176+'[2]побудинковий звіт'!AQ176-'[3]побудинковий звіт'!AQ176</f>
        <v>116.78640785600219</v>
      </c>
      <c r="AR176" s="56">
        <f t="shared" si="194"/>
        <v>-119.96800286741028</v>
      </c>
      <c r="AS176" s="42">
        <f>'[1]побудинковий звіт'!AS176+'[2]побудинковий звіт'!AS176-'[3]побудинковий звіт'!AS176</f>
        <v>2407.8772772934531</v>
      </c>
      <c r="AT176" s="42">
        <f>'[1]побудинковий звіт'!AT176+'[2]побудинковий звіт'!AT176-'[3]побудинковий звіт'!AT176</f>
        <v>0</v>
      </c>
      <c r="AU176" s="58">
        <f t="shared" si="211"/>
        <v>-2407.8772772934531</v>
      </c>
      <c r="AV176" s="42">
        <f>'[1]побудинковий звіт'!AV176+'[2]побудинковий звіт'!AV176-'[3]побудинковий звіт'!AV176</f>
        <v>0</v>
      </c>
      <c r="AW176" s="42">
        <f>'[1]побудинковий звіт'!AW176+'[2]побудинковий звіт'!AW176-'[3]побудинковий звіт'!AW176</f>
        <v>0</v>
      </c>
      <c r="AX176" s="59">
        <f t="shared" si="212"/>
        <v>0</v>
      </c>
      <c r="AY176" s="42">
        <f>'[1]побудинковий звіт'!AY176+'[2]побудинковий звіт'!AY176-'[3]побудинковий звіт'!AY176</f>
        <v>0</v>
      </c>
      <c r="AZ176" s="42">
        <f>'[1]побудинковий звіт'!AZ176+'[2]побудинковий звіт'!AZ176-'[3]побудинковий звіт'!AZ176</f>
        <v>0</v>
      </c>
      <c r="BA176" s="37">
        <f t="shared" si="213"/>
        <v>0</v>
      </c>
      <c r="BB176" s="42">
        <f>'[1]побудинковий звіт'!BB176+'[2]побудинковий звіт'!BB176-'[3]побудинковий звіт'!BB176</f>
        <v>0</v>
      </c>
      <c r="BC176" s="42">
        <f>'[1]побудинковий звіт'!BC176+'[2]побудинковий звіт'!BC176-'[3]побудинковий звіт'!BC176</f>
        <v>0</v>
      </c>
      <c r="BD176" s="59">
        <f t="shared" si="214"/>
        <v>0</v>
      </c>
      <c r="BE176" s="42">
        <f>'[1]побудинковий звіт'!BE176+'[2]побудинковий звіт'!BE176-'[3]побудинковий звіт'!BE176</f>
        <v>0</v>
      </c>
      <c r="BF176" s="42">
        <f>'[1]побудинковий звіт'!BF176+'[2]побудинковий звіт'!BF176-'[3]побудинковий звіт'!BF176</f>
        <v>0</v>
      </c>
      <c r="BG176" s="39">
        <f t="shared" si="215"/>
        <v>0</v>
      </c>
      <c r="BH176" s="42">
        <f>'[1]побудинковий звіт'!BH176+'[2]побудинковий звіт'!BH176-'[3]побудинковий звіт'!BH176</f>
        <v>0</v>
      </c>
      <c r="BI176" s="42">
        <f>'[1]побудинковий звіт'!BI176+'[2]побудинковий звіт'!BI176-'[3]побудинковий звіт'!BI176</f>
        <v>0</v>
      </c>
      <c r="BJ176" s="59">
        <f t="shared" si="216"/>
        <v>0</v>
      </c>
      <c r="BK176" s="42">
        <f>'[1]побудинковий звіт'!BK176+'[2]побудинковий звіт'!BK176-'[3]побудинковий звіт'!BK176</f>
        <v>0</v>
      </c>
      <c r="BL176" s="42">
        <f>'[1]побудинковий звіт'!BL176+'[2]побудинковий звіт'!BL176-'[3]побудинковий звіт'!BL176</f>
        <v>0</v>
      </c>
      <c r="BM176" s="39">
        <f t="shared" si="217"/>
        <v>0</v>
      </c>
      <c r="BN176" s="42">
        <f>'[1]побудинковий звіт'!BN176+'[2]побудинковий звіт'!BN176-'[3]побудинковий звіт'!BN176</f>
        <v>0</v>
      </c>
      <c r="BO176" s="42">
        <f>'[1]побудинковий звіт'!BO176+'[2]побудинковий звіт'!BO176-'[3]побудинковий звіт'!BO176</f>
        <v>0</v>
      </c>
      <c r="BP176" s="59">
        <f t="shared" si="218"/>
        <v>0</v>
      </c>
      <c r="BQ176" s="87">
        <f t="shared" si="176"/>
        <v>0</v>
      </c>
      <c r="BR176" s="43">
        <f t="shared" si="220"/>
        <v>0</v>
      </c>
      <c r="BS176" s="59">
        <f t="shared" si="219"/>
        <v>0</v>
      </c>
      <c r="BT176" s="42">
        <f>'[1]побудинковий звіт'!BT176+'[2]побудинковий звіт'!BT176-'[3]побудинковий звіт'!BT176</f>
        <v>239.27010754197514</v>
      </c>
      <c r="BU176" s="42">
        <f>'[1]побудинковий звіт'!BU176+'[2]побудинковий звіт'!BU176-'[3]побудинковий звіт'!BU176</f>
        <v>419.01937336315723</v>
      </c>
      <c r="BV176" s="56">
        <f t="shared" si="195"/>
        <v>179.74926582118209</v>
      </c>
      <c r="BW176" s="42">
        <f>'[1]побудинковий звіт'!BW176+'[2]побудинковий звіт'!BW176-'[3]побудинковий звіт'!BW176</f>
        <v>0</v>
      </c>
      <c r="BX176" s="42">
        <f>'[1]побудинковий звіт'!BX176+'[2]побудинковий звіт'!BX176-'[3]побудинковий звіт'!BX176</f>
        <v>5.8886190496564614</v>
      </c>
      <c r="BY176" s="56">
        <f t="shared" si="196"/>
        <v>5.8886190496564614</v>
      </c>
      <c r="BZ176" s="42">
        <f>'[1]побудинковий звіт'!BZ176+'[2]побудинковий звіт'!BZ176-'[3]побудинковий звіт'!BZ176</f>
        <v>0</v>
      </c>
      <c r="CA176" s="42">
        <f>'[1]побудинковий звіт'!CA176+'[2]побудинковий звіт'!CA176-'[3]побудинковий звіт'!CA176</f>
        <v>99.546383724330582</v>
      </c>
      <c r="CB176" s="56">
        <f t="shared" si="197"/>
        <v>99.546383724330582</v>
      </c>
      <c r="CC176" s="42">
        <f>'[1]побудинковий звіт'!CC176+'[2]побудинковий звіт'!CC176-'[3]побудинковий звіт'!CC176</f>
        <v>0</v>
      </c>
      <c r="CD176" s="42">
        <f>'[1]побудинковий звіт'!CD176+'[2]побудинковий звіт'!CD176-'[3]побудинковий звіт'!CD176</f>
        <v>0</v>
      </c>
      <c r="CE176" s="56">
        <f t="shared" si="198"/>
        <v>0</v>
      </c>
      <c r="CF176" s="42">
        <f>'[1]побудинковий звіт'!CF176+'[2]побудинковий звіт'!CF176-'[3]побудинковий звіт'!CF176</f>
        <v>0</v>
      </c>
      <c r="CG176" s="42">
        <f>'[1]побудинковий звіт'!CG176+'[2]побудинковий звіт'!CG176-'[3]побудинковий звіт'!CG176</f>
        <v>0</v>
      </c>
      <c r="CH176" s="56">
        <f t="shared" si="199"/>
        <v>0</v>
      </c>
      <c r="CI176" s="42">
        <f>'[1]побудинковий звіт'!CI176+'[2]побудинковий звіт'!CI176-'[3]побудинковий звіт'!CI176</f>
        <v>0</v>
      </c>
      <c r="CJ176" s="42">
        <f>'[1]побудинковий звіт'!CJ176+'[2]побудинковий звіт'!CJ176-'[3]побудинковий звіт'!CJ176</f>
        <v>0</v>
      </c>
      <c r="CK176" s="56">
        <f t="shared" si="200"/>
        <v>0</v>
      </c>
      <c r="CL176" s="42">
        <f>'[1]побудинковий звіт'!CL176+'[2]побудинковий звіт'!CL176-'[3]побудинковий звіт'!CL176</f>
        <v>0</v>
      </c>
      <c r="CM176" s="42">
        <f>'[1]побудинковий звіт'!CM176+'[2]побудинковий звіт'!CM176-'[3]побудинковий звіт'!CM176</f>
        <v>0</v>
      </c>
      <c r="CN176" s="56">
        <f t="shared" si="201"/>
        <v>0</v>
      </c>
      <c r="CO176" s="42">
        <f t="shared" si="181"/>
        <v>0</v>
      </c>
      <c r="CP176" s="43">
        <f t="shared" si="202"/>
        <v>0</v>
      </c>
      <c r="CQ176" s="56">
        <f t="shared" si="203"/>
        <v>0</v>
      </c>
      <c r="CR176" s="78">
        <f t="shared" si="182"/>
        <v>2883.9017955588406</v>
      </c>
      <c r="CS176" s="5">
        <f t="shared" si="182"/>
        <v>763.00739972590577</v>
      </c>
      <c r="CT176" s="56">
        <f t="shared" si="204"/>
        <v>-2120.8943958329346</v>
      </c>
      <c r="CU176" s="87">
        <f t="shared" si="205"/>
        <v>3460.6821546706087</v>
      </c>
      <c r="CV176" s="70">
        <f t="shared" si="206"/>
        <v>915.60887967108692</v>
      </c>
      <c r="CW176" s="37">
        <f t="shared" si="207"/>
        <v>-2545.0732749995218</v>
      </c>
      <c r="CX176" s="42">
        <f>'[1]побудинковий звіт'!CX176+'[2]побудинковий звіт'!CX176-'[3]побудинковий звіт'!CX176</f>
        <v>86.637845329390757</v>
      </c>
      <c r="CY176" s="42">
        <f>'[1]побудинковий звіт'!CY176+'[2]побудинковий звіт'!CY176-'[3]побудинковий звіт'!CY176</f>
        <v>2631.7111203289132</v>
      </c>
      <c r="CZ176" s="56">
        <f t="shared" si="208"/>
        <v>2545.0732749995223</v>
      </c>
      <c r="DA176" s="264">
        <f>'[4]побудинковий звіт'!DA176</f>
        <v>-7843.2015658036862</v>
      </c>
      <c r="DB176" s="2">
        <v>3</v>
      </c>
      <c r="DC176" s="717">
        <f>'[4]побудинковий звіт'!DC176</f>
        <v>1405.66</v>
      </c>
      <c r="DD176" s="717">
        <f>'[4]побудинковий звіт'!DD176</f>
        <v>0</v>
      </c>
      <c r="DE176" s="717">
        <f>'[4]побудинковий звіт'!DE176</f>
        <v>1110.0500000000002</v>
      </c>
      <c r="DF176" s="717">
        <f>'[4]побудинковий звіт'!DF176</f>
        <v>0</v>
      </c>
      <c r="DG176" s="787">
        <v>-4388.0210667606834</v>
      </c>
      <c r="DH176" s="761">
        <f t="shared" si="171"/>
        <v>42567.839999999997</v>
      </c>
      <c r="DI176" s="784"/>
      <c r="DJ176" s="5"/>
      <c r="DK176" s="317">
        <f>VLOOKUP($A176,ціни!$A$4:$G$401,5)</f>
        <v>1.6170674728926762</v>
      </c>
      <c r="DL176" s="317"/>
      <c r="DM176" s="317">
        <f>VLOOKUP($A176,ціни!$A$4:$G$401,7)</f>
        <v>1.6170674728926762</v>
      </c>
      <c r="DN176" s="30">
        <f t="shared" si="209"/>
        <v>222.02336402816445</v>
      </c>
      <c r="DO176" s="30">
        <f t="shared" si="210"/>
        <v>0</v>
      </c>
      <c r="DP176" s="316">
        <f t="shared" si="162"/>
        <v>222.02336402816445</v>
      </c>
      <c r="DQ176" s="104"/>
      <c r="DR176" s="30">
        <f>VLOOKUP(A176,'ДЗ нас '!$A$1:$C$359,2)</f>
        <v>295.61</v>
      </c>
      <c r="DS176" s="748"/>
      <c r="DT176" s="30">
        <f t="shared" si="163"/>
        <v>295.61</v>
      </c>
      <c r="DU176" s="257">
        <f>VLOOKUP(A176,'новий кошторис с 01.06'!$A$4:$AI$399,35)*1.2</f>
        <v>297.04188494256061</v>
      </c>
      <c r="DV176" s="30">
        <f t="shared" si="164"/>
        <v>-1.4318849425606004</v>
      </c>
      <c r="DW176" s="930">
        <f>'[5]побудинковий звіт'!DW176+'[6]побудинковий звіт'!DW176</f>
        <v>0</v>
      </c>
      <c r="DY176" s="5">
        <f t="shared" si="167"/>
        <v>2889.4527327521437</v>
      </c>
      <c r="DZ176" s="5">
        <f t="shared" si="168"/>
        <v>0</v>
      </c>
      <c r="EA176" s="752">
        <f t="shared" si="172"/>
        <v>1110.0500000000002</v>
      </c>
      <c r="EC176" s="592">
        <f t="shared" si="169"/>
        <v>28894.527327521435</v>
      </c>
      <c r="EE176" s="758">
        <v>641</v>
      </c>
      <c r="EF176" s="738">
        <f t="shared" si="170"/>
        <v>-3747.0210667606834</v>
      </c>
      <c r="EH176" s="813">
        <v>-5626.2283857547181</v>
      </c>
    </row>
    <row r="177" spans="1:138" x14ac:dyDescent="0.3">
      <c r="A177" s="328">
        <v>150000764</v>
      </c>
      <c r="B177" s="44" t="s">
        <v>628</v>
      </c>
      <c r="C177" s="45" t="s">
        <v>118</v>
      </c>
      <c r="D177" s="45" t="s">
        <v>118</v>
      </c>
      <c r="E177" s="40">
        <f t="shared" si="175"/>
        <v>211.6</v>
      </c>
      <c r="F177" s="490">
        <v>211.6</v>
      </c>
      <c r="G177" s="30"/>
      <c r="H177" s="30">
        <v>0</v>
      </c>
      <c r="I177" s="42">
        <f>'[1]побудинковий звіт'!I177+'[2]побудинковий звіт'!I177-'[3]побудинковий звіт'!I177</f>
        <v>0</v>
      </c>
      <c r="J177" s="42">
        <f>'[1]побудинковий звіт'!J177+'[2]побудинковий звіт'!J177-'[3]побудинковий звіт'!J177</f>
        <v>0</v>
      </c>
      <c r="K177" s="56">
        <f t="shared" si="183"/>
        <v>0</v>
      </c>
      <c r="L177" s="42">
        <f>'[1]побудинковий звіт'!L177+'[2]побудинковий звіт'!L177-'[3]побудинковий звіт'!L177</f>
        <v>0</v>
      </c>
      <c r="M177" s="42">
        <f>'[1]побудинковий звіт'!M177+'[2]побудинковий звіт'!M177-'[3]побудинковий звіт'!M177</f>
        <v>0</v>
      </c>
      <c r="N177" s="56">
        <f t="shared" si="184"/>
        <v>0</v>
      </c>
      <c r="O177" s="42">
        <f>'[1]побудинковий звіт'!O177+'[2]побудинковий звіт'!O177-'[3]побудинковий звіт'!O177</f>
        <v>0</v>
      </c>
      <c r="P177" s="42">
        <f>'[1]побудинковий звіт'!P177+'[2]побудинковий звіт'!P177-'[3]побудинковий звіт'!P177</f>
        <v>0</v>
      </c>
      <c r="Q177" s="56">
        <f t="shared" si="185"/>
        <v>0</v>
      </c>
      <c r="R177" s="42">
        <f>'[1]побудинковий звіт'!R177+'[2]побудинковий звіт'!R177-'[3]побудинковий звіт'!R177</f>
        <v>0</v>
      </c>
      <c r="S177" s="42">
        <f>'[1]побудинковий звіт'!S177+'[2]побудинковий звіт'!S177-'[3]побудинковий звіт'!S177</f>
        <v>0</v>
      </c>
      <c r="T177" s="56">
        <f t="shared" si="186"/>
        <v>0</v>
      </c>
      <c r="U177" s="42">
        <f>'[1]побудинковий звіт'!U177+'[2]побудинковий звіт'!U177-'[3]побудинковий звіт'!U177</f>
        <v>0</v>
      </c>
      <c r="V177" s="42">
        <f>'[1]побудинковий звіт'!V177+'[2]побудинковий звіт'!V177-'[3]побудинковий звіт'!V177</f>
        <v>0</v>
      </c>
      <c r="W177" s="56">
        <f t="shared" si="187"/>
        <v>0</v>
      </c>
      <c r="X177" s="42">
        <f>'[1]побудинковий звіт'!X177+'[2]побудинковий звіт'!X177-'[3]побудинковий звіт'!X177</f>
        <v>0</v>
      </c>
      <c r="Y177" s="42">
        <f>'[1]побудинковий звіт'!Y177+'[2]побудинковий звіт'!Y177-'[3]побудинковий звіт'!Y177</f>
        <v>0</v>
      </c>
      <c r="Z177" s="56">
        <f t="shared" si="188"/>
        <v>0</v>
      </c>
      <c r="AA177" s="42">
        <f>'[1]побудинковий звіт'!AA177+'[2]побудинковий звіт'!AA177-'[3]побудинковий звіт'!AA177</f>
        <v>0</v>
      </c>
      <c r="AB177" s="42">
        <f>'[1]побудинковий звіт'!AB177+'[2]побудинковий звіт'!AB177-'[3]побудинковий звіт'!AB177</f>
        <v>0</v>
      </c>
      <c r="AC177" s="56">
        <f t="shared" si="189"/>
        <v>0</v>
      </c>
      <c r="AD177" s="42">
        <f>'[1]побудинковий звіт'!AD177+'[2]побудинковий звіт'!AD177-'[3]побудинковий звіт'!AD177</f>
        <v>0</v>
      </c>
      <c r="AE177" s="42">
        <f>'[1]побудинковий звіт'!AE177+'[2]побудинковий звіт'!AE177-'[3]побудинковий звіт'!AE177</f>
        <v>152.5413293369906</v>
      </c>
      <c r="AF177" s="37">
        <f t="shared" si="190"/>
        <v>152.5413293369906</v>
      </c>
      <c r="AG177" s="87">
        <f t="shared" si="180"/>
        <v>0</v>
      </c>
      <c r="AH177" s="57">
        <f t="shared" si="180"/>
        <v>152.5413293369906</v>
      </c>
      <c r="AI177" s="56">
        <f t="shared" si="191"/>
        <v>152.5413293369906</v>
      </c>
      <c r="AJ177" s="42">
        <f>'[1]побудинковий звіт'!AJ177+'[2]побудинковий звіт'!AJ177-'[3]побудинковий звіт'!AJ177</f>
        <v>0</v>
      </c>
      <c r="AK177" s="42">
        <f>'[1]побудинковий звіт'!AK177+'[2]побудинковий звіт'!AK177-'[3]побудинковий звіт'!AK177</f>
        <v>0</v>
      </c>
      <c r="AL177" s="56">
        <f t="shared" si="192"/>
        <v>0</v>
      </c>
      <c r="AM177" s="42">
        <f>'[1]побудинковий звіт'!AM177+'[2]побудинковий звіт'!AM177-'[3]побудинковий звіт'!AM177</f>
        <v>0</v>
      </c>
      <c r="AN177" s="42">
        <f>'[1]побудинковий звіт'!AN177+'[2]побудинковий звіт'!AN177-'[3]побудинковий звіт'!AN177</f>
        <v>0</v>
      </c>
      <c r="AO177" s="56">
        <f t="shared" si="193"/>
        <v>0</v>
      </c>
      <c r="AP177" s="42">
        <f>'[1]побудинковий звіт'!AP177+'[2]побудинковий звіт'!AP177-'[3]побудинковий звіт'!AP177</f>
        <v>142.05264643404746</v>
      </c>
      <c r="AQ177" s="42">
        <f>'[1]побудинковий звіт'!AQ177+'[2]побудинковий звіт'!AQ177-'[3]побудинковий звіт'!AQ177</f>
        <v>888.57227746430704</v>
      </c>
      <c r="AR177" s="56">
        <f t="shared" si="194"/>
        <v>746.51963103025957</v>
      </c>
      <c r="AS177" s="42">
        <f>'[1]побудинковий звіт'!AS177+'[2]побудинковий звіт'!AS177-'[3]побудинковий звіт'!AS177</f>
        <v>3113.6093182281193</v>
      </c>
      <c r="AT177" s="42">
        <f>'[1]побудинковий звіт'!AT177+'[2]побудинковий звіт'!AT177-'[3]побудинковий звіт'!AT177</f>
        <v>0</v>
      </c>
      <c r="AU177" s="58">
        <f t="shared" si="211"/>
        <v>-3113.6093182281193</v>
      </c>
      <c r="AV177" s="42">
        <f>'[1]побудинковий звіт'!AV177+'[2]побудинковий звіт'!AV177-'[3]побудинковий звіт'!AV177</f>
        <v>0</v>
      </c>
      <c r="AW177" s="42">
        <f>'[1]побудинковий звіт'!AW177+'[2]побудинковий звіт'!AW177-'[3]побудинковий звіт'!AW177</f>
        <v>0</v>
      </c>
      <c r="AX177" s="59">
        <f t="shared" si="212"/>
        <v>0</v>
      </c>
      <c r="AY177" s="42">
        <f>'[1]побудинковий звіт'!AY177+'[2]побудинковий звіт'!AY177-'[3]побудинковий звіт'!AY177</f>
        <v>0</v>
      </c>
      <c r="AZ177" s="42">
        <f>'[1]побудинковий звіт'!AZ177+'[2]побудинковий звіт'!AZ177-'[3]побудинковий звіт'!AZ177</f>
        <v>0</v>
      </c>
      <c r="BA177" s="37">
        <f t="shared" si="213"/>
        <v>0</v>
      </c>
      <c r="BB177" s="42">
        <f>'[1]побудинковий звіт'!BB177+'[2]побудинковий звіт'!BB177-'[3]побудинковий звіт'!BB177</f>
        <v>0</v>
      </c>
      <c r="BC177" s="42">
        <f>'[1]побудинковий звіт'!BC177+'[2]побудинковий звіт'!BC177-'[3]побудинковий звіт'!BC177</f>
        <v>0</v>
      </c>
      <c r="BD177" s="59">
        <f t="shared" si="214"/>
        <v>0</v>
      </c>
      <c r="BE177" s="42">
        <f>'[1]побудинковий звіт'!BE177+'[2]побудинковий звіт'!BE177-'[3]побудинковий звіт'!BE177</f>
        <v>0</v>
      </c>
      <c r="BF177" s="42">
        <f>'[1]побудинковий звіт'!BF177+'[2]побудинковий звіт'!BF177-'[3]побудинковий звіт'!BF177</f>
        <v>0</v>
      </c>
      <c r="BG177" s="39">
        <f t="shared" si="215"/>
        <v>0</v>
      </c>
      <c r="BH177" s="42">
        <f>'[1]побудинковий звіт'!BH177+'[2]побудинковий звіт'!BH177-'[3]побудинковий звіт'!BH177</f>
        <v>0</v>
      </c>
      <c r="BI177" s="42">
        <f>'[1]побудинковий звіт'!BI177+'[2]побудинковий звіт'!BI177-'[3]побудинковий звіт'!BI177</f>
        <v>0</v>
      </c>
      <c r="BJ177" s="59">
        <f t="shared" si="216"/>
        <v>0</v>
      </c>
      <c r="BK177" s="42">
        <f>'[1]побудинковий звіт'!BK177+'[2]побудинковий звіт'!BK177-'[3]побудинковий звіт'!BK177</f>
        <v>0</v>
      </c>
      <c r="BL177" s="42">
        <f>'[1]побудинковий звіт'!BL177+'[2]побудинковий звіт'!BL177-'[3]побудинковий звіт'!BL177</f>
        <v>0</v>
      </c>
      <c r="BM177" s="39">
        <f t="shared" si="217"/>
        <v>0</v>
      </c>
      <c r="BN177" s="42">
        <f>'[1]побудинковий звіт'!BN177+'[2]побудинковий звіт'!BN177-'[3]побудинковий звіт'!BN177</f>
        <v>0</v>
      </c>
      <c r="BO177" s="42">
        <f>'[1]побудинковий звіт'!BO177+'[2]побудинковий звіт'!BO177-'[3]побудинковий звіт'!BO177</f>
        <v>0</v>
      </c>
      <c r="BP177" s="59">
        <f t="shared" si="218"/>
        <v>0</v>
      </c>
      <c r="BQ177" s="87">
        <f t="shared" si="176"/>
        <v>0</v>
      </c>
      <c r="BR177" s="43">
        <f t="shared" si="220"/>
        <v>0</v>
      </c>
      <c r="BS177" s="59">
        <f t="shared" si="219"/>
        <v>0</v>
      </c>
      <c r="BT177" s="42">
        <f>'[1]побудинковий звіт'!BT177+'[2]побудинковий звіт'!BT177-'[3]побудинковий звіт'!BT177</f>
        <v>119.63505377098757</v>
      </c>
      <c r="BU177" s="42">
        <f>'[1]побудинковий звіт'!BU177+'[2]побудинковий звіт'!BU177-'[3]побудинковий звіт'!BU177</f>
        <v>733.85229298070919</v>
      </c>
      <c r="BV177" s="56">
        <f t="shared" si="195"/>
        <v>614.21723920972158</v>
      </c>
      <c r="BW177" s="42">
        <f>'[1]побудинковий звіт'!BW177+'[2]побудинковий звіт'!BW177-'[3]побудинковий звіт'!BW177</f>
        <v>0</v>
      </c>
      <c r="BX177" s="42">
        <f>'[1]побудинковий звіт'!BX177+'[2]побудинковий звіт'!BX177-'[3]побудинковий звіт'!BX177</f>
        <v>7.3768805381363762</v>
      </c>
      <c r="BY177" s="56">
        <f t="shared" si="196"/>
        <v>7.3768805381363762</v>
      </c>
      <c r="BZ177" s="42">
        <f>'[1]побудинковий звіт'!BZ177+'[2]побудинковий звіт'!BZ177-'[3]побудинковий звіт'!BZ177</f>
        <v>0</v>
      </c>
      <c r="CA177" s="42">
        <f>'[1]побудинковий звіт'!CA177+'[2]побудинковий звіт'!CA177-'[3]побудинковий звіт'!CA177</f>
        <v>178.26066698274926</v>
      </c>
      <c r="CB177" s="56">
        <f t="shared" si="197"/>
        <v>178.26066698274926</v>
      </c>
      <c r="CC177" s="42">
        <f>'[1]побудинковий звіт'!CC177+'[2]побудинковий звіт'!CC177-'[3]побудинковий звіт'!CC177</f>
        <v>0</v>
      </c>
      <c r="CD177" s="42">
        <f>'[1]побудинковий звіт'!CD177+'[2]побудинковий звіт'!CD177-'[3]побудинковий звіт'!CD177</f>
        <v>0</v>
      </c>
      <c r="CE177" s="56">
        <f t="shared" si="198"/>
        <v>0</v>
      </c>
      <c r="CF177" s="42">
        <f>'[1]побудинковий звіт'!CF177+'[2]побудинковий звіт'!CF177-'[3]побудинковий звіт'!CF177</f>
        <v>0</v>
      </c>
      <c r="CG177" s="42">
        <f>'[1]побудинковий звіт'!CG177+'[2]побудинковий звіт'!CG177-'[3]побудинковий звіт'!CG177</f>
        <v>0</v>
      </c>
      <c r="CH177" s="56">
        <f t="shared" si="199"/>
        <v>0</v>
      </c>
      <c r="CI177" s="42">
        <f>'[1]побудинковий звіт'!CI177+'[2]побудинковий звіт'!CI177-'[3]побудинковий звіт'!CI177</f>
        <v>0</v>
      </c>
      <c r="CJ177" s="42">
        <f>'[1]побудинковий звіт'!CJ177+'[2]побудинковий звіт'!CJ177-'[3]побудинковий звіт'!CJ177</f>
        <v>0</v>
      </c>
      <c r="CK177" s="56">
        <f t="shared" si="200"/>
        <v>0</v>
      </c>
      <c r="CL177" s="42">
        <f>'[1]побудинковий звіт'!CL177+'[2]побудинковий звіт'!CL177-'[3]побудинковий звіт'!CL177</f>
        <v>0</v>
      </c>
      <c r="CM177" s="42">
        <f>'[1]побудинковий звіт'!CM177+'[2]побудинковий звіт'!CM177-'[3]побудинковий звіт'!CM177</f>
        <v>0</v>
      </c>
      <c r="CN177" s="56">
        <f t="shared" si="201"/>
        <v>0</v>
      </c>
      <c r="CO177" s="42">
        <f t="shared" si="181"/>
        <v>0</v>
      </c>
      <c r="CP177" s="43">
        <f t="shared" si="202"/>
        <v>0</v>
      </c>
      <c r="CQ177" s="56">
        <f t="shared" si="203"/>
        <v>0</v>
      </c>
      <c r="CR177" s="78">
        <f t="shared" si="182"/>
        <v>3375.2970184331543</v>
      </c>
      <c r="CS177" s="5">
        <f t="shared" si="182"/>
        <v>1960.6034473028926</v>
      </c>
      <c r="CT177" s="56">
        <f t="shared" si="204"/>
        <v>-1414.6935711302617</v>
      </c>
      <c r="CU177" s="87">
        <f t="shared" si="205"/>
        <v>4050.3564221197848</v>
      </c>
      <c r="CV177" s="70">
        <f t="shared" si="206"/>
        <v>2352.7241367634711</v>
      </c>
      <c r="CW177" s="37">
        <f t="shared" si="207"/>
        <v>-1697.6322853563138</v>
      </c>
      <c r="CX177" s="42">
        <f>'[1]побудинковий звіт'!CX177+'[2]побудинковий звіт'!CX177-'[3]побудинковий звіт'!CX177</f>
        <v>101.40357788021447</v>
      </c>
      <c r="CY177" s="42">
        <f>'[1]побудинковий звіт'!CY177+'[2]побудинковий звіт'!CY177-'[3]побудинковий звіт'!CY177</f>
        <v>1799.0358632365296</v>
      </c>
      <c r="CZ177" s="56">
        <f t="shared" si="208"/>
        <v>1697.6322853563152</v>
      </c>
      <c r="DA177" s="264">
        <f>'[4]побудинковий звіт'!DA177</f>
        <v>-3753.3372934842155</v>
      </c>
      <c r="DB177" s="2">
        <v>3</v>
      </c>
      <c r="DC177" s="717">
        <f>'[4]побудинковий звіт'!DC177</f>
        <v>433.46</v>
      </c>
      <c r="DD177" s="717">
        <f>'[4]побудинковий звіт'!DD177</f>
        <v>0</v>
      </c>
      <c r="DE177" s="717">
        <f>'[4]побудинковий звіт'!DE177</f>
        <v>87.479999999999961</v>
      </c>
      <c r="DF177" s="717">
        <f>'[4]побудинковий звіт'!DF177</f>
        <v>0</v>
      </c>
      <c r="DG177" s="787">
        <v>-3331.1109314480091</v>
      </c>
      <c r="DH177" s="761">
        <f t="shared" si="171"/>
        <v>49821.119999999995</v>
      </c>
      <c r="DI177" s="784"/>
      <c r="DJ177" s="5"/>
      <c r="DK177" s="317">
        <f>VLOOKUP($A177,ціни!$A$4:$G$401,5)</f>
        <v>1.5107770497353641</v>
      </c>
      <c r="DL177" s="317"/>
      <c r="DM177" s="317">
        <f>VLOOKUP($A177,ціни!$A$4:$G$401,7)</f>
        <v>1.5107770497353641</v>
      </c>
      <c r="DN177" s="30">
        <f t="shared" si="209"/>
        <v>319.68042372400305</v>
      </c>
      <c r="DO177" s="30">
        <f t="shared" si="210"/>
        <v>0</v>
      </c>
      <c r="DP177" s="316">
        <f t="shared" si="162"/>
        <v>319.68042372400305</v>
      </c>
      <c r="DQ177" s="104"/>
      <c r="DR177" s="30">
        <f>VLOOKUP(A177,'ДЗ нас '!$A$1:$C$359,2)</f>
        <v>345.98</v>
      </c>
      <c r="DS177" s="748"/>
      <c r="DT177" s="30">
        <f t="shared" si="163"/>
        <v>345.98</v>
      </c>
      <c r="DU177" s="257">
        <f>VLOOKUP(A177,'новий кошторис с 01.06'!$A$4:$AI$399,35)*1.2</f>
        <v>347.65559289861494</v>
      </c>
      <c r="DV177" s="30">
        <f t="shared" si="164"/>
        <v>-1.6755928986149229</v>
      </c>
      <c r="DW177" s="930">
        <f>'[5]побудинковий звіт'!DW177+'[6]побудинковий звіт'!DW177</f>
        <v>204</v>
      </c>
      <c r="DY177" s="5">
        <f t="shared" si="167"/>
        <v>3736.3311818737429</v>
      </c>
      <c r="DZ177" s="5">
        <f t="shared" si="168"/>
        <v>0</v>
      </c>
      <c r="EA177" s="752">
        <f t="shared" si="172"/>
        <v>87.479999999999961</v>
      </c>
      <c r="EC177" s="592">
        <f t="shared" si="169"/>
        <v>37363.311818737435</v>
      </c>
      <c r="EE177" s="758">
        <v>-2180</v>
      </c>
      <c r="EF177" s="738">
        <f t="shared" si="170"/>
        <v>-5511.1109314480091</v>
      </c>
      <c r="EH177" s="813">
        <v>-1971.8391265296914</v>
      </c>
    </row>
    <row r="178" spans="1:138" x14ac:dyDescent="0.3">
      <c r="A178" s="328">
        <v>150000770</v>
      </c>
      <c r="B178" s="44" t="s">
        <v>629</v>
      </c>
      <c r="C178" s="45" t="s">
        <v>119</v>
      </c>
      <c r="D178" s="45" t="s">
        <v>119</v>
      </c>
      <c r="E178" s="40">
        <f t="shared" si="175"/>
        <v>180.6</v>
      </c>
      <c r="F178" s="490">
        <v>180.6</v>
      </c>
      <c r="G178" s="30"/>
      <c r="H178" s="30">
        <v>0</v>
      </c>
      <c r="I178" s="42">
        <f>'[1]побудинковий звіт'!I178+'[2]побудинковий звіт'!I178-'[3]побудинковий звіт'!I178</f>
        <v>0</v>
      </c>
      <c r="J178" s="42">
        <f>'[1]побудинковий звіт'!J178+'[2]побудинковий звіт'!J178-'[3]побудинковий звіт'!J178</f>
        <v>0</v>
      </c>
      <c r="K178" s="56">
        <f t="shared" si="183"/>
        <v>0</v>
      </c>
      <c r="L178" s="42">
        <f>'[1]побудинковий звіт'!L178+'[2]побудинковий звіт'!L178-'[3]побудинковий звіт'!L178</f>
        <v>0</v>
      </c>
      <c r="M178" s="42">
        <f>'[1]побудинковий звіт'!M178+'[2]побудинковий звіт'!M178-'[3]побудинковий звіт'!M178</f>
        <v>0</v>
      </c>
      <c r="N178" s="56">
        <f t="shared" si="184"/>
        <v>0</v>
      </c>
      <c r="O178" s="42">
        <f>'[1]побудинковий звіт'!O178+'[2]побудинковий звіт'!O178-'[3]побудинковий звіт'!O178</f>
        <v>0</v>
      </c>
      <c r="P178" s="42">
        <f>'[1]побудинковий звіт'!P178+'[2]побудинковий звіт'!P178-'[3]побудинковий звіт'!P178</f>
        <v>0</v>
      </c>
      <c r="Q178" s="56">
        <f t="shared" si="185"/>
        <v>0</v>
      </c>
      <c r="R178" s="42">
        <f>'[1]побудинковий звіт'!R178+'[2]побудинковий звіт'!R178-'[3]побудинковий звіт'!R178</f>
        <v>0</v>
      </c>
      <c r="S178" s="42">
        <f>'[1]побудинковий звіт'!S178+'[2]побудинковий звіт'!S178-'[3]побудинковий звіт'!S178</f>
        <v>0</v>
      </c>
      <c r="T178" s="56">
        <f t="shared" si="186"/>
        <v>0</v>
      </c>
      <c r="U178" s="42">
        <f>'[1]побудинковий звіт'!U178+'[2]побудинковий звіт'!U178-'[3]побудинковий звіт'!U178</f>
        <v>0</v>
      </c>
      <c r="V178" s="42">
        <f>'[1]побудинковий звіт'!V178+'[2]побудинковий звіт'!V178-'[3]побудинковий звіт'!V178</f>
        <v>0</v>
      </c>
      <c r="W178" s="56">
        <f t="shared" si="187"/>
        <v>0</v>
      </c>
      <c r="X178" s="42">
        <f>'[1]побудинковий звіт'!X178+'[2]побудинковий звіт'!X178-'[3]побудинковий звіт'!X178</f>
        <v>0</v>
      </c>
      <c r="Y178" s="42">
        <f>'[1]побудинковий звіт'!Y178+'[2]побудинковий звіт'!Y178-'[3]побудинковий звіт'!Y178</f>
        <v>0</v>
      </c>
      <c r="Z178" s="56">
        <f t="shared" si="188"/>
        <v>0</v>
      </c>
      <c r="AA178" s="42">
        <f>'[1]побудинковий звіт'!AA178+'[2]побудинковий звіт'!AA178-'[3]побудинковий звіт'!AA178</f>
        <v>0</v>
      </c>
      <c r="AB178" s="42">
        <f>'[1]побудинковий звіт'!AB178+'[2]побудинковий звіт'!AB178-'[3]побудинковий звіт'!AB178</f>
        <v>0</v>
      </c>
      <c r="AC178" s="56">
        <f t="shared" si="189"/>
        <v>0</v>
      </c>
      <c r="AD178" s="42">
        <f>'[1]побудинковий звіт'!AD178+'[2]побудинковий звіт'!AD178-'[3]побудинковий звіт'!AD178</f>
        <v>0</v>
      </c>
      <c r="AE178" s="42">
        <f>'[1]побудинковий звіт'!AE178+'[2]побудинковий звіт'!AE178-'[3]побудинковий звіт'!AE178</f>
        <v>96.254244930983134</v>
      </c>
      <c r="AF178" s="37">
        <f t="shared" si="190"/>
        <v>96.254244930983134</v>
      </c>
      <c r="AG178" s="87">
        <f t="shared" si="180"/>
        <v>0</v>
      </c>
      <c r="AH178" s="57">
        <f t="shared" si="180"/>
        <v>96.254244930983134</v>
      </c>
      <c r="AI178" s="56">
        <f t="shared" si="191"/>
        <v>96.254244930983134</v>
      </c>
      <c r="AJ178" s="42">
        <f>'[1]побудинковий звіт'!AJ178+'[2]побудинковий звіт'!AJ178-'[3]побудинковий звіт'!AJ178</f>
        <v>0</v>
      </c>
      <c r="AK178" s="42">
        <f>'[1]побудинковий звіт'!AK178+'[2]побудинковий звіт'!AK178-'[3]побудинковий звіт'!AK178</f>
        <v>0</v>
      </c>
      <c r="AL178" s="56">
        <f t="shared" si="192"/>
        <v>0</v>
      </c>
      <c r="AM178" s="42">
        <f>'[1]побудинковий звіт'!AM178+'[2]побудинковий звіт'!AM178-'[3]побудинковий звіт'!AM178</f>
        <v>0</v>
      </c>
      <c r="AN178" s="42">
        <f>'[1]побудинковий звіт'!AN178+'[2]побудинковий звіт'!AN178-'[3]побудинковий звіт'!AN178</f>
        <v>0</v>
      </c>
      <c r="AO178" s="56">
        <f t="shared" si="193"/>
        <v>0</v>
      </c>
      <c r="AP178" s="42">
        <f>'[1]побудинковий звіт'!AP178+'[2]побудинковий звіт'!AP178-'[3]побудинковий звіт'!AP178</f>
        <v>236.75441072341246</v>
      </c>
      <c r="AQ178" s="42">
        <f>'[1]побудинковий звіт'!AQ178+'[2]побудинковий звіт'!AQ178-'[3]побудинковий звіт'!AQ178</f>
        <v>93.429126284801754</v>
      </c>
      <c r="AR178" s="56">
        <f t="shared" si="194"/>
        <v>-143.32528443861071</v>
      </c>
      <c r="AS178" s="42">
        <f>'[1]побудинковий звіт'!AS178+'[2]побудинковий звіт'!AS178-'[3]побудинковий звіт'!AS178</f>
        <v>2349.0642402983476</v>
      </c>
      <c r="AT178" s="42">
        <f>'[1]побудинковий звіт'!AT178+'[2]побудинковий звіт'!AT178-'[3]побудинковий звіт'!AT178</f>
        <v>0</v>
      </c>
      <c r="AU178" s="58">
        <f t="shared" si="211"/>
        <v>-2349.0642402983476</v>
      </c>
      <c r="AV178" s="42">
        <f>'[1]побудинковий звіт'!AV178+'[2]побудинковий звіт'!AV178-'[3]побудинковий звіт'!AV178</f>
        <v>0</v>
      </c>
      <c r="AW178" s="42">
        <f>'[1]побудинковий звіт'!AW178+'[2]побудинковий звіт'!AW178-'[3]побудинковий звіт'!AW178</f>
        <v>0</v>
      </c>
      <c r="AX178" s="59">
        <f t="shared" si="212"/>
        <v>0</v>
      </c>
      <c r="AY178" s="42">
        <f>'[1]побудинковий звіт'!AY178+'[2]побудинковий звіт'!AY178-'[3]побудинковий звіт'!AY178</f>
        <v>0</v>
      </c>
      <c r="AZ178" s="42">
        <f>'[1]побудинковий звіт'!AZ178+'[2]побудинковий звіт'!AZ178-'[3]побудинковий звіт'!AZ178</f>
        <v>0</v>
      </c>
      <c r="BA178" s="37">
        <f t="shared" si="213"/>
        <v>0</v>
      </c>
      <c r="BB178" s="42">
        <f>'[1]побудинковий звіт'!BB178+'[2]побудинковий звіт'!BB178-'[3]побудинковий звіт'!BB178</f>
        <v>0</v>
      </c>
      <c r="BC178" s="42">
        <f>'[1]побудинковий звіт'!BC178+'[2]побудинковий звіт'!BC178-'[3]побудинковий звіт'!BC178</f>
        <v>0</v>
      </c>
      <c r="BD178" s="59">
        <f t="shared" si="214"/>
        <v>0</v>
      </c>
      <c r="BE178" s="42">
        <f>'[1]побудинковий звіт'!BE178+'[2]побудинковий звіт'!BE178-'[3]побудинковий звіт'!BE178</f>
        <v>0</v>
      </c>
      <c r="BF178" s="42">
        <f>'[1]побудинковий звіт'!BF178+'[2]побудинковий звіт'!BF178-'[3]побудинковий звіт'!BF178</f>
        <v>0</v>
      </c>
      <c r="BG178" s="39">
        <f t="shared" si="215"/>
        <v>0</v>
      </c>
      <c r="BH178" s="42">
        <f>'[1]побудинковий звіт'!BH178+'[2]побудинковий звіт'!BH178-'[3]побудинковий звіт'!BH178</f>
        <v>0</v>
      </c>
      <c r="BI178" s="42">
        <f>'[1]побудинковий звіт'!BI178+'[2]побудинковий звіт'!BI178-'[3]побудинковий звіт'!BI178</f>
        <v>0</v>
      </c>
      <c r="BJ178" s="59">
        <f t="shared" si="216"/>
        <v>0</v>
      </c>
      <c r="BK178" s="42">
        <f>'[1]побудинковий звіт'!BK178+'[2]побудинковий звіт'!BK178-'[3]побудинковий звіт'!BK178</f>
        <v>0</v>
      </c>
      <c r="BL178" s="42">
        <f>'[1]побудинковий звіт'!BL178+'[2]побудинковий звіт'!BL178-'[3]побудинковий звіт'!BL178</f>
        <v>0</v>
      </c>
      <c r="BM178" s="39">
        <f t="shared" si="217"/>
        <v>0</v>
      </c>
      <c r="BN178" s="42">
        <f>'[1]побудинковий звіт'!BN178+'[2]побудинковий звіт'!BN178-'[3]побудинковий звіт'!BN178</f>
        <v>0</v>
      </c>
      <c r="BO178" s="42">
        <f>'[1]побудинковий звіт'!BO178+'[2]побудинковий звіт'!BO178-'[3]побудинковий звіт'!BO178</f>
        <v>0</v>
      </c>
      <c r="BP178" s="59">
        <f t="shared" si="218"/>
        <v>0</v>
      </c>
      <c r="BQ178" s="87">
        <f t="shared" si="176"/>
        <v>0</v>
      </c>
      <c r="BR178" s="43">
        <f t="shared" si="220"/>
        <v>0</v>
      </c>
      <c r="BS178" s="59">
        <f t="shared" si="219"/>
        <v>0</v>
      </c>
      <c r="BT178" s="42">
        <f>'[1]побудинковий звіт'!BT178+'[2]побудинковий звіт'!BT178-'[3]побудинковий звіт'!BT178</f>
        <v>0</v>
      </c>
      <c r="BU178" s="42">
        <f>'[1]побудинковий звіт'!BU178+'[2]побудинковий звіт'!BU178-'[3]побудинковий звіт'!BU178</f>
        <v>0</v>
      </c>
      <c r="BV178" s="56">
        <f t="shared" si="195"/>
        <v>0</v>
      </c>
      <c r="BW178" s="42">
        <f>'[1]побудинковий звіт'!BW178+'[2]побудинковий звіт'!BW178-'[3]побудинковий звіт'!BW178</f>
        <v>0</v>
      </c>
      <c r="BX178" s="42">
        <f>'[1]побудинковий звіт'!BX178+'[2]побудинковий звіт'!BX178-'[3]побудинковий звіт'!BX178</f>
        <v>4.6548438330161845</v>
      </c>
      <c r="BY178" s="56">
        <f t="shared" si="196"/>
        <v>4.6548438330161845</v>
      </c>
      <c r="BZ178" s="42">
        <f>'[1]побудинковий звіт'!BZ178+'[2]побудинковий звіт'!BZ178-'[3]побудинковий звіт'!BZ178</f>
        <v>0</v>
      </c>
      <c r="CA178" s="42">
        <f>'[1]побудинковий звіт'!CA178+'[2]побудинковий звіт'!CA178-'[3]побудинковий звіт'!CA178</f>
        <v>0</v>
      </c>
      <c r="CB178" s="56">
        <f t="shared" si="197"/>
        <v>0</v>
      </c>
      <c r="CC178" s="42">
        <f>'[1]побудинковий звіт'!CC178+'[2]побудинковий звіт'!CC178-'[3]побудинковий звіт'!CC178</f>
        <v>0</v>
      </c>
      <c r="CD178" s="42">
        <f>'[1]побудинковий звіт'!CD178+'[2]побудинковий звіт'!CD178-'[3]побудинковий звіт'!CD178</f>
        <v>0</v>
      </c>
      <c r="CE178" s="56">
        <f t="shared" si="198"/>
        <v>0</v>
      </c>
      <c r="CF178" s="42">
        <f>'[1]побудинковий звіт'!CF178+'[2]побудинковий звіт'!CF178-'[3]побудинковий звіт'!CF178</f>
        <v>0</v>
      </c>
      <c r="CG178" s="42">
        <f>'[1]побудинковий звіт'!CG178+'[2]побудинковий звіт'!CG178-'[3]побудинковий звіт'!CG178</f>
        <v>0</v>
      </c>
      <c r="CH178" s="56">
        <f t="shared" si="199"/>
        <v>0</v>
      </c>
      <c r="CI178" s="42">
        <f>'[1]побудинковий звіт'!CI178+'[2]побудинковий звіт'!CI178-'[3]побудинковий звіт'!CI178</f>
        <v>0</v>
      </c>
      <c r="CJ178" s="42">
        <f>'[1]побудинковий звіт'!CJ178+'[2]побудинковий звіт'!CJ178-'[3]побудинковий звіт'!CJ178</f>
        <v>0</v>
      </c>
      <c r="CK178" s="56">
        <f t="shared" si="200"/>
        <v>0</v>
      </c>
      <c r="CL178" s="42">
        <f>'[1]побудинковий звіт'!CL178+'[2]побудинковий звіт'!CL178-'[3]побудинковий звіт'!CL178</f>
        <v>0</v>
      </c>
      <c r="CM178" s="42">
        <f>'[1]побудинковий звіт'!CM178+'[2]побудинковий звіт'!CM178-'[3]побудинковий звіт'!CM178</f>
        <v>0</v>
      </c>
      <c r="CN178" s="56">
        <f t="shared" si="201"/>
        <v>0</v>
      </c>
      <c r="CO178" s="42">
        <f t="shared" si="181"/>
        <v>0</v>
      </c>
      <c r="CP178" s="43">
        <f t="shared" si="202"/>
        <v>0</v>
      </c>
      <c r="CQ178" s="56">
        <f t="shared" si="203"/>
        <v>0</v>
      </c>
      <c r="CR178" s="78">
        <f t="shared" si="182"/>
        <v>2585.8186510217602</v>
      </c>
      <c r="CS178" s="5">
        <f t="shared" si="182"/>
        <v>194.33821504880106</v>
      </c>
      <c r="CT178" s="56">
        <f t="shared" si="204"/>
        <v>-2391.4804359729592</v>
      </c>
      <c r="CU178" s="87">
        <f t="shared" si="205"/>
        <v>3102.982381226112</v>
      </c>
      <c r="CV178" s="70">
        <f t="shared" si="206"/>
        <v>233.20585805856126</v>
      </c>
      <c r="CW178" s="37">
        <f t="shared" si="207"/>
        <v>-2869.7765231675507</v>
      </c>
      <c r="CX178" s="42">
        <f>'[1]побудинковий звіт'!CX178+'[2]побудинковий звіт'!CX178-'[3]побудинковий звіт'!CX178</f>
        <v>46.41761877388808</v>
      </c>
      <c r="CY178" s="42">
        <f>'[1]побудинковий звіт'!CY178+'[2]побудинковий звіт'!CY178-'[3]побудинковий звіт'!CY178</f>
        <v>2916.1941419414388</v>
      </c>
      <c r="CZ178" s="56">
        <f t="shared" si="208"/>
        <v>2869.7765231675507</v>
      </c>
      <c r="DA178" s="264">
        <f>'[4]побудинковий звіт'!DA178</f>
        <v>-8597.527434517855</v>
      </c>
      <c r="DB178" s="2">
        <v>3</v>
      </c>
      <c r="DC178" s="717">
        <f>'[4]побудинковий звіт'!DC178</f>
        <v>245.7</v>
      </c>
      <c r="DD178" s="717">
        <f>'[4]побудинковий звіт'!DD178</f>
        <v>0</v>
      </c>
      <c r="DE178" s="717">
        <f>'[4]побудинковий звіт'!DE178</f>
        <v>-16.75</v>
      </c>
      <c r="DF178" s="717">
        <f>'[4]побудинковий звіт'!DF178</f>
        <v>0</v>
      </c>
      <c r="DG178" s="787">
        <v>-4511.5314297276018</v>
      </c>
      <c r="DH178" s="761">
        <f t="shared" si="171"/>
        <v>37792.800000000003</v>
      </c>
      <c r="DI178" s="784"/>
      <c r="DJ178" s="5"/>
      <c r="DK178" s="317">
        <f>VLOOKUP($A178,ціни!$A$4:$G$401,5)</f>
        <v>1.8163362842817203</v>
      </c>
      <c r="DL178" s="317"/>
      <c r="DM178" s="317">
        <f>VLOOKUP($A178,ціни!$A$4:$G$401,7)</f>
        <v>1.8163362842817203</v>
      </c>
      <c r="DN178" s="30">
        <f t="shared" si="209"/>
        <v>328.03033294127869</v>
      </c>
      <c r="DO178" s="30">
        <f t="shared" si="210"/>
        <v>0</v>
      </c>
      <c r="DP178" s="316">
        <f t="shared" ref="DP178:DP235" si="221">DN178+DO178</f>
        <v>328.03033294127869</v>
      </c>
      <c r="DQ178" s="104"/>
      <c r="DR178" s="30">
        <f>VLOOKUP(A178,'ДЗ нас '!$A$1:$C$359,2)</f>
        <v>262.45</v>
      </c>
      <c r="DS178" s="748"/>
      <c r="DT178" s="30">
        <f t="shared" ref="DT178:DT235" si="222">DR178+DS178</f>
        <v>262.45</v>
      </c>
      <c r="DU178" s="257">
        <f>VLOOKUP(A178,'новий кошторис с 01.06'!$A$4:$AI$399,35)*1.2</f>
        <v>263.2363386740152</v>
      </c>
      <c r="DV178" s="30">
        <f t="shared" ref="DV178:DV235" si="223">DT178-DU178</f>
        <v>-0.78633867401521229</v>
      </c>
      <c r="DW178" s="930">
        <f>'[5]побудинковий звіт'!DW178+'[6]побудинковий звіт'!DW178</f>
        <v>0</v>
      </c>
      <c r="DY178" s="5">
        <f t="shared" si="167"/>
        <v>2818.8770883580169</v>
      </c>
      <c r="DZ178" s="5">
        <f t="shared" si="168"/>
        <v>0</v>
      </c>
      <c r="EA178" s="752">
        <f t="shared" si="172"/>
        <v>-16.75</v>
      </c>
      <c r="EC178" s="592">
        <f t="shared" si="169"/>
        <v>28188.770883580171</v>
      </c>
      <c r="EE178" s="758">
        <v>-2519</v>
      </c>
      <c r="EF178" s="738">
        <f t="shared" si="170"/>
        <v>-7030.5314297276018</v>
      </c>
      <c r="EH178" s="813">
        <v>-6128.7145846594503</v>
      </c>
    </row>
    <row r="179" spans="1:138" x14ac:dyDescent="0.3">
      <c r="A179" s="328">
        <v>150000777</v>
      </c>
      <c r="B179" s="44" t="s">
        <v>630</v>
      </c>
      <c r="C179" s="45" t="s">
        <v>168</v>
      </c>
      <c r="D179" s="45" t="s">
        <v>168</v>
      </c>
      <c r="E179" s="40">
        <f t="shared" si="175"/>
        <v>102.4</v>
      </c>
      <c r="F179" s="490">
        <v>102.4</v>
      </c>
      <c r="G179" s="30"/>
      <c r="H179" s="30">
        <v>0</v>
      </c>
      <c r="I179" s="42">
        <f>'[1]побудинковий звіт'!I179+'[2]побудинковий звіт'!I179-'[3]побудинковий звіт'!I179</f>
        <v>1487.393111876675</v>
      </c>
      <c r="J179" s="42">
        <f>'[1]побудинковий звіт'!J179+'[2]побудинковий звіт'!J179-'[3]побудинковий звіт'!J179</f>
        <v>1355.9908846901487</v>
      </c>
      <c r="K179" s="56">
        <f t="shared" si="183"/>
        <v>-131.40222718652626</v>
      </c>
      <c r="L179" s="42">
        <f>'[1]побудинковий звіт'!L179+'[2]побудинковий звіт'!L179-'[3]побудинковий звіт'!L179</f>
        <v>227.546144853393</v>
      </c>
      <c r="M179" s="42">
        <f>'[1]побудинковий звіт'!M179+'[2]побудинковий звіт'!M179-'[3]побудинковий звіт'!M179</f>
        <v>217.87988569213553</v>
      </c>
      <c r="N179" s="56">
        <f t="shared" si="184"/>
        <v>-9.6662591612574715</v>
      </c>
      <c r="O179" s="42">
        <f>'[1]побудинковий звіт'!O179+'[2]побудинковий звіт'!O179-'[3]побудинковий звіт'!O179</f>
        <v>576.48</v>
      </c>
      <c r="P179" s="42">
        <f>'[1]побудинковий звіт'!P179+'[2]побудинковий звіт'!P179-'[3]побудинковий звіт'!P179</f>
        <v>576.48</v>
      </c>
      <c r="Q179" s="56">
        <f t="shared" si="185"/>
        <v>0</v>
      </c>
      <c r="R179" s="42">
        <f>'[1]побудинковий звіт'!R179+'[2]побудинковий звіт'!R179-'[3]побудинковий звіт'!R179</f>
        <v>117.72</v>
      </c>
      <c r="S179" s="42">
        <f>'[1]побудинковий звіт'!S179+'[2]побудинковий звіт'!S179-'[3]побудинковий звіт'!S179</f>
        <v>117.96000000000001</v>
      </c>
      <c r="T179" s="56">
        <f t="shared" si="186"/>
        <v>0.24000000000000909</v>
      </c>
      <c r="U179" s="42">
        <f>'[1]побудинковий звіт'!U179+'[2]побудинковий звіт'!U179-'[3]побудинковий звіт'!U179</f>
        <v>0</v>
      </c>
      <c r="V179" s="42">
        <f>'[1]побудинковий звіт'!V179+'[2]побудинковий звіт'!V179-'[3]побудинковий звіт'!V179</f>
        <v>0</v>
      </c>
      <c r="W179" s="56">
        <f t="shared" si="187"/>
        <v>0</v>
      </c>
      <c r="X179" s="42">
        <f>'[1]побудинковий звіт'!X179+'[2]побудинковий звіт'!X179-'[3]побудинковий звіт'!X179</f>
        <v>586.45441299394383</v>
      </c>
      <c r="Y179" s="42">
        <f>'[1]побудинковий звіт'!Y179+'[2]побудинковий звіт'!Y179-'[3]побудинковий звіт'!Y179</f>
        <v>456.83508819047995</v>
      </c>
      <c r="Z179" s="56">
        <f t="shared" si="188"/>
        <v>-129.61932480346388</v>
      </c>
      <c r="AA179" s="42">
        <f>'[1]побудинковий звіт'!AA179+'[2]побудинковий звіт'!AA179-'[3]побудинковий звіт'!AA179</f>
        <v>0</v>
      </c>
      <c r="AB179" s="42">
        <f>'[1]побудинковий звіт'!AB179+'[2]побудинковий звіт'!AB179-'[3]побудинковий звіт'!AB179</f>
        <v>0</v>
      </c>
      <c r="AC179" s="56">
        <f t="shared" si="189"/>
        <v>0</v>
      </c>
      <c r="AD179" s="42">
        <f>'[1]побудинковий звіт'!AD179+'[2]побудинковий звіт'!AD179-'[3]побудинковий звіт'!AD179</f>
        <v>1680.4017925491817</v>
      </c>
      <c r="AE179" s="42">
        <f>'[1]побудинковий звіт'!AE179+'[2]побудинковий звіт'!AE179-'[3]побудинковий звіт'!AE179</f>
        <v>1548.8151390344474</v>
      </c>
      <c r="AF179" s="37">
        <f t="shared" si="190"/>
        <v>-131.58665351473428</v>
      </c>
      <c r="AG179" s="87">
        <f t="shared" si="180"/>
        <v>4675.995462273193</v>
      </c>
      <c r="AH179" s="57">
        <f t="shared" si="180"/>
        <v>4273.9609976072115</v>
      </c>
      <c r="AI179" s="56">
        <f t="shared" si="191"/>
        <v>-402.03446466598143</v>
      </c>
      <c r="AJ179" s="42">
        <f>'[1]побудинковий звіт'!AJ179+'[2]побудинковий звіт'!AJ179-'[3]побудинковий звіт'!AJ179</f>
        <v>0</v>
      </c>
      <c r="AK179" s="42">
        <f>'[1]побудинковий звіт'!AK179+'[2]побудинковий звіт'!AK179-'[3]побудинковий звіт'!AK179</f>
        <v>0</v>
      </c>
      <c r="AL179" s="56">
        <f t="shared" si="192"/>
        <v>0</v>
      </c>
      <c r="AM179" s="42">
        <f>'[1]побудинковий звіт'!AM179+'[2]побудинковий звіт'!AM179-'[3]побудинковий звіт'!AM179</f>
        <v>0</v>
      </c>
      <c r="AN179" s="42">
        <f>'[1]побудинковий звіт'!AN179+'[2]побудинковий звіт'!AN179-'[3]побудинковий звіт'!AN179</f>
        <v>0</v>
      </c>
      <c r="AO179" s="56">
        <f t="shared" si="193"/>
        <v>0</v>
      </c>
      <c r="AP179" s="42">
        <f>'[1]побудинковий звіт'!AP179+'[2]побудинковий звіт'!AP179-'[3]побудинковий звіт'!AP179</f>
        <v>378.80705715745984</v>
      </c>
      <c r="AQ179" s="42">
        <f>'[1]побудинковий звіт'!AQ179+'[2]побудинковий звіт'!AQ179-'[3]побудинковий звіт'!AQ179</f>
        <v>373.71650513920702</v>
      </c>
      <c r="AR179" s="56">
        <f t="shared" si="194"/>
        <v>-5.0905520182528221</v>
      </c>
      <c r="AS179" s="42">
        <f>'[1]побудинковий звіт'!AS179+'[2]побудинковий звіт'!AS179-'[3]побудинковий звіт'!AS179</f>
        <v>4379.1196356314958</v>
      </c>
      <c r="AT179" s="42">
        <f>'[1]побудинковий звіт'!AT179+'[2]побудинковий звіт'!AT179-'[3]побудинковий звіт'!AT179</f>
        <v>730</v>
      </c>
      <c r="AU179" s="58">
        <f t="shared" si="211"/>
        <v>-3649.1196356314958</v>
      </c>
      <c r="AV179" s="42">
        <f>'[1]побудинковий звіт'!AV179+'[2]побудинковий звіт'!AV179-'[3]побудинковий звіт'!AV179</f>
        <v>276.41195827442459</v>
      </c>
      <c r="AW179" s="42">
        <f>'[1]побудинковий звіт'!AW179+'[2]побудинковий звіт'!AW179-'[3]побудинковий звіт'!AW179</f>
        <v>0</v>
      </c>
      <c r="AX179" s="59">
        <f t="shared" si="212"/>
        <v>-276.41195827442459</v>
      </c>
      <c r="AY179" s="42">
        <f>'[1]побудинковий звіт'!AY179+'[2]побудинковий звіт'!AY179-'[3]побудинковий звіт'!AY179</f>
        <v>293.55584184695147</v>
      </c>
      <c r="AZ179" s="42">
        <f>'[1]побудинковий звіт'!AZ179+'[2]побудинковий звіт'!AZ179-'[3]побудинковий звіт'!AZ179</f>
        <v>0</v>
      </c>
      <c r="BA179" s="37">
        <f t="shared" si="213"/>
        <v>-293.55584184695147</v>
      </c>
      <c r="BB179" s="42">
        <f>'[1]побудинковий звіт'!BB179+'[2]побудинковий звіт'!BB179-'[3]побудинковий звіт'!BB179</f>
        <v>133.88218512556958</v>
      </c>
      <c r="BC179" s="42">
        <f>'[1]побудинковий звіт'!BC179+'[2]побудинковий звіт'!BC179-'[3]побудинковий звіт'!BC179</f>
        <v>0</v>
      </c>
      <c r="BD179" s="59">
        <f t="shared" si="214"/>
        <v>-133.88218512556958</v>
      </c>
      <c r="BE179" s="42">
        <f>'[1]побудинковий звіт'!BE179+'[2]побудинковий звіт'!BE179-'[3]побудинковий звіт'!BE179</f>
        <v>171.95374160253516</v>
      </c>
      <c r="BF179" s="42">
        <f>'[1]побудинковий звіт'!BF179+'[2]побудинковий звіт'!BF179-'[3]побудинковий звіт'!BF179</f>
        <v>0</v>
      </c>
      <c r="BG179" s="39">
        <f t="shared" si="215"/>
        <v>-171.95374160253516</v>
      </c>
      <c r="BH179" s="42">
        <f>'[1]побудинковий звіт'!BH179+'[2]побудинковий звіт'!BH179-'[3]побудинковий звіт'!BH179</f>
        <v>0</v>
      </c>
      <c r="BI179" s="42">
        <f>'[1]побудинковий звіт'!BI179+'[2]побудинковий звіт'!BI179-'[3]побудинковий звіт'!BI179</f>
        <v>0</v>
      </c>
      <c r="BJ179" s="59">
        <f t="shared" si="216"/>
        <v>0</v>
      </c>
      <c r="BK179" s="42">
        <f>'[1]побудинковий звіт'!BK179+'[2]побудинковий звіт'!BK179-'[3]побудинковий звіт'!BK179</f>
        <v>78.348245973730187</v>
      </c>
      <c r="BL179" s="42">
        <f>'[1]побудинковий звіт'!BL179+'[2]побудинковий звіт'!BL179-'[3]побудинковий звіт'!BL179</f>
        <v>0</v>
      </c>
      <c r="BM179" s="39">
        <f t="shared" si="217"/>
        <v>-78.348245973730187</v>
      </c>
      <c r="BN179" s="42">
        <f>'[1]побудинковий звіт'!BN179+'[2]побудинковий звіт'!BN179-'[3]побудинковий звіт'!BN179</f>
        <v>0</v>
      </c>
      <c r="BO179" s="42">
        <f>'[1]побудинковий звіт'!BO179+'[2]побудинковий звіт'!BO179-'[3]побудинковий звіт'!BO179</f>
        <v>0</v>
      </c>
      <c r="BP179" s="59">
        <f t="shared" si="218"/>
        <v>0</v>
      </c>
      <c r="BQ179" s="87">
        <f t="shared" si="176"/>
        <v>954.15197282321094</v>
      </c>
      <c r="BR179" s="43">
        <f t="shared" si="220"/>
        <v>0</v>
      </c>
      <c r="BS179" s="59">
        <f t="shared" si="219"/>
        <v>-954.15197282321094</v>
      </c>
      <c r="BT179" s="42">
        <f>'[1]побудинковий звіт'!BT179+'[2]побудинковий звіт'!BT179-'[3]побудинковий звіт'!BT179</f>
        <v>4205.0259651604119</v>
      </c>
      <c r="BU179" s="42">
        <f>'[1]побудинковий звіт'!BU179+'[2]побудинковий звіт'!BU179-'[3]побудинковий звіт'!BU179</f>
        <v>4083.035821431652</v>
      </c>
      <c r="BV179" s="56">
        <f t="shared" si="195"/>
        <v>-121.9901437287599</v>
      </c>
      <c r="BW179" s="42">
        <f>'[1]побудинковий звіт'!BW179+'[2]побудинковий звіт'!BW179-'[3]побудинковий звіт'!BW179</f>
        <v>2594.4342937098172</v>
      </c>
      <c r="BX179" s="42">
        <f>'[1]побудинковий звіт'!BX179+'[2]побудинковий звіт'!BX179-'[3]побудинковий звіт'!BX179</f>
        <v>2143.0741590466391</v>
      </c>
      <c r="BY179" s="56">
        <f t="shared" si="196"/>
        <v>-451.36013466317809</v>
      </c>
      <c r="BZ179" s="42">
        <f>'[1]побудинковий звіт'!BZ179+'[2]побудинковий звіт'!BZ179-'[3]побудинковий звіт'!BZ179</f>
        <v>574.52596799678383</v>
      </c>
      <c r="CA179" s="42">
        <f>'[1]побудинковий звіт'!CA179+'[2]побудинковий звіт'!CA179-'[3]побудинковий звіт'!CA179</f>
        <v>1220.2307065278258</v>
      </c>
      <c r="CB179" s="56">
        <f t="shared" si="197"/>
        <v>645.70473853104193</v>
      </c>
      <c r="CC179" s="42">
        <f>'[1]побудинковий звіт'!CC179+'[2]побудинковий звіт'!CC179-'[3]побудинковий звіт'!CC179</f>
        <v>0</v>
      </c>
      <c r="CD179" s="42">
        <f>'[1]побудинковий звіт'!CD179+'[2]побудинковий звіт'!CD179-'[3]побудинковий звіт'!CD179</f>
        <v>0</v>
      </c>
      <c r="CE179" s="56">
        <f t="shared" si="198"/>
        <v>0</v>
      </c>
      <c r="CF179" s="42">
        <f>'[1]побудинковий звіт'!CF179+'[2]побудинковий звіт'!CF179-'[3]побудинковий звіт'!CF179</f>
        <v>0</v>
      </c>
      <c r="CG179" s="42">
        <f>'[1]побудинковий звіт'!CG179+'[2]побудинковий звіт'!CG179-'[3]побудинковий звіт'!CG179</f>
        <v>0</v>
      </c>
      <c r="CH179" s="56">
        <f t="shared" si="199"/>
        <v>0</v>
      </c>
      <c r="CI179" s="42">
        <f>'[1]побудинковий звіт'!CI179+'[2]побудинковий звіт'!CI179-'[3]побудинковий звіт'!CI179</f>
        <v>280.76287765788197</v>
      </c>
      <c r="CJ179" s="42">
        <f>'[1]побудинковий звіт'!CJ179+'[2]побудинковий звіт'!CJ179-'[3]побудинковий звіт'!CJ179</f>
        <v>39.735985920609295</v>
      </c>
      <c r="CK179" s="56">
        <f t="shared" si="200"/>
        <v>-241.02689173727268</v>
      </c>
      <c r="CL179" s="42">
        <f>'[1]побудинковий звіт'!CL179+'[2]побудинковий звіт'!CL179-'[3]побудинковий звіт'!CL179</f>
        <v>0</v>
      </c>
      <c r="CM179" s="42">
        <f>'[1]побудинковий звіт'!CM179+'[2]побудинковий звіт'!CM179-'[3]побудинковий звіт'!CM179</f>
        <v>0</v>
      </c>
      <c r="CN179" s="56">
        <f t="shared" si="201"/>
        <v>0</v>
      </c>
      <c r="CO179" s="42">
        <f t="shared" si="181"/>
        <v>280.76287765788197</v>
      </c>
      <c r="CP179" s="43">
        <f t="shared" si="202"/>
        <v>39.735985920609295</v>
      </c>
      <c r="CQ179" s="56">
        <f t="shared" si="203"/>
        <v>-241.02689173727268</v>
      </c>
      <c r="CR179" s="78">
        <f t="shared" si="182"/>
        <v>18042.82323241025</v>
      </c>
      <c r="CS179" s="5">
        <f t="shared" si="182"/>
        <v>12863.754175673144</v>
      </c>
      <c r="CT179" s="56">
        <f t="shared" si="204"/>
        <v>-5179.0690567371057</v>
      </c>
      <c r="CU179" s="87">
        <f t="shared" si="205"/>
        <v>21651.387878892299</v>
      </c>
      <c r="CV179" s="70">
        <f t="shared" si="206"/>
        <v>15436.505010807772</v>
      </c>
      <c r="CW179" s="37">
        <f t="shared" si="207"/>
        <v>-6214.8828680845272</v>
      </c>
      <c r="CX179" s="42">
        <f>'[1]побудинковий звіт'!CX179+'[2]побудинковий звіт'!CX179-'[3]побудинковий звіт'!CX179</f>
        <v>324.81212110768956</v>
      </c>
      <c r="CY179" s="42">
        <f>'[1]побудинковий звіт'!CY179+'[2]побудинковий звіт'!CY179-'[3]побудинковий звіт'!CY179</f>
        <v>6539.6949891922268</v>
      </c>
      <c r="CZ179" s="56">
        <f t="shared" si="208"/>
        <v>6214.8828680845372</v>
      </c>
      <c r="DA179" s="264">
        <f>'[4]побудинковий звіт'!DA179</f>
        <v>-4301.5309781462674</v>
      </c>
      <c r="DB179" s="2">
        <v>3</v>
      </c>
      <c r="DC179" s="717">
        <f>'[4]побудинковий звіт'!DC179</f>
        <v>2309.5700000000002</v>
      </c>
      <c r="DD179" s="717">
        <f>'[4]побудинковий звіт'!DD179</f>
        <v>0</v>
      </c>
      <c r="DE179" s="717">
        <f>'[4]побудинковий звіт'!DE179</f>
        <v>478.22000000000025</v>
      </c>
      <c r="DF179" s="717">
        <f>'[4]побудинковий звіт'!DF179</f>
        <v>0</v>
      </c>
      <c r="DG179" s="787">
        <v>4039.6376938380199</v>
      </c>
      <c r="DH179" s="761">
        <f t="shared" si="171"/>
        <v>263714.39999999991</v>
      </c>
      <c r="DI179" s="784"/>
      <c r="DJ179" s="5"/>
      <c r="DK179" s="317">
        <f>VLOOKUP($A179,ціни!$A$4:$G$401,5)</f>
        <v>4.6599149060805107</v>
      </c>
      <c r="DL179" s="317"/>
      <c r="DM179" s="317">
        <f>VLOOKUP($A179,ціни!$A$4:$G$401,7)</f>
        <v>3.9898510872216142</v>
      </c>
      <c r="DN179" s="30">
        <f t="shared" si="209"/>
        <v>477.17528638264434</v>
      </c>
      <c r="DO179" s="30">
        <f t="shared" si="210"/>
        <v>0</v>
      </c>
      <c r="DP179" s="316">
        <f t="shared" si="221"/>
        <v>477.17528638264434</v>
      </c>
      <c r="DQ179" s="104"/>
      <c r="DR179" s="30">
        <f>VLOOKUP(A179,'ДЗ нас '!$A$1:$C$359,2)</f>
        <v>1831.35</v>
      </c>
      <c r="DS179" s="748"/>
      <c r="DT179" s="30">
        <f t="shared" si="222"/>
        <v>1831.35</v>
      </c>
      <c r="DU179" s="257">
        <f>VLOOKUP(A179,'новий кошторис с 01.06'!$A$4:$AI$399,35)*1.2</f>
        <v>1836.7594050593646</v>
      </c>
      <c r="DV179" s="30">
        <f t="shared" si="223"/>
        <v>-5.4094050593646443</v>
      </c>
      <c r="DW179" s="930">
        <f>'[5]побудинковий звіт'!DW179+'[6]побудинковий звіт'!DW179</f>
        <v>204</v>
      </c>
      <c r="DY179" s="5">
        <f t="shared" si="167"/>
        <v>6399.9259301456477</v>
      </c>
      <c r="DZ179" s="5">
        <f t="shared" si="168"/>
        <v>876</v>
      </c>
      <c r="EA179" s="752">
        <f t="shared" si="172"/>
        <v>478.22000000000025</v>
      </c>
      <c r="EC179" s="592">
        <f t="shared" si="169"/>
        <v>52549.43562757795</v>
      </c>
      <c r="EE179" s="758">
        <v>-6218</v>
      </c>
      <c r="EF179" s="738">
        <f t="shared" si="170"/>
        <v>-2178.3623061619801</v>
      </c>
      <c r="EH179" s="813">
        <v>1208.980111648556</v>
      </c>
    </row>
    <row r="180" spans="1:138" x14ac:dyDescent="0.3">
      <c r="A180" s="328">
        <v>150000765</v>
      </c>
      <c r="B180" s="44" t="s">
        <v>631</v>
      </c>
      <c r="C180" s="45" t="s">
        <v>264</v>
      </c>
      <c r="D180" s="45" t="s">
        <v>264</v>
      </c>
      <c r="E180" s="40">
        <f t="shared" si="175"/>
        <v>180.22</v>
      </c>
      <c r="F180" s="490">
        <v>180.22</v>
      </c>
      <c r="G180" s="30"/>
      <c r="H180" s="30">
        <v>0</v>
      </c>
      <c r="I180" s="42">
        <f>'[1]побудинковий звіт'!I180+'[2]побудинковий звіт'!I180-'[3]побудинковий звіт'!I180</f>
        <v>15915.44936421159</v>
      </c>
      <c r="J180" s="42">
        <f>'[1]побудинковий звіт'!J180+'[2]побудинковий звіт'!J180-'[3]побудинковий звіт'!J180</f>
        <v>15904.24755653293</v>
      </c>
      <c r="K180" s="56">
        <f t="shared" si="183"/>
        <v>-11.201807678660771</v>
      </c>
      <c r="L180" s="42">
        <f>'[1]побудинковий звіт'!L180+'[2]побудинковий звіт'!L180-'[3]побудинковий звіт'!L180</f>
        <v>3281.4880495281341</v>
      </c>
      <c r="M180" s="42">
        <f>'[1]побудинковий звіт'!M180+'[2]побудинковий звіт'!M180-'[3]побудинковий звіт'!M180</f>
        <v>3324.772891554001</v>
      </c>
      <c r="N180" s="56">
        <f t="shared" si="184"/>
        <v>43.284842025866965</v>
      </c>
      <c r="O180" s="42">
        <f>'[1]побудинковий звіт'!O180+'[2]побудинковий звіт'!O180-'[3]побудинковий звіт'!O180</f>
        <v>6112.32</v>
      </c>
      <c r="P180" s="42">
        <f>'[1]побудинковий звіт'!P180+'[2]побудинковий звіт'!P180-'[3]побудинковий звіт'!P180</f>
        <v>6111.3599999999988</v>
      </c>
      <c r="Q180" s="56">
        <f t="shared" si="185"/>
        <v>-0.96000000000094587</v>
      </c>
      <c r="R180" s="42">
        <f>'[1]побудинковий звіт'!R180+'[2]побудинковий звіт'!R180-'[3]побудинковий звіт'!R180</f>
        <v>0</v>
      </c>
      <c r="S180" s="42">
        <f>'[1]побудинковий звіт'!S180+'[2]побудинковий звіт'!S180-'[3]побудинковий звіт'!S180</f>
        <v>0</v>
      </c>
      <c r="T180" s="56">
        <f t="shared" si="186"/>
        <v>0</v>
      </c>
      <c r="U180" s="42">
        <f>'[1]побудинковий звіт'!U180+'[2]побудинковий звіт'!U180-'[3]побудинковий звіт'!U180</f>
        <v>1294.4711018415646</v>
      </c>
      <c r="V180" s="42">
        <f>'[1]побудинковий звіт'!V180+'[2]побудинковий звіт'!V180-'[3]побудинковий звіт'!V180</f>
        <v>3453.3028900777299</v>
      </c>
      <c r="W180" s="56">
        <f t="shared" si="187"/>
        <v>2158.8317882361653</v>
      </c>
      <c r="X180" s="42">
        <f>'[1]побудинковий звіт'!X180+'[2]побудинковий звіт'!X180-'[3]побудинковий звіт'!X180</f>
        <v>11711.248205125867</v>
      </c>
      <c r="Y180" s="42">
        <f>'[1]побудинковий звіт'!Y180+'[2]побудинковий звіт'!Y180-'[3]побудинковий звіт'!Y180</f>
        <v>9310.4041115355012</v>
      </c>
      <c r="Z180" s="56">
        <f t="shared" si="188"/>
        <v>-2400.8440935903654</v>
      </c>
      <c r="AA180" s="42">
        <f>'[1]побудинковий звіт'!AA180+'[2]побудинковий звіт'!AA180-'[3]побудинковий звіт'!AA180</f>
        <v>0</v>
      </c>
      <c r="AB180" s="42">
        <f>'[1]побудинковий звіт'!AB180+'[2]побудинковий звіт'!AB180-'[3]побудинковий звіт'!AB180</f>
        <v>0</v>
      </c>
      <c r="AC180" s="56">
        <f t="shared" si="189"/>
        <v>0</v>
      </c>
      <c r="AD180" s="42">
        <f>'[1]побудинковий звіт'!AD180+'[2]побудинковий звіт'!AD180-'[3]побудинковий звіт'!AD180</f>
        <v>19343.90461453034</v>
      </c>
      <c r="AE180" s="42">
        <f>'[1]побудинковий звіт'!AE180+'[2]побудинковий звіт'!AE180-'[3]побудинковий звіт'!AE180</f>
        <v>17828.874697825348</v>
      </c>
      <c r="AF180" s="37">
        <f t="shared" si="190"/>
        <v>-1515.0299167049925</v>
      </c>
      <c r="AG180" s="87">
        <f t="shared" si="180"/>
        <v>57658.8813352375</v>
      </c>
      <c r="AH180" s="57">
        <f t="shared" si="180"/>
        <v>55932.962147525504</v>
      </c>
      <c r="AI180" s="56">
        <f t="shared" si="191"/>
        <v>-1725.9191877119956</v>
      </c>
      <c r="AJ180" s="42">
        <f>'[1]побудинковий звіт'!AJ180+'[2]побудинковий звіт'!AJ180-'[3]побудинковий звіт'!AJ180</f>
        <v>0</v>
      </c>
      <c r="AK180" s="42">
        <f>'[1]побудинковий звіт'!AK180+'[2]побудинковий звіт'!AK180-'[3]побудинковий звіт'!AK180</f>
        <v>0</v>
      </c>
      <c r="AL180" s="56">
        <f t="shared" si="192"/>
        <v>0</v>
      </c>
      <c r="AM180" s="42">
        <f>'[1]побудинковий звіт'!AM180+'[2]побудинковий звіт'!AM180-'[3]побудинковий звіт'!AM180</f>
        <v>0</v>
      </c>
      <c r="AN180" s="42">
        <f>'[1]побудинковий звіт'!AN180+'[2]побудинковий звіт'!AN180-'[3]побудинковий звіт'!AN180</f>
        <v>0</v>
      </c>
      <c r="AO180" s="56">
        <f t="shared" si="193"/>
        <v>0</v>
      </c>
      <c r="AP180" s="42">
        <f>'[1]побудинковий звіт'!AP180+'[2]побудинковий звіт'!AP180-'[3]побудинковий звіт'!AP180</f>
        <v>18940.352857873</v>
      </c>
      <c r="AQ180" s="42">
        <f>'[1]побудинковий звіт'!AQ180+'[2]побудинковий звіт'!AQ180-'[3]побудинковий звіт'!AQ180</f>
        <v>12849.178261721818</v>
      </c>
      <c r="AR180" s="56">
        <f t="shared" si="194"/>
        <v>-6091.1745961511824</v>
      </c>
      <c r="AS180" s="42">
        <f>'[1]побудинковий звіт'!AS180+'[2]побудинковий звіт'!AS180-'[3]побудинковий звіт'!AS180</f>
        <v>56114.131644006571</v>
      </c>
      <c r="AT180" s="42">
        <f>'[1]побудинковий звіт'!AT180+'[2]побудинковий звіт'!AT180-'[3]побудинковий звіт'!AT180</f>
        <v>3495.1697394801577</v>
      </c>
      <c r="AU180" s="58">
        <f t="shared" si="211"/>
        <v>-52618.961904526412</v>
      </c>
      <c r="AV180" s="42">
        <f>'[1]побудинковий звіт'!AV180+'[2]побудинковий звіт'!AV180-'[3]побудинковий звіт'!AV180</f>
        <v>2580.5496832475001</v>
      </c>
      <c r="AW180" s="42">
        <f>'[1]побудинковий звіт'!AW180+'[2]побудинковий звіт'!AW180-'[3]побудинковий звіт'!AW180</f>
        <v>843</v>
      </c>
      <c r="AX180" s="59">
        <f t="shared" si="212"/>
        <v>-1737.5496832475001</v>
      </c>
      <c r="AY180" s="42">
        <f>'[1]побудинковий звіт'!AY180+'[2]побудинковий звіт'!AY180-'[3]побудинковий звіт'!AY180</f>
        <v>4229.1776649693138</v>
      </c>
      <c r="AZ180" s="42">
        <f>'[1]побудинковий звіт'!AZ180+'[2]побудинковий звіт'!AZ180-'[3]побудинковий звіт'!AZ180</f>
        <v>0</v>
      </c>
      <c r="BA180" s="37">
        <f t="shared" si="213"/>
        <v>-4229.1776649693138</v>
      </c>
      <c r="BB180" s="42">
        <f>'[1]побудинковий звіт'!BB180+'[2]побудинковий звіт'!BB180-'[3]побудинковий звіт'!BB180</f>
        <v>3657.461409625545</v>
      </c>
      <c r="BC180" s="42">
        <f>'[1]побудинковий звіт'!BC180+'[2]побудинковий звіт'!BC180-'[3]побудинковий звіт'!BC180</f>
        <v>0</v>
      </c>
      <c r="BD180" s="59">
        <f t="shared" si="214"/>
        <v>-3657.461409625545</v>
      </c>
      <c r="BE180" s="42">
        <f>'[1]побудинковий звіт'!BE180+'[2]побудинковий звіт'!BE180-'[3]побудинковий звіт'!BE180</f>
        <v>0</v>
      </c>
      <c r="BF180" s="42">
        <f>'[1]побудинковий звіт'!BF180+'[2]побудинковий звіт'!BF180-'[3]побудинковий звіт'!BF180</f>
        <v>0</v>
      </c>
      <c r="BG180" s="39">
        <f t="shared" si="215"/>
        <v>0</v>
      </c>
      <c r="BH180" s="42">
        <f>'[1]побудинковий звіт'!BH180+'[2]побудинковий звіт'!BH180-'[3]побудинковий звіт'!BH180</f>
        <v>1313.1883369600605</v>
      </c>
      <c r="BI180" s="42">
        <f>'[1]побудинковий звіт'!BI180+'[2]побудинковий звіт'!BI180-'[3]побудинковий звіт'!BI180</f>
        <v>0</v>
      </c>
      <c r="BJ180" s="59">
        <f t="shared" si="216"/>
        <v>-1313.1883369600605</v>
      </c>
      <c r="BK180" s="42">
        <f>'[1]побудинковий звіт'!BK180+'[2]побудинковий звіт'!BK180-'[3]побудинковий звіт'!BK180</f>
        <v>1720.850668314974</v>
      </c>
      <c r="BL180" s="42">
        <f>'[1]побудинковий звіт'!BL180+'[2]побудинковий звіт'!BL180-'[3]побудинковий звіт'!BL180</f>
        <v>2207</v>
      </c>
      <c r="BM180" s="39">
        <f t="shared" si="217"/>
        <v>486.14933168502603</v>
      </c>
      <c r="BN180" s="42">
        <f>'[1]побудинковий звіт'!BN180+'[2]побудинковий звіт'!BN180-'[3]побудинковий звіт'!BN180</f>
        <v>0</v>
      </c>
      <c r="BO180" s="42">
        <f>'[1]побудинковий звіт'!BO180+'[2]побудинковий звіт'!BO180-'[3]побудинковий звіт'!BO180</f>
        <v>0</v>
      </c>
      <c r="BP180" s="59">
        <f t="shared" si="218"/>
        <v>0</v>
      </c>
      <c r="BQ180" s="87">
        <f t="shared" si="176"/>
        <v>13501.227763117393</v>
      </c>
      <c r="BR180" s="43">
        <f t="shared" si="220"/>
        <v>3050</v>
      </c>
      <c r="BS180" s="59">
        <f t="shared" si="219"/>
        <v>-10451.227763117393</v>
      </c>
      <c r="BT180" s="42">
        <f>'[1]побудинковий звіт'!BT180+'[2]побудинковий звіт'!BT180-'[3]побудинковий звіт'!BT180</f>
        <v>40136.279211105444</v>
      </c>
      <c r="BU180" s="42">
        <f>'[1]побудинковий звіт'!BU180+'[2]побудинковий звіт'!BU180-'[3]побудинковий звіт'!BU180</f>
        <v>54375.040631767646</v>
      </c>
      <c r="BV180" s="56">
        <f t="shared" si="195"/>
        <v>14238.761420662202</v>
      </c>
      <c r="BW180" s="42">
        <f>'[1]побудинковий звіт'!BW180+'[2]побудинковий звіт'!BW180-'[3]побудинковий звіт'!BW180</f>
        <v>24909.299538851934</v>
      </c>
      <c r="BX180" s="42">
        <f>'[1]побудинковий звіт'!BX180+'[2]побудинковий звіт'!BX180-'[3]побудинковий звіт'!BX180</f>
        <v>24995.228904164826</v>
      </c>
      <c r="BY180" s="56">
        <f t="shared" si="196"/>
        <v>85.929365312891605</v>
      </c>
      <c r="BZ180" s="42">
        <f>'[1]побудинковий звіт'!BZ180+'[2]побудинковий звіт'!BZ180-'[3]побудинковий звіт'!BZ180</f>
        <v>15584.633680991747</v>
      </c>
      <c r="CA180" s="42">
        <f>'[1]побудинковий звіт'!CA180+'[2]побудинковий звіт'!CA180-'[3]побудинковий звіт'!CA180</f>
        <v>12498.238077789705</v>
      </c>
      <c r="CB180" s="56">
        <f t="shared" si="197"/>
        <v>-3086.3956032020415</v>
      </c>
      <c r="CC180" s="42">
        <f>'[1]побудинковий звіт'!CC180+'[2]побудинковий звіт'!CC180-'[3]побудинковий звіт'!CC180</f>
        <v>2081.8701074940354</v>
      </c>
      <c r="CD180" s="42">
        <f>'[1]побудинковий звіт'!CD180+'[2]побудинковий звіт'!CD180-'[3]побудинковий звіт'!CD180</f>
        <v>2063.5594713112964</v>
      </c>
      <c r="CE180" s="56">
        <f t="shared" si="198"/>
        <v>-18.310636182739017</v>
      </c>
      <c r="CF180" s="42">
        <f>'[1]побудинковий звіт'!CF180+'[2]побудинковий звіт'!CF180-'[3]побудинковий звіт'!CF180</f>
        <v>256.29082762710669</v>
      </c>
      <c r="CG180" s="42">
        <f>'[1]побудинковий звіт'!CG180+'[2]побудинковий звіт'!CG180-'[3]побудинковий звіт'!CG180</f>
        <v>0</v>
      </c>
      <c r="CH180" s="56">
        <f t="shared" si="199"/>
        <v>-256.29082762710669</v>
      </c>
      <c r="CI180" s="42">
        <f>'[1]побудинковий звіт'!CI180+'[2]побудинковий звіт'!CI180-'[3]побудинковий звіт'!CI180</f>
        <v>7374.7049198136983</v>
      </c>
      <c r="CJ180" s="42">
        <f>'[1]побудинковий звіт'!CJ180+'[2]побудинковий звіт'!CJ180-'[3]побудинковий звіт'!CJ180</f>
        <v>10445.537836986321</v>
      </c>
      <c r="CK180" s="56">
        <f t="shared" si="200"/>
        <v>3070.8329171726227</v>
      </c>
      <c r="CL180" s="42">
        <f>'[1]побудинковий звіт'!CL180+'[2]побудинковий звіт'!CL180-'[3]побудинковий звіт'!CL180</f>
        <v>0</v>
      </c>
      <c r="CM180" s="42">
        <f>'[1]побудинковий звіт'!CM180+'[2]побудинковий звіт'!CM180-'[3]побудинковий звіт'!CM180</f>
        <v>0</v>
      </c>
      <c r="CN180" s="56">
        <f t="shared" si="201"/>
        <v>0</v>
      </c>
      <c r="CO180" s="42">
        <f t="shared" si="181"/>
        <v>7374.7049198136983</v>
      </c>
      <c r="CP180" s="43">
        <f t="shared" si="202"/>
        <v>10445.537836986321</v>
      </c>
      <c r="CQ180" s="56">
        <f t="shared" si="203"/>
        <v>3070.8329171726227</v>
      </c>
      <c r="CR180" s="78">
        <f t="shared" si="182"/>
        <v>236557.67188611845</v>
      </c>
      <c r="CS180" s="5">
        <f t="shared" si="182"/>
        <v>179704.91507074732</v>
      </c>
      <c r="CT180" s="56">
        <f t="shared" si="204"/>
        <v>-56852.756815371133</v>
      </c>
      <c r="CU180" s="87">
        <f t="shared" si="205"/>
        <v>283869.20626334212</v>
      </c>
      <c r="CV180" s="70">
        <f t="shared" si="206"/>
        <v>215645.89808489676</v>
      </c>
      <c r="CW180" s="37">
        <f t="shared" si="207"/>
        <v>-68223.308178445353</v>
      </c>
      <c r="CX180" s="42">
        <f>'[1]побудинковий звіт'!CX180+'[2]побудинковий звіт'!CX180-'[3]побудинковий звіт'!CX180</f>
        <v>14195.003736657953</v>
      </c>
      <c r="CY180" s="42">
        <f>'[1]побудинковий звіт'!CY180+'[2]побудинковий звіт'!CY180-'[3]побудинковий звіт'!CY180</f>
        <v>82418.311915103259</v>
      </c>
      <c r="CZ180" s="56">
        <f t="shared" si="208"/>
        <v>68223.30817844531</v>
      </c>
      <c r="DA180" s="264">
        <f>'[4]побудинковий звіт'!DA180</f>
        <v>-47897.508217598515</v>
      </c>
      <c r="DB180" s="2">
        <v>2</v>
      </c>
      <c r="DC180" s="717">
        <f>'[4]побудинковий звіт'!DC180</f>
        <v>88851.55</v>
      </c>
      <c r="DD180" s="717">
        <f>'[4]побудинковий звіт'!DD180</f>
        <v>0</v>
      </c>
      <c r="DE180" s="717">
        <f>'[4]побудинковий звіт'!DE180</f>
        <v>64011.12</v>
      </c>
      <c r="DF180" s="717">
        <f>'[4]побудинковий звіт'!DF180</f>
        <v>0</v>
      </c>
      <c r="DG180" s="787">
        <v>-122157.50060439087</v>
      </c>
      <c r="DH180" s="761">
        <f t="shared" si="171"/>
        <v>3576770.5200000009</v>
      </c>
      <c r="DI180" s="784"/>
      <c r="DJ180" s="5"/>
      <c r="DK180" s="317">
        <f>VLOOKUP($A180,ціни!$A$4:$G$401,5)</f>
        <v>5.4903847577795872</v>
      </c>
      <c r="DL180" s="317"/>
      <c r="DM180" s="317">
        <f>VLOOKUP($A180,ціни!$A$4:$G$401,7)</f>
        <v>4.9122524257158977</v>
      </c>
      <c r="DN180" s="30">
        <f t="shared" si="209"/>
        <v>989.47714104703721</v>
      </c>
      <c r="DO180" s="30">
        <f t="shared" si="210"/>
        <v>0</v>
      </c>
      <c r="DP180" s="316">
        <f t="shared" si="221"/>
        <v>989.47714104703721</v>
      </c>
      <c r="DQ180" s="104"/>
      <c r="DR180" s="30">
        <f>VLOOKUP(A180,'ДЗ нас '!$A$1:$C$359,2)</f>
        <v>24840.43</v>
      </c>
      <c r="DS180" s="748"/>
      <c r="DT180" s="30">
        <f t="shared" si="222"/>
        <v>24840.43</v>
      </c>
      <c r="DU180" s="257">
        <f>VLOOKUP(A180,'новий кошторис с 01.06'!$A$4:$AI$399,35)*1.2</f>
        <v>25075.113219928549</v>
      </c>
      <c r="DV180" s="30">
        <f t="shared" si="223"/>
        <v>-234.68321992854908</v>
      </c>
      <c r="DW180" s="930">
        <f>'[5]побудинковий звіт'!DW180+'[6]побудинковий звіт'!DW180</f>
        <v>302</v>
      </c>
      <c r="DY180" s="5">
        <f t="shared" si="167"/>
        <v>83538.43128854876</v>
      </c>
      <c r="DZ180" s="5">
        <f t="shared" si="168"/>
        <v>7854.203687376189</v>
      </c>
      <c r="EA180" s="752">
        <f t="shared" si="172"/>
        <v>64011.12</v>
      </c>
      <c r="EC180" s="592">
        <f t="shared" si="169"/>
        <v>673369.5797280788</v>
      </c>
      <c r="EE180" s="758">
        <v>110102</v>
      </c>
      <c r="EF180" s="738">
        <f t="shared" si="170"/>
        <v>-12055.500604390865</v>
      </c>
      <c r="EH180" s="813">
        <v>11448.591954878299</v>
      </c>
    </row>
    <row r="181" spans="1:138" x14ac:dyDescent="0.3">
      <c r="A181" s="328">
        <v>150000696</v>
      </c>
      <c r="B181" s="44" t="s">
        <v>632</v>
      </c>
      <c r="C181" s="45" t="s">
        <v>370</v>
      </c>
      <c r="D181" s="45" t="s">
        <v>370</v>
      </c>
      <c r="E181" s="40">
        <f t="shared" si="175"/>
        <v>278.3</v>
      </c>
      <c r="F181" s="490">
        <v>278.3</v>
      </c>
      <c r="G181" s="30">
        <v>706.38</v>
      </c>
      <c r="H181" s="30">
        <v>0</v>
      </c>
      <c r="I181" s="42">
        <f>'[1]побудинковий звіт'!I181+'[2]побудинковий звіт'!I181-'[3]побудинковий звіт'!I181</f>
        <v>22187.942703874636</v>
      </c>
      <c r="J181" s="42">
        <f>'[1]побудинковий звіт'!J181+'[2]побудинковий звіт'!J181-'[3]побудинковий звіт'!J181</f>
        <v>20548.777128658774</v>
      </c>
      <c r="K181" s="56">
        <f t="shared" si="183"/>
        <v>-1639.1655752158622</v>
      </c>
      <c r="L181" s="42">
        <f>'[1]побудинковий звіт'!L181+'[2]побудинковий звіт'!L181-'[3]побудинковий звіт'!L181</f>
        <v>4128.3503074907958</v>
      </c>
      <c r="M181" s="42">
        <f>'[1]побудинковий звіт'!M181+'[2]побудинковий звіт'!M181-'[3]побудинковий звіт'!M181</f>
        <v>3953.0041159644657</v>
      </c>
      <c r="N181" s="56">
        <f t="shared" si="184"/>
        <v>-175.34619152633013</v>
      </c>
      <c r="O181" s="42">
        <f>'[1]побудинковий звіт'!O181+'[2]побудинковий звіт'!O181-'[3]побудинковий звіт'!O181</f>
        <v>8150.0399999999991</v>
      </c>
      <c r="P181" s="42">
        <f>'[1]побудинковий звіт'!P181+'[2]побудинковий звіт'!P181-'[3]побудинковий звіт'!P181</f>
        <v>8151</v>
      </c>
      <c r="Q181" s="56">
        <f t="shared" si="185"/>
        <v>0.96000000000094587</v>
      </c>
      <c r="R181" s="42">
        <f>'[1]побудинковий звіт'!R181+'[2]побудинковий звіт'!R181-'[3]побудинковий звіт'!R181</f>
        <v>2024.0400000000002</v>
      </c>
      <c r="S181" s="42">
        <f>'[1]побудинковий звіт'!S181+'[2]побудинковий звіт'!S181-'[3]побудинковий звіт'!S181</f>
        <v>2023.5600000000006</v>
      </c>
      <c r="T181" s="56">
        <f t="shared" si="186"/>
        <v>-0.47999999999956344</v>
      </c>
      <c r="U181" s="42">
        <f>'[1]побудинковий звіт'!U181+'[2]побудинковий звіт'!U181-'[3]побудинковий звіт'!U181</f>
        <v>1170.2323882178873</v>
      </c>
      <c r="V181" s="42">
        <f>'[1]побудинковий звіт'!V181+'[2]побудинковий звіт'!V181-'[3]побудинковий звіт'!V181</f>
        <v>794.60674028139147</v>
      </c>
      <c r="W181" s="56">
        <f t="shared" si="187"/>
        <v>-375.62564793649585</v>
      </c>
      <c r="X181" s="42">
        <f>'[1]побудинковий звіт'!X181+'[2]побудинковий звіт'!X181-'[3]побудинковий звіт'!X181</f>
        <v>12399.077570578069</v>
      </c>
      <c r="Y181" s="42">
        <f>'[1]побудинковий звіт'!Y181+'[2]побудинковий звіт'!Y181-'[3]побудинковий звіт'!Y181</f>
        <v>10985.107956622805</v>
      </c>
      <c r="Z181" s="56">
        <f t="shared" si="188"/>
        <v>-1413.9696139552634</v>
      </c>
      <c r="AA181" s="42">
        <f>'[1]побудинковий звіт'!AA181+'[2]побудинковий звіт'!AA181-'[3]побудинковий звіт'!AA181</f>
        <v>0</v>
      </c>
      <c r="AB181" s="42">
        <f>'[1]побудинковий звіт'!AB181+'[2]побудинковий звіт'!AB181-'[3]побудинковий звіт'!AB181</f>
        <v>0</v>
      </c>
      <c r="AC181" s="56">
        <f t="shared" si="189"/>
        <v>0</v>
      </c>
      <c r="AD181" s="42">
        <f>'[1]побудинковий звіт'!AD181+'[2]побудинковий звіт'!AD181-'[3]побудинковий звіт'!AD181</f>
        <v>26964.975706051868</v>
      </c>
      <c r="AE181" s="42">
        <f>'[1]побудинковий звіт'!AE181+'[2]побудинковий звіт'!AE181-'[3]побудинковий звіт'!AE181</f>
        <v>24854.753922197611</v>
      </c>
      <c r="AF181" s="37">
        <f t="shared" si="190"/>
        <v>-2110.2217838542565</v>
      </c>
      <c r="AG181" s="87">
        <f t="shared" si="180"/>
        <v>77024.658676213265</v>
      </c>
      <c r="AH181" s="57">
        <f t="shared" si="180"/>
        <v>71310.809863725051</v>
      </c>
      <c r="AI181" s="56">
        <f t="shared" si="191"/>
        <v>-5713.8488124882133</v>
      </c>
      <c r="AJ181" s="42">
        <f>'[1]побудинковий звіт'!AJ181+'[2]побудинковий звіт'!AJ181-'[3]побудинковий звіт'!AJ181</f>
        <v>86413.599575368164</v>
      </c>
      <c r="AK181" s="42">
        <f>'[1]побудинковий звіт'!AK181+'[2]побудинковий звіт'!AK181-'[3]побудинковий звіт'!AK181</f>
        <v>85653.418592515969</v>
      </c>
      <c r="AL181" s="56">
        <f t="shared" si="192"/>
        <v>-760.18098285219457</v>
      </c>
      <c r="AM181" s="42">
        <f>'[1]побудинковий звіт'!AM181+'[2]побудинковий звіт'!AM181-'[3]побудинковий звіт'!AM181</f>
        <v>0</v>
      </c>
      <c r="AN181" s="42">
        <f>'[1]побудинковий звіт'!AN181+'[2]побудинковий звіт'!AN181-'[3]побудинковий звіт'!AN181</f>
        <v>0</v>
      </c>
      <c r="AO181" s="56">
        <f t="shared" si="193"/>
        <v>0</v>
      </c>
      <c r="AP181" s="42">
        <f>'[1]побудинковий звіт'!AP181+'[2]побудинковий звіт'!AP181-'[3]побудинковий звіт'!AP181</f>
        <v>5113.8952716257081</v>
      </c>
      <c r="AQ181" s="42">
        <f>'[1]побудинковий звіт'!AQ181+'[2]побудинковий звіт'!AQ181-'[3]побудинковий звіт'!AQ181</f>
        <v>9220.8815480277299</v>
      </c>
      <c r="AR181" s="56">
        <f t="shared" si="194"/>
        <v>4106.9862764020218</v>
      </c>
      <c r="AS181" s="42">
        <f>'[1]побудинковий звіт'!AS181+'[2]побудинковий звіт'!AS181-'[3]побудинковий звіт'!AS181</f>
        <v>167426.28</v>
      </c>
      <c r="AT181" s="42">
        <f>'[1]побудинковий звіт'!AT181+'[2]побудинковий звіт'!AT181-'[3]побудинковий звіт'!AT181</f>
        <v>171452.05209911571</v>
      </c>
      <c r="AU181" s="58">
        <f t="shared" si="211"/>
        <v>4025.7720991157112</v>
      </c>
      <c r="AV181" s="42">
        <f>'[1]побудинковий звіт'!AV181+'[2]побудинковий звіт'!AV181-'[3]побудинковий звіт'!AV181</f>
        <v>1942.6684336048625</v>
      </c>
      <c r="AW181" s="42">
        <f>'[1]побудинковий звіт'!AW181+'[2]побудинковий звіт'!AW181-'[3]побудинковий звіт'!AW181</f>
        <v>4463</v>
      </c>
      <c r="AX181" s="59">
        <f t="shared" si="212"/>
        <v>2520.3315663951375</v>
      </c>
      <c r="AY181" s="42">
        <f>'[1]побудинковий звіт'!AY181+'[2]побудинковий звіт'!AY181-'[3]побудинковий звіт'!AY181</f>
        <v>2729.3950916029771</v>
      </c>
      <c r="AZ181" s="42">
        <f>'[1]побудинковий звіт'!AZ181+'[2]побудинковий звіт'!AZ181-'[3]побудинковий звіт'!AZ181</f>
        <v>0</v>
      </c>
      <c r="BA181" s="37">
        <f t="shared" si="213"/>
        <v>-2729.3950916029771</v>
      </c>
      <c r="BB181" s="42">
        <f>'[1]побудинковий звіт'!BB181+'[2]побудинковий звіт'!BB181-'[3]побудинковий звіт'!BB181</f>
        <v>3285.0079130438471</v>
      </c>
      <c r="BC181" s="42">
        <f>'[1]побудинковий звіт'!BC181+'[2]побудинковий звіт'!BC181-'[3]побудинковий звіт'!BC181</f>
        <v>1906</v>
      </c>
      <c r="BD181" s="59">
        <f t="shared" si="214"/>
        <v>-1379.0079130438471</v>
      </c>
      <c r="BE181" s="42">
        <f>'[1]побудинковий звіт'!BE181+'[2]побудинковий звіт'!BE181-'[3]побудинковий звіт'!BE181</f>
        <v>1117.4018823354661</v>
      </c>
      <c r="BF181" s="42">
        <f>'[1]побудинковий звіт'!BF181+'[2]побудинковий звіт'!BF181-'[3]побудинковий звіт'!BF181</f>
        <v>0</v>
      </c>
      <c r="BG181" s="39">
        <f t="shared" si="215"/>
        <v>-1117.4018823354661</v>
      </c>
      <c r="BH181" s="42">
        <f>'[1]побудинковий звіт'!BH181+'[2]побудинковий звіт'!BH181-'[3]побудинковий звіт'!BH181</f>
        <v>593.65087276649558</v>
      </c>
      <c r="BI181" s="42">
        <f>'[1]побудинковий звіт'!BI181+'[2]побудинковий звіт'!BI181-'[3]побудинковий звіт'!BI181</f>
        <v>2325</v>
      </c>
      <c r="BJ181" s="59">
        <f t="shared" si="216"/>
        <v>1731.3491272335045</v>
      </c>
      <c r="BK181" s="42">
        <f>'[1]побудинковий звіт'!BK181+'[2]побудинковий звіт'!BK181-'[3]побудинковий звіт'!BK181</f>
        <v>1409.5133746895701</v>
      </c>
      <c r="BL181" s="42">
        <f>'[1]побудинковий звіт'!BL181+'[2]побудинковий звіт'!BL181-'[3]побудинковий звіт'!BL181</f>
        <v>2173</v>
      </c>
      <c r="BM181" s="39">
        <f t="shared" si="217"/>
        <v>763.48662531042987</v>
      </c>
      <c r="BN181" s="42">
        <f>'[1]побудинковий звіт'!BN181+'[2]побудинковий звіт'!BN181-'[3]побудинковий звіт'!BN181</f>
        <v>0</v>
      </c>
      <c r="BO181" s="42">
        <f>'[1]побудинковий звіт'!BO181+'[2]побудинковий звіт'!BO181-'[3]побудинковий звіт'!BO181</f>
        <v>0</v>
      </c>
      <c r="BP181" s="59">
        <f t="shared" si="218"/>
        <v>0</v>
      </c>
      <c r="BQ181" s="87">
        <f t="shared" si="176"/>
        <v>11077.637568043217</v>
      </c>
      <c r="BR181" s="43">
        <f t="shared" si="220"/>
        <v>10867</v>
      </c>
      <c r="BS181" s="59">
        <f t="shared" si="219"/>
        <v>-210.63756804321747</v>
      </c>
      <c r="BT181" s="42">
        <f>'[1]побудинковий звіт'!BT181+'[2]побудинковий звіт'!BT181-'[3]побудинковий звіт'!BT181</f>
        <v>37694.87999999999</v>
      </c>
      <c r="BU181" s="42">
        <f>'[1]побудинковий звіт'!BU181+'[2]побудинковий звіт'!BU181-'[3]побудинковий звіт'!BU181</f>
        <v>51210.710272402277</v>
      </c>
      <c r="BV181" s="56">
        <f t="shared" si="195"/>
        <v>13515.830272402287</v>
      </c>
      <c r="BW181" s="42">
        <f>'[1]побудинковий звіт'!BW181+'[2]побудинковий звіт'!BW181-'[3]побудинковий звіт'!BW181</f>
        <v>50822.399999999987</v>
      </c>
      <c r="BX181" s="42">
        <f>'[1]побудинковий звіт'!BX181+'[2]побудинковий звіт'!BX181-'[3]побудинковий звіт'!BX181</f>
        <v>49069.511002793573</v>
      </c>
      <c r="BY181" s="56">
        <f t="shared" si="196"/>
        <v>-1752.8889972064135</v>
      </c>
      <c r="BZ181" s="42">
        <f>'[1]побудинковий звіт'!BZ181+'[2]побудинковий звіт'!BZ181-'[3]побудинковий звіт'!BZ181</f>
        <v>6232.2741706325187</v>
      </c>
      <c r="CA181" s="42">
        <f>'[1]побудинковий звіт'!CA181+'[2]побудинковий звіт'!CA181-'[3]побудинковий звіт'!CA181</f>
        <v>11977.141086094593</v>
      </c>
      <c r="CB181" s="56">
        <f t="shared" si="197"/>
        <v>5744.8669154620738</v>
      </c>
      <c r="CC181" s="42">
        <f>'[1]побудинковий звіт'!CC181+'[2]побудинковий звіт'!CC181-'[3]побудинковий звіт'!CC181</f>
        <v>1764.7952309924017</v>
      </c>
      <c r="CD181" s="42">
        <f>'[1]побудинковий звіт'!CD181+'[2]побудинковий звіт'!CD181-'[3]побудинковий звіт'!CD181</f>
        <v>1749.2733579920568</v>
      </c>
      <c r="CE181" s="56">
        <f t="shared" si="198"/>
        <v>-15.52187300034484</v>
      </c>
      <c r="CF181" s="42">
        <f>'[1]побудинковий звіт'!CF181+'[2]побудинковий звіт'!CF181-'[3]побудинковий звіт'!CF181</f>
        <v>217.25698866383735</v>
      </c>
      <c r="CG181" s="42">
        <f>'[1]побудинковий звіт'!CG181+'[2]побудинковий звіт'!CG181-'[3]побудинковий звіт'!CG181</f>
        <v>0</v>
      </c>
      <c r="CH181" s="56">
        <f t="shared" si="199"/>
        <v>-217.25698866383735</v>
      </c>
      <c r="CI181" s="42">
        <f>'[1]побудинковий звіт'!CI181+'[2]побудинковий звіт'!CI181-'[3]побудинковий звіт'!CI181</f>
        <v>36237.128743043962</v>
      </c>
      <c r="CJ181" s="42">
        <f>'[1]побудинковий звіт'!CJ181+'[2]побудинковий звіт'!CJ181-'[3]побудинковий звіт'!CJ181</f>
        <v>29529.890106712435</v>
      </c>
      <c r="CK181" s="56">
        <f t="shared" si="200"/>
        <v>-6707.2386363315272</v>
      </c>
      <c r="CL181" s="42">
        <f>'[1]побудинковий звіт'!CL181+'[2]побудинковий звіт'!CL181-'[3]побудинковий звіт'!CL181</f>
        <v>7479.5230608059774</v>
      </c>
      <c r="CM181" s="42">
        <f>'[1]побудинковий звіт'!CM181+'[2]побудинковий звіт'!CM181-'[3]побудинковий звіт'!CM181</f>
        <v>16520.741811622029</v>
      </c>
      <c r="CN181" s="56">
        <f t="shared" si="201"/>
        <v>9041.2187508160514</v>
      </c>
      <c r="CO181" s="42">
        <f t="shared" si="181"/>
        <v>43716.651803849942</v>
      </c>
      <c r="CP181" s="43">
        <f t="shared" si="202"/>
        <v>46050.63191833446</v>
      </c>
      <c r="CQ181" s="56">
        <f t="shared" si="203"/>
        <v>2333.9801144845187</v>
      </c>
      <c r="CR181" s="78">
        <f t="shared" si="182"/>
        <v>487504.32928538905</v>
      </c>
      <c r="CS181" s="5">
        <f t="shared" si="182"/>
        <v>508561.42974100146</v>
      </c>
      <c r="CT181" s="56">
        <f t="shared" si="204"/>
        <v>21057.10045561241</v>
      </c>
      <c r="CU181" s="87">
        <f t="shared" si="205"/>
        <v>585005.19514246681</v>
      </c>
      <c r="CV181" s="70">
        <f t="shared" si="206"/>
        <v>610273.71568920172</v>
      </c>
      <c r="CW181" s="37">
        <f t="shared" si="207"/>
        <v>25268.520546734915</v>
      </c>
      <c r="CX181" s="42">
        <f>'[1]побудинковий звіт'!CX181+'[2]побудинковий звіт'!CX181-'[3]побудинковий звіт'!CX181</f>
        <v>6568.6748575332604</v>
      </c>
      <c r="CY181" s="42">
        <f>'[1]побудинковий звіт'!CY181+'[2]побудинковий звіт'!CY181-'[3]побудинковий звіт'!CY181</f>
        <v>-18699.84568920164</v>
      </c>
      <c r="CZ181" s="56">
        <f t="shared" si="208"/>
        <v>-25268.520546734901</v>
      </c>
      <c r="DA181" s="264">
        <f>'[4]побудинковий звіт'!DA181</f>
        <v>-133686.16560005653</v>
      </c>
      <c r="DB181" s="2">
        <v>3</v>
      </c>
      <c r="DC181" s="717">
        <f>'[4]побудинковий звіт'!DC181</f>
        <v>147482.47</v>
      </c>
      <c r="DD181" s="717">
        <f>'[4]побудинковий звіт'!DD181</f>
        <v>0</v>
      </c>
      <c r="DE181" s="717">
        <f>'[4]побудинковий звіт'!DE181</f>
        <v>98172.52</v>
      </c>
      <c r="DF181" s="717">
        <f>'[4]побудинковий звіт'!DF181</f>
        <v>0</v>
      </c>
      <c r="DG181" s="787">
        <v>-71478.129429980647</v>
      </c>
      <c r="DH181" s="761">
        <f t="shared" si="171"/>
        <v>7098886.4400000013</v>
      </c>
      <c r="DI181" s="784"/>
      <c r="DJ181" s="5"/>
      <c r="DK181" s="317">
        <f>VLOOKUP($A181,ціни!$A$4:$G$401,5)</f>
        <v>6.3038884358153524</v>
      </c>
      <c r="DL181" s="317">
        <f>VLOOKUP($A181,ціни!$A$4:$G$401,6)</f>
        <v>7.9973209930616314</v>
      </c>
      <c r="DM181" s="317">
        <f>VLOOKUP($A181,ціни!$A$4:$G$401,7)</f>
        <v>5.3673448094976353</v>
      </c>
      <c r="DN181" s="30">
        <f>DK181*G181+(F181-G181)*DL181</f>
        <v>1029.4475425814253</v>
      </c>
      <c r="DO181" s="30">
        <f>DM181*H181</f>
        <v>0</v>
      </c>
      <c r="DP181" s="316">
        <f t="shared" si="221"/>
        <v>1029.4475425814253</v>
      </c>
      <c r="DQ181" s="104"/>
      <c r="DR181" s="30">
        <f>VLOOKUP(A181,'ДЗ нас '!$A$1:$C$359,2)</f>
        <v>49309.95</v>
      </c>
      <c r="DS181" s="748"/>
      <c r="DT181" s="30">
        <f t="shared" si="222"/>
        <v>49309.95</v>
      </c>
      <c r="DU181" s="257">
        <f>VLOOKUP(A181,'новий кошторис с 01.06'!$A$4:$AI$399,35)*1.2</f>
        <v>49335.359010733824</v>
      </c>
      <c r="DV181" s="30">
        <f t="shared" si="223"/>
        <v>-25.409010733827017</v>
      </c>
      <c r="DW181" s="930">
        <f>'[5]побудинковий звіт'!DW181+'[6]побудинковий звіт'!DW181</f>
        <v>276</v>
      </c>
      <c r="DY181" s="5">
        <f t="shared" si="167"/>
        <v>214204.70108165187</v>
      </c>
      <c r="DZ181" s="5">
        <f t="shared" si="168"/>
        <v>218782.86251893884</v>
      </c>
      <c r="EA181" s="752">
        <f t="shared" si="172"/>
        <v>98172.52</v>
      </c>
      <c r="EC181" s="592">
        <f t="shared" si="169"/>
        <v>2009115.3599999999</v>
      </c>
      <c r="EE181" s="758">
        <v>194355</v>
      </c>
      <c r="EF181" s="738">
        <f t="shared" si="170"/>
        <v>122876.87057001935</v>
      </c>
      <c r="EH181" s="813">
        <v>-180057.55906249786</v>
      </c>
    </row>
    <row r="182" spans="1:138" x14ac:dyDescent="0.3">
      <c r="A182" s="328">
        <v>150000697</v>
      </c>
      <c r="B182" s="44" t="s">
        <v>633</v>
      </c>
      <c r="C182" s="45" t="s">
        <v>265</v>
      </c>
      <c r="D182" s="45" t="s">
        <v>265</v>
      </c>
      <c r="E182" s="40">
        <f t="shared" si="175"/>
        <v>151.80000000000001</v>
      </c>
      <c r="F182" s="490">
        <v>151.80000000000001</v>
      </c>
      <c r="G182" s="30"/>
      <c r="H182" s="30">
        <v>0</v>
      </c>
      <c r="I182" s="42">
        <f>'[1]побудинковий звіт'!I182+'[2]побудинковий звіт'!I182-'[3]побудинковий звіт'!I182</f>
        <v>10668.342402104554</v>
      </c>
      <c r="J182" s="42">
        <f>'[1]побудинковий звіт'!J182+'[2]побудинковий звіт'!J182-'[3]побудинковий звіт'!J182</f>
        <v>9710.4688749379238</v>
      </c>
      <c r="K182" s="56">
        <f t="shared" si="183"/>
        <v>-957.87352716663008</v>
      </c>
      <c r="L182" s="42">
        <f>'[1]побудинковий звіт'!L182+'[2]побудинковий звіт'!L182-'[3]побудинковий звіт'!L182</f>
        <v>2668.9857465346995</v>
      </c>
      <c r="M182" s="42">
        <f>'[1]побудинковий звіт'!M182+'[2]побудинковий звіт'!M182-'[3]побудинковий звіт'!M182</f>
        <v>2555.6262274942292</v>
      </c>
      <c r="N182" s="56">
        <f t="shared" si="184"/>
        <v>-113.35951904047033</v>
      </c>
      <c r="O182" s="42">
        <f>'[1]побудинковий звіт'!O182+'[2]побудинковий звіт'!O182-'[3]побудинковий звіт'!O182</f>
        <v>4058.5199999999995</v>
      </c>
      <c r="P182" s="42">
        <f>'[1]побудинковий звіт'!P182+'[2]побудинковий звіт'!P182-'[3]побудинковий звіт'!P182</f>
        <v>4059</v>
      </c>
      <c r="Q182" s="56">
        <f t="shared" si="185"/>
        <v>0.48000000000047294</v>
      </c>
      <c r="R182" s="42">
        <f>'[1]побудинковий звіт'!R182+'[2]побудинковий звіт'!R182-'[3]побудинковий звіт'!R182</f>
        <v>968.6400000000001</v>
      </c>
      <c r="S182" s="42">
        <f>'[1]побудинковий звіт'!S182+'[2]побудинковий звіт'!S182-'[3]побудинковий звіт'!S182</f>
        <v>968.76</v>
      </c>
      <c r="T182" s="56">
        <f t="shared" si="186"/>
        <v>0.11999999999989086</v>
      </c>
      <c r="U182" s="42">
        <f>'[1]побудинковий звіт'!U182+'[2]побудинковий звіт'!U182-'[3]побудинковий звіт'!U182</f>
        <v>709.3549077326212</v>
      </c>
      <c r="V182" s="42">
        <f>'[1]побудинковий звіт'!V182+'[2]побудинковий звіт'!V182-'[3]побудинковий звіт'!V182</f>
        <v>481.66505641930655</v>
      </c>
      <c r="W182" s="56">
        <f t="shared" si="187"/>
        <v>-227.68985131331465</v>
      </c>
      <c r="X182" s="42">
        <f>'[1]побудинковий звіт'!X182+'[2]побудинковий звіт'!X182-'[3]побудинковий звіт'!X182</f>
        <v>7965.4333604190297</v>
      </c>
      <c r="Y182" s="42">
        <f>'[1]побудинковий звіт'!Y182+'[2]побудинковий звіт'!Y182-'[3]побудинковий звіт'!Y182</f>
        <v>7046.9977154706376</v>
      </c>
      <c r="Z182" s="56">
        <f t="shared" si="188"/>
        <v>-918.43564494839211</v>
      </c>
      <c r="AA182" s="42">
        <f>'[1]побудинковий звіт'!AA182+'[2]побудинковий звіт'!AA182-'[3]побудинковий звіт'!AA182</f>
        <v>0</v>
      </c>
      <c r="AB182" s="42">
        <f>'[1]побудинковий звіт'!AB182+'[2]побудинковий звіт'!AB182-'[3]побудинковий звіт'!AB182</f>
        <v>0</v>
      </c>
      <c r="AC182" s="56">
        <f t="shared" si="189"/>
        <v>0</v>
      </c>
      <c r="AD182" s="42">
        <f>'[1]побудинковий звіт'!AD182+'[2]побудинковий звіт'!AD182-'[3]побудинковий звіт'!AD182</f>
        <v>11734.164476571807</v>
      </c>
      <c r="AE182" s="42">
        <f>'[1]побудинковий звіт'!AE182+'[2]побудинковий звіт'!AE182-'[3]побудинковий звіт'!AE182</f>
        <v>10815.301236774136</v>
      </c>
      <c r="AF182" s="37">
        <f t="shared" si="190"/>
        <v>-918.86323979767076</v>
      </c>
      <c r="AG182" s="87">
        <f t="shared" si="180"/>
        <v>38773.440893362706</v>
      </c>
      <c r="AH182" s="57">
        <f t="shared" si="180"/>
        <v>35637.819111096236</v>
      </c>
      <c r="AI182" s="56">
        <f t="shared" si="191"/>
        <v>-3135.6217822664694</v>
      </c>
      <c r="AJ182" s="42">
        <f>'[1]побудинковий звіт'!AJ182+'[2]побудинковий звіт'!AJ182-'[3]побудинковий звіт'!AJ182</f>
        <v>0</v>
      </c>
      <c r="AK182" s="42">
        <f>'[1]побудинковий звіт'!AK182+'[2]побудинковий звіт'!AK182-'[3]побудинковий звіт'!AK182</f>
        <v>0</v>
      </c>
      <c r="AL182" s="56">
        <f t="shared" si="192"/>
        <v>0</v>
      </c>
      <c r="AM182" s="42">
        <f>'[1]побудинковий звіт'!AM182+'[2]побудинковий звіт'!AM182-'[3]побудинковий звіт'!AM182</f>
        <v>0</v>
      </c>
      <c r="AN182" s="42">
        <f>'[1]побудинковий звіт'!AN182+'[2]побудинковий звіт'!AN182-'[3]побудинковий звіт'!AN182</f>
        <v>0</v>
      </c>
      <c r="AO182" s="56">
        <f t="shared" si="193"/>
        <v>0</v>
      </c>
      <c r="AP182" s="42">
        <f>'[1]побудинковий звіт'!AP182+'[2]побудинковий звіт'!AP182-'[3]побудинковий звіт'!AP182</f>
        <v>2841.0529286809497</v>
      </c>
      <c r="AQ182" s="42">
        <f>'[1]побудинковий звіт'!AQ182+'[2]побудинковий звіт'!AQ182-'[3]побудинковий звіт'!AQ182</f>
        <v>3064.3119491089865</v>
      </c>
      <c r="AR182" s="56">
        <f t="shared" si="194"/>
        <v>223.25902042803682</v>
      </c>
      <c r="AS182" s="42">
        <f>'[1]побудинковий звіт'!AS182+'[2]побудинковий звіт'!AS182-'[3]побудинковий звіт'!AS182</f>
        <v>49149.42088606122</v>
      </c>
      <c r="AT182" s="42">
        <f>'[1]побудинковий звіт'!AT182+'[2]побудинковий звіт'!AT182-'[3]побудинковий звіт'!AT182</f>
        <v>165313</v>
      </c>
      <c r="AU182" s="58">
        <f t="shared" si="211"/>
        <v>116163.57911393879</v>
      </c>
      <c r="AV182" s="42">
        <f>'[1]побудинковий звіт'!AV182+'[2]побудинковий звіт'!AV182-'[3]побудинковий звіт'!AV182</f>
        <v>1786.6581775625391</v>
      </c>
      <c r="AW182" s="42">
        <f>'[1]побудинковий звіт'!AW182+'[2]побудинковий звіт'!AW182-'[3]побудинковий звіт'!AW182</f>
        <v>1356</v>
      </c>
      <c r="AX182" s="59">
        <f t="shared" si="212"/>
        <v>-430.65817756253909</v>
      </c>
      <c r="AY182" s="42">
        <f>'[1]побудинковий звіт'!AY182+'[2]побудинковий звіт'!AY182-'[3]побудинковий звіт'!AY182</f>
        <v>3440.1651412626084</v>
      </c>
      <c r="AZ182" s="42">
        <f>'[1]побудинковий звіт'!AZ182+'[2]побудинковий звіт'!AZ182-'[3]побудинковий звіт'!AZ182</f>
        <v>0</v>
      </c>
      <c r="BA182" s="37">
        <f t="shared" si="213"/>
        <v>-3440.1651412626084</v>
      </c>
      <c r="BB182" s="42">
        <f>'[1]побудинковий звіт'!BB182+'[2]побудинковий звіт'!BB182-'[3]побудинковий звіт'!BB182</f>
        <v>1482.2087925686596</v>
      </c>
      <c r="BC182" s="42">
        <f>'[1]побудинковий звіт'!BC182+'[2]побудинковий звіт'!BC182-'[3]побудинковий звіт'!BC182</f>
        <v>0</v>
      </c>
      <c r="BD182" s="59">
        <f t="shared" si="214"/>
        <v>-1482.2087925686596</v>
      </c>
      <c r="BE182" s="42">
        <f>'[1]побудинковий звіт'!BE182+'[2]побудинковий звіт'!BE182-'[3]побудинковий звіт'!BE182</f>
        <v>1015.4632336225515</v>
      </c>
      <c r="BF182" s="42">
        <f>'[1]побудинковий звіт'!BF182+'[2]побудинковий звіт'!BF182-'[3]побудинковий звіт'!BF182</f>
        <v>0</v>
      </c>
      <c r="BG182" s="39">
        <f t="shared" si="215"/>
        <v>-1015.4632336225515</v>
      </c>
      <c r="BH182" s="42">
        <f>'[1]побудинковий звіт'!BH182+'[2]побудинковий звіт'!BH182-'[3]побудинковий звіт'!BH182</f>
        <v>719.6828414324732</v>
      </c>
      <c r="BI182" s="42">
        <f>'[1]побудинковий звіт'!BI182+'[2]побудинковий звіт'!BI182-'[3]побудинковий звіт'!BI182</f>
        <v>0</v>
      </c>
      <c r="BJ182" s="59">
        <f t="shared" si="216"/>
        <v>-719.6828414324732</v>
      </c>
      <c r="BK182" s="42">
        <f>'[1]побудинковий звіт'!BK182+'[2]побудинковий звіт'!BK182-'[3]побудинковий звіт'!BK182</f>
        <v>1078.9051097586912</v>
      </c>
      <c r="BL182" s="42">
        <f>'[1]побудинковий звіт'!BL182+'[2]побудинковий звіт'!BL182-'[3]побудинковий звіт'!BL182</f>
        <v>0</v>
      </c>
      <c r="BM182" s="39">
        <f t="shared" si="217"/>
        <v>-1078.9051097586912</v>
      </c>
      <c r="BN182" s="42">
        <f>'[1]побудинковий звіт'!BN182+'[2]побудинковий звіт'!BN182-'[3]побудинковий звіт'!BN182</f>
        <v>0</v>
      </c>
      <c r="BO182" s="42">
        <f>'[1]побудинковий звіт'!BO182+'[2]побудинковий звіт'!BO182-'[3]побудинковий звіт'!BO182</f>
        <v>0</v>
      </c>
      <c r="BP182" s="59">
        <f t="shared" si="218"/>
        <v>0</v>
      </c>
      <c r="BQ182" s="87">
        <f t="shared" si="176"/>
        <v>9523.0832962075219</v>
      </c>
      <c r="BR182" s="43">
        <f t="shared" si="220"/>
        <v>1356</v>
      </c>
      <c r="BS182" s="59">
        <f t="shared" si="219"/>
        <v>-8167.0832962075219</v>
      </c>
      <c r="BT182" s="42">
        <f>'[1]побудинковий звіт'!BT182+'[2]побудинковий звіт'!BT182-'[3]побудинковий звіт'!BT182</f>
        <v>26449.953146650132</v>
      </c>
      <c r="BU182" s="42">
        <f>'[1]побудинковий звіт'!BU182+'[2]побудинковий звіт'!BU182-'[3]побудинковий звіт'!BU182</f>
        <v>33228.226707219917</v>
      </c>
      <c r="BV182" s="56">
        <f t="shared" si="195"/>
        <v>6778.2735605697853</v>
      </c>
      <c r="BW182" s="42">
        <f>'[1]побудинковий звіт'!BW182+'[2]побудинковий звіт'!BW182-'[3]побудинковий звіт'!BW182</f>
        <v>18183.83317721502</v>
      </c>
      <c r="BX182" s="42">
        <f>'[1]побудинковий звіт'!BX182+'[2]побудинковий звіт'!BX182-'[3]побудинковий звіт'!BX182</f>
        <v>18368.683412860963</v>
      </c>
      <c r="BY182" s="56">
        <f t="shared" si="196"/>
        <v>184.85023564594303</v>
      </c>
      <c r="BZ182" s="42">
        <f>'[1]побудинковий звіт'!BZ182+'[2]побудинковий звіт'!BZ182-'[3]побудинковий звіт'!BZ182</f>
        <v>5249.0886386653337</v>
      </c>
      <c r="CA182" s="42">
        <f>'[1]побудинковий звіт'!CA182+'[2]побудинковий звіт'!CA182-'[3]побудинковий звіт'!CA182</f>
        <v>8597.4293227696344</v>
      </c>
      <c r="CB182" s="56">
        <f t="shared" si="197"/>
        <v>3348.3406841043006</v>
      </c>
      <c r="CC182" s="42">
        <f>'[1]побудинковий звіт'!CC182+'[2]побудинковий звіт'!CC182-'[3]побудинковий звіт'!CC182</f>
        <v>1617.7289617430351</v>
      </c>
      <c r="CD182" s="42">
        <f>'[1]побудинковий звіт'!CD182+'[2]побудинковий звіт'!CD182-'[3]побудинковий звіт'!CD182</f>
        <v>1603.5005781593859</v>
      </c>
      <c r="CE182" s="56">
        <f t="shared" si="198"/>
        <v>-14.228383583649247</v>
      </c>
      <c r="CF182" s="42">
        <f>'[1]побудинковий звіт'!CF182+'[2]побудинковий звіт'!CF182-'[3]побудинковий звіт'!CF182</f>
        <v>199.15223960851753</v>
      </c>
      <c r="CG182" s="42">
        <f>'[1]побудинковий звіт'!CG182+'[2]побудинковий звіт'!CG182-'[3]побудинковий звіт'!CG182</f>
        <v>0</v>
      </c>
      <c r="CH182" s="56">
        <f t="shared" si="199"/>
        <v>-199.15223960851753</v>
      </c>
      <c r="CI182" s="42">
        <f>'[1]побудинковий звіт'!CI182+'[2]побудинковий звіт'!CI182-'[3]побудинковий звіт'!CI182</f>
        <v>8572.6265311539955</v>
      </c>
      <c r="CJ182" s="42">
        <f>'[1]побудинковий звіт'!CJ182+'[2]побудинковий звіт'!CJ182-'[3]побудинковий звіт'!CJ182</f>
        <v>2578.7187905637993</v>
      </c>
      <c r="CK182" s="56">
        <f t="shared" si="200"/>
        <v>-5993.9077405901962</v>
      </c>
      <c r="CL182" s="42">
        <f>'[1]побудинковий звіт'!CL182+'[2]побудинковий звіт'!CL182-'[3]побудинковий звіт'!CL182</f>
        <v>0</v>
      </c>
      <c r="CM182" s="42">
        <f>'[1]побудинковий звіт'!CM182+'[2]побудинковий звіт'!CM182-'[3]побудинковий звіт'!CM182</f>
        <v>0</v>
      </c>
      <c r="CN182" s="56">
        <f t="shared" si="201"/>
        <v>0</v>
      </c>
      <c r="CO182" s="42">
        <f t="shared" si="181"/>
        <v>8572.6265311539955</v>
      </c>
      <c r="CP182" s="43">
        <f t="shared" si="202"/>
        <v>2578.7187905637993</v>
      </c>
      <c r="CQ182" s="56">
        <f t="shared" si="203"/>
        <v>-5993.9077405901962</v>
      </c>
      <c r="CR182" s="78">
        <f t="shared" si="182"/>
        <v>160559.38069934843</v>
      </c>
      <c r="CS182" s="5">
        <f t="shared" si="182"/>
        <v>269747.68987177894</v>
      </c>
      <c r="CT182" s="56">
        <f t="shared" si="204"/>
        <v>109188.30917243051</v>
      </c>
      <c r="CU182" s="87">
        <f t="shared" si="205"/>
        <v>192671.25683921811</v>
      </c>
      <c r="CV182" s="70">
        <f t="shared" si="206"/>
        <v>323697.22784613475</v>
      </c>
      <c r="CW182" s="37">
        <f t="shared" si="207"/>
        <v>131025.97100691663</v>
      </c>
      <c r="CX182" s="42">
        <f>'[1]побудинковий звіт'!CX182+'[2]побудинковий звіт'!CX182-'[3]побудинковий звіт'!CX182</f>
        <v>9614.263160781833</v>
      </c>
      <c r="CY182" s="42">
        <f>'[1]побудинковий звіт'!CY182+'[2]побудинковий звіт'!CY182-'[3]побудинковий звіт'!CY182</f>
        <v>-121411.70784613465</v>
      </c>
      <c r="CZ182" s="56">
        <f t="shared" si="208"/>
        <v>-131025.97100691649</v>
      </c>
      <c r="DA182" s="264">
        <f>'[4]побудинковий звіт'!DA182</f>
        <v>71620.437041679077</v>
      </c>
      <c r="DB182" s="2">
        <v>3</v>
      </c>
      <c r="DC182" s="717">
        <f>'[4]побудинковий звіт'!DC182</f>
        <v>41076.39</v>
      </c>
      <c r="DD182" s="717">
        <f>'[4]побудинковий звіт'!DD182</f>
        <v>0</v>
      </c>
      <c r="DE182" s="717">
        <f>'[4]побудинковий звіт'!DE182</f>
        <v>24220.079999999998</v>
      </c>
      <c r="DF182" s="717">
        <f>'[4]побудинковий звіт'!DF182</f>
        <v>0</v>
      </c>
      <c r="DG182" s="787">
        <v>-75145.908175638004</v>
      </c>
      <c r="DH182" s="761">
        <f t="shared" si="171"/>
        <v>2427426.2399999993</v>
      </c>
      <c r="DI182" s="784"/>
      <c r="DJ182" s="5"/>
      <c r="DK182" s="317">
        <f>VLOOKUP($A182,ціни!$A$4:$G$401,5)</f>
        <v>6.1431822225819293</v>
      </c>
      <c r="DL182" s="317"/>
      <c r="DM182" s="317">
        <f>VLOOKUP($A182,ціни!$A$4:$G$401,7)</f>
        <v>5.4474483437758305</v>
      </c>
      <c r="DN182" s="30">
        <f>F182*DK182</f>
        <v>932.53506138793693</v>
      </c>
      <c r="DO182" s="30">
        <f>H182*DM182</f>
        <v>0</v>
      </c>
      <c r="DP182" s="316">
        <f t="shared" si="221"/>
        <v>932.53506138793693</v>
      </c>
      <c r="DQ182" s="104"/>
      <c r="DR182" s="30">
        <f>VLOOKUP(A182,'ДЗ нас '!$A$1:$C$359,2)</f>
        <v>16855.7</v>
      </c>
      <c r="DS182" s="748"/>
      <c r="DT182" s="30">
        <f t="shared" si="222"/>
        <v>16855.7</v>
      </c>
      <c r="DU182" s="257">
        <f>VLOOKUP(A182,'новий кошторис с 01.06'!$A$4:$AI$399,35)*1.2</f>
        <v>17019.29435413094</v>
      </c>
      <c r="DV182" s="30">
        <f t="shared" si="223"/>
        <v>-163.59435413093888</v>
      </c>
      <c r="DW182" s="930">
        <f>'[5]побудинковий звіт'!DW182+'[6]побудинковий звіт'!DW182</f>
        <v>202</v>
      </c>
      <c r="DY182" s="5">
        <f t="shared" si="167"/>
        <v>70407.005018722484</v>
      </c>
      <c r="DZ182" s="5">
        <f t="shared" si="168"/>
        <v>200002.8</v>
      </c>
      <c r="EA182" s="752">
        <f t="shared" si="172"/>
        <v>24220.079999999998</v>
      </c>
      <c r="EC182" s="592">
        <f t="shared" si="169"/>
        <v>589793.05063273467</v>
      </c>
      <c r="EE182" s="758">
        <v>-60070</v>
      </c>
      <c r="EF182" s="738">
        <f t="shared" si="170"/>
        <v>-135215.908175638</v>
      </c>
      <c r="EH182" s="813">
        <v>-70000.550592457235</v>
      </c>
    </row>
    <row r="183" spans="1:138" x14ac:dyDescent="0.3">
      <c r="A183" s="328">
        <v>150000694</v>
      </c>
      <c r="B183" s="44" t="s">
        <v>634</v>
      </c>
      <c r="C183" s="45" t="s">
        <v>371</v>
      </c>
      <c r="D183" s="45" t="s">
        <v>371</v>
      </c>
      <c r="E183" s="40">
        <f t="shared" si="175"/>
        <v>4489.03</v>
      </c>
      <c r="F183" s="490">
        <v>4489.03</v>
      </c>
      <c r="G183" s="30">
        <v>688.06</v>
      </c>
      <c r="H183" s="30">
        <v>0</v>
      </c>
      <c r="I183" s="42">
        <f>'[1]побудинковий звіт'!I183+'[2]побудинковий звіт'!I183-'[3]побудинковий звіт'!I183</f>
        <v>22177.203535734108</v>
      </c>
      <c r="J183" s="42">
        <f>'[1]побудинковий звіт'!J183+'[2]побудинковий звіт'!J183-'[3]побудинковий звіт'!J183</f>
        <v>20563.052824149796</v>
      </c>
      <c r="K183" s="56">
        <f t="shared" si="183"/>
        <v>-1614.1507115843124</v>
      </c>
      <c r="L183" s="42">
        <f>'[1]побудинковий звіт'!L183+'[2]побудинковий звіт'!L183-'[3]побудинковий звіт'!L183</f>
        <v>4126.2807160731199</v>
      </c>
      <c r="M183" s="42">
        <f>'[1]побудинковий звіт'!M183+'[2]побудинковий звіт'!M183-'[3]побудинковий звіт'!M183</f>
        <v>4010.8716904230105</v>
      </c>
      <c r="N183" s="56">
        <f t="shared" si="184"/>
        <v>-115.40902565010947</v>
      </c>
      <c r="O183" s="42">
        <f>'[1]побудинковий звіт'!O183+'[2]побудинковий звіт'!O183-'[3]побудинковий звіт'!O183</f>
        <v>7950.3599999999988</v>
      </c>
      <c r="P183" s="42">
        <f>'[1]побудинковий звіт'!P183+'[2]побудинковий звіт'!P183-'[3]побудинковий звіт'!P183</f>
        <v>7949.1600000000008</v>
      </c>
      <c r="Q183" s="56">
        <f t="shared" si="185"/>
        <v>-1.1999999999979991</v>
      </c>
      <c r="R183" s="42">
        <f>'[1]побудинковий звіт'!R183+'[2]побудинковий звіт'!R183-'[3]побудинковий звіт'!R183</f>
        <v>1938.2400000000002</v>
      </c>
      <c r="S183" s="42">
        <f>'[1]побудинковий звіт'!S183+'[2]побудинковий звіт'!S183-'[3]побудинковий звіт'!S183</f>
        <v>1939.6799999999992</v>
      </c>
      <c r="T183" s="56">
        <f t="shared" si="186"/>
        <v>1.4399999999989177</v>
      </c>
      <c r="U183" s="42">
        <f>'[1]побудинковий звіт'!U183+'[2]побудинковий звіт'!U183-'[3]побудинковий звіт'!U183</f>
        <v>1170.2323882178873</v>
      </c>
      <c r="V183" s="42">
        <f>'[1]побудинковий звіт'!V183+'[2]побудинковий звіт'!V183-'[3]побудинковий звіт'!V183</f>
        <v>794.60674028139147</v>
      </c>
      <c r="W183" s="56">
        <f t="shared" si="187"/>
        <v>-375.62564793649585</v>
      </c>
      <c r="X183" s="42">
        <f>'[1]побудинковий звіт'!X183+'[2]побудинковий звіт'!X183-'[3]побудинковий звіт'!X183</f>
        <v>12373.798053029876</v>
      </c>
      <c r="Y183" s="42">
        <f>'[1]побудинковий звіт'!Y183+'[2]побудинковий звіт'!Y183-'[3]побудинковий звіт'!Y183</f>
        <v>10965.446588235305</v>
      </c>
      <c r="Z183" s="56">
        <f t="shared" si="188"/>
        <v>-1408.3514647945703</v>
      </c>
      <c r="AA183" s="42">
        <f>'[1]побудинковий звіт'!AA183+'[2]побудинковий звіт'!AA183-'[3]побудинковий звіт'!AA183</f>
        <v>0</v>
      </c>
      <c r="AB183" s="42">
        <f>'[1]побудинковий звіт'!AB183+'[2]побудинковий звіт'!AB183-'[3]побудинковий звіт'!AB183</f>
        <v>0</v>
      </c>
      <c r="AC183" s="56">
        <f t="shared" si="189"/>
        <v>0</v>
      </c>
      <c r="AD183" s="42">
        <f>'[1]побудинковий звіт'!AD183+'[2]побудинковий звіт'!AD183-'[3]побудинковий звіт'!AD183</f>
        <v>26246.678766788929</v>
      </c>
      <c r="AE183" s="42">
        <f>'[1]побудинковий звіт'!AE183+'[2]побудинковий звіт'!AE183-'[3]побудинковий звіт'!AE183</f>
        <v>24191.388990194078</v>
      </c>
      <c r="AF183" s="37">
        <f t="shared" si="190"/>
        <v>-2055.289776594851</v>
      </c>
      <c r="AG183" s="87">
        <f t="shared" si="180"/>
        <v>75982.793459843917</v>
      </c>
      <c r="AH183" s="57">
        <f t="shared" si="180"/>
        <v>70414.206833283577</v>
      </c>
      <c r="AI183" s="56">
        <f t="shared" si="191"/>
        <v>-5568.5866265603399</v>
      </c>
      <c r="AJ183" s="42">
        <f>'[1]побудинковий звіт'!AJ183+'[2]побудинковий звіт'!AJ183-'[3]побудинковий звіт'!AJ183</f>
        <v>86413.599575368164</v>
      </c>
      <c r="AK183" s="42">
        <f>'[1]побудинковий звіт'!AK183+'[2]побудинковий звіт'!AK183-'[3]побудинковий звіт'!AK183</f>
        <v>85653.418592515969</v>
      </c>
      <c r="AL183" s="56">
        <f t="shared" si="192"/>
        <v>-760.18098285219457</v>
      </c>
      <c r="AM183" s="42">
        <f>'[1]побудинковий звіт'!AM183+'[2]побудинковий звіт'!AM183-'[3]побудинковий звіт'!AM183</f>
        <v>0</v>
      </c>
      <c r="AN183" s="42">
        <f>'[1]побудинковий звіт'!AN183+'[2]побудинковий звіт'!AN183-'[3]побудинковий звіт'!AN183</f>
        <v>0</v>
      </c>
      <c r="AO183" s="56">
        <f t="shared" si="193"/>
        <v>0</v>
      </c>
      <c r="AP183" s="42">
        <f>'[1]побудинковий звіт'!AP183+'[2]побудинковий звіт'!AP183-'[3]побудинковий звіт'!AP183</f>
        <v>5113.8952716257081</v>
      </c>
      <c r="AQ183" s="42">
        <f>'[1]побудинковий звіт'!AQ183+'[2]побудинковий звіт'!AQ183-'[3]побудинковий звіт'!AQ183</f>
        <v>9547.2951387182729</v>
      </c>
      <c r="AR183" s="56">
        <f t="shared" si="194"/>
        <v>4433.3998670925648</v>
      </c>
      <c r="AS183" s="42">
        <f>'[1]побудинковий звіт'!AS183+'[2]побудинковий звіт'!AS183-'[3]побудинковий звіт'!AS183</f>
        <v>163160.76</v>
      </c>
      <c r="AT183" s="42">
        <f>'[1]побудинковий звіт'!AT183+'[2]побудинковий звіт'!AT183-'[3]побудинковий звіт'!AT183</f>
        <v>22416.036704989558</v>
      </c>
      <c r="AU183" s="58">
        <f t="shared" si="211"/>
        <v>-140744.72329501045</v>
      </c>
      <c r="AV183" s="42">
        <f>'[1]побудинковий звіт'!AV183+'[2]побудинковий звіт'!AV183-'[3]побудинковий звіт'!AV183</f>
        <v>1941.5379193614231</v>
      </c>
      <c r="AW183" s="42">
        <f>'[1]побудинковий звіт'!AW183+'[2]побудинковий звіт'!AW183-'[3]побудинковий звіт'!AW183</f>
        <v>6137</v>
      </c>
      <c r="AX183" s="59">
        <f t="shared" si="212"/>
        <v>4195.4620806385774</v>
      </c>
      <c r="AY183" s="42">
        <f>'[1]побудинковий звіт'!AY183+'[2]побудинковий звіт'!AY183-'[3]побудинковий звіт'!AY183</f>
        <v>2727.9968650502351</v>
      </c>
      <c r="AZ183" s="42">
        <f>'[1]побудинковий звіт'!AZ183+'[2]побудинковий звіт'!AZ183-'[3]побудинковий звіт'!AZ183</f>
        <v>3832</v>
      </c>
      <c r="BA183" s="37">
        <f t="shared" si="213"/>
        <v>1104.0031349497649</v>
      </c>
      <c r="BB183" s="42">
        <f>'[1]побудинковий звіт'!BB183+'[2]побудинковий звіт'!BB183-'[3]побудинковий звіт'!BB183</f>
        <v>3185.3594306036866</v>
      </c>
      <c r="BC183" s="42">
        <f>'[1]побудинковий звіт'!BC183+'[2]побудинковий звіт'!BC183-'[3]побудинковий звіт'!BC183</f>
        <v>0</v>
      </c>
      <c r="BD183" s="59">
        <f t="shared" si="214"/>
        <v>-3185.3594306036866</v>
      </c>
      <c r="BE183" s="42">
        <f>'[1]побудинковий звіт'!BE183+'[2]побудинковий звіт'!BE183-'[3]побудинковий звіт'!BE183</f>
        <v>1077.1662485258355</v>
      </c>
      <c r="BF183" s="42">
        <f>'[1]побудинковий звіт'!BF183+'[2]побудинковий звіт'!BF183-'[3]побудинковий звіт'!BF183</f>
        <v>0</v>
      </c>
      <c r="BG183" s="39">
        <f t="shared" si="215"/>
        <v>-1077.1662485258355</v>
      </c>
      <c r="BH183" s="42">
        <f>'[1]побудинковий звіт'!BH183+'[2]побудинковий звіт'!BH183-'[3]побудинковий звіт'!BH183</f>
        <v>593.65087276649558</v>
      </c>
      <c r="BI183" s="42">
        <f>'[1]побудинковий звіт'!BI183+'[2]побудинковий звіт'!BI183-'[3]побудинковий звіт'!BI183</f>
        <v>0</v>
      </c>
      <c r="BJ183" s="59">
        <f t="shared" si="216"/>
        <v>-593.65087276649558</v>
      </c>
      <c r="BK183" s="42">
        <f>'[1]побудинковий звіт'!BK183+'[2]побудинковий звіт'!BK183-'[3]побудинковий звіт'!BK183</f>
        <v>1378.455443689438</v>
      </c>
      <c r="BL183" s="42">
        <f>'[1]побудинковий звіт'!BL183+'[2]побудинковий звіт'!BL183-'[3]побудинковий звіт'!BL183</f>
        <v>0</v>
      </c>
      <c r="BM183" s="39">
        <f t="shared" si="217"/>
        <v>-1378.455443689438</v>
      </c>
      <c r="BN183" s="42">
        <f>'[1]побудинковий звіт'!BN183+'[2]побудинковий звіт'!BN183-'[3]побудинковий звіт'!BN183</f>
        <v>0</v>
      </c>
      <c r="BO183" s="42">
        <f>'[1]побудинковий звіт'!BO183+'[2]побудинковий звіт'!BO183-'[3]побудинковий звіт'!BO183</f>
        <v>0</v>
      </c>
      <c r="BP183" s="59">
        <f t="shared" si="218"/>
        <v>0</v>
      </c>
      <c r="BQ183" s="87">
        <f t="shared" si="176"/>
        <v>10904.166779997113</v>
      </c>
      <c r="BR183" s="43">
        <f t="shared" si="220"/>
        <v>9969</v>
      </c>
      <c r="BS183" s="59">
        <f t="shared" si="219"/>
        <v>-935.16677999711283</v>
      </c>
      <c r="BT183" s="42">
        <f>'[1]побудинковий звіт'!BT183+'[2]побудинковий звіт'!BT183-'[3]побудинковий звіт'!BT183</f>
        <v>21152.519999999997</v>
      </c>
      <c r="BU183" s="42">
        <f>'[1]побудинковий звіт'!BU183+'[2]побудинковий звіт'!BU183-'[3]побудинковий звіт'!BU183</f>
        <v>34035.128294329414</v>
      </c>
      <c r="BV183" s="56">
        <f t="shared" si="195"/>
        <v>12882.608294329417</v>
      </c>
      <c r="BW183" s="42">
        <f>'[1]побудинковий звіт'!BW183+'[2]побудинковий звіт'!BW183-'[3]побудинковий звіт'!BW183</f>
        <v>50515.079999999987</v>
      </c>
      <c r="BX183" s="42">
        <f>'[1]побудинковий звіт'!BX183+'[2]побудинковий звіт'!BX183-'[3]побудинковий звіт'!BX183</f>
        <v>48964.620324600342</v>
      </c>
      <c r="BY183" s="56">
        <f t="shared" si="196"/>
        <v>-1550.4596753996448</v>
      </c>
      <c r="BZ183" s="42">
        <f>'[1]побудинковий звіт'!BZ183+'[2]побудинковий звіт'!BZ183-'[3]побудинковий звіт'!BZ183</f>
        <v>9774.3599999999988</v>
      </c>
      <c r="CA183" s="42">
        <f>'[1]побудинковий звіт'!CA183+'[2]побудинковий звіт'!CA183-'[3]побудинковий звіт'!CA183</f>
        <v>8372.7554042404099</v>
      </c>
      <c r="CB183" s="56">
        <f t="shared" si="197"/>
        <v>-1401.6045957595888</v>
      </c>
      <c r="CC183" s="42">
        <f>'[1]побудинковий звіт'!CC183+'[2]побудинковий звіт'!CC183-'[3]побудинковий звіт'!CC183</f>
        <v>1764.7952309924017</v>
      </c>
      <c r="CD183" s="42">
        <f>'[1]побудинковий звіт'!CD183+'[2]побудинковий звіт'!CD183-'[3]побудинковий звіт'!CD183</f>
        <v>1749.2733579920568</v>
      </c>
      <c r="CE183" s="56">
        <f t="shared" si="198"/>
        <v>-15.52187300034484</v>
      </c>
      <c r="CF183" s="42">
        <f>'[1]побудинковий звіт'!CF183+'[2]побудинковий звіт'!CF183-'[3]побудинковий звіт'!CF183</f>
        <v>217.25698866383735</v>
      </c>
      <c r="CG183" s="42">
        <f>'[1]побудинковий звіт'!CG183+'[2]побудинковий звіт'!CG183-'[3]побудинковий звіт'!CG183</f>
        <v>0</v>
      </c>
      <c r="CH183" s="56">
        <f t="shared" si="199"/>
        <v>-217.25698866383735</v>
      </c>
      <c r="CI183" s="42">
        <f>'[1]побудинковий звіт'!CI183+'[2]побудинковий звіт'!CI183-'[3]побудинковий звіт'!CI183</f>
        <v>11792.040861631045</v>
      </c>
      <c r="CJ183" s="42">
        <f>'[1]побудинковий звіт'!CJ183+'[2]побудинковий звіт'!CJ183-'[3]побудинковий звіт'!CJ183</f>
        <v>11066.092471190937</v>
      </c>
      <c r="CK183" s="56">
        <f t="shared" si="200"/>
        <v>-725.94839044010769</v>
      </c>
      <c r="CL183" s="42">
        <f>'[1]побудинковий звіт'!CL183+'[2]побудинковий звіт'!CL183-'[3]побудинковий звіт'!CL183</f>
        <v>12381.642904712597</v>
      </c>
      <c r="CM183" s="42">
        <f>'[1]побудинковий звіт'!CM183+'[2]побудинковий звіт'!CM183-'[3]побудинковий звіт'!CM183</f>
        <v>16605.267617473521</v>
      </c>
      <c r="CN183" s="56">
        <f t="shared" si="201"/>
        <v>4223.624712760924</v>
      </c>
      <c r="CO183" s="42">
        <f t="shared" si="181"/>
        <v>24173.683766343642</v>
      </c>
      <c r="CP183" s="43">
        <f t="shared" si="202"/>
        <v>27671.360088664456</v>
      </c>
      <c r="CQ183" s="56">
        <f t="shared" si="203"/>
        <v>3497.6763223208145</v>
      </c>
      <c r="CR183" s="78">
        <f t="shared" si="182"/>
        <v>449172.9110728348</v>
      </c>
      <c r="CS183" s="5">
        <f t="shared" si="182"/>
        <v>318793.09473933402</v>
      </c>
      <c r="CT183" s="56">
        <f t="shared" si="204"/>
        <v>-130379.81633350078</v>
      </c>
      <c r="CU183" s="87">
        <f t="shared" si="205"/>
        <v>539007.49328740174</v>
      </c>
      <c r="CV183" s="70">
        <f t="shared" si="206"/>
        <v>382551.7136872008</v>
      </c>
      <c r="CW183" s="37">
        <f t="shared" si="207"/>
        <v>-156455.77960020094</v>
      </c>
      <c r="CX183" s="42">
        <f>'[1]побудинковий звіт'!CX183+'[2]побудинковий звіт'!CX183-'[3]побудинковий звіт'!CX183</f>
        <v>5590.9667125984415</v>
      </c>
      <c r="CY183" s="42">
        <f>'[1]побудинковий звіт'!CY183+'[2]побудинковий звіт'!CY183-'[3]побудинковий звіт'!CY183</f>
        <v>162046.74631279917</v>
      </c>
      <c r="CZ183" s="56">
        <f t="shared" si="208"/>
        <v>156455.77960020071</v>
      </c>
      <c r="DA183" s="264">
        <f>'[4]побудинковий звіт'!DA183</f>
        <v>-54511.176696460752</v>
      </c>
      <c r="DB183" s="2">
        <v>3</v>
      </c>
      <c r="DC183" s="717">
        <f>'[4]побудинковий звіт'!DC183</f>
        <v>164177.94</v>
      </c>
      <c r="DD183" s="717">
        <f>'[4]побудинковий звіт'!DD183</f>
        <v>0</v>
      </c>
      <c r="DE183" s="717">
        <f>'[4]побудинковий звіт'!DE183</f>
        <v>118773.09</v>
      </c>
      <c r="DF183" s="717">
        <f>'[4]побудинковий звіт'!DF183</f>
        <v>0</v>
      </c>
      <c r="DG183" s="787">
        <v>142577.83819795004</v>
      </c>
      <c r="DH183" s="761">
        <f t="shared" si="171"/>
        <v>6535181.5200000023</v>
      </c>
      <c r="DI183" s="784"/>
      <c r="DJ183" s="5"/>
      <c r="DK183" s="317">
        <f>VLOOKUP($A183,ціни!$A$4:$G$401,5)</f>
        <v>5.7650516342765643</v>
      </c>
      <c r="DL183" s="317">
        <f>VLOOKUP($A183,ціни!$A$4:$G$401,6)</f>
        <v>7.5958284493054347</v>
      </c>
      <c r="DM183" s="317">
        <f>VLOOKUP($A183,ціни!$A$4:$G$401,7)</f>
        <v>4.8092176637448931</v>
      </c>
      <c r="DN183" s="30">
        <f>DK183*G183+(F183-G183)*DL183</f>
        <v>32838.217488436807</v>
      </c>
      <c r="DO183" s="30">
        <f>DM183*H183</f>
        <v>0</v>
      </c>
      <c r="DP183" s="316">
        <f t="shared" si="221"/>
        <v>32838.217488436807</v>
      </c>
      <c r="DQ183" s="104"/>
      <c r="DR183" s="30">
        <f>VLOOKUP(A183,'ДЗ нас '!$A$1:$C$359,2)</f>
        <v>45404.85</v>
      </c>
      <c r="DS183" s="748"/>
      <c r="DT183" s="30">
        <f t="shared" si="222"/>
        <v>45404.85</v>
      </c>
      <c r="DU183" s="257">
        <f>VLOOKUP(A183,'новий кошторис с 01.06'!$A$4:$AI$399,35)*1.2</f>
        <v>45456.231591083488</v>
      </c>
      <c r="DV183" s="30">
        <f t="shared" si="223"/>
        <v>-51.381591083489184</v>
      </c>
      <c r="DW183" s="930">
        <f>'[5]побудинковий звіт'!DW183+'[6]побудинковий звіт'!DW183</f>
        <v>276</v>
      </c>
      <c r="DY183" s="5">
        <f t="shared" si="167"/>
        <v>208877.91213599654</v>
      </c>
      <c r="DZ183" s="5">
        <f t="shared" si="168"/>
        <v>38862.044045987466</v>
      </c>
      <c r="EA183" s="752">
        <f t="shared" si="172"/>
        <v>118773.09</v>
      </c>
      <c r="EC183" s="592">
        <f t="shared" si="169"/>
        <v>1957929.12</v>
      </c>
      <c r="EE183" s="758">
        <v>19769</v>
      </c>
      <c r="EF183" s="738">
        <f t="shared" si="170"/>
        <v>162346.83819795004</v>
      </c>
      <c r="EH183" s="813">
        <v>87293.397453909216</v>
      </c>
    </row>
    <row r="184" spans="1:138" x14ac:dyDescent="0.3">
      <c r="A184" s="328">
        <v>150000695</v>
      </c>
      <c r="B184" s="44" t="s">
        <v>635</v>
      </c>
      <c r="C184" s="45" t="s">
        <v>372</v>
      </c>
      <c r="D184" s="45" t="s">
        <v>372</v>
      </c>
      <c r="E184" s="40">
        <f t="shared" si="175"/>
        <v>2055.6</v>
      </c>
      <c r="F184" s="490">
        <v>2055.6</v>
      </c>
      <c r="G184" s="30">
        <v>695.2</v>
      </c>
      <c r="H184" s="30">
        <v>0</v>
      </c>
      <c r="I184" s="42">
        <f>'[1]побудинковий звіт'!I184+'[2]побудинковий звіт'!I184-'[3]побудинковий звіт'!I184</f>
        <v>22206.985869786404</v>
      </c>
      <c r="J184" s="42">
        <f>'[1]побудинковий звіт'!J184+'[2]побудинковий звіт'!J184-'[3]побудинковий звіт'!J184</f>
        <v>20565.415573792612</v>
      </c>
      <c r="K184" s="56">
        <f t="shared" si="183"/>
        <v>-1641.5702959937917</v>
      </c>
      <c r="L184" s="42">
        <f>'[1]побудинковий звіт'!L184+'[2]побудинковий звіт'!L184-'[3]побудинковий звіт'!L184</f>
        <v>3853.1609175115714</v>
      </c>
      <c r="M184" s="42">
        <f>'[1]побудинковий звіт'!M184+'[2]побудинковий звіт'!M184-'[3]побудинковий звіт'!M184</f>
        <v>3689.5082854135094</v>
      </c>
      <c r="N184" s="56">
        <f t="shared" si="184"/>
        <v>-163.65263209806199</v>
      </c>
      <c r="O184" s="42">
        <f>'[1]побудинковий звіт'!O184+'[2]побудинковий звіт'!O184-'[3]побудинковий звіт'!O184</f>
        <v>8150.0399999999991</v>
      </c>
      <c r="P184" s="42">
        <f>'[1]побудинковий звіт'!P184+'[2]побудинковий звіт'!P184-'[3]побудинковий звіт'!P184</f>
        <v>8151.48</v>
      </c>
      <c r="Q184" s="56">
        <f t="shared" si="185"/>
        <v>1.4400000000005093</v>
      </c>
      <c r="R184" s="42">
        <f>'[1]побудинковий звіт'!R184+'[2]побудинковий звіт'!R184-'[3]побудинковий звіт'!R184</f>
        <v>2024.0400000000002</v>
      </c>
      <c r="S184" s="42">
        <f>'[1]побудинковий звіт'!S184+'[2]побудинковий звіт'!S184-'[3]побудинковий звіт'!S184</f>
        <v>2023.6799999999992</v>
      </c>
      <c r="T184" s="56">
        <f t="shared" si="186"/>
        <v>-0.36000000000103682</v>
      </c>
      <c r="U184" s="42">
        <f>'[1]побудинковий звіт'!U184+'[2]побудинковий звіт'!U184-'[3]побудинковий звіт'!U184</f>
        <v>1170.2323882178873</v>
      </c>
      <c r="V184" s="42">
        <f>'[1]побудинковий звіт'!V184+'[2]побудинковий звіт'!V184-'[3]побудинковий звіт'!V184</f>
        <v>794.60674028139147</v>
      </c>
      <c r="W184" s="56">
        <f t="shared" si="187"/>
        <v>-375.62564793649585</v>
      </c>
      <c r="X184" s="42">
        <f>'[1]побудинковий звіт'!X184+'[2]побудинковий звіт'!X184-'[3]побудинковий звіт'!X184</f>
        <v>12477.171601431046</v>
      </c>
      <c r="Y184" s="42">
        <f>'[1]побудинковий звіт'!Y184+'[2]побудинковий звіт'!Y184-'[3]побудинковий звіт'!Y184</f>
        <v>11098.856696544171</v>
      </c>
      <c r="Z184" s="56">
        <f t="shared" si="188"/>
        <v>-1378.3149048868745</v>
      </c>
      <c r="AA184" s="42">
        <f>'[1]побудинковий звіт'!AA184+'[2]побудинковий звіт'!AA184-'[3]побудинковий звіт'!AA184</f>
        <v>0</v>
      </c>
      <c r="AB184" s="42">
        <f>'[1]побудинковий звіт'!AB184+'[2]побудинковий звіт'!AB184-'[3]побудинковий звіт'!AB184</f>
        <v>0</v>
      </c>
      <c r="AC184" s="56">
        <f t="shared" si="189"/>
        <v>0</v>
      </c>
      <c r="AD184" s="42">
        <f>'[1]побудинковий звіт'!AD184+'[2]побудинковий звіт'!AD184-'[3]побудинковий звіт'!AD184</f>
        <v>26955.355085102157</v>
      </c>
      <c r="AE184" s="42">
        <f>'[1]побудинковий звіт'!AE184+'[2]побудинковий звіт'!AE184-'[3]побудинковий звіт'!AE184</f>
        <v>24844.967568935754</v>
      </c>
      <c r="AF184" s="37">
        <f t="shared" si="190"/>
        <v>-2110.3875161664037</v>
      </c>
      <c r="AG184" s="87">
        <f t="shared" si="180"/>
        <v>76836.98586204907</v>
      </c>
      <c r="AH184" s="57">
        <f t="shared" si="180"/>
        <v>71168.514864967437</v>
      </c>
      <c r="AI184" s="56">
        <f t="shared" si="191"/>
        <v>-5668.470997081633</v>
      </c>
      <c r="AJ184" s="42">
        <f>'[1]побудинковий звіт'!AJ184+'[2]побудинковий звіт'!AJ184-'[3]побудинковий звіт'!AJ184</f>
        <v>74852.586453067022</v>
      </c>
      <c r="AK184" s="42">
        <f>'[1]побудинковий звіт'!AK184+'[2]побудинковий звіт'!AK184-'[3]побудинковий звіт'!AK184</f>
        <v>74194.109911581836</v>
      </c>
      <c r="AL184" s="56">
        <f t="shared" si="192"/>
        <v>-658.47654148518632</v>
      </c>
      <c r="AM184" s="42">
        <f>'[1]побудинковий звіт'!AM184+'[2]побудинковий звіт'!AM184-'[3]побудинковий звіт'!AM184</f>
        <v>0</v>
      </c>
      <c r="AN184" s="42">
        <f>'[1]побудинковий звіт'!AN184+'[2]побудинковий звіт'!AN184-'[3]побудинковий звіт'!AN184</f>
        <v>654.03732234388383</v>
      </c>
      <c r="AO184" s="56">
        <f t="shared" si="193"/>
        <v>654.03732234388383</v>
      </c>
      <c r="AP184" s="42">
        <f>'[1]побудинковий звіт'!AP184+'[2]побудинковий звіт'!AP184-'[3]побудинковий звіт'!AP184</f>
        <v>5113.8952716257081</v>
      </c>
      <c r="AQ184" s="42">
        <f>'[1]побудинковий звіт'!AQ184+'[2]побудинковий звіт'!AQ184-'[3]побудинковий звіт'!AQ184</f>
        <v>9267.2953703851672</v>
      </c>
      <c r="AR184" s="56">
        <f t="shared" si="194"/>
        <v>4153.4000987594591</v>
      </c>
      <c r="AS184" s="42">
        <f>'[1]побудинковий звіт'!AS184+'[2]побудинковий звіт'!AS184-'[3]побудинковий звіт'!AS184</f>
        <v>160692</v>
      </c>
      <c r="AT184" s="42">
        <f>'[1]побудинковий звіт'!AT184+'[2]побудинковий звіт'!AT184-'[3]побудинковий звіт'!AT184</f>
        <v>227309.57831358994</v>
      </c>
      <c r="AU184" s="58">
        <f t="shared" si="211"/>
        <v>66617.57831358994</v>
      </c>
      <c r="AV184" s="42">
        <f>'[1]побудинковий звіт'!AV184+'[2]побудинковий звіт'!AV184-'[3]побудинковий звіт'!AV184</f>
        <v>1555.9009358339169</v>
      </c>
      <c r="AW184" s="42">
        <f>'[1]побудинковий звіт'!AW184+'[2]побудинковий звіт'!AW184-'[3]побудинковий звіт'!AW184</f>
        <v>6120</v>
      </c>
      <c r="AX184" s="59">
        <f t="shared" si="212"/>
        <v>4564.0990641660828</v>
      </c>
      <c r="AY184" s="42">
        <f>'[1]побудинковий звіт'!AY184+'[2]побудинковий звіт'!AY184-'[3]побудинковий звіт'!AY184</f>
        <v>2103.21782314858</v>
      </c>
      <c r="AZ184" s="42">
        <f>'[1]побудинковий звіт'!AZ184+'[2]побудинковий звіт'!AZ184-'[3]побудинковий звіт'!AZ184</f>
        <v>1095</v>
      </c>
      <c r="BA184" s="37">
        <f t="shared" si="213"/>
        <v>-1008.21782314858</v>
      </c>
      <c r="BB184" s="42">
        <f>'[1]побудинковий звіт'!BB184+'[2]побудинковий звіт'!BB184-'[3]побудинковий звіт'!BB184</f>
        <v>2628.0063304350779</v>
      </c>
      <c r="BC184" s="42">
        <f>'[1]побудинковий звіт'!BC184+'[2]побудинковий звіт'!BC184-'[3]побудинковий звіт'!BC184</f>
        <v>6427</v>
      </c>
      <c r="BD184" s="59">
        <f t="shared" si="214"/>
        <v>3798.9936695649221</v>
      </c>
      <c r="BE184" s="42">
        <f>'[1]побудинковий звіт'!BE184+'[2]побудинковий звіт'!BE184-'[3]побудинковий звіт'!BE184</f>
        <v>893.92150586837317</v>
      </c>
      <c r="BF184" s="42">
        <f>'[1]побудинковий звіт'!BF184+'[2]побудинковий звіт'!BF184-'[3]побудинковий звіт'!BF184</f>
        <v>0</v>
      </c>
      <c r="BG184" s="39">
        <f t="shared" si="215"/>
        <v>-893.92150586837317</v>
      </c>
      <c r="BH184" s="42">
        <f>'[1]побудинковий звіт'!BH184+'[2]побудинковий звіт'!BH184-'[3]побудинковий звіт'!BH184</f>
        <v>474.92069821319637</v>
      </c>
      <c r="BI184" s="42">
        <f>'[1]побудинковий звіт'!BI184+'[2]побудинковий звіт'!BI184-'[3]побудинковий звіт'!BI184</f>
        <v>2325</v>
      </c>
      <c r="BJ184" s="59">
        <f t="shared" si="216"/>
        <v>1850.0793017868036</v>
      </c>
      <c r="BK184" s="42">
        <f>'[1]побудинковий звіт'!BK184+'[2]побудинковий звіт'!BK184-'[3]побудинковий звіт'!BK184</f>
        <v>1121.7607321388466</v>
      </c>
      <c r="BL184" s="42">
        <f>'[1]побудинковий звіт'!BL184+'[2]побудинковий звіт'!BL184-'[3]побудинковий звіт'!BL184</f>
        <v>752</v>
      </c>
      <c r="BM184" s="39">
        <f t="shared" si="217"/>
        <v>-369.76073213884661</v>
      </c>
      <c r="BN184" s="42">
        <f>'[1]побудинковий звіт'!BN184+'[2]побудинковий звіт'!BN184-'[3]побудинковий звіт'!BN184</f>
        <v>0</v>
      </c>
      <c r="BO184" s="42">
        <f>'[1]побудинковий звіт'!BO184+'[2]побудинковий звіт'!BO184-'[3]побудинковий звіт'!BO184</f>
        <v>0</v>
      </c>
      <c r="BP184" s="59">
        <f t="shared" si="218"/>
        <v>0</v>
      </c>
      <c r="BQ184" s="87">
        <f t="shared" si="176"/>
        <v>8777.7280256379909</v>
      </c>
      <c r="BR184" s="43">
        <f t="shared" si="220"/>
        <v>16719</v>
      </c>
      <c r="BS184" s="59">
        <f t="shared" si="219"/>
        <v>7941.2719743620091</v>
      </c>
      <c r="BT184" s="42">
        <f>'[1]побудинковий звіт'!BT184+'[2]побудинковий звіт'!BT184-'[3]побудинковий звіт'!BT184</f>
        <v>37726.560000000005</v>
      </c>
      <c r="BU184" s="42">
        <f>'[1]побудинковий звіт'!BU184+'[2]побудинковий звіт'!BU184-'[3]побудинковий звіт'!BU184</f>
        <v>47731.85517642078</v>
      </c>
      <c r="BV184" s="56">
        <f t="shared" si="195"/>
        <v>10005.295176420776</v>
      </c>
      <c r="BW184" s="42">
        <f>'[1]побудинковий звіт'!BW184+'[2]побудинковий звіт'!BW184-'[3]побудинковий звіт'!BW184</f>
        <v>52132.079999999987</v>
      </c>
      <c r="BX184" s="42">
        <f>'[1]побудинковий звіт'!BX184+'[2]побудинковий звіт'!BX184-'[3]побудинковий звіт'!BX184</f>
        <v>52579.59697283397</v>
      </c>
      <c r="BY184" s="56">
        <f t="shared" si="196"/>
        <v>447.51697283398244</v>
      </c>
      <c r="BZ184" s="42">
        <f>'[1]побудинковий звіт'!BZ184+'[2]побудинковий звіт'!BZ184-'[3]побудинковий звіт'!BZ184</f>
        <v>9774.3599999999988</v>
      </c>
      <c r="CA184" s="42">
        <f>'[1]побудинковий звіт'!CA184+'[2]побудинковий звіт'!CA184-'[3]побудинковий звіт'!CA184</f>
        <v>12019.121304782435</v>
      </c>
      <c r="CB184" s="56">
        <f t="shared" si="197"/>
        <v>2244.7613047824361</v>
      </c>
      <c r="CC184" s="42">
        <f>'[1]побудинковий звіт'!CC184+'[2]побудинковий звіт'!CC184-'[3]побудинковий звіт'!CC184</f>
        <v>1764.7952309924017</v>
      </c>
      <c r="CD184" s="42">
        <f>'[1]побудинковий звіт'!CD184+'[2]побудинковий звіт'!CD184-'[3]побудинковий звіт'!CD184</f>
        <v>1749.2733579920568</v>
      </c>
      <c r="CE184" s="56">
        <f t="shared" si="198"/>
        <v>-15.52187300034484</v>
      </c>
      <c r="CF184" s="42">
        <f>'[1]побудинковий звіт'!CF184+'[2]побудинковий звіт'!CF184-'[3]побудинковий звіт'!CF184</f>
        <v>217.25698866383735</v>
      </c>
      <c r="CG184" s="42">
        <f>'[1]побудинковий звіт'!CG184+'[2]побудинковий звіт'!CG184-'[3]побудинковий звіт'!CG184</f>
        <v>547.9634810966121</v>
      </c>
      <c r="CH184" s="56">
        <f t="shared" si="199"/>
        <v>330.70649243277478</v>
      </c>
      <c r="CI184" s="42">
        <f>'[1]побудинковий звіт'!CI184+'[2]побудинковий звіт'!CI184-'[3]побудинковий звіт'!CI184</f>
        <v>19073.158155558784</v>
      </c>
      <c r="CJ184" s="42">
        <f>'[1]побудинковий звіт'!CJ184+'[2]побудинковий звіт'!CJ184-'[3]побудинковий звіт'!CJ184</f>
        <v>16049.373183640722</v>
      </c>
      <c r="CK184" s="56">
        <f t="shared" si="200"/>
        <v>-3023.7849719180613</v>
      </c>
      <c r="CL184" s="42">
        <f>'[1]побудинковий звіт'!CL184+'[2]побудинковий звіт'!CL184-'[3]побудинковий звіт'!CL184</f>
        <v>28637.81352110397</v>
      </c>
      <c r="CM184" s="42">
        <f>'[1]побудинковий звіт'!CM184+'[2]побудинковий звіт'!CM184-'[3]побудинковий звіт'!CM184</f>
        <v>24074.814330914025</v>
      </c>
      <c r="CN184" s="56">
        <f t="shared" si="201"/>
        <v>-4562.9991901899448</v>
      </c>
      <c r="CO184" s="42">
        <f t="shared" si="181"/>
        <v>47710.971676662753</v>
      </c>
      <c r="CP184" s="43">
        <f t="shared" si="202"/>
        <v>40124.187514554746</v>
      </c>
      <c r="CQ184" s="56">
        <f t="shared" si="203"/>
        <v>-7586.7841621080079</v>
      </c>
      <c r="CR184" s="78">
        <f t="shared" si="182"/>
        <v>475599.21950869868</v>
      </c>
      <c r="CS184" s="5">
        <f t="shared" si="182"/>
        <v>554064.5335905489</v>
      </c>
      <c r="CT184" s="56">
        <f t="shared" si="204"/>
        <v>78465.314081850229</v>
      </c>
      <c r="CU184" s="87">
        <f t="shared" si="205"/>
        <v>570719.06341043836</v>
      </c>
      <c r="CV184" s="70">
        <f t="shared" si="206"/>
        <v>664877.44030865864</v>
      </c>
      <c r="CW184" s="37">
        <f t="shared" si="207"/>
        <v>94158.376898220275</v>
      </c>
      <c r="CX184" s="42">
        <f>'[1]побудинковий звіт'!CX184+'[2]побудинковий звіт'!CX184-'[3]побудинковий звіт'!CX184</f>
        <v>14475.526589561538</v>
      </c>
      <c r="CY184" s="42">
        <f>'[1]побудинковий звіт'!CY184+'[2]побудинковий звіт'!CY184-'[3]побудинковий звіт'!CY184</f>
        <v>-79682.850308658599</v>
      </c>
      <c r="CZ184" s="56">
        <f t="shared" si="208"/>
        <v>-94158.376898220129</v>
      </c>
      <c r="DA184" s="264">
        <f>'[4]побудинковий звіт'!DA184</f>
        <v>-81570.380669539358</v>
      </c>
      <c r="DB184" s="2">
        <v>3</v>
      </c>
      <c r="DC184" s="717">
        <f>'[4]побудинковий звіт'!DC184</f>
        <v>136396.96</v>
      </c>
      <c r="DD184" s="717">
        <f>'[4]побудинковий звіт'!DD184</f>
        <v>0</v>
      </c>
      <c r="DE184" s="717">
        <f>'[4]побудинковий звіт'!DE184</f>
        <v>87589.75</v>
      </c>
      <c r="DF184" s="717">
        <f>'[4]побудинковий звіт'!DF184</f>
        <v>0</v>
      </c>
      <c r="DG184" s="787">
        <v>-143444.24688076298</v>
      </c>
      <c r="DH184" s="761">
        <f t="shared" si="171"/>
        <v>7022335.0799999982</v>
      </c>
      <c r="DI184" s="784"/>
      <c r="DJ184" s="5"/>
      <c r="DK184" s="317">
        <f>VLOOKUP($A184,ціни!$A$4:$G$401,5)</f>
        <v>6.0501823572175848</v>
      </c>
      <c r="DL184" s="317">
        <f>VLOOKUP($A184,ціни!$A$4:$G$401,6)</f>
        <v>7.9414138237659628</v>
      </c>
      <c r="DM184" s="317">
        <f>VLOOKUP($A184,ціни!$A$4:$G$401,7)</f>
        <v>5.0750474729442931</v>
      </c>
      <c r="DN184" s="30">
        <f>DK184*G184+(F184-G184)*DL184</f>
        <v>15009.586140588879</v>
      </c>
      <c r="DO184" s="30">
        <f>DM184*H184</f>
        <v>0</v>
      </c>
      <c r="DP184" s="316">
        <f t="shared" si="221"/>
        <v>15009.586140588879</v>
      </c>
      <c r="DQ184" s="104"/>
      <c r="DR184" s="30">
        <f>VLOOKUP(A184,'ДЗ нас '!$A$1:$C$359,2)</f>
        <v>48807.21</v>
      </c>
      <c r="DS184" s="748"/>
      <c r="DT184" s="30">
        <f t="shared" si="222"/>
        <v>48807.21</v>
      </c>
      <c r="DU184" s="257">
        <f>VLOOKUP(A184,'новий кошторис с 01.06'!$A$4:$AI$399,35)*1.2</f>
        <v>48986.640826447903</v>
      </c>
      <c r="DV184" s="30">
        <f t="shared" si="223"/>
        <v>-179.43082644790411</v>
      </c>
      <c r="DW184" s="930">
        <f>'[5]побудинковий звіт'!DW184+'[6]побудинковий звіт'!DW184</f>
        <v>276</v>
      </c>
      <c r="DY184" s="5">
        <f t="shared" si="167"/>
        <v>203363.67363076561</v>
      </c>
      <c r="DZ184" s="5">
        <f t="shared" si="168"/>
        <v>292834.2939763079</v>
      </c>
      <c r="EA184" s="752">
        <f t="shared" si="172"/>
        <v>87589.75</v>
      </c>
      <c r="EC184" s="592">
        <f t="shared" si="169"/>
        <v>1928304</v>
      </c>
      <c r="EE184" s="758">
        <v>98913</v>
      </c>
      <c r="EF184" s="738">
        <f t="shared" si="170"/>
        <v>-44531.246880762978</v>
      </c>
      <c r="EH184" s="813">
        <v>38905.461779620644</v>
      </c>
    </row>
    <row r="185" spans="1:138" x14ac:dyDescent="0.3">
      <c r="A185" s="328">
        <v>150000699</v>
      </c>
      <c r="B185" s="44" t="s">
        <v>636</v>
      </c>
      <c r="C185" s="45" t="s">
        <v>373</v>
      </c>
      <c r="D185" s="45" t="s">
        <v>373</v>
      </c>
      <c r="E185" s="40">
        <f t="shared" si="175"/>
        <v>373.83</v>
      </c>
      <c r="F185" s="490">
        <v>373.83</v>
      </c>
      <c r="G185" s="30">
        <v>468.7</v>
      </c>
      <c r="H185" s="30">
        <v>0</v>
      </c>
      <c r="I185" s="42">
        <f>'[1]побудинковий звіт'!I185+'[2]побудинковий звіт'!I185-'[3]побудинковий звіт'!I185</f>
        <v>13148.430492293752</v>
      </c>
      <c r="J185" s="42">
        <f>'[1]побудинковий звіт'!J185+'[2]побудинковий звіт'!J185-'[3]побудинковий звіт'!J185</f>
        <v>12034.771197918955</v>
      </c>
      <c r="K185" s="56">
        <f t="shared" si="183"/>
        <v>-1113.6592943747964</v>
      </c>
      <c r="L185" s="42">
        <f>'[1]побудинковий звіт'!L185+'[2]побудинковий звіт'!L185-'[3]побудинковий звіт'!L185</f>
        <v>1738.9838882484948</v>
      </c>
      <c r="M185" s="42">
        <f>'[1]побудинковий звіт'!M185+'[2]побудинковий звіт'!M185-'[3]побудинковий звіт'!M185</f>
        <v>1778.6029934103387</v>
      </c>
      <c r="N185" s="56">
        <f t="shared" si="184"/>
        <v>39.619105161843891</v>
      </c>
      <c r="O185" s="42">
        <f>'[1]побудинковий звіт'!O185+'[2]побудинковий звіт'!O185-'[3]побудинковий звіт'!O185</f>
        <v>5462.5199999999995</v>
      </c>
      <c r="P185" s="42">
        <f>'[1]побудинковий звіт'!P185+'[2]побудинковий звіт'!P185-'[3]побудинковий звіт'!P185</f>
        <v>5464.56</v>
      </c>
      <c r="Q185" s="56">
        <f t="shared" si="185"/>
        <v>2.0400000000008731</v>
      </c>
      <c r="R185" s="42">
        <f>'[1]побудинковий звіт'!R185+'[2]побудинковий звіт'!R185-'[3]побудинковий звіт'!R185</f>
        <v>1314.4799999999998</v>
      </c>
      <c r="S185" s="42">
        <f>'[1]побудинковий звіт'!S185+'[2]побудинковий звіт'!S185-'[3]побудинковий звіт'!S185</f>
        <v>1315.8000000000002</v>
      </c>
      <c r="T185" s="56">
        <f t="shared" si="186"/>
        <v>1.3200000000003911</v>
      </c>
      <c r="U185" s="42">
        <f>'[1]побудинковий звіт'!U185+'[2]побудинковий звіт'!U185-'[3]побудинковий звіт'!U185</f>
        <v>780.05784393801946</v>
      </c>
      <c r="V185" s="42">
        <f>'[1]побудинковий звіт'!V185+'[2]побудинковий звіт'!V185-'[3]побудинковий звіт'!V185</f>
        <v>529.67087313499223</v>
      </c>
      <c r="W185" s="56">
        <f t="shared" si="187"/>
        <v>-250.38697080302722</v>
      </c>
      <c r="X185" s="42">
        <f>'[1]побудинковий звіт'!X185+'[2]побудинковий звіт'!X185-'[3]побудинковий звіт'!X185</f>
        <v>6054.8506965501647</v>
      </c>
      <c r="Y185" s="42">
        <f>'[1]побудинковий звіт'!Y185+'[2]побудинковий звіт'!Y185-'[3]побудинковий звіт'!Y185</f>
        <v>5245.963568944112</v>
      </c>
      <c r="Z185" s="56">
        <f t="shared" si="188"/>
        <v>-808.88712760605267</v>
      </c>
      <c r="AA185" s="42">
        <f>'[1]побудинковий звіт'!AA185+'[2]побудинковий звіт'!AA185-'[3]побудинковий звіт'!AA185</f>
        <v>0</v>
      </c>
      <c r="AB185" s="42">
        <f>'[1]побудинковий звіт'!AB185+'[2]побудинковий звіт'!AB185-'[3]побудинковий звіт'!AB185</f>
        <v>0</v>
      </c>
      <c r="AC185" s="56">
        <f t="shared" si="189"/>
        <v>0</v>
      </c>
      <c r="AD185" s="42">
        <f>'[1]побудинковий звіт'!AD185+'[2]побудинковий звіт'!AD185-'[3]побудинковий звіт'!AD185</f>
        <v>17921.720288271346</v>
      </c>
      <c r="AE185" s="42">
        <f>'[1]побудинковий звіт'!AE185+'[2]побудинковий звіт'!AE185-'[3]побудинковий звіт'!AE185</f>
        <v>16518.330213101737</v>
      </c>
      <c r="AF185" s="37">
        <f t="shared" si="190"/>
        <v>-1403.3900751696092</v>
      </c>
      <c r="AG185" s="87">
        <f t="shared" si="180"/>
        <v>46421.043209301773</v>
      </c>
      <c r="AH185" s="57">
        <f t="shared" si="180"/>
        <v>42887.698846510139</v>
      </c>
      <c r="AI185" s="56">
        <f t="shared" si="191"/>
        <v>-3533.3443627916349</v>
      </c>
      <c r="AJ185" s="42">
        <f>'[1]побудинковий звіт'!AJ185+'[2]побудинковий звіт'!AJ185-'[3]побудинковий звіт'!AJ185</f>
        <v>12540.741868718729</v>
      </c>
      <c r="AK185" s="42">
        <f>'[1]побудинковий звіт'!AK185+'[2]побудинковий звіт'!AK185-'[3]побудинковий звіт'!AK185</f>
        <v>8886.0532684839727</v>
      </c>
      <c r="AL185" s="56">
        <f t="shared" si="192"/>
        <v>-3654.6886002347564</v>
      </c>
      <c r="AM185" s="42">
        <f>'[1]побудинковий звіт'!AM185+'[2]побудинковий звіт'!AM185-'[3]побудинковий звіт'!AM185</f>
        <v>0</v>
      </c>
      <c r="AN185" s="42">
        <f>'[1]побудинковий звіт'!AN185+'[2]побудинковий звіт'!AN185-'[3]побудинковий звіт'!AN185</f>
        <v>1302.7295819682915</v>
      </c>
      <c r="AO185" s="56">
        <f t="shared" si="193"/>
        <v>1302.7295819682915</v>
      </c>
      <c r="AP185" s="42">
        <f>'[1]побудинковий звіт'!AP185+'[2]побудинковий звіт'!AP185-'[3]побудинковий звіт'!AP185</f>
        <v>8097.0008467407069</v>
      </c>
      <c r="AQ185" s="42">
        <f>'[1]побудинковий звіт'!AQ185+'[2]побудинковий звіт'!AQ185-'[3]побудинковий звіт'!AQ185</f>
        <v>7708.7556248287483</v>
      </c>
      <c r="AR185" s="56">
        <f t="shared" si="194"/>
        <v>-388.24522191195865</v>
      </c>
      <c r="AS185" s="42">
        <f>'[1]побудинковий звіт'!AS185+'[2]побудинковий звіт'!AS185-'[3]побудинковий звіт'!AS185</f>
        <v>59349.770628693266</v>
      </c>
      <c r="AT185" s="42">
        <f>'[1]побудинковий звіт'!AT185+'[2]побудинковий звіт'!AT185-'[3]побудинковий звіт'!AT185</f>
        <v>99302.32569349269</v>
      </c>
      <c r="AU185" s="58">
        <f t="shared" si="211"/>
        <v>39952.555064799424</v>
      </c>
      <c r="AV185" s="42">
        <f>'[1]побудинковий звіт'!AV185+'[2]побудинковий звіт'!AV185-'[3]побудинковий звіт'!AV185</f>
        <v>1038.1512894669315</v>
      </c>
      <c r="AW185" s="42">
        <f>'[1]побудинковий звіт'!AW185+'[2]побудинковий звіт'!AW185-'[3]побудинковий звіт'!AW185</f>
        <v>0</v>
      </c>
      <c r="AX185" s="59">
        <f t="shared" si="212"/>
        <v>-1038.1512894669315</v>
      </c>
      <c r="AY185" s="42">
        <f>'[1]побудинковий звіт'!AY185+'[2]побудинковий звіт'!AY185-'[3]побудинковий звіт'!AY185</f>
        <v>1143.6391981349548</v>
      </c>
      <c r="AZ185" s="42">
        <f>'[1]побудинковий звіт'!AZ185+'[2]побудинковий звіт'!AZ185-'[3]побудинковий звіт'!AZ185</f>
        <v>3193</v>
      </c>
      <c r="BA185" s="37">
        <f t="shared" si="213"/>
        <v>2049.3608018650452</v>
      </c>
      <c r="BB185" s="42">
        <f>'[1]побудинковий звіт'!BB185+'[2]побудинковий звіт'!BB185-'[3]побудинковий звіт'!BB185</f>
        <v>2085.4564293650801</v>
      </c>
      <c r="BC185" s="42">
        <f>'[1]побудинковий звіт'!BC185+'[2]побудинковий звіт'!BC185-'[3]побудинковий звіт'!BC185</f>
        <v>5849.7921815835853</v>
      </c>
      <c r="BD185" s="59">
        <f t="shared" si="214"/>
        <v>3764.3357522185051</v>
      </c>
      <c r="BE185" s="42">
        <f>'[1]побудинковий звіт'!BE185+'[2]побудинковий звіт'!BE185-'[3]побудинковий звіт'!BE185</f>
        <v>813.43272506184121</v>
      </c>
      <c r="BF185" s="42">
        <f>'[1]побудинковий звіт'!BF185+'[2]побудинковий звіт'!BF185-'[3]побудинковий звіт'!BF185</f>
        <v>0</v>
      </c>
      <c r="BG185" s="39">
        <f t="shared" si="215"/>
        <v>-813.43272506184121</v>
      </c>
      <c r="BH185" s="42">
        <f>'[1]побудинковий звіт'!BH185+'[2]побудинковий звіт'!BH185-'[3]побудинковий звіт'!BH185</f>
        <v>395.76741189229665</v>
      </c>
      <c r="BI185" s="42">
        <f>'[1]побудинковий звіт'!BI185+'[2]побудинковий звіт'!BI185-'[3]побудинковий звіт'!BI185</f>
        <v>0</v>
      </c>
      <c r="BJ185" s="59">
        <f t="shared" si="216"/>
        <v>-395.76741189229665</v>
      </c>
      <c r="BK185" s="42">
        <f>'[1]побудинковий звіт'!BK185+'[2]побудинковий звіт'!BK185-'[3]побудинковий звіт'!BK185</f>
        <v>976.96134145785277</v>
      </c>
      <c r="BL185" s="42">
        <f>'[1]побудинковий звіт'!BL185+'[2]побудинковий звіт'!BL185-'[3]побудинковий звіт'!BL185</f>
        <v>2583</v>
      </c>
      <c r="BM185" s="39">
        <f t="shared" si="217"/>
        <v>1606.0386585421472</v>
      </c>
      <c r="BN185" s="42">
        <f>'[1]побудинковий звіт'!BN185+'[2]побудинковий звіт'!BN185-'[3]побудинковий звіт'!BN185</f>
        <v>0</v>
      </c>
      <c r="BO185" s="42">
        <f>'[1]побудинковий звіт'!BO185+'[2]побудинковий звіт'!BO185-'[3]побудинковий звіт'!BO185</f>
        <v>0</v>
      </c>
      <c r="BP185" s="59">
        <f t="shared" si="218"/>
        <v>0</v>
      </c>
      <c r="BQ185" s="87">
        <f t="shared" si="176"/>
        <v>6453.4083953789577</v>
      </c>
      <c r="BR185" s="43">
        <f t="shared" si="220"/>
        <v>11625.792181583585</v>
      </c>
      <c r="BS185" s="59">
        <f t="shared" si="219"/>
        <v>5172.3837862046275</v>
      </c>
      <c r="BT185" s="42">
        <f>'[1]побудинковий звіт'!BT185+'[2]побудинковий звіт'!BT185-'[3]побудинковий звіт'!BT185</f>
        <v>44497.132417579342</v>
      </c>
      <c r="BU185" s="42">
        <f>'[1]побудинковий звіт'!BU185+'[2]побудинковий звіт'!BU185-'[3]побудинковий звіт'!BU185</f>
        <v>53662.473517103426</v>
      </c>
      <c r="BV185" s="56">
        <f t="shared" si="195"/>
        <v>9165.3410995240847</v>
      </c>
      <c r="BW185" s="42">
        <f>'[1]побудинковий звіт'!BW185+'[2]побудинковий звіт'!BW185-'[3]побудинковий звіт'!BW185</f>
        <v>55745.232081551148</v>
      </c>
      <c r="BX185" s="42">
        <f>'[1]побудинковий звіт'!BX185+'[2]побудинковий звіт'!BX185-'[3]побудинковий звіт'!BX185</f>
        <v>57368.074320584965</v>
      </c>
      <c r="BY185" s="56">
        <f t="shared" si="196"/>
        <v>1622.8422390338164</v>
      </c>
      <c r="BZ185" s="42">
        <f>'[1]побудинковий звіт'!BZ185+'[2]побудинковий звіт'!BZ185-'[3]побудинковий звіт'!BZ185</f>
        <v>6670.3038416290974</v>
      </c>
      <c r="CA185" s="42">
        <f>'[1]побудинковий звіт'!CA185+'[2]побудинковий звіт'!CA185-'[3]побудинковий звіт'!CA185</f>
        <v>12683.574810662565</v>
      </c>
      <c r="CB185" s="56">
        <f t="shared" si="197"/>
        <v>6013.2709690334677</v>
      </c>
      <c r="CC185" s="42">
        <f>'[1]побудинковий звіт'!CC185+'[2]побудинковий звіт'!CC185-'[3]побудинковий звіт'!CC185</f>
        <v>1735.3819771425285</v>
      </c>
      <c r="CD185" s="42">
        <f>'[1]побудинковий звіт'!CD185+'[2]побудинковий звіт'!CD185-'[3]побудинковий звіт'!CD185</f>
        <v>1720.1188020255227</v>
      </c>
      <c r="CE185" s="56">
        <f t="shared" si="198"/>
        <v>-15.263175117005858</v>
      </c>
      <c r="CF185" s="42">
        <f>'[1]побудинковий звіт'!CF185+'[2]побудинковий звіт'!CF185-'[3]побудинковий звіт'!CF185</f>
        <v>213.63603885277331</v>
      </c>
      <c r="CG185" s="42">
        <f>'[1]побудинковий звіт'!CG185+'[2]побудинковий звіт'!CG185-'[3]побудинковий звіт'!CG185</f>
        <v>0</v>
      </c>
      <c r="CH185" s="56">
        <f t="shared" si="199"/>
        <v>-213.63603885277331</v>
      </c>
      <c r="CI185" s="42">
        <f>'[1]побудинковий звіт'!CI185+'[2]побудинковий звіт'!CI185-'[3]побудинковий звіт'!CI185</f>
        <v>22217.702385327062</v>
      </c>
      <c r="CJ185" s="42">
        <f>'[1]побудинковий звіт'!CJ185+'[2]побудинковий звіт'!CJ185-'[3]побудинковий звіт'!CJ185</f>
        <v>9436.7575033524154</v>
      </c>
      <c r="CK185" s="56">
        <f t="shared" si="200"/>
        <v>-12780.944881974647</v>
      </c>
      <c r="CL185" s="42">
        <f>'[1]побудинковий звіт'!CL185+'[2]побудинковий звіт'!CL185-'[3]побудинковий звіт'!CL185</f>
        <v>8441.603854913652</v>
      </c>
      <c r="CM185" s="42">
        <f>'[1]побудинковий звіт'!CM185+'[2]побудинковий звіт'!CM185-'[3]побудинковий звіт'!CM185</f>
        <v>6311.9360367177305</v>
      </c>
      <c r="CN185" s="56">
        <f t="shared" si="201"/>
        <v>-2129.6678181959214</v>
      </c>
      <c r="CO185" s="42">
        <f t="shared" si="181"/>
        <v>30659.306240240716</v>
      </c>
      <c r="CP185" s="43">
        <f t="shared" si="202"/>
        <v>15748.693540070146</v>
      </c>
      <c r="CQ185" s="56">
        <f t="shared" si="203"/>
        <v>-14910.61270017057</v>
      </c>
      <c r="CR185" s="78">
        <f t="shared" si="182"/>
        <v>272382.95754582901</v>
      </c>
      <c r="CS185" s="5">
        <f t="shared" si="182"/>
        <v>312896.29018731398</v>
      </c>
      <c r="CT185" s="56">
        <f t="shared" si="204"/>
        <v>40513.332641484973</v>
      </c>
      <c r="CU185" s="87">
        <f t="shared" si="205"/>
        <v>326859.54905499477</v>
      </c>
      <c r="CV185" s="70">
        <f t="shared" si="206"/>
        <v>375475.54822477675</v>
      </c>
      <c r="CW185" s="37">
        <f t="shared" si="207"/>
        <v>48615.999169781979</v>
      </c>
      <c r="CX185" s="42">
        <f>'[1]побудинковий звіт'!CX185+'[2]побудинковий звіт'!CX185-'[3]побудинковий звіт'!CX185</f>
        <v>3845.1509450051381</v>
      </c>
      <c r="CY185" s="42">
        <f>'[1]побудинковий звіт'!CY185+'[2]побудинковий звіт'!CY185-'[3]побудинковий звіт'!CY185</f>
        <v>-44770.848224776884</v>
      </c>
      <c r="CZ185" s="56">
        <f t="shared" si="208"/>
        <v>-48615.999169782022</v>
      </c>
      <c r="DA185" s="264">
        <f>'[4]побудинковий звіт'!DA185</f>
        <v>89741.835256835824</v>
      </c>
      <c r="DB185" s="2">
        <v>3</v>
      </c>
      <c r="DC185" s="717">
        <f>'[4]побудинковий звіт'!DC185</f>
        <v>78332.75</v>
      </c>
      <c r="DD185" s="717">
        <f>'[4]побудинковий звіт'!DD185</f>
        <v>0</v>
      </c>
      <c r="DE185" s="717">
        <f>'[4]побудинковий звіт'!DE185</f>
        <v>51795.71</v>
      </c>
      <c r="DF185" s="717">
        <f>'[4]побудинковий звіт'!DF185</f>
        <v>0</v>
      </c>
      <c r="DG185" s="787">
        <v>18326.00776069425</v>
      </c>
      <c r="DH185" s="761">
        <f t="shared" si="171"/>
        <v>3968456.3999999985</v>
      </c>
      <c r="DI185" s="784"/>
      <c r="DJ185" s="5"/>
      <c r="DK185" s="317">
        <f>VLOOKUP($A185,ціни!$A$4:$G$401,5)</f>
        <v>6.0879806508452941</v>
      </c>
      <c r="DL185" s="317">
        <f>VLOOKUP($A185,ціни!$A$4:$G$401,6)</f>
        <v>6.6600676014318809</v>
      </c>
      <c r="DM185" s="317">
        <f>VLOOKUP($A185,ціни!$A$4:$G$401,7)</f>
        <v>4.7380400447763327</v>
      </c>
      <c r="DN185" s="30">
        <f>DK185*G185+(F185-G185)*DL185</f>
        <v>2221.5959177033469</v>
      </c>
      <c r="DO185" s="30">
        <f>DM185*H185</f>
        <v>0</v>
      </c>
      <c r="DP185" s="316">
        <f t="shared" si="221"/>
        <v>2221.5959177033469</v>
      </c>
      <c r="DQ185" s="104"/>
      <c r="DR185" s="30">
        <f>VLOOKUP(A185,'ДЗ нас '!$A$1:$C$359,2)</f>
        <v>26557.71</v>
      </c>
      <c r="DS185" s="748"/>
      <c r="DT185" s="30">
        <f t="shared" si="222"/>
        <v>26557.71</v>
      </c>
      <c r="DU185" s="257">
        <f>VLOOKUP(A185,'новий кошторис с 01.06'!$A$4:$AI$399,35)*1.2</f>
        <v>27728.585078165404</v>
      </c>
      <c r="DV185" s="30">
        <f t="shared" si="223"/>
        <v>-1170.8750781654053</v>
      </c>
      <c r="DW185" s="930">
        <f>'[5]побудинковий звіт'!DW185+'[6]побудинковий звіт'!DW185</f>
        <v>355</v>
      </c>
      <c r="DY185" s="5">
        <f t="shared" si="167"/>
        <v>78963.814828886665</v>
      </c>
      <c r="DZ185" s="5">
        <f t="shared" si="168"/>
        <v>133113.74145009153</v>
      </c>
      <c r="EA185" s="752">
        <f t="shared" si="172"/>
        <v>51795.71</v>
      </c>
      <c r="EC185" s="592">
        <f t="shared" si="169"/>
        <v>712197.24754431914</v>
      </c>
      <c r="EE185" s="758">
        <v>237243</v>
      </c>
      <c r="EF185" s="738">
        <f t="shared" si="170"/>
        <v>255569.00776069425</v>
      </c>
      <c r="EH185" s="813">
        <v>118831.39331562913</v>
      </c>
    </row>
    <row r="186" spans="1:138" x14ac:dyDescent="0.3">
      <c r="A186" s="328">
        <v>150000928</v>
      </c>
      <c r="B186" s="44" t="s">
        <v>637</v>
      </c>
      <c r="C186" s="45" t="s">
        <v>169</v>
      </c>
      <c r="D186" s="45" t="s">
        <v>169</v>
      </c>
      <c r="E186" s="40">
        <f t="shared" si="175"/>
        <v>362.2</v>
      </c>
      <c r="F186" s="490">
        <v>119.3</v>
      </c>
      <c r="G186" s="30"/>
      <c r="H186" s="30">
        <v>242.89999999999998</v>
      </c>
      <c r="I186" s="42">
        <f>'[1]побудинковий звіт'!I186+'[2]побудинковий звіт'!I186-'[3]побудинковий звіт'!I186</f>
        <v>2579.398261580056</v>
      </c>
      <c r="J186" s="42">
        <f>'[1]побудинковий звіт'!J186+'[2]побудинковий звіт'!J186-'[3]побудинковий звіт'!J186</f>
        <v>2532.3065032317513</v>
      </c>
      <c r="K186" s="56">
        <f t="shared" si="183"/>
        <v>-47.091758348304666</v>
      </c>
      <c r="L186" s="42">
        <f>'[1]побудинковий звіт'!L186+'[2]побудинковий звіт'!L186-'[3]побудинковий звіт'!L186</f>
        <v>562.50067254770443</v>
      </c>
      <c r="M186" s="42">
        <f>'[1]побудинковий звіт'!M186+'[2]побудинковий звіт'!M186-'[3]побудинковий звіт'!M186</f>
        <v>567.53671539214747</v>
      </c>
      <c r="N186" s="56">
        <f t="shared" si="184"/>
        <v>5.0360428444430454</v>
      </c>
      <c r="O186" s="42">
        <f>'[1]побудинковий звіт'!O186+'[2]побудинковий звіт'!O186-'[3]побудинковий звіт'!O186</f>
        <v>652.43999999999994</v>
      </c>
      <c r="P186" s="42">
        <f>'[1]побудинковий звіт'!P186+'[2]побудинковий звіт'!P186-'[3]побудинковий звіт'!P186</f>
        <v>512.77933279569891</v>
      </c>
      <c r="Q186" s="56">
        <f t="shared" si="185"/>
        <v>-139.66066720430103</v>
      </c>
      <c r="R186" s="42">
        <f>'[1]побудинковий звіт'!R186+'[2]побудинковий звіт'!R186-'[3]побудинковий звіт'!R186</f>
        <v>0</v>
      </c>
      <c r="S186" s="42">
        <f>'[1]побудинковий звіт'!S186+'[2]побудинковий звіт'!S186-'[3]побудинковий звіт'!S186</f>
        <v>0</v>
      </c>
      <c r="T186" s="56">
        <f t="shared" si="186"/>
        <v>0</v>
      </c>
      <c r="U186" s="42">
        <f>'[1]побудинковий звіт'!U186+'[2]побудинковий звіт'!U186-'[3]побудинковий звіт'!U186</f>
        <v>0</v>
      </c>
      <c r="V186" s="42">
        <f>'[1]побудинковий звіт'!V186+'[2]побудинковий звіт'!V186-'[3]побудинковий звіт'!V186</f>
        <v>0</v>
      </c>
      <c r="W186" s="56">
        <f t="shared" si="187"/>
        <v>0</v>
      </c>
      <c r="X186" s="42">
        <f>'[1]побудинковий звіт'!X186+'[2]побудинковий звіт'!X186-'[3]побудинковий звіт'!X186</f>
        <v>1186.6969131526546</v>
      </c>
      <c r="Y186" s="42">
        <f>'[1]побудинковий звіт'!Y186+'[2]побудинковий звіт'!Y186-'[3]побудинковий звіт'!Y186</f>
        <v>890.4726229281074</v>
      </c>
      <c r="Z186" s="56">
        <f t="shared" si="188"/>
        <v>-296.22429022454719</v>
      </c>
      <c r="AA186" s="42">
        <f>'[1]побудинковий звіт'!AA186+'[2]побудинковий звіт'!AA186-'[3]побудинковий звіт'!AA186</f>
        <v>0</v>
      </c>
      <c r="AB186" s="42">
        <f>'[1]побудинковий звіт'!AB186+'[2]побудинковий звіт'!AB186-'[3]побудинковий звіт'!AB186</f>
        <v>0</v>
      </c>
      <c r="AC186" s="56">
        <f t="shared" si="189"/>
        <v>0</v>
      </c>
      <c r="AD186" s="42">
        <f>'[1]побудинковий звіт'!AD186+'[2]побудинковий звіт'!AD186-'[3]побудинковий звіт'!AD186</f>
        <v>2048.978470711369</v>
      </c>
      <c r="AE186" s="42">
        <f>'[1]побудинковий звіт'!AE186+'[2]побудинковий звіт'!AE186-'[3]побудинковий звіт'!AE186</f>
        <v>1884.788217079898</v>
      </c>
      <c r="AF186" s="37">
        <f t="shared" si="190"/>
        <v>-164.19025363147102</v>
      </c>
      <c r="AG186" s="87">
        <f t="shared" si="180"/>
        <v>7030.0143179917832</v>
      </c>
      <c r="AH186" s="57">
        <f t="shared" si="180"/>
        <v>6387.8833914276038</v>
      </c>
      <c r="AI186" s="56">
        <f t="shared" si="191"/>
        <v>-642.13092656417939</v>
      </c>
      <c r="AJ186" s="42">
        <f>'[1]побудинковий звіт'!AJ186+'[2]побудинковий звіт'!AJ186-'[3]побудинковий звіт'!AJ186</f>
        <v>0</v>
      </c>
      <c r="AK186" s="42">
        <f>'[1]побудинковий звіт'!AK186+'[2]побудинковий звіт'!AK186-'[3]побудинковий звіт'!AK186</f>
        <v>0</v>
      </c>
      <c r="AL186" s="56">
        <f t="shared" si="192"/>
        <v>0</v>
      </c>
      <c r="AM186" s="42">
        <f>'[1]побудинковий звіт'!AM186+'[2]побудинковий звіт'!AM186-'[3]побудинковий звіт'!AM186</f>
        <v>0</v>
      </c>
      <c r="AN186" s="42">
        <f>'[1]побудинковий звіт'!AN186+'[2]побудинковий звіт'!AN186-'[3]побудинковий звіт'!AN186</f>
        <v>0</v>
      </c>
      <c r="AO186" s="56">
        <f t="shared" si="193"/>
        <v>0</v>
      </c>
      <c r="AP186" s="42">
        <f>'[1]побудинковий звіт'!AP186+'[2]побудинковий звіт'!AP186-'[3]побудинковий звіт'!AP186</f>
        <v>710.26323217023742</v>
      </c>
      <c r="AQ186" s="42">
        <f>'[1]побудинковий звіт'!AQ186+'[2]побудинковий звіт'!AQ186-'[3]побудинковий звіт'!AQ186</f>
        <v>465.83482336119897</v>
      </c>
      <c r="AR186" s="56">
        <f t="shared" si="194"/>
        <v>-244.42840880903844</v>
      </c>
      <c r="AS186" s="42">
        <f>'[1]побудинковий звіт'!AS186+'[2]побудинковий звіт'!AS186-'[3]побудинковий звіт'!AS186</f>
        <v>6339.0902419702734</v>
      </c>
      <c r="AT186" s="42">
        <f>'[1]побудинковий звіт'!AT186+'[2]побудинковий звіт'!AT186-'[3]побудинковий звіт'!AT186</f>
        <v>2815</v>
      </c>
      <c r="AU186" s="58">
        <f t="shared" si="211"/>
        <v>-3524.0902419702734</v>
      </c>
      <c r="AV186" s="42">
        <f>'[1]побудинковий звіт'!AV186+'[2]побудинковий звіт'!AV186-'[3]побудинковий звіт'!AV186</f>
        <v>498.45033674497461</v>
      </c>
      <c r="AW186" s="42">
        <f>'[1]побудинковий звіт'!AW186+'[2]побудинковий звіт'!AW186-'[3]побудинковий звіт'!AW186</f>
        <v>0</v>
      </c>
      <c r="AX186" s="59">
        <f t="shared" si="212"/>
        <v>-498.45033674497461</v>
      </c>
      <c r="AY186" s="42">
        <f>'[1]побудинковий звіт'!AY186+'[2]побудинковий звіт'!AY186-'[3]побудинковий звіт'!AY186</f>
        <v>725.15009336527589</v>
      </c>
      <c r="AZ186" s="42">
        <f>'[1]побудинковий звіт'!AZ186+'[2]побудинковий звіт'!AZ186-'[3]побудинковий звіт'!AZ186</f>
        <v>920</v>
      </c>
      <c r="BA186" s="37">
        <f t="shared" si="213"/>
        <v>194.84990663472411</v>
      </c>
      <c r="BB186" s="42">
        <f>'[1]побудинковий звіт'!BB186+'[2]побудинковий звіт'!BB186-'[3]побудинковий звіт'!BB186</f>
        <v>301.53362018930937</v>
      </c>
      <c r="BC186" s="42">
        <f>'[1]побудинковий звіт'!BC186+'[2]побудинковий звіт'!BC186-'[3]побудинковий звіт'!BC186</f>
        <v>471</v>
      </c>
      <c r="BD186" s="59">
        <f t="shared" si="214"/>
        <v>169.46637981069063</v>
      </c>
      <c r="BE186" s="42">
        <f>'[1]побудинковий звіт'!BE186+'[2]побудинковий звіт'!BE186-'[3]побудинковий звіт'!BE186</f>
        <v>0</v>
      </c>
      <c r="BF186" s="42">
        <f>'[1]побудинковий звіт'!BF186+'[2]побудинковий звіт'!BF186-'[3]побудинковий звіт'!BF186</f>
        <v>0</v>
      </c>
      <c r="BG186" s="39">
        <f t="shared" si="215"/>
        <v>0</v>
      </c>
      <c r="BH186" s="42">
        <f>'[1]побудинковий звіт'!BH186+'[2]побудинковий звіт'!BH186-'[3]побудинковий звіт'!BH186</f>
        <v>0</v>
      </c>
      <c r="BI186" s="42">
        <f>'[1]побудинковий звіт'!BI186+'[2]побудинковий звіт'!BI186-'[3]побудинковий звіт'!BI186</f>
        <v>0</v>
      </c>
      <c r="BJ186" s="59">
        <f t="shared" si="216"/>
        <v>0</v>
      </c>
      <c r="BK186" s="42">
        <f>'[1]побудинковий звіт'!BK186+'[2]побудинковий звіт'!BK186-'[3]побудинковий звіт'!BK186</f>
        <v>118.62766249183653</v>
      </c>
      <c r="BL186" s="42">
        <f>'[1]побудинковий звіт'!BL186+'[2]побудинковий звіт'!BL186-'[3]побудинковий звіт'!BL186</f>
        <v>1604</v>
      </c>
      <c r="BM186" s="39">
        <f t="shared" si="217"/>
        <v>1485.3723375081636</v>
      </c>
      <c r="BN186" s="42">
        <f>'[1]побудинковий звіт'!BN186+'[2]побудинковий звіт'!BN186-'[3]побудинковий звіт'!BN186</f>
        <v>0</v>
      </c>
      <c r="BO186" s="42">
        <f>'[1]побудинковий звіт'!BO186+'[2]побудинковий звіт'!BO186-'[3]побудинковий звіт'!BO186</f>
        <v>0</v>
      </c>
      <c r="BP186" s="59">
        <f t="shared" si="218"/>
        <v>0</v>
      </c>
      <c r="BQ186" s="87">
        <f t="shared" si="176"/>
        <v>1643.7617127913963</v>
      </c>
      <c r="BR186" s="43">
        <f t="shared" si="220"/>
        <v>2995</v>
      </c>
      <c r="BS186" s="59">
        <f t="shared" si="219"/>
        <v>1351.2382872086037</v>
      </c>
      <c r="BT186" s="42">
        <f>'[1]побудинковий звіт'!BT186+'[2]побудинковий звіт'!BT186-'[3]побудинковий звіт'!BT186</f>
        <v>6976.7928563141149</v>
      </c>
      <c r="BU186" s="42">
        <f>'[1]побудинковий звіт'!BU186+'[2]побудинковий звіт'!BU186-'[3]побудинковий звіт'!BU186</f>
        <v>8668.2036233637045</v>
      </c>
      <c r="BV186" s="56">
        <f t="shared" si="195"/>
        <v>1691.4107670495896</v>
      </c>
      <c r="BW186" s="42">
        <f>'[1]побудинковий звіт'!BW186+'[2]побудинковий звіт'!BW186-'[3]побудинковий звіт'!BW186</f>
        <v>2792.7387542893521</v>
      </c>
      <c r="BX186" s="42">
        <f>'[1]побудинковий звіт'!BX186+'[2]побудинковий звіт'!BX186-'[3]побудинковий звіт'!BX186</f>
        <v>4853.2889627071163</v>
      </c>
      <c r="BY186" s="56">
        <f t="shared" si="196"/>
        <v>2060.5502084177642</v>
      </c>
      <c r="BZ186" s="42">
        <f>'[1]побудинковий звіт'!BZ186+'[2]побудинковий звіт'!BZ186-'[3]побудинковий звіт'!BZ186</f>
        <v>1910.6553203950439</v>
      </c>
      <c r="CA186" s="42">
        <f>'[1]побудинковий звіт'!CA186+'[2]побудинковий звіт'!CA186-'[3]побудинковий звіт'!CA186</f>
        <v>1843.3307349319334</v>
      </c>
      <c r="CB186" s="56">
        <f t="shared" si="197"/>
        <v>-67.324585463110452</v>
      </c>
      <c r="CC186" s="42">
        <f>'[1]побудинковий звіт'!CC186+'[2]побудинковий звіт'!CC186-'[3]побудинковий звіт'!CC186</f>
        <v>0</v>
      </c>
      <c r="CD186" s="42">
        <f>'[1]побудинковий звіт'!CD186+'[2]побудинковий звіт'!CD186-'[3]побудинковий звіт'!CD186</f>
        <v>0</v>
      </c>
      <c r="CE186" s="56">
        <f t="shared" si="198"/>
        <v>0</v>
      </c>
      <c r="CF186" s="42">
        <f>'[1]побудинковий звіт'!CF186+'[2]побудинковий звіт'!CF186-'[3]побудинковий звіт'!CF186</f>
        <v>0</v>
      </c>
      <c r="CG186" s="42">
        <f>'[1]побудинковий звіт'!CG186+'[2]побудинковий звіт'!CG186-'[3]побудинковий звіт'!CG186</f>
        <v>0</v>
      </c>
      <c r="CH186" s="56">
        <f t="shared" si="199"/>
        <v>0</v>
      </c>
      <c r="CI186" s="42">
        <f>'[1]побудинковий звіт'!CI186+'[2]побудинковий звіт'!CI186-'[3]побудинковий звіт'!CI186</f>
        <v>935.87625885960688</v>
      </c>
      <c r="CJ186" s="42">
        <f>'[1]побудинковий звіт'!CJ186+'[2]побудинковий звіт'!CJ186-'[3]побудинковий звіт'!CJ186</f>
        <v>179.4552603866147</v>
      </c>
      <c r="CK186" s="56">
        <f t="shared" si="200"/>
        <v>-756.42099847299221</v>
      </c>
      <c r="CL186" s="42">
        <f>'[1]побудинковий звіт'!CL186+'[2]побудинковий звіт'!CL186-'[3]побудинковий звіт'!CL186</f>
        <v>0</v>
      </c>
      <c r="CM186" s="42">
        <f>'[1]побудинковий звіт'!CM186+'[2]побудинковий звіт'!CM186-'[3]побудинковий звіт'!CM186</f>
        <v>0</v>
      </c>
      <c r="CN186" s="56">
        <f t="shared" si="201"/>
        <v>0</v>
      </c>
      <c r="CO186" s="42">
        <f t="shared" si="181"/>
        <v>935.87625885960688</v>
      </c>
      <c r="CP186" s="43">
        <f t="shared" si="202"/>
        <v>179.4552603866147</v>
      </c>
      <c r="CQ186" s="56">
        <f t="shared" si="203"/>
        <v>-756.42099847299221</v>
      </c>
      <c r="CR186" s="78">
        <f t="shared" si="182"/>
        <v>28339.192694781806</v>
      </c>
      <c r="CS186" s="5">
        <f t="shared" si="182"/>
        <v>28207.996796178169</v>
      </c>
      <c r="CT186" s="56">
        <f t="shared" si="204"/>
        <v>-131.19589860363703</v>
      </c>
      <c r="CU186" s="87">
        <f t="shared" si="205"/>
        <v>34007.031233738169</v>
      </c>
      <c r="CV186" s="70">
        <f t="shared" si="206"/>
        <v>33849.596155413805</v>
      </c>
      <c r="CW186" s="37">
        <f t="shared" si="207"/>
        <v>-157.43507832436444</v>
      </c>
      <c r="CX186" s="42">
        <f>'[1]побудинковий звіт'!CX186+'[2]побудинковий звіт'!CX186-'[3]побудинковий звіт'!CX186</f>
        <v>445.4387662618351</v>
      </c>
      <c r="CY186" s="42">
        <f>'[1]побудинковий звіт'!CY186+'[2]побудинковий звіт'!CY186-'[3]побудинковий звіт'!CY186</f>
        <v>602.87384458619681</v>
      </c>
      <c r="CZ186" s="56">
        <f t="shared" si="208"/>
        <v>157.43507832436171</v>
      </c>
      <c r="DA186" s="264">
        <f>'[4]побудинковий звіт'!DA186</f>
        <v>-9853.6465082451177</v>
      </c>
      <c r="DB186" s="2">
        <v>2</v>
      </c>
      <c r="DC186" s="717">
        <f>'[4]побудинковий звіт'!DC186</f>
        <v>1552.89</v>
      </c>
      <c r="DD186" s="717">
        <f>'[4]побудинковий звіт'!DD186</f>
        <v>3603.74</v>
      </c>
      <c r="DE186" s="717">
        <f>'[4]побудинковий звіт'!DE186</f>
        <v>0</v>
      </c>
      <c r="DF186" s="717">
        <f>'[4]побудинковий звіт'!DF186</f>
        <v>2289.42</v>
      </c>
      <c r="DG186" s="787">
        <v>-4808.9967282758589</v>
      </c>
      <c r="DH186" s="761">
        <f t="shared" si="171"/>
        <v>413429.64</v>
      </c>
      <c r="DI186" s="784"/>
      <c r="DJ186" s="5"/>
      <c r="DK186" s="317">
        <f>VLOOKUP($A186,ціни!$A$4:$G$401,5)</f>
        <v>6.6193110667870476</v>
      </c>
      <c r="DL186" s="317"/>
      <c r="DM186" s="317">
        <f>VLOOKUP($A186,ціни!$A$4:$G$401,7)</f>
        <v>5.4110289544240073</v>
      </c>
      <c r="DN186" s="30">
        <f t="shared" ref="DN186:DN196" si="224">F186*DK186</f>
        <v>789.68381026769475</v>
      </c>
      <c r="DO186" s="30">
        <f t="shared" ref="DO186:DO196" si="225">H186*DM186</f>
        <v>1314.3389330295913</v>
      </c>
      <c r="DP186" s="316">
        <f t="shared" si="221"/>
        <v>2104.0227432972861</v>
      </c>
      <c r="DQ186" s="104"/>
      <c r="DR186" s="30">
        <f>VLOOKUP(A186,'ДЗ нас '!$A$1:$C$359,2)</f>
        <v>1552.89</v>
      </c>
      <c r="DS186" s="748">
        <f>VLOOKUP(A186,'ДЗ нежит'!$A$1:$D$153,4,0)</f>
        <v>1314.32</v>
      </c>
      <c r="DT186" s="30">
        <f t="shared" si="222"/>
        <v>2867.21</v>
      </c>
      <c r="DU186" s="257">
        <f>VLOOKUP(A186,'новий кошторис с 01.06'!$A$4:$AI$399,35)*1.2</f>
        <v>2884.9298163287881</v>
      </c>
      <c r="DV186" s="30">
        <f t="shared" si="223"/>
        <v>-17.719816328788056</v>
      </c>
      <c r="DW186" s="930">
        <f>'[5]побудинковий звіт'!DW186+'[6]побудинковий звіт'!DW186</f>
        <v>204</v>
      </c>
      <c r="DY186" s="5">
        <f t="shared" si="167"/>
        <v>9579.4223457140033</v>
      </c>
      <c r="DZ186" s="5">
        <f t="shared" si="168"/>
        <v>6972</v>
      </c>
      <c r="EA186" s="752">
        <f t="shared" si="172"/>
        <v>2289.42</v>
      </c>
      <c r="EC186" s="592">
        <f t="shared" si="169"/>
        <v>76069.082903643284</v>
      </c>
      <c r="EE186" s="758">
        <v>21122</v>
      </c>
      <c r="EF186" s="738">
        <f t="shared" si="170"/>
        <v>16313.003271724141</v>
      </c>
      <c r="EH186" s="813">
        <v>-10283.620673079651</v>
      </c>
    </row>
    <row r="187" spans="1:138" x14ac:dyDescent="0.3">
      <c r="A187" s="328">
        <v>150000951</v>
      </c>
      <c r="B187" s="44" t="s">
        <v>638</v>
      </c>
      <c r="C187" s="45" t="s">
        <v>170</v>
      </c>
      <c r="D187" s="45" t="s">
        <v>170</v>
      </c>
      <c r="E187" s="40">
        <f t="shared" si="175"/>
        <v>182.8</v>
      </c>
      <c r="F187" s="490">
        <v>182.8</v>
      </c>
      <c r="G187" s="30"/>
      <c r="H187" s="30">
        <v>0</v>
      </c>
      <c r="I187" s="42">
        <f>'[1]побудинковий звіт'!I187+'[2]побудинковий звіт'!I187-'[3]побудинковий звіт'!I187</f>
        <v>0</v>
      </c>
      <c r="J187" s="42">
        <f>'[1]побудинковий звіт'!J187+'[2]побудинковий звіт'!J187-'[3]побудинковий звіт'!J187</f>
        <v>0</v>
      </c>
      <c r="K187" s="56">
        <f t="shared" si="183"/>
        <v>0</v>
      </c>
      <c r="L187" s="42">
        <f>'[1]побудинковий звіт'!L187+'[2]побудинковий звіт'!L187-'[3]побудинковий звіт'!L187</f>
        <v>0</v>
      </c>
      <c r="M187" s="42">
        <f>'[1]побудинковий звіт'!M187+'[2]побудинковий звіт'!M187-'[3]побудинковий звіт'!M187</f>
        <v>0</v>
      </c>
      <c r="N187" s="56">
        <f t="shared" si="184"/>
        <v>0</v>
      </c>
      <c r="O187" s="42">
        <f>'[1]побудинковий звіт'!O187+'[2]побудинковий звіт'!O187-'[3]побудинковий звіт'!O187</f>
        <v>0</v>
      </c>
      <c r="P187" s="42">
        <f>'[1]побудинковий звіт'!P187+'[2]побудинковий звіт'!P187-'[3]побудинковий звіт'!P187</f>
        <v>0</v>
      </c>
      <c r="Q187" s="56">
        <f t="shared" si="185"/>
        <v>0</v>
      </c>
      <c r="R187" s="42">
        <f>'[1]побудинковий звіт'!R187+'[2]побудинковий звіт'!R187-'[3]побудинковий звіт'!R187</f>
        <v>0</v>
      </c>
      <c r="S187" s="42">
        <f>'[1]побудинковий звіт'!S187+'[2]побудинковий звіт'!S187-'[3]побудинковий звіт'!S187</f>
        <v>0</v>
      </c>
      <c r="T187" s="56">
        <f t="shared" si="186"/>
        <v>0</v>
      </c>
      <c r="U187" s="42">
        <f>'[1]побудинковий звіт'!U187+'[2]побудинковий звіт'!U187-'[3]побудинковий звіт'!U187</f>
        <v>0</v>
      </c>
      <c r="V187" s="42">
        <f>'[1]побудинковий звіт'!V187+'[2]побудинковий звіт'!V187-'[3]побудинковий звіт'!V187</f>
        <v>0</v>
      </c>
      <c r="W187" s="56">
        <f t="shared" si="187"/>
        <v>0</v>
      </c>
      <c r="X187" s="42">
        <f>'[1]побудинковий звіт'!X187+'[2]побудинковий звіт'!X187-'[3]побудинковий звіт'!X187</f>
        <v>1103.0813779293301</v>
      </c>
      <c r="Y187" s="42">
        <f>'[1]побудинковий звіт'!Y187+'[2]побудинковий звіт'!Y187-'[3]побудинковий звіт'!Y187</f>
        <v>778.69848916788624</v>
      </c>
      <c r="Z187" s="56">
        <f t="shared" si="188"/>
        <v>-324.38288876144384</v>
      </c>
      <c r="AA187" s="42">
        <f>'[1]побудинковий звіт'!AA187+'[2]побудинковий звіт'!AA187-'[3]побудинковий звіт'!AA187</f>
        <v>0</v>
      </c>
      <c r="AB187" s="42">
        <f>'[1]побудинковий звіт'!AB187+'[2]побудинковий звіт'!AB187-'[3]побудинковий звіт'!AB187</f>
        <v>0</v>
      </c>
      <c r="AC187" s="56">
        <f t="shared" si="189"/>
        <v>0</v>
      </c>
      <c r="AD187" s="42">
        <f>'[1]побудинковий звіт'!AD187+'[2]побудинковий звіт'!AD187-'[3]побудинковий звіт'!AD187</f>
        <v>2365.3900041684665</v>
      </c>
      <c r="AE187" s="42">
        <f>'[1]побудинковий звіт'!AE187+'[2]побудинковий звіт'!AE187-'[3]побудинковий звіт'!AE187</f>
        <v>2180.1642109767336</v>
      </c>
      <c r="AF187" s="37">
        <f t="shared" si="190"/>
        <v>-185.22579319173292</v>
      </c>
      <c r="AG187" s="87">
        <f t="shared" si="180"/>
        <v>3468.4713820977968</v>
      </c>
      <c r="AH187" s="57">
        <f t="shared" si="180"/>
        <v>2958.8627001446198</v>
      </c>
      <c r="AI187" s="56">
        <f t="shared" si="191"/>
        <v>-509.60868195317698</v>
      </c>
      <c r="AJ187" s="42">
        <f>'[1]побудинковий звіт'!AJ187+'[2]побудинковий звіт'!AJ187-'[3]побудинковий звіт'!AJ187</f>
        <v>0</v>
      </c>
      <c r="AK187" s="42">
        <f>'[1]побудинковий звіт'!AK187+'[2]побудинковий звіт'!AK187-'[3]побудинковий звіт'!AK187</f>
        <v>0</v>
      </c>
      <c r="AL187" s="56">
        <f t="shared" si="192"/>
        <v>0</v>
      </c>
      <c r="AM187" s="42">
        <f>'[1]побудинковий звіт'!AM187+'[2]побудинковий звіт'!AM187-'[3]побудинковий звіт'!AM187</f>
        <v>0</v>
      </c>
      <c r="AN187" s="42">
        <f>'[1]побудинковий звіт'!AN187+'[2]побудинковий звіт'!AN187-'[3]побудинковий звіт'!AN187</f>
        <v>0</v>
      </c>
      <c r="AO187" s="56">
        <f t="shared" si="193"/>
        <v>0</v>
      </c>
      <c r="AP187" s="42">
        <f>'[1]побудинковий звіт'!AP187+'[2]побудинковий звіт'!AP187-'[3]побудинковий звіт'!AP187</f>
        <v>1041.7194071830147</v>
      </c>
      <c r="AQ187" s="42">
        <f>'[1]побудинковий звіт'!AQ187+'[2]побудинковий звіт'!AQ187-'[3]побудинковий звіт'!AQ187</f>
        <v>419.19206303890826</v>
      </c>
      <c r="AR187" s="56">
        <f t="shared" si="194"/>
        <v>-622.52734414410645</v>
      </c>
      <c r="AS187" s="42">
        <f>'[1]побудинковий звіт'!AS187+'[2]побудинковий звіт'!AS187-'[3]побудинковий звіт'!AS187</f>
        <v>5044.0528940971808</v>
      </c>
      <c r="AT187" s="42">
        <f>'[1]побудинковий звіт'!AT187+'[2]побудинковий звіт'!AT187-'[3]побудинковий звіт'!AT187</f>
        <v>26068</v>
      </c>
      <c r="AU187" s="58">
        <f t="shared" si="211"/>
        <v>21023.947105902818</v>
      </c>
      <c r="AV187" s="42">
        <f>'[1]побудинковий звіт'!AV187+'[2]побудинковий звіт'!AV187-'[3]побудинковий звіт'!AV187</f>
        <v>0</v>
      </c>
      <c r="AW187" s="42">
        <f>'[1]побудинковий звіт'!AW187+'[2]побудинковий звіт'!AW187-'[3]побудинковий звіт'!AW187</f>
        <v>0</v>
      </c>
      <c r="AX187" s="59">
        <f t="shared" si="212"/>
        <v>0</v>
      </c>
      <c r="AY187" s="42">
        <f>'[1]побудинковий звіт'!AY187+'[2]побудинковий звіт'!AY187-'[3]побудинковий звіт'!AY187</f>
        <v>0</v>
      </c>
      <c r="AZ187" s="42">
        <f>'[1]побудинковий звіт'!AZ187+'[2]побудинковий звіт'!AZ187-'[3]побудинковий звіт'!AZ187</f>
        <v>0</v>
      </c>
      <c r="BA187" s="37">
        <f t="shared" si="213"/>
        <v>0</v>
      </c>
      <c r="BB187" s="42">
        <f>'[1]побудинковий звіт'!BB187+'[2]побудинковий звіт'!BB187-'[3]побудинковий звіт'!BB187</f>
        <v>0</v>
      </c>
      <c r="BC187" s="42">
        <f>'[1]побудинковий звіт'!BC187+'[2]побудинковий звіт'!BC187-'[3]побудинковий звіт'!BC187</f>
        <v>0</v>
      </c>
      <c r="BD187" s="59">
        <f t="shared" si="214"/>
        <v>0</v>
      </c>
      <c r="BE187" s="42">
        <f>'[1]побудинковий звіт'!BE187+'[2]побудинковий звіт'!BE187-'[3]побудинковий звіт'!BE187</f>
        <v>0</v>
      </c>
      <c r="BF187" s="42">
        <f>'[1]побудинковий звіт'!BF187+'[2]побудинковий звіт'!BF187-'[3]побудинковий звіт'!BF187</f>
        <v>0</v>
      </c>
      <c r="BG187" s="39">
        <f t="shared" si="215"/>
        <v>0</v>
      </c>
      <c r="BH187" s="42">
        <f>'[1]побудинковий звіт'!BH187+'[2]побудинковий звіт'!BH187-'[3]побудинковий звіт'!BH187</f>
        <v>0</v>
      </c>
      <c r="BI187" s="42">
        <f>'[1]побудинковий звіт'!BI187+'[2]побудинковий звіт'!BI187-'[3]побудинковий звіт'!BI187</f>
        <v>0</v>
      </c>
      <c r="BJ187" s="59">
        <f t="shared" si="216"/>
        <v>0</v>
      </c>
      <c r="BK187" s="42">
        <f>'[1]побудинковий звіт'!BK187+'[2]побудинковий звіт'!BK187-'[3]побудинковий звіт'!BK187</f>
        <v>70.795438516160814</v>
      </c>
      <c r="BL187" s="42">
        <f>'[1]побудинковий звіт'!BL187+'[2]побудинковий звіт'!BL187-'[3]побудинковий звіт'!BL187</f>
        <v>0</v>
      </c>
      <c r="BM187" s="39">
        <f t="shared" si="217"/>
        <v>-70.795438516160814</v>
      </c>
      <c r="BN187" s="42">
        <f>'[1]побудинковий звіт'!BN187+'[2]побудинковий звіт'!BN187-'[3]побудинковий звіт'!BN187</f>
        <v>113.06715224674898</v>
      </c>
      <c r="BO187" s="42">
        <f>'[1]побудинковий звіт'!BO187+'[2]побудинковий звіт'!BO187-'[3]побудинковий звіт'!BO187</f>
        <v>0</v>
      </c>
      <c r="BP187" s="59">
        <f t="shared" si="218"/>
        <v>-113.06715224674898</v>
      </c>
      <c r="BQ187" s="87">
        <f t="shared" si="176"/>
        <v>183.8625907629098</v>
      </c>
      <c r="BR187" s="43">
        <f t="shared" si="220"/>
        <v>0</v>
      </c>
      <c r="BS187" s="59">
        <f t="shared" si="219"/>
        <v>-183.8625907629098</v>
      </c>
      <c r="BT187" s="42">
        <f>'[1]побудинковий звіт'!BT187+'[2]побудинковий звіт'!BT187-'[3]побудинковий звіт'!BT187</f>
        <v>0</v>
      </c>
      <c r="BU187" s="42">
        <f>'[1]побудинковий звіт'!BU187+'[2]побудинковий звіт'!BU187-'[3]побудинковий звіт'!BU187</f>
        <v>0</v>
      </c>
      <c r="BV187" s="56">
        <f t="shared" si="195"/>
        <v>0</v>
      </c>
      <c r="BW187" s="42">
        <f>'[1]побудинковий звіт'!BW187+'[2]побудинковий звіт'!BW187-'[3]побудинковий звіт'!BW187</f>
        <v>0</v>
      </c>
      <c r="BX187" s="42">
        <f>'[1]побудинковий звіт'!BX187+'[2]побудинковий звіт'!BX187-'[3]побудинковий звіт'!BX187</f>
        <v>17.820481719201066</v>
      </c>
      <c r="BY187" s="56">
        <f t="shared" si="196"/>
        <v>17.820481719201066</v>
      </c>
      <c r="BZ187" s="42">
        <f>'[1]побудинковий звіт'!BZ187+'[2]побудинковий звіт'!BZ187-'[3]побудинковий звіт'!BZ187</f>
        <v>0</v>
      </c>
      <c r="CA187" s="42">
        <f>'[1]побудинковий звіт'!CA187+'[2]побудинковий звіт'!CA187-'[3]побудинковий звіт'!CA187</f>
        <v>0</v>
      </c>
      <c r="CB187" s="56">
        <f t="shared" si="197"/>
        <v>0</v>
      </c>
      <c r="CC187" s="42">
        <f>'[1]побудинковий звіт'!CC187+'[2]побудинковий звіт'!CC187-'[3]побудинковий звіт'!CC187</f>
        <v>0</v>
      </c>
      <c r="CD187" s="42">
        <f>'[1]побудинковий звіт'!CD187+'[2]побудинковий звіт'!CD187-'[3]побудинковий звіт'!CD187</f>
        <v>0</v>
      </c>
      <c r="CE187" s="56">
        <f t="shared" si="198"/>
        <v>0</v>
      </c>
      <c r="CF187" s="42">
        <f>'[1]побудинковий звіт'!CF187+'[2]побудинковий звіт'!CF187-'[3]побудинковий звіт'!CF187</f>
        <v>0</v>
      </c>
      <c r="CG187" s="42">
        <f>'[1]побудинковий звіт'!CG187+'[2]побудинковий звіт'!CG187-'[3]побудинковий звіт'!CG187</f>
        <v>0</v>
      </c>
      <c r="CH187" s="56">
        <f t="shared" si="199"/>
        <v>0</v>
      </c>
      <c r="CI187" s="42">
        <f>'[1]побудинковий звіт'!CI187+'[2]побудинковий звіт'!CI187-'[3]побудинковий звіт'!CI187</f>
        <v>0</v>
      </c>
      <c r="CJ187" s="42">
        <f>'[1]побудинковий звіт'!CJ187+'[2]побудинковий звіт'!CJ187-'[3]побудинковий звіт'!CJ187</f>
        <v>0</v>
      </c>
      <c r="CK187" s="56">
        <f t="shared" si="200"/>
        <v>0</v>
      </c>
      <c r="CL187" s="42">
        <f>'[1]побудинковий звіт'!CL187+'[2]побудинковий звіт'!CL187-'[3]побудинковий звіт'!CL187</f>
        <v>0</v>
      </c>
      <c r="CM187" s="42">
        <f>'[1]побудинковий звіт'!CM187+'[2]побудинковий звіт'!CM187-'[3]побудинковий звіт'!CM187</f>
        <v>0</v>
      </c>
      <c r="CN187" s="56">
        <f t="shared" si="201"/>
        <v>0</v>
      </c>
      <c r="CO187" s="42">
        <f t="shared" si="181"/>
        <v>0</v>
      </c>
      <c r="CP187" s="43">
        <f t="shared" si="202"/>
        <v>0</v>
      </c>
      <c r="CQ187" s="56">
        <f t="shared" si="203"/>
        <v>0</v>
      </c>
      <c r="CR187" s="78">
        <f t="shared" si="182"/>
        <v>9738.1062741409023</v>
      </c>
      <c r="CS187" s="5">
        <f t="shared" si="182"/>
        <v>29463.875244902731</v>
      </c>
      <c r="CT187" s="56">
        <f t="shared" si="204"/>
        <v>19725.768970761826</v>
      </c>
      <c r="CU187" s="87">
        <f t="shared" si="205"/>
        <v>11685.727528969082</v>
      </c>
      <c r="CV187" s="70">
        <f t="shared" si="206"/>
        <v>35356.650293883278</v>
      </c>
      <c r="CW187" s="37">
        <f t="shared" si="207"/>
        <v>23670.922764914198</v>
      </c>
      <c r="CX187" s="42">
        <f>'[1]побудинковий звіт'!CX187+'[2]побудинковий звіт'!CX187-'[3]побудинковий звіт'!CX187</f>
        <v>292.07247103091913</v>
      </c>
      <c r="CY187" s="42">
        <f>'[1]побудинковий звіт'!CY187+'[2]побудинковий звіт'!CY187-'[3]побудинковий звіт'!CY187</f>
        <v>-23378.850293883275</v>
      </c>
      <c r="CZ187" s="56">
        <f t="shared" si="208"/>
        <v>-23670.922764914194</v>
      </c>
      <c r="DA187" s="264">
        <f>'[4]побудинковий звіт'!DA187</f>
        <v>234408.72707736443</v>
      </c>
      <c r="DB187" s="2">
        <v>1</v>
      </c>
      <c r="DC187" s="717">
        <f>'[4]побудинковий звіт'!DC187</f>
        <v>3704.08</v>
      </c>
      <c r="DD187" s="717">
        <f>'[4]побудинковий звіт'!DD187</f>
        <v>0</v>
      </c>
      <c r="DE187" s="717">
        <f>'[4]побудинковий звіт'!DE187</f>
        <v>2705.93</v>
      </c>
      <c r="DF187" s="717">
        <f>'[4]побудинковий звіт'!DF187</f>
        <v>0</v>
      </c>
      <c r="DG187" s="787">
        <v>-11849.221076588219</v>
      </c>
      <c r="DH187" s="761">
        <f t="shared" si="171"/>
        <v>143733.6</v>
      </c>
      <c r="DI187" s="784"/>
      <c r="DJ187" s="5"/>
      <c r="DK187" s="317">
        <f>VLOOKUP($A187,ціни!$A$4:$G$401,5)</f>
        <v>1.8043309708955932</v>
      </c>
      <c r="DL187" s="317"/>
      <c r="DM187" s="317">
        <f>VLOOKUP($A187,ціни!$A$4:$G$401,7)</f>
        <v>1.8043309708955932</v>
      </c>
      <c r="DN187" s="30">
        <f t="shared" si="224"/>
        <v>329.83170147971447</v>
      </c>
      <c r="DO187" s="30">
        <f t="shared" si="225"/>
        <v>0</v>
      </c>
      <c r="DP187" s="316">
        <f t="shared" si="221"/>
        <v>329.83170147971447</v>
      </c>
      <c r="DQ187" s="104"/>
      <c r="DR187" s="30">
        <f>VLOOKUP(A187,'ДЗ нас '!$A$1:$C$359,2)</f>
        <v>998.15</v>
      </c>
      <c r="DS187" s="748"/>
      <c r="DT187" s="30">
        <f t="shared" si="222"/>
        <v>998.15</v>
      </c>
      <c r="DU187" s="257">
        <f>VLOOKUP(A187,'новий кошторис с 01.06'!$A$4:$AI$399,35)*1.2</f>
        <v>1003.0249462365128</v>
      </c>
      <c r="DV187" s="30">
        <f t="shared" si="223"/>
        <v>-4.8749462365128693</v>
      </c>
      <c r="DW187" s="930">
        <f>'[5]побудинковий звіт'!DW187+'[6]побудинковий звіт'!DW187</f>
        <v>0</v>
      </c>
      <c r="DY187" s="5">
        <f t="shared" si="167"/>
        <v>6273.4985818321084</v>
      </c>
      <c r="DZ187" s="5">
        <f t="shared" si="168"/>
        <v>31281.599999999999</v>
      </c>
      <c r="EA187" s="752">
        <f t="shared" si="172"/>
        <v>2705.93</v>
      </c>
      <c r="EC187" s="592">
        <f t="shared" si="169"/>
        <v>60528.634729166166</v>
      </c>
      <c r="EE187" s="758">
        <v>876</v>
      </c>
      <c r="EF187" s="738">
        <f t="shared" si="170"/>
        <v>-10973.221076588219</v>
      </c>
      <c r="EH187" s="813">
        <v>240639.93380551704</v>
      </c>
    </row>
    <row r="188" spans="1:138" x14ac:dyDescent="0.3">
      <c r="A188" s="328">
        <v>150000954</v>
      </c>
      <c r="B188" s="44" t="s">
        <v>639</v>
      </c>
      <c r="C188" s="45" t="s">
        <v>171</v>
      </c>
      <c r="D188" s="45" t="s">
        <v>171</v>
      </c>
      <c r="E188" s="40">
        <f t="shared" si="175"/>
        <v>229</v>
      </c>
      <c r="F188" s="490">
        <v>229</v>
      </c>
      <c r="G188" s="30"/>
      <c r="H188" s="30">
        <v>0</v>
      </c>
      <c r="I188" s="42">
        <f>'[1]побудинковий звіт'!I188+'[2]побудинковий звіт'!I188-'[3]побудинковий звіт'!I188</f>
        <v>1230.1488266744257</v>
      </c>
      <c r="J188" s="42">
        <f>'[1]побудинковий звіт'!J188+'[2]побудинковий звіт'!J188-'[3]побудинковий звіт'!J188</f>
        <v>1044.4187518732904</v>
      </c>
      <c r="K188" s="56">
        <f t="shared" si="183"/>
        <v>-185.73007480113529</v>
      </c>
      <c r="L188" s="42">
        <f>'[1]побудинковий звіт'!L188+'[2]побудинковий звіт'!L188-'[3]побудинковий звіт'!L188</f>
        <v>242.04357779902338</v>
      </c>
      <c r="M188" s="42">
        <f>'[1]побудинковий звіт'!M188+'[2]побудинковий звіт'!M188-'[3]побудинковий звіт'!M188</f>
        <v>217.88459660700173</v>
      </c>
      <c r="N188" s="56">
        <f t="shared" si="184"/>
        <v>-24.158981192021656</v>
      </c>
      <c r="O188" s="42">
        <f>'[1]побудинковий звіт'!O188+'[2]побудинковий звіт'!O188-'[3]побудинковий звіт'!O188</f>
        <v>538.08000000000015</v>
      </c>
      <c r="P188" s="42">
        <f>'[1]побудинковий звіт'!P188+'[2]побудинковий звіт'!P188-'[3]побудинковий звіт'!P188</f>
        <v>537.95999999999992</v>
      </c>
      <c r="Q188" s="56">
        <f t="shared" si="185"/>
        <v>-0.12000000000023192</v>
      </c>
      <c r="R188" s="42">
        <f>'[1]побудинковий звіт'!R188+'[2]побудинковий звіт'!R188-'[3]побудинковий звіт'!R188</f>
        <v>0</v>
      </c>
      <c r="S188" s="42">
        <f>'[1]побудинковий звіт'!S188+'[2]побудинковий звіт'!S188-'[3]побудинковий звіт'!S188</f>
        <v>0</v>
      </c>
      <c r="T188" s="56">
        <f t="shared" si="186"/>
        <v>0</v>
      </c>
      <c r="U188" s="42">
        <f>'[1]побудинковий звіт'!U188+'[2]побудинковий звіт'!U188-'[3]побудинковий звіт'!U188</f>
        <v>0</v>
      </c>
      <c r="V188" s="42">
        <f>'[1]побудинковий звіт'!V188+'[2]побудинковий звіт'!V188-'[3]побудинковий звіт'!V188</f>
        <v>0</v>
      </c>
      <c r="W188" s="56">
        <f t="shared" si="187"/>
        <v>0</v>
      </c>
      <c r="X188" s="42">
        <f>'[1]побудинковий звіт'!X188+'[2]побудинковий звіт'!X188-'[3]побудинковий звіт'!X188</f>
        <v>877.07551844672764</v>
      </c>
      <c r="Y188" s="42">
        <f>'[1]побудинковий звіт'!Y188+'[2]побудинковий звіт'!Y188-'[3]побудинковий звіт'!Y188</f>
        <v>525.22068369110809</v>
      </c>
      <c r="Z188" s="56">
        <f t="shared" si="188"/>
        <v>-351.85483475561955</v>
      </c>
      <c r="AA188" s="42">
        <f>'[1]побудинковий звіт'!AA188+'[2]побудинковий звіт'!AA188-'[3]побудинковий звіт'!AA188</f>
        <v>0</v>
      </c>
      <c r="AB188" s="42">
        <f>'[1]побудинковий звіт'!AB188+'[2]побудинковий звіт'!AB188-'[3]побудинковий звіт'!AB188</f>
        <v>0</v>
      </c>
      <c r="AC188" s="56">
        <f t="shared" si="189"/>
        <v>0</v>
      </c>
      <c r="AD188" s="42">
        <f>'[1]побудинковий звіт'!AD188+'[2]побудинковий звіт'!AD188-'[3]побудинковий звіт'!AD188</f>
        <v>1534.3393873749321</v>
      </c>
      <c r="AE188" s="42">
        <f>'[1]побудинковий звіт'!AE188+'[2]побудинковий звіт'!AE188-'[3]побудинковий звіт'!AE188</f>
        <v>1414.1903931071781</v>
      </c>
      <c r="AF188" s="37">
        <f t="shared" si="190"/>
        <v>-120.14899426775401</v>
      </c>
      <c r="AG188" s="87">
        <f t="shared" si="180"/>
        <v>4421.6873102951085</v>
      </c>
      <c r="AH188" s="57">
        <f t="shared" si="180"/>
        <v>3739.6744252785784</v>
      </c>
      <c r="AI188" s="56">
        <f t="shared" si="191"/>
        <v>-682.01288501653016</v>
      </c>
      <c r="AJ188" s="42">
        <f>'[1]побудинковий звіт'!AJ188+'[2]побудинковий звіт'!AJ188-'[3]побудинковий звіт'!AJ188</f>
        <v>0</v>
      </c>
      <c r="AK188" s="42">
        <f>'[1]побудинковий звіт'!AK188+'[2]побудинковий звіт'!AK188-'[3]побудинковий звіт'!AK188</f>
        <v>0</v>
      </c>
      <c r="AL188" s="56">
        <f t="shared" si="192"/>
        <v>0</v>
      </c>
      <c r="AM188" s="42">
        <f>'[1]побудинковий звіт'!AM188+'[2]побудинковий звіт'!AM188-'[3]побудинковий звіт'!AM188</f>
        <v>0</v>
      </c>
      <c r="AN188" s="42">
        <f>'[1]побудинковий звіт'!AN188+'[2]побудинковий звіт'!AN188-'[3]побудинковий звіт'!AN188</f>
        <v>0</v>
      </c>
      <c r="AO188" s="56">
        <f t="shared" si="193"/>
        <v>0</v>
      </c>
      <c r="AP188" s="42">
        <f>'[1]побудинковий звіт'!AP188+'[2]побудинковий звіт'!AP188-'[3]побудинковий звіт'!AP188</f>
        <v>757.61411431491968</v>
      </c>
      <c r="AQ188" s="42">
        <f>'[1]побудинковий звіт'!AQ188+'[2]побудинковий звіт'!AQ188-'[3]побудинковий звіт'!AQ188</f>
        <v>539.01812831663199</v>
      </c>
      <c r="AR188" s="56">
        <f t="shared" si="194"/>
        <v>-218.59598599828769</v>
      </c>
      <c r="AS188" s="42">
        <f>'[1]побудинковий звіт'!AS188+'[2]побудинковий звіт'!AS188-'[3]побудинковий звіт'!AS188</f>
        <v>7479.1881030821114</v>
      </c>
      <c r="AT188" s="42">
        <f>'[1]побудинковий звіт'!AT188+'[2]побудинковий звіт'!AT188-'[3]побудинковий звіт'!AT188</f>
        <v>0</v>
      </c>
      <c r="AU188" s="58">
        <f t="shared" si="211"/>
        <v>-7479.1881030821114</v>
      </c>
      <c r="AV188" s="42">
        <f>'[1]побудинковий звіт'!AV188+'[2]побудинковий звіт'!AV188-'[3]побудинковий звіт'!AV188</f>
        <v>239.12420602741548</v>
      </c>
      <c r="AW188" s="42">
        <f>'[1]побудинковий звіт'!AW188+'[2]побудинковий звіт'!AW188-'[3]побудинковий звіт'!AW188</f>
        <v>0</v>
      </c>
      <c r="AX188" s="59">
        <f t="shared" si="212"/>
        <v>-239.12420602741548</v>
      </c>
      <c r="AY188" s="42">
        <f>'[1]побудинковий звіт'!AY188+'[2]побудинковий звіт'!AY188-'[3]побудинковий звіт'!AY188</f>
        <v>312.02690298803327</v>
      </c>
      <c r="AZ188" s="42">
        <f>'[1]побудинковий звіт'!AZ188+'[2]побудинковий звіт'!AZ188-'[3]побудинковий звіт'!AZ188</f>
        <v>0</v>
      </c>
      <c r="BA188" s="37">
        <f t="shared" si="213"/>
        <v>-312.02690298803327</v>
      </c>
      <c r="BB188" s="42">
        <f>'[1]побудинковий звіт'!BB188+'[2]побудинковий звіт'!BB188-'[3]побудинковий звіт'!BB188</f>
        <v>245.49003678860259</v>
      </c>
      <c r="BC188" s="42">
        <f>'[1]побудинковий звіт'!BC188+'[2]побудинковий звіт'!BC188-'[3]побудинковий звіт'!BC188</f>
        <v>0</v>
      </c>
      <c r="BD188" s="59">
        <f t="shared" si="214"/>
        <v>-245.49003678860259</v>
      </c>
      <c r="BE188" s="42">
        <f>'[1]побудинковий звіт'!BE188+'[2]побудинковий звіт'!BE188-'[3]побудинковий звіт'!BE188</f>
        <v>0</v>
      </c>
      <c r="BF188" s="42">
        <f>'[1]побудинковий звіт'!BF188+'[2]побудинковий звіт'!BF188-'[3]побудинковий звіт'!BF188</f>
        <v>0</v>
      </c>
      <c r="BG188" s="39">
        <f t="shared" si="215"/>
        <v>0</v>
      </c>
      <c r="BH188" s="42">
        <f>'[1]побудинковий звіт'!BH188+'[2]побудинковий звіт'!BH188-'[3]побудинковий звіт'!BH188</f>
        <v>0</v>
      </c>
      <c r="BI188" s="42">
        <f>'[1]побудинковий звіт'!BI188+'[2]побудинковий звіт'!BI188-'[3]побудинковий звіт'!BI188</f>
        <v>0</v>
      </c>
      <c r="BJ188" s="59">
        <f t="shared" si="216"/>
        <v>0</v>
      </c>
      <c r="BK188" s="42">
        <f>'[1]побудинковий звіт'!BK188+'[2]побудинковий звіт'!BK188-'[3]побудинковий звіт'!BK188</f>
        <v>220.05809326649597</v>
      </c>
      <c r="BL188" s="42">
        <f>'[1]побудинковий звіт'!BL188+'[2]побудинковий звіт'!BL188-'[3]побудинковий звіт'!BL188</f>
        <v>0</v>
      </c>
      <c r="BM188" s="39">
        <f t="shared" si="217"/>
        <v>-220.05809326649597</v>
      </c>
      <c r="BN188" s="42">
        <f>'[1]побудинковий звіт'!BN188+'[2]побудинковий звіт'!BN188-'[3]побудинковий звіт'!BN188</f>
        <v>167.44238903209089</v>
      </c>
      <c r="BO188" s="42">
        <f>'[1]побудинковий звіт'!BO188+'[2]побудинковий звіт'!BO188-'[3]побудинковий звіт'!BO188</f>
        <v>0</v>
      </c>
      <c r="BP188" s="59">
        <f t="shared" si="218"/>
        <v>-167.44238903209089</v>
      </c>
      <c r="BQ188" s="87">
        <f t="shared" si="176"/>
        <v>1184.1416281026382</v>
      </c>
      <c r="BR188" s="43">
        <f t="shared" si="220"/>
        <v>0</v>
      </c>
      <c r="BS188" s="59">
        <f t="shared" si="219"/>
        <v>-1184.1416281026382</v>
      </c>
      <c r="BT188" s="42">
        <f>'[1]побудинковий звіт'!BT188+'[2]побудинковий звіт'!BT188-'[3]побудинковий звіт'!BT188</f>
        <v>0</v>
      </c>
      <c r="BU188" s="42">
        <f>'[1]побудинковий звіт'!BU188+'[2]побудинковий звіт'!BU188-'[3]побудинковий звіт'!BU188</f>
        <v>0</v>
      </c>
      <c r="BV188" s="56">
        <f t="shared" si="195"/>
        <v>0</v>
      </c>
      <c r="BW188" s="42">
        <f>'[1]побудинковий звіт'!BW188+'[2]побудинковий звіт'!BW188-'[3]побудинковий звіт'!BW188</f>
        <v>214.72932986579724</v>
      </c>
      <c r="BX188" s="42">
        <f>'[1]побудинковий звіт'!BX188+'[2]побудинковий звіт'!BX188-'[3]побудинковий звіт'!BX188</f>
        <v>279.90523545443762</v>
      </c>
      <c r="BY188" s="56">
        <f t="shared" si="196"/>
        <v>65.175905588640376</v>
      </c>
      <c r="BZ188" s="42">
        <f>'[1]побудинковий звіт'!BZ188+'[2]побудинковий звіт'!BZ188-'[3]побудинковий звіт'!BZ188</f>
        <v>0</v>
      </c>
      <c r="CA188" s="42">
        <f>'[1]побудинковий звіт'!CA188+'[2]побудинковий звіт'!CA188-'[3]побудинковий звіт'!CA188</f>
        <v>0</v>
      </c>
      <c r="CB188" s="56">
        <f t="shared" si="197"/>
        <v>0</v>
      </c>
      <c r="CC188" s="42">
        <f>'[1]побудинковий звіт'!CC188+'[2]побудинковий звіт'!CC188-'[3]побудинковий звіт'!CC188</f>
        <v>0</v>
      </c>
      <c r="CD188" s="42">
        <f>'[1]побудинковий звіт'!CD188+'[2]побудинковий звіт'!CD188-'[3]побудинковий звіт'!CD188</f>
        <v>0</v>
      </c>
      <c r="CE188" s="56">
        <f t="shared" si="198"/>
        <v>0</v>
      </c>
      <c r="CF188" s="42">
        <f>'[1]побудинковий звіт'!CF188+'[2]побудинковий звіт'!CF188-'[3]побудинковий звіт'!CF188</f>
        <v>0</v>
      </c>
      <c r="CG188" s="42">
        <f>'[1]побудинковий звіт'!CG188+'[2]побудинковий звіт'!CG188-'[3]побудинковий звіт'!CG188</f>
        <v>0</v>
      </c>
      <c r="CH188" s="56">
        <f t="shared" si="199"/>
        <v>0</v>
      </c>
      <c r="CI188" s="42">
        <f>'[1]побудинковий звіт'!CI188+'[2]побудинковий звіт'!CI188-'[3]побудинковий звіт'!CI188</f>
        <v>861.00615815083847</v>
      </c>
      <c r="CJ188" s="42">
        <f>'[1]побудинковий звіт'!CJ188+'[2]побудинковий звіт'!CJ188-'[3]побудинковий звіт'!CJ188</f>
        <v>453.67955227900347</v>
      </c>
      <c r="CK188" s="56">
        <f t="shared" si="200"/>
        <v>-407.326605871835</v>
      </c>
      <c r="CL188" s="42">
        <f>'[1]побудинковий звіт'!CL188+'[2]побудинковий звіт'!CL188-'[3]побудинковий звіт'!CL188</f>
        <v>0</v>
      </c>
      <c r="CM188" s="42">
        <f>'[1]побудинковий звіт'!CM188+'[2]побудинковий звіт'!CM188-'[3]побудинковий звіт'!CM188</f>
        <v>0</v>
      </c>
      <c r="CN188" s="56">
        <f t="shared" si="201"/>
        <v>0</v>
      </c>
      <c r="CO188" s="42">
        <f t="shared" si="181"/>
        <v>861.00615815083847</v>
      </c>
      <c r="CP188" s="43">
        <f t="shared" si="202"/>
        <v>453.67955227900347</v>
      </c>
      <c r="CQ188" s="56">
        <f t="shared" si="203"/>
        <v>-407.326605871835</v>
      </c>
      <c r="CR188" s="78">
        <f t="shared" si="182"/>
        <v>14918.366643811412</v>
      </c>
      <c r="CS188" s="5">
        <f t="shared" si="182"/>
        <v>5012.2773413286513</v>
      </c>
      <c r="CT188" s="56">
        <f t="shared" si="204"/>
        <v>-9906.0893024827601</v>
      </c>
      <c r="CU188" s="87">
        <f t="shared" si="205"/>
        <v>17902.039972573693</v>
      </c>
      <c r="CV188" s="70">
        <f t="shared" si="206"/>
        <v>6014.7328095943813</v>
      </c>
      <c r="CW188" s="37">
        <f t="shared" si="207"/>
        <v>-11887.307162979312</v>
      </c>
      <c r="CX188" s="42">
        <f>'[1]побудинковий звіт'!CX188+'[2]побудинковий звіт'!CX188-'[3]побудинковий звіт'!CX188</f>
        <v>447.40002742630168</v>
      </c>
      <c r="CY188" s="42">
        <f>'[1]побудинковий звіт'!CY188+'[2]побудинковий звіт'!CY188-'[3]побудинковий звіт'!CY188</f>
        <v>12334.707190405617</v>
      </c>
      <c r="CZ188" s="56">
        <f t="shared" si="208"/>
        <v>11887.307162979316</v>
      </c>
      <c r="DA188" s="264">
        <f>'[4]побудинковий звіт'!DA188</f>
        <v>-41841.312670210813</v>
      </c>
      <c r="DB188" s="2">
        <v>1</v>
      </c>
      <c r="DC188" s="717">
        <f>'[4]побудинковий звіт'!DC188</f>
        <v>4689.04</v>
      </c>
      <c r="DD188" s="717">
        <f>'[4]побудинковий звіт'!DD188</f>
        <v>0</v>
      </c>
      <c r="DE188" s="717">
        <f>'[4]побудинковий звіт'!DE188</f>
        <v>3159.92</v>
      </c>
      <c r="DF188" s="717">
        <f>'[4]побудинковий звіт'!DF188</f>
        <v>0</v>
      </c>
      <c r="DG188" s="787">
        <v>-23951.59063361603</v>
      </c>
      <c r="DH188" s="761">
        <f t="shared" si="171"/>
        <v>220193.27999999994</v>
      </c>
      <c r="DI188" s="784"/>
      <c r="DJ188" s="5"/>
      <c r="DK188" s="317">
        <f>VLOOKUP($A188,ціни!$A$4:$G$401,5)</f>
        <v>4.2613214273511044</v>
      </c>
      <c r="DL188" s="317"/>
      <c r="DM188" s="317">
        <f>VLOOKUP($A188,ціни!$A$4:$G$401,7)</f>
        <v>4.1999855776374595</v>
      </c>
      <c r="DN188" s="30">
        <f t="shared" si="224"/>
        <v>975.84260686340292</v>
      </c>
      <c r="DO188" s="30">
        <f t="shared" si="225"/>
        <v>0</v>
      </c>
      <c r="DP188" s="316">
        <f t="shared" si="221"/>
        <v>975.84260686340292</v>
      </c>
      <c r="DQ188" s="104"/>
      <c r="DR188" s="30">
        <f>VLOOKUP(A188,'ДЗ нас '!$A$1:$C$359,2)</f>
        <v>1529.12</v>
      </c>
      <c r="DS188" s="748"/>
      <c r="DT188" s="30">
        <f t="shared" si="222"/>
        <v>1529.12</v>
      </c>
      <c r="DU188" s="257">
        <f>VLOOKUP(A188,'новий кошторис с 01.06'!$A$4:$AI$399,35)*1.2</f>
        <v>1536.5917643125761</v>
      </c>
      <c r="DV188" s="30">
        <f t="shared" si="223"/>
        <v>-7.4717643125761697</v>
      </c>
      <c r="DW188" s="930">
        <f>'[5]побудинковий звіт'!DW188+'[6]побудинковий звіт'!DW188</f>
        <v>0</v>
      </c>
      <c r="DY188" s="5">
        <f t="shared" si="167"/>
        <v>10395.995677421699</v>
      </c>
      <c r="DZ188" s="5">
        <f t="shared" si="168"/>
        <v>0</v>
      </c>
      <c r="EA188" s="752">
        <f t="shared" si="172"/>
        <v>3159.92</v>
      </c>
      <c r="EC188" s="592">
        <f t="shared" si="169"/>
        <v>89750.257236985344</v>
      </c>
      <c r="EE188" s="758">
        <v>26382</v>
      </c>
      <c r="EF188" s="738">
        <f t="shared" si="170"/>
        <v>2430.4093663839703</v>
      </c>
      <c r="EH188" s="813">
        <v>-31706.19338590667</v>
      </c>
    </row>
    <row r="189" spans="1:138" x14ac:dyDescent="0.3">
      <c r="A189" s="328">
        <v>150000929</v>
      </c>
      <c r="B189" s="44" t="s">
        <v>1108</v>
      </c>
      <c r="C189" s="45" t="s">
        <v>1096</v>
      </c>
      <c r="D189" s="45" t="s">
        <v>1096</v>
      </c>
      <c r="E189" s="513">
        <f t="shared" si="175"/>
        <v>463.1</v>
      </c>
      <c r="F189" s="490">
        <v>144.5</v>
      </c>
      <c r="G189" s="30"/>
      <c r="H189" s="30">
        <v>318.60000000000002</v>
      </c>
      <c r="I189" s="42">
        <f>'[1]побудинковий звіт'!I189+'[2]побудинковий звіт'!I189-'[3]побудинковий звіт'!I189</f>
        <v>2706.0185374866146</v>
      </c>
      <c r="J189" s="42">
        <f>'[1]побудинковий звіт'!J189+'[2]побудинковий звіт'!J189-'[3]побудинковий звіт'!J189</f>
        <v>2655.9758808650677</v>
      </c>
      <c r="K189" s="56">
        <f t="shared" si="183"/>
        <v>-50.042656621546939</v>
      </c>
      <c r="L189" s="42">
        <f>'[1]побудинковий звіт'!L189+'[2]побудинковий звіт'!L189-'[3]побудинковий звіт'!L189</f>
        <v>562.50067254770443</v>
      </c>
      <c r="M189" s="42">
        <f>'[1]побудинковий звіт'!M189+'[2]побудинковий звіт'!M189-'[3]побудинковий звіт'!M189</f>
        <v>567.53671539214747</v>
      </c>
      <c r="N189" s="56">
        <f>M189-L189</f>
        <v>5.0360428444430454</v>
      </c>
      <c r="O189" s="42">
        <f>'[1]побудинковий звіт'!O189+'[2]побудинковий звіт'!O189-'[3]побудинковий звіт'!O189</f>
        <v>0</v>
      </c>
      <c r="P189" s="42">
        <f>'[1]побудинковий звіт'!P189+'[2]побудинковий звіт'!P189-'[3]побудинковий звіт'!P189</f>
        <v>0</v>
      </c>
      <c r="Q189" s="56">
        <f t="shared" si="185"/>
        <v>0</v>
      </c>
      <c r="R189" s="42">
        <f>'[1]побудинковий звіт'!R189+'[2]побудинковий звіт'!R189-'[3]побудинковий звіт'!R189</f>
        <v>0</v>
      </c>
      <c r="S189" s="42">
        <f>'[1]побудинковий звіт'!S189+'[2]побудинковий звіт'!S189-'[3]побудинковий звіт'!S189</f>
        <v>0</v>
      </c>
      <c r="T189" s="56">
        <f t="shared" si="186"/>
        <v>0</v>
      </c>
      <c r="U189" s="42">
        <f>'[1]побудинковий звіт'!U189+'[2]побудинковий звіт'!U189-'[3]побудинковий звіт'!U189</f>
        <v>0</v>
      </c>
      <c r="V189" s="42">
        <f>'[1]побудинковий звіт'!V189+'[2]побудинковий звіт'!V189-'[3]побудинковий звіт'!V189</f>
        <v>0</v>
      </c>
      <c r="W189" s="56">
        <f>V189-U189</f>
        <v>0</v>
      </c>
      <c r="X189" s="42">
        <f>'[1]побудинковий звіт'!X189+'[2]побудинковий звіт'!X189-'[3]побудинковий звіт'!X189</f>
        <v>1186.6969131526546</v>
      </c>
      <c r="Y189" s="42">
        <f>'[1]побудинковий звіт'!Y189+'[2]побудинковий звіт'!Y189-'[3]побудинковий звіт'!Y189</f>
        <v>1129.991061955245</v>
      </c>
      <c r="Z189" s="56">
        <f>Y189-X189</f>
        <v>-56.705851197409629</v>
      </c>
      <c r="AA189" s="42">
        <f>'[1]побудинковий звіт'!AA189+'[2]побудинковий звіт'!AA189-'[3]побудинковий звіт'!AA189</f>
        <v>0</v>
      </c>
      <c r="AB189" s="42">
        <f>'[1]побудинковий звіт'!AB189+'[2]побудинковий звіт'!AB189-'[3]побудинковий звіт'!AB189</f>
        <v>0</v>
      </c>
      <c r="AC189" s="56">
        <f t="shared" si="189"/>
        <v>0</v>
      </c>
      <c r="AD189" s="42">
        <f>'[1]побудинковий звіт'!AD189+'[2]побудинковий звіт'!AD189-'[3]побудинковий звіт'!AD189</f>
        <v>2090.0264534301273</v>
      </c>
      <c r="AE189" s="42">
        <f>'[1]побудинковий звіт'!AE189+'[2]побудинковий звіт'!AE189-'[3]побудинковий звіт'!AE189</f>
        <v>1926.3634604581116</v>
      </c>
      <c r="AF189" s="37">
        <f>AE189-AD189</f>
        <v>-163.66299297201567</v>
      </c>
      <c r="AG189" s="87">
        <f>I189+L189+O189+R189+U189+X189+AA189+AD189</f>
        <v>6545.2425766171018</v>
      </c>
      <c r="AH189" s="57">
        <f>J189+M189+P189+S189+V189+Y189+AB189+AE189</f>
        <v>6279.8671186705724</v>
      </c>
      <c r="AI189" s="56">
        <f>AH189-AG189</f>
        <v>-265.37545794652942</v>
      </c>
      <c r="AJ189" s="42">
        <f>'[1]побудинковий звіт'!AJ189+'[2]побудинковий звіт'!AJ189-'[3]побудинковий звіт'!AJ189</f>
        <v>0</v>
      </c>
      <c r="AK189" s="42">
        <f>'[1]побудинковий звіт'!AK189+'[2]побудинковий звіт'!AK189-'[3]побудинковий звіт'!AK189</f>
        <v>0</v>
      </c>
      <c r="AL189" s="56">
        <f>AK189-AJ189</f>
        <v>0</v>
      </c>
      <c r="AM189" s="42">
        <f>'[1]побудинковий звіт'!AM189+'[2]побудинковий звіт'!AM189-'[3]побудинковий звіт'!AM189</f>
        <v>0</v>
      </c>
      <c r="AN189" s="42">
        <f>'[1]побудинковий звіт'!AN189+'[2]побудинковий звіт'!AN189-'[3]побудинковий звіт'!AN189</f>
        <v>0</v>
      </c>
      <c r="AO189" s="56">
        <f>AN189-AM189</f>
        <v>0</v>
      </c>
      <c r="AP189" s="42">
        <f>'[1]побудинковий звіт'!AP189+'[2]побудинковий звіт'!AP189-'[3]побудинковий звіт'!AP189</f>
        <v>284.10529286809492</v>
      </c>
      <c r="AQ189" s="42">
        <f>'[1]побудинковий звіт'!AQ189+'[2]побудинковий звіт'!AQ189-'[3]побудинковий звіт'!AQ189</f>
        <v>70.071844713601308</v>
      </c>
      <c r="AR189" s="56">
        <f>AQ189-AP189</f>
        <v>-214.03344815449361</v>
      </c>
      <c r="AS189" s="42">
        <f>'[1]побудинковий звіт'!AS189+'[2]побудинковий звіт'!AS189-'[3]побудинковий звіт'!AS189</f>
        <v>8133.1981569316067</v>
      </c>
      <c r="AT189" s="42">
        <f>'[1]побудинковий звіт'!AT189+'[2]побудинковий звіт'!AT189-'[3]побудинковий звіт'!AT189</f>
        <v>9539.0147479623774</v>
      </c>
      <c r="AU189" s="58">
        <f>AT189-AS189</f>
        <v>1405.8165910307707</v>
      </c>
      <c r="AV189" s="42">
        <f>'[1]побудинковий звіт'!AV189+'[2]побудинковий звіт'!AV189-'[3]побудинковий звіт'!AV189</f>
        <v>558.74578225816219</v>
      </c>
      <c r="AW189" s="42">
        <f>'[1]побудинковий звіт'!AW189+'[2]побудинковий звіт'!AW189-'[3]побудинковий звіт'!AW189</f>
        <v>0</v>
      </c>
      <c r="AX189" s="59">
        <f>AW189-AV189</f>
        <v>-558.74578225816219</v>
      </c>
      <c r="AY189" s="42">
        <f>'[1]побудинковий звіт'!AY189+'[2]побудинковий звіт'!AY189-'[3]побудинковий звіт'!AY189</f>
        <v>725.15009336527589</v>
      </c>
      <c r="AZ189" s="42">
        <f>'[1]побудинковий звіт'!AZ189+'[2]побудинковий звіт'!AZ189-'[3]побудинковий звіт'!AZ189</f>
        <v>0</v>
      </c>
      <c r="BA189" s="37">
        <f>AZ189-AY189</f>
        <v>-725.15009336527589</v>
      </c>
      <c r="BB189" s="42">
        <f>'[1]побудинковий звіт'!BB189+'[2]побудинковий звіт'!BB189-'[3]побудинковий звіт'!BB189</f>
        <v>0</v>
      </c>
      <c r="BC189" s="42">
        <f>'[1]побудинковий звіт'!BC189+'[2]побудинковий звіт'!BC189-'[3]побудинковий звіт'!BC189</f>
        <v>0</v>
      </c>
      <c r="BD189" s="59">
        <f>BC189-BB189</f>
        <v>0</v>
      </c>
      <c r="BE189" s="42">
        <f>'[1]побудинковий звіт'!BE189+'[2]побудинковий звіт'!BE189-'[3]побудинковий звіт'!BE189</f>
        <v>0</v>
      </c>
      <c r="BF189" s="42">
        <f>'[1]побудинковий звіт'!BF189+'[2]побудинковий звіт'!BF189-'[3]побудинковий звіт'!BF189</f>
        <v>0</v>
      </c>
      <c r="BG189" s="39">
        <f>BF189-BE189</f>
        <v>0</v>
      </c>
      <c r="BH189" s="42">
        <f>'[1]побудинковий звіт'!BH189+'[2]побудинковий звіт'!BH189-'[3]побудинковий звіт'!BH189</f>
        <v>0</v>
      </c>
      <c r="BI189" s="42">
        <f>'[1]побудинковий звіт'!BI189+'[2]побудинковий звіт'!BI189-'[3]побудинковий звіт'!BI189</f>
        <v>0</v>
      </c>
      <c r="BJ189" s="59">
        <f>BI189-BH189</f>
        <v>0</v>
      </c>
      <c r="BK189" s="42">
        <f>'[1]побудинковий звіт'!BK189+'[2]побудинковий звіт'!BK189-'[3]побудинковий звіт'!BK189</f>
        <v>118.62766249183653</v>
      </c>
      <c r="BL189" s="42">
        <f>'[1]побудинковий звіт'!BL189+'[2]побудинковий звіт'!BL189-'[3]побудинковий звіт'!BL189</f>
        <v>2874</v>
      </c>
      <c r="BM189" s="39">
        <f>BL189-BK189</f>
        <v>2755.3723375081636</v>
      </c>
      <c r="BN189" s="42">
        <f>'[1]побудинковий звіт'!BN189+'[2]побудинковий звіт'!BN189-'[3]побудинковий звіт'!BN189</f>
        <v>0</v>
      </c>
      <c r="BO189" s="42">
        <f>'[1]побудинковий звіт'!BO189+'[2]побудинковий звіт'!BO189-'[3]побудинковий звіт'!BO189</f>
        <v>0</v>
      </c>
      <c r="BP189" s="59">
        <f>BO189-BN189</f>
        <v>0</v>
      </c>
      <c r="BQ189" s="87">
        <f>AV189+AY189+BB189+BE189+BH189+BK189+BN189</f>
        <v>1402.5235381152747</v>
      </c>
      <c r="BR189" s="43">
        <f>AW189+AZ189+BC189+BF189+BI189+BL189+BO189</f>
        <v>2874</v>
      </c>
      <c r="BS189" s="59">
        <f>BR189-BQ189</f>
        <v>1471.4764618847253</v>
      </c>
      <c r="BT189" s="42">
        <f>'[1]побудинковий звіт'!BT189+'[2]побудинковий звіт'!BT189-'[3]побудинковий звіт'!BT189</f>
        <v>7856.3143226337006</v>
      </c>
      <c r="BU189" s="42">
        <f>'[1]побудинковий звіт'!BU189+'[2]побудинковий звіт'!BU189-'[3]побудинковий звіт'!BU189</f>
        <v>9953.138454282056</v>
      </c>
      <c r="BV189" s="56">
        <f>BU189-BT189</f>
        <v>2096.8241316483554</v>
      </c>
      <c r="BW189" s="42">
        <f>'[1]побудинковий звіт'!BW189+'[2]побудинковий звіт'!BW189-'[3]побудинковий звіт'!BW189</f>
        <v>1997.092981172415</v>
      </c>
      <c r="BX189" s="42">
        <f>'[1]побудинковий звіт'!BX189+'[2]побудинковий звіт'!BX189-'[3]побудинковий звіт'!BX189</f>
        <v>4258.26854058764</v>
      </c>
      <c r="BY189" s="56">
        <f>BX189-BW189</f>
        <v>2261.1755594152251</v>
      </c>
      <c r="BZ189" s="42">
        <f>'[1]побудинковий звіт'!BZ189+'[2]побудинковий звіт'!BZ189-'[3]побудинковий звіт'!BZ189</f>
        <v>1636.3762409188041</v>
      </c>
      <c r="CA189" s="42">
        <f>'[1]побудинковий звіт'!CA189+'[2]побудинковий звіт'!CA189-'[3]побудинковий звіт'!CA189</f>
        <v>2099.2388162061611</v>
      </c>
      <c r="CB189" s="56">
        <f t="shared" si="197"/>
        <v>462.862575287357</v>
      </c>
      <c r="CC189" s="42">
        <f>'[1]побудинковий звіт'!CC189+'[2]побудинковий звіт'!CC189-'[3]побудинковий звіт'!CC189</f>
        <v>0</v>
      </c>
      <c r="CD189" s="42">
        <f>'[1]побудинковий звіт'!CD189+'[2]побудинковий звіт'!CD189-'[3]побудинковий звіт'!CD189</f>
        <v>0</v>
      </c>
      <c r="CE189" s="56">
        <f>CD189-CC189</f>
        <v>0</v>
      </c>
      <c r="CF189" s="42">
        <f>'[1]побудинковий звіт'!CF189+'[2]побудинковий звіт'!CF189-'[3]побудинковий звіт'!CF189</f>
        <v>0</v>
      </c>
      <c r="CG189" s="42">
        <f>'[1]побудинковий звіт'!CG189+'[2]побудинковий звіт'!CG189-'[3]побудинковий звіт'!CG189</f>
        <v>0</v>
      </c>
      <c r="CH189" s="56">
        <f>CG189-CF189</f>
        <v>0</v>
      </c>
      <c r="CI189" s="42">
        <f>'[1]побудинковий звіт'!CI189+'[2]побудинковий звіт'!CI189-'[3]побудинковий звіт'!CI189</f>
        <v>112.30515106315281</v>
      </c>
      <c r="CJ189" s="42">
        <f>'[1]побудинковий звіт'!CJ189+'[2]побудинковий звіт'!CJ189-'[3]побудинковий звіт'!CJ189</f>
        <v>49.46306692554603</v>
      </c>
      <c r="CK189" s="56">
        <f>CJ189-CI189</f>
        <v>-62.842084137606776</v>
      </c>
      <c r="CL189" s="42">
        <f>'[1]побудинковий звіт'!CL189+'[2]побудинковий звіт'!CL189-'[3]побудинковий звіт'!CL189</f>
        <v>0</v>
      </c>
      <c r="CM189" s="42">
        <f>'[1]побудинковий звіт'!CM189+'[2]побудинковий звіт'!CM189-'[3]побудинковий звіт'!CM189</f>
        <v>0</v>
      </c>
      <c r="CN189" s="56">
        <f>CM189-CL189</f>
        <v>0</v>
      </c>
      <c r="CO189" s="42">
        <f>CI189+CL189</f>
        <v>112.30515106315281</v>
      </c>
      <c r="CP189" s="43">
        <f>CJ189+CM189</f>
        <v>49.46306692554603</v>
      </c>
      <c r="CQ189" s="56">
        <f>CP189-CO189</f>
        <v>-62.842084137606776</v>
      </c>
      <c r="CR189" s="78">
        <f>AG189+AJ189+AM189+AP189+AS189+BQ189+BT189+BW189+BZ189+CC189+CF189+CO189</f>
        <v>27967.158260320153</v>
      </c>
      <c r="CS189" s="5">
        <f>AH189+AK189+AN189+AQ189+AT189+BR189+BU189+BX189+CA189+CD189+CG189+CP189</f>
        <v>35123.062589347959</v>
      </c>
      <c r="CT189" s="56">
        <f>CS189-CR189</f>
        <v>7155.9043290278059</v>
      </c>
      <c r="CU189" s="87">
        <f>CR189*1.2</f>
        <v>33560.589912384181</v>
      </c>
      <c r="CV189" s="70">
        <f>CS189*1.2</f>
        <v>42147.675107217547</v>
      </c>
      <c r="CW189" s="37">
        <f>CV189-CU189</f>
        <v>8587.0851948333657</v>
      </c>
      <c r="CX189" s="42">
        <f>'[1]побудинковий звіт'!CX189+'[2]побудинковий звіт'!CX189-'[3]побудинковий звіт'!CX189</f>
        <v>-6.99123841823166E-2</v>
      </c>
      <c r="CY189" s="42">
        <f>'[1]побудинковий звіт'!CY189+'[2]побудинковий звіт'!CY189-'[3]побудинковий звіт'!CY189</f>
        <v>-8587.1551072175389</v>
      </c>
      <c r="CZ189" s="56">
        <f>CY189-CX189</f>
        <v>-8587.0851948333566</v>
      </c>
      <c r="DA189" s="264">
        <f>'[4]побудинковий звіт'!DA189</f>
        <v>19927.523420331661</v>
      </c>
      <c r="DB189" s="2">
        <v>2</v>
      </c>
      <c r="DC189" s="717">
        <f>'[4]побудинковий звіт'!DC189</f>
        <v>30330.16</v>
      </c>
      <c r="DD189" s="717">
        <f>'[4]побудинковий звіт'!DD189</f>
        <v>10879.439999999999</v>
      </c>
      <c r="DE189" s="717">
        <f>'[4]побудинковий звіт'!DE189</f>
        <v>29226.17</v>
      </c>
      <c r="DF189" s="717">
        <f>'[4]побудинковий звіт'!DF189</f>
        <v>9186.7199999999993</v>
      </c>
      <c r="DG189" s="787">
        <v>17679.832688426381</v>
      </c>
      <c r="DH189" s="761">
        <f t="shared" si="171"/>
        <v>402726.24</v>
      </c>
      <c r="DI189" s="784"/>
      <c r="DJ189" s="5"/>
      <c r="DK189" s="317">
        <f>VLOOKUP($A189,ціни!$A$4:$G$401,5)</f>
        <v>6.4864049415581411</v>
      </c>
      <c r="DL189" s="317"/>
      <c r="DM189" s="317">
        <f>VLOOKUP($A189,ціни!$A$4:$G$401,7)</f>
        <v>5.3130248116096013</v>
      </c>
      <c r="DN189" s="30">
        <f t="shared" si="224"/>
        <v>937.28551405515134</v>
      </c>
      <c r="DO189" s="30">
        <f t="shared" si="225"/>
        <v>1692.729704978819</v>
      </c>
      <c r="DP189" s="316">
        <f t="shared" si="221"/>
        <v>2630.0152190339704</v>
      </c>
      <c r="DQ189" s="104"/>
      <c r="DR189" s="30">
        <f>VLOOKUP(A189,'ДЗ нас '!$A$1:$C$359,2)</f>
        <v>1103.99</v>
      </c>
      <c r="DS189" s="748">
        <f>VLOOKUP(A189,'ДЗ нежит'!$A$1:$D$153,4,0)</f>
        <v>1692.72</v>
      </c>
      <c r="DT189" s="30">
        <f t="shared" si="222"/>
        <v>2796.71</v>
      </c>
      <c r="DU189" s="257">
        <f>VLOOKUP(A189,'новий кошторис с 01.06'!$A$4:$AI$399,35)*1.2</f>
        <v>2796.7158260320152</v>
      </c>
      <c r="DV189" s="30">
        <f t="shared" si="223"/>
        <v>-5.82603201519305E-3</v>
      </c>
      <c r="DW189" s="930">
        <f>'[5]побудинковий звіт'!DW189+'[6]побудинковий звіт'!DW189</f>
        <v>204</v>
      </c>
      <c r="DY189" s="5">
        <f t="shared" si="167"/>
        <v>11442.866034056256</v>
      </c>
      <c r="DZ189" s="5">
        <f t="shared" si="168"/>
        <v>14895.617697554851</v>
      </c>
      <c r="EA189" s="752">
        <f t="shared" si="172"/>
        <v>38412.89</v>
      </c>
      <c r="EC189" s="592">
        <f t="shared" si="169"/>
        <v>97598.377883179288</v>
      </c>
      <c r="EE189" s="758">
        <v>-9890</v>
      </c>
      <c r="EF189" s="738">
        <f t="shared" si="170"/>
        <v>7789.8326884263806</v>
      </c>
      <c r="EH189" s="813">
        <v>14107.959107343584</v>
      </c>
    </row>
    <row r="190" spans="1:138" x14ac:dyDescent="0.3">
      <c r="A190" s="328">
        <v>150000930</v>
      </c>
      <c r="B190" s="44" t="s">
        <v>640</v>
      </c>
      <c r="C190" s="45" t="s">
        <v>172</v>
      </c>
      <c r="D190" s="45" t="s">
        <v>172</v>
      </c>
      <c r="E190" s="40">
        <f t="shared" si="175"/>
        <v>539</v>
      </c>
      <c r="F190" s="490">
        <v>393</v>
      </c>
      <c r="G190" s="30"/>
      <c r="H190" s="30">
        <v>146</v>
      </c>
      <c r="I190" s="42">
        <f>'[1]побудинковий звіт'!I190+'[2]побудинковий звіт'!I190-'[3]побудинковий звіт'!I190</f>
        <v>855.65578586691504</v>
      </c>
      <c r="J190" s="42">
        <f>'[1]побудинковий звіт'!J190+'[2]побудинковий звіт'!J190-'[3]побудинковий звіт'!J190</f>
        <v>853.33498806050261</v>
      </c>
      <c r="K190" s="56">
        <f t="shared" si="183"/>
        <v>-2.3207978064124291</v>
      </c>
      <c r="L190" s="42">
        <f>'[1]побудинковий звіт'!L190+'[2]побудинковий звіт'!L190-'[3]побудинковий звіт'!L190</f>
        <v>340.27927506030721</v>
      </c>
      <c r="M190" s="42">
        <f>'[1]побудинковий звіт'!M190+'[2]побудинковий звіт'!M190-'[3]побудинковий звіт'!M190</f>
        <v>343.32836543975242</v>
      </c>
      <c r="N190" s="56">
        <f>M190-L190</f>
        <v>3.0490903794452038</v>
      </c>
      <c r="O190" s="42">
        <f>'[1]побудинковий звіт'!O190+'[2]побудинковий звіт'!O190-'[3]побудинковий звіт'!O190</f>
        <v>497.28</v>
      </c>
      <c r="P190" s="42">
        <f>'[1]побудинковий звіт'!P190+'[2]побудинковий звіт'!P190-'[3]побудинковий звіт'!P190</f>
        <v>390.82895295698927</v>
      </c>
      <c r="Q190" s="56">
        <f t="shared" si="185"/>
        <v>-106.4510470430107</v>
      </c>
      <c r="R190" s="42">
        <f>'[1]побудинковий звіт'!R190+'[2]побудинковий звіт'!R190-'[3]побудинковий звіт'!R190</f>
        <v>0</v>
      </c>
      <c r="S190" s="42">
        <f>'[1]побудинковий звіт'!S190+'[2]побудинковий звіт'!S190-'[3]побудинковий звіт'!S190</f>
        <v>0</v>
      </c>
      <c r="T190" s="56">
        <f t="shared" si="186"/>
        <v>0</v>
      </c>
      <c r="U190" s="42">
        <f>'[1]побудинковий звіт'!U190+'[2]побудинковий звіт'!U190-'[3]побудинковий звіт'!U190</f>
        <v>0</v>
      </c>
      <c r="V190" s="42">
        <f>'[1]побудинковий звіт'!V190+'[2]побудинковий звіт'!V190-'[3]побудинковий звіт'!V190</f>
        <v>0</v>
      </c>
      <c r="W190" s="56">
        <f t="shared" si="187"/>
        <v>0</v>
      </c>
      <c r="X190" s="42">
        <f>'[1]побудинковий звіт'!X190+'[2]побудинковий звіт'!X190-'[3]побудинковий звіт'!X190</f>
        <v>425.18133968942954</v>
      </c>
      <c r="Y190" s="42">
        <f>'[1]побудинковий звіт'!Y190+'[2]побудинковий звіт'!Y190-'[3]побудинковий звіт'!Y190</f>
        <v>308.40728543944749</v>
      </c>
      <c r="Z190" s="56">
        <f t="shared" si="188"/>
        <v>-116.77405424998204</v>
      </c>
      <c r="AA190" s="42">
        <f>'[1]побудинковий звіт'!AA190+'[2]побудинковий звіт'!AA190-'[3]побудинковий звіт'!AA190</f>
        <v>0</v>
      </c>
      <c r="AB190" s="42">
        <f>'[1]побудинковий звіт'!AB190+'[2]побудинковий звіт'!AB190-'[3]побудинковий звіт'!AB190</f>
        <v>0</v>
      </c>
      <c r="AC190" s="56">
        <f t="shared" si="189"/>
        <v>0</v>
      </c>
      <c r="AD190" s="42">
        <f>'[1]побудинковий звіт'!AD190+'[2]побудинковий звіт'!AD190-'[3]побудинковий звіт'!AD190</f>
        <v>1402.0451597375995</v>
      </c>
      <c r="AE190" s="42">
        <f>'[1]побудинковий звіт'!AE190+'[2]побудинковий звіт'!AE190-'[3]побудинковий звіт'!AE190</f>
        <v>1519.0867634519377</v>
      </c>
      <c r="AF190" s="37">
        <f t="shared" si="190"/>
        <v>117.04160371433818</v>
      </c>
      <c r="AG190" s="87">
        <f t="shared" si="180"/>
        <v>3520.4415603542516</v>
      </c>
      <c r="AH190" s="57">
        <f>J190+M190+P190+S190+V190+Y190+AB190+AE190</f>
        <v>3414.9863553486293</v>
      </c>
      <c r="AI190" s="56">
        <f t="shared" si="191"/>
        <v>-105.45520500562225</v>
      </c>
      <c r="AJ190" s="42">
        <f>'[1]побудинковий звіт'!AJ190+'[2]побудинковий звіт'!AJ190-'[3]побудинковий звіт'!AJ190</f>
        <v>0</v>
      </c>
      <c r="AK190" s="42">
        <f>'[1]побудинковий звіт'!AK190+'[2]побудинковий звіт'!AK190-'[3]побудинковий звіт'!AK190</f>
        <v>0</v>
      </c>
      <c r="AL190" s="56">
        <f t="shared" si="192"/>
        <v>0</v>
      </c>
      <c r="AM190" s="42">
        <f>'[1]побудинковий звіт'!AM190+'[2]побудинковий звіт'!AM190-'[3]побудинковий звіт'!AM190</f>
        <v>0</v>
      </c>
      <c r="AN190" s="42">
        <f>'[1]побудинковий звіт'!AN190+'[2]побудинковий звіт'!AN190-'[3]побудинковий звіт'!AN190</f>
        <v>0</v>
      </c>
      <c r="AO190" s="56">
        <f t="shared" si="193"/>
        <v>0</v>
      </c>
      <c r="AP190" s="42">
        <f>'[1]побудинковий звіт'!AP190+'[2]побудинковий звіт'!AP190-'[3]побудинковий звіт'!AP190</f>
        <v>852.31587860428453</v>
      </c>
      <c r="AQ190" s="42">
        <f>'[1]побудинковий звіт'!AQ190+'[2]побудинковий звіт'!AQ190-'[3]побудинковий звіт'!AQ190</f>
        <v>767.50911445539566</v>
      </c>
      <c r="AR190" s="56">
        <f t="shared" si="194"/>
        <v>-84.806764148888874</v>
      </c>
      <c r="AS190" s="42">
        <f>'[1]побудинковий звіт'!AS190+'[2]побудинковий звіт'!AS190-'[3]побудинковий звіт'!AS190</f>
        <v>3978.1685929491509</v>
      </c>
      <c r="AT190" s="42">
        <f>'[1]побудинковий звіт'!AT190+'[2]побудинковий звіт'!AT190-'[3]побудинковий звіт'!AT190</f>
        <v>6621</v>
      </c>
      <c r="AU190" s="58">
        <f t="shared" si="211"/>
        <v>2642.8314070508491</v>
      </c>
      <c r="AV190" s="42">
        <f>'[1]побудинковий звіт'!AV190+'[2]побудинковий звіт'!AV190-'[3]побудинковий звіт'!AV190</f>
        <v>331.90210098938223</v>
      </c>
      <c r="AW190" s="42">
        <f>'[1]побудинковий звіт'!AW190+'[2]побудинковий звіт'!AW190-'[3]побудинковий звіт'!AW190</f>
        <v>389</v>
      </c>
      <c r="AX190" s="59">
        <f t="shared" si="212"/>
        <v>57.097899010617766</v>
      </c>
      <c r="AY190" s="42">
        <f>'[1]побудинковий звіт'!AY190+'[2]побудинковий звіт'!AY190-'[3]побудинковий звіт'!AY190</f>
        <v>438.46946070009994</v>
      </c>
      <c r="AZ190" s="42">
        <f>'[1]побудинковий звіт'!AZ190+'[2]побудинковий звіт'!AZ190-'[3]побудинковий звіт'!AZ190</f>
        <v>0</v>
      </c>
      <c r="BA190" s="37">
        <f t="shared" si="213"/>
        <v>-438.46946070009994</v>
      </c>
      <c r="BB190" s="42">
        <f>'[1]побудинковий звіт'!BB190+'[2]побудинковий звіт'!BB190-'[3]побудинковий звіт'!BB190</f>
        <v>236.00725537516388</v>
      </c>
      <c r="BC190" s="42">
        <f>'[1]побудинковий звіт'!BC190+'[2]побудинковий звіт'!BC190-'[3]побудинковий звіт'!BC190</f>
        <v>0</v>
      </c>
      <c r="BD190" s="59">
        <f t="shared" si="214"/>
        <v>-236.00725537516388</v>
      </c>
      <c r="BE190" s="42">
        <f>'[1]побудинковий звіт'!BE190+'[2]побудинковий звіт'!BE190-'[3]побудинковий звіт'!BE190</f>
        <v>0</v>
      </c>
      <c r="BF190" s="42">
        <f>'[1]побудинковий звіт'!BF190+'[2]побудинковий звіт'!BF190-'[3]побудинковий звіт'!BF190</f>
        <v>0</v>
      </c>
      <c r="BG190" s="39">
        <f t="shared" si="215"/>
        <v>0</v>
      </c>
      <c r="BH190" s="42">
        <f>'[1]побудинковий звіт'!BH190+'[2]побудинковий звіт'!BH190-'[3]побудинковий звіт'!BH190</f>
        <v>0</v>
      </c>
      <c r="BI190" s="42">
        <f>'[1]побудинковий звіт'!BI190+'[2]побудинковий звіт'!BI190-'[3]побудинковий звіт'!BI190</f>
        <v>0</v>
      </c>
      <c r="BJ190" s="59">
        <f t="shared" si="216"/>
        <v>0</v>
      </c>
      <c r="BK190" s="42">
        <f>'[1]побудинковий звіт'!BK190+'[2]побудинковий звіт'!BK190-'[3]побудинковий звіт'!BK190</f>
        <v>59.168551776459466</v>
      </c>
      <c r="BL190" s="42">
        <f>'[1]побудинковий звіт'!BL190+'[2]побудинковий звіт'!BL190-'[3]побудинковий звіт'!BL190</f>
        <v>0</v>
      </c>
      <c r="BM190" s="39">
        <f t="shared" si="217"/>
        <v>-59.168551776459466</v>
      </c>
      <c r="BN190" s="42">
        <f>'[1]побудинковий звіт'!BN190+'[2]побудинковий звіт'!BN190-'[3]побудинковий звіт'!BN190</f>
        <v>0</v>
      </c>
      <c r="BO190" s="42">
        <f>'[1]побудинковий звіт'!BO190+'[2]побудинковий звіт'!BO190-'[3]побудинковий звіт'!BO190</f>
        <v>0</v>
      </c>
      <c r="BP190" s="59">
        <f t="shared" si="218"/>
        <v>0</v>
      </c>
      <c r="BQ190" s="87">
        <f t="shared" si="176"/>
        <v>1065.5473688411055</v>
      </c>
      <c r="BR190" s="43">
        <f t="shared" si="220"/>
        <v>389</v>
      </c>
      <c r="BS190" s="59">
        <f t="shared" si="219"/>
        <v>-676.54736884110548</v>
      </c>
      <c r="BT190" s="42">
        <f>'[1]побудинковий звіт'!BT190+'[2]побудинковий звіт'!BT190-'[3]побудинковий звіт'!BT190</f>
        <v>6926.4635453115443</v>
      </c>
      <c r="BU190" s="42">
        <f>'[1]побудинковий звіт'!BU190+'[2]побудинковий звіт'!BU190-'[3]побудинковий звіт'!BU190</f>
        <v>8553.4812721995095</v>
      </c>
      <c r="BV190" s="56">
        <f t="shared" si="195"/>
        <v>1627.0177268879652</v>
      </c>
      <c r="BW190" s="42">
        <f>'[1]побудинковий звіт'!BW190+'[2]побудинковий звіт'!BW190-'[3]побудинковий звіт'!BW190</f>
        <v>3599.2173190525964</v>
      </c>
      <c r="BX190" s="42">
        <f>'[1]побудинковий звіт'!BX190+'[2]побудинковий звіт'!BX190-'[3]побудинковий звіт'!BX190</f>
        <v>4148.6104047552644</v>
      </c>
      <c r="BY190" s="56">
        <f t="shared" si="196"/>
        <v>549.39308570266803</v>
      </c>
      <c r="BZ190" s="42">
        <f>'[1]побудинковий звіт'!BZ190+'[2]побудинковий звіт'!BZ190-'[3]побудинковий звіт'!BZ190</f>
        <v>1649.7644165687218</v>
      </c>
      <c r="CA190" s="42">
        <f>'[1]побудинковий звіт'!CA190+'[2]побудинковий звіт'!CA190-'[3]побудинковий звіт'!CA190</f>
        <v>1824.3162280227516</v>
      </c>
      <c r="CB190" s="56">
        <f t="shared" si="197"/>
        <v>174.5518114540298</v>
      </c>
      <c r="CC190" s="42">
        <f>'[1]побудинковий звіт'!CC190+'[2]побудинковий звіт'!CC190-'[3]побудинковий звіт'!CC190</f>
        <v>179.42084848422752</v>
      </c>
      <c r="CD190" s="42">
        <f>'[1]побудинковий звіт'!CD190+'[2]побудинковий звіт'!CD190-'[3]побудинковий звіт'!CD190</f>
        <v>177.84279139585917</v>
      </c>
      <c r="CE190" s="56">
        <f t="shared" si="198"/>
        <v>-1.5780570883683538</v>
      </c>
      <c r="CF190" s="42">
        <f>'[1]побудинковий звіт'!CF190+'[2]побудинковий звіт'!CF190-'[3]побудинковий звіт'!CF190</f>
        <v>22.087793847490122</v>
      </c>
      <c r="CG190" s="42">
        <f>'[1]побудинковий звіт'!CG190+'[2]побудинковий звіт'!CG190-'[3]побудинковий звіт'!CG190</f>
        <v>0</v>
      </c>
      <c r="CH190" s="56">
        <f t="shared" si="199"/>
        <v>-22.087793847490122</v>
      </c>
      <c r="CI190" s="42">
        <f>'[1]побудинковий звіт'!CI190+'[2]побудинковий звіт'!CI190-'[3]побудинковий звіт'!CI190</f>
        <v>112.30515106315281</v>
      </c>
      <c r="CJ190" s="42">
        <f>'[1]побудинковий звіт'!CJ190+'[2]побудинковий звіт'!CJ190-'[3]побудинковий звіт'!CJ190</f>
        <v>68.491015902247455</v>
      </c>
      <c r="CK190" s="56">
        <f t="shared" si="200"/>
        <v>-43.814135160905352</v>
      </c>
      <c r="CL190" s="42">
        <f>'[1]побудинковий звіт'!CL190+'[2]побудинковий звіт'!CL190-'[3]побудинковий звіт'!CL190</f>
        <v>0</v>
      </c>
      <c r="CM190" s="42">
        <f>'[1]побудинковий звіт'!CM190+'[2]побудинковий звіт'!CM190-'[3]побудинковий звіт'!CM190</f>
        <v>0</v>
      </c>
      <c r="CN190" s="56">
        <f t="shared" si="201"/>
        <v>0</v>
      </c>
      <c r="CO190" s="42">
        <f t="shared" si="181"/>
        <v>112.30515106315281</v>
      </c>
      <c r="CP190" s="43">
        <f t="shared" si="202"/>
        <v>68.491015902247455</v>
      </c>
      <c r="CQ190" s="56">
        <f t="shared" si="203"/>
        <v>-43.814135160905352</v>
      </c>
      <c r="CR190" s="78">
        <f t="shared" si="182"/>
        <v>21905.732475076529</v>
      </c>
      <c r="CS190" s="5">
        <f t="shared" si="182"/>
        <v>25965.237182079658</v>
      </c>
      <c r="CT190" s="56">
        <f t="shared" si="204"/>
        <v>4059.5047070031287</v>
      </c>
      <c r="CU190" s="87">
        <f t="shared" si="205"/>
        <v>26286.878970091835</v>
      </c>
      <c r="CV190" s="70">
        <f t="shared" si="206"/>
        <v>31158.284618495589</v>
      </c>
      <c r="CW190" s="37">
        <f t="shared" si="207"/>
        <v>4871.4056484037537</v>
      </c>
      <c r="CX190" s="42">
        <f>'[1]побудинковий звіт'!CX190+'[2]побудинковий звіт'!CX190-'[3]побудинковий звіт'!CX190</f>
        <v>4569.2010299081776</v>
      </c>
      <c r="CY190" s="42">
        <f>'[1]побудинковий звіт'!CY190+'[2]побудинковий звіт'!CY190-'[3]побудинковий звіт'!CY190</f>
        <v>-302.20461849558615</v>
      </c>
      <c r="CZ190" s="56">
        <f t="shared" si="208"/>
        <v>-4871.4056484037637</v>
      </c>
      <c r="DA190" s="264">
        <f>'[4]побудинковий звіт'!DA190</f>
        <v>15879.094102723666</v>
      </c>
      <c r="DB190" s="2">
        <v>2</v>
      </c>
      <c r="DC190" s="717">
        <f>'[4]побудинковий звіт'!DC190</f>
        <v>1086.54</v>
      </c>
      <c r="DD190" s="717">
        <f>'[4]побудинковий звіт'!DD190</f>
        <v>2544.94</v>
      </c>
      <c r="DE190" s="717">
        <f>'[4]побудинковий звіт'!DE190</f>
        <v>-649.29999999999995</v>
      </c>
      <c r="DF190" s="717">
        <f>'[4]побудинковий звіт'!DF190</f>
        <v>1709.44</v>
      </c>
      <c r="DG190" s="787">
        <v>13311.994438337904</v>
      </c>
      <c r="DH190" s="761">
        <f t="shared" si="171"/>
        <v>370272.96000000014</v>
      </c>
      <c r="DI190" s="784"/>
      <c r="DJ190" s="5"/>
      <c r="DK190" s="317">
        <f>VLOOKUP($A190,ціни!$A$4:$G$401,5)</f>
        <v>7.2629055045102007</v>
      </c>
      <c r="DL190" s="317"/>
      <c r="DM190" s="317">
        <f>VLOOKUP($A190,ціни!$A$4:$G$401,7)</f>
        <v>5.7225306602392569</v>
      </c>
      <c r="DN190" s="30">
        <f t="shared" si="224"/>
        <v>2854.3218632725088</v>
      </c>
      <c r="DO190" s="30">
        <f t="shared" si="225"/>
        <v>835.48947639493156</v>
      </c>
      <c r="DP190" s="316">
        <f t="shared" si="221"/>
        <v>3689.8113396674403</v>
      </c>
      <c r="DQ190" s="104"/>
      <c r="DR190" s="30">
        <f>VLOOKUP(A190,'ДЗ нас '!$A$1:$C$359,2)</f>
        <v>1735.84</v>
      </c>
      <c r="DS190" s="748">
        <f>VLOOKUP(A190,'ДЗ нежит'!$A$1:$D$153,4,0)</f>
        <v>835.5</v>
      </c>
      <c r="DT190" s="30">
        <f t="shared" si="222"/>
        <v>2571.34</v>
      </c>
      <c r="DU190" s="257">
        <f>VLOOKUP(A190,'новий кошторис с 01.06'!$A$4:$AI$399,35)*1.2</f>
        <v>2256.2904449328817</v>
      </c>
      <c r="DV190" s="30">
        <f t="shared" si="223"/>
        <v>315.04955506711849</v>
      </c>
      <c r="DW190" s="930">
        <f>'[5]побудинковий звіт'!DW190+'[6]побудинковий звіт'!DW190</f>
        <v>204</v>
      </c>
      <c r="DY190" s="5">
        <f t="shared" si="167"/>
        <v>6052.4591541483069</v>
      </c>
      <c r="DZ190" s="5">
        <f t="shared" si="168"/>
        <v>8412</v>
      </c>
      <c r="EA190" s="752">
        <f t="shared" si="172"/>
        <v>1060.1400000000001</v>
      </c>
      <c r="EC190" s="592">
        <f t="shared" si="169"/>
        <v>47738.023115389813</v>
      </c>
      <c r="EE190" s="758">
        <v>-3171</v>
      </c>
      <c r="EF190" s="738">
        <f t="shared" si="170"/>
        <v>10140.994438337904</v>
      </c>
      <c r="EH190" s="813">
        <v>11116.736019021137</v>
      </c>
    </row>
    <row r="191" spans="1:138" x14ac:dyDescent="0.3">
      <c r="A191" s="328">
        <v>150000931</v>
      </c>
      <c r="B191" s="44" t="s">
        <v>641</v>
      </c>
      <c r="C191" s="45" t="s">
        <v>266</v>
      </c>
      <c r="D191" s="45" t="s">
        <v>266</v>
      </c>
      <c r="E191" s="40">
        <f t="shared" si="175"/>
        <v>4687.91</v>
      </c>
      <c r="F191" s="490">
        <v>4524.01</v>
      </c>
      <c r="G191" s="30"/>
      <c r="H191" s="30">
        <v>163.89999999999998</v>
      </c>
      <c r="I191" s="42">
        <f>'[1]побудинковий звіт'!I191+'[2]побудинковий звіт'!I191-'[3]побудинковий звіт'!I191</f>
        <v>7964.8992230378626</v>
      </c>
      <c r="J191" s="42">
        <f>'[1]побудинковий звіт'!J191+'[2]побудинковий звіт'!J191-'[3]побудинковий звіт'!J191</f>
        <v>7927.1925353520937</v>
      </c>
      <c r="K191" s="56">
        <f t="shared" si="183"/>
        <v>-37.706687685768884</v>
      </c>
      <c r="L191" s="42">
        <f>'[1]побудинковий звіт'!L191+'[2]побудинковий звіт'!L191-'[3]побудинковий звіт'!L191</f>
        <v>1653.764893629289</v>
      </c>
      <c r="M191" s="42">
        <f>'[1]побудинковий звіт'!M191+'[2]побудинковий звіт'!M191-'[3]побудинковий звіт'!M191</f>
        <v>1755.1861721672026</v>
      </c>
      <c r="N191" s="56">
        <f t="shared" si="184"/>
        <v>101.42127853791362</v>
      </c>
      <c r="O191" s="42">
        <f>'[1]побудинковий звіт'!O191+'[2]побудинковий звіт'!O191-'[3]побудинковий звіт'!O191</f>
        <v>3104.1599999999994</v>
      </c>
      <c r="P191" s="42">
        <f>'[1]побудинковий звіт'!P191+'[2]побудинковий звіт'!P191-'[3]побудинковий звіт'!P191</f>
        <v>2439.9011563978497</v>
      </c>
      <c r="Q191" s="56">
        <f t="shared" si="185"/>
        <v>-664.25884360214968</v>
      </c>
      <c r="R191" s="42">
        <f>'[1]побудинковий звіт'!R191+'[2]побудинковий звіт'!R191-'[3]побудинковий звіт'!R191</f>
        <v>783.2399999999999</v>
      </c>
      <c r="S191" s="42">
        <f>'[1]побудинковий звіт'!S191+'[2]побудинковий звіт'!S191-'[3]побудинковий звіт'!S191</f>
        <v>615.76376919354834</v>
      </c>
      <c r="T191" s="56">
        <f t="shared" si="186"/>
        <v>-167.47623080645155</v>
      </c>
      <c r="U191" s="42">
        <f>'[1]побудинковий звіт'!U191+'[2]побудинковий звіт'!U191-'[3]побудинковий звіт'!U191</f>
        <v>531.87068102458227</v>
      </c>
      <c r="V191" s="42">
        <f>'[1]побудинковий звіт'!V191+'[2]побудинковий звіт'!V191-'[3]побудинковий звіт'!V191</f>
        <v>1574.9803277001859</v>
      </c>
      <c r="W191" s="56">
        <f t="shared" si="187"/>
        <v>1043.1096466756035</v>
      </c>
      <c r="X191" s="42">
        <f>'[1]побудинковий звіт'!X191+'[2]побудинковий звіт'!X191-'[3]побудинковий звіт'!X191</f>
        <v>5913.9870696057869</v>
      </c>
      <c r="Y191" s="42">
        <f>'[1]побудинковий звіт'!Y191+'[2]побудинковий звіт'!Y191-'[3]побудинковий звіт'!Y191</f>
        <v>4531.3326244626278</v>
      </c>
      <c r="Z191" s="56">
        <f t="shared" si="188"/>
        <v>-1382.6544451431591</v>
      </c>
      <c r="AA191" s="42">
        <f>'[1]побудинковий звіт'!AA191+'[2]побудинковий звіт'!AA191-'[3]побудинковий звіт'!AA191</f>
        <v>0</v>
      </c>
      <c r="AB191" s="42">
        <f>'[1]побудинковий звіт'!AB191+'[2]побудинковий звіт'!AB191-'[3]побудинковий звіт'!AB191</f>
        <v>0</v>
      </c>
      <c r="AC191" s="56">
        <f t="shared" si="189"/>
        <v>0</v>
      </c>
      <c r="AD191" s="42">
        <f>'[1]побудинковий звіт'!AD191+'[2]побудинковий звіт'!AD191-'[3]побудинковий звіт'!AD191</f>
        <v>9801.6168985095828</v>
      </c>
      <c r="AE191" s="42">
        <f>'[1]побудинковий звіт'!AE191+'[2]побудинковий звіт'!AE191-'[3]побудинковий звіт'!AE191</f>
        <v>9034.0850067756619</v>
      </c>
      <c r="AF191" s="37">
        <f t="shared" si="190"/>
        <v>-767.53189173392093</v>
      </c>
      <c r="AG191" s="87">
        <f t="shared" si="180"/>
        <v>29753.538765807101</v>
      </c>
      <c r="AH191" s="57">
        <f t="shared" si="180"/>
        <v>27878.44159204917</v>
      </c>
      <c r="AI191" s="56">
        <f t="shared" si="191"/>
        <v>-1875.0971737579312</v>
      </c>
      <c r="AJ191" s="42">
        <f>'[1]побудинковий звіт'!AJ191+'[2]побудинковий звіт'!AJ191-'[3]побудинковий звіт'!AJ191</f>
        <v>0</v>
      </c>
      <c r="AK191" s="42">
        <f>'[1]побудинковий звіт'!AK191+'[2]побудинковий звіт'!AK191-'[3]побудинковий звіт'!AK191</f>
        <v>0</v>
      </c>
      <c r="AL191" s="56">
        <f t="shared" si="192"/>
        <v>0</v>
      </c>
      <c r="AM191" s="42">
        <f>'[1]побудинковий звіт'!AM191+'[2]побудинковий звіт'!AM191-'[3]побудинковий звіт'!AM191</f>
        <v>0</v>
      </c>
      <c r="AN191" s="42">
        <f>'[1]побудинковий звіт'!AN191+'[2]побудинковий звіт'!AN191-'[3]побудинковий звіт'!AN191</f>
        <v>0</v>
      </c>
      <c r="AO191" s="56">
        <f t="shared" si="193"/>
        <v>0</v>
      </c>
      <c r="AP191" s="42">
        <f>'[1]побудинковий звіт'!AP191+'[2]побудинковий звіт'!AP191-'[3]побудинковий звіт'!AP191</f>
        <v>1751.9826393532517</v>
      </c>
      <c r="AQ191" s="42">
        <f>'[1]побудинковий звіт'!AQ191+'[2]побудинковий звіт'!AQ191-'[3]побудинковий звіт'!AQ191</f>
        <v>1626.7601256395717</v>
      </c>
      <c r="AR191" s="56">
        <f t="shared" si="194"/>
        <v>-125.22251371367997</v>
      </c>
      <c r="AS191" s="42">
        <f>'[1]побудинковий звіт'!AS191+'[2]побудинковий звіт'!AS191-'[3]побудинковий звіт'!AS191</f>
        <v>22433.01226621597</v>
      </c>
      <c r="AT191" s="42">
        <f>'[1]побудинковий звіт'!AT191+'[2]побудинковий звіт'!AT191-'[3]побудинковий звіт'!AT191</f>
        <v>728</v>
      </c>
      <c r="AU191" s="58">
        <f t="shared" si="211"/>
        <v>-21705.01226621597</v>
      </c>
      <c r="AV191" s="42">
        <f>'[1]побудинковий звіт'!AV191+'[2]побудинковий звіт'!AV191-'[3]побудинковий звіт'!AV191</f>
        <v>1409.0055861071714</v>
      </c>
      <c r="AW191" s="42">
        <f>'[1]побудинковий звіт'!AW191+'[2]побудинковий звіт'!AW191-'[3]побудинковий звіт'!AW191</f>
        <v>0</v>
      </c>
      <c r="AX191" s="59">
        <f t="shared" si="212"/>
        <v>-1409.0055861071714</v>
      </c>
      <c r="AY191" s="42">
        <f>'[1]побудинковий звіт'!AY191+'[2]побудинковий звіт'!AY191-'[3]побудинковий звіт'!AY191</f>
        <v>2131.6319683440897</v>
      </c>
      <c r="AZ191" s="42">
        <f>'[1]побудинковий звіт'!AZ191+'[2]побудинковий звіт'!AZ191-'[3]побудинковий звіт'!AZ191</f>
        <v>2040</v>
      </c>
      <c r="BA191" s="37">
        <f t="shared" si="213"/>
        <v>-91.631968344089728</v>
      </c>
      <c r="BB191" s="42">
        <f>'[1]побудинковий звіт'!BB191+'[2]побудинковий звіт'!BB191-'[3]побудинковий звіт'!BB191</f>
        <v>1751.3065641979583</v>
      </c>
      <c r="BC191" s="42">
        <f>'[1]побудинковий звіт'!BC191+'[2]побудинковий звіт'!BC191-'[3]побудинковий звіт'!BC191</f>
        <v>0</v>
      </c>
      <c r="BD191" s="59">
        <f t="shared" si="214"/>
        <v>-1751.3065641979583</v>
      </c>
      <c r="BE191" s="42">
        <f>'[1]побудинковий звіт'!BE191+'[2]побудинковий звіт'!BE191-'[3]побудинковий звіт'!BE191</f>
        <v>892.53005789860288</v>
      </c>
      <c r="BF191" s="42">
        <f>'[1]побудинковий звіт'!BF191+'[2]побудинковий звіт'!BF191-'[3]побудинковий звіт'!BF191</f>
        <v>0</v>
      </c>
      <c r="BG191" s="39">
        <f t="shared" si="215"/>
        <v>-892.53005789860288</v>
      </c>
      <c r="BH191" s="42">
        <f>'[1]побудинковий звіт'!BH191+'[2]побудинковий звіт'!BH191-'[3]побудинковий звіт'!BH191</f>
        <v>539.76213107435467</v>
      </c>
      <c r="BI191" s="42">
        <f>'[1]побудинковий звіт'!BI191+'[2]побудинковий звіт'!BI191-'[3]побудинковий звіт'!BI191</f>
        <v>0</v>
      </c>
      <c r="BJ191" s="59">
        <f t="shared" si="216"/>
        <v>-539.76213107435467</v>
      </c>
      <c r="BK191" s="42">
        <f>'[1]побудинковий звіт'!BK191+'[2]побудинковий звіт'!BK191-'[3]побудинковий звіт'!BK191</f>
        <v>778.36614519151806</v>
      </c>
      <c r="BL191" s="42">
        <f>'[1]побудинковий звіт'!BL191+'[2]побудинковий звіт'!BL191-'[3]побудинковий звіт'!BL191</f>
        <v>387</v>
      </c>
      <c r="BM191" s="39">
        <f t="shared" si="217"/>
        <v>-391.36614519151806</v>
      </c>
      <c r="BN191" s="42">
        <f>'[1]побудинковий звіт'!BN191+'[2]побудинковий звіт'!BN191-'[3]побудинковий звіт'!BN191</f>
        <v>0</v>
      </c>
      <c r="BO191" s="42">
        <f>'[1]побудинковий звіт'!BO191+'[2]побудинковий звіт'!BO191-'[3]побудинковий звіт'!BO191</f>
        <v>0</v>
      </c>
      <c r="BP191" s="59">
        <f t="shared" si="218"/>
        <v>0</v>
      </c>
      <c r="BQ191" s="87">
        <f t="shared" si="176"/>
        <v>7502.6024528136941</v>
      </c>
      <c r="BR191" s="43">
        <f t="shared" si="220"/>
        <v>2427</v>
      </c>
      <c r="BS191" s="59">
        <f t="shared" si="219"/>
        <v>-5075.6024528136941</v>
      </c>
      <c r="BT191" s="42">
        <f>'[1]побудинковий звіт'!BT191+'[2]побудинковий звіт'!BT191-'[3]побудинковий звіт'!BT191</f>
        <v>23952.772400009209</v>
      </c>
      <c r="BU191" s="42">
        <f>'[1]побудинковий звіт'!BU191+'[2]побудинковий звіт'!BU191-'[3]побудинковий звіт'!BU191</f>
        <v>42089.446344100477</v>
      </c>
      <c r="BV191" s="56">
        <f t="shared" si="195"/>
        <v>18136.673944091268</v>
      </c>
      <c r="BW191" s="42">
        <f>'[1]побудинковий звіт'!BW191+'[2]побудинковий звіт'!BW191-'[3]побудинковий звіт'!BW191</f>
        <v>23723.089747868158</v>
      </c>
      <c r="BX191" s="42">
        <f>'[1]побудинковий звіт'!BX191+'[2]побудинковий звіт'!BX191-'[3]побудинковий звіт'!BX191</f>
        <v>24608.314058691154</v>
      </c>
      <c r="BY191" s="56">
        <f t="shared" si="196"/>
        <v>885.2243108229959</v>
      </c>
      <c r="BZ191" s="42">
        <f>'[1]побудинковий звіт'!BZ191+'[2]побудинковий звіт'!BZ191-'[3]побудинковий звіт'!BZ191</f>
        <v>18637.515556641938</v>
      </c>
      <c r="CA191" s="42">
        <f>'[1]побудинковий звіт'!CA191+'[2]побудинковий звіт'!CA191-'[3]побудинковий звіт'!CA191</f>
        <v>11961.262650686349</v>
      </c>
      <c r="CB191" s="56">
        <f t="shared" si="197"/>
        <v>-6676.2529059555891</v>
      </c>
      <c r="CC191" s="42">
        <f>'[1]побудинковий звіт'!CC191+'[2]побудинковий звіт'!CC191-'[3]побудинковий звіт'!CC191</f>
        <v>1970.6880079415148</v>
      </c>
      <c r="CD191" s="42">
        <f>'[1]побудинковий звіт'!CD191+'[2]побудинковий звіт'!CD191-'[3]побудинковий звіт'!CD191</f>
        <v>1953.3552497577966</v>
      </c>
      <c r="CE191" s="56">
        <f t="shared" si="198"/>
        <v>-17.33275818371817</v>
      </c>
      <c r="CF191" s="42">
        <f>'[1]побудинковий звіт'!CF191+'[2]побудинковий звіт'!CF191-'[3]побудинковий звіт'!CF191</f>
        <v>242.60363734128498</v>
      </c>
      <c r="CG191" s="42">
        <f>'[1]побудинковий звіт'!CG191+'[2]побудинковий звіт'!CG191-'[3]побудинковий звіт'!CG191</f>
        <v>0</v>
      </c>
      <c r="CH191" s="56">
        <f t="shared" si="199"/>
        <v>-242.60363734128498</v>
      </c>
      <c r="CI191" s="42">
        <f>'[1]побудинковий звіт'!CI191+'[2]побудинковий звіт'!CI191-'[3]побудинковий звіт'!CI191</f>
        <v>4192.7256396910379</v>
      </c>
      <c r="CJ191" s="42">
        <f>'[1]побудинковий звіт'!CJ191+'[2]побудинковий звіт'!CJ191-'[3]побудинковий звіт'!CJ191</f>
        <v>2192.4820818078038</v>
      </c>
      <c r="CK191" s="56">
        <f t="shared" si="200"/>
        <v>-2000.2435578832342</v>
      </c>
      <c r="CL191" s="42">
        <f>'[1]побудинковий звіт'!CL191+'[2]побудинковий звіт'!CL191-'[3]побудинковий звіт'!CL191</f>
        <v>0</v>
      </c>
      <c r="CM191" s="42">
        <f>'[1]побудинковий звіт'!CM191+'[2]побудинковий звіт'!CM191-'[3]побудинковий звіт'!CM191</f>
        <v>0</v>
      </c>
      <c r="CN191" s="56">
        <f t="shared" si="201"/>
        <v>0</v>
      </c>
      <c r="CO191" s="42">
        <f t="shared" si="181"/>
        <v>4192.7256396910379</v>
      </c>
      <c r="CP191" s="43">
        <f t="shared" si="202"/>
        <v>2192.4820818078038</v>
      </c>
      <c r="CQ191" s="56">
        <f t="shared" si="203"/>
        <v>-2000.2435578832342</v>
      </c>
      <c r="CR191" s="78">
        <f t="shared" si="182"/>
        <v>134160.53111368316</v>
      </c>
      <c r="CS191" s="5">
        <f t="shared" si="182"/>
        <v>115465.06210273231</v>
      </c>
      <c r="CT191" s="56">
        <f t="shared" si="204"/>
        <v>-18695.469010950852</v>
      </c>
      <c r="CU191" s="87">
        <f t="shared" si="205"/>
        <v>160992.63733641978</v>
      </c>
      <c r="CV191" s="70">
        <f t="shared" si="206"/>
        <v>138558.07452327877</v>
      </c>
      <c r="CW191" s="37">
        <f t="shared" si="207"/>
        <v>-22434.562813141005</v>
      </c>
      <c r="CX191" s="42">
        <f>'[1]побудинковий звіт'!CX191+'[2]побудинковий звіт'!CX191-'[3]побудинковий звіт'!CX191</f>
        <v>-14.527336419783751</v>
      </c>
      <c r="CY191" s="42">
        <f>'[1]побудинковий звіт'!CY191+'[2]побудинковий звіт'!CY191-'[3]побудинковий звіт'!CY191</f>
        <v>22420.035476721223</v>
      </c>
      <c r="CZ191" s="56">
        <f t="shared" si="208"/>
        <v>22434.562813141005</v>
      </c>
      <c r="DA191" s="264">
        <f>'[4]побудинковий звіт'!DA191</f>
        <v>27272.527523848148</v>
      </c>
      <c r="DB191" s="2">
        <v>2</v>
      </c>
      <c r="DC191" s="717">
        <f>'[4]побудинковий звіт'!DC191</f>
        <v>24715.51</v>
      </c>
      <c r="DD191" s="717">
        <f>'[4]побудинковий звіт'!DD191</f>
        <v>1377.37</v>
      </c>
      <c r="DE191" s="717">
        <f>'[4]побудинковий звіт'!DE191</f>
        <v>12092.019999999999</v>
      </c>
      <c r="DF191" s="717">
        <f>'[4]побудинковий звіт'!DF191</f>
        <v>587.74999999999989</v>
      </c>
      <c r="DG191" s="787">
        <v>38092.888302090811</v>
      </c>
      <c r="DH191" s="761">
        <f t="shared" si="171"/>
        <v>1931737.3199999998</v>
      </c>
      <c r="DI191" s="784"/>
      <c r="DJ191" s="5"/>
      <c r="DK191" s="317">
        <f>VLOOKUP($A191,ціни!$A$4:$G$401,5)</f>
        <v>5.9322754752678852</v>
      </c>
      <c r="DL191" s="317"/>
      <c r="DM191" s="317">
        <f>VLOOKUP($A191,ціни!$A$4:$G$401,7)</f>
        <v>4.8176938471256321</v>
      </c>
      <c r="DN191" s="30">
        <f t="shared" si="224"/>
        <v>26837.673572866668</v>
      </c>
      <c r="DO191" s="30">
        <f t="shared" si="225"/>
        <v>789.62002154389097</v>
      </c>
      <c r="DP191" s="316">
        <f t="shared" si="221"/>
        <v>27627.293594410559</v>
      </c>
      <c r="DQ191" s="104"/>
      <c r="DR191" s="30">
        <f>VLOOKUP(A191,'ДЗ нас '!$A$1:$C$359,2)</f>
        <v>12623.49</v>
      </c>
      <c r="DS191" s="748">
        <f>VLOOKUP(A191,'ДЗ нежит'!$A$1:$D$153,4,0)</f>
        <v>789.62</v>
      </c>
      <c r="DT191" s="30">
        <f t="shared" si="222"/>
        <v>13413.11</v>
      </c>
      <c r="DU191" s="257">
        <f>VLOOKUP(A191,'новий кошторис с 01.06'!$A$4:$AI$399,35)*1.2</f>
        <v>13416.053111368316</v>
      </c>
      <c r="DV191" s="30">
        <f t="shared" si="223"/>
        <v>-2.9431113683149306</v>
      </c>
      <c r="DW191" s="930">
        <f>'[5]побудинковий звіт'!DW191+'[6]побудинковий звіт'!DW191</f>
        <v>236</v>
      </c>
      <c r="DY191" s="5">
        <f t="shared" si="167"/>
        <v>35922.7376628356</v>
      </c>
      <c r="DZ191" s="5">
        <f t="shared" si="168"/>
        <v>3786</v>
      </c>
      <c r="EA191" s="752">
        <f t="shared" si="172"/>
        <v>12679.769999999999</v>
      </c>
      <c r="EC191" s="592">
        <f t="shared" si="169"/>
        <v>269196.14719459164</v>
      </c>
      <c r="EE191" s="758">
        <v>-20385</v>
      </c>
      <c r="EF191" s="738">
        <f t="shared" si="170"/>
        <v>17707.888302090811</v>
      </c>
      <c r="EH191" s="813">
        <v>48064.970199121373</v>
      </c>
    </row>
    <row r="192" spans="1:138" x14ac:dyDescent="0.3">
      <c r="A192" s="328">
        <v>150000932</v>
      </c>
      <c r="B192" s="44" t="s">
        <v>642</v>
      </c>
      <c r="C192" s="45" t="s">
        <v>173</v>
      </c>
      <c r="D192" s="45" t="s">
        <v>173</v>
      </c>
      <c r="E192" s="40">
        <f t="shared" si="175"/>
        <v>6306.37</v>
      </c>
      <c r="F192" s="490">
        <v>6306.37</v>
      </c>
      <c r="G192" s="30"/>
      <c r="H192" s="30">
        <v>0</v>
      </c>
      <c r="I192" s="42">
        <f>'[1]побудинковий звіт'!I192+'[2]побудинковий звіт'!I192-'[3]побудинковий звіт'!I192</f>
        <v>437.8311589571756</v>
      </c>
      <c r="J192" s="42">
        <f>'[1]побудинковий звіт'!J192+'[2]побудинковий звіт'!J192-'[3]побудинковий звіт'!J192</f>
        <v>448.50348682607569</v>
      </c>
      <c r="K192" s="56">
        <f t="shared" si="183"/>
        <v>10.672327868900084</v>
      </c>
      <c r="L192" s="42">
        <f>'[1]побудинковий звіт'!L192+'[2]побудинковий звіт'!L192-'[3]побудинковий звіт'!L192</f>
        <v>242.04357779902338</v>
      </c>
      <c r="M192" s="42">
        <f>'[1]побудинковий звіт'!M192+'[2]побудинковий звіт'!M192-'[3]побудинковий звіт'!M192</f>
        <v>244.21095906931961</v>
      </c>
      <c r="N192" s="56">
        <f t="shared" si="184"/>
        <v>2.1673812702962323</v>
      </c>
      <c r="O192" s="42">
        <f>'[1]побудинковий звіт'!O192+'[2]побудинковий звіт'!O192-'[3]побудинковий звіт'!O192</f>
        <v>483.72</v>
      </c>
      <c r="P192" s="42">
        <f>'[1]побудинковий звіт'!P192+'[2]побудинковий звіт'!P192-'[3]побудинковий звіт'!P192</f>
        <v>380.23323521505381</v>
      </c>
      <c r="Q192" s="56">
        <f t="shared" si="185"/>
        <v>-103.48676478494622</v>
      </c>
      <c r="R192" s="42">
        <f>'[1]побудинковий звіт'!R192+'[2]побудинковий звіт'!R192-'[3]побудинковий звіт'!R192</f>
        <v>0</v>
      </c>
      <c r="S192" s="42">
        <f>'[1]побудинковий звіт'!S192+'[2]побудинковий звіт'!S192-'[3]побудинковий звіт'!S192</f>
        <v>0</v>
      </c>
      <c r="T192" s="56">
        <f t="shared" si="186"/>
        <v>0</v>
      </c>
      <c r="U192" s="42">
        <f>'[1]побудинковий звіт'!U192+'[2]побудинковий звіт'!U192-'[3]побудинковий звіт'!U192</f>
        <v>0</v>
      </c>
      <c r="V192" s="42">
        <f>'[1]побудинковий звіт'!V192+'[2]побудинковий звіт'!V192-'[3]побудинковий звіт'!V192</f>
        <v>0</v>
      </c>
      <c r="W192" s="56">
        <f t="shared" si="187"/>
        <v>0</v>
      </c>
      <c r="X192" s="42">
        <f>'[1]побудинковий звіт'!X192+'[2]побудинковий звіт'!X192-'[3]побудинковий звіт'!X192</f>
        <v>222.3204507722939</v>
      </c>
      <c r="Y192" s="42">
        <f>'[1]побудинковий звіт'!Y192+'[2]побудинковий звіт'!Y192-'[3]побудинковий звіт'!Y192</f>
        <v>90.500198135180113</v>
      </c>
      <c r="Z192" s="56">
        <f t="shared" si="188"/>
        <v>-131.82025263711378</v>
      </c>
      <c r="AA192" s="42">
        <f>'[1]побудинковий звіт'!AA192+'[2]побудинковий звіт'!AA192-'[3]побудинковий звіт'!AA192</f>
        <v>0</v>
      </c>
      <c r="AB192" s="42">
        <f>'[1]побудинковий звіт'!AB192+'[2]побудинковий звіт'!AB192-'[3]побудинковий звіт'!AB192</f>
        <v>0</v>
      </c>
      <c r="AC192" s="56">
        <f t="shared" si="189"/>
        <v>0</v>
      </c>
      <c r="AD192" s="42">
        <f>'[1]побудинковий звіт'!AD192+'[2]побудинковий звіт'!AD192-'[3]побудинковий звіт'!AD192</f>
        <v>1514.9271122141863</v>
      </c>
      <c r="AE192" s="42">
        <f>'[1]побудинковий звіт'!AE192+'[2]побудинковий звіт'!AE192-'[3]побудинковий звіт'!AE192</f>
        <v>1396.2982283967044</v>
      </c>
      <c r="AF192" s="37">
        <f t="shared" si="190"/>
        <v>-118.62888381748189</v>
      </c>
      <c r="AG192" s="87">
        <f t="shared" si="180"/>
        <v>2900.8422997426792</v>
      </c>
      <c r="AH192" s="57">
        <f t="shared" si="180"/>
        <v>2559.7461076423338</v>
      </c>
      <c r="AI192" s="56">
        <f t="shared" si="191"/>
        <v>-341.09619210034543</v>
      </c>
      <c r="AJ192" s="42">
        <f>'[1]побудинковий звіт'!AJ192+'[2]побудинковий звіт'!AJ192-'[3]побудинковий звіт'!AJ192</f>
        <v>0</v>
      </c>
      <c r="AK192" s="42">
        <f>'[1]побудинковий звіт'!AK192+'[2]побудинковий звіт'!AK192-'[3]побудинковий звіт'!AK192</f>
        <v>0</v>
      </c>
      <c r="AL192" s="56">
        <f t="shared" si="192"/>
        <v>0</v>
      </c>
      <c r="AM192" s="42">
        <f>'[1]побудинковий звіт'!AM192+'[2]побудинковий звіт'!AM192-'[3]побудинковий звіт'!AM192</f>
        <v>0</v>
      </c>
      <c r="AN192" s="42">
        <f>'[1]побудинковий звіт'!AN192+'[2]побудинковий звіт'!AN192-'[3]побудинковий звіт'!AN192</f>
        <v>0</v>
      </c>
      <c r="AO192" s="56">
        <f t="shared" si="193"/>
        <v>0</v>
      </c>
      <c r="AP192" s="42">
        <f>'[1]побудинковий звіт'!AP192+'[2]побудинковий звіт'!AP192-'[3]побудинковий звіт'!AP192</f>
        <v>2320.193225089442</v>
      </c>
      <c r="AQ192" s="42">
        <f>'[1]побудинковий звіт'!AQ192+'[2]побудинковий звіт'!AQ192-'[3]побудинковий звіт'!AQ192</f>
        <v>378.61617200841994</v>
      </c>
      <c r="AR192" s="56">
        <f t="shared" si="194"/>
        <v>-1941.5770530810221</v>
      </c>
      <c r="AS192" s="42">
        <f>'[1]побудинковий звіт'!AS192+'[2]побудинковий звіт'!AS192-'[3]побудинковий звіт'!AS192</f>
        <v>2689.1297874743759</v>
      </c>
      <c r="AT192" s="42">
        <f>'[1]побудинковий звіт'!AT192+'[2]побудинковий звіт'!AT192-'[3]побудинковий звіт'!AT192</f>
        <v>0</v>
      </c>
      <c r="AU192" s="58">
        <f t="shared" si="211"/>
        <v>-2689.1297874743759</v>
      </c>
      <c r="AV192" s="42">
        <f>'[1]побудинковий звіт'!AV192+'[2]побудинковий звіт'!AV192-'[3]побудинковий звіт'!AV192</f>
        <v>302.14115608652634</v>
      </c>
      <c r="AW192" s="42">
        <f>'[1]побудинковий звіт'!AW192+'[2]побудинковий звіт'!AW192-'[3]побудинковий звіт'!AW192</f>
        <v>0</v>
      </c>
      <c r="AX192" s="59">
        <f t="shared" si="212"/>
        <v>-302.14115608652634</v>
      </c>
      <c r="AY192" s="42">
        <f>'[1]побудинковий звіт'!AY192+'[2]побудинковий звіт'!AY192-'[3]побудинковий звіт'!AY192</f>
        <v>312.02690298803327</v>
      </c>
      <c r="AZ192" s="42">
        <f>'[1]побудинковий звіт'!AZ192+'[2]побудинковий звіт'!AZ192-'[3]побудинковий звіт'!AZ192</f>
        <v>0</v>
      </c>
      <c r="BA192" s="37">
        <f t="shared" si="213"/>
        <v>-312.02690298803327</v>
      </c>
      <c r="BB192" s="42">
        <f>'[1]побудинковий звіт'!BB192+'[2]побудинковий звіт'!BB192-'[3]побудинковий звіт'!BB192</f>
        <v>251.31447327278585</v>
      </c>
      <c r="BC192" s="42">
        <f>'[1]побудинковий звіт'!BC192+'[2]побудинковий звіт'!BC192-'[3]побудинковий звіт'!BC192</f>
        <v>0</v>
      </c>
      <c r="BD192" s="59">
        <f t="shared" si="214"/>
        <v>-251.31447327278585</v>
      </c>
      <c r="BE192" s="42">
        <f>'[1]побудинковий звіт'!BE192+'[2]побудинковий звіт'!BE192-'[3]побудинковий звіт'!BE192</f>
        <v>0</v>
      </c>
      <c r="BF192" s="42">
        <f>'[1]побудинковий звіт'!BF192+'[2]побудинковий звіт'!BF192-'[3]побудинковий звіт'!BF192</f>
        <v>0</v>
      </c>
      <c r="BG192" s="39">
        <f t="shared" si="215"/>
        <v>0</v>
      </c>
      <c r="BH192" s="42">
        <f>'[1]побудинковий звіт'!BH192+'[2]побудинковий звіт'!BH192-'[3]побудинковий звіт'!BH192</f>
        <v>0</v>
      </c>
      <c r="BI192" s="42">
        <f>'[1]побудинковий звіт'!BI192+'[2]побудинковий звіт'!BI192-'[3]побудинковий звіт'!BI192</f>
        <v>0</v>
      </c>
      <c r="BJ192" s="59">
        <f t="shared" si="216"/>
        <v>0</v>
      </c>
      <c r="BK192" s="42">
        <f>'[1]побудинковий звіт'!BK192+'[2]побудинковий звіт'!BK192-'[3]побудинковий звіт'!BK192</f>
        <v>1.6992893375900495</v>
      </c>
      <c r="BL192" s="42">
        <f>'[1]побудинковий звіт'!BL192+'[2]побудинковий звіт'!BL192-'[3]побудинковий звіт'!BL192</f>
        <v>0</v>
      </c>
      <c r="BM192" s="39">
        <f t="shared" si="217"/>
        <v>-1.6992893375900495</v>
      </c>
      <c r="BN192" s="42">
        <f>'[1]побудинковий звіт'!BN192+'[2]побудинковий звіт'!BN192-'[3]побудинковий звіт'!BN192</f>
        <v>0</v>
      </c>
      <c r="BO192" s="42">
        <f>'[1]побудинковий звіт'!BO192+'[2]побудинковий звіт'!BO192-'[3]побудинковий звіт'!BO192</f>
        <v>0</v>
      </c>
      <c r="BP192" s="59">
        <f t="shared" si="218"/>
        <v>0</v>
      </c>
      <c r="BQ192" s="87">
        <f t="shared" si="176"/>
        <v>867.18182168493536</v>
      </c>
      <c r="BR192" s="43">
        <f t="shared" si="220"/>
        <v>0</v>
      </c>
      <c r="BS192" s="59">
        <f t="shared" si="219"/>
        <v>-867.18182168493536</v>
      </c>
      <c r="BT192" s="42">
        <f>'[1]побудинковий звіт'!BT192+'[2]побудинковий звіт'!BT192-'[3]побудинковий звіт'!BT192</f>
        <v>7454.6021415347686</v>
      </c>
      <c r="BU192" s="42">
        <f>'[1]побудинковий звіт'!BU192+'[2]побудинковий звіт'!BU192-'[3]побудинковий звіт'!BU192</f>
        <v>9735.4850543555585</v>
      </c>
      <c r="BV192" s="56">
        <f t="shared" si="195"/>
        <v>2280.8829128207899</v>
      </c>
      <c r="BW192" s="42">
        <f>'[1]побудинковий звіт'!BW192+'[2]побудинковий звіт'!BW192-'[3]побудинковий звіт'!BW192</f>
        <v>272.82746709964806</v>
      </c>
      <c r="BX192" s="42">
        <f>'[1]побудинковий звіт'!BX192+'[2]побудинковий звіт'!BX192-'[3]побудинковий звіт'!BX192</f>
        <v>676.02161113680449</v>
      </c>
      <c r="BY192" s="56">
        <f t="shared" si="196"/>
        <v>403.19414403715643</v>
      </c>
      <c r="BZ192" s="42">
        <f>'[1]побудинковий звіт'!BZ192+'[2]побудинковий звіт'!BZ192-'[3]побудинковий звіт'!BZ192</f>
        <v>2267.6271176852852</v>
      </c>
      <c r="CA192" s="42">
        <f>'[1]побудинковий звіт'!CA192+'[2]побудинковий звіт'!CA192-'[3]побудинковий звіт'!CA192</f>
        <v>2098.0307068417624</v>
      </c>
      <c r="CB192" s="56">
        <f t="shared" si="197"/>
        <v>-169.59641084352279</v>
      </c>
      <c r="CC192" s="42">
        <f>'[1]побудинковий звіт'!CC192+'[2]побудинковий звіт'!CC192-'[3]побудинковий звіт'!CC192</f>
        <v>0</v>
      </c>
      <c r="CD192" s="42">
        <f>'[1]побудинковий звіт'!CD192+'[2]побудинковий звіт'!CD192-'[3]побудинковий звіт'!CD192</f>
        <v>0</v>
      </c>
      <c r="CE192" s="56">
        <f t="shared" si="198"/>
        <v>0</v>
      </c>
      <c r="CF192" s="42">
        <f>'[1]побудинковий звіт'!CF192+'[2]побудинковий звіт'!CF192-'[3]побудинковий звіт'!CF192</f>
        <v>0</v>
      </c>
      <c r="CG192" s="42">
        <f>'[1]побудинковий звіт'!CG192+'[2]побудинковий звіт'!CG192-'[3]побудинковий звіт'!CG192</f>
        <v>0</v>
      </c>
      <c r="CH192" s="56">
        <f t="shared" si="199"/>
        <v>0</v>
      </c>
      <c r="CI192" s="42">
        <f>'[1]побудинковий звіт'!CI192+'[2]побудинковий звіт'!CI192-'[3]побудинковий звіт'!CI192</f>
        <v>0</v>
      </c>
      <c r="CJ192" s="42">
        <f>'[1]побудинковий звіт'!CJ192+'[2]побудинковий звіт'!CJ192-'[3]побудинковий звіт'!CJ192</f>
        <v>0</v>
      </c>
      <c r="CK192" s="56">
        <f t="shared" si="200"/>
        <v>0</v>
      </c>
      <c r="CL192" s="42">
        <f>'[1]побудинковий звіт'!CL192+'[2]побудинковий звіт'!CL192-'[3]побудинковий звіт'!CL192</f>
        <v>0</v>
      </c>
      <c r="CM192" s="42">
        <f>'[1]побудинковий звіт'!CM192+'[2]побудинковий звіт'!CM192-'[3]побудинковий звіт'!CM192</f>
        <v>0</v>
      </c>
      <c r="CN192" s="56">
        <f t="shared" si="201"/>
        <v>0</v>
      </c>
      <c r="CO192" s="42">
        <f t="shared" si="181"/>
        <v>0</v>
      </c>
      <c r="CP192" s="43">
        <f t="shared" si="202"/>
        <v>0</v>
      </c>
      <c r="CQ192" s="56">
        <f t="shared" si="203"/>
        <v>0</v>
      </c>
      <c r="CR192" s="78">
        <f t="shared" si="182"/>
        <v>18772.403860311133</v>
      </c>
      <c r="CS192" s="5">
        <f t="shared" si="182"/>
        <v>15447.899651984879</v>
      </c>
      <c r="CT192" s="56">
        <f t="shared" si="204"/>
        <v>-3324.5042083262542</v>
      </c>
      <c r="CU192" s="87">
        <f t="shared" si="205"/>
        <v>22526.88463237336</v>
      </c>
      <c r="CV192" s="70">
        <f t="shared" si="206"/>
        <v>18537.479582381853</v>
      </c>
      <c r="CW192" s="37">
        <f t="shared" si="207"/>
        <v>-3989.4050499915065</v>
      </c>
      <c r="CX192" s="42">
        <f>'[1]побудинковий звіт'!CX192+'[2]побудинковий звіт'!CX192-'[3]побудинковий звіт'!CX192</f>
        <v>337.79536762664702</v>
      </c>
      <c r="CY192" s="42">
        <f>'[1]побудинковий звіт'!CY192+'[2]побудинковий звіт'!CY192-'[3]побудинковий звіт'!CY192</f>
        <v>4327.2004176181435</v>
      </c>
      <c r="CZ192" s="56">
        <f t="shared" si="208"/>
        <v>3989.4050499914965</v>
      </c>
      <c r="DA192" s="264">
        <f>'[4]побудинковий звіт'!DA192</f>
        <v>-6936.6814700044752</v>
      </c>
      <c r="DB192" s="2">
        <v>2</v>
      </c>
      <c r="DC192" s="717">
        <f>'[4]побудинковий звіт'!DC192</f>
        <v>1905.39</v>
      </c>
      <c r="DD192" s="717">
        <f>'[4]побудинковий звіт'!DD192</f>
        <v>0</v>
      </c>
      <c r="DE192" s="717">
        <f>'[4]побудинковий звіт'!DE192</f>
        <v>0</v>
      </c>
      <c r="DF192" s="717">
        <f>'[4]побудинковий звіт'!DF192</f>
        <v>0</v>
      </c>
      <c r="DG192" s="787">
        <v>-1221.8609935074783</v>
      </c>
      <c r="DH192" s="761">
        <f t="shared" si="171"/>
        <v>274376.16000000009</v>
      </c>
      <c r="DI192" s="784"/>
      <c r="DJ192" s="5"/>
      <c r="DK192" s="317">
        <f>VLOOKUP($A192,ціни!$A$4:$G$401,5)</f>
        <v>5.3779254637922085</v>
      </c>
      <c r="DL192" s="317"/>
      <c r="DM192" s="317">
        <f>VLOOKUP($A192,ціни!$A$4:$G$401,7)</f>
        <v>5.2997657462911807</v>
      </c>
      <c r="DN192" s="30">
        <f t="shared" si="224"/>
        <v>33915.187807095266</v>
      </c>
      <c r="DO192" s="30">
        <f t="shared" si="225"/>
        <v>0</v>
      </c>
      <c r="DP192" s="316">
        <f t="shared" si="221"/>
        <v>33915.187807095266</v>
      </c>
      <c r="DQ192" s="104"/>
      <c r="DR192" s="30">
        <f>VLOOKUP(A192,'ДЗ нас '!$A$1:$C$359,2)</f>
        <v>1905.39</v>
      </c>
      <c r="DS192" s="748"/>
      <c r="DT192" s="30">
        <f t="shared" si="222"/>
        <v>1905.39</v>
      </c>
      <c r="DU192" s="257">
        <f>VLOOKUP(A192,'новий кошторис с 01.06'!$A$4:$AI$399,35)*1.2</f>
        <v>1911.0307129796729</v>
      </c>
      <c r="DV192" s="30">
        <f t="shared" si="223"/>
        <v>-5.6407129796727986</v>
      </c>
      <c r="DW192" s="930">
        <f>'[5]побудинковий звіт'!DW192+'[6]побудинковий звіт'!DW192</f>
        <v>204</v>
      </c>
      <c r="DY192" s="5">
        <f t="shared" si="167"/>
        <v>4267.5739309911733</v>
      </c>
      <c r="DZ192" s="5">
        <f t="shared" si="168"/>
        <v>0</v>
      </c>
      <c r="EA192" s="752">
        <f t="shared" si="172"/>
        <v>0</v>
      </c>
      <c r="EC192" s="592">
        <f t="shared" si="169"/>
        <v>32269.557449692511</v>
      </c>
      <c r="EE192" s="758">
        <v>6357</v>
      </c>
      <c r="EF192" s="738">
        <f t="shared" si="170"/>
        <v>5135.1390064925217</v>
      </c>
      <c r="EH192" s="813">
        <v>-3027.3196412978969</v>
      </c>
    </row>
    <row r="193" spans="1:138" x14ac:dyDescent="0.3">
      <c r="A193" s="328">
        <v>150000924</v>
      </c>
      <c r="B193" s="44" t="s">
        <v>643</v>
      </c>
      <c r="C193" s="45" t="s">
        <v>174</v>
      </c>
      <c r="D193" s="45" t="s">
        <v>174</v>
      </c>
      <c r="E193" s="40">
        <f t="shared" si="175"/>
        <v>2821.2000000000003</v>
      </c>
      <c r="F193" s="490">
        <v>2744.3</v>
      </c>
      <c r="G193" s="30"/>
      <c r="H193" s="30">
        <v>76.900000000000006</v>
      </c>
      <c r="I193" s="42">
        <f>'[1]побудинковий звіт'!I193+'[2]побудинковий звіт'!I193-'[3]побудинковий звіт'!I193</f>
        <v>2420.351146436115</v>
      </c>
      <c r="J193" s="42">
        <f>'[1]побудинковий звіт'!J193+'[2]побудинковий звіт'!J193-'[3]побудинковий звіт'!J193</f>
        <v>2380.6390188093897</v>
      </c>
      <c r="K193" s="56">
        <f t="shared" si="183"/>
        <v>-39.712127626725305</v>
      </c>
      <c r="L193" s="42">
        <f>'[1]побудинковий звіт'!L193+'[2]побудинковий звіт'!L193-'[3]побудинковий звіт'!L193</f>
        <v>656.29564933002894</v>
      </c>
      <c r="M193" s="42">
        <f>'[1]побудинковий звіт'!M193+'[2]побудинковий звіт'!M193-'[3]побудинковий звіт'!M193</f>
        <v>662.17592569162707</v>
      </c>
      <c r="N193" s="56">
        <f t="shared" si="184"/>
        <v>5.8802763615981348</v>
      </c>
      <c r="O193" s="42">
        <f>'[1]побудинковий звіт'!O193+'[2]побудинковий звіт'!O193-'[3]побудинковий звіт'!O193</f>
        <v>656.04</v>
      </c>
      <c r="P193" s="42">
        <f>'[1]побудинковий звіт'!P193+'[2]побудинковий звіт'!P193-'[3]побудинковий звіт'!P193</f>
        <v>515.63759166666671</v>
      </c>
      <c r="Q193" s="56">
        <f t="shared" si="185"/>
        <v>-140.40240833333326</v>
      </c>
      <c r="R193" s="42">
        <f>'[1]побудинковий звіт'!R193+'[2]побудинковий звіт'!R193-'[3]побудинковий звіт'!R193</f>
        <v>0</v>
      </c>
      <c r="S193" s="42">
        <f>'[1]побудинковий звіт'!S193+'[2]побудинковий звіт'!S193-'[3]побудинковий звіт'!S193</f>
        <v>0</v>
      </c>
      <c r="T193" s="56">
        <f t="shared" si="186"/>
        <v>0</v>
      </c>
      <c r="U193" s="42">
        <f>'[1]побудинковий звіт'!U193+'[2]побудинковий звіт'!U193-'[3]побудинковий звіт'!U193</f>
        <v>0</v>
      </c>
      <c r="V193" s="42">
        <f>'[1]побудинковий звіт'!V193+'[2]побудинковий звіт'!V193-'[3]побудинковий звіт'!V193</f>
        <v>0</v>
      </c>
      <c r="W193" s="56">
        <f t="shared" si="187"/>
        <v>0</v>
      </c>
      <c r="X193" s="42">
        <f>'[1]побудинковий звіт'!X193+'[2]побудинковий звіт'!X193-'[3]побудинковий звіт'!X193</f>
        <v>1207.1775804244428</v>
      </c>
      <c r="Y193" s="42">
        <f>'[1]побудинковий звіт'!Y193+'[2]побудинковий звіт'!Y193-'[3]побудинковий звіт'!Y193</f>
        <v>904.22847373950219</v>
      </c>
      <c r="Z193" s="56">
        <f t="shared" si="188"/>
        <v>-302.9491066849406</v>
      </c>
      <c r="AA193" s="42">
        <f>'[1]побудинковий звіт'!AA193+'[2]побудинковий звіт'!AA193-'[3]побудинковий звіт'!AA193</f>
        <v>0</v>
      </c>
      <c r="AB193" s="42">
        <f>'[1]побудинковий звіт'!AB193+'[2]побудинковий звіт'!AB193-'[3]побудинковий звіт'!AB193</f>
        <v>0</v>
      </c>
      <c r="AC193" s="56">
        <f t="shared" si="189"/>
        <v>0</v>
      </c>
      <c r="AD193" s="42">
        <f>'[1]побудинковий звіт'!AD193+'[2]побудинковий звіт'!AD193-'[3]побудинковий звіт'!AD193</f>
        <v>2028.026896198669</v>
      </c>
      <c r="AE193" s="42">
        <f>'[1]побудинковий звіт'!AE193+'[2]побудинковий звіт'!AE193-'[3]побудинковий звіт'!AE193</f>
        <v>1869.2188815369932</v>
      </c>
      <c r="AF193" s="37">
        <f t="shared" si="190"/>
        <v>-158.80801466167577</v>
      </c>
      <c r="AG193" s="87">
        <f t="shared" si="180"/>
        <v>6967.8912723892554</v>
      </c>
      <c r="AH193" s="57">
        <f t="shared" si="180"/>
        <v>6331.8998914441781</v>
      </c>
      <c r="AI193" s="56">
        <f t="shared" si="191"/>
        <v>-635.99138094507725</v>
      </c>
      <c r="AJ193" s="42">
        <f>'[1]побудинковий звіт'!AJ193+'[2]побудинковий звіт'!AJ193-'[3]побудинковий звіт'!AJ193</f>
        <v>0</v>
      </c>
      <c r="AK193" s="42">
        <f>'[1]побудинковий звіт'!AK193+'[2]побудинковий звіт'!AK193-'[3]побудинковий звіт'!AK193</f>
        <v>0</v>
      </c>
      <c r="AL193" s="56">
        <f t="shared" si="192"/>
        <v>0</v>
      </c>
      <c r="AM193" s="42">
        <f>'[1]побудинковий звіт'!AM193+'[2]побудинковий звіт'!AM193-'[3]побудинковий звіт'!AM193</f>
        <v>0</v>
      </c>
      <c r="AN193" s="42">
        <f>'[1]побудинковий звіт'!AN193+'[2]побудинковий звіт'!AN193-'[3]побудинковий звіт'!AN193</f>
        <v>0</v>
      </c>
      <c r="AO193" s="56">
        <f t="shared" si="193"/>
        <v>0</v>
      </c>
      <c r="AP193" s="42">
        <f>'[1]побудинковий звіт'!AP193+'[2]побудинковий звіт'!AP193-'[3]побудинковий звіт'!AP193</f>
        <v>994.36852503833211</v>
      </c>
      <c r="AQ193" s="42">
        <f>'[1]побудинковий звіт'!AQ193+'[2]побудинковий звіт'!AQ193-'[3]побудинковий звіт'!AQ193</f>
        <v>977.27457797925808</v>
      </c>
      <c r="AR193" s="56">
        <f t="shared" si="194"/>
        <v>-17.093947059074026</v>
      </c>
      <c r="AS193" s="42">
        <f>'[1]побудинковий звіт'!AS193+'[2]побудинковий звіт'!AS193-'[3]побудинковий звіт'!AS193</f>
        <v>5705.6292066297428</v>
      </c>
      <c r="AT193" s="42">
        <f>'[1]побудинковий звіт'!AT193+'[2]побудинковий звіт'!AT193-'[3]побудинковий звіт'!AT193</f>
        <v>1816</v>
      </c>
      <c r="AU193" s="58">
        <f t="shared" si="211"/>
        <v>-3889.6292066297428</v>
      </c>
      <c r="AV193" s="42">
        <f>'[1]побудинковий звіт'!AV193+'[2]побудинковий звіт'!AV193-'[3]побудинковий звіт'!AV193</f>
        <v>412.42731479678213</v>
      </c>
      <c r="AW193" s="42">
        <f>'[1]побудинковий звіт'!AW193+'[2]побудинковий звіт'!AW193-'[3]побудинковий звіт'!AW193</f>
        <v>0</v>
      </c>
      <c r="AX193" s="59">
        <f t="shared" si="212"/>
        <v>-412.42731479678213</v>
      </c>
      <c r="AY193" s="42">
        <f>'[1]побудинковий звіт'!AY193+'[2]побудинковий звіт'!AY193-'[3]побудинковий звіт'!AY193</f>
        <v>845.64910278683158</v>
      </c>
      <c r="AZ193" s="42">
        <f>'[1]побудинковий звіт'!AZ193+'[2]побудинковий звіт'!AZ193-'[3]побудинковий звіт'!AZ193</f>
        <v>0</v>
      </c>
      <c r="BA193" s="37">
        <f t="shared" si="213"/>
        <v>-845.64910278683158</v>
      </c>
      <c r="BB193" s="42">
        <f>'[1]побудинковий звіт'!BB193+'[2]побудинковий звіт'!BB193-'[3]побудинковий звіт'!BB193</f>
        <v>300.39950777795787</v>
      </c>
      <c r="BC193" s="42">
        <f>'[1]побудинковий звіт'!BC193+'[2]побудинковий звіт'!BC193-'[3]побудинковий звіт'!BC193</f>
        <v>0</v>
      </c>
      <c r="BD193" s="59">
        <f t="shared" si="214"/>
        <v>-300.39950777795787</v>
      </c>
      <c r="BE193" s="42">
        <f>'[1]побудинковий звіт'!BE193+'[2]побудинковий звіт'!BE193-'[3]побудинковий звіт'!BE193</f>
        <v>0</v>
      </c>
      <c r="BF193" s="42">
        <f>'[1]побудинковий звіт'!BF193+'[2]побудинковий звіт'!BF193-'[3]побудинковий звіт'!BF193</f>
        <v>0</v>
      </c>
      <c r="BG193" s="39">
        <f t="shared" si="215"/>
        <v>0</v>
      </c>
      <c r="BH193" s="42">
        <f>'[1]побудинковий звіт'!BH193+'[2]побудинковий звіт'!BH193-'[3]побудинковий звіт'!BH193</f>
        <v>0</v>
      </c>
      <c r="BI193" s="42">
        <f>'[1]побудинковий звіт'!BI193+'[2]побудинковий звіт'!BI193-'[3]побудинковий звіт'!BI193</f>
        <v>0</v>
      </c>
      <c r="BJ193" s="59">
        <f t="shared" si="216"/>
        <v>0</v>
      </c>
      <c r="BK193" s="42">
        <f>'[1]побудинковий звіт'!BK193+'[2]побудинковий звіт'!BK193-'[3]побудинковий звіт'!BK193</f>
        <v>118.62780668282814</v>
      </c>
      <c r="BL193" s="42">
        <f>'[1]побудинковий звіт'!BL193+'[2]побудинковий звіт'!BL193-'[3]побудинковий звіт'!BL193</f>
        <v>0</v>
      </c>
      <c r="BM193" s="39">
        <f t="shared" si="217"/>
        <v>-118.62780668282814</v>
      </c>
      <c r="BN193" s="42">
        <f>'[1]побудинковий звіт'!BN193+'[2]побудинковий звіт'!BN193-'[3]побудинковий звіт'!BN193</f>
        <v>0</v>
      </c>
      <c r="BO193" s="42">
        <f>'[1]побудинковий звіт'!BO193+'[2]побудинковий звіт'!BO193-'[3]побудинковий звіт'!BO193</f>
        <v>0</v>
      </c>
      <c r="BP193" s="59">
        <f t="shared" si="218"/>
        <v>0</v>
      </c>
      <c r="BQ193" s="87">
        <f t="shared" si="176"/>
        <v>1677.1037320443997</v>
      </c>
      <c r="BR193" s="43">
        <f t="shared" si="220"/>
        <v>0</v>
      </c>
      <c r="BS193" s="59">
        <f t="shared" si="219"/>
        <v>-1677.1037320443997</v>
      </c>
      <c r="BT193" s="42">
        <f>'[1]побудинковий звіт'!BT193+'[2]побудинковий звіт'!BT193-'[3]побудинковий звіт'!BT193</f>
        <v>9282.5882453127742</v>
      </c>
      <c r="BU193" s="42">
        <f>'[1]побудинковий звіт'!BU193+'[2]побудинковий звіт'!BU193-'[3]побудинковий звіт'!BU193</f>
        <v>15547.837166549514</v>
      </c>
      <c r="BV193" s="56">
        <f t="shared" si="195"/>
        <v>6265.24892123674</v>
      </c>
      <c r="BW193" s="42">
        <f>'[1]побудинковий звіт'!BW193+'[2]побудинковий звіт'!BW193-'[3]побудинковий звіт'!BW193</f>
        <v>2402.6188285825042</v>
      </c>
      <c r="BX193" s="42">
        <f>'[1]побудинковий звіт'!BX193+'[2]побудинковий звіт'!BX193-'[3]побудинковий звіт'!BX193</f>
        <v>4557.4954085472273</v>
      </c>
      <c r="BY193" s="56">
        <f t="shared" si="196"/>
        <v>2154.8765799647231</v>
      </c>
      <c r="BZ193" s="42">
        <f>'[1]побудинковий звіт'!BZ193+'[2]побудинковий звіт'!BZ193-'[3]побудинковий звіт'!BZ193</f>
        <v>2524.133001958282</v>
      </c>
      <c r="CA193" s="42">
        <f>'[1]побудинковий звіт'!CA193+'[2]побудинковий звіт'!CA193-'[3]побудинковий звіт'!CA193</f>
        <v>2716.0043036319707</v>
      </c>
      <c r="CB193" s="56">
        <f t="shared" si="197"/>
        <v>191.87130167368878</v>
      </c>
      <c r="CC193" s="42">
        <f>'[1]побудинковий звіт'!CC193+'[2]побудинковий звіт'!CC193-'[3]побудинковий звіт'!CC193</f>
        <v>314.721816193645</v>
      </c>
      <c r="CD193" s="42">
        <f>'[1]побудинковий звіт'!CD193+'[2]побудинковий звіт'!CD193-'[3]побудинковий звіт'!CD193</f>
        <v>311.95374884191688</v>
      </c>
      <c r="CE193" s="56">
        <f t="shared" si="198"/>
        <v>-2.7680673517281207</v>
      </c>
      <c r="CF193" s="42">
        <f>'[1]побудинковий звіт'!CF193+'[2]побудинковий звіт'!CF193-'[3]побудинковий звіт'!CF193</f>
        <v>38.744162978384317</v>
      </c>
      <c r="CG193" s="42">
        <f>'[1]побудинковий звіт'!CG193+'[2]побудинковий звіт'!CG193-'[3]побудинковий звіт'!CG193</f>
        <v>0</v>
      </c>
      <c r="CH193" s="56">
        <f t="shared" si="199"/>
        <v>-38.744162978384317</v>
      </c>
      <c r="CI193" s="42">
        <f>'[1]побудинковий звіт'!CI193+'[2]побудинковий звіт'!CI193-'[3]побудинковий звіт'!CI193</f>
        <v>1291.5092372262573</v>
      </c>
      <c r="CJ193" s="42">
        <f>'[1]побудинковий звіт'!CJ193+'[2]побудинковий звіт'!CJ193-'[3]побудинковий звіт'!CJ193</f>
        <v>790.41334901920288</v>
      </c>
      <c r="CK193" s="56">
        <f t="shared" si="200"/>
        <v>-501.09588820705437</v>
      </c>
      <c r="CL193" s="42">
        <f>'[1]побудинковий звіт'!CL193+'[2]побудинковий звіт'!CL193-'[3]побудинковий звіт'!CL193</f>
        <v>0</v>
      </c>
      <c r="CM193" s="42">
        <f>'[1]побудинковий звіт'!CM193+'[2]побудинковий звіт'!CM193-'[3]побудинковий звіт'!CM193</f>
        <v>0</v>
      </c>
      <c r="CN193" s="56">
        <f t="shared" si="201"/>
        <v>0</v>
      </c>
      <c r="CO193" s="42">
        <f t="shared" si="181"/>
        <v>1291.5092372262573</v>
      </c>
      <c r="CP193" s="43">
        <f t="shared" si="202"/>
        <v>790.41334901920288</v>
      </c>
      <c r="CQ193" s="56">
        <f t="shared" si="203"/>
        <v>-501.09588820705437</v>
      </c>
      <c r="CR193" s="78">
        <f t="shared" si="182"/>
        <v>31199.308028353575</v>
      </c>
      <c r="CS193" s="5">
        <f t="shared" si="182"/>
        <v>33048.878446013267</v>
      </c>
      <c r="CT193" s="56">
        <f t="shared" si="204"/>
        <v>1849.5704176596919</v>
      </c>
      <c r="CU193" s="87">
        <f t="shared" si="205"/>
        <v>37439.169634024285</v>
      </c>
      <c r="CV193" s="70">
        <f t="shared" si="206"/>
        <v>39658.654135215918</v>
      </c>
      <c r="CW193" s="37">
        <f t="shared" si="207"/>
        <v>2219.4845011916332</v>
      </c>
      <c r="CX193" s="42">
        <f>'[1]побудинковий звіт'!CX193+'[2]побудинковий звіт'!CX193-'[3]побудинковий звіт'!CX193</f>
        <v>-0.12963402428977133</v>
      </c>
      <c r="CY193" s="42">
        <f>'[1]побудинковий звіт'!CY193+'[2]побудинковий звіт'!CY193-'[3]побудинковий звіт'!CY193</f>
        <v>-2219.6141352159202</v>
      </c>
      <c r="CZ193" s="56">
        <f t="shared" si="208"/>
        <v>-2219.4845011916304</v>
      </c>
      <c r="DA193" s="264">
        <f>'[4]побудинковий звіт'!DA193</f>
        <v>34069.302458866623</v>
      </c>
      <c r="DB193" s="2">
        <v>2</v>
      </c>
      <c r="DC193" s="717">
        <f>'[4]побудинковий звіт'!DC193</f>
        <v>3075.62</v>
      </c>
      <c r="DD193" s="717">
        <f>'[4]побудинковий звіт'!DD193</f>
        <v>6557.89</v>
      </c>
      <c r="DE193" s="717">
        <f>'[4]побудинковий звіт'!DE193</f>
        <v>422.58999999999969</v>
      </c>
      <c r="DF193" s="717">
        <f>'[4]побудинковий звіт'!DF193</f>
        <v>6091</v>
      </c>
      <c r="DG193" s="787">
        <v>33148.427752609379</v>
      </c>
      <c r="DH193" s="761">
        <f t="shared" si="171"/>
        <v>449268.47999999992</v>
      </c>
      <c r="DI193" s="784"/>
      <c r="DJ193" s="5"/>
      <c r="DK193" s="317">
        <f>VLOOKUP($A193,ціни!$A$4:$G$401,5)</f>
        <v>6.6759927290331005</v>
      </c>
      <c r="DL193" s="317"/>
      <c r="DM193" s="317">
        <f>VLOOKUP($A193,ціни!$A$4:$G$401,7)</f>
        <v>6.0714082225956307</v>
      </c>
      <c r="DN193" s="30">
        <f t="shared" si="224"/>
        <v>18320.92684628554</v>
      </c>
      <c r="DO193" s="30">
        <f t="shared" si="225"/>
        <v>466.89129231760404</v>
      </c>
      <c r="DP193" s="316">
        <f t="shared" si="221"/>
        <v>18787.818138603143</v>
      </c>
      <c r="DQ193" s="104"/>
      <c r="DR193" s="30">
        <f>VLOOKUP(A193,'ДЗ нас '!$A$1:$C$359,2)</f>
        <v>2653.03</v>
      </c>
      <c r="DS193" s="748">
        <f>VLOOKUP(A193,'ДЗ нежит'!$A$1:$D$153,4,0)</f>
        <v>466.89</v>
      </c>
      <c r="DT193" s="30">
        <f t="shared" si="222"/>
        <v>3119.92</v>
      </c>
      <c r="DU193" s="257">
        <f>VLOOKUP(A193,'новий кошторис с 01.06'!$A$4:$AI$399,35)*1.2</f>
        <v>3119.9308028353576</v>
      </c>
      <c r="DV193" s="30">
        <f t="shared" si="223"/>
        <v>-1.0802835357480944E-2</v>
      </c>
      <c r="DW193" s="930">
        <f>'[5]побудинковий звіт'!DW193+'[6]побудинковий звіт'!DW193</f>
        <v>204</v>
      </c>
      <c r="DY193" s="5">
        <f t="shared" si="167"/>
        <v>8859.2795264089709</v>
      </c>
      <c r="DZ193" s="5">
        <f t="shared" si="168"/>
        <v>2179.1999999999998</v>
      </c>
      <c r="EA193" s="752">
        <f t="shared" si="172"/>
        <v>6513.59</v>
      </c>
      <c r="EC193" s="592">
        <f t="shared" si="169"/>
        <v>68467.550479556914</v>
      </c>
      <c r="EE193" s="758">
        <v>975</v>
      </c>
      <c r="EF193" s="738">
        <f t="shared" si="170"/>
        <v>34123.427752609379</v>
      </c>
      <c r="EH193" s="813">
        <v>31371.184976781908</v>
      </c>
    </row>
    <row r="194" spans="1:138" x14ac:dyDescent="0.3">
      <c r="A194" s="328">
        <v>150000933</v>
      </c>
      <c r="B194" s="44" t="s">
        <v>644</v>
      </c>
      <c r="C194" s="45" t="s">
        <v>267</v>
      </c>
      <c r="D194" s="45" t="s">
        <v>267</v>
      </c>
      <c r="E194" s="40">
        <f t="shared" si="175"/>
        <v>6514.68</v>
      </c>
      <c r="F194" s="490">
        <v>6138.38</v>
      </c>
      <c r="G194" s="30"/>
      <c r="H194" s="30">
        <v>376.3</v>
      </c>
      <c r="I194" s="42">
        <f>'[1]побудинковий звіт'!I194+'[2]побудинковий звіт'!I194-'[3]побудинковий звіт'!I194</f>
        <v>14030.708236755463</v>
      </c>
      <c r="J194" s="42">
        <f>'[1]побудинковий звіт'!J194+'[2]побудинковий звіт'!J194-'[3]побудинковий звіт'!J194</f>
        <v>14045.908296923306</v>
      </c>
      <c r="K194" s="56">
        <f t="shared" si="183"/>
        <v>15.200060167842821</v>
      </c>
      <c r="L194" s="42">
        <f>'[1]побудинковий звіт'!L194+'[2]побудинковий звіт'!L194-'[3]побудинковий звіт'!L194</f>
        <v>2888.243232695495</v>
      </c>
      <c r="M194" s="42">
        <f>'[1]побудинковий звіт'!M194+'[2]побудинковий звіт'!M194-'[3]побудинковий звіт'!M194</f>
        <v>2969.9515349278499</v>
      </c>
      <c r="N194" s="56">
        <f t="shared" si="184"/>
        <v>81.708302232354981</v>
      </c>
      <c r="O194" s="42">
        <f>'[1]побудинковий звіт'!O194+'[2]побудинковий звіт'!O194-'[3]побудинковий звіт'!O194</f>
        <v>6469.3199999999988</v>
      </c>
      <c r="P194" s="42">
        <f>'[1]побудинковий звіт'!P194+'[2]побудинковий звіт'!P194-'[3]побудинковий звіт'!P194</f>
        <v>5085.1494601075283</v>
      </c>
      <c r="Q194" s="56">
        <f t="shared" si="185"/>
        <v>-1384.1705398924705</v>
      </c>
      <c r="R194" s="42">
        <f>'[1]побудинковий звіт'!R194+'[2]побудинковий звіт'!R194-'[3]побудинковий звіт'!R194</f>
        <v>1542.24</v>
      </c>
      <c r="S194" s="42">
        <f>'[1]побудинковий звіт'!S194+'[2]побудинковий звіт'!S194-'[3]побудинковий звіт'!S194</f>
        <v>1212.203664811828</v>
      </c>
      <c r="T194" s="56">
        <f t="shared" si="186"/>
        <v>-330.03633518817196</v>
      </c>
      <c r="U194" s="42">
        <f>'[1]побудинковий звіт'!U194+'[2]побудинковий звіт'!U194-'[3]побудинковий звіт'!U194</f>
        <v>886.54788981894308</v>
      </c>
      <c r="V194" s="42">
        <f>'[1]побудинковий звіт'!V194+'[2]побудинковий звіт'!V194-'[3]побудинковий звіт'!V194</f>
        <v>2521.1663800775159</v>
      </c>
      <c r="W194" s="56">
        <f t="shared" si="187"/>
        <v>1634.6184902585728</v>
      </c>
      <c r="X194" s="42">
        <f>'[1]побудинковий звіт'!X194+'[2]побудинковий звіт'!X194-'[3]побудинковий звіт'!X194</f>
        <v>10663.917230728825</v>
      </c>
      <c r="Y194" s="42">
        <f>'[1]побудинковий звіт'!Y194+'[2]побудинковий звіт'!Y194-'[3]побудинковий звіт'!Y194</f>
        <v>8453.2427083024413</v>
      </c>
      <c r="Z194" s="56">
        <f t="shared" si="188"/>
        <v>-2210.6745224263832</v>
      </c>
      <c r="AA194" s="42">
        <f>'[1]побудинковий звіт'!AA194+'[2]побудинковий звіт'!AA194-'[3]побудинковий звіт'!AA194</f>
        <v>0</v>
      </c>
      <c r="AB194" s="42">
        <f>'[1]побудинковий звіт'!AB194+'[2]побудинковий звіт'!AB194-'[3]побудинковий звіт'!AB194</f>
        <v>0</v>
      </c>
      <c r="AC194" s="56">
        <f t="shared" si="189"/>
        <v>0</v>
      </c>
      <c r="AD194" s="42">
        <f>'[1]побудинковий звіт'!AD194+'[2]побудинковий звіт'!AD194-'[3]побудинковий звіт'!AD194</f>
        <v>20246.361617928382</v>
      </c>
      <c r="AE194" s="42">
        <f>'[1]побудинковий звіт'!AE194+'[2]побудинковий звіт'!AE194-'[3]побудинковий звіт'!AE194</f>
        <v>18661.893316871203</v>
      </c>
      <c r="AF194" s="37">
        <f t="shared" si="190"/>
        <v>-1584.4683010571789</v>
      </c>
      <c r="AG194" s="87">
        <f t="shared" si="180"/>
        <v>56727.33820792711</v>
      </c>
      <c r="AH194" s="57">
        <f t="shared" si="180"/>
        <v>52949.515362021673</v>
      </c>
      <c r="AI194" s="56">
        <f t="shared" si="191"/>
        <v>-3777.8228459054371</v>
      </c>
      <c r="AJ194" s="42">
        <f>'[1]побудинковий звіт'!AJ194+'[2]побудинковий звіт'!AJ194-'[3]побудинковий звіт'!AJ194</f>
        <v>0</v>
      </c>
      <c r="AK194" s="42">
        <f>'[1]побудинковий звіт'!AK194+'[2]побудинковий звіт'!AK194-'[3]побудинковий звіт'!AK194</f>
        <v>0</v>
      </c>
      <c r="AL194" s="56">
        <f t="shared" si="192"/>
        <v>0</v>
      </c>
      <c r="AM194" s="42">
        <f>'[1]побудинковий звіт'!AM194+'[2]побудинковий звіт'!AM194-'[3]побудинковий звіт'!AM194</f>
        <v>0</v>
      </c>
      <c r="AN194" s="42">
        <f>'[1]побудинковий звіт'!AN194+'[2]побудинковий звіт'!AN194-'[3]побудинковий звіт'!AN194</f>
        <v>0</v>
      </c>
      <c r="AO194" s="56">
        <f t="shared" si="193"/>
        <v>0</v>
      </c>
      <c r="AP194" s="42">
        <f>'[1]побудинковий звіт'!AP194+'[2]побудинковий звіт'!AP194-'[3]побудинковий звіт'!AP194</f>
        <v>3740.7196894299168</v>
      </c>
      <c r="AQ194" s="42">
        <f>'[1]побудинковий звіт'!AQ194+'[2]побудинковий звіт'!AQ194-'[3]побудинковий звіт'!AQ194</f>
        <v>3486.42767971794</v>
      </c>
      <c r="AR194" s="56">
        <f t="shared" si="194"/>
        <v>-254.29200971197679</v>
      </c>
      <c r="AS194" s="42">
        <f>'[1]побудинковий звіт'!AS194+'[2]побудинковий звіт'!AS194-'[3]побудинковий звіт'!AS194</f>
        <v>52578.414744901522</v>
      </c>
      <c r="AT194" s="42">
        <f>'[1]побудинковий звіт'!AT194+'[2]побудинковий звіт'!AT194-'[3]побудинковий звіт'!AT194</f>
        <v>16261</v>
      </c>
      <c r="AU194" s="58">
        <f t="shared" si="211"/>
        <v>-36317.414744901522</v>
      </c>
      <c r="AV194" s="42">
        <f>'[1]побудинковий звіт'!AV194+'[2]побудинковий звіт'!AV194-'[3]побудинковий звіт'!AV194</f>
        <v>2342.030850270276</v>
      </c>
      <c r="AW194" s="42">
        <f>'[1]побудинковий звіт'!AW194+'[2]побудинковий звіт'!AW194-'[3]побудинковий звіт'!AW194</f>
        <v>0</v>
      </c>
      <c r="AX194" s="59">
        <f t="shared" si="212"/>
        <v>-2342.030850270276</v>
      </c>
      <c r="AY194" s="42">
        <f>'[1]побудинковий звіт'!AY194+'[2]побудинковий звіт'!AY194-'[3]побудинковий звіт'!AY194</f>
        <v>3722.4757732297958</v>
      </c>
      <c r="AZ194" s="42">
        <f>'[1]побудинковий звіт'!AZ194+'[2]побудинковий звіт'!AZ194-'[3]побудинковий звіт'!AZ194</f>
        <v>279</v>
      </c>
      <c r="BA194" s="37">
        <f t="shared" si="213"/>
        <v>-3443.4757732297958</v>
      </c>
      <c r="BB194" s="42">
        <f>'[1]побудинковий звіт'!BB194+'[2]побудинковий звіт'!BB194-'[3]побудинковий звіт'!BB194</f>
        <v>3452.7002900652524</v>
      </c>
      <c r="BC194" s="42">
        <f>'[1]побудинковий звіт'!BC194+'[2]побудинковий звіт'!BC194-'[3]побудинковий звіт'!BC194</f>
        <v>0</v>
      </c>
      <c r="BD194" s="59">
        <f t="shared" si="214"/>
        <v>-3452.7002900652524</v>
      </c>
      <c r="BE194" s="42">
        <f>'[1]побудинковий звіт'!BE194+'[2]побудинковий звіт'!BE194-'[3]побудинковий звіт'!BE194</f>
        <v>1627.8648436196604</v>
      </c>
      <c r="BF194" s="42">
        <f>'[1]побудинковий звіт'!BF194+'[2]побудинковий звіт'!BF194-'[3]побудинковий звіт'!BF194</f>
        <v>0</v>
      </c>
      <c r="BG194" s="39">
        <f t="shared" si="215"/>
        <v>-1627.8648436196604</v>
      </c>
      <c r="BH194" s="42">
        <f>'[1]побудинковий звіт'!BH194+'[2]побудинковий звіт'!BH194-'[3]побудинковий звіт'!BH194</f>
        <v>899.3123071688749</v>
      </c>
      <c r="BI194" s="42">
        <f>'[1]побудинковий звіт'!BI194+'[2]побудинковий звіт'!BI194-'[3]побудинковий звіт'!BI194</f>
        <v>0</v>
      </c>
      <c r="BJ194" s="59">
        <f t="shared" si="216"/>
        <v>-899.3123071688749</v>
      </c>
      <c r="BK194" s="42">
        <f>'[1]побудинковий звіт'!BK194+'[2]побудинковий звіт'!BK194-'[3]побудинковий звіт'!BK194</f>
        <v>1514.2830787293956</v>
      </c>
      <c r="BL194" s="42">
        <f>'[1]побудинковий звіт'!BL194+'[2]побудинковий звіт'!BL194-'[3]побудинковий звіт'!BL194</f>
        <v>1355</v>
      </c>
      <c r="BM194" s="39">
        <f t="shared" si="217"/>
        <v>-159.28307872939558</v>
      </c>
      <c r="BN194" s="42">
        <f>'[1]побудинковий звіт'!BN194+'[2]побудинковий звіт'!BN194-'[3]побудинковий звіт'!BN194</f>
        <v>0</v>
      </c>
      <c r="BO194" s="42">
        <f>'[1]побудинковий звіт'!BO194+'[2]побудинковий звіт'!BO194-'[3]побудинковий звіт'!BO194</f>
        <v>0</v>
      </c>
      <c r="BP194" s="59">
        <f t="shared" si="218"/>
        <v>0</v>
      </c>
      <c r="BQ194" s="87">
        <f t="shared" si="176"/>
        <v>13558.667143083256</v>
      </c>
      <c r="BR194" s="43">
        <f t="shared" si="220"/>
        <v>1634</v>
      </c>
      <c r="BS194" s="59">
        <f t="shared" si="219"/>
        <v>-11924.667143083256</v>
      </c>
      <c r="BT194" s="42">
        <f>'[1]побудинковий звіт'!BT194+'[2]побудинковий звіт'!BT194-'[3]побудинковий звіт'!BT194</f>
        <v>68924.956783255519</v>
      </c>
      <c r="BU194" s="42">
        <f>'[1]побудинковий звіт'!BU194+'[2]побудинковий звіт'!BU194-'[3]побудинковий звіт'!BU194</f>
        <v>83199.276770240991</v>
      </c>
      <c r="BV194" s="56">
        <f t="shared" si="195"/>
        <v>14274.319986985472</v>
      </c>
      <c r="BW194" s="42">
        <f>'[1]побудинковий звіт'!BW194+'[2]побудинковий звіт'!BW194-'[3]побудинковий звіт'!BW194</f>
        <v>30732.035040525439</v>
      </c>
      <c r="BX194" s="42">
        <f>'[1]побудинковий звіт'!BX194+'[2]побудинковий звіт'!BX194-'[3]побудинковий звіт'!BX194</f>
        <v>33038.737524123462</v>
      </c>
      <c r="BY194" s="56">
        <f t="shared" si="196"/>
        <v>2306.7024835980228</v>
      </c>
      <c r="BZ194" s="42">
        <f>'[1]побудинковий звіт'!BZ194+'[2]побудинковий звіт'!BZ194-'[3]побудинковий звіт'!BZ194</f>
        <v>15856.082862573629</v>
      </c>
      <c r="CA194" s="42">
        <f>'[1]побудинковий звіт'!CA194+'[2]побудинковий звіт'!CA194-'[3]побудинковий звіт'!CA194</f>
        <v>21119.191517363903</v>
      </c>
      <c r="CB194" s="56">
        <f t="shared" si="197"/>
        <v>5263.1086547902742</v>
      </c>
      <c r="CC194" s="42">
        <f>'[1]побудинковий звіт'!CC194+'[2]побудинковий звіт'!CC194-'[3]побудинковий звіт'!CC194</f>
        <v>2714.8433303433112</v>
      </c>
      <c r="CD194" s="42">
        <f>'[1]побудинковий звіт'!CD194+'[2]побудинковий звіт'!CD194-'[3]побудинковий звіт'!CD194</f>
        <v>2690.9655157111151</v>
      </c>
      <c r="CE194" s="56">
        <f t="shared" si="198"/>
        <v>-23.877814632196078</v>
      </c>
      <c r="CF194" s="42">
        <f>'[1]побудинковий звіт'!CF194+'[2]побудинковий звіт'!CF194-'[3]побудинковий звіт'!CF194</f>
        <v>334.21366756120307</v>
      </c>
      <c r="CG194" s="42">
        <f>'[1]побудинковий звіт'!CG194+'[2]побудинковий звіт'!CG194-'[3]побудинковий звіт'!CG194</f>
        <v>1100.4676004207925</v>
      </c>
      <c r="CH194" s="56">
        <f t="shared" si="199"/>
        <v>766.25393285958944</v>
      </c>
      <c r="CI194" s="42">
        <f>'[1]побудинковий звіт'!CI194+'[2]побудинковий звіт'!CI194-'[3]побудинковий звіт'!CI194</f>
        <v>8797.2368332803035</v>
      </c>
      <c r="CJ194" s="42">
        <f>'[1]побудинковий звіт'!CJ194+'[2]побудинковий звіт'!CJ194-'[3]побудинковий звіт'!CJ194</f>
        <v>4564.3594748125097</v>
      </c>
      <c r="CK194" s="56">
        <f t="shared" si="200"/>
        <v>-4232.8773584677938</v>
      </c>
      <c r="CL194" s="42">
        <f>'[1]побудинковий звіт'!CL194+'[2]побудинковий звіт'!CL194-'[3]побудинковий звіт'!CL194</f>
        <v>0</v>
      </c>
      <c r="CM194" s="42">
        <f>'[1]побудинковий звіт'!CM194+'[2]побудинковий звіт'!CM194-'[3]побудинковий звіт'!CM194</f>
        <v>0</v>
      </c>
      <c r="CN194" s="56">
        <f t="shared" si="201"/>
        <v>0</v>
      </c>
      <c r="CO194" s="42">
        <f t="shared" si="181"/>
        <v>8797.2368332803035</v>
      </c>
      <c r="CP194" s="43">
        <f t="shared" si="202"/>
        <v>4564.3594748125097</v>
      </c>
      <c r="CQ194" s="56">
        <f t="shared" si="203"/>
        <v>-4232.8773584677938</v>
      </c>
      <c r="CR194" s="78">
        <f t="shared" si="182"/>
        <v>253964.50830288118</v>
      </c>
      <c r="CS194" s="5">
        <f t="shared" si="182"/>
        <v>220043.9414444124</v>
      </c>
      <c r="CT194" s="56">
        <f t="shared" si="204"/>
        <v>-33920.566858468781</v>
      </c>
      <c r="CU194" s="87">
        <f t="shared" si="205"/>
        <v>304757.40996345738</v>
      </c>
      <c r="CV194" s="70">
        <f t="shared" si="206"/>
        <v>264052.72973329487</v>
      </c>
      <c r="CW194" s="37">
        <f t="shared" si="207"/>
        <v>-40704.680230162514</v>
      </c>
      <c r="CX194" s="42">
        <f>'[1]побудинковий звіт'!CX194+'[2]побудинковий звіт'!CX194-'[3]побудинковий звіт'!CX194</f>
        <v>6280.3100365425489</v>
      </c>
      <c r="CY194" s="42">
        <f>'[1]побудинковий звіт'!CY194+'[2]побудинковий звіт'!CY194-'[3]побудинковий звіт'!CY194</f>
        <v>46984.990266705143</v>
      </c>
      <c r="CZ194" s="56">
        <f t="shared" si="208"/>
        <v>40704.680230162594</v>
      </c>
      <c r="DA194" s="264">
        <f>'[4]побудинковий звіт'!DA194</f>
        <v>-35376.055500932649</v>
      </c>
      <c r="DB194" s="2">
        <v>2</v>
      </c>
      <c r="DC194" s="717">
        <f>'[4]побудинковий звіт'!DC194</f>
        <v>46422.28</v>
      </c>
      <c r="DD194" s="717">
        <f>'[4]побудинковий звіт'!DD194</f>
        <v>54204.75</v>
      </c>
      <c r="DE194" s="717">
        <f>'[4]побудинковий звіт'!DE194</f>
        <v>22311.98</v>
      </c>
      <c r="DF194" s="717">
        <f>'[4]побудинковий звіт'!DF194</f>
        <v>52395.24</v>
      </c>
      <c r="DG194" s="787">
        <v>-20998.399665872916</v>
      </c>
      <c r="DH194" s="761">
        <f t="shared" si="171"/>
        <v>3732452.6399999987</v>
      </c>
      <c r="DI194" s="784"/>
      <c r="DJ194" s="5"/>
      <c r="DK194" s="317">
        <f>VLOOKUP($A194,ціни!$A$4:$G$401,5)</f>
        <v>5.5279015960138524</v>
      </c>
      <c r="DL194" s="317"/>
      <c r="DM194" s="317">
        <f>VLOOKUP($A194,ціни!$A$4:$G$401,7)</f>
        <v>4.8087382599962156</v>
      </c>
      <c r="DN194" s="30">
        <f t="shared" si="224"/>
        <v>33932.360598939515</v>
      </c>
      <c r="DO194" s="30">
        <f t="shared" si="225"/>
        <v>1809.528207236576</v>
      </c>
      <c r="DP194" s="316">
        <f t="shared" si="221"/>
        <v>35741.888806176088</v>
      </c>
      <c r="DQ194" s="104"/>
      <c r="DR194" s="30">
        <f>VLOOKUP(A194,'ДЗ нас '!$A$1:$C$359,2)</f>
        <v>24110.3</v>
      </c>
      <c r="DS194" s="748">
        <f>VLOOKUP(A194,'ДЗ нежит'!$A$1:$D$153,4,0)</f>
        <v>1809.5100000000002</v>
      </c>
      <c r="DT194" s="30">
        <f t="shared" si="222"/>
        <v>25919.809999999998</v>
      </c>
      <c r="DU194" s="257">
        <f>VLOOKUP(A194,'новий кошторис с 01.06'!$A$4:$AI$399,35)*1.2</f>
        <v>26005.965650215032</v>
      </c>
      <c r="DV194" s="30">
        <f t="shared" si="223"/>
        <v>-86.155650215034257</v>
      </c>
      <c r="DW194" s="930">
        <f>'[5]побудинковий звіт'!DW194+'[6]побудинковий звіт'!DW194</f>
        <v>302</v>
      </c>
      <c r="DY194" s="5">
        <f t="shared" si="167"/>
        <v>79364.498265581729</v>
      </c>
      <c r="DZ194" s="5">
        <f t="shared" si="168"/>
        <v>21474</v>
      </c>
      <c r="EA194" s="752">
        <f t="shared" si="172"/>
        <v>74707.22</v>
      </c>
      <c r="EC194" s="592">
        <f t="shared" si="169"/>
        <v>630940.97693881823</v>
      </c>
      <c r="EE194" s="758">
        <v>18709</v>
      </c>
      <c r="EF194" s="738">
        <f t="shared" si="170"/>
        <v>-2289.3996658729156</v>
      </c>
      <c r="EH194" s="813">
        <v>-743.07998511966071</v>
      </c>
    </row>
    <row r="195" spans="1:138" x14ac:dyDescent="0.3">
      <c r="A195" s="328">
        <v>150000934</v>
      </c>
      <c r="B195" s="44" t="s">
        <v>645</v>
      </c>
      <c r="C195" s="45" t="s">
        <v>215</v>
      </c>
      <c r="D195" s="45" t="s">
        <v>215</v>
      </c>
      <c r="E195" s="40">
        <f t="shared" si="175"/>
        <v>6304.12</v>
      </c>
      <c r="F195" s="490">
        <v>6304.12</v>
      </c>
      <c r="G195" s="30"/>
      <c r="H195" s="30">
        <v>0</v>
      </c>
      <c r="I195" s="42">
        <f>'[1]побудинковий звіт'!I195+'[2]побудинковий звіт'!I195-'[3]побудинковий звіт'!I195</f>
        <v>6598.1079400572626</v>
      </c>
      <c r="J195" s="42">
        <f>'[1]побудинковий звіт'!J195+'[2]побудинковий звіт'!J195-'[3]побудинковий звіт'!J195</f>
        <v>6563.6721766880501</v>
      </c>
      <c r="K195" s="56">
        <f t="shared" si="183"/>
        <v>-34.435763369212509</v>
      </c>
      <c r="L195" s="42">
        <f>'[1]побудинковий звіт'!L195+'[2]побудинковий звіт'!L195-'[3]побудинковий звіт'!L195</f>
        <v>937.40060836497264</v>
      </c>
      <c r="M195" s="42">
        <f>'[1]побудинковий звіт'!M195+'[2]побудинковий звіт'!M195-'[3]побудинковий звіт'!M195</f>
        <v>945.79501018533574</v>
      </c>
      <c r="N195" s="56">
        <f t="shared" si="184"/>
        <v>8.3944018203631003</v>
      </c>
      <c r="O195" s="42">
        <f>'[1]побудинковий звіт'!O195+'[2]побудинковий звіт'!O195-'[3]побудинковий звіт'!O195</f>
        <v>2549.2800000000002</v>
      </c>
      <c r="P195" s="42">
        <f>'[1]побудинковий звіт'!P195+'[2]побудинковий звіт'!P195-'[3]побудинковий звіт'!P195</f>
        <v>2003.8589131989245</v>
      </c>
      <c r="Q195" s="56">
        <f t="shared" si="185"/>
        <v>-545.42108680107572</v>
      </c>
      <c r="R195" s="42">
        <f>'[1]побудинковий звіт'!R195+'[2]побудинковий звіт'!R195-'[3]побудинковий звіт'!R195</f>
        <v>0</v>
      </c>
      <c r="S195" s="42">
        <f>'[1]побудинковий звіт'!S195+'[2]побудинковий звіт'!S195-'[3]побудинковий звіт'!S195</f>
        <v>0</v>
      </c>
      <c r="T195" s="56">
        <f t="shared" si="186"/>
        <v>0</v>
      </c>
      <c r="U195" s="42">
        <f>'[1]побудинковий звіт'!U195+'[2]побудинковий звіт'!U195-'[3]побудинковий звіт'!U195</f>
        <v>0</v>
      </c>
      <c r="V195" s="42">
        <f>'[1]побудинковий звіт'!V195+'[2]побудинковий звіт'!V195-'[3]побудинковий звіт'!V195</f>
        <v>0</v>
      </c>
      <c r="W195" s="56">
        <f t="shared" si="187"/>
        <v>0</v>
      </c>
      <c r="X195" s="42">
        <f>'[1]побудинковий звіт'!X195+'[2]побудинковий звіт'!X195-'[3]побудинковий звіт'!X195</f>
        <v>4621.0145050713072</v>
      </c>
      <c r="Y195" s="42">
        <f>'[1]побудинковий звіт'!Y195+'[2]побудинковий звіт'!Y195-'[3]побудинковий звіт'!Y195</f>
        <v>3816.8195635706652</v>
      </c>
      <c r="Z195" s="56">
        <f t="shared" si="188"/>
        <v>-804.19494150064202</v>
      </c>
      <c r="AA195" s="42">
        <f>'[1]побудинковий звіт'!AA195+'[2]побудинковий звіт'!AA195-'[3]побудинковий звіт'!AA195</f>
        <v>0</v>
      </c>
      <c r="AB195" s="42">
        <f>'[1]побудинковий звіт'!AB195+'[2]побудинковий звіт'!AB195-'[3]побудинковий звіт'!AB195</f>
        <v>0</v>
      </c>
      <c r="AC195" s="56">
        <f t="shared" si="189"/>
        <v>0</v>
      </c>
      <c r="AD195" s="42">
        <f>'[1]побудинковий звіт'!AD195+'[2]побудинковий звіт'!AD195-'[3]побудинковий звіт'!AD195</f>
        <v>8471.1491586378197</v>
      </c>
      <c r="AE195" s="42">
        <f>'[1]побудинковий звіт'!AE195+'[2]побудинковий звіт'!AE195-'[3]побудинковий звіт'!AE195</f>
        <v>7807.8017531828909</v>
      </c>
      <c r="AF195" s="37">
        <f t="shared" si="190"/>
        <v>-663.34740545492878</v>
      </c>
      <c r="AG195" s="87">
        <f t="shared" si="180"/>
        <v>23176.952212131364</v>
      </c>
      <c r="AH195" s="57">
        <f t="shared" si="180"/>
        <v>21137.947416825868</v>
      </c>
      <c r="AI195" s="56">
        <f t="shared" si="191"/>
        <v>-2039.0047953054964</v>
      </c>
      <c r="AJ195" s="42">
        <f>'[1]побудинковий звіт'!AJ195+'[2]побудинковий звіт'!AJ195-'[3]побудинковий звіт'!AJ195</f>
        <v>0</v>
      </c>
      <c r="AK195" s="42">
        <f>'[1]побудинковий звіт'!AK195+'[2]побудинковий звіт'!AK195-'[3]побудинковий звіт'!AK195</f>
        <v>0</v>
      </c>
      <c r="AL195" s="56">
        <f t="shared" si="192"/>
        <v>0</v>
      </c>
      <c r="AM195" s="42">
        <f>'[1]побудинковий звіт'!AM195+'[2]побудинковий звіт'!AM195-'[3]побудинковий звіт'!AM195</f>
        <v>0</v>
      </c>
      <c r="AN195" s="42">
        <f>'[1]побудинковий звіт'!AN195+'[2]побудинковий звіт'!AN195-'[3]побудинковий звіт'!AN195</f>
        <v>0</v>
      </c>
      <c r="AO195" s="56">
        <f t="shared" si="193"/>
        <v>0</v>
      </c>
      <c r="AP195" s="42">
        <f>'[1]побудинковий звіт'!AP195+'[2]побудинковий звіт'!AP195-'[3]побудинковий звіт'!AP195</f>
        <v>5113.8952716257081</v>
      </c>
      <c r="AQ195" s="42">
        <f>'[1]побудинковий звіт'!AQ195+'[2]побудинковий звіт'!AQ195-'[3]побудинковий звіт'!AQ195</f>
        <v>4400.9900341203202</v>
      </c>
      <c r="AR195" s="56">
        <f t="shared" si="194"/>
        <v>-712.90523750538796</v>
      </c>
      <c r="AS195" s="42">
        <f>'[1]побудинковий звіт'!AS195+'[2]побудинковий звіт'!AS195-'[3]побудинковий звіт'!AS195</f>
        <v>17929.542342492292</v>
      </c>
      <c r="AT195" s="42">
        <f>'[1]побудинковий звіт'!AT195+'[2]побудинковий звіт'!AT195-'[3]побудинковий звіт'!AT195</f>
        <v>1485</v>
      </c>
      <c r="AU195" s="58">
        <f t="shared" si="211"/>
        <v>-16444.542342492292</v>
      </c>
      <c r="AV195" s="42">
        <f>'[1]побудинковий звіт'!AV195+'[2]побудинковий звіт'!AV195-'[3]побудинковий звіт'!AV195</f>
        <v>1127.6788241314471</v>
      </c>
      <c r="AW195" s="42">
        <f>'[1]побудинковий звіт'!AW195+'[2]побудинковий звіт'!AW195-'[3]побудинковий звіт'!AW195</f>
        <v>0</v>
      </c>
      <c r="AX195" s="59">
        <f t="shared" si="212"/>
        <v>-1127.6788241314471</v>
      </c>
      <c r="AY195" s="42">
        <f>'[1]побудинковий звіт'!AY195+'[2]побудинковий звіт'!AY195-'[3]побудинковий звіт'!AY195</f>
        <v>1208.3695267083779</v>
      </c>
      <c r="AZ195" s="42">
        <f>'[1]побудинковий звіт'!AZ195+'[2]побудинковий звіт'!AZ195-'[3]побудинковий звіт'!AZ195</f>
        <v>0</v>
      </c>
      <c r="BA195" s="37">
        <f t="shared" si="213"/>
        <v>-1208.3695267083779</v>
      </c>
      <c r="BB195" s="42">
        <f>'[1]побудинковий звіт'!BB195+'[2]побудинковий звіт'!BB195-'[3]побудинковий звіт'!BB195</f>
        <v>1566.8766719750254</v>
      </c>
      <c r="BC195" s="42">
        <f>'[1]побудинковий звіт'!BC195+'[2]побудинковий звіт'!BC195-'[3]побудинковий звіт'!BC195</f>
        <v>0</v>
      </c>
      <c r="BD195" s="59">
        <f t="shared" si="214"/>
        <v>-1566.8766719750254</v>
      </c>
      <c r="BE195" s="42">
        <f>'[1]побудинковий звіт'!BE195+'[2]побудинковий звіт'!BE195-'[3]побудинковий звіт'!BE195</f>
        <v>0</v>
      </c>
      <c r="BF195" s="42">
        <f>'[1]побудинковий звіт'!BF195+'[2]побудинковий звіт'!BF195-'[3]побудинковий звіт'!BF195</f>
        <v>0</v>
      </c>
      <c r="BG195" s="39">
        <f t="shared" si="215"/>
        <v>0</v>
      </c>
      <c r="BH195" s="42">
        <f>'[1]побудинковий звіт'!BH195+'[2]побудинковий звіт'!BH195-'[3]побудинковий звіт'!BH195</f>
        <v>0</v>
      </c>
      <c r="BI195" s="42">
        <f>'[1]побудинковий звіт'!BI195+'[2]побудинковий звіт'!BI195-'[3]побудинковий звіт'!BI195</f>
        <v>0</v>
      </c>
      <c r="BJ195" s="59">
        <f t="shared" si="216"/>
        <v>0</v>
      </c>
      <c r="BK195" s="42">
        <f>'[1]побудинковий звіт'!BK195+'[2]побудинковий звіт'!BK195-'[3]побудинковий звіт'!BK195</f>
        <v>593.6268608144552</v>
      </c>
      <c r="BL195" s="42">
        <f>'[1]побудинковий звіт'!BL195+'[2]побудинковий звіт'!BL195-'[3]побудинковий звіт'!BL195</f>
        <v>0</v>
      </c>
      <c r="BM195" s="39">
        <f t="shared" si="217"/>
        <v>-593.6268608144552</v>
      </c>
      <c r="BN195" s="42">
        <f>'[1]побудинковий звіт'!BN195+'[2]побудинковий звіт'!BN195-'[3]побудинковий звіт'!BN195</f>
        <v>0</v>
      </c>
      <c r="BO195" s="42">
        <f>'[1]побудинковий звіт'!BO195+'[2]побудинковий звіт'!BO195-'[3]побудинковий звіт'!BO195</f>
        <v>0</v>
      </c>
      <c r="BP195" s="59">
        <f t="shared" si="218"/>
        <v>0</v>
      </c>
      <c r="BQ195" s="87">
        <f t="shared" si="176"/>
        <v>4496.5518836293058</v>
      </c>
      <c r="BR195" s="43">
        <f t="shared" si="220"/>
        <v>0</v>
      </c>
      <c r="BS195" s="59">
        <f t="shared" si="219"/>
        <v>-4496.5518836293058</v>
      </c>
      <c r="BT195" s="42">
        <f>'[1]побудинковий звіт'!BT195+'[2]побудинковий звіт'!BT195-'[3]побудинковий звіт'!BT195</f>
        <v>31744.24836098987</v>
      </c>
      <c r="BU195" s="42">
        <f>'[1]побудинковий звіт'!BU195+'[2]побудинковий звіт'!BU195-'[3]побудинковий звіт'!BU195</f>
        <v>37865.985392438524</v>
      </c>
      <c r="BV195" s="56">
        <f t="shared" si="195"/>
        <v>6121.7370314486543</v>
      </c>
      <c r="BW195" s="42">
        <f>'[1]побудинковий звіт'!BW195+'[2]побудинковий звіт'!BW195-'[3]побудинковий звіт'!BW195</f>
        <v>14687.134872306369</v>
      </c>
      <c r="BX195" s="42">
        <f>'[1]побудинковий звіт'!BX195+'[2]побудинковий звіт'!BX195-'[3]побудинковий звіт'!BX195</f>
        <v>15860.87091626797</v>
      </c>
      <c r="BY195" s="56">
        <f t="shared" si="196"/>
        <v>1173.7360439616004</v>
      </c>
      <c r="BZ195" s="42">
        <f>'[1]побудинковий звіт'!BZ195+'[2]побудинковий звіт'!BZ195-'[3]побудинковий звіт'!BZ195</f>
        <v>9296.0241382988024</v>
      </c>
      <c r="CA195" s="42">
        <f>'[1]побудинковий звіт'!CA195+'[2]побудинковий звіт'!CA195-'[3]побудинковий звіт'!CA195</f>
        <v>8927.7349070586297</v>
      </c>
      <c r="CB195" s="56">
        <f t="shared" si="197"/>
        <v>-368.28923124017274</v>
      </c>
      <c r="CC195" s="42">
        <f>'[1]побудинковий звіт'!CC195+'[2]побудинковий звіт'!CC195-'[3]побудинковий звіт'!CC195</f>
        <v>0</v>
      </c>
      <c r="CD195" s="42">
        <f>'[1]побудинковий звіт'!CD195+'[2]побудинковий звіт'!CD195-'[3]побудинковий звіт'!CD195</f>
        <v>0</v>
      </c>
      <c r="CE195" s="56">
        <f t="shared" si="198"/>
        <v>0</v>
      </c>
      <c r="CF195" s="42">
        <f>'[1]побудинковий звіт'!CF195+'[2]побудинковий звіт'!CF195-'[3]побудинковий звіт'!CF195</f>
        <v>0</v>
      </c>
      <c r="CG195" s="42">
        <f>'[1]побудинковий звіт'!CG195+'[2]побудинковий звіт'!CG195-'[3]побудинковий звіт'!CG195</f>
        <v>0</v>
      </c>
      <c r="CH195" s="56">
        <f t="shared" si="199"/>
        <v>0</v>
      </c>
      <c r="CI195" s="42">
        <f>'[1]побудинковий звіт'!CI195+'[2]побудинковий звіт'!CI195-'[3]побудинковий звіт'!CI195</f>
        <v>6607.2863875488219</v>
      </c>
      <c r="CJ195" s="42">
        <f>'[1]побудинковий звіт'!CJ195+'[2]побудинковий звіт'!CJ195-'[3]побудинковий звіт'!CJ195</f>
        <v>4560.4512804098531</v>
      </c>
      <c r="CK195" s="56">
        <f t="shared" si="200"/>
        <v>-2046.8351071389689</v>
      </c>
      <c r="CL195" s="42">
        <f>'[1]побудинковий звіт'!CL195+'[2]побудинковий звіт'!CL195-'[3]побудинковий звіт'!CL195</f>
        <v>0</v>
      </c>
      <c r="CM195" s="42">
        <f>'[1]побудинковий звіт'!CM195+'[2]побудинковий звіт'!CM195-'[3]побудинковий звіт'!CM195</f>
        <v>0</v>
      </c>
      <c r="CN195" s="56">
        <f t="shared" si="201"/>
        <v>0</v>
      </c>
      <c r="CO195" s="42">
        <f t="shared" si="181"/>
        <v>6607.2863875488219</v>
      </c>
      <c r="CP195" s="43">
        <f t="shared" si="202"/>
        <v>4560.4512804098531</v>
      </c>
      <c r="CQ195" s="56">
        <f t="shared" si="203"/>
        <v>-2046.8351071389689</v>
      </c>
      <c r="CR195" s="78">
        <f t="shared" si="182"/>
        <v>113051.63546902253</v>
      </c>
      <c r="CS195" s="5">
        <f t="shared" si="182"/>
        <v>94238.979947121174</v>
      </c>
      <c r="CT195" s="56">
        <f t="shared" si="204"/>
        <v>-18812.655521901353</v>
      </c>
      <c r="CU195" s="87">
        <f t="shared" si="205"/>
        <v>135661.96256282702</v>
      </c>
      <c r="CV195" s="70">
        <f t="shared" si="206"/>
        <v>113086.77593654541</v>
      </c>
      <c r="CW195" s="37">
        <f t="shared" si="207"/>
        <v>-22575.186626281604</v>
      </c>
      <c r="CX195" s="42">
        <f>'[1]побудинковий звіт'!CX195+'[2]побудинковий звіт'!CX195-'[3]побудинковий звіт'!CX195</f>
        <v>3391.9974371729622</v>
      </c>
      <c r="CY195" s="42">
        <f>'[1]побудинковий звіт'!CY195+'[2]побудинковий звіт'!CY195-'[3]побудинковий звіт'!CY195</f>
        <v>25967.184063454602</v>
      </c>
      <c r="CZ195" s="56">
        <f t="shared" si="208"/>
        <v>22575.18662628164</v>
      </c>
      <c r="DA195" s="264">
        <f>'[4]побудинковий звіт'!DA195</f>
        <v>-24851.378106178483</v>
      </c>
      <c r="DB195" s="2">
        <v>2</v>
      </c>
      <c r="DC195" s="717">
        <f>'[4]побудинковий звіт'!DC195</f>
        <v>89608.92</v>
      </c>
      <c r="DD195" s="717">
        <f>'[4]побудинковий звіт'!DD195</f>
        <v>0</v>
      </c>
      <c r="DE195" s="717">
        <f>'[4]побудинковий звіт'!DE195</f>
        <v>78021.09</v>
      </c>
      <c r="DF195" s="717">
        <f>'[4]побудинковий звіт'!DF195</f>
        <v>0</v>
      </c>
      <c r="DG195" s="787">
        <v>-45792.280749415688</v>
      </c>
      <c r="DH195" s="761">
        <f t="shared" si="171"/>
        <v>1668647.5199999996</v>
      </c>
      <c r="DI195" s="784"/>
      <c r="DJ195" s="5"/>
      <c r="DK195" s="317">
        <f>VLOOKUP($A195,ціни!$A$4:$G$401,5)</f>
        <v>5.8489643168303616</v>
      </c>
      <c r="DL195" s="317"/>
      <c r="DM195" s="317">
        <f>VLOOKUP($A195,ціни!$A$4:$G$401,7)</f>
        <v>5.0890944801119566</v>
      </c>
      <c r="DN195" s="30">
        <f t="shared" si="224"/>
        <v>36872.57292901662</v>
      </c>
      <c r="DO195" s="30">
        <f t="shared" si="225"/>
        <v>0</v>
      </c>
      <c r="DP195" s="316">
        <f t="shared" si="221"/>
        <v>36872.57292901662</v>
      </c>
      <c r="DQ195" s="104"/>
      <c r="DR195" s="30">
        <f>VLOOKUP(A195,'ДЗ нас '!$A$1:$C$359,2)</f>
        <v>11587.83</v>
      </c>
      <c r="DS195" s="748"/>
      <c r="DT195" s="30">
        <f t="shared" si="222"/>
        <v>11587.83</v>
      </c>
      <c r="DU195" s="257">
        <f>VLOOKUP(A195,'новий кошторис с 01.06'!$A$4:$AI$399,35)*1.2</f>
        <v>11644.318453309321</v>
      </c>
      <c r="DV195" s="30">
        <f t="shared" si="223"/>
        <v>-56.488453309320903</v>
      </c>
      <c r="DW195" s="930">
        <f>'[5]побудинковий звіт'!DW195+'[6]побудинковий звіт'!DW195</f>
        <v>236</v>
      </c>
      <c r="DY195" s="5">
        <f t="shared" si="167"/>
        <v>26911.313071345914</v>
      </c>
      <c r="DZ195" s="5">
        <f t="shared" si="168"/>
        <v>1782</v>
      </c>
      <c r="EA195" s="752">
        <f t="shared" si="172"/>
        <v>78021.09</v>
      </c>
      <c r="EC195" s="592">
        <f t="shared" si="169"/>
        <v>215154.5081099075</v>
      </c>
      <c r="EE195" s="758">
        <v>33234</v>
      </c>
      <c r="EF195" s="738">
        <f t="shared" si="170"/>
        <v>-12558.280749415688</v>
      </c>
      <c r="EH195" s="813">
        <v>-2826.858485631994</v>
      </c>
    </row>
    <row r="196" spans="1:138" x14ac:dyDescent="0.3">
      <c r="A196" s="328">
        <v>150000935</v>
      </c>
      <c r="B196" s="44" t="s">
        <v>646</v>
      </c>
      <c r="C196" s="45" t="s">
        <v>175</v>
      </c>
      <c r="D196" s="45" t="s">
        <v>175</v>
      </c>
      <c r="E196" s="40">
        <f t="shared" si="175"/>
        <v>4191.3999999999996</v>
      </c>
      <c r="F196" s="490">
        <v>4191.3999999999996</v>
      </c>
      <c r="G196" s="30"/>
      <c r="H196" s="30">
        <v>0</v>
      </c>
      <c r="I196" s="42">
        <f>'[1]побудинковий звіт'!I196+'[2]побудинковий звіт'!I196-'[3]побудинковий звіт'!I196</f>
        <v>559.6145152736716</v>
      </c>
      <c r="J196" s="42">
        <f>'[1]побудинковий звіт'!J196+'[2]побудинковий звіт'!J196-'[3]побудинковий звіт'!J196</f>
        <v>562.77491020468449</v>
      </c>
      <c r="K196" s="56">
        <f t="shared" si="183"/>
        <v>3.1603949310128883</v>
      </c>
      <c r="L196" s="42">
        <f>'[1]побудинковий звіт'!L196+'[2]побудинковий звіт'!L196-'[3]побудинковий звіт'!L196</f>
        <v>279.91890436040342</v>
      </c>
      <c r="M196" s="42">
        <f>'[1]побудинковий звіт'!M196+'[2]побудинковий звіт'!M196-'[3]побудинковий звіт'!M196</f>
        <v>282.42489887478774</v>
      </c>
      <c r="N196" s="56">
        <f t="shared" si="184"/>
        <v>2.5059945143843265</v>
      </c>
      <c r="O196" s="42">
        <f>'[1]побудинковий звіт'!O196+'[2]побудинковий звіт'!O196-'[3]побудинковий звіт'!O196</f>
        <v>383.52</v>
      </c>
      <c r="P196" s="42">
        <f>'[1]побудинковий звіт'!P196+'[2]побудинковий звіт'!P196-'[3]побудинковий звіт'!P196</f>
        <v>301.4865053763441</v>
      </c>
      <c r="Q196" s="56">
        <f t="shared" si="185"/>
        <v>-82.033494623655884</v>
      </c>
      <c r="R196" s="42">
        <f>'[1]побудинковий звіт'!R196+'[2]побудинковий звіт'!R196-'[3]побудинковий звіт'!R196</f>
        <v>0</v>
      </c>
      <c r="S196" s="42">
        <f>'[1]побудинковий звіт'!S196+'[2]побудинковий звіт'!S196-'[3]побудинковий звіт'!S196</f>
        <v>0</v>
      </c>
      <c r="T196" s="56">
        <f t="shared" si="186"/>
        <v>0</v>
      </c>
      <c r="U196" s="42">
        <f>'[1]побудинковий звіт'!U196+'[2]побудинковий звіт'!U196-'[3]побудинковий звіт'!U196</f>
        <v>0</v>
      </c>
      <c r="V196" s="42">
        <f>'[1]побудинковий звіт'!V196+'[2]побудинковий звіт'!V196-'[3]побудинковий звіт'!V196</f>
        <v>0</v>
      </c>
      <c r="W196" s="56">
        <f t="shared" si="187"/>
        <v>0</v>
      </c>
      <c r="X196" s="42">
        <f>'[1]побудинковий звіт'!X196+'[2]побудинковий звіт'!X196-'[3]побудинковий звіт'!X196</f>
        <v>417.59548376558502</v>
      </c>
      <c r="Y196" s="42">
        <f>'[1]побудинковий звіт'!Y196+'[2]побудинковий звіт'!Y196-'[3]побудинковий звіт'!Y196</f>
        <v>302.51800386749983</v>
      </c>
      <c r="Z196" s="56">
        <f t="shared" si="188"/>
        <v>-115.07747989808519</v>
      </c>
      <c r="AA196" s="42">
        <f>'[1]побудинковий звіт'!AA196+'[2]побудинковий звіт'!AA196-'[3]побудинковий звіт'!AA196</f>
        <v>0</v>
      </c>
      <c r="AB196" s="42">
        <f>'[1]побудинковий звіт'!AB196+'[2]побудинковий звіт'!AB196-'[3]побудинковий звіт'!AB196</f>
        <v>0</v>
      </c>
      <c r="AC196" s="56">
        <f t="shared" si="189"/>
        <v>0</v>
      </c>
      <c r="AD196" s="42">
        <f>'[1]побудинковий звіт'!AD196+'[2]побудинковий звіт'!AD196-'[3]побудинковий звіт'!AD196</f>
        <v>1223.7429848029922</v>
      </c>
      <c r="AE196" s="42">
        <f>'[1]побудинковий звіт'!AE196+'[2]побудинковий звіт'!AE196-'[3]побудинковий звіт'!AE196</f>
        <v>1127.6765890738513</v>
      </c>
      <c r="AF196" s="37">
        <f t="shared" si="190"/>
        <v>-96.066395729140822</v>
      </c>
      <c r="AG196" s="87">
        <f t="shared" si="180"/>
        <v>2864.3918882026519</v>
      </c>
      <c r="AH196" s="57">
        <f t="shared" si="180"/>
        <v>2576.8809073971679</v>
      </c>
      <c r="AI196" s="56">
        <f t="shared" si="191"/>
        <v>-287.510980805484</v>
      </c>
      <c r="AJ196" s="42">
        <f>'[1]побудинковий звіт'!AJ196+'[2]побудинковий звіт'!AJ196-'[3]побудинковий звіт'!AJ196</f>
        <v>0</v>
      </c>
      <c r="AK196" s="42">
        <f>'[1]побудинковий звіт'!AK196+'[2]побудинковий звіт'!AK196-'[3]побудинковий звіт'!AK196</f>
        <v>0</v>
      </c>
      <c r="AL196" s="56">
        <f t="shared" si="192"/>
        <v>0</v>
      </c>
      <c r="AM196" s="42">
        <f>'[1]побудинковий звіт'!AM196+'[2]побудинковий звіт'!AM196-'[3]побудинковий звіт'!AM196</f>
        <v>0</v>
      </c>
      <c r="AN196" s="42">
        <f>'[1]побудинковий звіт'!AN196+'[2]побудинковий звіт'!AN196-'[3]побудинковий звіт'!AN196</f>
        <v>0</v>
      </c>
      <c r="AO196" s="56">
        <f t="shared" si="193"/>
        <v>0</v>
      </c>
      <c r="AP196" s="42">
        <f>'[1]побудинковий звіт'!AP196+'[2]побудинковий звіт'!AP196-'[3]побудинковий звіт'!AP196</f>
        <v>852.31587860428453</v>
      </c>
      <c r="AQ196" s="42">
        <f>'[1]побудинковий звіт'!AQ196+'[2]побудинковий звіт'!AQ196-'[3]побудинковий звіт'!AQ196</f>
        <v>710.69604669496789</v>
      </c>
      <c r="AR196" s="56">
        <f t="shared" si="194"/>
        <v>-141.61983190931664</v>
      </c>
      <c r="AS196" s="42">
        <f>'[1]побудинковий звіт'!AS196+'[2]побудинковий звіт'!AS196-'[3]побудинковий звіт'!AS196</f>
        <v>4506.3953391134428</v>
      </c>
      <c r="AT196" s="42">
        <f>'[1]побудинковий звіт'!AT196+'[2]побудинковий звіт'!AT196-'[3]побудинковий звіт'!AT196</f>
        <v>0</v>
      </c>
      <c r="AU196" s="58">
        <f t="shared" si="211"/>
        <v>-4506.3953391134428</v>
      </c>
      <c r="AV196" s="42">
        <f>'[1]побудинковий звіт'!AV196+'[2]побудинковий звіт'!AV196-'[3]побудинковий звіт'!AV196</f>
        <v>366.5099274166389</v>
      </c>
      <c r="AW196" s="42">
        <f>'[1]побудинковий звіт'!AW196+'[2]побудинковий звіт'!AW196-'[3]побудинковий звіт'!AW196</f>
        <v>0</v>
      </c>
      <c r="AX196" s="59">
        <f t="shared" si="212"/>
        <v>-366.5099274166389</v>
      </c>
      <c r="AY196" s="42">
        <f>'[1]побудинковий звіт'!AY196+'[2]побудинковий звіт'!AY196-'[3]побудинковий звіт'!AY196</f>
        <v>360.85612185121926</v>
      </c>
      <c r="AZ196" s="42">
        <f>'[1]побудинковий звіт'!AZ196+'[2]побудинковий звіт'!AZ196-'[3]побудинковий звіт'!AZ196</f>
        <v>0</v>
      </c>
      <c r="BA196" s="37">
        <f t="shared" si="213"/>
        <v>-360.85612185121926</v>
      </c>
      <c r="BB196" s="42">
        <f>'[1]побудинковий звіт'!BB196+'[2]побудинковий звіт'!BB196-'[3]побудинковий звіт'!BB196</f>
        <v>155.13983125017546</v>
      </c>
      <c r="BC196" s="42">
        <f>'[1]побудинковий звіт'!BC196+'[2]побудинковий звіт'!BC196-'[3]побудинковий звіт'!BC196</f>
        <v>0</v>
      </c>
      <c r="BD196" s="59">
        <f t="shared" si="214"/>
        <v>-155.13983125017546</v>
      </c>
      <c r="BE196" s="42">
        <f>'[1]побудинковий звіт'!BE196+'[2]побудинковий звіт'!BE196-'[3]побудинковий звіт'!BE196</f>
        <v>0</v>
      </c>
      <c r="BF196" s="42">
        <f>'[1]побудинковий звіт'!BF196+'[2]побудинковий звіт'!BF196-'[3]побудинковий звіт'!BF196</f>
        <v>0</v>
      </c>
      <c r="BG196" s="39">
        <f t="shared" si="215"/>
        <v>0</v>
      </c>
      <c r="BH196" s="42">
        <f>'[1]побудинковий звіт'!BH196+'[2]побудинковий звіт'!BH196-'[3]побудинковий звіт'!BH196</f>
        <v>0</v>
      </c>
      <c r="BI196" s="42">
        <f>'[1]побудинковий звіт'!BI196+'[2]побудинковий звіт'!BI196-'[3]побудинковий звіт'!BI196</f>
        <v>0</v>
      </c>
      <c r="BJ196" s="59">
        <f t="shared" si="216"/>
        <v>0</v>
      </c>
      <c r="BK196" s="42">
        <f>'[1]побудинковий звіт'!BK196+'[2]побудинковий звіт'!BK196-'[3]побудинковий звіт'!BK196</f>
        <v>59.16845961250992</v>
      </c>
      <c r="BL196" s="42">
        <f>'[1]побудинковий звіт'!BL196+'[2]побудинковий звіт'!BL196-'[3]побудинковий звіт'!BL196</f>
        <v>0</v>
      </c>
      <c r="BM196" s="39">
        <f t="shared" si="217"/>
        <v>-59.16845961250992</v>
      </c>
      <c r="BN196" s="42">
        <f>'[1]побудинковий звіт'!BN196+'[2]побудинковий звіт'!BN196-'[3]побудинковий звіт'!BN196</f>
        <v>0</v>
      </c>
      <c r="BO196" s="42">
        <f>'[1]побудинковий звіт'!BO196+'[2]побудинковий звіт'!BO196-'[3]побудинковий звіт'!BO196</f>
        <v>0</v>
      </c>
      <c r="BP196" s="59">
        <f t="shared" si="218"/>
        <v>0</v>
      </c>
      <c r="BQ196" s="87">
        <f t="shared" si="176"/>
        <v>941.67434013054356</v>
      </c>
      <c r="BR196" s="43">
        <f t="shared" si="220"/>
        <v>0</v>
      </c>
      <c r="BS196" s="59">
        <f t="shared" si="219"/>
        <v>-941.67434013054356</v>
      </c>
      <c r="BT196" s="42">
        <f>'[1]побудинковий звіт'!BT196+'[2]побудинковий звіт'!BT196-'[3]побудинковий звіт'!BT196</f>
        <v>5731.9272004193372</v>
      </c>
      <c r="BU196" s="42">
        <f>'[1]побудинковий звіт'!BU196+'[2]побудинковий звіт'!BU196-'[3]побудинковий звіт'!BU196</f>
        <v>6631.9958178452762</v>
      </c>
      <c r="BV196" s="56">
        <f t="shared" si="195"/>
        <v>900.06861742593901</v>
      </c>
      <c r="BW196" s="42">
        <f>'[1]побудинковий звіт'!BW196+'[2]побудинковий звіт'!BW196-'[3]побудинковий звіт'!BW196</f>
        <v>1141.6958998302646</v>
      </c>
      <c r="BX196" s="42">
        <f>'[1]побудинковий звіт'!BX196+'[2]побудинковий звіт'!BX196-'[3]побудинковий звіт'!BX196</f>
        <v>1248.0786294240252</v>
      </c>
      <c r="BY196" s="56">
        <f t="shared" si="196"/>
        <v>106.38272959376059</v>
      </c>
      <c r="BZ196" s="42">
        <f>'[1]побудинковий звіт'!BZ196+'[2]побудинковий звіт'!BZ196-'[3]побудинковий звіт'!BZ196</f>
        <v>1559.6856271691986</v>
      </c>
      <c r="CA196" s="42">
        <f>'[1]побудинковий звіт'!CA196+'[2]побудинковий звіт'!CA196-'[3]побудинковий звіт'!CA196</f>
        <v>1650.7682210864027</v>
      </c>
      <c r="CB196" s="56">
        <f t="shared" si="197"/>
        <v>91.082593917204122</v>
      </c>
      <c r="CC196" s="42">
        <f>'[1]побудинковий звіт'!CC196+'[2]побудинковий звіт'!CC196-'[3]побудинковий звіт'!CC196</f>
        <v>0</v>
      </c>
      <c r="CD196" s="42">
        <f>'[1]побудинковий звіт'!CD196+'[2]побудинковий звіт'!CD196-'[3]побудинковий звіт'!CD196</f>
        <v>0</v>
      </c>
      <c r="CE196" s="56">
        <f t="shared" si="198"/>
        <v>0</v>
      </c>
      <c r="CF196" s="42">
        <f>'[1]побудинковий звіт'!CF196+'[2]побудинковий звіт'!CF196-'[3]побудинковий звіт'!CF196</f>
        <v>0</v>
      </c>
      <c r="CG196" s="42">
        <f>'[1]побудинковий звіт'!CG196+'[2]побудинковий звіт'!CG196-'[3]побудинковий звіт'!CG196</f>
        <v>0</v>
      </c>
      <c r="CH196" s="56">
        <f t="shared" si="199"/>
        <v>0</v>
      </c>
      <c r="CI196" s="42">
        <f>'[1]побудинковий звіт'!CI196+'[2]побудинковий звіт'!CI196-'[3]побудинковий звіт'!CI196</f>
        <v>1123.0515106315279</v>
      </c>
      <c r="CJ196" s="42">
        <f>'[1]побудинковий звіт'!CJ196+'[2]побудинковий звіт'!CJ196-'[3]побудинковий звіт'!CJ196</f>
        <v>226.43015914819975</v>
      </c>
      <c r="CK196" s="56">
        <f t="shared" si="200"/>
        <v>-896.62135148332811</v>
      </c>
      <c r="CL196" s="42">
        <f>'[1]побудинковий звіт'!CL196+'[2]побудинковий звіт'!CL196-'[3]побудинковий звіт'!CL196</f>
        <v>0</v>
      </c>
      <c r="CM196" s="42">
        <f>'[1]побудинковий звіт'!CM196+'[2]побудинковий звіт'!CM196-'[3]побудинковий звіт'!CM196</f>
        <v>0</v>
      </c>
      <c r="CN196" s="56">
        <f t="shared" si="201"/>
        <v>0</v>
      </c>
      <c r="CO196" s="42">
        <f t="shared" si="181"/>
        <v>1123.0515106315279</v>
      </c>
      <c r="CP196" s="43">
        <f t="shared" si="202"/>
        <v>226.43015914819975</v>
      </c>
      <c r="CQ196" s="56">
        <f t="shared" si="203"/>
        <v>-896.62135148332811</v>
      </c>
      <c r="CR196" s="78">
        <f t="shared" si="182"/>
        <v>18721.137684101253</v>
      </c>
      <c r="CS196" s="5">
        <f t="shared" si="182"/>
        <v>13044.849781596038</v>
      </c>
      <c r="CT196" s="56">
        <f t="shared" si="204"/>
        <v>-5676.2879025052152</v>
      </c>
      <c r="CU196" s="87">
        <f t="shared" si="205"/>
        <v>22465.365220921503</v>
      </c>
      <c r="CV196" s="70">
        <f t="shared" si="206"/>
        <v>15653.819737915244</v>
      </c>
      <c r="CW196" s="37">
        <f t="shared" si="207"/>
        <v>-6811.545483006259</v>
      </c>
      <c r="CX196" s="42">
        <f>'[1]побудинковий звіт'!CX196+'[2]побудинковий звіт'!CX196-'[3]побудинковий звіт'!CX196</f>
        <v>-54.885220921502878</v>
      </c>
      <c r="CY196" s="42">
        <f>'[1]побудинковий звіт'!CY196+'[2]побудинковий звіт'!CY196-'[3]побудинковий звіт'!CY196</f>
        <v>6756.6602620847525</v>
      </c>
      <c r="CZ196" s="56">
        <f t="shared" si="208"/>
        <v>6811.5454830062554</v>
      </c>
      <c r="DA196" s="264">
        <f>'[4]побудинковий звіт'!DA196</f>
        <v>1878.6981107617876</v>
      </c>
      <c r="DB196" s="2">
        <v>2</v>
      </c>
      <c r="DC196" s="717">
        <f>'[4]побудинковий звіт'!DC196</f>
        <v>4333.5600000000004</v>
      </c>
      <c r="DD196" s="717">
        <f>'[4]побудинковий звіт'!DD196</f>
        <v>0</v>
      </c>
      <c r="DE196" s="717">
        <f>'[4]побудинковий звіт'!DE196</f>
        <v>2466.0200000000004</v>
      </c>
      <c r="DF196" s="717">
        <f>'[4]побудинковий звіт'!DF196</f>
        <v>0</v>
      </c>
      <c r="DG196" s="787">
        <v>8639.3927660196932</v>
      </c>
      <c r="DH196" s="761">
        <f t="shared" si="171"/>
        <v>268925.76</v>
      </c>
      <c r="DI196" s="784"/>
      <c r="DJ196" s="5"/>
      <c r="DK196" s="317">
        <f>VLOOKUP($A196,ціни!$A$4:$G$401,5)</f>
        <v>6.5412780168068663</v>
      </c>
      <c r="DL196" s="317"/>
      <c r="DM196" s="317">
        <f>VLOOKUP($A196,ціни!$A$4:$G$401,7)</f>
        <v>6.1423626080611413</v>
      </c>
      <c r="DN196" s="30">
        <f t="shared" si="224"/>
        <v>27417.112679644299</v>
      </c>
      <c r="DO196" s="30">
        <f t="shared" si="225"/>
        <v>0</v>
      </c>
      <c r="DP196" s="316">
        <f t="shared" si="221"/>
        <v>27417.112679644299</v>
      </c>
      <c r="DQ196" s="104"/>
      <c r="DR196" s="30">
        <f>VLOOKUP(A196,'ДЗ нас '!$A$1:$C$359,2)</f>
        <v>1867.54</v>
      </c>
      <c r="DS196" s="748"/>
      <c r="DT196" s="30">
        <f t="shared" si="222"/>
        <v>1867.54</v>
      </c>
      <c r="DU196" s="257">
        <f>VLOOKUP(A196,'новий кошторис с 01.06'!$A$4:$AI$399,35)*1.2</f>
        <v>1872.1137684101252</v>
      </c>
      <c r="DV196" s="30">
        <f t="shared" si="223"/>
        <v>-4.5737684101252398</v>
      </c>
      <c r="DW196" s="930">
        <f>'[5]побудинковий звіт'!DW196+'[6]побудинковий звіт'!DW196</f>
        <v>204</v>
      </c>
      <c r="DY196" s="5">
        <f t="shared" si="167"/>
        <v>6537.6836150927838</v>
      </c>
      <c r="DZ196" s="5">
        <f t="shared" si="168"/>
        <v>0</v>
      </c>
      <c r="EA196" s="752">
        <f t="shared" si="172"/>
        <v>2466.0200000000004</v>
      </c>
      <c r="EC196" s="592">
        <f t="shared" si="169"/>
        <v>54076.744069361317</v>
      </c>
      <c r="EE196" s="758">
        <v>-5581</v>
      </c>
      <c r="EF196" s="738">
        <f t="shared" si="170"/>
        <v>3058.3927660196932</v>
      </c>
      <c r="EH196" s="813">
        <v>7525.6451169632774</v>
      </c>
    </row>
    <row r="197" spans="1:138" x14ac:dyDescent="0.3">
      <c r="A197" s="328">
        <v>150000937</v>
      </c>
      <c r="B197" s="44" t="s">
        <v>648</v>
      </c>
      <c r="C197" s="45" t="s">
        <v>374</v>
      </c>
      <c r="D197" s="45" t="s">
        <v>374</v>
      </c>
      <c r="E197" s="40">
        <f t="shared" si="175"/>
        <v>234.6</v>
      </c>
      <c r="F197" s="490">
        <v>234.6</v>
      </c>
      <c r="G197" s="30">
        <v>407.65</v>
      </c>
      <c r="H197" s="30">
        <v>0</v>
      </c>
      <c r="I197" s="42">
        <f>'[1]побудинковий звіт'!I197+'[2]побудинковий звіт'!I197-'[3]побудинковий звіт'!I197</f>
        <v>5803.4744905215312</v>
      </c>
      <c r="J197" s="42">
        <f>'[1]побудинковий звіт'!J197+'[2]побудинковий звіт'!J197-'[3]побудинковий звіт'!J197</f>
        <v>5146.0897412913719</v>
      </c>
      <c r="K197" s="56">
        <f t="shared" si="183"/>
        <v>-657.38474923015929</v>
      </c>
      <c r="L197" s="42">
        <f>'[1]побудинковий звіт'!L197+'[2]побудинковий звіт'!L197-'[3]побудинковий звіт'!L197</f>
        <v>2244.7122528977789</v>
      </c>
      <c r="M197" s="42">
        <f>'[1]побудинковий звіт'!M197+'[2]побудинковий звіт'!M197-'[3]побудинковий звіт'!M197</f>
        <v>2101.4730941055336</v>
      </c>
      <c r="N197" s="56">
        <f t="shared" si="184"/>
        <v>-143.23915879224523</v>
      </c>
      <c r="O197" s="42">
        <f>'[1]побудинковий звіт'!O197+'[2]побудинковий звіт'!O197-'[3]побудинковий звіт'!O197</f>
        <v>5299.7999999999993</v>
      </c>
      <c r="P197" s="42">
        <f>'[1]побудинковий звіт'!P197+'[2]побудинковий звіт'!P197-'[3]побудинковий звіт'!P197</f>
        <v>4165.8424274193549</v>
      </c>
      <c r="Q197" s="56">
        <f t="shared" si="185"/>
        <v>-1133.9575725806444</v>
      </c>
      <c r="R197" s="42">
        <f>'[1]побудинковий звіт'!R197+'[2]побудинковий звіт'!R197-'[3]побудинковий звіт'!R197</f>
        <v>1244.2800000000002</v>
      </c>
      <c r="S197" s="42">
        <f>'[1]побудинковий звіт'!S197+'[2]побудинковий звіт'!S197-'[3]побудинковий звіт'!S197</f>
        <v>977.88904892473136</v>
      </c>
      <c r="T197" s="56">
        <f t="shared" si="186"/>
        <v>-266.39095107526884</v>
      </c>
      <c r="U197" s="42">
        <f>'[1]побудинковий звіт'!U197+'[2]побудинковий звіт'!U197-'[3]побудинковий звіт'!U197</f>
        <v>1152.4837204751339</v>
      </c>
      <c r="V197" s="42">
        <f>'[1]побудинковий звіт'!V197+'[2]побудинковий звіт'!V197-'[3]побудинковий звіт'!V197</f>
        <v>430.99364160102061</v>
      </c>
      <c r="W197" s="56">
        <f t="shared" si="187"/>
        <v>-721.49007887411324</v>
      </c>
      <c r="X197" s="42">
        <f>'[1]побудинковий звіт'!X197+'[2]побудинковий звіт'!X197-'[3]побудинковий звіт'!X197</f>
        <v>8948.6029651194785</v>
      </c>
      <c r="Y197" s="42">
        <f>'[1]побудинковий звіт'!Y197+'[2]побудинковий звіт'!Y197-'[3]побудинковий звіт'!Y197</f>
        <v>5804.1090722524514</v>
      </c>
      <c r="Z197" s="56">
        <f t="shared" si="188"/>
        <v>-3144.4938928670272</v>
      </c>
      <c r="AA197" s="42">
        <f>'[1]побудинковий звіт'!AA197+'[2]побудинковий звіт'!AA197-'[3]побудинковий звіт'!AA197</f>
        <v>0</v>
      </c>
      <c r="AB197" s="42">
        <f>'[1]побудинковий звіт'!AB197+'[2]побудинковий звіт'!AB197-'[3]побудинковий звіт'!AB197</f>
        <v>0</v>
      </c>
      <c r="AC197" s="56">
        <f t="shared" si="189"/>
        <v>0</v>
      </c>
      <c r="AD197" s="42">
        <f>'[1]побудинковий звіт'!AD197+'[2]побудинковий звіт'!AD197-'[3]побудинковий звіт'!AD197</f>
        <v>16305.028385566902</v>
      </c>
      <c r="AE197" s="42">
        <f>'[1]побудинковий звіт'!AE197+'[2]побудинковий звіт'!AE197-'[3]побудинковий звіт'!AE197</f>
        <v>15015.587449443214</v>
      </c>
      <c r="AF197" s="37">
        <f t="shared" si="190"/>
        <v>-1289.4409361236885</v>
      </c>
      <c r="AG197" s="87">
        <f t="shared" si="180"/>
        <v>40998.381814580825</v>
      </c>
      <c r="AH197" s="57">
        <f t="shared" si="180"/>
        <v>33641.98447503768</v>
      </c>
      <c r="AI197" s="56">
        <f t="shared" si="191"/>
        <v>-7356.3973395431458</v>
      </c>
      <c r="AJ197" s="42">
        <f>'[1]побудинковий звіт'!AJ197+'[2]побудинковий звіт'!AJ197-'[3]побудинковий звіт'!AJ197</f>
        <v>29784.395634815395</v>
      </c>
      <c r="AK197" s="42">
        <f>'[1]побудинковий звіт'!AK197+'[2]побудинковий звіт'!AK197-'[3]побудинковий звіт'!AK197</f>
        <v>29522.300933839433</v>
      </c>
      <c r="AL197" s="56">
        <f t="shared" si="192"/>
        <v>-262.09470097596204</v>
      </c>
      <c r="AM197" s="42">
        <f>'[1]побудинковий звіт'!AM197+'[2]побудинковий звіт'!AM197-'[3]побудинковий звіт'!AM197</f>
        <v>0</v>
      </c>
      <c r="AN197" s="42">
        <f>'[1]побудинковий звіт'!AN197+'[2]побудинковий звіт'!AN197-'[3]побудинковий звіт'!AN197</f>
        <v>2602.8967523004262</v>
      </c>
      <c r="AO197" s="56">
        <f t="shared" si="193"/>
        <v>2602.8967523004262</v>
      </c>
      <c r="AP197" s="42">
        <f>'[1]побудинковий звіт'!AP197+'[2]побудинковий звіт'!AP197-'[3]побудинковий звіт'!AP197</f>
        <v>3409.2635144171381</v>
      </c>
      <c r="AQ197" s="42">
        <f>'[1]побудинковий звіт'!AQ197+'[2]побудинковий звіт'!AQ197-'[3]побудинковий звіт'!AQ197</f>
        <v>3113.2736859076949</v>
      </c>
      <c r="AR197" s="56">
        <f t="shared" si="194"/>
        <v>-295.98982850944321</v>
      </c>
      <c r="AS197" s="42">
        <f>'[1]побудинковий звіт'!AS197+'[2]побудинковий звіт'!AS197-'[3]побудинковий звіт'!AS197</f>
        <v>61705.078213439047</v>
      </c>
      <c r="AT197" s="42">
        <f>'[1]побудинковий звіт'!AT197+'[2]побудинковий звіт'!AT197-'[3]побудинковий звіт'!AT197</f>
        <v>62938</v>
      </c>
      <c r="AU197" s="58">
        <f t="shared" si="211"/>
        <v>1232.9217865609535</v>
      </c>
      <c r="AV197" s="42">
        <f>'[1]побудинковий звіт'!AV197+'[2]побудинковий звіт'!AV197-'[3]побудинковий звіт'!AV197</f>
        <v>609.01725000937734</v>
      </c>
      <c r="AW197" s="42">
        <f>'[1]побудинковий звіт'!AW197+'[2]побудинковий звіт'!AW197-'[3]побудинковий звіт'!AW197</f>
        <v>1033</v>
      </c>
      <c r="AX197" s="59">
        <f t="shared" si="212"/>
        <v>423.98274999062266</v>
      </c>
      <c r="AY197" s="42">
        <f>'[1]побудинковий звіт'!AY197+'[2]побудинковий звіт'!AY197-'[3]побудинковий звіт'!AY197</f>
        <v>1322.1322165719887</v>
      </c>
      <c r="AZ197" s="42">
        <f>'[1]побудинковий звіт'!AZ197+'[2]побудинковий звіт'!AZ197-'[3]побудинковий звіт'!AZ197</f>
        <v>2798</v>
      </c>
      <c r="BA197" s="37">
        <f t="shared" si="213"/>
        <v>1475.8677834280113</v>
      </c>
      <c r="BB197" s="42">
        <f>'[1]побудинковий звіт'!BB197+'[2]побудинковий звіт'!BB197-'[3]побудинковий звіт'!BB197</f>
        <v>1382.5564143997758</v>
      </c>
      <c r="BC197" s="42">
        <f>'[1]побудинковий звіт'!BC197+'[2]побудинковий звіт'!BC197-'[3]побудинковий звіт'!BC197</f>
        <v>0</v>
      </c>
      <c r="BD197" s="59">
        <f t="shared" si="214"/>
        <v>-1382.5564143997758</v>
      </c>
      <c r="BE197" s="42">
        <f>'[1]побудинковий звіт'!BE197+'[2]побудинковий звіт'!BE197-'[3]побудинковий звіт'!BE197</f>
        <v>672.46542194277424</v>
      </c>
      <c r="BF197" s="42">
        <f>'[1]побудинковий звіт'!BF197+'[2]побудинковий звіт'!BF197-'[3]побудинковий звіт'!BF197</f>
        <v>0</v>
      </c>
      <c r="BG197" s="39">
        <f t="shared" si="215"/>
        <v>-672.46542194277424</v>
      </c>
      <c r="BH197" s="42">
        <f>'[1]побудинковий звіт'!BH197+'[2]побудинковий звіт'!BH197-'[3]побудинковий звіт'!BH197</f>
        <v>584.59680888900095</v>
      </c>
      <c r="BI197" s="42">
        <f>'[1]побудинковий звіт'!BI197+'[2]побудинковий звіт'!BI197-'[3]побудинковий звіт'!BI197</f>
        <v>0</v>
      </c>
      <c r="BJ197" s="59">
        <f t="shared" si="216"/>
        <v>-584.59680888900095</v>
      </c>
      <c r="BK197" s="42">
        <f>'[1]побудинковий звіт'!BK197+'[2]побудинковий звіт'!BK197-'[3]побудинковий звіт'!BK197</f>
        <v>857.28084435898234</v>
      </c>
      <c r="BL197" s="42">
        <f>'[1]побудинковий звіт'!BL197+'[2]побудинковий звіт'!BL197-'[3]побудинковий звіт'!BL197</f>
        <v>2327</v>
      </c>
      <c r="BM197" s="39">
        <f t="shared" si="217"/>
        <v>1469.7191556410176</v>
      </c>
      <c r="BN197" s="42">
        <f>'[1]побудинковий звіт'!BN197+'[2]побудинковий звіт'!BN197-'[3]побудинковий звіт'!BN197</f>
        <v>579.97937687586591</v>
      </c>
      <c r="BO197" s="42">
        <f>'[1]побудинковий звіт'!BO197+'[2]побудинковий звіт'!BO197-'[3]побудинковий звіт'!BO197</f>
        <v>0</v>
      </c>
      <c r="BP197" s="59">
        <f t="shared" si="218"/>
        <v>-579.97937687586591</v>
      </c>
      <c r="BQ197" s="87">
        <f t="shared" si="176"/>
        <v>6008.028333047765</v>
      </c>
      <c r="BR197" s="43">
        <f t="shared" si="220"/>
        <v>6158</v>
      </c>
      <c r="BS197" s="59">
        <f t="shared" si="219"/>
        <v>149.97166695223495</v>
      </c>
      <c r="BT197" s="42">
        <f>'[1]побудинковий звіт'!BT197+'[2]побудинковий звіт'!BT197-'[3]побудинковий звіт'!BT197</f>
        <v>58016.05229425164</v>
      </c>
      <c r="BU197" s="42">
        <f>'[1]побудинковий звіт'!BU197+'[2]побудинковий звіт'!BU197-'[3]побудинковий звіт'!BU197</f>
        <v>64459.190493364847</v>
      </c>
      <c r="BV197" s="56">
        <f t="shared" si="195"/>
        <v>6443.1381991132075</v>
      </c>
      <c r="BW197" s="42">
        <f>'[1]побудинковий звіт'!BW197+'[2]побудинковий звіт'!BW197-'[3]побудинковий звіт'!BW197</f>
        <v>29884.659103723465</v>
      </c>
      <c r="BX197" s="42">
        <f>'[1]побудинковий звіт'!BX197+'[2]побудинковий звіт'!BX197-'[3]побудинковий звіт'!BX197</f>
        <v>29264.95882956796</v>
      </c>
      <c r="BY197" s="56">
        <f t="shared" si="196"/>
        <v>-619.7002741555043</v>
      </c>
      <c r="BZ197" s="42">
        <f>'[1]побудинковий звіт'!BZ197+'[2]побудинковий звіт'!BZ197-'[3]побудинковий звіт'!BZ197</f>
        <v>10906.47979860691</v>
      </c>
      <c r="CA197" s="42">
        <f>'[1]побудинковий звіт'!CA197+'[2]побудинковий звіт'!CA197-'[3]побудинковий звіт'!CA197</f>
        <v>13652.871036821953</v>
      </c>
      <c r="CB197" s="56">
        <f t="shared" si="197"/>
        <v>2746.3912382150429</v>
      </c>
      <c r="CC197" s="42">
        <f>'[1]побудинковий звіт'!CC197+'[2]побудинковий звіт'!CC197-'[3]побудинковий звіт'!CC197</f>
        <v>941.2241231959473</v>
      </c>
      <c r="CD197" s="42">
        <f>'[1]побудинковий звіт'!CD197+'[2]побудинковий звіт'!CD197-'[3]побудинковий звіт'!CD197</f>
        <v>932.94579092909726</v>
      </c>
      <c r="CE197" s="56">
        <f t="shared" si="198"/>
        <v>-8.2783322668500432</v>
      </c>
      <c r="CF197" s="42">
        <f>'[1]побудинковий звіт'!CF197+'[2]побудинковий звіт'!CF197-'[3]побудинковий звіт'!CF197</f>
        <v>115.87039395404656</v>
      </c>
      <c r="CG197" s="42">
        <f>'[1]побудинковий звіт'!CG197+'[2]побудинковий звіт'!CG197-'[3]побудинковий звіт'!CG197</f>
        <v>0</v>
      </c>
      <c r="CH197" s="56">
        <f t="shared" si="199"/>
        <v>-115.87039395404656</v>
      </c>
      <c r="CI197" s="42">
        <f>'[1]побудинковий звіт'!CI197+'[2]побудинковий звіт'!CI197-'[3]побудинковий звіт'!CI197</f>
        <v>8572.6265311539955</v>
      </c>
      <c r="CJ197" s="42">
        <f>'[1]побудинковий звіт'!CJ197+'[2]побудинковий звіт'!CJ197-'[3]побудинковий звіт'!CJ197</f>
        <v>7385.1283615623615</v>
      </c>
      <c r="CK197" s="56">
        <f t="shared" si="200"/>
        <v>-1187.498169591634</v>
      </c>
      <c r="CL197" s="42">
        <f>'[1]побудинковий звіт'!CL197+'[2]побудинковий звіт'!CL197-'[3]побудинковий звіт'!CL197</f>
        <v>13439.183077223954</v>
      </c>
      <c r="CM197" s="42">
        <f>'[1]побудинковий звіт'!CM197+'[2]побудинковий звіт'!CM197-'[3]побудинковий звіт'!CM197</f>
        <v>14313.608611309272</v>
      </c>
      <c r="CN197" s="56">
        <f t="shared" si="201"/>
        <v>874.42553408531785</v>
      </c>
      <c r="CO197" s="42">
        <f t="shared" si="181"/>
        <v>22011.809608377949</v>
      </c>
      <c r="CP197" s="43">
        <f t="shared" si="202"/>
        <v>21698.736972871633</v>
      </c>
      <c r="CQ197" s="56">
        <f t="shared" si="203"/>
        <v>-313.07263550631615</v>
      </c>
      <c r="CR197" s="78">
        <f t="shared" si="182"/>
        <v>263781.24283241009</v>
      </c>
      <c r="CS197" s="5">
        <f t="shared" si="182"/>
        <v>267985.15897064074</v>
      </c>
      <c r="CT197" s="56">
        <f t="shared" si="204"/>
        <v>4203.9161382306484</v>
      </c>
      <c r="CU197" s="87">
        <f t="shared" si="205"/>
        <v>316537.49139889207</v>
      </c>
      <c r="CV197" s="70">
        <f t="shared" si="206"/>
        <v>321582.19076476886</v>
      </c>
      <c r="CW197" s="37">
        <f t="shared" si="207"/>
        <v>5044.6993658767897</v>
      </c>
      <c r="CX197" s="42">
        <f>'[1]побудинковий звіт'!CX197+'[2]побудинковий звіт'!CX197-'[3]побудинковий звіт'!CX197</f>
        <v>8620.5686011078396</v>
      </c>
      <c r="CY197" s="42">
        <f>'[1]побудинковий звіт'!CY197+'[2]побудинковий звіт'!CY197-'[3]побудинковий звіт'!CY197</f>
        <v>3575.8692352311409</v>
      </c>
      <c r="CZ197" s="56">
        <f t="shared" si="208"/>
        <v>-5044.6993658766987</v>
      </c>
      <c r="DA197" s="264">
        <f>'[4]побудинковий звіт'!DA197</f>
        <v>-27415.161732033754</v>
      </c>
      <c r="DB197" s="2">
        <v>1</v>
      </c>
      <c r="DC197" s="717">
        <f>'[4]побудинковий звіт'!DC197</f>
        <v>101679.64</v>
      </c>
      <c r="DD197" s="717">
        <f>'[4]побудинковий звіт'!DD197</f>
        <v>0</v>
      </c>
      <c r="DE197" s="717">
        <f>'[4]побудинковий звіт'!DE197</f>
        <v>74814.8</v>
      </c>
      <c r="DF197" s="717">
        <f>'[4]побудинковий звіт'!DF197</f>
        <v>0</v>
      </c>
      <c r="DG197" s="787">
        <v>-66721.202124314266</v>
      </c>
      <c r="DH197" s="761">
        <f t="shared" ref="DH197:DH260" si="226">(CU197+CX197)*12</f>
        <v>3901896.7199999993</v>
      </c>
      <c r="DI197" s="784"/>
      <c r="DJ197" s="5"/>
      <c r="DK197" s="317">
        <f>VLOOKUP($A197,ціни!$A$4:$G$401,5)</f>
        <v>5.8706639677490982</v>
      </c>
      <c r="DL197" s="317">
        <f>VLOOKUP($A197,ціни!$A$4:$G$401,6)</f>
        <v>7.1588742181482861</v>
      </c>
      <c r="DM197" s="317">
        <f>VLOOKUP($A197,ціни!$A$4:$G$401,7)</f>
        <v>5.0752130724542273</v>
      </c>
      <c r="DN197" s="30">
        <f>DK197*G197+(F197-G197)*DL197</f>
        <v>1154.3329830023592</v>
      </c>
      <c r="DO197" s="30">
        <f>DM197*H197</f>
        <v>0</v>
      </c>
      <c r="DP197" s="316">
        <f t="shared" si="221"/>
        <v>1154.3329830023592</v>
      </c>
      <c r="DQ197" s="104"/>
      <c r="DR197" s="30">
        <f>VLOOKUP(A197,'ДЗ нас '!$A$1:$C$359,2)</f>
        <v>26864.84</v>
      </c>
      <c r="DS197" s="748"/>
      <c r="DT197" s="30">
        <f t="shared" si="222"/>
        <v>26864.84</v>
      </c>
      <c r="DU197" s="257">
        <f>VLOOKUP(A197,'новий кошторис с 01.06'!$A$4:$AI$399,35)*1.2</f>
        <v>26852.930520339352</v>
      </c>
      <c r="DV197" s="30">
        <f t="shared" si="223"/>
        <v>11.909479660647776</v>
      </c>
      <c r="DW197" s="930">
        <f>'[5]побудинковий звіт'!DW197+'[6]побудинковий звіт'!DW197</f>
        <v>236</v>
      </c>
      <c r="DY197" s="5">
        <f t="shared" ref="DY197:DY259" si="227">(AS197+BQ197)*1.2</f>
        <v>81255.727855784178</v>
      </c>
      <c r="DZ197" s="5">
        <f t="shared" ref="DZ197:DZ259" si="228">(AT197+BR197)*1.2</f>
        <v>82915.199999999997</v>
      </c>
      <c r="EA197" s="752">
        <f t="shared" ref="EA197:EA260" si="229">DE197+DF197</f>
        <v>74814.8</v>
      </c>
      <c r="EC197" s="592">
        <f t="shared" ref="EC197:EC259" si="230">AS197*12</f>
        <v>740460.93856126862</v>
      </c>
      <c r="EE197" s="758">
        <v>99839</v>
      </c>
      <c r="EF197" s="738">
        <f t="shared" ref="EF197:EF259" si="231">EE197+DG197</f>
        <v>33117.797875685734</v>
      </c>
      <c r="EH197" s="813">
        <v>-52303.727353687733</v>
      </c>
    </row>
    <row r="198" spans="1:138" x14ac:dyDescent="0.3">
      <c r="A198" s="328">
        <v>150000938</v>
      </c>
      <c r="B198" s="44" t="s">
        <v>649</v>
      </c>
      <c r="C198" s="45" t="s">
        <v>375</v>
      </c>
      <c r="D198" s="45" t="s">
        <v>375</v>
      </c>
      <c r="E198" s="40">
        <f t="shared" si="175"/>
        <v>1414</v>
      </c>
      <c r="F198" s="490">
        <v>553.20000000000005</v>
      </c>
      <c r="G198" s="30">
        <v>1189.72</v>
      </c>
      <c r="H198" s="30">
        <v>860.80000000000007</v>
      </c>
      <c r="I198" s="42">
        <f>'[1]побудинковий звіт'!I198+'[2]побудинковий звіт'!I198-'[3]побудинковий звіт'!I198</f>
        <v>53360.116306675358</v>
      </c>
      <c r="J198" s="42">
        <f>'[1]побудинковий звіт'!J198+'[2]побудинковий звіт'!J198-'[3]побудинковий звіт'!J198</f>
        <v>45208.994412711007</v>
      </c>
      <c r="K198" s="56">
        <f t="shared" si="183"/>
        <v>-8151.1218939643513</v>
      </c>
      <c r="L198" s="42">
        <f>'[1]побудинковий звіт'!L198+'[2]побудинковий звіт'!L198-'[3]побудинковий звіт'!L198</f>
        <v>8303.2430904713801</v>
      </c>
      <c r="M198" s="42">
        <f>'[1]побудинковий звіт'!M198+'[2]побудинковий звіт'!M198-'[3]побудинковий звіт'!M198</f>
        <v>7626.7519758285916</v>
      </c>
      <c r="N198" s="56">
        <f t="shared" si="184"/>
        <v>-676.49111464278849</v>
      </c>
      <c r="O198" s="42">
        <f>'[1]побудинковий звіт'!O198+'[2]побудинковий звіт'!O198-'[3]побудинковий звіт'!O198</f>
        <v>22485.359999999997</v>
      </c>
      <c r="P198" s="42">
        <f>'[1]побудинковий звіт'!P198+'[2]побудинковий звіт'!P198-'[3]побудинковий звіт'!P198</f>
        <v>17673.519095</v>
      </c>
      <c r="Q198" s="56">
        <f t="shared" si="185"/>
        <v>-4811.8409049999973</v>
      </c>
      <c r="R198" s="42">
        <f>'[1]побудинковий звіт'!R198+'[2]побудинковий звіт'!R198-'[3]побудинковий звіт'!R198</f>
        <v>5015.6400000000012</v>
      </c>
      <c r="S198" s="42">
        <f>'[1]побудинковий звіт'!S198+'[2]побудинковий звіт'!S198-'[3]побудинковий звіт'!S198</f>
        <v>3942.2859610215055</v>
      </c>
      <c r="T198" s="56">
        <f t="shared" si="186"/>
        <v>-1073.3540389784957</v>
      </c>
      <c r="U198" s="42">
        <f>'[1]побудинковий звіт'!U198+'[2]побудинковий звіт'!U198-'[3]побудинковий звіт'!U198</f>
        <v>2730.6383404278431</v>
      </c>
      <c r="V198" s="42">
        <f>'[1]побудинковий звіт'!V198+'[2]побудинковий звіт'!V198-'[3]побудинковий звіт'!V198</f>
        <v>971.35254882480262</v>
      </c>
      <c r="W198" s="56">
        <f t="shared" si="187"/>
        <v>-1759.2857916030405</v>
      </c>
      <c r="X198" s="42">
        <f>'[1]побудинковий звіт'!X198+'[2]побудинковий звіт'!X198-'[3]побудинковий звіт'!X198</f>
        <v>35295.966128561238</v>
      </c>
      <c r="Y198" s="42">
        <f>'[1]побудинковий звіт'!Y198+'[2]побудинковий звіт'!Y198-'[3]побудинковий звіт'!Y198</f>
        <v>25919.801895434517</v>
      </c>
      <c r="Z198" s="56">
        <f t="shared" si="188"/>
        <v>-9376.1642331267212</v>
      </c>
      <c r="AA198" s="42">
        <f>'[1]побудинковий звіт'!AA198+'[2]побудинковий звіт'!AA198-'[3]побудинковий звіт'!AA198</f>
        <v>0</v>
      </c>
      <c r="AB198" s="42">
        <f>'[1]побудинковий звіт'!AB198+'[2]побудинковий звіт'!AB198-'[3]побудинковий звіт'!AB198</f>
        <v>0</v>
      </c>
      <c r="AC198" s="56">
        <f t="shared" si="189"/>
        <v>0</v>
      </c>
      <c r="AD198" s="42">
        <f>'[1]побудинковий звіт'!AD198+'[2]побудинковий звіт'!AD198-'[3]побудинковий звіт'!AD198</f>
        <v>65986.214278071813</v>
      </c>
      <c r="AE198" s="42">
        <f>'[1]побудинковий звіт'!AE198+'[2]побудинковий звіт'!AE198-'[3]побудинковий звіт'!AE198</f>
        <v>60844.530947718587</v>
      </c>
      <c r="AF198" s="37">
        <f t="shared" si="190"/>
        <v>-5141.6833303532258</v>
      </c>
      <c r="AG198" s="87">
        <f t="shared" si="180"/>
        <v>193177.17814420763</v>
      </c>
      <c r="AH198" s="57">
        <f t="shared" si="180"/>
        <v>162187.236836539</v>
      </c>
      <c r="AI198" s="56">
        <f t="shared" si="191"/>
        <v>-30989.941307668632</v>
      </c>
      <c r="AJ198" s="42">
        <f>'[1]побудинковий звіт'!AJ198+'[2]побудинковий звіт'!AJ198-'[3]побудинковий звіт'!AJ198</f>
        <v>113650.94112339293</v>
      </c>
      <c r="AK198" s="42">
        <f>'[1]побудинковий звіт'!AK198+'[2]побудинковий звіт'!AK198-'[3]побудинковий звіт'!AK198</f>
        <v>112650.91302929484</v>
      </c>
      <c r="AL198" s="56">
        <f t="shared" si="192"/>
        <v>-1000.0280940980883</v>
      </c>
      <c r="AM198" s="42">
        <f>'[1]побудинковий звіт'!AM198+'[2]побудинковий звіт'!AM198-'[3]побудинковий звіт'!AM198</f>
        <v>0</v>
      </c>
      <c r="AN198" s="42">
        <f>'[1]побудинковий звіт'!AN198+'[2]побудинковий звіт'!AN198-'[3]побудинковий звіт'!AN198</f>
        <v>9112.1400406106386</v>
      </c>
      <c r="AO198" s="56">
        <f t="shared" si="193"/>
        <v>9112.1400406106386</v>
      </c>
      <c r="AP198" s="42">
        <f>'[1]побудинковий звіт'!AP198+'[2]побудинковий звіт'!AP198-'[3]побудинковий звіт'!AP198</f>
        <v>11600.966125447208</v>
      </c>
      <c r="AQ198" s="42">
        <f>'[1]побудинковий звіт'!AQ198+'[2]побудинковий звіт'!AQ198-'[3]побудинковий звіт'!AQ198</f>
        <v>11603.479132169865</v>
      </c>
      <c r="AR198" s="56">
        <f t="shared" si="194"/>
        <v>2.5130067226564279</v>
      </c>
      <c r="AS198" s="42">
        <f>'[1]побудинковий звіт'!AS198+'[2]побудинковий звіт'!AS198-'[3]побудинковий звіт'!AS198</f>
        <v>230014.71734259636</v>
      </c>
      <c r="AT198" s="42">
        <f>'[1]побудинковий звіт'!AT198+'[2]побудинковий звіт'!AT198-'[3]побудинковий звіт'!AT198</f>
        <v>141022.67989341178</v>
      </c>
      <c r="AU198" s="58">
        <f t="shared" si="211"/>
        <v>-88992.037449184572</v>
      </c>
      <c r="AV198" s="42">
        <f>'[1]побудинковий звіт'!AV198+'[2]побудинковий звіт'!AV198-'[3]побудинковий звіт'!AV198</f>
        <v>4125.413561988581</v>
      </c>
      <c r="AW198" s="42">
        <f>'[1]побудинковий звіт'!AW198+'[2]побудинковий звіт'!AW198-'[3]побудинковий звіт'!AW198</f>
        <v>3036.8637594825686</v>
      </c>
      <c r="AX198" s="59">
        <f t="shared" si="212"/>
        <v>-1088.5498025060124</v>
      </c>
      <c r="AY198" s="42">
        <f>'[1]побудинковий звіт'!AY198+'[2]побудинковий звіт'!AY198-'[3]побудинковий звіт'!AY198</f>
        <v>5116.4025963034574</v>
      </c>
      <c r="AZ198" s="42">
        <f>'[1]побудинковий звіт'!AZ198+'[2]побудинковий звіт'!AZ198-'[3]побудинковий звіт'!AZ198</f>
        <v>12461</v>
      </c>
      <c r="BA198" s="37">
        <f t="shared" si="213"/>
        <v>7344.5974036965426</v>
      </c>
      <c r="BB198" s="42">
        <f>'[1]побудинковий звіт'!BB198+'[2]побудинковий звіт'!BB198-'[3]побудинковий звіт'!BB198</f>
        <v>4911.5911368776024</v>
      </c>
      <c r="BC198" s="42">
        <f>'[1]побудинковий звіт'!BC198+'[2]побудинковий звіт'!BC198-'[3]побудинковий звіт'!BC198</f>
        <v>0</v>
      </c>
      <c r="BD198" s="59">
        <f t="shared" si="214"/>
        <v>-4911.5911368776024</v>
      </c>
      <c r="BE198" s="42">
        <f>'[1]побудинковий звіт'!BE198+'[2]побудинковий звіт'!BE198-'[3]побудинковий звіт'!BE198</f>
        <v>2714.8521991340513</v>
      </c>
      <c r="BF198" s="42">
        <f>'[1]побудинковий звіт'!BF198+'[2]побудинковий звіт'!BF198-'[3]побудинковий звіт'!BF198</f>
        <v>0</v>
      </c>
      <c r="BG198" s="39">
        <f t="shared" si="215"/>
        <v>-2714.8521991340513</v>
      </c>
      <c r="BH198" s="42">
        <f>'[1]побудинковий звіт'!BH198+'[2]побудинковий звіт'!BH198-'[3]побудинковий звіт'!BH198</f>
        <v>1385.1854514791391</v>
      </c>
      <c r="BI198" s="42">
        <f>'[1]побудинковий звіт'!BI198+'[2]побудинковий звіт'!BI198-'[3]побудинковий звіт'!BI198</f>
        <v>0</v>
      </c>
      <c r="BJ198" s="59">
        <f t="shared" si="216"/>
        <v>-1385.1854514791391</v>
      </c>
      <c r="BK198" s="42">
        <f>'[1]побудинковий звіт'!BK198+'[2]побудинковий звіт'!BK198-'[3]побудинковий звіт'!BK198</f>
        <v>4373.8545356393488</v>
      </c>
      <c r="BL198" s="42">
        <f>'[1]побудинковий звіт'!BL198+'[2]побудинковий звіт'!BL198-'[3]побудинковий звіт'!BL198</f>
        <v>1098</v>
      </c>
      <c r="BM198" s="39">
        <f t="shared" si="217"/>
        <v>-3275.8545356393488</v>
      </c>
      <c r="BN198" s="42">
        <f>'[1]побудинковий звіт'!BN198+'[2]побудинковий звіт'!BN198-'[3]побудинковий звіт'!BN198</f>
        <v>1414.4304200481445</v>
      </c>
      <c r="BO198" s="42">
        <f>'[1]побудинковий звіт'!BO198+'[2]побудинковий звіт'!BO198-'[3]побудинковий звіт'!BO198</f>
        <v>0</v>
      </c>
      <c r="BP198" s="59">
        <f t="shared" si="218"/>
        <v>-1414.4304200481445</v>
      </c>
      <c r="BQ198" s="87">
        <f t="shared" si="176"/>
        <v>24041.72990147032</v>
      </c>
      <c r="BR198" s="43">
        <f t="shared" si="220"/>
        <v>16595.86375948257</v>
      </c>
      <c r="BS198" s="59">
        <f t="shared" si="219"/>
        <v>-7445.8661419877499</v>
      </c>
      <c r="BT198" s="42">
        <f>'[1]побудинковий звіт'!BT198+'[2]побудинковий звіт'!BT198-'[3]побудинковий звіт'!BT198</f>
        <v>215594.59621019627</v>
      </c>
      <c r="BU198" s="42">
        <f>'[1]побудинковий звіт'!BU198+'[2]побудинковий звіт'!BU198-'[3]побудинковий звіт'!BU198</f>
        <v>245684.36522404209</v>
      </c>
      <c r="BV198" s="56">
        <f t="shared" si="195"/>
        <v>30089.769013845827</v>
      </c>
      <c r="BW198" s="42">
        <f>'[1]побудинковий звіт'!BW198+'[2]побудинковий звіт'!BW198-'[3]побудинковий звіт'!BW198</f>
        <v>131450.94725833155</v>
      </c>
      <c r="BX198" s="42">
        <f>'[1]побудинковий звіт'!BX198+'[2]побудинковий звіт'!BX198-'[3]побудинковий звіт'!BX198</f>
        <v>135888.54869036743</v>
      </c>
      <c r="BY198" s="56">
        <f t="shared" si="196"/>
        <v>4437.6014320358809</v>
      </c>
      <c r="BZ198" s="42">
        <f>'[1]побудинковий звіт'!BZ198+'[2]побудинковий звіт'!BZ198-'[3]побудинковий звіт'!BZ198</f>
        <v>41548.494470883466</v>
      </c>
      <c r="CA198" s="42">
        <f>'[1]побудинковий звіт'!CA198+'[2]побудинковий звіт'!CA198-'[3]побудинковий звіт'!CA198</f>
        <v>54940.336636201959</v>
      </c>
      <c r="CB198" s="56">
        <f t="shared" si="197"/>
        <v>13391.842165318492</v>
      </c>
      <c r="CC198" s="42">
        <f>'[1]побудинковий звіт'!CC198+'[2]побудинковий звіт'!CC198-'[3]побудинковий звіт'!CC198</f>
        <v>2100.1063248809573</v>
      </c>
      <c r="CD198" s="42">
        <f>'[1]побудинковий звіт'!CD198+'[2]побудинковий звіт'!CD198-'[3]побудинковий звіт'!CD198</f>
        <v>2081.6352960105478</v>
      </c>
      <c r="CE198" s="56">
        <f t="shared" si="198"/>
        <v>-18.471028870409555</v>
      </c>
      <c r="CF198" s="42">
        <f>'[1]побудинковий звіт'!CF198+'[2]побудинковий звіт'!CF198-'[3]побудинковий звіт'!CF198</f>
        <v>258.53581650996642</v>
      </c>
      <c r="CG198" s="42">
        <f>'[1]побудинковий звіт'!CG198+'[2]побудинковий звіт'!CG198-'[3]побудинковий звіт'!CG198</f>
        <v>0</v>
      </c>
      <c r="CH198" s="56">
        <f t="shared" si="199"/>
        <v>-258.53581650996642</v>
      </c>
      <c r="CI198" s="42">
        <f>'[1]побудинковий звіт'!CI198+'[2]побудинковий звіт'!CI198-'[3]побудинковий звіт'!CI198</f>
        <v>24800.720859779583</v>
      </c>
      <c r="CJ198" s="42">
        <f>'[1]побудинковий звіт'!CJ198+'[2]побудинковий звіт'!CJ198-'[3]побудинковий звіт'!CJ198</f>
        <v>10925.348719563117</v>
      </c>
      <c r="CK198" s="56">
        <f t="shared" si="200"/>
        <v>-13875.372140216467</v>
      </c>
      <c r="CL198" s="42">
        <f>'[1]побудинковий звіт'!CL198+'[2]побудинковий звіт'!CL198-'[3]побудинковий звіт'!CL198</f>
        <v>15984.766501322087</v>
      </c>
      <c r="CM198" s="42">
        <f>'[1]побудинковий звіт'!CM198+'[2]побудинковий звіт'!CM198-'[3]побудинковий звіт'!CM198</f>
        <v>20083.646252240513</v>
      </c>
      <c r="CN198" s="56">
        <f t="shared" si="201"/>
        <v>4098.879750918426</v>
      </c>
      <c r="CO198" s="42">
        <f t="shared" si="181"/>
        <v>40785.487361101666</v>
      </c>
      <c r="CP198" s="43">
        <f t="shared" si="202"/>
        <v>31008.99497180363</v>
      </c>
      <c r="CQ198" s="56">
        <f t="shared" si="203"/>
        <v>-9776.4923892980369</v>
      </c>
      <c r="CR198" s="78">
        <f t="shared" si="182"/>
        <v>1004223.7000790185</v>
      </c>
      <c r="CS198" s="5">
        <f t="shared" si="182"/>
        <v>922776.19350993435</v>
      </c>
      <c r="CT198" s="56">
        <f t="shared" si="204"/>
        <v>-81447.506569084129</v>
      </c>
      <c r="CU198" s="87">
        <f t="shared" si="205"/>
        <v>1205068.4400948221</v>
      </c>
      <c r="CV198" s="70">
        <f t="shared" si="206"/>
        <v>1107331.4322119211</v>
      </c>
      <c r="CW198" s="37">
        <f t="shared" si="207"/>
        <v>-97737.007882901002</v>
      </c>
      <c r="CX198" s="42">
        <f>'[1]побудинковий звіт'!CX198+'[2]побудинковий звіт'!CX198-'[3]побудинковий звіт'!CX198</f>
        <v>19116.319905177996</v>
      </c>
      <c r="CY198" s="42">
        <f>'[1]побудинковий звіт'!CY198+'[2]побудинковий звіт'!CY198-'[3]побудинковий звіт'!CY198</f>
        <v>116853.32778807872</v>
      </c>
      <c r="CZ198" s="56">
        <f t="shared" si="208"/>
        <v>97737.007882900725</v>
      </c>
      <c r="DA198" s="264">
        <f>'[4]побудинковий звіт'!DA198</f>
        <v>106195.79612576641</v>
      </c>
      <c r="DB198" s="2">
        <v>1</v>
      </c>
      <c r="DC198" s="717">
        <f>'[4]побудинковий звіт'!DC198</f>
        <v>262876.94</v>
      </c>
      <c r="DD198" s="717">
        <f>'[4]побудинковий звіт'!DD198</f>
        <v>27973.079999999998</v>
      </c>
      <c r="DE198" s="717">
        <f>'[4]побудинковий звіт'!DE198</f>
        <v>165055.53</v>
      </c>
      <c r="DF198" s="717">
        <f>'[4]побудинковий звіт'!DF198</f>
        <v>23702.21</v>
      </c>
      <c r="DG198" s="787">
        <v>230905.43547109934</v>
      </c>
      <c r="DH198" s="761">
        <f t="shared" si="226"/>
        <v>14690217.120000001</v>
      </c>
      <c r="DI198" s="784"/>
      <c r="DJ198" s="5"/>
      <c r="DK198" s="317">
        <f>VLOOKUP($A198,ціни!$A$4:$G$401,5)</f>
        <v>5.8029918821323241</v>
      </c>
      <c r="DL198" s="317">
        <f>VLOOKUP($A198,ціни!$A$4:$G$401,6)</f>
        <v>6.785891222453202</v>
      </c>
      <c r="DM198" s="317">
        <f>VLOOKUP($A198,ціни!$A$4:$G$401,7)</f>
        <v>4.8876750678859526</v>
      </c>
      <c r="DN198" s="30">
        <f>DK198*G198+(F198-G198)*DL198</f>
        <v>2584.5800210945563</v>
      </c>
      <c r="DO198" s="30">
        <f>DM198*H198</f>
        <v>4207.3106984362284</v>
      </c>
      <c r="DP198" s="316">
        <f t="shared" si="221"/>
        <v>6791.8907195307847</v>
      </c>
      <c r="DQ198" s="104"/>
      <c r="DR198" s="30">
        <f>VLOOKUP(A198,'ДЗ нас '!$A$1:$C$359,2)</f>
        <v>97828.2</v>
      </c>
      <c r="DS198" s="748">
        <f>VLOOKUP(A198,'ДЗ нежит'!$A$1:$D$153,4,0)</f>
        <v>4270.87</v>
      </c>
      <c r="DT198" s="30">
        <f t="shared" si="222"/>
        <v>102099.06999999999</v>
      </c>
      <c r="DU198" s="257">
        <f>VLOOKUP(A198,'новий кошторис с 01.06'!$A$4:$AI$399,35)*1.2</f>
        <v>102229.97266804407</v>
      </c>
      <c r="DV198" s="30">
        <f t="shared" si="223"/>
        <v>-130.90266804407293</v>
      </c>
      <c r="DW198" s="930">
        <f>'[5]побудинковий звіт'!DW198+'[6]побудинковий звіт'!DW198</f>
        <v>464.44</v>
      </c>
      <c r="DY198" s="5">
        <f t="shared" si="227"/>
        <v>304867.73669287999</v>
      </c>
      <c r="DZ198" s="5">
        <f t="shared" si="228"/>
        <v>189142.25238347321</v>
      </c>
      <c r="EA198" s="752">
        <f t="shared" si="229"/>
        <v>188757.74</v>
      </c>
      <c r="EC198" s="592">
        <f t="shared" si="230"/>
        <v>2760176.6081111562</v>
      </c>
      <c r="EE198" s="758">
        <v>-48550</v>
      </c>
      <c r="EF198" s="738">
        <f t="shared" si="231"/>
        <v>182355.43547109934</v>
      </c>
      <c r="EH198" s="813">
        <v>172483.00609205285</v>
      </c>
    </row>
    <row r="199" spans="1:138" x14ac:dyDescent="0.3">
      <c r="A199" s="328">
        <v>150000925</v>
      </c>
      <c r="B199" s="44" t="s">
        <v>650</v>
      </c>
      <c r="C199" s="45" t="s">
        <v>176</v>
      </c>
      <c r="D199" s="45" t="s">
        <v>176</v>
      </c>
      <c r="E199" s="40">
        <f t="shared" si="175"/>
        <v>472.24</v>
      </c>
      <c r="F199" s="490">
        <v>358.84</v>
      </c>
      <c r="G199" s="30"/>
      <c r="H199" s="30">
        <v>113.4</v>
      </c>
      <c r="I199" s="42">
        <f>'[1]побудинковий звіт'!I199+'[2]побудинковий звіт'!I199-'[3]побудинковий звіт'!I199</f>
        <v>2421.9278880584375</v>
      </c>
      <c r="J199" s="42">
        <f>'[1]побудинковий звіт'!J199+'[2]побудинковий звіт'!J199-'[3]побудинковий звіт'!J199</f>
        <v>2377.9878874129008</v>
      </c>
      <c r="K199" s="56">
        <f t="shared" si="183"/>
        <v>-43.940000645536657</v>
      </c>
      <c r="L199" s="42">
        <f>'[1]побудинковий звіт'!L199+'[2]побудинковий звіт'!L199-'[3]побудинковий звіт'!L199</f>
        <v>538.23777175711905</v>
      </c>
      <c r="M199" s="42">
        <f>'[1]побудинковий звіт'!M199+'[2]побудинковий звіт'!M199-'[3]побудинковий звіт'!M199</f>
        <v>543.05591020426948</v>
      </c>
      <c r="N199" s="56">
        <f t="shared" si="184"/>
        <v>4.8181384471504316</v>
      </c>
      <c r="O199" s="42">
        <f>'[1]побудинковий звіт'!O199+'[2]побудинковий звіт'!O199-'[3]побудинковий звіт'!O199</f>
        <v>575.16</v>
      </c>
      <c r="P199" s="42">
        <f>'[1]побудинковий звіт'!P199+'[2]побудинковий звіт'!P199-'[3]побудинковий звіт'!P199</f>
        <v>452.10818494623663</v>
      </c>
      <c r="Q199" s="56">
        <f t="shared" si="185"/>
        <v>-123.05181505376333</v>
      </c>
      <c r="R199" s="42">
        <f>'[1]побудинковий звіт'!R199+'[2]побудинковий звіт'!R199-'[3]побудинковий звіт'!R199</f>
        <v>0</v>
      </c>
      <c r="S199" s="42">
        <f>'[1]побудинковий звіт'!S199+'[2]побудинковий звіт'!S199-'[3]побудинковий звіт'!S199</f>
        <v>0</v>
      </c>
      <c r="T199" s="56">
        <f t="shared" si="186"/>
        <v>0</v>
      </c>
      <c r="U199" s="42">
        <f>'[1]побудинковий звіт'!U199+'[2]побудинковий звіт'!U199-'[3]побудинковий звіт'!U199</f>
        <v>0</v>
      </c>
      <c r="V199" s="42">
        <f>'[1]побудинковий звіт'!V199+'[2]побудинковий звіт'!V199-'[3]побудинковий звіт'!V199</f>
        <v>0</v>
      </c>
      <c r="W199" s="56">
        <f t="shared" si="187"/>
        <v>0</v>
      </c>
      <c r="X199" s="42">
        <f>'[1]побудинковий звіт'!X199+'[2]побудинковий звіт'!X199-'[3]побудинковий звіт'!X199</f>
        <v>1186.6969131526546</v>
      </c>
      <c r="Y199" s="42">
        <f>'[1]побудинковий звіт'!Y199+'[2]побудинковий звіт'!Y199-'[3]побудинковий звіт'!Y199</f>
        <v>889.15740542867468</v>
      </c>
      <c r="Z199" s="56">
        <f t="shared" si="188"/>
        <v>-297.53950772397991</v>
      </c>
      <c r="AA199" s="42">
        <f>'[1]побудинковий звіт'!AA199+'[2]побудинковий звіт'!AA199-'[3]побудинковий звіт'!AA199</f>
        <v>0</v>
      </c>
      <c r="AB199" s="42">
        <f>'[1]побудинковий звіт'!AB199+'[2]побудинковий звіт'!AB199-'[3]побудинковий звіт'!AB199</f>
        <v>0</v>
      </c>
      <c r="AC199" s="56">
        <f t="shared" si="189"/>
        <v>0</v>
      </c>
      <c r="AD199" s="42">
        <f>'[1]побудинковий звіт'!AD199+'[2]побудинковий звіт'!AD199-'[3]побудинковий звіт'!AD199</f>
        <v>2049.8336370180091</v>
      </c>
      <c r="AE199" s="42">
        <f>'[1]побудинковий звіт'!AE199+'[2]побудинковий звіт'!AE199-'[3]побудинковий звіт'!AE199</f>
        <v>1889.3180092954553</v>
      </c>
      <c r="AF199" s="37">
        <f t="shared" si="190"/>
        <v>-160.51562772255375</v>
      </c>
      <c r="AG199" s="87">
        <f t="shared" si="180"/>
        <v>6771.8562099862193</v>
      </c>
      <c r="AH199" s="57">
        <f t="shared" si="180"/>
        <v>6151.627397287537</v>
      </c>
      <c r="AI199" s="56">
        <f t="shared" si="191"/>
        <v>-620.2288126986823</v>
      </c>
      <c r="AJ199" s="42">
        <f>'[1]побудинковий звіт'!AJ199+'[2]побудинковий звіт'!AJ199-'[3]побудинковий звіт'!AJ199</f>
        <v>0</v>
      </c>
      <c r="AK199" s="42">
        <f>'[1]побудинковий звіт'!AK199+'[2]побудинковий звіт'!AK199-'[3]побудинковий звіт'!AK199</f>
        <v>0</v>
      </c>
      <c r="AL199" s="56">
        <f t="shared" si="192"/>
        <v>0</v>
      </c>
      <c r="AM199" s="42">
        <f>'[1]побудинковий звіт'!AM199+'[2]побудинковий звіт'!AM199-'[3]побудинковий звіт'!AM199</f>
        <v>0</v>
      </c>
      <c r="AN199" s="42">
        <f>'[1]побудинковий звіт'!AN199+'[2]побудинковий звіт'!AN199-'[3]побудинковий звіт'!AN199</f>
        <v>0</v>
      </c>
      <c r="AO199" s="56">
        <f t="shared" si="193"/>
        <v>0</v>
      </c>
      <c r="AP199" s="42">
        <f>'[1]побудинковий звіт'!AP199+'[2]побудинковий звіт'!AP199-'[3]побудинковий звіт'!AP199</f>
        <v>852.31587860428453</v>
      </c>
      <c r="AQ199" s="42">
        <f>'[1]побудинковий звіт'!AQ199+'[2]побудинковий звіт'!AQ199-'[3]побудинковий звіт'!AQ199</f>
        <v>767.50911445539566</v>
      </c>
      <c r="AR199" s="56">
        <f t="shared" si="194"/>
        <v>-84.806764148888874</v>
      </c>
      <c r="AS199" s="42">
        <f>'[1]побудинковий звіт'!AS199+'[2]побудинковий звіт'!AS199-'[3]побудинковий звіт'!AS199</f>
        <v>7065.6256210970987</v>
      </c>
      <c r="AT199" s="42">
        <f>'[1]побудинковий звіт'!AT199+'[2]побудинковий звіт'!AT199-'[3]побудинковий звіт'!AT199</f>
        <v>21334</v>
      </c>
      <c r="AU199" s="58">
        <f t="shared" si="211"/>
        <v>14268.374378902901</v>
      </c>
      <c r="AV199" s="42">
        <f>'[1]побудинковий звіт'!AV199+'[2]побудинковий звіт'!AV199-'[3]побудинковий звіт'!AV199</f>
        <v>463.52496968052026</v>
      </c>
      <c r="AW199" s="42">
        <f>'[1]побудинковий звіт'!AW199+'[2]побудинковий звіт'!AW199-'[3]побудинковий звіт'!AW199</f>
        <v>0</v>
      </c>
      <c r="AX199" s="59">
        <f t="shared" si="212"/>
        <v>-463.52496968052026</v>
      </c>
      <c r="AY199" s="42">
        <f>'[1]побудинковий звіт'!AY199+'[2]побудинковий звіт'!AY199-'[3]побудинковий звіт'!AY199</f>
        <v>693.859784608008</v>
      </c>
      <c r="AZ199" s="42">
        <f>'[1]побудинковий звіт'!AZ199+'[2]побудинковий звіт'!AZ199-'[3]побудинковий звіт'!AZ199</f>
        <v>0</v>
      </c>
      <c r="BA199" s="37">
        <f t="shared" si="213"/>
        <v>-693.859784608008</v>
      </c>
      <c r="BB199" s="42">
        <f>'[1]побудинковий звіт'!BB199+'[2]побудинковий звіт'!BB199-'[3]побудинковий звіт'!BB199</f>
        <v>322.09581520189704</v>
      </c>
      <c r="BC199" s="42">
        <f>'[1]побудинковий звіт'!BC199+'[2]побудинковий звіт'!BC199-'[3]побудинковий звіт'!BC199</f>
        <v>1862.6327068002674</v>
      </c>
      <c r="BD199" s="59">
        <f t="shared" si="214"/>
        <v>1540.5368915983704</v>
      </c>
      <c r="BE199" s="42">
        <f>'[1]побудинковий звіт'!BE199+'[2]побудинковий звіт'!BE199-'[3]побудинковий звіт'!BE199</f>
        <v>0</v>
      </c>
      <c r="BF199" s="42">
        <f>'[1]побудинковий звіт'!BF199+'[2]побудинковий звіт'!BF199-'[3]побудинковий звіт'!BF199</f>
        <v>0</v>
      </c>
      <c r="BG199" s="39">
        <f t="shared" si="215"/>
        <v>0</v>
      </c>
      <c r="BH199" s="42">
        <f>'[1]побудинковий звіт'!BH199+'[2]побудинковий звіт'!BH199-'[3]побудинковий звіт'!BH199</f>
        <v>0</v>
      </c>
      <c r="BI199" s="42">
        <f>'[1]побудинковий звіт'!BI199+'[2]побудинковий звіт'!BI199-'[3]побудинковий звіт'!BI199</f>
        <v>0</v>
      </c>
      <c r="BJ199" s="59">
        <f t="shared" si="216"/>
        <v>0</v>
      </c>
      <c r="BK199" s="42">
        <f>'[1]побудинковий звіт'!BK199+'[2]побудинковий звіт'!BK199-'[3]побудинковий звіт'!BK199</f>
        <v>118.62766249183653</v>
      </c>
      <c r="BL199" s="42">
        <f>'[1]побудинковий звіт'!BL199+'[2]побудинковий звіт'!BL199-'[3]побудинковий звіт'!BL199</f>
        <v>0</v>
      </c>
      <c r="BM199" s="39">
        <f t="shared" si="217"/>
        <v>-118.62766249183653</v>
      </c>
      <c r="BN199" s="42">
        <f>'[1]побудинковий звіт'!BN199+'[2]побудинковий звіт'!BN199-'[3]побудинковий звіт'!BN199</f>
        <v>0</v>
      </c>
      <c r="BO199" s="42">
        <f>'[1]побудинковий звіт'!BO199+'[2]побудинковий звіт'!BO199-'[3]побудинковий звіт'!BO199</f>
        <v>0</v>
      </c>
      <c r="BP199" s="59">
        <f t="shared" si="218"/>
        <v>0</v>
      </c>
      <c r="BQ199" s="87">
        <f t="shared" si="176"/>
        <v>1598.1082319822617</v>
      </c>
      <c r="BR199" s="43">
        <f t="shared" si="220"/>
        <v>1862.6327068002674</v>
      </c>
      <c r="BS199" s="59">
        <f t="shared" si="219"/>
        <v>264.52447481800573</v>
      </c>
      <c r="BT199" s="42">
        <f>'[1]побудинковий звіт'!BT199+'[2]побудинковий звіт'!BT199-'[3]побудинковий звіт'!BT199</f>
        <v>7953.9374298782532</v>
      </c>
      <c r="BU199" s="42">
        <f>'[1]побудинковий звіт'!BU199+'[2]побудинковий звіт'!BU199-'[3]побудинковий звіт'!BU199</f>
        <v>10974.229804736331</v>
      </c>
      <c r="BV199" s="56">
        <f t="shared" si="195"/>
        <v>3020.2923748580779</v>
      </c>
      <c r="BW199" s="42">
        <f>'[1]побудинковий звіт'!BW199+'[2]побудинковий звіт'!BW199-'[3]побудинковий звіт'!BW199</f>
        <v>2161.9595333019247</v>
      </c>
      <c r="BX199" s="42">
        <f>'[1]побудинковий звіт'!BX199+'[2]побудинковий звіт'!BX199-'[3]побудинковий звіт'!BX199</f>
        <v>4375.8632103233467</v>
      </c>
      <c r="BY199" s="56">
        <f t="shared" si="196"/>
        <v>2213.903677021422</v>
      </c>
      <c r="BZ199" s="42">
        <f>'[1]побудинковий звіт'!BZ199+'[2]побудинковий звіт'!BZ199-'[3]побудинковий звіт'!BZ199</f>
        <v>3196.8704103435348</v>
      </c>
      <c r="CA199" s="42">
        <f>'[1]побудинковий звіт'!CA199+'[2]побудинковий звіт'!CA199-'[3]побудинковий звіт'!CA199</f>
        <v>2349.5438662051533</v>
      </c>
      <c r="CB199" s="56">
        <f t="shared" si="197"/>
        <v>-847.32654413838145</v>
      </c>
      <c r="CC199" s="42">
        <f>'[1]побудинковий звіт'!CC199+'[2]побудинковий звіт'!CC199-'[3]побудинковий звіт'!CC199</f>
        <v>0</v>
      </c>
      <c r="CD199" s="42">
        <f>'[1]побудинковий звіт'!CD199+'[2]побудинковий звіт'!CD199-'[3]побудинковий звіт'!CD199</f>
        <v>0</v>
      </c>
      <c r="CE199" s="56">
        <f t="shared" si="198"/>
        <v>0</v>
      </c>
      <c r="CF199" s="42">
        <f>'[1]побудинковий звіт'!CF199+'[2]побудинковий звіт'!CF199-'[3]побудинковий звіт'!CF199</f>
        <v>0</v>
      </c>
      <c r="CG199" s="42">
        <f>'[1]побудинковий звіт'!CG199+'[2]побудинковий звіт'!CG199-'[3]побудинковий звіт'!CG199</f>
        <v>0</v>
      </c>
      <c r="CH199" s="56">
        <f t="shared" si="199"/>
        <v>0</v>
      </c>
      <c r="CI199" s="42">
        <f>'[1]побудинковий звіт'!CI199+'[2]побудинковий звіт'!CI199-'[3]побудинковий звіт'!CI199</f>
        <v>1347.6618127578338</v>
      </c>
      <c r="CJ199" s="42">
        <f>'[1]побудинковий звіт'!CJ199+'[2]побудинковий звіт'!CJ199-'[3]побудинковий звіт'!CJ199</f>
        <v>473.11406449696483</v>
      </c>
      <c r="CK199" s="56">
        <f t="shared" si="200"/>
        <v>-874.54774826086896</v>
      </c>
      <c r="CL199" s="42">
        <f>'[1]побудинковий звіт'!CL199+'[2]побудинковий звіт'!CL199-'[3]побудинковий звіт'!CL199</f>
        <v>0</v>
      </c>
      <c r="CM199" s="42">
        <f>'[1]побудинковий звіт'!CM199+'[2]побудинковий звіт'!CM199-'[3]побудинковий звіт'!CM199</f>
        <v>0</v>
      </c>
      <c r="CN199" s="56">
        <f t="shared" si="201"/>
        <v>0</v>
      </c>
      <c r="CO199" s="42">
        <f t="shared" si="181"/>
        <v>1347.6618127578338</v>
      </c>
      <c r="CP199" s="43">
        <f t="shared" si="202"/>
        <v>473.11406449696483</v>
      </c>
      <c r="CQ199" s="56">
        <f t="shared" si="203"/>
        <v>-874.54774826086896</v>
      </c>
      <c r="CR199" s="78">
        <f t="shared" si="182"/>
        <v>30948.335127951406</v>
      </c>
      <c r="CS199" s="5">
        <f t="shared" si="182"/>
        <v>48288.520164304995</v>
      </c>
      <c r="CT199" s="56">
        <f t="shared" si="204"/>
        <v>17340.185036353589</v>
      </c>
      <c r="CU199" s="87">
        <f t="shared" si="205"/>
        <v>37138.002153541689</v>
      </c>
      <c r="CV199" s="70">
        <f t="shared" si="206"/>
        <v>57946.22419716599</v>
      </c>
      <c r="CW199" s="37">
        <f t="shared" si="207"/>
        <v>20808.222043624301</v>
      </c>
      <c r="CX199" s="42">
        <f>'[1]побудинковий звіт'!CX199+'[2]побудинковий звіт'!CX199-'[3]побудинковий звіт'!CX199</f>
        <v>928.51784645830412</v>
      </c>
      <c r="CY199" s="42">
        <f>'[1]побудинковий звіт'!CY199+'[2]побудинковий звіт'!CY199-'[3]побудинковий звіт'!CY199</f>
        <v>-19879.704197165986</v>
      </c>
      <c r="CZ199" s="56">
        <f t="shared" si="208"/>
        <v>-20808.22204362429</v>
      </c>
      <c r="DA199" s="264">
        <f>'[4]побудинковий звіт'!DA199</f>
        <v>651.10941260193795</v>
      </c>
      <c r="DB199" s="2">
        <v>2</v>
      </c>
      <c r="DC199" s="717">
        <f>'[4]побудинковий звіт'!DC199</f>
        <v>12572.13</v>
      </c>
      <c r="DD199" s="717">
        <f>'[4]побудинковий звіт'!DD199</f>
        <v>13627.95</v>
      </c>
      <c r="DE199" s="717">
        <f>'[4]побудинковий звіт'!DE199</f>
        <v>10097.869999999999</v>
      </c>
      <c r="DF199" s="717">
        <f>'[4]побудинковий звіт'!DF199</f>
        <v>12930</v>
      </c>
      <c r="DG199" s="787">
        <v>-17729.748024409768</v>
      </c>
      <c r="DH199" s="761">
        <f t="shared" si="226"/>
        <v>456798.23999999987</v>
      </c>
      <c r="DI199" s="784"/>
      <c r="DJ199" s="5"/>
      <c r="DK199" s="317">
        <f>VLOOKUP($A199,ціни!$A$4:$G$401,5)</f>
        <v>6.7602509110912328</v>
      </c>
      <c r="DL199" s="317"/>
      <c r="DM199" s="317">
        <f>VLOOKUP($A199,ціни!$A$4:$G$401,7)</f>
        <v>6.1547841019014857</v>
      </c>
      <c r="DN199" s="30">
        <f>F199*DK199</f>
        <v>2425.8484369359776</v>
      </c>
      <c r="DO199" s="30">
        <f>H199*DM199</f>
        <v>697.95251715562847</v>
      </c>
      <c r="DP199" s="316">
        <f t="shared" si="221"/>
        <v>3123.8009540916059</v>
      </c>
      <c r="DQ199" s="104"/>
      <c r="DR199" s="30">
        <f>VLOOKUP(A199,'ДЗ нас '!$A$1:$C$359,2)</f>
        <v>2474.2600000000002</v>
      </c>
      <c r="DS199" s="748">
        <f>VLOOKUP(A199,'ДЗ нежит'!$A$1:$D$153,4,0)</f>
        <v>697.95</v>
      </c>
      <c r="DT199" s="30">
        <f t="shared" si="222"/>
        <v>3172.21</v>
      </c>
      <c r="DU199" s="257">
        <f>VLOOKUP(A199,'новий кошторис с 01.06'!$A$4:$AI$399,35)*1.2</f>
        <v>3187.6785181789951</v>
      </c>
      <c r="DV199" s="30">
        <f t="shared" si="223"/>
        <v>-15.468518178995055</v>
      </c>
      <c r="DW199" s="930">
        <f>'[5]побудинковий звіт'!DW199+'[6]побудинковий звіт'!DW199</f>
        <v>204</v>
      </c>
      <c r="DY199" s="5">
        <f t="shared" si="227"/>
        <v>10396.480623695232</v>
      </c>
      <c r="DZ199" s="5">
        <f t="shared" si="228"/>
        <v>27835.959248160321</v>
      </c>
      <c r="EA199" s="752">
        <f t="shared" si="229"/>
        <v>23027.87</v>
      </c>
      <c r="EC199" s="592">
        <f t="shared" si="230"/>
        <v>84787.507453165192</v>
      </c>
      <c r="EE199" s="758">
        <v>10030</v>
      </c>
      <c r="EF199" s="738">
        <f t="shared" si="231"/>
        <v>-7699.7480244097678</v>
      </c>
      <c r="EH199" s="813">
        <v>-20998.337321622366</v>
      </c>
    </row>
    <row r="200" spans="1:138" x14ac:dyDescent="0.3">
      <c r="A200" s="328">
        <v>150000939</v>
      </c>
      <c r="B200" s="44" t="s">
        <v>651</v>
      </c>
      <c r="C200" s="45" t="s">
        <v>336</v>
      </c>
      <c r="D200" s="45" t="s">
        <v>336</v>
      </c>
      <c r="E200" s="40">
        <f t="shared" si="175"/>
        <v>170.2</v>
      </c>
      <c r="F200" s="490">
        <v>170.2</v>
      </c>
      <c r="G200" s="30">
        <v>642.45000000000005</v>
      </c>
      <c r="H200" s="30">
        <v>0</v>
      </c>
      <c r="I200" s="42">
        <f>'[1]побудинковий звіт'!I200+'[2]побудинковий звіт'!I200-'[3]побудинковий звіт'!I200</f>
        <v>13403.185711049246</v>
      </c>
      <c r="J200" s="42">
        <f>'[1]побудинковий звіт'!J200+'[2]побудинковий звіт'!J200-'[3]побудинковий звіт'!J200</f>
        <v>11486.999500718211</v>
      </c>
      <c r="K200" s="56">
        <f t="shared" si="183"/>
        <v>-1916.1862103310341</v>
      </c>
      <c r="L200" s="42">
        <f>'[1]побудинковий звіт'!L200+'[2]побудинковий звіт'!L200-'[3]побудинковий звіт'!L200</f>
        <v>2304.4421002521094</v>
      </c>
      <c r="M200" s="42">
        <f>'[1]побудинковий звіт'!M200+'[2]побудинковий звіт'!M200-'[3]побудинковий звіт'!M200</f>
        <v>2268.3764011022681</v>
      </c>
      <c r="N200" s="56">
        <f t="shared" si="184"/>
        <v>-36.065699149841294</v>
      </c>
      <c r="O200" s="42">
        <f>'[1]побудинковий звіт'!O200+'[2]побудинковий звіт'!O200-'[3]побудинковий звіт'!O200</f>
        <v>7849.3199999999988</v>
      </c>
      <c r="P200" s="42">
        <f>'[1]побудинковий звіт'!P200+'[2]побудинковий звіт'!P200-'[3]побудинковий звіт'!P200</f>
        <v>6169.9769360215059</v>
      </c>
      <c r="Q200" s="56">
        <f t="shared" si="185"/>
        <v>-1679.3430639784929</v>
      </c>
      <c r="R200" s="42">
        <f>'[1]побудинковий звіт'!R200+'[2]побудинковий звіт'!R200-'[3]побудинковий звіт'!R200</f>
        <v>1639.0799999999997</v>
      </c>
      <c r="S200" s="42">
        <f>'[1]побудинковий звіт'!S200+'[2]побудинковий звіт'!S200-'[3]побудинковий звіт'!S200</f>
        <v>1288.4982134408604</v>
      </c>
      <c r="T200" s="56">
        <f t="shared" si="186"/>
        <v>-350.58178655913935</v>
      </c>
      <c r="U200" s="42">
        <f>'[1]побудинковий звіт'!U200+'[2]побудинковий звіт'!U200-'[3]побудинковий звіт'!U200</f>
        <v>2251.7219278659054</v>
      </c>
      <c r="V200" s="42">
        <f>'[1]побудинковий звіт'!V200+'[2]побудинковий звіт'!V200-'[3]побудинковий звіт'!V200</f>
        <v>897.02638449874166</v>
      </c>
      <c r="W200" s="56">
        <f t="shared" si="187"/>
        <v>-1354.6955433671637</v>
      </c>
      <c r="X200" s="42">
        <f>'[1]побудинковий звіт'!X200+'[2]побудинковий звіт'!X200-'[3]побудинковий звіт'!X200</f>
        <v>8162.540167118611</v>
      </c>
      <c r="Y200" s="42">
        <f>'[1]побудинковий звіт'!Y200+'[2]побудинковий звіт'!Y200-'[3]побудинковий звіт'!Y200</f>
        <v>5658.5748747251528</v>
      </c>
      <c r="Z200" s="56">
        <f t="shared" si="188"/>
        <v>-2503.9652923934582</v>
      </c>
      <c r="AA200" s="42">
        <f>'[1]побудинковий звіт'!AA200+'[2]побудинковий звіт'!AA200-'[3]побудинковий звіт'!AA200</f>
        <v>0</v>
      </c>
      <c r="AB200" s="42">
        <f>'[1]побудинковий звіт'!AB200+'[2]побудинковий звіт'!AB200-'[3]побудинковий звіт'!AB200</f>
        <v>0</v>
      </c>
      <c r="AC200" s="56">
        <f t="shared" si="189"/>
        <v>0</v>
      </c>
      <c r="AD200" s="42">
        <f>'[1]побудинковий звіт'!AD200+'[2]побудинковий звіт'!AD200-'[3]побудинковий звіт'!AD200</f>
        <v>21971.574124945546</v>
      </c>
      <c r="AE200" s="42">
        <f>'[1]побудинковий звіт'!AE200+'[2]побудинковий звіт'!AE200-'[3]побудинковий звіт'!AE200</f>
        <v>20251.05351828361</v>
      </c>
      <c r="AF200" s="37">
        <f t="shared" si="190"/>
        <v>-1720.5206066619357</v>
      </c>
      <c r="AG200" s="87">
        <f t="shared" si="180"/>
        <v>57581.864031231416</v>
      </c>
      <c r="AH200" s="57">
        <f t="shared" si="180"/>
        <v>48020.505828790352</v>
      </c>
      <c r="AI200" s="56">
        <f t="shared" si="191"/>
        <v>-9561.3582024410643</v>
      </c>
      <c r="AJ200" s="42">
        <f>'[1]побудинковий звіт'!AJ200+'[2]побудинковий звіт'!AJ200-'[3]побудинковий звіт'!AJ200</f>
        <v>38406.222517863724</v>
      </c>
      <c r="AK200" s="42">
        <f>'[1]побудинковий звіт'!AK200+'[2]побудинковий звіт'!AK200-'[3]побудинковий звіт'!AK200</f>
        <v>38068.306654215645</v>
      </c>
      <c r="AL200" s="56">
        <f t="shared" si="192"/>
        <v>-337.91586364807881</v>
      </c>
      <c r="AM200" s="42">
        <f>'[1]побудинковий звіт'!AM200+'[2]побудинковий звіт'!AM200-'[3]побудинковий звіт'!AM200</f>
        <v>0</v>
      </c>
      <c r="AN200" s="42">
        <f>'[1]побудинковий звіт'!AN200+'[2]побудинковий звіт'!AN200-'[3]побудинковий звіт'!AN200</f>
        <v>2478.6818663659778</v>
      </c>
      <c r="AO200" s="56">
        <f t="shared" si="193"/>
        <v>2478.6818663659778</v>
      </c>
      <c r="AP200" s="42">
        <f>'[1]побудинковий звіт'!AP200+'[2]побудинковий звіт'!AP200-'[3]побудинковий звіт'!AP200</f>
        <v>3788.0705715745994</v>
      </c>
      <c r="AQ200" s="42">
        <f>'[1]побудинковий звіт'!AQ200+'[2]побудинковий звіт'!AQ200-'[3]побудинковий звіт'!AQ200</f>
        <v>3720.5049466738519</v>
      </c>
      <c r="AR200" s="56">
        <f t="shared" si="194"/>
        <v>-67.56562490074748</v>
      </c>
      <c r="AS200" s="42">
        <f>'[1]побудинковий звіт'!AS200+'[2]побудинковий звіт'!AS200-'[3]побудинковий звіт'!AS200</f>
        <v>86885.73969581275</v>
      </c>
      <c r="AT200" s="42">
        <f>'[1]побудинковий звіт'!AT200+'[2]побудинковий звіт'!AT200-'[3]побудинковий звіт'!AT200</f>
        <v>50281</v>
      </c>
      <c r="AU200" s="58">
        <f t="shared" si="211"/>
        <v>-36604.73969581275</v>
      </c>
      <c r="AV200" s="42">
        <f>'[1]побудинковий звіт'!AV200+'[2]побудинковий звіт'!AV200-'[3]побудинковий звіт'!AV200</f>
        <v>662.30371474064452</v>
      </c>
      <c r="AW200" s="42">
        <f>'[1]побудинковий звіт'!AW200+'[2]побудинковий звіт'!AW200-'[3]побудинковий звіт'!AW200</f>
        <v>408</v>
      </c>
      <c r="AX200" s="59">
        <f t="shared" si="212"/>
        <v>-254.30371474064452</v>
      </c>
      <c r="AY200" s="42">
        <f>'[1]побудинковий звіт'!AY200+'[2]побудинковий звіт'!AY200-'[3]побудинковий звіт'!AY200</f>
        <v>885.25732630034918</v>
      </c>
      <c r="AZ200" s="42">
        <f>'[1]побудинковий звіт'!AZ200+'[2]побудинковий звіт'!AZ200-'[3]побудинковий звіт'!AZ200</f>
        <v>13468</v>
      </c>
      <c r="BA200" s="37">
        <f t="shared" si="213"/>
        <v>12582.742673699651</v>
      </c>
      <c r="BB200" s="42">
        <f>'[1]побудинковий звіт'!BB200+'[2]побудинковий звіт'!BB200-'[3]побудинковий звіт'!BB200</f>
        <v>1298.9721867050841</v>
      </c>
      <c r="BC200" s="42">
        <f>'[1]побудинковий звіт'!BC200+'[2]побудинковий звіт'!BC200-'[3]побудинковий звіт'!BC200</f>
        <v>0</v>
      </c>
      <c r="BD200" s="59">
        <f t="shared" si="214"/>
        <v>-1298.9721867050841</v>
      </c>
      <c r="BE200" s="42">
        <f>'[1]побудинковий звіт'!BE200+'[2]побудинковий звіт'!BE200-'[3]побудинковий звіт'!BE200</f>
        <v>345.26973320305052</v>
      </c>
      <c r="BF200" s="42">
        <f>'[1]побудинковий звіт'!BF200+'[2]побудинковий звіт'!BF200-'[3]побудинковий звіт'!BF200</f>
        <v>0</v>
      </c>
      <c r="BG200" s="39">
        <f t="shared" si="215"/>
        <v>-345.26973320305052</v>
      </c>
      <c r="BH200" s="42">
        <f>'[1]побудинковий звіт'!BH200+'[2]побудинковий звіт'!BH200-'[3]побудинковий звіт'!BH200</f>
        <v>685.39301428766191</v>
      </c>
      <c r="BI200" s="42">
        <f>'[1]побудинковий звіт'!BI200+'[2]побудинковий звіт'!BI200-'[3]побудинковий звіт'!BI200</f>
        <v>0</v>
      </c>
      <c r="BJ200" s="59">
        <f t="shared" si="216"/>
        <v>-685.39301428766191</v>
      </c>
      <c r="BK200" s="42">
        <f>'[1]побудинковий звіт'!BK200+'[2]побудинковий звіт'!BK200-'[3]побудинковий звіт'!BK200</f>
        <v>451.18739287290265</v>
      </c>
      <c r="BL200" s="42">
        <f>'[1]побудинковий звіт'!BL200+'[2]побудинковий звіт'!BL200-'[3]побудинковий звіт'!BL200</f>
        <v>1936</v>
      </c>
      <c r="BM200" s="39">
        <f t="shared" si="217"/>
        <v>1484.8126071270974</v>
      </c>
      <c r="BN200" s="42">
        <f>'[1]побудинковий звіт'!BN200+'[2]побудинковий звіт'!BN200-'[3]побудинковий звіт'!BN200</f>
        <v>591.6733403507975</v>
      </c>
      <c r="BO200" s="42">
        <f>'[1]побудинковий звіт'!BO200+'[2]побудинковий звіт'!BO200-'[3]побудинковий звіт'!BO200</f>
        <v>0</v>
      </c>
      <c r="BP200" s="59">
        <f t="shared" si="218"/>
        <v>-591.6733403507975</v>
      </c>
      <c r="BQ200" s="87">
        <f t="shared" si="176"/>
        <v>4920.0567084604909</v>
      </c>
      <c r="BR200" s="43">
        <f t="shared" si="220"/>
        <v>15812</v>
      </c>
      <c r="BS200" s="59">
        <f t="shared" si="219"/>
        <v>10891.943291539508</v>
      </c>
      <c r="BT200" s="42">
        <f>'[1]побудинковий звіт'!BT200+'[2]побудинковий звіт'!BT200-'[3]побудинковий звіт'!BT200</f>
        <v>72903.441853570854</v>
      </c>
      <c r="BU200" s="42">
        <f>'[1]побудинковий звіт'!BU200+'[2]побудинковий звіт'!BU200-'[3]побудинковий звіт'!BU200</f>
        <v>79696.03723745083</v>
      </c>
      <c r="BV200" s="56">
        <f t="shared" si="195"/>
        <v>6792.595383879976</v>
      </c>
      <c r="BW200" s="42">
        <f>'[1]побудинковий звіт'!BW200+'[2]побудинковий звіт'!BW200-'[3]побудинковий звіт'!BW200</f>
        <v>36828.015082837046</v>
      </c>
      <c r="BX200" s="42">
        <f>'[1]побудинковий звіт'!BX200+'[2]побудинковий звіт'!BX200-'[3]побудинковий звіт'!BX200</f>
        <v>43313.114279745365</v>
      </c>
      <c r="BY200" s="56">
        <f t="shared" si="196"/>
        <v>6485.0991969083188</v>
      </c>
      <c r="BZ200" s="42">
        <f>'[1]побудинковий звіт'!BZ200+'[2]побудинковий звіт'!BZ200-'[3]побудинковий звіт'!BZ200</f>
        <v>15580.685426581298</v>
      </c>
      <c r="CA200" s="42">
        <f>'[1]побудинковий звіт'!CA200+'[2]побудинковий звіт'!CA200-'[3]побудинковий звіт'!CA200</f>
        <v>20300.316783168219</v>
      </c>
      <c r="CB200" s="56">
        <f t="shared" si="197"/>
        <v>4719.6313565869204</v>
      </c>
      <c r="CC200" s="42">
        <f>'[1]побудинковий звіт'!CC200+'[2]побудинковий звіт'!CC200-'[3]побудинковий звіт'!CC200</f>
        <v>1800.0911356122494</v>
      </c>
      <c r="CD200" s="42">
        <f>'[1]побудинковий звіт'!CD200+'[2]побудинковий звіт'!CD200-'[3]побудинковий звіт'!CD200</f>
        <v>1784.2588251518982</v>
      </c>
      <c r="CE200" s="56">
        <f t="shared" si="198"/>
        <v>-15.832310460351209</v>
      </c>
      <c r="CF200" s="42">
        <f>'[1]побудинковий звіт'!CF200+'[2]побудинковий звіт'!CF200-'[3]побудинковий звіт'!CF200</f>
        <v>221.60212843711409</v>
      </c>
      <c r="CG200" s="42">
        <f>'[1]побудинковий звіт'!CG200+'[2]побудинковий звіт'!CG200-'[3]побудинковий звіт'!CG200</f>
        <v>0</v>
      </c>
      <c r="CH200" s="56">
        <f t="shared" si="199"/>
        <v>-221.60212843711409</v>
      </c>
      <c r="CI200" s="42">
        <f>'[1]побудинковий звіт'!CI200+'[2]побудинковий звіт'!CI200-'[3]побудинковий звіт'!CI200</f>
        <v>34571.269002273875</v>
      </c>
      <c r="CJ200" s="42">
        <f>'[1]побудинковий звіт'!CJ200+'[2]побудинковий звіт'!CJ200-'[3]побудинковий звіт'!CJ200</f>
        <v>21565.281430259631</v>
      </c>
      <c r="CK200" s="56">
        <f t="shared" si="200"/>
        <v>-13005.987572014245</v>
      </c>
      <c r="CL200" s="42">
        <f>'[1]побудинковий звіт'!CL200+'[2]побудинковий звіт'!CL200-'[3]побудинковий звіт'!CL200</f>
        <v>7412.1399701680839</v>
      </c>
      <c r="CM200" s="42">
        <f>'[1]побудинковий звіт'!CM200+'[2]побудинковий звіт'!CM200-'[3]побудинковий звіт'!CM200</f>
        <v>8479.946611212923</v>
      </c>
      <c r="CN200" s="56">
        <f t="shared" si="201"/>
        <v>1067.8066410448391</v>
      </c>
      <c r="CO200" s="42">
        <f t="shared" si="181"/>
        <v>41983.408972441961</v>
      </c>
      <c r="CP200" s="43">
        <f t="shared" si="202"/>
        <v>30045.228041472554</v>
      </c>
      <c r="CQ200" s="56">
        <f t="shared" si="203"/>
        <v>-11938.180930969407</v>
      </c>
      <c r="CR200" s="78">
        <f t="shared" si="182"/>
        <v>360899.19812442351</v>
      </c>
      <c r="CS200" s="5">
        <f t="shared" si="182"/>
        <v>333519.95446303469</v>
      </c>
      <c r="CT200" s="56">
        <f t="shared" si="204"/>
        <v>-27379.243661388813</v>
      </c>
      <c r="CU200" s="87">
        <f t="shared" si="205"/>
        <v>433079.03774930822</v>
      </c>
      <c r="CV200" s="70">
        <f t="shared" si="206"/>
        <v>400223.9453556416</v>
      </c>
      <c r="CW200" s="37">
        <f t="shared" si="207"/>
        <v>-32855.092393666622</v>
      </c>
      <c r="CX200" s="42">
        <f>'[1]побудинковий звіт'!CX200+'[2]побудинковий звіт'!CX200-'[3]побудинковий звіт'!CX200</f>
        <v>11294.212250691708</v>
      </c>
      <c r="CY200" s="42">
        <f>'[1]побудинковий звіт'!CY200+'[2]побудинковий звіт'!CY200-'[3]побудинковий звіт'!CY200</f>
        <v>44149.304644358388</v>
      </c>
      <c r="CZ200" s="56">
        <f t="shared" si="208"/>
        <v>32855.09239366668</v>
      </c>
      <c r="DA200" s="264">
        <f>'[4]побудинковий звіт'!DA200</f>
        <v>131.21655699037728</v>
      </c>
      <c r="DB200" s="2">
        <v>1</v>
      </c>
      <c r="DC200" s="717">
        <f>'[4]побудинковий звіт'!DC200</f>
        <v>73898.789999999994</v>
      </c>
      <c r="DD200" s="717">
        <f>'[4]побудинковий звіт'!DD200</f>
        <v>0</v>
      </c>
      <c r="DE200" s="717">
        <f>'[4]побудинковий звіт'!DE200</f>
        <v>36865.089999999997</v>
      </c>
      <c r="DF200" s="717">
        <f>'[4]побудинковий звіт'!DF200</f>
        <v>0</v>
      </c>
      <c r="DG200" s="787">
        <v>42177.801912510302</v>
      </c>
      <c r="DH200" s="761">
        <f t="shared" si="226"/>
        <v>5332478.9999999991</v>
      </c>
      <c r="DI200" s="784"/>
      <c r="DJ200" s="5"/>
      <c r="DK200" s="317">
        <f>VLOOKUP($A200,ціни!$A$4:$G$401,5)</f>
        <v>6.2849997864631355</v>
      </c>
      <c r="DL200" s="317">
        <f>VLOOKUP($A200,ціни!$A$4:$G$401,6)</f>
        <v>7.3295455383421553</v>
      </c>
      <c r="DM200" s="317">
        <f>VLOOKUP($A200,ціни!$A$4:$G$401,7)</f>
        <v>5.5503817432426166</v>
      </c>
      <c r="DN200" s="30">
        <f>DK200*G200+(F200-G200)*DL200</f>
        <v>576.42023233115879</v>
      </c>
      <c r="DO200" s="30">
        <f>DM200*H200</f>
        <v>0</v>
      </c>
      <c r="DP200" s="316">
        <f t="shared" si="221"/>
        <v>576.42023233115879</v>
      </c>
      <c r="DQ200" s="104"/>
      <c r="DR200" s="30">
        <f>VLOOKUP(A200,'ДЗ нас '!$A$1:$C$359,2)</f>
        <v>37033.699999999997</v>
      </c>
      <c r="DS200" s="748"/>
      <c r="DT200" s="30">
        <f t="shared" si="222"/>
        <v>37033.699999999997</v>
      </c>
      <c r="DU200" s="257">
        <f>VLOOKUP(A200,'новий кошторис с 01.06'!$A$4:$AI$399,35)*1.2</f>
        <v>37172.617406815625</v>
      </c>
      <c r="DV200" s="30">
        <f t="shared" si="223"/>
        <v>-138.91740681562806</v>
      </c>
      <c r="DW200" s="930">
        <f>'[5]побудинковий звіт'!DW200+'[6]побудинковий звіт'!DW200</f>
        <v>236</v>
      </c>
      <c r="DY200" s="5">
        <f t="shared" si="227"/>
        <v>110166.95568512788</v>
      </c>
      <c r="DZ200" s="5">
        <f t="shared" si="228"/>
        <v>79311.599999999991</v>
      </c>
      <c r="EA200" s="752">
        <f t="shared" si="229"/>
        <v>36865.089999999997</v>
      </c>
      <c r="EC200" s="592">
        <f t="shared" si="230"/>
        <v>1042628.876349753</v>
      </c>
      <c r="EE200" s="758">
        <v>41197</v>
      </c>
      <c r="EF200" s="738">
        <f t="shared" si="231"/>
        <v>83374.801912510302</v>
      </c>
      <c r="EH200" s="813">
        <v>16408.744171014147</v>
      </c>
    </row>
    <row r="201" spans="1:138" x14ac:dyDescent="0.3">
      <c r="A201" s="328">
        <v>150000926</v>
      </c>
      <c r="B201" s="44" t="s">
        <v>652</v>
      </c>
      <c r="C201" s="45" t="s">
        <v>177</v>
      </c>
      <c r="D201" s="45" t="s">
        <v>177</v>
      </c>
      <c r="E201" s="40">
        <f t="shared" ref="E201:E264" si="232">F201+H201</f>
        <v>359.9</v>
      </c>
      <c r="F201" s="490">
        <v>239.5</v>
      </c>
      <c r="G201" s="30"/>
      <c r="H201" s="30">
        <v>120.4</v>
      </c>
      <c r="I201" s="42">
        <f>'[1]побудинковий звіт'!I201+'[2]побудинковий звіт'!I201-'[3]побудинковий звіт'!I201</f>
        <v>1438.6869705392246</v>
      </c>
      <c r="J201" s="42">
        <f>'[1]побудинковий звіт'!J201+'[2]побудинковий звіт'!J201-'[3]побудинковий звіт'!J201</f>
        <v>1422.6632994949596</v>
      </c>
      <c r="K201" s="56">
        <f t="shared" si="183"/>
        <v>-16.023671044265029</v>
      </c>
      <c r="L201" s="42">
        <f>'[1]побудинковий звіт'!L201+'[2]побудинковий звіт'!L201-'[3]побудинковий звіт'!L201</f>
        <v>538.23777175711905</v>
      </c>
      <c r="M201" s="42">
        <f>'[1]побудинковий звіт'!M201+'[2]побудинковий звіт'!M201-'[3]побудинковий звіт'!M201</f>
        <v>543.05591020426948</v>
      </c>
      <c r="N201" s="56">
        <f t="shared" si="184"/>
        <v>4.8181384471504316</v>
      </c>
      <c r="O201" s="42">
        <f>'[1]побудинковий звіт'!O201+'[2]побудинковий звіт'!O201-'[3]побудинковий звіт'!O201</f>
        <v>0</v>
      </c>
      <c r="P201" s="42">
        <f>'[1]побудинковий звіт'!P201+'[2]побудинковий звіт'!P201-'[3]побудинковий звіт'!P201</f>
        <v>0</v>
      </c>
      <c r="Q201" s="56">
        <f t="shared" si="185"/>
        <v>0</v>
      </c>
      <c r="R201" s="42">
        <f>'[1]побудинковий звіт'!R201+'[2]побудинковий звіт'!R201-'[3]побудинковий звіт'!R201</f>
        <v>0</v>
      </c>
      <c r="S201" s="42">
        <f>'[1]побудинковий звіт'!S201+'[2]побудинковий звіт'!S201-'[3]побудинковий звіт'!S201</f>
        <v>0</v>
      </c>
      <c r="T201" s="56">
        <f t="shared" si="186"/>
        <v>0</v>
      </c>
      <c r="U201" s="42">
        <f>'[1]побудинковий звіт'!U201+'[2]побудинковий звіт'!U201-'[3]побудинковий звіт'!U201</f>
        <v>0</v>
      </c>
      <c r="V201" s="42">
        <f>'[1]побудинковий звіт'!V201+'[2]побудинковий звіт'!V201-'[3]побудинковий звіт'!V201</f>
        <v>0</v>
      </c>
      <c r="W201" s="56">
        <f t="shared" si="187"/>
        <v>0</v>
      </c>
      <c r="X201" s="42">
        <f>'[1]побудинковий звіт'!X201+'[2]побудинковий звіт'!X201-'[3]побудинковий звіт'!X201</f>
        <v>1186.6969131526546</v>
      </c>
      <c r="Y201" s="42">
        <f>'[1]побудинковий звіт'!Y201+'[2]побудинковий звіт'!Y201-'[3]побудинковий звіт'!Y201</f>
        <v>888.68835832762261</v>
      </c>
      <c r="Z201" s="56">
        <f t="shared" si="188"/>
        <v>-298.00855482503198</v>
      </c>
      <c r="AA201" s="42">
        <f>'[1]побудинковий звіт'!AA201+'[2]побудинковий звіт'!AA201-'[3]побудинковий звіт'!AA201</f>
        <v>0</v>
      </c>
      <c r="AB201" s="42">
        <f>'[1]побудинковий звіт'!AB201+'[2]побудинковий звіт'!AB201-'[3]побудинковий звіт'!AB201</f>
        <v>0</v>
      </c>
      <c r="AC201" s="56">
        <f t="shared" si="189"/>
        <v>0</v>
      </c>
      <c r="AD201" s="42">
        <f>'[1]побудинковий звіт'!AD201+'[2]побудинковий звіт'!AD201-'[3]побудинковий звіт'!AD201</f>
        <v>1729.573855181028</v>
      </c>
      <c r="AE201" s="42">
        <f>'[1]побудинковий звіт'!AE201+'[2]побудинковий звіт'!AE201-'[3]побудинковий звіт'!AE201</f>
        <v>1594.1367016270583</v>
      </c>
      <c r="AF201" s="37">
        <f t="shared" si="190"/>
        <v>-135.43715355396967</v>
      </c>
      <c r="AG201" s="87">
        <f t="shared" si="180"/>
        <v>4893.1955106300265</v>
      </c>
      <c r="AH201" s="57">
        <f t="shared" si="180"/>
        <v>4448.5442696539103</v>
      </c>
      <c r="AI201" s="56">
        <f t="shared" si="191"/>
        <v>-444.65124097611624</v>
      </c>
      <c r="AJ201" s="42">
        <f>'[1]побудинковий звіт'!AJ201+'[2]побудинковий звіт'!AJ201-'[3]побудинковий звіт'!AJ201</f>
        <v>0</v>
      </c>
      <c r="AK201" s="42">
        <f>'[1]побудинковий звіт'!AK201+'[2]побудинковий звіт'!AK201-'[3]побудинковий звіт'!AK201</f>
        <v>0</v>
      </c>
      <c r="AL201" s="56">
        <f t="shared" si="192"/>
        <v>0</v>
      </c>
      <c r="AM201" s="42">
        <f>'[1]побудинковий звіт'!AM201+'[2]побудинковий звіт'!AM201-'[3]побудинковий звіт'!AM201</f>
        <v>0</v>
      </c>
      <c r="AN201" s="42">
        <f>'[1]побудинковий звіт'!AN201+'[2]побудинковий звіт'!AN201-'[3]побудинковий звіт'!AN201</f>
        <v>0</v>
      </c>
      <c r="AO201" s="56">
        <f t="shared" si="193"/>
        <v>0</v>
      </c>
      <c r="AP201" s="42">
        <f>'[1]побудинковий звіт'!AP201+'[2]побудинковий звіт'!AP201-'[3]побудинковий звіт'!AP201</f>
        <v>710.26323217023742</v>
      </c>
      <c r="AQ201" s="42">
        <f>'[1]побудинковий звіт'!AQ201+'[2]побудинковий звіт'!AQ201-'[3]побудинковий звіт'!AQ201</f>
        <v>210.21553414080392</v>
      </c>
      <c r="AR201" s="56">
        <f t="shared" si="194"/>
        <v>-500.04769802943349</v>
      </c>
      <c r="AS201" s="42">
        <f>'[1]побудинковий звіт'!AS201+'[2]побудинковий звіт'!AS201-'[3]побудинковий звіт'!AS201</f>
        <v>6926.3796466665381</v>
      </c>
      <c r="AT201" s="42">
        <f>'[1]побудинковий звіт'!AT201+'[2]побудинковий звіт'!AT201-'[3]побудинковий звіт'!AT201</f>
        <v>54355</v>
      </c>
      <c r="AU201" s="58">
        <f t="shared" si="211"/>
        <v>47428.620353333463</v>
      </c>
      <c r="AV201" s="42">
        <f>'[1]побудинковий звіт'!AV201+'[2]побудинковий звіт'!AV201-'[3]побудинковий звіт'!AV201</f>
        <v>319.40568632445223</v>
      </c>
      <c r="AW201" s="42">
        <f>'[1]побудинковий звіт'!AW201+'[2]побудинковий звіт'!AW201-'[3]побудинковий звіт'!AW201</f>
        <v>0</v>
      </c>
      <c r="AX201" s="59">
        <f t="shared" si="212"/>
        <v>-319.40568632445223</v>
      </c>
      <c r="AY201" s="42">
        <f>'[1]побудинковий звіт'!AY201+'[2]побудинковий звіт'!AY201-'[3]побудинковий звіт'!AY201</f>
        <v>693.859784608008</v>
      </c>
      <c r="AZ201" s="42">
        <f>'[1]побудинковий звіт'!AZ201+'[2]побудинковий звіт'!AZ201-'[3]побудинковий звіт'!AZ201</f>
        <v>0</v>
      </c>
      <c r="BA201" s="37">
        <f t="shared" si="213"/>
        <v>-693.859784608008</v>
      </c>
      <c r="BB201" s="42">
        <f>'[1]побудинковий звіт'!BB201+'[2]побудинковий звіт'!BB201-'[3]побудинковий звіт'!BB201</f>
        <v>0</v>
      </c>
      <c r="BC201" s="42">
        <f>'[1]побудинковий звіт'!BC201+'[2]побудинковий звіт'!BC201-'[3]побудинковий звіт'!BC201</f>
        <v>0</v>
      </c>
      <c r="BD201" s="59">
        <f t="shared" si="214"/>
        <v>0</v>
      </c>
      <c r="BE201" s="42">
        <f>'[1]побудинковий звіт'!BE201+'[2]побудинковий звіт'!BE201-'[3]побудинковий звіт'!BE201</f>
        <v>0</v>
      </c>
      <c r="BF201" s="42">
        <f>'[1]побудинковий звіт'!BF201+'[2]побудинковий звіт'!BF201-'[3]побудинковий звіт'!BF201</f>
        <v>0</v>
      </c>
      <c r="BG201" s="39">
        <f t="shared" si="215"/>
        <v>0</v>
      </c>
      <c r="BH201" s="42">
        <f>'[1]побудинковий звіт'!BH201+'[2]побудинковий звіт'!BH201-'[3]побудинковий звіт'!BH201</f>
        <v>0</v>
      </c>
      <c r="BI201" s="42">
        <f>'[1]побудинковий звіт'!BI201+'[2]побудинковий звіт'!BI201-'[3]побудинковий звіт'!BI201</f>
        <v>0</v>
      </c>
      <c r="BJ201" s="59">
        <f t="shared" si="216"/>
        <v>0</v>
      </c>
      <c r="BK201" s="42">
        <f>'[1]побудинковий звіт'!BK201+'[2]побудинковий звіт'!BK201-'[3]побудинковий звіт'!BK201</f>
        <v>118.62766249183653</v>
      </c>
      <c r="BL201" s="42">
        <f>'[1]побудинковий звіт'!BL201+'[2]побудинковий звіт'!BL201-'[3]побудинковий звіт'!BL201</f>
        <v>0</v>
      </c>
      <c r="BM201" s="39">
        <f t="shared" si="217"/>
        <v>-118.62766249183653</v>
      </c>
      <c r="BN201" s="42">
        <f>'[1]побудинковий звіт'!BN201+'[2]побудинковий звіт'!BN201-'[3]побудинковий звіт'!BN201</f>
        <v>0</v>
      </c>
      <c r="BO201" s="42">
        <f>'[1]побудинковий звіт'!BO201+'[2]побудинковий звіт'!BO201-'[3]побудинковий звіт'!BO201</f>
        <v>0</v>
      </c>
      <c r="BP201" s="59">
        <f t="shared" si="218"/>
        <v>0</v>
      </c>
      <c r="BQ201" s="87">
        <f t="shared" si="176"/>
        <v>1131.8931334242966</v>
      </c>
      <c r="BR201" s="43">
        <f t="shared" si="220"/>
        <v>0</v>
      </c>
      <c r="BS201" s="59">
        <f t="shared" si="219"/>
        <v>-1131.8931334242966</v>
      </c>
      <c r="BT201" s="42">
        <f>'[1]побудинковий звіт'!BT201+'[2]побудинковий звіт'!BT201-'[3]побудинковий звіт'!BT201</f>
        <v>8288.6088636423101</v>
      </c>
      <c r="BU201" s="42">
        <f>'[1]побудинковий звіт'!BU201+'[2]побудинковий звіт'!BU201-'[3]побудинковий звіт'!BU201</f>
        <v>10399.348085357984</v>
      </c>
      <c r="BV201" s="56">
        <f t="shared" si="195"/>
        <v>2110.7392217156739</v>
      </c>
      <c r="BW201" s="42">
        <f>'[1]побудинковий звіт'!BW201+'[2]побудинковий звіт'!BW201-'[3]побудинковий звіт'!BW201</f>
        <v>2151.9698573207702</v>
      </c>
      <c r="BX201" s="42">
        <f>'[1]побудинковий звіт'!BX201+'[2]побудинковий звіт'!BX201-'[3]побудинковий звіт'!BX201</f>
        <v>4323.8197412096579</v>
      </c>
      <c r="BY201" s="56">
        <f t="shared" si="196"/>
        <v>2171.8498838888877</v>
      </c>
      <c r="BZ201" s="42">
        <f>'[1]побудинковий звіт'!BZ201+'[2]побудинковий звіт'!BZ201-'[3]побудинковий звіт'!BZ201</f>
        <v>1637.8221712920438</v>
      </c>
      <c r="CA201" s="42">
        <f>'[1]побудинковий звіт'!CA201+'[2]побудинковий звіт'!CA201-'[3]побудинковий звіт'!CA201</f>
        <v>2279.9591711359044</v>
      </c>
      <c r="CB201" s="56">
        <f t="shared" si="197"/>
        <v>642.13699984386062</v>
      </c>
      <c r="CC201" s="42">
        <f>'[1]побудинковий звіт'!CC201+'[2]побудинковий звіт'!CC201-'[3]побудинковий звіт'!CC201</f>
        <v>0</v>
      </c>
      <c r="CD201" s="42">
        <f>'[1]побудинковий звіт'!CD201+'[2]побудинковий звіт'!CD201-'[3]побудинковий звіт'!CD201</f>
        <v>0</v>
      </c>
      <c r="CE201" s="56">
        <f t="shared" si="198"/>
        <v>0</v>
      </c>
      <c r="CF201" s="42">
        <f>'[1]побудинковий звіт'!CF201+'[2]побудинковий звіт'!CF201-'[3]побудинковий звіт'!CF201</f>
        <v>0</v>
      </c>
      <c r="CG201" s="42">
        <f>'[1]побудинковий звіт'!CG201+'[2]побудинковий звіт'!CG201-'[3]побудинковий звіт'!CG201</f>
        <v>0</v>
      </c>
      <c r="CH201" s="56">
        <f t="shared" si="199"/>
        <v>0</v>
      </c>
      <c r="CI201" s="42">
        <f>'[1]побудинковий звіт'!CI201+'[2]побудинковий звіт'!CI201-'[3]побудинковий звіт'!CI201</f>
        <v>411.78555389822702</v>
      </c>
      <c r="CJ201" s="42">
        <f>'[1]побудинковий звіт'!CJ201+'[2]побудинковий звіт'!CJ201-'[3]побудинковий звіт'!CJ201</f>
        <v>274.1418009873172</v>
      </c>
      <c r="CK201" s="56">
        <f t="shared" si="200"/>
        <v>-137.64375291090983</v>
      </c>
      <c r="CL201" s="42">
        <f>'[1]побудинковий звіт'!CL201+'[2]побудинковий звіт'!CL201-'[3]побудинковий звіт'!CL201</f>
        <v>0</v>
      </c>
      <c r="CM201" s="42">
        <f>'[1]побудинковий звіт'!CM201+'[2]побудинковий звіт'!CM201-'[3]побудинковий звіт'!CM201</f>
        <v>0</v>
      </c>
      <c r="CN201" s="56">
        <f t="shared" si="201"/>
        <v>0</v>
      </c>
      <c r="CO201" s="42">
        <f t="shared" si="181"/>
        <v>411.78555389822702</v>
      </c>
      <c r="CP201" s="43">
        <f t="shared" si="202"/>
        <v>274.1418009873172</v>
      </c>
      <c r="CQ201" s="56">
        <f t="shared" si="203"/>
        <v>-137.64375291090983</v>
      </c>
      <c r="CR201" s="78">
        <f t="shared" si="182"/>
        <v>26151.917969044451</v>
      </c>
      <c r="CS201" s="5">
        <f t="shared" si="182"/>
        <v>76291.028602485589</v>
      </c>
      <c r="CT201" s="56">
        <f t="shared" si="204"/>
        <v>50139.110633441138</v>
      </c>
      <c r="CU201" s="87">
        <f t="shared" si="205"/>
        <v>31382.301562853339</v>
      </c>
      <c r="CV201" s="70">
        <f t="shared" si="206"/>
        <v>91549.234322982709</v>
      </c>
      <c r="CW201" s="37">
        <f t="shared" si="207"/>
        <v>60166.93276012937</v>
      </c>
      <c r="CX201" s="42">
        <f>'[1]побудинковий звіт'!CX201+'[2]побудинковий звіт'!CX201-'[3]побудинковий звіт'!CX201</f>
        <v>-0.14156285333410779</v>
      </c>
      <c r="CY201" s="42">
        <f>'[1]побудинковий звіт'!CY201+'[2]побудинковий звіт'!CY201-'[3]побудинковий звіт'!CY201</f>
        <v>-60167.074322982713</v>
      </c>
      <c r="CZ201" s="56">
        <f t="shared" si="208"/>
        <v>-60166.932760129377</v>
      </c>
      <c r="DA201" s="264">
        <f>'[4]побудинковий звіт'!DA201</f>
        <v>31257.472456787895</v>
      </c>
      <c r="DB201" s="2">
        <v>2</v>
      </c>
      <c r="DC201" s="717">
        <f>'[4]побудинковий звіт'!DC201</f>
        <v>3498.56</v>
      </c>
      <c r="DD201" s="717">
        <f>'[4]побудинковий звіт'!DD201</f>
        <v>8766.52</v>
      </c>
      <c r="DE201" s="717">
        <f>'[4]побудинковий звіт'!DE201</f>
        <v>1597.74</v>
      </c>
      <c r="DF201" s="717">
        <f>'[4]побудинковий звіт'!DF201</f>
        <v>8052.1600000000008</v>
      </c>
      <c r="DG201" s="787">
        <v>-24244.861877298172</v>
      </c>
      <c r="DH201" s="761">
        <f t="shared" si="226"/>
        <v>376585.92000000004</v>
      </c>
      <c r="DI201" s="784"/>
      <c r="DJ201" s="5"/>
      <c r="DK201" s="317">
        <f>VLOOKUP($A201,ціни!$A$4:$G$401,5)</f>
        <v>6.6907072500777263</v>
      </c>
      <c r="DL201" s="317"/>
      <c r="DM201" s="317">
        <f>VLOOKUP($A201,ціни!$A$4:$G$401,7)</f>
        <v>5.9332380993136402</v>
      </c>
      <c r="DN201" s="30">
        <f>F201*DK201</f>
        <v>1602.4243863936154</v>
      </c>
      <c r="DO201" s="30">
        <f>H201*DM201</f>
        <v>714.36186715736233</v>
      </c>
      <c r="DP201" s="316">
        <f t="shared" si="221"/>
        <v>2316.7862535509776</v>
      </c>
      <c r="DQ201" s="104"/>
      <c r="DR201" s="30">
        <f>VLOOKUP(A201,'ДЗ нас '!$A$1:$C$359,2)</f>
        <v>1900.82</v>
      </c>
      <c r="DS201" s="748">
        <f>VLOOKUP(A201,'ДЗ нежит'!$A$1:$D$153,4,0)</f>
        <v>714.36</v>
      </c>
      <c r="DT201" s="30">
        <f t="shared" si="222"/>
        <v>2615.1799999999998</v>
      </c>
      <c r="DU201" s="257">
        <f>VLOOKUP(A201,'новий кошторис с 01.06'!$A$4:$AI$399,35)*1.2</f>
        <v>2615.1917969044443</v>
      </c>
      <c r="DV201" s="30">
        <f t="shared" si="223"/>
        <v>-1.1796904444508982E-2</v>
      </c>
      <c r="DW201" s="930">
        <f>'[5]побудинковий звіт'!DW201+'[6]побудинковий звіт'!DW201</f>
        <v>0</v>
      </c>
      <c r="DY201" s="5">
        <f t="shared" si="227"/>
        <v>9669.927336109</v>
      </c>
      <c r="DZ201" s="5">
        <f t="shared" si="228"/>
        <v>65226</v>
      </c>
      <c r="EA201" s="752">
        <f t="shared" si="229"/>
        <v>9649.9000000000015</v>
      </c>
      <c r="EC201" s="592">
        <f t="shared" si="230"/>
        <v>83116.55575999846</v>
      </c>
      <c r="EE201" s="758">
        <v>33041</v>
      </c>
      <c r="EF201" s="738">
        <f t="shared" si="231"/>
        <v>8796.1381227018283</v>
      </c>
      <c r="EH201" s="813">
        <v>-29420.841511241604</v>
      </c>
    </row>
    <row r="202" spans="1:138" x14ac:dyDescent="0.3">
      <c r="A202" s="328">
        <v>150000940</v>
      </c>
      <c r="B202" s="44" t="s">
        <v>653</v>
      </c>
      <c r="C202" s="45" t="s">
        <v>376</v>
      </c>
      <c r="D202" s="45" t="s">
        <v>376</v>
      </c>
      <c r="E202" s="40">
        <f t="shared" si="232"/>
        <v>2128.4299999999998</v>
      </c>
      <c r="F202" s="490">
        <v>2128.4299999999998</v>
      </c>
      <c r="G202" s="30">
        <v>941.36</v>
      </c>
      <c r="H202" s="30">
        <v>0</v>
      </c>
      <c r="I202" s="42">
        <f>'[1]побудинковий звіт'!I202+'[2]побудинковий звіт'!I202-'[3]побудинковий звіт'!I202</f>
        <v>20567.99339344713</v>
      </c>
      <c r="J202" s="42">
        <f>'[1]побудинковий звіт'!J202+'[2]побудинковий звіт'!J202-'[3]побудинковий звіт'!J202</f>
        <v>17569.339446399892</v>
      </c>
      <c r="K202" s="56">
        <f t="shared" si="183"/>
        <v>-2998.653947047238</v>
      </c>
      <c r="L202" s="42">
        <f>'[1]побудинковий звіт'!L202+'[2]побудинковий звіт'!L202-'[3]побудинковий звіт'!L202</f>
        <v>3527.0897913507783</v>
      </c>
      <c r="M202" s="42">
        <f>'[1]побудинковий звіт'!M202+'[2]побудинковий звіт'!M202-'[3]побудинковий звіт'!M202</f>
        <v>3267.135503155479</v>
      </c>
      <c r="N202" s="56">
        <f t="shared" si="184"/>
        <v>-259.95428819529934</v>
      </c>
      <c r="O202" s="42">
        <f>'[1]побудинковий звіт'!O202+'[2]побудинковий звіт'!O202-'[3]побудинковий звіт'!O202</f>
        <v>12019.200000000003</v>
      </c>
      <c r="P202" s="42">
        <f>'[1]побудинковий звіт'!P202+'[2]побудинковий звіт'!P202-'[3]побудинковий звіт'!P202</f>
        <v>9446.8808166666695</v>
      </c>
      <c r="Q202" s="56">
        <f t="shared" si="185"/>
        <v>-2572.3191833333331</v>
      </c>
      <c r="R202" s="42">
        <f>'[1]побудинковий звіт'!R202+'[2]побудинковий звіт'!R202-'[3]побудинковий звіт'!R202</f>
        <v>2341.08</v>
      </c>
      <c r="S202" s="42">
        <f>'[1]побудинковий звіт'!S202+'[2]побудинковий звіт'!S202-'[3]побудинковий звіт'!S202</f>
        <v>1840.0755056451612</v>
      </c>
      <c r="T202" s="56">
        <f t="shared" si="186"/>
        <v>-501.0044943548387</v>
      </c>
      <c r="U202" s="42">
        <f>'[1]побудинковий звіт'!U202+'[2]побудинковий звіт'!U202-'[3]побудинковий звіт'!U202</f>
        <v>1170.2323882178873</v>
      </c>
      <c r="V202" s="42">
        <f>'[1]побудинковий звіт'!V202+'[2]побудинковий звіт'!V202-'[3]побудинковий звіт'!V202</f>
        <v>462.1493233602568</v>
      </c>
      <c r="W202" s="56">
        <f t="shared" si="187"/>
        <v>-708.08306485763046</v>
      </c>
      <c r="X202" s="42">
        <f>'[1]побудинковий звіт'!X202+'[2]побудинковий звіт'!X202-'[3]побудинковий звіт'!X202</f>
        <v>15632.696451587959</v>
      </c>
      <c r="Y202" s="42">
        <f>'[1]побудинковий звіт'!Y202+'[2]побудинковий звіт'!Y202-'[3]побудинковий звіт'!Y202</f>
        <v>11054.165577546502</v>
      </c>
      <c r="Z202" s="56">
        <f t="shared" si="188"/>
        <v>-4578.5308740414566</v>
      </c>
      <c r="AA202" s="42">
        <f>'[1]побудинковий звіт'!AA202+'[2]побудинковий звіт'!AA202-'[3]побудинковий звіт'!AA202</f>
        <v>0</v>
      </c>
      <c r="AB202" s="42">
        <f>'[1]побудинковий звіт'!AB202+'[2]побудинковий звіт'!AB202-'[3]побудинковий звіт'!AB202</f>
        <v>0</v>
      </c>
      <c r="AC202" s="56">
        <f t="shared" si="189"/>
        <v>0</v>
      </c>
      <c r="AD202" s="42">
        <f>'[1]побудинковий звіт'!AD202+'[2]побудинковий звіт'!AD202-'[3]побудинковий звіт'!AD202</f>
        <v>31858.408345911877</v>
      </c>
      <c r="AE202" s="42">
        <f>'[1]побудинковий звіт'!AE202+'[2]побудинковий звіт'!AE202-'[3]побудинковий звіт'!AE202</f>
        <v>29363.34109401251</v>
      </c>
      <c r="AF202" s="37">
        <f t="shared" si="190"/>
        <v>-2495.067251899367</v>
      </c>
      <c r="AG202" s="87">
        <f t="shared" si="180"/>
        <v>87116.700370515638</v>
      </c>
      <c r="AH202" s="57">
        <f t="shared" si="180"/>
        <v>73003.087266786461</v>
      </c>
      <c r="AI202" s="56">
        <f t="shared" si="191"/>
        <v>-14113.613103729178</v>
      </c>
      <c r="AJ202" s="42">
        <f>'[1]побудинковий звіт'!AJ202+'[2]побудинковий звіт'!AJ202-'[3]побудинковий звіт'!AJ202</f>
        <v>84697.33621322806</v>
      </c>
      <c r="AK202" s="42">
        <f>'[1]побудинковий звіт'!AK202+'[2]побудинковий звіт'!AK202-'[3]побудинковий звіт'!AK202</f>
        <v>83952.250155814079</v>
      </c>
      <c r="AL202" s="56">
        <f t="shared" si="192"/>
        <v>-745.0860574139806</v>
      </c>
      <c r="AM202" s="42">
        <f>'[1]побудинковий звіт'!AM202+'[2]побудинковий звіт'!AM202-'[3]побудинковий звіт'!AM202</f>
        <v>0</v>
      </c>
      <c r="AN202" s="42">
        <f>'[1]побудинковий звіт'!AN202+'[2]побудинковий звіт'!AN202-'[3]побудинковий звіт'!AN202</f>
        <v>0</v>
      </c>
      <c r="AO202" s="56">
        <f t="shared" si="193"/>
        <v>0</v>
      </c>
      <c r="AP202" s="42">
        <f>'[1]побудинковий звіт'!AP202+'[2]побудинковий звіт'!AP202-'[3]побудинковий звіт'!AP202</f>
        <v>5682.1058573618993</v>
      </c>
      <c r="AQ202" s="42">
        <f>'[1]побудинковий звіт'!AQ202+'[2]побудинковий звіт'!AQ202-'[3]побудинковий звіт'!AQ202</f>
        <v>5419.6402155703063</v>
      </c>
      <c r="AR202" s="56">
        <f t="shared" si="194"/>
        <v>-262.46564179159304</v>
      </c>
      <c r="AS202" s="42">
        <f>'[1]побудинковий звіт'!AS202+'[2]побудинковий звіт'!AS202-'[3]побудинковий звіт'!AS202</f>
        <v>119099.64795409072</v>
      </c>
      <c r="AT202" s="42">
        <f>'[1]побудинковий звіт'!AT202+'[2]побудинковий звіт'!AT202-'[3]побудинковий звіт'!AT202</f>
        <v>218183</v>
      </c>
      <c r="AU202" s="58">
        <f t="shared" si="211"/>
        <v>99083.352045909283</v>
      </c>
      <c r="AV202" s="42">
        <f>'[1]побудинковий звіт'!AV202+'[2]побудинковий звіт'!AV202-'[3]побудинковий звіт'!AV202</f>
        <v>1711.9350434285948</v>
      </c>
      <c r="AW202" s="42">
        <f>'[1]побудинковий звіт'!AW202+'[2]побудинковий звіт'!AW202-'[3]побудинковий звіт'!AW202</f>
        <v>1882</v>
      </c>
      <c r="AX202" s="59">
        <f t="shared" si="212"/>
        <v>170.06495657140522</v>
      </c>
      <c r="AY202" s="42">
        <f>'[1]побудинковий звіт'!AY202+'[2]побудинковий звіт'!AY202-'[3]побудинковий звіт'!AY202</f>
        <v>2341.9396050431133</v>
      </c>
      <c r="AZ202" s="42">
        <f>'[1]побудинковий звіт'!AZ202+'[2]побудинковий звіт'!AZ202-'[3]побудинковий звіт'!AZ202</f>
        <v>2462</v>
      </c>
      <c r="BA202" s="37">
        <f t="shared" si="213"/>
        <v>120.06039495688674</v>
      </c>
      <c r="BB202" s="42">
        <f>'[1]побудинковий звіт'!BB202+'[2]побудинковий звіт'!BB202-'[3]побудинковий звіт'!BB202</f>
        <v>2924.9722644413009</v>
      </c>
      <c r="BC202" s="42">
        <f>'[1]побудинковий звіт'!BC202+'[2]побудинковий звіт'!BC202-'[3]побудинковий звіт'!BC202</f>
        <v>0</v>
      </c>
      <c r="BD202" s="59">
        <f t="shared" si="214"/>
        <v>-2924.9722644413009</v>
      </c>
      <c r="BE202" s="42">
        <f>'[1]побудинковий звіт'!BE202+'[2]побудинковий звіт'!BE202-'[3]побудинковий звіт'!BE202</f>
        <v>1204.5640437955815</v>
      </c>
      <c r="BF202" s="42">
        <f>'[1]побудинковий звіт'!BF202+'[2]побудинковий звіт'!BF202-'[3]побудинковий звіт'!BF202</f>
        <v>0</v>
      </c>
      <c r="BG202" s="39">
        <f t="shared" si="215"/>
        <v>-1204.5640437955815</v>
      </c>
      <c r="BH202" s="42">
        <f>'[1]побудинковий звіт'!BH202+'[2]побудинковий звіт'!BH202-'[3]побудинковий звіт'!BH202</f>
        <v>593.65087276649558</v>
      </c>
      <c r="BI202" s="42">
        <f>'[1]побудинковий звіт'!BI202+'[2]побудинковий звіт'!BI202-'[3]побудинковий звіт'!BI202</f>
        <v>293</v>
      </c>
      <c r="BJ202" s="59">
        <f t="shared" si="216"/>
        <v>-300.65087276649558</v>
      </c>
      <c r="BK202" s="42">
        <f>'[1]побудинковий звіт'!BK202+'[2]побудинковий звіт'!BK202-'[3]побудинковий звіт'!BK202</f>
        <v>1921.9578725387271</v>
      </c>
      <c r="BL202" s="42">
        <f>'[1]побудинковий звіт'!BL202+'[2]побудинковий звіт'!BL202-'[3]побудинковий звіт'!BL202</f>
        <v>4010</v>
      </c>
      <c r="BM202" s="39">
        <f t="shared" si="217"/>
        <v>2088.0421274612727</v>
      </c>
      <c r="BN202" s="42">
        <f>'[1]побудинковий звіт'!BN202+'[2]побудинковий звіт'!BN202-'[3]побудинковий звіт'!BN202</f>
        <v>858.12972459995842</v>
      </c>
      <c r="BO202" s="42">
        <f>'[1]побудинковий звіт'!BO202+'[2]побудинковий звіт'!BO202-'[3]побудинковий звіт'!BO202</f>
        <v>0</v>
      </c>
      <c r="BP202" s="59">
        <f t="shared" si="218"/>
        <v>-858.12972459995842</v>
      </c>
      <c r="BQ202" s="87">
        <f t="shared" ref="BQ202:BQ254" si="233">AV202+AY202+BB202+BE202+BH202+BK202+BN202</f>
        <v>11557.149426613771</v>
      </c>
      <c r="BR202" s="43">
        <f t="shared" si="220"/>
        <v>8647</v>
      </c>
      <c r="BS202" s="59">
        <f t="shared" si="219"/>
        <v>-2910.1494266137706</v>
      </c>
      <c r="BT202" s="42">
        <f>'[1]побудинковий звіт'!BT202+'[2]побудинковий звіт'!BT202-'[3]побудинковий звіт'!BT202</f>
        <v>104827.01642996733</v>
      </c>
      <c r="BU202" s="42">
        <f>'[1]побудинковий звіт'!BU202+'[2]побудинковий звіт'!BU202-'[3]побудинковий звіт'!BU202</f>
        <v>85725.271610711119</v>
      </c>
      <c r="BV202" s="56">
        <f t="shared" si="195"/>
        <v>-19101.744819256215</v>
      </c>
      <c r="BW202" s="42">
        <f>'[1]побудинковий звіт'!BW202+'[2]побудинковий звіт'!BW202-'[3]побудинковий звіт'!BW202</f>
        <v>58791.30023441925</v>
      </c>
      <c r="BX202" s="42">
        <f>'[1]побудинковий звіт'!BX202+'[2]побудинковий звіт'!BX202-'[3]побудинковий звіт'!BX202</f>
        <v>44944.048726831898</v>
      </c>
      <c r="BY202" s="56">
        <f t="shared" si="196"/>
        <v>-13847.251507587353</v>
      </c>
      <c r="BZ202" s="42">
        <f>'[1]побудинковий звіт'!BZ202+'[2]побудинковий звіт'!BZ202-'[3]побудинковий звіт'!BZ202</f>
        <v>15580.685426581298</v>
      </c>
      <c r="CA202" s="42">
        <f>'[1]побудинковий звіт'!CA202+'[2]побудинковий звіт'!CA202-'[3]побудинковий звіт'!CA202</f>
        <v>17511.494261923886</v>
      </c>
      <c r="CB202" s="56">
        <f t="shared" si="197"/>
        <v>1930.8088353425883</v>
      </c>
      <c r="CC202" s="42">
        <f>'[1]побудинковий звіт'!CC202+'[2]побудинковий звіт'!CC202-'[3]побудинковий звіт'!CC202</f>
        <v>2289.5276796741418</v>
      </c>
      <c r="CD202" s="42">
        <f>'[1]побудинковий звіт'!CD202+'[2]побудинковий звіт'!CD202-'[3]побудинковий звіт'!CD202</f>
        <v>2269.3906364350291</v>
      </c>
      <c r="CE202" s="56">
        <f t="shared" si="198"/>
        <v>-20.1370432391127</v>
      </c>
      <c r="CF202" s="42">
        <f>'[1]побудинковий звіт'!CF202+'[2]побудинковий звіт'!CF202-'[3]побудинковий звіт'!CF202</f>
        <v>281.85473329321826</v>
      </c>
      <c r="CG202" s="42">
        <f>'[1]побудинковий звіт'!CG202+'[2]побудинковий звіт'!CG202-'[3]побудинковий звіт'!CG202</f>
        <v>0</v>
      </c>
      <c r="CH202" s="56">
        <f t="shared" si="199"/>
        <v>-281.85473329321826</v>
      </c>
      <c r="CI202" s="42">
        <f>'[1]побудинковий звіт'!CI202+'[2]побудинковий звіт'!CI202-'[3]побудинковий звіт'!CI202</f>
        <v>29367.797003014457</v>
      </c>
      <c r="CJ202" s="42">
        <f>'[1]побудинковий звіт'!CJ202+'[2]побудинковий звіт'!CJ202-'[3]побудинковий звіт'!CJ202</f>
        <v>18318.648371953939</v>
      </c>
      <c r="CK202" s="56">
        <f t="shared" si="200"/>
        <v>-11049.148631060518</v>
      </c>
      <c r="CL202" s="42">
        <f>'[1]побудинковий звіт'!CL202+'[2]побудинковий звіт'!CL202-'[3]побудинковий звіт'!CL202</f>
        <v>16677.314932878191</v>
      </c>
      <c r="CM202" s="42">
        <f>'[1]побудинковий звіт'!CM202+'[2]побудинковий звіт'!CM202-'[3]побудинковий звіт'!CM202</f>
        <v>14940.130481966182</v>
      </c>
      <c r="CN202" s="56">
        <f t="shared" si="201"/>
        <v>-1737.1844509120092</v>
      </c>
      <c r="CO202" s="42">
        <f t="shared" si="181"/>
        <v>46045.111935892652</v>
      </c>
      <c r="CP202" s="43">
        <f t="shared" si="202"/>
        <v>33258.778853920121</v>
      </c>
      <c r="CQ202" s="56">
        <f t="shared" si="203"/>
        <v>-12786.333081972531</v>
      </c>
      <c r="CR202" s="78">
        <f t="shared" si="182"/>
        <v>535968.43626163795</v>
      </c>
      <c r="CS202" s="5">
        <f t="shared" si="182"/>
        <v>572913.96172799298</v>
      </c>
      <c r="CT202" s="56">
        <f t="shared" si="204"/>
        <v>36945.525466355029</v>
      </c>
      <c r="CU202" s="87">
        <f t="shared" si="205"/>
        <v>643162.12351396552</v>
      </c>
      <c r="CV202" s="70">
        <f t="shared" si="206"/>
        <v>687496.75407359155</v>
      </c>
      <c r="CW202" s="37">
        <f t="shared" si="207"/>
        <v>44334.630559626035</v>
      </c>
      <c r="CX202" s="42">
        <f>'[1]побудинковий звіт'!CX202+'[2]побудинковий звіт'!CX202-'[3]побудинковий звіт'!CX202</f>
        <v>16153.956486034418</v>
      </c>
      <c r="CY202" s="42">
        <f>'[1]побудинковий звіт'!CY202+'[2]побудинковий звіт'!CY202-'[3]побудинковий звіт'!CY202</f>
        <v>-28180.674073591432</v>
      </c>
      <c r="CZ202" s="56">
        <f t="shared" si="208"/>
        <v>-44334.630559625846</v>
      </c>
      <c r="DA202" s="264">
        <f>'[4]побудинковий звіт'!DA202</f>
        <v>-38869.127685835498</v>
      </c>
      <c r="DB202" s="2">
        <v>1</v>
      </c>
      <c r="DC202" s="717">
        <f>'[4]побудинковий звіт'!DC202</f>
        <v>127296.26</v>
      </c>
      <c r="DD202" s="717">
        <f>'[4]побудинковий звіт'!DD202</f>
        <v>0</v>
      </c>
      <c r="DE202" s="717">
        <f>'[4]побудинковий звіт'!DE202</f>
        <v>72360.319999999992</v>
      </c>
      <c r="DF202" s="717">
        <f>'[4]побудинковий звіт'!DF202</f>
        <v>0</v>
      </c>
      <c r="DG202" s="787">
        <v>-94763.640164695913</v>
      </c>
      <c r="DH202" s="761">
        <f t="shared" si="226"/>
        <v>7911792.959999999</v>
      </c>
      <c r="DI202" s="784"/>
      <c r="DJ202" s="5"/>
      <c r="DK202" s="317">
        <f>VLOOKUP($A202,ціни!$A$4:$G$401,5)</f>
        <v>5.9786604375016941</v>
      </c>
      <c r="DL202" s="317">
        <f>VLOOKUP($A202,ціни!$A$4:$G$401,6)</f>
        <v>7.5749399607295995</v>
      </c>
      <c r="DM202" s="317">
        <f>VLOOKUP($A202,ціни!$A$4:$G$401,7)</f>
        <v>5.1698747787574808</v>
      </c>
      <c r="DN202" s="30">
        <f>DK202*G202+(F202-G202)*DL202</f>
        <v>14620.055768629878</v>
      </c>
      <c r="DO202" s="30">
        <f>DM202*H202</f>
        <v>0</v>
      </c>
      <c r="DP202" s="316">
        <f t="shared" si="221"/>
        <v>14620.055768629878</v>
      </c>
      <c r="DQ202" s="104"/>
      <c r="DR202" s="30">
        <f>VLOOKUP(A202,'ДЗ нас '!$A$1:$C$359,2)</f>
        <v>54935.94</v>
      </c>
      <c r="DS202" s="748"/>
      <c r="DT202" s="30">
        <f t="shared" si="222"/>
        <v>54935.94</v>
      </c>
      <c r="DU202" s="257">
        <f>VLOOKUP(A202,'новий кошторис с 01.06'!$A$4:$AI$399,35)*1.2</f>
        <v>55204.748934948715</v>
      </c>
      <c r="DV202" s="30">
        <f t="shared" si="223"/>
        <v>-268.8089349487127</v>
      </c>
      <c r="DW202" s="930">
        <f>'[5]побудинковий звіт'!DW202+'[6]побудинковий звіт'!DW202</f>
        <v>232</v>
      </c>
      <c r="DY202" s="5">
        <f t="shared" si="227"/>
        <v>156788.15685684539</v>
      </c>
      <c r="DZ202" s="5">
        <f t="shared" si="228"/>
        <v>272196</v>
      </c>
      <c r="EA202" s="752">
        <f t="shared" si="229"/>
        <v>72360.319999999992</v>
      </c>
      <c r="EC202" s="592">
        <f t="shared" si="230"/>
        <v>1429195.7754490885</v>
      </c>
      <c r="EE202" s="758">
        <v>51691</v>
      </c>
      <c r="EF202" s="738">
        <f t="shared" si="231"/>
        <v>-43072.640164695913</v>
      </c>
      <c r="EH202" s="813">
        <v>-107886.13965126351</v>
      </c>
    </row>
    <row r="203" spans="1:138" x14ac:dyDescent="0.3">
      <c r="A203" s="328">
        <v>150000941</v>
      </c>
      <c r="B203" s="44" t="s">
        <v>654</v>
      </c>
      <c r="C203" s="45" t="s">
        <v>337</v>
      </c>
      <c r="D203" s="45" t="s">
        <v>337</v>
      </c>
      <c r="E203" s="40">
        <f t="shared" si="232"/>
        <v>354.3</v>
      </c>
      <c r="F203" s="490">
        <v>354.3</v>
      </c>
      <c r="G203" s="30">
        <v>717.15</v>
      </c>
      <c r="H203" s="30">
        <v>0</v>
      </c>
      <c r="I203" s="42">
        <f>'[1]побудинковий звіт'!I203+'[2]побудинковий звіт'!I203-'[3]побудинковий звіт'!I203</f>
        <v>10107.397816381092</v>
      </c>
      <c r="J203" s="42">
        <f>'[1]побудинковий звіт'!J203+'[2]побудинковий звіт'!J203-'[3]побудинковий звіт'!J203</f>
        <v>8861.491963860748</v>
      </c>
      <c r="K203" s="56">
        <f t="shared" si="183"/>
        <v>-1245.9058525203436</v>
      </c>
      <c r="L203" s="42">
        <f>'[1]побудинковий звіт'!L203+'[2]побудинковий звіт'!L203-'[3]побудинковий звіт'!L203</f>
        <v>2818.7126271354537</v>
      </c>
      <c r="M203" s="42">
        <f>'[1]побудинковий звіт'!M203+'[2]побудинковий звіт'!M203-'[3]побудинковий звіт'!M203</f>
        <v>2752.9113596062925</v>
      </c>
      <c r="N203" s="56">
        <f t="shared" si="184"/>
        <v>-65.801267529161123</v>
      </c>
      <c r="O203" s="42">
        <f>'[1]побудинковий звіт'!O203+'[2]побудинковий звіт'!O203-'[3]побудинковий звіт'!O203</f>
        <v>9816</v>
      </c>
      <c r="P203" s="42">
        <f>'[1]побудинковий звіт'!P203+'[2]побудинковий звіт'!P203-'[3]побудинковий звіт'!P203</f>
        <v>7715.8199913978497</v>
      </c>
      <c r="Q203" s="56">
        <f t="shared" si="185"/>
        <v>-2100.1800086021503</v>
      </c>
      <c r="R203" s="42">
        <f>'[1]побудинковий звіт'!R203+'[2]побудинковий звіт'!R203-'[3]побудинковий звіт'!R203</f>
        <v>1811.52</v>
      </c>
      <c r="S203" s="42">
        <f>'[1]побудинковий звіт'!S203+'[2]побудинковий звіт'!S203-'[3]побудинковий звіт'!S203</f>
        <v>1423.9560516129034</v>
      </c>
      <c r="T203" s="56">
        <f t="shared" si="186"/>
        <v>-387.56394838709662</v>
      </c>
      <c r="U203" s="42">
        <f>'[1]побудинковий звіт'!U203+'[2]побудинковий звіт'!U203-'[3]побудинковий звіт'!U203</f>
        <v>1090.3641185913455</v>
      </c>
      <c r="V203" s="42">
        <f>'[1]побудинковий звіт'!V203+'[2]побудинковий звіт'!V203-'[3]побудинковий звіт'!V203</f>
        <v>547.88044649902247</v>
      </c>
      <c r="W203" s="56">
        <f t="shared" si="187"/>
        <v>-542.48367209232299</v>
      </c>
      <c r="X203" s="42">
        <f>'[1]побудинковий звіт'!X203+'[2]побудинковий звіт'!X203-'[3]побудинковий звіт'!X203</f>
        <v>12851.437516031443</v>
      </c>
      <c r="Y203" s="42">
        <f>'[1]побудинковий звіт'!Y203+'[2]побудинковий звіт'!Y203-'[3]побудинковий звіт'!Y203</f>
        <v>8745.9032955169569</v>
      </c>
      <c r="Z203" s="56">
        <f t="shared" si="188"/>
        <v>-4105.5342205144862</v>
      </c>
      <c r="AA203" s="42">
        <f>'[1]побудинковий звіт'!AA203+'[2]побудинковий звіт'!AA203-'[3]побудинковий звіт'!AA203</f>
        <v>0</v>
      </c>
      <c r="AB203" s="42">
        <f>'[1]побудинковий звіт'!AB203+'[2]побудинковий звіт'!AB203-'[3]побудинковий звіт'!AB203</f>
        <v>0</v>
      </c>
      <c r="AC203" s="56">
        <f t="shared" si="189"/>
        <v>0</v>
      </c>
      <c r="AD203" s="42">
        <f>'[1]побудинковий звіт'!AD203+'[2]побудинковий звіт'!AD203-'[3]побудинковий звіт'!AD203</f>
        <v>26168.30277478529</v>
      </c>
      <c r="AE203" s="42">
        <f>'[1]побудинковий звіт'!AE203+'[2]побудинковий звіт'!AE203-'[3]побудинковий звіт'!AE203</f>
        <v>24116.980758959129</v>
      </c>
      <c r="AF203" s="37">
        <f t="shared" si="190"/>
        <v>-2051.3220158261611</v>
      </c>
      <c r="AG203" s="87">
        <f t="shared" si="180"/>
        <v>64663.734852924623</v>
      </c>
      <c r="AH203" s="57">
        <f t="shared" si="180"/>
        <v>54164.943867452894</v>
      </c>
      <c r="AI203" s="56">
        <f t="shared" si="191"/>
        <v>-10498.790985471729</v>
      </c>
      <c r="AJ203" s="42">
        <f>'[1]побудинковий звіт'!AJ203+'[2]побудинковий звіт'!AJ203-'[3]побудинковий звіт'!AJ203</f>
        <v>53690.285094516774</v>
      </c>
      <c r="AK203" s="42">
        <f>'[1]побудинковий звіт'!AK203+'[2]побудинковий звіт'!AK203-'[3]побудинковий звіт'!AK203</f>
        <v>53217.921094726669</v>
      </c>
      <c r="AL203" s="56">
        <f t="shared" si="192"/>
        <v>-472.36399979010457</v>
      </c>
      <c r="AM203" s="42">
        <f>'[1]побудинковий звіт'!AM203+'[2]побудинковий звіт'!AM203-'[3]побудинковий звіт'!AM203</f>
        <v>4735.2664766127937</v>
      </c>
      <c r="AN203" s="42">
        <f>'[1]побудинковий звіт'!AN203+'[2]побудинковий звіт'!AN203-'[3]побудинковий звіт'!AN203</f>
        <v>0</v>
      </c>
      <c r="AO203" s="56">
        <f t="shared" si="193"/>
        <v>-4735.2664766127937</v>
      </c>
      <c r="AP203" s="42">
        <f>'[1]побудинковий звіт'!AP203+'[2]побудинковий звіт'!AP203-'[3]побудинковий звіт'!AP203</f>
        <v>4829.7899787576134</v>
      </c>
      <c r="AQ203" s="42">
        <f>'[1]побудинковий звіт'!AQ203+'[2]побудинковий звіт'!AQ203-'[3]побудинковий звіт'!AQ203</f>
        <v>4690.0749591401182</v>
      </c>
      <c r="AR203" s="56">
        <f t="shared" si="194"/>
        <v>-139.71501961749527</v>
      </c>
      <c r="AS203" s="42">
        <f>'[1]побудинковий звіт'!AS203+'[2]побудинковий звіт'!AS203-'[3]побудинковий звіт'!AS203</f>
        <v>116695.30522629039</v>
      </c>
      <c r="AT203" s="42">
        <f>'[1]побудинковий звіт'!AT203+'[2]побудинковий звіт'!AT203-'[3]побудинковий звіт'!AT203</f>
        <v>147114</v>
      </c>
      <c r="AU203" s="58">
        <f t="shared" si="211"/>
        <v>30418.694773709605</v>
      </c>
      <c r="AV203" s="42">
        <f>'[1]побудинковий звіт'!AV203+'[2]побудинковий звіт'!AV203-'[3]побудинковий звіт'!AV203</f>
        <v>518.65821468004685</v>
      </c>
      <c r="AW203" s="42">
        <f>'[1]побудинковий звіт'!AW203+'[2]побудинковий звіт'!AW203-'[3]побудинковий звіт'!AW203</f>
        <v>1068</v>
      </c>
      <c r="AX203" s="59">
        <f t="shared" si="212"/>
        <v>549.34178531995315</v>
      </c>
      <c r="AY203" s="42">
        <f>'[1]побудинковий звіт'!AY203+'[2]побудинковий звіт'!AY203-'[3]побудинковий звіт'!AY203</f>
        <v>720.85312188444175</v>
      </c>
      <c r="AZ203" s="42">
        <f>'[1]побудинковий звіт'!AZ203+'[2]побудинковий звіт'!AZ203-'[3]побудинковий звіт'!AZ203</f>
        <v>9494</v>
      </c>
      <c r="BA203" s="37">
        <f t="shared" si="213"/>
        <v>8773.1468781155581</v>
      </c>
      <c r="BB203" s="42">
        <f>'[1]побудинковий звіт'!BB203+'[2]побудинковий звіт'!BB203-'[3]побудинковий звіт'!BB203</f>
        <v>460.44911046176537</v>
      </c>
      <c r="BC203" s="42">
        <f>'[1]побудинковий звіт'!BC203+'[2]побудинковий звіт'!BC203-'[3]побудинковий звіт'!BC203</f>
        <v>417.83672428403412</v>
      </c>
      <c r="BD203" s="59">
        <f t="shared" si="214"/>
        <v>-42.612386177731253</v>
      </c>
      <c r="BE203" s="42">
        <f>'[1]побудинковий звіт'!BE203+'[2]побудинковий звіт'!BE203-'[3]побудинковий звіт'!BE203</f>
        <v>427.96207125221179</v>
      </c>
      <c r="BF203" s="42">
        <f>'[1]побудинковий звіт'!BF203+'[2]побудинковий звіт'!BF203-'[3]побудинковий звіт'!BF203</f>
        <v>0</v>
      </c>
      <c r="BG203" s="39">
        <f t="shared" si="215"/>
        <v>-427.96207125221179</v>
      </c>
      <c r="BH203" s="42">
        <f>'[1]побудинковий звіт'!BH203+'[2]побудинковий звіт'!BH203-'[3]побудинковий звіт'!BH203</f>
        <v>331.91870979101282</v>
      </c>
      <c r="BI203" s="42">
        <f>'[1]побудинковий звіт'!BI203+'[2]побудинковий звіт'!BI203-'[3]побудинковий звіт'!BI203</f>
        <v>0</v>
      </c>
      <c r="BJ203" s="59">
        <f t="shared" si="216"/>
        <v>-331.91870979101282</v>
      </c>
      <c r="BK203" s="42">
        <f>'[1]побудинковий звіт'!BK203+'[2]побудинковий звіт'!BK203-'[3]побудинковий звіт'!BK203</f>
        <v>685.16561559866182</v>
      </c>
      <c r="BL203" s="42">
        <f>'[1]побудинковий звіт'!BL203+'[2]побудинковий звіт'!BL203-'[3]побудинковий звіт'!BL203</f>
        <v>6186</v>
      </c>
      <c r="BM203" s="39">
        <f t="shared" si="217"/>
        <v>5500.834384401338</v>
      </c>
      <c r="BN203" s="42">
        <f>'[1]побудинковий звіт'!BN203+'[2]побудинковий звіт'!BN203-'[3]побудинковий звіт'!BN203</f>
        <v>1083.9309770510965</v>
      </c>
      <c r="BO203" s="42">
        <f>'[1]побудинковий звіт'!BO203+'[2]побудинковий звіт'!BO203-'[3]побудинковий звіт'!BO203</f>
        <v>0</v>
      </c>
      <c r="BP203" s="59">
        <f t="shared" si="218"/>
        <v>-1083.9309770510965</v>
      </c>
      <c r="BQ203" s="87">
        <f t="shared" si="233"/>
        <v>4228.9378207192367</v>
      </c>
      <c r="BR203" s="43">
        <f t="shared" ref="BR203:BR228" si="234">AW203+AZ203+BC203+BF203+BI203+BL203+BO203</f>
        <v>17165.836724284032</v>
      </c>
      <c r="BS203" s="59">
        <f t="shared" si="219"/>
        <v>12936.898903564796</v>
      </c>
      <c r="BT203" s="42">
        <f>'[1]побудинковий звіт'!BT203+'[2]побудинковий звіт'!BT203-'[3]побудинковий звіт'!BT203</f>
        <v>73087.77644891465</v>
      </c>
      <c r="BU203" s="42">
        <f>'[1]побудинковий звіт'!BU203+'[2]побудинковий звіт'!BU203-'[3]побудинковий звіт'!BU203</f>
        <v>78561.036482085445</v>
      </c>
      <c r="BV203" s="56">
        <f t="shared" si="195"/>
        <v>5473.2600331707945</v>
      </c>
      <c r="BW203" s="42">
        <f>'[1]побудинковий звіт'!BW203+'[2]побудинковий звіт'!BW203-'[3]побудинковий звіт'!BW203</f>
        <v>53208.330689056027</v>
      </c>
      <c r="BX203" s="42">
        <f>'[1]побудинковий звіт'!BX203+'[2]побудинковий звіт'!BX203-'[3]побудинковий звіт'!BX203</f>
        <v>61400.081112603541</v>
      </c>
      <c r="BY203" s="56">
        <f t="shared" si="196"/>
        <v>8191.7504235475135</v>
      </c>
      <c r="BZ203" s="42">
        <f>'[1]побудинковий звіт'!BZ203+'[2]побудинковий звіт'!BZ203-'[3]побудинковий звіт'!BZ203</f>
        <v>9088.7331655057587</v>
      </c>
      <c r="CA203" s="42">
        <f>'[1]побудинковий звіт'!CA203+'[2]побудинковий звіт'!CA203-'[3]побудинковий звіт'!CA203</f>
        <v>21001.328669470633</v>
      </c>
      <c r="CB203" s="56">
        <f t="shared" si="197"/>
        <v>11912.595503964874</v>
      </c>
      <c r="CC203" s="42">
        <f>'[1]побудинковий звіт'!CC203+'[2]побудинковий звіт'!CC203-'[3]побудинковий звіт'!CC203</f>
        <v>1821.2686783841593</v>
      </c>
      <c r="CD203" s="42">
        <f>'[1]побудинковий звіт'!CD203+'[2]побудинковий звіт'!CD203-'[3]побудинковий звіт'!CD203</f>
        <v>1805.2501054478032</v>
      </c>
      <c r="CE203" s="56">
        <f t="shared" si="198"/>
        <v>-16.018572936356122</v>
      </c>
      <c r="CF203" s="42">
        <f>'[1]побудинковий звіт'!CF203+'[2]побудинковий звіт'!CF203-'[3]побудинковий звіт'!CF203</f>
        <v>224.20921230108007</v>
      </c>
      <c r="CG203" s="42">
        <f>'[1]побудинковий звіт'!CG203+'[2]побудинковий звіт'!CG203-'[3]побудинковий звіт'!CG203</f>
        <v>0</v>
      </c>
      <c r="CH203" s="56">
        <f t="shared" si="199"/>
        <v>-224.20921230108007</v>
      </c>
      <c r="CI203" s="42">
        <f>'[1]побудинковий звіт'!CI203+'[2]побудинковий звіт'!CI203-'[3]побудинковий звіт'!CI203</f>
        <v>13581.436268570611</v>
      </c>
      <c r="CJ203" s="42">
        <f>'[1]побудинковий звіт'!CJ203+'[2]побудинковий звіт'!CJ203-'[3]побудинковий звіт'!CJ203</f>
        <v>16543.599380330008</v>
      </c>
      <c r="CK203" s="56">
        <f t="shared" si="200"/>
        <v>2962.163111759397</v>
      </c>
      <c r="CL203" s="42">
        <f>'[1]побудинковий звіт'!CL203+'[2]побудинковий звіт'!CL203-'[3]побудинковий звіт'!CL203</f>
        <v>9040.5646605838028</v>
      </c>
      <c r="CM203" s="42">
        <f>'[1]побудинковий звіт'!CM203+'[2]побудинковий звіт'!CM203-'[3]побудинковий звіт'!CM203</f>
        <v>10913.673801644461</v>
      </c>
      <c r="CN203" s="56">
        <f t="shared" si="201"/>
        <v>1873.1091410606587</v>
      </c>
      <c r="CO203" s="42">
        <f t="shared" si="181"/>
        <v>22622.000929154412</v>
      </c>
      <c r="CP203" s="43">
        <f t="shared" si="202"/>
        <v>27457.273181974469</v>
      </c>
      <c r="CQ203" s="56">
        <f t="shared" si="203"/>
        <v>4835.2722528200575</v>
      </c>
      <c r="CR203" s="78">
        <f t="shared" si="182"/>
        <v>408895.63857313746</v>
      </c>
      <c r="CS203" s="5">
        <f t="shared" si="182"/>
        <v>466577.7461971856</v>
      </c>
      <c r="CT203" s="56">
        <f t="shared" si="204"/>
        <v>57682.107624048134</v>
      </c>
      <c r="CU203" s="87">
        <f t="shared" si="205"/>
        <v>490674.76628776494</v>
      </c>
      <c r="CV203" s="70">
        <f t="shared" si="206"/>
        <v>559893.29543662269</v>
      </c>
      <c r="CW203" s="37">
        <f t="shared" si="207"/>
        <v>69218.52914885775</v>
      </c>
      <c r="CX203" s="42">
        <f>'[1]побудинковий звіт'!CX203+'[2]побудинковий звіт'!CX203-'[3]побудинковий звіт'!CX203</f>
        <v>11782.633712235009</v>
      </c>
      <c r="CY203" s="42">
        <f>'[1]побудинковий звіт'!CY203+'[2]побудинковий звіт'!CY203-'[3]побудинковий звіт'!CY203</f>
        <v>-57435.895436622755</v>
      </c>
      <c r="CZ203" s="56">
        <f t="shared" si="208"/>
        <v>-69218.529148857764</v>
      </c>
      <c r="DA203" s="264">
        <f>'[4]побудинковий звіт'!DA203</f>
        <v>113062.35737090081</v>
      </c>
      <c r="DB203" s="2">
        <v>1</v>
      </c>
      <c r="DC203" s="717">
        <f>'[4]побудинковий звіт'!DC203</f>
        <v>94181.8</v>
      </c>
      <c r="DD203" s="717">
        <f>'[4]побудинковий звіт'!DD203</f>
        <v>0</v>
      </c>
      <c r="DE203" s="717">
        <f>'[4]побудинковий звіт'!DE203</f>
        <v>52299.850000000006</v>
      </c>
      <c r="DF203" s="717">
        <f>'[4]побудинковий звіт'!DF203</f>
        <v>0</v>
      </c>
      <c r="DG203" s="787">
        <v>-20591.862562330905</v>
      </c>
      <c r="DH203" s="761">
        <f t="shared" si="226"/>
        <v>6029488.7999999998</v>
      </c>
      <c r="DI203" s="784"/>
      <c r="DJ203" s="5"/>
      <c r="DK203" s="317">
        <f>VLOOKUP($A203,ціни!$A$4:$G$401,5)</f>
        <v>5.7183398893793296</v>
      </c>
      <c r="DL203" s="317">
        <f>VLOOKUP($A203,ціни!$A$4:$G$401,6)</f>
        <v>6.9982593610983361</v>
      </c>
      <c r="DM203" s="317">
        <f>VLOOKUP($A203,ціни!$A$4:$G$401,7)</f>
        <v>4.8271945726534469</v>
      </c>
      <c r="DN203" s="30">
        <f>DK203*G203+(F203-G203)*DL203</f>
        <v>1561.5890424938548</v>
      </c>
      <c r="DO203" s="30">
        <f>DM203*H203</f>
        <v>0</v>
      </c>
      <c r="DP203" s="316">
        <f t="shared" si="221"/>
        <v>1561.5890424938548</v>
      </c>
      <c r="DQ203" s="104"/>
      <c r="DR203" s="30">
        <f>VLOOKUP(A203,'ДЗ нас '!$A$1:$C$359,2)</f>
        <v>41881.949999999997</v>
      </c>
      <c r="DS203" s="748"/>
      <c r="DT203" s="30">
        <f t="shared" si="222"/>
        <v>41881.949999999997</v>
      </c>
      <c r="DU203" s="257">
        <f>VLOOKUP(A203,'новий кошторис с 01.06'!$A$4:$AI$399,35)*1.2</f>
        <v>42116.250773033164</v>
      </c>
      <c r="DV203" s="30">
        <f t="shared" si="223"/>
        <v>-234.30077303316648</v>
      </c>
      <c r="DW203" s="930">
        <f>'[5]побудинковий звіт'!DW203+'[6]побудинковий звіт'!DW203</f>
        <v>276</v>
      </c>
      <c r="DY203" s="5">
        <f t="shared" si="227"/>
        <v>145109.09165641156</v>
      </c>
      <c r="DZ203" s="5">
        <f t="shared" si="228"/>
        <v>197135.80406914084</v>
      </c>
      <c r="EA203" s="752">
        <f t="shared" si="229"/>
        <v>52299.850000000006</v>
      </c>
      <c r="EC203" s="592">
        <f t="shared" si="230"/>
        <v>1400343.6627154849</v>
      </c>
      <c r="EE203" s="758">
        <v>6594</v>
      </c>
      <c r="EF203" s="738">
        <f t="shared" si="231"/>
        <v>-13997.862562330905</v>
      </c>
      <c r="EH203" s="813">
        <v>177539.28525593318</v>
      </c>
    </row>
    <row r="204" spans="1:138" x14ac:dyDescent="0.3">
      <c r="A204" s="328">
        <v>150000957</v>
      </c>
      <c r="B204" s="44" t="s">
        <v>655</v>
      </c>
      <c r="C204" s="45" t="s">
        <v>377</v>
      </c>
      <c r="D204" s="45" t="s">
        <v>377</v>
      </c>
      <c r="E204" s="40">
        <f t="shared" si="232"/>
        <v>397.4</v>
      </c>
      <c r="F204" s="490">
        <v>397.4</v>
      </c>
      <c r="G204" s="30">
        <v>234.2</v>
      </c>
      <c r="H204" s="30">
        <v>0</v>
      </c>
      <c r="I204" s="42">
        <f>'[1]побудинковий звіт'!I204+'[2]побудинковий звіт'!I204-'[3]побудинковий звіт'!I204</f>
        <v>7982.534673161801</v>
      </c>
      <c r="J204" s="42">
        <f>'[1]побудинковий звіт'!J204+'[2]побудинковий звіт'!J204-'[3]побудинковий звіт'!J204</f>
        <v>6743.8560467223178</v>
      </c>
      <c r="K204" s="56">
        <f t="shared" si="183"/>
        <v>-1238.6786264394832</v>
      </c>
      <c r="L204" s="42">
        <f>'[1]побудинковий звіт'!L204+'[2]побудинковий звіт'!L204-'[3]побудинковий звіт'!L204</f>
        <v>1201.9316810220166</v>
      </c>
      <c r="M204" s="42">
        <f>'[1]побудинковий звіт'!M204+'[2]побудинковий звіт'!M204-'[3]побудинковий звіт'!M204</f>
        <v>1185.8970656949116</v>
      </c>
      <c r="N204" s="56">
        <f t="shared" si="184"/>
        <v>-16.03461532710503</v>
      </c>
      <c r="O204" s="42">
        <f>'[1]побудинковий звіт'!O204+'[2]побудинковий звіт'!O204-'[3]побудинковий звіт'!O204</f>
        <v>3160.0800000000004</v>
      </c>
      <c r="P204" s="42">
        <f>'[1]побудинковий звіт'!P204+'[2]побудинковий звіт'!P204-'[3]побудинковий звіт'!P204</f>
        <v>2483.8302203225803</v>
      </c>
      <c r="Q204" s="56">
        <f t="shared" si="185"/>
        <v>-676.24977967742007</v>
      </c>
      <c r="R204" s="42">
        <f>'[1]побудинковий звіт'!R204+'[2]побудинковий звіт'!R204-'[3]побудинковий звіт'!R204</f>
        <v>738.7199999999998</v>
      </c>
      <c r="S204" s="42">
        <f>'[1]побудинковий звіт'!S204+'[2]побудинковий звіт'!S204-'[3]побудинковий звіт'!S204</f>
        <v>580.60707000000002</v>
      </c>
      <c r="T204" s="56">
        <f t="shared" si="186"/>
        <v>-158.11292999999978</v>
      </c>
      <c r="U204" s="42">
        <f>'[1]побудинковий звіт'!U204+'[2]побудинковий звіт'!U204-'[3]побудинковий звіт'!U204</f>
        <v>390.17454427986797</v>
      </c>
      <c r="V204" s="42">
        <f>'[1]побудинковий звіт'!V204+'[2]побудинковий звіт'!V204-'[3]побудинковий звіт'!V204</f>
        <v>183.86942859035895</v>
      </c>
      <c r="W204" s="56">
        <f t="shared" si="187"/>
        <v>-206.30511568950902</v>
      </c>
      <c r="X204" s="42">
        <f>'[1]побудинковий звіт'!X204+'[2]побудинковий звіт'!X204-'[3]побудинковий звіт'!X204</f>
        <v>2169.1228168048297</v>
      </c>
      <c r="Y204" s="42">
        <f>'[1]побудинковий звіт'!Y204+'[2]побудинковий звіт'!Y204-'[3]побудинковий звіт'!Y204</f>
        <v>2171.1053214965614</v>
      </c>
      <c r="Z204" s="56">
        <f t="shared" si="188"/>
        <v>1.9825046917317195</v>
      </c>
      <c r="AA204" s="42">
        <f>'[1]побудинковий звіт'!AA204+'[2]побудинковий звіт'!AA204-'[3]побудинковий звіт'!AA204</f>
        <v>0</v>
      </c>
      <c r="AB204" s="42">
        <f>'[1]побудинковий звіт'!AB204+'[2]побудинковий звіт'!AB204-'[3]побудинковий звіт'!AB204</f>
        <v>0</v>
      </c>
      <c r="AC204" s="56">
        <f t="shared" si="189"/>
        <v>0</v>
      </c>
      <c r="AD204" s="42">
        <f>'[1]побудинковий звіт'!AD204+'[2]побудинковий звіт'!AD204-'[3]побудинковий звіт'!AD204</f>
        <v>9252.1297881775336</v>
      </c>
      <c r="AE204" s="42">
        <f>'[1]побудинковий звіт'!AE204+'[2]побудинковий звіт'!AE204-'[3]побудинковий звіт'!AE204</f>
        <v>8527.6263973168425</v>
      </c>
      <c r="AF204" s="37">
        <f t="shared" si="190"/>
        <v>-724.50339086069107</v>
      </c>
      <c r="AG204" s="87">
        <f t="shared" si="180"/>
        <v>24894.693503446048</v>
      </c>
      <c r="AH204" s="57">
        <f t="shared" si="180"/>
        <v>21876.791550143571</v>
      </c>
      <c r="AI204" s="56">
        <f t="shared" si="191"/>
        <v>-3017.9019533024766</v>
      </c>
      <c r="AJ204" s="42">
        <f>'[1]побудинковий звіт'!AJ204+'[2]побудинковий звіт'!AJ204-'[3]побудинковий звіт'!AJ204</f>
        <v>17243.520069488255</v>
      </c>
      <c r="AK204" s="42">
        <f>'[1]побудинковий звіт'!AK204+'[2]побудинковий звіт'!AK204-'[3]побудинковий звіт'!AK204</f>
        <v>17091.858435380724</v>
      </c>
      <c r="AL204" s="56">
        <f t="shared" si="192"/>
        <v>-151.66163410753143</v>
      </c>
      <c r="AM204" s="42">
        <f>'[1]побудинковий звіт'!AM204+'[2]побудинковий звіт'!AM204-'[3]побудинковий звіт'!AM204</f>
        <v>1578.4221588709306</v>
      </c>
      <c r="AN204" s="42">
        <f>'[1]побудинковий звіт'!AN204+'[2]побудинковий звіт'!AN204-'[3]побудинковий звіт'!AN204</f>
        <v>1431.729668244026</v>
      </c>
      <c r="AO204" s="56">
        <f t="shared" si="193"/>
        <v>-146.6924906269046</v>
      </c>
      <c r="AP204" s="42">
        <f>'[1]побудинковий звіт'!AP204+'[2]побудинковий звіт'!AP204-'[3]побудинковий звіт'!AP204</f>
        <v>1704.6317572085691</v>
      </c>
      <c r="AQ204" s="42">
        <f>'[1]побудинковий звіт'!AQ204+'[2]побудинковий звіт'!AQ204-'[3]побудинковий звіт'!AQ204</f>
        <v>3089.8568738892964</v>
      </c>
      <c r="AR204" s="56">
        <f t="shared" si="194"/>
        <v>1385.2251166807273</v>
      </c>
      <c r="AS204" s="42">
        <f>'[1]побудинковий звіт'!AS204+'[2]побудинковий звіт'!AS204-'[3]побудинковий звіт'!AS204</f>
        <v>32768.194578228235</v>
      </c>
      <c r="AT204" s="42">
        <f>'[1]побудинковий звіт'!AT204+'[2]побудинковий звіт'!AT204-'[3]побудинковий звіт'!AT204</f>
        <v>32380.391887656104</v>
      </c>
      <c r="AU204" s="58">
        <f t="shared" si="211"/>
        <v>-387.80269057213081</v>
      </c>
      <c r="AV204" s="42">
        <f>'[1]побудинковий звіт'!AV204+'[2]побудинковий звіт'!AV204-'[3]побудинковий звіт'!AV204</f>
        <v>638.76026908335007</v>
      </c>
      <c r="AW204" s="42">
        <f>'[1]побудинковий звіт'!AW204+'[2]побудинковий звіт'!AW204-'[3]побудинковий звіт'!AW204</f>
        <v>306</v>
      </c>
      <c r="AX204" s="59">
        <f t="shared" si="212"/>
        <v>-332.76026908335007</v>
      </c>
      <c r="AY204" s="42">
        <f>'[1]побудинковий звіт'!AY204+'[2]побудинковий звіт'!AY204-'[3]побудинковий звіт'!AY204</f>
        <v>797.49583455525658</v>
      </c>
      <c r="AZ204" s="42">
        <f>'[1]побудинковий звіт'!AZ204+'[2]побудинковий звіт'!AZ204-'[3]побудинковий звіт'!AZ204</f>
        <v>0</v>
      </c>
      <c r="BA204" s="37">
        <f t="shared" si="213"/>
        <v>-797.49583455525658</v>
      </c>
      <c r="BB204" s="42">
        <f>'[1]побудинковий звіт'!BB204+'[2]побудинковий звіт'!BB204-'[3]побудинковий звіт'!BB204</f>
        <v>578.97626593541065</v>
      </c>
      <c r="BC204" s="42">
        <f>'[1]побудинковий звіт'!BC204+'[2]побудинковий звіт'!BC204-'[3]побудинковий звіт'!BC204</f>
        <v>2097.6072908387187</v>
      </c>
      <c r="BD204" s="59">
        <f t="shared" si="214"/>
        <v>1518.6310249033081</v>
      </c>
      <c r="BE204" s="42">
        <f>'[1]побудинковий звіт'!BE204+'[2]побудинковий звіт'!BE204-'[3]побудинковий звіт'!BE204</f>
        <v>409.86745939380518</v>
      </c>
      <c r="BF204" s="42">
        <f>'[1]побудинковий звіт'!BF204+'[2]побудинковий звіт'!BF204-'[3]побудинковий звіт'!BF204</f>
        <v>402</v>
      </c>
      <c r="BG204" s="39">
        <f t="shared" si="215"/>
        <v>-7.8674593938051771</v>
      </c>
      <c r="BH204" s="42">
        <f>'[1]побудинковий звіт'!BH204+'[2]побудинковий звіт'!BH204-'[3]побудинковий звіт'!BH204</f>
        <v>197.88370594614832</v>
      </c>
      <c r="BI204" s="42">
        <f>'[1]побудинковий звіт'!BI204+'[2]побудинковий звіт'!BI204-'[3]побудинковий звіт'!BI204</f>
        <v>0</v>
      </c>
      <c r="BJ204" s="59">
        <f t="shared" si="216"/>
        <v>-197.88370594614832</v>
      </c>
      <c r="BK204" s="42">
        <f>'[1]побудинковий звіт'!BK204+'[2]побудинковий звіт'!BK204-'[3]побудинковий звіт'!BK204</f>
        <v>261.75775971467539</v>
      </c>
      <c r="BL204" s="42">
        <f>'[1]побудинковий звіт'!BL204+'[2]побудинковий звіт'!BL204-'[3]побудинковий звіт'!BL204</f>
        <v>1263</v>
      </c>
      <c r="BM204" s="39">
        <f t="shared" si="217"/>
        <v>1001.2422402853247</v>
      </c>
      <c r="BN204" s="42">
        <f>'[1]побудинковий звіт'!BN204+'[2]побудинковий звіт'!BN204-'[3]побудинковий звіт'!BN204</f>
        <v>230.79347501263138</v>
      </c>
      <c r="BO204" s="42">
        <f>'[1]побудинковий звіт'!BO204+'[2]побудинковий звіт'!BO204-'[3]побудинковий звіт'!BO204</f>
        <v>0</v>
      </c>
      <c r="BP204" s="59">
        <f t="shared" si="218"/>
        <v>-230.79347501263138</v>
      </c>
      <c r="BQ204" s="87">
        <f t="shared" si="233"/>
        <v>3115.5347696412782</v>
      </c>
      <c r="BR204" s="43">
        <f t="shared" si="234"/>
        <v>4068.6072908387187</v>
      </c>
      <c r="BS204" s="59">
        <f t="shared" si="219"/>
        <v>953.07252119744044</v>
      </c>
      <c r="BT204" s="42">
        <f>'[1]побудинковий звіт'!BT204+'[2]побудинковий звіт'!BT204-'[3]побудинковий звіт'!BT204</f>
        <v>30668.285679755427</v>
      </c>
      <c r="BU204" s="42">
        <f>'[1]побудинковий звіт'!BU204+'[2]побудинковий звіт'!BU204-'[3]побудинковий звіт'!BU204</f>
        <v>34937.911413277427</v>
      </c>
      <c r="BV204" s="56">
        <f t="shared" si="195"/>
        <v>4269.6257335219998</v>
      </c>
      <c r="BW204" s="42">
        <f>'[1]побудинковий звіт'!BW204+'[2]побудинковий звіт'!BW204-'[3]побудинковий звіт'!BW204</f>
        <v>18380.593158255673</v>
      </c>
      <c r="BX204" s="42">
        <f>'[1]побудинковий звіт'!BX204+'[2]побудинковий звіт'!BX204-'[3]побудинковий звіт'!BX204</f>
        <v>18175.3756976144</v>
      </c>
      <c r="BY204" s="56">
        <f t="shared" si="196"/>
        <v>-205.21746064127365</v>
      </c>
      <c r="BZ204" s="42">
        <f>'[1]побудинковий звіт'!BZ204+'[2]побудинковий звіт'!BZ204-'[3]побудинковий звіт'!BZ204</f>
        <v>7011.3084419615861</v>
      </c>
      <c r="CA204" s="42">
        <f>'[1]побудинковий звіт'!CA204+'[2]побудинковий звіт'!CA204-'[3]побудинковий звіт'!CA204</f>
        <v>5412.6377303025838</v>
      </c>
      <c r="CB204" s="56">
        <f t="shared" si="197"/>
        <v>-1598.6707116590023</v>
      </c>
      <c r="CC204" s="42">
        <f>'[1]побудинковий звіт'!CC204+'[2]побудинковий звіт'!CC204-'[3]побудинковий звіт'!CC204</f>
        <v>780.92188971413759</v>
      </c>
      <c r="CD204" s="42">
        <f>'[1]побудинковий звіт'!CD204+'[2]побудинковий звіт'!CD204-'[3]побудинковий звіт'!CD204</f>
        <v>774.05346091148522</v>
      </c>
      <c r="CE204" s="56">
        <f t="shared" si="198"/>
        <v>-6.8684288026523745</v>
      </c>
      <c r="CF204" s="42">
        <f>'[1]побудинковий звіт'!CF204+'[2]побудинковий звіт'!CF204-'[3]побудинковий звіт'!CF204</f>
        <v>96.136217483748013</v>
      </c>
      <c r="CG204" s="42">
        <f>'[1]побудинковий звіт'!CG204+'[2]побудинковий звіт'!CG204-'[3]побудинковий звіт'!CG204</f>
        <v>0</v>
      </c>
      <c r="CH204" s="56">
        <f t="shared" si="199"/>
        <v>-96.136217483748013</v>
      </c>
      <c r="CI204" s="42">
        <f>'[1]побудинковий звіт'!CI204+'[2]побудинковий звіт'!CI204-'[3]побудинковий звіт'!CI204</f>
        <v>4436.0534669945355</v>
      </c>
      <c r="CJ204" s="42">
        <f>'[1]побудинковий звіт'!CJ204+'[2]побудинковий звіт'!CJ204-'[3]побудинковий звіт'!CJ204</f>
        <v>5281.0830613225335</v>
      </c>
      <c r="CK204" s="56">
        <f t="shared" si="200"/>
        <v>845.02959432799798</v>
      </c>
      <c r="CL204" s="42">
        <f>'[1]побудинковий звіт'!CL204+'[2]побудинковий звіт'!CL204-'[3]побудинковий звіт'!CL204</f>
        <v>3949.3978123875395</v>
      </c>
      <c r="CM204" s="42">
        <f>'[1]побудинковий звіт'!CM204+'[2]побудинковий звіт'!CM204-'[3]побудинковий звіт'!CM204</f>
        <v>4299.2981491569126</v>
      </c>
      <c r="CN204" s="56">
        <f t="shared" si="201"/>
        <v>349.9003367693731</v>
      </c>
      <c r="CO204" s="42">
        <f t="shared" si="181"/>
        <v>8385.4512793820759</v>
      </c>
      <c r="CP204" s="43">
        <f t="shared" si="202"/>
        <v>9580.3812104794451</v>
      </c>
      <c r="CQ204" s="56">
        <f t="shared" si="203"/>
        <v>1194.9299310973693</v>
      </c>
      <c r="CR204" s="78">
        <f t="shared" si="182"/>
        <v>146627.69350343599</v>
      </c>
      <c r="CS204" s="5">
        <f t="shared" si="182"/>
        <v>148819.59521873778</v>
      </c>
      <c r="CT204" s="56">
        <f t="shared" si="204"/>
        <v>2191.9017153017921</v>
      </c>
      <c r="CU204" s="87">
        <f t="shared" si="205"/>
        <v>175953.2322041232</v>
      </c>
      <c r="CV204" s="70">
        <f t="shared" si="206"/>
        <v>178583.51426248535</v>
      </c>
      <c r="CW204" s="37">
        <f t="shared" si="207"/>
        <v>2630.2820583621506</v>
      </c>
      <c r="CX204" s="42">
        <f>'[1]побудинковий звіт'!CX204+'[2]побудинковий звіт'!CX204-'[3]побудинковий звіт'!CX204</f>
        <v>2627.0077958768634</v>
      </c>
      <c r="CY204" s="42">
        <f>'[1]побудинковий звіт'!CY204+'[2]побудинковий звіт'!CY204-'[3]побудинковий звіт'!CY204</f>
        <v>-3.2742624853253801</v>
      </c>
      <c r="CZ204" s="56">
        <f t="shared" si="208"/>
        <v>-2630.2820583621888</v>
      </c>
      <c r="DA204" s="264">
        <f>'[4]побудинковий звіт'!DA204</f>
        <v>-49685.753976890017</v>
      </c>
      <c r="DB204" s="2">
        <v>1</v>
      </c>
      <c r="DC204" s="717">
        <f>'[4]побудинковий звіт'!DC204</f>
        <v>43664.87</v>
      </c>
      <c r="DD204" s="717">
        <f>'[4]побудинковий звіт'!DD204</f>
        <v>0</v>
      </c>
      <c r="DE204" s="717">
        <f>'[4]побудинковий звіт'!DE204</f>
        <v>28783.280000000002</v>
      </c>
      <c r="DF204" s="717">
        <f>'[4]побудинковий звіт'!DF204</f>
        <v>0</v>
      </c>
      <c r="DG204" s="787">
        <v>-32856.027051710931</v>
      </c>
      <c r="DH204" s="761">
        <f t="shared" si="226"/>
        <v>2142962.8800000008</v>
      </c>
      <c r="DI204" s="784"/>
      <c r="DJ204" s="5"/>
      <c r="DK204" s="317">
        <f>VLOOKUP($A204,ціни!$A$4:$G$401,5)</f>
        <v>5.809827008005727</v>
      </c>
      <c r="DL204" s="317">
        <f>VLOOKUP($A204,ціни!$A$4:$G$401,6)</f>
        <v>7.0076229544282311</v>
      </c>
      <c r="DM204" s="317">
        <f>VLOOKUP($A204,ціни!$A$4:$G$401,7)</f>
        <v>4.9476341243264237</v>
      </c>
      <c r="DN204" s="30">
        <f>DK204*G204+(F204-G204)*DL204</f>
        <v>2504.3055514376283</v>
      </c>
      <c r="DO204" s="30">
        <f>DM204*H204</f>
        <v>0</v>
      </c>
      <c r="DP204" s="316">
        <f t="shared" si="221"/>
        <v>2504.3055514376283</v>
      </c>
      <c r="DQ204" s="104"/>
      <c r="DR204" s="30">
        <f>VLOOKUP(A204,'ДЗ нас '!$A$1:$C$359,2)</f>
        <v>14881.59</v>
      </c>
      <c r="DS204" s="748"/>
      <c r="DT204" s="30">
        <f t="shared" si="222"/>
        <v>14881.59</v>
      </c>
      <c r="DU204" s="257">
        <f>VLOOKUP(A204,'новий кошторис с 01.06'!$A$4:$AI$399,35)*1.2</f>
        <v>14926.699198649776</v>
      </c>
      <c r="DV204" s="30">
        <f t="shared" si="223"/>
        <v>-45.109198649775863</v>
      </c>
      <c r="DW204" s="930">
        <f>'[5]побудинковий звіт'!DW204+'[6]побудинковий звіт'!DW204</f>
        <v>202</v>
      </c>
      <c r="DY204" s="5">
        <f t="shared" si="227"/>
        <v>43060.475217443418</v>
      </c>
      <c r="DZ204" s="5">
        <f t="shared" si="228"/>
        <v>43738.799014193784</v>
      </c>
      <c r="EA204" s="752">
        <f t="shared" si="229"/>
        <v>28783.280000000002</v>
      </c>
      <c r="EC204" s="592">
        <f t="shared" si="230"/>
        <v>393218.33493873884</v>
      </c>
      <c r="EE204" s="758">
        <v>14242</v>
      </c>
      <c r="EF204" s="738">
        <f t="shared" si="231"/>
        <v>-18614.027051710931</v>
      </c>
      <c r="EH204" s="813">
        <v>-53205.061976962708</v>
      </c>
    </row>
    <row r="205" spans="1:138" x14ac:dyDescent="0.3">
      <c r="A205" s="328">
        <v>150000960</v>
      </c>
      <c r="B205" s="44" t="s">
        <v>656</v>
      </c>
      <c r="C205" s="45" t="s">
        <v>378</v>
      </c>
      <c r="D205" s="45" t="s">
        <v>378</v>
      </c>
      <c r="E205" s="40">
        <f t="shared" si="232"/>
        <v>4358.7700000000004</v>
      </c>
      <c r="F205" s="490">
        <v>4358.7700000000004</v>
      </c>
      <c r="G205" s="30">
        <v>457.6</v>
      </c>
      <c r="H205" s="30">
        <v>0</v>
      </c>
      <c r="I205" s="42">
        <f>'[1]побудинковий звіт'!I205+'[2]побудинковий звіт'!I205-'[3]побудинковий звіт'!I205</f>
        <v>15766.659882624013</v>
      </c>
      <c r="J205" s="42">
        <f>'[1]побудинковий звіт'!J205+'[2]побудинковий звіт'!J205-'[3]побудинковий звіт'!J205</f>
        <v>13328.720157902731</v>
      </c>
      <c r="K205" s="56">
        <f t="shared" si="183"/>
        <v>-2437.9397247212819</v>
      </c>
      <c r="L205" s="42">
        <f>'[1]побудинковий звіт'!L205+'[2]побудинковий звіт'!L205-'[3]побудинковий звіт'!L205</f>
        <v>2403.8633620440332</v>
      </c>
      <c r="M205" s="42">
        <f>'[1]побудинковий звіт'!M205+'[2]побудинковий звіт'!M205-'[3]побудинковий звіт'!M205</f>
        <v>2276.3819607100677</v>
      </c>
      <c r="N205" s="56">
        <f t="shared" si="184"/>
        <v>-127.48140133396555</v>
      </c>
      <c r="O205" s="42">
        <f>'[1]побудинковий звіт'!O205+'[2]побудинковий звіт'!O205-'[3]побудинковий звіт'!O205</f>
        <v>6420.1200000000008</v>
      </c>
      <c r="P205" s="42">
        <f>'[1]побудинковий звіт'!P205+'[2]побудинковий звіт'!P205-'[3]побудинковий звіт'!P205</f>
        <v>5046.2979733333323</v>
      </c>
      <c r="Q205" s="56">
        <f t="shared" si="185"/>
        <v>-1373.8220266666685</v>
      </c>
      <c r="R205" s="42">
        <f>'[1]побудинковий звіт'!R205+'[2]побудинковий звіт'!R205-'[3]побудинковий звіт'!R205</f>
        <v>1412.64</v>
      </c>
      <c r="S205" s="42">
        <f>'[1]побудинковий звіт'!S205+'[2]побудинковий звіт'!S205-'[3]побудинковий звіт'!S205</f>
        <v>1110.1377575806453</v>
      </c>
      <c r="T205" s="56">
        <f t="shared" si="186"/>
        <v>-302.50224241935484</v>
      </c>
      <c r="U205" s="42">
        <f>'[1]побудинковий звіт'!U205+'[2]побудинковий звіт'!U205-'[3]побудинковий звіт'!U205</f>
        <v>780.05784393801946</v>
      </c>
      <c r="V205" s="42">
        <f>'[1]побудинковий звіт'!V205+'[2]побудинковий звіт'!V205-'[3]побудинковий звіт'!V205</f>
        <v>329.09366711558425</v>
      </c>
      <c r="W205" s="56">
        <f t="shared" si="187"/>
        <v>-450.96417682243521</v>
      </c>
      <c r="X205" s="42">
        <f>'[1]побудинковий звіт'!X205+'[2]побудинковий звіт'!X205-'[3]побудинковий звіт'!X205</f>
        <v>7048.0746262724033</v>
      </c>
      <c r="Y205" s="42">
        <f>'[1]побудинковий звіт'!Y205+'[2]побудинковий звіт'!Y205-'[3]побудинковий звіт'!Y205</f>
        <v>4661.5904009304913</v>
      </c>
      <c r="Z205" s="56">
        <f t="shared" si="188"/>
        <v>-2386.484225341912</v>
      </c>
      <c r="AA205" s="42">
        <f>'[1]побудинковий звіт'!AA205+'[2]побудинковий звіт'!AA205-'[3]побудинковий звіт'!AA205</f>
        <v>0</v>
      </c>
      <c r="AB205" s="42">
        <f>'[1]побудинковий звіт'!AB205+'[2]побудинковий звіт'!AB205-'[3]побудинковий звіт'!AB205</f>
        <v>0</v>
      </c>
      <c r="AC205" s="56">
        <f t="shared" si="189"/>
        <v>0</v>
      </c>
      <c r="AD205" s="42">
        <f>'[1]побудинковий звіт'!AD205+'[2]побудинковий звіт'!AD205-'[3]побудинковий звіт'!AD205</f>
        <v>18445.937234242163</v>
      </c>
      <c r="AE205" s="42">
        <f>'[1]побудинковий звіт'!AE205+'[2]побудинковий звіт'!AE205-'[3]побудинковий звіт'!AE205</f>
        <v>17000.868808472031</v>
      </c>
      <c r="AF205" s="37">
        <f t="shared" si="190"/>
        <v>-1445.0684257701323</v>
      </c>
      <c r="AG205" s="87">
        <f t="shared" si="180"/>
        <v>52277.352949120635</v>
      </c>
      <c r="AH205" s="57">
        <f t="shared" si="180"/>
        <v>43753.09072604488</v>
      </c>
      <c r="AI205" s="56">
        <f t="shared" si="191"/>
        <v>-8524.2622230757552</v>
      </c>
      <c r="AJ205" s="42">
        <f>'[1]побудинковий звіт'!AJ205+'[2]побудинковий звіт'!AJ205-'[3]побудинковий звіт'!AJ205</f>
        <v>36838.496087665488</v>
      </c>
      <c r="AK205" s="42">
        <f>'[1]побудинковий звіт'!AK205+'[2]побудинковий звіт'!AK205-'[3]побудинковий звіт'!AK205</f>
        <v>36514.474580539332</v>
      </c>
      <c r="AL205" s="56">
        <f t="shared" si="192"/>
        <v>-324.02150712615548</v>
      </c>
      <c r="AM205" s="42">
        <f>'[1]побудинковий звіт'!AM205+'[2]побудинковий звіт'!AM205-'[3]побудинковий звіт'!AM205</f>
        <v>3156.8443177418612</v>
      </c>
      <c r="AN205" s="42">
        <f>'[1]побудинковий звіт'!AN205+'[2]побудинковий звіт'!AN205-'[3]побудинковий звіт'!AN205</f>
        <v>3129.4489718595501</v>
      </c>
      <c r="AO205" s="56">
        <f t="shared" si="193"/>
        <v>-27.395345882311176</v>
      </c>
      <c r="AP205" s="42">
        <f>'[1]побудинковий звіт'!AP205+'[2]побудинковий звіт'!AP205-'[3]побудинковий звіт'!AP205</f>
        <v>3409.2635144171381</v>
      </c>
      <c r="AQ205" s="42">
        <f>'[1]побудинковий звіт'!AQ205+'[2]побудинковий звіт'!AQ205-'[3]побудинковий звіт'!AQ205</f>
        <v>6365.3690372083429</v>
      </c>
      <c r="AR205" s="56">
        <f t="shared" si="194"/>
        <v>2956.1055227912047</v>
      </c>
      <c r="AS205" s="42">
        <f>'[1]побудинковий звіт'!AS205+'[2]побудинковий звіт'!AS205-'[3]побудинковий звіт'!AS205</f>
        <v>60931.288465785219</v>
      </c>
      <c r="AT205" s="42">
        <f>'[1]побудинковий звіт'!AT205+'[2]побудинковий звіт'!AT205-'[3]побудинковий звіт'!AT205</f>
        <v>46502.14122630284</v>
      </c>
      <c r="AU205" s="58">
        <f t="shared" si="211"/>
        <v>-14429.14723948238</v>
      </c>
      <c r="AV205" s="42">
        <f>'[1]побудинковий звіт'!AV205+'[2]побудинковий звіт'!AV205-'[3]побудинковий звіт'!AV205</f>
        <v>992.46698347594918</v>
      </c>
      <c r="AW205" s="42">
        <f>'[1]побудинковий звіт'!AW205+'[2]побудинковий звіт'!AW205-'[3]побудинковий звіт'!AW205</f>
        <v>2687</v>
      </c>
      <c r="AX205" s="59">
        <f t="shared" si="212"/>
        <v>1694.5330165240507</v>
      </c>
      <c r="AY205" s="42">
        <f>'[1]побудинковий звіт'!AY205+'[2]побудинковий звіт'!AY205-'[3]побудинковий звіт'!AY205</f>
        <v>1275.9933352884084</v>
      </c>
      <c r="AZ205" s="42">
        <f>'[1]побудинковий звіт'!AZ205+'[2]побудинковий звіт'!AZ205-'[3]побудинковий звіт'!AZ205</f>
        <v>11908</v>
      </c>
      <c r="BA205" s="37">
        <f t="shared" si="213"/>
        <v>10632.006664711591</v>
      </c>
      <c r="BB205" s="42">
        <f>'[1]побудинковий звіт'!BB205+'[2]побудинковий звіт'!BB205-'[3]побудинковий звіт'!BB205</f>
        <v>952.55758379960264</v>
      </c>
      <c r="BC205" s="42">
        <f>'[1]побудинковий звіт'!BC205+'[2]побудинковий звіт'!BC205-'[3]побудинковий звіт'!BC205</f>
        <v>0</v>
      </c>
      <c r="BD205" s="59">
        <f t="shared" si="214"/>
        <v>-952.55758379960264</v>
      </c>
      <c r="BE205" s="42">
        <f>'[1]побудинковий звіт'!BE205+'[2]побудинковий звіт'!BE205-'[3]побудинковий звіт'!BE205</f>
        <v>565.86085561064021</v>
      </c>
      <c r="BF205" s="42">
        <f>'[1]побудинковий звіт'!BF205+'[2]побудинковий звіт'!BF205-'[3]побудинковий звіт'!BF205</f>
        <v>0</v>
      </c>
      <c r="BG205" s="39">
        <f t="shared" si="215"/>
        <v>-565.86085561064021</v>
      </c>
      <c r="BH205" s="42">
        <f>'[1]побудинковий звіт'!BH205+'[2]побудинковий звіт'!BH205-'[3]побудинковий звіт'!BH205</f>
        <v>316.61392951383749</v>
      </c>
      <c r="BI205" s="42">
        <f>'[1]побудинковий звіт'!BI205+'[2]побудинковий звіт'!BI205-'[3]побудинковий звіт'!BI205</f>
        <v>0</v>
      </c>
      <c r="BJ205" s="59">
        <f t="shared" si="216"/>
        <v>-316.61392951383749</v>
      </c>
      <c r="BK205" s="42">
        <f>'[1]побудинковий звіт'!BK205+'[2]побудинковий звіт'!BK205-'[3]побудинковий звіт'!BK205</f>
        <v>468.24530116215197</v>
      </c>
      <c r="BL205" s="42">
        <f>'[1]побудинковий звіт'!BL205+'[2]побудинковий звіт'!BL205-'[3]побудинковий звіт'!BL205</f>
        <v>12590</v>
      </c>
      <c r="BM205" s="39">
        <f t="shared" si="217"/>
        <v>12121.754698837847</v>
      </c>
      <c r="BN205" s="42">
        <f>'[1]побудинковий звіт'!BN205+'[2]побудинковий звіт'!BN205-'[3]побудинковий звіт'!BN205</f>
        <v>479.27278233266935</v>
      </c>
      <c r="BO205" s="42">
        <f>'[1]побудинковий звіт'!BO205+'[2]побудинковий звіт'!BO205-'[3]побудинковий звіт'!BO205</f>
        <v>0</v>
      </c>
      <c r="BP205" s="59">
        <f t="shared" si="218"/>
        <v>-479.27278233266935</v>
      </c>
      <c r="BQ205" s="87">
        <f t="shared" si="233"/>
        <v>5051.0107711832588</v>
      </c>
      <c r="BR205" s="43">
        <f t="shared" si="234"/>
        <v>27185</v>
      </c>
      <c r="BS205" s="59">
        <f t="shared" si="219"/>
        <v>22133.989228816739</v>
      </c>
      <c r="BT205" s="42">
        <f>'[1]побудинковий звіт'!BT205+'[2]побудинковий звіт'!BT205-'[3]побудинковий звіт'!BT205</f>
        <v>58992.192248584259</v>
      </c>
      <c r="BU205" s="42">
        <f>'[1]побудинковий звіт'!BU205+'[2]побудинковий звіт'!BU205-'[3]побудинковий звіт'!BU205</f>
        <v>68057.136634711118</v>
      </c>
      <c r="BV205" s="56">
        <f t="shared" si="195"/>
        <v>9064.9443861268592</v>
      </c>
      <c r="BW205" s="42">
        <f>'[1]побудинковий звіт'!BW205+'[2]побудинковий звіт'!BW205-'[3]побудинковий звіт'!BW205</f>
        <v>36696.0028846352</v>
      </c>
      <c r="BX205" s="42">
        <f>'[1]побудинковий звіт'!BX205+'[2]побудинковий звіт'!BX205-'[3]побудинковий звіт'!BX205</f>
        <v>40315.291781844004</v>
      </c>
      <c r="BY205" s="56">
        <f t="shared" si="196"/>
        <v>3619.288897208804</v>
      </c>
      <c r="BZ205" s="42">
        <f>'[1]побудинковий звіт'!BZ205+'[2]побудинковий звіт'!BZ205-'[3]побудинковий звіт'!BZ205</f>
        <v>13762.938793480153</v>
      </c>
      <c r="CA205" s="42">
        <f>'[1]побудинковий звіт'!CA205+'[2]побудинковий звіт'!CA205-'[3]побудинковий звіт'!CA205</f>
        <v>16339.612135320367</v>
      </c>
      <c r="CB205" s="56">
        <f t="shared" si="197"/>
        <v>2576.6733418402146</v>
      </c>
      <c r="CC205" s="42">
        <f>'[1]побудинковий звіт'!CC205+'[2]побудинковий звіт'!CC205-'[3]побудинковий звіт'!CC205</f>
        <v>1455.9560655687314</v>
      </c>
      <c r="CD205" s="42">
        <f>'[1]побудинковий звіт'!CD205+'[2]побудинковий звіт'!CD205-'[3]побудинковий звіт'!CD205</f>
        <v>1443.1505203434469</v>
      </c>
      <c r="CE205" s="56">
        <f t="shared" si="198"/>
        <v>-12.805545225284504</v>
      </c>
      <c r="CF205" s="42">
        <f>'[1]побудинковий звіт'!CF205+'[2]побудинковий звіт'!CF205-'[3]побудинковий звіт'!CF205</f>
        <v>179.23701564766577</v>
      </c>
      <c r="CG205" s="42">
        <f>'[1]побудинковий звіт'!CG205+'[2]побудинковий звіт'!CG205-'[3]побудинковий звіт'!CG205</f>
        <v>0</v>
      </c>
      <c r="CH205" s="56">
        <f t="shared" si="199"/>
        <v>-179.23701564766577</v>
      </c>
      <c r="CI205" s="42">
        <f>'[1]побудинковий звіт'!CI205+'[2]побудинковий звіт'!CI205-'[3]побудинковий звіт'!CI205</f>
        <v>8815.9543584574949</v>
      </c>
      <c r="CJ205" s="42">
        <f>'[1]побудинковий звіт'!CJ205+'[2]побудинковий звіт'!CJ205-'[3]побудинковий звіт'!CJ205</f>
        <v>10516.065762303617</v>
      </c>
      <c r="CK205" s="56">
        <f t="shared" si="200"/>
        <v>1700.1114038461219</v>
      </c>
      <c r="CL205" s="42">
        <f>'[1]побудинковий звіт'!CL205+'[2]побудинковий звіт'!CL205-'[3]побудинковий звіт'!CL205</f>
        <v>7861.3605744206989</v>
      </c>
      <c r="CM205" s="42">
        <f>'[1]побудинковий звіт'!CM205+'[2]побудинковий звіт'!CM205-'[3]побудинковий звіт'!CM205</f>
        <v>8580.6016977038216</v>
      </c>
      <c r="CN205" s="56">
        <f t="shared" si="201"/>
        <v>719.24112328312276</v>
      </c>
      <c r="CO205" s="42">
        <f t="shared" si="181"/>
        <v>16677.314932878195</v>
      </c>
      <c r="CP205" s="43">
        <f t="shared" si="202"/>
        <v>19096.66746000744</v>
      </c>
      <c r="CQ205" s="56">
        <f t="shared" si="203"/>
        <v>2419.3525271292456</v>
      </c>
      <c r="CR205" s="78">
        <f t="shared" si="182"/>
        <v>289427.89804670779</v>
      </c>
      <c r="CS205" s="5">
        <f t="shared" si="182"/>
        <v>308701.38307418127</v>
      </c>
      <c r="CT205" s="56">
        <f t="shared" si="204"/>
        <v>19273.485027473478</v>
      </c>
      <c r="CU205" s="87">
        <f t="shared" si="205"/>
        <v>347313.47765604936</v>
      </c>
      <c r="CV205" s="70">
        <f t="shared" si="206"/>
        <v>370441.65968901751</v>
      </c>
      <c r="CW205" s="37">
        <f t="shared" si="207"/>
        <v>23128.18203296815</v>
      </c>
      <c r="CX205" s="42">
        <f>'[1]побудинковий звіт'!CX205+'[2]побудинковий звіт'!CX205-'[3]побудинковий звіт'!CX205</f>
        <v>5055.8023439507233</v>
      </c>
      <c r="CY205" s="42">
        <f>'[1]побудинковий звіт'!CY205+'[2]побудинковий звіт'!CY205-'[3]побудинковий звіт'!CY205</f>
        <v>-18072.379689017536</v>
      </c>
      <c r="CZ205" s="56">
        <f t="shared" si="208"/>
        <v>-23128.18203296826</v>
      </c>
      <c r="DA205" s="264">
        <f>'[4]побудинковий звіт'!DA205</f>
        <v>52028.984944659955</v>
      </c>
      <c r="DB205" s="2">
        <v>1</v>
      </c>
      <c r="DC205" s="717">
        <f>'[4]побудинковий звіт'!DC205</f>
        <v>59423.64</v>
      </c>
      <c r="DD205" s="717">
        <f>'[4]побудинковий звіт'!DD205</f>
        <v>0</v>
      </c>
      <c r="DE205" s="717">
        <f>'[4]побудинковий звіт'!DE205</f>
        <v>30059.579999999998</v>
      </c>
      <c r="DF205" s="717">
        <f>'[4]побудинковий звіт'!DF205</f>
        <v>0</v>
      </c>
      <c r="DG205" s="787">
        <v>69343.314106303849</v>
      </c>
      <c r="DH205" s="761">
        <f t="shared" si="226"/>
        <v>4228431.3600000013</v>
      </c>
      <c r="DI205" s="784"/>
      <c r="DJ205" s="5"/>
      <c r="DK205" s="317">
        <f>VLOOKUP($A205,ціни!$A$4:$G$401,5)</f>
        <v>5.6836987719722512</v>
      </c>
      <c r="DL205" s="317">
        <f>VLOOKUP($A205,ціни!$A$4:$G$401,6)</f>
        <v>6.9432815822234044</v>
      </c>
      <c r="DM205" s="317">
        <f>VLOOKUP($A205,ціни!$A$4:$G$401,7)</f>
        <v>4.8203134468006077</v>
      </c>
      <c r="DN205" s="30">
        <f>DK205*G205+(F205-G205)*DL205</f>
        <v>29687.782368176984</v>
      </c>
      <c r="DO205" s="30">
        <f>DM205*H205</f>
        <v>0</v>
      </c>
      <c r="DP205" s="316">
        <f t="shared" si="221"/>
        <v>29687.782368176984</v>
      </c>
      <c r="DQ205" s="104"/>
      <c r="DR205" s="30">
        <f>VLOOKUP(A205,'ДЗ нас '!$A$1:$C$359,2)</f>
        <v>29364.06</v>
      </c>
      <c r="DS205" s="748"/>
      <c r="DT205" s="30">
        <f t="shared" si="222"/>
        <v>29364.06</v>
      </c>
      <c r="DU205" s="257">
        <f>VLOOKUP(A205,'новий кошторис с 01.06'!$A$4:$AI$399,35)*1.2</f>
        <v>29463.760021154852</v>
      </c>
      <c r="DV205" s="30">
        <f t="shared" si="223"/>
        <v>-99.700021154851129</v>
      </c>
      <c r="DW205" s="930">
        <f>'[5]побудинковий звіт'!DW205+'[6]побудинковий звіт'!DW205</f>
        <v>204</v>
      </c>
      <c r="DY205" s="5">
        <f t="shared" si="227"/>
        <v>79178.759084362173</v>
      </c>
      <c r="DZ205" s="5">
        <f t="shared" si="228"/>
        <v>88424.569471563402</v>
      </c>
      <c r="EA205" s="752">
        <f t="shared" si="229"/>
        <v>30059.579999999998</v>
      </c>
      <c r="EC205" s="592">
        <f t="shared" si="230"/>
        <v>731175.46158942266</v>
      </c>
      <c r="EE205" s="758">
        <v>-32338</v>
      </c>
      <c r="EF205" s="738">
        <f t="shared" si="231"/>
        <v>37005.314106303849</v>
      </c>
      <c r="EH205" s="813">
        <v>37388.473133075837</v>
      </c>
    </row>
    <row r="206" spans="1:138" x14ac:dyDescent="0.3">
      <c r="A206" s="328">
        <v>150000963</v>
      </c>
      <c r="B206" s="44" t="s">
        <v>657</v>
      </c>
      <c r="C206" s="45" t="s">
        <v>379</v>
      </c>
      <c r="D206" s="45" t="s">
        <v>379</v>
      </c>
      <c r="E206" s="40">
        <f t="shared" si="232"/>
        <v>1981.17</v>
      </c>
      <c r="F206" s="490">
        <v>1981.17</v>
      </c>
      <c r="G206" s="30">
        <v>236.5</v>
      </c>
      <c r="H206" s="30">
        <v>0</v>
      </c>
      <c r="I206" s="42">
        <f>'[1]побудинковий звіт'!I206+'[2]побудинковий звіт'!I206-'[3]побудинковий звіт'!I206</f>
        <v>7982.534673161801</v>
      </c>
      <c r="J206" s="42">
        <f>'[1]побудинковий звіт'!J206+'[2]побудинковий звіт'!J206-'[3]побудинковий звіт'!J206</f>
        <v>6741.440109518735</v>
      </c>
      <c r="K206" s="56">
        <f t="shared" si="183"/>
        <v>-1241.0945636430661</v>
      </c>
      <c r="L206" s="42">
        <f>'[1]побудинковий звіт'!L206+'[2]побудинковий звіт'!L206-'[3]побудинковий звіт'!L206</f>
        <v>1201.9316810220166</v>
      </c>
      <c r="M206" s="42">
        <f>'[1]побудинковий звіт'!M206+'[2]побудинковий звіт'!M206-'[3]побудинковий звіт'!M206</f>
        <v>1187.4233549891408</v>
      </c>
      <c r="N206" s="56">
        <f t="shared" si="184"/>
        <v>-14.508326032875857</v>
      </c>
      <c r="O206" s="42">
        <f>'[1]побудинковий звіт'!O206+'[2]побудинковий звіт'!O206-'[3]побудинковий звіт'!O206</f>
        <v>3157.3200000000006</v>
      </c>
      <c r="P206" s="42">
        <f>'[1]побудинковий звіт'!P206+'[2]побудинковий звіт'!P206-'[3]побудинковий звіт'!P206</f>
        <v>2481.604456881721</v>
      </c>
      <c r="Q206" s="56">
        <f t="shared" si="185"/>
        <v>-675.71554311827958</v>
      </c>
      <c r="R206" s="42">
        <f>'[1]побудинковий звіт'!R206+'[2]побудинковий звіт'!R206-'[3]побудинковий звіт'!R206</f>
        <v>700.32</v>
      </c>
      <c r="S206" s="42">
        <f>'[1]побудинковий звіт'!S206+'[2]побудинковий звіт'!S206-'[3]побудинковий звіт'!S206</f>
        <v>550.45554188172048</v>
      </c>
      <c r="T206" s="56">
        <f t="shared" si="186"/>
        <v>-149.86445811827957</v>
      </c>
      <c r="U206" s="42">
        <f>'[1]побудинковий звіт'!U206+'[2]побудинковий звіт'!U206-'[3]побудинковий звіт'!U206</f>
        <v>390.17454427986797</v>
      </c>
      <c r="V206" s="42">
        <f>'[1]побудинковий звіт'!V206+'[2]побудинковий звіт'!V206-'[3]побудинковий звіт'!V206</f>
        <v>169.98053871148215</v>
      </c>
      <c r="W206" s="56">
        <f t="shared" si="187"/>
        <v>-220.19400556838582</v>
      </c>
      <c r="X206" s="42">
        <f>'[1]побудинковий звіт'!X206+'[2]побудинковий звіт'!X206-'[3]побудинковий звіт'!X206</f>
        <v>2169.1228168048297</v>
      </c>
      <c r="Y206" s="42">
        <f>'[1]побудинковий звіт'!Y206+'[2]побудинковий звіт'!Y206-'[3]побудинковий звіт'!Y206</f>
        <v>3993.0663157363902</v>
      </c>
      <c r="Z206" s="56">
        <f t="shared" si="188"/>
        <v>1823.9434989315605</v>
      </c>
      <c r="AA206" s="42">
        <f>'[1]побудинковий звіт'!AA206+'[2]побудинковий звіт'!AA206-'[3]побудинковий звіт'!AA206</f>
        <v>0</v>
      </c>
      <c r="AB206" s="42">
        <f>'[1]побудинковий звіт'!AB206+'[2]побудинковий звіт'!AB206-'[3]побудинковий звіт'!AB206</f>
        <v>0</v>
      </c>
      <c r="AC206" s="56">
        <f t="shared" si="189"/>
        <v>0</v>
      </c>
      <c r="AD206" s="42">
        <f>'[1]побудинковий звіт'!AD206+'[2]побудинковий звіт'!AD206-'[3]побудинковий звіт'!AD206</f>
        <v>9153.4435963911837</v>
      </c>
      <c r="AE206" s="42">
        <f>'[1]побудинковий звіт'!AE206+'[2]побудинковий звіт'!AE206-'[3]побудинковий звіт'!AE206</f>
        <v>8436.6338247439398</v>
      </c>
      <c r="AF206" s="37">
        <f t="shared" si="190"/>
        <v>-716.80977164724391</v>
      </c>
      <c r="AG206" s="87">
        <f t="shared" si="180"/>
        <v>24754.847311659702</v>
      </c>
      <c r="AH206" s="57">
        <f t="shared" si="180"/>
        <v>23560.604142463129</v>
      </c>
      <c r="AI206" s="56">
        <f t="shared" si="191"/>
        <v>-1194.2431691965721</v>
      </c>
      <c r="AJ206" s="42">
        <f>'[1]побудинковий звіт'!AJ206+'[2]побудинковий звіт'!AJ206-'[3]побудинковий звіт'!AJ206</f>
        <v>19594.976018177218</v>
      </c>
      <c r="AK206" s="42">
        <f>'[1]побудинковий звіт'!AK206+'[2]побудинковий звіт'!AK206-'[3]побудинковий звіт'!AK206</f>
        <v>19422.616145158609</v>
      </c>
      <c r="AL206" s="56">
        <f t="shared" si="192"/>
        <v>-172.35987301860951</v>
      </c>
      <c r="AM206" s="42">
        <f>'[1]побудинковий звіт'!AM206+'[2]побудинковий звіт'!AM206-'[3]побудинковий звіт'!AM206</f>
        <v>1578.4221588709306</v>
      </c>
      <c r="AN206" s="42">
        <f>'[1]побудинковий звіт'!AN206+'[2]побудинковий звіт'!AN206-'[3]побудинковий звіт'!AN206</f>
        <v>1431.5664275748391</v>
      </c>
      <c r="AO206" s="56">
        <f t="shared" si="193"/>
        <v>-146.85573129609156</v>
      </c>
      <c r="AP206" s="42">
        <f>'[1]побудинковий звіт'!AP206+'[2]побудинковий звіт'!AP206-'[3]побудинковий звіт'!AP206</f>
        <v>1704.6317572085691</v>
      </c>
      <c r="AQ206" s="42">
        <f>'[1]побудинковий звіт'!AQ206+'[2]побудинковий звіт'!AQ206-'[3]побудинковий звіт'!AQ206</f>
        <v>3322.6844027707248</v>
      </c>
      <c r="AR206" s="56">
        <f t="shared" si="194"/>
        <v>1618.0526455621557</v>
      </c>
      <c r="AS206" s="42">
        <f>'[1]побудинковий звіт'!AS206+'[2]побудинковий звіт'!AS206-'[3]побудинковий звіт'!AS206</f>
        <v>35191.024019126038</v>
      </c>
      <c r="AT206" s="42">
        <f>'[1]побудинковий звіт'!AT206+'[2]побудинковий звіт'!AT206-'[3]побудинковий звіт'!AT206</f>
        <v>20382.777528742168</v>
      </c>
      <c r="AU206" s="58">
        <f t="shared" si="211"/>
        <v>-14808.24649038387</v>
      </c>
      <c r="AV206" s="42">
        <f>'[1]побудинковий звіт'!AV206+'[2]побудинковий звіт'!AV206-'[3]побудинковий звіт'!AV206</f>
        <v>638.76026908335007</v>
      </c>
      <c r="AW206" s="42">
        <f>'[1]побудинковий звіт'!AW206+'[2]побудинковий звіт'!AW206-'[3]побудинковий звіт'!AW206</f>
        <v>575</v>
      </c>
      <c r="AX206" s="59">
        <f t="shared" si="212"/>
        <v>-63.760269083350067</v>
      </c>
      <c r="AY206" s="42">
        <f>'[1]побудинковий звіт'!AY206+'[2]побудинковий звіт'!AY206-'[3]побудинковий звіт'!AY206</f>
        <v>797.49583455525658</v>
      </c>
      <c r="AZ206" s="42">
        <f>'[1]побудинковий звіт'!AZ206+'[2]побудинковий звіт'!AZ206-'[3]побудинковий звіт'!AZ206</f>
        <v>6789</v>
      </c>
      <c r="BA206" s="37">
        <f t="shared" si="213"/>
        <v>5991.5041654447432</v>
      </c>
      <c r="BB206" s="42">
        <f>'[1]побудинковий звіт'!BB206+'[2]побудинковий звіт'!BB206-'[3]побудинковий звіт'!BB206</f>
        <v>558.74912333515374</v>
      </c>
      <c r="BC206" s="42">
        <f>'[1]побудинковий звіт'!BC206+'[2]побудинковий звіт'!BC206-'[3]побудинковий звіт'!BC206</f>
        <v>0</v>
      </c>
      <c r="BD206" s="59">
        <f t="shared" si="214"/>
        <v>-558.74912333515374</v>
      </c>
      <c r="BE206" s="42">
        <f>'[1]побудинковий звіт'!BE206+'[2]побудинковий звіт'!BE206-'[3]побудинковий звіт'!BE206</f>
        <v>387.40208663076743</v>
      </c>
      <c r="BF206" s="42">
        <f>'[1]побудинковий звіт'!BF206+'[2]побудинковий звіт'!BF206-'[3]побудинковий звіт'!BF206</f>
        <v>0</v>
      </c>
      <c r="BG206" s="39">
        <f t="shared" si="215"/>
        <v>-387.40208663076743</v>
      </c>
      <c r="BH206" s="42">
        <f>'[1]побудинковий звіт'!BH206+'[2]побудинковий звіт'!BH206-'[3]побудинковий звіт'!BH206</f>
        <v>197.88370594614832</v>
      </c>
      <c r="BI206" s="42">
        <f>'[1]побудинковий звіт'!BI206+'[2]побудинковий звіт'!BI206-'[3]побудинковий звіт'!BI206</f>
        <v>0</v>
      </c>
      <c r="BJ206" s="59">
        <f t="shared" si="216"/>
        <v>-197.88370594614832</v>
      </c>
      <c r="BK206" s="42">
        <f>'[1]побудинковий звіт'!BK206+'[2]побудинковий звіт'!BK206-'[3]побудинковий звіт'!BK206</f>
        <v>261.75775971467539</v>
      </c>
      <c r="BL206" s="42">
        <f>'[1]побудинковий звіт'!BL206+'[2]побудинковий звіт'!BL206-'[3]побудинковий звіт'!BL206</f>
        <v>4375</v>
      </c>
      <c r="BM206" s="39">
        <f t="shared" si="217"/>
        <v>4113.2422402853244</v>
      </c>
      <c r="BN206" s="42">
        <f>'[1]побудинковий звіт'!BN206+'[2]побудинковий звіт'!BN206-'[3]побудинковий звіт'!BN206</f>
        <v>167.44238903209089</v>
      </c>
      <c r="BO206" s="42">
        <f>'[1]побудинковий звіт'!BO206+'[2]побудинковий звіт'!BO206-'[3]побудинковий звіт'!BO206</f>
        <v>0</v>
      </c>
      <c r="BP206" s="59">
        <f t="shared" si="218"/>
        <v>-167.44238903209089</v>
      </c>
      <c r="BQ206" s="87">
        <f t="shared" si="233"/>
        <v>3009.4911682974425</v>
      </c>
      <c r="BR206" s="43">
        <f t="shared" si="234"/>
        <v>11739</v>
      </c>
      <c r="BS206" s="59">
        <f t="shared" si="219"/>
        <v>8729.5088317025584</v>
      </c>
      <c r="BT206" s="42">
        <f>'[1]побудинковий звіт'!BT206+'[2]побудинковий звіт'!BT206-'[3]побудинковий звіт'!BT206</f>
        <v>33754.967616123038</v>
      </c>
      <c r="BU206" s="42">
        <f>'[1]побудинковий звіт'!BU206+'[2]побудинковий звіт'!BU206-'[3]побудинковий звіт'!BU206</f>
        <v>39465.449815576147</v>
      </c>
      <c r="BV206" s="56">
        <f t="shared" si="195"/>
        <v>5710.4821994531085</v>
      </c>
      <c r="BW206" s="42">
        <f>'[1]побудинковий звіт'!BW206+'[2]побудинковий звіт'!BW206-'[3]побудинковий звіт'!BW206</f>
        <v>18348.94006359209</v>
      </c>
      <c r="BX206" s="42">
        <f>'[1]побудинковий звіт'!BX206+'[2]побудинковий звіт'!BX206-'[3]побудинковий звіт'!BX206</f>
        <v>20173.587003258897</v>
      </c>
      <c r="BY206" s="56">
        <f t="shared" si="196"/>
        <v>1824.6469396668072</v>
      </c>
      <c r="BZ206" s="42">
        <f>'[1]побудинковий звіт'!BZ206+'[2]побудинковий звіт'!BZ206-'[3]побудинковий звіт'!BZ206</f>
        <v>7011.3084419615861</v>
      </c>
      <c r="CA206" s="42">
        <f>'[1]побудинковий звіт'!CA206+'[2]побудинковий звіт'!CA206-'[3]побудинковий звіт'!CA206</f>
        <v>8241.9378621213909</v>
      </c>
      <c r="CB206" s="56">
        <f t="shared" si="197"/>
        <v>1230.6294201598048</v>
      </c>
      <c r="CC206" s="42">
        <f>'[1]побудинковий звіт'!CC206+'[2]побудинковий звіт'!CC206-'[3]побудинковий звіт'!CC206</f>
        <v>715.91859870591747</v>
      </c>
      <c r="CD206" s="42">
        <f>'[1]побудинковий звіт'!CD206+'[2]побудинковий звіт'!CD206-'[3]побудинковий звіт'!CD206</f>
        <v>709.62189222544464</v>
      </c>
      <c r="CE206" s="56">
        <f t="shared" si="198"/>
        <v>-6.2967064804728352</v>
      </c>
      <c r="CF206" s="42">
        <f>'[1]побудинковий звіт'!CF206+'[2]побудинковий звіт'!CF206-'[3]побудинковий звіт'!CF206</f>
        <v>88.133918401296683</v>
      </c>
      <c r="CG206" s="42">
        <f>'[1]побудинковий звіт'!CG206+'[2]побудинковий звіт'!CG206-'[3]побудинковий звіт'!CG206</f>
        <v>0</v>
      </c>
      <c r="CH206" s="56">
        <f t="shared" si="199"/>
        <v>-88.133918401296683</v>
      </c>
      <c r="CI206" s="42">
        <f>'[1]побудинковий звіт'!CI206+'[2]побудинковий звіт'!CI206-'[3]побудинковий звіт'!CI206</f>
        <v>4398.6184166401517</v>
      </c>
      <c r="CJ206" s="42">
        <f>'[1]побудинковий звіт'!CJ206+'[2]побудинковий звіт'!CJ206-'[3]побудинковий звіт'!CJ206</f>
        <v>5242.9010752158065</v>
      </c>
      <c r="CK206" s="56">
        <f t="shared" si="200"/>
        <v>844.28265857565475</v>
      </c>
      <c r="CL206" s="42">
        <f>'[1]побудинковий звіт'!CL206+'[2]побудинковий звіт'!CL206-'[3]побудинковий звіт'!CL206</f>
        <v>3911.9627620331557</v>
      </c>
      <c r="CM206" s="42">
        <f>'[1]побудинковий звіт'!CM206+'[2]побудинковий звіт'!CM206-'[3]побудинковий звіт'!CM206</f>
        <v>4276.4003517366782</v>
      </c>
      <c r="CN206" s="56">
        <f t="shared" si="201"/>
        <v>364.43758970352246</v>
      </c>
      <c r="CO206" s="42">
        <f t="shared" si="181"/>
        <v>8310.5811786733066</v>
      </c>
      <c r="CP206" s="43">
        <f t="shared" si="202"/>
        <v>9519.3014269524847</v>
      </c>
      <c r="CQ206" s="56">
        <f t="shared" si="203"/>
        <v>1208.7202482791781</v>
      </c>
      <c r="CR206" s="78">
        <f t="shared" si="182"/>
        <v>154063.24225079716</v>
      </c>
      <c r="CS206" s="5">
        <f t="shared" si="182"/>
        <v>157969.14664684382</v>
      </c>
      <c r="CT206" s="56">
        <f t="shared" si="204"/>
        <v>3905.9043960466515</v>
      </c>
      <c r="CU206" s="87">
        <f t="shared" si="205"/>
        <v>184875.8907009566</v>
      </c>
      <c r="CV206" s="70">
        <f t="shared" si="206"/>
        <v>189562.97597621256</v>
      </c>
      <c r="CW206" s="37">
        <f t="shared" si="207"/>
        <v>4687.0852752559585</v>
      </c>
      <c r="CX206" s="42">
        <f>'[1]побудинковий звіт'!CX206+'[2]побудинковий звіт'!CX206-'[3]побудинковий звіт'!CX206</f>
        <v>2764.1492990434563</v>
      </c>
      <c r="CY206" s="42">
        <f>'[1]побудинковий звіт'!CY206+'[2]побудинковий звіт'!CY206-'[3]побудинковий звіт'!CY206</f>
        <v>-1922.9359762125987</v>
      </c>
      <c r="CZ206" s="56">
        <f t="shared" si="208"/>
        <v>-4687.085275256055</v>
      </c>
      <c r="DA206" s="264">
        <f>'[4]побудинковий звіт'!DA206</f>
        <v>-35705.357816570191</v>
      </c>
      <c r="DB206" s="2">
        <v>1</v>
      </c>
      <c r="DC206" s="717">
        <f>'[4]побудинковий звіт'!DC206</f>
        <v>36417.410000000003</v>
      </c>
      <c r="DD206" s="717">
        <f>'[4]побудинковий звіт'!DD206</f>
        <v>0</v>
      </c>
      <c r="DE206" s="717">
        <f>'[4]побудинковий звіт'!DE206</f>
        <v>20780.740000000005</v>
      </c>
      <c r="DF206" s="717">
        <f>'[4]побудинковий звіт'!DF206</f>
        <v>0</v>
      </c>
      <c r="DG206" s="787">
        <v>-13136.546237203991</v>
      </c>
      <c r="DH206" s="761">
        <f t="shared" si="226"/>
        <v>2251680.4800000009</v>
      </c>
      <c r="DI206" s="784"/>
      <c r="DJ206" s="5"/>
      <c r="DK206" s="317">
        <f>VLOOKUP($A206,ціни!$A$4:$G$401,5)</f>
        <v>6.1152942221564306</v>
      </c>
      <c r="DL206" s="317">
        <f>VLOOKUP($A206,ціни!$A$4:$G$401,6)</f>
        <v>7.4523967592929017</v>
      </c>
      <c r="DM206" s="317">
        <f>VLOOKUP($A206,ціни!$A$4:$G$401,7)</f>
        <v>5.2453065466542226</v>
      </c>
      <c r="DN206" s="30">
        <f>DK206*G206+(F206-G206)*DL206</f>
        <v>14448.240137575543</v>
      </c>
      <c r="DO206" s="30">
        <f>DM206*H206</f>
        <v>0</v>
      </c>
      <c r="DP206" s="316">
        <f t="shared" si="221"/>
        <v>14448.240137575543</v>
      </c>
      <c r="DQ206" s="104"/>
      <c r="DR206" s="30">
        <f>VLOOKUP(A206,'ДЗ нас '!$A$1:$C$359,2)</f>
        <v>15636.67</v>
      </c>
      <c r="DS206" s="748"/>
      <c r="DT206" s="30">
        <f t="shared" si="222"/>
        <v>15636.67</v>
      </c>
      <c r="DU206" s="257">
        <f>VLOOKUP(A206,'новий кошторис с 01.06'!$A$4:$AI$399,35)*1.2</f>
        <v>15683.638061131147</v>
      </c>
      <c r="DV206" s="30">
        <f t="shared" si="223"/>
        <v>-46.968061131146897</v>
      </c>
      <c r="DW206" s="930">
        <f>'[5]побудинковий звіт'!DW206+'[6]побудинковий звіт'!DW206</f>
        <v>204</v>
      </c>
      <c r="DY206" s="5">
        <f t="shared" si="227"/>
        <v>45840.618224908176</v>
      </c>
      <c r="DZ206" s="5">
        <f t="shared" si="228"/>
        <v>38546.133034490602</v>
      </c>
      <c r="EA206" s="752">
        <f t="shared" si="229"/>
        <v>20780.740000000005</v>
      </c>
      <c r="EC206" s="592">
        <f t="shared" si="230"/>
        <v>422292.28822951246</v>
      </c>
      <c r="EE206" s="758">
        <v>-37197</v>
      </c>
      <c r="EF206" s="738">
        <f t="shared" si="231"/>
        <v>-50333.546237203991</v>
      </c>
      <c r="EH206" s="813">
        <v>-37821.117728877478</v>
      </c>
    </row>
    <row r="207" spans="1:138" x14ac:dyDescent="0.3">
      <c r="A207" s="328">
        <v>150000927</v>
      </c>
      <c r="B207" s="44" t="s">
        <v>658</v>
      </c>
      <c r="C207" s="45" t="s">
        <v>178</v>
      </c>
      <c r="D207" s="45" t="s">
        <v>178</v>
      </c>
      <c r="E207" s="40">
        <f t="shared" si="232"/>
        <v>525.79999999999995</v>
      </c>
      <c r="F207" s="490">
        <v>286.2</v>
      </c>
      <c r="G207" s="30"/>
      <c r="H207" s="30">
        <v>239.6</v>
      </c>
      <c r="I207" s="42">
        <f>'[1]побудинковий звіт'!I207+'[2]побудинковий звіт'!I207-'[3]побудинковий звіт'!I207</f>
        <v>2850.9079096292044</v>
      </c>
      <c r="J207" s="42">
        <f>'[1]побудинковий звіт'!J207+'[2]побудинковий звіт'!J207-'[3]побудинковий звіт'!J207</f>
        <v>2810.3327151823432</v>
      </c>
      <c r="K207" s="56">
        <f t="shared" si="183"/>
        <v>-40.575194446861133</v>
      </c>
      <c r="L207" s="42">
        <f>'[1]побудинковий звіт'!L207+'[2]побудинковий звіт'!L207-'[3]побудинковий звіт'!L207</f>
        <v>711.632320163641</v>
      </c>
      <c r="M207" s="42">
        <f>'[1]побудинковий звіт'!M207+'[2]побудинковий звіт'!M207-'[3]побудинковий звіт'!M207</f>
        <v>718.00410337617814</v>
      </c>
      <c r="N207" s="56">
        <f t="shared" si="184"/>
        <v>6.3717832125371388</v>
      </c>
      <c r="O207" s="42">
        <f>'[1]побудинковий звіт'!O207+'[2]побудинковий звіт'!O207-'[3]побудинковий звіт'!O207</f>
        <v>904.31999999999994</v>
      </c>
      <c r="P207" s="42">
        <f>'[1]побудинковий звіт'!P207+'[2]побудинковий звіт'!P207-'[3]побудинковий звіт'!P207</f>
        <v>710.88661424731185</v>
      </c>
      <c r="Q207" s="56">
        <f t="shared" si="185"/>
        <v>-193.43338575268808</v>
      </c>
      <c r="R207" s="42">
        <f>'[1]побудинковий звіт'!R207+'[2]побудинковий звіт'!R207-'[3]побудинковий звіт'!R207</f>
        <v>0</v>
      </c>
      <c r="S207" s="42">
        <f>'[1]побудинковий звіт'!S207+'[2]побудинковий звіт'!S207-'[3]побудинковий звіт'!S207</f>
        <v>0</v>
      </c>
      <c r="T207" s="56">
        <f t="shared" si="186"/>
        <v>0</v>
      </c>
      <c r="U207" s="42">
        <f>'[1]побудинковий звіт'!U207+'[2]побудинковий звіт'!U207-'[3]побудинковий звіт'!U207</f>
        <v>0</v>
      </c>
      <c r="V207" s="42">
        <f>'[1]побудинковий звіт'!V207+'[2]побудинковий звіт'!V207-'[3]побудинковий звіт'!V207</f>
        <v>0</v>
      </c>
      <c r="W207" s="56">
        <f t="shared" si="187"/>
        <v>0</v>
      </c>
      <c r="X207" s="42">
        <f>'[1]побудинковий звіт'!X207+'[2]побудинковий звіт'!X207-'[3]побудинковий звіт'!X207</f>
        <v>1207.1775804244428</v>
      </c>
      <c r="Y207" s="42">
        <f>'[1]побудинковий звіт'!Y207+'[2]побудинковий звіт'!Y207-'[3]побудинковий звіт'!Y207</f>
        <v>3169.345353867629</v>
      </c>
      <c r="Z207" s="56">
        <f t="shared" si="188"/>
        <v>1962.1677734431862</v>
      </c>
      <c r="AA207" s="42">
        <f>'[1]побудинковий звіт'!AA207+'[2]побудинковий звіт'!AA207-'[3]побудинковий звіт'!AA207</f>
        <v>0</v>
      </c>
      <c r="AB207" s="42">
        <f>'[1]побудинковий звіт'!AB207+'[2]побудинковий звіт'!AB207-'[3]побудинковий звіт'!AB207</f>
        <v>0</v>
      </c>
      <c r="AC207" s="56">
        <f t="shared" si="189"/>
        <v>0</v>
      </c>
      <c r="AD207" s="42">
        <f>'[1]побудинковий звіт'!AD207+'[2]побудинковий звіт'!AD207-'[3]побудинковий звіт'!AD207</f>
        <v>2577.8988313687064</v>
      </c>
      <c r="AE207" s="42">
        <f>'[1]побудинковий звіт'!AE207+'[2]побудинковий звіт'!AE207-'[3]побудинковий звіт'!AE207</f>
        <v>2574.5240642714771</v>
      </c>
      <c r="AF207" s="37">
        <f t="shared" si="190"/>
        <v>-3.3747670972293236</v>
      </c>
      <c r="AG207" s="87">
        <f t="shared" si="180"/>
        <v>8251.9366415859949</v>
      </c>
      <c r="AH207" s="57">
        <f t="shared" si="180"/>
        <v>9983.0928509449404</v>
      </c>
      <c r="AI207" s="56">
        <f t="shared" si="191"/>
        <v>1731.1562093589455</v>
      </c>
      <c r="AJ207" s="42">
        <f>'[1]побудинковий звіт'!AJ207+'[2]побудинковий звіт'!AJ207-'[3]побудинковий звіт'!AJ207</f>
        <v>0</v>
      </c>
      <c r="AK207" s="42">
        <f>'[1]побудинковий звіт'!AK207+'[2]побудинковий звіт'!AK207-'[3]побудинковий звіт'!AK207</f>
        <v>0</v>
      </c>
      <c r="AL207" s="56">
        <f t="shared" si="192"/>
        <v>0</v>
      </c>
      <c r="AM207" s="42">
        <f>'[1]побудинковий звіт'!AM207+'[2]побудинковий звіт'!AM207-'[3]побудинковий звіт'!AM207</f>
        <v>0</v>
      </c>
      <c r="AN207" s="42">
        <f>'[1]побудинковий звіт'!AN207+'[2]побудинковий звіт'!AN207-'[3]побудинковий звіт'!AN207</f>
        <v>0</v>
      </c>
      <c r="AO207" s="56">
        <f t="shared" si="193"/>
        <v>0</v>
      </c>
      <c r="AP207" s="42">
        <f>'[1]побудинковий звіт'!AP207+'[2]побудинковий звіт'!AP207-'[3]побудинковий звіт'!AP207</f>
        <v>1136.4211714723797</v>
      </c>
      <c r="AQ207" s="42">
        <f>'[1]побудинковий звіт'!AQ207+'[2]побудинковий звіт'!AQ207-'[3]побудинковий звіт'!AQ207</f>
        <v>1130.4232797379277</v>
      </c>
      <c r="AR207" s="56">
        <f t="shared" si="194"/>
        <v>-5.9978917344519687</v>
      </c>
      <c r="AS207" s="42">
        <f>'[1]побудинковий звіт'!AS207+'[2]побудинковий звіт'!AS207-'[3]побудинковий звіт'!AS207</f>
        <v>7854.1532242102548</v>
      </c>
      <c r="AT207" s="42">
        <f>'[1]побудинковий звіт'!AT207+'[2]побудинковий звіт'!AT207-'[3]побудинковий звіт'!AT207</f>
        <v>0</v>
      </c>
      <c r="AU207" s="58">
        <f t="shared" si="211"/>
        <v>-7854.1532242102548</v>
      </c>
      <c r="AV207" s="42">
        <f>'[1]побудинковий звіт'!AV207+'[2]побудинковий звіт'!AV207-'[3]побудинковий звіт'!AV207</f>
        <v>549.93657365564115</v>
      </c>
      <c r="AW207" s="42">
        <f>'[1]побудинковий звіт'!AW207+'[2]побудинковий звіт'!AW207-'[3]побудинковий звіт'!AW207</f>
        <v>0</v>
      </c>
      <c r="AX207" s="59">
        <f t="shared" si="212"/>
        <v>-549.93657365564115</v>
      </c>
      <c r="AY207" s="42">
        <f>'[1]побудинковий звіт'!AY207+'[2]побудинковий звіт'!AY207-'[3]побудинковий звіт'!AY207</f>
        <v>917.31938348910012</v>
      </c>
      <c r="AZ207" s="42">
        <f>'[1]побудинковий звіт'!AZ207+'[2]побудинковий звіт'!AZ207-'[3]побудинковий звіт'!AZ207</f>
        <v>0</v>
      </c>
      <c r="BA207" s="37">
        <f t="shared" si="213"/>
        <v>-917.31938348910012</v>
      </c>
      <c r="BB207" s="42">
        <f>'[1]побудинковий звіт'!BB207+'[2]побудинковий звіт'!BB207-'[3]побудинковий звіт'!BB207</f>
        <v>465.46474878650031</v>
      </c>
      <c r="BC207" s="42">
        <f>'[1]побудинковий звіт'!BC207+'[2]побудинковий звіт'!BC207-'[3]побудинковий звіт'!BC207</f>
        <v>0</v>
      </c>
      <c r="BD207" s="59">
        <f t="shared" si="214"/>
        <v>-465.46474878650031</v>
      </c>
      <c r="BE207" s="42">
        <f>'[1]побудинковий звіт'!BE207+'[2]побудинковий звіт'!BE207-'[3]побудинковий звіт'!BE207</f>
        <v>0</v>
      </c>
      <c r="BF207" s="42">
        <f>'[1]побудинковий звіт'!BF207+'[2]побудинковий звіт'!BF207-'[3]побудинковий звіт'!BF207</f>
        <v>0</v>
      </c>
      <c r="BG207" s="39">
        <f t="shared" si="215"/>
        <v>0</v>
      </c>
      <c r="BH207" s="42">
        <f>'[1]побудинковий звіт'!BH207+'[2]побудинковий звіт'!BH207-'[3]побудинковий звіт'!BH207</f>
        <v>0</v>
      </c>
      <c r="BI207" s="42">
        <f>'[1]побудинковий звіт'!BI207+'[2]побудинковий звіт'!BI207-'[3]побудинковий звіт'!BI207</f>
        <v>0</v>
      </c>
      <c r="BJ207" s="59">
        <f t="shared" si="216"/>
        <v>0</v>
      </c>
      <c r="BK207" s="42">
        <f>'[1]побудинковий звіт'!BK207+'[2]побудинковий звіт'!BK207-'[3]побудинковий звіт'!BK207</f>
        <v>118.62780668282814</v>
      </c>
      <c r="BL207" s="42">
        <f>'[1]побудинковий звіт'!BL207+'[2]побудинковий звіт'!BL207-'[3]побудинковий звіт'!BL207</f>
        <v>9709</v>
      </c>
      <c r="BM207" s="39">
        <f t="shared" si="217"/>
        <v>9590.372193317171</v>
      </c>
      <c r="BN207" s="42">
        <f>'[1]побудинковий звіт'!BN207+'[2]побудинковий звіт'!BN207-'[3]побудинковий звіт'!BN207</f>
        <v>0</v>
      </c>
      <c r="BO207" s="42">
        <f>'[1]побудинковий звіт'!BO207+'[2]побудинковий звіт'!BO207-'[3]побудинковий звіт'!BO207</f>
        <v>0</v>
      </c>
      <c r="BP207" s="59">
        <f t="shared" si="218"/>
        <v>0</v>
      </c>
      <c r="BQ207" s="87">
        <f t="shared" si="233"/>
        <v>2051.3485126140699</v>
      </c>
      <c r="BR207" s="43">
        <f t="shared" si="234"/>
        <v>9709</v>
      </c>
      <c r="BS207" s="59">
        <f t="shared" si="219"/>
        <v>7657.6514873859305</v>
      </c>
      <c r="BT207" s="42">
        <f>'[1]побудинковий звіт'!BT207+'[2]побудинковий звіт'!BT207-'[3]побудинковий звіт'!BT207</f>
        <v>5771.3146974083966</v>
      </c>
      <c r="BU207" s="42">
        <f>'[1]побудинковий звіт'!BU207+'[2]побудинковий звіт'!BU207-'[3]побудинковий звіт'!BU207</f>
        <v>9751.5225794045728</v>
      </c>
      <c r="BV207" s="56">
        <f t="shared" si="195"/>
        <v>3980.2078819961762</v>
      </c>
      <c r="BW207" s="42">
        <f>'[1]побудинковий звіт'!BW207+'[2]побудинковий звіт'!BW207-'[3]побудинковий звіт'!BW207</f>
        <v>5971.7950055201136</v>
      </c>
      <c r="BX207" s="42">
        <f>'[1]побудинковий звіт'!BX207+'[2]побудинковий звіт'!BX207-'[3]побудинковий звіт'!BX207</f>
        <v>7117.6909708129642</v>
      </c>
      <c r="BY207" s="56">
        <f t="shared" si="196"/>
        <v>1145.8959652928506</v>
      </c>
      <c r="BZ207" s="42">
        <f>'[1]побудинковий звіт'!BZ207+'[2]побудинковий звіт'!BZ207-'[3]побудинковий звіт'!BZ207</f>
        <v>1876.0077721563644</v>
      </c>
      <c r="CA207" s="42">
        <f>'[1]побудинковий звіт'!CA207+'[2]побудинковий звіт'!CA207-'[3]побудинковий звіт'!CA207</f>
        <v>2425.3892102658865</v>
      </c>
      <c r="CB207" s="56">
        <f t="shared" si="197"/>
        <v>549.38143810952215</v>
      </c>
      <c r="CC207" s="42">
        <f>'[1]побудинковий звіт'!CC207+'[2]побудинковий звіт'!CC207-'[3]побудинковий звіт'!CC207</f>
        <v>600.03037853741637</v>
      </c>
      <c r="CD207" s="42">
        <f>'[1]побудинковий звіт'!CD207+'[2]побудинковий звіт'!CD207-'[3]побудинковий звіт'!CD207</f>
        <v>594.75294171729945</v>
      </c>
      <c r="CE207" s="56">
        <f t="shared" si="198"/>
        <v>-5.2774368201169182</v>
      </c>
      <c r="CF207" s="42">
        <f>'[1]побудинковий звіт'!CF207+'[2]побудинковий звіт'!CF207-'[3]побудинковий звіт'!CF207</f>
        <v>73.867376145704682</v>
      </c>
      <c r="CG207" s="42">
        <f>'[1]побудинковий звіт'!CG207+'[2]побудинковий звіт'!CG207-'[3]побудинковий звіт'!CG207</f>
        <v>0</v>
      </c>
      <c r="CH207" s="56">
        <f t="shared" si="199"/>
        <v>-73.867376145704682</v>
      </c>
      <c r="CI207" s="42">
        <f>'[1]побудинковий звіт'!CI207+'[2]побудинковий звіт'!CI207-'[3]побудинковий звіт'!CI207</f>
        <v>1048.1814099227595</v>
      </c>
      <c r="CJ207" s="42">
        <f>'[1]побудинковий звіт'!CJ207+'[2]побудинковий звіт'!CJ207-'[3]побудинковий звіт'!CJ207</f>
        <v>2299.8786241077387</v>
      </c>
      <c r="CK207" s="56">
        <f t="shared" si="200"/>
        <v>1251.6972141849792</v>
      </c>
      <c r="CL207" s="42">
        <f>'[1]побудинковий звіт'!CL207+'[2]побудинковий звіт'!CL207-'[3]побудинковий звіт'!CL207</f>
        <v>0</v>
      </c>
      <c r="CM207" s="42">
        <f>'[1]побудинковий звіт'!CM207+'[2]побудинковий звіт'!CM207-'[3]побудинковий звіт'!CM207</f>
        <v>0</v>
      </c>
      <c r="CN207" s="56">
        <f t="shared" si="201"/>
        <v>0</v>
      </c>
      <c r="CO207" s="42">
        <f t="shared" si="181"/>
        <v>1048.1814099227595</v>
      </c>
      <c r="CP207" s="43">
        <f t="shared" si="202"/>
        <v>2299.8786241077387</v>
      </c>
      <c r="CQ207" s="56">
        <f t="shared" si="203"/>
        <v>1251.6972141849792</v>
      </c>
      <c r="CR207" s="78">
        <f t="shared" si="182"/>
        <v>34635.056189573457</v>
      </c>
      <c r="CS207" s="5">
        <f t="shared" si="182"/>
        <v>43011.750456991329</v>
      </c>
      <c r="CT207" s="56">
        <f t="shared" si="204"/>
        <v>8376.6942674178717</v>
      </c>
      <c r="CU207" s="87">
        <f t="shared" si="205"/>
        <v>41562.067427488146</v>
      </c>
      <c r="CV207" s="70">
        <f t="shared" si="206"/>
        <v>51614.100548389593</v>
      </c>
      <c r="CW207" s="37">
        <f t="shared" si="207"/>
        <v>10052.033120901448</v>
      </c>
      <c r="CX207" s="42">
        <f>'[1]побудинковий звіт'!CX207+'[2]побудинковий звіт'!CX207-'[3]побудинковий звіт'!CX207</f>
        <v>-135.78742748815239</v>
      </c>
      <c r="CY207" s="42">
        <f>'[1]побудинковий звіт'!CY207+'[2]побудинковий звіт'!CY207-'[3]побудинковий звіт'!CY207</f>
        <v>-10187.820548389594</v>
      </c>
      <c r="CZ207" s="56">
        <f t="shared" si="208"/>
        <v>-10052.033120901442</v>
      </c>
      <c r="DA207" s="264">
        <f>'[4]побудинковий звіт'!DA207</f>
        <v>535.25636878030491</v>
      </c>
      <c r="DB207" s="2">
        <v>2</v>
      </c>
      <c r="DC207" s="717">
        <f>'[4]побудинковий звіт'!DC207</f>
        <v>5481.88</v>
      </c>
      <c r="DD207" s="717">
        <f>'[4]побудинковий звіт'!DD207</f>
        <v>21216.62</v>
      </c>
      <c r="DE207" s="717">
        <f>'[4]побудинковий звіт'!DE207</f>
        <v>3185.88</v>
      </c>
      <c r="DF207" s="717">
        <f>'[4]побудинковий звіт'!DF207</f>
        <v>20060.43</v>
      </c>
      <c r="DG207" s="787">
        <v>-8573.5818008205679</v>
      </c>
      <c r="DH207" s="761">
        <f t="shared" si="226"/>
        <v>497115.35999999987</v>
      </c>
      <c r="DI207" s="784"/>
      <c r="DJ207" s="5"/>
      <c r="DK207" s="317">
        <f>VLOOKUP($A207,ціни!$A$4:$G$401,5)</f>
        <v>6.2749403713151359</v>
      </c>
      <c r="DL207" s="317"/>
      <c r="DM207" s="317">
        <f>VLOOKUP($A207,ціни!$A$4:$G$401,7)</f>
        <v>4.8255448833660886</v>
      </c>
      <c r="DN207" s="30">
        <f>F207*DK207</f>
        <v>1795.8879342703917</v>
      </c>
      <c r="DO207" s="30">
        <f>H207*DM207</f>
        <v>1156.2005540545149</v>
      </c>
      <c r="DP207" s="316">
        <f t="shared" si="221"/>
        <v>2952.0884883249064</v>
      </c>
      <c r="DQ207" s="104"/>
      <c r="DR207" s="30">
        <f>VLOOKUP(A207,'ДЗ нас '!$A$1:$C$359,2)</f>
        <v>2296</v>
      </c>
      <c r="DS207" s="748">
        <f>VLOOKUP(A207,'ДЗ нежит'!$A$1:$D$153,4,0)</f>
        <v>1156.19</v>
      </c>
      <c r="DT207" s="30">
        <f t="shared" si="222"/>
        <v>3452.19</v>
      </c>
      <c r="DU207" s="257">
        <f>VLOOKUP(A207,'новий кошторис с 01.06'!$A$4:$AI$399,35)*1.2</f>
        <v>3525.8487200985778</v>
      </c>
      <c r="DV207" s="30">
        <f t="shared" si="223"/>
        <v>-73.65872009857776</v>
      </c>
      <c r="DW207" s="930">
        <f>'[5]побудинковий звіт'!DW207+'[6]побудинковий звіт'!DW207</f>
        <v>204</v>
      </c>
      <c r="DY207" s="5">
        <f t="shared" si="227"/>
        <v>11886.60208418919</v>
      </c>
      <c r="DZ207" s="5">
        <f t="shared" si="228"/>
        <v>11650.8</v>
      </c>
      <c r="EA207" s="752">
        <f t="shared" si="229"/>
        <v>23246.31</v>
      </c>
      <c r="EC207" s="592">
        <f t="shared" si="230"/>
        <v>94249.838690523058</v>
      </c>
      <c r="EE207" s="758">
        <v>-11395</v>
      </c>
      <c r="EF207" s="738">
        <f t="shared" si="231"/>
        <v>-19968.581800820568</v>
      </c>
      <c r="EH207" s="813">
        <v>2366.431814708907</v>
      </c>
    </row>
    <row r="208" spans="1:138" x14ac:dyDescent="0.3">
      <c r="A208" s="328">
        <v>150000958</v>
      </c>
      <c r="B208" s="44" t="s">
        <v>659</v>
      </c>
      <c r="C208" s="45" t="s">
        <v>380</v>
      </c>
      <c r="D208" s="45" t="s">
        <v>380</v>
      </c>
      <c r="E208" s="40">
        <f t="shared" si="232"/>
        <v>3813.3</v>
      </c>
      <c r="F208" s="490">
        <v>3813.3</v>
      </c>
      <c r="G208" s="30">
        <v>233.5</v>
      </c>
      <c r="H208" s="30">
        <v>0</v>
      </c>
      <c r="I208" s="42">
        <f>'[1]побудинковий звіт'!I208+'[2]побудинковий звіт'!I208-'[3]побудинковий звіт'!I208</f>
        <v>7982.5327125862023</v>
      </c>
      <c r="J208" s="42">
        <f>'[1]побудинковий звіт'!J208+'[2]побудинковий звіт'!J208-'[3]побудинковий звіт'!J208</f>
        <v>6740.892764409542</v>
      </c>
      <c r="K208" s="56">
        <f t="shared" si="183"/>
        <v>-1241.6399481766603</v>
      </c>
      <c r="L208" s="42">
        <f>'[1]побудинковий звіт'!L208+'[2]побудинковий звіт'!L208-'[3]побудинковий звіт'!L208</f>
        <v>1201.9316810220166</v>
      </c>
      <c r="M208" s="42">
        <f>'[1]побудинковий звіт'!M208+'[2]побудинковий звіт'!M208-'[3]побудинковий звіт'!M208</f>
        <v>1117.8695331457227</v>
      </c>
      <c r="N208" s="56">
        <f t="shared" si="184"/>
        <v>-84.06214787629392</v>
      </c>
      <c r="O208" s="42">
        <f>'[1]побудинковий звіт'!O208+'[2]побудинковий звіт'!O208-'[3]побудинковий звіт'!O208</f>
        <v>3104.76</v>
      </c>
      <c r="P208" s="42">
        <f>'[1]побудинковий звіт'!P208+'[2]побудинковий звіт'!P208-'[3]побудинковий звіт'!P208</f>
        <v>2440.5119354838707</v>
      </c>
      <c r="Q208" s="56">
        <f t="shared" si="185"/>
        <v>-664.24806451612949</v>
      </c>
      <c r="R208" s="42">
        <f>'[1]побудинковий звіт'!R208+'[2]побудинковий звіт'!R208-'[3]побудинковий звіт'!R208</f>
        <v>697.43999999999994</v>
      </c>
      <c r="S208" s="42">
        <f>'[1]побудинковий звіт'!S208+'[2]побудинковий звіт'!S208-'[3]побудинковий звіт'!S208</f>
        <v>548.32769892473118</v>
      </c>
      <c r="T208" s="56">
        <f t="shared" si="186"/>
        <v>-149.11230107526876</v>
      </c>
      <c r="U208" s="42">
        <f>'[1]побудинковий звіт'!U208+'[2]побудинковий звіт'!U208-'[3]побудинковий звіт'!U208</f>
        <v>390.17454427986797</v>
      </c>
      <c r="V208" s="42">
        <f>'[1]побудинковий звіт'!V208+'[2]побудинковий звіт'!V208-'[3]побудинковий звіт'!V208</f>
        <v>133.59576356666707</v>
      </c>
      <c r="W208" s="56">
        <f t="shared" si="187"/>
        <v>-256.5787807132009</v>
      </c>
      <c r="X208" s="42">
        <f>'[1]побудинковий звіт'!X208+'[2]побудинковий звіт'!X208-'[3]побудинковий звіт'!X208</f>
        <v>2169.1228168048297</v>
      </c>
      <c r="Y208" s="42">
        <f>'[1]побудинковий звіт'!Y208+'[2]побудинковий звіт'!Y208-'[3]побудинковий звіт'!Y208</f>
        <v>2000.7398725691078</v>
      </c>
      <c r="Z208" s="56">
        <f t="shared" si="188"/>
        <v>-168.38294423572188</v>
      </c>
      <c r="AA208" s="42">
        <f>'[1]побудинковий звіт'!AA208+'[2]побудинковий звіт'!AA208-'[3]побудинковий звіт'!AA208</f>
        <v>0</v>
      </c>
      <c r="AB208" s="42">
        <f>'[1]побудинковий звіт'!AB208+'[2]побудинковий звіт'!AB208-'[3]побудинковий звіт'!AB208</f>
        <v>0</v>
      </c>
      <c r="AC208" s="56">
        <f t="shared" si="189"/>
        <v>0</v>
      </c>
      <c r="AD208" s="42">
        <f>'[1]побудинковий звіт'!AD208+'[2]побудинковий звіт'!AD208-'[3]побудинковий звіт'!AD208</f>
        <v>9129.3279065439128</v>
      </c>
      <c r="AE208" s="42">
        <f>'[1]побудинковий звіт'!AE208+'[2]побудинковий звіт'!AE208-'[3]побудинковий звіт'!AE208</f>
        <v>8414.4407209985984</v>
      </c>
      <c r="AF208" s="37">
        <f t="shared" si="190"/>
        <v>-714.88718554531442</v>
      </c>
      <c r="AG208" s="87">
        <f t="shared" si="180"/>
        <v>24675.289661236828</v>
      </c>
      <c r="AH208" s="57">
        <f t="shared" si="180"/>
        <v>21396.37828909824</v>
      </c>
      <c r="AI208" s="56">
        <f t="shared" si="191"/>
        <v>-3278.9113721385875</v>
      </c>
      <c r="AJ208" s="42">
        <f>'[1]побудинковий звіт'!AJ208+'[2]побудинковий звіт'!AJ208-'[3]побудинковий звіт'!AJ208</f>
        <v>17243.520069488255</v>
      </c>
      <c r="AK208" s="42">
        <f>'[1]побудинковий звіт'!AK208+'[2]побудинковий звіт'!AK208-'[3]побудинковий звіт'!AK208</f>
        <v>17091.858435380724</v>
      </c>
      <c r="AL208" s="56">
        <f t="shared" si="192"/>
        <v>-151.66163410753143</v>
      </c>
      <c r="AM208" s="42">
        <f>'[1]побудинковий звіт'!AM208+'[2]побудинковий звіт'!AM208-'[3]побудинковий звіт'!AM208</f>
        <v>1578.4221588709306</v>
      </c>
      <c r="AN208" s="42">
        <f>'[1]побудинковий звіт'!AN208+'[2]побудинковий звіт'!AN208-'[3]побудинковий звіт'!AN208</f>
        <v>1173.7766942002004</v>
      </c>
      <c r="AO208" s="56">
        <f t="shared" si="193"/>
        <v>-404.64546467073023</v>
      </c>
      <c r="AP208" s="42">
        <f>'[1]побудинковий звіт'!AP208+'[2]побудинковий звіт'!AP208-'[3]побудинковий звіт'!AP208</f>
        <v>1704.6317572085691</v>
      </c>
      <c r="AQ208" s="42">
        <f>'[1]побудинковий звіт'!AQ208+'[2]побудинковий звіт'!AQ208-'[3]побудинковий звіт'!AQ208</f>
        <v>1645.1339091603513</v>
      </c>
      <c r="AR208" s="56">
        <f t="shared" si="194"/>
        <v>-59.497848048217747</v>
      </c>
      <c r="AS208" s="42">
        <f>'[1]побудинковий звіт'!AS208+'[2]побудинковий звіт'!AS208-'[3]побудинковий звіт'!AS208</f>
        <v>32911.605427138922</v>
      </c>
      <c r="AT208" s="42">
        <f>'[1]побудинковий звіт'!AT208+'[2]побудинковий звіт'!AT208-'[3]побудинковий звіт'!AT208</f>
        <v>28192.422022993735</v>
      </c>
      <c r="AU208" s="58">
        <f t="shared" si="211"/>
        <v>-4719.1834041451875</v>
      </c>
      <c r="AV208" s="42">
        <f>'[1]побудинковий звіт'!AV208+'[2]побудинковий звіт'!AV208-'[3]побудинковий звіт'!AV208</f>
        <v>638.76026908335007</v>
      </c>
      <c r="AW208" s="42">
        <f>'[1]побудинковий звіт'!AW208+'[2]побудинковий звіт'!AW208-'[3]побудинковий звіт'!AW208</f>
        <v>0</v>
      </c>
      <c r="AX208" s="59">
        <f t="shared" si="212"/>
        <v>-638.76026908335007</v>
      </c>
      <c r="AY208" s="42">
        <f>'[1]побудинковий звіт'!AY208+'[2]побудинковий звіт'!AY208-'[3]побудинковий звіт'!AY208</f>
        <v>797.49583455525658</v>
      </c>
      <c r="AZ208" s="42">
        <f>'[1]побудинковий звіт'!AZ208+'[2]побудинковий звіт'!AZ208-'[3]побудинковий звіт'!AZ208</f>
        <v>0</v>
      </c>
      <c r="BA208" s="37">
        <f t="shared" si="213"/>
        <v>-797.49583455525658</v>
      </c>
      <c r="BB208" s="42">
        <f>'[1]побудинковий звіт'!BB208+'[2]побудинковий звіт'!BB208-'[3]побудинковий звіт'!BB208</f>
        <v>548.06749701471347</v>
      </c>
      <c r="BC208" s="42">
        <f>'[1]побудинковий звіт'!BC208+'[2]побудинковий звіт'!BC208-'[3]побудинковий звіт'!BC208</f>
        <v>0</v>
      </c>
      <c r="BD208" s="59">
        <f t="shared" si="214"/>
        <v>-548.06749701471347</v>
      </c>
      <c r="BE208" s="42">
        <f>'[1]побудинковий звіт'!BE208+'[2]побудинковий звіт'!BE208-'[3]побудинковий звіт'!BE208</f>
        <v>358.88112544912764</v>
      </c>
      <c r="BF208" s="42">
        <f>'[1]побудинковий звіт'!BF208+'[2]побудинковий звіт'!BF208-'[3]побудинковий звіт'!BF208</f>
        <v>0</v>
      </c>
      <c r="BG208" s="39">
        <f t="shared" si="215"/>
        <v>-358.88112544912764</v>
      </c>
      <c r="BH208" s="42">
        <f>'[1]побудинковий звіт'!BH208+'[2]побудинковий звіт'!BH208-'[3]побудинковий звіт'!BH208</f>
        <v>197.88370594614832</v>
      </c>
      <c r="BI208" s="42">
        <f>'[1]побудинковий звіт'!BI208+'[2]побудинковий звіт'!BI208-'[3]побудинковий звіт'!BI208</f>
        <v>0</v>
      </c>
      <c r="BJ208" s="59">
        <f t="shared" si="216"/>
        <v>-197.88370594614832</v>
      </c>
      <c r="BK208" s="42">
        <f>'[1]побудинковий звіт'!BK208+'[2]побудинковий звіт'!BK208-'[3]побудинковий звіт'!BK208</f>
        <v>261.75775971467539</v>
      </c>
      <c r="BL208" s="42">
        <f>'[1]побудинковий звіт'!BL208+'[2]побудинковий звіт'!BL208-'[3]побудинковий звіт'!BL208</f>
        <v>2315.7129793396789</v>
      </c>
      <c r="BM208" s="39">
        <f t="shared" si="217"/>
        <v>2053.9552196250033</v>
      </c>
      <c r="BN208" s="42">
        <f>'[1]побудинковий звіт'!BN208+'[2]побудинковий звіт'!BN208-'[3]побудинковий звіт'!BN208</f>
        <v>310.83025688569774</v>
      </c>
      <c r="BO208" s="42">
        <f>'[1]побудинковий звіт'!BO208+'[2]побудинковий звіт'!BO208-'[3]побудинковий звіт'!BO208</f>
        <v>0</v>
      </c>
      <c r="BP208" s="59">
        <f t="shared" si="218"/>
        <v>-310.83025688569774</v>
      </c>
      <c r="BQ208" s="87">
        <f t="shared" si="233"/>
        <v>3113.6764486489692</v>
      </c>
      <c r="BR208" s="43">
        <f t="shared" si="234"/>
        <v>2315.7129793396789</v>
      </c>
      <c r="BS208" s="59">
        <f t="shared" si="219"/>
        <v>-797.9634693092903</v>
      </c>
      <c r="BT208" s="42">
        <f>'[1]побудинковий звіт'!BT208+'[2]побудинковий звіт'!BT208-'[3]побудинковий звіт'!BT208</f>
        <v>35265.969791856143</v>
      </c>
      <c r="BU208" s="42">
        <f>'[1]побудинковий звіт'!BU208+'[2]побудинковий звіт'!BU208-'[3]побудинковий звіт'!BU208</f>
        <v>39474.170922220546</v>
      </c>
      <c r="BV208" s="56">
        <f t="shared" si="195"/>
        <v>4208.2011303644031</v>
      </c>
      <c r="BW208" s="42">
        <f>'[1]побудинковий звіт'!BW208+'[2]побудинковий звіт'!BW208-'[3]побудинковий звіт'!BW208</f>
        <v>18005.645894991492</v>
      </c>
      <c r="BX208" s="42">
        <f>'[1]побудинковий звіт'!BX208+'[2]побудинковий звіт'!BX208-'[3]побудинковий звіт'!BX208</f>
        <v>20618.311653946112</v>
      </c>
      <c r="BY208" s="56">
        <f t="shared" si="196"/>
        <v>2612.6657589546194</v>
      </c>
      <c r="BZ208" s="42">
        <f>'[1]побудинковий звіт'!BZ208+'[2]побудинковий звіт'!BZ208-'[3]побудинковий звіт'!BZ208</f>
        <v>7011.3084419615861</v>
      </c>
      <c r="CA208" s="42">
        <f>'[1]побудинковий звіт'!CA208+'[2]побудинковий звіт'!CA208-'[3]побудинковий звіт'!CA208</f>
        <v>9046.7558339656116</v>
      </c>
      <c r="CB208" s="56">
        <f t="shared" si="197"/>
        <v>2035.4473920040255</v>
      </c>
      <c r="CC208" s="42">
        <f>'[1]побудинковий звіт'!CC208+'[2]побудинковий звіт'!CC208-'[3]побудинковий звіт'!CC208</f>
        <v>709.15355032044658</v>
      </c>
      <c r="CD208" s="42">
        <f>'[1]побудинковий звіт'!CD208+'[2]побудинковий звіт'!CD208-'[3]побудинковий звіт'!CD208</f>
        <v>702.91634435314143</v>
      </c>
      <c r="CE208" s="56">
        <f t="shared" si="198"/>
        <v>-6.2372059673051581</v>
      </c>
      <c r="CF208" s="42">
        <f>'[1]побудинковий звіт'!CF208+'[2]побудинковий звіт'!CF208-'[3]побудинковий звіт'!CF208</f>
        <v>87.301099944751954</v>
      </c>
      <c r="CG208" s="42">
        <f>'[1]побудинковий звіт'!CG208+'[2]побудинковий звіт'!CG208-'[3]побудинковий звіт'!CG208</f>
        <v>0</v>
      </c>
      <c r="CH208" s="56">
        <f t="shared" si="199"/>
        <v>-87.301099944751954</v>
      </c>
      <c r="CI208" s="42">
        <f>'[1]побудинковий звіт'!CI208+'[2]побудинковий звіт'!CI208-'[3]побудинковий звіт'!CI208</f>
        <v>280.76287765788197</v>
      </c>
      <c r="CJ208" s="42">
        <f>'[1]побудинковий звіт'!CJ208+'[2]побудинковий звіт'!CJ208-'[3]побудинковий звіт'!CJ208</f>
        <v>2456.9191575485124</v>
      </c>
      <c r="CK208" s="56">
        <f t="shared" si="200"/>
        <v>2176.1562798906307</v>
      </c>
      <c r="CL208" s="42">
        <f>'[1]побудинковий звіт'!CL208+'[2]побудинковий звіт'!CL208-'[3]побудинковий звіт'!CL208</f>
        <v>7524.445121231237</v>
      </c>
      <c r="CM208" s="42">
        <f>'[1]побудинковий звіт'!CM208+'[2]побудинковий звіт'!CM208-'[3]побудинковий звіт'!CM208</f>
        <v>4084.7596204768843</v>
      </c>
      <c r="CN208" s="56">
        <f t="shared" si="201"/>
        <v>-3439.6855007543527</v>
      </c>
      <c r="CO208" s="42">
        <f t="shared" si="181"/>
        <v>7805.2079988891192</v>
      </c>
      <c r="CP208" s="43">
        <f t="shared" si="202"/>
        <v>6541.6787780253962</v>
      </c>
      <c r="CQ208" s="56">
        <f t="shared" si="203"/>
        <v>-1263.5292208637229</v>
      </c>
      <c r="CR208" s="78">
        <f t="shared" si="182"/>
        <v>150111.732300556</v>
      </c>
      <c r="CS208" s="5">
        <f t="shared" si="182"/>
        <v>148199.11586268374</v>
      </c>
      <c r="CT208" s="56">
        <f t="shared" si="204"/>
        <v>-1912.6164378722606</v>
      </c>
      <c r="CU208" s="87">
        <f t="shared" si="205"/>
        <v>180134.07876066721</v>
      </c>
      <c r="CV208" s="70">
        <f t="shared" si="206"/>
        <v>177838.93903522048</v>
      </c>
      <c r="CW208" s="37">
        <f t="shared" si="207"/>
        <v>-2295.1397254467302</v>
      </c>
      <c r="CX208" s="42">
        <f>'[1]побудинковий звіт'!CX208+'[2]побудинковий звіт'!CX208-'[3]побудинковий звіт'!CX208</f>
        <v>4524.6812393328</v>
      </c>
      <c r="CY208" s="42">
        <f>'[1]побудинковий звіт'!CY208+'[2]побудинковий звіт'!CY208-'[3]побудинковий звіт'!CY208</f>
        <v>6819.8209647795102</v>
      </c>
      <c r="CZ208" s="56">
        <f t="shared" si="208"/>
        <v>2295.1397254467101</v>
      </c>
      <c r="DA208" s="264">
        <f>'[4]побудинковий звіт'!DA208</f>
        <v>-98350.692291661748</v>
      </c>
      <c r="DB208" s="2">
        <v>1</v>
      </c>
      <c r="DC208" s="717">
        <f>'[4]побудинковий звіт'!DC208</f>
        <v>55291.71</v>
      </c>
      <c r="DD208" s="717">
        <f>'[4]побудинковий звіт'!DD208</f>
        <v>0</v>
      </c>
      <c r="DE208" s="717">
        <f>'[4]побудинковий звіт'!DE208</f>
        <v>39903.479999999996</v>
      </c>
      <c r="DF208" s="717">
        <f>'[4]побудинковий звіт'!DF208</f>
        <v>0</v>
      </c>
      <c r="DG208" s="787">
        <v>-69409.746825569251</v>
      </c>
      <c r="DH208" s="761">
        <f t="shared" si="226"/>
        <v>2215905.12</v>
      </c>
      <c r="DI208" s="784"/>
      <c r="DJ208" s="5"/>
      <c r="DK208" s="317">
        <f>VLOOKUP($A208,ціни!$A$4:$G$401,5)</f>
        <v>5.9416176560694929</v>
      </c>
      <c r="DL208" s="317">
        <f>VLOOKUP($A208,ціни!$A$4:$G$401,6)</f>
        <v>7.3617400284574916</v>
      </c>
      <c r="DM208" s="317">
        <f>VLOOKUP($A208,ціни!$A$4:$G$401,7)</f>
        <v>5.0772184690353361</v>
      </c>
      <c r="DN208" s="30">
        <f>DK208*G208+(F208-G208)*DL208</f>
        <v>27740.924676564355</v>
      </c>
      <c r="DO208" s="30">
        <f>DM208*H208</f>
        <v>0</v>
      </c>
      <c r="DP208" s="316">
        <f t="shared" si="221"/>
        <v>27740.924676564355</v>
      </c>
      <c r="DQ208" s="104"/>
      <c r="DR208" s="30">
        <f>VLOOKUP(A208,'ДЗ нас '!$A$1:$C$359,2)</f>
        <v>15388.23</v>
      </c>
      <c r="DS208" s="748"/>
      <c r="DT208" s="30">
        <f t="shared" si="222"/>
        <v>15388.23</v>
      </c>
      <c r="DU208" s="257">
        <f>VLOOKUP(A208,'новий кошторис с 01.06'!$A$4:$AI$399,35)*1.2</f>
        <v>15461.508426957265</v>
      </c>
      <c r="DV208" s="30">
        <f t="shared" si="223"/>
        <v>-73.278426957265765</v>
      </c>
      <c r="DW208" s="930">
        <f>'[5]побудинковий звіт'!DW208+'[6]побудинковий звіт'!DW208</f>
        <v>202</v>
      </c>
      <c r="DY208" s="5">
        <f t="shared" si="227"/>
        <v>43230.338250945468</v>
      </c>
      <c r="DZ208" s="5">
        <f t="shared" si="228"/>
        <v>36609.762002800097</v>
      </c>
      <c r="EA208" s="752">
        <f t="shared" si="229"/>
        <v>39903.479999999996</v>
      </c>
      <c r="EC208" s="592">
        <f t="shared" si="230"/>
        <v>394939.26512566709</v>
      </c>
      <c r="EE208" s="758">
        <v>24951</v>
      </c>
      <c r="EF208" s="738">
        <f t="shared" si="231"/>
        <v>-44458.746825569251</v>
      </c>
      <c r="EH208" s="813">
        <v>-74606.580988706264</v>
      </c>
    </row>
    <row r="209" spans="1:138" x14ac:dyDescent="0.3">
      <c r="A209" s="328">
        <v>150000961</v>
      </c>
      <c r="B209" s="44" t="s">
        <v>660</v>
      </c>
      <c r="C209" s="45" t="s">
        <v>381</v>
      </c>
      <c r="D209" s="45" t="s">
        <v>381</v>
      </c>
      <c r="E209" s="40">
        <f t="shared" si="232"/>
        <v>14576.67</v>
      </c>
      <c r="F209" s="490">
        <v>14576.67</v>
      </c>
      <c r="G209" s="30">
        <v>477.8</v>
      </c>
      <c r="H209" s="30">
        <v>0</v>
      </c>
      <c r="I209" s="42">
        <f>'[1]побудинковий звіт'!I209+'[2]побудинковий звіт'!I209-'[3]побудинковий звіт'!I209</f>
        <v>15708.749268997466</v>
      </c>
      <c r="J209" s="42">
        <f>'[1]побудинковий звіт'!J209+'[2]побудинковий звіт'!J209-'[3]побудинковий звіт'!J209</f>
        <v>13295.613841903971</v>
      </c>
      <c r="K209" s="56">
        <f t="shared" si="183"/>
        <v>-2413.1354270934953</v>
      </c>
      <c r="L209" s="42">
        <f>'[1]побудинковий звіт'!L209+'[2]побудинковий звіт'!L209-'[3]побудинковий звіт'!L209</f>
        <v>2403.8633620440332</v>
      </c>
      <c r="M209" s="42">
        <f>'[1]побудинковий звіт'!M209+'[2]побудинковий звіт'!M209-'[3]побудинковий звіт'!M209</f>
        <v>2238.9785733725571</v>
      </c>
      <c r="N209" s="56">
        <f t="shared" si="184"/>
        <v>-164.88478867147614</v>
      </c>
      <c r="O209" s="42">
        <f>'[1]побудинковий звіт'!O209+'[2]побудинковий звіт'!O209-'[3]побудинковий звіт'!O209</f>
        <v>6511.56</v>
      </c>
      <c r="P209" s="42">
        <f>'[1]побудинковий звіт'!P209+'[2]побудинковий звіт'!P209-'[3]побудинковий звіт'!P209</f>
        <v>5118.2391362903227</v>
      </c>
      <c r="Q209" s="56">
        <f t="shared" si="185"/>
        <v>-1393.3208637096777</v>
      </c>
      <c r="R209" s="42">
        <f>'[1]побудинковий звіт'!R209+'[2]побудинковий звіт'!R209-'[3]побудинковий звіт'!R209</f>
        <v>1406.8799999999999</v>
      </c>
      <c r="S209" s="42">
        <f>'[1]побудинковий звіт'!S209+'[2]побудинковий звіт'!S209-'[3]побудинковий звіт'!S209</f>
        <v>1105.6022024193549</v>
      </c>
      <c r="T209" s="56">
        <f t="shared" si="186"/>
        <v>-301.27779758064503</v>
      </c>
      <c r="U209" s="42">
        <f>'[1]побудинковий звіт'!U209+'[2]побудинковий звіт'!U209-'[3]побудинковий звіт'!U209</f>
        <v>780.05784393801946</v>
      </c>
      <c r="V209" s="42">
        <f>'[1]побудинковий звіт'!V209+'[2]побудинковий звіт'!V209-'[3]побудинковий звіт'!V209</f>
        <v>294.3788228486045</v>
      </c>
      <c r="W209" s="56">
        <f t="shared" si="187"/>
        <v>-485.67902108941496</v>
      </c>
      <c r="X209" s="42">
        <f>'[1]побудинковий звіт'!X209+'[2]побудинковий звіт'!X209-'[3]побудинковий звіт'!X209</f>
        <v>9311.1715235843494</v>
      </c>
      <c r="Y209" s="42">
        <f>'[1]побудинковий звіт'!Y209+'[2]побудинковий звіт'!Y209-'[3]побудинковий звіт'!Y209</f>
        <v>7915.4244435203982</v>
      </c>
      <c r="Z209" s="56">
        <f t="shared" si="188"/>
        <v>-1395.7470800639512</v>
      </c>
      <c r="AA209" s="42">
        <f>'[1]побудинковий звіт'!AA209+'[2]побудинковий звіт'!AA209-'[3]побудинковий звіт'!AA209</f>
        <v>0</v>
      </c>
      <c r="AB209" s="42">
        <f>'[1]побудинковий звіт'!AB209+'[2]побудинковий звіт'!AB209-'[3]побудинковий звіт'!AB209</f>
        <v>0</v>
      </c>
      <c r="AC209" s="56">
        <f t="shared" si="189"/>
        <v>0</v>
      </c>
      <c r="AD209" s="42">
        <f>'[1]побудинковий звіт'!AD209+'[2]побудинковий звіт'!AD209-'[3]побудинковий звіт'!AD209</f>
        <v>18599.439586284185</v>
      </c>
      <c r="AE209" s="42">
        <f>'[1]побудинковий звіт'!AE209+'[2]побудинковий звіт'!AE209-'[3]побудинковий звіт'!AE209</f>
        <v>17142.227902841736</v>
      </c>
      <c r="AF209" s="37">
        <f t="shared" si="190"/>
        <v>-1457.2116834424487</v>
      </c>
      <c r="AG209" s="87">
        <f t="shared" si="180"/>
        <v>54721.721584848055</v>
      </c>
      <c r="AH209" s="57">
        <f t="shared" si="180"/>
        <v>47110.464923196945</v>
      </c>
      <c r="AI209" s="56">
        <f t="shared" si="191"/>
        <v>-7611.2566616511103</v>
      </c>
      <c r="AJ209" s="42">
        <f>'[1]побудинковий звіт'!AJ209+'[2]побудинковий звіт'!AJ209-'[3]побудинковий звіт'!AJ209</f>
        <v>34487.04013897651</v>
      </c>
      <c r="AK209" s="42">
        <f>'[1]побудинковий звіт'!AK209+'[2]побудинковий звіт'!AK209-'[3]побудинковий звіт'!AK209</f>
        <v>34183.716870761447</v>
      </c>
      <c r="AL209" s="56">
        <f t="shared" si="192"/>
        <v>-303.32326821506285</v>
      </c>
      <c r="AM209" s="42">
        <f>'[1]побудинковий звіт'!AM209+'[2]побудинковий звіт'!AM209-'[3]побудинковий звіт'!AM209</f>
        <v>3156.8443177418612</v>
      </c>
      <c r="AN209" s="42">
        <f>'[1]побудинковий звіт'!AN209+'[2]побудинковий звіт'!AN209-'[3]побудинковий звіт'!AN209</f>
        <v>1430.6374987129921</v>
      </c>
      <c r="AO209" s="56">
        <f t="shared" si="193"/>
        <v>-1726.2068190288692</v>
      </c>
      <c r="AP209" s="42">
        <f>'[1]побудинковий звіт'!AP209+'[2]побудинковий звіт'!AP209-'[3]побудинковий звіт'!AP209</f>
        <v>3361.9126322724574</v>
      </c>
      <c r="AQ209" s="42">
        <f>'[1]побудинковий звіт'!AQ209+'[2]побудинковий звіт'!AQ209-'[3]побудинковий звіт'!AQ209</f>
        <v>3288.4565997876207</v>
      </c>
      <c r="AR209" s="56">
        <f t="shared" si="194"/>
        <v>-73.456032484836669</v>
      </c>
      <c r="AS209" s="42">
        <f>'[1]побудинковий звіт'!AS209+'[2]побудинковий звіт'!AS209-'[3]побудинковий звіт'!AS209</f>
        <v>59186.520766499991</v>
      </c>
      <c r="AT209" s="42">
        <f>'[1]побудинковий звіт'!AT209+'[2]побудинковий звіт'!AT209-'[3]побудинковий звіт'!AT209</f>
        <v>19027.706097759685</v>
      </c>
      <c r="AU209" s="58">
        <f t="shared" si="211"/>
        <v>-40158.814668740306</v>
      </c>
      <c r="AV209" s="42">
        <f>'[1]побудинковий звіт'!AV209+'[2]побудинковий звіт'!AV209-'[3]побудинковий звіт'!AV209</f>
        <v>1238.8836008541793</v>
      </c>
      <c r="AW209" s="42">
        <f>'[1]побудинковий звіт'!AW209+'[2]побудинковий звіт'!AW209-'[3]побудинковий звіт'!AW209</f>
        <v>631</v>
      </c>
      <c r="AX209" s="59">
        <f t="shared" si="212"/>
        <v>-607.88360085417935</v>
      </c>
      <c r="AY209" s="42">
        <f>'[1]побудинковий звіт'!AY209+'[2]побудинковий звіт'!AY209-'[3]побудинковий звіт'!AY209</f>
        <v>1594.9916691105104</v>
      </c>
      <c r="AZ209" s="42">
        <f>'[1]побудинковий звіт'!AZ209+'[2]побудинковий звіт'!AZ209-'[3]побудинковий звіт'!AZ209</f>
        <v>0</v>
      </c>
      <c r="BA209" s="37">
        <f t="shared" si="213"/>
        <v>-1594.9916691105104</v>
      </c>
      <c r="BB209" s="42">
        <f>'[1]побудинковий звіт'!BB209+'[2]побудинковий звіт'!BB209-'[3]побудинковий звіт'!BB209</f>
        <v>1211.5484121475738</v>
      </c>
      <c r="BC209" s="42">
        <f>'[1]побудинковий звіт'!BC209+'[2]побудинковий звіт'!BC209-'[3]побудинковий звіт'!BC209</f>
        <v>0</v>
      </c>
      <c r="BD209" s="59">
        <f t="shared" si="214"/>
        <v>-1211.5484121475738</v>
      </c>
      <c r="BE209" s="42">
        <f>'[1]побудинковий звіт'!BE209+'[2]побудинковий звіт'!BE209-'[3]побудинковий звіт'!BE209</f>
        <v>660.95696655596566</v>
      </c>
      <c r="BF209" s="42">
        <f>'[1]побудинковий звіт'!BF209+'[2]побудинковий звіт'!BF209-'[3]побудинковий звіт'!BF209</f>
        <v>0</v>
      </c>
      <c r="BG209" s="39">
        <f t="shared" si="215"/>
        <v>-660.95696655596566</v>
      </c>
      <c r="BH209" s="42">
        <f>'[1]побудинковий звіт'!BH209+'[2]побудинковий звіт'!BH209-'[3]побудинковий звіт'!BH209</f>
        <v>395.76741189229665</v>
      </c>
      <c r="BI209" s="42">
        <f>'[1]побудинковий звіт'!BI209+'[2]побудинковий звіт'!BI209-'[3]побудинковий звіт'!BI209</f>
        <v>0</v>
      </c>
      <c r="BJ209" s="59">
        <f t="shared" si="216"/>
        <v>-395.76741189229665</v>
      </c>
      <c r="BK209" s="42">
        <f>'[1]побудинковий звіт'!BK209+'[2]побудинковий звіт'!BK209-'[3]побудинковий звіт'!BK209</f>
        <v>586.08917204556553</v>
      </c>
      <c r="BL209" s="42">
        <f>'[1]побудинковий звіт'!BL209+'[2]побудинковий звіт'!BL209-'[3]побудинковий звіт'!BL209</f>
        <v>11522</v>
      </c>
      <c r="BM209" s="39">
        <f t="shared" si="217"/>
        <v>10935.910827954434</v>
      </c>
      <c r="BN209" s="42">
        <f>'[1]побудинковий звіт'!BN209+'[2]побудинковий звіт'!BN209-'[3]побудинковий звіт'!BN209</f>
        <v>331.17498688247656</v>
      </c>
      <c r="BO209" s="42">
        <f>'[1]побудинковий звіт'!BO209+'[2]побудинковий звіт'!BO209-'[3]побудинковий звіт'!BO209</f>
        <v>0</v>
      </c>
      <c r="BP209" s="59">
        <f t="shared" si="218"/>
        <v>-331.17498688247656</v>
      </c>
      <c r="BQ209" s="87">
        <f t="shared" si="233"/>
        <v>6019.4122194885686</v>
      </c>
      <c r="BR209" s="43">
        <f t="shared" si="234"/>
        <v>12153</v>
      </c>
      <c r="BS209" s="59">
        <f t="shared" si="219"/>
        <v>6133.5877805114314</v>
      </c>
      <c r="BT209" s="42">
        <f>'[1]побудинковий звіт'!BT209+'[2]побудинковий звіт'!BT209-'[3]побудинковий звіт'!BT209</f>
        <v>53920.212638926059</v>
      </c>
      <c r="BU209" s="42">
        <f>'[1]побудинковий звіт'!BU209+'[2]побудинковий звіт'!BU209-'[3]побудинковий звіт'!BU209</f>
        <v>72040.459518923279</v>
      </c>
      <c r="BV209" s="56">
        <f t="shared" si="195"/>
        <v>18120.246879997219</v>
      </c>
      <c r="BW209" s="42">
        <f>'[1]побудинковий звіт'!BW209+'[2]побудинковий звіт'!BW209-'[3]побудинковий звіт'!BW209</f>
        <v>36011.019311861732</v>
      </c>
      <c r="BX209" s="42">
        <f>'[1]побудинковий звіт'!BX209+'[2]побудинковий звіт'!BX209-'[3]побудинковий звіт'!BX209</f>
        <v>41397.983104361017</v>
      </c>
      <c r="BY209" s="56">
        <f t="shared" si="196"/>
        <v>5386.9637924992858</v>
      </c>
      <c r="BZ209" s="42">
        <f>'[1]побудинковий звіт'!BZ209+'[2]побудинковий звіт'!BZ209-'[3]побудинковий звіт'!BZ209</f>
        <v>15580.685426581298</v>
      </c>
      <c r="CA209" s="42">
        <f>'[1]побудинковий звіт'!CA209+'[2]побудинковий звіт'!CA209-'[3]побудинковий звіт'!CA209</f>
        <v>16151.14266020164</v>
      </c>
      <c r="CB209" s="56">
        <f t="shared" si="197"/>
        <v>570.45723362034187</v>
      </c>
      <c r="CC209" s="42">
        <f>'[1]побудинковий звіт'!CC209+'[2]побудинковий звіт'!CC209-'[3]побудинковий звіт'!CC209</f>
        <v>1407.4241967164401</v>
      </c>
      <c r="CD209" s="42">
        <f>'[1]побудинковий звіт'!CD209+'[2]побудинковий звіт'!CD209-'[3]побудинковий звіт'!CD209</f>
        <v>1395.0455029986651</v>
      </c>
      <c r="CE209" s="56">
        <f t="shared" si="198"/>
        <v>-12.378693717774922</v>
      </c>
      <c r="CF209" s="42">
        <f>'[1]побудинковий звіт'!CF209+'[2]побудинковий звіт'!CF209-'[3]побудинковий звіт'!CF209</f>
        <v>173.26244845941025</v>
      </c>
      <c r="CG209" s="42">
        <f>'[1]побудинковий звіт'!CG209+'[2]побудинковий звіт'!CG209-'[3]побудинковий звіт'!CG209</f>
        <v>0</v>
      </c>
      <c r="CH209" s="56">
        <f t="shared" si="199"/>
        <v>-173.26244845941025</v>
      </c>
      <c r="CI209" s="42">
        <f>'[1]побудинковий звіт'!CI209+'[2]побудинковий звіт'!CI209-'[3]побудинковий звіт'!CI209</f>
        <v>561.52575531576394</v>
      </c>
      <c r="CJ209" s="42">
        <f>'[1]побудинковий звіт'!CJ209+'[2]побудинковий звіт'!CJ209-'[3]побудинковий звіт'!CJ209</f>
        <v>4825.6593732611</v>
      </c>
      <c r="CK209" s="56">
        <f t="shared" si="200"/>
        <v>4264.1336179453356</v>
      </c>
      <c r="CL209" s="42">
        <f>'[1]побудинковий звіт'!CL209+'[2]побудинковий звіт'!CL209-'[3]побудинковий звіт'!CL209</f>
        <v>15310.935594943172</v>
      </c>
      <c r="CM209" s="42">
        <f>'[1]побудинковий звіт'!CM209+'[2]побудинковий звіт'!CM209-'[3]побудинковий звіт'!CM209</f>
        <v>8013.1196323430549</v>
      </c>
      <c r="CN209" s="56">
        <f t="shared" si="201"/>
        <v>-7297.815962600117</v>
      </c>
      <c r="CO209" s="42">
        <f t="shared" si="181"/>
        <v>15872.461350258936</v>
      </c>
      <c r="CP209" s="43">
        <f t="shared" si="202"/>
        <v>12838.779005604156</v>
      </c>
      <c r="CQ209" s="56">
        <f t="shared" si="203"/>
        <v>-3033.6823446547805</v>
      </c>
      <c r="CR209" s="78">
        <f t="shared" si="182"/>
        <v>283898.51703263138</v>
      </c>
      <c r="CS209" s="5">
        <f t="shared" si="182"/>
        <v>261017.39178230744</v>
      </c>
      <c r="CT209" s="56">
        <f t="shared" si="204"/>
        <v>-22881.125250323938</v>
      </c>
      <c r="CU209" s="87">
        <f t="shared" si="205"/>
        <v>340678.22043915762</v>
      </c>
      <c r="CV209" s="70">
        <f t="shared" si="206"/>
        <v>313220.87013876892</v>
      </c>
      <c r="CW209" s="37">
        <f t="shared" si="207"/>
        <v>-27457.350300388702</v>
      </c>
      <c r="CX209" s="42">
        <f>'[1]побудинковий звіт'!CX209+'[2]побудинковий звіт'!CX209-'[3]побудинковий звіт'!CX209</f>
        <v>8528.09956084242</v>
      </c>
      <c r="CY209" s="42">
        <f>'[1]побудинковий звіт'!CY209+'[2]побудинковий звіт'!CY209-'[3]побудинковий звіт'!CY209</f>
        <v>35985.449861230998</v>
      </c>
      <c r="CZ209" s="56">
        <f t="shared" si="208"/>
        <v>27457.350300388578</v>
      </c>
      <c r="DA209" s="264">
        <f>'[4]побудинковий звіт'!DA209</f>
        <v>-114381.07936275256</v>
      </c>
      <c r="DB209" s="2">
        <v>1</v>
      </c>
      <c r="DC209" s="717">
        <f>'[4]побудинковий звіт'!DC209</f>
        <v>78909.119999999995</v>
      </c>
      <c r="DD209" s="717">
        <f>'[4]побудинковий звіт'!DD209</f>
        <v>0</v>
      </c>
      <c r="DE209" s="717">
        <f>'[4]побудинковий звіт'!DE209</f>
        <v>49784.36</v>
      </c>
      <c r="DF209" s="717">
        <f>'[4]побудинковий звіт'!DF209</f>
        <v>0</v>
      </c>
      <c r="DG209" s="787">
        <v>-74076.855459976709</v>
      </c>
      <c r="DH209" s="761">
        <f t="shared" si="226"/>
        <v>4190475.8400000008</v>
      </c>
      <c r="DI209" s="784"/>
      <c r="DJ209" s="5"/>
      <c r="DK209" s="317">
        <f>VLOOKUP($A209,ціни!$A$4:$G$401,5)</f>
        <v>5.4419018691347851</v>
      </c>
      <c r="DL209" s="317">
        <f>VLOOKUP($A209,ціни!$A$4:$G$401,6)</f>
        <v>6.843691351662434</v>
      </c>
      <c r="DM209" s="317">
        <f>VLOOKUP($A209,ціни!$A$4:$G$401,7)</f>
        <v>4.5933468496019625</v>
      </c>
      <c r="DN209" s="30">
        <f>DK209*G209+(F209-G209)*DL209</f>
        <v>99088.455400285544</v>
      </c>
      <c r="DO209" s="30">
        <f>DM209*H209</f>
        <v>0</v>
      </c>
      <c r="DP209" s="316">
        <f t="shared" si="221"/>
        <v>99088.455400285544</v>
      </c>
      <c r="DQ209" s="104"/>
      <c r="DR209" s="30">
        <f>VLOOKUP(A209,'ДЗ нас '!$A$1:$C$359,2)</f>
        <v>29123.39</v>
      </c>
      <c r="DS209" s="748"/>
      <c r="DT209" s="30">
        <f t="shared" si="222"/>
        <v>29123.39</v>
      </c>
      <c r="DU209" s="257">
        <f>VLOOKUP(A209,'новий кошторис с 01.06'!$A$4:$AI$399,35)*1.2</f>
        <v>29241.547254361027</v>
      </c>
      <c r="DV209" s="30">
        <f t="shared" si="223"/>
        <v>-118.1572543610273</v>
      </c>
      <c r="DW209" s="930">
        <f>'[5]побудинковий звіт'!DW209+'[6]побудинковий звіт'!DW209</f>
        <v>204</v>
      </c>
      <c r="DY209" s="5">
        <f t="shared" si="227"/>
        <v>78247.119583186271</v>
      </c>
      <c r="DZ209" s="5">
        <f t="shared" si="228"/>
        <v>37416.847317311622</v>
      </c>
      <c r="EA209" s="752">
        <f t="shared" si="229"/>
        <v>49784.36</v>
      </c>
      <c r="EC209" s="592">
        <f t="shared" si="230"/>
        <v>710238.24919799995</v>
      </c>
      <c r="EE209" s="758">
        <v>-53569</v>
      </c>
      <c r="EF209" s="738">
        <f t="shared" si="231"/>
        <v>-127645.85545997671</v>
      </c>
      <c r="EH209" s="813">
        <v>-95929.323259541532</v>
      </c>
    </row>
    <row r="210" spans="1:138" x14ac:dyDescent="0.3">
      <c r="A210" s="328">
        <v>150000964</v>
      </c>
      <c r="B210" s="44" t="s">
        <v>661</v>
      </c>
      <c r="C210" s="45" t="s">
        <v>382</v>
      </c>
      <c r="D210" s="45" t="s">
        <v>382</v>
      </c>
      <c r="E210" s="40">
        <f t="shared" si="232"/>
        <v>366</v>
      </c>
      <c r="F210" s="490">
        <v>366</v>
      </c>
      <c r="G210" s="30">
        <v>234</v>
      </c>
      <c r="H210" s="30">
        <v>0</v>
      </c>
      <c r="I210" s="42">
        <f>'[1]побудинковий звіт'!I210+'[2]побудинковий звіт'!I210-'[3]побудинковий звіт'!I210</f>
        <v>7982.5327125862023</v>
      </c>
      <c r="J210" s="42">
        <f>'[1]побудинковий звіт'!J210+'[2]побудинковий звіт'!J210-'[3]побудинковий звіт'!J210</f>
        <v>6740.5118282529593</v>
      </c>
      <c r="K210" s="56">
        <f t="shared" si="183"/>
        <v>-1242.020884333243</v>
      </c>
      <c r="L210" s="42">
        <f>'[1]побудинковий звіт'!L210+'[2]побудинковий звіт'!L210-'[3]побудинковий звіт'!L210</f>
        <v>1201.9316810220166</v>
      </c>
      <c r="M210" s="42">
        <f>'[1]побудинковий звіт'!M210+'[2]побудинковий звіт'!M210-'[3]побудинковий звіт'!M210</f>
        <v>1173.1682184515967</v>
      </c>
      <c r="N210" s="56">
        <f t="shared" si="184"/>
        <v>-28.763462570419961</v>
      </c>
      <c r="O210" s="42">
        <f>'[1]побудинковий звіт'!O210+'[2]побудинковий звіт'!O210-'[3]побудинковий звіт'!O210</f>
        <v>3165.3599999999988</v>
      </c>
      <c r="P210" s="42">
        <f>'[1]побудинковий звіт'!P210+'[2]побудинковий звіт'!P210-'[3]побудинковий звіт'!P210</f>
        <v>2488.1839704301074</v>
      </c>
      <c r="Q210" s="56">
        <f t="shared" si="185"/>
        <v>-677.1760295698914</v>
      </c>
      <c r="R210" s="42">
        <f>'[1]побудинковий звіт'!R210+'[2]побудинковий звіт'!R210-'[3]побудинковий звіт'!R210</f>
        <v>697.20000000000016</v>
      </c>
      <c r="S210" s="42">
        <f>'[1]побудинковий звіт'!S210+'[2]побудинковий звіт'!S210-'[3]побудинковий звіт'!S210</f>
        <v>548.05268978494632</v>
      </c>
      <c r="T210" s="56">
        <f t="shared" si="186"/>
        <v>-149.14731021505384</v>
      </c>
      <c r="U210" s="42">
        <f>'[1]побудинковий звіт'!U210+'[2]побудинковий звіт'!U210-'[3]побудинковий звіт'!U210</f>
        <v>390.17454427986797</v>
      </c>
      <c r="V210" s="42">
        <f>'[1]побудинковий звіт'!V210+'[2]побудинковий звіт'!V210-'[3]побудинковий звіт'!V210</f>
        <v>197.37666248593035</v>
      </c>
      <c r="W210" s="56">
        <f t="shared" si="187"/>
        <v>-192.79788179393762</v>
      </c>
      <c r="X210" s="42">
        <f>'[1]побудинковий звіт'!X210+'[2]побудинковий звіт'!X210-'[3]побудинковий звіт'!X210</f>
        <v>2169.1228168048297</v>
      </c>
      <c r="Y210" s="42">
        <f>'[1]побудинковий звіт'!Y210+'[2]побудинковий звіт'!Y210-'[3]побудинковий звіт'!Y210</f>
        <v>1801.6238183679181</v>
      </c>
      <c r="Z210" s="56">
        <f t="shared" si="188"/>
        <v>-367.49899843691151</v>
      </c>
      <c r="AA210" s="42">
        <f>'[1]побудинковий звіт'!AA210+'[2]побудинковий звіт'!AA210-'[3]побудинковий звіт'!AA210</f>
        <v>0</v>
      </c>
      <c r="AB210" s="42">
        <f>'[1]побудинковий звіт'!AB210+'[2]побудинковий звіт'!AB210-'[3]побудинковий звіт'!AB210</f>
        <v>0</v>
      </c>
      <c r="AC210" s="56">
        <f t="shared" si="189"/>
        <v>0</v>
      </c>
      <c r="AD210" s="42">
        <f>'[1]побудинковий звіт'!AD210+'[2]побудинковий звіт'!AD210-'[3]побудинковий звіт'!AD210</f>
        <v>9115.4314540609994</v>
      </c>
      <c r="AE210" s="42">
        <f>'[1]побудинковий звіт'!AE210+'[2]побудинковий звіт'!AE210-'[3]побудинковий звіт'!AE210</f>
        <v>8401.5641194048858</v>
      </c>
      <c r="AF210" s="37">
        <f t="shared" si="190"/>
        <v>-713.8673346561136</v>
      </c>
      <c r="AG210" s="87">
        <f t="shared" si="180"/>
        <v>24721.753208753915</v>
      </c>
      <c r="AH210" s="57">
        <f t="shared" si="180"/>
        <v>21350.481307178343</v>
      </c>
      <c r="AI210" s="56">
        <f t="shared" si="191"/>
        <v>-3371.271901575572</v>
      </c>
      <c r="AJ210" s="42">
        <f>'[1]побудинковий звіт'!AJ210+'[2]побудинковий звіт'!AJ210-'[3]побудинковий звіт'!AJ210</f>
        <v>17243.520069488255</v>
      </c>
      <c r="AK210" s="42">
        <f>'[1]побудинковий звіт'!AK210+'[2]побудинковий звіт'!AK210-'[3]побудинковий звіт'!AK210</f>
        <v>17091.858435380724</v>
      </c>
      <c r="AL210" s="56">
        <f t="shared" si="192"/>
        <v>-151.66163410753143</v>
      </c>
      <c r="AM210" s="42">
        <f>'[1]побудинковий звіт'!AM210+'[2]побудинковий звіт'!AM210-'[3]побудинковий звіт'!AM210</f>
        <v>1578.4221588709306</v>
      </c>
      <c r="AN210" s="42">
        <f>'[1]побудинковий звіт'!AN210+'[2]побудинковий звіт'!AN210-'[3]побудинковий звіт'!AN210</f>
        <v>0</v>
      </c>
      <c r="AO210" s="56">
        <f t="shared" si="193"/>
        <v>-1578.4221588709306</v>
      </c>
      <c r="AP210" s="42">
        <f>'[1]побудинковий звіт'!AP210+'[2]побудинковий звіт'!AP210-'[3]побудинковий звіт'!AP210</f>
        <v>1704.6317572085691</v>
      </c>
      <c r="AQ210" s="42">
        <f>'[1]побудинковий звіт'!AQ210+'[2]побудинковий звіт'!AQ210-'[3]побудинковий звіт'!AQ210</f>
        <v>1691.7108050535633</v>
      </c>
      <c r="AR210" s="56">
        <f t="shared" si="194"/>
        <v>-12.920952155005807</v>
      </c>
      <c r="AS210" s="42">
        <f>'[1]побудинковий звіт'!AS210+'[2]побудинковий звіт'!AS210-'[3]побудинковий звіт'!AS210</f>
        <v>29856.859433811882</v>
      </c>
      <c r="AT210" s="42">
        <f>'[1]побудинковий звіт'!AT210+'[2]побудинковий звіт'!AT210-'[3]побудинковий звіт'!AT210</f>
        <v>1756.8987567617946</v>
      </c>
      <c r="AU210" s="58">
        <f t="shared" si="211"/>
        <v>-28099.960677050087</v>
      </c>
      <c r="AV210" s="42">
        <f>'[1]побудинковий звіт'!AV210+'[2]побудинковий звіт'!AV210-'[3]побудинковий звіт'!AV210</f>
        <v>255.50410763334017</v>
      </c>
      <c r="AW210" s="42">
        <f>'[1]побудинковий звіт'!AW210+'[2]побудинковий звіт'!AW210-'[3]побудинковий звіт'!AW210</f>
        <v>0</v>
      </c>
      <c r="AX210" s="59">
        <f t="shared" si="212"/>
        <v>-255.50410763334017</v>
      </c>
      <c r="AY210" s="42">
        <f>'[1]побудинковий звіт'!AY210+'[2]побудинковий звіт'!AY210-'[3]побудинковий звіт'!AY210</f>
        <v>318.99833382210267</v>
      </c>
      <c r="AZ210" s="42">
        <f>'[1]побудинковий звіт'!AZ210+'[2]побудинковий звіт'!AZ210-'[3]побудинковий звіт'!AZ210</f>
        <v>0</v>
      </c>
      <c r="BA210" s="37">
        <f t="shared" si="213"/>
        <v>-318.99833382210267</v>
      </c>
      <c r="BB210" s="42">
        <f>'[1]побудинковий звіт'!BB210+'[2]побудинковий звіт'!BB210-'[3]побудинковий звіт'!BB210</f>
        <v>264.03866605016998</v>
      </c>
      <c r="BC210" s="42">
        <f>'[1]побудинковий звіт'!BC210+'[2]побудинковий звіт'!BC210-'[3]побудинковий звіт'!BC210</f>
        <v>0</v>
      </c>
      <c r="BD210" s="59">
        <f t="shared" si="214"/>
        <v>-264.03866605016998</v>
      </c>
      <c r="BE210" s="42">
        <f>'[1]побудинковий звіт'!BE210+'[2]побудинковий звіт'!BE210-'[3]побудинковий звіт'!BE210</f>
        <v>141.53335086074676</v>
      </c>
      <c r="BF210" s="42">
        <f>'[1]побудинковий звіт'!BF210+'[2]побудинковий звіт'!BF210-'[3]побудинковий звіт'!BF210</f>
        <v>0</v>
      </c>
      <c r="BG210" s="39">
        <f t="shared" si="215"/>
        <v>-141.53335086074676</v>
      </c>
      <c r="BH210" s="42">
        <f>'[1]побудинковий звіт'!BH210+'[2]побудинковий звіт'!BH210-'[3]побудинковий звіт'!BH210</f>
        <v>79.153482378459373</v>
      </c>
      <c r="BI210" s="42">
        <f>'[1]побудинковий звіт'!BI210+'[2]побудинковий звіт'!BI210-'[3]побудинковий звіт'!BI210</f>
        <v>0</v>
      </c>
      <c r="BJ210" s="59">
        <f t="shared" si="216"/>
        <v>-79.153482378459373</v>
      </c>
      <c r="BK210" s="42">
        <f>'[1]побудинковий звіт'!BK210+'[2]побудинковий звіт'!BK210-'[3]побудинковий звіт'!BK210</f>
        <v>104.70310388587016</v>
      </c>
      <c r="BL210" s="42">
        <f>'[1]побудинковий звіт'!BL210+'[2]побудинковий звіт'!BL210-'[3]побудинковий звіт'!BL210</f>
        <v>0</v>
      </c>
      <c r="BM210" s="39">
        <f t="shared" si="217"/>
        <v>-104.70310388587016</v>
      </c>
      <c r="BN210" s="42">
        <f>'[1]побудинковий звіт'!BN210+'[2]побудинковий звіт'!BN210-'[3]побудинковий звіт'!BN210</f>
        <v>167.44238903209089</v>
      </c>
      <c r="BO210" s="42">
        <f>'[1]побудинковий звіт'!BO210+'[2]побудинковий звіт'!BO210-'[3]побудинковий звіт'!BO210</f>
        <v>0</v>
      </c>
      <c r="BP210" s="59">
        <f t="shared" si="218"/>
        <v>-167.44238903209089</v>
      </c>
      <c r="BQ210" s="87">
        <f t="shared" si="233"/>
        <v>1331.3734336627801</v>
      </c>
      <c r="BR210" s="43">
        <f t="shared" si="234"/>
        <v>0</v>
      </c>
      <c r="BS210" s="59">
        <f t="shared" si="219"/>
        <v>-1331.3734336627801</v>
      </c>
      <c r="BT210" s="42">
        <f>'[1]побудинковий звіт'!BT210+'[2]побудинковий звіт'!BT210-'[3]побудинковий звіт'!BT210</f>
        <v>35179.460129969004</v>
      </c>
      <c r="BU210" s="42">
        <f>'[1]побудинковий звіт'!BU210+'[2]побудинковий звіт'!BU210-'[3]побудинковий звіт'!BU210</f>
        <v>39272.429126969429</v>
      </c>
      <c r="BV210" s="56">
        <f t="shared" si="195"/>
        <v>4092.9689970004256</v>
      </c>
      <c r="BW210" s="42">
        <f>'[1]побудинковий звіт'!BW210+'[2]побудинковий звіт'!BW210-'[3]побудинковий звіт'!BW210</f>
        <v>18019.560009229168</v>
      </c>
      <c r="BX210" s="42">
        <f>'[1]побудинковий звіт'!BX210+'[2]побудинковий звіт'!BX210-'[3]побудинковий звіт'!BX210</f>
        <v>20731.032685571947</v>
      </c>
      <c r="BY210" s="56">
        <f t="shared" si="196"/>
        <v>2711.4726763427789</v>
      </c>
      <c r="BZ210" s="42">
        <f>'[1]побудинковий звіт'!BZ210+'[2]побудинковий звіт'!BZ210-'[3]побудинковий звіт'!BZ210</f>
        <v>7011.3084419615861</v>
      </c>
      <c r="CA210" s="42">
        <f>'[1]побудинковий звіт'!CA210+'[2]побудинковий звіт'!CA210-'[3]побудинковий звіт'!CA210</f>
        <v>8997.6636992549902</v>
      </c>
      <c r="CB210" s="56">
        <f t="shared" si="197"/>
        <v>1986.3552572934041</v>
      </c>
      <c r="CC210" s="42">
        <f>'[1]побудинковий звіт'!CC210+'[2]побудинковий звіт'!CC210-'[3]побудинковий звіт'!CC210</f>
        <v>741.21399701680866</v>
      </c>
      <c r="CD210" s="42">
        <f>'[1]побудинковий звіт'!CD210+'[2]побудинковий звіт'!CD210-'[3]побудинковий звіт'!CD210</f>
        <v>734.69481035666388</v>
      </c>
      <c r="CE210" s="56">
        <f t="shared" si="198"/>
        <v>-6.5191866601447828</v>
      </c>
      <c r="CF210" s="42">
        <f>'[1]побудинковий звіт'!CF210+'[2]побудинковий звіт'!CF210-'[3]побудинковий звіт'!CF210</f>
        <v>91.247935238811635</v>
      </c>
      <c r="CG210" s="42">
        <f>'[1]побудинковий звіт'!CG210+'[2]побудинковий звіт'!CG210-'[3]побудинковий звіт'!CG210</f>
        <v>0</v>
      </c>
      <c r="CH210" s="56">
        <f t="shared" si="199"/>
        <v>-91.247935238811635</v>
      </c>
      <c r="CI210" s="42">
        <f>'[1]побудинковий звіт'!CI210+'[2]побудинковий звіт'!CI210-'[3]побудинковий звіт'!CI210</f>
        <v>262.04535248068987</v>
      </c>
      <c r="CJ210" s="42">
        <f>'[1]побудинковий звіт'!CJ210+'[2]побудинковий звіт'!CJ210-'[3]побудинковий звіт'!CJ210</f>
        <v>2360.6825234690032</v>
      </c>
      <c r="CK210" s="56">
        <f t="shared" si="200"/>
        <v>2098.6371709883133</v>
      </c>
      <c r="CL210" s="42">
        <f>'[1]побудинковий звіт'!CL210+'[2]побудинковий звіт'!CL210-'[3]побудинковий звіт'!CL210</f>
        <v>7487.010070876855</v>
      </c>
      <c r="CM210" s="42">
        <f>'[1]побудинковий звіт'!CM210+'[2]побудинковий звіт'!CM210-'[3]побудинковий звіт'!CM210</f>
        <v>3921.9671918201702</v>
      </c>
      <c r="CN210" s="56">
        <f t="shared" si="201"/>
        <v>-3565.0428790566848</v>
      </c>
      <c r="CO210" s="42">
        <f t="shared" si="181"/>
        <v>7749.0554233575449</v>
      </c>
      <c r="CP210" s="43">
        <f t="shared" si="202"/>
        <v>6282.6497152891734</v>
      </c>
      <c r="CQ210" s="56">
        <f t="shared" si="203"/>
        <v>-1466.4057080683715</v>
      </c>
      <c r="CR210" s="78">
        <f t="shared" si="182"/>
        <v>145228.40599856927</v>
      </c>
      <c r="CS210" s="5">
        <f t="shared" si="182"/>
        <v>117909.41934181663</v>
      </c>
      <c r="CT210" s="56">
        <f t="shared" si="204"/>
        <v>-27318.986656752648</v>
      </c>
      <c r="CU210" s="87">
        <f t="shared" si="205"/>
        <v>174274.08719828312</v>
      </c>
      <c r="CV210" s="70">
        <f t="shared" si="206"/>
        <v>141491.30321017993</v>
      </c>
      <c r="CW210" s="37">
        <f t="shared" si="207"/>
        <v>-32782.783988103183</v>
      </c>
      <c r="CX210" s="42">
        <f>'[1]побудинковий звіт'!CX210+'[2]побудинковий звіт'!CX210-'[3]побудинковий звіт'!CX210</f>
        <v>4340.2728017169065</v>
      </c>
      <c r="CY210" s="42">
        <f>'[1]побудинковий звіт'!CY210+'[2]побудинковий звіт'!CY210-'[3]побудинковий звіт'!CY210</f>
        <v>37123.056789820068</v>
      </c>
      <c r="CZ210" s="56">
        <f t="shared" si="208"/>
        <v>32782.783988103161</v>
      </c>
      <c r="DA210" s="264">
        <f>'[4]побудинковий звіт'!DA210</f>
        <v>40097.848401479947</v>
      </c>
      <c r="DB210" s="2">
        <v>1</v>
      </c>
      <c r="DC210" s="717">
        <f>'[4]побудинковий звіт'!DC210</f>
        <v>18752.52</v>
      </c>
      <c r="DD210" s="717">
        <f>'[4]побудинковий звіт'!DD210</f>
        <v>0</v>
      </c>
      <c r="DE210" s="717">
        <f>'[4]побудинковий звіт'!DE210</f>
        <v>3867.99</v>
      </c>
      <c r="DF210" s="717">
        <f>'[4]побудинковий звіт'!DF210</f>
        <v>0</v>
      </c>
      <c r="DG210" s="787">
        <v>84320.518591801403</v>
      </c>
      <c r="DH210" s="761">
        <f t="shared" si="226"/>
        <v>2143372.3200000003</v>
      </c>
      <c r="DI210" s="784"/>
      <c r="DJ210" s="5"/>
      <c r="DK210" s="317">
        <f>VLOOKUP($A210,ціни!$A$4:$G$401,5)</f>
        <v>5.7176837039105264</v>
      </c>
      <c r="DL210" s="317">
        <f>VLOOKUP($A210,ціни!$A$4:$G$401,6)</f>
        <v>7.1385903143758922</v>
      </c>
      <c r="DM210" s="317">
        <f>VLOOKUP($A210,ціни!$A$4:$G$401,7)</f>
        <v>4.8512977476068508</v>
      </c>
      <c r="DN210" s="30">
        <f>DK210*G210+(F210-G210)*DL210</f>
        <v>2280.231908212681</v>
      </c>
      <c r="DO210" s="30">
        <f>DM210*H210</f>
        <v>0</v>
      </c>
      <c r="DP210" s="316">
        <f t="shared" si="221"/>
        <v>2280.231908212681</v>
      </c>
      <c r="DQ210" s="104"/>
      <c r="DR210" s="30">
        <f>VLOOKUP(A210,'ДЗ нас '!$A$1:$C$359,2)</f>
        <v>14884.53</v>
      </c>
      <c r="DS210" s="748"/>
      <c r="DT210" s="30">
        <f t="shared" si="222"/>
        <v>14884.53</v>
      </c>
      <c r="DU210" s="257">
        <f>VLOOKUP(A210,'новий кошторис с 01.06'!$A$4:$AI$399,35)*1.2</f>
        <v>14958.525817852631</v>
      </c>
      <c r="DV210" s="30">
        <f t="shared" si="223"/>
        <v>-73.995817852630353</v>
      </c>
      <c r="DW210" s="930">
        <f>'[5]побудинковий звіт'!DW210+'[6]побудинковий звіт'!DW210</f>
        <v>204</v>
      </c>
      <c r="DY210" s="5">
        <f t="shared" si="227"/>
        <v>37425.879440969591</v>
      </c>
      <c r="DZ210" s="5">
        <f t="shared" si="228"/>
        <v>2108.2785081141533</v>
      </c>
      <c r="EA210" s="752">
        <f t="shared" si="229"/>
        <v>3867.99</v>
      </c>
      <c r="EC210" s="592">
        <f t="shared" si="230"/>
        <v>358282.31320574257</v>
      </c>
      <c r="EE210" s="758">
        <v>-46981</v>
      </c>
      <c r="EF210" s="738">
        <f t="shared" si="231"/>
        <v>37339.518591801403</v>
      </c>
      <c r="EH210" s="813">
        <v>67026.838691688783</v>
      </c>
    </row>
    <row r="211" spans="1:138" x14ac:dyDescent="0.3">
      <c r="A211" s="328">
        <v>150000943</v>
      </c>
      <c r="B211" s="44" t="s">
        <v>662</v>
      </c>
      <c r="C211" s="45" t="s">
        <v>122</v>
      </c>
      <c r="D211" s="45" t="s">
        <v>122</v>
      </c>
      <c r="E211" s="40">
        <f t="shared" si="232"/>
        <v>5138.55</v>
      </c>
      <c r="F211" s="490">
        <v>5138.55</v>
      </c>
      <c r="G211" s="30"/>
      <c r="H211" s="30">
        <v>0</v>
      </c>
      <c r="I211" s="42">
        <f>'[1]побудинковий звіт'!I211+'[2]побудинковий звіт'!I211-'[3]побудинковий звіт'!I211</f>
        <v>0</v>
      </c>
      <c r="J211" s="42">
        <f>'[1]побудинковий звіт'!J211+'[2]побудинковий звіт'!J211-'[3]побудинковий звіт'!J211</f>
        <v>0</v>
      </c>
      <c r="K211" s="56">
        <f t="shared" si="183"/>
        <v>0</v>
      </c>
      <c r="L211" s="42">
        <f>'[1]побудинковий звіт'!L211+'[2]побудинковий звіт'!L211-'[3]побудинковий звіт'!L211</f>
        <v>0</v>
      </c>
      <c r="M211" s="42">
        <f>'[1]побудинковий звіт'!M211+'[2]побудинковий звіт'!M211-'[3]побудинковий звіт'!M211</f>
        <v>0</v>
      </c>
      <c r="N211" s="56">
        <f t="shared" si="184"/>
        <v>0</v>
      </c>
      <c r="O211" s="42">
        <f>'[1]побудинковий звіт'!O211+'[2]побудинковий звіт'!O211-'[3]побудинковий звіт'!O211</f>
        <v>0</v>
      </c>
      <c r="P211" s="42">
        <f>'[1]побудинковий звіт'!P211+'[2]побудинковий звіт'!P211-'[3]побудинковий звіт'!P211</f>
        <v>0</v>
      </c>
      <c r="Q211" s="56">
        <f t="shared" si="185"/>
        <v>0</v>
      </c>
      <c r="R211" s="42">
        <f>'[1]побудинковий звіт'!R211+'[2]побудинковий звіт'!R211-'[3]побудинковий звіт'!R211</f>
        <v>0</v>
      </c>
      <c r="S211" s="42">
        <f>'[1]побудинковий звіт'!S211+'[2]побудинковий звіт'!S211-'[3]побудинковий звіт'!S211</f>
        <v>0</v>
      </c>
      <c r="T211" s="56">
        <f t="shared" si="186"/>
        <v>0</v>
      </c>
      <c r="U211" s="42">
        <f>'[1]побудинковий звіт'!U211+'[2]побудинковий звіт'!U211-'[3]побудинковий звіт'!U211</f>
        <v>0</v>
      </c>
      <c r="V211" s="42">
        <f>'[1]побудинковий звіт'!V211+'[2]побудинковий звіт'!V211-'[3]побудинковий звіт'!V211</f>
        <v>0</v>
      </c>
      <c r="W211" s="56">
        <f t="shared" si="187"/>
        <v>0</v>
      </c>
      <c r="X211" s="42">
        <f>'[1]побудинковий звіт'!X211+'[2]побудинковий звіт'!X211-'[3]побудинковий звіт'!X211</f>
        <v>0</v>
      </c>
      <c r="Y211" s="42">
        <f>'[1]побудинковий звіт'!Y211+'[2]побудинковий звіт'!Y211-'[3]побудинковий звіт'!Y211</f>
        <v>0</v>
      </c>
      <c r="Z211" s="56">
        <f t="shared" si="188"/>
        <v>0</v>
      </c>
      <c r="AA211" s="42">
        <f>'[1]побудинковий звіт'!AA211+'[2]побудинковий звіт'!AA211-'[3]побудинковий звіт'!AA211</f>
        <v>0</v>
      </c>
      <c r="AB211" s="42">
        <f>'[1]побудинковий звіт'!AB211+'[2]побудинковий звіт'!AB211-'[3]побудинковий звіт'!AB211</f>
        <v>0</v>
      </c>
      <c r="AC211" s="56">
        <f t="shared" si="189"/>
        <v>0</v>
      </c>
      <c r="AD211" s="42">
        <f>'[1]побудинковий звіт'!AD211+'[2]побудинковий звіт'!AD211-'[3]побудинковий звіт'!AD211</f>
        <v>0</v>
      </c>
      <c r="AE211" s="42">
        <f>'[1]побудинковий звіт'!AE211+'[2]побудинковий звіт'!AE211-'[3]побудинковий звіт'!AE211</f>
        <v>69.942530918707476</v>
      </c>
      <c r="AF211" s="37">
        <f t="shared" si="190"/>
        <v>69.942530918707476</v>
      </c>
      <c r="AG211" s="87">
        <f t="shared" si="180"/>
        <v>0</v>
      </c>
      <c r="AH211" s="57">
        <f t="shared" si="180"/>
        <v>69.942530918707476</v>
      </c>
      <c r="AI211" s="56">
        <f t="shared" si="191"/>
        <v>69.942530918707476</v>
      </c>
      <c r="AJ211" s="42">
        <f>'[1]побудинковий звіт'!AJ211+'[2]побудинковий звіт'!AJ211-'[3]побудинковий звіт'!AJ211</f>
        <v>0</v>
      </c>
      <c r="AK211" s="42">
        <f>'[1]побудинковий звіт'!AK211+'[2]побудинковий звіт'!AK211-'[3]побудинковий звіт'!AK211</f>
        <v>0</v>
      </c>
      <c r="AL211" s="56">
        <f t="shared" si="192"/>
        <v>0</v>
      </c>
      <c r="AM211" s="42">
        <f>'[1]побудинковий звіт'!AM211+'[2]побудинковий звіт'!AM211-'[3]побудинковий звіт'!AM211</f>
        <v>0</v>
      </c>
      <c r="AN211" s="42">
        <f>'[1]побудинковий звіт'!AN211+'[2]побудинковий звіт'!AN211-'[3]побудинковий звіт'!AN211</f>
        <v>0</v>
      </c>
      <c r="AO211" s="56">
        <f t="shared" si="193"/>
        <v>0</v>
      </c>
      <c r="AP211" s="42">
        <f>'[1]побудинковий звіт'!AP211+'[2]побудинковий звіт'!AP211-'[3]побудинковий звіт'!AP211</f>
        <v>378.80705715745984</v>
      </c>
      <c r="AQ211" s="42">
        <f>'[1]побудинковий звіт'!AQ211+'[2]побудинковий звіт'!AQ211-'[3]побудинковий звіт'!AQ211</f>
        <v>69.865343839818038</v>
      </c>
      <c r="AR211" s="56">
        <f t="shared" si="194"/>
        <v>-308.94171331764181</v>
      </c>
      <c r="AS211" s="42">
        <f>'[1]побудинковий звіт'!AS211+'[2]побудинковий звіт'!AS211-'[3]побудинковий звіт'!AS211</f>
        <v>1577.144690062951</v>
      </c>
      <c r="AT211" s="42">
        <f>'[1]побудинковий звіт'!AT211+'[2]побудинковий звіт'!AT211-'[3]побудинковий звіт'!AT211</f>
        <v>0</v>
      </c>
      <c r="AU211" s="58">
        <f t="shared" si="211"/>
        <v>-1577.144690062951</v>
      </c>
      <c r="AV211" s="42">
        <f>'[1]побудинковий звіт'!AV211+'[2]побудинковий звіт'!AV211-'[3]побудинковий звіт'!AV211</f>
        <v>0</v>
      </c>
      <c r="AW211" s="42">
        <f>'[1]побудинковий звіт'!AW211+'[2]побудинковий звіт'!AW211-'[3]побудинковий звіт'!AW211</f>
        <v>0</v>
      </c>
      <c r="AX211" s="59">
        <f t="shared" si="212"/>
        <v>0</v>
      </c>
      <c r="AY211" s="42">
        <f>'[1]побудинковий звіт'!AY211+'[2]побудинковий звіт'!AY211-'[3]побудинковий звіт'!AY211</f>
        <v>0</v>
      </c>
      <c r="AZ211" s="42">
        <f>'[1]побудинковий звіт'!AZ211+'[2]побудинковий звіт'!AZ211-'[3]побудинковий звіт'!AZ211</f>
        <v>0</v>
      </c>
      <c r="BA211" s="37">
        <f t="shared" si="213"/>
        <v>0</v>
      </c>
      <c r="BB211" s="42">
        <f>'[1]побудинковий звіт'!BB211+'[2]побудинковий звіт'!BB211-'[3]побудинковий звіт'!BB211</f>
        <v>0</v>
      </c>
      <c r="BC211" s="42">
        <f>'[1]побудинковий звіт'!BC211+'[2]побудинковий звіт'!BC211-'[3]побудинковий звіт'!BC211</f>
        <v>0</v>
      </c>
      <c r="BD211" s="59">
        <f t="shared" si="214"/>
        <v>0</v>
      </c>
      <c r="BE211" s="42">
        <f>'[1]побудинковий звіт'!BE211+'[2]побудинковий звіт'!BE211-'[3]побудинковий звіт'!BE211</f>
        <v>0</v>
      </c>
      <c r="BF211" s="42">
        <f>'[1]побудинковий звіт'!BF211+'[2]побудинковий звіт'!BF211-'[3]побудинковий звіт'!BF211</f>
        <v>0</v>
      </c>
      <c r="BG211" s="39">
        <f t="shared" si="215"/>
        <v>0</v>
      </c>
      <c r="BH211" s="42">
        <f>'[1]побудинковий звіт'!BH211+'[2]побудинковий звіт'!BH211-'[3]побудинковий звіт'!BH211</f>
        <v>0</v>
      </c>
      <c r="BI211" s="42">
        <f>'[1]побудинковий звіт'!BI211+'[2]побудинковий звіт'!BI211-'[3]побудинковий звіт'!BI211</f>
        <v>0</v>
      </c>
      <c r="BJ211" s="59">
        <f t="shared" si="216"/>
        <v>0</v>
      </c>
      <c r="BK211" s="42">
        <f>'[1]побудинковий звіт'!BK211+'[2]побудинковий звіт'!BK211-'[3]побудинковий звіт'!BK211</f>
        <v>0</v>
      </c>
      <c r="BL211" s="42">
        <f>'[1]побудинковий звіт'!BL211+'[2]побудинковий звіт'!BL211-'[3]побудинковий звіт'!BL211</f>
        <v>0</v>
      </c>
      <c r="BM211" s="39">
        <f t="shared" si="217"/>
        <v>0</v>
      </c>
      <c r="BN211" s="42">
        <f>'[1]побудинковий звіт'!BN211+'[2]побудинковий звіт'!BN211-'[3]побудинковий звіт'!BN211</f>
        <v>0</v>
      </c>
      <c r="BO211" s="42">
        <f>'[1]побудинковий звіт'!BO211+'[2]побудинковий звіт'!BO211-'[3]побудинковий звіт'!BO211</f>
        <v>0</v>
      </c>
      <c r="BP211" s="59">
        <f t="shared" si="218"/>
        <v>0</v>
      </c>
      <c r="BQ211" s="87">
        <f t="shared" si="233"/>
        <v>0</v>
      </c>
      <c r="BR211" s="43">
        <f t="shared" si="234"/>
        <v>0</v>
      </c>
      <c r="BS211" s="59">
        <f t="shared" si="219"/>
        <v>0</v>
      </c>
      <c r="BT211" s="42">
        <f>'[1]побудинковий звіт'!BT211+'[2]побудинковий звіт'!BT211-'[3]побудинковий звіт'!BT211</f>
        <v>172.27447743022205</v>
      </c>
      <c r="BU211" s="42">
        <f>'[1]побудинковий звіт'!BU211+'[2]побудинковий звіт'!BU211-'[3]побудинковий звіт'!BU211</f>
        <v>857.55084865755043</v>
      </c>
      <c r="BV211" s="56">
        <f t="shared" si="195"/>
        <v>685.27637122732835</v>
      </c>
      <c r="BW211" s="42">
        <f>'[1]побудинковий звіт'!BW211+'[2]побудинковий звіт'!BW211-'[3]побудинковий звіт'!BW211</f>
        <v>0</v>
      </c>
      <c r="BX211" s="42">
        <f>'[1]побудинковий звіт'!BX211+'[2]побудинковий звіт'!BX211-'[3]побудинковий звіт'!BX211</f>
        <v>3.3824124738179893</v>
      </c>
      <c r="BY211" s="56">
        <f t="shared" si="196"/>
        <v>3.3824124738179893</v>
      </c>
      <c r="BZ211" s="42">
        <f>'[1]побудинковий звіт'!BZ211+'[2]побудинковий звіт'!BZ211-'[3]побудинковий звіт'!BZ211</f>
        <v>0</v>
      </c>
      <c r="CA211" s="42">
        <f>'[1]побудинковий звіт'!CA211+'[2]побудинковий звіт'!CA211-'[3]побудинковий звіт'!CA211</f>
        <v>206.70802368414155</v>
      </c>
      <c r="CB211" s="56">
        <f t="shared" si="197"/>
        <v>206.70802368414155</v>
      </c>
      <c r="CC211" s="42">
        <f>'[1]побудинковий звіт'!CC211+'[2]побудинковий звіт'!CC211-'[3]побудинковий звіт'!CC211</f>
        <v>0</v>
      </c>
      <c r="CD211" s="42">
        <f>'[1]побудинковий звіт'!CD211+'[2]побудинковий звіт'!CD211-'[3]побудинковий звіт'!CD211</f>
        <v>0</v>
      </c>
      <c r="CE211" s="56">
        <f t="shared" si="198"/>
        <v>0</v>
      </c>
      <c r="CF211" s="42">
        <f>'[1]побудинковий звіт'!CF211+'[2]побудинковий звіт'!CF211-'[3]побудинковий звіт'!CF211</f>
        <v>0</v>
      </c>
      <c r="CG211" s="42">
        <f>'[1]побудинковий звіт'!CG211+'[2]побудинковий звіт'!CG211-'[3]побудинковий звіт'!CG211</f>
        <v>0</v>
      </c>
      <c r="CH211" s="56">
        <f t="shared" si="199"/>
        <v>0</v>
      </c>
      <c r="CI211" s="42">
        <f>'[1]побудинковий звіт'!CI211+'[2]побудинковий звіт'!CI211-'[3]побудинковий звіт'!CI211</f>
        <v>0</v>
      </c>
      <c r="CJ211" s="42">
        <f>'[1]побудинковий звіт'!CJ211+'[2]побудинковий звіт'!CJ211-'[3]побудинковий звіт'!CJ211</f>
        <v>0</v>
      </c>
      <c r="CK211" s="56">
        <f t="shared" si="200"/>
        <v>0</v>
      </c>
      <c r="CL211" s="42">
        <f>'[1]побудинковий звіт'!CL211+'[2]побудинковий звіт'!CL211-'[3]побудинковий звіт'!CL211</f>
        <v>0</v>
      </c>
      <c r="CM211" s="42">
        <f>'[1]побудинковий звіт'!CM211+'[2]побудинковий звіт'!CM211-'[3]побудинковий звіт'!CM211</f>
        <v>0</v>
      </c>
      <c r="CN211" s="56">
        <f t="shared" si="201"/>
        <v>0</v>
      </c>
      <c r="CO211" s="42">
        <f t="shared" si="181"/>
        <v>0</v>
      </c>
      <c r="CP211" s="43">
        <f t="shared" si="202"/>
        <v>0</v>
      </c>
      <c r="CQ211" s="56">
        <f t="shared" si="203"/>
        <v>0</v>
      </c>
      <c r="CR211" s="78">
        <f t="shared" si="182"/>
        <v>2128.226224650633</v>
      </c>
      <c r="CS211" s="5">
        <f t="shared" si="182"/>
        <v>1207.4491595740355</v>
      </c>
      <c r="CT211" s="56">
        <f t="shared" si="204"/>
        <v>-920.77706507659741</v>
      </c>
      <c r="CU211" s="87">
        <f t="shared" si="205"/>
        <v>2553.8714695807594</v>
      </c>
      <c r="CV211" s="70">
        <f t="shared" si="206"/>
        <v>1448.9389914888427</v>
      </c>
      <c r="CW211" s="37">
        <f t="shared" si="207"/>
        <v>-1104.9324780919167</v>
      </c>
      <c r="CX211" s="42">
        <f>'[1]побудинковий звіт'!CX211+'[2]побудинковий звіт'!CX211-'[3]побудинковий звіт'!CX211</f>
        <v>38.368530419240301</v>
      </c>
      <c r="CY211" s="42">
        <f>'[1]побудинковий звіт'!CY211+'[2]побудинковий звіт'!CY211-'[3]побудинковий звіт'!CY211</f>
        <v>1143.3010085111573</v>
      </c>
      <c r="CZ211" s="56">
        <f t="shared" si="208"/>
        <v>1104.9324780919169</v>
      </c>
      <c r="DA211" s="264">
        <f>'[4]побудинковий звіт'!DA211</f>
        <v>1753.343309274527</v>
      </c>
      <c r="DB211" s="2">
        <v>1</v>
      </c>
      <c r="DC211" s="717">
        <f>'[4]побудинковий звіт'!DC211</f>
        <v>216.02</v>
      </c>
      <c r="DD211" s="717">
        <f>'[4]побудинковий звіт'!DD211</f>
        <v>0</v>
      </c>
      <c r="DE211" s="717">
        <f>'[4]побудинковий звіт'!DE211</f>
        <v>0</v>
      </c>
      <c r="DF211" s="717">
        <f>'[4]побудинковий звіт'!DF211</f>
        <v>0</v>
      </c>
      <c r="DG211" s="787">
        <v>2680.3190328077035</v>
      </c>
      <c r="DH211" s="761">
        <f t="shared" si="226"/>
        <v>31106.879999999997</v>
      </c>
      <c r="DI211" s="784"/>
      <c r="DJ211" s="5"/>
      <c r="DK211" s="317">
        <f>VLOOKUP($A211,ціни!$A$4:$G$401,5)</f>
        <v>2.0572853504956119</v>
      </c>
      <c r="DL211" s="317"/>
      <c r="DM211" s="317">
        <f>VLOOKUP($A211,ціни!$A$4:$G$401,7)</f>
        <v>2.0572853504956119</v>
      </c>
      <c r="DN211" s="30">
        <f>F211*DK211</f>
        <v>10571.463637789228</v>
      </c>
      <c r="DO211" s="30">
        <f>H211*DM211</f>
        <v>0</v>
      </c>
      <c r="DP211" s="316">
        <f t="shared" si="221"/>
        <v>10571.463637789228</v>
      </c>
      <c r="DQ211" s="104"/>
      <c r="DR211" s="30">
        <f>VLOOKUP(A211,'ДЗ нас '!$A$1:$C$359,2)</f>
        <v>216.02</v>
      </c>
      <c r="DS211" s="748"/>
      <c r="DT211" s="30">
        <f t="shared" si="222"/>
        <v>216.02</v>
      </c>
      <c r="DU211" s="257">
        <f>VLOOKUP(A211,'новий кошторис с 01.06'!$A$4:$AI$399,35)*1.2</f>
        <v>216.65342966943444</v>
      </c>
      <c r="DV211" s="30">
        <f t="shared" si="223"/>
        <v>-0.63342966943443457</v>
      </c>
      <c r="DW211" s="930">
        <f>'[5]побудинковий звіт'!DW211+'[6]побудинковий звіт'!DW211</f>
        <v>0</v>
      </c>
      <c r="DY211" s="5">
        <f t="shared" si="227"/>
        <v>1892.5736280755411</v>
      </c>
      <c r="DZ211" s="5">
        <f t="shared" si="228"/>
        <v>0</v>
      </c>
      <c r="EA211" s="752">
        <f t="shared" si="229"/>
        <v>0</v>
      </c>
      <c r="EC211" s="592">
        <f t="shared" si="230"/>
        <v>18925.736280755413</v>
      </c>
      <c r="EE211" s="758">
        <v>2883</v>
      </c>
      <c r="EF211" s="738">
        <f t="shared" si="231"/>
        <v>5563.3190328077035</v>
      </c>
      <c r="EH211" s="813">
        <v>2732.9051081049511</v>
      </c>
    </row>
    <row r="212" spans="1:138" x14ac:dyDescent="0.3">
      <c r="A212" s="328">
        <v>150000944</v>
      </c>
      <c r="B212" s="44" t="s">
        <v>663</v>
      </c>
      <c r="C212" s="45" t="s">
        <v>123</v>
      </c>
      <c r="D212" s="45" t="s">
        <v>123</v>
      </c>
      <c r="E212" s="40">
        <f t="shared" si="232"/>
        <v>284.10000000000002</v>
      </c>
      <c r="F212" s="490">
        <v>284.10000000000002</v>
      </c>
      <c r="G212" s="30"/>
      <c r="H212" s="30">
        <v>0</v>
      </c>
      <c r="I212" s="42">
        <f>'[1]побудинковий звіт'!I212+'[2]побудинковий звіт'!I212-'[3]побудинковий звіт'!I212</f>
        <v>0</v>
      </c>
      <c r="J212" s="42">
        <f>'[1]побудинковий звіт'!J212+'[2]побудинковий звіт'!J212-'[3]побудинковий звіт'!J212</f>
        <v>0</v>
      </c>
      <c r="K212" s="56">
        <f t="shared" si="183"/>
        <v>0</v>
      </c>
      <c r="L212" s="42">
        <f>'[1]побудинковий звіт'!L212+'[2]побудинковий звіт'!L212-'[3]побудинковий звіт'!L212</f>
        <v>0</v>
      </c>
      <c r="M212" s="42">
        <f>'[1]побудинковий звіт'!M212+'[2]побудинковий звіт'!M212-'[3]побудинковий звіт'!M212</f>
        <v>0</v>
      </c>
      <c r="N212" s="56">
        <f t="shared" si="184"/>
        <v>0</v>
      </c>
      <c r="O212" s="42">
        <f>'[1]побудинковий звіт'!O212+'[2]побудинковий звіт'!O212-'[3]побудинковий звіт'!O212</f>
        <v>0</v>
      </c>
      <c r="P212" s="42">
        <f>'[1]побудинковий звіт'!P212+'[2]побудинковий звіт'!P212-'[3]побудинковий звіт'!P212</f>
        <v>0</v>
      </c>
      <c r="Q212" s="56">
        <f t="shared" si="185"/>
        <v>0</v>
      </c>
      <c r="R212" s="42">
        <f>'[1]побудинковий звіт'!R212+'[2]побудинковий звіт'!R212-'[3]побудинковий звіт'!R212</f>
        <v>0</v>
      </c>
      <c r="S212" s="42">
        <f>'[1]побудинковий звіт'!S212+'[2]побудинковий звіт'!S212-'[3]побудинковий звіт'!S212</f>
        <v>0</v>
      </c>
      <c r="T212" s="56">
        <f t="shared" si="186"/>
        <v>0</v>
      </c>
      <c r="U212" s="42">
        <f>'[1]побудинковий звіт'!U212+'[2]побудинковий звіт'!U212-'[3]побудинковий звіт'!U212</f>
        <v>0</v>
      </c>
      <c r="V212" s="42">
        <f>'[1]побудинковий звіт'!V212+'[2]побудинковий звіт'!V212-'[3]побудинковий звіт'!V212</f>
        <v>0</v>
      </c>
      <c r="W212" s="56">
        <f t="shared" si="187"/>
        <v>0</v>
      </c>
      <c r="X212" s="42">
        <f>'[1]побудинковий звіт'!X212+'[2]побудинковий звіт'!X212-'[3]побудинковий звіт'!X212</f>
        <v>0</v>
      </c>
      <c r="Y212" s="42">
        <f>'[1]побудинковий звіт'!Y212+'[2]побудинковий звіт'!Y212-'[3]побудинковий звіт'!Y212</f>
        <v>0</v>
      </c>
      <c r="Z212" s="56">
        <f t="shared" si="188"/>
        <v>0</v>
      </c>
      <c r="AA212" s="42">
        <f>'[1]побудинковий звіт'!AA212+'[2]побудинковий звіт'!AA212-'[3]побудинковий звіт'!AA212</f>
        <v>0</v>
      </c>
      <c r="AB212" s="42">
        <f>'[1]побудинковий звіт'!AB212+'[2]побудинковий звіт'!AB212-'[3]побудинковий звіт'!AB212</f>
        <v>0</v>
      </c>
      <c r="AC212" s="56">
        <f t="shared" si="189"/>
        <v>0</v>
      </c>
      <c r="AD212" s="42">
        <f>'[1]побудинковий звіт'!AD212+'[2]побудинковий звіт'!AD212-'[3]побудинковий звіт'!AD212</f>
        <v>0</v>
      </c>
      <c r="AE212" s="42">
        <f>'[1]побудинковий звіт'!AE212+'[2]побудинковий звіт'!AE212-'[3]побудинковий звіт'!AE212</f>
        <v>93.72299143106801</v>
      </c>
      <c r="AF212" s="37">
        <f t="shared" si="190"/>
        <v>93.72299143106801</v>
      </c>
      <c r="AG212" s="87">
        <f t="shared" si="180"/>
        <v>0</v>
      </c>
      <c r="AH212" s="57">
        <f t="shared" si="180"/>
        <v>93.72299143106801</v>
      </c>
      <c r="AI212" s="56">
        <f t="shared" si="191"/>
        <v>93.72299143106801</v>
      </c>
      <c r="AJ212" s="42">
        <f>'[1]побудинковий звіт'!AJ212+'[2]побудинковий звіт'!AJ212-'[3]побудинковий звіт'!AJ212</f>
        <v>0</v>
      </c>
      <c r="AK212" s="42">
        <f>'[1]побудинковий звіт'!AK212+'[2]побудинковий звіт'!AK212-'[3]побудинковий звіт'!AK212</f>
        <v>0</v>
      </c>
      <c r="AL212" s="56">
        <f t="shared" si="192"/>
        <v>0</v>
      </c>
      <c r="AM212" s="42">
        <f>'[1]побудинковий звіт'!AM212+'[2]побудинковий звіт'!AM212-'[3]побудинковий звіт'!AM212</f>
        <v>0</v>
      </c>
      <c r="AN212" s="42">
        <f>'[1]побудинковий звіт'!AN212+'[2]побудинковий звіт'!AN212-'[3]побудинковий звіт'!AN212</f>
        <v>0</v>
      </c>
      <c r="AO212" s="56">
        <f t="shared" si="193"/>
        <v>0</v>
      </c>
      <c r="AP212" s="42">
        <f>'[1]побудинковий звіт'!AP212+'[2]побудинковий звіт'!AP212-'[3]побудинковий звіт'!AP212</f>
        <v>378.80705715745984</v>
      </c>
      <c r="AQ212" s="42">
        <f>'[1]побудинковий звіт'!AQ212+'[2]побудинковий звіт'!AQ212-'[3]побудинковий звіт'!AQ212</f>
        <v>93.153791786424051</v>
      </c>
      <c r="AR212" s="56">
        <f t="shared" si="194"/>
        <v>-285.65326537103579</v>
      </c>
      <c r="AS212" s="42">
        <f>'[1]побудинковий звіт'!AS212+'[2]побудинковий звіт'!AS212-'[3]побудинковий звіт'!AS212</f>
        <v>1758.4511114495358</v>
      </c>
      <c r="AT212" s="42">
        <f>'[1]побудинковий звіт'!AT212+'[2]побудинковий звіт'!AT212-'[3]побудинковий звіт'!AT212</f>
        <v>0</v>
      </c>
      <c r="AU212" s="58">
        <f t="shared" si="211"/>
        <v>-1758.4511114495358</v>
      </c>
      <c r="AV212" s="42">
        <f>'[1]побудинковий звіт'!AV212+'[2]побудинковий звіт'!AV212-'[3]побудинковий звіт'!AV212</f>
        <v>0</v>
      </c>
      <c r="AW212" s="42">
        <f>'[1]побудинковий звіт'!AW212+'[2]побудинковий звіт'!AW212-'[3]побудинковий звіт'!AW212</f>
        <v>0</v>
      </c>
      <c r="AX212" s="59">
        <f t="shared" si="212"/>
        <v>0</v>
      </c>
      <c r="AY212" s="42">
        <f>'[1]побудинковий звіт'!AY212+'[2]побудинковий звіт'!AY212-'[3]побудинковий звіт'!AY212</f>
        <v>0</v>
      </c>
      <c r="AZ212" s="42">
        <f>'[1]побудинковий звіт'!AZ212+'[2]побудинковий звіт'!AZ212-'[3]побудинковий звіт'!AZ212</f>
        <v>0</v>
      </c>
      <c r="BA212" s="37">
        <f t="shared" si="213"/>
        <v>0</v>
      </c>
      <c r="BB212" s="42">
        <f>'[1]побудинковий звіт'!BB212+'[2]побудинковий звіт'!BB212-'[3]побудинковий звіт'!BB212</f>
        <v>0</v>
      </c>
      <c r="BC212" s="42">
        <f>'[1]побудинковий звіт'!BC212+'[2]побудинковий звіт'!BC212-'[3]побудинковий звіт'!BC212</f>
        <v>0</v>
      </c>
      <c r="BD212" s="59">
        <f t="shared" si="214"/>
        <v>0</v>
      </c>
      <c r="BE212" s="42">
        <f>'[1]побудинковий звіт'!BE212+'[2]побудинковий звіт'!BE212-'[3]побудинковий звіт'!BE212</f>
        <v>0</v>
      </c>
      <c r="BF212" s="42">
        <f>'[1]побудинковий звіт'!BF212+'[2]побудинковий звіт'!BF212-'[3]побудинковий звіт'!BF212</f>
        <v>0</v>
      </c>
      <c r="BG212" s="39">
        <f t="shared" si="215"/>
        <v>0</v>
      </c>
      <c r="BH212" s="42">
        <f>'[1]побудинковий звіт'!BH212+'[2]побудинковий звіт'!BH212-'[3]побудинковий звіт'!BH212</f>
        <v>0</v>
      </c>
      <c r="BI212" s="42">
        <f>'[1]побудинковий звіт'!BI212+'[2]побудинковий звіт'!BI212-'[3]побудинковий звіт'!BI212</f>
        <v>0</v>
      </c>
      <c r="BJ212" s="59">
        <f t="shared" si="216"/>
        <v>0</v>
      </c>
      <c r="BK212" s="42">
        <f>'[1]побудинковий звіт'!BK212+'[2]побудинковий звіт'!BK212-'[3]побудинковий звіт'!BK212</f>
        <v>0</v>
      </c>
      <c r="BL212" s="42">
        <f>'[1]побудинковий звіт'!BL212+'[2]побудинковий звіт'!BL212-'[3]побудинковий звіт'!BL212</f>
        <v>0</v>
      </c>
      <c r="BM212" s="39">
        <f t="shared" si="217"/>
        <v>0</v>
      </c>
      <c r="BN212" s="42">
        <f>'[1]побудинковий звіт'!BN212+'[2]побудинковий звіт'!BN212-'[3]побудинковий звіт'!BN212</f>
        <v>0</v>
      </c>
      <c r="BO212" s="42">
        <f>'[1]побудинковий звіт'!BO212+'[2]побудинковий звіт'!BO212-'[3]побудинковий звіт'!BO212</f>
        <v>0</v>
      </c>
      <c r="BP212" s="59">
        <f t="shared" si="218"/>
        <v>0</v>
      </c>
      <c r="BQ212" s="87">
        <f t="shared" si="233"/>
        <v>0</v>
      </c>
      <c r="BR212" s="43">
        <f t="shared" si="234"/>
        <v>0</v>
      </c>
      <c r="BS212" s="59">
        <f t="shared" si="219"/>
        <v>0</v>
      </c>
      <c r="BT212" s="42">
        <f>'[1]побудинковий звіт'!BT212+'[2]побудинковий звіт'!BT212-'[3]побудинковий звіт'!BT212</f>
        <v>1052.7884731846905</v>
      </c>
      <c r="BU212" s="42">
        <f>'[1]побудинковий звіт'!BU212+'[2]побудинковий звіт'!BU212-'[3]побудинковий звіт'!BU212</f>
        <v>1715.327012829724</v>
      </c>
      <c r="BV212" s="56">
        <f t="shared" si="195"/>
        <v>662.53853964503355</v>
      </c>
      <c r="BW212" s="42">
        <f>'[1]побудинковий звіт'!BW212+'[2]побудинковий звіт'!BW212-'[3]побудинковий звіт'!BW212</f>
        <v>0</v>
      </c>
      <c r="BX212" s="42">
        <f>'[1]побудинковий звіт'!BX212+'[2]побудинковий звіт'!BX212-'[3]побудинковий звіт'!BX212</f>
        <v>4.532432714916105</v>
      </c>
      <c r="BY212" s="56">
        <f t="shared" si="196"/>
        <v>4.532432714916105</v>
      </c>
      <c r="BZ212" s="42">
        <f>'[1]побудинковий звіт'!BZ212+'[2]побудинковий звіт'!BZ212-'[3]побудинковий звіт'!BZ212</f>
        <v>0</v>
      </c>
      <c r="CA212" s="42">
        <f>'[1]побудинковий звіт'!CA212+'[2]побудинковий звіт'!CA212-'[3]побудинковий звіт'!CA212</f>
        <v>413.47035846226203</v>
      </c>
      <c r="CB212" s="56">
        <f t="shared" si="197"/>
        <v>413.47035846226203</v>
      </c>
      <c r="CC212" s="42">
        <f>'[1]побудинковий звіт'!CC212+'[2]побудинковий звіт'!CC212-'[3]побудинковий звіт'!CC212</f>
        <v>0</v>
      </c>
      <c r="CD212" s="42">
        <f>'[1]побудинковий звіт'!CD212+'[2]побудинковий звіт'!CD212-'[3]побудинковий звіт'!CD212</f>
        <v>0</v>
      </c>
      <c r="CE212" s="56">
        <f t="shared" si="198"/>
        <v>0</v>
      </c>
      <c r="CF212" s="42">
        <f>'[1]побудинковий звіт'!CF212+'[2]побудинковий звіт'!CF212-'[3]побудинковий звіт'!CF212</f>
        <v>0</v>
      </c>
      <c r="CG212" s="42">
        <f>'[1]побудинковий звіт'!CG212+'[2]побудинковий звіт'!CG212-'[3]побудинковий звіт'!CG212</f>
        <v>0</v>
      </c>
      <c r="CH212" s="56">
        <f t="shared" si="199"/>
        <v>0</v>
      </c>
      <c r="CI212" s="42">
        <f>'[1]побудинковий звіт'!CI212+'[2]побудинковий звіт'!CI212-'[3]побудинковий звіт'!CI212</f>
        <v>0</v>
      </c>
      <c r="CJ212" s="42">
        <f>'[1]побудинковий звіт'!CJ212+'[2]побудинковий звіт'!CJ212-'[3]побудинковий звіт'!CJ212</f>
        <v>0</v>
      </c>
      <c r="CK212" s="56">
        <f t="shared" si="200"/>
        <v>0</v>
      </c>
      <c r="CL212" s="42">
        <f>'[1]побудинковий звіт'!CL212+'[2]побудинковий звіт'!CL212-'[3]побудинковий звіт'!CL212</f>
        <v>0</v>
      </c>
      <c r="CM212" s="42">
        <f>'[1]побудинковий звіт'!CM212+'[2]побудинковий звіт'!CM212-'[3]побудинковий звіт'!CM212</f>
        <v>0</v>
      </c>
      <c r="CN212" s="56">
        <f t="shared" si="201"/>
        <v>0</v>
      </c>
      <c r="CO212" s="42">
        <f t="shared" si="181"/>
        <v>0</v>
      </c>
      <c r="CP212" s="43">
        <f t="shared" si="202"/>
        <v>0</v>
      </c>
      <c r="CQ212" s="56">
        <f t="shared" si="203"/>
        <v>0</v>
      </c>
      <c r="CR212" s="78">
        <f t="shared" si="182"/>
        <v>3190.0466417916859</v>
      </c>
      <c r="CS212" s="5">
        <f t="shared" si="182"/>
        <v>2320.2065872243943</v>
      </c>
      <c r="CT212" s="56">
        <f t="shared" si="204"/>
        <v>-869.84005456729165</v>
      </c>
      <c r="CU212" s="87">
        <f t="shared" si="205"/>
        <v>3828.0559701500229</v>
      </c>
      <c r="CV212" s="70">
        <f t="shared" si="206"/>
        <v>2784.2479046692729</v>
      </c>
      <c r="CW212" s="37">
        <f t="shared" si="207"/>
        <v>-1043.80806548075</v>
      </c>
      <c r="CX212" s="42">
        <f>'[1]побудинковий звіт'!CX212+'[2]побудинковий звіт'!CX212-'[3]побудинковий звіт'!CX212</f>
        <v>57.544029849976596</v>
      </c>
      <c r="CY212" s="42">
        <f>'[1]побудинковий звіт'!CY212+'[2]побудинковий звіт'!CY212-'[3]побудинковий звіт'!CY212</f>
        <v>1101.3520953307266</v>
      </c>
      <c r="CZ212" s="56">
        <f t="shared" si="208"/>
        <v>1043.80806548075</v>
      </c>
      <c r="DA212" s="264">
        <f>'[4]побудинковий звіт'!DA212</f>
        <v>15755.315599486141</v>
      </c>
      <c r="DB212" s="2">
        <v>1</v>
      </c>
      <c r="DC212" s="717">
        <f>'[4]побудинковий звіт'!DC212</f>
        <v>800.86</v>
      </c>
      <c r="DD212" s="717">
        <f>'[4]побудинковий звіт'!DD212</f>
        <v>0</v>
      </c>
      <c r="DE212" s="717">
        <f>'[4]побудинковий звіт'!DE212</f>
        <v>477.06</v>
      </c>
      <c r="DF212" s="717">
        <f>'[4]побудинковий звіт'!DF212</f>
        <v>0</v>
      </c>
      <c r="DG212" s="787">
        <v>15318.790524720405</v>
      </c>
      <c r="DH212" s="761">
        <f t="shared" si="226"/>
        <v>46627.199999999997</v>
      </c>
      <c r="DI212" s="784"/>
      <c r="DJ212" s="5"/>
      <c r="DK212" s="317">
        <f>VLOOKUP($A212,ціни!$A$4:$G$401,5)</f>
        <v>2.301277428158182</v>
      </c>
      <c r="DL212" s="317"/>
      <c r="DM212" s="317">
        <f>VLOOKUP($A212,ціни!$A$4:$G$401,7)</f>
        <v>2.301277428158182</v>
      </c>
      <c r="DN212" s="30">
        <f>F212*DK212</f>
        <v>653.79291733973957</v>
      </c>
      <c r="DO212" s="30">
        <f>H212*DM212</f>
        <v>0</v>
      </c>
      <c r="DP212" s="316">
        <f t="shared" si="221"/>
        <v>653.79291733973957</v>
      </c>
      <c r="DQ212" s="104"/>
      <c r="DR212" s="30">
        <f>VLOOKUP(A212,'ДЗ нас '!$A$1:$C$359,2)</f>
        <v>323.8</v>
      </c>
      <c r="DS212" s="748"/>
      <c r="DT212" s="30">
        <f t="shared" si="222"/>
        <v>323.8</v>
      </c>
      <c r="DU212" s="257">
        <f>VLOOKUP(A212,'новий кошторис с 01.06'!$A$4:$AI$399,35)*1.2</f>
        <v>324.74674813439367</v>
      </c>
      <c r="DV212" s="30">
        <f t="shared" si="223"/>
        <v>-0.94674813439365835</v>
      </c>
      <c r="DW212" s="930">
        <f>'[5]побудинковий звіт'!DW212+'[6]побудинковий звіт'!DW212</f>
        <v>0</v>
      </c>
      <c r="DY212" s="5">
        <f t="shared" si="227"/>
        <v>2110.1413337394429</v>
      </c>
      <c r="DZ212" s="5">
        <f t="shared" si="228"/>
        <v>0</v>
      </c>
      <c r="EA212" s="752">
        <f t="shared" si="229"/>
        <v>477.06</v>
      </c>
      <c r="EC212" s="592">
        <f t="shared" si="230"/>
        <v>21101.413337394428</v>
      </c>
      <c r="EE212" s="758">
        <v>-2379</v>
      </c>
      <c r="EF212" s="738">
        <f t="shared" si="231"/>
        <v>12939.790524720405</v>
      </c>
      <c r="EH212" s="813">
        <v>16705.99239986778</v>
      </c>
    </row>
    <row r="213" spans="1:138" x14ac:dyDescent="0.3">
      <c r="A213" s="328">
        <v>150000945</v>
      </c>
      <c r="B213" s="44" t="s">
        <v>664</v>
      </c>
      <c r="C213" s="45" t="s">
        <v>421</v>
      </c>
      <c r="D213" s="45" t="s">
        <v>421</v>
      </c>
      <c r="E213" s="40">
        <f t="shared" si="232"/>
        <v>7515.72</v>
      </c>
      <c r="F213" s="490">
        <v>7450.81</v>
      </c>
      <c r="G213" s="30">
        <v>613.75</v>
      </c>
      <c r="H213" s="30">
        <v>64.91</v>
      </c>
      <c r="I213" s="42">
        <f>'[1]побудинковий звіт'!I213+'[2]побудинковий звіт'!I213-'[3]побудинковий звіт'!I213</f>
        <v>25110.13629871227</v>
      </c>
      <c r="J213" s="42">
        <f>'[1]побудинковий звіт'!J213+'[2]побудинковий звіт'!J213-'[3]побудинковий звіт'!J213</f>
        <v>21228.794781503464</v>
      </c>
      <c r="K213" s="56">
        <f t="shared" si="183"/>
        <v>-3881.3415172088062</v>
      </c>
      <c r="L213" s="42">
        <f>'[1]побудинковий звіт'!L213+'[2]побудинковий звіт'!L213-'[3]побудинковий звіт'!L213</f>
        <v>3911.7983276761452</v>
      </c>
      <c r="M213" s="42">
        <f>'[1]побудинковий звіт'!M213+'[2]побудинковий звіт'!M213-'[3]побудинковий звіт'!M213</f>
        <v>3781.7524855353313</v>
      </c>
      <c r="N213" s="56">
        <f t="shared" si="184"/>
        <v>-130.04584214081387</v>
      </c>
      <c r="O213" s="42">
        <f>'[1]побудинковий звіт'!O213+'[2]побудинковий звіт'!O213-'[3]побудинковий звіт'!O213</f>
        <v>9698.6400000000012</v>
      </c>
      <c r="P213" s="42">
        <f>'[1]побудинковий звіт'!P213+'[2]побудинковий звіт'!P213-'[3]побудинковий звіт'!P213</f>
        <v>7623.1630581182808</v>
      </c>
      <c r="Q213" s="56">
        <f t="shared" si="185"/>
        <v>-2075.4769418817204</v>
      </c>
      <c r="R213" s="42">
        <f>'[1]побудинковий звіт'!R213+'[2]побудинковий звіт'!R213-'[3]побудинковий звіт'!R213</f>
        <v>2109.7199999999998</v>
      </c>
      <c r="S213" s="42">
        <f>'[1]побудинковий звіт'!S213+'[2]побудинковий звіт'!S213-'[3]побудинковий звіт'!S213</f>
        <v>1658.4120991129034</v>
      </c>
      <c r="T213" s="56">
        <f t="shared" si="186"/>
        <v>-451.30790088709637</v>
      </c>
      <c r="U213" s="42">
        <f>'[1]побудинковий звіт'!U213+'[2]побудинковий звіт'!U213-'[3]побудинковий звіт'!U213</f>
        <v>1250.1001677005297</v>
      </c>
      <c r="V213" s="42">
        <f>'[1]побудинковий звіт'!V213+'[2]побудинковий звіт'!V213-'[3]побудинковий звіт'!V213</f>
        <v>613.82362514524243</v>
      </c>
      <c r="W213" s="56">
        <f t="shared" si="187"/>
        <v>-636.27654255528728</v>
      </c>
      <c r="X213" s="42">
        <f>'[1]побудинковий звіт'!X213+'[2]побудинковий звіт'!X213-'[3]побудинковий звіт'!X213</f>
        <v>11230.084594142594</v>
      </c>
      <c r="Y213" s="42">
        <f>'[1]побудинковий звіт'!Y213+'[2]побудинковий звіт'!Y213-'[3]побудинковий звіт'!Y213</f>
        <v>7796.7768450415424</v>
      </c>
      <c r="Z213" s="56">
        <f t="shared" si="188"/>
        <v>-3433.3077491010517</v>
      </c>
      <c r="AA213" s="42">
        <f>'[1]побудинковий звіт'!AA213+'[2]побудинковий звіт'!AA213-'[3]побудинковий звіт'!AA213</f>
        <v>0</v>
      </c>
      <c r="AB213" s="42">
        <f>'[1]побудинковий звіт'!AB213+'[2]побудинковий звіт'!AB213-'[3]побудинковий звіт'!AB213</f>
        <v>0</v>
      </c>
      <c r="AC213" s="56">
        <f t="shared" si="189"/>
        <v>0</v>
      </c>
      <c r="AD213" s="42">
        <f>'[1]побудинковий звіт'!AD213+'[2]побудинковий звіт'!AD213-'[3]побудинковий звіт'!AD213</f>
        <v>28830.90582882677</v>
      </c>
      <c r="AE213" s="42">
        <f>'[1]побудинковий звіт'!AE213+'[2]побудинковий звіт'!AE213-'[3]побудинковий звіт'!AE213</f>
        <v>26573.32219363964</v>
      </c>
      <c r="AF213" s="37">
        <f t="shared" si="190"/>
        <v>-2257.5836351871294</v>
      </c>
      <c r="AG213" s="87">
        <f t="shared" si="180"/>
        <v>82141.385217058312</v>
      </c>
      <c r="AH213" s="57">
        <f t="shared" si="180"/>
        <v>69276.045088096405</v>
      </c>
      <c r="AI213" s="56">
        <f t="shared" si="191"/>
        <v>-12865.340128961907</v>
      </c>
      <c r="AJ213" s="42">
        <f>'[1]побудинковий звіт'!AJ213+'[2]побудинковий звіт'!AJ213-'[3]побудинковий звіт'!AJ213</f>
        <v>38092.703971145762</v>
      </c>
      <c r="AK213" s="42">
        <f>'[1]побудинковий звіт'!AK213+'[2]побудинковий звіт'!AK213-'[3]побудинковий звіт'!AK213</f>
        <v>37757.545591754169</v>
      </c>
      <c r="AL213" s="56">
        <f t="shared" si="192"/>
        <v>-335.15837939159246</v>
      </c>
      <c r="AM213" s="42">
        <f>'[1]побудинковий звіт'!AM213+'[2]побудинковий звіт'!AM213-'[3]побудинковий звіт'!AM213</f>
        <v>4735.2664766127937</v>
      </c>
      <c r="AN213" s="42">
        <f>'[1]побудинковий звіт'!AN213+'[2]побудинковий звіт'!AN213-'[3]побудинковий звіт'!AN213</f>
        <v>3649.876242441645</v>
      </c>
      <c r="AO213" s="56">
        <f t="shared" si="193"/>
        <v>-1085.3902341711487</v>
      </c>
      <c r="AP213" s="42">
        <f>'[1]побудинковий звіт'!AP213+'[2]побудинковий звіт'!AP213-'[3]побудинковий звіт'!AP213</f>
        <v>5445.3514466384877</v>
      </c>
      <c r="AQ213" s="42">
        <f>'[1]побудинковий звіт'!AQ213+'[2]побудинковий звіт'!AQ213-'[3]побудинковий звіт'!AQ213</f>
        <v>5262.3456080000797</v>
      </c>
      <c r="AR213" s="56">
        <f t="shared" si="194"/>
        <v>-183.00583863840802</v>
      </c>
      <c r="AS213" s="42">
        <f>'[1]побудинковий звіт'!AS213+'[2]побудинковий звіт'!AS213-'[3]побудинковий звіт'!AS213</f>
        <v>103124.78832055992</v>
      </c>
      <c r="AT213" s="42">
        <f>'[1]побудинковий звіт'!AT213+'[2]побудинковий звіт'!AT213-'[3]побудинковий звіт'!AT213</f>
        <v>107018</v>
      </c>
      <c r="AU213" s="58">
        <f t="shared" si="211"/>
        <v>3893.211679440079</v>
      </c>
      <c r="AV213" s="42">
        <f>'[1]побудинковий звіт'!AV213+'[2]побудинковий звіт'!AV213-'[3]побудинковий звіт'!AV213</f>
        <v>1962.2750472998771</v>
      </c>
      <c r="AW213" s="42">
        <f>'[1]побудинковий звіт'!AW213+'[2]побудинковий звіт'!AW213-'[3]побудинковий звіт'!AW213</f>
        <v>1854</v>
      </c>
      <c r="AX213" s="59">
        <f t="shared" si="212"/>
        <v>-108.27504729987709</v>
      </c>
      <c r="AY213" s="42">
        <f>'[1]побудинковий звіт'!AY213+'[2]побудинковий звіт'!AY213-'[3]побудинковий звіт'!AY213</f>
        <v>2393.4827366160052</v>
      </c>
      <c r="AZ213" s="42">
        <f>'[1]побудинковий звіт'!AZ213+'[2]побудинковий звіт'!AZ213-'[3]побудинковий звіт'!AZ213</f>
        <v>0</v>
      </c>
      <c r="BA213" s="37">
        <f t="shared" si="213"/>
        <v>-2393.4827366160052</v>
      </c>
      <c r="BB213" s="42">
        <f>'[1]побудинковий звіт'!BB213+'[2]побудинковий звіт'!BB213-'[3]побудинковий звіт'!BB213</f>
        <v>2752.0241968388818</v>
      </c>
      <c r="BC213" s="42">
        <f>'[1]побудинковий звіт'!BC213+'[2]побудинковий звіт'!BC213-'[3]побудинковий звіт'!BC213</f>
        <v>208</v>
      </c>
      <c r="BD213" s="59">
        <f t="shared" si="214"/>
        <v>-2544.0241968388818</v>
      </c>
      <c r="BE213" s="42">
        <f>'[1]побудинковий звіт'!BE213+'[2]побудинковий звіт'!BE213-'[3]побудинковий звіт'!BE213</f>
        <v>1166.5131219594202</v>
      </c>
      <c r="BF213" s="42">
        <f>'[1]побудинковий звіт'!BF213+'[2]побудинковий звіт'!BF213-'[3]побудинковий звіт'!BF213</f>
        <v>1769</v>
      </c>
      <c r="BG213" s="39">
        <f t="shared" si="215"/>
        <v>602.48687804057977</v>
      </c>
      <c r="BH213" s="42">
        <f>'[1]побудинковий звіт'!BH213+'[2]побудинковий звіт'!BH213-'[3]побудинковий звіт'!BH213</f>
        <v>634.10414095325257</v>
      </c>
      <c r="BI213" s="42">
        <f>'[1]побудинковий звіт'!BI213+'[2]побудинковий звіт'!BI213-'[3]побудинковий звіт'!BI213</f>
        <v>0</v>
      </c>
      <c r="BJ213" s="59">
        <f t="shared" si="216"/>
        <v>-634.10414095325257</v>
      </c>
      <c r="BK213" s="42">
        <f>'[1]побудинковий звіт'!BK213+'[2]побудинковий звіт'!BK213-'[3]побудинковий звіт'!BK213</f>
        <v>1231.5713742880057</v>
      </c>
      <c r="BL213" s="42">
        <f>'[1]побудинковий звіт'!BL213+'[2]побудинковий звіт'!BL213-'[3]побудинковий звіт'!BL213</f>
        <v>13353</v>
      </c>
      <c r="BM213" s="39">
        <f t="shared" si="217"/>
        <v>12121.428625711995</v>
      </c>
      <c r="BN213" s="42">
        <f>'[1]побудинковий звіт'!BN213+'[2]побудинковий звіт'!BN213-'[3]побудинковий звіт'!BN213</f>
        <v>716.05861632167455</v>
      </c>
      <c r="BO213" s="42">
        <f>'[1]побудинковий звіт'!BO213+'[2]побудинковий звіт'!BO213-'[3]побудинковий звіт'!BO213</f>
        <v>0</v>
      </c>
      <c r="BP213" s="59">
        <f t="shared" si="218"/>
        <v>-716.05861632167455</v>
      </c>
      <c r="BQ213" s="87">
        <f t="shared" si="233"/>
        <v>10856.029234277115</v>
      </c>
      <c r="BR213" s="43">
        <f t="shared" si="234"/>
        <v>17184</v>
      </c>
      <c r="BS213" s="59">
        <f t="shared" si="219"/>
        <v>6327.9707657228846</v>
      </c>
      <c r="BT213" s="42">
        <f>'[1]побудинковий звіт'!BT213+'[2]побудинковий звіт'!BT213-'[3]побудинковий звіт'!BT213</f>
        <v>88677.267834274913</v>
      </c>
      <c r="BU213" s="42">
        <f>'[1]побудинковий звіт'!BU213+'[2]побудинковий звіт'!BU213-'[3]побудинковий звіт'!BU213</f>
        <v>98074.375177467795</v>
      </c>
      <c r="BV213" s="56">
        <f t="shared" si="195"/>
        <v>9397.1073431928817</v>
      </c>
      <c r="BW213" s="42">
        <f>'[1]побудинковий звіт'!BW213+'[2]побудинковий звіт'!BW213-'[3]побудинковий звіт'!BW213</f>
        <v>73800.39478816987</v>
      </c>
      <c r="BX213" s="42">
        <f>'[1]побудинковий звіт'!BX213+'[2]побудинковий звіт'!BX213-'[3]побудинковий звіт'!BX213</f>
        <v>79717.722234407061</v>
      </c>
      <c r="BY213" s="56">
        <f t="shared" si="196"/>
        <v>5917.3274462371919</v>
      </c>
      <c r="BZ213" s="42">
        <f>'[1]побудинковий звіт'!BZ213+'[2]побудинковий звіт'!BZ213-'[3]побудинковий звіт'!BZ213</f>
        <v>15580.685426581298</v>
      </c>
      <c r="CA213" s="42">
        <f>'[1]побудинковий звіт'!CA213+'[2]побудинковий звіт'!CA213-'[3]побудинковий звіт'!CA213</f>
        <v>24395.888292026299</v>
      </c>
      <c r="CB213" s="56">
        <f t="shared" si="197"/>
        <v>8815.2028654450005</v>
      </c>
      <c r="CC213" s="42">
        <f>'[1]побудинковий звіт'!CC213+'[2]побудинковий звіт'!CC213-'[3]побудинковий звіт'!CC213</f>
        <v>2187.7578213535803</v>
      </c>
      <c r="CD213" s="42">
        <f>'[1]побудинковий звіт'!CD213+'[2]побудинковий звіт'!CD213-'[3]побудинковий звіт'!CD213</f>
        <v>2168.5158727908201</v>
      </c>
      <c r="CE213" s="56">
        <f t="shared" si="198"/>
        <v>-19.241948562760172</v>
      </c>
      <c r="CF213" s="42">
        <f>'[1]побудинковий звіт'!CF213+'[2]побудинковий звіт'!CF213-'[3]побудинковий звіт'!CF213</f>
        <v>269.32624694693698</v>
      </c>
      <c r="CG213" s="42">
        <f>'[1]побудинковий звіт'!CG213+'[2]побудинковий звіт'!CG213-'[3]побудинковий звіт'!CG213</f>
        <v>0</v>
      </c>
      <c r="CH213" s="56">
        <f t="shared" si="199"/>
        <v>-269.32624694693698</v>
      </c>
      <c r="CI213" s="42">
        <f>'[1]побудинковий звіт'!CI213+'[2]побудинковий звіт'!CI213-'[3]побудинковий звіт'!CI213</f>
        <v>26672.473377498794</v>
      </c>
      <c r="CJ213" s="42">
        <f>'[1]побудинковий звіт'!CJ213+'[2]побудинковий звіт'!CJ213-'[3]побудинковий звіт'!CJ213</f>
        <v>19572.793323613616</v>
      </c>
      <c r="CK213" s="56">
        <f t="shared" si="200"/>
        <v>-7099.6800538851785</v>
      </c>
      <c r="CL213" s="42">
        <f>'[1]побудинковий звіт'!CL213+'[2]побудинковий звіт'!CL213-'[3]побудинковий звіт'!CL213</f>
        <v>12072.803739288925</v>
      </c>
      <c r="CM213" s="42">
        <f>'[1]побудинковий звіт'!CM213+'[2]побудинковий звіт'!CM213-'[3]побудинковий звіт'!CM213</f>
        <v>14970.144878463012</v>
      </c>
      <c r="CN213" s="56">
        <f t="shared" si="201"/>
        <v>2897.3411391740865</v>
      </c>
      <c r="CO213" s="42">
        <f t="shared" si="181"/>
        <v>38745.277116787722</v>
      </c>
      <c r="CP213" s="43">
        <f t="shared" si="202"/>
        <v>34542.938202076628</v>
      </c>
      <c r="CQ213" s="56">
        <f t="shared" si="203"/>
        <v>-4202.3389147110938</v>
      </c>
      <c r="CR213" s="78">
        <f t="shared" si="182"/>
        <v>463656.23390040669</v>
      </c>
      <c r="CS213" s="5">
        <f t="shared" si="182"/>
        <v>479047.252309061</v>
      </c>
      <c r="CT213" s="56">
        <f t="shared" si="204"/>
        <v>15391.018408654316</v>
      </c>
      <c r="CU213" s="87">
        <f t="shared" si="205"/>
        <v>556387.48068048805</v>
      </c>
      <c r="CV213" s="70">
        <f t="shared" si="206"/>
        <v>574856.70277087321</v>
      </c>
      <c r="CW213" s="37">
        <f t="shared" si="207"/>
        <v>18469.222090385156</v>
      </c>
      <c r="CX213" s="42">
        <f>'[1]побудинковий звіт'!CX213+'[2]побудинковий звіт'!CX213-'[3]побудинковий звіт'!CX213</f>
        <v>8625.6993195120303</v>
      </c>
      <c r="CY213" s="42">
        <f>'[1]побудинковий звіт'!CY213+'[2]побудинковий звіт'!CY213-'[3]побудинковий звіт'!CY213</f>
        <v>-9843.522770873009</v>
      </c>
      <c r="CZ213" s="56">
        <f t="shared" si="208"/>
        <v>-18469.222090385039</v>
      </c>
      <c r="DA213" s="264">
        <f>'[4]побудинковий звіт'!DA213</f>
        <v>-58861.409125833248</v>
      </c>
      <c r="DB213" s="2">
        <v>1</v>
      </c>
      <c r="DC213" s="717">
        <f>'[4]побудинковий звіт'!DC213</f>
        <v>97484.83</v>
      </c>
      <c r="DD213" s="717">
        <f>'[4]побудинковий звіт'!DD213</f>
        <v>327.27999999999997</v>
      </c>
      <c r="DE213" s="717">
        <f>'[4]побудинковий звіт'!DE213</f>
        <v>50721.48</v>
      </c>
      <c r="DF213" s="717">
        <f>'[4]побудинковий звіт'!DF213</f>
        <v>0</v>
      </c>
      <c r="DG213" s="787">
        <v>-99192.252234979998</v>
      </c>
      <c r="DH213" s="761">
        <f t="shared" si="226"/>
        <v>6780158.1600000001</v>
      </c>
      <c r="DI213" s="784"/>
      <c r="DJ213" s="5"/>
      <c r="DK213" s="317">
        <f>VLOOKUP($A213,ціни!$A$4:$G$401,5)</f>
        <v>6.1638691886409589</v>
      </c>
      <c r="DL213" s="317">
        <f>VLOOKUP($A213,ціни!$A$4:$G$401,6)</f>
        <v>7.0827901464063849</v>
      </c>
      <c r="DM213" s="317">
        <f>VLOOKUP($A213,ціни!$A$4:$G$401,7)</f>
        <v>5.0421398789081495</v>
      </c>
      <c r="DN213" s="30">
        <f>DK213*G213+(F213-G213)*DL213</f>
        <v>52208.535912917629</v>
      </c>
      <c r="DO213" s="30">
        <f>DM213*H213</f>
        <v>327.28529953992796</v>
      </c>
      <c r="DP213" s="316">
        <f t="shared" si="221"/>
        <v>52535.821212457558</v>
      </c>
      <c r="DQ213" s="104"/>
      <c r="DR213" s="30">
        <f>VLOOKUP(A213,'ДЗ нас '!$A$1:$C$359,2)</f>
        <v>46763.35</v>
      </c>
      <c r="DS213" s="748">
        <f>VLOOKUP(A213,'ДЗ нежит'!$A$1:$D$153,4,0)</f>
        <v>327.27999999999997</v>
      </c>
      <c r="DT213" s="30">
        <f t="shared" si="222"/>
        <v>47090.63</v>
      </c>
      <c r="DU213" s="257">
        <f>VLOOKUP(A213,'новий кошторис с 01.06'!$A$4:$AI$399,35)*1.2</f>
        <v>47200.20461106141</v>
      </c>
      <c r="DV213" s="30">
        <f t="shared" si="223"/>
        <v>-109.57461106141272</v>
      </c>
      <c r="DW213" s="930">
        <f>'[5]побудинковий звіт'!DW213+'[6]побудинковий звіт'!DW213</f>
        <v>276</v>
      </c>
      <c r="DY213" s="5">
        <f t="shared" si="227"/>
        <v>136776.98106580443</v>
      </c>
      <c r="DZ213" s="5">
        <f t="shared" si="228"/>
        <v>149042.4</v>
      </c>
      <c r="EA213" s="752">
        <f t="shared" si="229"/>
        <v>50721.48</v>
      </c>
      <c r="EC213" s="592">
        <f t="shared" si="230"/>
        <v>1237497.4598467192</v>
      </c>
      <c r="EE213" s="758">
        <v>67285</v>
      </c>
      <c r="EF213" s="738">
        <f t="shared" si="231"/>
        <v>-31907.252234979998</v>
      </c>
      <c r="EH213" s="813">
        <v>-94552.485553522245</v>
      </c>
    </row>
    <row r="214" spans="1:138" x14ac:dyDescent="0.3">
      <c r="A214" s="328">
        <v>150000947</v>
      </c>
      <c r="B214" s="44" t="s">
        <v>665</v>
      </c>
      <c r="C214" s="45" t="s">
        <v>268</v>
      </c>
      <c r="D214" s="45" t="s">
        <v>268</v>
      </c>
      <c r="E214" s="40">
        <f t="shared" si="232"/>
        <v>6120.05</v>
      </c>
      <c r="F214" s="490">
        <v>6120.05</v>
      </c>
      <c r="G214" s="30"/>
      <c r="H214" s="30">
        <v>0</v>
      </c>
      <c r="I214" s="42">
        <f>'[1]побудинковий звіт'!I214+'[2]побудинковий звіт'!I214-'[3]побудинковий звіт'!I214</f>
        <v>11281.066102914156</v>
      </c>
      <c r="J214" s="42">
        <f>'[1]побудинковий звіт'!J214+'[2]побудинковий звіт'!J214-'[3]побудинковий звіт'!J214</f>
        <v>9523.4304513384759</v>
      </c>
      <c r="K214" s="56">
        <f t="shared" si="183"/>
        <v>-1757.6356515756797</v>
      </c>
      <c r="L214" s="42">
        <f>'[1]побудинковий звіт'!L214+'[2]побудинковий звіт'!L214-'[3]побудинковий звіт'!L214</f>
        <v>2342.0183398893819</v>
      </c>
      <c r="M214" s="42">
        <f>'[1]побудинковий звіт'!M214+'[2]побудинковий звіт'!M214-'[3]побудинковий звіт'!M214</f>
        <v>2172.6947810098086</v>
      </c>
      <c r="N214" s="56">
        <f t="shared" si="184"/>
        <v>-169.32355887957328</v>
      </c>
      <c r="O214" s="42">
        <f>'[1]побудинковий звіт'!O214+'[2]побудинковий звіт'!O214-'[3]побудинковий звіт'!O214</f>
        <v>5428.2000000000007</v>
      </c>
      <c r="P214" s="42">
        <f>'[1]побудинковий звіт'!P214+'[2]побудинковий звіт'!P214-'[3]побудинковий звіт'!P214</f>
        <v>4266.5248379032255</v>
      </c>
      <c r="Q214" s="56">
        <f t="shared" si="185"/>
        <v>-1161.6751620967752</v>
      </c>
      <c r="R214" s="42">
        <f>'[1]побудинковий звіт'!R214+'[2]побудинковий звіт'!R214-'[3]побудинковий звіт'!R214</f>
        <v>1067.8799999999999</v>
      </c>
      <c r="S214" s="42">
        <f>'[1]побудинковий звіт'!S214+'[2]побудинковий звіт'!S214-'[3]побудинковий звіт'!S214</f>
        <v>839.45370940860221</v>
      </c>
      <c r="T214" s="56">
        <f t="shared" si="186"/>
        <v>-228.42629059139767</v>
      </c>
      <c r="U214" s="42">
        <f>'[1]побудинковий звіт'!U214+'[2]побудинковий звіт'!U214-'[3]побудинковий звіт'!U214</f>
        <v>709.3549077326212</v>
      </c>
      <c r="V214" s="42">
        <f>'[1]побудинковий звіт'!V214+'[2]побудинковий звіт'!V214-'[3]побудинковий звіт'!V214</f>
        <v>250.16296684857895</v>
      </c>
      <c r="W214" s="56">
        <f t="shared" si="187"/>
        <v>-459.19194088404225</v>
      </c>
      <c r="X214" s="42">
        <f>'[1]побудинковий звіт'!X214+'[2]побудинковий звіт'!X214-'[3]побудинковий звіт'!X214</f>
        <v>8120.4954639428952</v>
      </c>
      <c r="Y214" s="42">
        <f>'[1]побудинковий звіт'!Y214+'[2]побудинковий звіт'!Y214-'[3]побудинковий звіт'!Y214</f>
        <v>8037.1534778305613</v>
      </c>
      <c r="Z214" s="56">
        <f t="shared" si="188"/>
        <v>-83.341986112333871</v>
      </c>
      <c r="AA214" s="42">
        <f>'[1]побудинковий звіт'!AA214+'[2]побудинковий звіт'!AA214-'[3]побудинковий звіт'!AA214</f>
        <v>0</v>
      </c>
      <c r="AB214" s="42">
        <f>'[1]побудинковий звіт'!AB214+'[2]побудинковий звіт'!AB214-'[3]побудинковий звіт'!AB214</f>
        <v>0</v>
      </c>
      <c r="AC214" s="56">
        <f t="shared" si="189"/>
        <v>0</v>
      </c>
      <c r="AD214" s="42">
        <f>'[1]побудинковий звіт'!AD214+'[2]побудинковий звіт'!AD214-'[3]побудинковий звіт'!AD214</f>
        <v>13970.424368437509</v>
      </c>
      <c r="AE214" s="42">
        <f>'[1]побудинковий звіт'!AE214+'[2]побудинковий звіт'!AE214-'[3]побудинковий звіт'!AE214</f>
        <v>12876.429999901102</v>
      </c>
      <c r="AF214" s="37">
        <f t="shared" si="190"/>
        <v>-1093.9943685364069</v>
      </c>
      <c r="AG214" s="87">
        <f t="shared" si="180"/>
        <v>42919.439182916562</v>
      </c>
      <c r="AH214" s="57">
        <f t="shared" si="180"/>
        <v>37965.850224240356</v>
      </c>
      <c r="AI214" s="56">
        <f t="shared" si="191"/>
        <v>-4953.5889586762059</v>
      </c>
      <c r="AJ214" s="42">
        <f>'[1]побудинковий звіт'!AJ214+'[2]побудинковий звіт'!AJ214-'[3]побудинковий звіт'!AJ214</f>
        <v>0</v>
      </c>
      <c r="AK214" s="42">
        <f>'[1]побудинковий звіт'!AK214+'[2]побудинковий звіт'!AK214-'[3]побудинковий звіт'!AK214</f>
        <v>0</v>
      </c>
      <c r="AL214" s="56">
        <f t="shared" si="192"/>
        <v>0</v>
      </c>
      <c r="AM214" s="42">
        <f>'[1]побудинковий звіт'!AM214+'[2]побудинковий звіт'!AM214-'[3]побудинковий звіт'!AM214</f>
        <v>0</v>
      </c>
      <c r="AN214" s="42">
        <f>'[1]побудинковий звіт'!AN214+'[2]побудинковий звіт'!AN214-'[3]побудинковий звіт'!AN214</f>
        <v>0</v>
      </c>
      <c r="AO214" s="56">
        <f t="shared" si="193"/>
        <v>0</v>
      </c>
      <c r="AP214" s="42">
        <f>'[1]побудинковий звіт'!AP214+'[2]побудинковий звіт'!AP214-'[3]побудинковий звіт'!AP214</f>
        <v>4261.5793930214249</v>
      </c>
      <c r="AQ214" s="42">
        <f>'[1]побудинковий звіт'!AQ214+'[2]побудинковий звіт'!AQ214-'[3]побудинковий звіт'!AQ214</f>
        <v>2718.0964839554758</v>
      </c>
      <c r="AR214" s="56">
        <f t="shared" si="194"/>
        <v>-1543.4829090659491</v>
      </c>
      <c r="AS214" s="42">
        <f>'[1]побудинковий звіт'!AS214+'[2]побудинковий звіт'!AS214-'[3]побудинковий звіт'!AS214</f>
        <v>45540.27132344347</v>
      </c>
      <c r="AT214" s="42">
        <f>'[1]побудинковий звіт'!AT214+'[2]побудинковий звіт'!AT214-'[3]побудинковий звіт'!AT214</f>
        <v>3423</v>
      </c>
      <c r="AU214" s="58">
        <f t="shared" si="211"/>
        <v>-42117.27132344347</v>
      </c>
      <c r="AV214" s="42">
        <f>'[1]побудинковий звіт'!AV214+'[2]побудинковий звіт'!AV214-'[3]побудинковий звіт'!AV214</f>
        <v>2012.9473341933779</v>
      </c>
      <c r="AW214" s="42">
        <f>'[1]побудинковий звіт'!AW214+'[2]побудинковий звіт'!AW214-'[3]побудинковий звіт'!AW214</f>
        <v>0</v>
      </c>
      <c r="AX214" s="59">
        <f t="shared" si="212"/>
        <v>-2012.9473341933779</v>
      </c>
      <c r="AY214" s="42">
        <f>'[1]побудинковий звіт'!AY214+'[2]побудинковий звіт'!AY214-'[3]побудинковий звіт'!AY214</f>
        <v>3018.5931941110848</v>
      </c>
      <c r="AZ214" s="42">
        <f>'[1]побудинковий звіт'!AZ214+'[2]побудинковий звіт'!AZ214-'[3]побудинковий звіт'!AZ214</f>
        <v>8978</v>
      </c>
      <c r="BA214" s="37">
        <f t="shared" si="213"/>
        <v>5959.4068058889152</v>
      </c>
      <c r="BB214" s="42">
        <f>'[1]побудинковий звіт'!BB214+'[2]побудинковий звіт'!BB214-'[3]побудинковий звіт'!BB214</f>
        <v>2097.5000345903368</v>
      </c>
      <c r="BC214" s="42">
        <f>'[1]побудинковий звіт'!BC214+'[2]побудинковий звіт'!BC214-'[3]побудинковий звіт'!BC214</f>
        <v>342</v>
      </c>
      <c r="BD214" s="59">
        <f t="shared" si="214"/>
        <v>-1755.5000345903368</v>
      </c>
      <c r="BE214" s="42">
        <f>'[1]побудинковий звіт'!BE214+'[2]побудинковий звіт'!BE214-'[3]побудинковий звіт'!BE214</f>
        <v>1211.2783983132217</v>
      </c>
      <c r="BF214" s="42">
        <f>'[1]побудинковий звіт'!BF214+'[2]побудинковий звіт'!BF214-'[3]побудинковий звіт'!BF214</f>
        <v>0</v>
      </c>
      <c r="BG214" s="39">
        <f t="shared" si="215"/>
        <v>-1211.2783983132217</v>
      </c>
      <c r="BH214" s="42">
        <f>'[1]побудинковий звіт'!BH214+'[2]побудинковий звіт'!BH214-'[3]побудинковий звіт'!BH214</f>
        <v>719.6828414324732</v>
      </c>
      <c r="BI214" s="42">
        <f>'[1]побудинковий звіт'!BI214+'[2]побудинковий звіт'!BI214-'[3]побудинковий звіт'!BI214</f>
        <v>0</v>
      </c>
      <c r="BJ214" s="59">
        <f t="shared" si="216"/>
        <v>-719.6828414324732</v>
      </c>
      <c r="BK214" s="42">
        <f>'[1]побудинковий звіт'!BK214+'[2]побудинковий звіт'!BK214-'[3]побудинковий звіт'!BK214</f>
        <v>1123.0484366790481</v>
      </c>
      <c r="BL214" s="42">
        <f>'[1]побудинковий звіт'!BL214+'[2]побудинковий звіт'!BL214-'[3]побудинковий звіт'!BL214</f>
        <v>4419.1547551024414</v>
      </c>
      <c r="BM214" s="39">
        <f t="shared" si="217"/>
        <v>3296.1063184233935</v>
      </c>
      <c r="BN214" s="42">
        <f>'[1]побудинковий звіт'!BN214+'[2]побудинковий звіт'!BN214-'[3]побудинковий звіт'!BN214</f>
        <v>646.34779112686533</v>
      </c>
      <c r="BO214" s="42">
        <f>'[1]побудинковий звіт'!BO214+'[2]побудинковий звіт'!BO214-'[3]побудинковий звіт'!BO214</f>
        <v>0</v>
      </c>
      <c r="BP214" s="59">
        <f t="shared" si="218"/>
        <v>-646.34779112686533</v>
      </c>
      <c r="BQ214" s="87">
        <f t="shared" si="233"/>
        <v>10829.398030446408</v>
      </c>
      <c r="BR214" s="43">
        <f t="shared" si="234"/>
        <v>13739.154755102441</v>
      </c>
      <c r="BS214" s="59">
        <f t="shared" si="219"/>
        <v>2909.7567246560338</v>
      </c>
      <c r="BT214" s="42">
        <f>'[1]побудинковий звіт'!BT214+'[2]побудинковий звіт'!BT214-'[3]побудинковий звіт'!BT214</f>
        <v>36365.144313712066</v>
      </c>
      <c r="BU214" s="42">
        <f>'[1]побудинковий звіт'!BU214+'[2]побудинковий звіт'!BU214-'[3]побудинковий звіт'!BU214</f>
        <v>44874.42375263384</v>
      </c>
      <c r="BV214" s="56">
        <f t="shared" si="195"/>
        <v>8509.2794389217743</v>
      </c>
      <c r="BW214" s="42">
        <f>'[1]побудинковий звіт'!BW214+'[2]побудинковий звіт'!BW214-'[3]побудинковий звіт'!BW214</f>
        <v>19150.297600868667</v>
      </c>
      <c r="BX214" s="42">
        <f>'[1]побудинковий звіт'!BX214+'[2]побудинковий звіт'!BX214-'[3]побудинковий звіт'!BX214</f>
        <v>18492.161678157041</v>
      </c>
      <c r="BY214" s="56">
        <f t="shared" si="196"/>
        <v>-658.13592271162634</v>
      </c>
      <c r="BZ214" s="42">
        <f>'[1]побудинковий звіт'!BZ214+'[2]побудинковий звіт'!BZ214-'[3]побудинковий звіт'!BZ214</f>
        <v>12983.904522151081</v>
      </c>
      <c r="CA214" s="42">
        <f>'[1]побудинковий звіт'!CA214+'[2]побудинковий звіт'!CA214-'[3]побудинковий звіт'!CA214</f>
        <v>8280.3150987619119</v>
      </c>
      <c r="CB214" s="56">
        <f t="shared" si="197"/>
        <v>-4703.5894233891686</v>
      </c>
      <c r="CC214" s="42">
        <f>'[1]побудинковий звіт'!CC214+'[2]побудинковий звіт'!CC214-'[3]побудинковий звіт'!CC214</f>
        <v>1124.4686946806585</v>
      </c>
      <c r="CD214" s="42">
        <f>'[1]побудинковий звіт'!CD214+'[2]побудинковий звіт'!CD214-'[3]побудинковий звіт'!CD214</f>
        <v>1114.5786746006058</v>
      </c>
      <c r="CE214" s="56">
        <f t="shared" si="198"/>
        <v>-9.8900200800526363</v>
      </c>
      <c r="CF214" s="42">
        <f>'[1]побудинковий звіт'!CF214+'[2]побудинковий звіт'!CF214-'[3]побудинковий звіт'!CF214</f>
        <v>138.42891127697501</v>
      </c>
      <c r="CG214" s="42">
        <f>'[1]побудинковий звіт'!CG214+'[2]побудинковий звіт'!CG214-'[3]побудинковий звіт'!CG214</f>
        <v>0</v>
      </c>
      <c r="CH214" s="56">
        <f t="shared" si="199"/>
        <v>-138.42891127697501</v>
      </c>
      <c r="CI214" s="42">
        <f>'[1]побудинковий звіт'!CI214+'[2]побудинковий звіт'!CI214-'[3]побудинковий звіт'!CI214</f>
        <v>7805.2079988891192</v>
      </c>
      <c r="CJ214" s="42">
        <f>'[1]побудинковий звіт'!CJ214+'[2]побудинковий звіт'!CJ214-'[3]побудинковий звіт'!CJ214</f>
        <v>14010.822670632289</v>
      </c>
      <c r="CK214" s="56">
        <f t="shared" si="200"/>
        <v>6205.6146717431702</v>
      </c>
      <c r="CL214" s="42">
        <f>'[1]побудинковий звіт'!CL214+'[2]побудинковий звіт'!CL214-'[3]побудинковий звіт'!CL214</f>
        <v>0</v>
      </c>
      <c r="CM214" s="42">
        <f>'[1]побудинковий звіт'!CM214+'[2]побудинковий звіт'!CM214-'[3]побудинковий звіт'!CM214</f>
        <v>0</v>
      </c>
      <c r="CN214" s="56">
        <f t="shared" si="201"/>
        <v>0</v>
      </c>
      <c r="CO214" s="42">
        <f t="shared" si="181"/>
        <v>7805.2079988891192</v>
      </c>
      <c r="CP214" s="43">
        <f t="shared" si="202"/>
        <v>14010.822670632289</v>
      </c>
      <c r="CQ214" s="56">
        <f t="shared" si="203"/>
        <v>6205.6146717431702</v>
      </c>
      <c r="CR214" s="78">
        <f t="shared" si="182"/>
        <v>181118.13997140643</v>
      </c>
      <c r="CS214" s="5">
        <f t="shared" si="182"/>
        <v>144618.40333808397</v>
      </c>
      <c r="CT214" s="56">
        <f t="shared" si="204"/>
        <v>-36499.736633322464</v>
      </c>
      <c r="CU214" s="87">
        <f t="shared" si="205"/>
        <v>217341.7679656877</v>
      </c>
      <c r="CV214" s="70">
        <f t="shared" si="206"/>
        <v>173542.08400570074</v>
      </c>
      <c r="CW214" s="37">
        <f t="shared" si="207"/>
        <v>-43799.683959986956</v>
      </c>
      <c r="CX214" s="42">
        <f>'[1]побудинковий звіт'!CX214+'[2]побудинковий звіт'!CX214-'[3]побудинковий звіт'!CX214</f>
        <v>10855.462034312306</v>
      </c>
      <c r="CY214" s="42">
        <f>'[1]побудинковий звіт'!CY214+'[2]побудинковий звіт'!CY214-'[3]побудинковий звіт'!CY214</f>
        <v>54655.14599429923</v>
      </c>
      <c r="CZ214" s="56">
        <f t="shared" si="208"/>
        <v>43799.683959986927</v>
      </c>
      <c r="DA214" s="264">
        <f>'[4]побудинковий звіт'!DA214</f>
        <v>-82717.74740060253</v>
      </c>
      <c r="DB214" s="2">
        <v>1</v>
      </c>
      <c r="DC214" s="717">
        <f>'[4]побудинковий звіт'!DC214</f>
        <v>58891.94</v>
      </c>
      <c r="DD214" s="717">
        <f>'[4]побудинковий звіт'!DD214</f>
        <v>0</v>
      </c>
      <c r="DE214" s="717">
        <f>'[4]побудинковий звіт'!DE214</f>
        <v>39876.350000000006</v>
      </c>
      <c r="DF214" s="717">
        <f>'[4]побудинковий звіт'!DF214</f>
        <v>0</v>
      </c>
      <c r="DG214" s="787">
        <v>-37762.015108142165</v>
      </c>
      <c r="DH214" s="761">
        <f t="shared" si="226"/>
        <v>2738366.7600000002</v>
      </c>
      <c r="DI214" s="784"/>
      <c r="DJ214" s="5"/>
      <c r="DK214" s="317">
        <f>VLOOKUP($A214,ціни!$A$4:$G$401,5)</f>
        <v>5.8205260297486223</v>
      </c>
      <c r="DL214" s="317"/>
      <c r="DM214" s="317">
        <f>VLOOKUP($A214,ціни!$A$4:$G$401,7)</f>
        <v>5.2051000669991927</v>
      </c>
      <c r="DN214" s="30">
        <f>F214*DK214</f>
        <v>35621.910328363054</v>
      </c>
      <c r="DO214" s="30">
        <f>H214*DM214</f>
        <v>0</v>
      </c>
      <c r="DP214" s="316">
        <f t="shared" si="221"/>
        <v>35621.910328363054</v>
      </c>
      <c r="DQ214" s="104"/>
      <c r="DR214" s="30">
        <f>VLOOKUP(A214,'ДЗ нас '!$A$1:$C$359,2)</f>
        <v>19015.59</v>
      </c>
      <c r="DS214" s="748"/>
      <c r="DT214" s="30">
        <f t="shared" si="222"/>
        <v>19015.59</v>
      </c>
      <c r="DU214" s="257">
        <f>VLOOKUP(A214,'новий кошторис с 01.06'!$A$4:$AI$399,35)*1.2</f>
        <v>19198.522836969081</v>
      </c>
      <c r="DV214" s="30">
        <f t="shared" si="223"/>
        <v>-182.93283696908111</v>
      </c>
      <c r="DW214" s="930">
        <f>'[5]побудинковий звіт'!DW214+'[6]побудинковий звіт'!DW214</f>
        <v>204</v>
      </c>
      <c r="DY214" s="5">
        <f t="shared" si="227"/>
        <v>67643.603224667851</v>
      </c>
      <c r="DZ214" s="5">
        <f t="shared" si="228"/>
        <v>20594.585706122929</v>
      </c>
      <c r="EA214" s="752">
        <f t="shared" si="229"/>
        <v>39876.350000000006</v>
      </c>
      <c r="EC214" s="592">
        <f t="shared" si="230"/>
        <v>546483.25588132162</v>
      </c>
      <c r="EE214" s="758">
        <v>14992</v>
      </c>
      <c r="EF214" s="738">
        <f t="shared" si="231"/>
        <v>-22770.015108142165</v>
      </c>
      <c r="EH214" s="813">
        <v>-50767.046511761648</v>
      </c>
    </row>
    <row r="215" spans="1:138" x14ac:dyDescent="0.3">
      <c r="A215" s="328">
        <v>150000948</v>
      </c>
      <c r="B215" s="44" t="s">
        <v>666</v>
      </c>
      <c r="C215" s="45" t="s">
        <v>383</v>
      </c>
      <c r="D215" s="45" t="s">
        <v>383</v>
      </c>
      <c r="E215" s="40">
        <f t="shared" si="232"/>
        <v>2163.8200000000002</v>
      </c>
      <c r="F215" s="490">
        <v>2163.8200000000002</v>
      </c>
      <c r="G215" s="30">
        <v>699.7</v>
      </c>
      <c r="H215" s="30">
        <v>0</v>
      </c>
      <c r="I215" s="42">
        <f>'[1]побудинковий звіт'!I215+'[2]побудинковий звіт'!I215-'[3]побудинковий звіт'!I215</f>
        <v>17025.797414123583</v>
      </c>
      <c r="J215" s="42">
        <f>'[1]побудинковий звіт'!J215+'[2]побудинковий звіт'!J215-'[3]побудинковий звіт'!J215</f>
        <v>14587.688618932525</v>
      </c>
      <c r="K215" s="56">
        <f t="shared" si="183"/>
        <v>-2438.1087951910577</v>
      </c>
      <c r="L215" s="42">
        <f>'[1]побудинковий звіт'!L215+'[2]побудинковий звіт'!L215-'[3]побудинковий звіт'!L215</f>
        <v>3515.3169803633659</v>
      </c>
      <c r="M215" s="42">
        <f>'[1]побудинковий звіт'!M215+'[2]побудинковий звіт'!M215-'[3]побудинковий звіт'!M215</f>
        <v>3567.8299937732581</v>
      </c>
      <c r="N215" s="56">
        <f t="shared" si="184"/>
        <v>52.51301340989221</v>
      </c>
      <c r="O215" s="42">
        <f>'[1]побудинковий звіт'!O215+'[2]побудинковий звіт'!O215-'[3]побудинковий звіт'!O215</f>
        <v>9806.0399999999991</v>
      </c>
      <c r="P215" s="42">
        <f>'[1]побудинковий звіт'!P215+'[2]побудинковий звіт'!P215-'[3]побудинковий звіт'!P215</f>
        <v>7707.364777419356</v>
      </c>
      <c r="Q215" s="56">
        <f t="shared" si="185"/>
        <v>-2098.6752225806431</v>
      </c>
      <c r="R215" s="42">
        <f>'[1]побудинковий звіт'!R215+'[2]побудинковий звіт'!R215-'[3]побудинковий звіт'!R215</f>
        <v>2004.8399999999997</v>
      </c>
      <c r="S215" s="42">
        <f>'[1]побудинковий звіт'!S215+'[2]побудинковий звіт'!S215-'[3]побудинковий звіт'!S215</f>
        <v>1576.2667827956989</v>
      </c>
      <c r="T215" s="56">
        <f t="shared" si="186"/>
        <v>-428.57321720430082</v>
      </c>
      <c r="U215" s="42">
        <f>'[1]побудинковий звіт'!U215+'[2]побудинковий звіт'!U215-'[3]побудинковий звіт'!U215</f>
        <v>868.80020236398877</v>
      </c>
      <c r="V215" s="42">
        <f>'[1]побудинковий звіт'!V215+'[2]побудинковий звіт'!V215-'[3]побудинковий звіт'!V215</f>
        <v>377.72551889818493</v>
      </c>
      <c r="W215" s="56">
        <f t="shared" si="187"/>
        <v>-491.07468346580384</v>
      </c>
      <c r="X215" s="42">
        <f>'[1]побудинковий звіт'!X215+'[2]побудинковий звіт'!X215-'[3]побудинковий звіт'!X215</f>
        <v>12800.859678555275</v>
      </c>
      <c r="Y215" s="42">
        <f>'[1]побудинковий звіт'!Y215+'[2]побудинковий звіт'!Y215-'[3]побудинковий звіт'!Y215</f>
        <v>12292.704371071313</v>
      </c>
      <c r="Z215" s="56">
        <f t="shared" si="188"/>
        <v>-508.15530748396122</v>
      </c>
      <c r="AA215" s="42">
        <f>'[1]побудинковий звіт'!AA215+'[2]побудинковий звіт'!AA215-'[3]побудинковий звіт'!AA215</f>
        <v>0</v>
      </c>
      <c r="AB215" s="42">
        <f>'[1]побудинковий звіт'!AB215+'[2]побудинковий звіт'!AB215-'[3]побудинковий звіт'!AB215</f>
        <v>0</v>
      </c>
      <c r="AC215" s="56">
        <f t="shared" si="189"/>
        <v>0</v>
      </c>
      <c r="AD215" s="42">
        <f>'[1]побудинковий звіт'!AD215+'[2]побудинковий звіт'!AD215-'[3]побудинковий звіт'!AD215</f>
        <v>28284.625592144632</v>
      </c>
      <c r="AE215" s="42">
        <f>'[1]побудинковий звіт'!AE215+'[2]побудинковий звіт'!AE215-'[3]побудинковий звіт'!AE215</f>
        <v>26069.751004358448</v>
      </c>
      <c r="AF215" s="37">
        <f t="shared" si="190"/>
        <v>-2214.8745877861838</v>
      </c>
      <c r="AG215" s="87">
        <f t="shared" si="180"/>
        <v>74306.279867550838</v>
      </c>
      <c r="AH215" s="57">
        <f t="shared" si="180"/>
        <v>66179.331067248771</v>
      </c>
      <c r="AI215" s="56">
        <f t="shared" si="191"/>
        <v>-8126.948800302067</v>
      </c>
      <c r="AJ215" s="42">
        <f>'[1]побудинковий звіт'!AJ215+'[2]побудинковий звіт'!AJ215-'[3]побудинковий звіт'!AJ215</f>
        <v>86413.599575368164</v>
      </c>
      <c r="AK215" s="42">
        <f>'[1]побудинковий звіт'!AK215+'[2]побудинковий звіт'!AK215-'[3]побудинковий звіт'!AK215</f>
        <v>76524.872224252991</v>
      </c>
      <c r="AL215" s="56">
        <f t="shared" si="192"/>
        <v>-9888.7273511151725</v>
      </c>
      <c r="AM215" s="42">
        <f>'[1]побудинковий звіт'!AM215+'[2]побудинковий звіт'!AM215-'[3]побудинковий звіт'!AM215</f>
        <v>0</v>
      </c>
      <c r="AN215" s="42">
        <f>'[1]побудинковий звіт'!AN215+'[2]побудинковий звіт'!AN215-'[3]побудинковий звіт'!AN215</f>
        <v>1564.7590621375221</v>
      </c>
      <c r="AO215" s="56">
        <f t="shared" si="193"/>
        <v>1564.7590621375221</v>
      </c>
      <c r="AP215" s="42">
        <f>'[1]побудинковий звіт'!AP215+'[2]побудинковий звіт'!AP215-'[3]побудинковий звіт'!AP215</f>
        <v>5113.8952716257081</v>
      </c>
      <c r="AQ215" s="42">
        <f>'[1]побудинковий звіт'!AQ215+'[2]побудинковий звіт'!AQ215-'[3]побудинковий звіт'!AQ215</f>
        <v>9735.225679430745</v>
      </c>
      <c r="AR215" s="56">
        <f t="shared" si="194"/>
        <v>4621.3304078050369</v>
      </c>
      <c r="AS215" s="42">
        <f>'[1]побудинковий звіт'!AS215+'[2]побудинковий звіт'!AS215-'[3]побудинковий звіт'!AS215</f>
        <v>104727.43492588287</v>
      </c>
      <c r="AT215" s="42">
        <f>'[1]побудинковий звіт'!AT215+'[2]побудинковий звіт'!AT215-'[3]побудинковий звіт'!AT215</f>
        <v>74031.344709028461</v>
      </c>
      <c r="AU215" s="58">
        <f t="shared" si="211"/>
        <v>-30696.090216854413</v>
      </c>
      <c r="AV215" s="42">
        <f>'[1]побудинковий звіт'!AV215+'[2]побудинковий звіт'!AV215-'[3]побудинковий звіт'!AV215</f>
        <v>1405.1963901911304</v>
      </c>
      <c r="AW215" s="42">
        <f>'[1]побудинковий звіт'!AW215+'[2]побудинковий звіт'!AW215-'[3]побудинковий звіт'!AW215</f>
        <v>0</v>
      </c>
      <c r="AX215" s="59">
        <f t="shared" si="212"/>
        <v>-1405.1963901911304</v>
      </c>
      <c r="AY215" s="42">
        <f>'[1]побудинковий звіт'!AY215+'[2]побудинковий звіт'!AY215-'[3]побудинковий звіт'!AY215</f>
        <v>2042.365147209324</v>
      </c>
      <c r="AZ215" s="42">
        <f>'[1]побудинковий звіт'!AZ215+'[2]побудинковий звіт'!AZ215-'[3]побудинковий звіт'!AZ215</f>
        <v>9229.5210449493679</v>
      </c>
      <c r="BA215" s="37">
        <f t="shared" si="213"/>
        <v>7187.1558977400437</v>
      </c>
      <c r="BB215" s="42">
        <f>'[1]побудинковий звіт'!BB215+'[2]побудинковий звіт'!BB215-'[3]побудинковий звіт'!BB215</f>
        <v>2263.9534977092271</v>
      </c>
      <c r="BC215" s="42">
        <f>'[1]побудинковий звіт'!BC215+'[2]побудинковий звіт'!BC215-'[3]побудинковий звіт'!BC215</f>
        <v>2022</v>
      </c>
      <c r="BD215" s="59">
        <f t="shared" si="214"/>
        <v>-241.95349770922712</v>
      </c>
      <c r="BE215" s="42">
        <f>'[1]побудинковий звіт'!BE215+'[2]побудинковий звіт'!BE215-'[3]побудинковий звіт'!BE215</f>
        <v>1050.7185398515492</v>
      </c>
      <c r="BF215" s="42">
        <f>'[1]побудинковий звіт'!BF215+'[2]побудинковий звіт'!BF215-'[3]побудинковий звіт'!BF215</f>
        <v>0</v>
      </c>
      <c r="BG215" s="39">
        <f t="shared" si="215"/>
        <v>-1050.7185398515492</v>
      </c>
      <c r="BH215" s="42">
        <f>'[1]побудинковий звіт'!BH215+'[2]побудинковий звіт'!BH215-'[3]побудинковий звіт'!BH215</f>
        <v>440.7474669458515</v>
      </c>
      <c r="BI215" s="42">
        <f>'[1]побудинковий звіт'!BI215+'[2]побудинковий звіт'!BI215-'[3]побудинковий звіт'!BI215</f>
        <v>0</v>
      </c>
      <c r="BJ215" s="59">
        <f t="shared" si="216"/>
        <v>-440.7474669458515</v>
      </c>
      <c r="BK215" s="42">
        <f>'[1]побудинковий звіт'!BK215+'[2]побудинковий звіт'!BK215-'[3]побудинковий звіт'!BK215</f>
        <v>1397.3555544636613</v>
      </c>
      <c r="BL215" s="42">
        <f>'[1]побудинковий звіт'!BL215+'[2]побудинковий звіт'!BL215-'[3]побудинковий звіт'!BL215</f>
        <v>4255.7964664524316</v>
      </c>
      <c r="BM215" s="39">
        <f t="shared" si="217"/>
        <v>2858.4409119887705</v>
      </c>
      <c r="BN215" s="42">
        <f>'[1]побудинковий звіт'!BN215+'[2]побудинковий звіт'!BN215-'[3]побудинковий звіт'!BN215</f>
        <v>846.14500664720993</v>
      </c>
      <c r="BO215" s="42">
        <f>'[1]побудинковий звіт'!BO215+'[2]побудинковий звіт'!BO215-'[3]побудинковий звіт'!BO215</f>
        <v>0</v>
      </c>
      <c r="BP215" s="59">
        <f t="shared" si="218"/>
        <v>-846.14500664720993</v>
      </c>
      <c r="BQ215" s="87">
        <f t="shared" si="233"/>
        <v>9446.4816030179536</v>
      </c>
      <c r="BR215" s="43">
        <f t="shared" si="234"/>
        <v>15507.317511401799</v>
      </c>
      <c r="BS215" s="59">
        <f t="shared" si="219"/>
        <v>6060.8359083838459</v>
      </c>
      <c r="BT215" s="42">
        <f>'[1]побудинковий звіт'!BT215+'[2]побудинковий звіт'!BT215-'[3]побудинковий звіт'!BT215</f>
        <v>90683.476284610311</v>
      </c>
      <c r="BU215" s="42">
        <f>'[1]побудинковий звіт'!BU215+'[2]побудинковий звіт'!BU215-'[3]побудинковий звіт'!BU215</f>
        <v>88982.096924652375</v>
      </c>
      <c r="BV215" s="56">
        <f t="shared" si="195"/>
        <v>-1701.3793599579367</v>
      </c>
      <c r="BW215" s="42">
        <f>'[1]побудинковий звіт'!BW215+'[2]побудинковий звіт'!BW215-'[3]побудинковий звіт'!BW215</f>
        <v>68286.366281141207</v>
      </c>
      <c r="BX215" s="42">
        <f>'[1]побудинковий звіт'!BX215+'[2]побудинковий звіт'!BX215-'[3]побудинковий звіт'!BX215</f>
        <v>64596.890691068162</v>
      </c>
      <c r="BY215" s="56">
        <f t="shared" si="196"/>
        <v>-3689.4755900730452</v>
      </c>
      <c r="BZ215" s="42">
        <f>'[1]побудинковий звіт'!BZ215+'[2]побудинковий звіт'!BZ215-'[3]побудинковий звіт'!BZ215</f>
        <v>9088.7331655057587</v>
      </c>
      <c r="CA215" s="42">
        <f>'[1]побудинковий звіт'!CA215+'[2]побудинковий звіт'!CA215-'[3]побудинковий звіт'!CA215</f>
        <v>20457.15803141793</v>
      </c>
      <c r="CB215" s="56">
        <f t="shared" si="197"/>
        <v>11368.424865912171</v>
      </c>
      <c r="CC215" s="42">
        <f>'[1]побудинковий звіт'!CC215+'[2]побудинковий звіт'!CC215-'[3]побудинковий звіт'!CC215</f>
        <v>1864.8002940819711</v>
      </c>
      <c r="CD215" s="42">
        <f>'[1]побудинковий звіт'!CD215+'[2]побудинковий звіт'!CD215-'[3]побудинковий звіт'!CD215</f>
        <v>1848.3988482782738</v>
      </c>
      <c r="CE215" s="56">
        <f t="shared" si="198"/>
        <v>-16.401445803697243</v>
      </c>
      <c r="CF215" s="42">
        <f>'[1]побудинковий звіт'!CF215+'[2]побудинковий звіт'!CF215-'[3]побудинковий звіт'!CF215</f>
        <v>229.56821802145475</v>
      </c>
      <c r="CG215" s="42">
        <f>'[1]побудинковий звіт'!CG215+'[2]побудинковий звіт'!CG215-'[3]побудинковий звіт'!CG215</f>
        <v>0</v>
      </c>
      <c r="CH215" s="56">
        <f t="shared" si="199"/>
        <v>-229.56821802145475</v>
      </c>
      <c r="CI215" s="42">
        <f>'[1]побудинковий звіт'!CI215+'[2]побудинковий звіт'!CI215-'[3]побудинковий звіт'!CI215</f>
        <v>10388.226473341632</v>
      </c>
      <c r="CJ215" s="42">
        <f>'[1]побудинковий звіт'!CJ215+'[2]побудинковий звіт'!CJ215-'[3]побудинковий звіт'!CJ215</f>
        <v>13981.850049243234</v>
      </c>
      <c r="CK215" s="56">
        <f t="shared" si="200"/>
        <v>3593.6235759016017</v>
      </c>
      <c r="CL215" s="42">
        <f>'[1]побудинковий звіт'!CL215+'[2]побудинковий звіт'!CL215-'[3]побудинковий звіт'!CL215</f>
        <v>15722.721148841398</v>
      </c>
      <c r="CM215" s="42">
        <f>'[1]побудинковий звіт'!CM215+'[2]побудинковий звіт'!CM215-'[3]побудинковий звіт'!CM215</f>
        <v>13197.356583908419</v>
      </c>
      <c r="CN215" s="56">
        <f t="shared" si="201"/>
        <v>-2525.3645649329792</v>
      </c>
      <c r="CO215" s="42">
        <f t="shared" si="181"/>
        <v>26110.94762218303</v>
      </c>
      <c r="CP215" s="43">
        <f t="shared" si="202"/>
        <v>27179.206633151654</v>
      </c>
      <c r="CQ215" s="56">
        <f t="shared" si="203"/>
        <v>1068.2590109686244</v>
      </c>
      <c r="CR215" s="78">
        <f t="shared" si="182"/>
        <v>476271.58310898923</v>
      </c>
      <c r="CS215" s="5">
        <f t="shared" si="182"/>
        <v>446606.60138206859</v>
      </c>
      <c r="CT215" s="56">
        <f t="shared" si="204"/>
        <v>-29664.98172692064</v>
      </c>
      <c r="CU215" s="87">
        <f t="shared" si="205"/>
        <v>571525.89973078703</v>
      </c>
      <c r="CV215" s="70">
        <f t="shared" si="206"/>
        <v>535927.92165848229</v>
      </c>
      <c r="CW215" s="37">
        <f t="shared" si="207"/>
        <v>-35597.978072304744</v>
      </c>
      <c r="CX215" s="42">
        <f>'[1]побудинковий звіт'!CX215+'[2]побудинковий звіт'!CX215-'[3]побудинковий звіт'!CX215</f>
        <v>14329.870269212865</v>
      </c>
      <c r="CY215" s="42">
        <f>'[1]побудинковий звіт'!CY215+'[2]побудинковий звіт'!CY215-'[3]побудинковий звіт'!CY215</f>
        <v>49927.848341517623</v>
      </c>
      <c r="CZ215" s="56">
        <f t="shared" si="208"/>
        <v>35597.978072304759</v>
      </c>
      <c r="DA215" s="264">
        <f>'[4]побудинковий звіт'!DA215</f>
        <v>-23070.1979403328</v>
      </c>
      <c r="DB215" s="2">
        <v>1</v>
      </c>
      <c r="DC215" s="717">
        <f>'[4]побудинковий звіт'!DC215</f>
        <v>75313.88</v>
      </c>
      <c r="DD215" s="717">
        <f>'[4]побудинковий звіт'!DD215</f>
        <v>0</v>
      </c>
      <c r="DE215" s="717">
        <f>'[4]побудинковий звіт'!DE215</f>
        <v>26471.920000000006</v>
      </c>
      <c r="DF215" s="717">
        <f>'[4]побудинковий звіт'!DF215</f>
        <v>0</v>
      </c>
      <c r="DG215" s="787">
        <v>39742.470699140569</v>
      </c>
      <c r="DH215" s="761">
        <f t="shared" si="226"/>
        <v>7030269.2399999984</v>
      </c>
      <c r="DI215" s="784"/>
      <c r="DJ215" s="5"/>
      <c r="DK215" s="317">
        <f>VLOOKUP($A215,ціни!$A$4:$G$401,5)</f>
        <v>5.7972584118578867</v>
      </c>
      <c r="DL215" s="317">
        <f>VLOOKUP($A215,ціни!$A$4:$G$401,6)</f>
        <v>7.5670710797245171</v>
      </c>
      <c r="DM215" s="317">
        <f>VLOOKUP($A215,ціни!$A$4:$G$401,7)</f>
        <v>4.7391552306308311</v>
      </c>
      <c r="DN215" s="30">
        <f>DK215*G215+(F215-G215)*DL215</f>
        <v>15135.441820023225</v>
      </c>
      <c r="DO215" s="30">
        <f>DM215*H215</f>
        <v>0</v>
      </c>
      <c r="DP215" s="316">
        <f t="shared" si="221"/>
        <v>15135.441820023225</v>
      </c>
      <c r="DQ215" s="104"/>
      <c r="DR215" s="30">
        <f>VLOOKUP(A215,'ДЗ нас '!$A$1:$C$359,2)</f>
        <v>48841.96</v>
      </c>
      <c r="DS215" s="748"/>
      <c r="DT215" s="30">
        <f t="shared" si="222"/>
        <v>48841.96</v>
      </c>
      <c r="DU215" s="257">
        <f>VLOOKUP(A215,'новий кошторис с 01.06'!$A$4:$AI$399,35)*1.2</f>
        <v>49055.973060225886</v>
      </c>
      <c r="DV215" s="30">
        <f t="shared" si="223"/>
        <v>-214.01306022588687</v>
      </c>
      <c r="DW215" s="930">
        <f>'[5]побудинковий звіт'!DW215+'[6]побудинковий звіт'!DW215</f>
        <v>232</v>
      </c>
      <c r="DY215" s="5">
        <f t="shared" si="227"/>
        <v>137008.69983468097</v>
      </c>
      <c r="DZ215" s="5">
        <f t="shared" si="228"/>
        <v>107446.39466451631</v>
      </c>
      <c r="EA215" s="752">
        <f t="shared" si="229"/>
        <v>26471.920000000006</v>
      </c>
      <c r="EC215" s="592">
        <f t="shared" si="230"/>
        <v>1256729.2191105946</v>
      </c>
      <c r="EE215" s="758">
        <v>-9715</v>
      </c>
      <c r="EF215" s="738">
        <f t="shared" si="231"/>
        <v>30027.470699140569</v>
      </c>
      <c r="EH215" s="813">
        <v>2463.7483625954046</v>
      </c>
    </row>
    <row r="216" spans="1:138" x14ac:dyDescent="0.3">
      <c r="A216" s="328">
        <v>150000949</v>
      </c>
      <c r="B216" s="44" t="s">
        <v>667</v>
      </c>
      <c r="C216" s="45" t="s">
        <v>384</v>
      </c>
      <c r="D216" s="45" t="s">
        <v>384</v>
      </c>
      <c r="E216" s="40">
        <f t="shared" si="232"/>
        <v>4314</v>
      </c>
      <c r="F216" s="490">
        <v>4314</v>
      </c>
      <c r="G216" s="30">
        <v>999.75</v>
      </c>
      <c r="H216" s="30">
        <v>0</v>
      </c>
      <c r="I216" s="42">
        <f>'[1]побудинковий звіт'!I216+'[2]побудинковий звіт'!I216-'[3]побудинковий звіт'!I216</f>
        <v>24150.315152936015</v>
      </c>
      <c r="J216" s="42">
        <f>'[1]побудинковий звіт'!J216+'[2]побудинковий звіт'!J216-'[3]побудинковий звіт'!J216</f>
        <v>20694.901478588068</v>
      </c>
      <c r="K216" s="56">
        <f t="shared" si="183"/>
        <v>-3455.4136743479467</v>
      </c>
      <c r="L216" s="42">
        <f>'[1]побудинковий звіт'!L216+'[2]побудинковий звіт'!L216-'[3]побудинковий звіт'!L216</f>
        <v>4901.0205755142588</v>
      </c>
      <c r="M216" s="42">
        <f>'[1]побудинковий звіт'!M216+'[2]побудинковий звіт'!M216-'[3]побудинковий звіт'!M216</f>
        <v>4583.8341376919025</v>
      </c>
      <c r="N216" s="56">
        <f t="shared" si="184"/>
        <v>-317.18643782235631</v>
      </c>
      <c r="O216" s="42">
        <f>'[1]побудинковий звіт'!O216+'[2]побудинковий звіт'!O216-'[3]побудинковий звіт'!O216</f>
        <v>14182.320000000002</v>
      </c>
      <c r="P216" s="42">
        <f>'[1]побудинковий звіт'!P216+'[2]побудинковий звіт'!P216-'[3]побудинковий звіт'!P216</f>
        <v>11147.247588709677</v>
      </c>
      <c r="Q216" s="56">
        <f t="shared" si="185"/>
        <v>-3035.0724112903245</v>
      </c>
      <c r="R216" s="42">
        <f>'[1]побудинковий звіт'!R216+'[2]побудинковий звіт'!R216-'[3]побудинковий звіт'!R216</f>
        <v>2926.1999999999994</v>
      </c>
      <c r="S216" s="42">
        <f>'[1]побудинковий звіт'!S216+'[2]побудинковий звіт'!S216-'[3]побудинковий звіт'!S216</f>
        <v>2300.5725913978499</v>
      </c>
      <c r="T216" s="56">
        <f t="shared" si="186"/>
        <v>-625.62740860214944</v>
      </c>
      <c r="U216" s="42">
        <f>'[1]побудинковий звіт'!U216+'[2]побудинковий звіт'!U216-'[3]побудинковий звіт'!U216</f>
        <v>2881.2090561158857</v>
      </c>
      <c r="V216" s="42">
        <f>'[1]побудинковий звіт'!V216+'[2]побудинковий звіт'!V216-'[3]побудинковий звіт'!V216</f>
        <v>1046.4536579697372</v>
      </c>
      <c r="W216" s="56">
        <f t="shared" si="187"/>
        <v>-1834.7553981461485</v>
      </c>
      <c r="X216" s="42">
        <f>'[1]побудинковий звіт'!X216+'[2]побудинковий звіт'!X216-'[3]побудинковий звіт'!X216</f>
        <v>22652.921184796931</v>
      </c>
      <c r="Y216" s="42">
        <f>'[1]побудинковий звіт'!Y216+'[2]побудинковий звіт'!Y216-'[3]побудинковий звіт'!Y216</f>
        <v>16286.243195349291</v>
      </c>
      <c r="Z216" s="56">
        <f t="shared" si="188"/>
        <v>-6366.6779894476404</v>
      </c>
      <c r="AA216" s="42">
        <f>'[1]побудинковий звіт'!AA216+'[2]побудинковий звіт'!AA216-'[3]побудинковий звіт'!AA216</f>
        <v>0</v>
      </c>
      <c r="AB216" s="42">
        <f>'[1]побудинковий звіт'!AB216+'[2]побудинковий звіт'!AB216-'[3]побудинковий звіт'!AB216</f>
        <v>0</v>
      </c>
      <c r="AC216" s="56">
        <f t="shared" si="189"/>
        <v>0</v>
      </c>
      <c r="AD216" s="42">
        <f>'[1]побудинковий звіт'!AD216+'[2]побудинковий звіт'!AD216-'[3]побудинковий звіт'!AD216</f>
        <v>40162.030425078759</v>
      </c>
      <c r="AE216" s="42">
        <f>'[1]побудинковий звіт'!AE216+'[2]побудинковий звіт'!AE216-'[3]побудинковий звіт'!AE216</f>
        <v>37016.980256001276</v>
      </c>
      <c r="AF216" s="37">
        <f t="shared" si="190"/>
        <v>-3145.0501690774836</v>
      </c>
      <c r="AG216" s="87">
        <f t="shared" ref="AG216:AH269" si="235">I216+L216+O216+R216+U216+X216+AA216+AD216</f>
        <v>111856.01639444185</v>
      </c>
      <c r="AH216" s="57">
        <f t="shared" si="235"/>
        <v>93076.232905707817</v>
      </c>
      <c r="AI216" s="56">
        <f t="shared" si="191"/>
        <v>-18779.783488734029</v>
      </c>
      <c r="AJ216" s="42">
        <f>'[1]побудинковий звіт'!AJ216+'[2]побудинковий звіт'!AJ216-'[3]побудинковий звіт'!AJ216</f>
        <v>134813.1087853348</v>
      </c>
      <c r="AK216" s="42">
        <f>'[1]побудинковий звіт'!AK216+'[2]побудинковий звіт'!AK216-'[3]побудинковий звіт'!AK216</f>
        <v>133627.07502801495</v>
      </c>
      <c r="AL216" s="56">
        <f t="shared" si="192"/>
        <v>-1186.0337573198485</v>
      </c>
      <c r="AM216" s="42">
        <f>'[1]побудинковий звіт'!AM216+'[2]побудинковий звіт'!AM216-'[3]побудинковий звіт'!AM216</f>
        <v>0</v>
      </c>
      <c r="AN216" s="42">
        <f>'[1]побудинковий звіт'!AN216+'[2]побудинковий звіт'!AN216-'[3]побудинковий звіт'!AN216</f>
        <v>4043.2301647960871</v>
      </c>
      <c r="AO216" s="56">
        <f t="shared" si="193"/>
        <v>4043.2301647960871</v>
      </c>
      <c r="AP216" s="42">
        <f>'[1]побудинковий звіт'!AP216+'[2]побудинковий звіт'!AP216-'[3]побудинковий звіт'!AP216</f>
        <v>8475.807903898165</v>
      </c>
      <c r="AQ216" s="42">
        <f>'[1]побудинковий звіт'!AQ216+'[2]побудинковий звіт'!AQ216-'[3]побудинковий звіт'!AQ216</f>
        <v>8717.5312933829409</v>
      </c>
      <c r="AR216" s="56">
        <f t="shared" si="194"/>
        <v>241.72338948477591</v>
      </c>
      <c r="AS216" s="42">
        <f>'[1]побудинковий звіт'!AS216+'[2]побудинковий звіт'!AS216-'[3]побудинковий звіт'!AS216</f>
        <v>170676.28769850367</v>
      </c>
      <c r="AT216" s="42">
        <f>'[1]побудинковий звіт'!AT216+'[2]побудинковий звіт'!AT216-'[3]побудинковий звіт'!AT216</f>
        <v>68419.070778067806</v>
      </c>
      <c r="AU216" s="58">
        <f t="shared" si="211"/>
        <v>-102257.21692043587</v>
      </c>
      <c r="AV216" s="42">
        <f>'[1]побудинковий звіт'!AV216+'[2]побудинковий звіт'!AV216-'[3]побудинковий звіт'!AV216</f>
        <v>789.96670899985133</v>
      </c>
      <c r="AW216" s="42">
        <f>'[1]побудинковий звіт'!AW216+'[2]побудинковий звіт'!AW216-'[3]побудинковий звіт'!AW216</f>
        <v>1321</v>
      </c>
      <c r="AX216" s="59">
        <f t="shared" si="212"/>
        <v>531.03329100014867</v>
      </c>
      <c r="AY216" s="42">
        <f>'[1]побудинковий звіт'!AY216+'[2]побудинковий звіт'!AY216-'[3]побудинковий звіт'!AY216</f>
        <v>1163.0761038274982</v>
      </c>
      <c r="AZ216" s="42">
        <f>'[1]побудинковий звіт'!AZ216+'[2]побудинковий звіт'!AZ216-'[3]побудинковий звіт'!AZ216</f>
        <v>13209.819484086689</v>
      </c>
      <c r="BA216" s="37">
        <f t="shared" si="213"/>
        <v>12046.743380259191</v>
      </c>
      <c r="BB216" s="42">
        <f>'[1]побудинковий звіт'!BB216+'[2]побудинковий звіт'!BB216-'[3]побудинковий звіт'!BB216</f>
        <v>1290.984104581348</v>
      </c>
      <c r="BC216" s="42">
        <f>'[1]побудинковий звіт'!BC216+'[2]побудинковий звіт'!BC216-'[3]побудинковий звіт'!BC216</f>
        <v>1052.2451267106485</v>
      </c>
      <c r="BD216" s="59">
        <f t="shared" si="214"/>
        <v>-238.7389778706995</v>
      </c>
      <c r="BE216" s="42">
        <f>'[1]побудинковий звіт'!BE216+'[2]побудинковий звіт'!BE216-'[3]побудинковий звіт'!BE216</f>
        <v>608.34948959688325</v>
      </c>
      <c r="BF216" s="42">
        <f>'[1]побудинковий звіт'!BF216+'[2]побудинковий звіт'!BF216-'[3]побудинковий звіт'!BF216</f>
        <v>0</v>
      </c>
      <c r="BG216" s="39">
        <f t="shared" si="215"/>
        <v>-608.34948959688325</v>
      </c>
      <c r="BH216" s="42">
        <f>'[1]побудинковий звіт'!BH216+'[2]побудинковий звіт'!BH216-'[3]побудинковий звіт'!BH216</f>
        <v>584.62588433678263</v>
      </c>
      <c r="BI216" s="42">
        <f>'[1]побудинковий звіт'!BI216+'[2]побудинковий звіт'!BI216-'[3]побудинковий звіт'!BI216</f>
        <v>0</v>
      </c>
      <c r="BJ216" s="59">
        <f t="shared" si="216"/>
        <v>-584.62588433678263</v>
      </c>
      <c r="BK216" s="42">
        <f>'[1]побудинковий звіт'!BK216+'[2]побудинковий звіт'!BK216-'[3]побудинковий звіт'!BK216</f>
        <v>983.0645063729587</v>
      </c>
      <c r="BL216" s="42">
        <f>'[1]побудинковий звіт'!BL216+'[2]побудинковий звіт'!BL216-'[3]побудинковий звіт'!BL216</f>
        <v>2070</v>
      </c>
      <c r="BM216" s="39">
        <f t="shared" si="217"/>
        <v>1086.9354936270413</v>
      </c>
      <c r="BN216" s="42">
        <f>'[1]побудинковий звіт'!BN216+'[2]побудинковий звіт'!BN216-'[3]побудинковий звіт'!BN216</f>
        <v>941.51737692974382</v>
      </c>
      <c r="BO216" s="42">
        <f>'[1]побудинковий звіт'!BO216+'[2]побудинковий звіт'!BO216-'[3]побудинковий звіт'!BO216</f>
        <v>0</v>
      </c>
      <c r="BP216" s="59">
        <f t="shared" si="218"/>
        <v>-941.51737692974382</v>
      </c>
      <c r="BQ216" s="87">
        <f t="shared" si="233"/>
        <v>6361.584174645066</v>
      </c>
      <c r="BR216" s="43">
        <f t="shared" si="234"/>
        <v>17653.064610797337</v>
      </c>
      <c r="BS216" s="59">
        <f t="shared" si="219"/>
        <v>11291.480436152271</v>
      </c>
      <c r="BT216" s="42">
        <f>'[1]побудинковий звіт'!BT216+'[2]побудинковий звіт'!BT216-'[3]побудинковий звіт'!BT216</f>
        <v>122022.71937465992</v>
      </c>
      <c r="BU216" s="42">
        <f>'[1]побудинковий звіт'!BU216+'[2]побудинковий звіт'!BU216-'[3]побудинковий звіт'!BU216</f>
        <v>127383.637102425</v>
      </c>
      <c r="BV216" s="56">
        <f t="shared" si="195"/>
        <v>5360.9177277650742</v>
      </c>
      <c r="BW216" s="42">
        <f>'[1]побудинковий звіт'!BW216+'[2]побудинковий звіт'!BW216-'[3]побудинковий звіт'!BW216</f>
        <v>90558.289272423091</v>
      </c>
      <c r="BX216" s="42">
        <f>'[1]побудинковий звіт'!BX216+'[2]побудинковий звіт'!BX216-'[3]побудинковий звіт'!BX216</f>
        <v>96747.899366082682</v>
      </c>
      <c r="BY216" s="56">
        <f t="shared" si="196"/>
        <v>6189.6100936595903</v>
      </c>
      <c r="BZ216" s="42">
        <f>'[1]побудинковий звіт'!BZ216+'[2]побудинковий звіт'!BZ216-'[3]побудинковий звіт'!BZ216</f>
        <v>10387.123617720867</v>
      </c>
      <c r="CA216" s="42">
        <f>'[1]побудинковий звіт'!CA216+'[2]побудинковий звіт'!CA216-'[3]побудинковий звіт'!CA216</f>
        <v>31519.018222215887</v>
      </c>
      <c r="CB216" s="56">
        <f t="shared" si="197"/>
        <v>21131.894604495021</v>
      </c>
      <c r="CC216" s="42">
        <f>'[1]побудинковий звіт'!CC216+'[2]побудинковий звіт'!CC216-'[3]побудинковий звіт'!CC216</f>
        <v>2601.6023030212991</v>
      </c>
      <c r="CD216" s="42">
        <f>'[1]побудинковий звіт'!CD216+'[2]побудинковий звіт'!CD216-'[3]побудинковий звіт'!CD216</f>
        <v>2578.7204752399575</v>
      </c>
      <c r="CE216" s="56">
        <f t="shared" si="198"/>
        <v>-22.881827781341599</v>
      </c>
      <c r="CF216" s="42">
        <f>'[1]побудинковий звіт'!CF216+'[2]побудинковий звіт'!CF216-'[3]побудинковий звіт'!CF216</f>
        <v>320.27301078860683</v>
      </c>
      <c r="CG216" s="42">
        <f>'[1]побудинковий звіт'!CG216+'[2]побудинковий звіт'!CG216-'[3]побудинковий звіт'!CG216</f>
        <v>0</v>
      </c>
      <c r="CH216" s="56">
        <f t="shared" si="199"/>
        <v>-320.27301078860683</v>
      </c>
      <c r="CI216" s="42">
        <f>'[1]побудинковий звіт'!CI216+'[2]побудинковий звіт'!CI216-'[3]побудинковий звіт'!CI216</f>
        <v>16134.506702739624</v>
      </c>
      <c r="CJ216" s="42">
        <f>'[1]побудинковий звіт'!CJ216+'[2]побудинковий звіт'!CJ216-'[3]побудинковий звіт'!CJ216</f>
        <v>8552.6361227252892</v>
      </c>
      <c r="CK216" s="56">
        <f t="shared" si="200"/>
        <v>-7581.8705800143343</v>
      </c>
      <c r="CL216" s="42">
        <f>'[1]побудинковий звіт'!CL216+'[2]побудинковий звіт'!CL216-'[3]побудинковий звіт'!CL216</f>
        <v>16471.422155929078</v>
      </c>
      <c r="CM216" s="42">
        <f>'[1]побудинковий звіт'!CM216+'[2]побудинковий звіт'!CM216-'[3]побудинковий звіт'!CM216</f>
        <v>19370.807639081322</v>
      </c>
      <c r="CN216" s="56">
        <f t="shared" si="201"/>
        <v>2899.385483152244</v>
      </c>
      <c r="CO216" s="42">
        <f t="shared" ref="CO216:CO269" si="236">CI216+CL216</f>
        <v>32605.928858668703</v>
      </c>
      <c r="CP216" s="43">
        <f t="shared" si="202"/>
        <v>27923.443761806611</v>
      </c>
      <c r="CQ216" s="56">
        <f t="shared" si="203"/>
        <v>-4682.4850968620922</v>
      </c>
      <c r="CR216" s="78">
        <f t="shared" ref="CR216:CS269" si="237">AG216+AJ216+AM216+AP216+AS216+BQ216+BT216+BW216+BZ216+CC216+CF216+CO216</f>
        <v>690678.74139410607</v>
      </c>
      <c r="CS216" s="5">
        <f t="shared" si="237"/>
        <v>611688.92370853701</v>
      </c>
      <c r="CT216" s="56">
        <f t="shared" si="204"/>
        <v>-78989.817685569054</v>
      </c>
      <c r="CU216" s="87">
        <f t="shared" si="205"/>
        <v>828814.4896729273</v>
      </c>
      <c r="CV216" s="70">
        <f t="shared" si="206"/>
        <v>734026.70845024439</v>
      </c>
      <c r="CW216" s="37">
        <f t="shared" si="207"/>
        <v>-94787.781222682912</v>
      </c>
      <c r="CX216" s="42">
        <f>'[1]побудинковий звіт'!CX216+'[2]побудинковий звіт'!CX216-'[3]побудинковий звіт'!CX216</f>
        <v>23544.570327073001</v>
      </c>
      <c r="CY216" s="42">
        <f>'[1]побудинковий звіт'!CY216+'[2]побудинковий звіт'!CY216-'[3]побудинковий звіт'!CY216</f>
        <v>118332.35154975575</v>
      </c>
      <c r="CZ216" s="56">
        <f t="shared" si="208"/>
        <v>94787.781222682752</v>
      </c>
      <c r="DA216" s="264">
        <f>'[4]побудинковий звіт'!DA216</f>
        <v>189266.17364754761</v>
      </c>
      <c r="DB216" s="2">
        <v>1</v>
      </c>
      <c r="DC216" s="717">
        <f>'[4]побудинковий звіт'!DC216</f>
        <v>221781.21</v>
      </c>
      <c r="DD216" s="717">
        <f>'[4]побудинковий звіт'!DD216</f>
        <v>0</v>
      </c>
      <c r="DE216" s="717">
        <f>'[4]побудинковий звіт'!DE216</f>
        <v>150991</v>
      </c>
      <c r="DF216" s="717">
        <f>'[4]побудинковий звіт'!DF216</f>
        <v>0</v>
      </c>
      <c r="DG216" s="787">
        <v>-22827.433401764603</v>
      </c>
      <c r="DH216" s="761">
        <f t="shared" si="226"/>
        <v>10228308.720000003</v>
      </c>
      <c r="DI216" s="784"/>
      <c r="DJ216" s="5"/>
      <c r="DK216" s="317">
        <f>VLOOKUP($A216,ціни!$A$4:$G$401,5)</f>
        <v>5.8862007677600197</v>
      </c>
      <c r="DL216" s="317">
        <f>VLOOKUP($A216,ціни!$A$4:$G$401,6)</f>
        <v>7.7337608825549449</v>
      </c>
      <c r="DM216" s="317">
        <f>VLOOKUP($A216,ціни!$A$4:$G$401,7)</f>
        <v>4.8979731199421837</v>
      </c>
      <c r="DN216" s="30">
        <f>DK216*G216+(F216-G216)*DL216</f>
        <v>31516.346222575805</v>
      </c>
      <c r="DO216" s="30">
        <f>DM216*H216</f>
        <v>0</v>
      </c>
      <c r="DP216" s="316">
        <f t="shared" si="221"/>
        <v>31516.346222575805</v>
      </c>
      <c r="DQ216" s="104"/>
      <c r="DR216" s="30">
        <f>VLOOKUP(A216,'ДЗ нас '!$A$1:$C$359,2)</f>
        <v>70790.210000000006</v>
      </c>
      <c r="DS216" s="748"/>
      <c r="DT216" s="30">
        <f t="shared" si="222"/>
        <v>70790.210000000006</v>
      </c>
      <c r="DU216" s="257">
        <f>VLOOKUP(A216,'новий кошторис с 01.06'!$A$4:$AI$399,35)*1.2</f>
        <v>71139.91036359292</v>
      </c>
      <c r="DV216" s="30">
        <f t="shared" si="223"/>
        <v>-349.70036359291407</v>
      </c>
      <c r="DW216" s="930">
        <f>'[5]побудинковий звіт'!DW216+'[6]побудинковий звіт'!DW216</f>
        <v>370</v>
      </c>
      <c r="DY216" s="5">
        <f t="shared" si="227"/>
        <v>212445.44624777848</v>
      </c>
      <c r="DZ216" s="5">
        <f t="shared" si="228"/>
        <v>103286.56246663816</v>
      </c>
      <c r="EA216" s="752">
        <f t="shared" si="229"/>
        <v>150991</v>
      </c>
      <c r="EC216" s="592">
        <f t="shared" si="230"/>
        <v>2048115.4523820439</v>
      </c>
      <c r="EE216" s="758">
        <v>-28050</v>
      </c>
      <c r="EF216" s="738">
        <f t="shared" si="231"/>
        <v>-50877.433401764603</v>
      </c>
      <c r="EH216" s="813">
        <v>318937.51890166558</v>
      </c>
    </row>
    <row r="217" spans="1:138" x14ac:dyDescent="0.3">
      <c r="A217" s="328">
        <v>150001044</v>
      </c>
      <c r="B217" s="44" t="s">
        <v>668</v>
      </c>
      <c r="C217" s="45" t="s">
        <v>269</v>
      </c>
      <c r="D217" s="45" t="s">
        <v>269</v>
      </c>
      <c r="E217" s="40">
        <f t="shared" si="232"/>
        <v>2417.4399999999996</v>
      </c>
      <c r="F217" s="490">
        <v>2140.7399999999998</v>
      </c>
      <c r="G217" s="30"/>
      <c r="H217" s="30">
        <v>276.7</v>
      </c>
      <c r="I217" s="42">
        <f>'[1]побудинковий звіт'!I217+'[2]побудинковий звіт'!I217-'[3]побудинковий звіт'!I217</f>
        <v>12126.729471310326</v>
      </c>
      <c r="J217" s="42">
        <f>'[1]побудинковий звіт'!J217+'[2]побудинковий звіт'!J217-'[3]побудинковий звіт'!J217</f>
        <v>12110.143413231794</v>
      </c>
      <c r="K217" s="56">
        <f t="shared" ref="K217:K270" si="238">J217-I217</f>
        <v>-16.586058078532005</v>
      </c>
      <c r="L217" s="42">
        <f>'[1]побудинковий звіт'!L217+'[2]побудинковий звіт'!L217-'[3]побудинковий звіт'!L217</f>
        <v>2294.9703277483673</v>
      </c>
      <c r="M217" s="42">
        <f>'[1]побудинковий звіт'!M217+'[2]побудинковий звіт'!M217-'[3]побудинковий звіт'!M217</f>
        <v>2329.4191781834493</v>
      </c>
      <c r="N217" s="56">
        <f t="shared" ref="N217:N270" si="239">M217-L217</f>
        <v>34.448850435082022</v>
      </c>
      <c r="O217" s="42">
        <f>'[1]побудинковий звіт'!O217+'[2]побудинковий звіт'!O217-'[3]побудинковий звіт'!O217</f>
        <v>4948.0800000000008</v>
      </c>
      <c r="P217" s="42">
        <f>'[1]побудинковий звіт'!P217+'[2]побудинковий звіт'!P217-'[3]побудинковий звіт'!P217</f>
        <v>3889.2149131720435</v>
      </c>
      <c r="Q217" s="56">
        <f t="shared" ref="Q217:Q270" si="240">P217-O217</f>
        <v>-1058.8650868279574</v>
      </c>
      <c r="R217" s="42">
        <f>'[1]побудинковий звіт'!R217+'[2]побудинковий звіт'!R217-'[3]побудинковий звіт'!R217</f>
        <v>0</v>
      </c>
      <c r="S217" s="42">
        <f>'[1]побудинковий звіт'!S217+'[2]побудинковий звіт'!S217-'[3]побудинковий звіт'!S217</f>
        <v>0</v>
      </c>
      <c r="T217" s="56">
        <f t="shared" ref="T217:T270" si="241">S217-R217</f>
        <v>0</v>
      </c>
      <c r="U217" s="42">
        <f>'[1]побудинковий звіт'!U217+'[2]побудинковий звіт'!U217-'[3]побудинковий звіт'!U217</f>
        <v>0</v>
      </c>
      <c r="V217" s="42">
        <f>'[1]побудинковий звіт'!V217+'[2]побудинковий звіт'!V217-'[3]побудинковий звіт'!V217</f>
        <v>0</v>
      </c>
      <c r="W217" s="56">
        <f t="shared" ref="W217:W270" si="242">V217-U217</f>
        <v>0</v>
      </c>
      <c r="X217" s="42">
        <f>'[1]побудинковий звіт'!X217+'[2]побудинковий звіт'!X217-'[3]побудинковий звіт'!X217</f>
        <v>7550.671572693238</v>
      </c>
      <c r="Y217" s="42">
        <f>'[1]побудинковий звіт'!Y217+'[2]побудинковий звіт'!Y217-'[3]побудинковий звіт'!Y217</f>
        <v>5859.0710503330647</v>
      </c>
      <c r="Z217" s="56">
        <f t="shared" ref="Z217:Z270" si="243">Y217-X217</f>
        <v>-1691.6005223601733</v>
      </c>
      <c r="AA217" s="42">
        <f>'[1]побудинковий звіт'!AA217+'[2]побудинковий звіт'!AA217-'[3]побудинковий звіт'!AA217</f>
        <v>0</v>
      </c>
      <c r="AB217" s="42">
        <f>'[1]побудинковий звіт'!AB217+'[2]побудинковий звіт'!AB217-'[3]побудинковий звіт'!AB217</f>
        <v>0</v>
      </c>
      <c r="AC217" s="56">
        <f t="shared" ref="AC217:AC270" si="244">AB217-AA217</f>
        <v>0</v>
      </c>
      <c r="AD217" s="42">
        <f>'[1]побудинковий звіт'!AD217+'[2]побудинковий звіт'!AD217-'[3]побудинковий звіт'!AD217</f>
        <v>14988.92743964671</v>
      </c>
      <c r="AE217" s="42">
        <f>'[1]побудинковий звіт'!AE217+'[2]побудинковий звіт'!AE217-'[3]побудинковий звіт'!AE217</f>
        <v>13660.370350066178</v>
      </c>
      <c r="AF217" s="37">
        <f t="shared" ref="AF217:AF270" si="245">AE217-AD217</f>
        <v>-1328.5570895805322</v>
      </c>
      <c r="AG217" s="87">
        <f t="shared" si="235"/>
        <v>41909.378811398645</v>
      </c>
      <c r="AH217" s="57">
        <f t="shared" si="235"/>
        <v>37848.218904986526</v>
      </c>
      <c r="AI217" s="56">
        <f t="shared" ref="AI217:AI270" si="246">AH217-AG217</f>
        <v>-4061.1599064121183</v>
      </c>
      <c r="AJ217" s="42">
        <f>'[1]побудинковий звіт'!AJ217+'[2]побудинковий звіт'!AJ217-'[3]побудинковий звіт'!AJ217</f>
        <v>0</v>
      </c>
      <c r="AK217" s="42">
        <f>'[1]побудинковий звіт'!AK217+'[2]побудинковий звіт'!AK217-'[3]побудинковий звіт'!AK217</f>
        <v>0</v>
      </c>
      <c r="AL217" s="56">
        <f t="shared" ref="AL217:AL270" si="247">AK217-AJ217</f>
        <v>0</v>
      </c>
      <c r="AM217" s="42">
        <f>'[1]побудинковий звіт'!AM217+'[2]побудинковий звіт'!AM217-'[3]побудинковий звіт'!AM217</f>
        <v>0</v>
      </c>
      <c r="AN217" s="42">
        <f>'[1]побудинковий звіт'!AN217+'[2]побудинковий звіт'!AN217-'[3]побудинковий звіт'!AN217</f>
        <v>0</v>
      </c>
      <c r="AO217" s="56">
        <f t="shared" ref="AO217:AO270" si="248">AN217-AM217</f>
        <v>0</v>
      </c>
      <c r="AP217" s="42">
        <f>'[1]побудинковий звіт'!AP217+'[2]побудинковий звіт'!AP217-'[3]побудинковий звіт'!AP217</f>
        <v>11364.211714723799</v>
      </c>
      <c r="AQ217" s="42">
        <f>'[1]побудинковий звіт'!AQ217+'[2]побудинковий звіт'!AQ217-'[3]побудинковий звіт'!AQ217</f>
        <v>20411.308125127325</v>
      </c>
      <c r="AR217" s="56">
        <f t="shared" ref="AR217:AR270" si="249">AQ217-AP217</f>
        <v>9047.0964104035265</v>
      </c>
      <c r="AS217" s="42">
        <f>'[1]побудинковий звіт'!AS217+'[2]побудинковий звіт'!AS217-'[3]побудинковий звіт'!AS217</f>
        <v>33460.181551837923</v>
      </c>
      <c r="AT217" s="42">
        <f>'[1]побудинковий звіт'!AT217+'[2]побудинковий звіт'!AT217-'[3]побудинковий звіт'!AT217</f>
        <v>1739</v>
      </c>
      <c r="AU217" s="58">
        <f t="shared" si="211"/>
        <v>-31721.181551837923</v>
      </c>
      <c r="AV217" s="42">
        <f>'[1]побудинковий звіт'!AV217+'[2]побудинковий звіт'!AV217-'[3]побудинковий звіт'!AV217</f>
        <v>1923.7560697138592</v>
      </c>
      <c r="AW217" s="42">
        <f>'[1]побудинковий звіт'!AW217+'[2]побудинковий звіт'!AW217-'[3]побудинковий звіт'!AW217</f>
        <v>0</v>
      </c>
      <c r="AX217" s="59">
        <f t="shared" si="212"/>
        <v>-1923.7560697138592</v>
      </c>
      <c r="AY217" s="42">
        <f>'[1]побудинковий звіт'!AY217+'[2]побудинковий звіт'!AY217-'[3]побудинковий звіт'!AY217</f>
        <v>2957.8778589546764</v>
      </c>
      <c r="AZ217" s="42">
        <f>'[1]побудинковий звіт'!AZ217+'[2]побудинковий звіт'!AZ217-'[3]побудинковий звіт'!AZ217</f>
        <v>0</v>
      </c>
      <c r="BA217" s="37">
        <f t="shared" si="213"/>
        <v>-2957.8778589546764</v>
      </c>
      <c r="BB217" s="42">
        <f>'[1]побудинковий звіт'!BB217+'[2]побудинковий звіт'!BB217-'[3]побудинковий звіт'!BB217</f>
        <v>2551.4679524894482</v>
      </c>
      <c r="BC217" s="42">
        <f>'[1]побудинковий звіт'!BC217+'[2]побудинковий звіт'!BC217-'[3]побудинковий звіт'!BC217</f>
        <v>0</v>
      </c>
      <c r="BD217" s="59">
        <f t="shared" si="214"/>
        <v>-2551.4679524894482</v>
      </c>
      <c r="BE217" s="42">
        <f>'[1]побудинковий звіт'!BE217+'[2]побудинковий звіт'!BE217-'[3]побудинковий звіт'!BE217</f>
        <v>0</v>
      </c>
      <c r="BF217" s="42">
        <f>'[1]побудинковий звіт'!BF217+'[2]побудинковий звіт'!BF217-'[3]побудинковий звіт'!BF217</f>
        <v>0</v>
      </c>
      <c r="BG217" s="39">
        <f t="shared" si="215"/>
        <v>0</v>
      </c>
      <c r="BH217" s="42">
        <f>'[1]побудинковий звіт'!BH217+'[2]побудинковий звіт'!BH217-'[3]побудинковий звіт'!BH217</f>
        <v>0</v>
      </c>
      <c r="BI217" s="42">
        <f>'[1]побудинковий звіт'!BI217+'[2]побудинковий звіт'!BI217-'[3]побудинковий звіт'!BI217</f>
        <v>1128</v>
      </c>
      <c r="BJ217" s="59">
        <f t="shared" si="216"/>
        <v>1128</v>
      </c>
      <c r="BK217" s="42">
        <f>'[1]побудинковий звіт'!BK217+'[2]побудинковий звіт'!BK217-'[3]побудинковий звіт'!BK217</f>
        <v>1061.5635798953522</v>
      </c>
      <c r="BL217" s="42">
        <f>'[1]побудинковий звіт'!BL217+'[2]побудинковий звіт'!BL217-'[3]побудинковий звіт'!BL217</f>
        <v>471</v>
      </c>
      <c r="BM217" s="39">
        <f t="shared" si="217"/>
        <v>-590.56357989535218</v>
      </c>
      <c r="BN217" s="42">
        <f>'[1]побудинковий звіт'!BN217+'[2]побудинковий звіт'!BN217-'[3]побудинковий звіт'!BN217</f>
        <v>0</v>
      </c>
      <c r="BO217" s="42">
        <f>'[1]побудинковий звіт'!BO217+'[2]побудинковий звіт'!BO217-'[3]побудинковий звіт'!BO217</f>
        <v>0</v>
      </c>
      <c r="BP217" s="59">
        <f t="shared" si="218"/>
        <v>0</v>
      </c>
      <c r="BQ217" s="87">
        <f t="shared" si="233"/>
        <v>8494.6654610533369</v>
      </c>
      <c r="BR217" s="43">
        <f t="shared" si="234"/>
        <v>1599</v>
      </c>
      <c r="BS217" s="59">
        <f t="shared" si="219"/>
        <v>-6895.6654610533369</v>
      </c>
      <c r="BT217" s="42">
        <f>'[1]побудинковий звіт'!BT217+'[2]побудинковий звіт'!BT217-'[3]побудинковий звіт'!BT217</f>
        <v>21354.209324632277</v>
      </c>
      <c r="BU217" s="42">
        <f>'[1]побудинковий звіт'!BU217+'[2]побудинковий звіт'!BU217-'[3]побудинковий звіт'!BU217</f>
        <v>33001.336479546546</v>
      </c>
      <c r="BV217" s="56">
        <f t="shared" ref="BV217:BV270" si="250">BU217-BT217</f>
        <v>11647.127154914269</v>
      </c>
      <c r="BW217" s="42">
        <f>'[1]побудинковий звіт'!BW217+'[2]побудинковий звіт'!BW217-'[3]побудинковий звіт'!BW217</f>
        <v>14766.435285407901</v>
      </c>
      <c r="BX217" s="42">
        <f>'[1]побудинковий звіт'!BX217+'[2]побудинковий звіт'!BX217-'[3]побудинковий звіт'!BX217</f>
        <v>16060.786527754923</v>
      </c>
      <c r="BY217" s="56">
        <f t="shared" ref="BY217:BY270" si="251">BX217-BW217</f>
        <v>1294.351242347022</v>
      </c>
      <c r="BZ217" s="42">
        <f>'[1]побудинковий звіт'!BZ217+'[2]побудинковий звіт'!BZ217-'[3]побудинковий звіт'!BZ217</f>
        <v>10152.15329450524</v>
      </c>
      <c r="CA217" s="42">
        <f>'[1]побудинковий звіт'!CA217+'[2]побудинковий звіт'!CA217-'[3]побудинковий звіт'!CA217</f>
        <v>6830.9035998718036</v>
      </c>
      <c r="CB217" s="56">
        <f t="shared" ref="CB217:CB270" si="252">CA217-BZ217</f>
        <v>-3321.2496946334368</v>
      </c>
      <c r="CC217" s="42">
        <f>'[1]побудинковий звіт'!CC217+'[2]побудинковий звіт'!CC217-'[3]побудинковий звіт'!CC217</f>
        <v>1296.5362297024176</v>
      </c>
      <c r="CD217" s="42">
        <f>'[1]побудинковий звіт'!CD217+'[2]побудинковий звіт'!CD217-'[3]побудинковий звіт'!CD217</f>
        <v>1285.1328270048314</v>
      </c>
      <c r="CE217" s="56">
        <f t="shared" ref="CE217:CE270" si="253">CD217-CC217</f>
        <v>-11.403402697586216</v>
      </c>
      <c r="CF217" s="42">
        <f>'[1]побудинковий звіт'!CF217+'[2]побудинковий звіт'!CF217-'[3]побудинковий звіт'!CF217</f>
        <v>159.6114676716991</v>
      </c>
      <c r="CG217" s="42">
        <f>'[1]побудинковий звіт'!CG217+'[2]побудинковий звіт'!CG217-'[3]побудинковий звіт'!CG217</f>
        <v>0</v>
      </c>
      <c r="CH217" s="56">
        <f t="shared" ref="CH217:CH270" si="254">CG217-CF217</f>
        <v>-159.6114676716991</v>
      </c>
      <c r="CI217" s="42">
        <f>'[1]побудинковий звіт'!CI217+'[2]побудинковий звіт'!CI217-'[3]побудинковий звіт'!CI217</f>
        <v>4754.2513950068023</v>
      </c>
      <c r="CJ217" s="42">
        <f>'[1]побудинковий звіт'!CJ217+'[2]побудинковий звіт'!CJ217-'[3]побудинковий звіт'!CJ217</f>
        <v>1259.3961524497258</v>
      </c>
      <c r="CK217" s="56">
        <f t="shared" ref="CK217:CK270" si="255">CJ217-CI217</f>
        <v>-3494.8552425570765</v>
      </c>
      <c r="CL217" s="42">
        <f>'[1]побудинковий звіт'!CL217+'[2]побудинковий звіт'!CL217-'[3]побудинковий звіт'!CL217</f>
        <v>0</v>
      </c>
      <c r="CM217" s="42">
        <f>'[1]побудинковий звіт'!CM217+'[2]побудинковий звіт'!CM217-'[3]побудинковий звіт'!CM217</f>
        <v>0</v>
      </c>
      <c r="CN217" s="56">
        <f t="shared" ref="CN217:CN270" si="256">CM217-CL217</f>
        <v>0</v>
      </c>
      <c r="CO217" s="42">
        <f t="shared" si="236"/>
        <v>4754.2513950068023</v>
      </c>
      <c r="CP217" s="43">
        <f t="shared" ref="CP217:CP270" si="257">CJ217+CM217</f>
        <v>1259.3961524497258</v>
      </c>
      <c r="CQ217" s="56">
        <f t="shared" ref="CQ217:CQ270" si="258">CP217-CO217</f>
        <v>-3494.8552425570765</v>
      </c>
      <c r="CR217" s="78">
        <f t="shared" si="237"/>
        <v>147711.63453594004</v>
      </c>
      <c r="CS217" s="5">
        <f t="shared" si="237"/>
        <v>120035.08261674168</v>
      </c>
      <c r="CT217" s="56">
        <f t="shared" ref="CT217:CT270" si="259">CS217-CR217</f>
        <v>-27676.551919198362</v>
      </c>
      <c r="CU217" s="87">
        <f t="shared" ref="CU217:CU270" si="260">CR217*1.2</f>
        <v>177253.96144312804</v>
      </c>
      <c r="CV217" s="70">
        <f t="shared" ref="CV217:CV270" si="261">CS217*1.2</f>
        <v>144042.09914009002</v>
      </c>
      <c r="CW217" s="37">
        <f t="shared" ref="CW217:CW270" si="262">CV217-CU217</f>
        <v>-33211.862303038011</v>
      </c>
      <c r="CX217" s="42">
        <f>'[1]побудинковий звіт'!CX217+'[2]побудинковий звіт'!CX217-'[3]побудинковий звіт'!CX217</f>
        <v>3544.3985568719945</v>
      </c>
      <c r="CY217" s="42">
        <f>'[1]побудинковий звіт'!CY217+'[2]побудинковий звіт'!CY217-'[3]побудинковий звіт'!CY217</f>
        <v>36756.260859909999</v>
      </c>
      <c r="CZ217" s="56">
        <f t="shared" ref="CZ217:CZ270" si="263">CY217-CX217</f>
        <v>33211.862303038004</v>
      </c>
      <c r="DA217" s="264">
        <f>'[4]побудинковий звіт'!DA217</f>
        <v>-19763.45146133229</v>
      </c>
      <c r="DB217" s="2">
        <v>2</v>
      </c>
      <c r="DC217" s="717">
        <f>'[4]побудинковий звіт'!DC217</f>
        <v>33660.35</v>
      </c>
      <c r="DD217" s="717">
        <f>'[4]побудинковий звіт'!DD217</f>
        <v>10947.4</v>
      </c>
      <c r="DE217" s="717">
        <f>'[4]побудинковий звіт'!DE217</f>
        <v>19664.18</v>
      </c>
      <c r="DF217" s="717">
        <f>'[4]побудинковий звіт'!DF217</f>
        <v>9877.0399999999991</v>
      </c>
      <c r="DG217" s="787">
        <v>-13342.314347563894</v>
      </c>
      <c r="DH217" s="761">
        <f t="shared" si="226"/>
        <v>2169580.3200000003</v>
      </c>
      <c r="DI217" s="784"/>
      <c r="DJ217" s="5"/>
      <c r="DK217" s="317">
        <f>VLOOKUP($A217,ціни!$A$4:$G$401,5)</f>
        <v>4.3348059431117818</v>
      </c>
      <c r="DL217" s="317"/>
      <c r="DM217" s="317">
        <f>VLOOKUP($A217,ціни!$A$4:$G$401,7)</f>
        <v>3.8683241544870275</v>
      </c>
      <c r="DN217" s="30">
        <f t="shared" ref="DN217:DN229" si="264">F217*DK217</f>
        <v>9279.6924746571149</v>
      </c>
      <c r="DO217" s="30">
        <f t="shared" ref="DO217:DO229" si="265">H217*DM217</f>
        <v>1070.3652935465605</v>
      </c>
      <c r="DP217" s="316">
        <f t="shared" si="221"/>
        <v>10350.057768203675</v>
      </c>
      <c r="DQ217" s="104"/>
      <c r="DR217" s="30">
        <f>VLOOKUP(A217,'ДЗ нас '!$A$1:$C$359,2)</f>
        <v>13996.17</v>
      </c>
      <c r="DS217" s="748">
        <f>VLOOKUP(A217,'ДЗ нежит'!$A$1:$D$153,4,0)</f>
        <v>1070.3599999999999</v>
      </c>
      <c r="DT217" s="30">
        <f t="shared" si="222"/>
        <v>15066.53</v>
      </c>
      <c r="DU217" s="257">
        <f>VLOOKUP(A217,'новий кошторис с 01.06'!$A$4:$AI$399,35)*1.2</f>
        <v>15125.671376480257</v>
      </c>
      <c r="DV217" s="30">
        <f t="shared" si="223"/>
        <v>-59.14137648025644</v>
      </c>
      <c r="DW217" s="930">
        <f>'[5]побудинковий звіт'!DW217+'[6]побудинковий звіт'!DW217</f>
        <v>236</v>
      </c>
      <c r="DY217" s="5">
        <f t="shared" si="227"/>
        <v>50345.816415469511</v>
      </c>
      <c r="DZ217" s="5">
        <f t="shared" si="228"/>
        <v>4005.6</v>
      </c>
      <c r="EA217" s="752">
        <f t="shared" si="229"/>
        <v>29541.22</v>
      </c>
      <c r="EC217" s="592">
        <f t="shared" si="230"/>
        <v>401522.1786220551</v>
      </c>
      <c r="EE217" s="758">
        <v>47434</v>
      </c>
      <c r="EF217" s="738">
        <f t="shared" si="231"/>
        <v>34091.685652436106</v>
      </c>
      <c r="EH217" s="813">
        <v>12981.017876677557</v>
      </c>
    </row>
    <row r="218" spans="1:138" x14ac:dyDescent="0.3">
      <c r="A218" s="328">
        <v>150001050</v>
      </c>
      <c r="B218" s="44" t="s">
        <v>669</v>
      </c>
      <c r="C218" s="45" t="s">
        <v>270</v>
      </c>
      <c r="D218" s="45" t="s">
        <v>270</v>
      </c>
      <c r="E218" s="40">
        <f t="shared" si="232"/>
        <v>418.2</v>
      </c>
      <c r="F218" s="490">
        <v>418.2</v>
      </c>
      <c r="G218" s="30"/>
      <c r="H218" s="30">
        <v>0</v>
      </c>
      <c r="I218" s="42">
        <f>'[1]побудинковий звіт'!I218+'[2]побудинковий звіт'!I218-'[3]побудинковий звіт'!I218</f>
        <v>12208.686691603745</v>
      </c>
      <c r="J218" s="42">
        <f>'[1]побудинковий звіт'!J218+'[2]побудинковий звіт'!J218-'[3]побудинковий звіт'!J218</f>
        <v>12192.17643300479</v>
      </c>
      <c r="K218" s="56">
        <f t="shared" si="238"/>
        <v>-16.510258598955261</v>
      </c>
      <c r="L218" s="42">
        <f>'[1]побудинковий звіт'!L218+'[2]побудинковий звіт'!L218-'[3]побудинковий звіт'!L218</f>
        <v>2071.2716309647135</v>
      </c>
      <c r="M218" s="42">
        <f>'[1]побудинковий звіт'!M218+'[2]побудинковий звіт'!M218-'[3]побудинковий звіт'!M218</f>
        <v>2099.7382734816679</v>
      </c>
      <c r="N218" s="56">
        <f t="shared" si="239"/>
        <v>28.46664251695438</v>
      </c>
      <c r="O218" s="42">
        <f>'[1]побудинковий звіт'!O218+'[2]побудинковий звіт'!O218-'[3]побудинковий звіт'!O218</f>
        <v>4839.96</v>
      </c>
      <c r="P218" s="42">
        <f>'[1]побудинковий звіт'!P218+'[2]побудинковий звіт'!P218-'[3]побудинковий звіт'!P218</f>
        <v>3804.1978521505366</v>
      </c>
      <c r="Q218" s="56">
        <f t="shared" si="240"/>
        <v>-1035.7621478494634</v>
      </c>
      <c r="R218" s="42">
        <f>'[1]побудинковий звіт'!R218+'[2]побудинковий звіт'!R218-'[3]побудинковий звіт'!R218</f>
        <v>0</v>
      </c>
      <c r="S218" s="42">
        <f>'[1]побудинковий звіт'!S218+'[2]побудинковий звіт'!S218-'[3]побудинковий звіт'!S218</f>
        <v>0</v>
      </c>
      <c r="T218" s="56">
        <f t="shared" si="241"/>
        <v>0</v>
      </c>
      <c r="U218" s="42">
        <f>'[1]побудинковий звіт'!U218+'[2]побудинковий звіт'!U218-'[3]побудинковий звіт'!U218</f>
        <v>0</v>
      </c>
      <c r="V218" s="42">
        <f>'[1]побудинковий звіт'!V218+'[2]побудинковий звіт'!V218-'[3]побудинковий звіт'!V218</f>
        <v>0</v>
      </c>
      <c r="W218" s="56">
        <f t="shared" si="242"/>
        <v>0</v>
      </c>
      <c r="X218" s="42">
        <f>'[1]побудинковий звіт'!X218+'[2]побудинковий звіт'!X218-'[3]побудинковий звіт'!X218</f>
        <v>7654.5532455452867</v>
      </c>
      <c r="Y218" s="42">
        <f>'[1]побудинковий звіт'!Y218+'[2]побудинковий звіт'!Y218-'[3]побудинковий звіт'!Y218</f>
        <v>5946.7254938600217</v>
      </c>
      <c r="Z218" s="56">
        <f t="shared" si="243"/>
        <v>-1707.827751685265</v>
      </c>
      <c r="AA218" s="42">
        <f>'[1]побудинковий звіт'!AA218+'[2]побудинковий звіт'!AA218-'[3]побудинковий звіт'!AA218</f>
        <v>0</v>
      </c>
      <c r="AB218" s="42">
        <f>'[1]побудинковий звіт'!AB218+'[2]побудинковий звіт'!AB218-'[3]побудинковий звіт'!AB218</f>
        <v>0</v>
      </c>
      <c r="AC218" s="56">
        <f t="shared" si="244"/>
        <v>0</v>
      </c>
      <c r="AD218" s="42">
        <f>'[1]побудинковий звіт'!AD218+'[2]побудинковий звіт'!AD218-'[3]побудинковий звіт'!AD218</f>
        <v>15240.346333799105</v>
      </c>
      <c r="AE218" s="42">
        <f>'[1]побудинковий звіт'!AE218+'[2]побудинковий звіт'!AE218-'[3]побудинковий звіт'!AE218</f>
        <v>14046.652364281455</v>
      </c>
      <c r="AF218" s="37">
        <f t="shared" si="245"/>
        <v>-1193.6939695176497</v>
      </c>
      <c r="AG218" s="87">
        <f t="shared" si="235"/>
        <v>42014.817901912851</v>
      </c>
      <c r="AH218" s="57">
        <f t="shared" si="235"/>
        <v>38089.49041677847</v>
      </c>
      <c r="AI218" s="56">
        <f t="shared" si="246"/>
        <v>-3925.3274851343813</v>
      </c>
      <c r="AJ218" s="42">
        <f>'[1]побудинковий звіт'!AJ218+'[2]побудинковий звіт'!AJ218-'[3]побудинковий звіт'!AJ218</f>
        <v>0</v>
      </c>
      <c r="AK218" s="42">
        <f>'[1]побудинковий звіт'!AK218+'[2]побудинковий звіт'!AK218-'[3]побудинковий звіт'!AK218</f>
        <v>0</v>
      </c>
      <c r="AL218" s="56">
        <f t="shared" si="247"/>
        <v>0</v>
      </c>
      <c r="AM218" s="42">
        <f>'[1]побудинковий звіт'!AM218+'[2]побудинковий звіт'!AM218-'[3]побудинковий звіт'!AM218</f>
        <v>0</v>
      </c>
      <c r="AN218" s="42">
        <f>'[1]побудинковий звіт'!AN218+'[2]побудинковий звіт'!AN218-'[3]побудинковий звіт'!AN218</f>
        <v>0</v>
      </c>
      <c r="AO218" s="56">
        <f t="shared" si="248"/>
        <v>0</v>
      </c>
      <c r="AP218" s="42">
        <f>'[1]побудинковий звіт'!AP218+'[2]побудинковий звіт'!AP218-'[3]побудинковий звіт'!AP218</f>
        <v>11364.211714723799</v>
      </c>
      <c r="AQ218" s="42">
        <f>'[1]побудинковий звіт'!AQ218+'[2]побудинковий звіт'!AQ218-'[3]побудинковий звіт'!AQ218</f>
        <v>4872.169811709683</v>
      </c>
      <c r="AR218" s="56">
        <f t="shared" si="249"/>
        <v>-6492.0419030141156</v>
      </c>
      <c r="AS218" s="42">
        <f>'[1]побудинковий звіт'!AS218+'[2]побудинковий звіт'!AS218-'[3]побудинковий звіт'!AS218</f>
        <v>54971.819103875612</v>
      </c>
      <c r="AT218" s="42">
        <f>'[1]побудинковий звіт'!AT218+'[2]побудинковий звіт'!AT218-'[3]побудинковий звіт'!AT218</f>
        <v>475</v>
      </c>
      <c r="AU218" s="58">
        <f t="shared" ref="AU218:AU271" si="266">AT218-AS218</f>
        <v>-54496.819103875612</v>
      </c>
      <c r="AV218" s="42">
        <f>'[1]побудинковий звіт'!AV218+'[2]побудинковий звіт'!AV218-'[3]побудинковий звіт'!AV218</f>
        <v>1940.8522748715295</v>
      </c>
      <c r="AW218" s="42">
        <f>'[1]побудинковий звіт'!AW218+'[2]побудинковий звіт'!AW218-'[3]побудинковий звіт'!AW218</f>
        <v>0</v>
      </c>
      <c r="AX218" s="59">
        <f t="shared" ref="AX218:AX271" si="267">AW218-AV218</f>
        <v>-1940.8522748715295</v>
      </c>
      <c r="AY218" s="42">
        <f>'[1]побудинковий звіт'!AY218+'[2]побудинковий звіт'!AY218-'[3]побудинковий звіт'!AY218</f>
        <v>2669.3329242191721</v>
      </c>
      <c r="AZ218" s="42">
        <f>'[1]побудинковий звіт'!AZ218+'[2]побудинковий звіт'!AZ218-'[3]побудинковий звіт'!AZ218</f>
        <v>0</v>
      </c>
      <c r="BA218" s="37">
        <f t="shared" ref="BA218:BA271" si="268">AZ218-AY218</f>
        <v>-2669.3329242191721</v>
      </c>
      <c r="BB218" s="42">
        <f>'[1]побудинковий звіт'!BB218+'[2]побудинковий звіт'!BB218-'[3]побудинковий звіт'!BB218</f>
        <v>2590.053937561087</v>
      </c>
      <c r="BC218" s="42">
        <f>'[1]побудинковий звіт'!BC218+'[2]побудинковий звіт'!BC218-'[3]побудинковий звіт'!BC218</f>
        <v>0</v>
      </c>
      <c r="BD218" s="59">
        <f t="shared" ref="BD218:BD271" si="269">BC218-BB218</f>
        <v>-2590.053937561087</v>
      </c>
      <c r="BE218" s="42">
        <f>'[1]побудинковий звіт'!BE218+'[2]побудинковий звіт'!BE218-'[3]побудинковий звіт'!BE218</f>
        <v>0</v>
      </c>
      <c r="BF218" s="42">
        <f>'[1]побудинковий звіт'!BF218+'[2]побудинковий звіт'!BF218-'[3]побудинковий звіт'!BF218</f>
        <v>0</v>
      </c>
      <c r="BG218" s="39">
        <f t="shared" ref="BG218:BG271" si="270">BF218-BE218</f>
        <v>0</v>
      </c>
      <c r="BH218" s="42">
        <f>'[1]побудинковий звіт'!BH218+'[2]побудинковий звіт'!BH218-'[3]побудинковий звіт'!BH218</f>
        <v>0</v>
      </c>
      <c r="BI218" s="42">
        <f>'[1]побудинковий звіт'!BI218+'[2]побудинковий звіт'!BI218-'[3]побудинковий звіт'!BI218</f>
        <v>0</v>
      </c>
      <c r="BJ218" s="59">
        <f t="shared" ref="BJ218:BJ271" si="271">BI218-BH218</f>
        <v>0</v>
      </c>
      <c r="BK218" s="42">
        <f>'[1]побудинковий звіт'!BK218+'[2]побудинковий звіт'!BK218-'[3]побудинковий звіт'!BK218</f>
        <v>1077.1086257719292</v>
      </c>
      <c r="BL218" s="42">
        <f>'[1]побудинковий звіт'!BL218+'[2]побудинковий звіт'!BL218-'[3]побудинковий звіт'!BL218</f>
        <v>25785</v>
      </c>
      <c r="BM218" s="39">
        <f t="shared" ref="BM218:BM271" si="272">BL218-BK218</f>
        <v>24707.891374228071</v>
      </c>
      <c r="BN218" s="42">
        <f>'[1]побудинковий звіт'!BN218+'[2]побудинковий звіт'!BN218-'[3]побудинковий звіт'!BN218</f>
        <v>0</v>
      </c>
      <c r="BO218" s="42">
        <f>'[1]побудинковий звіт'!BO218+'[2]побудинковий звіт'!BO218-'[3]побудинковий звіт'!BO218</f>
        <v>0</v>
      </c>
      <c r="BP218" s="59">
        <f t="shared" ref="BP218:BP271" si="273">BO218-BN218</f>
        <v>0</v>
      </c>
      <c r="BQ218" s="87">
        <f t="shared" si="233"/>
        <v>8277.3477624237185</v>
      </c>
      <c r="BR218" s="43">
        <f t="shared" si="234"/>
        <v>25785</v>
      </c>
      <c r="BS218" s="59">
        <f t="shared" ref="BS218:BS271" si="274">BR218-BQ218</f>
        <v>17507.65223757628</v>
      </c>
      <c r="BT218" s="42">
        <f>'[1]побудинковий звіт'!BT218+'[2]побудинковий звіт'!BT218-'[3]побудинковий звіт'!BT218</f>
        <v>18146.613371952822</v>
      </c>
      <c r="BU218" s="42">
        <f>'[1]побудинковий звіт'!BU218+'[2]побудинковий звіт'!BU218-'[3]побудинковий звіт'!BU218</f>
        <v>28554.652380807041</v>
      </c>
      <c r="BV218" s="56">
        <f t="shared" si="250"/>
        <v>10408.039008854219</v>
      </c>
      <c r="BW218" s="42">
        <f>'[1]побудинковий звіт'!BW218+'[2]побудинковий звіт'!BW218-'[3]побудинковий звіт'!BW218</f>
        <v>15073.869363875809</v>
      </c>
      <c r="BX218" s="42">
        <f>'[1]побудинковий звіт'!BX218+'[2]побудинковий звіт'!BX218-'[3]побудинковий звіт'!BX218</f>
        <v>15655.52237223235</v>
      </c>
      <c r="BY218" s="56">
        <f t="shared" si="251"/>
        <v>581.65300835654125</v>
      </c>
      <c r="BZ218" s="42">
        <f>'[1]побудинковий звіт'!BZ218+'[2]побудинковий звіт'!BZ218-'[3]побудинковий звіт'!BZ218</f>
        <v>8232.9610519934795</v>
      </c>
      <c r="CA218" s="42">
        <f>'[1]побудинковий звіт'!CA218+'[2]побудинковий звіт'!CA218-'[3]побудинковий звіт'!CA218</f>
        <v>8491.1344296064599</v>
      </c>
      <c r="CB218" s="56">
        <f t="shared" si="252"/>
        <v>258.1733776129804</v>
      </c>
      <c r="CC218" s="42">
        <f>'[1]побудинковий звіт'!CC218+'[2]побудинковий звіт'!CC218-'[3]побудинковий звіт'!CC218</f>
        <v>2098.6356621884647</v>
      </c>
      <c r="CD218" s="42">
        <f>'[1]побудинковий звіт'!CD218+'[2]побудинковий звіт'!CD218-'[3]побудинковий звіт'!CD218</f>
        <v>2080.1775682122211</v>
      </c>
      <c r="CE218" s="56">
        <f t="shared" si="253"/>
        <v>-18.458093976243617</v>
      </c>
      <c r="CF218" s="42">
        <f>'[1]побудинковий звіт'!CF218+'[2]побудинковий звіт'!CF218-'[3]побудинковий звіт'!CF218</f>
        <v>258.35476901941314</v>
      </c>
      <c r="CG218" s="42">
        <f>'[1]побудинковий звіт'!CG218+'[2]побудинковий звіт'!CG218-'[3]побудинковий звіт'!CG218</f>
        <v>0</v>
      </c>
      <c r="CH218" s="56">
        <f t="shared" si="254"/>
        <v>-258.35476901941314</v>
      </c>
      <c r="CI218" s="42">
        <f>'[1]побудинковий звіт'!CI218+'[2]побудинковий звіт'!CI218-'[3]побудинковий звіт'!CI218</f>
        <v>1665.8597407701002</v>
      </c>
      <c r="CJ218" s="42">
        <f>'[1]побудинковий звіт'!CJ218+'[2]побудинковий звіт'!CJ218-'[3]побудинковий звіт'!CJ218</f>
        <v>2192.0333673693194</v>
      </c>
      <c r="CK218" s="56">
        <f t="shared" si="255"/>
        <v>526.17362659921923</v>
      </c>
      <c r="CL218" s="42">
        <f>'[1]побудинковий звіт'!CL218+'[2]побудинковий звіт'!CL218-'[3]побудинковий звіт'!CL218</f>
        <v>0</v>
      </c>
      <c r="CM218" s="42">
        <f>'[1]побудинковий звіт'!CM218+'[2]побудинковий звіт'!CM218-'[3]побудинковий звіт'!CM218</f>
        <v>0</v>
      </c>
      <c r="CN218" s="56">
        <f t="shared" si="256"/>
        <v>0</v>
      </c>
      <c r="CO218" s="42">
        <f t="shared" si="236"/>
        <v>1665.8597407701002</v>
      </c>
      <c r="CP218" s="43">
        <f t="shared" si="257"/>
        <v>2192.0333673693194</v>
      </c>
      <c r="CQ218" s="56">
        <f t="shared" si="258"/>
        <v>526.17362659921923</v>
      </c>
      <c r="CR218" s="78">
        <f t="shared" si="237"/>
        <v>162104.49044273605</v>
      </c>
      <c r="CS218" s="5">
        <f t="shared" si="237"/>
        <v>126195.18034671554</v>
      </c>
      <c r="CT218" s="56">
        <f t="shared" si="259"/>
        <v>-35909.310096020505</v>
      </c>
      <c r="CU218" s="87">
        <f t="shared" si="260"/>
        <v>194525.38853128324</v>
      </c>
      <c r="CV218" s="70">
        <f t="shared" si="261"/>
        <v>151434.21641605865</v>
      </c>
      <c r="CW218" s="37">
        <f t="shared" si="262"/>
        <v>-43091.172115224588</v>
      </c>
      <c r="CX218" s="42">
        <f>'[1]побудинковий звіт'!CX218+'[2]побудинковий звіт'!CX218-'[3]побудинковий звіт'!CX218</f>
        <v>9708.5914687167315</v>
      </c>
      <c r="CY218" s="42">
        <f>'[1]побудинковий звіт'!CY218+'[2]побудинковий звіт'!CY218-'[3]побудинковий звіт'!CY218</f>
        <v>52799.763583941349</v>
      </c>
      <c r="CZ218" s="56">
        <f t="shared" si="263"/>
        <v>43091.172115224617</v>
      </c>
      <c r="DA218" s="264">
        <f>'[4]побудинковий звіт'!DA218</f>
        <v>64777.653585699518</v>
      </c>
      <c r="DB218" s="2">
        <v>2</v>
      </c>
      <c r="DC218" s="717">
        <f>'[4]побудинковий звіт'!DC218</f>
        <v>36900.11</v>
      </c>
      <c r="DD218" s="717">
        <f>'[4]побудинковий звіт'!DD218</f>
        <v>0</v>
      </c>
      <c r="DE218" s="717">
        <f>'[4]побудинковий звіт'!DE218</f>
        <v>19874.400000000001</v>
      </c>
      <c r="DF218" s="717">
        <f>'[4]побудинковий звіт'!DF218</f>
        <v>0</v>
      </c>
      <c r="DG218" s="787">
        <v>132704.8194197914</v>
      </c>
      <c r="DH218" s="761">
        <f t="shared" si="226"/>
        <v>2450807.7599999998</v>
      </c>
      <c r="DI218" s="784"/>
      <c r="DJ218" s="5"/>
      <c r="DK218" s="317">
        <f>VLOOKUP($A218,ціни!$A$4:$G$401,5)</f>
        <v>4.7754037248512429</v>
      </c>
      <c r="DL218" s="317"/>
      <c r="DM218" s="317">
        <f>VLOOKUP($A218,ціни!$A$4:$G$401,7)</f>
        <v>4.3313456255871632</v>
      </c>
      <c r="DN218" s="30">
        <f t="shared" si="264"/>
        <v>1997.0738377327898</v>
      </c>
      <c r="DO218" s="30">
        <f t="shared" si="265"/>
        <v>0</v>
      </c>
      <c r="DP218" s="316">
        <f t="shared" si="221"/>
        <v>1997.0738377327898</v>
      </c>
      <c r="DQ218" s="104"/>
      <c r="DR218" s="30">
        <f>VLOOKUP(A218,'ДЗ нас '!$A$1:$C$359,2)</f>
        <v>17020.46</v>
      </c>
      <c r="DS218" s="748"/>
      <c r="DT218" s="30">
        <f t="shared" si="222"/>
        <v>17020.46</v>
      </c>
      <c r="DU218" s="257">
        <f>VLOOKUP(A218,'новий кошторис с 01.06'!$A$4:$AI$399,35)*1.2</f>
        <v>17183.07598693002</v>
      </c>
      <c r="DV218" s="30">
        <f t="shared" si="223"/>
        <v>-162.61598693002088</v>
      </c>
      <c r="DW218" s="930">
        <f>'[5]побудинковий звіт'!DW218+'[6]побудинковий звіт'!DW218</f>
        <v>204</v>
      </c>
      <c r="DY218" s="5">
        <f t="shared" si="227"/>
        <v>75899.000239559202</v>
      </c>
      <c r="DZ218" s="5">
        <f t="shared" si="228"/>
        <v>31512</v>
      </c>
      <c r="EA218" s="752">
        <f t="shared" si="229"/>
        <v>19874.400000000001</v>
      </c>
      <c r="EC218" s="592">
        <f t="shared" si="230"/>
        <v>659661.82924650738</v>
      </c>
      <c r="EE218" s="758">
        <v>-74112</v>
      </c>
      <c r="EF218" s="738">
        <f t="shared" si="231"/>
        <v>58592.819419791398</v>
      </c>
      <c r="EH218" s="813">
        <v>124391.2869300335</v>
      </c>
    </row>
    <row r="219" spans="1:138" x14ac:dyDescent="0.3">
      <c r="A219" s="328">
        <v>150001045</v>
      </c>
      <c r="B219" s="44" t="s">
        <v>670</v>
      </c>
      <c r="C219" s="45" t="s">
        <v>271</v>
      </c>
      <c r="D219" s="45" t="s">
        <v>271</v>
      </c>
      <c r="E219" s="40">
        <f t="shared" si="232"/>
        <v>2135.1</v>
      </c>
      <c r="F219" s="490">
        <v>2135.1</v>
      </c>
      <c r="G219" s="30"/>
      <c r="H219" s="30">
        <v>0</v>
      </c>
      <c r="I219" s="42">
        <f>'[1]побудинковий звіт'!I219+'[2]побудинковий звіт'!I219-'[3]побудинковий звіт'!I219</f>
        <v>11844.95904490511</v>
      </c>
      <c r="J219" s="42">
        <f>'[1]побудинковий звіт'!J219+'[2]побудинковий звіт'!J219-'[3]побудинковий звіт'!J219</f>
        <v>11836.09482463932</v>
      </c>
      <c r="K219" s="56">
        <f t="shared" si="238"/>
        <v>-8.8642202657902089</v>
      </c>
      <c r="L219" s="42">
        <f>'[1]побудинковий звіт'!L219+'[2]побудинковий звіт'!L219-'[3]побудинковий звіт'!L219</f>
        <v>2071.2716309647135</v>
      </c>
      <c r="M219" s="42">
        <f>'[1]побудинковий звіт'!M219+'[2]побудинковий звіт'!M219-'[3]побудинковий звіт'!M219</f>
        <v>2089.8248331115369</v>
      </c>
      <c r="N219" s="56">
        <f t="shared" si="239"/>
        <v>18.553202146823423</v>
      </c>
      <c r="O219" s="42">
        <f>'[1]побудинковий звіт'!O219+'[2]побудинковий звіт'!O219-'[3]побудинковий звіт'!O219</f>
        <v>5304.4800000000005</v>
      </c>
      <c r="P219" s="42">
        <f>'[1]побудинковий звіт'!P219+'[2]побудинковий звіт'!P219-'[3]побудинковий звіт'!P219</f>
        <v>4169.3020147849466</v>
      </c>
      <c r="Q219" s="56">
        <f t="shared" si="240"/>
        <v>-1135.1779852150539</v>
      </c>
      <c r="R219" s="42">
        <f>'[1]побудинковий звіт'!R219+'[2]побудинковий звіт'!R219-'[3]побудинковий звіт'!R219</f>
        <v>0</v>
      </c>
      <c r="S219" s="42">
        <f>'[1]побудинковий звіт'!S219+'[2]побудинковий звіт'!S219-'[3]побудинковий звіт'!S219</f>
        <v>0</v>
      </c>
      <c r="T219" s="56">
        <f t="shared" si="241"/>
        <v>0</v>
      </c>
      <c r="U219" s="42">
        <f>'[1]побудинковий звіт'!U219+'[2]побудинковий звіт'!U219-'[3]побудинковий звіт'!U219</f>
        <v>0</v>
      </c>
      <c r="V219" s="42">
        <f>'[1]побудинковий звіт'!V219+'[2]побудинковий звіт'!V219-'[3]побудинковий звіт'!V219</f>
        <v>0</v>
      </c>
      <c r="W219" s="56">
        <f t="shared" si="242"/>
        <v>0</v>
      </c>
      <c r="X219" s="42">
        <f>'[1]побудинковий звіт'!X219+'[2]побудинковий звіт'!X219-'[3]побудинковий звіт'!X219</f>
        <v>7654.5532455452867</v>
      </c>
      <c r="Y219" s="42">
        <f>'[1]побудинковий звіт'!Y219+'[2]побудинковий звіт'!Y219-'[3]побудинковий звіт'!Y219</f>
        <v>8100.4107667172375</v>
      </c>
      <c r="Z219" s="56">
        <f t="shared" si="243"/>
        <v>445.85752117195079</v>
      </c>
      <c r="AA219" s="42">
        <f>'[1]побудинковий звіт'!AA219+'[2]побудинковий звіт'!AA219-'[3]побудинковий звіт'!AA219</f>
        <v>0</v>
      </c>
      <c r="AB219" s="42">
        <f>'[1]побудинковий звіт'!AB219+'[2]побудинковий звіт'!AB219-'[3]побудинковий звіт'!AB219</f>
        <v>0</v>
      </c>
      <c r="AC219" s="56">
        <f t="shared" si="244"/>
        <v>0</v>
      </c>
      <c r="AD219" s="42">
        <f>'[1]побудинковий звіт'!AD219+'[2]побудинковий звіт'!AD219-'[3]побудинковий звіт'!AD219</f>
        <v>15270.704737684853</v>
      </c>
      <c r="AE219" s="42">
        <f>'[1]побудинковий звіт'!AE219+'[2]побудинковий звіт'!AE219-'[3]побудинковий звіт'!AE219</f>
        <v>14074.770170734582</v>
      </c>
      <c r="AF219" s="37">
        <f t="shared" si="245"/>
        <v>-1195.9345669502709</v>
      </c>
      <c r="AG219" s="87">
        <f t="shared" si="235"/>
        <v>42145.968659099963</v>
      </c>
      <c r="AH219" s="57">
        <f t="shared" si="235"/>
        <v>40270.402609987628</v>
      </c>
      <c r="AI219" s="56">
        <f t="shared" si="246"/>
        <v>-1875.5660491123344</v>
      </c>
      <c r="AJ219" s="42">
        <f>'[1]побудинковий звіт'!AJ219+'[2]побудинковий звіт'!AJ219-'[3]побудинковий звіт'!AJ219</f>
        <v>0</v>
      </c>
      <c r="AK219" s="42">
        <f>'[1]побудинковий звіт'!AK219+'[2]побудинковий звіт'!AK219-'[3]побудинковий звіт'!AK219</f>
        <v>0</v>
      </c>
      <c r="AL219" s="56">
        <f t="shared" si="247"/>
        <v>0</v>
      </c>
      <c r="AM219" s="42">
        <f>'[1]побудинковий звіт'!AM219+'[2]побудинковий звіт'!AM219-'[3]побудинковий звіт'!AM219</f>
        <v>0</v>
      </c>
      <c r="AN219" s="42">
        <f>'[1]побудинковий звіт'!AN219+'[2]побудинковий звіт'!AN219-'[3]побудинковий звіт'!AN219</f>
        <v>0</v>
      </c>
      <c r="AO219" s="56">
        <f t="shared" si="248"/>
        <v>0</v>
      </c>
      <c r="AP219" s="42">
        <f>'[1]побудинковий звіт'!AP219+'[2]побудинковий звіт'!AP219-'[3]побудинковий звіт'!AP219</f>
        <v>11364.211714723799</v>
      </c>
      <c r="AQ219" s="42">
        <f>'[1]побудинковий звіт'!AQ219+'[2]побудинковий звіт'!AQ219-'[3]побудинковий звіт'!AQ219</f>
        <v>10836.485247022882</v>
      </c>
      <c r="AR219" s="56">
        <f t="shared" si="249"/>
        <v>-527.72646770091706</v>
      </c>
      <c r="AS219" s="42">
        <f>'[1]побудинковий звіт'!AS219+'[2]побудинковий звіт'!AS219-'[3]побудинковий звіт'!AS219</f>
        <v>55837.528169614998</v>
      </c>
      <c r="AT219" s="42">
        <f>'[1]побудинковий звіт'!AT219+'[2]побудинковий звіт'!AT219-'[3]побудинковий звіт'!AT219</f>
        <v>44423.000000000007</v>
      </c>
      <c r="AU219" s="58">
        <f t="shared" si="266"/>
        <v>-11414.52816961499</v>
      </c>
      <c r="AV219" s="42">
        <f>'[1]побудинковий звіт'!AV219+'[2]побудинковий звіт'!AV219-'[3]побудинковий звіт'!AV219</f>
        <v>1855.2655009093594</v>
      </c>
      <c r="AW219" s="42">
        <f>'[1]побудинковий звіт'!AW219+'[2]побудинковий звіт'!AW219-'[3]побудинковий звіт'!AW219</f>
        <v>0</v>
      </c>
      <c r="AX219" s="59">
        <f t="shared" si="267"/>
        <v>-1855.2655009093594</v>
      </c>
      <c r="AY219" s="42">
        <f>'[1]побудинковий звіт'!AY219+'[2]побудинковий звіт'!AY219-'[3]побудинковий звіт'!AY219</f>
        <v>2669.3329242191721</v>
      </c>
      <c r="AZ219" s="42">
        <f>'[1]побудинковий звіт'!AZ219+'[2]побудинковий звіт'!AZ219-'[3]побудинковий звіт'!AZ219</f>
        <v>0</v>
      </c>
      <c r="BA219" s="37">
        <f t="shared" si="268"/>
        <v>-2669.3329242191721</v>
      </c>
      <c r="BB219" s="42">
        <f>'[1]побудинковий звіт'!BB219+'[2]побудинковий звіт'!BB219-'[3]побудинковий звіт'!BB219</f>
        <v>2824.0459151017808</v>
      </c>
      <c r="BC219" s="42">
        <f>'[1]побудинковий звіт'!BC219+'[2]побудинковий звіт'!BC219-'[3]побудинковий звіт'!BC219</f>
        <v>0</v>
      </c>
      <c r="BD219" s="59">
        <f t="shared" si="269"/>
        <v>-2824.0459151017808</v>
      </c>
      <c r="BE219" s="42">
        <f>'[1]побудинковий звіт'!BE219+'[2]побудинковий звіт'!BE219-'[3]побудинковий звіт'!BE219</f>
        <v>0</v>
      </c>
      <c r="BF219" s="42">
        <f>'[1]побудинковий звіт'!BF219+'[2]побудинковий звіт'!BF219-'[3]побудинковий звіт'!BF219</f>
        <v>0</v>
      </c>
      <c r="BG219" s="39">
        <f t="shared" si="270"/>
        <v>0</v>
      </c>
      <c r="BH219" s="42">
        <f>'[1]побудинковий звіт'!BH219+'[2]побудинковий звіт'!BH219-'[3]побудинковий звіт'!BH219</f>
        <v>0</v>
      </c>
      <c r="BI219" s="42">
        <f>'[1]побудинковий звіт'!BI219+'[2]побудинковий звіт'!BI219-'[3]побудинковий звіт'!BI219</f>
        <v>0</v>
      </c>
      <c r="BJ219" s="59">
        <f t="shared" si="271"/>
        <v>0</v>
      </c>
      <c r="BK219" s="42">
        <f>'[1]побудинковий звіт'!BK219+'[2]побудинковий звіт'!BK219-'[3]побудинковий звіт'!BK219</f>
        <v>1077.1086257719292</v>
      </c>
      <c r="BL219" s="42">
        <f>'[1]побудинковий звіт'!BL219+'[2]побудинковий звіт'!BL219-'[3]побудинковий звіт'!BL219</f>
        <v>2254</v>
      </c>
      <c r="BM219" s="39">
        <f t="shared" si="272"/>
        <v>1176.8913742280708</v>
      </c>
      <c r="BN219" s="42">
        <f>'[1]побудинковий звіт'!BN219+'[2]побудинковий звіт'!BN219-'[3]побудинковий звіт'!BN219</f>
        <v>0</v>
      </c>
      <c r="BO219" s="42">
        <f>'[1]побудинковий звіт'!BO219+'[2]побудинковий звіт'!BO219-'[3]побудинковий звіт'!BO219</f>
        <v>0</v>
      </c>
      <c r="BP219" s="59">
        <f t="shared" si="273"/>
        <v>0</v>
      </c>
      <c r="BQ219" s="87">
        <f t="shared" si="233"/>
        <v>8425.752966002241</v>
      </c>
      <c r="BR219" s="43">
        <f t="shared" si="234"/>
        <v>2254</v>
      </c>
      <c r="BS219" s="59">
        <f t="shared" si="274"/>
        <v>-6171.752966002241</v>
      </c>
      <c r="BT219" s="42">
        <f>'[1]побудинковий звіт'!BT219+'[2]побудинковий звіт'!BT219-'[3]побудинковий звіт'!BT219</f>
        <v>14752.568573674183</v>
      </c>
      <c r="BU219" s="42">
        <f>'[1]побудинковий звіт'!BU219+'[2]побудинковий звіт'!BU219-'[3]побудинковий звіт'!BU219</f>
        <v>21702.625531444039</v>
      </c>
      <c r="BV219" s="56">
        <f t="shared" si="250"/>
        <v>6950.0569577698552</v>
      </c>
      <c r="BW219" s="42">
        <f>'[1]побудинковий звіт'!BW219+'[2]побудинковий звіт'!BW219-'[3]побудинковий звіт'!BW219</f>
        <v>17736.339442890236</v>
      </c>
      <c r="BX219" s="42">
        <f>'[1]побудинковий звіт'!BX219+'[2]побудинковий звіт'!BX219-'[3]побудинковий звіт'!BX219</f>
        <v>18627.783023689401</v>
      </c>
      <c r="BY219" s="56">
        <f t="shared" si="251"/>
        <v>891.44358079916492</v>
      </c>
      <c r="BZ219" s="42">
        <f>'[1]побудинковий звіт'!BZ219+'[2]побудинковий звіт'!BZ219-'[3]побудинковий звіт'!BZ219</f>
        <v>7726.1845045018226</v>
      </c>
      <c r="CA219" s="42">
        <f>'[1]побудинковий звіт'!CA219+'[2]побудинковий звіт'!CA219-'[3]побудинковий звіт'!CA219</f>
        <v>5343.0475516933229</v>
      </c>
      <c r="CB219" s="56">
        <f t="shared" si="252"/>
        <v>-2383.1369528084997</v>
      </c>
      <c r="CC219" s="42">
        <f>'[1]побудинковий звіт'!CC219+'[2]побудинковий звіт'!CC219-'[3]побудинковий звіт'!CC219</f>
        <v>2137.4611572702966</v>
      </c>
      <c r="CD219" s="42">
        <f>'[1]побудинковий звіт'!CD219+'[2]побудинковий звіт'!CD219-'[3]побудинковий звіт'!CD219</f>
        <v>2118.661582088047</v>
      </c>
      <c r="CE219" s="56">
        <f t="shared" si="253"/>
        <v>-18.799575182249555</v>
      </c>
      <c r="CF219" s="42">
        <f>'[1]побудинковий звіт'!CF219+'[2]побудинковий звіт'!CF219-'[3]побудинковий звіт'!CF219</f>
        <v>263.13442277001764</v>
      </c>
      <c r="CG219" s="42">
        <f>'[1]побудинковий звіт'!CG219+'[2]побудинковий звіт'!CG219-'[3]побудинковий звіт'!CG219</f>
        <v>0</v>
      </c>
      <c r="CH219" s="56">
        <f t="shared" si="254"/>
        <v>-263.13442277001764</v>
      </c>
      <c r="CI219" s="42">
        <f>'[1]побудинковий звіт'!CI219+'[2]побудинковий звіт'!CI219-'[3]побудинковий звіт'!CI219</f>
        <v>8834.6718836346881</v>
      </c>
      <c r="CJ219" s="42">
        <f>'[1]побудинковий звіт'!CJ219+'[2]побудинковий звіт'!CJ219-'[3]побудинковий звіт'!CJ219</f>
        <v>9620.6436055069971</v>
      </c>
      <c r="CK219" s="56">
        <f t="shared" si="255"/>
        <v>785.97172187230899</v>
      </c>
      <c r="CL219" s="42">
        <f>'[1]побудинковий звіт'!CL219+'[2]побудинковий звіт'!CL219-'[3]побудинковий звіт'!CL219</f>
        <v>0</v>
      </c>
      <c r="CM219" s="42">
        <f>'[1]побудинковий звіт'!CM219+'[2]побудинковий звіт'!CM219-'[3]побудинковий звіт'!CM219</f>
        <v>0</v>
      </c>
      <c r="CN219" s="56">
        <f t="shared" si="256"/>
        <v>0</v>
      </c>
      <c r="CO219" s="42">
        <f t="shared" si="236"/>
        <v>8834.6718836346881</v>
      </c>
      <c r="CP219" s="43">
        <f t="shared" si="257"/>
        <v>9620.6436055069971</v>
      </c>
      <c r="CQ219" s="56">
        <f t="shared" si="258"/>
        <v>785.97172187230899</v>
      </c>
      <c r="CR219" s="78">
        <f t="shared" si="237"/>
        <v>169223.82149418225</v>
      </c>
      <c r="CS219" s="5">
        <f t="shared" si="237"/>
        <v>155196.64915143233</v>
      </c>
      <c r="CT219" s="56">
        <f t="shared" si="259"/>
        <v>-14027.172342749924</v>
      </c>
      <c r="CU219" s="87">
        <f t="shared" si="260"/>
        <v>203068.58579301869</v>
      </c>
      <c r="CV219" s="70">
        <f t="shared" si="261"/>
        <v>186235.9789817188</v>
      </c>
      <c r="CW219" s="37">
        <f t="shared" si="262"/>
        <v>-16832.606811299891</v>
      </c>
      <c r="CX219" s="42">
        <f>'[1]побудинковий звіт'!CX219+'[2]побудинковий звіт'!CX219-'[3]побудинковий звіт'!CX219</f>
        <v>8129.6242069813416</v>
      </c>
      <c r="CY219" s="42">
        <f>'[1]побудинковий звіт'!CY219+'[2]побудинковий звіт'!CY219-'[3]побудинковий звіт'!CY219</f>
        <v>24962.231018281254</v>
      </c>
      <c r="CZ219" s="56">
        <f t="shared" si="263"/>
        <v>16832.606811299913</v>
      </c>
      <c r="DA219" s="264">
        <f>'[4]побудинковий звіт'!DA219</f>
        <v>-22837.241728369889</v>
      </c>
      <c r="DB219" s="2">
        <v>2</v>
      </c>
      <c r="DC219" s="717">
        <f>'[4]побудинковий звіт'!DC219</f>
        <v>46583.22</v>
      </c>
      <c r="DD219" s="717">
        <f>'[4]побудинковий звіт'!DD219</f>
        <v>0</v>
      </c>
      <c r="DE219" s="717">
        <f>'[4]побудинковий звіт'!DE219</f>
        <v>28981.07</v>
      </c>
      <c r="DF219" s="717">
        <f>'[4]побудинковий звіт'!DF219</f>
        <v>0</v>
      </c>
      <c r="DG219" s="787">
        <v>29406.747524217935</v>
      </c>
      <c r="DH219" s="761">
        <f t="shared" si="226"/>
        <v>2534378.5200000005</v>
      </c>
      <c r="DI219" s="784"/>
      <c r="DJ219" s="5"/>
      <c r="DK219" s="317">
        <f>VLOOKUP($A219,ціни!$A$4:$G$401,5)</f>
        <v>4.9278371046074234</v>
      </c>
      <c r="DL219" s="317"/>
      <c r="DM219" s="317">
        <f>VLOOKUP($A219,ціни!$A$4:$G$401,7)</f>
        <v>4.4113507681397683</v>
      </c>
      <c r="DN219" s="30">
        <f t="shared" si="264"/>
        <v>10521.42500204731</v>
      </c>
      <c r="DO219" s="30">
        <f t="shared" si="265"/>
        <v>0</v>
      </c>
      <c r="DP219" s="316">
        <f t="shared" si="221"/>
        <v>10521.42500204731</v>
      </c>
      <c r="DQ219" s="104"/>
      <c r="DR219" s="30">
        <f>VLOOKUP(A219,'ДЗ нас '!$A$1:$C$359,2)</f>
        <v>17602.150000000001</v>
      </c>
      <c r="DS219" s="748"/>
      <c r="DT219" s="30">
        <f t="shared" si="222"/>
        <v>17602.150000000001</v>
      </c>
      <c r="DU219" s="257">
        <f>VLOOKUP(A219,'новий кошторис с 01.06'!$A$4:$AI$399,35)*1.2</f>
        <v>17734.656492590297</v>
      </c>
      <c r="DV219" s="30">
        <f t="shared" si="223"/>
        <v>-132.50649259029524</v>
      </c>
      <c r="DW219" s="930">
        <f>'[5]побудинковий звіт'!DW219+'[6]побудинковий звіт'!DW219</f>
        <v>236</v>
      </c>
      <c r="DY219" s="5">
        <f t="shared" si="227"/>
        <v>77115.937362740689</v>
      </c>
      <c r="DZ219" s="5">
        <f t="shared" si="228"/>
        <v>56012.400000000009</v>
      </c>
      <c r="EA219" s="752">
        <f t="shared" si="229"/>
        <v>28981.07</v>
      </c>
      <c r="EC219" s="592">
        <f t="shared" si="230"/>
        <v>670050.33803538</v>
      </c>
      <c r="EE219" s="758">
        <v>-41807</v>
      </c>
      <c r="EF219" s="738">
        <f t="shared" si="231"/>
        <v>-12400.252475782065</v>
      </c>
      <c r="EH219" s="813">
        <v>-14729.242695667563</v>
      </c>
    </row>
    <row r="220" spans="1:138" x14ac:dyDescent="0.3">
      <c r="A220" s="328">
        <v>150001046</v>
      </c>
      <c r="B220" s="44" t="s">
        <v>671</v>
      </c>
      <c r="C220" s="45" t="s">
        <v>272</v>
      </c>
      <c r="D220" s="45" t="s">
        <v>272</v>
      </c>
      <c r="E220" s="40">
        <f t="shared" si="232"/>
        <v>4626.5999999999995</v>
      </c>
      <c r="F220" s="490">
        <v>4349.8999999999996</v>
      </c>
      <c r="G220" s="30"/>
      <c r="H220" s="30">
        <v>276.7</v>
      </c>
      <c r="I220" s="42">
        <f>'[1]побудинковий звіт'!I220+'[2]побудинковий звіт'!I220-'[3]побудинковий звіт'!I220</f>
        <v>8618.9934298018507</v>
      </c>
      <c r="J220" s="42">
        <f>'[1]побудинковий звіт'!J220+'[2]побудинковий звіт'!J220-'[3]побудинковий звіт'!J220</f>
        <v>8625.8793292916962</v>
      </c>
      <c r="K220" s="56">
        <f t="shared" si="238"/>
        <v>6.8858994898455421</v>
      </c>
      <c r="L220" s="42">
        <f>'[1]побудинковий звіт'!L220+'[2]побудинковий звіт'!L220-'[3]побудинковий звіт'!L220</f>
        <v>1805.5589149282237</v>
      </c>
      <c r="M220" s="42">
        <f>'[1]побудинковий звіт'!M220+'[2]побудинковий звіт'!M220-'[3]побудинковий звіт'!M220</f>
        <v>1821.7301616637999</v>
      </c>
      <c r="N220" s="56">
        <f t="shared" si="239"/>
        <v>16.171246735576233</v>
      </c>
      <c r="O220" s="42">
        <f>'[1]побудинковий звіт'!O220+'[2]побудинковий звіт'!O220-'[3]побудинковий звіт'!O220</f>
        <v>3505.5600000000004</v>
      </c>
      <c r="P220" s="42">
        <f>'[1]побудинковий звіт'!P220+'[2]побудинковий звіт'!P220-'[3]побудинковий звіт'!P220</f>
        <v>2755.4926137096772</v>
      </c>
      <c r="Q220" s="56">
        <f t="shared" si="240"/>
        <v>-750.06738629032316</v>
      </c>
      <c r="R220" s="42">
        <f>'[1]побудинковий звіт'!R220+'[2]побудинковий звіт'!R220-'[3]побудинковий звіт'!R220</f>
        <v>0</v>
      </c>
      <c r="S220" s="42">
        <f>'[1]побудинковий звіт'!S220+'[2]побудинковий звіт'!S220-'[3]побудинковий звіт'!S220</f>
        <v>0</v>
      </c>
      <c r="T220" s="56">
        <f t="shared" si="241"/>
        <v>0</v>
      </c>
      <c r="U220" s="42">
        <f>'[1]побудинковий звіт'!U220+'[2]побудинковий звіт'!U220-'[3]побудинковий звіт'!U220</f>
        <v>0</v>
      </c>
      <c r="V220" s="42">
        <f>'[1]побудинковий звіт'!V220+'[2]побудинковий звіт'!V220-'[3]побудинковий звіт'!V220</f>
        <v>0</v>
      </c>
      <c r="W220" s="56">
        <f t="shared" si="242"/>
        <v>0</v>
      </c>
      <c r="X220" s="42">
        <f>'[1]побудинковий звіт'!X220+'[2]побудинковий звіт'!X220-'[3]побудинковий звіт'!X220</f>
        <v>5699.3988123529525</v>
      </c>
      <c r="Y220" s="42">
        <f>'[1]побудинковий звіт'!Y220+'[2]побудинковий звіт'!Y220-'[3]побудинковий звіт'!Y220</f>
        <v>6447.5100738272668</v>
      </c>
      <c r="Z220" s="56">
        <f t="shared" si="243"/>
        <v>748.11126147431423</v>
      </c>
      <c r="AA220" s="42">
        <f>'[1]побудинковий звіт'!AA220+'[2]побудинковий звіт'!AA220-'[3]побудинковий звіт'!AA220</f>
        <v>0</v>
      </c>
      <c r="AB220" s="42">
        <f>'[1]побудинковий звіт'!AB220+'[2]побудинковий звіт'!AB220-'[3]побудинковий звіт'!AB220</f>
        <v>0</v>
      </c>
      <c r="AC220" s="56">
        <f t="shared" si="244"/>
        <v>0</v>
      </c>
      <c r="AD220" s="42">
        <f>'[1]побудинковий звіт'!AD220+'[2]побудинковий звіт'!AD220-'[3]побудинковий звіт'!AD220</f>
        <v>11465.642256286592</v>
      </c>
      <c r="AE220" s="42">
        <f>'[1]побудинковий звіт'!AE220+'[2]побудинковий звіт'!AE220-'[3]побудинковий звіт'!AE220</f>
        <v>10630.764287867483</v>
      </c>
      <c r="AF220" s="37">
        <f t="shared" si="245"/>
        <v>-834.87796841910858</v>
      </c>
      <c r="AG220" s="87">
        <f t="shared" si="235"/>
        <v>31095.153413369619</v>
      </c>
      <c r="AH220" s="57">
        <f t="shared" si="235"/>
        <v>30281.376466359921</v>
      </c>
      <c r="AI220" s="56">
        <f t="shared" si="246"/>
        <v>-813.77694700969732</v>
      </c>
      <c r="AJ220" s="42">
        <f>'[1]побудинковий звіт'!AJ220+'[2]побудинковий звіт'!AJ220-'[3]побудинковий звіт'!AJ220</f>
        <v>0</v>
      </c>
      <c r="AK220" s="42">
        <f>'[1]побудинковий звіт'!AK220+'[2]побудинковий звіт'!AK220-'[3]побудинковий звіт'!AK220</f>
        <v>0</v>
      </c>
      <c r="AL220" s="56">
        <f t="shared" si="247"/>
        <v>0</v>
      </c>
      <c r="AM220" s="42">
        <f>'[1]побудинковий звіт'!AM220+'[2]побудинковий звіт'!AM220-'[3]побудинковий звіт'!AM220</f>
        <v>0</v>
      </c>
      <c r="AN220" s="42">
        <f>'[1]побудинковий звіт'!AN220+'[2]побудинковий звіт'!AN220-'[3]побудинковий звіт'!AN220</f>
        <v>0</v>
      </c>
      <c r="AO220" s="56">
        <f t="shared" si="248"/>
        <v>0</v>
      </c>
      <c r="AP220" s="42">
        <f>'[1]побудинковий звіт'!AP220+'[2]побудинковий звіт'!AP220-'[3]побудинковий звіт'!AP220</f>
        <v>8239.0534931747534</v>
      </c>
      <c r="AQ220" s="42">
        <f>'[1]побудинковий звіт'!AQ220+'[2]побудинковий звіт'!AQ220-'[3]побудинковий звіт'!AQ220</f>
        <v>7766.6232458397571</v>
      </c>
      <c r="AR220" s="56">
        <f t="shared" si="249"/>
        <v>-472.43024733499624</v>
      </c>
      <c r="AS220" s="42">
        <f>'[1]побудинковий звіт'!AS220+'[2]побудинковий звіт'!AS220-'[3]побудинковий звіт'!AS220</f>
        <v>30450.635308543093</v>
      </c>
      <c r="AT220" s="42">
        <f>'[1]побудинковий звіт'!AT220+'[2]побудинковий звіт'!AT220-'[3]побудинковий звіт'!AT220</f>
        <v>3902</v>
      </c>
      <c r="AU220" s="58">
        <f t="shared" si="266"/>
        <v>-26548.635308543093</v>
      </c>
      <c r="AV220" s="42">
        <f>'[1]побудинковий звіт'!AV220+'[2]побудинковий звіт'!AV220-'[3]побудинковий звіт'!AV220</f>
        <v>1363.3381440640351</v>
      </c>
      <c r="AW220" s="42">
        <f>'[1]побудинковий звіт'!AW220+'[2]побудинковий звіт'!AW220-'[3]побудинковий звіт'!AW220</f>
        <v>1401</v>
      </c>
      <c r="AX220" s="59">
        <f t="shared" si="267"/>
        <v>37.661855935964923</v>
      </c>
      <c r="AY220" s="42">
        <f>'[1]побудинковий звіт'!AY220+'[2]побудинковий звіт'!AY220-'[3]побудинковий звіт'!AY220</f>
        <v>2327.2391081307514</v>
      </c>
      <c r="AZ220" s="42">
        <f>'[1]побудинковий звіт'!AZ220+'[2]побудинковий звіт'!AZ220-'[3]побудинковий звіт'!AZ220</f>
        <v>0</v>
      </c>
      <c r="BA220" s="37">
        <f t="shared" si="268"/>
        <v>-2327.2391081307514</v>
      </c>
      <c r="BB220" s="42">
        <f>'[1]побудинковий звіт'!BB220+'[2]побудинковий звіт'!BB220-'[3]побудинковий звіт'!BB220</f>
        <v>1794.1681606997543</v>
      </c>
      <c r="BC220" s="42">
        <f>'[1]побудинковий звіт'!BC220+'[2]побудинковий звіт'!BC220-'[3]побудинковий звіт'!BC220</f>
        <v>0</v>
      </c>
      <c r="BD220" s="59">
        <f t="shared" si="269"/>
        <v>-1794.1681606997543</v>
      </c>
      <c r="BE220" s="42">
        <f>'[1]побудинковий звіт'!BE220+'[2]побудинковий звіт'!BE220-'[3]побудинковий звіт'!BE220</f>
        <v>0</v>
      </c>
      <c r="BF220" s="42">
        <f>'[1]побудинковий звіт'!BF220+'[2]побудинковий звіт'!BF220-'[3]побудинковий звіт'!BF220</f>
        <v>0</v>
      </c>
      <c r="BG220" s="39">
        <f t="shared" si="270"/>
        <v>0</v>
      </c>
      <c r="BH220" s="42">
        <f>'[1]побудинковий звіт'!BH220+'[2]побудинковий звіт'!BH220-'[3]побудинковий звіт'!BH220</f>
        <v>0</v>
      </c>
      <c r="BI220" s="42">
        <f>'[1]побудинковий звіт'!BI220+'[2]побудинковий звіт'!BI220-'[3]побудинковий звіт'!BI220</f>
        <v>0</v>
      </c>
      <c r="BJ220" s="59">
        <f t="shared" si="271"/>
        <v>0</v>
      </c>
      <c r="BK220" s="42">
        <f>'[1]побудинковий звіт'!BK220+'[2]побудинковий звіт'!BK220-'[3]побудинковий звіт'!BK220</f>
        <v>782.97212660668436</v>
      </c>
      <c r="BL220" s="42">
        <f>'[1]побудинковий звіт'!BL220+'[2]побудинковий звіт'!BL220-'[3]побудинковий звіт'!BL220</f>
        <v>534</v>
      </c>
      <c r="BM220" s="39">
        <f t="shared" si="272"/>
        <v>-248.97212660668436</v>
      </c>
      <c r="BN220" s="42">
        <f>'[1]побудинковий звіт'!BN220+'[2]побудинковий звіт'!BN220-'[3]побудинковий звіт'!BN220</f>
        <v>0</v>
      </c>
      <c r="BO220" s="42">
        <f>'[1]побудинковий звіт'!BO220+'[2]побудинковий звіт'!BO220-'[3]побудинковий звіт'!BO220</f>
        <v>0</v>
      </c>
      <c r="BP220" s="59">
        <f t="shared" si="273"/>
        <v>0</v>
      </c>
      <c r="BQ220" s="87">
        <f t="shared" si="233"/>
        <v>6267.7175395012255</v>
      </c>
      <c r="BR220" s="43">
        <f t="shared" si="234"/>
        <v>1935</v>
      </c>
      <c r="BS220" s="59">
        <f t="shared" si="274"/>
        <v>-4332.7175395012255</v>
      </c>
      <c r="BT220" s="42">
        <f>'[1]побудинковий звіт'!BT220+'[2]побудинковий звіт'!BT220-'[3]побудинковий звіт'!BT220</f>
        <v>19965.162902313605</v>
      </c>
      <c r="BU220" s="42">
        <f>'[1]побудинковий звіт'!BU220+'[2]побудинковий звіт'!BU220-'[3]побудинковий звіт'!BU220</f>
        <v>26114.955134169344</v>
      </c>
      <c r="BV220" s="56">
        <f t="shared" si="250"/>
        <v>6149.7922318557394</v>
      </c>
      <c r="BW220" s="42">
        <f>'[1]побудинковий звіт'!BW220+'[2]побудинковий звіт'!BW220-'[3]побудинковий звіт'!BW220</f>
        <v>11165.343505462868</v>
      </c>
      <c r="BX220" s="42">
        <f>'[1]побудинковий звіт'!BX220+'[2]побудинковий звіт'!BX220-'[3]побудинковий звіт'!BX220</f>
        <v>11864.043183798434</v>
      </c>
      <c r="BY220" s="56">
        <f t="shared" si="251"/>
        <v>698.6996783355662</v>
      </c>
      <c r="BZ220" s="42">
        <f>'[1]побудинковий звіт'!BZ220+'[2]побудинковий звіт'!BZ220-'[3]побудинковий звіт'!BZ220</f>
        <v>8386.3422794926937</v>
      </c>
      <c r="CA220" s="42">
        <f>'[1]побудинковий звіт'!CA220+'[2]побудинковий звіт'!CA220-'[3]побудинковий звіт'!CA220</f>
        <v>6817.2852806088358</v>
      </c>
      <c r="CB220" s="56">
        <f t="shared" si="252"/>
        <v>-1569.0569988838579</v>
      </c>
      <c r="CC220" s="42">
        <f>'[1]побудинковий звіт'!CC220+'[2]побудинковий звіт'!CC220-'[3]побудинковий звіт'!CC220</f>
        <v>693.85865831851265</v>
      </c>
      <c r="CD220" s="42">
        <f>'[1]побудинковий звіт'!CD220+'[2]побудинковий звіт'!CD220-'[3]побудинковий звіт'!CD220</f>
        <v>687.75597525054366</v>
      </c>
      <c r="CE220" s="56">
        <f t="shared" si="253"/>
        <v>-6.1026830679689965</v>
      </c>
      <c r="CF220" s="42">
        <f>'[1]побудинковий звіт'!CF220+'[2]побудинковий звіт'!CF220-'[3]побудинковий звіт'!CF220</f>
        <v>85.418206042998705</v>
      </c>
      <c r="CG220" s="42">
        <f>'[1]побудинковий звіт'!CG220+'[2]побудинковий звіт'!CG220-'[3]побудинковий звіт'!CG220</f>
        <v>0</v>
      </c>
      <c r="CH220" s="56">
        <f t="shared" si="254"/>
        <v>-85.418206042998705</v>
      </c>
      <c r="CI220" s="42">
        <f>'[1]побудинковий звіт'!CI220+'[2]побудинковий звіт'!CI220-'[3]побудинковий звіт'!CI220</f>
        <v>4810.4039705383775</v>
      </c>
      <c r="CJ220" s="42">
        <f>'[1]побудинковий звіт'!CJ220+'[2]побудинковий звіт'!CJ220-'[3]побудинковий звіт'!CJ220</f>
        <v>1816.1971603117904</v>
      </c>
      <c r="CK220" s="56">
        <f t="shared" si="255"/>
        <v>-2994.2068102265871</v>
      </c>
      <c r="CL220" s="42">
        <f>'[1]побудинковий звіт'!CL220+'[2]побудинковий звіт'!CL220-'[3]побудинковий звіт'!CL220</f>
        <v>0</v>
      </c>
      <c r="CM220" s="42">
        <f>'[1]побудинковий звіт'!CM220+'[2]побудинковий звіт'!CM220-'[3]побудинковий звіт'!CM220</f>
        <v>0</v>
      </c>
      <c r="CN220" s="56">
        <f t="shared" si="256"/>
        <v>0</v>
      </c>
      <c r="CO220" s="42">
        <f t="shared" si="236"/>
        <v>4810.4039705383775</v>
      </c>
      <c r="CP220" s="43">
        <f t="shared" si="257"/>
        <v>1816.1971603117904</v>
      </c>
      <c r="CQ220" s="56">
        <f t="shared" si="258"/>
        <v>-2994.2068102265871</v>
      </c>
      <c r="CR220" s="78">
        <f t="shared" si="237"/>
        <v>121159.08927675775</v>
      </c>
      <c r="CS220" s="5">
        <f t="shared" si="237"/>
        <v>91185.236446338618</v>
      </c>
      <c r="CT220" s="56">
        <f t="shared" si="259"/>
        <v>-29973.852830419128</v>
      </c>
      <c r="CU220" s="87">
        <f t="shared" si="260"/>
        <v>145390.90713210928</v>
      </c>
      <c r="CV220" s="70">
        <f t="shared" si="261"/>
        <v>109422.28373560634</v>
      </c>
      <c r="CW220" s="37">
        <f t="shared" si="262"/>
        <v>-35968.623396502939</v>
      </c>
      <c r="CX220" s="42">
        <f>'[1]побудинковий звіт'!CX220+'[2]побудинковий звіт'!CX220-'[3]побудинковий звіт'!CX220</f>
        <v>3260.7628678907167</v>
      </c>
      <c r="CY220" s="42">
        <f>'[1]побудинковий звіт'!CY220+'[2]побудинковий звіт'!CY220-'[3]побудинковий звіт'!CY220</f>
        <v>39229.38626439363</v>
      </c>
      <c r="CZ220" s="56">
        <f t="shared" si="263"/>
        <v>35968.62339650291</v>
      </c>
      <c r="DA220" s="264">
        <f>'[4]побудинковий звіт'!DA220</f>
        <v>4322.8825475924896</v>
      </c>
      <c r="DB220" s="2">
        <v>2</v>
      </c>
      <c r="DC220" s="717">
        <f>'[4]побудинковий звіт'!DC220</f>
        <v>44848.25</v>
      </c>
      <c r="DD220" s="717">
        <f>'[4]побудинковий звіт'!DD220</f>
        <v>5259.12</v>
      </c>
      <c r="DE220" s="717">
        <f>'[4]побудинковий звіт'!DE220</f>
        <v>33339.08</v>
      </c>
      <c r="DF220" s="717">
        <f>'[4]побудинковий звіт'!DF220</f>
        <v>4377.9799999999996</v>
      </c>
      <c r="DG220" s="787">
        <v>61741.301752452157</v>
      </c>
      <c r="DH220" s="761">
        <f t="shared" si="226"/>
        <v>1783820.0399999998</v>
      </c>
      <c r="DI220" s="784"/>
      <c r="DJ220" s="5"/>
      <c r="DK220" s="317">
        <f>VLOOKUP($A220,ціни!$A$4:$G$401,5)</f>
        <v>4.6448983654265206</v>
      </c>
      <c r="DL220" s="317"/>
      <c r="DM220" s="317">
        <f>VLOOKUP($A220,ціни!$A$4:$G$401,7)</f>
        <v>4.1839873461391299</v>
      </c>
      <c r="DN220" s="30">
        <f t="shared" si="264"/>
        <v>20204.843399768819</v>
      </c>
      <c r="DO220" s="30">
        <f t="shared" si="265"/>
        <v>1157.7092986766972</v>
      </c>
      <c r="DP220" s="316">
        <f t="shared" si="221"/>
        <v>21362.552698445517</v>
      </c>
      <c r="DQ220" s="104"/>
      <c r="DR220" s="30">
        <f>VLOOKUP(A220,'ДЗ нас '!$A$1:$C$359,2)</f>
        <v>11509.17</v>
      </c>
      <c r="DS220" s="748">
        <f>VLOOKUP(A220,'ДЗ нежит'!$A$1:$D$153,4,0)</f>
        <v>881.14</v>
      </c>
      <c r="DT220" s="30">
        <f t="shared" si="222"/>
        <v>12390.31</v>
      </c>
      <c r="DU220" s="257">
        <f>VLOOKUP(A220,'новий кошторис с 01.06'!$A$4:$AI$399,35)*1.2</f>
        <v>12406.690741939992</v>
      </c>
      <c r="DV220" s="30">
        <f t="shared" si="223"/>
        <v>-16.380741939992731</v>
      </c>
      <c r="DW220" s="930">
        <f>'[5]побудинковий звіт'!DW220+'[6]побудинковий звіт'!DW220</f>
        <v>236</v>
      </c>
      <c r="DY220" s="5">
        <f t="shared" si="227"/>
        <v>44062.023417653181</v>
      </c>
      <c r="DZ220" s="5">
        <f t="shared" si="228"/>
        <v>7004.4</v>
      </c>
      <c r="EA220" s="752">
        <f t="shared" si="229"/>
        <v>37717.06</v>
      </c>
      <c r="EC220" s="592">
        <f t="shared" si="230"/>
        <v>365407.62370251713</v>
      </c>
      <c r="EE220" s="758">
        <v>-18398</v>
      </c>
      <c r="EF220" s="738">
        <f t="shared" si="231"/>
        <v>43343.301752452157</v>
      </c>
      <c r="EH220" s="813">
        <v>38387.092863366946</v>
      </c>
    </row>
    <row r="221" spans="1:138" x14ac:dyDescent="0.3">
      <c r="A221" s="328">
        <v>150001040</v>
      </c>
      <c r="B221" s="44" t="s">
        <v>672</v>
      </c>
      <c r="C221" s="45" t="s">
        <v>216</v>
      </c>
      <c r="D221" s="45" t="s">
        <v>216</v>
      </c>
      <c r="E221" s="40">
        <f t="shared" si="232"/>
        <v>2643.05</v>
      </c>
      <c r="F221" s="490">
        <v>2131.85</v>
      </c>
      <c r="G221" s="30"/>
      <c r="H221" s="30">
        <v>511.20000000000005</v>
      </c>
      <c r="I221" s="42">
        <f>'[1]побудинковий звіт'!I221+'[2]побудинковий звіт'!I221-'[3]побудинковий звіт'!I221</f>
        <v>8941.8927463619093</v>
      </c>
      <c r="J221" s="42">
        <f>'[1]побудинковий звіт'!J221+'[2]побудинковий звіт'!J221-'[3]побудинковий звіт'!J221</f>
        <v>8878.9776443378323</v>
      </c>
      <c r="K221" s="56">
        <f t="shared" si="238"/>
        <v>-62.915102024076987</v>
      </c>
      <c r="L221" s="42">
        <f>'[1]побудинковий звіт'!L221+'[2]побудинковий звіт'!L221-'[3]побудинковий звіт'!L221</f>
        <v>2278.4033033850592</v>
      </c>
      <c r="M221" s="42">
        <f>'[1]побудинковий звіт'!M221+'[2]побудинковий звіт'!M221-'[3]побудинковий звіт'!M221</f>
        <v>2298.8073164226907</v>
      </c>
      <c r="N221" s="56">
        <f t="shared" si="239"/>
        <v>20.404013037631557</v>
      </c>
      <c r="O221" s="42">
        <f>'[1]побудинковий звіт'!O221+'[2]побудинковий звіт'!O221-'[3]побудинковий звіт'!O221</f>
        <v>3412.4399999999996</v>
      </c>
      <c r="P221" s="42">
        <f>'[1]побудинковий звіт'!P221+'[2]побудинковий звіт'!P221-'[3]побудинковий звіт'!P221</f>
        <v>2682.2580925806451</v>
      </c>
      <c r="Q221" s="56">
        <f t="shared" si="240"/>
        <v>-730.1819074193545</v>
      </c>
      <c r="R221" s="42">
        <f>'[1]побудинковий звіт'!R221+'[2]побудинковий звіт'!R221-'[3]побудинковий звіт'!R221</f>
        <v>0</v>
      </c>
      <c r="S221" s="42">
        <f>'[1]побудинковий звіт'!S221+'[2]побудинковий звіт'!S221-'[3]побудинковий звіт'!S221</f>
        <v>0</v>
      </c>
      <c r="T221" s="56">
        <f t="shared" si="241"/>
        <v>0</v>
      </c>
      <c r="U221" s="42">
        <f>'[1]побудинковий звіт'!U221+'[2]побудинковий звіт'!U221-'[3]побудинковий звіт'!U221</f>
        <v>0</v>
      </c>
      <c r="V221" s="42">
        <f>'[1]побудинковий звіт'!V221+'[2]побудинковий звіт'!V221-'[3]побудинковий звіт'!V221</f>
        <v>0</v>
      </c>
      <c r="W221" s="56">
        <f t="shared" si="242"/>
        <v>0</v>
      </c>
      <c r="X221" s="42">
        <f>'[1]побудинковий звіт'!X221+'[2]побудинковий звіт'!X221-'[3]побудинковий звіт'!X221</f>
        <v>9262.9953482213969</v>
      </c>
      <c r="Y221" s="42">
        <f>'[1]побудинковий звіт'!Y221+'[2]побудинковий звіт'!Y221-'[3]побудинковий звіт'!Y221</f>
        <v>7334.1271892299601</v>
      </c>
      <c r="Z221" s="56">
        <f t="shared" si="243"/>
        <v>-1928.8681589914368</v>
      </c>
      <c r="AA221" s="42">
        <f>'[1]побудинковий звіт'!AA221+'[2]побудинковий звіт'!AA221-'[3]побудинковий звіт'!AA221</f>
        <v>0</v>
      </c>
      <c r="AB221" s="42">
        <f>'[1]побудинковий звіт'!AB221+'[2]побудинковий звіт'!AB221-'[3]побудинковий звіт'!AB221</f>
        <v>0</v>
      </c>
      <c r="AC221" s="56">
        <f t="shared" si="244"/>
        <v>0</v>
      </c>
      <c r="AD221" s="42">
        <f>'[1]побудинковий звіт'!AD221+'[2]побудинковий звіт'!AD221-'[3]побудинковий звіт'!AD221</f>
        <v>10617.744863252232</v>
      </c>
      <c r="AE221" s="42">
        <f>'[1]побудинковий звіт'!AE221+'[2]побудинковий звіт'!AE221-'[3]побудинковий звіт'!AE221</f>
        <v>9544.3885454031388</v>
      </c>
      <c r="AF221" s="37">
        <f t="shared" si="245"/>
        <v>-1073.3563178490931</v>
      </c>
      <c r="AG221" s="87">
        <f t="shared" si="235"/>
        <v>34513.476261220596</v>
      </c>
      <c r="AH221" s="57">
        <f t="shared" si="235"/>
        <v>30738.558787974267</v>
      </c>
      <c r="AI221" s="56">
        <f t="shared" si="246"/>
        <v>-3774.9174732463289</v>
      </c>
      <c r="AJ221" s="42">
        <f>'[1]побудинковий звіт'!AJ221+'[2]побудинковий звіт'!AJ221-'[3]побудинковий звіт'!AJ221</f>
        <v>0</v>
      </c>
      <c r="AK221" s="42">
        <f>'[1]побудинковий звіт'!AK221+'[2]побудинковий звіт'!AK221-'[3]побудинковий звіт'!AK221</f>
        <v>0</v>
      </c>
      <c r="AL221" s="56">
        <f t="shared" si="247"/>
        <v>0</v>
      </c>
      <c r="AM221" s="42">
        <f>'[1]побудинковий звіт'!AM221+'[2]побудинковий звіт'!AM221-'[3]побудинковий звіт'!AM221</f>
        <v>0</v>
      </c>
      <c r="AN221" s="42">
        <f>'[1]побудинковий звіт'!AN221+'[2]побудинковий звіт'!AN221-'[3]побудинковий звіт'!AN221</f>
        <v>0</v>
      </c>
      <c r="AO221" s="56">
        <f t="shared" si="248"/>
        <v>0</v>
      </c>
      <c r="AP221" s="42">
        <f>'[1]побудинковий звіт'!AP221+'[2]побудинковий звіт'!AP221-'[3]побудинковий звіт'!AP221</f>
        <v>4687.737332323567</v>
      </c>
      <c r="AQ221" s="42">
        <f>'[1]побудинковий звіт'!AQ221+'[2]побудинковий звіт'!AQ221-'[3]побудинковий звіт'!AQ221</f>
        <v>6236.4252255557722</v>
      </c>
      <c r="AR221" s="56">
        <f t="shared" si="249"/>
        <v>1548.6878932322052</v>
      </c>
      <c r="AS221" s="42">
        <f>'[1]побудинковий звіт'!AS221+'[2]побудинковий звіт'!AS221-'[3]побудинковий звіт'!AS221</f>
        <v>41367.686205396662</v>
      </c>
      <c r="AT221" s="42">
        <f>'[1]побудинковий звіт'!AT221+'[2]побудинковий звіт'!AT221-'[3]побудинковий звіт'!AT221</f>
        <v>2877</v>
      </c>
      <c r="AU221" s="58">
        <f t="shared" si="266"/>
        <v>-38490.686205396662</v>
      </c>
      <c r="AV221" s="42">
        <f>'[1]побудинковий звіт'!AV221+'[2]побудинковий звіт'!AV221-'[3]побудинковий звіт'!AV221</f>
        <v>1611.810537359202</v>
      </c>
      <c r="AW221" s="42">
        <f>'[1]побудинковий звіт'!AW221+'[2]побудинковий звіт'!AW221-'[3]побудинковий звіт'!AW221</f>
        <v>461</v>
      </c>
      <c r="AX221" s="59">
        <f t="shared" si="267"/>
        <v>-1150.810537359202</v>
      </c>
      <c r="AY221" s="42">
        <f>'[1]побудинковий звіт'!AY221+'[2]побудинковий звіт'!AY221-'[3]побудинковий звіт'!AY221</f>
        <v>2936.6098545642039</v>
      </c>
      <c r="AZ221" s="42">
        <f>'[1]побудинковий звіт'!AZ221+'[2]побудинковий звіт'!AZ221-'[3]побудинковий звіт'!AZ221</f>
        <v>0</v>
      </c>
      <c r="BA221" s="37">
        <f t="shared" si="268"/>
        <v>-2936.6098545642039</v>
      </c>
      <c r="BB221" s="42">
        <f>'[1]побудинковий звіт'!BB221+'[2]побудинковий звіт'!BB221-'[3]побудинковий звіт'!BB221</f>
        <v>1479.2203057050619</v>
      </c>
      <c r="BC221" s="42">
        <f>'[1]побудинковий звіт'!BC221+'[2]побудинковий звіт'!BC221-'[3]побудинковий звіт'!BC221</f>
        <v>0</v>
      </c>
      <c r="BD221" s="59">
        <f t="shared" si="269"/>
        <v>-1479.2203057050619</v>
      </c>
      <c r="BE221" s="42">
        <f>'[1]побудинковий звіт'!BE221+'[2]побудинковий звіт'!BE221-'[3]побудинковий звіт'!BE221</f>
        <v>0</v>
      </c>
      <c r="BF221" s="42">
        <f>'[1]побудинковий звіт'!BF221+'[2]побудинковий звіт'!BF221-'[3]побудинковий звіт'!BF221</f>
        <v>0</v>
      </c>
      <c r="BG221" s="39">
        <f t="shared" si="270"/>
        <v>0</v>
      </c>
      <c r="BH221" s="42">
        <f>'[1]побудинковий звіт'!BH221+'[2]побудинковий звіт'!BH221-'[3]побудинковий звіт'!BH221</f>
        <v>0</v>
      </c>
      <c r="BI221" s="42">
        <f>'[1]побудинковий звіт'!BI221+'[2]побудинковий звіт'!BI221-'[3]побудинковий звіт'!BI221</f>
        <v>0</v>
      </c>
      <c r="BJ221" s="59">
        <f t="shared" si="271"/>
        <v>0</v>
      </c>
      <c r="BK221" s="42">
        <f>'[1]побудинковий звіт'!BK221+'[2]побудинковий звіт'!BK221-'[3]побудинковий звіт'!BK221</f>
        <v>1336.9813191081344</v>
      </c>
      <c r="BL221" s="42">
        <f>'[1]побудинковий звіт'!BL221+'[2]побудинковий звіт'!BL221-'[3]побудинковий звіт'!BL221</f>
        <v>953</v>
      </c>
      <c r="BM221" s="39">
        <f t="shared" si="272"/>
        <v>-383.98131910813436</v>
      </c>
      <c r="BN221" s="42">
        <f>'[1]побудинковий звіт'!BN221+'[2]побудинковий звіт'!BN221-'[3]побудинковий звіт'!BN221</f>
        <v>0</v>
      </c>
      <c r="BO221" s="42">
        <f>'[1]побудинковий звіт'!BO221+'[2]побудинковий звіт'!BO221-'[3]побудинковий звіт'!BO221</f>
        <v>0</v>
      </c>
      <c r="BP221" s="59">
        <f t="shared" si="273"/>
        <v>0</v>
      </c>
      <c r="BQ221" s="87">
        <f t="shared" si="233"/>
        <v>7364.6220167366027</v>
      </c>
      <c r="BR221" s="43">
        <f t="shared" si="234"/>
        <v>1414</v>
      </c>
      <c r="BS221" s="59">
        <f t="shared" si="274"/>
        <v>-5950.6220167366027</v>
      </c>
      <c r="BT221" s="42">
        <f>'[1]побудинковий звіт'!BT221+'[2]побудинковий звіт'!BT221-'[3]побудинковий звіт'!BT221</f>
        <v>15236.308578269329</v>
      </c>
      <c r="BU221" s="42">
        <f>'[1]побудинковий звіт'!BU221+'[2]побудинковий звіт'!BU221-'[3]побудинковий звіт'!BU221</f>
        <v>20383.939404159039</v>
      </c>
      <c r="BV221" s="56">
        <f t="shared" si="250"/>
        <v>5147.6308258897097</v>
      </c>
      <c r="BW221" s="42">
        <f>'[1]побудинковий звіт'!BW221+'[2]побудинковий звіт'!BW221-'[3]побудинковий звіт'!BW221</f>
        <v>16823.113752184865</v>
      </c>
      <c r="BX221" s="42">
        <f>'[1]побудинковий звіт'!BX221+'[2]побудинковий звіт'!BX221-'[3]побудинковий звіт'!BX221</f>
        <v>17381.590376008251</v>
      </c>
      <c r="BY221" s="56">
        <f t="shared" si="251"/>
        <v>558.47662382338603</v>
      </c>
      <c r="BZ221" s="42">
        <f>'[1]побудинковий звіт'!BZ221+'[2]побудинковий звіт'!BZ221-'[3]побудинковий звіт'!BZ221</f>
        <v>4534.2125761250963</v>
      </c>
      <c r="CA221" s="42">
        <f>'[1]побудинковий звіт'!CA221+'[2]побудинковий звіт'!CA221-'[3]побудинковий звіт'!CA221</f>
        <v>4406.9033774285836</v>
      </c>
      <c r="CB221" s="56">
        <f t="shared" si="252"/>
        <v>-127.30919869651279</v>
      </c>
      <c r="CC221" s="42">
        <f>'[1]побудинковий звіт'!CC221+'[2]побудинковий звіт'!CC221-'[3]побудинковий звіт'!CC221</f>
        <v>865.39675477097387</v>
      </c>
      <c r="CD221" s="42">
        <f>'[1]побудинковий звіт'!CD221+'[2]побудинковий звіт'!CD221-'[3]побудинковий звіт'!CD221</f>
        <v>857.78534564737174</v>
      </c>
      <c r="CE221" s="56">
        <f t="shared" si="253"/>
        <v>-7.6114091236021295</v>
      </c>
      <c r="CF221" s="42">
        <f>'[1]побудинковий звіт'!CF221+'[2]побудинковий звіт'!CF221-'[3]побудинковий звіт'!CF221</f>
        <v>106.53558534112368</v>
      </c>
      <c r="CG221" s="42">
        <f>'[1]побудинковий звіт'!CG221+'[2]побудинковий звіт'!CG221-'[3]побудинковий звіт'!CG221</f>
        <v>0</v>
      </c>
      <c r="CH221" s="56">
        <f t="shared" si="254"/>
        <v>-106.53558534112368</v>
      </c>
      <c r="CI221" s="42">
        <f>'[1]побудинковий звіт'!CI221+'[2]побудинковий звіт'!CI221-'[3]побудинковий звіт'!CI221</f>
        <v>4772.9689201839956</v>
      </c>
      <c r="CJ221" s="42">
        <f>'[1]побудинковий звіт'!CJ221+'[2]побудинковий звіт'!CJ221-'[3]побудинковий звіт'!CJ221</f>
        <v>1014.5814252642976</v>
      </c>
      <c r="CK221" s="56">
        <f t="shared" si="255"/>
        <v>-3758.3874949196979</v>
      </c>
      <c r="CL221" s="42">
        <f>'[1]побудинковий звіт'!CL221+'[2]побудинковий звіт'!CL221-'[3]побудинковий звіт'!CL221</f>
        <v>0</v>
      </c>
      <c r="CM221" s="42">
        <f>'[1]побудинковий звіт'!CM221+'[2]побудинковий звіт'!CM221-'[3]побудинковий звіт'!CM221</f>
        <v>0</v>
      </c>
      <c r="CN221" s="56">
        <f t="shared" si="256"/>
        <v>0</v>
      </c>
      <c r="CO221" s="42">
        <f t="shared" si="236"/>
        <v>4772.9689201839956</v>
      </c>
      <c r="CP221" s="43">
        <f t="shared" si="257"/>
        <v>1014.5814252642976</v>
      </c>
      <c r="CQ221" s="56">
        <f t="shared" si="258"/>
        <v>-3758.3874949196979</v>
      </c>
      <c r="CR221" s="78">
        <f t="shared" si="237"/>
        <v>130272.05798255278</v>
      </c>
      <c r="CS221" s="5">
        <f t="shared" si="237"/>
        <v>85310.783942037568</v>
      </c>
      <c r="CT221" s="56">
        <f t="shared" si="259"/>
        <v>-44961.274040515214</v>
      </c>
      <c r="CU221" s="87">
        <f t="shared" si="260"/>
        <v>156326.46957906333</v>
      </c>
      <c r="CV221" s="70">
        <f t="shared" si="261"/>
        <v>102372.94073044507</v>
      </c>
      <c r="CW221" s="37">
        <f t="shared" si="262"/>
        <v>-53953.528848618254</v>
      </c>
      <c r="CX221" s="42">
        <f>'[1]побудинковий звіт'!CX221+'[2]побудинковий звіт'!CX221-'[3]побудинковий звіт'!CX221</f>
        <v>3834.0504209366773</v>
      </c>
      <c r="CY221" s="42">
        <f>'[1]побудинковий звіт'!CY221+'[2]побудинковий звіт'!CY221-'[3]побудинковий звіт'!CY221</f>
        <v>57787.579269554917</v>
      </c>
      <c r="CZ221" s="56">
        <f t="shared" si="263"/>
        <v>53953.52884861824</v>
      </c>
      <c r="DA221" s="264">
        <f>'[4]побудинковий звіт'!DA221</f>
        <v>-35500.955267070516</v>
      </c>
      <c r="DB221" s="2">
        <v>2</v>
      </c>
      <c r="DC221" s="717">
        <f>'[4]побудинковий звіт'!DC221</f>
        <v>32037.58</v>
      </c>
      <c r="DD221" s="717">
        <f>'[4]побудинковий звіт'!DD221</f>
        <v>5961.920000000001</v>
      </c>
      <c r="DE221" s="717">
        <f>'[4]побудинковий звіт'!DE221</f>
        <v>21049.81</v>
      </c>
      <c r="DF221" s="717">
        <f>'[4]побудинковий звіт'!DF221</f>
        <v>3602.9800000000009</v>
      </c>
      <c r="DG221" s="787">
        <v>57564.449338877632</v>
      </c>
      <c r="DH221" s="761">
        <f t="shared" si="226"/>
        <v>1921926.2400000002</v>
      </c>
      <c r="DI221" s="784"/>
      <c r="DJ221" s="5"/>
      <c r="DK221" s="317">
        <f>VLOOKUP($A221,ціни!$A$4:$G$401,5)</f>
        <v>5.4584264701558043</v>
      </c>
      <c r="DL221" s="317"/>
      <c r="DM221" s="317">
        <f>VLOOKUP($A221,ціни!$A$4:$G$401,7)</f>
        <v>4.6143457503492114</v>
      </c>
      <c r="DN221" s="30">
        <f t="shared" si="264"/>
        <v>11636.54647040165</v>
      </c>
      <c r="DO221" s="30">
        <f t="shared" si="265"/>
        <v>2358.853547578517</v>
      </c>
      <c r="DP221" s="316">
        <f t="shared" si="221"/>
        <v>13995.400017980168</v>
      </c>
      <c r="DQ221" s="104"/>
      <c r="DR221" s="30">
        <f>VLOOKUP(A221,'ДЗ нас '!$A$1:$C$359,2)</f>
        <v>10987.77</v>
      </c>
      <c r="DS221" s="748">
        <f>VLOOKUP(A221,'ДЗ нежит'!$A$1:$D$153,4,0)</f>
        <v>2358.94</v>
      </c>
      <c r="DT221" s="30">
        <f t="shared" si="222"/>
        <v>13346.710000000001</v>
      </c>
      <c r="DU221" s="257">
        <f>VLOOKUP(A221,'новий кошторис с 01.06'!$A$4:$AI$399,35)*1.2</f>
        <v>13183.53226783434</v>
      </c>
      <c r="DV221" s="30">
        <f t="shared" si="223"/>
        <v>163.17773216566093</v>
      </c>
      <c r="DW221" s="930">
        <f>'[5]побудинковий звіт'!DW221+'[6]побудинковий звіт'!DW221</f>
        <v>204</v>
      </c>
      <c r="DY221" s="5">
        <f t="shared" si="227"/>
        <v>58478.769866559916</v>
      </c>
      <c r="DZ221" s="5">
        <f t="shared" si="228"/>
        <v>5149.2</v>
      </c>
      <c r="EA221" s="752">
        <f t="shared" si="229"/>
        <v>24652.79</v>
      </c>
      <c r="EC221" s="592">
        <f t="shared" si="230"/>
        <v>496412.23446475994</v>
      </c>
      <c r="EE221" s="758">
        <v>10060</v>
      </c>
      <c r="EF221" s="738">
        <f t="shared" si="231"/>
        <v>67624.449338877632</v>
      </c>
      <c r="EH221" s="813">
        <v>11209.117421579576</v>
      </c>
    </row>
    <row r="222" spans="1:138" x14ac:dyDescent="0.3">
      <c r="A222" s="328">
        <v>150001047</v>
      </c>
      <c r="B222" s="44" t="s">
        <v>673</v>
      </c>
      <c r="C222" s="45" t="s">
        <v>179</v>
      </c>
      <c r="D222" s="45" t="s">
        <v>179</v>
      </c>
      <c r="E222" s="40">
        <f t="shared" si="232"/>
        <v>381.7</v>
      </c>
      <c r="F222" s="490">
        <v>105</v>
      </c>
      <c r="G222" s="30"/>
      <c r="H222" s="30">
        <v>276.7</v>
      </c>
      <c r="I222" s="42">
        <f>'[1]побудинковий звіт'!I222+'[2]побудинковий звіт'!I222-'[3]побудинковий звіт'!I222</f>
        <v>2485.4637890932681</v>
      </c>
      <c r="J222" s="42">
        <f>'[1]побудинковий звіт'!J222+'[2]побудинковий звіт'!J222-'[3]побудинковий звіт'!J222</f>
        <v>2458.654819540865</v>
      </c>
      <c r="K222" s="56">
        <f t="shared" si="238"/>
        <v>-26.808969552403141</v>
      </c>
      <c r="L222" s="42">
        <f>'[1]побудинковий звіт'!L222+'[2]побудинковий звіт'!L222-'[3]побудинковий звіт'!L222</f>
        <v>424.61032164128068</v>
      </c>
      <c r="M222" s="42">
        <f>'[1]побудинковий звіт'!M222+'[2]побудинковий звіт'!M222-'[3]побудинковий звіт'!M222</f>
        <v>428.41409078786512</v>
      </c>
      <c r="N222" s="56">
        <f t="shared" si="239"/>
        <v>3.8037691465844432</v>
      </c>
      <c r="O222" s="42">
        <f>'[1]побудинковий звіт'!O222+'[2]побудинковий звіт'!O222-'[3]побудинковий звіт'!O222</f>
        <v>1132.0800000000002</v>
      </c>
      <c r="P222" s="42">
        <f>'[1]побудинковий звіт'!P222+'[2]побудинковий звіт'!P222-'[3]побудинковий звіт'!P222</f>
        <v>889.84151602150541</v>
      </c>
      <c r="Q222" s="56">
        <f t="shared" si="240"/>
        <v>-242.23848397849474</v>
      </c>
      <c r="R222" s="42">
        <f>'[1]побудинковий звіт'!R222+'[2]побудинковий звіт'!R222-'[3]побудинковий звіт'!R222</f>
        <v>0</v>
      </c>
      <c r="S222" s="42">
        <f>'[1]побудинковий звіт'!S222+'[2]побудинковий звіт'!S222-'[3]побудинковий звіт'!S222</f>
        <v>0</v>
      </c>
      <c r="T222" s="56">
        <f t="shared" si="241"/>
        <v>0</v>
      </c>
      <c r="U222" s="42">
        <f>'[1]побудинковий звіт'!U222+'[2]побудинковий звіт'!U222-'[3]побудинковий звіт'!U222</f>
        <v>0</v>
      </c>
      <c r="V222" s="42">
        <f>'[1]побудинковий звіт'!V222+'[2]побудинковий звіт'!V222-'[3]побудинковий звіт'!V222</f>
        <v>0</v>
      </c>
      <c r="W222" s="56">
        <f t="shared" si="242"/>
        <v>0</v>
      </c>
      <c r="X222" s="42">
        <f>'[1]побудинковий звіт'!X222+'[2]побудинковий звіт'!X222-'[3]побудинковий звіт'!X222</f>
        <v>1193.3481408246737</v>
      </c>
      <c r="Y222" s="42">
        <f>'[1]побудинковий звіт'!Y222+'[2]побудинковий звіт'!Y222-'[3]побудинковий звіт'!Y222</f>
        <v>886.8790653375313</v>
      </c>
      <c r="Z222" s="56">
        <f t="shared" si="243"/>
        <v>-306.46907548714239</v>
      </c>
      <c r="AA222" s="42">
        <f>'[1]побудинковий звіт'!AA222+'[2]побудинковий звіт'!AA222-'[3]побудинковий звіт'!AA222</f>
        <v>0</v>
      </c>
      <c r="AB222" s="42">
        <f>'[1]побудинковий звіт'!AB222+'[2]побудинковий звіт'!AB222-'[3]побудинковий звіт'!AB222</f>
        <v>0</v>
      </c>
      <c r="AC222" s="56">
        <f t="shared" si="244"/>
        <v>0</v>
      </c>
      <c r="AD222" s="42">
        <f>'[1]побудинковий звіт'!AD222+'[2]побудинковий звіт'!AD222-'[3]побудинковий звіт'!AD222</f>
        <v>3261.6470518433616</v>
      </c>
      <c r="AE222" s="42">
        <f>'[1]побудинковий звіт'!AE222+'[2]побудинковий звіт'!AE222-'[3]побудинковий звіт'!AE222</f>
        <v>3346.8235912982973</v>
      </c>
      <c r="AF222" s="37">
        <f t="shared" si="245"/>
        <v>85.176539454935664</v>
      </c>
      <c r="AG222" s="87">
        <f t="shared" si="235"/>
        <v>8497.1493034025843</v>
      </c>
      <c r="AH222" s="57">
        <f t="shared" si="235"/>
        <v>8010.613082986064</v>
      </c>
      <c r="AI222" s="56">
        <f t="shared" si="246"/>
        <v>-486.53622041652034</v>
      </c>
      <c r="AJ222" s="42">
        <f>'[1]побудинковий звіт'!AJ222+'[2]побудинковий звіт'!AJ222-'[3]побудинковий звіт'!AJ222</f>
        <v>0</v>
      </c>
      <c r="AK222" s="42">
        <f>'[1]побудинковий звіт'!AK222+'[2]побудинковий звіт'!AK222-'[3]побудинковий звіт'!AK222</f>
        <v>0</v>
      </c>
      <c r="AL222" s="56">
        <f t="shared" si="247"/>
        <v>0</v>
      </c>
      <c r="AM222" s="42">
        <f>'[1]побудинковий звіт'!AM222+'[2]побудинковий звіт'!AM222-'[3]побудинковий звіт'!AM222</f>
        <v>0</v>
      </c>
      <c r="AN222" s="42">
        <f>'[1]побудинковий звіт'!AN222+'[2]побудинковий звіт'!AN222-'[3]побудинковий звіт'!AN222</f>
        <v>0</v>
      </c>
      <c r="AO222" s="56">
        <f t="shared" si="248"/>
        <v>0</v>
      </c>
      <c r="AP222" s="42">
        <f>'[1]побудинковий звіт'!AP222+'[2]побудинковий звіт'!AP222-'[3]побудинковий звіт'!AP222</f>
        <v>47.35088214468248</v>
      </c>
      <c r="AQ222" s="42">
        <f>'[1]побудинковий звіт'!AQ222+'[2]побудинковий звіт'!AQ222-'[3]побудинковий звіт'!AQ222</f>
        <v>0</v>
      </c>
      <c r="AR222" s="56">
        <f t="shared" si="249"/>
        <v>-47.35088214468248</v>
      </c>
      <c r="AS222" s="42">
        <f>'[1]побудинковий звіт'!AS222+'[2]побудинковий звіт'!AS222-'[3]побудинковий звіт'!AS222</f>
        <v>9874.8214638166846</v>
      </c>
      <c r="AT222" s="42">
        <f>'[1]побудинковий звіт'!AT222+'[2]побудинковий звіт'!AT222-'[3]побудинковий звіт'!AT222</f>
        <v>121977</v>
      </c>
      <c r="AU222" s="58">
        <f t="shared" si="266"/>
        <v>112102.17853618332</v>
      </c>
      <c r="AV222" s="42">
        <f>'[1]побудинковий звіт'!AV222+'[2]побудинковий звіт'!AV222-'[3]побудинковий звіт'!AV222</f>
        <v>496.00628644749196</v>
      </c>
      <c r="AW222" s="42">
        <f>'[1]побудинковий звіт'!AW222+'[2]побудинковий звіт'!AW222-'[3]побудинковий звіт'!AW222</f>
        <v>0</v>
      </c>
      <c r="AX222" s="59">
        <f t="shared" si="267"/>
        <v>-496.00628644749196</v>
      </c>
      <c r="AY222" s="42">
        <f>'[1]побудинковий звіт'!AY222+'[2]побудинковий звіт'!AY222-'[3]побудинковий звіт'!AY222</f>
        <v>547.08186368453232</v>
      </c>
      <c r="AZ222" s="42">
        <f>'[1]побудинковий звіт'!AZ222+'[2]побудинковий звіт'!AZ222-'[3]побудинковий звіт'!AZ222</f>
        <v>0</v>
      </c>
      <c r="BA222" s="37">
        <f t="shared" si="268"/>
        <v>-547.08186368453232</v>
      </c>
      <c r="BB222" s="42">
        <f>'[1]побудинковий звіт'!BB222+'[2]побудинковий звіт'!BB222-'[3]побудинковий звіт'!BB222</f>
        <v>498.03729157470104</v>
      </c>
      <c r="BC222" s="42">
        <f>'[1]побудинковий звіт'!BC222+'[2]побудинковий звіт'!BC222-'[3]побудинковий звіт'!BC222</f>
        <v>0</v>
      </c>
      <c r="BD222" s="59">
        <f t="shared" si="269"/>
        <v>-498.03729157470104</v>
      </c>
      <c r="BE222" s="42">
        <f>'[1]побудинковий звіт'!BE222+'[2]побудинковий звіт'!BE222-'[3]побудинковий звіт'!BE222</f>
        <v>0</v>
      </c>
      <c r="BF222" s="42">
        <f>'[1]побудинковий звіт'!BF222+'[2]побудинковий звіт'!BF222-'[3]побудинковий звіт'!BF222</f>
        <v>0</v>
      </c>
      <c r="BG222" s="39">
        <f t="shared" si="270"/>
        <v>0</v>
      </c>
      <c r="BH222" s="42">
        <f>'[1]побудинковий звіт'!BH222+'[2]побудинковий звіт'!BH222-'[3]побудинковий звіт'!BH222</f>
        <v>0</v>
      </c>
      <c r="BI222" s="42">
        <f>'[1]побудинковий звіт'!BI222+'[2]побудинковий звіт'!BI222-'[3]побудинковий звіт'!BI222</f>
        <v>0</v>
      </c>
      <c r="BJ222" s="59">
        <f t="shared" si="271"/>
        <v>0</v>
      </c>
      <c r="BK222" s="42">
        <f>'[1]побудинковий звіт'!BK222+'[2]побудинковий звіт'!BK222-'[3]побудинковий звіт'!BK222</f>
        <v>86.286321688121376</v>
      </c>
      <c r="BL222" s="42">
        <f>'[1]побудинковий звіт'!BL222+'[2]побудинковий звіт'!BL222-'[3]побудинковий звіт'!BL222</f>
        <v>0</v>
      </c>
      <c r="BM222" s="39">
        <f t="shared" si="272"/>
        <v>-86.286321688121376</v>
      </c>
      <c r="BN222" s="42">
        <f>'[1]побудинковий звіт'!BN222+'[2]побудинковий звіт'!BN222-'[3]побудинковий звіт'!BN222</f>
        <v>0</v>
      </c>
      <c r="BO222" s="42">
        <f>'[1]побудинковий звіт'!BO222+'[2]побудинковий звіт'!BO222-'[3]побудинковий звіт'!BO222</f>
        <v>0</v>
      </c>
      <c r="BP222" s="59">
        <f t="shared" si="273"/>
        <v>0</v>
      </c>
      <c r="BQ222" s="87">
        <f t="shared" si="233"/>
        <v>1627.4117633948467</v>
      </c>
      <c r="BR222" s="43">
        <f t="shared" si="234"/>
        <v>0</v>
      </c>
      <c r="BS222" s="59">
        <f t="shared" si="274"/>
        <v>-1627.4117633948467</v>
      </c>
      <c r="BT222" s="42">
        <f>'[1]побудинковий звіт'!BT222+'[2]побудинковий звіт'!BT222-'[3]побудинковий звіт'!BT222</f>
        <v>4400.4240219082139</v>
      </c>
      <c r="BU222" s="42">
        <f>'[1]побудинковий звіт'!BU222+'[2]побудинковий звіт'!BU222-'[3]побудинковий звіт'!BU222</f>
        <v>6027.3374901574807</v>
      </c>
      <c r="BV222" s="56">
        <f t="shared" si="250"/>
        <v>1626.9134682492668</v>
      </c>
      <c r="BW222" s="42">
        <f>'[1]побудинковий звіт'!BW222+'[2]побудинковий звіт'!BW222-'[3]побудинковий звіт'!BW222</f>
        <v>206.02759694180023</v>
      </c>
      <c r="BX222" s="42">
        <f>'[1]побудинковий звіт'!BX222+'[2]побудинковий звіт'!BX222-'[3]побудинковий звіт'!BX222</f>
        <v>392.28344036442275</v>
      </c>
      <c r="BY222" s="56">
        <f t="shared" si="251"/>
        <v>186.25584342262252</v>
      </c>
      <c r="BZ222" s="42">
        <f>'[1]побудинковий звіт'!BZ222+'[2]побудинковий звіт'!BZ222-'[3]побудинковий звіт'!BZ222</f>
        <v>1899.2885003839615</v>
      </c>
      <c r="CA222" s="42">
        <f>'[1]побудинковий звіт'!CA222+'[2]побудинковий звіт'!CA222-'[3]побудинковий звіт'!CA222</f>
        <v>1420.6750155314553</v>
      </c>
      <c r="CB222" s="56">
        <f t="shared" si="252"/>
        <v>-478.61348485250619</v>
      </c>
      <c r="CC222" s="42">
        <f>'[1]побудинковий звіт'!CC222+'[2]побудинковий звіт'!CC222-'[3]побудинковий звіт'!CC222</f>
        <v>0</v>
      </c>
      <c r="CD222" s="42">
        <f>'[1]побудинковий звіт'!CD222+'[2]побудинковий звіт'!CD222-'[3]побудинковий звіт'!CD222</f>
        <v>0</v>
      </c>
      <c r="CE222" s="56">
        <f t="shared" si="253"/>
        <v>0</v>
      </c>
      <c r="CF222" s="42">
        <f>'[1]побудинковий звіт'!CF222+'[2]побудинковий звіт'!CF222-'[3]побудинковий звіт'!CF222</f>
        <v>0</v>
      </c>
      <c r="CG222" s="42">
        <f>'[1]побудинковий звіт'!CG222+'[2]побудинковий звіт'!CG222-'[3]побудинковий звіт'!CG222</f>
        <v>0</v>
      </c>
      <c r="CH222" s="56">
        <f t="shared" si="254"/>
        <v>0</v>
      </c>
      <c r="CI222" s="42">
        <f>'[1]побудинковий звіт'!CI222+'[2]побудинковий звіт'!CI222-'[3]побудинковий звіт'!CI222</f>
        <v>7093.9420421558216</v>
      </c>
      <c r="CJ222" s="42">
        <f>'[1]побудинковий звіт'!CJ222+'[2]побудинковий звіт'!CJ222-'[3]побудинковий звіт'!CJ222</f>
        <v>3045.3167121236938</v>
      </c>
      <c r="CK222" s="56">
        <f t="shared" si="255"/>
        <v>-4048.6253300321277</v>
      </c>
      <c r="CL222" s="42">
        <f>'[1]побудинковий звіт'!CL222+'[2]побудинковий звіт'!CL222-'[3]побудинковий звіт'!CL222</f>
        <v>0</v>
      </c>
      <c r="CM222" s="42">
        <f>'[1]побудинковий звіт'!CM222+'[2]побудинковий звіт'!CM222-'[3]побудинковий звіт'!CM222</f>
        <v>0</v>
      </c>
      <c r="CN222" s="56">
        <f t="shared" si="256"/>
        <v>0</v>
      </c>
      <c r="CO222" s="42">
        <f t="shared" si="236"/>
        <v>7093.9420421558216</v>
      </c>
      <c r="CP222" s="43">
        <f t="shared" si="257"/>
        <v>3045.3167121236938</v>
      </c>
      <c r="CQ222" s="56">
        <f t="shared" si="258"/>
        <v>-4048.6253300321277</v>
      </c>
      <c r="CR222" s="78">
        <f t="shared" si="237"/>
        <v>33646.415574148596</v>
      </c>
      <c r="CS222" s="5">
        <f t="shared" si="237"/>
        <v>140873.2257411631</v>
      </c>
      <c r="CT222" s="56">
        <f t="shared" si="259"/>
        <v>107226.81016701451</v>
      </c>
      <c r="CU222" s="87">
        <f t="shared" si="260"/>
        <v>40375.698688978315</v>
      </c>
      <c r="CV222" s="70">
        <f t="shared" si="261"/>
        <v>169047.87088939571</v>
      </c>
      <c r="CW222" s="37">
        <f t="shared" si="262"/>
        <v>128672.17220041739</v>
      </c>
      <c r="CX222" s="42">
        <f>'[1]побудинковий звіт'!CX222+'[2]побудинковий звіт'!CX222-'[3]побудинковий звіт'!CX222</f>
        <v>1107.1013110216809</v>
      </c>
      <c r="CY222" s="42">
        <f>'[1]побудинковий звіт'!CY222+'[2]побудинковий звіт'!CY222-'[3]побудинковий звіт'!CY222</f>
        <v>-127565.07088939575</v>
      </c>
      <c r="CZ222" s="56">
        <f t="shared" si="263"/>
        <v>-128672.17220041744</v>
      </c>
      <c r="DA222" s="264">
        <f>'[4]побудинковий звіт'!DA222</f>
        <v>98825.184634404752</v>
      </c>
      <c r="DB222" s="2">
        <v>2</v>
      </c>
      <c r="DC222" s="717">
        <f>'[4]побудинковий звіт'!DC222</f>
        <v>18634.43</v>
      </c>
      <c r="DD222" s="717">
        <f>'[4]побудинковий звіт'!DD222</f>
        <v>0.06</v>
      </c>
      <c r="DE222" s="717">
        <f>'[4]побудинковий звіт'!DE222</f>
        <v>15742.95</v>
      </c>
      <c r="DF222" s="717">
        <f>'[4]побудинковий звіт'!DF222</f>
        <v>-565.36</v>
      </c>
      <c r="DG222" s="787">
        <v>-19750.407900704929</v>
      </c>
      <c r="DH222" s="761">
        <f t="shared" si="226"/>
        <v>497793.6</v>
      </c>
      <c r="DI222" s="784"/>
      <c r="DJ222" s="5"/>
      <c r="DK222" s="317">
        <f>VLOOKUP($A222,ціни!$A$4:$G$401,5)</f>
        <v>4.4604448610865148</v>
      </c>
      <c r="DL222" s="317"/>
      <c r="DM222" s="317">
        <f>VLOOKUP($A222,ціни!$A$4:$G$401,7)</f>
        <v>4.4276807929863091</v>
      </c>
      <c r="DN222" s="30">
        <f t="shared" si="264"/>
        <v>468.34671041408404</v>
      </c>
      <c r="DO222" s="30">
        <f t="shared" si="265"/>
        <v>1225.1392754193116</v>
      </c>
      <c r="DP222" s="316">
        <f t="shared" si="221"/>
        <v>1693.4859858333957</v>
      </c>
      <c r="DQ222" s="104"/>
      <c r="DR222" s="30">
        <f>VLOOKUP(A222,'ДЗ нас '!$A$1:$C$359,2)</f>
        <v>3741.56</v>
      </c>
      <c r="DS222" s="748">
        <f>VLOOKUP(A222,'ДЗ нежит'!$A$1:$D$153,4,0)</f>
        <v>565.41999999999996</v>
      </c>
      <c r="DT222" s="30">
        <f t="shared" si="222"/>
        <v>4306.9799999999996</v>
      </c>
      <c r="DU222" s="257">
        <f>VLOOKUP(A222,'новий кошторис с 01.06'!$A$4:$AI$399,35)*1.2</f>
        <v>3405.0172561038385</v>
      </c>
      <c r="DV222" s="30">
        <f t="shared" si="223"/>
        <v>901.9627438961611</v>
      </c>
      <c r="DW222" s="930">
        <f>'[5]побудинковий звіт'!DW222+'[6]побудинковий звіт'!DW222</f>
        <v>0</v>
      </c>
      <c r="DY222" s="5">
        <f t="shared" si="227"/>
        <v>13802.679872653836</v>
      </c>
      <c r="DZ222" s="5">
        <f t="shared" si="228"/>
        <v>146372.4</v>
      </c>
      <c r="EA222" s="752">
        <f t="shared" si="229"/>
        <v>15177.59</v>
      </c>
      <c r="EC222" s="592">
        <f t="shared" si="230"/>
        <v>118497.85756580022</v>
      </c>
      <c r="EE222" s="758">
        <v>30691</v>
      </c>
      <c r="EF222" s="738">
        <f t="shared" si="231"/>
        <v>10940.592099295071</v>
      </c>
      <c r="EH222" s="813">
        <v>113641.24063212595</v>
      </c>
    </row>
    <row r="223" spans="1:138" x14ac:dyDescent="0.3">
      <c r="A223" s="328">
        <v>150001048</v>
      </c>
      <c r="B223" s="44" t="s">
        <v>674</v>
      </c>
      <c r="C223" s="45" t="s">
        <v>125</v>
      </c>
      <c r="D223" s="45" t="s">
        <v>125</v>
      </c>
      <c r="E223" s="40">
        <f t="shared" si="232"/>
        <v>140.69999999999999</v>
      </c>
      <c r="F223" s="490">
        <v>140.69999999999999</v>
      </c>
      <c r="G223" s="30"/>
      <c r="H223" s="30">
        <v>0</v>
      </c>
      <c r="I223" s="42">
        <f>'[1]побудинковий звіт'!I223+'[2]побудинковий звіт'!I223-'[3]побудинковий звіт'!I223</f>
        <v>0</v>
      </c>
      <c r="J223" s="42">
        <f>'[1]побудинковий звіт'!J223+'[2]побудинковий звіт'!J223-'[3]побудинковий звіт'!J223</f>
        <v>0</v>
      </c>
      <c r="K223" s="56">
        <f t="shared" si="238"/>
        <v>0</v>
      </c>
      <c r="L223" s="42">
        <f>'[1]побудинковий звіт'!L223+'[2]побудинковий звіт'!L223-'[3]побудинковий звіт'!L223</f>
        <v>0</v>
      </c>
      <c r="M223" s="42">
        <f>'[1]побудинковий звіт'!M223+'[2]побудинковий звіт'!M223-'[3]побудинковий звіт'!M223</f>
        <v>0</v>
      </c>
      <c r="N223" s="56">
        <f t="shared" si="239"/>
        <v>0</v>
      </c>
      <c r="O223" s="42">
        <f>'[1]побудинковий звіт'!O223+'[2]побудинковий звіт'!O223-'[3]побудинковий звіт'!O223</f>
        <v>0</v>
      </c>
      <c r="P223" s="42">
        <f>'[1]побудинковий звіт'!P223+'[2]побудинковий звіт'!P223-'[3]побудинковий звіт'!P223</f>
        <v>0</v>
      </c>
      <c r="Q223" s="56">
        <f t="shared" si="240"/>
        <v>0</v>
      </c>
      <c r="R223" s="42">
        <f>'[1]побудинковий звіт'!R223+'[2]побудинковий звіт'!R223-'[3]побудинковий звіт'!R223</f>
        <v>0</v>
      </c>
      <c r="S223" s="42">
        <f>'[1]побудинковий звіт'!S223+'[2]побудинковий звіт'!S223-'[3]побудинковий звіт'!S223</f>
        <v>0</v>
      </c>
      <c r="T223" s="56">
        <f t="shared" si="241"/>
        <v>0</v>
      </c>
      <c r="U223" s="42">
        <f>'[1]побудинковий звіт'!U223+'[2]побудинковий звіт'!U223-'[3]побудинковий звіт'!U223</f>
        <v>0</v>
      </c>
      <c r="V223" s="42">
        <f>'[1]побудинковий звіт'!V223+'[2]побудинковий звіт'!V223-'[3]побудинковий звіт'!V223</f>
        <v>0</v>
      </c>
      <c r="W223" s="56">
        <f t="shared" si="242"/>
        <v>0</v>
      </c>
      <c r="X223" s="42">
        <f>'[1]побудинковий звіт'!X223+'[2]побудинковий звіт'!X223-'[3]побудинковий звіт'!X223</f>
        <v>0</v>
      </c>
      <c r="Y223" s="42">
        <f>'[1]побудинковий звіт'!Y223+'[2]побудинковий звіт'!Y223-'[3]побудинковий звіт'!Y223</f>
        <v>0</v>
      </c>
      <c r="Z223" s="56">
        <f t="shared" si="243"/>
        <v>0</v>
      </c>
      <c r="AA223" s="42">
        <f>'[1]побудинковий звіт'!AA223+'[2]побудинковий звіт'!AA223-'[3]побудинковий звіт'!AA223</f>
        <v>0</v>
      </c>
      <c r="AB223" s="42">
        <f>'[1]побудинковий звіт'!AB223+'[2]побудинковий звіт'!AB223-'[3]побудинковий звіт'!AB223</f>
        <v>0</v>
      </c>
      <c r="AC223" s="56">
        <f t="shared" si="244"/>
        <v>0</v>
      </c>
      <c r="AD223" s="42">
        <f>'[1]побудинковий звіт'!AD223+'[2]побудинковий звіт'!AD223-'[3]побудинковий звіт'!AD223</f>
        <v>0</v>
      </c>
      <c r="AE223" s="42">
        <f>'[1]побудинковий звіт'!AE223+'[2]побудинковий звіт'!AE223-'[3]побудинковий звіт'!AE223</f>
        <v>41.965518551224484</v>
      </c>
      <c r="AF223" s="37">
        <f t="shared" si="245"/>
        <v>41.965518551224484</v>
      </c>
      <c r="AG223" s="87">
        <f t="shared" si="235"/>
        <v>0</v>
      </c>
      <c r="AH223" s="57">
        <f t="shared" si="235"/>
        <v>41.965518551224484</v>
      </c>
      <c r="AI223" s="56">
        <f t="shared" si="246"/>
        <v>41.965518551224484</v>
      </c>
      <c r="AJ223" s="42">
        <f>'[1]побудинковий звіт'!AJ223+'[2]побудинковий звіт'!AJ223-'[3]побудинковий звіт'!AJ223</f>
        <v>0</v>
      </c>
      <c r="AK223" s="42">
        <f>'[1]побудинковий звіт'!AK223+'[2]побудинковий звіт'!AK223-'[3]побудинковий звіт'!AK223</f>
        <v>0</v>
      </c>
      <c r="AL223" s="56">
        <f t="shared" si="247"/>
        <v>0</v>
      </c>
      <c r="AM223" s="42">
        <f>'[1]побудинковий звіт'!AM223+'[2]побудинковий звіт'!AM223-'[3]побудинковий звіт'!AM223</f>
        <v>0</v>
      </c>
      <c r="AN223" s="42">
        <f>'[1]побудинковий звіт'!AN223+'[2]побудинковий звіт'!AN223-'[3]побудинковий звіт'!AN223</f>
        <v>0</v>
      </c>
      <c r="AO223" s="56">
        <f t="shared" si="248"/>
        <v>0</v>
      </c>
      <c r="AP223" s="42">
        <f>'[1]побудинковий звіт'!AP223+'[2]побудинковий звіт'!AP223-'[3]побудинковий звіт'!AP223</f>
        <v>284.10529286809492</v>
      </c>
      <c r="AQ223" s="42">
        <f>'[1]побудинковий звіт'!AQ223+'[2]побудинковий звіт'!AQ223-'[3]побудинковий звіт'!AQ223</f>
        <v>140.14368942720262</v>
      </c>
      <c r="AR223" s="56">
        <f t="shared" si="249"/>
        <v>-143.9616034408923</v>
      </c>
      <c r="AS223" s="42">
        <f>'[1]побудинковий звіт'!AS223+'[2]побудинковий звіт'!AS223-'[3]побудинковий звіт'!AS223</f>
        <v>1131.4896348573834</v>
      </c>
      <c r="AT223" s="42">
        <f>'[1]побудинковий звіт'!AT223+'[2]побудинковий звіт'!AT223-'[3]побудинковий звіт'!AT223</f>
        <v>0</v>
      </c>
      <c r="AU223" s="58">
        <f t="shared" si="266"/>
        <v>-1131.4896348573834</v>
      </c>
      <c r="AV223" s="42">
        <f>'[1]побудинковий звіт'!AV223+'[2]побудинковий звіт'!AV223-'[3]побудинковий звіт'!AV223</f>
        <v>0</v>
      </c>
      <c r="AW223" s="42">
        <f>'[1]побудинковий звіт'!AW223+'[2]побудинковий звіт'!AW223-'[3]побудинковий звіт'!AW223</f>
        <v>0</v>
      </c>
      <c r="AX223" s="59">
        <f t="shared" si="267"/>
        <v>0</v>
      </c>
      <c r="AY223" s="42">
        <f>'[1]побудинковий звіт'!AY223+'[2]побудинковий звіт'!AY223-'[3]побудинковий звіт'!AY223</f>
        <v>0</v>
      </c>
      <c r="AZ223" s="42">
        <f>'[1]побудинковий звіт'!AZ223+'[2]побудинковий звіт'!AZ223-'[3]побудинковий звіт'!AZ223</f>
        <v>0</v>
      </c>
      <c r="BA223" s="37">
        <f t="shared" si="268"/>
        <v>0</v>
      </c>
      <c r="BB223" s="42">
        <f>'[1]побудинковий звіт'!BB223+'[2]побудинковий звіт'!BB223-'[3]побудинковий звіт'!BB223</f>
        <v>0</v>
      </c>
      <c r="BC223" s="42">
        <f>'[1]побудинковий звіт'!BC223+'[2]побудинковий звіт'!BC223-'[3]побудинковий звіт'!BC223</f>
        <v>0</v>
      </c>
      <c r="BD223" s="59">
        <f t="shared" si="269"/>
        <v>0</v>
      </c>
      <c r="BE223" s="42">
        <f>'[1]побудинковий звіт'!BE223+'[2]побудинковий звіт'!BE223-'[3]побудинковий звіт'!BE223</f>
        <v>0</v>
      </c>
      <c r="BF223" s="42">
        <f>'[1]побудинковий звіт'!BF223+'[2]побудинковий звіт'!BF223-'[3]побудинковий звіт'!BF223</f>
        <v>0</v>
      </c>
      <c r="BG223" s="39">
        <f t="shared" si="270"/>
        <v>0</v>
      </c>
      <c r="BH223" s="42">
        <f>'[1]побудинковий звіт'!BH223+'[2]побудинковий звіт'!BH223-'[3]побудинковий звіт'!BH223</f>
        <v>0</v>
      </c>
      <c r="BI223" s="42">
        <f>'[1]побудинковий звіт'!BI223+'[2]побудинковий звіт'!BI223-'[3]побудинковий звіт'!BI223</f>
        <v>0</v>
      </c>
      <c r="BJ223" s="59">
        <f t="shared" si="271"/>
        <v>0</v>
      </c>
      <c r="BK223" s="42">
        <f>'[1]побудинковий звіт'!BK223+'[2]побудинковий звіт'!BK223-'[3]побудинковий звіт'!BK223</f>
        <v>0</v>
      </c>
      <c r="BL223" s="42">
        <f>'[1]побудинковий звіт'!BL223+'[2]побудинковий звіт'!BL223-'[3]побудинковий звіт'!BL223</f>
        <v>0</v>
      </c>
      <c r="BM223" s="39">
        <f t="shared" si="272"/>
        <v>0</v>
      </c>
      <c r="BN223" s="42">
        <f>'[1]побудинковий звіт'!BN223+'[2]побудинковий звіт'!BN223-'[3]побудинковий звіт'!BN223</f>
        <v>0</v>
      </c>
      <c r="BO223" s="42">
        <f>'[1]побудинковий звіт'!BO223+'[2]побудинковий звіт'!BO223-'[3]побудинковий звіт'!BO223</f>
        <v>0</v>
      </c>
      <c r="BP223" s="59">
        <f t="shared" si="273"/>
        <v>0</v>
      </c>
      <c r="BQ223" s="87">
        <f t="shared" si="233"/>
        <v>0</v>
      </c>
      <c r="BR223" s="43">
        <f t="shared" si="234"/>
        <v>0</v>
      </c>
      <c r="BS223" s="59">
        <f t="shared" si="274"/>
        <v>0</v>
      </c>
      <c r="BT223" s="42">
        <f>'[1]побудинковий звіт'!BT223+'[2]побудинковий звіт'!BT223-'[3]побудинковий звіт'!BT223</f>
        <v>0</v>
      </c>
      <c r="BU223" s="42">
        <f>'[1]побудинковий звіт'!BU223+'[2]побудинковий звіт'!BU223-'[3]побудинковий звіт'!BU223</f>
        <v>0</v>
      </c>
      <c r="BV223" s="56">
        <f t="shared" si="250"/>
        <v>0</v>
      </c>
      <c r="BW223" s="42">
        <f>'[1]побудинковий звіт'!BW223+'[2]побудинковий звіт'!BW223-'[3]побудинковий звіт'!BW223</f>
        <v>0</v>
      </c>
      <c r="BX223" s="42">
        <f>'[1]побудинковий звіт'!BX223+'[2]побудинковий звіт'!BX223-'[3]побудинковий звіт'!BX223</f>
        <v>2.0294474842907939</v>
      </c>
      <c r="BY223" s="56">
        <f t="shared" si="251"/>
        <v>2.0294474842907939</v>
      </c>
      <c r="BZ223" s="42">
        <f>'[1]побудинковий звіт'!BZ223+'[2]побудинковий звіт'!BZ223-'[3]побудинковий звіт'!BZ223</f>
        <v>0</v>
      </c>
      <c r="CA223" s="42">
        <f>'[1]побудинковий звіт'!CA223+'[2]побудинковий звіт'!CA223-'[3]побудинковий звіт'!CA223</f>
        <v>0</v>
      </c>
      <c r="CB223" s="56">
        <f t="shared" si="252"/>
        <v>0</v>
      </c>
      <c r="CC223" s="42">
        <f>'[1]побудинковий звіт'!CC223+'[2]побудинковий звіт'!CC223-'[3]побудинковий звіт'!CC223</f>
        <v>0</v>
      </c>
      <c r="CD223" s="42">
        <f>'[1]побудинковий звіт'!CD223+'[2]побудинковий звіт'!CD223-'[3]побудинковий звіт'!CD223</f>
        <v>0</v>
      </c>
      <c r="CE223" s="56">
        <f t="shared" si="253"/>
        <v>0</v>
      </c>
      <c r="CF223" s="42">
        <f>'[1]побудинковий звіт'!CF223+'[2]побудинковий звіт'!CF223-'[3]побудинковий звіт'!CF223</f>
        <v>0</v>
      </c>
      <c r="CG223" s="42">
        <f>'[1]побудинковий звіт'!CG223+'[2]побудинковий звіт'!CG223-'[3]побудинковий звіт'!CG223</f>
        <v>0</v>
      </c>
      <c r="CH223" s="56">
        <f t="shared" si="254"/>
        <v>0</v>
      </c>
      <c r="CI223" s="42">
        <f>'[1]побудинковий звіт'!CI223+'[2]побудинковий звіт'!CI223-'[3]побудинковий звіт'!CI223</f>
        <v>0</v>
      </c>
      <c r="CJ223" s="42">
        <f>'[1]побудинковий звіт'!CJ223+'[2]побудинковий звіт'!CJ223-'[3]побудинковий звіт'!CJ223</f>
        <v>0</v>
      </c>
      <c r="CK223" s="56">
        <f t="shared" si="255"/>
        <v>0</v>
      </c>
      <c r="CL223" s="42">
        <f>'[1]побудинковий звіт'!CL223+'[2]побудинковий звіт'!CL223-'[3]побудинковий звіт'!CL223</f>
        <v>0</v>
      </c>
      <c r="CM223" s="42">
        <f>'[1]побудинковий звіт'!CM223+'[2]побудинковий звіт'!CM223-'[3]побудинковий звіт'!CM223</f>
        <v>0</v>
      </c>
      <c r="CN223" s="56">
        <f t="shared" si="256"/>
        <v>0</v>
      </c>
      <c r="CO223" s="42">
        <f t="shared" si="236"/>
        <v>0</v>
      </c>
      <c r="CP223" s="43">
        <f t="shared" si="257"/>
        <v>0</v>
      </c>
      <c r="CQ223" s="56">
        <f t="shared" si="258"/>
        <v>0</v>
      </c>
      <c r="CR223" s="78">
        <f t="shared" si="237"/>
        <v>1415.5949277254783</v>
      </c>
      <c r="CS223" s="5">
        <f t="shared" si="237"/>
        <v>184.13865546271788</v>
      </c>
      <c r="CT223" s="56">
        <f t="shared" si="259"/>
        <v>-1231.4562722627604</v>
      </c>
      <c r="CU223" s="87">
        <f t="shared" si="260"/>
        <v>1698.713913270574</v>
      </c>
      <c r="CV223" s="70">
        <f t="shared" si="261"/>
        <v>220.96638655526144</v>
      </c>
      <c r="CW223" s="37">
        <f t="shared" si="262"/>
        <v>-1477.7475267153127</v>
      </c>
      <c r="CX223" s="42">
        <f>'[1]побудинковий звіт'!CX223+'[2]побудинковий звіт'!CX223-'[3]побудинковий звіт'!CX223</f>
        <v>-0.11391327057413037</v>
      </c>
      <c r="CY223" s="42">
        <f>'[1]побудинковий звіт'!CY223+'[2]побудинковий звіт'!CY223-'[3]побудинковий звіт'!CY223</f>
        <v>1477.6336134447388</v>
      </c>
      <c r="CZ223" s="56">
        <f t="shared" si="263"/>
        <v>1477.7475267153129</v>
      </c>
      <c r="DA223" s="264">
        <f>'[4]побудинковий звіт'!DA223</f>
        <v>-4105.8884474801762</v>
      </c>
      <c r="DB223" s="2">
        <v>2</v>
      </c>
      <c r="DC223" s="717">
        <f>'[4]побудинковий звіт'!DC223</f>
        <v>141.55000000000001</v>
      </c>
      <c r="DD223" s="717">
        <f>'[4]побудинковий звіт'!DD223</f>
        <v>0</v>
      </c>
      <c r="DE223" s="717">
        <f>'[4]побудинковий звіт'!DE223</f>
        <v>0</v>
      </c>
      <c r="DF223" s="717">
        <f>'[4]побудинковий звіт'!DF223</f>
        <v>0</v>
      </c>
      <c r="DG223" s="787">
        <v>-1974.5646149832055</v>
      </c>
      <c r="DH223" s="761">
        <f t="shared" si="226"/>
        <v>20383.199999999997</v>
      </c>
      <c r="DI223" s="784"/>
      <c r="DJ223" s="5"/>
      <c r="DK223" s="317">
        <f>VLOOKUP($A223,ціни!$A$4:$G$401,5)</f>
        <v>2.2469760757547279</v>
      </c>
      <c r="DL223" s="317"/>
      <c r="DM223" s="317">
        <f>VLOOKUP($A223,ціни!$A$4:$G$401,7)</f>
        <v>2.2469760757547279</v>
      </c>
      <c r="DN223" s="30">
        <f t="shared" si="264"/>
        <v>316.14953385869018</v>
      </c>
      <c r="DO223" s="30">
        <f t="shared" si="265"/>
        <v>0</v>
      </c>
      <c r="DP223" s="316">
        <f t="shared" si="221"/>
        <v>316.14953385869018</v>
      </c>
      <c r="DQ223" s="104"/>
      <c r="DR223" s="30">
        <f>VLOOKUP(A223,'ДЗ нас '!$A$1:$C$359,2)</f>
        <v>141.55000000000001</v>
      </c>
      <c r="DS223" s="748"/>
      <c r="DT223" s="30">
        <f t="shared" si="222"/>
        <v>141.55000000000001</v>
      </c>
      <c r="DU223" s="257">
        <f>VLOOKUP(A223,'новий кошторис с 01.06'!$A$4:$AI$399,35)*1.2</f>
        <v>141.55949277254786</v>
      </c>
      <c r="DV223" s="30">
        <f t="shared" si="223"/>
        <v>-9.4927725478441971E-3</v>
      </c>
      <c r="DW223" s="930">
        <f>'[5]побудинковий звіт'!DW223+'[6]побудинковий звіт'!DW223</f>
        <v>0</v>
      </c>
      <c r="DY223" s="5">
        <f t="shared" si="227"/>
        <v>1357.7875618288601</v>
      </c>
      <c r="DZ223" s="5">
        <f t="shared" si="228"/>
        <v>0</v>
      </c>
      <c r="EA223" s="752">
        <f t="shared" si="229"/>
        <v>0</v>
      </c>
      <c r="EC223" s="592">
        <f t="shared" si="230"/>
        <v>13577.875618288601</v>
      </c>
      <c r="EE223" s="758">
        <v>-927</v>
      </c>
      <c r="EF223" s="738">
        <f t="shared" si="231"/>
        <v>-2901.5646149832055</v>
      </c>
      <c r="EH223" s="813">
        <v>-2860.5982898089346</v>
      </c>
    </row>
    <row r="224" spans="1:138" x14ac:dyDescent="0.3">
      <c r="A224" s="328">
        <v>150001049</v>
      </c>
      <c r="B224" s="44" t="s">
        <v>675</v>
      </c>
      <c r="C224" s="45" t="s">
        <v>180</v>
      </c>
      <c r="D224" s="45" t="s">
        <v>180</v>
      </c>
      <c r="E224" s="40">
        <f t="shared" si="232"/>
        <v>6677.85</v>
      </c>
      <c r="F224" s="490">
        <v>6677.85</v>
      </c>
      <c r="G224" s="30"/>
      <c r="H224" s="30">
        <v>0</v>
      </c>
      <c r="I224" s="42">
        <f>'[1]побудинковий звіт'!I224+'[2]побудинковий звіт'!I224-'[3]побудинковий звіт'!I224</f>
        <v>698.27567215413421</v>
      </c>
      <c r="J224" s="42">
        <f>'[1]побудинковий звіт'!J224+'[2]побудинковий звіт'!J224-'[3]побудинковий звіт'!J224</f>
        <v>693.44696754550569</v>
      </c>
      <c r="K224" s="56">
        <f t="shared" si="238"/>
        <v>-4.8287046086285272</v>
      </c>
      <c r="L224" s="42">
        <f>'[1]побудинковий звіт'!L224+'[2]побудинковий звіт'!L224-'[3]побудинковий звіт'!L224</f>
        <v>232.27810995406861</v>
      </c>
      <c r="M224" s="42">
        <f>'[1]побудинковий звіт'!M224+'[2]побудинковий звіт'!M224-'[3]побудинковий звіт'!M224</f>
        <v>234.35892771322233</v>
      </c>
      <c r="N224" s="56">
        <f t="shared" si="239"/>
        <v>2.0808177591537174</v>
      </c>
      <c r="O224" s="42">
        <f>'[1]побудинковий звіт'!O224+'[2]побудинковий звіт'!O224-'[3]побудинковий звіт'!O224</f>
        <v>0</v>
      </c>
      <c r="P224" s="42">
        <f>'[1]побудинковий звіт'!P224+'[2]побудинковий звіт'!P224-'[3]побудинковий звіт'!P224</f>
        <v>0</v>
      </c>
      <c r="Q224" s="56">
        <f t="shared" si="240"/>
        <v>0</v>
      </c>
      <c r="R224" s="42">
        <f>'[1]побудинковий звіт'!R224+'[2]побудинковий звіт'!R224-'[3]побудинковий звіт'!R224</f>
        <v>0</v>
      </c>
      <c r="S224" s="42">
        <f>'[1]побудинковий звіт'!S224+'[2]побудинковий звіт'!S224-'[3]побудинковий звіт'!S224</f>
        <v>0</v>
      </c>
      <c r="T224" s="56">
        <f t="shared" si="241"/>
        <v>0</v>
      </c>
      <c r="U224" s="42">
        <f>'[1]побудинковий звіт'!U224+'[2]побудинковий звіт'!U224-'[3]побудинковий звіт'!U224</f>
        <v>0</v>
      </c>
      <c r="V224" s="42">
        <f>'[1]побудинковий звіт'!V224+'[2]побудинковий звіт'!V224-'[3]побудинковий звіт'!V224</f>
        <v>0</v>
      </c>
      <c r="W224" s="56">
        <f t="shared" si="242"/>
        <v>0</v>
      </c>
      <c r="X224" s="42">
        <f>'[1]побудинковий звіт'!X224+'[2]побудинковий звіт'!X224-'[3]побудинковий звіт'!X224</f>
        <v>375.56586627074995</v>
      </c>
      <c r="Y224" s="42">
        <f>'[1]побудинковий звіт'!Y224+'[2]побудинковий звіт'!Y224-'[3]побудинковий звіт'!Y224</f>
        <v>267.35701816155256</v>
      </c>
      <c r="Z224" s="56">
        <f t="shared" si="243"/>
        <v>-108.20884810919739</v>
      </c>
      <c r="AA224" s="42">
        <f>'[1]побудинковий звіт'!AA224+'[2]побудинковий звіт'!AA224-'[3]побудинковий звіт'!AA224</f>
        <v>0</v>
      </c>
      <c r="AB224" s="42">
        <f>'[1]побудинковий звіт'!AB224+'[2]побудинковий звіт'!AB224-'[3]побудинковий звіт'!AB224</f>
        <v>0</v>
      </c>
      <c r="AC224" s="56">
        <f t="shared" si="244"/>
        <v>0</v>
      </c>
      <c r="AD224" s="42">
        <f>'[1]побудинковий звіт'!AD224+'[2]побудинковий звіт'!AD224-'[3]побудинковий звіт'!AD224</f>
        <v>1084.7784599738609</v>
      </c>
      <c r="AE224" s="42">
        <f>'[1]побудинковий звіт'!AE224+'[2]побудинковий звіт'!AE224-'[3]побудинковий звіт'!AE224</f>
        <v>999.83308084742805</v>
      </c>
      <c r="AF224" s="37">
        <f t="shared" si="245"/>
        <v>-84.94537912643284</v>
      </c>
      <c r="AG224" s="87">
        <f t="shared" si="235"/>
        <v>2390.8981083528133</v>
      </c>
      <c r="AH224" s="57">
        <f t="shared" si="235"/>
        <v>2194.9959942677087</v>
      </c>
      <c r="AI224" s="56">
        <f t="shared" si="246"/>
        <v>-195.90211408510459</v>
      </c>
      <c r="AJ224" s="42">
        <f>'[1]побудинковий звіт'!AJ224+'[2]побудинковий звіт'!AJ224-'[3]побудинковий звіт'!AJ224</f>
        <v>0</v>
      </c>
      <c r="AK224" s="42">
        <f>'[1]побудинковий звіт'!AK224+'[2]побудинковий звіт'!AK224-'[3]побудинковий звіт'!AK224</f>
        <v>0</v>
      </c>
      <c r="AL224" s="56">
        <f t="shared" si="247"/>
        <v>0</v>
      </c>
      <c r="AM224" s="42">
        <f>'[1]побудинковий звіт'!AM224+'[2]побудинковий звіт'!AM224-'[3]побудинковий звіт'!AM224</f>
        <v>0</v>
      </c>
      <c r="AN224" s="42">
        <f>'[1]побудинковий звіт'!AN224+'[2]побудинковий звіт'!AN224-'[3]побудинковий звіт'!AN224</f>
        <v>0</v>
      </c>
      <c r="AO224" s="56">
        <f t="shared" si="248"/>
        <v>0</v>
      </c>
      <c r="AP224" s="42">
        <f>'[1]побудинковий звіт'!AP224+'[2]побудинковий звіт'!AP224-'[3]побудинковий звіт'!AP224</f>
        <v>378.80705715745984</v>
      </c>
      <c r="AQ224" s="42">
        <f>'[1]побудинковий звіт'!AQ224+'[2]побудинковий звіт'!AQ224-'[3]побудинковий звіт'!AQ224</f>
        <v>378.61617200841994</v>
      </c>
      <c r="AR224" s="56">
        <f t="shared" si="249"/>
        <v>-0.19088514903990017</v>
      </c>
      <c r="AS224" s="42">
        <f>'[1]побудинковий звіт'!AS224+'[2]побудинковий звіт'!AS224-'[3]побудинковий звіт'!AS224</f>
        <v>3602.1924818801854</v>
      </c>
      <c r="AT224" s="42">
        <f>'[1]побудинковий звіт'!AT224+'[2]побудинковий звіт'!AT224-'[3]побудинковий звіт'!AT224</f>
        <v>0</v>
      </c>
      <c r="AU224" s="58">
        <f t="shared" si="266"/>
        <v>-3602.1924818801854</v>
      </c>
      <c r="AV224" s="42">
        <f>'[1]побудинковий звіт'!AV224+'[2]побудинковий звіт'!AV224-'[3]побудинковий звіт'!AV224</f>
        <v>257.68528249792439</v>
      </c>
      <c r="AW224" s="42">
        <f>'[1]побудинковий звіт'!AW224+'[2]побудинковий звіт'!AW224-'[3]побудинковий звіт'!AW224</f>
        <v>0</v>
      </c>
      <c r="AX224" s="59">
        <f t="shared" si="267"/>
        <v>-257.68528249792439</v>
      </c>
      <c r="AY224" s="42">
        <f>'[1]побудинковий звіт'!AY224+'[2]побудинковий звіт'!AY224-'[3]побудинковий звіт'!AY224</f>
        <v>299.20814551574625</v>
      </c>
      <c r="AZ224" s="42">
        <f>'[1]побудинковий звіт'!AZ224+'[2]побудинковий звіт'!AZ224-'[3]побудинковий звіт'!AZ224</f>
        <v>0</v>
      </c>
      <c r="BA224" s="37">
        <f t="shared" si="268"/>
        <v>-299.20814551574625</v>
      </c>
      <c r="BB224" s="42">
        <f>'[1]побудинковий звіт'!BB224+'[2]побудинковий звіт'!BB224-'[3]побудинковий звіт'!BB224</f>
        <v>0</v>
      </c>
      <c r="BC224" s="42">
        <f>'[1]побудинковий звіт'!BC224+'[2]побудинковий звіт'!BC224-'[3]побудинковий звіт'!BC224</f>
        <v>0</v>
      </c>
      <c r="BD224" s="59">
        <f t="shared" si="269"/>
        <v>0</v>
      </c>
      <c r="BE224" s="42">
        <f>'[1]побудинковий звіт'!BE224+'[2]побудинковий звіт'!BE224-'[3]побудинковий звіт'!BE224</f>
        <v>0</v>
      </c>
      <c r="BF224" s="42">
        <f>'[1]побудинковий звіт'!BF224+'[2]побудинковий звіт'!BF224-'[3]побудинковий звіт'!BF224</f>
        <v>0</v>
      </c>
      <c r="BG224" s="39">
        <f t="shared" si="270"/>
        <v>0</v>
      </c>
      <c r="BH224" s="42">
        <f>'[1]побудинковий звіт'!BH224+'[2]побудинковий звіт'!BH224-'[3]побудинковий звіт'!BH224</f>
        <v>0</v>
      </c>
      <c r="BI224" s="42">
        <f>'[1]побудинковий звіт'!BI224+'[2]побудинковий звіт'!BI224-'[3]побудинковий звіт'!BI224</f>
        <v>0</v>
      </c>
      <c r="BJ224" s="59">
        <f t="shared" si="271"/>
        <v>0</v>
      </c>
      <c r="BK224" s="42">
        <f>'[1]побудинковий звіт'!BK224+'[2]побудинковий звіт'!BK224-'[3]побудинковий звіт'!BK224</f>
        <v>59.168446210100242</v>
      </c>
      <c r="BL224" s="42">
        <f>'[1]побудинковий звіт'!BL224+'[2]побудинковий звіт'!BL224-'[3]побудинковий звіт'!BL224</f>
        <v>0</v>
      </c>
      <c r="BM224" s="39">
        <f t="shared" si="272"/>
        <v>-59.168446210100242</v>
      </c>
      <c r="BN224" s="42">
        <f>'[1]побудинковий звіт'!BN224+'[2]побудинковий звіт'!BN224-'[3]побудинковий звіт'!BN224</f>
        <v>0</v>
      </c>
      <c r="BO224" s="42">
        <f>'[1]побудинковий звіт'!BO224+'[2]побудинковий звіт'!BO224-'[3]побудинковий звіт'!BO224</f>
        <v>0</v>
      </c>
      <c r="BP224" s="59">
        <f t="shared" si="273"/>
        <v>0</v>
      </c>
      <c r="BQ224" s="87">
        <f t="shared" si="233"/>
        <v>616.06187422377093</v>
      </c>
      <c r="BR224" s="43">
        <f t="shared" si="234"/>
        <v>0</v>
      </c>
      <c r="BS224" s="59">
        <f t="shared" si="274"/>
        <v>-616.06187422377093</v>
      </c>
      <c r="BT224" s="42">
        <f>'[1]побудинковий звіт'!BT224+'[2]побудинковий звіт'!BT224-'[3]побудинковий звіт'!BT224</f>
        <v>2731.5251432118857</v>
      </c>
      <c r="BU224" s="42">
        <f>'[1]побудинковий звіт'!BU224+'[2]побудинковий звіт'!BU224-'[3]побудинковий звіт'!BU224</f>
        <v>4644.7462838613064</v>
      </c>
      <c r="BV224" s="56">
        <f t="shared" si="250"/>
        <v>1913.2211406494207</v>
      </c>
      <c r="BW224" s="42">
        <f>'[1]побудинковий звіт'!BW224+'[2]побудинковий звіт'!BW224-'[3]побудинковий звіт'!BW224</f>
        <v>2198.4231831066804</v>
      </c>
      <c r="BX224" s="42">
        <f>'[1]побудинковий звіт'!BX224+'[2]побудинковий звіт'!BX224-'[3]побудинковий звіт'!BX224</f>
        <v>2314.5768384846215</v>
      </c>
      <c r="BY224" s="56">
        <f t="shared" si="251"/>
        <v>116.15365537794105</v>
      </c>
      <c r="BZ224" s="42">
        <f>'[1]побудинковий звіт'!BZ224+'[2]побудинковий звіт'!BZ224-'[3]побудинковий звіт'!BZ224</f>
        <v>1522.3509981138127</v>
      </c>
      <c r="CA224" s="42">
        <f>'[1]побудинковий звіт'!CA224+'[2]побудинковий звіт'!CA224-'[3]побудинковий звіт'!CA224</f>
        <v>3707.4197292466652</v>
      </c>
      <c r="CB224" s="56">
        <f t="shared" si="252"/>
        <v>2185.0687311328525</v>
      </c>
      <c r="CC224" s="42">
        <f>'[1]побудинковий звіт'!CC224+'[2]побудинковий звіт'!CC224-'[3]побудинковий звіт'!CC224</f>
        <v>0</v>
      </c>
      <c r="CD224" s="42">
        <f>'[1]побудинковий звіт'!CD224+'[2]побудинковий звіт'!CD224-'[3]побудинковий звіт'!CD224</f>
        <v>0</v>
      </c>
      <c r="CE224" s="56">
        <f t="shared" si="253"/>
        <v>0</v>
      </c>
      <c r="CF224" s="42">
        <f>'[1]побудинковий звіт'!CF224+'[2]побудинковий звіт'!CF224-'[3]побудинковий звіт'!CF224</f>
        <v>0</v>
      </c>
      <c r="CG224" s="42">
        <f>'[1]побудинковий звіт'!CG224+'[2]побудинковий звіт'!CG224-'[3]побудинковий звіт'!CG224</f>
        <v>0</v>
      </c>
      <c r="CH224" s="56">
        <f t="shared" si="254"/>
        <v>0</v>
      </c>
      <c r="CI224" s="42">
        <f>'[1]побудинковий звіт'!CI224+'[2]побудинковий звіт'!CI224-'[3]побудинковий звіт'!CI224</f>
        <v>1085.6164602771439</v>
      </c>
      <c r="CJ224" s="42">
        <f>'[1]побудинковий звіт'!CJ224+'[2]побудинковий звіт'!CJ224-'[3]побудинковий звіт'!CJ224</f>
        <v>117.49824083706014</v>
      </c>
      <c r="CK224" s="56">
        <f t="shared" si="255"/>
        <v>-968.11821944008375</v>
      </c>
      <c r="CL224" s="42">
        <f>'[1]побудинковий звіт'!CL224+'[2]побудинковий звіт'!CL224-'[3]побудинковий звіт'!CL224</f>
        <v>0</v>
      </c>
      <c r="CM224" s="42">
        <f>'[1]побудинковий звіт'!CM224+'[2]побудинковий звіт'!CM224-'[3]побудинковий звіт'!CM224</f>
        <v>0</v>
      </c>
      <c r="CN224" s="56">
        <f t="shared" si="256"/>
        <v>0</v>
      </c>
      <c r="CO224" s="42">
        <f t="shared" si="236"/>
        <v>1085.6164602771439</v>
      </c>
      <c r="CP224" s="43">
        <f t="shared" si="257"/>
        <v>117.49824083706014</v>
      </c>
      <c r="CQ224" s="56">
        <f t="shared" si="258"/>
        <v>-968.11821944008375</v>
      </c>
      <c r="CR224" s="78">
        <f t="shared" si="237"/>
        <v>14525.875306323753</v>
      </c>
      <c r="CS224" s="5">
        <f t="shared" si="237"/>
        <v>13357.853258705782</v>
      </c>
      <c r="CT224" s="56">
        <f t="shared" si="259"/>
        <v>-1168.0220476179711</v>
      </c>
      <c r="CU224" s="87">
        <f t="shared" si="260"/>
        <v>17431.050367588501</v>
      </c>
      <c r="CV224" s="70">
        <f t="shared" si="261"/>
        <v>16029.423910446938</v>
      </c>
      <c r="CW224" s="37">
        <f t="shared" si="262"/>
        <v>-1401.6264571415632</v>
      </c>
      <c r="CX224" s="42">
        <f>'[1]побудинковий звіт'!CX224+'[2]побудинковий звіт'!CX224-'[3]побудинковий звіт'!CX224</f>
        <v>-9.0367588499248086E-2</v>
      </c>
      <c r="CY224" s="42">
        <f>'[1]побудинковий звіт'!CY224+'[2]побудинковий звіт'!CY224-'[3]побудинковий звіт'!CY224</f>
        <v>1401.5360895530625</v>
      </c>
      <c r="CZ224" s="56">
        <f t="shared" si="263"/>
        <v>1401.6264571415618</v>
      </c>
      <c r="DA224" s="264">
        <f>'[4]побудинковий звіт'!DA224</f>
        <v>6591.1561415320703</v>
      </c>
      <c r="DB224" s="2">
        <v>2</v>
      </c>
      <c r="DC224" s="717">
        <f>'[4]побудинковий звіт'!DC224</f>
        <v>3452.58</v>
      </c>
      <c r="DD224" s="717">
        <f>'[4]побудинковий звіт'!DD224</f>
        <v>0</v>
      </c>
      <c r="DE224" s="717">
        <f>'[4]побудинковий звіт'!DE224</f>
        <v>2000</v>
      </c>
      <c r="DF224" s="717">
        <f>'[4]побудинковий звіт'!DF224</f>
        <v>0</v>
      </c>
      <c r="DG224" s="787">
        <v>9308.4219744608999</v>
      </c>
      <c r="DH224" s="761">
        <f t="shared" si="226"/>
        <v>209171.52000000002</v>
      </c>
      <c r="DI224" s="784"/>
      <c r="DJ224" s="5"/>
      <c r="DK224" s="317">
        <f>VLOOKUP($A224,ціни!$A$4:$G$401,5)</f>
        <v>5.7256110785667111</v>
      </c>
      <c r="DL224" s="317"/>
      <c r="DM224" s="317">
        <f>VLOOKUP($A224,ціни!$A$4:$G$401,7)</f>
        <v>4.859066662679175</v>
      </c>
      <c r="DN224" s="30">
        <f t="shared" si="264"/>
        <v>38234.771941006715</v>
      </c>
      <c r="DO224" s="30">
        <f t="shared" si="265"/>
        <v>0</v>
      </c>
      <c r="DP224" s="316">
        <f t="shared" si="221"/>
        <v>38234.771941006715</v>
      </c>
      <c r="DQ224" s="104"/>
      <c r="DR224" s="30">
        <f>VLOOKUP(A224,'ДЗ нас '!$A$1:$C$359,2)</f>
        <v>1452.58</v>
      </c>
      <c r="DS224" s="748"/>
      <c r="DT224" s="30">
        <f t="shared" si="222"/>
        <v>1452.58</v>
      </c>
      <c r="DU224" s="257">
        <f>VLOOKUP(A224,'новий кошторис с 01.06'!$A$4:$AI$399,35)*1.2</f>
        <v>1452.5875306323753</v>
      </c>
      <c r="DV224" s="30">
        <f t="shared" si="223"/>
        <v>-7.5306323753920879E-3</v>
      </c>
      <c r="DW224" s="930">
        <f>'[5]побудинковий звіт'!DW224+'[6]побудинковий звіт'!DW224</f>
        <v>0</v>
      </c>
      <c r="DY224" s="5">
        <f t="shared" si="227"/>
        <v>5061.905227324748</v>
      </c>
      <c r="DZ224" s="5">
        <f t="shared" si="228"/>
        <v>0</v>
      </c>
      <c r="EA224" s="752">
        <f t="shared" si="229"/>
        <v>2000</v>
      </c>
      <c r="EC224" s="592">
        <f t="shared" si="230"/>
        <v>43226.309782562224</v>
      </c>
      <c r="EE224" s="758">
        <v>2546</v>
      </c>
      <c r="EF224" s="738">
        <f t="shared" si="231"/>
        <v>11854.4219744609</v>
      </c>
      <c r="EH224" s="813">
        <v>8234.0860538229299</v>
      </c>
    </row>
    <row r="225" spans="1:138" x14ac:dyDescent="0.3">
      <c r="A225" s="328">
        <v>150001041</v>
      </c>
      <c r="B225" s="44" t="s">
        <v>676</v>
      </c>
      <c r="C225" s="45" t="s">
        <v>196</v>
      </c>
      <c r="D225" s="45" t="s">
        <v>196</v>
      </c>
      <c r="E225" s="40">
        <f t="shared" si="232"/>
        <v>3267.3</v>
      </c>
      <c r="F225" s="490">
        <v>3267.3</v>
      </c>
      <c r="G225" s="30"/>
      <c r="H225" s="30">
        <v>0</v>
      </c>
      <c r="I225" s="42">
        <f>'[1]побудинковий звіт'!I225+'[2]побудинковий звіт'!I225-'[3]побудинковий звіт'!I225</f>
        <v>2464.7135238410469</v>
      </c>
      <c r="J225" s="42">
        <f>'[1]побудинковий звіт'!J225+'[2]побудинковий звіт'!J225-'[3]побудинковий звіт'!J225</f>
        <v>2439.5236462111457</v>
      </c>
      <c r="K225" s="56">
        <f t="shared" si="238"/>
        <v>-25.189877629901275</v>
      </c>
      <c r="L225" s="42">
        <f>'[1]побудинковий звіт'!L225+'[2]побудинковий звіт'!L225-'[3]побудинковий звіт'!L225</f>
        <v>368.98240618595196</v>
      </c>
      <c r="M225" s="42">
        <f>'[1]побудинковий звіт'!M225+'[2]побудинковий звіт'!M225-'[3]побудинковий звіт'!M225</f>
        <v>372.28736669858387</v>
      </c>
      <c r="N225" s="56">
        <f t="shared" si="239"/>
        <v>3.3049605126319079</v>
      </c>
      <c r="O225" s="42">
        <f>'[1]побудинковий звіт'!O225+'[2]побудинковий звіт'!O225-'[3]побудинковий звіт'!O225</f>
        <v>898.91999999999985</v>
      </c>
      <c r="P225" s="42">
        <f>'[1]побудинковий звіт'!P225+'[2]побудинковий звіт'!P225-'[3]побудинковий звіт'!P225</f>
        <v>706.61958333333325</v>
      </c>
      <c r="Q225" s="56">
        <f t="shared" si="240"/>
        <v>-192.30041666666659</v>
      </c>
      <c r="R225" s="42">
        <f>'[1]побудинковий звіт'!R225+'[2]побудинковий звіт'!R225-'[3]побудинковий звіт'!R225</f>
        <v>0</v>
      </c>
      <c r="S225" s="42">
        <f>'[1]побудинковий звіт'!S225+'[2]побудинковий звіт'!S225-'[3]побудинковий звіт'!S225</f>
        <v>0</v>
      </c>
      <c r="T225" s="56">
        <f t="shared" si="241"/>
        <v>0</v>
      </c>
      <c r="U225" s="42">
        <f>'[1]побудинковий звіт'!U225+'[2]побудинковий звіт'!U225-'[3]побудинковий звіт'!U225</f>
        <v>0</v>
      </c>
      <c r="V225" s="42">
        <f>'[1]побудинковий звіт'!V225+'[2]побудинковий звіт'!V225-'[3]побудинковий звіт'!V225</f>
        <v>0</v>
      </c>
      <c r="W225" s="56">
        <f t="shared" si="242"/>
        <v>0</v>
      </c>
      <c r="X225" s="42">
        <f>'[1]побудинковий звіт'!X225+'[2]побудинковий звіт'!X225-'[3]побудинковий звіт'!X225</f>
        <v>1287.418696715361</v>
      </c>
      <c r="Y225" s="42">
        <f>'[1]побудинковий звіт'!Y225+'[2]побудинковий звіт'!Y225-'[3]побудинковий звіт'!Y225</f>
        <v>806.47874334820824</v>
      </c>
      <c r="Z225" s="56">
        <f t="shared" si="243"/>
        <v>-480.93995336715273</v>
      </c>
      <c r="AA225" s="42">
        <f>'[1]побудинковий звіт'!AA225+'[2]побудинковий звіт'!AA225-'[3]побудинковий звіт'!AA225</f>
        <v>0</v>
      </c>
      <c r="AB225" s="42">
        <f>'[1]побудинковий звіт'!AB225+'[2]побудинковий звіт'!AB225-'[3]побудинковий звіт'!AB225</f>
        <v>0</v>
      </c>
      <c r="AC225" s="56">
        <f t="shared" si="244"/>
        <v>0</v>
      </c>
      <c r="AD225" s="42">
        <f>'[1]побудинковий звіт'!AD225+'[2]побудинковий звіт'!AD225-'[3]побудинковий звіт'!AD225</f>
        <v>2571.485084068901</v>
      </c>
      <c r="AE225" s="42">
        <f>'[1]побудинковий звіт'!AE225+'[2]побудинковий звіт'!AE225-'[3]побудинковий звіт'!AE225</f>
        <v>2370.1206733214162</v>
      </c>
      <c r="AF225" s="37">
        <f t="shared" si="245"/>
        <v>-201.36441074748473</v>
      </c>
      <c r="AG225" s="87">
        <f t="shared" si="235"/>
        <v>7591.5197108112607</v>
      </c>
      <c r="AH225" s="57">
        <f t="shared" si="235"/>
        <v>6695.0300129126863</v>
      </c>
      <c r="AI225" s="56">
        <f t="shared" si="246"/>
        <v>-896.48969789857438</v>
      </c>
      <c r="AJ225" s="42">
        <f>'[1]побудинковий звіт'!AJ225+'[2]побудинковий звіт'!AJ225-'[3]побудинковий звіт'!AJ225</f>
        <v>0</v>
      </c>
      <c r="AK225" s="42">
        <f>'[1]побудинковий звіт'!AK225+'[2]побудинковий звіт'!AK225-'[3]побудинковий звіт'!AK225</f>
        <v>0</v>
      </c>
      <c r="AL225" s="56">
        <f t="shared" si="247"/>
        <v>0</v>
      </c>
      <c r="AM225" s="42">
        <f>'[1]побудинковий звіт'!AM225+'[2]побудинковий звіт'!AM225-'[3]побудинковий звіт'!AM225</f>
        <v>0</v>
      </c>
      <c r="AN225" s="42">
        <f>'[1]побудинковий звіт'!AN225+'[2]побудинковий звіт'!AN225-'[3]побудинковий звіт'!AN225</f>
        <v>0</v>
      </c>
      <c r="AO225" s="56">
        <f t="shared" si="248"/>
        <v>0</v>
      </c>
      <c r="AP225" s="42">
        <f>'[1]побудинковий звіт'!AP225+'[2]побудинковий звіт'!AP225-'[3]побудинковий звіт'!AP225</f>
        <v>1704.6317572085691</v>
      </c>
      <c r="AQ225" s="42">
        <f>'[1]побудинковий звіт'!AQ225+'[2]побудинковий звіт'!AQ225-'[3]побудинковий звіт'!AQ225</f>
        <v>2241.7193161935547</v>
      </c>
      <c r="AR225" s="56">
        <f t="shared" si="249"/>
        <v>537.08755898498566</v>
      </c>
      <c r="AS225" s="42">
        <f>'[1]побудинковий звіт'!AS225+'[2]побудинковий звіт'!AS225-'[3]побудинковий звіт'!AS225</f>
        <v>8257.3594598138716</v>
      </c>
      <c r="AT225" s="42">
        <f>'[1]побудинковий звіт'!AT225+'[2]побудинковий звіт'!AT225-'[3]побудинковий звіт'!AT225</f>
        <v>0</v>
      </c>
      <c r="AU225" s="58">
        <f t="shared" si="266"/>
        <v>-8257.3594598138716</v>
      </c>
      <c r="AV225" s="42">
        <f>'[1]побудинковий звіт'!AV225+'[2]побудинковий звіт'!AV225-'[3]побудинковий звіт'!AV225</f>
        <v>446.40561436294365</v>
      </c>
      <c r="AW225" s="42">
        <f>'[1]побудинковий звіт'!AW225+'[2]побудинковий звіт'!AW225-'[3]побудинковий звіт'!AW225</f>
        <v>0</v>
      </c>
      <c r="AX225" s="59">
        <f t="shared" si="267"/>
        <v>-446.40561436294365</v>
      </c>
      <c r="AY225" s="42">
        <f>'[1]побудинковий звіт'!AY225+'[2]побудинковий звіт'!AY225-'[3]побудинковий звіт'!AY225</f>
        <v>475.41207312616251</v>
      </c>
      <c r="AZ225" s="42">
        <f>'[1]побудинковий звіт'!AZ225+'[2]побудинковий звіт'!AZ225-'[3]побудинковий звіт'!AZ225</f>
        <v>0</v>
      </c>
      <c r="BA225" s="37">
        <f t="shared" si="268"/>
        <v>-475.41207312616251</v>
      </c>
      <c r="BB225" s="42">
        <f>'[1]побудинковий звіт'!BB225+'[2]побудинковий звіт'!BB225-'[3]побудинковий звіт'!BB225</f>
        <v>409.68558631223772</v>
      </c>
      <c r="BC225" s="42">
        <f>'[1]побудинковий звіт'!BC225+'[2]побудинковий звіт'!BC225-'[3]побудинковий звіт'!BC225</f>
        <v>0</v>
      </c>
      <c r="BD225" s="59">
        <f t="shared" si="269"/>
        <v>-409.68558631223772</v>
      </c>
      <c r="BE225" s="42">
        <f>'[1]побудинковий звіт'!BE225+'[2]побудинковий звіт'!BE225-'[3]побудинковий звіт'!BE225</f>
        <v>0</v>
      </c>
      <c r="BF225" s="42">
        <f>'[1]побудинковий звіт'!BF225+'[2]побудинковий звіт'!BF225-'[3]побудинковий звіт'!BF225</f>
        <v>0</v>
      </c>
      <c r="BG225" s="39">
        <f t="shared" si="270"/>
        <v>0</v>
      </c>
      <c r="BH225" s="42">
        <f>'[1]побудинковий звіт'!BH225+'[2]побудинковий звіт'!BH225-'[3]побудинковий звіт'!BH225</f>
        <v>0</v>
      </c>
      <c r="BI225" s="42">
        <f>'[1]побудинковий звіт'!BI225+'[2]побудинковий звіт'!BI225-'[3]побудинковий звіт'!BI225</f>
        <v>0</v>
      </c>
      <c r="BJ225" s="59">
        <f t="shared" si="271"/>
        <v>0</v>
      </c>
      <c r="BK225" s="42">
        <f>'[1]побудинковий звіт'!BK225+'[2]побудинковий звіт'!BK225-'[3]побудинковий звіт'!BK225</f>
        <v>88.461351592753303</v>
      </c>
      <c r="BL225" s="42">
        <f>'[1]побудинковий звіт'!BL225+'[2]побудинковий звіт'!BL225-'[3]побудинковий звіт'!BL225</f>
        <v>0</v>
      </c>
      <c r="BM225" s="39">
        <f t="shared" si="272"/>
        <v>-88.461351592753303</v>
      </c>
      <c r="BN225" s="42">
        <f>'[1]побудинковий звіт'!BN225+'[2]побудинковий звіт'!BN225-'[3]побудинковий звіт'!BN225</f>
        <v>0</v>
      </c>
      <c r="BO225" s="42">
        <f>'[1]побудинковий звіт'!BO225+'[2]побудинковий звіт'!BO225-'[3]побудинковий звіт'!BO225</f>
        <v>0</v>
      </c>
      <c r="BP225" s="59">
        <f t="shared" si="273"/>
        <v>0</v>
      </c>
      <c r="BQ225" s="87">
        <f t="shared" si="233"/>
        <v>1419.9646253940973</v>
      </c>
      <c r="BR225" s="43">
        <f t="shared" si="234"/>
        <v>0</v>
      </c>
      <c r="BS225" s="59">
        <f t="shared" si="274"/>
        <v>-1419.9646253940973</v>
      </c>
      <c r="BT225" s="42">
        <f>'[1]побудинковий звіт'!BT225+'[2]побудинковий звіт'!BT225-'[3]побудинковий звіт'!BT225</f>
        <v>6536.7329793739154</v>
      </c>
      <c r="BU225" s="42">
        <f>'[1]побудинковий звіт'!BU225+'[2]побудинковий звіт'!BU225-'[3]побудинковий звіт'!BU225</f>
        <v>8872.0261328148117</v>
      </c>
      <c r="BV225" s="56">
        <f t="shared" si="250"/>
        <v>2335.2931534408963</v>
      </c>
      <c r="BW225" s="42">
        <f>'[1]побудинковий звіт'!BW225+'[2]побудинковий звіт'!BW225-'[3]побудинковий звіт'!BW225</f>
        <v>5100.4351073940079</v>
      </c>
      <c r="BX225" s="42">
        <f>'[1]побудинковий звіт'!BX225+'[2]побудинковий звіт'!BX225-'[3]побудинковий звіт'!BX225</f>
        <v>5307.7451967356046</v>
      </c>
      <c r="BY225" s="56">
        <f t="shared" si="251"/>
        <v>207.31008934159672</v>
      </c>
      <c r="BZ225" s="42">
        <f>'[1]побудинковий звіт'!BZ225+'[2]побудинковий звіт'!BZ225-'[3]побудинковий звіт'!BZ225</f>
        <v>1636.7805120465705</v>
      </c>
      <c r="CA225" s="42">
        <f>'[1]побудинковий звіт'!CA225+'[2]побудинковий звіт'!CA225-'[3]побудинковий звіт'!CA225</f>
        <v>1741.3425693359711</v>
      </c>
      <c r="CB225" s="56">
        <f t="shared" si="252"/>
        <v>104.56205728940063</v>
      </c>
      <c r="CC225" s="42">
        <f>'[1]побудинковий звіт'!CC225+'[2]побудинковий звіт'!CC225-'[3]побудинковий звіт'!CC225</f>
        <v>0</v>
      </c>
      <c r="CD225" s="42">
        <f>'[1]побудинковий звіт'!CD225+'[2]побудинковий звіт'!CD225-'[3]побудинковий звіт'!CD225</f>
        <v>0</v>
      </c>
      <c r="CE225" s="56">
        <f t="shared" si="253"/>
        <v>0</v>
      </c>
      <c r="CF225" s="42">
        <f>'[1]побудинковий звіт'!CF225+'[2]побудинковий звіт'!CF225-'[3]побудинковий звіт'!CF225</f>
        <v>0</v>
      </c>
      <c r="CG225" s="42">
        <f>'[1]побудинковий звіт'!CG225+'[2]побудинковий звіт'!CG225-'[3]побудинковий звіт'!CG225</f>
        <v>0</v>
      </c>
      <c r="CH225" s="56">
        <f t="shared" si="254"/>
        <v>0</v>
      </c>
      <c r="CI225" s="42">
        <f>'[1]побудинковий звіт'!CI225+'[2]побудинковий звіт'!CI225-'[3]побудинковий звіт'!CI225</f>
        <v>1085.6164602771439</v>
      </c>
      <c r="CJ225" s="42">
        <f>'[1]побудинковий звіт'!CJ225+'[2]побудинковий звіт'!CJ225-'[3]побудинковий звіт'!CJ225</f>
        <v>26.370928819381653</v>
      </c>
      <c r="CK225" s="56">
        <f t="shared" si="255"/>
        <v>-1059.2455314577624</v>
      </c>
      <c r="CL225" s="42">
        <f>'[1]побудинковий звіт'!CL225+'[2]побудинковий звіт'!CL225-'[3]побудинковий звіт'!CL225</f>
        <v>0</v>
      </c>
      <c r="CM225" s="42">
        <f>'[1]побудинковий звіт'!CM225+'[2]побудинковий звіт'!CM225-'[3]побудинковий звіт'!CM225</f>
        <v>0</v>
      </c>
      <c r="CN225" s="56">
        <f t="shared" si="256"/>
        <v>0</v>
      </c>
      <c r="CO225" s="42">
        <f t="shared" si="236"/>
        <v>1085.6164602771439</v>
      </c>
      <c r="CP225" s="43">
        <f t="shared" si="257"/>
        <v>26.370928819381653</v>
      </c>
      <c r="CQ225" s="56">
        <f t="shared" si="258"/>
        <v>-1059.2455314577624</v>
      </c>
      <c r="CR225" s="78">
        <f t="shared" si="237"/>
        <v>33333.040612319441</v>
      </c>
      <c r="CS225" s="5">
        <f t="shared" si="237"/>
        <v>24884.23415681201</v>
      </c>
      <c r="CT225" s="56">
        <f t="shared" si="259"/>
        <v>-8448.8064555074307</v>
      </c>
      <c r="CU225" s="87">
        <f t="shared" si="260"/>
        <v>39999.648734783324</v>
      </c>
      <c r="CV225" s="70">
        <f t="shared" si="261"/>
        <v>29861.08098817441</v>
      </c>
      <c r="CW225" s="37">
        <f t="shared" si="262"/>
        <v>-10138.567746608915</v>
      </c>
      <c r="CX225" s="42">
        <f>'[1]побудинковий звіт'!CX225+'[2]побудинковий звіт'!CX225-'[3]побудинковий звіт'!CX225</f>
        <v>0.31126521666919871</v>
      </c>
      <c r="CY225" s="42">
        <f>'[1]побудинковий звіт'!CY225+'[2]побудинковий звіт'!CY225-'[3]побудинковий звіт'!CY225</f>
        <v>10138.879011825587</v>
      </c>
      <c r="CZ225" s="56">
        <f t="shared" si="263"/>
        <v>10138.567746608918</v>
      </c>
      <c r="DA225" s="264">
        <f>'[4]побудинковий звіт'!DA225</f>
        <v>-18953.676228574033</v>
      </c>
      <c r="DB225" s="2">
        <v>2</v>
      </c>
      <c r="DC225" s="717">
        <f>'[4]побудинковий звіт'!DC225</f>
        <v>4621.43</v>
      </c>
      <c r="DD225" s="717">
        <f>'[4]побудинковий звіт'!DD225</f>
        <v>0</v>
      </c>
      <c r="DE225" s="717">
        <f>'[4]побудинковий звіт'!DE225</f>
        <v>1288.1000000000004</v>
      </c>
      <c r="DF225" s="717">
        <f>'[4]побудинковий звіт'!DF225</f>
        <v>0</v>
      </c>
      <c r="DG225" s="787">
        <v>-3410.6661264579889</v>
      </c>
      <c r="DH225" s="761">
        <f t="shared" si="226"/>
        <v>479999.5199999999</v>
      </c>
      <c r="DI225" s="784"/>
      <c r="DJ225" s="5"/>
      <c r="DK225" s="317">
        <f>VLOOKUP($A225,ціни!$A$4:$G$401,5)</f>
        <v>5.5425740958296386</v>
      </c>
      <c r="DL225" s="317"/>
      <c r="DM225" s="317">
        <f>VLOOKUP($A225,ціни!$A$4:$G$401,7)</f>
        <v>4.6944804630737345</v>
      </c>
      <c r="DN225" s="30">
        <f t="shared" si="264"/>
        <v>18109.252343304179</v>
      </c>
      <c r="DO225" s="30">
        <f t="shared" si="265"/>
        <v>0</v>
      </c>
      <c r="DP225" s="316">
        <f t="shared" si="221"/>
        <v>18109.252343304179</v>
      </c>
      <c r="DQ225" s="104"/>
      <c r="DR225" s="30">
        <f>VLOOKUP(A225,'ДЗ нас '!$A$1:$C$359,2)</f>
        <v>3333.33</v>
      </c>
      <c r="DS225" s="748"/>
      <c r="DT225" s="30">
        <f t="shared" si="222"/>
        <v>3333.33</v>
      </c>
      <c r="DU225" s="257">
        <f>VLOOKUP(A225,'новий кошторис с 01.06'!$A$4:$AI$399,35)*1.2</f>
        <v>3333.3040612319442</v>
      </c>
      <c r="DV225" s="30">
        <f t="shared" si="223"/>
        <v>2.5938768055766559E-2</v>
      </c>
      <c r="DW225" s="930">
        <f>'[5]побудинковий звіт'!DW225+'[6]побудинковий звіт'!DW225</f>
        <v>204</v>
      </c>
      <c r="DY225" s="5">
        <f t="shared" si="227"/>
        <v>11612.788902249562</v>
      </c>
      <c r="DZ225" s="5">
        <f t="shared" si="228"/>
        <v>0</v>
      </c>
      <c r="EA225" s="752">
        <f t="shared" si="229"/>
        <v>1288.1000000000004</v>
      </c>
      <c r="EC225" s="592">
        <f t="shared" si="230"/>
        <v>99088.313517766452</v>
      </c>
      <c r="EE225" s="758">
        <v>-516</v>
      </c>
      <c r="EF225" s="738">
        <f t="shared" si="231"/>
        <v>-3926.6661264579889</v>
      </c>
      <c r="EH225" s="813">
        <v>-9826.8197113048991</v>
      </c>
    </row>
    <row r="226" spans="1:138" x14ac:dyDescent="0.3">
      <c r="A226" s="328">
        <v>150001042</v>
      </c>
      <c r="B226" s="44" t="s">
        <v>677</v>
      </c>
      <c r="C226" s="45" t="s">
        <v>181</v>
      </c>
      <c r="D226" s="45" t="s">
        <v>181</v>
      </c>
      <c r="E226" s="40">
        <f t="shared" si="232"/>
        <v>6615</v>
      </c>
      <c r="F226" s="490">
        <v>6615</v>
      </c>
      <c r="G226" s="30"/>
      <c r="H226" s="30">
        <v>0</v>
      </c>
      <c r="I226" s="42">
        <f>'[1]побудинковий звіт'!I226+'[2]побудинковий звіт'!I226-'[3]побудинковий звіт'!I226</f>
        <v>2235.0703192830802</v>
      </c>
      <c r="J226" s="42">
        <f>'[1]побудинковий звіт'!J226+'[2]побудинковий звіт'!J226-'[3]побудинковий звіт'!J226</f>
        <v>2198.5070772361864</v>
      </c>
      <c r="K226" s="56">
        <f t="shared" si="238"/>
        <v>-36.56324204689372</v>
      </c>
      <c r="L226" s="42">
        <f>'[1]побудинковий звіт'!L226+'[2]побудинковий звіт'!L226-'[3]побудинковий звіт'!L226</f>
        <v>416.6236907361864</v>
      </c>
      <c r="M226" s="42">
        <f>'[1]побудинковий звіт'!M226+'[2]побудинковий звіт'!M226-'[3]побудинковий звіт'!M226</f>
        <v>420.35333786014917</v>
      </c>
      <c r="N226" s="56">
        <f t="shared" si="239"/>
        <v>3.7296471239627635</v>
      </c>
      <c r="O226" s="42">
        <f>'[1]побудинковий звіт'!O226+'[2]побудинковий звіт'!O226-'[3]побудинковий звіт'!O226</f>
        <v>617.04</v>
      </c>
      <c r="P226" s="42">
        <f>'[1]побудинковий звіт'!P226+'[2]побудинковий звіт'!P226-'[3]побудинковий звіт'!P226</f>
        <v>617.15999999999985</v>
      </c>
      <c r="Q226" s="56">
        <f t="shared" si="240"/>
        <v>0.11999999999989086</v>
      </c>
      <c r="R226" s="42">
        <f>'[1]побудинковий звіт'!R226+'[2]побудинковий звіт'!R226-'[3]побудинковий звіт'!R226</f>
        <v>0</v>
      </c>
      <c r="S226" s="42">
        <f>'[1]побудинковий звіт'!S226+'[2]побудинковий звіт'!S226-'[3]побудинковий звіт'!S226</f>
        <v>0</v>
      </c>
      <c r="T226" s="56">
        <f t="shared" si="241"/>
        <v>0</v>
      </c>
      <c r="U226" s="42">
        <f>'[1]побудинковий звіт'!U226+'[2]побудинковий звіт'!U226-'[3]побудинковий звіт'!U226</f>
        <v>0</v>
      </c>
      <c r="V226" s="42">
        <f>'[1]побудинковий звіт'!V226+'[2]побудинковий звіт'!V226-'[3]побудинковий звіт'!V226</f>
        <v>0</v>
      </c>
      <c r="W226" s="56">
        <f t="shared" si="242"/>
        <v>0</v>
      </c>
      <c r="X226" s="42">
        <f>'[1]побудинковий звіт'!X226+'[2]побудинковий звіт'!X226-'[3]побудинковий звіт'!X226</f>
        <v>1186.6969131526546</v>
      </c>
      <c r="Y226" s="42">
        <f>'[1]побудинковий звіт'!Y226+'[2]побудинковий звіт'!Y226-'[3]побудинковий звіт'!Y226</f>
        <v>889.2116169026657</v>
      </c>
      <c r="Z226" s="56">
        <f t="shared" si="243"/>
        <v>-297.48529624998889</v>
      </c>
      <c r="AA226" s="42">
        <f>'[1]побудинковий звіт'!AA226+'[2]побудинковий звіт'!AA226-'[3]побудинковий звіт'!AA226</f>
        <v>0</v>
      </c>
      <c r="AB226" s="42">
        <f>'[1]побудинковий звіт'!AB226+'[2]побудинковий звіт'!AB226-'[3]побудинковий звіт'!AB226</f>
        <v>0</v>
      </c>
      <c r="AC226" s="56">
        <f t="shared" si="244"/>
        <v>0</v>
      </c>
      <c r="AD226" s="42">
        <f>'[1]побудинковий звіт'!AD226+'[2]побудинковий звіт'!AD226-'[3]побудинковий звіт'!AD226</f>
        <v>1826.2076478314382</v>
      </c>
      <c r="AE226" s="42">
        <f>'[1]побудинковий звіт'!AE226+'[2]побудинковий звіт'!AE226-'[3]побудинковий звіт'!AE226</f>
        <v>1683.2034246351463</v>
      </c>
      <c r="AF226" s="37">
        <f t="shared" si="245"/>
        <v>-143.00422319629183</v>
      </c>
      <c r="AG226" s="87">
        <f t="shared" si="235"/>
        <v>6281.6385710033592</v>
      </c>
      <c r="AH226" s="57">
        <f t="shared" si="235"/>
        <v>5808.4354566341481</v>
      </c>
      <c r="AI226" s="56">
        <f t="shared" si="246"/>
        <v>-473.20311436921111</v>
      </c>
      <c r="AJ226" s="42">
        <f>'[1]побудинковий звіт'!AJ226+'[2]побудинковий звіт'!AJ226-'[3]побудинковий звіт'!AJ226</f>
        <v>0</v>
      </c>
      <c r="AK226" s="42">
        <f>'[1]побудинковий звіт'!AK226+'[2]побудинковий звіт'!AK226-'[3]побудинковий звіт'!AK226</f>
        <v>0</v>
      </c>
      <c r="AL226" s="56">
        <f t="shared" si="247"/>
        <v>0</v>
      </c>
      <c r="AM226" s="42">
        <f>'[1]побудинковий звіт'!AM226+'[2]побудинковий звіт'!AM226-'[3]побудинковий звіт'!AM226</f>
        <v>0</v>
      </c>
      <c r="AN226" s="42">
        <f>'[1]побудинковий звіт'!AN226+'[2]побудинковий звіт'!AN226-'[3]побудинковий звіт'!AN226</f>
        <v>0</v>
      </c>
      <c r="AO226" s="56">
        <f t="shared" si="248"/>
        <v>0</v>
      </c>
      <c r="AP226" s="42">
        <f>'[1]побудинковий звіт'!AP226+'[2]побудинковий звіт'!AP226-'[3]побудинковий звіт'!AP226</f>
        <v>1136.4211714723797</v>
      </c>
      <c r="AQ226" s="42">
        <f>'[1]побудинковий звіт'!AQ226+'[2]побудинковий звіт'!AQ226-'[3]побудинковий звіт'!AQ226</f>
        <v>1540.497707248318</v>
      </c>
      <c r="AR226" s="56">
        <f t="shared" si="249"/>
        <v>404.07653577593828</v>
      </c>
      <c r="AS226" s="42">
        <f>'[1]побудинковий звіт'!AS226+'[2]побудинковий звіт'!AS226-'[3]побудинковий звіт'!AS226</f>
        <v>4947.2418703101212</v>
      </c>
      <c r="AT226" s="42">
        <f>'[1]побудинковий звіт'!AT226+'[2]побудинковий звіт'!AT226-'[3]побудинковий звіт'!AT226</f>
        <v>0</v>
      </c>
      <c r="AU226" s="58">
        <f t="shared" si="266"/>
        <v>-4947.2418703101212</v>
      </c>
      <c r="AV226" s="42">
        <f>'[1]побудинковий звіт'!AV226+'[2]побудинковий звіт'!AV226-'[3]побудинковий звіт'!AV226</f>
        <v>431.76439172274848</v>
      </c>
      <c r="AW226" s="42">
        <f>'[1]побудинковий звіт'!AW226+'[2]побудинковий звіт'!AW226-'[3]побудинковий звіт'!AW226</f>
        <v>0</v>
      </c>
      <c r="AX226" s="59">
        <f t="shared" si="267"/>
        <v>-431.76439172274848</v>
      </c>
      <c r="AY226" s="42">
        <f>'[1]побудинковий звіт'!AY226+'[2]побудинковий звіт'!AY226-'[3]побудинковий звіт'!AY226</f>
        <v>537.05955931773622</v>
      </c>
      <c r="AZ226" s="42">
        <f>'[1]побудинковий звіт'!AZ226+'[2]побудинковий звіт'!AZ226-'[3]побудинковий звіт'!AZ226</f>
        <v>0</v>
      </c>
      <c r="BA226" s="37">
        <f t="shared" si="268"/>
        <v>-537.05955931773622</v>
      </c>
      <c r="BB226" s="42">
        <f>'[1]побудинковий звіт'!BB226+'[2]побудинковий звіт'!BB226-'[3]побудинковий звіт'!BB226</f>
        <v>283.66741716210674</v>
      </c>
      <c r="BC226" s="42">
        <f>'[1]побудинковий звіт'!BC226+'[2]побудинковий звіт'!BC226-'[3]побудинковий звіт'!BC226</f>
        <v>0</v>
      </c>
      <c r="BD226" s="59">
        <f t="shared" si="269"/>
        <v>-283.66741716210674</v>
      </c>
      <c r="BE226" s="42">
        <f>'[1]побудинковий звіт'!BE226+'[2]побудинковий звіт'!BE226-'[3]побудинковий звіт'!BE226</f>
        <v>0</v>
      </c>
      <c r="BF226" s="42">
        <f>'[1]побудинковий звіт'!BF226+'[2]побудинковий звіт'!BF226-'[3]побудинковий звіт'!BF226</f>
        <v>0</v>
      </c>
      <c r="BG226" s="39">
        <f t="shared" si="270"/>
        <v>0</v>
      </c>
      <c r="BH226" s="42">
        <f>'[1]побудинковий звіт'!BH226+'[2]побудинковий звіт'!BH226-'[3]побудинковий звіт'!BH226</f>
        <v>0</v>
      </c>
      <c r="BI226" s="42">
        <f>'[1]побудинковий звіт'!BI226+'[2]побудинковий звіт'!BI226-'[3]побудинковий звіт'!BI226</f>
        <v>0</v>
      </c>
      <c r="BJ226" s="59">
        <f t="shared" si="271"/>
        <v>0</v>
      </c>
      <c r="BK226" s="42">
        <f>'[1]побудинковий звіт'!BK226+'[2]побудинковий звіт'!BK226-'[3]побудинковий звіт'!BK226</f>
        <v>118.62766249183653</v>
      </c>
      <c r="BL226" s="42">
        <f>'[1]побудинковий звіт'!BL226+'[2]побудинковий звіт'!BL226-'[3]побудинковий звіт'!BL226</f>
        <v>0</v>
      </c>
      <c r="BM226" s="39">
        <f t="shared" si="272"/>
        <v>-118.62766249183653</v>
      </c>
      <c r="BN226" s="42">
        <f>'[1]побудинковий звіт'!BN226+'[2]побудинковий звіт'!BN226-'[3]побудинковий звіт'!BN226</f>
        <v>0</v>
      </c>
      <c r="BO226" s="42">
        <f>'[1]побудинковий звіт'!BO226+'[2]побудинковий звіт'!BO226-'[3]побудинковий звіт'!BO226</f>
        <v>0</v>
      </c>
      <c r="BP226" s="59">
        <f t="shared" si="273"/>
        <v>0</v>
      </c>
      <c r="BQ226" s="87">
        <f t="shared" si="233"/>
        <v>1371.1190306944277</v>
      </c>
      <c r="BR226" s="43">
        <f t="shared" si="234"/>
        <v>0</v>
      </c>
      <c r="BS226" s="59">
        <f t="shared" si="274"/>
        <v>-1371.1190306944277</v>
      </c>
      <c r="BT226" s="42">
        <f>'[1]побудинковий звіт'!BT226+'[2]побудинковий звіт'!BT226-'[3]побудинковий звіт'!BT226</f>
        <v>6378.8014678327081</v>
      </c>
      <c r="BU226" s="42">
        <f>'[1]побудинковий звіт'!BU226+'[2]побудинковий звіт'!BU226-'[3]побудинковий звіт'!BU226</f>
        <v>9305.7526537401318</v>
      </c>
      <c r="BV226" s="56">
        <f t="shared" si="250"/>
        <v>2926.9511859074237</v>
      </c>
      <c r="BW226" s="42">
        <f>'[1]побудинковий звіт'!BW226+'[2]побудинковий звіт'!BW226-'[3]побудинковий звіт'!BW226</f>
        <v>4606.0840837394617</v>
      </c>
      <c r="BX226" s="42">
        <f>'[1]побудинковий звіт'!BX226+'[2]побудинковий звіт'!BX226-'[3]побудинковий звіт'!BX226</f>
        <v>4768.1767718516012</v>
      </c>
      <c r="BY226" s="56">
        <f t="shared" si="251"/>
        <v>162.09268811213951</v>
      </c>
      <c r="BZ226" s="42">
        <f>'[1]побудинковий звіт'!BZ226+'[2]побудинковий звіт'!BZ226-'[3]побудинковий звіт'!BZ226</f>
        <v>1601.4672386300203</v>
      </c>
      <c r="CA226" s="42">
        <f>'[1]побудинковий звіт'!CA226+'[2]побудинковий звіт'!CA226-'[3]побудинковий звіт'!CA226</f>
        <v>4485.4859285072307</v>
      </c>
      <c r="CB226" s="56">
        <f t="shared" si="252"/>
        <v>2884.0186898772104</v>
      </c>
      <c r="CC226" s="42">
        <f>'[1]побудинковий звіт'!CC226+'[2]побудинковий звіт'!CC226-'[3]побудинковий звіт'!CC226</f>
        <v>0</v>
      </c>
      <c r="CD226" s="42">
        <f>'[1]побудинковий звіт'!CD226+'[2]побудинковий звіт'!CD226-'[3]побудинковий звіт'!CD226</f>
        <v>0</v>
      </c>
      <c r="CE226" s="56">
        <f t="shared" si="253"/>
        <v>0</v>
      </c>
      <c r="CF226" s="42">
        <f>'[1]побудинковий звіт'!CF226+'[2]побудинковий звіт'!CF226-'[3]побудинковий звіт'!CF226</f>
        <v>0</v>
      </c>
      <c r="CG226" s="42">
        <f>'[1]побудинковий звіт'!CG226+'[2]побудинковий звіт'!CG226-'[3]побудинковий звіт'!CG226</f>
        <v>0</v>
      </c>
      <c r="CH226" s="56">
        <f t="shared" si="254"/>
        <v>0</v>
      </c>
      <c r="CI226" s="42">
        <f>'[1]побудинковий звіт'!CI226+'[2]побудинковий звіт'!CI226-'[3]побудинковий звіт'!CI226</f>
        <v>1048.1814099227595</v>
      </c>
      <c r="CJ226" s="42">
        <f>'[1]побудинковий звіт'!CJ226+'[2]побудинковий звіт'!CJ226-'[3]побудинковий звіт'!CJ226</f>
        <v>70.807453846335449</v>
      </c>
      <c r="CK226" s="56">
        <f t="shared" si="255"/>
        <v>-977.37395607642407</v>
      </c>
      <c r="CL226" s="42">
        <f>'[1]побудинковий звіт'!CL226+'[2]побудинковий звіт'!CL226-'[3]побудинковий звіт'!CL226</f>
        <v>0</v>
      </c>
      <c r="CM226" s="42">
        <f>'[1]побудинковий звіт'!CM226+'[2]побудинковий звіт'!CM226-'[3]побудинковий звіт'!CM226</f>
        <v>0</v>
      </c>
      <c r="CN226" s="56">
        <f t="shared" si="256"/>
        <v>0</v>
      </c>
      <c r="CO226" s="42">
        <f t="shared" si="236"/>
        <v>1048.1814099227595</v>
      </c>
      <c r="CP226" s="43">
        <f t="shared" si="257"/>
        <v>70.807453846335449</v>
      </c>
      <c r="CQ226" s="56">
        <f t="shared" si="258"/>
        <v>-977.37395607642407</v>
      </c>
      <c r="CR226" s="78">
        <f t="shared" si="237"/>
        <v>27370.954843605236</v>
      </c>
      <c r="CS226" s="5">
        <f t="shared" si="237"/>
        <v>25979.155971827768</v>
      </c>
      <c r="CT226" s="56">
        <f t="shared" si="259"/>
        <v>-1391.7988717774679</v>
      </c>
      <c r="CU226" s="87">
        <f t="shared" si="260"/>
        <v>32845.145812326278</v>
      </c>
      <c r="CV226" s="70">
        <f t="shared" si="261"/>
        <v>31174.987166193321</v>
      </c>
      <c r="CW226" s="37">
        <f t="shared" si="262"/>
        <v>-1670.1586461329571</v>
      </c>
      <c r="CX226" s="42">
        <f>'[1]побудинковий звіт'!CX226+'[2]побудинковий звіт'!CX226-'[3]побудинковий звіт'!CX226</f>
        <v>0.29418767370407295</v>
      </c>
      <c r="CY226" s="42">
        <f>'[1]побудинковий звіт'!CY226+'[2]побудинковий звіт'!CY226-'[3]побудинковий звіт'!CY226</f>
        <v>1670.4528338066821</v>
      </c>
      <c r="CZ226" s="56">
        <f t="shared" si="263"/>
        <v>1670.158646132978</v>
      </c>
      <c r="DA226" s="264">
        <f>'[4]побудинковий звіт'!DA226</f>
        <v>86874.695784060576</v>
      </c>
      <c r="DB226" s="2">
        <v>2</v>
      </c>
      <c r="DC226" s="717">
        <f>'[4]побудинковий звіт'!DC226</f>
        <v>17436.650000000001</v>
      </c>
      <c r="DD226" s="717">
        <f>'[4]побудинковий звіт'!DD226</f>
        <v>0</v>
      </c>
      <c r="DE226" s="717">
        <f>'[4]побудинковий звіт'!DE226</f>
        <v>14699.530000000002</v>
      </c>
      <c r="DF226" s="717">
        <f>'[4]побудинковий звіт'!DF226</f>
        <v>0</v>
      </c>
      <c r="DG226" s="787">
        <v>89268.035260712219</v>
      </c>
      <c r="DH226" s="761">
        <f t="shared" si="226"/>
        <v>394145.2799999998</v>
      </c>
      <c r="DI226" s="784"/>
      <c r="DJ226" s="5"/>
      <c r="DK226" s="317">
        <f>VLOOKUP($A226,ціни!$A$4:$G$401,5)</f>
        <v>6.4085588488890757</v>
      </c>
      <c r="DL226" s="317"/>
      <c r="DM226" s="317">
        <f>VLOOKUP($A226,ціни!$A$4:$G$401,7)</f>
        <v>5.3301031982827869</v>
      </c>
      <c r="DN226" s="30">
        <f t="shared" si="264"/>
        <v>42392.616785401238</v>
      </c>
      <c r="DO226" s="30">
        <f t="shared" si="265"/>
        <v>0</v>
      </c>
      <c r="DP226" s="316">
        <f t="shared" si="221"/>
        <v>42392.616785401238</v>
      </c>
      <c r="DQ226" s="104"/>
      <c r="DR226" s="30">
        <f>VLOOKUP(A226,'ДЗ нас '!$A$1:$C$359,2)</f>
        <v>2737.12</v>
      </c>
      <c r="DS226" s="748"/>
      <c r="DT226" s="30">
        <f t="shared" si="222"/>
        <v>2737.12</v>
      </c>
      <c r="DU226" s="257">
        <f>VLOOKUP(A226,'новий кошторис с 01.06'!$A$4:$AI$399,35)*1.2</f>
        <v>2737.0954843605246</v>
      </c>
      <c r="DV226" s="30">
        <f t="shared" si="223"/>
        <v>2.4515639475339412E-2</v>
      </c>
      <c r="DW226" s="930">
        <f>'[5]побудинковий звіт'!DW226+'[6]побудинковий звіт'!DW226</f>
        <v>0</v>
      </c>
      <c r="DY226" s="5">
        <f t="shared" si="227"/>
        <v>7582.033081205459</v>
      </c>
      <c r="DZ226" s="5">
        <f t="shared" si="228"/>
        <v>0</v>
      </c>
      <c r="EA226" s="752">
        <f t="shared" si="229"/>
        <v>14699.530000000002</v>
      </c>
      <c r="EC226" s="592">
        <f t="shared" si="230"/>
        <v>59366.902443721454</v>
      </c>
      <c r="EE226" s="758">
        <v>-4913</v>
      </c>
      <c r="EF226" s="738">
        <f t="shared" si="231"/>
        <v>84355.035260712219</v>
      </c>
      <c r="EH226" s="813">
        <v>89090.526635446135</v>
      </c>
    </row>
    <row r="227" spans="1:138" x14ac:dyDescent="0.3">
      <c r="A227" s="328">
        <v>150001043</v>
      </c>
      <c r="B227" s="44" t="s">
        <v>678</v>
      </c>
      <c r="C227" s="45" t="s">
        <v>217</v>
      </c>
      <c r="D227" s="45" t="s">
        <v>217</v>
      </c>
      <c r="E227" s="40">
        <f t="shared" si="232"/>
        <v>9392.7999999999993</v>
      </c>
      <c r="F227" s="490">
        <v>9392.7999999999993</v>
      </c>
      <c r="G227" s="30"/>
      <c r="H227" s="30">
        <v>0</v>
      </c>
      <c r="I227" s="42">
        <f>'[1]побудинковий звіт'!I227+'[2]побудинковий звіт'!I227-'[3]побудинковий звіт'!I227</f>
        <v>4668.105091719066</v>
      </c>
      <c r="J227" s="42">
        <f>'[1]побудинковий звіт'!J227+'[2]побудинковий звіт'!J227-'[3]побудинковий звіт'!J227</f>
        <v>4644.1019080136894</v>
      </c>
      <c r="K227" s="56">
        <f t="shared" si="238"/>
        <v>-24.003183705376614</v>
      </c>
      <c r="L227" s="42">
        <f>'[1]побудинковий звіт'!L227+'[2]побудинковий звіт'!L227-'[3]побудинковий звіт'!L227</f>
        <v>911.35887063452697</v>
      </c>
      <c r="M227" s="42">
        <f>'[1]побудинковий звіт'!M227+'[2]побудинковий звіт'!M227-'[3]побудинковий звіт'!M227</f>
        <v>919.52292656907628</v>
      </c>
      <c r="N227" s="56">
        <f t="shared" si="239"/>
        <v>8.1640559345493102</v>
      </c>
      <c r="O227" s="42">
        <f>'[1]побудинковий звіт'!O227+'[2]побудинковий звіт'!O227-'[3]побудинковий звіт'!O227</f>
        <v>1918.3200000000008</v>
      </c>
      <c r="P227" s="42">
        <f>'[1]побудинковий звіт'!P227+'[2]побудинковий звіт'!P227-'[3]побудинковий звіт'!P227</f>
        <v>1507.7899634408604</v>
      </c>
      <c r="Q227" s="56">
        <f t="shared" si="240"/>
        <v>-410.5300365591404</v>
      </c>
      <c r="R227" s="42">
        <f>'[1]побудинковий звіт'!R227+'[2]побудинковий звіт'!R227-'[3]побудинковий звіт'!R227</f>
        <v>0</v>
      </c>
      <c r="S227" s="42">
        <f>'[1]побудинковий звіт'!S227+'[2]побудинковий звіт'!S227-'[3]побудинковий звіт'!S227</f>
        <v>0</v>
      </c>
      <c r="T227" s="56">
        <f t="shared" si="241"/>
        <v>0</v>
      </c>
      <c r="U227" s="42">
        <f>'[1]побудинковий звіт'!U227+'[2]побудинковий звіт'!U227-'[3]побудинковий звіт'!U227</f>
        <v>0</v>
      </c>
      <c r="V227" s="42">
        <f>'[1]побудинковий звіт'!V227+'[2]побудинковий звіт'!V227-'[3]побудинковий звіт'!V227</f>
        <v>0</v>
      </c>
      <c r="W227" s="56">
        <f t="shared" si="242"/>
        <v>0</v>
      </c>
      <c r="X227" s="42">
        <f>'[1]побудинковий звіт'!X227+'[2]побудинковий звіт'!X227-'[3]побудинковий звіт'!X227</f>
        <v>2897.8594680696533</v>
      </c>
      <c r="Y227" s="42">
        <f>'[1]побудинковий звіт'!Y227+'[2]побудинковий звіт'!Y227-'[3]побудинковий звіт'!Y227</f>
        <v>2132.9463367588073</v>
      </c>
      <c r="Z227" s="56">
        <f t="shared" si="243"/>
        <v>-764.91313131084598</v>
      </c>
      <c r="AA227" s="42">
        <f>'[1]побудинковий звіт'!AA227+'[2]побудинковий звіт'!AA227-'[3]побудинковий звіт'!AA227</f>
        <v>0</v>
      </c>
      <c r="AB227" s="42">
        <f>'[1]побудинковий звіт'!AB227+'[2]побудинковий звіт'!AB227-'[3]побудинковий звіт'!AB227</f>
        <v>0</v>
      </c>
      <c r="AC227" s="56">
        <f t="shared" si="244"/>
        <v>0</v>
      </c>
      <c r="AD227" s="42">
        <f>'[1]побудинковий звіт'!AD227+'[2]побудинковий звіт'!AD227-'[3]побудинковий звіт'!AD227</f>
        <v>5482.0436087208791</v>
      </c>
      <c r="AE227" s="42">
        <f>'[1]побудинковий звіт'!AE227+'[2]побудинковий звіт'!AE227-'[3]побудинковий звіт'!AE227</f>
        <v>5052.7630782597071</v>
      </c>
      <c r="AF227" s="37">
        <f t="shared" si="245"/>
        <v>-429.28053046117202</v>
      </c>
      <c r="AG227" s="87">
        <f t="shared" si="235"/>
        <v>15877.687039144126</v>
      </c>
      <c r="AH227" s="57">
        <f t="shared" si="235"/>
        <v>14257.124213042141</v>
      </c>
      <c r="AI227" s="56">
        <f t="shared" si="246"/>
        <v>-1620.5628261019847</v>
      </c>
      <c r="AJ227" s="42">
        <f>'[1]побудинковий звіт'!AJ227+'[2]побудинковий звіт'!AJ227-'[3]побудинковий звіт'!AJ227</f>
        <v>0</v>
      </c>
      <c r="AK227" s="42">
        <f>'[1]побудинковий звіт'!AK227+'[2]побудинковий звіт'!AK227-'[3]побудинковий звіт'!AK227</f>
        <v>0</v>
      </c>
      <c r="AL227" s="56">
        <f t="shared" si="247"/>
        <v>0</v>
      </c>
      <c r="AM227" s="42">
        <f>'[1]побудинковий звіт'!AM227+'[2]побудинковий звіт'!AM227-'[3]побудинковий звіт'!AM227</f>
        <v>0</v>
      </c>
      <c r="AN227" s="42">
        <f>'[1]побудинковий звіт'!AN227+'[2]побудинковий звіт'!AN227-'[3]побудинковий звіт'!AN227</f>
        <v>0</v>
      </c>
      <c r="AO227" s="56">
        <f t="shared" si="248"/>
        <v>0</v>
      </c>
      <c r="AP227" s="42">
        <f>'[1]побудинковий звіт'!AP227+'[2]побудинковий звіт'!AP227-'[3]побудинковий звіт'!AP227</f>
        <v>3125.1582215490439</v>
      </c>
      <c r="AQ227" s="42">
        <f>'[1]побудинковий звіт'!AQ227+'[2]побудинковий звіт'!AQ227-'[3]побудинковий звіт'!AQ227</f>
        <v>4063.8665966630356</v>
      </c>
      <c r="AR227" s="56">
        <f t="shared" si="249"/>
        <v>938.70837511399168</v>
      </c>
      <c r="AS227" s="42">
        <f>'[1]побудинковий звіт'!AS227+'[2]побудинковий звіт'!AS227-'[3]побудинковий звіт'!AS227</f>
        <v>12135.48709974452</v>
      </c>
      <c r="AT227" s="42">
        <f>'[1]побудинковий звіт'!AT227+'[2]побудинковий звіт'!AT227-'[3]побудинковий звіт'!AT227</f>
        <v>3443</v>
      </c>
      <c r="AU227" s="58">
        <f t="shared" si="266"/>
        <v>-8692.4870997445196</v>
      </c>
      <c r="AV227" s="42">
        <f>'[1]побудинковий звіт'!AV227+'[2]побудинковий звіт'!AV227-'[3]побудинковий звіт'!AV227</f>
        <v>829.54551827760827</v>
      </c>
      <c r="AW227" s="42">
        <f>'[1]побудинковий звіт'!AW227+'[2]побудинковий звіт'!AW227-'[3]побудинковий звіт'!AW227</f>
        <v>914</v>
      </c>
      <c r="AX227" s="59">
        <f t="shared" si="267"/>
        <v>84.454481722391733</v>
      </c>
      <c r="AY227" s="42">
        <f>'[1]побудинковий звіт'!AY227+'[2]побудинковий звіт'!AY227-'[3]побудинковий звіт'!AY227</f>
        <v>1174.5740094673354</v>
      </c>
      <c r="AZ227" s="42">
        <f>'[1]побудинковий звіт'!AZ227+'[2]побудинковий звіт'!AZ227-'[3]побудинковий звіт'!AZ227</f>
        <v>0</v>
      </c>
      <c r="BA227" s="37">
        <f t="shared" si="268"/>
        <v>-1174.5740094673354</v>
      </c>
      <c r="BB227" s="42">
        <f>'[1]побудинковий звіт'!BB227+'[2]побудинковий звіт'!BB227-'[3]побудинковий звіт'!BB227</f>
        <v>869.50420069008499</v>
      </c>
      <c r="BC227" s="42">
        <f>'[1]побудинковий звіт'!BC227+'[2]побудинковий звіт'!BC227-'[3]побудинковий звіт'!BC227</f>
        <v>610</v>
      </c>
      <c r="BD227" s="59">
        <f t="shared" si="269"/>
        <v>-259.50420069008499</v>
      </c>
      <c r="BE227" s="42">
        <f>'[1]побудинковий звіт'!BE227+'[2]побудинковий звіт'!BE227-'[3]побудинковий звіт'!BE227</f>
        <v>0</v>
      </c>
      <c r="BF227" s="42">
        <f>'[1]побудинковий звіт'!BF227+'[2]побудинковий звіт'!BF227-'[3]побудинковий звіт'!BF227</f>
        <v>0</v>
      </c>
      <c r="BG227" s="39">
        <f t="shared" si="270"/>
        <v>0</v>
      </c>
      <c r="BH227" s="42">
        <f>'[1]побудинковий звіт'!BH227+'[2]побудинковий звіт'!BH227-'[3]побудинковий звіт'!BH227</f>
        <v>0</v>
      </c>
      <c r="BI227" s="42">
        <f>'[1]побудинковий звіт'!BI227+'[2]побудинковий звіт'!BI227-'[3]побудинковий звіт'!BI227</f>
        <v>740.44140585755144</v>
      </c>
      <c r="BJ227" s="59">
        <f t="shared" si="271"/>
        <v>740.44140585755144</v>
      </c>
      <c r="BK227" s="42">
        <f>'[1]побудинковий звіт'!BK227+'[2]побудинковий звіт'!BK227-'[3]побудинковий звіт'!BK227</f>
        <v>349.45249236472927</v>
      </c>
      <c r="BL227" s="42">
        <f>'[1]побудинковий звіт'!BL227+'[2]побудинковий звіт'!BL227-'[3]побудинковий звіт'!BL227</f>
        <v>0</v>
      </c>
      <c r="BM227" s="39">
        <f t="shared" si="272"/>
        <v>-349.45249236472927</v>
      </c>
      <c r="BN227" s="42">
        <f>'[1]побудинковий звіт'!BN227+'[2]побудинковий звіт'!BN227-'[3]побудинковий звіт'!BN227</f>
        <v>0</v>
      </c>
      <c r="BO227" s="42">
        <f>'[1]побудинковий звіт'!BO227+'[2]побудинковий звіт'!BO227-'[3]побудинковий звіт'!BO227</f>
        <v>0</v>
      </c>
      <c r="BP227" s="59">
        <f t="shared" si="273"/>
        <v>0</v>
      </c>
      <c r="BQ227" s="87">
        <f t="shared" si="233"/>
        <v>3223.0762207997577</v>
      </c>
      <c r="BR227" s="43">
        <f t="shared" si="234"/>
        <v>2264.4414058575512</v>
      </c>
      <c r="BS227" s="59">
        <f t="shared" si="274"/>
        <v>-958.6348149422065</v>
      </c>
      <c r="BT227" s="42">
        <f>'[1]побудинковий звіт'!BT227+'[2]побудинковий звіт'!BT227-'[3]побудинковий звіт'!BT227</f>
        <v>19664.754060682972</v>
      </c>
      <c r="BU227" s="42">
        <f>'[1]побудинковий звіт'!BU227+'[2]побудинковий звіт'!BU227-'[3]побудинковий звіт'!BU227</f>
        <v>26687.392939094414</v>
      </c>
      <c r="BV227" s="56">
        <f t="shared" si="250"/>
        <v>7022.6388784114424</v>
      </c>
      <c r="BW227" s="42">
        <f>'[1]побудинковий звіт'!BW227+'[2]побудинковий звіт'!BW227-'[3]побудинковий звіт'!BW227</f>
        <v>7408.9623210196387</v>
      </c>
      <c r="BX227" s="42">
        <f>'[1]побудинковий звіт'!BX227+'[2]побудинковий звіт'!BX227-'[3]побудинковий звіт'!BX227</f>
        <v>7888.73904634875</v>
      </c>
      <c r="BY227" s="56">
        <f t="shared" si="251"/>
        <v>479.77672532911129</v>
      </c>
      <c r="BZ227" s="42">
        <f>'[1]побудинковий звіт'!BZ227+'[2]побудинковий звіт'!BZ227-'[3]побудинковий звіт'!BZ227</f>
        <v>7858.0921337957734</v>
      </c>
      <c r="CA227" s="42">
        <f>'[1]побудинковий звіт'!CA227+'[2]побудинковий звіт'!CA227-'[3]побудинковий звіт'!CA227</f>
        <v>5950.1960289557719</v>
      </c>
      <c r="CB227" s="56">
        <f t="shared" si="252"/>
        <v>-1907.8961048400015</v>
      </c>
      <c r="CC227" s="42">
        <f>'[1]побудинковий звіт'!CC227+'[2]побудинковий звіт'!CC227-'[3]побудинковий звіт'!CC227</f>
        <v>895.63357972864355</v>
      </c>
      <c r="CD227" s="42">
        <f>'[1]побудинковий звіт'!CD227+'[2]побудинковий звіт'!CD227-'[3]побудинковий звіт'!CD227</f>
        <v>887.75622918096883</v>
      </c>
      <c r="CE227" s="56">
        <f t="shared" si="253"/>
        <v>-7.8773505476747232</v>
      </c>
      <c r="CF227" s="42">
        <f>'[1]побудинковий звіт'!CF227+'[2]побудинковий звіт'!CF227-'[3]побудинковий звіт'!CF227</f>
        <v>110.25792174689744</v>
      </c>
      <c r="CG227" s="42">
        <f>'[1]побудинковий звіт'!CG227+'[2]побудинковий звіт'!CG227-'[3]побудинковий звіт'!CG227</f>
        <v>0</v>
      </c>
      <c r="CH227" s="56">
        <f t="shared" si="254"/>
        <v>-110.25792174689744</v>
      </c>
      <c r="CI227" s="42">
        <f>'[1]побудинковий звіт'!CI227+'[2]побудинковий звіт'!CI227-'[3]побудинковий звіт'!CI227</f>
        <v>1703.2947911244837</v>
      </c>
      <c r="CJ227" s="42">
        <f>'[1]побудинковий звіт'!CJ227+'[2]побудинковий звіт'!CJ227-'[3]побудинковий звіт'!CJ227</f>
        <v>1396.1860977096621</v>
      </c>
      <c r="CK227" s="56">
        <f t="shared" si="255"/>
        <v>-307.10869341482157</v>
      </c>
      <c r="CL227" s="42">
        <f>'[1]побудинковий звіт'!CL227+'[2]побудинковий звіт'!CL227-'[3]побудинковий звіт'!CL227</f>
        <v>0</v>
      </c>
      <c r="CM227" s="42">
        <f>'[1]побудинковий звіт'!CM227+'[2]побудинковий звіт'!CM227-'[3]побудинковий звіт'!CM227</f>
        <v>0</v>
      </c>
      <c r="CN227" s="56">
        <f t="shared" si="256"/>
        <v>0</v>
      </c>
      <c r="CO227" s="42">
        <f t="shared" si="236"/>
        <v>1703.2947911244837</v>
      </c>
      <c r="CP227" s="43">
        <f t="shared" si="257"/>
        <v>1396.1860977096621</v>
      </c>
      <c r="CQ227" s="56">
        <f t="shared" si="258"/>
        <v>-307.10869341482157</v>
      </c>
      <c r="CR227" s="78">
        <f t="shared" si="237"/>
        <v>72002.403389335872</v>
      </c>
      <c r="CS227" s="5">
        <f t="shared" si="237"/>
        <v>66838.702556852295</v>
      </c>
      <c r="CT227" s="56">
        <f t="shared" si="259"/>
        <v>-5163.700832483577</v>
      </c>
      <c r="CU227" s="87">
        <f t="shared" si="260"/>
        <v>86402.884067203049</v>
      </c>
      <c r="CV227" s="70">
        <f t="shared" si="261"/>
        <v>80206.443068222754</v>
      </c>
      <c r="CW227" s="37">
        <f t="shared" si="262"/>
        <v>-6196.4409989802953</v>
      </c>
      <c r="CX227" s="42">
        <f>'[1]побудинковий звіт'!CX227+'[2]побудинковий звіт'!CX227-'[3]побудинковий звіт'!CX227</f>
        <v>47.535932796972702</v>
      </c>
      <c r="CY227" s="42">
        <f>'[1]побудинковий звіт'!CY227+'[2]побудинковий звіт'!CY227-'[3]побудинковий звіт'!CY227</f>
        <v>6243.9769317772525</v>
      </c>
      <c r="CZ227" s="56">
        <f t="shared" si="263"/>
        <v>6196.4409989802798</v>
      </c>
      <c r="DA227" s="264">
        <f>'[4]побудинковий звіт'!DA227</f>
        <v>77168.780577529324</v>
      </c>
      <c r="DB227" s="2">
        <v>2</v>
      </c>
      <c r="DC227" s="717">
        <f>'[4]побудинковий звіт'!DC227</f>
        <v>14450.06</v>
      </c>
      <c r="DD227" s="717">
        <f>'[4]побудинковий звіт'!DD227</f>
        <v>0</v>
      </c>
      <c r="DE227" s="717">
        <f>'[4]побудинковий звіт'!DE227</f>
        <v>7243.0499999999993</v>
      </c>
      <c r="DF227" s="717">
        <f>'[4]побудинковий звіт'!DF227</f>
        <v>0</v>
      </c>
      <c r="DG227" s="787">
        <v>72526.116958247731</v>
      </c>
      <c r="DH227" s="761">
        <f t="shared" si="226"/>
        <v>1037405.0400000003</v>
      </c>
      <c r="DI227" s="784"/>
      <c r="DJ227" s="5"/>
      <c r="DK227" s="317">
        <f>VLOOKUP($A227,ціни!$A$4:$G$401,5)</f>
        <v>5.615974057354018</v>
      </c>
      <c r="DL227" s="317"/>
      <c r="DM227" s="317">
        <f>VLOOKUP($A227,ціни!$A$4:$G$401,7)</f>
        <v>5.0380969556443516</v>
      </c>
      <c r="DN227" s="30">
        <f t="shared" si="264"/>
        <v>52749.721125914817</v>
      </c>
      <c r="DO227" s="30">
        <f t="shared" si="265"/>
        <v>0</v>
      </c>
      <c r="DP227" s="316">
        <f t="shared" si="221"/>
        <v>52749.721125914817</v>
      </c>
      <c r="DQ227" s="104"/>
      <c r="DR227" s="30">
        <f>VLOOKUP(A227,'ДЗ нас '!$A$1:$C$359,2)</f>
        <v>7207.01</v>
      </c>
      <c r="DS227" s="748"/>
      <c r="DT227" s="30">
        <f t="shared" si="222"/>
        <v>7207.01</v>
      </c>
      <c r="DU227" s="257">
        <f>VLOOKUP(A227,'новий кошторис с 01.06'!$A$4:$AI$399,35)*1.2</f>
        <v>7200.2403389335859</v>
      </c>
      <c r="DV227" s="30">
        <f t="shared" si="223"/>
        <v>6.7696610664143009</v>
      </c>
      <c r="DW227" s="930">
        <f>'[5]побудинковий звіт'!DW227+'[6]побудинковий звіт'!DW227</f>
        <v>204</v>
      </c>
      <c r="DY227" s="5">
        <f t="shared" si="227"/>
        <v>18430.275984653133</v>
      </c>
      <c r="DZ227" s="5">
        <f t="shared" si="228"/>
        <v>6848.9296870290609</v>
      </c>
      <c r="EA227" s="752">
        <f t="shared" si="229"/>
        <v>7243.0499999999993</v>
      </c>
      <c r="EC227" s="592">
        <f t="shared" si="230"/>
        <v>145625.84519693424</v>
      </c>
      <c r="EE227" s="758">
        <v>-19605</v>
      </c>
      <c r="EF227" s="738">
        <f t="shared" si="231"/>
        <v>52921.116958247731</v>
      </c>
      <c r="EH227" s="813">
        <v>82697.610987443259</v>
      </c>
    </row>
    <row r="228" spans="1:138" ht="14.1" customHeight="1" x14ac:dyDescent="0.3">
      <c r="A228" s="328">
        <v>150000672</v>
      </c>
      <c r="B228" s="44"/>
      <c r="C228" s="47" t="s">
        <v>1743</v>
      </c>
      <c r="D228" s="47" t="s">
        <v>1744</v>
      </c>
      <c r="E228" s="40">
        <f t="shared" si="232"/>
        <v>3295.8</v>
      </c>
      <c r="F228" s="490">
        <v>3228.8</v>
      </c>
      <c r="G228" s="30"/>
      <c r="H228" s="30">
        <v>67</v>
      </c>
      <c r="I228" s="42">
        <f>'[1]побудинковий звіт'!I228+'[2]побудинковий звіт'!I228-'[3]побудинковий звіт'!I228</f>
        <v>13074.966284395248</v>
      </c>
      <c r="J228" s="42">
        <f>'[1]побудинковий звіт'!J228+'[2]побудинковий звіт'!J228-'[3]побудинковий звіт'!J228</f>
        <v>13030.907914378555</v>
      </c>
      <c r="K228" s="56">
        <f t="shared" si="238"/>
        <v>-44.058370016693516</v>
      </c>
      <c r="L228" s="42">
        <f>'[1]побудинковий звіт'!L228+'[2]побудинковий звіт'!L228-'[3]побудинковий звіт'!L228</f>
        <v>2577.5516057917689</v>
      </c>
      <c r="M228" s="42">
        <f>'[1]побудинковий звіт'!M228+'[2]побудинковий звіт'!M228-'[3]побудинковий звіт'!M228</f>
        <v>2600.6377316049429</v>
      </c>
      <c r="N228" s="56">
        <f t="shared" si="239"/>
        <v>23.086125813174021</v>
      </c>
      <c r="O228" s="42">
        <f>'[1]побудинковий звіт'!O228+'[2]побудинковий звіт'!O228-'[3]побудинковий звіт'!O228</f>
        <v>4425.96</v>
      </c>
      <c r="P228" s="42">
        <f>'[1]побудинковий звіт'!P228+'[2]побудинковий звіт'!P228-'[3]побудинковий звіт'!P228</f>
        <v>3478.9138188172046</v>
      </c>
      <c r="Q228" s="56">
        <f t="shared" si="240"/>
        <v>-947.04618118279541</v>
      </c>
      <c r="R228" s="42">
        <f>'[1]побудинковий звіт'!R228+'[2]побудинковий звіт'!R228-'[3]побудинковий звіт'!R228</f>
        <v>0</v>
      </c>
      <c r="S228" s="42">
        <f>'[1]побудинковий звіт'!S228+'[2]побудинковий звіт'!S228-'[3]побудинковий звіт'!S228</f>
        <v>0</v>
      </c>
      <c r="T228" s="56">
        <f t="shared" si="241"/>
        <v>0</v>
      </c>
      <c r="U228" s="42">
        <f>'[1]побудинковий звіт'!U228+'[2]побудинковий звіт'!U228-'[3]побудинковий звіт'!U228</f>
        <v>0</v>
      </c>
      <c r="V228" s="42">
        <f>'[1]побудинковий звіт'!V228+'[2]побудинковий звіт'!V228-'[3]побудинковий звіт'!V228</f>
        <v>0</v>
      </c>
      <c r="W228" s="56">
        <f t="shared" si="242"/>
        <v>0</v>
      </c>
      <c r="X228" s="42">
        <f>'[1]побудинковий звіт'!X228+'[2]побудинковий звіт'!X228-'[3]побудинковий звіт'!X228</f>
        <v>7451.4887004477005</v>
      </c>
      <c r="Y228" s="42">
        <f>'[1]побудинковий звіт'!Y228+'[2]побудинковий звіт'!Y228-'[3]побудинковий звіт'!Y228</f>
        <v>5779.8918388643742</v>
      </c>
      <c r="Z228" s="56">
        <f t="shared" si="243"/>
        <v>-1671.5968615833262</v>
      </c>
      <c r="AA228" s="42">
        <f>'[1]побудинковий звіт'!AA228+'[2]побудинковий звіт'!AA228-'[3]побудинковий звіт'!AA228</f>
        <v>0</v>
      </c>
      <c r="AB228" s="42">
        <f>'[1]побудинковий звіт'!AB228+'[2]побудинковий звіт'!AB228-'[3]побудинковий звіт'!AB228</f>
        <v>0</v>
      </c>
      <c r="AC228" s="56">
        <f t="shared" si="244"/>
        <v>0</v>
      </c>
      <c r="AD228" s="42">
        <f>'[1]побудинковий звіт'!AD228+'[2]побудинковий звіт'!AD228-'[3]побудинковий звіт'!AD228</f>
        <v>13573.627202156176</v>
      </c>
      <c r="AE228" s="42">
        <f>'[1]побудинковий звіт'!AE228+'[2]побудинковий звіт'!AE228-'[3]побудинковий звіт'!AE228</f>
        <v>12510.72177828207</v>
      </c>
      <c r="AF228" s="37">
        <f t="shared" si="245"/>
        <v>-1062.9054238741064</v>
      </c>
      <c r="AG228" s="87">
        <f t="shared" si="235"/>
        <v>41103.593792790889</v>
      </c>
      <c r="AH228" s="57">
        <f t="shared" si="235"/>
        <v>37401.07308194715</v>
      </c>
      <c r="AI228" s="56">
        <f t="shared" si="246"/>
        <v>-3702.5207108437389</v>
      </c>
      <c r="AJ228" s="42">
        <f>'[1]побудинковий звіт'!AJ228+'[2]побудинковий звіт'!AJ228-'[3]побудинковий звіт'!AJ228</f>
        <v>0</v>
      </c>
      <c r="AK228" s="42">
        <f>'[1]побудинковий звіт'!AK228+'[2]побудинковий звіт'!AK228-'[3]побудинковий звіт'!AK228</f>
        <v>0</v>
      </c>
      <c r="AL228" s="56">
        <f t="shared" si="247"/>
        <v>0</v>
      </c>
      <c r="AM228" s="42">
        <f>'[1]побудинковий звіт'!AM228+'[2]побудинковий звіт'!AM228-'[3]побудинковий звіт'!AM228</f>
        <v>0</v>
      </c>
      <c r="AN228" s="42">
        <f>'[1]побудинковий звіт'!AN228+'[2]побудинковий звіт'!AN228-'[3]побудинковий звіт'!AN228</f>
        <v>0</v>
      </c>
      <c r="AO228" s="56">
        <f t="shared" si="248"/>
        <v>0</v>
      </c>
      <c r="AP228" s="42">
        <f>'[1]побудинковий звіт'!AP228+'[2]побудинковий звіт'!AP228-'[3]побудинковий звіт'!AP228</f>
        <v>9801.632603949276</v>
      </c>
      <c r="AQ228" s="42">
        <f>'[1]побудинковий звіт'!AQ228+'[2]побудинковий звіт'!AQ228-'[3]побудинковий звіт'!AQ228</f>
        <v>10058.55363527912</v>
      </c>
      <c r="AR228" s="56">
        <f t="shared" si="249"/>
        <v>256.92103132984448</v>
      </c>
      <c r="AS228" s="42">
        <f>'[1]побудинковий звіт'!AS228+'[2]побудинковий звіт'!AS228-'[3]побудинковий звіт'!AS228</f>
        <v>44009.938971672447</v>
      </c>
      <c r="AT228" s="42">
        <f>'[1]побудинковий звіт'!AT228+'[2]побудинковий звіт'!AT228-'[3]побудинковий звіт'!AT228</f>
        <v>6594.295881236947</v>
      </c>
      <c r="AU228" s="58">
        <f t="shared" si="266"/>
        <v>-37415.6430904355</v>
      </c>
      <c r="AV228" s="42">
        <f>'[1]побудинковий звіт'!AV228+'[2]побудинковий звіт'!AV228-'[3]побудинковий звіт'!AV228</f>
        <v>2030.1109963515742</v>
      </c>
      <c r="AW228" s="42">
        <f>'[1]побудинковий звіт'!AW228+'[2]побудинковий звіт'!AW228-'[3]побудинковий звіт'!AW228</f>
        <v>0</v>
      </c>
      <c r="AX228" s="59">
        <f t="shared" si="267"/>
        <v>-2030.1109963515742</v>
      </c>
      <c r="AY228" s="42">
        <f>'[1]побудинковий звіт'!AY228+'[2]побудинковий звіт'!AY228-'[3]побудинковий звіт'!AY228</f>
        <v>3322.1713403248259</v>
      </c>
      <c r="AZ228" s="42">
        <f>'[1]побудинковий звіт'!AZ228+'[2]побудинковий звіт'!AZ228-'[3]побудинковий звіт'!AZ228</f>
        <v>0</v>
      </c>
      <c r="BA228" s="37">
        <f t="shared" si="268"/>
        <v>-3322.1713403248259</v>
      </c>
      <c r="BB228" s="42">
        <f>'[1]побудинковий звіт'!BB228+'[2]побудинковий звіт'!BB228-'[3]побудинковий звіт'!BB228</f>
        <v>2375.0202441269494</v>
      </c>
      <c r="BC228" s="42">
        <f>'[1]побудинковий звіт'!BC228+'[2]побудинковий звіт'!BC228-'[3]побудинковий звіт'!BC228</f>
        <v>743.80445450565026</v>
      </c>
      <c r="BD228" s="59">
        <f t="shared" si="269"/>
        <v>-1631.2157896212991</v>
      </c>
      <c r="BE228" s="42">
        <f>'[1]побудинковий звіт'!BE228+'[2]побудинковий звіт'!BE228-'[3]побудинковий звіт'!BE228</f>
        <v>0</v>
      </c>
      <c r="BF228" s="42">
        <f>'[1]побудинковий звіт'!BF228+'[2]побудинковий звіт'!BF228-'[3]побудинковий звіт'!BF228</f>
        <v>0</v>
      </c>
      <c r="BG228" s="39">
        <f t="shared" si="270"/>
        <v>0</v>
      </c>
      <c r="BH228" s="42">
        <f>'[1]побудинковий звіт'!BH228+'[2]побудинковий звіт'!BH228-'[3]побудинковий звіт'!BH228</f>
        <v>0</v>
      </c>
      <c r="BI228" s="42">
        <f>'[1]побудинковий звіт'!BI228+'[2]побудинковий звіт'!BI228-'[3]побудинковий звіт'!BI228</f>
        <v>0</v>
      </c>
      <c r="BJ228" s="59">
        <f t="shared" si="271"/>
        <v>0</v>
      </c>
      <c r="BK228" s="42">
        <f>'[1]побудинковий звіт'!BK228+'[2]побудинковий звіт'!BK228-'[3]побудинковий звіт'!BK228</f>
        <v>1046.5116144968702</v>
      </c>
      <c r="BL228" s="42">
        <f>'[1]побудинковий звіт'!BL228+'[2]побудинковий звіт'!BL228-'[3]побудинковий звіт'!BL228</f>
        <v>0</v>
      </c>
      <c r="BM228" s="39">
        <f t="shared" si="272"/>
        <v>-1046.5116144968702</v>
      </c>
      <c r="BN228" s="42">
        <f>'[1]побудинковий звіт'!BN228+'[2]побудинковий звіт'!BN228-'[3]побудинковий звіт'!BN228</f>
        <v>1205.3153536334314</v>
      </c>
      <c r="BO228" s="42">
        <f>'[1]побудинковий звіт'!BO228+'[2]побудинковий звіт'!BO228-'[3]побудинковий звіт'!BO228</f>
        <v>0</v>
      </c>
      <c r="BP228" s="59">
        <f t="shared" si="273"/>
        <v>-1205.3153536334314</v>
      </c>
      <c r="BQ228" s="87">
        <f t="shared" si="233"/>
        <v>9979.1295489336517</v>
      </c>
      <c r="BR228" s="43">
        <f t="shared" si="234"/>
        <v>743.80445450565026</v>
      </c>
      <c r="BS228" s="59">
        <f t="shared" si="274"/>
        <v>-9235.3250944280007</v>
      </c>
      <c r="BT228" s="42">
        <f>'[1]побудинковий звіт'!BT228+'[2]побудинковий звіт'!BT228-'[3]побудинковий звіт'!BT228</f>
        <v>20283.910233293362</v>
      </c>
      <c r="BU228" s="42">
        <f>'[1]побудинковий звіт'!BU228+'[2]побудинковий звіт'!BU228-'[3]побудинковий звіт'!BU228</f>
        <v>37142.878183721492</v>
      </c>
      <c r="BV228" s="56">
        <f t="shared" si="250"/>
        <v>16858.96795042813</v>
      </c>
      <c r="BW228" s="42">
        <f>'[1]побудинковий звіт'!BW228+'[2]побудинковий звіт'!BW228-'[3]побудинковий звіт'!BW228</f>
        <v>13584.634958102375</v>
      </c>
      <c r="BX228" s="42">
        <f>'[1]побудинковий звіт'!BX228+'[2]побудинковий звіт'!BX228-'[3]побудинковий звіт'!BX228</f>
        <v>15664.323520150032</v>
      </c>
      <c r="BY228" s="56">
        <f t="shared" si="251"/>
        <v>2079.6885620476569</v>
      </c>
      <c r="BZ228" s="42">
        <f>'[1]побудинковий звіт'!BZ228+'[2]побудинковий звіт'!BZ228-'[3]побудинковий звіт'!BZ228</f>
        <v>8794.4558870345081</v>
      </c>
      <c r="CA228" s="42">
        <f>'[1]побудинковий звіт'!CA228+'[2]побудинковий звіт'!CA228-'[3]побудинковий звіт'!CA228</f>
        <v>6901.2316229772296</v>
      </c>
      <c r="CB228" s="56">
        <f t="shared" si="252"/>
        <v>-1893.2242640572786</v>
      </c>
      <c r="CC228" s="42">
        <f>'[1]побудинковий звіт'!CC228+'[2]побудинковий звіт'!CC228-'[3]побудинковий звіт'!CC228</f>
        <v>1050.0531624404787</v>
      </c>
      <c r="CD228" s="42">
        <f>'[1]побудинковий звіт'!CD228+'[2]побудинковий звіт'!CD228-'[3]побудинковий звіт'!CD228</f>
        <v>1040.8176480052739</v>
      </c>
      <c r="CE228" s="56">
        <f t="shared" si="253"/>
        <v>-9.2355144352047773</v>
      </c>
      <c r="CF228" s="42">
        <f>'[1]побудинковий звіт'!CF228+'[2]побудинковий звіт'!CF228-'[3]побудинковий звіт'!CF228</f>
        <v>129.26790825498321</v>
      </c>
      <c r="CG228" s="42">
        <f>'[1]побудинковий звіт'!CG228+'[2]побудинковий звіт'!CG228-'[3]побудинковий звіт'!CG228</f>
        <v>0</v>
      </c>
      <c r="CH228" s="56">
        <f t="shared" si="254"/>
        <v>-129.26790825498321</v>
      </c>
      <c r="CI228" s="42">
        <f>'[1]побудинковий звіт'!CI228+'[2]побудинковий звіт'!CI228-'[3]побудинковий звіт'!CI228</f>
        <v>9302.61001306449</v>
      </c>
      <c r="CJ228" s="42">
        <f>'[1]побудинковий звіт'!CJ228+'[2]побудинковий звіт'!CJ228-'[3]побудинковий звіт'!CJ228</f>
        <v>7598.3507705030752</v>
      </c>
      <c r="CK228" s="56">
        <f t="shared" si="255"/>
        <v>-1704.2592425614148</v>
      </c>
      <c r="CL228" s="42">
        <f>'[1]побудинковий звіт'!CL228+'[2]побудинковий звіт'!CL228-'[3]побудинковий звіт'!CL228</f>
        <v>0</v>
      </c>
      <c r="CM228" s="42">
        <f>'[1]побудинковий звіт'!CM228+'[2]побудинковий звіт'!CM228-'[3]побудинковий звіт'!CM228</f>
        <v>0</v>
      </c>
      <c r="CN228" s="56">
        <f t="shared" si="256"/>
        <v>0</v>
      </c>
      <c r="CO228" s="42">
        <f t="shared" si="236"/>
        <v>9302.61001306449</v>
      </c>
      <c r="CP228" s="43">
        <f t="shared" si="257"/>
        <v>7598.3507705030752</v>
      </c>
      <c r="CQ228" s="56">
        <f t="shared" si="258"/>
        <v>-1704.2592425614148</v>
      </c>
      <c r="CR228" s="78">
        <f t="shared" si="237"/>
        <v>158039.22707953647</v>
      </c>
      <c r="CS228" s="5">
        <f t="shared" si="237"/>
        <v>123145.32879832598</v>
      </c>
      <c r="CT228" s="56">
        <f t="shared" si="259"/>
        <v>-34893.898281210495</v>
      </c>
      <c r="CU228" s="87">
        <f t="shared" si="260"/>
        <v>189647.07249544378</v>
      </c>
      <c r="CV228" s="70">
        <f t="shared" si="261"/>
        <v>147774.39455799118</v>
      </c>
      <c r="CW228" s="37">
        <f t="shared" si="262"/>
        <v>-41872.677937452594</v>
      </c>
      <c r="CX228" s="42">
        <f>'[1]побудинковий звіт'!CX228+'[2]побудинковий звіт'!CX228-'[3]побудинковий звіт'!CX228</f>
        <v>9540.4875045562585</v>
      </c>
      <c r="CY228" s="42">
        <f>'[1]побудинковий звіт'!CY228+'[2]побудинковий звіт'!CY228-'[3]побудинковий звіт'!CY228</f>
        <v>51413.165442008853</v>
      </c>
      <c r="CZ228" s="56">
        <f t="shared" si="263"/>
        <v>41872.677937452594</v>
      </c>
      <c r="DA228" s="264">
        <f>'[4]побудинковий звіт'!DA228</f>
        <v>-52394.473541512787</v>
      </c>
      <c r="DB228" s="2">
        <v>2</v>
      </c>
      <c r="DC228" s="717">
        <f>'[4]побудинковий звіт'!DC228</f>
        <v>27704.36</v>
      </c>
      <c r="DD228" s="717">
        <f>'[4]побудинковий звіт'!DD228</f>
        <v>0</v>
      </c>
      <c r="DE228" s="717">
        <f>'[4]побудинковий звіт'!DE228</f>
        <v>11423.07</v>
      </c>
      <c r="DF228" s="717">
        <f>'[4]побудинковий звіт'!DF228</f>
        <v>-320.12</v>
      </c>
      <c r="DG228" s="787">
        <v>5475.1732957633794</v>
      </c>
      <c r="DH228" s="761">
        <f t="shared" si="226"/>
        <v>2390250.7200000002</v>
      </c>
      <c r="DI228" s="784"/>
      <c r="DJ228" s="5"/>
      <c r="DK228" s="317">
        <v>5.2370000000000001</v>
      </c>
      <c r="DL228" s="317"/>
      <c r="DM228" s="317">
        <v>4.7779999999999996</v>
      </c>
      <c r="DN228" s="30">
        <f t="shared" si="264"/>
        <v>16909.225600000002</v>
      </c>
      <c r="DO228" s="30">
        <f t="shared" si="265"/>
        <v>320.12599999999998</v>
      </c>
      <c r="DP228" s="316">
        <f t="shared" si="221"/>
        <v>17229.351600000002</v>
      </c>
      <c r="DQ228" s="104"/>
      <c r="DR228" s="30">
        <f>VLOOKUP(A228,'ДЗ нас '!$A$1:$C$359,2)</f>
        <v>16281.29</v>
      </c>
      <c r="DS228" s="748">
        <f>VLOOKUP(A228,'ДЗ нежит'!$A$1:$D$153,4,0)</f>
        <v>320.12</v>
      </c>
      <c r="DT228" s="30">
        <f t="shared" si="222"/>
        <v>16601.41</v>
      </c>
      <c r="DU228" s="257">
        <f>VLOOKUP(A228,'новий кошторис с 01.06'!$A$4:$AI$399,35)*1.2</f>
        <v>16752.158070430862</v>
      </c>
      <c r="DV228" s="30">
        <f t="shared" si="223"/>
        <v>-150.74807043086184</v>
      </c>
      <c r="DW228" s="930">
        <f>'[5]побудинковий звіт'!DW228+'[6]побудинковий звіт'!DW228</f>
        <v>204</v>
      </c>
      <c r="DY228" s="5">
        <f t="shared" si="227"/>
        <v>64786.88222472732</v>
      </c>
      <c r="DZ228" s="5">
        <f t="shared" si="228"/>
        <v>8805.7204028911165</v>
      </c>
      <c r="EA228" s="752">
        <f t="shared" si="229"/>
        <v>11102.949999999999</v>
      </c>
      <c r="EC228" s="592">
        <f t="shared" si="230"/>
        <v>528119.2676600694</v>
      </c>
      <c r="EE228" s="758">
        <v>39266</v>
      </c>
      <c r="EF228" s="738">
        <f t="shared" si="231"/>
        <v>44741.173295763379</v>
      </c>
      <c r="EH228" s="813">
        <v>-17934.00032145864</v>
      </c>
    </row>
    <row r="229" spans="1:138" x14ac:dyDescent="0.3">
      <c r="A229" s="328">
        <v>150000673</v>
      </c>
      <c r="B229" s="44" t="s">
        <v>679</v>
      </c>
      <c r="C229" s="45" t="s">
        <v>1745</v>
      </c>
      <c r="D229" s="45" t="s">
        <v>1746</v>
      </c>
      <c r="E229" s="40">
        <f t="shared" si="232"/>
        <v>3564.3</v>
      </c>
      <c r="F229" s="490">
        <v>3564.3</v>
      </c>
      <c r="G229" s="30"/>
      <c r="H229" s="30">
        <v>0</v>
      </c>
      <c r="I229" s="42">
        <f>'[1]побудинковий звіт'!I229+'[2]побудинковий звіт'!I229-'[3]побудинковий звіт'!I229</f>
        <v>3621.9285974751047</v>
      </c>
      <c r="J229" s="42">
        <f>'[1]побудинковий звіт'!J229+'[2]побудинковий звіт'!J229-'[3]побудинковий звіт'!J229</f>
        <v>3556.79805627926</v>
      </c>
      <c r="K229" s="56">
        <f t="shared" si="238"/>
        <v>-65.130541195844671</v>
      </c>
      <c r="L229" s="42">
        <f>'[1]побудинковий звіт'!L229+'[2]побудинковий звіт'!L229-'[3]побудинковий звіт'!L229</f>
        <v>616.94302347239227</v>
      </c>
      <c r="M229" s="42">
        <f>'[1]побудинковий звіт'!M229+'[2]побудинковий звіт'!M229-'[3]побудинковий звіт'!M229</f>
        <v>629.80221733299777</v>
      </c>
      <c r="N229" s="56">
        <f t="shared" si="239"/>
        <v>12.859193860605501</v>
      </c>
      <c r="O229" s="42">
        <f>'[1]побудинковий звіт'!O229+'[2]побудинковий звіт'!O229-'[3]побудинковий звіт'!O229</f>
        <v>826.56</v>
      </c>
      <c r="P229" s="42">
        <f>'[1]побудинковий звіт'!P229+'[2]побудинковий звіт'!P229-'[3]побудинковий звіт'!P229</f>
        <v>649.70503494623654</v>
      </c>
      <c r="Q229" s="56">
        <f t="shared" si="240"/>
        <v>-176.85496505376341</v>
      </c>
      <c r="R229" s="42">
        <f>'[1]побудинковий звіт'!R229+'[2]побудинковий звіт'!R229-'[3]побудинковий звіт'!R229</f>
        <v>0</v>
      </c>
      <c r="S229" s="42">
        <f>'[1]побудинковий звіт'!S229+'[2]побудинковий звіт'!S229-'[3]побудинковий звіт'!S229</f>
        <v>0</v>
      </c>
      <c r="T229" s="56">
        <f t="shared" si="241"/>
        <v>0</v>
      </c>
      <c r="U229" s="42">
        <f>'[1]побудинковий звіт'!U229+'[2]побудинковий звіт'!U229-'[3]побудинковий звіт'!U229</f>
        <v>0</v>
      </c>
      <c r="V229" s="42">
        <f>'[1]побудинковий звіт'!V229+'[2]побудинковий звіт'!V229-'[3]побудинковий звіт'!V229</f>
        <v>0</v>
      </c>
      <c r="W229" s="56">
        <f t="shared" si="242"/>
        <v>0</v>
      </c>
      <c r="X229" s="42">
        <f>'[1]побудинковий звіт'!X229+'[2]побудинковий звіт'!X229-'[3]побудинковий звіт'!X229</f>
        <v>1207.1775804244428</v>
      </c>
      <c r="Y229" s="42">
        <f>'[1]побудинковий звіт'!Y229+'[2]побудинковий звіт'!Y229-'[3]побудинковий звіт'!Y229</f>
        <v>907.26903032421194</v>
      </c>
      <c r="Z229" s="56">
        <f t="shared" si="243"/>
        <v>-299.90855010023085</v>
      </c>
      <c r="AA229" s="42">
        <f>'[1]побудинковий звіт'!AA229+'[2]побудинковий звіт'!AA229-'[3]побудинковий звіт'!AA229</f>
        <v>0</v>
      </c>
      <c r="AB229" s="42">
        <f>'[1]побудинковий звіт'!AB229+'[2]побудинковий звіт'!AB229-'[3]побудинковий звіт'!AB229</f>
        <v>0</v>
      </c>
      <c r="AC229" s="56">
        <f t="shared" si="244"/>
        <v>0</v>
      </c>
      <c r="AD229" s="42">
        <f>'[1]побудинковий звіт'!AD229+'[2]побудинковий звіт'!AD229-'[3]побудинковий звіт'!AD229</f>
        <v>2579.6091639819879</v>
      </c>
      <c r="AE229" s="42">
        <f>'[1]побудинковий звіт'!AE229+'[2]побудинковий звіт'!AE229-'[3]побудинковий звіт'!AE229</f>
        <v>2377.3352480448179</v>
      </c>
      <c r="AF229" s="37">
        <f t="shared" si="245"/>
        <v>-202.27391593716993</v>
      </c>
      <c r="AG229" s="87">
        <f t="shared" si="235"/>
        <v>8852.2183653539269</v>
      </c>
      <c r="AH229" s="57">
        <f t="shared" si="235"/>
        <v>8120.9095869275243</v>
      </c>
      <c r="AI229" s="56">
        <f t="shared" si="246"/>
        <v>-731.30877842640257</v>
      </c>
      <c r="AJ229" s="42">
        <f>'[1]побудинковий звіт'!AJ229+'[2]побудинковий звіт'!AJ229-'[3]побудинковий звіт'!AJ229</f>
        <v>0</v>
      </c>
      <c r="AK229" s="42">
        <f>'[1]побудинковий звіт'!AK229+'[2]побудинковий звіт'!AK229-'[3]побудинковий звіт'!AK229</f>
        <v>0</v>
      </c>
      <c r="AL229" s="56">
        <f t="shared" si="247"/>
        <v>0</v>
      </c>
      <c r="AM229" s="42">
        <f>'[1]побудинковий звіт'!AM229+'[2]побудинковий звіт'!AM229-'[3]побудинковий звіт'!AM229</f>
        <v>0</v>
      </c>
      <c r="AN229" s="42">
        <f>'[1]побудинковий звіт'!AN229+'[2]побудинковий звіт'!AN229-'[3]побудинковий звіт'!AN229</f>
        <v>0</v>
      </c>
      <c r="AO229" s="56">
        <f t="shared" si="248"/>
        <v>0</v>
      </c>
      <c r="AP229" s="42">
        <f>'[1]побудинковий звіт'!AP229+'[2]побудинковий звіт'!AP229-'[3]побудинковий звіт'!AP229</f>
        <v>1704.6317572085691</v>
      </c>
      <c r="AQ229" s="42">
        <f>'[1]побудинковий звіт'!AQ229+'[2]побудинковий звіт'!AQ229-'[3]побудинковий звіт'!AQ229</f>
        <v>1320.9856409959561</v>
      </c>
      <c r="AR229" s="56">
        <f t="shared" si="249"/>
        <v>-383.64611621261292</v>
      </c>
      <c r="AS229" s="42">
        <f>'[1]побудинковий звіт'!AS229+'[2]побудинковий звіт'!AS229-'[3]побудинковий звіт'!AS229</f>
        <v>9077.5663841859478</v>
      </c>
      <c r="AT229" s="42">
        <f>'[1]побудинковий звіт'!AT229+'[2]побудинковий звіт'!AT229-'[3]побудинковий звіт'!AT229</f>
        <v>2499</v>
      </c>
      <c r="AU229" s="58">
        <f t="shared" si="266"/>
        <v>-6578.5663841859478</v>
      </c>
      <c r="AV229" s="42">
        <f>'[1]побудинковий звіт'!AV229+'[2]побудинковий звіт'!AV229-'[3]побудинковий звіт'!AV229</f>
        <v>638.54415346269059</v>
      </c>
      <c r="AW229" s="42">
        <f>'[1]побудинковий звіт'!AW229+'[2]побудинковий звіт'!AW229-'[3]побудинковий звіт'!AW229</f>
        <v>0</v>
      </c>
      <c r="AX229" s="59">
        <f t="shared" si="267"/>
        <v>-638.54415346269059</v>
      </c>
      <c r="AY229" s="42">
        <f>'[1]побудинковий звіт'!AY229+'[2]побудинковий звіт'!AY229-'[3]побудинковий звіт'!AY229</f>
        <v>794.95558185331788</v>
      </c>
      <c r="AZ229" s="42">
        <f>'[1]побудинковий звіт'!AZ229+'[2]побудинковий звіт'!AZ229-'[3]побудинковий звіт'!AZ229</f>
        <v>0</v>
      </c>
      <c r="BA229" s="37">
        <f t="shared" si="268"/>
        <v>-794.95558185331788</v>
      </c>
      <c r="BB229" s="42">
        <f>'[1]побудинковий звіт'!BB229+'[2]побудинковий звіт'!BB229-'[3]побудинковий звіт'!BB229</f>
        <v>399.37909082510834</v>
      </c>
      <c r="BC229" s="42">
        <f>'[1]побудинковий звіт'!BC229+'[2]побудинковий звіт'!BC229-'[3]побудинковий звіт'!BC229</f>
        <v>0</v>
      </c>
      <c r="BD229" s="59">
        <f t="shared" si="269"/>
        <v>-399.37909082510834</v>
      </c>
      <c r="BE229" s="42">
        <f>'[1]побудинковий звіт'!BE229+'[2]побудинковий звіт'!BE229-'[3]побудинковий звіт'!BE229</f>
        <v>0</v>
      </c>
      <c r="BF229" s="42">
        <f>'[1]побудинковий звіт'!BF229+'[2]побудинковий звіт'!BF229-'[3]побудинковий звіт'!BF229</f>
        <v>0</v>
      </c>
      <c r="BG229" s="39">
        <f t="shared" si="270"/>
        <v>0</v>
      </c>
      <c r="BH229" s="42">
        <f>'[1]побудинковий звіт'!BH229+'[2]побудинковий звіт'!BH229-'[3]побудинковий звіт'!BH229</f>
        <v>0</v>
      </c>
      <c r="BI229" s="42">
        <f>'[1]побудинковий звіт'!BI229+'[2]побудинковий звіт'!BI229-'[3]побудинковий звіт'!BI229</f>
        <v>0</v>
      </c>
      <c r="BJ229" s="59">
        <f t="shared" si="271"/>
        <v>0</v>
      </c>
      <c r="BK229" s="42">
        <f>'[1]побудинковий звіт'!BK229+'[2]побудинковий звіт'!BK229-'[3]побудинковий звіт'!BK229</f>
        <v>118.62780668282814</v>
      </c>
      <c r="BL229" s="42">
        <f>'[1]побудинковий звіт'!BL229+'[2]побудинковий звіт'!BL229-'[3]побудинковий звіт'!BL229</f>
        <v>0</v>
      </c>
      <c r="BM229" s="39">
        <f t="shared" si="272"/>
        <v>-118.62780668282814</v>
      </c>
      <c r="BN229" s="42">
        <f>'[1]побудинковий звіт'!BN229+'[2]побудинковий звіт'!BN229-'[3]побудинковий звіт'!BN229</f>
        <v>0</v>
      </c>
      <c r="BO229" s="42">
        <f>'[1]побудинковий звіт'!BO229+'[2]побудинковий звіт'!BO229-'[3]побудинковий звіт'!BO229</f>
        <v>0</v>
      </c>
      <c r="BP229" s="59">
        <f t="shared" si="273"/>
        <v>0</v>
      </c>
      <c r="BQ229" s="87">
        <f t="shared" si="233"/>
        <v>1951.5066328239448</v>
      </c>
      <c r="BR229" s="43">
        <f t="shared" ref="BR229:BR254" si="275">AW229+AZ229+BC229+BF229+BI229+BL229+BO229</f>
        <v>0</v>
      </c>
      <c r="BS229" s="59">
        <f t="shared" si="274"/>
        <v>-1951.5066328239448</v>
      </c>
      <c r="BT229" s="42">
        <f>'[1]побудинковий звіт'!BT229+'[2]побудинковий звіт'!BT229-'[3]побудинковий звіт'!BT229</f>
        <v>9262.088929997557</v>
      </c>
      <c r="BU229" s="42">
        <f>'[1]побудинковий звіт'!BU229+'[2]побудинковий звіт'!BU229-'[3]побудинковий звіт'!BU229</f>
        <v>10833.154500116787</v>
      </c>
      <c r="BV229" s="56">
        <f t="shared" si="250"/>
        <v>1571.06557011923</v>
      </c>
      <c r="BW229" s="42">
        <f>'[1]побудинковий звіт'!BW229+'[2]побудинковий звіт'!BW229-'[3]побудинковий звіт'!BW229</f>
        <v>4893.5140111140545</v>
      </c>
      <c r="BX229" s="42">
        <f>'[1]побудинковий звіт'!BX229+'[2]побудинковий звіт'!BX229-'[3]побудинковий звіт'!BX229</f>
        <v>5447.298524451674</v>
      </c>
      <c r="BY229" s="56">
        <f t="shared" si="251"/>
        <v>553.7845133376195</v>
      </c>
      <c r="BZ229" s="42">
        <f>'[1]побудинковий звіт'!BZ229+'[2]побудинковий звіт'!BZ229-'[3]побудинковий звіт'!BZ229</f>
        <v>1679.370665762927</v>
      </c>
      <c r="CA229" s="42">
        <f>'[1]побудинковий звіт'!CA229+'[2]побудинковий звіт'!CA229-'[3]побудинковий звіт'!CA229</f>
        <v>2321.4974870321576</v>
      </c>
      <c r="CB229" s="56">
        <f t="shared" si="252"/>
        <v>642.1268212692305</v>
      </c>
      <c r="CC229" s="42">
        <f>'[1]побудинковий звіт'!CC229+'[2]побудинковий звіт'!CC229-'[3]побудинковий звіт'!CC229</f>
        <v>0</v>
      </c>
      <c r="CD229" s="42">
        <f>'[1]побудинковий звіт'!CD229+'[2]побудинковий звіт'!CD229-'[3]побудинковий звіт'!CD229</f>
        <v>0</v>
      </c>
      <c r="CE229" s="56">
        <f t="shared" si="253"/>
        <v>0</v>
      </c>
      <c r="CF229" s="42">
        <f>'[1]побудинковий звіт'!CF229+'[2]побудинковий звіт'!CF229-'[3]побудинковий звіт'!CF229</f>
        <v>0</v>
      </c>
      <c r="CG229" s="42">
        <f>'[1]побудинковий звіт'!CG229+'[2]побудинковий звіт'!CG229-'[3]побудинковий звіт'!CG229</f>
        <v>0</v>
      </c>
      <c r="CH229" s="56">
        <f t="shared" si="254"/>
        <v>0</v>
      </c>
      <c r="CI229" s="42">
        <f>'[1]побудинковий звіт'!CI229+'[2]побудинковий звіт'!CI229-'[3]побудинковий звіт'!CI229</f>
        <v>748.70100708768541</v>
      </c>
      <c r="CJ229" s="42">
        <f>'[1]побудинковий звіт'!CJ229+'[2]побудинковий звіт'!CJ229-'[3]побудинковий звіт'!CJ229</f>
        <v>90.341849094158363</v>
      </c>
      <c r="CK229" s="56">
        <f t="shared" si="255"/>
        <v>-658.35915799352711</v>
      </c>
      <c r="CL229" s="42">
        <f>'[1]побудинковий звіт'!CL229+'[2]побудинковий звіт'!CL229-'[3]побудинковий звіт'!CL229</f>
        <v>0</v>
      </c>
      <c r="CM229" s="42">
        <f>'[1]побудинковий звіт'!CM229+'[2]побудинковий звіт'!CM229-'[3]побудинковий звіт'!CM229</f>
        <v>0</v>
      </c>
      <c r="CN229" s="56">
        <f t="shared" si="256"/>
        <v>0</v>
      </c>
      <c r="CO229" s="42">
        <f t="shared" si="236"/>
        <v>748.70100708768541</v>
      </c>
      <c r="CP229" s="43">
        <f t="shared" si="257"/>
        <v>90.341849094158363</v>
      </c>
      <c r="CQ229" s="56">
        <f t="shared" si="258"/>
        <v>-658.35915799352711</v>
      </c>
      <c r="CR229" s="78">
        <f t="shared" si="237"/>
        <v>38169.597753534617</v>
      </c>
      <c r="CS229" s="5">
        <f t="shared" si="237"/>
        <v>30633.187588618257</v>
      </c>
      <c r="CT229" s="56">
        <f t="shared" si="259"/>
        <v>-7536.4101649163604</v>
      </c>
      <c r="CU229" s="87">
        <f t="shared" si="260"/>
        <v>45803.517304241541</v>
      </c>
      <c r="CV229" s="70">
        <f t="shared" si="261"/>
        <v>36759.825106341908</v>
      </c>
      <c r="CW229" s="37">
        <f t="shared" si="262"/>
        <v>-9043.6921978996324</v>
      </c>
      <c r="CX229" s="42">
        <f>'[1]побудинковий звіт'!CX229+'[2]побудинковий звіт'!CX229-'[3]побудинковий звіт'!CX229</f>
        <v>625.32269575846658</v>
      </c>
      <c r="CY229" s="42">
        <f>'[1]побудинковий звіт'!CY229+'[2]побудинковий звіт'!CY229-'[3]побудинковий звіт'!CY229</f>
        <v>9669.0148936580954</v>
      </c>
      <c r="CZ229" s="56">
        <f t="shared" si="263"/>
        <v>9043.6921978996288</v>
      </c>
      <c r="DA229" s="264">
        <f>'[4]побудинковий звіт'!DA229</f>
        <v>-481.47190240466989</v>
      </c>
      <c r="DB229" s="2">
        <v>2</v>
      </c>
      <c r="DC229" s="717">
        <f>'[4]побудинковий звіт'!DC229</f>
        <v>38309.870000000003</v>
      </c>
      <c r="DD229" s="717">
        <f>'[4]побудинковий звіт'!DD229</f>
        <v>0</v>
      </c>
      <c r="DE229" s="717">
        <f>'[4]побудинковий звіт'!DE229</f>
        <v>34440.800000000003</v>
      </c>
      <c r="DF229" s="717">
        <f>'[4]побудинковий звіт'!DF229</f>
        <v>0</v>
      </c>
      <c r="DG229" s="787">
        <v>8356.3542398477584</v>
      </c>
      <c r="DH229" s="761">
        <f t="shared" si="226"/>
        <v>557146.08000000007</v>
      </c>
      <c r="DI229" s="784"/>
      <c r="DJ229" s="5"/>
      <c r="DK229" s="317">
        <f>VLOOKUP($A229,ціни!$A$4:$G$401,5)</f>
        <v>6.4217042466165477</v>
      </c>
      <c r="DL229" s="317"/>
      <c r="DM229" s="317">
        <f>VLOOKUP($A229,ціни!$A$4:$G$401,7)</f>
        <v>5.5984128955008901</v>
      </c>
      <c r="DN229" s="30">
        <f t="shared" si="264"/>
        <v>22888.880446215364</v>
      </c>
      <c r="DO229" s="30">
        <f t="shared" si="265"/>
        <v>0</v>
      </c>
      <c r="DP229" s="316">
        <f t="shared" si="221"/>
        <v>22888.880446215364</v>
      </c>
      <c r="DQ229" s="104"/>
      <c r="DR229" s="30">
        <f>VLOOKUP(A229,'ДЗ нас '!$A$1:$C$359,2)</f>
        <v>3869.07</v>
      </c>
      <c r="DS229" s="748"/>
      <c r="DT229" s="30">
        <f t="shared" si="222"/>
        <v>3869.07</v>
      </c>
      <c r="DU229" s="257">
        <f>VLOOKUP(A229,'новий кошторис с 01.06'!$A$4:$AI$399,35)*1.2</f>
        <v>3885.6650513098234</v>
      </c>
      <c r="DV229" s="30">
        <f t="shared" si="223"/>
        <v>-16.595051309823248</v>
      </c>
      <c r="DW229" s="930">
        <f>'[5]побудинковий звіт'!DW229+'[6]побудинковий звіт'!DW229</f>
        <v>204</v>
      </c>
      <c r="DY229" s="5">
        <f t="shared" si="227"/>
        <v>13234.88762041187</v>
      </c>
      <c r="DZ229" s="5">
        <f t="shared" si="228"/>
        <v>2998.7999999999997</v>
      </c>
      <c r="EA229" s="752">
        <f t="shared" si="229"/>
        <v>34440.800000000003</v>
      </c>
      <c r="EC229" s="592">
        <f t="shared" si="230"/>
        <v>108930.79661023137</v>
      </c>
      <c r="EE229" s="758">
        <v>2873</v>
      </c>
      <c r="EF229" s="738">
        <f t="shared" si="231"/>
        <v>11229.354239847758</v>
      </c>
      <c r="EH229" s="813">
        <v>9567.7946969173663</v>
      </c>
    </row>
    <row r="230" spans="1:138" x14ac:dyDescent="0.3">
      <c r="A230" s="328">
        <v>150000676</v>
      </c>
      <c r="B230" s="44" t="s">
        <v>680</v>
      </c>
      <c r="C230" s="45" t="s">
        <v>1747</v>
      </c>
      <c r="D230" s="45" t="s">
        <v>1748</v>
      </c>
      <c r="E230" s="40">
        <f t="shared" si="232"/>
        <v>3571.4</v>
      </c>
      <c r="F230" s="490">
        <v>3571.4</v>
      </c>
      <c r="G230" s="30">
        <v>460.2</v>
      </c>
      <c r="H230" s="30">
        <v>0</v>
      </c>
      <c r="I230" s="42">
        <f>'[1]побудинковий звіт'!I230+'[2]побудинковий звіт'!I230-'[3]побудинковий звіт'!I230</f>
        <v>15577.871063430122</v>
      </c>
      <c r="J230" s="42">
        <f>'[1]побудинковий звіт'!J230+'[2]побудинковий звіт'!J230-'[3]побудинковий звіт'!J230</f>
        <v>15567.180326422018</v>
      </c>
      <c r="K230" s="56">
        <f t="shared" si="238"/>
        <v>-10.690737008104406</v>
      </c>
      <c r="L230" s="42">
        <f>'[1]побудинковий звіт'!L230+'[2]побудинковий звіт'!L230-'[3]побудинковий звіт'!L230</f>
        <v>2374.2762040313514</v>
      </c>
      <c r="M230" s="42">
        <f>'[1]побудинковий звіт'!M230+'[2]побудинковий звіт'!M230-'[3]побудинковий звіт'!M230</f>
        <v>2395.5363515552817</v>
      </c>
      <c r="N230" s="56">
        <f t="shared" si="239"/>
        <v>21.2601475239303</v>
      </c>
      <c r="O230" s="42">
        <f>'[1]побудинковий звіт'!O230+'[2]побудинковий звіт'!O230-'[3]побудинковий звіт'!O230</f>
        <v>6068.1600000000008</v>
      </c>
      <c r="P230" s="42">
        <f>'[1]побудинковий звіт'!P230+'[2]побудинковий звіт'!P230-'[3]побудинковий звіт'!P230</f>
        <v>4769.4697190860225</v>
      </c>
      <c r="Q230" s="56">
        <f t="shared" si="240"/>
        <v>-1298.6902809139783</v>
      </c>
      <c r="R230" s="42">
        <f>'[1]побудинковий звіт'!R230+'[2]побудинковий звіт'!R230-'[3]побудинковий звіт'!R230</f>
        <v>1510.1999999999998</v>
      </c>
      <c r="S230" s="42">
        <f>'[1]побудинковий звіт'!S230+'[2]побудинковий звіт'!S230-'[3]побудинковий звіт'!S230</f>
        <v>1187.2106774193549</v>
      </c>
      <c r="T230" s="56">
        <f t="shared" si="241"/>
        <v>-322.98932258064497</v>
      </c>
      <c r="U230" s="42">
        <f>'[1]побудинковий звіт'!U230+'[2]побудинковий звіт'!U230-'[3]побудинковий звіт'!U230</f>
        <v>780.05784393801946</v>
      </c>
      <c r="V230" s="42">
        <f>'[1]побудинковий звіт'!V230+'[2]побудинковий звіт'!V230-'[3]побудинковий звіт'!V230</f>
        <v>2188.2938761480004</v>
      </c>
      <c r="W230" s="56">
        <f t="shared" si="242"/>
        <v>1408.236032209981</v>
      </c>
      <c r="X230" s="42">
        <f>'[1]побудинковий звіт'!X230+'[2]побудинковий звіт'!X230-'[3]побудинковий звіт'!X230</f>
        <v>6473.3339252690876</v>
      </c>
      <c r="Y230" s="42">
        <f>'[1]побудинковий звіт'!Y230+'[2]побудинковий звіт'!Y230-'[3]побудинковий звіт'!Y230</f>
        <v>4668.5839514777781</v>
      </c>
      <c r="Z230" s="56">
        <f t="shared" si="243"/>
        <v>-1804.7499737913095</v>
      </c>
      <c r="AA230" s="42">
        <f>'[1]побудинковий звіт'!AA230+'[2]побудинковий звіт'!AA230-'[3]побудинковий звіт'!AA230</f>
        <v>0</v>
      </c>
      <c r="AB230" s="42">
        <f>'[1]побудинковий звіт'!AB230+'[2]побудинковий звіт'!AB230-'[3]побудинковий звіт'!AB230</f>
        <v>0</v>
      </c>
      <c r="AC230" s="56">
        <f t="shared" si="244"/>
        <v>0</v>
      </c>
      <c r="AD230" s="42">
        <f>'[1]побудинковий звіт'!AD230+'[2]побудинковий звіт'!AD230-'[3]побудинковий звіт'!AD230</f>
        <v>17950.795942697136</v>
      </c>
      <c r="AE230" s="42">
        <f>'[1]побудинковий звіт'!AE230+'[2]побудинковий звіт'!AE230-'[3]побудинковий звіт'!AE230</f>
        <v>16545.299884874261</v>
      </c>
      <c r="AF230" s="37">
        <f t="shared" si="245"/>
        <v>-1405.4960578228747</v>
      </c>
      <c r="AG230" s="87">
        <f t="shared" si="235"/>
        <v>50734.694979365719</v>
      </c>
      <c r="AH230" s="57">
        <f t="shared" si="235"/>
        <v>47321.574786982717</v>
      </c>
      <c r="AI230" s="56">
        <f t="shared" si="246"/>
        <v>-3413.1201923830013</v>
      </c>
      <c r="AJ230" s="42">
        <f>'[1]побудинковий звіт'!AJ230+'[2]побудинковий звіт'!AJ230-'[3]побудинковий звіт'!AJ230</f>
        <v>36838.496087665488</v>
      </c>
      <c r="AK230" s="42">
        <f>'[1]побудинковий звіт'!AK230+'[2]побудинковий звіт'!AK230-'[3]побудинковий звіт'!AK230</f>
        <v>36514.474580539332</v>
      </c>
      <c r="AL230" s="56">
        <f t="shared" si="247"/>
        <v>-324.02150712615548</v>
      </c>
      <c r="AM230" s="42">
        <f>'[1]побудинковий звіт'!AM230+'[2]побудинковий звіт'!AM230-'[3]побудинковий звіт'!AM230</f>
        <v>0</v>
      </c>
      <c r="AN230" s="42">
        <f>'[1]побудинковий звіт'!AN230+'[2]побудинковий звіт'!AN230-'[3]побудинковий звіт'!AN230</f>
        <v>3129.4545047654942</v>
      </c>
      <c r="AO230" s="56">
        <f t="shared" si="248"/>
        <v>3129.4545047654942</v>
      </c>
      <c r="AP230" s="42">
        <f>'[1]побудинковий звіт'!AP230+'[2]побудинковий звіт'!AP230-'[3]побудинковий звіт'!AP230</f>
        <v>3409.2635144171381</v>
      </c>
      <c r="AQ230" s="42">
        <f>'[1]побудинковий звіт'!AQ230+'[2]побудинковий звіт'!AQ230-'[3]побудинковий звіт'!AQ230</f>
        <v>3299.3382714119357</v>
      </c>
      <c r="AR230" s="56">
        <f t="shared" si="249"/>
        <v>-109.92524300520245</v>
      </c>
      <c r="AS230" s="42">
        <f>'[1]побудинковий звіт'!AS230+'[2]побудинковий звіт'!AS230-'[3]побудинковий звіт'!AS230</f>
        <v>64506.322216330678</v>
      </c>
      <c r="AT230" s="42">
        <f>'[1]побудинковий звіт'!AT230+'[2]побудинковий звіт'!AT230-'[3]побудинковий звіт'!AT230</f>
        <v>3694</v>
      </c>
      <c r="AU230" s="58">
        <f t="shared" si="266"/>
        <v>-60812.322216330678</v>
      </c>
      <c r="AV230" s="42">
        <f>'[1]побудинковий звіт'!AV230+'[2]побудинковий звіт'!AV230-'[3]побудинковий звіт'!AV230</f>
        <v>1234.6387689054209</v>
      </c>
      <c r="AW230" s="42">
        <f>'[1]побудинковий звіт'!AW230+'[2]побудинковий звіт'!AW230-'[3]побудинковий звіт'!AW230</f>
        <v>0</v>
      </c>
      <c r="AX230" s="59">
        <f t="shared" si="267"/>
        <v>-1234.6387689054209</v>
      </c>
      <c r="AY230" s="42">
        <f>'[1]побудинковий звіт'!AY230+'[2]побудинковий звіт'!AY230-'[3]побудинковий звіт'!AY230</f>
        <v>1576.0542873798991</v>
      </c>
      <c r="AZ230" s="42">
        <f>'[1]побудинковий звіт'!AZ230+'[2]побудинковий звіт'!AZ230-'[3]побудинковий звіт'!AZ230</f>
        <v>0</v>
      </c>
      <c r="BA230" s="37">
        <f t="shared" si="268"/>
        <v>-1576.0542873798991</v>
      </c>
      <c r="BB230" s="42">
        <f>'[1]побудинковий звіт'!BB230+'[2]побудинковий звіт'!BB230-'[3]побудинковий звіт'!BB230</f>
        <v>1589.1311367167064</v>
      </c>
      <c r="BC230" s="42">
        <f>'[1]побудинковий звіт'!BC230+'[2]побудинковий звіт'!BC230-'[3]побудинковий звіт'!BC230</f>
        <v>0</v>
      </c>
      <c r="BD230" s="59">
        <f t="shared" si="269"/>
        <v>-1589.1311367167064</v>
      </c>
      <c r="BE230" s="42">
        <f>'[1]побудинковий звіт'!BE230+'[2]побудинковий звіт'!BE230-'[3]побудинковий звіт'!BE230</f>
        <v>874.33747876044481</v>
      </c>
      <c r="BF230" s="42">
        <f>'[1]побудинковий звіт'!BF230+'[2]побудинковий звіт'!BF230-'[3]побудинковий звіт'!BF230</f>
        <v>0</v>
      </c>
      <c r="BG230" s="39">
        <f t="shared" si="270"/>
        <v>-874.33747876044481</v>
      </c>
      <c r="BH230" s="42">
        <f>'[1]побудинковий звіт'!BH230+'[2]побудинковий звіт'!BH230-'[3]побудинковий звіт'!BH230</f>
        <v>395.76741189229665</v>
      </c>
      <c r="BI230" s="42">
        <f>'[1]побудинковий звіт'!BI230+'[2]побудинковий звіт'!BI230-'[3]побудинковий звіт'!BI230</f>
        <v>0</v>
      </c>
      <c r="BJ230" s="59">
        <f t="shared" si="271"/>
        <v>-395.76741189229665</v>
      </c>
      <c r="BK230" s="42">
        <f>'[1]побудинковий звіт'!BK230+'[2]побудинковий звіт'!BK230-'[3]побудинковий звіт'!BK230</f>
        <v>1028.8017596543923</v>
      </c>
      <c r="BL230" s="42">
        <f>'[1]побудинковий звіт'!BL230+'[2]побудинковий звіт'!BL230-'[3]побудинковий звіт'!BL230</f>
        <v>1489</v>
      </c>
      <c r="BM230" s="39">
        <f t="shared" si="272"/>
        <v>460.1982403456077</v>
      </c>
      <c r="BN230" s="42">
        <f>'[1]побудинковий звіт'!BN230+'[2]побудинковий звіт'!BN230-'[3]побудинковий звіт'!BN230</f>
        <v>0</v>
      </c>
      <c r="BO230" s="42">
        <f>'[1]побудинковий звіт'!BO230+'[2]побудинковий звіт'!BO230-'[3]побудинковий звіт'!BO230</f>
        <v>0</v>
      </c>
      <c r="BP230" s="59">
        <f t="shared" si="273"/>
        <v>0</v>
      </c>
      <c r="BQ230" s="87">
        <f t="shared" si="233"/>
        <v>6698.7308433091603</v>
      </c>
      <c r="BR230" s="43">
        <f t="shared" si="275"/>
        <v>1489</v>
      </c>
      <c r="BS230" s="59">
        <f t="shared" si="274"/>
        <v>-5209.7308433091603</v>
      </c>
      <c r="BT230" s="42">
        <f>'[1]побудинковий звіт'!BT230+'[2]побудинковий звіт'!BT230-'[3]побудинковий звіт'!BT230</f>
        <v>59109.046491992951</v>
      </c>
      <c r="BU230" s="42">
        <f>'[1]побудинковий звіт'!BU230+'[2]побудинковий звіт'!BU230-'[3]побудинковий звіт'!BU230</f>
        <v>65780.145559855868</v>
      </c>
      <c r="BV230" s="56">
        <f t="shared" si="250"/>
        <v>6671.0990678629169</v>
      </c>
      <c r="BW230" s="42">
        <f>'[1]побудинковий звіт'!BW230+'[2]побудинковий звіт'!BW230-'[3]побудинковий звіт'!BW230</f>
        <v>35725.54966449763</v>
      </c>
      <c r="BX230" s="42">
        <f>'[1]побудинковий звіт'!BX230+'[2]побудинковий звіт'!BX230-'[3]побудинковий звіт'!BX230</f>
        <v>39432.213493941301</v>
      </c>
      <c r="BY230" s="56">
        <f t="shared" si="251"/>
        <v>3706.6638294436707</v>
      </c>
      <c r="BZ230" s="42">
        <f>'[1]побудинковий звіт'!BZ230+'[2]побудинковий звіт'!BZ230-'[3]побудинковий звіт'!BZ230</f>
        <v>11607.610642803065</v>
      </c>
      <c r="CA230" s="42">
        <f>'[1]побудинковий звіт'!CA230+'[2]побудинковий звіт'!CA230-'[3]побудинковий звіт'!CA230</f>
        <v>15278.237432856989</v>
      </c>
      <c r="CB230" s="56">
        <f t="shared" si="252"/>
        <v>3670.6267900539242</v>
      </c>
      <c r="CC230" s="42">
        <f>'[1]побудинковий звіт'!CC230+'[2]побудинковий звіт'!CC230-'[3]побудинковий звіт'!CC230</f>
        <v>529.43856929772039</v>
      </c>
      <c r="CD230" s="42">
        <f>'[1]побудинковий звіт'!CD230+'[2]побудинковий звіт'!CD230-'[3]побудинковий звіт'!CD230</f>
        <v>524.78200739761712</v>
      </c>
      <c r="CE230" s="56">
        <f t="shared" si="253"/>
        <v>-4.6565619001032701</v>
      </c>
      <c r="CF230" s="42">
        <f>'[1]побудинковий звіт'!CF230+'[2]побудинковий звіт'!CF230-'[3]побудинковий звіт'!CF230</f>
        <v>65.177096599151199</v>
      </c>
      <c r="CG230" s="42">
        <f>'[1]побудинковий звіт'!CG230+'[2]побудинковий звіт'!CG230-'[3]побудинковий звіт'!CG230</f>
        <v>0</v>
      </c>
      <c r="CH230" s="56">
        <f t="shared" si="254"/>
        <v>-65.177096599151199</v>
      </c>
      <c r="CI230" s="42">
        <f>'[1]побудинковий звіт'!CI230+'[2]побудинковий звіт'!CI230-'[3]побудинковий звіт'!CI230</f>
        <v>8235.7110779645391</v>
      </c>
      <c r="CJ230" s="42">
        <f>'[1]побудинковий звіт'!CJ230+'[2]побудинковий звіт'!CJ230-'[3]побудинковий звіт'!CJ230</f>
        <v>21821.224108453731</v>
      </c>
      <c r="CK230" s="56">
        <f t="shared" si="255"/>
        <v>13585.513030489192</v>
      </c>
      <c r="CL230" s="42">
        <f>'[1]побудинковий звіт'!CL230+'[2]побудинковий звіт'!CL230-'[3]побудинковий звіт'!CL230</f>
        <v>12353.56661694681</v>
      </c>
      <c r="CM230" s="42">
        <f>'[1]побудинковий звіт'!CM230+'[2]побудинковий звіт'!CM230-'[3]побудинковий звіт'!CM230</f>
        <v>32731.86634563894</v>
      </c>
      <c r="CN230" s="56">
        <f t="shared" si="256"/>
        <v>20378.299728692131</v>
      </c>
      <c r="CO230" s="42">
        <f t="shared" si="236"/>
        <v>20589.277694911347</v>
      </c>
      <c r="CP230" s="43">
        <f t="shared" si="257"/>
        <v>54553.090454092671</v>
      </c>
      <c r="CQ230" s="56">
        <f t="shared" si="258"/>
        <v>33963.812759181325</v>
      </c>
      <c r="CR230" s="78">
        <f t="shared" si="237"/>
        <v>289813.60780119005</v>
      </c>
      <c r="CS230" s="5">
        <f t="shared" si="237"/>
        <v>271016.31109184393</v>
      </c>
      <c r="CT230" s="56">
        <f t="shared" si="259"/>
        <v>-18797.296709346119</v>
      </c>
      <c r="CU230" s="87">
        <f t="shared" si="260"/>
        <v>347776.32936142804</v>
      </c>
      <c r="CV230" s="70">
        <f t="shared" si="261"/>
        <v>325219.5733102127</v>
      </c>
      <c r="CW230" s="37">
        <f t="shared" si="262"/>
        <v>-22556.756051215343</v>
      </c>
      <c r="CX230" s="42">
        <f>'[1]побудинковий звіт'!CX230+'[2]побудинковий звіт'!CX230-'[3]побудинковий звіт'!CX230</f>
        <v>8736.4706385719619</v>
      </c>
      <c r="CY230" s="42">
        <f>'[1]побудинковий звіт'!CY230+'[2]побудинковий звіт'!CY230-'[3]побудинковий звіт'!CY230</f>
        <v>31293.226689787356</v>
      </c>
      <c r="CZ230" s="56">
        <f t="shared" si="263"/>
        <v>22556.756051215394</v>
      </c>
      <c r="DA230" s="264">
        <f>'[4]побудинковий звіт'!DA230</f>
        <v>-68289.770092544626</v>
      </c>
      <c r="DB230" s="2">
        <v>2</v>
      </c>
      <c r="DC230" s="717">
        <f>'[4]побудинковий звіт'!DC230</f>
        <v>131843.16</v>
      </c>
      <c r="DD230" s="717">
        <f>'[4]побудинковий звіт'!DD230</f>
        <v>0</v>
      </c>
      <c r="DE230" s="717">
        <f>'[4]побудинковий звіт'!DE230</f>
        <v>102133.76000000001</v>
      </c>
      <c r="DF230" s="717">
        <f>'[4]побудинковий звіт'!DF230</f>
        <v>0</v>
      </c>
      <c r="DG230" s="787">
        <v>-45566.430163438781</v>
      </c>
      <c r="DH230" s="761">
        <f t="shared" si="226"/>
        <v>4278153.5999999996</v>
      </c>
      <c r="DI230" s="784"/>
      <c r="DJ230" s="5"/>
      <c r="DK230" s="317">
        <f>VLOOKUP($A230,ціни!$A$4:$G$401,5)</f>
        <v>5.8748293012241479</v>
      </c>
      <c r="DL230" s="317">
        <f>VLOOKUP($A230,ціни!$A$4:$G$401,6)</f>
        <v>7.2237288269659246</v>
      </c>
      <c r="DM230" s="317">
        <f>VLOOKUP($A230,ціни!$A$4:$G$401,7)</f>
        <v>5.0025819474508628</v>
      </c>
      <c r="DN230" s="30">
        <f>DK230*G230+(F230-G230)*DL230</f>
        <v>25178.061570879741</v>
      </c>
      <c r="DO230" s="30">
        <f>DM230*H230</f>
        <v>0</v>
      </c>
      <c r="DP230" s="316">
        <f t="shared" si="221"/>
        <v>25178.061570879741</v>
      </c>
      <c r="DQ230" s="104"/>
      <c r="DR230" s="30">
        <f>VLOOKUP(A230,'ДЗ нас '!$A$1:$C$359,2)</f>
        <v>29709.4</v>
      </c>
      <c r="DS230" s="748"/>
      <c r="DT230" s="30">
        <f t="shared" si="222"/>
        <v>29709.4</v>
      </c>
      <c r="DU230" s="257">
        <f>VLOOKUP(A230,'новий кошторис с 01.06'!$A$4:$AI$399,35)*1.2</f>
        <v>29850.801603522577</v>
      </c>
      <c r="DV230" s="30">
        <f t="shared" si="223"/>
        <v>-141.4016035225759</v>
      </c>
      <c r="DW230" s="930">
        <f>'[5]побудинковий звіт'!DW230+'[6]побудинковий звіт'!DW230</f>
        <v>302</v>
      </c>
      <c r="DY230" s="5">
        <f t="shared" si="227"/>
        <v>85446.063671567812</v>
      </c>
      <c r="DZ230" s="5">
        <f t="shared" si="228"/>
        <v>6219.5999999999995</v>
      </c>
      <c r="EA230" s="752">
        <f t="shared" si="229"/>
        <v>102133.76000000001</v>
      </c>
      <c r="EC230" s="592">
        <f t="shared" si="230"/>
        <v>774075.86659596814</v>
      </c>
      <c r="EE230" s="758">
        <v>105997</v>
      </c>
      <c r="EF230" s="738">
        <f t="shared" si="231"/>
        <v>60430.569836561219</v>
      </c>
      <c r="EH230" s="813">
        <v>-47364.968044307097</v>
      </c>
    </row>
    <row r="231" spans="1:138" x14ac:dyDescent="0.3">
      <c r="A231" s="328">
        <v>150000671</v>
      </c>
      <c r="B231" s="44" t="s">
        <v>681</v>
      </c>
      <c r="C231" s="45" t="s">
        <v>1749</v>
      </c>
      <c r="D231" s="45" t="s">
        <v>1750</v>
      </c>
      <c r="E231" s="40">
        <f t="shared" si="232"/>
        <v>2470.9</v>
      </c>
      <c r="F231" s="490">
        <v>2470.9</v>
      </c>
      <c r="G231" s="30"/>
      <c r="H231" s="30">
        <v>0</v>
      </c>
      <c r="I231" s="42">
        <f>'[1]побудинковий звіт'!I231+'[2]побудинковий звіт'!I231-'[3]побудинковий звіт'!I231</f>
        <v>0</v>
      </c>
      <c r="J231" s="42">
        <f>'[1]побудинковий звіт'!J231+'[2]побудинковий звіт'!J231-'[3]побудинковий звіт'!J231</f>
        <v>0</v>
      </c>
      <c r="K231" s="56">
        <f t="shared" si="238"/>
        <v>0</v>
      </c>
      <c r="L231" s="42">
        <f>'[1]побудинковий звіт'!L231+'[2]побудинковий звіт'!L231-'[3]побудинковий звіт'!L231</f>
        <v>0</v>
      </c>
      <c r="M231" s="42">
        <f>'[1]побудинковий звіт'!M231+'[2]побудинковий звіт'!M231-'[3]побудинковий звіт'!M231</f>
        <v>0</v>
      </c>
      <c r="N231" s="56">
        <f t="shared" si="239"/>
        <v>0</v>
      </c>
      <c r="O231" s="42">
        <f>'[1]побудинковий звіт'!O231+'[2]побудинковий звіт'!O231-'[3]побудинковий звіт'!O231</f>
        <v>0</v>
      </c>
      <c r="P231" s="42">
        <f>'[1]побудинковий звіт'!P231+'[2]побудинковий звіт'!P231-'[3]побудинковий звіт'!P231</f>
        <v>0</v>
      </c>
      <c r="Q231" s="56">
        <f t="shared" si="240"/>
        <v>0</v>
      </c>
      <c r="R231" s="42">
        <f>'[1]побудинковий звіт'!R231+'[2]побудинковий звіт'!R231-'[3]побудинковий звіт'!R231</f>
        <v>0</v>
      </c>
      <c r="S231" s="42">
        <f>'[1]побудинковий звіт'!S231+'[2]побудинковий звіт'!S231-'[3]побудинковий звіт'!S231</f>
        <v>0</v>
      </c>
      <c r="T231" s="56">
        <f t="shared" si="241"/>
        <v>0</v>
      </c>
      <c r="U231" s="42">
        <f>'[1]побудинковий звіт'!U231+'[2]побудинковий звіт'!U231-'[3]побудинковий звіт'!U231</f>
        <v>0</v>
      </c>
      <c r="V231" s="42">
        <f>'[1]побудинковий звіт'!V231+'[2]побудинковий звіт'!V231-'[3]побудинковий звіт'!V231</f>
        <v>0</v>
      </c>
      <c r="W231" s="56">
        <f t="shared" si="242"/>
        <v>0</v>
      </c>
      <c r="X231" s="42">
        <f>'[1]побудинковий звіт'!X231+'[2]побудинковий звіт'!X231-'[3]побудинковий звіт'!X231</f>
        <v>0</v>
      </c>
      <c r="Y231" s="42">
        <f>'[1]побудинковий звіт'!Y231+'[2]побудинковий звіт'!Y231-'[3]побудинковий звіт'!Y231</f>
        <v>0</v>
      </c>
      <c r="Z231" s="56">
        <f t="shared" si="243"/>
        <v>0</v>
      </c>
      <c r="AA231" s="42">
        <f>'[1]побудинковий звіт'!AA231+'[2]побудинковий звіт'!AA231-'[3]побудинковий звіт'!AA231</f>
        <v>0</v>
      </c>
      <c r="AB231" s="42">
        <f>'[1]побудинковий звіт'!AB231+'[2]побудинковий звіт'!AB231-'[3]побудинковий звіт'!AB231</f>
        <v>0</v>
      </c>
      <c r="AC231" s="56">
        <f t="shared" si="244"/>
        <v>0</v>
      </c>
      <c r="AD231" s="42">
        <f>'[1]побудинковий звіт'!AD231+'[2]побудинковий звіт'!AD231-'[3]побудинковий звіт'!AD231</f>
        <v>0</v>
      </c>
      <c r="AE231" s="42">
        <f>'[1]побудинковий звіт'!AE231+'[2]побудинковий звіт'!AE231-'[3]побудинковий звіт'!AE231</f>
        <v>153.00761287644863</v>
      </c>
      <c r="AF231" s="37">
        <f t="shared" si="245"/>
        <v>153.00761287644863</v>
      </c>
      <c r="AG231" s="87">
        <f t="shared" si="235"/>
        <v>0</v>
      </c>
      <c r="AH231" s="57">
        <f t="shared" si="235"/>
        <v>153.00761287644863</v>
      </c>
      <c r="AI231" s="56">
        <f t="shared" si="246"/>
        <v>153.00761287644863</v>
      </c>
      <c r="AJ231" s="42">
        <f>'[1]побудинковий звіт'!AJ231+'[2]побудинковий звіт'!AJ231-'[3]побудинковий звіт'!AJ231</f>
        <v>0</v>
      </c>
      <c r="AK231" s="42">
        <f>'[1]побудинковий звіт'!AK231+'[2]побудинковий звіт'!AK231-'[3]побудинковий звіт'!AK231</f>
        <v>0</v>
      </c>
      <c r="AL231" s="56">
        <f t="shared" si="247"/>
        <v>0</v>
      </c>
      <c r="AM231" s="42">
        <f>'[1]побудинковий звіт'!AM231+'[2]побудинковий звіт'!AM231-'[3]побудинковий звіт'!AM231</f>
        <v>0</v>
      </c>
      <c r="AN231" s="42">
        <f>'[1]побудинковий звіт'!AN231+'[2]побудинковий звіт'!AN231-'[3]побудинковий звіт'!AN231</f>
        <v>0</v>
      </c>
      <c r="AO231" s="56">
        <f t="shared" si="248"/>
        <v>0</v>
      </c>
      <c r="AP231" s="42">
        <f>'[1]побудинковий звіт'!AP231+'[2]побудинковий звіт'!AP231-'[3]побудинковий звіт'!AP231</f>
        <v>568.21058573618984</v>
      </c>
      <c r="AQ231" s="42">
        <f>'[1]побудинковий звіт'!AQ231+'[2]побудинковий звіт'!AQ231-'[3]побудинковий звіт'!AQ231</f>
        <v>186.85825256960351</v>
      </c>
      <c r="AR231" s="56">
        <f t="shared" si="249"/>
        <v>-381.35233316658633</v>
      </c>
      <c r="AS231" s="42">
        <f>'[1]побудинковий звіт'!AS231+'[2]побудинковий звіт'!AS231-'[3]побудинковий звіт'!AS231</f>
        <v>3284.905260764182</v>
      </c>
      <c r="AT231" s="42">
        <f>'[1]побудинковий звіт'!AT231+'[2]побудинковий звіт'!AT231-'[3]побудинковий звіт'!AT231</f>
        <v>0</v>
      </c>
      <c r="AU231" s="58">
        <f t="shared" si="266"/>
        <v>-3284.905260764182</v>
      </c>
      <c r="AV231" s="42">
        <f>'[1]побудинковий звіт'!AV231+'[2]побудинковий звіт'!AV231-'[3]побудинковий звіт'!AV231</f>
        <v>0</v>
      </c>
      <c r="AW231" s="42">
        <f>'[1]побудинковий звіт'!AW231+'[2]побудинковий звіт'!AW231-'[3]побудинковий звіт'!AW231</f>
        <v>0</v>
      </c>
      <c r="AX231" s="59">
        <f t="shared" si="267"/>
        <v>0</v>
      </c>
      <c r="AY231" s="42">
        <f>'[1]побудинковий звіт'!AY231+'[2]побудинковий звіт'!AY231-'[3]побудинковий звіт'!AY231</f>
        <v>0</v>
      </c>
      <c r="AZ231" s="42">
        <f>'[1]побудинковий звіт'!AZ231+'[2]побудинковий звіт'!AZ231-'[3]побудинковий звіт'!AZ231</f>
        <v>0</v>
      </c>
      <c r="BA231" s="37">
        <f t="shared" si="268"/>
        <v>0</v>
      </c>
      <c r="BB231" s="42">
        <f>'[1]побудинковий звіт'!BB231+'[2]побудинковий звіт'!BB231-'[3]побудинковий звіт'!BB231</f>
        <v>0</v>
      </c>
      <c r="BC231" s="42">
        <f>'[1]побудинковий звіт'!BC231+'[2]побудинковий звіт'!BC231-'[3]побудинковий звіт'!BC231</f>
        <v>0</v>
      </c>
      <c r="BD231" s="59">
        <f t="shared" si="269"/>
        <v>0</v>
      </c>
      <c r="BE231" s="42">
        <f>'[1]побудинковий звіт'!BE231+'[2]побудинковий звіт'!BE231-'[3]побудинковий звіт'!BE231</f>
        <v>0</v>
      </c>
      <c r="BF231" s="42">
        <f>'[1]побудинковий звіт'!BF231+'[2]побудинковий звіт'!BF231-'[3]побудинковий звіт'!BF231</f>
        <v>0</v>
      </c>
      <c r="BG231" s="39">
        <f t="shared" si="270"/>
        <v>0</v>
      </c>
      <c r="BH231" s="42">
        <f>'[1]побудинковий звіт'!BH231+'[2]побудинковий звіт'!BH231-'[3]побудинковий звіт'!BH231</f>
        <v>0</v>
      </c>
      <c r="BI231" s="42">
        <f>'[1]побудинковий звіт'!BI231+'[2]побудинковий звіт'!BI231-'[3]побудинковий звіт'!BI231</f>
        <v>0</v>
      </c>
      <c r="BJ231" s="59">
        <f t="shared" si="271"/>
        <v>0</v>
      </c>
      <c r="BK231" s="42">
        <f>'[1]побудинковий звіт'!BK231+'[2]побудинковий звіт'!BK231-'[3]побудинковий звіт'!BK231</f>
        <v>0</v>
      </c>
      <c r="BL231" s="42">
        <f>'[1]побудинковий звіт'!BL231+'[2]побудинковий звіт'!BL231-'[3]побудинковий звіт'!BL231</f>
        <v>0</v>
      </c>
      <c r="BM231" s="39">
        <f t="shared" si="272"/>
        <v>0</v>
      </c>
      <c r="BN231" s="42">
        <f>'[1]побудинковий звіт'!BN231+'[2]побудинковий звіт'!BN231-'[3]побудинковий звіт'!BN231</f>
        <v>0</v>
      </c>
      <c r="BO231" s="42">
        <f>'[1]побудинковий звіт'!BO231+'[2]побудинковий звіт'!BO231-'[3]побудинковий звіт'!BO231</f>
        <v>0</v>
      </c>
      <c r="BP231" s="59">
        <f t="shared" si="273"/>
        <v>0</v>
      </c>
      <c r="BQ231" s="87">
        <f t="shared" si="233"/>
        <v>0</v>
      </c>
      <c r="BR231" s="43">
        <f t="shared" si="275"/>
        <v>0</v>
      </c>
      <c r="BS231" s="59">
        <f t="shared" si="274"/>
        <v>0</v>
      </c>
      <c r="BT231" s="42">
        <f>'[1]побудинковий звіт'!BT231+'[2]побудинковий звіт'!BT231-'[3]побудинковий звіт'!BT231</f>
        <v>526.39423659234524</v>
      </c>
      <c r="BU231" s="42">
        <f>'[1]побудинковий звіт'!BU231+'[2]побудинковий звіт'!BU231-'[3]побудинковий звіт'!BU231</f>
        <v>936.58972179455657</v>
      </c>
      <c r="BV231" s="56">
        <f t="shared" si="250"/>
        <v>410.19548520221133</v>
      </c>
      <c r="BW231" s="42">
        <f>'[1]побудинковий звіт'!BW231+'[2]побудинковий звіт'!BW231-'[3]побудинковий звіт'!BW231</f>
        <v>0</v>
      </c>
      <c r="BX231" s="42">
        <f>'[1]побудинковий звіт'!BX231+'[2]побудинковий звіт'!BX231-'[3]побудинковий звіт'!BX231</f>
        <v>7.3994299546284967</v>
      </c>
      <c r="BY231" s="56">
        <f t="shared" si="251"/>
        <v>7.3994299546284967</v>
      </c>
      <c r="BZ231" s="42">
        <f>'[1]побудинковий звіт'!BZ231+'[2]побудинковий звіт'!BZ231-'[3]побудинковий звіт'!BZ231</f>
        <v>0</v>
      </c>
      <c r="CA231" s="42">
        <f>'[1]побудинковий звіт'!CA231+'[2]побудинковий звіт'!CA231-'[3]побудинковий звіт'!CA231</f>
        <v>226.66025073365262</v>
      </c>
      <c r="CB231" s="56">
        <f t="shared" si="252"/>
        <v>226.66025073365262</v>
      </c>
      <c r="CC231" s="42">
        <f>'[1]побудинковий звіт'!CC231+'[2]побудинковий звіт'!CC231-'[3]побудинковий звіт'!CC231</f>
        <v>0</v>
      </c>
      <c r="CD231" s="42">
        <f>'[1]побудинковий звіт'!CD231+'[2]побудинковий звіт'!CD231-'[3]побудинковий звіт'!CD231</f>
        <v>0</v>
      </c>
      <c r="CE231" s="56">
        <f t="shared" si="253"/>
        <v>0</v>
      </c>
      <c r="CF231" s="42">
        <f>'[1]побудинковий звіт'!CF231+'[2]побудинковий звіт'!CF231-'[3]побудинковий звіт'!CF231</f>
        <v>0</v>
      </c>
      <c r="CG231" s="42">
        <f>'[1]побудинковий звіт'!CG231+'[2]побудинковий звіт'!CG231-'[3]побудинковий звіт'!CG231</f>
        <v>0</v>
      </c>
      <c r="CH231" s="56">
        <f t="shared" si="254"/>
        <v>0</v>
      </c>
      <c r="CI231" s="42">
        <f>'[1]побудинковий звіт'!CI231+'[2]побудинковий звіт'!CI231-'[3]побудинковий звіт'!CI231</f>
        <v>0</v>
      </c>
      <c r="CJ231" s="42">
        <f>'[1]побудинковий звіт'!CJ231+'[2]побудинковий звіт'!CJ231-'[3]побудинковий звіт'!CJ231</f>
        <v>0</v>
      </c>
      <c r="CK231" s="56">
        <f t="shared" si="255"/>
        <v>0</v>
      </c>
      <c r="CL231" s="42">
        <f>'[1]побудинковий звіт'!CL231+'[2]побудинковий звіт'!CL231-'[3]побудинковий звіт'!CL231</f>
        <v>0</v>
      </c>
      <c r="CM231" s="42">
        <f>'[1]побудинковий звіт'!CM231+'[2]побудинковий звіт'!CM231-'[3]побудинковий звіт'!CM231</f>
        <v>0</v>
      </c>
      <c r="CN231" s="56">
        <f t="shared" si="256"/>
        <v>0</v>
      </c>
      <c r="CO231" s="42">
        <f t="shared" si="236"/>
        <v>0</v>
      </c>
      <c r="CP231" s="43">
        <f t="shared" si="257"/>
        <v>0</v>
      </c>
      <c r="CQ231" s="56">
        <f t="shared" si="258"/>
        <v>0</v>
      </c>
      <c r="CR231" s="78">
        <f t="shared" si="237"/>
        <v>4379.5100830927167</v>
      </c>
      <c r="CS231" s="5">
        <f t="shared" si="237"/>
        <v>1510.5152679288897</v>
      </c>
      <c r="CT231" s="56">
        <f t="shared" si="259"/>
        <v>-2868.9948151638273</v>
      </c>
      <c r="CU231" s="87">
        <f t="shared" si="260"/>
        <v>5255.4120997112595</v>
      </c>
      <c r="CV231" s="70">
        <f t="shared" si="261"/>
        <v>1812.6183215146675</v>
      </c>
      <c r="CW231" s="37">
        <f t="shared" si="262"/>
        <v>-3442.793778196592</v>
      </c>
      <c r="CX231" s="42">
        <f>'[1]побудинковий звіт'!CX231+'[2]побудинковий звіт'!CX231-'[3]побудинковий звіт'!CX231</f>
        <v>78.707900288738301</v>
      </c>
      <c r="CY231" s="42">
        <f>'[1]побудинковий звіт'!CY231+'[2]побудинковий звіт'!CY231-'[3]побудинковий звіт'!CY231</f>
        <v>3521.5016784853328</v>
      </c>
      <c r="CZ231" s="56">
        <f t="shared" si="263"/>
        <v>3442.7937781965948</v>
      </c>
      <c r="DA231" s="264">
        <f>'[4]побудинковий звіт'!DA231</f>
        <v>-11423.523590073883</v>
      </c>
      <c r="DB231" s="2">
        <v>2</v>
      </c>
      <c r="DC231" s="717">
        <f>'[4]побудинковий звіт'!DC231</f>
        <v>483.02</v>
      </c>
      <c r="DD231" s="717">
        <f>'[4]побудинковий звіт'!DD231</f>
        <v>0</v>
      </c>
      <c r="DE231" s="717">
        <f>'[4]побудинковий звіт'!DE231</f>
        <v>38.509999999999991</v>
      </c>
      <c r="DF231" s="717">
        <f>'[4]побудинковий звіт'!DF231</f>
        <v>0</v>
      </c>
      <c r="DG231" s="787">
        <v>-6626.3470141265234</v>
      </c>
      <c r="DH231" s="761">
        <f t="shared" si="226"/>
        <v>64009.439999999973</v>
      </c>
      <c r="DI231" s="784"/>
      <c r="DJ231" s="5"/>
      <c r="DK231" s="317">
        <f>VLOOKUP($A231,ціни!$A$4:$G$401,5)</f>
        <v>1.9352210423766256</v>
      </c>
      <c r="DL231" s="317"/>
      <c r="DM231" s="317">
        <f>VLOOKUP($A231,ціни!$A$4:$G$401,7)</f>
        <v>1.9352210423766256</v>
      </c>
      <c r="DN231" s="30">
        <f t="shared" ref="DN231:DN252" si="276">F231*DK231</f>
        <v>4781.7376736084043</v>
      </c>
      <c r="DO231" s="30">
        <f t="shared" ref="DO231:DO252" si="277">H231*DM231</f>
        <v>0</v>
      </c>
      <c r="DP231" s="316">
        <f t="shared" si="221"/>
        <v>4781.7376736084043</v>
      </c>
      <c r="DQ231" s="104"/>
      <c r="DR231" s="30">
        <f>VLOOKUP(A231,'ДЗ нас '!$A$1:$C$359,2)</f>
        <v>444.51</v>
      </c>
      <c r="DS231" s="748"/>
      <c r="DT231" s="30">
        <f t="shared" si="222"/>
        <v>444.51</v>
      </c>
      <c r="DU231" s="257">
        <f>VLOOKUP(A231,'новий кошторис с 01.06'!$A$4:$AI$399,35)*1.2</f>
        <v>445.83412645883863</v>
      </c>
      <c r="DV231" s="30">
        <f t="shared" si="223"/>
        <v>-1.3241264588386343</v>
      </c>
      <c r="DW231" s="930">
        <f>'[5]побудинковий звіт'!DW231+'[6]побудинковий звіт'!DW231</f>
        <v>0</v>
      </c>
      <c r="DY231" s="5">
        <f t="shared" si="227"/>
        <v>3941.8863129170181</v>
      </c>
      <c r="DZ231" s="5">
        <f t="shared" si="228"/>
        <v>0</v>
      </c>
      <c r="EA231" s="752">
        <f t="shared" si="229"/>
        <v>38.509999999999991</v>
      </c>
      <c r="EC231" s="592">
        <f t="shared" si="230"/>
        <v>39418.863129170182</v>
      </c>
      <c r="EE231" s="758">
        <v>-3935</v>
      </c>
      <c r="EF231" s="738">
        <f t="shared" si="231"/>
        <v>-10561.347014126524</v>
      </c>
      <c r="EH231" s="813">
        <v>-8441.0192789291395</v>
      </c>
    </row>
    <row r="232" spans="1:138" x14ac:dyDescent="0.3">
      <c r="A232" s="328">
        <v>150000726</v>
      </c>
      <c r="B232" s="44" t="s">
        <v>682</v>
      </c>
      <c r="C232" s="45" t="s">
        <v>1751</v>
      </c>
      <c r="D232" s="45" t="s">
        <v>183</v>
      </c>
      <c r="E232" s="40">
        <f t="shared" si="232"/>
        <v>2013</v>
      </c>
      <c r="F232" s="490">
        <v>2013</v>
      </c>
      <c r="G232" s="30"/>
      <c r="H232" s="30">
        <v>0</v>
      </c>
      <c r="I232" s="42">
        <f>'[1]побудинковий звіт'!I232+'[2]побудинковий звіт'!I232-'[3]побудинковий звіт'!I232</f>
        <v>1963.9362206505516</v>
      </c>
      <c r="J232" s="42">
        <f>'[1]побудинковий звіт'!J232+'[2]побудинковий звіт'!J232-'[3]побудинковий звіт'!J232</f>
        <v>1937.5449935007323</v>
      </c>
      <c r="K232" s="56">
        <f t="shared" si="238"/>
        <v>-26.391227149819315</v>
      </c>
      <c r="L232" s="42">
        <f>'[1]побудинковий звіт'!L232+'[2]побудинковий звіт'!L232-'[3]побудинковий звіт'!L232</f>
        <v>335.54730995963166</v>
      </c>
      <c r="M232" s="42">
        <f>'[1]побудинковий звіт'!M232+'[2]побудинковий звіт'!M232-'[3]побудинковий звіт'!M232</f>
        <v>338.551622964069</v>
      </c>
      <c r="N232" s="56">
        <f t="shared" si="239"/>
        <v>3.0043130044373356</v>
      </c>
      <c r="O232" s="42">
        <f>'[1]побудинковий звіт'!O232+'[2]побудинковий звіт'!O232-'[3]побудинковий звіт'!O232</f>
        <v>573</v>
      </c>
      <c r="P232" s="42">
        <f>'[1]побудинковий звіт'!P232+'[2]побудинковий звіт'!P232-'[3]побудинковий звіт'!P232</f>
        <v>450.38546397849461</v>
      </c>
      <c r="Q232" s="56">
        <f t="shared" si="240"/>
        <v>-122.61453602150539</v>
      </c>
      <c r="R232" s="42">
        <f>'[1]побудинковий звіт'!R232+'[2]побудинковий звіт'!R232-'[3]побудинковий звіт'!R232</f>
        <v>0</v>
      </c>
      <c r="S232" s="42">
        <f>'[1]побудинковий звіт'!S232+'[2]побудинковий звіт'!S232-'[3]побудинковий звіт'!S232</f>
        <v>0</v>
      </c>
      <c r="T232" s="56">
        <f t="shared" si="241"/>
        <v>0</v>
      </c>
      <c r="U232" s="42">
        <f>'[1]побудинковий звіт'!U232+'[2]побудинковий звіт'!U232-'[3]побудинковий звіт'!U232</f>
        <v>0</v>
      </c>
      <c r="V232" s="42">
        <f>'[1]побудинковий звіт'!V232+'[2]побудинковий звіт'!V232-'[3]побудинковий звіт'!V232</f>
        <v>0</v>
      </c>
      <c r="W232" s="56">
        <f t="shared" si="242"/>
        <v>0</v>
      </c>
      <c r="X232" s="42">
        <f>'[1]побудинковий звіт'!X232+'[2]побудинковий звіт'!X232-'[3]побудинковий звіт'!X232</f>
        <v>964.30804907366803</v>
      </c>
      <c r="Y232" s="42">
        <f>'[1]побудинковий звіт'!Y232+'[2]побудинковий звіт'!Y232-'[3]побудинковий звіт'!Y232</f>
        <v>708.50933637246828</v>
      </c>
      <c r="Z232" s="56">
        <f t="shared" si="243"/>
        <v>-255.79871270119975</v>
      </c>
      <c r="AA232" s="42">
        <f>'[1]побудинковий звіт'!AA232+'[2]побудинковий звіт'!AA232-'[3]побудинковий звіт'!AA232</f>
        <v>0</v>
      </c>
      <c r="AB232" s="42">
        <f>'[1]побудинковий звіт'!AB232+'[2]побудинковий звіт'!AB232-'[3]побудинковий звіт'!AB232</f>
        <v>0</v>
      </c>
      <c r="AC232" s="56">
        <f t="shared" si="244"/>
        <v>0</v>
      </c>
      <c r="AD232" s="42">
        <f>'[1]побудинковий звіт'!AD232+'[2]побудинковий звіт'!AD232-'[3]побудинковий звіт'!AD232</f>
        <v>1751.808179153689</v>
      </c>
      <c r="AE232" s="42">
        <f>'[1]побудинковий звіт'!AE232+'[2]побудинковий звіт'!AE232-'[3]побудинковий звіт'!AE232</f>
        <v>1614.6299299298043</v>
      </c>
      <c r="AF232" s="37">
        <f t="shared" si="245"/>
        <v>-137.17824922388468</v>
      </c>
      <c r="AG232" s="87">
        <f t="shared" si="235"/>
        <v>5588.5997588375403</v>
      </c>
      <c r="AH232" s="57">
        <f t="shared" si="235"/>
        <v>5049.6213467455682</v>
      </c>
      <c r="AI232" s="56">
        <f t="shared" si="246"/>
        <v>-538.97841209197213</v>
      </c>
      <c r="AJ232" s="42">
        <f>'[1]побудинковий звіт'!AJ232+'[2]побудинковий звіт'!AJ232-'[3]побудинковий звіт'!AJ232</f>
        <v>0</v>
      </c>
      <c r="AK232" s="42">
        <f>'[1]побудинковий звіт'!AK232+'[2]побудинковий звіт'!AK232-'[3]побудинковий звіт'!AK232</f>
        <v>0</v>
      </c>
      <c r="AL232" s="56">
        <f t="shared" si="247"/>
        <v>0</v>
      </c>
      <c r="AM232" s="42">
        <f>'[1]побудинковий звіт'!AM232+'[2]побудинковий звіт'!AM232-'[3]побудинковий звіт'!AM232</f>
        <v>0</v>
      </c>
      <c r="AN232" s="42">
        <f>'[1]побудинковий звіт'!AN232+'[2]побудинковий звіт'!AN232-'[3]побудинковий звіт'!AN232</f>
        <v>0</v>
      </c>
      <c r="AO232" s="56">
        <f t="shared" si="248"/>
        <v>0</v>
      </c>
      <c r="AP232" s="42">
        <f>'[1]побудинковий звіт'!AP232+'[2]побудинковий звіт'!AP232-'[3]побудинковий звіт'!AP232</f>
        <v>1136.4211714723797</v>
      </c>
      <c r="AQ232" s="42">
        <f>'[1]побудинковий звіт'!AQ232+'[2]побудинковий звіт'!AQ232-'[3]побудинковий звіт'!AQ232</f>
        <v>918.36201059316954</v>
      </c>
      <c r="AR232" s="56">
        <f t="shared" si="249"/>
        <v>-218.05916087921014</v>
      </c>
      <c r="AS232" s="42">
        <f>'[1]побудинковий звіт'!AS232+'[2]побудинковий звіт'!AS232-'[3]побудинковий звіт'!AS232</f>
        <v>5590.043375413542</v>
      </c>
      <c r="AT232" s="42">
        <f>'[1]побудинковий звіт'!AT232+'[2]побудинковий звіт'!AT232-'[3]побудинковий звіт'!AT232</f>
        <v>30</v>
      </c>
      <c r="AU232" s="58">
        <f t="shared" si="266"/>
        <v>-5560.043375413542</v>
      </c>
      <c r="AV232" s="42">
        <f>'[1]побудинковий звіт'!AV232+'[2]побудинковий звіт'!AV232-'[3]побудинковий звіт'!AV232</f>
        <v>330.2834567508126</v>
      </c>
      <c r="AW232" s="42">
        <f>'[1]побудинковий звіт'!AW232+'[2]побудинковий звіт'!AW232-'[3]побудинковий звіт'!AW232</f>
        <v>3883</v>
      </c>
      <c r="AX232" s="59">
        <f t="shared" si="267"/>
        <v>3552.7165432491875</v>
      </c>
      <c r="AY232" s="42">
        <f>'[1]побудинковий звіт'!AY232+'[2]побудинковий звіт'!AY232-'[3]побудинковий звіт'!AY232</f>
        <v>432.5264025534882</v>
      </c>
      <c r="AZ232" s="42">
        <f>'[1]побудинковий звіт'!AZ232+'[2]побудинковий звіт'!AZ232-'[3]побудинковий звіт'!AZ232</f>
        <v>0</v>
      </c>
      <c r="BA232" s="37">
        <f t="shared" si="268"/>
        <v>-432.5264025534882</v>
      </c>
      <c r="BB232" s="42">
        <f>'[1]побудинковий звіт'!BB232+'[2]побудинковий звіт'!BB232-'[3]побудинковий звіт'!BB232</f>
        <v>286.66466480475628</v>
      </c>
      <c r="BC232" s="42">
        <f>'[1]побудинковий звіт'!BC232+'[2]побудинковий звіт'!BC232-'[3]побудинковий звіт'!BC232</f>
        <v>2019</v>
      </c>
      <c r="BD232" s="59">
        <f t="shared" si="269"/>
        <v>1732.3353351952437</v>
      </c>
      <c r="BE232" s="42">
        <f>'[1]побудинковий звіт'!BE232+'[2]побудинковий звіт'!BE232-'[3]побудинковий звіт'!BE232</f>
        <v>0</v>
      </c>
      <c r="BF232" s="42">
        <f>'[1]побудинковий звіт'!BF232+'[2]побудинковий звіт'!BF232-'[3]побудинковий звіт'!BF232</f>
        <v>0</v>
      </c>
      <c r="BG232" s="39">
        <f t="shared" si="270"/>
        <v>0</v>
      </c>
      <c r="BH232" s="42">
        <f>'[1]побудинковий звіт'!BH232+'[2]побудинковий звіт'!BH232-'[3]побудинковий звіт'!BH232</f>
        <v>0</v>
      </c>
      <c r="BI232" s="42">
        <f>'[1]побудинковий звіт'!BI232+'[2]побудинковий звіт'!BI232-'[3]побудинковий звіт'!BI232</f>
        <v>0</v>
      </c>
      <c r="BJ232" s="59">
        <f t="shared" si="271"/>
        <v>0</v>
      </c>
      <c r="BK232" s="42">
        <f>'[1]побудинковий звіт'!BK232+'[2]побудинковий звіт'!BK232-'[3]побудинковий звіт'!BK232</f>
        <v>78.787193100235982</v>
      </c>
      <c r="BL232" s="42">
        <f>'[1]побудинковий звіт'!BL232+'[2]побудинковий звіт'!BL232-'[3]побудинковий звіт'!BL232</f>
        <v>0</v>
      </c>
      <c r="BM232" s="39">
        <f t="shared" si="272"/>
        <v>-78.787193100235982</v>
      </c>
      <c r="BN232" s="42">
        <f>'[1]побудинковий звіт'!BN232+'[2]побудинковий звіт'!BN232-'[3]побудинковий звіт'!BN232</f>
        <v>0</v>
      </c>
      <c r="BO232" s="42">
        <f>'[1]побудинковий звіт'!BO232+'[2]побудинковий звіт'!BO232-'[3]побудинковий звіт'!BO232</f>
        <v>0</v>
      </c>
      <c r="BP232" s="59">
        <f t="shared" si="273"/>
        <v>0</v>
      </c>
      <c r="BQ232" s="87">
        <f t="shared" si="233"/>
        <v>1128.261717209293</v>
      </c>
      <c r="BR232" s="43">
        <f t="shared" si="275"/>
        <v>5902</v>
      </c>
      <c r="BS232" s="59">
        <f t="shared" si="274"/>
        <v>4773.7382827907068</v>
      </c>
      <c r="BT232" s="42">
        <f>'[1]побудинковий звіт'!BT232+'[2]побудинковий звіт'!BT232-'[3]побудинковий звіт'!BT232</f>
        <v>5851.6610563297218</v>
      </c>
      <c r="BU232" s="42">
        <f>'[1]побудинковий звіт'!BU232+'[2]побудинковий звіт'!BU232-'[3]побудинковий звіт'!BU232</f>
        <v>8118.9337175983583</v>
      </c>
      <c r="BV232" s="56">
        <f t="shared" si="250"/>
        <v>2267.2726612686365</v>
      </c>
      <c r="BW232" s="42">
        <f>'[1]побудинковий звіт'!BW232+'[2]побудинковий звіт'!BW232-'[3]побудинковий звіт'!BW232</f>
        <v>3491.3960214390759</v>
      </c>
      <c r="BX232" s="42">
        <f>'[1]побудинковий звіт'!BX232+'[2]побудинковий звіт'!BX232-'[3]побудинковий звіт'!BX232</f>
        <v>3531.3044224944388</v>
      </c>
      <c r="BY232" s="56">
        <f t="shared" si="251"/>
        <v>39.908401055362901</v>
      </c>
      <c r="BZ232" s="42">
        <f>'[1]побудинковий звіт'!BZ232+'[2]побудинковий звіт'!BZ232-'[3]побудинковий звіт'!BZ232</f>
        <v>1099.3634233244854</v>
      </c>
      <c r="CA232" s="42">
        <f>'[1]побудинковий звіт'!CA232+'[2]побудинковий звіт'!CA232-'[3]побудинковий звіт'!CA232</f>
        <v>1738.0190773420884</v>
      </c>
      <c r="CB232" s="56">
        <f t="shared" si="252"/>
        <v>638.65565401760296</v>
      </c>
      <c r="CC232" s="42">
        <f>'[1]побудинковий звіт'!CC232+'[2]побудинковий звіт'!CC232-'[3]побудинковий звіт'!CC232</f>
        <v>0</v>
      </c>
      <c r="CD232" s="42">
        <f>'[1]побудинковий звіт'!CD232+'[2]побудинковий звіт'!CD232-'[3]побудинковий звіт'!CD232</f>
        <v>0</v>
      </c>
      <c r="CE232" s="56">
        <f t="shared" si="253"/>
        <v>0</v>
      </c>
      <c r="CF232" s="42">
        <f>'[1]побудинковий звіт'!CF232+'[2]побудинковий звіт'!CF232-'[3]побудинковий звіт'!CF232</f>
        <v>0</v>
      </c>
      <c r="CG232" s="42">
        <f>'[1]побудинковий звіт'!CG232+'[2]побудинковий звіт'!CG232-'[3]побудинковий звіт'!CG232</f>
        <v>0</v>
      </c>
      <c r="CH232" s="56">
        <f t="shared" si="254"/>
        <v>0</v>
      </c>
      <c r="CI232" s="42">
        <f>'[1]побудинковий звіт'!CI232+'[2]побудинковий звіт'!CI232-'[3]побудинковий звіт'!CI232</f>
        <v>692.54843155610911</v>
      </c>
      <c r="CJ232" s="42">
        <f>'[1]побудинковий звіт'!CJ232+'[2]побудинковий звіт'!CJ232-'[3]побудинковий звіт'!CJ232</f>
        <v>1100.4932069954866</v>
      </c>
      <c r="CK232" s="56">
        <f t="shared" si="255"/>
        <v>407.94477543937751</v>
      </c>
      <c r="CL232" s="42">
        <f>'[1]побудинковий звіт'!CL232+'[2]побудинковий звіт'!CL232-'[3]побудинковий звіт'!CL232</f>
        <v>0</v>
      </c>
      <c r="CM232" s="42">
        <f>'[1]побудинковий звіт'!CM232+'[2]побудинковий звіт'!CM232-'[3]побудинковий звіт'!CM232</f>
        <v>0</v>
      </c>
      <c r="CN232" s="56">
        <f t="shared" si="256"/>
        <v>0</v>
      </c>
      <c r="CO232" s="42">
        <f t="shared" si="236"/>
        <v>692.54843155610911</v>
      </c>
      <c r="CP232" s="43">
        <f t="shared" si="257"/>
        <v>1100.4932069954866</v>
      </c>
      <c r="CQ232" s="56">
        <f t="shared" si="258"/>
        <v>407.94477543937751</v>
      </c>
      <c r="CR232" s="78">
        <f t="shared" si="237"/>
        <v>24578.294955582147</v>
      </c>
      <c r="CS232" s="5">
        <f t="shared" si="237"/>
        <v>26388.733781769108</v>
      </c>
      <c r="CT232" s="56">
        <f t="shared" si="259"/>
        <v>1810.4388261869608</v>
      </c>
      <c r="CU232" s="87">
        <f t="shared" si="260"/>
        <v>29493.953946698573</v>
      </c>
      <c r="CV232" s="70">
        <f t="shared" si="261"/>
        <v>31666.480538122927</v>
      </c>
      <c r="CW232" s="37">
        <f t="shared" si="262"/>
        <v>2172.5265914243537</v>
      </c>
      <c r="CX232" s="42">
        <f>'[1]побудинковий звіт'!CX232+'[2]побудинковий звіт'!CX232-'[3]побудинковий звіт'!CX232</f>
        <v>-0.11394669856781547</v>
      </c>
      <c r="CY232" s="42">
        <f>'[1]побудинковий звіт'!CY232+'[2]побудинковий звіт'!CY232-'[3]побудинковий звіт'!CY232</f>
        <v>-2172.6405381229297</v>
      </c>
      <c r="CZ232" s="56">
        <f t="shared" si="263"/>
        <v>-2172.5265914243619</v>
      </c>
      <c r="DA232" s="264">
        <f>'[4]побудинковий звіт'!DA232</f>
        <v>7810.5218187307746</v>
      </c>
      <c r="DB232" s="2">
        <v>2</v>
      </c>
      <c r="DC232" s="717">
        <f>'[4]побудинковий звіт'!DC232</f>
        <v>9881.7099999999991</v>
      </c>
      <c r="DD232" s="717">
        <f>'[4]побудинковий звіт'!DD232</f>
        <v>0</v>
      </c>
      <c r="DE232" s="717">
        <f>'[4]побудинковий звіт'!DE232</f>
        <v>7423.8899999999994</v>
      </c>
      <c r="DF232" s="717">
        <f>'[4]побудинковий звіт'!DF232</f>
        <v>0</v>
      </c>
      <c r="DG232" s="787">
        <v>7036.2920946136292</v>
      </c>
      <c r="DH232" s="761">
        <f t="shared" si="226"/>
        <v>353926.08000000007</v>
      </c>
      <c r="DI232" s="784"/>
      <c r="DJ232" s="5"/>
      <c r="DK232" s="317">
        <f>VLOOKUP($A232,ціни!$A$4:$G$401,5)</f>
        <v>5.9990956689241246</v>
      </c>
      <c r="DL232" s="317"/>
      <c r="DM232" s="317">
        <f>VLOOKUP($A232,ціни!$A$4:$G$401,7)</f>
        <v>5.1469121147530057</v>
      </c>
      <c r="DN232" s="30">
        <f t="shared" si="276"/>
        <v>12076.179581544262</v>
      </c>
      <c r="DO232" s="30">
        <f t="shared" si="277"/>
        <v>0</v>
      </c>
      <c r="DP232" s="316">
        <f t="shared" si="221"/>
        <v>12076.179581544262</v>
      </c>
      <c r="DQ232" s="104"/>
      <c r="DR232" s="30">
        <f>VLOOKUP(A232,'ДЗ нас '!$A$1:$C$359,2)</f>
        <v>2457.8200000000002</v>
      </c>
      <c r="DS232" s="748"/>
      <c r="DT232" s="30">
        <f t="shared" si="222"/>
        <v>2457.8200000000002</v>
      </c>
      <c r="DU232" s="257">
        <f>VLOOKUP(A232,'новий кошторис с 01.06'!$A$4:$AI$399,35)*1.2</f>
        <v>2457.8294955582141</v>
      </c>
      <c r="DV232" s="30">
        <f t="shared" si="223"/>
        <v>-9.4955582139846229E-3</v>
      </c>
      <c r="DW232" s="930">
        <f>'[5]побудинковий звіт'!DW232+'[6]побудинковий звіт'!DW232</f>
        <v>0</v>
      </c>
      <c r="DY232" s="5">
        <f t="shared" si="227"/>
        <v>8061.9661111474015</v>
      </c>
      <c r="DZ232" s="5">
        <f t="shared" si="228"/>
        <v>7118.4</v>
      </c>
      <c r="EA232" s="752">
        <f t="shared" si="229"/>
        <v>7423.8899999999994</v>
      </c>
      <c r="EC232" s="592">
        <f t="shared" si="230"/>
        <v>67080.520504962507</v>
      </c>
      <c r="EE232" s="758">
        <v>-2143</v>
      </c>
      <c r="EF232" s="738">
        <f t="shared" si="231"/>
        <v>4893.2920946136292</v>
      </c>
      <c r="EH232" s="813">
        <v>9227.1897013447178</v>
      </c>
    </row>
    <row r="233" spans="1:138" x14ac:dyDescent="0.3">
      <c r="A233" s="328">
        <v>150000728</v>
      </c>
      <c r="B233" s="44" t="s">
        <v>683</v>
      </c>
      <c r="C233" s="45" t="s">
        <v>1752</v>
      </c>
      <c r="D233" s="45" t="s">
        <v>184</v>
      </c>
      <c r="E233" s="40">
        <f t="shared" si="232"/>
        <v>699.21</v>
      </c>
      <c r="F233" s="490">
        <v>635.11</v>
      </c>
      <c r="G233" s="30"/>
      <c r="H233" s="30">
        <v>64.099999999999994</v>
      </c>
      <c r="I233" s="42">
        <f>'[1]побудинковий звіт'!I233+'[2]побудинковий звіт'!I233-'[3]побудинковий звіт'!I233</f>
        <v>2001.0646017729428</v>
      </c>
      <c r="J233" s="42">
        <f>'[1]побудинковий звіт'!J233+'[2]побудинковий звіт'!J233-'[3]побудинковий звіт'!J233</f>
        <v>2146.6526212389535</v>
      </c>
      <c r="K233" s="56">
        <f t="shared" si="238"/>
        <v>145.58801946601079</v>
      </c>
      <c r="L233" s="42">
        <f>'[1]побудинковий звіт'!L233+'[2]побудинковий звіт'!L233-'[3]побудинковий звіт'!L233</f>
        <v>335.54730995963166</v>
      </c>
      <c r="M233" s="42">
        <f>'[1]побудинковий звіт'!M233+'[2]побудинковий звіт'!M233-'[3]побудинковий звіт'!M233</f>
        <v>338.551622964069</v>
      </c>
      <c r="N233" s="56">
        <f t="shared" si="239"/>
        <v>3.0043130044373356</v>
      </c>
      <c r="O233" s="42">
        <f>'[1]побудинковий звіт'!O233+'[2]побудинковий звіт'!O233-'[3]побудинковий звіт'!O233</f>
        <v>645.12</v>
      </c>
      <c r="P233" s="42">
        <f>'[1]побудинковий звіт'!P233+'[2]побудинковий звіт'!P233-'[3]побудинковий звіт'!P233</f>
        <v>507.09115268817209</v>
      </c>
      <c r="Q233" s="56">
        <f t="shared" si="240"/>
        <v>-138.02884731182792</v>
      </c>
      <c r="R233" s="42">
        <f>'[1]побудинковий звіт'!R233+'[2]побудинковий звіт'!R233-'[3]побудинковий звіт'!R233</f>
        <v>0</v>
      </c>
      <c r="S233" s="42">
        <f>'[1]побудинковий звіт'!S233+'[2]побудинковий звіт'!S233-'[3]побудинковий звіт'!S233</f>
        <v>0</v>
      </c>
      <c r="T233" s="56">
        <f t="shared" si="241"/>
        <v>0</v>
      </c>
      <c r="U233" s="42">
        <f>'[1]побудинковий звіт'!U233+'[2]побудинковий звіт'!U233-'[3]побудинковий звіт'!U233</f>
        <v>0</v>
      </c>
      <c r="V233" s="42">
        <f>'[1]побудинковий звіт'!V233+'[2]побудинковий звіт'!V233-'[3]побудинковий звіт'!V233</f>
        <v>0</v>
      </c>
      <c r="W233" s="56">
        <f t="shared" si="242"/>
        <v>0</v>
      </c>
      <c r="X233" s="42">
        <f>'[1]побудинковий звіт'!X233+'[2]побудинковий звіт'!X233-'[3]побудинковий звіт'!X233</f>
        <v>964.30804907366803</v>
      </c>
      <c r="Y233" s="42">
        <f>'[1]побудинковий звіт'!Y233+'[2]побудинковий звіт'!Y233-'[3]побудинковий звіт'!Y233</f>
        <v>709.4969280073467</v>
      </c>
      <c r="Z233" s="56">
        <f t="shared" si="243"/>
        <v>-254.81112106632133</v>
      </c>
      <c r="AA233" s="42">
        <f>'[1]побудинковий звіт'!AA233+'[2]побудинковий звіт'!AA233-'[3]побудинковий звіт'!AA233</f>
        <v>0</v>
      </c>
      <c r="AB233" s="42">
        <f>'[1]побудинковий звіт'!AB233+'[2]побудинковий звіт'!AB233-'[3]побудинковий звіт'!AB233</f>
        <v>0</v>
      </c>
      <c r="AC233" s="56">
        <f t="shared" si="244"/>
        <v>0</v>
      </c>
      <c r="AD233" s="42">
        <f>'[1]побудинковий звіт'!AD233+'[2]побудинковий звіт'!AD233-'[3]побудинковий звіт'!AD233</f>
        <v>1926.6896888617334</v>
      </c>
      <c r="AE233" s="42">
        <f>'[1]побудинковий звіт'!AE233+'[2]побудинковий звіт'!AE233-'[3]побудинковий звіт'!AE233</f>
        <v>1775.8170525417859</v>
      </c>
      <c r="AF233" s="37">
        <f t="shared" si="245"/>
        <v>-150.87263631994756</v>
      </c>
      <c r="AG233" s="87">
        <f t="shared" si="235"/>
        <v>5872.7296496679755</v>
      </c>
      <c r="AH233" s="57">
        <f t="shared" si="235"/>
        <v>5477.6093774403271</v>
      </c>
      <c r="AI233" s="56">
        <f t="shared" si="246"/>
        <v>-395.12027222764846</v>
      </c>
      <c r="AJ233" s="42">
        <f>'[1]побудинковий звіт'!AJ233+'[2]побудинковий звіт'!AJ233-'[3]побудинковий звіт'!AJ233</f>
        <v>0</v>
      </c>
      <c r="AK233" s="42">
        <f>'[1]побудинковий звіт'!AK233+'[2]побудинковий звіт'!AK233-'[3]побудинковий звіт'!AK233</f>
        <v>0</v>
      </c>
      <c r="AL233" s="56">
        <f t="shared" si="247"/>
        <v>0</v>
      </c>
      <c r="AM233" s="42">
        <f>'[1]побудинковий звіт'!AM233+'[2]побудинковий звіт'!AM233-'[3]побудинковий звіт'!AM233</f>
        <v>0</v>
      </c>
      <c r="AN233" s="42">
        <f>'[1]побудинковий звіт'!AN233+'[2]побудинковий звіт'!AN233-'[3]побудинковий звіт'!AN233</f>
        <v>0</v>
      </c>
      <c r="AO233" s="56">
        <f t="shared" si="248"/>
        <v>0</v>
      </c>
      <c r="AP233" s="42">
        <f>'[1]побудинковий звіт'!AP233+'[2]побудинковий звіт'!AP233-'[3]побудинковий звіт'!AP233</f>
        <v>994.36852503833211</v>
      </c>
      <c r="AQ233" s="42">
        <f>'[1]побудинковий звіт'!AQ233+'[2]побудинковий звіт'!AQ233-'[3]побудинковий звіт'!AQ233</f>
        <v>847.60365141565262</v>
      </c>
      <c r="AR233" s="56">
        <f t="shared" si="249"/>
        <v>-146.76487362267949</v>
      </c>
      <c r="AS233" s="42">
        <f>'[1]побудинковий звіт'!AS233+'[2]побудинковий звіт'!AS233-'[3]побудинковий звіт'!AS233</f>
        <v>4019.6880665971303</v>
      </c>
      <c r="AT233" s="42">
        <f>'[1]побудинковий звіт'!AT233+'[2]побудинковий звіт'!AT233-'[3]побудинковий звіт'!AT233</f>
        <v>0</v>
      </c>
      <c r="AU233" s="58">
        <f t="shared" si="266"/>
        <v>-4019.6880665971303</v>
      </c>
      <c r="AV233" s="42">
        <f>'[1]побудинковий звіт'!AV233+'[2]побудинковий звіт'!AV233-'[3]побудинковий звіт'!AV233</f>
        <v>349.31330119830955</v>
      </c>
      <c r="AW233" s="42">
        <f>'[1]побудинковий звіт'!AW233+'[2]побудинковий звіт'!AW233-'[3]побудинковий звіт'!AW233</f>
        <v>0</v>
      </c>
      <c r="AX233" s="59">
        <f t="shared" si="267"/>
        <v>-349.31330119830955</v>
      </c>
      <c r="AY233" s="42">
        <f>'[1]побудинковий звіт'!AY233+'[2]побудинковий звіт'!AY233-'[3]побудинковий звіт'!AY233</f>
        <v>432.5264025534882</v>
      </c>
      <c r="AZ233" s="42">
        <f>'[1]побудинковий звіт'!AZ233+'[2]побудинковий звіт'!AZ233-'[3]побудинковий звіт'!AZ233</f>
        <v>0</v>
      </c>
      <c r="BA233" s="37">
        <f t="shared" si="268"/>
        <v>-432.5264025534882</v>
      </c>
      <c r="BB233" s="42">
        <f>'[1]побудинковий звіт'!BB233+'[2]побудинковий звіт'!BB233-'[3]побудинковий звіт'!BB233</f>
        <v>323.16543218430274</v>
      </c>
      <c r="BC233" s="42">
        <f>'[1]побудинковий звіт'!BC233+'[2]побудинковий звіт'!BC233-'[3]побудинковий звіт'!BC233</f>
        <v>0</v>
      </c>
      <c r="BD233" s="59">
        <f t="shared" si="269"/>
        <v>-323.16543218430274</v>
      </c>
      <c r="BE233" s="42">
        <f>'[1]побудинковий звіт'!BE233+'[2]побудинковий звіт'!BE233-'[3]побудинковий звіт'!BE233</f>
        <v>0</v>
      </c>
      <c r="BF233" s="42">
        <f>'[1]побудинковий звіт'!BF233+'[2]побудинковий звіт'!BF233-'[3]побудинковий звіт'!BF233</f>
        <v>0</v>
      </c>
      <c r="BG233" s="39">
        <f t="shared" si="270"/>
        <v>0</v>
      </c>
      <c r="BH233" s="42">
        <f>'[1]побудинковий звіт'!BH233+'[2]побудинковий звіт'!BH233-'[3]побудинковий звіт'!BH233</f>
        <v>0</v>
      </c>
      <c r="BI233" s="42">
        <f>'[1]побудинковий звіт'!BI233+'[2]побудинковий звіт'!BI233-'[3]побудинковий звіт'!BI233</f>
        <v>0</v>
      </c>
      <c r="BJ233" s="59">
        <f t="shared" si="271"/>
        <v>0</v>
      </c>
      <c r="BK233" s="42">
        <f>'[1]побудинковий звіт'!BK233+'[2]побудинковий звіт'!BK233-'[3]побудинковий звіт'!BK233</f>
        <v>78.787193100235982</v>
      </c>
      <c r="BL233" s="42">
        <f>'[1]побудинковий звіт'!BL233+'[2]побудинковий звіт'!BL233-'[3]побудинковий звіт'!BL233</f>
        <v>700</v>
      </c>
      <c r="BM233" s="39">
        <f t="shared" si="272"/>
        <v>621.21280689976402</v>
      </c>
      <c r="BN233" s="42">
        <f>'[1]побудинковий звіт'!BN233+'[2]побудинковий звіт'!BN233-'[3]побудинковий звіт'!BN233</f>
        <v>0</v>
      </c>
      <c r="BO233" s="42">
        <f>'[1]побудинковий звіт'!BO233+'[2]побудинковий звіт'!BO233-'[3]побудинковий звіт'!BO233</f>
        <v>0</v>
      </c>
      <c r="BP233" s="59">
        <f t="shared" si="273"/>
        <v>0</v>
      </c>
      <c r="BQ233" s="87">
        <f t="shared" si="233"/>
        <v>1183.7923290363365</v>
      </c>
      <c r="BR233" s="43">
        <f t="shared" si="275"/>
        <v>700</v>
      </c>
      <c r="BS233" s="59">
        <f t="shared" si="274"/>
        <v>-483.79232903633647</v>
      </c>
      <c r="BT233" s="42">
        <f>'[1]побудинковий звіт'!BT233+'[2]побудинковий звіт'!BT233-'[3]побудинковий звіт'!BT233</f>
        <v>5990.314936341696</v>
      </c>
      <c r="BU233" s="42">
        <f>'[1]побудинковий звіт'!BU233+'[2]побудинковий звіт'!BU233-'[3]побудинковий звіт'!BU233</f>
        <v>7680.9733585425847</v>
      </c>
      <c r="BV233" s="56">
        <f t="shared" si="250"/>
        <v>1690.6584222008887</v>
      </c>
      <c r="BW233" s="42">
        <f>'[1]побудинковий звіт'!BW233+'[2]побудинковий звіт'!BW233-'[3]побудинковий звіт'!BW233</f>
        <v>4817.5680772898786</v>
      </c>
      <c r="BX233" s="42">
        <f>'[1]побудинковий звіт'!BX233+'[2]побудинковий звіт'!BX233-'[3]побудинковий звіт'!BX233</f>
        <v>4819.9517502152285</v>
      </c>
      <c r="BY233" s="56">
        <f t="shared" si="251"/>
        <v>2.3836729253498561</v>
      </c>
      <c r="BZ233" s="42">
        <f>'[1]побудинковий звіт'!BZ233+'[2]побудинковий звіт'!BZ233-'[3]побудинковий звіт'!BZ233</f>
        <v>1067.105797582991</v>
      </c>
      <c r="CA233" s="42">
        <f>'[1]побудинковий звіт'!CA233+'[2]побудинковий звіт'!CA233-'[3]побудинковий звіт'!CA233</f>
        <v>1557.6755758449303</v>
      </c>
      <c r="CB233" s="56">
        <f t="shared" si="252"/>
        <v>490.56977826193929</v>
      </c>
      <c r="CC233" s="42">
        <f>'[1]побудинковий звіт'!CC233+'[2]побудинковий звіт'!CC233-'[3]побудинковий звіт'!CC233</f>
        <v>0</v>
      </c>
      <c r="CD233" s="42">
        <f>'[1]побудинковий звіт'!CD233+'[2]побудинковий звіт'!CD233-'[3]побудинковий звіт'!CD233</f>
        <v>0</v>
      </c>
      <c r="CE233" s="56">
        <f t="shared" si="253"/>
        <v>0</v>
      </c>
      <c r="CF233" s="42">
        <f>'[1]побудинковий звіт'!CF233+'[2]побудинковий звіт'!CF233-'[3]побудинковий звіт'!CF233</f>
        <v>0</v>
      </c>
      <c r="CG233" s="42">
        <f>'[1]побудинковий звіт'!CG233+'[2]побудинковий звіт'!CG233-'[3]побудинковий звіт'!CG233</f>
        <v>0</v>
      </c>
      <c r="CH233" s="56">
        <f t="shared" si="254"/>
        <v>0</v>
      </c>
      <c r="CI233" s="42">
        <f>'[1]побудинковий звіт'!CI233+'[2]побудинковий звіт'!CI233-'[3]побудинковий звіт'!CI233</f>
        <v>954.59378403679898</v>
      </c>
      <c r="CJ233" s="42">
        <f>'[1]побудинковий звіт'!CJ233+'[2]побудинковий звіт'!CJ233-'[3]побудинковий звіт'!CJ233</f>
        <v>140.82998584806245</v>
      </c>
      <c r="CK233" s="56">
        <f t="shared" si="255"/>
        <v>-813.76379818873647</v>
      </c>
      <c r="CL233" s="42">
        <f>'[1]побудинковий звіт'!CL233+'[2]побудинковий звіт'!CL233-'[3]побудинковий звіт'!CL233</f>
        <v>0</v>
      </c>
      <c r="CM233" s="42">
        <f>'[1]побудинковий звіт'!CM233+'[2]побудинковий звіт'!CM233-'[3]побудинковий звіт'!CM233</f>
        <v>0</v>
      </c>
      <c r="CN233" s="56">
        <f t="shared" si="256"/>
        <v>0</v>
      </c>
      <c r="CO233" s="42">
        <f t="shared" si="236"/>
        <v>954.59378403679898</v>
      </c>
      <c r="CP233" s="43">
        <f t="shared" si="257"/>
        <v>140.82998584806245</v>
      </c>
      <c r="CQ233" s="56">
        <f t="shared" si="258"/>
        <v>-813.76379818873647</v>
      </c>
      <c r="CR233" s="78">
        <f t="shared" si="237"/>
        <v>24900.161165591137</v>
      </c>
      <c r="CS233" s="5">
        <f t="shared" si="237"/>
        <v>21224.643699306787</v>
      </c>
      <c r="CT233" s="56">
        <f t="shared" si="259"/>
        <v>-3675.5174662843492</v>
      </c>
      <c r="CU233" s="87">
        <f t="shared" si="260"/>
        <v>29880.193398709362</v>
      </c>
      <c r="CV233" s="70">
        <f t="shared" si="261"/>
        <v>25469.572439168143</v>
      </c>
      <c r="CW233" s="37">
        <f t="shared" si="262"/>
        <v>-4410.6209595412183</v>
      </c>
      <c r="CX233" s="42">
        <f>'[1]побудинковий звіт'!CX233+'[2]побудинковий звіт'!CX233-'[3]побудинковий звіт'!CX233</f>
        <v>746.8066012906329</v>
      </c>
      <c r="CY233" s="42">
        <f>'[1]побудинковий звіт'!CY233+'[2]побудинковий звіт'!CY233-'[3]побудинковий звіт'!CY233</f>
        <v>5157.4275608318594</v>
      </c>
      <c r="CZ233" s="56">
        <f t="shared" si="263"/>
        <v>4410.6209595412265</v>
      </c>
      <c r="DA233" s="264">
        <f>'[4]побудинковий звіт'!DA233</f>
        <v>21926.462152782875</v>
      </c>
      <c r="DB233" s="2">
        <v>2</v>
      </c>
      <c r="DC233" s="717">
        <f>'[4]побудинковий звіт'!DC233</f>
        <v>10306.969999999999</v>
      </c>
      <c r="DD233" s="717">
        <f>'[4]побудинковий звіт'!DD233</f>
        <v>292.82</v>
      </c>
      <c r="DE233" s="717">
        <f>'[4]побудинковий звіт'!DE233</f>
        <v>8047.5399999999991</v>
      </c>
      <c r="DF233" s="717">
        <f>'[4]побудинковий звіт'!DF233</f>
        <v>0</v>
      </c>
      <c r="DG233" s="787">
        <v>25783.397290426059</v>
      </c>
      <c r="DH233" s="761">
        <f t="shared" si="226"/>
        <v>367523.99999999988</v>
      </c>
      <c r="DI233" s="784"/>
      <c r="DJ233" s="5"/>
      <c r="DK233" s="317">
        <f>VLOOKUP($A233,ціни!$A$4:$G$401,5)</f>
        <v>5.8458989361671208</v>
      </c>
      <c r="DL233" s="317"/>
      <c r="DM233" s="317">
        <f>VLOOKUP($A233,ціни!$A$4:$G$401,7)</f>
        <v>4.5682773891497535</v>
      </c>
      <c r="DN233" s="30">
        <f t="shared" si="276"/>
        <v>3712.7888733491</v>
      </c>
      <c r="DO233" s="30">
        <f t="shared" si="277"/>
        <v>292.82658064449919</v>
      </c>
      <c r="DP233" s="316">
        <f t="shared" si="221"/>
        <v>4005.6154539935992</v>
      </c>
      <c r="DQ233" s="104"/>
      <c r="DR233" s="30">
        <f>VLOOKUP(A233,'ДЗ нас '!$A$1:$C$359,2)</f>
        <v>2259.4299999999998</v>
      </c>
      <c r="DS233" s="748">
        <f>VLOOKUP(A233,'ДЗ нежит'!$A$1:$D$153,4,0)</f>
        <v>292.82</v>
      </c>
      <c r="DT233" s="30">
        <f t="shared" si="222"/>
        <v>2552.25</v>
      </c>
      <c r="DU233" s="257">
        <f>VLOOKUP(A233,'новий кошторис с 01.06'!$A$4:$AI$399,35)*1.2</f>
        <v>2564.7166000558868</v>
      </c>
      <c r="DV233" s="30">
        <f t="shared" si="223"/>
        <v>-12.466600055886829</v>
      </c>
      <c r="DW233" s="930">
        <f>'[5]побудинковий звіт'!DW233+'[6]побудинковий звіт'!DW233</f>
        <v>204</v>
      </c>
      <c r="DY233" s="5">
        <f t="shared" si="227"/>
        <v>6244.1764747601601</v>
      </c>
      <c r="DZ233" s="5">
        <f t="shared" si="228"/>
        <v>840</v>
      </c>
      <c r="EA233" s="752">
        <f t="shared" si="229"/>
        <v>8047.5399999999991</v>
      </c>
      <c r="EC233" s="592">
        <f t="shared" si="230"/>
        <v>48236.256799165567</v>
      </c>
      <c r="EE233" s="758">
        <v>-4861</v>
      </c>
      <c r="EF233" s="738">
        <f t="shared" si="231"/>
        <v>20922.397290426059</v>
      </c>
      <c r="EH233" s="813">
        <v>25987.600853350868</v>
      </c>
    </row>
    <row r="234" spans="1:138" x14ac:dyDescent="0.3">
      <c r="A234" s="328">
        <v>150000729</v>
      </c>
      <c r="B234" s="44" t="s">
        <v>684</v>
      </c>
      <c r="C234" s="45" t="s">
        <v>1753</v>
      </c>
      <c r="D234" s="45" t="s">
        <v>273</v>
      </c>
      <c r="E234" s="40">
        <f t="shared" si="232"/>
        <v>63</v>
      </c>
      <c r="F234" s="490">
        <v>63</v>
      </c>
      <c r="G234" s="30"/>
      <c r="H234" s="30">
        <v>0</v>
      </c>
      <c r="I234" s="42">
        <f>'[1]побудинковий звіт'!I234+'[2]побудинковий звіт'!I234-'[3]побудинковий звіт'!I234</f>
        <v>8474.0987855531221</v>
      </c>
      <c r="J234" s="42">
        <f>'[1]побудинковий звіт'!J234+'[2]побудинковий звіт'!J234-'[3]побудинковий звіт'!J234</f>
        <v>8415.0121995986374</v>
      </c>
      <c r="K234" s="56">
        <f t="shared" si="238"/>
        <v>-59.08658595448469</v>
      </c>
      <c r="L234" s="42">
        <f>'[1]побудинковий звіт'!L234+'[2]побудинковий звіт'!L234-'[3]побудинковий звіт'!L234</f>
        <v>1795.793937227169</v>
      </c>
      <c r="M234" s="42">
        <f>'[1]побудинковий звіт'!M234+'[2]побудинковий звіт'!M234-'[3]побудинковий звіт'!M234</f>
        <v>1811.8781303077026</v>
      </c>
      <c r="N234" s="56">
        <f t="shared" si="239"/>
        <v>16.084193080533623</v>
      </c>
      <c r="O234" s="42">
        <f>'[1]побудинковий звіт'!O234+'[2]побудинковий звіт'!O234-'[3]побудинковий звіт'!O234</f>
        <v>3143.76</v>
      </c>
      <c r="P234" s="42">
        <f>'[1]побудинковий звіт'!P234+'[2]побудинковий звіт'!P234-'[3]побудинковий звіт'!P234</f>
        <v>2471.0893518817206</v>
      </c>
      <c r="Q234" s="56">
        <f t="shared" si="240"/>
        <v>-672.67064811827959</v>
      </c>
      <c r="R234" s="42">
        <f>'[1]побудинковий звіт'!R234+'[2]побудинковий звіт'!R234-'[3]побудинковий звіт'!R234</f>
        <v>0</v>
      </c>
      <c r="S234" s="42">
        <f>'[1]побудинковий звіт'!S234+'[2]побудинковий звіт'!S234-'[3]побудинковий звіт'!S234</f>
        <v>0</v>
      </c>
      <c r="T234" s="56">
        <f t="shared" si="241"/>
        <v>0</v>
      </c>
      <c r="U234" s="42">
        <f>'[1]побудинковий звіт'!U234+'[2]побудинковий звіт'!U234-'[3]побудинковий звіт'!U234</f>
        <v>0</v>
      </c>
      <c r="V234" s="42">
        <f>'[1]побудинковий звіт'!V234+'[2]побудинковий звіт'!V234-'[3]побудинковий звіт'!V234</f>
        <v>0</v>
      </c>
      <c r="W234" s="56">
        <f t="shared" si="242"/>
        <v>0</v>
      </c>
      <c r="X234" s="42">
        <f>'[1]побудинковий звіт'!X234+'[2]побудинковий звіт'!X234-'[3]побудинковий звіт'!X234</f>
        <v>5638.3629122357806</v>
      </c>
      <c r="Y234" s="42">
        <f>'[1]побудинковий звіт'!Y234+'[2]побудинковий звіт'!Y234-'[3]побудинковий звіт'!Y234</f>
        <v>4542.6713019412846</v>
      </c>
      <c r="Z234" s="56">
        <f t="shared" si="243"/>
        <v>-1095.6916102944961</v>
      </c>
      <c r="AA234" s="42">
        <f>'[1]побудинковий звіт'!AA234+'[2]побудинковий звіт'!AA234-'[3]побудинковий звіт'!AA234</f>
        <v>0</v>
      </c>
      <c r="AB234" s="42">
        <f>'[1]побудинковий звіт'!AB234+'[2]побудинковий звіт'!AB234-'[3]побудинковий звіт'!AB234</f>
        <v>0</v>
      </c>
      <c r="AC234" s="56">
        <f t="shared" si="244"/>
        <v>0</v>
      </c>
      <c r="AD234" s="42">
        <f>'[1]побудинковий звіт'!AD234+'[2]побудинковий звіт'!AD234-'[3]побудинковий звіт'!AD234</f>
        <v>8990.3633817147838</v>
      </c>
      <c r="AE234" s="42">
        <f>'[1]побудинковий звіт'!AE234+'[2]побудинковий звіт'!AE234-'[3]побудинковий звіт'!AE234</f>
        <v>8285.6747050614686</v>
      </c>
      <c r="AF234" s="37">
        <f t="shared" si="245"/>
        <v>-704.68867665331527</v>
      </c>
      <c r="AG234" s="87">
        <f t="shared" si="235"/>
        <v>28042.379016730854</v>
      </c>
      <c r="AH234" s="57">
        <f t="shared" si="235"/>
        <v>25526.325688790814</v>
      </c>
      <c r="AI234" s="56">
        <f t="shared" si="246"/>
        <v>-2516.0533279400406</v>
      </c>
      <c r="AJ234" s="42">
        <f>'[1]побудинковий звіт'!AJ234+'[2]побудинковий звіт'!AJ234-'[3]побудинковий звіт'!AJ234</f>
        <v>0</v>
      </c>
      <c r="AK234" s="42">
        <f>'[1]побудинковий звіт'!AK234+'[2]побудинковий звіт'!AK234-'[3]побудинковий звіт'!AK234</f>
        <v>0</v>
      </c>
      <c r="AL234" s="56">
        <f t="shared" si="247"/>
        <v>0</v>
      </c>
      <c r="AM234" s="42">
        <f>'[1]побудинковий звіт'!AM234+'[2]побудинковий звіт'!AM234-'[3]побудинковий звіт'!AM234</f>
        <v>0</v>
      </c>
      <c r="AN234" s="42">
        <f>'[1]побудинковий звіт'!AN234+'[2]побудинковий звіт'!AN234-'[3]побудинковий звіт'!AN234</f>
        <v>0</v>
      </c>
      <c r="AO234" s="56">
        <f t="shared" si="248"/>
        <v>0</v>
      </c>
      <c r="AP234" s="42">
        <f>'[1]побудинковий звіт'!AP234+'[2]побудинковий звіт'!AP234-'[3]побудинковий звіт'!AP234</f>
        <v>5682.1058573618993</v>
      </c>
      <c r="AQ234" s="42">
        <f>'[1]побудинковий звіт'!AQ234+'[2]побудинковий звіт'!AQ234-'[3]побудинковий звіт'!AQ234</f>
        <v>5797.8433633513014</v>
      </c>
      <c r="AR234" s="56">
        <f t="shared" si="249"/>
        <v>115.73750598940205</v>
      </c>
      <c r="AS234" s="42">
        <f>'[1]побудинковий звіт'!AS234+'[2]побудинковий звіт'!AS234-'[3]побудинковий звіт'!AS234</f>
        <v>28158.610268269338</v>
      </c>
      <c r="AT234" s="42">
        <f>'[1]побудинковий звіт'!AT234+'[2]побудинковий звіт'!AT234-'[3]побудинковий звіт'!AT234</f>
        <v>9500</v>
      </c>
      <c r="AU234" s="58">
        <f t="shared" si="266"/>
        <v>-18658.610268269338</v>
      </c>
      <c r="AV234" s="42">
        <f>'[1]побудинковий звіт'!AV234+'[2]побудинковий звіт'!AV234-'[3]побудинковий звіт'!AV234</f>
        <v>1498.8275399726422</v>
      </c>
      <c r="AW234" s="42">
        <f>'[1]побудинковий звіт'!AW234+'[2]побудинковий звіт'!AW234-'[3]побудинковий звіт'!AW234</f>
        <v>1250</v>
      </c>
      <c r="AX234" s="59">
        <f t="shared" si="267"/>
        <v>-248.82753997264217</v>
      </c>
      <c r="AY234" s="42">
        <f>'[1]побудинковий звіт'!AY234+'[2]побудинковий звіт'!AY234-'[3]побудинковий звіт'!AY234</f>
        <v>2314.420350658464</v>
      </c>
      <c r="AZ234" s="42">
        <f>'[1]побудинковий звіт'!AZ234+'[2]побудинковий звіт'!AZ234-'[3]побудинковий звіт'!AZ234</f>
        <v>0</v>
      </c>
      <c r="BA234" s="37">
        <f t="shared" si="268"/>
        <v>-2314.420350658464</v>
      </c>
      <c r="BB234" s="42">
        <f>'[1]побудинковий звіт'!BB234+'[2]побудинковий звіт'!BB234-'[3]побудинковий звіт'!BB234</f>
        <v>1350.1942452430567</v>
      </c>
      <c r="BC234" s="42">
        <f>'[1]побудинковий звіт'!BC234+'[2]побудинковий звіт'!BC234-'[3]побудинковий звіт'!BC234</f>
        <v>0</v>
      </c>
      <c r="BD234" s="59">
        <f t="shared" si="269"/>
        <v>-1350.1942452430567</v>
      </c>
      <c r="BE234" s="42">
        <f>'[1]побудинковий звіт'!BE234+'[2]побудинковий звіт'!BE234-'[3]побудинковий звіт'!BE234</f>
        <v>0</v>
      </c>
      <c r="BF234" s="42">
        <f>'[1]побудинковий звіт'!BF234+'[2]побудинковий звіт'!BF234-'[3]побудинковий звіт'!BF234</f>
        <v>0</v>
      </c>
      <c r="BG234" s="39">
        <f t="shared" si="270"/>
        <v>0</v>
      </c>
      <c r="BH234" s="42">
        <f>'[1]побудинковий звіт'!BH234+'[2]побудинковий звіт'!BH234-'[3]побудинковий звіт'!BH234</f>
        <v>0</v>
      </c>
      <c r="BI234" s="42">
        <f>'[1]побудинковий звіт'!BI234+'[2]побудинковий звіт'!BI234-'[3]побудинковий звіт'!BI234</f>
        <v>0</v>
      </c>
      <c r="BJ234" s="59">
        <f t="shared" si="271"/>
        <v>0</v>
      </c>
      <c r="BK234" s="42">
        <f>'[1]побудинковий звіт'!BK234+'[2]побудинковий звіт'!BK234-'[3]побудинковий звіт'!BK234</f>
        <v>773.76019889967279</v>
      </c>
      <c r="BL234" s="42">
        <f>'[1]побудинковий звіт'!BL234+'[2]побудинковий звіт'!BL234-'[3]побудинковий звіт'!BL234</f>
        <v>6461</v>
      </c>
      <c r="BM234" s="39">
        <f t="shared" si="272"/>
        <v>5687.239801100327</v>
      </c>
      <c r="BN234" s="42">
        <f>'[1]побудинковий звіт'!BN234+'[2]побудинковий звіт'!BN234-'[3]побудинковий звіт'!BN234</f>
        <v>0</v>
      </c>
      <c r="BO234" s="42">
        <f>'[1]побудинковий звіт'!BO234+'[2]побудинковий звіт'!BO234-'[3]побудинковий звіт'!BO234</f>
        <v>0</v>
      </c>
      <c r="BP234" s="59">
        <f t="shared" si="273"/>
        <v>0</v>
      </c>
      <c r="BQ234" s="87">
        <f t="shared" si="233"/>
        <v>5937.2023347738359</v>
      </c>
      <c r="BR234" s="43">
        <f t="shared" si="275"/>
        <v>7711</v>
      </c>
      <c r="BS234" s="59">
        <f t="shared" si="274"/>
        <v>1773.7976652261641</v>
      </c>
      <c r="BT234" s="42">
        <f>'[1]побудинковий звіт'!BT234+'[2]побудинковий звіт'!BT234-'[3]побудинковий звіт'!BT234</f>
        <v>13045.919843614811</v>
      </c>
      <c r="BU234" s="42">
        <f>'[1]побудинковий звіт'!BU234+'[2]побудинковий звіт'!BU234-'[3]побудинковий звіт'!BU234</f>
        <v>20147.328466866551</v>
      </c>
      <c r="BV234" s="56">
        <f t="shared" si="250"/>
        <v>7101.4086232517402</v>
      </c>
      <c r="BW234" s="42">
        <f>'[1]побудинковий звіт'!BW234+'[2]побудинковий звіт'!BW234-'[3]побудинковий звіт'!BW234</f>
        <v>11558.847373394685</v>
      </c>
      <c r="BX234" s="42">
        <f>'[1]побудинковий звіт'!BX234+'[2]побудинковий звіт'!BX234-'[3]побудинковий звіт'!BX234</f>
        <v>11858.591919834602</v>
      </c>
      <c r="BY234" s="56">
        <f t="shared" si="251"/>
        <v>299.74454643991703</v>
      </c>
      <c r="BZ234" s="42">
        <f>'[1]побудинковий звіт'!BZ234+'[2]побудинковий звіт'!BZ234-'[3]побудинковий звіт'!BZ234</f>
        <v>5275.8649899651718</v>
      </c>
      <c r="CA234" s="42">
        <f>'[1]побудинковий звіт'!CA234+'[2]побудинковий звіт'!CA234-'[3]побудинковий звіт'!CA234</f>
        <v>4473.6661792276045</v>
      </c>
      <c r="CB234" s="56">
        <f t="shared" si="252"/>
        <v>-802.19881073756733</v>
      </c>
      <c r="CC234" s="42">
        <f>'[1]побудинковий звіт'!CC234+'[2]побудинковий звіт'!CC234-'[3]побудинковий звіт'!CC234</f>
        <v>1111.8209955252125</v>
      </c>
      <c r="CD234" s="42">
        <f>'[1]побудинковий звіт'!CD234+'[2]побудинковий звіт'!CD234-'[3]побудинковий звіт'!CD234</f>
        <v>1102.0422155349961</v>
      </c>
      <c r="CE234" s="56">
        <f t="shared" si="253"/>
        <v>-9.7787799902164352</v>
      </c>
      <c r="CF234" s="42">
        <f>'[1]побудинковий звіт'!CF234+'[2]побудинковий звіт'!CF234-'[3]побудинковий звіт'!CF234</f>
        <v>136.87190285821751</v>
      </c>
      <c r="CG234" s="42">
        <f>'[1]побудинковий звіт'!CG234+'[2]побудинковий звіт'!CG234-'[3]побудинковий звіт'!CG234</f>
        <v>1364.4765505177534</v>
      </c>
      <c r="CH234" s="56">
        <f t="shared" si="254"/>
        <v>1227.6046476595359</v>
      </c>
      <c r="CI234" s="42">
        <f>'[1]побудинковий звіт'!CI234+'[2]побудинковий звіт'!CI234-'[3]побудинковий звіт'!CI234</f>
        <v>2714.0411506928585</v>
      </c>
      <c r="CJ234" s="42">
        <f>'[1]побудинковий звіт'!CJ234+'[2]побудинковий звіт'!CJ234-'[3]побудинковий звіт'!CJ234</f>
        <v>2152.0838595287132</v>
      </c>
      <c r="CK234" s="56">
        <f t="shared" si="255"/>
        <v>-561.95729116414532</v>
      </c>
      <c r="CL234" s="42">
        <f>'[1]побудинковий звіт'!CL234+'[2]побудинковий звіт'!CL234-'[3]побудинковий звіт'!CL234</f>
        <v>0</v>
      </c>
      <c r="CM234" s="42">
        <f>'[1]побудинковий звіт'!CM234+'[2]побудинковий звіт'!CM234-'[3]побудинковий звіт'!CM234</f>
        <v>0</v>
      </c>
      <c r="CN234" s="56">
        <f t="shared" si="256"/>
        <v>0</v>
      </c>
      <c r="CO234" s="42">
        <f t="shared" si="236"/>
        <v>2714.0411506928585</v>
      </c>
      <c r="CP234" s="43">
        <f t="shared" si="257"/>
        <v>2152.0838595287132</v>
      </c>
      <c r="CQ234" s="56">
        <f t="shared" si="258"/>
        <v>-561.95729116414532</v>
      </c>
      <c r="CR234" s="78">
        <f t="shared" si="237"/>
        <v>101663.66373318688</v>
      </c>
      <c r="CS234" s="5">
        <f t="shared" si="237"/>
        <v>89633.358243652328</v>
      </c>
      <c r="CT234" s="56">
        <f t="shared" si="259"/>
        <v>-12030.305489534556</v>
      </c>
      <c r="CU234" s="87">
        <f t="shared" si="260"/>
        <v>121996.39647982425</v>
      </c>
      <c r="CV234" s="70">
        <f t="shared" si="261"/>
        <v>107560.02989238279</v>
      </c>
      <c r="CW234" s="37">
        <f t="shared" si="262"/>
        <v>-14436.366587441458</v>
      </c>
      <c r="CX234" s="42">
        <f>'[1]побудинковий звіт'!CX234+'[2]побудинковий звіт'!CX234-'[3]побудинковий звіт'!CX234</f>
        <v>5936.7135201757337</v>
      </c>
      <c r="CY234" s="42">
        <f>'[1]побудинковий звіт'!CY234+'[2]побудинковий звіт'!CY234-'[3]побудинковий звіт'!CY234</f>
        <v>20373.080107617214</v>
      </c>
      <c r="CZ234" s="56">
        <f t="shared" si="263"/>
        <v>14436.36658744148</v>
      </c>
      <c r="DA234" s="264">
        <f>'[4]побудинковий звіт'!DA234</f>
        <v>8572.5611958592344</v>
      </c>
      <c r="DB234" s="2">
        <v>2</v>
      </c>
      <c r="DC234" s="717">
        <f>'[4]побудинковий звіт'!DC234</f>
        <v>31399.46</v>
      </c>
      <c r="DD234" s="717">
        <f>'[4]побудинковий звіт'!DD234</f>
        <v>0</v>
      </c>
      <c r="DE234" s="717">
        <f>'[4]побудинковий звіт'!DE234</f>
        <v>20739.509999999998</v>
      </c>
      <c r="DF234" s="717">
        <f>'[4]побудинковий звіт'!DF234</f>
        <v>0</v>
      </c>
      <c r="DG234" s="787">
        <v>-36642.684637148341</v>
      </c>
      <c r="DH234" s="761">
        <f t="shared" si="226"/>
        <v>1535197.3199999998</v>
      </c>
      <c r="DI234" s="784"/>
      <c r="DJ234" s="5"/>
      <c r="DK234" s="317">
        <f>VLOOKUP($A234,ціни!$A$4:$G$401,5)</f>
        <v>5.0768975040353022</v>
      </c>
      <c r="DL234" s="317"/>
      <c r="DM234" s="317">
        <f>VLOOKUP($A234,ціни!$A$4:$G$401,7)</f>
        <v>4.4996697982394105</v>
      </c>
      <c r="DN234" s="30">
        <f t="shared" si="276"/>
        <v>319.84454275422405</v>
      </c>
      <c r="DO234" s="30">
        <f t="shared" si="277"/>
        <v>0</v>
      </c>
      <c r="DP234" s="316">
        <f t="shared" si="221"/>
        <v>319.84454275422405</v>
      </c>
      <c r="DQ234" s="104"/>
      <c r="DR234" s="30">
        <f>VLOOKUP(A234,'ДЗ нас '!$A$1:$C$359,2)</f>
        <v>10659.95</v>
      </c>
      <c r="DS234" s="748"/>
      <c r="DT234" s="30">
        <f t="shared" si="222"/>
        <v>10659.95</v>
      </c>
      <c r="DU234" s="257">
        <f>VLOOKUP(A234,'новий кошторис с 01.06'!$A$4:$AI$399,35)*1.2</f>
        <v>10776.348355717813</v>
      </c>
      <c r="DV234" s="30">
        <f t="shared" si="223"/>
        <v>-116.39835571781259</v>
      </c>
      <c r="DW234" s="930">
        <f>'[5]побудинковий звіт'!DW234+'[6]побудинковий звіт'!DW234</f>
        <v>236</v>
      </c>
      <c r="DY234" s="5">
        <f t="shared" si="227"/>
        <v>40914.975123651806</v>
      </c>
      <c r="DZ234" s="5">
        <f t="shared" si="228"/>
        <v>20653.2</v>
      </c>
      <c r="EA234" s="752">
        <f t="shared" si="229"/>
        <v>20739.509999999998</v>
      </c>
      <c r="EC234" s="592">
        <f t="shared" si="230"/>
        <v>337903.32321923203</v>
      </c>
      <c r="EE234" s="758">
        <v>-1271</v>
      </c>
      <c r="EF234" s="738">
        <f t="shared" si="231"/>
        <v>-37913.684637148341</v>
      </c>
      <c r="EH234" s="813">
        <v>24347.040713048831</v>
      </c>
    </row>
    <row r="235" spans="1:138" x14ac:dyDescent="0.3">
      <c r="A235" s="328">
        <v>150000721</v>
      </c>
      <c r="B235" s="44" t="s">
        <v>685</v>
      </c>
      <c r="C235" s="45" t="s">
        <v>1754</v>
      </c>
      <c r="D235" s="45" t="s">
        <v>218</v>
      </c>
      <c r="E235" s="40">
        <f t="shared" si="232"/>
        <v>320.39999999999998</v>
      </c>
      <c r="F235" s="490">
        <v>253.7</v>
      </c>
      <c r="G235" s="30"/>
      <c r="H235" s="30">
        <v>66.7</v>
      </c>
      <c r="I235" s="42">
        <f>'[1]побудинковий звіт'!I235+'[2]побудинковий звіт'!I235-'[3]побудинковий звіт'!I235</f>
        <v>10576.650791960601</v>
      </c>
      <c r="J235" s="42">
        <f>'[1]побудинковий звіт'!J235+'[2]побудинковий звіт'!J235-'[3]побудинковий звіт'!J235</f>
        <v>10537.462120095723</v>
      </c>
      <c r="K235" s="56">
        <f t="shared" si="238"/>
        <v>-39.188671864878415</v>
      </c>
      <c r="L235" s="42">
        <f>'[1]побудинковий звіт'!L235+'[2]побудинковий звіт'!L235-'[3]побудинковий звіт'!L235</f>
        <v>1485.1013300356437</v>
      </c>
      <c r="M235" s="42">
        <f>'[1]побудинковий звіт'!M235+'[2]побудинковий звіт'!M235-'[3]побудинковий звіт'!M235</f>
        <v>1498.4044053409718</v>
      </c>
      <c r="N235" s="56">
        <f t="shared" si="239"/>
        <v>13.303075305328093</v>
      </c>
      <c r="O235" s="42">
        <f>'[1]побудинковий звіт'!O235+'[2]побудинковий звіт'!O235-'[3]побудинковий звіт'!O235</f>
        <v>3751.9199999999996</v>
      </c>
      <c r="P235" s="42">
        <f>'[1]побудинковий звіт'!P235+'[2]побудинковий звіт'!P235-'[3]побудинковий звіт'!P235</f>
        <v>2949.1095846774192</v>
      </c>
      <c r="Q235" s="56">
        <f t="shared" si="240"/>
        <v>-802.81041532258041</v>
      </c>
      <c r="R235" s="42">
        <f>'[1]побудинковий звіт'!R235+'[2]побудинковий звіт'!R235-'[3]побудинковий звіт'!R235</f>
        <v>0</v>
      </c>
      <c r="S235" s="42">
        <f>'[1]побудинковий звіт'!S235+'[2]побудинковий звіт'!S235-'[3]побудинковий звіт'!S235</f>
        <v>0</v>
      </c>
      <c r="T235" s="56">
        <f t="shared" si="241"/>
        <v>0</v>
      </c>
      <c r="U235" s="42">
        <f>'[1]побудинковий звіт'!U235+'[2]побудинковий звіт'!U235-'[3]побудинковий звіт'!U235</f>
        <v>0</v>
      </c>
      <c r="V235" s="42">
        <f>'[1]побудинковий звіт'!V235+'[2]побудинковий звіт'!V235-'[3]побудинковий звіт'!V235</f>
        <v>0</v>
      </c>
      <c r="W235" s="56">
        <f t="shared" si="242"/>
        <v>0</v>
      </c>
      <c r="X235" s="42">
        <f>'[1]побудинковий звіт'!X235+'[2]побудинковий звіт'!X235-'[3]побудинковий звіт'!X235</f>
        <v>4638.6032487870307</v>
      </c>
      <c r="Y235" s="42">
        <f>'[1]побудинковий звіт'!Y235+'[2]побудинковий звіт'!Y235-'[3]побудинковий звіт'!Y235</f>
        <v>3477.8786121999005</v>
      </c>
      <c r="Z235" s="56">
        <f t="shared" si="243"/>
        <v>-1160.7246365871301</v>
      </c>
      <c r="AA235" s="42">
        <f>'[1]побудинковий звіт'!AA235+'[2]побудинковий звіт'!AA235-'[3]побудинковий звіт'!AA235</f>
        <v>0</v>
      </c>
      <c r="AB235" s="42">
        <f>'[1]побудинковий звіт'!AB235+'[2]побудинковий звіт'!AB235-'[3]побудинковий звіт'!AB235</f>
        <v>0</v>
      </c>
      <c r="AC235" s="56">
        <f t="shared" si="244"/>
        <v>0</v>
      </c>
      <c r="AD235" s="42">
        <f>'[1]побудинковий звіт'!AD235+'[2]побудинковий звіт'!AD235-'[3]побудинковий звіт'!AD235</f>
        <v>11937.694057552317</v>
      </c>
      <c r="AE235" s="42">
        <f>'[1]побудинковий звіт'!AE235+'[2]побудинковий звіт'!AE235-'[3]побудинковий звіт'!AE235</f>
        <v>10994.92684818025</v>
      </c>
      <c r="AF235" s="37">
        <f t="shared" si="245"/>
        <v>-942.76720937206665</v>
      </c>
      <c r="AG235" s="87">
        <f t="shared" si="235"/>
        <v>32389.969428335593</v>
      </c>
      <c r="AH235" s="57">
        <f t="shared" si="235"/>
        <v>29457.781570494266</v>
      </c>
      <c r="AI235" s="56">
        <f t="shared" si="246"/>
        <v>-2932.1878578413271</v>
      </c>
      <c r="AJ235" s="42">
        <f>'[1]побудинковий звіт'!AJ235+'[2]побудинковий звіт'!AJ235-'[3]побудинковий звіт'!AJ235</f>
        <v>0</v>
      </c>
      <c r="AK235" s="42">
        <f>'[1]побудинковий звіт'!AK235+'[2]побудинковий звіт'!AK235-'[3]побудинковий звіт'!AK235</f>
        <v>0</v>
      </c>
      <c r="AL235" s="56">
        <f t="shared" si="247"/>
        <v>0</v>
      </c>
      <c r="AM235" s="42">
        <f>'[1]побудинковий звіт'!AM235+'[2]побудинковий звіт'!AM235-'[3]побудинковий звіт'!AM235</f>
        <v>0</v>
      </c>
      <c r="AN235" s="42">
        <f>'[1]побудинковий звіт'!AN235+'[2]побудинковий звіт'!AN235-'[3]побудинковий звіт'!AN235</f>
        <v>0</v>
      </c>
      <c r="AO235" s="56">
        <f t="shared" si="248"/>
        <v>0</v>
      </c>
      <c r="AP235" s="42">
        <f>'[1]побудинковий звіт'!AP235+'[2]побудинковий звіт'!AP235-'[3]побудинковий звіт'!AP235</f>
        <v>9801.632603949276</v>
      </c>
      <c r="AQ235" s="42">
        <f>'[1]побудинковий звіт'!AQ235+'[2]побудинковий звіт'!AQ235-'[3]побудинковий звіт'!AQ235</f>
        <v>9712.2512726247678</v>
      </c>
      <c r="AR235" s="56">
        <f t="shared" si="249"/>
        <v>-89.38133132450821</v>
      </c>
      <c r="AS235" s="42">
        <f>'[1]побудинковий звіт'!AS235+'[2]побудинковий звіт'!AS235-'[3]побудинковий звіт'!AS235</f>
        <v>31649.352892887349</v>
      </c>
      <c r="AT235" s="42">
        <f>'[1]побудинковий звіт'!AT235+'[2]побудинковий звіт'!AT235-'[3]побудинковий звіт'!AT235</f>
        <v>1642.8368369226657</v>
      </c>
      <c r="AU235" s="58">
        <f t="shared" si="266"/>
        <v>-30006.516055964683</v>
      </c>
      <c r="AV235" s="42">
        <f>'[1]побудинковий звіт'!AV235+'[2]побудинковий звіт'!AV235-'[3]побудинковий звіт'!AV235</f>
        <v>1660.7203621814174</v>
      </c>
      <c r="AW235" s="42">
        <f>'[1]побудинковий звіт'!AW235+'[2]побудинковий звіт'!AW235-'[3]побудинковий звіт'!AW235</f>
        <v>766</v>
      </c>
      <c r="AX235" s="59">
        <f t="shared" si="267"/>
        <v>-894.72036218141739</v>
      </c>
      <c r="AY235" s="42">
        <f>'[1]побудинковий звіт'!AY235+'[2]побудинковий звіт'!AY235-'[3]побудинковий звіт'!AY235</f>
        <v>1914.1159177535096</v>
      </c>
      <c r="AZ235" s="42">
        <f>'[1]побудинковий звіт'!AZ235+'[2]побудинковий звіт'!AZ235-'[3]побудинковий звіт'!AZ235</f>
        <v>0</v>
      </c>
      <c r="BA235" s="37">
        <f t="shared" si="268"/>
        <v>-1914.1159177535096</v>
      </c>
      <c r="BB235" s="42">
        <f>'[1]побудинковий звіт'!BB235+'[2]побудинковий звіт'!BB235-'[3]побудинковий звіт'!BB235</f>
        <v>2076.7730066581944</v>
      </c>
      <c r="BC235" s="42">
        <f>'[1]побудинковий звіт'!BC235+'[2]побудинковий звіт'!BC235-'[3]побудинковий звіт'!BC235</f>
        <v>0</v>
      </c>
      <c r="BD235" s="59">
        <f t="shared" si="269"/>
        <v>-2076.7730066581944</v>
      </c>
      <c r="BE235" s="42">
        <f>'[1]побудинковий звіт'!BE235+'[2]побудинковий звіт'!BE235-'[3]побудинковий звіт'!BE235</f>
        <v>0</v>
      </c>
      <c r="BF235" s="42">
        <f>'[1]побудинковий звіт'!BF235+'[2]побудинковий звіт'!BF235-'[3]побудинковий звіт'!BF235</f>
        <v>0</v>
      </c>
      <c r="BG235" s="39">
        <f t="shared" si="270"/>
        <v>0</v>
      </c>
      <c r="BH235" s="42">
        <f>'[1]побудинковий звіт'!BH235+'[2]побудинковий звіт'!BH235-'[3]побудинковий звіт'!BH235</f>
        <v>0</v>
      </c>
      <c r="BI235" s="42">
        <f>'[1]побудинковий звіт'!BI235+'[2]побудинковий звіт'!BI235-'[3]побудинковий звіт'!BI235</f>
        <v>0</v>
      </c>
      <c r="BJ235" s="59">
        <f t="shared" si="271"/>
        <v>0</v>
      </c>
      <c r="BK235" s="42">
        <f>'[1]побудинковий звіт'!BK235+'[2]побудинковий звіт'!BK235-'[3]побудинковий звіт'!BK235</f>
        <v>679.3953435316173</v>
      </c>
      <c r="BL235" s="42">
        <f>'[1]побудинковий звіт'!BL235+'[2]побудинковий звіт'!BL235-'[3]побудинковий звіт'!BL235</f>
        <v>1076.550315131127</v>
      </c>
      <c r="BM235" s="39">
        <f t="shared" si="272"/>
        <v>397.15497159950974</v>
      </c>
      <c r="BN235" s="42">
        <f>'[1]побудинковий звіт'!BN235+'[2]побудинковий звіт'!BN235-'[3]побудинковий звіт'!BN235</f>
        <v>0</v>
      </c>
      <c r="BO235" s="42">
        <f>'[1]побудинковий звіт'!BO235+'[2]побудинковий звіт'!BO235-'[3]побудинковий звіт'!BO235</f>
        <v>0</v>
      </c>
      <c r="BP235" s="59">
        <f t="shared" si="273"/>
        <v>0</v>
      </c>
      <c r="BQ235" s="87">
        <f t="shared" si="233"/>
        <v>6331.0046301247385</v>
      </c>
      <c r="BR235" s="43">
        <f t="shared" si="275"/>
        <v>1842.550315131127</v>
      </c>
      <c r="BS235" s="59">
        <f t="shared" si="274"/>
        <v>-4488.4543149936117</v>
      </c>
      <c r="BT235" s="42">
        <f>'[1]побудинковий звіт'!BT235+'[2]побудинковий звіт'!BT235-'[3]побудинковий звіт'!BT235</f>
        <v>35734.96275987335</v>
      </c>
      <c r="BU235" s="42">
        <f>'[1]побудинковий звіт'!BU235+'[2]побудинковий звіт'!BU235-'[3]побудинковий звіт'!BU235</f>
        <v>49570.316821094406</v>
      </c>
      <c r="BV235" s="56">
        <f t="shared" si="250"/>
        <v>13835.354061221056</v>
      </c>
      <c r="BW235" s="42">
        <f>'[1]побудинковий звіт'!BW235+'[2]побудинковий звіт'!BW235-'[3]побудинковий звіт'!BW235</f>
        <v>17610.996208438119</v>
      </c>
      <c r="BX235" s="42">
        <f>'[1]побудинковий звіт'!BX235+'[2]побудинковий звіт'!BX235-'[3]побудинковий звіт'!BX235</f>
        <v>17554.856037622085</v>
      </c>
      <c r="BY235" s="56">
        <f t="shared" si="251"/>
        <v>-56.140170816033788</v>
      </c>
      <c r="BZ235" s="42">
        <f>'[1]побудинковий звіт'!BZ235+'[2]побудинковий звіт'!BZ235-'[3]побудинковий звіт'!BZ235</f>
        <v>11415.572781579454</v>
      </c>
      <c r="CA235" s="42">
        <f>'[1]побудинковий звіт'!CA235+'[2]побудинковий звіт'!CA235-'[3]побудинковий звіт'!CA235</f>
        <v>13612.322394291266</v>
      </c>
      <c r="CB235" s="56">
        <f t="shared" si="252"/>
        <v>2196.749612711812</v>
      </c>
      <c r="CC235" s="42">
        <f>'[1]побудинковий звіт'!CC235+'[2]побудинковий звіт'!CC235-'[3]побудинковий звіт'!CC235</f>
        <v>0</v>
      </c>
      <c r="CD235" s="42">
        <f>'[1]побудинковий звіт'!CD235+'[2]побудинковий звіт'!CD235-'[3]побудинковий звіт'!CD235</f>
        <v>0</v>
      </c>
      <c r="CE235" s="56">
        <f t="shared" si="253"/>
        <v>0</v>
      </c>
      <c r="CF235" s="42">
        <f>'[1]побудинковий звіт'!CF235+'[2]побудинковий звіт'!CF235-'[3]побудинковий звіт'!CF235</f>
        <v>0</v>
      </c>
      <c r="CG235" s="42">
        <f>'[1]побудинковий звіт'!CG235+'[2]побудинковий звіт'!CG235-'[3]побудинковий звіт'!CG235</f>
        <v>0</v>
      </c>
      <c r="CH235" s="56">
        <f t="shared" si="254"/>
        <v>0</v>
      </c>
      <c r="CI235" s="42">
        <f>'[1]побудинковий звіт'!CI235+'[2]побудинковий звіт'!CI235-'[3]побудинковий звіт'!CI235</f>
        <v>2040.2102443139424</v>
      </c>
      <c r="CJ235" s="42">
        <f>'[1]побудинковий звіт'!CJ235+'[2]побудинковий звіт'!CJ235-'[3]побудинковий звіт'!CJ235</f>
        <v>2104.0509628764412</v>
      </c>
      <c r="CK235" s="56">
        <f t="shared" si="255"/>
        <v>63.840718562498751</v>
      </c>
      <c r="CL235" s="42">
        <f>'[1]побудинковий звіт'!CL235+'[2]побудинковий звіт'!CL235-'[3]побудинковий звіт'!CL235</f>
        <v>0</v>
      </c>
      <c r="CM235" s="42">
        <f>'[1]побудинковий звіт'!CM235+'[2]побудинковий звіт'!CM235-'[3]побудинковий звіт'!CM235</f>
        <v>0</v>
      </c>
      <c r="CN235" s="56">
        <f t="shared" si="256"/>
        <v>0</v>
      </c>
      <c r="CO235" s="42">
        <f t="shared" si="236"/>
        <v>2040.2102443139424</v>
      </c>
      <c r="CP235" s="43">
        <f t="shared" si="257"/>
        <v>2104.0509628764412</v>
      </c>
      <c r="CQ235" s="56">
        <f t="shared" si="258"/>
        <v>63.840718562498751</v>
      </c>
      <c r="CR235" s="78">
        <f t="shared" si="237"/>
        <v>146973.7015495018</v>
      </c>
      <c r="CS235" s="5">
        <f t="shared" si="237"/>
        <v>125496.96621105704</v>
      </c>
      <c r="CT235" s="56">
        <f t="shared" si="259"/>
        <v>-21476.735338444763</v>
      </c>
      <c r="CU235" s="87">
        <f t="shared" si="260"/>
        <v>176368.44185940214</v>
      </c>
      <c r="CV235" s="70">
        <f t="shared" si="261"/>
        <v>150596.35945326844</v>
      </c>
      <c r="CW235" s="37">
        <f t="shared" si="262"/>
        <v>-25772.082406133704</v>
      </c>
      <c r="CX235" s="42">
        <f>'[1]побудинковий звіт'!CX235+'[2]побудинковий звіт'!CX235-'[3]побудинковий звіт'!CX235</f>
        <v>4210.3181405977884</v>
      </c>
      <c r="CY235" s="42">
        <f>'[1]побудинковий звіт'!CY235+'[2]побудинковий звіт'!CY235-'[3]побудинковий звіт'!CY235</f>
        <v>29982.400546731573</v>
      </c>
      <c r="CZ235" s="56">
        <f t="shared" si="263"/>
        <v>25772.082406133784</v>
      </c>
      <c r="DA235" s="264">
        <f>'[4]побудинковий звіт'!DA235</f>
        <v>101004.92772774451</v>
      </c>
      <c r="DB235" s="2">
        <v>2</v>
      </c>
      <c r="DC235" s="717">
        <f>'[4]побудинковий звіт'!DC235</f>
        <v>45714.68</v>
      </c>
      <c r="DD235" s="717">
        <f>'[4]побудинковий звіт'!DD235</f>
        <v>0</v>
      </c>
      <c r="DE235" s="717">
        <f>'[4]побудинковий звіт'!DE235</f>
        <v>30983.22</v>
      </c>
      <c r="DF235" s="717">
        <f>'[4]побудинковий звіт'!DF235</f>
        <v>-316.77</v>
      </c>
      <c r="DG235" s="787">
        <v>120142.09431820171</v>
      </c>
      <c r="DH235" s="761">
        <f t="shared" si="226"/>
        <v>2166945.1199999992</v>
      </c>
      <c r="DI235" s="784"/>
      <c r="DJ235" s="5"/>
      <c r="DK235" s="317">
        <f>VLOOKUP($A235,ціни!$A$4:$G$401,5)</f>
        <v>5.412183677476607</v>
      </c>
      <c r="DL235" s="317"/>
      <c r="DM235" s="317">
        <f>VLOOKUP($A235,ціни!$A$4:$G$401,7)</f>
        <v>4.7493381917185538</v>
      </c>
      <c r="DN235" s="30">
        <f t="shared" si="276"/>
        <v>1373.0709989758152</v>
      </c>
      <c r="DO235" s="30">
        <f t="shared" si="277"/>
        <v>316.78085738762758</v>
      </c>
      <c r="DP235" s="316">
        <f t="shared" si="221"/>
        <v>1689.8518563634427</v>
      </c>
      <c r="DQ235" s="104"/>
      <c r="DR235" s="30">
        <f>VLOOKUP(A235,'ДЗ нас '!$A$1:$C$359,2)</f>
        <v>14731.46</v>
      </c>
      <c r="DS235" s="748">
        <f>VLOOKUP(A235,'ДЗ нежит'!$A$1:$D$153,4,0)</f>
        <v>316.77</v>
      </c>
      <c r="DT235" s="30">
        <f t="shared" si="222"/>
        <v>15048.23</v>
      </c>
      <c r="DU235" s="257">
        <f>VLOOKUP(A235,'новий кошторис с 01.06'!$A$4:$AI$399,35)*1.2</f>
        <v>15138.291259598685</v>
      </c>
      <c r="DV235" s="30">
        <f t="shared" si="223"/>
        <v>-90.061259598685865</v>
      </c>
      <c r="DW235" s="930">
        <f>'[5]побудинковий звіт'!DW235+'[6]побудинковий звіт'!DW235</f>
        <v>236</v>
      </c>
      <c r="DY235" s="5">
        <f t="shared" si="227"/>
        <v>45576.429027614511</v>
      </c>
      <c r="DZ235" s="5">
        <f t="shared" si="228"/>
        <v>4182.4645824645513</v>
      </c>
      <c r="EA235" s="752">
        <f t="shared" si="229"/>
        <v>30666.45</v>
      </c>
      <c r="EC235" s="592">
        <f t="shared" si="230"/>
        <v>379792.23471464822</v>
      </c>
      <c r="EE235" s="758">
        <v>3874</v>
      </c>
      <c r="EF235" s="738">
        <f t="shared" si="231"/>
        <v>124016.09431820171</v>
      </c>
      <c r="EH235" s="813">
        <v>122847.92971775442</v>
      </c>
    </row>
    <row r="236" spans="1:138" x14ac:dyDescent="0.3">
      <c r="A236" s="328">
        <v>150000722</v>
      </c>
      <c r="B236" s="44" t="s">
        <v>686</v>
      </c>
      <c r="C236" s="45" t="s">
        <v>1755</v>
      </c>
      <c r="D236" s="45" t="s">
        <v>274</v>
      </c>
      <c r="E236" s="40">
        <f t="shared" si="232"/>
        <v>601.4</v>
      </c>
      <c r="F236" s="490">
        <v>601.4</v>
      </c>
      <c r="G236" s="30"/>
      <c r="H236" s="30">
        <v>0</v>
      </c>
      <c r="I236" s="42">
        <f>'[1]побудинковий звіт'!I236+'[2]побудинковий звіт'!I236-'[3]побудинковий звіт'!I236</f>
        <v>12203.162180260402</v>
      </c>
      <c r="J236" s="42">
        <f>'[1]побудинковий звіт'!J236+'[2]побудинковий звіт'!J236-'[3]побудинковий звіт'!J236</f>
        <v>12186.90916162607</v>
      </c>
      <c r="K236" s="56">
        <f t="shared" si="238"/>
        <v>-16.253018634331966</v>
      </c>
      <c r="L236" s="42">
        <f>'[1]побудинковий звіт'!L236+'[2]побудинковий звіт'!L236-'[3]побудинковий звіт'!L236</f>
        <v>2071.2716309647135</v>
      </c>
      <c r="M236" s="42">
        <f>'[1]побудинковий звіт'!M236+'[2]побудинковий звіт'!M236-'[3]побудинковий звіт'!M236</f>
        <v>2089.8248331115369</v>
      </c>
      <c r="N236" s="56">
        <f t="shared" si="239"/>
        <v>18.553202146823423</v>
      </c>
      <c r="O236" s="42">
        <f>'[1]побудинковий звіт'!O236+'[2]побудинковий звіт'!O236-'[3]побудинковий звіт'!O236</f>
        <v>4878</v>
      </c>
      <c r="P236" s="42">
        <f>'[1]побудинковий звіт'!P236+'[2]побудинковий звіт'!P236-'[3]побудинковий звіт'!P236</f>
        <v>3833.9833198924734</v>
      </c>
      <c r="Q236" s="56">
        <f t="shared" si="240"/>
        <v>-1044.0166801075266</v>
      </c>
      <c r="R236" s="42">
        <f>'[1]побудинковий звіт'!R236+'[2]побудинковий звіт'!R236-'[3]побудинковий звіт'!R236</f>
        <v>0</v>
      </c>
      <c r="S236" s="42">
        <f>'[1]побудинковий звіт'!S236+'[2]побудинковий звіт'!S236-'[3]побудинковий звіт'!S236</f>
        <v>0</v>
      </c>
      <c r="T236" s="56">
        <f t="shared" si="241"/>
        <v>0</v>
      </c>
      <c r="U236" s="42">
        <f>'[1]побудинковий звіт'!U236+'[2]побудинковий звіт'!U236-'[3]побудинковий звіт'!U236</f>
        <v>0</v>
      </c>
      <c r="V236" s="42">
        <f>'[1]побудинковий звіт'!V236+'[2]побудинковий звіт'!V236-'[3]побудинковий звіт'!V236</f>
        <v>0</v>
      </c>
      <c r="W236" s="56">
        <f t="shared" si="242"/>
        <v>0</v>
      </c>
      <c r="X236" s="42">
        <f>'[1]побудинковий звіт'!X236+'[2]побудинковий звіт'!X236-'[3]побудинковий звіт'!X236</f>
        <v>8752.9973079959491</v>
      </c>
      <c r="Y236" s="42">
        <f>'[1]побудинковий звіт'!Y236+'[2]побудинковий звіт'!Y236-'[3]побудинковий звіт'!Y236</f>
        <v>7063.914534095341</v>
      </c>
      <c r="Z236" s="56">
        <f t="shared" si="243"/>
        <v>-1689.0827739006081</v>
      </c>
      <c r="AA236" s="42">
        <f>'[1]побудинковий звіт'!AA236+'[2]побудинковий звіт'!AA236-'[3]побудинковий звіт'!AA236</f>
        <v>0</v>
      </c>
      <c r="AB236" s="42">
        <f>'[1]побудинковий звіт'!AB236+'[2]побудинковий звіт'!AB236-'[3]побудинковий звіт'!AB236</f>
        <v>0</v>
      </c>
      <c r="AC236" s="56">
        <f t="shared" si="244"/>
        <v>0</v>
      </c>
      <c r="AD236" s="42">
        <f>'[1]побудинковий звіт'!AD236+'[2]побудинковий звіт'!AD236-'[3]побудинковий звіт'!AD236</f>
        <v>15219.822342439726</v>
      </c>
      <c r="AE236" s="42">
        <f>'[1]побудинковий звіт'!AE236+'[2]побудинковий звіт'!AE236-'[3]побудинковий звіт'!AE236</f>
        <v>14028.555545009805</v>
      </c>
      <c r="AF236" s="37">
        <f t="shared" si="245"/>
        <v>-1191.2667974299202</v>
      </c>
      <c r="AG236" s="87">
        <f t="shared" si="235"/>
        <v>43125.253461660788</v>
      </c>
      <c r="AH236" s="57">
        <f t="shared" si="235"/>
        <v>39203.187393735228</v>
      </c>
      <c r="AI236" s="56">
        <f t="shared" si="246"/>
        <v>-3922.0660679255598</v>
      </c>
      <c r="AJ236" s="42">
        <f>'[1]побудинковий звіт'!AJ236+'[2]побудинковий звіт'!AJ236-'[3]побудинковий звіт'!AJ236</f>
        <v>0</v>
      </c>
      <c r="AK236" s="42">
        <f>'[1]побудинковий звіт'!AK236+'[2]побудинковий звіт'!AK236-'[3]побудинковий звіт'!AK236</f>
        <v>0</v>
      </c>
      <c r="AL236" s="56">
        <f t="shared" si="247"/>
        <v>0</v>
      </c>
      <c r="AM236" s="42">
        <f>'[1]побудинковий звіт'!AM236+'[2]побудинковий звіт'!AM236-'[3]побудинковий звіт'!AM236</f>
        <v>0</v>
      </c>
      <c r="AN236" s="42">
        <f>'[1]побудинковий звіт'!AN236+'[2]побудинковий звіт'!AN236-'[3]побудинковий звіт'!AN236</f>
        <v>0</v>
      </c>
      <c r="AO236" s="56">
        <f t="shared" si="248"/>
        <v>0</v>
      </c>
      <c r="AP236" s="42">
        <f>'[1]побудинковий звіт'!AP236+'[2]побудинковий звіт'!AP236-'[3]побудинковий звіт'!AP236</f>
        <v>11364.211714723799</v>
      </c>
      <c r="AQ236" s="42">
        <f>'[1]побудинковий звіт'!AQ236+'[2]побудинковий звіт'!AQ236-'[3]побудинковий звіт'!AQ236</f>
        <v>9302.0483708875836</v>
      </c>
      <c r="AR236" s="56">
        <f t="shared" si="249"/>
        <v>-2062.1633438362151</v>
      </c>
      <c r="AS236" s="42">
        <f>'[1]побудинковий звіт'!AS236+'[2]побудинковий звіт'!AS236-'[3]побудинковий звіт'!AS236</f>
        <v>57807.459922215552</v>
      </c>
      <c r="AT236" s="42">
        <f>'[1]побудинковий звіт'!AT236+'[2]побудинковий звіт'!AT236-'[3]побудинковий звіт'!AT236</f>
        <v>23551</v>
      </c>
      <c r="AU236" s="58">
        <f t="shared" si="266"/>
        <v>-34256.459922215552</v>
      </c>
      <c r="AV236" s="42">
        <f>'[1]побудинковий звіт'!AV236+'[2]побудинковий звіт'!AV236-'[3]побудинковий звіт'!AV236</f>
        <v>1940.8217125497981</v>
      </c>
      <c r="AW236" s="42">
        <f>'[1]побудинковий звіт'!AW236+'[2]побудинковий звіт'!AW236-'[3]побудинковий звіт'!AW236</f>
        <v>6755</v>
      </c>
      <c r="AX236" s="59">
        <f t="shared" si="267"/>
        <v>4814.1782874502023</v>
      </c>
      <c r="AY236" s="42">
        <f>'[1]побудинковий звіт'!AY236+'[2]побудинковий звіт'!AY236-'[3]побудинковий звіт'!AY236</f>
        <v>2669.3329242191721</v>
      </c>
      <c r="AZ236" s="42">
        <f>'[1]побудинковий звіт'!AZ236+'[2]побудинковий звіт'!AZ236-'[3]побудинковий звіт'!AZ236</f>
        <v>0</v>
      </c>
      <c r="BA236" s="37">
        <f t="shared" si="268"/>
        <v>-2669.3329242191721</v>
      </c>
      <c r="BB236" s="42">
        <f>'[1]побудинковий звіт'!BB236+'[2]побудинковий звіт'!BB236-'[3]побудинковий звіт'!BB236</f>
        <v>2819.8391242299531</v>
      </c>
      <c r="BC236" s="42">
        <f>'[1]побудинковий звіт'!BC236+'[2]побудинковий звіт'!BC236-'[3]побудинковий звіт'!BC236</f>
        <v>0</v>
      </c>
      <c r="BD236" s="59">
        <f t="shared" si="269"/>
        <v>-2819.8391242299531</v>
      </c>
      <c r="BE236" s="42">
        <f>'[1]побудинковий звіт'!BE236+'[2]побудинковий звіт'!BE236-'[3]побудинковий звіт'!BE236</f>
        <v>0</v>
      </c>
      <c r="BF236" s="42">
        <f>'[1]побудинковий звіт'!BF236+'[2]побудинковий звіт'!BF236-'[3]побудинковий звіт'!BF236</f>
        <v>0</v>
      </c>
      <c r="BG236" s="39">
        <f t="shared" si="270"/>
        <v>0</v>
      </c>
      <c r="BH236" s="42">
        <f>'[1]побудинковий звіт'!BH236+'[2]побудинковий звіт'!BH236-'[3]побудинковий звіт'!BH236</f>
        <v>0</v>
      </c>
      <c r="BI236" s="42">
        <f>'[1]побудинковий звіт'!BI236+'[2]побудинковий звіт'!BI236-'[3]побудинковий звіт'!BI236</f>
        <v>0</v>
      </c>
      <c r="BJ236" s="59">
        <f t="shared" si="271"/>
        <v>0</v>
      </c>
      <c r="BK236" s="42">
        <f>'[1]побудинковий звіт'!BK236+'[2]побудинковий звіт'!BK236-'[3]побудинковий звіт'!BK236</f>
        <v>1077.0682812303669</v>
      </c>
      <c r="BL236" s="42">
        <f>'[1]побудинковий звіт'!BL236+'[2]побудинковий звіт'!BL236-'[3]побудинковий звіт'!BL236</f>
        <v>913</v>
      </c>
      <c r="BM236" s="39">
        <f t="shared" si="272"/>
        <v>-164.06828123036689</v>
      </c>
      <c r="BN236" s="42">
        <f>'[1]побудинковий звіт'!BN236+'[2]побудинковий звіт'!BN236-'[3]побудинковий звіт'!BN236</f>
        <v>0</v>
      </c>
      <c r="BO236" s="42">
        <f>'[1]побудинковий звіт'!BO236+'[2]побудинковий звіт'!BO236-'[3]побудинковий звіт'!BO236</f>
        <v>0</v>
      </c>
      <c r="BP236" s="59">
        <f t="shared" si="273"/>
        <v>0</v>
      </c>
      <c r="BQ236" s="87">
        <f t="shared" si="233"/>
        <v>8507.0620422292905</v>
      </c>
      <c r="BR236" s="43">
        <f t="shared" si="275"/>
        <v>7668</v>
      </c>
      <c r="BS236" s="59">
        <f t="shared" si="274"/>
        <v>-839.06204222929045</v>
      </c>
      <c r="BT236" s="42">
        <f>'[1]побудинковий звіт'!BT236+'[2]побудинковий звіт'!BT236-'[3]побудинковий звіт'!BT236</f>
        <v>24630.791468198426</v>
      </c>
      <c r="BU236" s="42">
        <f>'[1]побудинковий звіт'!BU236+'[2]побудинковий звіт'!BU236-'[3]побудинковий звіт'!BU236</f>
        <v>34269.284906052038</v>
      </c>
      <c r="BV236" s="56">
        <f t="shared" si="250"/>
        <v>9638.4934378536127</v>
      </c>
      <c r="BW236" s="42">
        <f>'[1]побудинковий звіт'!BW236+'[2]побудинковий звіт'!BW236-'[3]побудинковий звіт'!BW236</f>
        <v>17537.290709166267</v>
      </c>
      <c r="BX236" s="42">
        <f>'[1]побудинковий звіт'!BX236+'[2]побудинковий звіт'!BX236-'[3]побудинковий звіт'!BX236</f>
        <v>17639.300404646856</v>
      </c>
      <c r="BY236" s="56">
        <f t="shared" si="251"/>
        <v>102.00969548058856</v>
      </c>
      <c r="BZ236" s="42">
        <f>'[1]побудинковий звіт'!BZ236+'[2]побудинковий звіт'!BZ236-'[3]побудинковий звіт'!BZ236</f>
        <v>11532.489885130923</v>
      </c>
      <c r="CA236" s="42">
        <f>'[1]побудинковий звіт'!CA236+'[2]побудинковий звіт'!CA236-'[3]побудинковий звіт'!CA236</f>
        <v>7746.4145923628803</v>
      </c>
      <c r="CB236" s="56">
        <f t="shared" si="252"/>
        <v>-3786.0752927680423</v>
      </c>
      <c r="CC236" s="42">
        <f>'[1]побудинковий звіт'!CC236+'[2]побудинковий звіт'!CC236-'[3]побудинковий звіт'!CC236</f>
        <v>1834.7987751550995</v>
      </c>
      <c r="CD236" s="42">
        <f>'[1]побудинковий звіт'!CD236+'[2]побудинковий звіт'!CD236-'[3]побудинковий звіт'!CD236</f>
        <v>1818.6612011924085</v>
      </c>
      <c r="CE236" s="56">
        <f t="shared" si="253"/>
        <v>-16.137573962691022</v>
      </c>
      <c r="CF236" s="42">
        <f>'[1]побудинковий звіт'!CF236+'[2]побудинковий звіт'!CF236-'[3]побудинковий звіт'!CF236</f>
        <v>225.8748492141695</v>
      </c>
      <c r="CG236" s="42">
        <f>'[1]побудинковий звіт'!CG236+'[2]побудинковий звіт'!CG236-'[3]побудинковий звіт'!CG236</f>
        <v>0</v>
      </c>
      <c r="CH236" s="56">
        <f t="shared" si="254"/>
        <v>-225.8748492141695</v>
      </c>
      <c r="CI236" s="42">
        <f>'[1]побудинковий звіт'!CI236+'[2]побудинковий звіт'!CI236-'[3]побудинковий звіт'!CI236</f>
        <v>1871.7525177192138</v>
      </c>
      <c r="CJ236" s="42">
        <f>'[1]побудинковий звіт'!CJ236+'[2]побудинковий звіт'!CJ236-'[3]побудинковий звіт'!CJ236</f>
        <v>1777.9454333900428</v>
      </c>
      <c r="CK236" s="56">
        <f t="shared" si="255"/>
        <v>-93.807084329170948</v>
      </c>
      <c r="CL236" s="42">
        <f>'[1]побудинковий звіт'!CL236+'[2]побудинковий звіт'!CL236-'[3]побудинковий звіт'!CL236</f>
        <v>0</v>
      </c>
      <c r="CM236" s="42">
        <f>'[1]побудинковий звіт'!CM236+'[2]побудинковий звіт'!CM236-'[3]побудинковий звіт'!CM236</f>
        <v>0</v>
      </c>
      <c r="CN236" s="56">
        <f t="shared" si="256"/>
        <v>0</v>
      </c>
      <c r="CO236" s="42">
        <f t="shared" si="236"/>
        <v>1871.7525177192138</v>
      </c>
      <c r="CP236" s="43">
        <f t="shared" si="257"/>
        <v>1777.9454333900428</v>
      </c>
      <c r="CQ236" s="56">
        <f t="shared" si="258"/>
        <v>-93.807084329170948</v>
      </c>
      <c r="CR236" s="78">
        <f t="shared" si="237"/>
        <v>178436.9853454135</v>
      </c>
      <c r="CS236" s="5">
        <f t="shared" si="237"/>
        <v>142975.84230226703</v>
      </c>
      <c r="CT236" s="56">
        <f t="shared" si="259"/>
        <v>-35461.143043146469</v>
      </c>
      <c r="CU236" s="87">
        <f t="shared" si="260"/>
        <v>214124.38241449618</v>
      </c>
      <c r="CV236" s="70">
        <f t="shared" si="261"/>
        <v>171571.01076272043</v>
      </c>
      <c r="CW236" s="37">
        <f t="shared" si="262"/>
        <v>-42553.371651775757</v>
      </c>
      <c r="CX236" s="42">
        <f>'[1]побудинковий звіт'!CX236+'[2]побудинковий звіт'!CX236-'[3]побудинковий звіт'!CX236</f>
        <v>6513.32758550379</v>
      </c>
      <c r="CY236" s="42">
        <f>'[1]побудинковий звіт'!CY236+'[2]побудинковий звіт'!CY236-'[3]побудинковий звіт'!CY236</f>
        <v>49066.699237279579</v>
      </c>
      <c r="CZ236" s="56">
        <f t="shared" si="263"/>
        <v>42553.371651775786</v>
      </c>
      <c r="DA236" s="264">
        <f>'[4]побудинковий звіт'!DA236</f>
        <v>-4963.5850274602199</v>
      </c>
      <c r="DB236" s="2">
        <v>2</v>
      </c>
      <c r="DC236" s="717">
        <f>'[4]побудинковий звіт'!DC236</f>
        <v>74979.42</v>
      </c>
      <c r="DD236" s="717">
        <f>'[4]побудинковий звіт'!DD236</f>
        <v>0</v>
      </c>
      <c r="DE236" s="717">
        <f>'[4]побудинковий звіт'!DE236</f>
        <v>56593.59</v>
      </c>
      <c r="DF236" s="717">
        <f>'[4]побудинковий звіт'!DF236</f>
        <v>0</v>
      </c>
      <c r="DG236" s="787">
        <v>52971.992417583824</v>
      </c>
      <c r="DH236" s="761">
        <f t="shared" si="226"/>
        <v>2647652.5199999996</v>
      </c>
      <c r="DI236" s="784"/>
      <c r="DJ236" s="5"/>
      <c r="DK236" s="317">
        <f>VLOOKUP($A236,ціни!$A$4:$G$401,5)</f>
        <v>5.1633683075088053</v>
      </c>
      <c r="DL236" s="317"/>
      <c r="DM236" s="317">
        <f>VLOOKUP($A236,ціни!$A$4:$G$401,7)</f>
        <v>4.6558978922695511</v>
      </c>
      <c r="DN236" s="30">
        <f t="shared" si="276"/>
        <v>3105.2497001357956</v>
      </c>
      <c r="DO236" s="30">
        <f t="shared" si="277"/>
        <v>0</v>
      </c>
      <c r="DP236" s="316">
        <f t="shared" ref="DP236:DP294" si="278">DN236+DO236</f>
        <v>3105.2497001357956</v>
      </c>
      <c r="DQ236" s="104"/>
      <c r="DR236" s="30">
        <f>VLOOKUP(A236,'ДЗ нас '!$A$1:$C$359,2)</f>
        <v>18385.830000000002</v>
      </c>
      <c r="DS236" s="748"/>
      <c r="DT236" s="30">
        <f t="shared" ref="DT236:DT294" si="279">DR236+DS236</f>
        <v>18385.830000000002</v>
      </c>
      <c r="DU236" s="257">
        <f>VLOOKUP(A236,'новий кошторис с 01.06'!$A$4:$AI$399,35)*1.2</f>
        <v>18486.071681784841</v>
      </c>
      <c r="DV236" s="30">
        <f t="shared" ref="DV236:DV294" si="280">DT236-DU236</f>
        <v>-100.24168178483887</v>
      </c>
      <c r="DW236" s="930">
        <f>'[5]побудинковий звіт'!DW236+'[6]побудинковий звіт'!DW236</f>
        <v>236</v>
      </c>
      <c r="DY236" s="5">
        <f t="shared" si="227"/>
        <v>79577.426357333796</v>
      </c>
      <c r="DZ236" s="5">
        <f t="shared" si="228"/>
        <v>37462.799999999996</v>
      </c>
      <c r="EA236" s="752">
        <f t="shared" si="229"/>
        <v>56593.59</v>
      </c>
      <c r="EC236" s="592">
        <f t="shared" si="230"/>
        <v>693689.51906658662</v>
      </c>
      <c r="EE236" s="758">
        <v>-36286</v>
      </c>
      <c r="EF236" s="738">
        <f t="shared" si="231"/>
        <v>16685.992417583824</v>
      </c>
      <c r="EH236" s="813">
        <v>24073.216356966259</v>
      </c>
    </row>
    <row r="237" spans="1:138" x14ac:dyDescent="0.3">
      <c r="A237" s="328">
        <v>150000723</v>
      </c>
      <c r="B237" s="44" t="s">
        <v>687</v>
      </c>
      <c r="C237" s="45" t="s">
        <v>1756</v>
      </c>
      <c r="D237" s="45" t="s">
        <v>275</v>
      </c>
      <c r="E237" s="40">
        <f t="shared" si="232"/>
        <v>427.1</v>
      </c>
      <c r="F237" s="490">
        <v>427.1</v>
      </c>
      <c r="G237" s="30"/>
      <c r="H237" s="30">
        <v>0</v>
      </c>
      <c r="I237" s="42">
        <f>'[1]побудинковий звіт'!I237+'[2]побудинковий звіт'!I237-'[3]побудинковий звіт'!I237</f>
        <v>12204.091458040617</v>
      </c>
      <c r="J237" s="42">
        <f>'[1]побудинковий звіт'!J237+'[2]побудинковий звіт'!J237-'[3]побудинковий звіт'!J237</f>
        <v>12188.922314390236</v>
      </c>
      <c r="K237" s="56">
        <f t="shared" si="238"/>
        <v>-15.169143650380647</v>
      </c>
      <c r="L237" s="42">
        <f>'[1]побудинковий звіт'!L237+'[2]побудинковий звіт'!L237-'[3]побудинковий звіт'!L237</f>
        <v>2071.2716309647135</v>
      </c>
      <c r="M237" s="42">
        <f>'[1]побудинковий звіт'!M237+'[2]побудинковий звіт'!M237-'[3]побудинковий звіт'!M237</f>
        <v>2089.8248331115369</v>
      </c>
      <c r="N237" s="56">
        <f t="shared" si="239"/>
        <v>18.553202146823423</v>
      </c>
      <c r="O237" s="42">
        <f>'[1]побудинковий звіт'!O237+'[2]побудинковий звіт'!O237-'[3]побудинковий звіт'!O237</f>
        <v>4921.68</v>
      </c>
      <c r="P237" s="42">
        <f>'[1]побудинковий звіт'!P237+'[2]побудинковий звіт'!P237-'[3]побудинковий звіт'!P237</f>
        <v>3868.7752586021511</v>
      </c>
      <c r="Q237" s="56">
        <f t="shared" si="240"/>
        <v>-1052.9047413978492</v>
      </c>
      <c r="R237" s="42">
        <f>'[1]побудинковий звіт'!R237+'[2]побудинковий звіт'!R237-'[3]побудинковий звіт'!R237</f>
        <v>0</v>
      </c>
      <c r="S237" s="42">
        <f>'[1]побудинковий звіт'!S237+'[2]побудинковий звіт'!S237-'[3]побудинковий звіт'!S237</f>
        <v>0</v>
      </c>
      <c r="T237" s="56">
        <f t="shared" si="241"/>
        <v>0</v>
      </c>
      <c r="U237" s="42">
        <f>'[1]побудинковий звіт'!U237+'[2]побудинковий звіт'!U237-'[3]побудинковий звіт'!U237</f>
        <v>0</v>
      </c>
      <c r="V237" s="42">
        <f>'[1]побудинковий звіт'!V237+'[2]побудинковий звіт'!V237-'[3]побудинковий звіт'!V237</f>
        <v>0</v>
      </c>
      <c r="W237" s="56">
        <f t="shared" si="242"/>
        <v>0</v>
      </c>
      <c r="X237" s="42">
        <f>'[1]побудинковий звіт'!X237+'[2]побудинковий звіт'!X237-'[3]побудинковий звіт'!X237</f>
        <v>7654.5532455452867</v>
      </c>
      <c r="Y237" s="42">
        <f>'[1]побудинковий звіт'!Y237+'[2]побудинковий звіт'!Y237-'[3]побудинковий звіт'!Y237</f>
        <v>6009.6184832667968</v>
      </c>
      <c r="Z237" s="56">
        <f t="shared" si="243"/>
        <v>-1644.9347622784899</v>
      </c>
      <c r="AA237" s="42">
        <f>'[1]побудинковий звіт'!AA237+'[2]побудинковий звіт'!AA237-'[3]побудинковий звіт'!AA237</f>
        <v>0</v>
      </c>
      <c r="AB237" s="42">
        <f>'[1]побудинковий звіт'!AB237+'[2]побудинковий звіт'!AB237-'[3]побудинковий звіт'!AB237</f>
        <v>0</v>
      </c>
      <c r="AC237" s="56">
        <f t="shared" si="244"/>
        <v>0</v>
      </c>
      <c r="AD237" s="42">
        <f>'[1]побудинковий звіт'!AD237+'[2]побудинковий звіт'!AD237-'[3]побудинковий звіт'!AD237</f>
        <v>15286.952897511032</v>
      </c>
      <c r="AE237" s="42">
        <f>'[1]побудинковий звіт'!AE237+'[2]побудинковий звіт'!AE237-'[3]побудинковий звіт'!AE237</f>
        <v>14089.370154942626</v>
      </c>
      <c r="AF237" s="37">
        <f t="shared" si="245"/>
        <v>-1197.5827425684056</v>
      </c>
      <c r="AG237" s="87">
        <f t="shared" si="235"/>
        <v>42138.549232061647</v>
      </c>
      <c r="AH237" s="57">
        <f t="shared" si="235"/>
        <v>38246.511044313345</v>
      </c>
      <c r="AI237" s="56">
        <f t="shared" si="246"/>
        <v>-3892.0381877483014</v>
      </c>
      <c r="AJ237" s="42">
        <f>'[1]побудинковий звіт'!AJ237+'[2]побудинковий звіт'!AJ237-'[3]побудинковий звіт'!AJ237</f>
        <v>0</v>
      </c>
      <c r="AK237" s="42">
        <f>'[1]побудинковий звіт'!AK237+'[2]побудинковий звіт'!AK237-'[3]побудинковий звіт'!AK237</f>
        <v>0</v>
      </c>
      <c r="AL237" s="56">
        <f t="shared" si="247"/>
        <v>0</v>
      </c>
      <c r="AM237" s="42">
        <f>'[1]побудинковий звіт'!AM237+'[2]побудинковий звіт'!AM237-'[3]побудинковий звіт'!AM237</f>
        <v>0</v>
      </c>
      <c r="AN237" s="42">
        <f>'[1]побудинковий звіт'!AN237+'[2]побудинковий звіт'!AN237-'[3]побудинковий звіт'!AN237</f>
        <v>0</v>
      </c>
      <c r="AO237" s="56">
        <f t="shared" si="248"/>
        <v>0</v>
      </c>
      <c r="AP237" s="42">
        <f>'[1]побудинковий звіт'!AP237+'[2]побудинковий звіт'!AP237-'[3]побудинковий звіт'!AP237</f>
        <v>11364.211714723799</v>
      </c>
      <c r="AQ237" s="42">
        <f>'[1]побудинковий звіт'!AQ237+'[2]побудинковий звіт'!AQ237-'[3]побудинковий звіт'!AQ237</f>
        <v>14788.212373468963</v>
      </c>
      <c r="AR237" s="56">
        <f t="shared" si="249"/>
        <v>3424.0006587451644</v>
      </c>
      <c r="AS237" s="42">
        <f>'[1]побудинковий звіт'!AS237+'[2]побудинковий звіт'!AS237-'[3]побудинковий звіт'!AS237</f>
        <v>57920.574094346528</v>
      </c>
      <c r="AT237" s="42">
        <f>'[1]побудинковий звіт'!AT237+'[2]побудинковий звіт'!AT237-'[3]побудинковий звіт'!AT237</f>
        <v>47298.319891520594</v>
      </c>
      <c r="AU237" s="58">
        <f t="shared" si="266"/>
        <v>-10622.254202825934</v>
      </c>
      <c r="AV237" s="42">
        <f>'[1]побудинковий звіт'!AV237+'[2]побудинковий звіт'!AV237-'[3]побудинковий звіт'!AV237</f>
        <v>1941.1583105102109</v>
      </c>
      <c r="AW237" s="42">
        <f>'[1]побудинковий звіт'!AW237+'[2]побудинковий звіт'!AW237-'[3]побудинковий звіт'!AW237</f>
        <v>1093</v>
      </c>
      <c r="AX237" s="59">
        <f t="shared" si="267"/>
        <v>-848.15831051021087</v>
      </c>
      <c r="AY237" s="42">
        <f>'[1]побудинковий звіт'!AY237+'[2]побудинковий звіт'!AY237-'[3]побудинковий звіт'!AY237</f>
        <v>2669.3329242191721</v>
      </c>
      <c r="AZ237" s="42">
        <f>'[1]побудинковий звіт'!AZ237+'[2]побудинковий звіт'!AZ237-'[3]побудинковий звіт'!AZ237</f>
        <v>0</v>
      </c>
      <c r="BA237" s="37">
        <f t="shared" si="268"/>
        <v>-2669.3329242191721</v>
      </c>
      <c r="BB237" s="42">
        <f>'[1]побудинковий звіт'!BB237+'[2]побудинковий звіт'!BB237-'[3]побудинковий звіт'!BB237</f>
        <v>2836.7505904415775</v>
      </c>
      <c r="BC237" s="42">
        <f>'[1]побудинковий звіт'!BC237+'[2]побудинковий звіт'!BC237-'[3]побудинковий звіт'!BC237</f>
        <v>0</v>
      </c>
      <c r="BD237" s="59">
        <f t="shared" si="269"/>
        <v>-2836.7505904415775</v>
      </c>
      <c r="BE237" s="42">
        <f>'[1]побудинковий звіт'!BE237+'[2]побудинковий звіт'!BE237-'[3]побудинковий звіт'!BE237</f>
        <v>0</v>
      </c>
      <c r="BF237" s="42">
        <f>'[1]побудинковий звіт'!BF237+'[2]побудинковий звіт'!BF237-'[3]побудинковий звіт'!BF237</f>
        <v>0</v>
      </c>
      <c r="BG237" s="39">
        <f t="shared" si="270"/>
        <v>0</v>
      </c>
      <c r="BH237" s="42">
        <f>'[1]побудинковий звіт'!BH237+'[2]побудинковий звіт'!BH237-'[3]побудинковий звіт'!BH237</f>
        <v>0</v>
      </c>
      <c r="BI237" s="42">
        <f>'[1]побудинковий звіт'!BI237+'[2]побудинковий звіт'!BI237-'[3]побудинковий звіт'!BI237</f>
        <v>0</v>
      </c>
      <c r="BJ237" s="59">
        <f t="shared" si="271"/>
        <v>0</v>
      </c>
      <c r="BK237" s="42">
        <f>'[1]побудинковий звіт'!BK237+'[2]побудинковий звіт'!BK237-'[3]побудинковий звіт'!BK237</f>
        <v>1077.1086257719292</v>
      </c>
      <c r="BL237" s="42">
        <f>'[1]побудинковий звіт'!BL237+'[2]побудинковий звіт'!BL237-'[3]побудинковий звіт'!BL237</f>
        <v>1393.007111349609</v>
      </c>
      <c r="BM237" s="39">
        <f t="shared" si="272"/>
        <v>315.89848557767982</v>
      </c>
      <c r="BN237" s="42">
        <f>'[1]побудинковий звіт'!BN237+'[2]побудинковий звіт'!BN237-'[3]побудинковий звіт'!BN237</f>
        <v>0</v>
      </c>
      <c r="BO237" s="42">
        <f>'[1]побудинковий звіт'!BO237+'[2]побудинковий звіт'!BO237-'[3]побудинковий звіт'!BO237</f>
        <v>0</v>
      </c>
      <c r="BP237" s="59">
        <f t="shared" si="273"/>
        <v>0</v>
      </c>
      <c r="BQ237" s="87">
        <f t="shared" si="233"/>
        <v>8524.3504509428894</v>
      </c>
      <c r="BR237" s="43">
        <f t="shared" si="275"/>
        <v>2486.0071113496087</v>
      </c>
      <c r="BS237" s="59">
        <f t="shared" si="274"/>
        <v>-6038.3433395932807</v>
      </c>
      <c r="BT237" s="42">
        <f>'[1]побудинковий звіт'!BT237+'[2]побудинковий звіт'!BT237-'[3]побудинковий звіт'!BT237</f>
        <v>29070.594141452057</v>
      </c>
      <c r="BU237" s="42">
        <f>'[1]побудинковий звіт'!BU237+'[2]побудинковий звіт'!BU237-'[3]побудинковий звіт'!BU237</f>
        <v>45571.431694648905</v>
      </c>
      <c r="BV237" s="56">
        <f t="shared" si="250"/>
        <v>16500.837553196849</v>
      </c>
      <c r="BW237" s="42">
        <f>'[1]побудинковий звіт'!BW237+'[2]побудинковий звіт'!BW237-'[3]побудинковий звіт'!BW237</f>
        <v>18943.709525455732</v>
      </c>
      <c r="BX237" s="42">
        <f>'[1]побудинковий звіт'!BX237+'[2]побудинковий звіт'!BX237-'[3]побудинковий звіт'!BX237</f>
        <v>18961.902817752263</v>
      </c>
      <c r="BY237" s="56">
        <f t="shared" si="251"/>
        <v>18.193292296531581</v>
      </c>
      <c r="BZ237" s="42">
        <f>'[1]побудинковий звіт'!BZ237+'[2]побудинковий звіт'!BZ237-'[3]побудинковий звіт'!BZ237</f>
        <v>12000.26749062252</v>
      </c>
      <c r="CA237" s="42">
        <f>'[1]побудинковий звіт'!CA237+'[2]побудинковий звіт'!CA237-'[3]побудинковий звіт'!CA237</f>
        <v>12126.022964985419</v>
      </c>
      <c r="CB237" s="56">
        <f t="shared" si="252"/>
        <v>125.75547436289889</v>
      </c>
      <c r="CC237" s="42">
        <f>'[1]побудинковий звіт'!CC237+'[2]побудинковий звіт'!CC237-'[3]побудинковий звіт'!CC237</f>
        <v>2533.0694215510935</v>
      </c>
      <c r="CD237" s="42">
        <f>'[1]побудинковий звіт'!CD237+'[2]побудинковий звіт'!CD237-'[3]побудинковий звіт'!CD237</f>
        <v>2510.790359837933</v>
      </c>
      <c r="CE237" s="56">
        <f t="shared" si="253"/>
        <v>-22.279061713160445</v>
      </c>
      <c r="CF237" s="42">
        <f>'[1]побудинковий звіт'!CF237+'[2]побудинковий звіт'!CF237-'[3]побудинковий звіт'!CF237</f>
        <v>311.83619772882781</v>
      </c>
      <c r="CG237" s="42">
        <f>'[1]побудинковий звіт'!CG237+'[2]побудинковий звіт'!CG237-'[3]побудинковий звіт'!CG237</f>
        <v>0</v>
      </c>
      <c r="CH237" s="56">
        <f t="shared" si="254"/>
        <v>-311.83619772882781</v>
      </c>
      <c r="CI237" s="42">
        <f>'[1]побудинковий звіт'!CI237+'[2]побудинковий звіт'!CI237-'[3]побудинковий звіт'!CI237</f>
        <v>4529.6410928804953</v>
      </c>
      <c r="CJ237" s="42">
        <f>'[1]побудинковий звіт'!CJ237+'[2]побудинковий звіт'!CJ237-'[3]побудинковий звіт'!CJ237</f>
        <v>3347.5185394574592</v>
      </c>
      <c r="CK237" s="56">
        <f t="shared" si="255"/>
        <v>-1182.1225534230362</v>
      </c>
      <c r="CL237" s="42">
        <f>'[1]побудинковий звіт'!CL237+'[2]побудинковий звіт'!CL237-'[3]побудинковий звіт'!CL237</f>
        <v>0</v>
      </c>
      <c r="CM237" s="42">
        <f>'[1]побудинковий звіт'!CM237+'[2]побудинковий звіт'!CM237-'[3]побудинковий звіт'!CM237</f>
        <v>0</v>
      </c>
      <c r="CN237" s="56">
        <f t="shared" si="256"/>
        <v>0</v>
      </c>
      <c r="CO237" s="42">
        <f t="shared" si="236"/>
        <v>4529.6410928804953</v>
      </c>
      <c r="CP237" s="43">
        <f t="shared" si="257"/>
        <v>3347.5185394574592</v>
      </c>
      <c r="CQ237" s="56">
        <f t="shared" si="258"/>
        <v>-1182.1225534230362</v>
      </c>
      <c r="CR237" s="78">
        <f t="shared" si="237"/>
        <v>187336.80336176557</v>
      </c>
      <c r="CS237" s="5">
        <f t="shared" si="237"/>
        <v>185336.71679733452</v>
      </c>
      <c r="CT237" s="56">
        <f t="shared" si="259"/>
        <v>-2000.0865644310543</v>
      </c>
      <c r="CU237" s="87">
        <f t="shared" si="260"/>
        <v>224804.16403411867</v>
      </c>
      <c r="CV237" s="70">
        <f t="shared" si="261"/>
        <v>222404.06015680142</v>
      </c>
      <c r="CW237" s="37">
        <f t="shared" si="262"/>
        <v>-2400.1038773172477</v>
      </c>
      <c r="CX237" s="42">
        <f>'[1]побудинковий звіт'!CX237+'[2]побудинковий звіт'!CX237-'[3]побудинковий звіт'!CX237</f>
        <v>7764.0859658813279</v>
      </c>
      <c r="CY237" s="42">
        <f>'[1]побудинковий звіт'!CY237+'[2]побудинковий звіт'!CY237-'[3]побудинковий звіт'!CY237</f>
        <v>10164.189843198605</v>
      </c>
      <c r="CZ237" s="56">
        <f t="shared" si="263"/>
        <v>2400.1038773172768</v>
      </c>
      <c r="DA237" s="264">
        <f>'[4]побудинковий звіт'!DA237</f>
        <v>61237.402805268117</v>
      </c>
      <c r="DB237" s="2">
        <v>2</v>
      </c>
      <c r="DC237" s="717">
        <f>'[4]побудинковий звіт'!DC237</f>
        <v>58443.43</v>
      </c>
      <c r="DD237" s="717">
        <f>'[4]побудинковий звіт'!DD237</f>
        <v>0</v>
      </c>
      <c r="DE237" s="717">
        <f>'[4]побудинковий звіт'!DE237</f>
        <v>39064.369999999995</v>
      </c>
      <c r="DF237" s="717">
        <f>'[4]побудинковий звіт'!DF237</f>
        <v>0</v>
      </c>
      <c r="DG237" s="787">
        <v>69048.498012786615</v>
      </c>
      <c r="DH237" s="761">
        <f t="shared" si="226"/>
        <v>2790819</v>
      </c>
      <c r="DI237" s="784"/>
      <c r="DJ237" s="5"/>
      <c r="DK237" s="317">
        <f>VLOOKUP($A237,ціни!$A$4:$G$401,5)</f>
        <v>5.4232935634209927</v>
      </c>
      <c r="DL237" s="317"/>
      <c r="DM237" s="317">
        <f>VLOOKUP($A237,ціни!$A$4:$G$401,7)</f>
        <v>4.8748839818913812</v>
      </c>
      <c r="DN237" s="30">
        <f t="shared" si="276"/>
        <v>2316.2886809371062</v>
      </c>
      <c r="DO237" s="30">
        <f t="shared" si="277"/>
        <v>0</v>
      </c>
      <c r="DP237" s="316">
        <f t="shared" si="278"/>
        <v>2316.2886809371062</v>
      </c>
      <c r="DQ237" s="104"/>
      <c r="DR237" s="30">
        <f>VLOOKUP(A237,'ДЗ нас '!$A$1:$C$359,2)</f>
        <v>19379.060000000001</v>
      </c>
      <c r="DS237" s="748"/>
      <c r="DT237" s="30">
        <f t="shared" si="279"/>
        <v>19379.060000000001</v>
      </c>
      <c r="DU237" s="257">
        <f>VLOOKUP(A237,'новий кошторис с 01.06'!$A$4:$AI$399,35)*1.2</f>
        <v>19520.494910295976</v>
      </c>
      <c r="DV237" s="30">
        <f t="shared" si="280"/>
        <v>-141.43491029597499</v>
      </c>
      <c r="DW237" s="930">
        <f>'[5]побудинковий звіт'!DW237+'[6]побудинковий звіт'!DW237</f>
        <v>236</v>
      </c>
      <c r="DY237" s="5">
        <f t="shared" si="227"/>
        <v>79733.909454347304</v>
      </c>
      <c r="DZ237" s="5">
        <f t="shared" si="228"/>
        <v>59741.192403444242</v>
      </c>
      <c r="EA237" s="752">
        <f t="shared" si="229"/>
        <v>39064.369999999995</v>
      </c>
      <c r="EC237" s="592">
        <f t="shared" si="230"/>
        <v>695046.88913215837</v>
      </c>
      <c r="EE237" s="758">
        <v>-30537</v>
      </c>
      <c r="EF237" s="738">
        <f t="shared" si="231"/>
        <v>38511.498012786615</v>
      </c>
      <c r="EH237" s="813">
        <v>54322.968974221549</v>
      </c>
    </row>
    <row r="238" spans="1:138" x14ac:dyDescent="0.3">
      <c r="A238" s="328">
        <v>150000724</v>
      </c>
      <c r="B238" s="44" t="s">
        <v>688</v>
      </c>
      <c r="C238" s="45" t="s">
        <v>1757</v>
      </c>
      <c r="D238" s="45" t="s">
        <v>276</v>
      </c>
      <c r="E238" s="40">
        <f t="shared" si="232"/>
        <v>1282.0999999999999</v>
      </c>
      <c r="F238" s="490">
        <v>1282.0999999999999</v>
      </c>
      <c r="G238" s="30"/>
      <c r="H238" s="30">
        <v>0</v>
      </c>
      <c r="I238" s="42">
        <f>'[1]побудинковий звіт'!I238+'[2]побудинковий звіт'!I238-'[3]побудинковий звіт'!I238</f>
        <v>12208.686691603745</v>
      </c>
      <c r="J238" s="42">
        <f>'[1]побудинковий звіт'!J238+'[2]побудинковий звіт'!J238-'[3]побудинковий звіт'!J238</f>
        <v>12192.2834119993</v>
      </c>
      <c r="K238" s="56">
        <f t="shared" si="238"/>
        <v>-16.403279604444833</v>
      </c>
      <c r="L238" s="42">
        <f>'[1]побудинковий звіт'!L238+'[2]побудинковий звіт'!L238-'[3]побудинковий звіт'!L238</f>
        <v>2071.2716309647135</v>
      </c>
      <c r="M238" s="42">
        <f>'[1]побудинковий звіт'!M238+'[2]побудинковий звіт'!M238-'[3]побудинковий звіт'!M238</f>
        <v>2111.6375526122861</v>
      </c>
      <c r="N238" s="56">
        <f t="shared" si="239"/>
        <v>40.365921647572577</v>
      </c>
      <c r="O238" s="42">
        <f>'[1]побудинковий звіт'!O238+'[2]побудинковий звіт'!O238-'[3]побудинковий звіт'!O238</f>
        <v>4921.68</v>
      </c>
      <c r="P238" s="42">
        <f>'[1]побудинковий звіт'!P238+'[2]побудинковий звіт'!P238-'[3]побудинковий звіт'!P238</f>
        <v>3868.7672500000012</v>
      </c>
      <c r="Q238" s="56">
        <f t="shared" si="240"/>
        <v>-1052.9127499999991</v>
      </c>
      <c r="R238" s="42">
        <f>'[1]побудинковий звіт'!R238+'[2]побудинковий звіт'!R238-'[3]побудинковий звіт'!R238</f>
        <v>0</v>
      </c>
      <c r="S238" s="42">
        <f>'[1]побудинковий звіт'!S238+'[2]побудинковий звіт'!S238-'[3]побудинковий звіт'!S238</f>
        <v>0</v>
      </c>
      <c r="T238" s="56">
        <f t="shared" si="241"/>
        <v>0</v>
      </c>
      <c r="U238" s="42">
        <f>'[1]побудинковий звіт'!U238+'[2]побудинковий звіт'!U238-'[3]побудинковий звіт'!U238</f>
        <v>0</v>
      </c>
      <c r="V238" s="42">
        <f>'[1]побудинковий звіт'!V238+'[2]побудинковий звіт'!V238-'[3]побудинковий звіт'!V238</f>
        <v>0</v>
      </c>
      <c r="W238" s="56">
        <f t="shared" si="242"/>
        <v>0</v>
      </c>
      <c r="X238" s="42">
        <f>'[1]побудинковий звіт'!X238+'[2]побудинковий звіт'!X238-'[3]побудинковий звіт'!X238</f>
        <v>7654.5532455452867</v>
      </c>
      <c r="Y238" s="42">
        <f>'[1]побудинковий звіт'!Y238+'[2]побудинковий звіт'!Y238-'[3]побудинковий звіт'!Y238</f>
        <v>6029.7594141256941</v>
      </c>
      <c r="Z238" s="56">
        <f t="shared" si="243"/>
        <v>-1624.7938314195926</v>
      </c>
      <c r="AA238" s="42">
        <f>'[1]побудинковий звіт'!AA238+'[2]побудинковий звіт'!AA238-'[3]побудинковий звіт'!AA238</f>
        <v>0</v>
      </c>
      <c r="AB238" s="42">
        <f>'[1]побудинковий звіт'!AB238+'[2]побудинковий звіт'!AB238-'[3]побудинковий звіт'!AB238</f>
        <v>0</v>
      </c>
      <c r="AC238" s="56">
        <f t="shared" si="244"/>
        <v>0</v>
      </c>
      <c r="AD238" s="42">
        <f>'[1]побудинковий звіт'!AD238+'[2]побудинковий звіт'!AD238-'[3]побудинковий звіт'!AD238</f>
        <v>15239.91875064578</v>
      </c>
      <c r="AE238" s="42">
        <f>'[1]побудинковий звіт'!AE238+'[2]побудинковий звіт'!AE238-'[3]побудинковий звіт'!AE238</f>
        <v>14046.429098498418</v>
      </c>
      <c r="AF238" s="37">
        <f t="shared" si="245"/>
        <v>-1193.489652147362</v>
      </c>
      <c r="AG238" s="87">
        <f t="shared" si="235"/>
        <v>42096.110318759529</v>
      </c>
      <c r="AH238" s="57">
        <f t="shared" si="235"/>
        <v>38248.8767272357</v>
      </c>
      <c r="AI238" s="56">
        <f t="shared" si="246"/>
        <v>-3847.2335915238291</v>
      </c>
      <c r="AJ238" s="42">
        <f>'[1]побудинковий звіт'!AJ238+'[2]побудинковий звіт'!AJ238-'[3]побудинковий звіт'!AJ238</f>
        <v>0</v>
      </c>
      <c r="AK238" s="42">
        <f>'[1]побудинковий звіт'!AK238+'[2]побудинковий звіт'!AK238-'[3]побудинковий звіт'!AK238</f>
        <v>0</v>
      </c>
      <c r="AL238" s="56">
        <f t="shared" si="247"/>
        <v>0</v>
      </c>
      <c r="AM238" s="42">
        <f>'[1]побудинковий звіт'!AM238+'[2]побудинковий звіт'!AM238-'[3]побудинковий звіт'!AM238</f>
        <v>0</v>
      </c>
      <c r="AN238" s="42">
        <f>'[1]побудинковий звіт'!AN238+'[2]побудинковий звіт'!AN238-'[3]побудинковий звіт'!AN238</f>
        <v>0</v>
      </c>
      <c r="AO238" s="56">
        <f t="shared" si="248"/>
        <v>0</v>
      </c>
      <c r="AP238" s="42">
        <f>'[1]побудинковий звіт'!AP238+'[2]побудинковий звіт'!AP238-'[3]побудинковий звіт'!AP238</f>
        <v>11364.211714723799</v>
      </c>
      <c r="AQ238" s="42">
        <f>'[1]побудинковий звіт'!AQ238+'[2]побудинковий звіт'!AQ238-'[3]побудинковий звіт'!AQ238</f>
        <v>8800.1504779552979</v>
      </c>
      <c r="AR238" s="56">
        <f t="shared" si="249"/>
        <v>-2564.0612367685007</v>
      </c>
      <c r="AS238" s="42">
        <f>'[1]побудинковий звіт'!AS238+'[2]побудинковий звіт'!AS238-'[3]побудинковий звіт'!AS238</f>
        <v>52698.378885483238</v>
      </c>
      <c r="AT238" s="42">
        <f>'[1]побудинковий звіт'!AT238+'[2]побудинковий звіт'!AT238-'[3]побудинковий звіт'!AT238</f>
        <v>17927</v>
      </c>
      <c r="AU238" s="58">
        <f t="shared" si="266"/>
        <v>-34771.378885483238</v>
      </c>
      <c r="AV238" s="42">
        <f>'[1]побудинковий звіт'!AV238+'[2]побудинковий звіт'!AV238-'[3]побудинковий звіт'!AV238</f>
        <v>1940.8522748715295</v>
      </c>
      <c r="AW238" s="42">
        <f>'[1]побудинковий звіт'!AW238+'[2]побудинковий звіт'!AW238-'[3]побудинковий звіт'!AW238</f>
        <v>5684.2802304249271</v>
      </c>
      <c r="AX238" s="59">
        <f t="shared" si="267"/>
        <v>3743.4279555533976</v>
      </c>
      <c r="AY238" s="42">
        <f>'[1]побудинковий звіт'!AY238+'[2]побудинковий звіт'!AY238-'[3]побудинковий звіт'!AY238</f>
        <v>2669.3329242191721</v>
      </c>
      <c r="AZ238" s="42">
        <f>'[1]побудинковий звіт'!AZ238+'[2]побудинковий звіт'!AZ238-'[3]побудинковий звіт'!AZ238</f>
        <v>0</v>
      </c>
      <c r="BA238" s="37">
        <f t="shared" si="268"/>
        <v>-2669.3329242191721</v>
      </c>
      <c r="BB238" s="42">
        <f>'[1]побудинковий звіт'!BB238+'[2]побудинковий звіт'!BB238-'[3]побудинковий звіт'!BB238</f>
        <v>2836.7505904415775</v>
      </c>
      <c r="BC238" s="42">
        <f>'[1]побудинковий звіт'!BC238+'[2]побудинковий звіт'!BC238-'[3]побудинковий звіт'!BC238</f>
        <v>0</v>
      </c>
      <c r="BD238" s="59">
        <f t="shared" si="269"/>
        <v>-2836.7505904415775</v>
      </c>
      <c r="BE238" s="42">
        <f>'[1]побудинковий звіт'!BE238+'[2]побудинковий звіт'!BE238-'[3]побудинковий звіт'!BE238</f>
        <v>0</v>
      </c>
      <c r="BF238" s="42">
        <f>'[1]побудинковий звіт'!BF238+'[2]побудинковий звіт'!BF238-'[3]побудинковий звіт'!BF238</f>
        <v>0</v>
      </c>
      <c r="BG238" s="39">
        <f t="shared" si="270"/>
        <v>0</v>
      </c>
      <c r="BH238" s="42">
        <f>'[1]побудинковий звіт'!BH238+'[2]побудинковий звіт'!BH238-'[3]побудинковий звіт'!BH238</f>
        <v>0</v>
      </c>
      <c r="BI238" s="42">
        <f>'[1]побудинковий звіт'!BI238+'[2]побудинковий звіт'!BI238-'[3]побудинковий звіт'!BI238</f>
        <v>0</v>
      </c>
      <c r="BJ238" s="59">
        <f t="shared" si="271"/>
        <v>0</v>
      </c>
      <c r="BK238" s="42">
        <f>'[1]побудинковий звіт'!BK238+'[2]побудинковий звіт'!BK238-'[3]побудинковий звіт'!BK238</f>
        <v>1077.1086257719292</v>
      </c>
      <c r="BL238" s="42">
        <f>'[1]побудинковий звіт'!BL238+'[2]побудинковий звіт'!BL238-'[3]побудинковий звіт'!BL238</f>
        <v>124</v>
      </c>
      <c r="BM238" s="39">
        <f t="shared" si="272"/>
        <v>-953.10862577192916</v>
      </c>
      <c r="BN238" s="42">
        <f>'[1]побудинковий звіт'!BN238+'[2]побудинковий звіт'!BN238-'[3]побудинковий звіт'!BN238</f>
        <v>0</v>
      </c>
      <c r="BO238" s="42">
        <f>'[1]побудинковий звіт'!BO238+'[2]побудинковий звіт'!BO238-'[3]побудинковий звіт'!BO238</f>
        <v>0</v>
      </c>
      <c r="BP238" s="59">
        <f t="shared" si="273"/>
        <v>0</v>
      </c>
      <c r="BQ238" s="87">
        <f t="shared" si="233"/>
        <v>8524.0444153042081</v>
      </c>
      <c r="BR238" s="43">
        <f t="shared" si="275"/>
        <v>5808.2802304249271</v>
      </c>
      <c r="BS238" s="59">
        <f t="shared" si="274"/>
        <v>-2715.7641848792809</v>
      </c>
      <c r="BT238" s="42">
        <f>'[1]побудинковий звіт'!BT238+'[2]побудинковий звіт'!BT238-'[3]побудинковий звіт'!BT238</f>
        <v>27514.777863092113</v>
      </c>
      <c r="BU238" s="42">
        <f>'[1]побудинковий звіт'!BU238+'[2]побудинковий звіт'!BU238-'[3]побудинковий звіт'!BU238</f>
        <v>45226.516580016469</v>
      </c>
      <c r="BV238" s="56">
        <f t="shared" si="250"/>
        <v>17711.738716924356</v>
      </c>
      <c r="BW238" s="42">
        <f>'[1]побудинковий звіт'!BW238+'[2]побудинковий звіт'!BW238-'[3]побудинковий звіт'!BW238</f>
        <v>18349.83466811604</v>
      </c>
      <c r="BX238" s="42">
        <f>'[1]побудинковий звіт'!BX238+'[2]побудинковий звіт'!BX238-'[3]побудинковий звіт'!BX238</f>
        <v>18963.881324921815</v>
      </c>
      <c r="BY238" s="56">
        <f t="shared" si="251"/>
        <v>614.04665680577455</v>
      </c>
      <c r="BZ238" s="42">
        <f>'[1]побудинковий звіт'!BZ238+'[2]побудинковий звіт'!BZ238-'[3]побудинковий звіт'!BZ238</f>
        <v>11947.974829839761</v>
      </c>
      <c r="CA238" s="42">
        <f>'[1]побудинковий звіт'!CA238+'[2]побудинковий звіт'!CA238-'[3]побудинковий звіт'!CA238</f>
        <v>8767.5820944210318</v>
      </c>
      <c r="CB238" s="56">
        <f t="shared" si="252"/>
        <v>-3180.392735418729</v>
      </c>
      <c r="CC238" s="42">
        <f>'[1]побудинковий звіт'!CC238+'[2]побудинковий звіт'!CC238-'[3]побудинковий звіт'!CC238</f>
        <v>2104.8124454969379</v>
      </c>
      <c r="CD238" s="42">
        <f>'[1]побудинковий звіт'!CD238+'[2]побудинковий звіт'!CD238-'[3]побудинковий звіт'!CD238</f>
        <v>2086.3000249651941</v>
      </c>
      <c r="CE238" s="56">
        <f t="shared" si="253"/>
        <v>-18.512420531743828</v>
      </c>
      <c r="CF238" s="42">
        <f>'[1]побудинковий звіт'!CF238+'[2]побудинковий звіт'!CF238-'[3]побудинковий звіт'!CF238</f>
        <v>259.11516847973667</v>
      </c>
      <c r="CG238" s="42">
        <f>'[1]побудинковий звіт'!CG238+'[2]побудинковий звіт'!CG238-'[3]побудинковий звіт'!CG238</f>
        <v>0</v>
      </c>
      <c r="CH238" s="56">
        <f t="shared" si="254"/>
        <v>-259.11516847973667</v>
      </c>
      <c r="CI238" s="42">
        <f>'[1]побудинковий звіт'!CI238+'[2]побудинковий звіт'!CI238-'[3]побудинковий звіт'!CI238</f>
        <v>7674.1853226487747</v>
      </c>
      <c r="CJ238" s="42">
        <f>'[1]побудинковий звіт'!CJ238+'[2]побудинковий звіт'!CJ238-'[3]побудинковий звіт'!CJ238</f>
        <v>11067.089021432086</v>
      </c>
      <c r="CK238" s="56">
        <f t="shared" si="255"/>
        <v>3392.9036987833115</v>
      </c>
      <c r="CL238" s="42">
        <f>'[1]побудинковий звіт'!CL238+'[2]побудинковий звіт'!CL238-'[3]побудинковий звіт'!CL238</f>
        <v>0</v>
      </c>
      <c r="CM238" s="42">
        <f>'[1]побудинковий звіт'!CM238+'[2]побудинковий звіт'!CM238-'[3]побудинковий звіт'!CM238</f>
        <v>0</v>
      </c>
      <c r="CN238" s="56">
        <f t="shared" si="256"/>
        <v>0</v>
      </c>
      <c r="CO238" s="42">
        <f t="shared" si="236"/>
        <v>7674.1853226487747</v>
      </c>
      <c r="CP238" s="43">
        <f t="shared" si="257"/>
        <v>11067.089021432086</v>
      </c>
      <c r="CQ238" s="56">
        <f t="shared" si="258"/>
        <v>3392.9036987833115</v>
      </c>
      <c r="CR238" s="78">
        <f t="shared" si="237"/>
        <v>182533.44563194414</v>
      </c>
      <c r="CS238" s="5">
        <f t="shared" si="237"/>
        <v>156895.67648137253</v>
      </c>
      <c r="CT238" s="56">
        <f t="shared" si="259"/>
        <v>-25637.769150571607</v>
      </c>
      <c r="CU238" s="87">
        <f t="shared" si="260"/>
        <v>219040.13475833295</v>
      </c>
      <c r="CV238" s="70">
        <f t="shared" si="261"/>
        <v>188274.81177764703</v>
      </c>
      <c r="CW238" s="37">
        <f t="shared" si="262"/>
        <v>-30765.322980685916</v>
      </c>
      <c r="CX238" s="42">
        <f>'[1]побудинковий звіт'!CX238+'[2]побудинковий звіт'!CX238-'[3]побудинковий звіт'!CX238</f>
        <v>11033.465241667054</v>
      </c>
      <c r="CY238" s="42">
        <f>'[1]побудинковий звіт'!CY238+'[2]побудинковий звіт'!CY238-'[3]побудинковий звіт'!CY238</f>
        <v>41798.788222353032</v>
      </c>
      <c r="CZ238" s="56">
        <f t="shared" si="263"/>
        <v>30765.322980685978</v>
      </c>
      <c r="DA238" s="264">
        <f>'[4]побудинковий звіт'!DA238</f>
        <v>61853.396939961211</v>
      </c>
      <c r="DB238" s="2">
        <v>2</v>
      </c>
      <c r="DC238" s="717">
        <f>'[4]побудинковий звіт'!DC238</f>
        <v>83738.460000000006</v>
      </c>
      <c r="DD238" s="717">
        <f>'[4]побудинковий звіт'!DD238</f>
        <v>0</v>
      </c>
      <c r="DE238" s="717">
        <f>'[4]побудинковий звіт'!DE238</f>
        <v>64563.780000000006</v>
      </c>
      <c r="DF238" s="717">
        <f>'[4]побудинковий звіт'!DF238</f>
        <v>0</v>
      </c>
      <c r="DG238" s="787">
        <v>101282.23346366535</v>
      </c>
      <c r="DH238" s="761">
        <f t="shared" si="226"/>
        <v>2760883.2</v>
      </c>
      <c r="DI238" s="784"/>
      <c r="DJ238" s="5"/>
      <c r="DK238" s="317">
        <f>VLOOKUP($A238,ціни!$A$4:$G$401,5)</f>
        <v>5.3773670925745289</v>
      </c>
      <c r="DL238" s="317"/>
      <c r="DM238" s="317">
        <f>VLOOKUP($A238,ціни!$A$4:$G$401,7)</f>
        <v>4.8367878208860198</v>
      </c>
      <c r="DN238" s="30">
        <f t="shared" si="276"/>
        <v>6894.3223493898031</v>
      </c>
      <c r="DO238" s="30">
        <f t="shared" si="277"/>
        <v>0</v>
      </c>
      <c r="DP238" s="316">
        <f t="shared" si="278"/>
        <v>6894.3223493898031</v>
      </c>
      <c r="DQ238" s="104"/>
      <c r="DR238" s="30">
        <f>VLOOKUP(A238,'ДЗ нас '!$A$1:$C$359,2)</f>
        <v>19174.68</v>
      </c>
      <c r="DS238" s="748"/>
      <c r="DT238" s="30">
        <f t="shared" si="279"/>
        <v>19174.68</v>
      </c>
      <c r="DU238" s="257">
        <f>VLOOKUP(A238,'новий кошторис с 01.06'!$A$4:$AI$399,35)*1.2</f>
        <v>19348.545236986076</v>
      </c>
      <c r="DV238" s="30">
        <f t="shared" si="280"/>
        <v>-173.86523698607562</v>
      </c>
      <c r="DW238" s="930">
        <f>'[5]побудинковий звіт'!DW238+'[6]побудинковий звіт'!DW238</f>
        <v>236</v>
      </c>
      <c r="DY238" s="5">
        <f t="shared" si="227"/>
        <v>73466.907960944925</v>
      </c>
      <c r="DZ238" s="5">
        <f t="shared" si="228"/>
        <v>28482.336276509912</v>
      </c>
      <c r="EA238" s="752">
        <f t="shared" si="229"/>
        <v>64563.780000000006</v>
      </c>
      <c r="EC238" s="592">
        <f t="shared" si="230"/>
        <v>632380.5466257988</v>
      </c>
      <c r="EE238" s="758">
        <v>-65656</v>
      </c>
      <c r="EF238" s="738">
        <f t="shared" si="231"/>
        <v>35626.233463665354</v>
      </c>
      <c r="EH238" s="813">
        <v>74572.915765378333</v>
      </c>
    </row>
    <row r="239" spans="1:138" x14ac:dyDescent="0.3">
      <c r="A239" s="328">
        <v>150000725</v>
      </c>
      <c r="B239" s="44" t="s">
        <v>689</v>
      </c>
      <c r="C239" s="45" t="s">
        <v>1758</v>
      </c>
      <c r="D239" s="45" t="s">
        <v>277</v>
      </c>
      <c r="E239" s="40">
        <f t="shared" si="232"/>
        <v>3107.5</v>
      </c>
      <c r="F239" s="490">
        <v>3107.5</v>
      </c>
      <c r="G239" s="30"/>
      <c r="H239" s="30">
        <v>0</v>
      </c>
      <c r="I239" s="42">
        <f>'[1]побудинковий звіт'!I239+'[2]побудинковий звіт'!I239-'[3]побудинковий звіт'!I239</f>
        <v>12203.782188924448</v>
      </c>
      <c r="J239" s="42">
        <f>'[1]побудинковий звіт'!J239+'[2]побудинковий звіт'!J239-'[3]побудинковий звіт'!J239</f>
        <v>12188.398181287972</v>
      </c>
      <c r="K239" s="56">
        <f t="shared" si="238"/>
        <v>-15.384007636475872</v>
      </c>
      <c r="L239" s="42">
        <f>'[1]побудинковий звіт'!L239+'[2]побудинковий звіт'!L239-'[3]побудинковий звіт'!L239</f>
        <v>2071.2716309647135</v>
      </c>
      <c r="M239" s="42">
        <f>'[1]побудинковий звіт'!M239+'[2]побудинковий звіт'!M239-'[3]побудинковий звіт'!M239</f>
        <v>2089.8248331115369</v>
      </c>
      <c r="N239" s="56">
        <f t="shared" si="239"/>
        <v>18.553202146823423</v>
      </c>
      <c r="O239" s="42">
        <f>'[1]побудинковий звіт'!O239+'[2]побудинковий звіт'!O239-'[3]побудинковий звіт'!O239</f>
        <v>4869.1200000000008</v>
      </c>
      <c r="P239" s="42">
        <f>'[1]побудинковий звіт'!P239+'[2]побудинковий звіт'!P239-'[3]побудинковий звіт'!P239</f>
        <v>3827.1948868817194</v>
      </c>
      <c r="Q239" s="56">
        <f t="shared" si="240"/>
        <v>-1041.9251131182814</v>
      </c>
      <c r="R239" s="42">
        <f>'[1]побудинковий звіт'!R239+'[2]побудинковий звіт'!R239-'[3]побудинковий звіт'!R239</f>
        <v>0</v>
      </c>
      <c r="S239" s="42">
        <f>'[1]побудинковий звіт'!S239+'[2]побудинковий звіт'!S239-'[3]побудинковий звіт'!S239</f>
        <v>0</v>
      </c>
      <c r="T239" s="56">
        <f t="shared" si="241"/>
        <v>0</v>
      </c>
      <c r="U239" s="42">
        <f>'[1]побудинковий звіт'!U239+'[2]побудинковий звіт'!U239-'[3]побудинковий звіт'!U239</f>
        <v>0</v>
      </c>
      <c r="V239" s="42">
        <f>'[1]побудинковий звіт'!V239+'[2]побудинковий звіт'!V239-'[3]побудинковий звіт'!V239</f>
        <v>0</v>
      </c>
      <c r="W239" s="56">
        <f t="shared" si="242"/>
        <v>0</v>
      </c>
      <c r="X239" s="42">
        <f>'[1]побудинковий звіт'!X239+'[2]побудинковий звіт'!X239-'[3]побудинковий звіт'!X239</f>
        <v>7654.5532455452867</v>
      </c>
      <c r="Y239" s="42">
        <f>'[1]побудинковий звіт'!Y239+'[2]побудинковий звіт'!Y239-'[3]побудинковий звіт'!Y239</f>
        <v>6094.2932542750068</v>
      </c>
      <c r="Z239" s="56">
        <f t="shared" si="243"/>
        <v>-1560.2599912702799</v>
      </c>
      <c r="AA239" s="42">
        <f>'[1]побудинковий звіт'!AA239+'[2]побудинковий звіт'!AA239-'[3]побудинковий звіт'!AA239</f>
        <v>0</v>
      </c>
      <c r="AB239" s="42">
        <f>'[1]побудинковий звіт'!AB239+'[2]побудинковий звіт'!AB239-'[3]побудинковий звіт'!AB239</f>
        <v>0</v>
      </c>
      <c r="AC239" s="56">
        <f t="shared" si="244"/>
        <v>0</v>
      </c>
      <c r="AD239" s="42">
        <f>'[1]побудинковий звіт'!AD239+'[2]побудинковий звіт'!AD239-'[3]побудинковий звіт'!AD239</f>
        <v>15273.099203343449</v>
      </c>
      <c r="AE239" s="42">
        <f>'[1]побудинковий звіт'!AE239+'[2]побудинковий звіт'!AE239-'[3]побудинковий звіт'!AE239</f>
        <v>14077.079634639314</v>
      </c>
      <c r="AF239" s="37">
        <f t="shared" si="245"/>
        <v>-1196.0195687041341</v>
      </c>
      <c r="AG239" s="87">
        <f t="shared" si="235"/>
        <v>42071.826268777892</v>
      </c>
      <c r="AH239" s="57">
        <f t="shared" si="235"/>
        <v>38276.790790195548</v>
      </c>
      <c r="AI239" s="56">
        <f t="shared" si="246"/>
        <v>-3795.0354785823438</v>
      </c>
      <c r="AJ239" s="42">
        <f>'[1]побудинковий звіт'!AJ239+'[2]побудинковий звіт'!AJ239-'[3]побудинковий звіт'!AJ239</f>
        <v>0</v>
      </c>
      <c r="AK239" s="42">
        <f>'[1]побудинковий звіт'!AK239+'[2]побудинковий звіт'!AK239-'[3]побудинковий звіт'!AK239</f>
        <v>0</v>
      </c>
      <c r="AL239" s="56">
        <f t="shared" si="247"/>
        <v>0</v>
      </c>
      <c r="AM239" s="42">
        <f>'[1]побудинковий звіт'!AM239+'[2]побудинковий звіт'!AM239-'[3]побудинковий звіт'!AM239</f>
        <v>0</v>
      </c>
      <c r="AN239" s="42">
        <f>'[1]побудинковий звіт'!AN239+'[2]побудинковий звіт'!AN239-'[3]побудинковий звіт'!AN239</f>
        <v>0</v>
      </c>
      <c r="AO239" s="56">
        <f t="shared" si="248"/>
        <v>0</v>
      </c>
      <c r="AP239" s="42">
        <f>'[1]побудинковий звіт'!AP239+'[2]побудинковий звіт'!AP239-'[3]побудинковий звіт'!AP239</f>
        <v>11364.211714723799</v>
      </c>
      <c r="AQ239" s="42">
        <f>'[1]побудинковий звіт'!AQ239+'[2]побудинковий звіт'!AQ239-'[3]побудинковий звіт'!AQ239</f>
        <v>11242.552236930842</v>
      </c>
      <c r="AR239" s="56">
        <f t="shared" si="249"/>
        <v>-121.65947779295675</v>
      </c>
      <c r="AS239" s="42">
        <f>'[1]побудинковий звіт'!AS239+'[2]побудинковий звіт'!AS239-'[3]побудинковий звіт'!AS239</f>
        <v>57733.034533392478</v>
      </c>
      <c r="AT239" s="42">
        <f>'[1]побудинковий звіт'!AT239+'[2]побудинковий звіт'!AT239-'[3]побудинковий звіт'!AT239</f>
        <v>6203.0000000000018</v>
      </c>
      <c r="AU239" s="58">
        <f t="shared" si="266"/>
        <v>-51530.034533392478</v>
      </c>
      <c r="AV239" s="42">
        <f>'[1]побудинковий звіт'!AV239+'[2]побудинковий звіт'!AV239-'[3]побудинковий звіт'!AV239</f>
        <v>1940.8522748715295</v>
      </c>
      <c r="AW239" s="42">
        <f>'[1]побудинковий звіт'!AW239+'[2]побудинковий звіт'!AW239-'[3]побудинковий звіт'!AW239</f>
        <v>0</v>
      </c>
      <c r="AX239" s="59">
        <f t="shared" si="267"/>
        <v>-1940.8522748715295</v>
      </c>
      <c r="AY239" s="42">
        <f>'[1]побудинковий звіт'!AY239+'[2]побудинковий звіт'!AY239-'[3]побудинковий звіт'!AY239</f>
        <v>2669.3329242191721</v>
      </c>
      <c r="AZ239" s="42">
        <f>'[1]побудинковий звіт'!AZ239+'[2]побудинковий звіт'!AZ239-'[3]побудинковий звіт'!AZ239</f>
        <v>0</v>
      </c>
      <c r="BA239" s="37">
        <f t="shared" si="268"/>
        <v>-2669.3329242191721</v>
      </c>
      <c r="BB239" s="42">
        <f>'[1]побудинковий звіт'!BB239+'[2]побудинковий звіт'!BB239-'[3]побудинковий звіт'!BB239</f>
        <v>2816.399268264744</v>
      </c>
      <c r="BC239" s="42">
        <f>'[1]побудинковий звіт'!BC239+'[2]побудинковий звіт'!BC239-'[3]побудинковий звіт'!BC239</f>
        <v>0</v>
      </c>
      <c r="BD239" s="59">
        <f t="shared" si="269"/>
        <v>-2816.399268264744</v>
      </c>
      <c r="BE239" s="42">
        <f>'[1]побудинковий звіт'!BE239+'[2]побудинковий звіт'!BE239-'[3]побудинковий звіт'!BE239</f>
        <v>0</v>
      </c>
      <c r="BF239" s="42">
        <f>'[1]побудинковий звіт'!BF239+'[2]побудинковий звіт'!BF239-'[3]побудинковий звіт'!BF239</f>
        <v>0</v>
      </c>
      <c r="BG239" s="39">
        <f t="shared" si="270"/>
        <v>0</v>
      </c>
      <c r="BH239" s="42">
        <f>'[1]побудинковий звіт'!BH239+'[2]побудинковий звіт'!BH239-'[3]побудинковий звіт'!BH239</f>
        <v>0</v>
      </c>
      <c r="BI239" s="42">
        <f>'[1]побудинковий звіт'!BI239+'[2]побудинковий звіт'!BI239-'[3]побудинковий звіт'!BI239</f>
        <v>0</v>
      </c>
      <c r="BJ239" s="59">
        <f t="shared" si="271"/>
        <v>0</v>
      </c>
      <c r="BK239" s="42">
        <f>'[1]побудинковий звіт'!BK239+'[2]побудинковий звіт'!BK239-'[3]побудинковий звіт'!BK239</f>
        <v>1077.1086257719292</v>
      </c>
      <c r="BL239" s="42">
        <f>'[1]побудинковий звіт'!BL239+'[2]побудинковий звіт'!BL239-'[3]побудинковий звіт'!BL239</f>
        <v>0</v>
      </c>
      <c r="BM239" s="39">
        <f t="shared" si="272"/>
        <v>-1077.1086257719292</v>
      </c>
      <c r="BN239" s="42">
        <f>'[1]побудинковий звіт'!BN239+'[2]побудинковий звіт'!BN239-'[3]побудинковий звіт'!BN239</f>
        <v>0</v>
      </c>
      <c r="BO239" s="42">
        <f>'[1]побудинковий звіт'!BO239+'[2]побудинковий звіт'!BO239-'[3]побудинковий звіт'!BO239</f>
        <v>0</v>
      </c>
      <c r="BP239" s="59">
        <f t="shared" si="273"/>
        <v>0</v>
      </c>
      <c r="BQ239" s="87">
        <f t="shared" si="233"/>
        <v>8503.6930931273746</v>
      </c>
      <c r="BR239" s="43">
        <f t="shared" si="275"/>
        <v>0</v>
      </c>
      <c r="BS239" s="59">
        <f t="shared" si="274"/>
        <v>-8503.6930931273746</v>
      </c>
      <c r="BT239" s="42">
        <f>'[1]побудинковий звіт'!BT239+'[2]побудинковий звіт'!BT239-'[3]побудинковий звіт'!BT239</f>
        <v>37179.350918292024</v>
      </c>
      <c r="BU239" s="42">
        <f>'[1]побудинковий звіт'!BU239+'[2]побудинковий звіт'!BU239-'[3]побудинковий звіт'!BU239</f>
        <v>50037.11849794272</v>
      </c>
      <c r="BV239" s="56">
        <f t="shared" si="250"/>
        <v>12857.767579650696</v>
      </c>
      <c r="BW239" s="42">
        <f>'[1]побудинковий звіт'!BW239+'[2]побудинковий звіт'!BW239-'[3]побудинковий звіт'!BW239</f>
        <v>18724.332367992207</v>
      </c>
      <c r="BX239" s="42">
        <f>'[1]побудинковий звіт'!BX239+'[2]побудинковий звіт'!BX239-'[3]побудинковий звіт'!BX239</f>
        <v>19327.605592959113</v>
      </c>
      <c r="BY239" s="56">
        <f t="shared" si="251"/>
        <v>603.27322496690613</v>
      </c>
      <c r="BZ239" s="42">
        <f>'[1]побудинковий звіт'!BZ239+'[2]побудинковий звіт'!BZ239-'[3]побудинковий звіт'!BZ239</f>
        <v>10507.974241264294</v>
      </c>
      <c r="CA239" s="42">
        <f>'[1]побудинковий звіт'!CA239+'[2]побудинковий звіт'!CA239-'[3]побудинковий звіт'!CA239</f>
        <v>13096.514577190994</v>
      </c>
      <c r="CB239" s="56">
        <f t="shared" si="252"/>
        <v>2588.5403359267002</v>
      </c>
      <c r="CC239" s="42">
        <f>'[1]побудинковий звіт'!CC239+'[2]побудинковий звіт'!CC239-'[3]побудинковий звіт'!CC239</f>
        <v>2098.3415296499657</v>
      </c>
      <c r="CD239" s="42">
        <f>'[1]побудинковий звіт'!CD239+'[2]побудинковий звіт'!CD239-'[3]побудинковий звіт'!CD239</f>
        <v>2079.8860226525558</v>
      </c>
      <c r="CE239" s="56">
        <f t="shared" si="253"/>
        <v>-18.455506997409884</v>
      </c>
      <c r="CF239" s="42">
        <f>'[1]побудинковий звіт'!CF239+'[2]побудинковий звіт'!CF239-'[3]побудинковий звіт'!CF239</f>
        <v>258.31855952130252</v>
      </c>
      <c r="CG239" s="42">
        <f>'[1]побудинковий звіт'!CG239+'[2]побудинковий звіт'!CG239-'[3]побудинковий звіт'!CG239</f>
        <v>1089.5034426699817</v>
      </c>
      <c r="CH239" s="56">
        <f t="shared" si="254"/>
        <v>831.18488314867921</v>
      </c>
      <c r="CI239" s="42">
        <f>'[1]побудинковий звіт'!CI239+'[2]побудинковий звіт'!CI239-'[3]побудинковий звіт'!CI239</f>
        <v>7393.4224449908925</v>
      </c>
      <c r="CJ239" s="42">
        <f>'[1]побудинковий звіт'!CJ239+'[2]побудинковий звіт'!CJ239-'[3]побудинковий звіт'!CJ239</f>
        <v>3881.3856652228556</v>
      </c>
      <c r="CK239" s="56">
        <f t="shared" si="255"/>
        <v>-3512.0367797680369</v>
      </c>
      <c r="CL239" s="42">
        <f>'[1]побудинковий звіт'!CL239+'[2]побудинковий звіт'!CL239-'[3]побудинковий звіт'!CL239</f>
        <v>0</v>
      </c>
      <c r="CM239" s="42">
        <f>'[1]побудинковий звіт'!CM239+'[2]побудинковий звіт'!CM239-'[3]побудинковий звіт'!CM239</f>
        <v>0</v>
      </c>
      <c r="CN239" s="56">
        <f t="shared" si="256"/>
        <v>0</v>
      </c>
      <c r="CO239" s="42">
        <f t="shared" si="236"/>
        <v>7393.4224449908925</v>
      </c>
      <c r="CP239" s="43">
        <f t="shared" si="257"/>
        <v>3881.3856652228556</v>
      </c>
      <c r="CQ239" s="56">
        <f t="shared" si="258"/>
        <v>-3512.0367797680369</v>
      </c>
      <c r="CR239" s="78">
        <f t="shared" si="237"/>
        <v>195834.50567173221</v>
      </c>
      <c r="CS239" s="5">
        <f t="shared" si="237"/>
        <v>145234.35682576461</v>
      </c>
      <c r="CT239" s="56">
        <f t="shared" si="259"/>
        <v>-50600.148845967604</v>
      </c>
      <c r="CU239" s="87">
        <f t="shared" si="260"/>
        <v>235001.40680607865</v>
      </c>
      <c r="CV239" s="70">
        <f t="shared" si="261"/>
        <v>174281.22819091752</v>
      </c>
      <c r="CW239" s="37">
        <f t="shared" si="262"/>
        <v>-60720.17861516113</v>
      </c>
      <c r="CX239" s="42">
        <f>'[1]побудинковий звіт'!CX239+'[2]побудинковий звіт'!CX239-'[3]побудинковий звіт'!CX239</f>
        <v>7513.6731939212914</v>
      </c>
      <c r="CY239" s="42">
        <f>'[1]побудинковий звіт'!CY239+'[2]побудинковий звіт'!CY239-'[3]побудинковий звіт'!CY239</f>
        <v>68233.851809082451</v>
      </c>
      <c r="CZ239" s="56">
        <f t="shared" si="263"/>
        <v>60720.17861516116</v>
      </c>
      <c r="DA239" s="264">
        <f>'[4]побудинковий звіт'!DA239</f>
        <v>-12342.710511008299</v>
      </c>
      <c r="DB239" s="2">
        <v>2</v>
      </c>
      <c r="DC239" s="717">
        <f>'[4]побудинковий звіт'!DC239</f>
        <v>97568.34</v>
      </c>
      <c r="DD239" s="717">
        <f>'[4]побудинковий звіт'!DD239</f>
        <v>0</v>
      </c>
      <c r="DE239" s="717">
        <f>'[4]побудинковий звіт'!DE239</f>
        <v>77358.75</v>
      </c>
      <c r="DF239" s="717">
        <f>'[4]побудинковий звіт'!DF239</f>
        <v>0</v>
      </c>
      <c r="DG239" s="787">
        <v>-4431.0809777859831</v>
      </c>
      <c r="DH239" s="761">
        <f t="shared" si="226"/>
        <v>2910180.9599999995</v>
      </c>
      <c r="DI239" s="784"/>
      <c r="DJ239" s="5"/>
      <c r="DK239" s="317">
        <f>VLOOKUP($A239,ціни!$A$4:$G$401,5)</f>
        <v>5.6579919666857323</v>
      </c>
      <c r="DL239" s="317"/>
      <c r="DM239" s="317">
        <f>VLOOKUP($A239,ціни!$A$4:$G$401,7)</f>
        <v>5.1170141560784481</v>
      </c>
      <c r="DN239" s="30">
        <f t="shared" si="276"/>
        <v>17582.210036475914</v>
      </c>
      <c r="DO239" s="30">
        <f t="shared" si="277"/>
        <v>0</v>
      </c>
      <c r="DP239" s="316">
        <f t="shared" si="278"/>
        <v>17582.210036475914</v>
      </c>
      <c r="DQ239" s="104"/>
      <c r="DR239" s="30">
        <f>VLOOKUP(A239,'ДЗ нас '!$A$1:$C$359,2)</f>
        <v>20209.59</v>
      </c>
      <c r="DS239" s="748"/>
      <c r="DT239" s="30">
        <f t="shared" si="279"/>
        <v>20209.59</v>
      </c>
      <c r="DU239" s="257">
        <f>VLOOKUP(A239,'новий кошторис с 01.06'!$A$4:$AI$399,35)*1.2</f>
        <v>20335.45506895268</v>
      </c>
      <c r="DV239" s="30">
        <f t="shared" si="280"/>
        <v>-125.8650689526803</v>
      </c>
      <c r="DW239" s="930">
        <f>'[5]побудинковий звіт'!DW239+'[6]побудинковий звіт'!DW239</f>
        <v>236</v>
      </c>
      <c r="DY239" s="5">
        <f t="shared" si="227"/>
        <v>79484.073151823832</v>
      </c>
      <c r="DZ239" s="5">
        <f t="shared" si="228"/>
        <v>7443.6000000000022</v>
      </c>
      <c r="EA239" s="752">
        <f t="shared" si="229"/>
        <v>77358.75</v>
      </c>
      <c r="EC239" s="592">
        <f t="shared" si="230"/>
        <v>692796.41440070979</v>
      </c>
      <c r="EE239" s="758">
        <v>199</v>
      </c>
      <c r="EF239" s="738">
        <f t="shared" si="231"/>
        <v>-4232.0809777859831</v>
      </c>
      <c r="EH239" s="813">
        <v>36183.065588016565</v>
      </c>
    </row>
    <row r="240" spans="1:138" x14ac:dyDescent="0.3">
      <c r="A240" s="328">
        <v>150000710</v>
      </c>
      <c r="B240" s="44" t="s">
        <v>690</v>
      </c>
      <c r="C240" s="45" t="s">
        <v>1759</v>
      </c>
      <c r="D240" s="45" t="s">
        <v>278</v>
      </c>
      <c r="E240" s="40">
        <f t="shared" si="232"/>
        <v>704.09999999999991</v>
      </c>
      <c r="F240" s="490">
        <v>603.29999999999995</v>
      </c>
      <c r="G240" s="30"/>
      <c r="H240" s="30">
        <v>100.8</v>
      </c>
      <c r="I240" s="42">
        <f>'[1]побудинковий звіт'!I240+'[2]побудинковий звіт'!I240-'[3]побудинковий звіт'!I240</f>
        <v>16665.768352416268</v>
      </c>
      <c r="J240" s="42">
        <f>'[1]побудинковий звіт'!J240+'[2]побудинковий звіт'!J240-'[3]побудинковий звіт'!J240</f>
        <v>15348.832734198142</v>
      </c>
      <c r="K240" s="56">
        <f t="shared" si="238"/>
        <v>-1316.9356182181255</v>
      </c>
      <c r="L240" s="42">
        <f>'[1]побудинковий звіт'!L240+'[2]побудинковий звіт'!L240-'[3]побудинковий звіт'!L240</f>
        <v>3399.8474647446478</v>
      </c>
      <c r="M240" s="42">
        <f>'[1]побудинковий звіт'!M240+'[2]побудинковий звіт'!M240-'[3]побудинковий звіт'!M240</f>
        <v>3320.9353879390264</v>
      </c>
      <c r="N240" s="56">
        <f t="shared" si="239"/>
        <v>-78.912076805621382</v>
      </c>
      <c r="O240" s="42">
        <f>'[1]побудинковий звіт'!O240+'[2]побудинковий звіт'!O240-'[3]побудинковий звіт'!O240</f>
        <v>6639.7199999999975</v>
      </c>
      <c r="P240" s="42">
        <f>'[1]побудинковий звіт'!P240+'[2]побудинковий звіт'!P240-'[3]побудинковий звіт'!P240</f>
        <v>6641.6400000000012</v>
      </c>
      <c r="Q240" s="56">
        <f t="shared" si="240"/>
        <v>1.9200000000037107</v>
      </c>
      <c r="R240" s="42">
        <f>'[1]побудинковий звіт'!R240+'[2]побудинковий звіт'!R240-'[3]побудинковий звіт'!R240</f>
        <v>0</v>
      </c>
      <c r="S240" s="42">
        <f>'[1]побудинковий звіт'!S240+'[2]побудинковий звіт'!S240-'[3]побудинковий звіт'!S240</f>
        <v>0</v>
      </c>
      <c r="T240" s="56">
        <f t="shared" si="241"/>
        <v>0</v>
      </c>
      <c r="U240" s="42">
        <f>'[1]побудинковий звіт'!U240+'[2]побудинковий звіт'!U240-'[3]побудинковий звіт'!U240</f>
        <v>0</v>
      </c>
      <c r="V240" s="42">
        <f>'[1]побудинковий звіт'!V240+'[2]побудинковий звіт'!V240-'[3]побудинковий звіт'!V240</f>
        <v>0</v>
      </c>
      <c r="W240" s="56">
        <f t="shared" si="242"/>
        <v>0</v>
      </c>
      <c r="X240" s="42">
        <f>'[1]побудинковий звіт'!X240+'[2]побудинковий звіт'!X240-'[3]побудинковий звіт'!X240</f>
        <v>12732.814155356185</v>
      </c>
      <c r="Y240" s="42">
        <f>'[1]побудинковий звіт'!Y240+'[2]побудинковий звіт'!Y240-'[3]побудинковий звіт'!Y240</f>
        <v>11336.266228376378</v>
      </c>
      <c r="Z240" s="56">
        <f t="shared" si="243"/>
        <v>-1396.547926979807</v>
      </c>
      <c r="AA240" s="42">
        <f>'[1]побудинковий звіт'!AA240+'[2]побудинковий звіт'!AA240-'[3]побудинковий звіт'!AA240</f>
        <v>0</v>
      </c>
      <c r="AB240" s="42">
        <f>'[1]побудинковий звіт'!AB240+'[2]побудинковий звіт'!AB240-'[3]побудинковий звіт'!AB240</f>
        <v>0</v>
      </c>
      <c r="AC240" s="56">
        <f t="shared" si="244"/>
        <v>0</v>
      </c>
      <c r="AD240" s="42">
        <f>'[1]побудинковий звіт'!AD240+'[2]побудинковий звіт'!AD240-'[3]побудинковий звіт'!AD240</f>
        <v>19550.384519268766</v>
      </c>
      <c r="AE240" s="42">
        <f>'[1]побудинковий звіт'!AE240+'[2]побудинковий звіт'!AE240-'[3]побудинковий звіт'!AE240</f>
        <v>18019.493353230122</v>
      </c>
      <c r="AF240" s="37">
        <f t="shared" si="245"/>
        <v>-1530.8911660386439</v>
      </c>
      <c r="AG240" s="87">
        <f t="shared" si="235"/>
        <v>58988.534491785867</v>
      </c>
      <c r="AH240" s="57">
        <f t="shared" si="235"/>
        <v>54667.167703743668</v>
      </c>
      <c r="AI240" s="56">
        <f t="shared" si="246"/>
        <v>-4321.3667880421999</v>
      </c>
      <c r="AJ240" s="42">
        <f>'[1]побудинковий звіт'!AJ240+'[2]побудинковий звіт'!AJ240-'[3]побудинковий звіт'!AJ240</f>
        <v>0</v>
      </c>
      <c r="AK240" s="42">
        <f>'[1]побудинковий звіт'!AK240+'[2]побудинковий звіт'!AK240-'[3]побудинковий звіт'!AK240</f>
        <v>0</v>
      </c>
      <c r="AL240" s="56">
        <f t="shared" si="247"/>
        <v>0</v>
      </c>
      <c r="AM240" s="42">
        <f>'[1]побудинковий звіт'!AM240+'[2]побудинковий звіт'!AM240-'[3]побудинковий звіт'!AM240</f>
        <v>0</v>
      </c>
      <c r="AN240" s="42">
        <f>'[1]побудинковий звіт'!AN240+'[2]побудинковий звіт'!AN240-'[3]побудинковий звіт'!AN240</f>
        <v>0</v>
      </c>
      <c r="AO240" s="56">
        <f t="shared" si="248"/>
        <v>0</v>
      </c>
      <c r="AP240" s="42">
        <f>'[1]побудинковий звіт'!AP240+'[2]побудинковий звіт'!AP240-'[3]побудинковий звіт'!AP240</f>
        <v>13921.159350536653</v>
      </c>
      <c r="AQ240" s="42">
        <f>'[1]побудинковий звіт'!AQ240+'[2]побудинковий звіт'!AQ240-'[3]побудинковий звіт'!AQ240</f>
        <v>13282.502951327115</v>
      </c>
      <c r="AR240" s="56">
        <f t="shared" si="249"/>
        <v>-638.65639920953799</v>
      </c>
      <c r="AS240" s="42">
        <f>'[1]побудинковий звіт'!AS240+'[2]побудинковий звіт'!AS240-'[3]побудинковий звіт'!AS240</f>
        <v>60237.709106676331</v>
      </c>
      <c r="AT240" s="42">
        <f>'[1]побудинковий звіт'!AT240+'[2]побудинковий звіт'!AT240-'[3]побудинковий звіт'!AT240</f>
        <v>8828</v>
      </c>
      <c r="AU240" s="58">
        <f t="shared" si="266"/>
        <v>-51409.709106676331</v>
      </c>
      <c r="AV240" s="42">
        <f>'[1]побудинковий звіт'!AV240+'[2]побудинковий звіт'!AV240-'[3]побудинковий звіт'!AV240</f>
        <v>2718.9857743579223</v>
      </c>
      <c r="AW240" s="42">
        <f>'[1]побудинковий звіт'!AW240+'[2]побудинковий звіт'!AW240-'[3]побудинковий звіт'!AW240</f>
        <v>4726.6464957170501</v>
      </c>
      <c r="AX240" s="59">
        <f t="shared" si="267"/>
        <v>2007.6607213591278</v>
      </c>
      <c r="AY240" s="42">
        <f>'[1]побудинковий звіт'!AY240+'[2]побудинковий звіт'!AY240-'[3]побудинковий звіт'!AY240</f>
        <v>4381.8986440394083</v>
      </c>
      <c r="AZ240" s="42">
        <f>'[1]побудинковий звіт'!AZ240+'[2]побудинковий звіт'!AZ240-'[3]побудинковий звіт'!AZ240</f>
        <v>0</v>
      </c>
      <c r="BA240" s="37">
        <f t="shared" si="268"/>
        <v>-4381.8986440394083</v>
      </c>
      <c r="BB240" s="42">
        <f>'[1]побудинковий звіт'!BB240+'[2]побудинковий звіт'!BB240-'[3]побудинковий звіт'!BB240</f>
        <v>2483.0060505546044</v>
      </c>
      <c r="BC240" s="42">
        <f>'[1]побудинковий звіт'!BC240+'[2]побудинковий звіт'!BC240-'[3]побудинковий звіт'!BC240</f>
        <v>0</v>
      </c>
      <c r="BD240" s="59">
        <f t="shared" si="269"/>
        <v>-2483.0060505546044</v>
      </c>
      <c r="BE240" s="42">
        <f>'[1]побудинковий звіт'!BE240+'[2]побудинковий звіт'!BE240-'[3]побудинковий звіт'!BE240</f>
        <v>0</v>
      </c>
      <c r="BF240" s="42">
        <f>'[1]побудинковий звіт'!BF240+'[2]побудинковий звіт'!BF240-'[3]побудинковий звіт'!BF240</f>
        <v>0</v>
      </c>
      <c r="BG240" s="39">
        <f t="shared" si="270"/>
        <v>0</v>
      </c>
      <c r="BH240" s="42">
        <f>'[1]побудинковий звіт'!BH240+'[2]побудинковий звіт'!BH240-'[3]побудинковий звіт'!BH240</f>
        <v>0</v>
      </c>
      <c r="BI240" s="42">
        <f>'[1]побудинковий звіт'!BI240+'[2]побудинковий звіт'!BI240-'[3]побудинковий звіт'!BI240</f>
        <v>0</v>
      </c>
      <c r="BJ240" s="59">
        <f t="shared" si="271"/>
        <v>0</v>
      </c>
      <c r="BK240" s="42">
        <f>'[1]побудинковий звіт'!BK240+'[2]побудинковий звіт'!BK240-'[3]побудинковий звіт'!BK240</f>
        <v>1996.057755365166</v>
      </c>
      <c r="BL240" s="42">
        <f>'[1]побудинковий звіт'!BL240+'[2]побудинковий звіт'!BL240-'[3]побудинковий звіт'!BL240</f>
        <v>0</v>
      </c>
      <c r="BM240" s="39">
        <f t="shared" si="272"/>
        <v>-1996.057755365166</v>
      </c>
      <c r="BN240" s="42">
        <f>'[1]побудинковий звіт'!BN240+'[2]побудинковий звіт'!BN240-'[3]побудинковий звіт'!BN240</f>
        <v>0</v>
      </c>
      <c r="BO240" s="42">
        <f>'[1]побудинковий звіт'!BO240+'[2]побудинковий звіт'!BO240-'[3]побудинковий звіт'!BO240</f>
        <v>0</v>
      </c>
      <c r="BP240" s="59">
        <f t="shared" si="273"/>
        <v>0</v>
      </c>
      <c r="BQ240" s="87">
        <f t="shared" si="233"/>
        <v>11579.948224317101</v>
      </c>
      <c r="BR240" s="43">
        <f t="shared" si="275"/>
        <v>4726.6464957170501</v>
      </c>
      <c r="BS240" s="59">
        <f t="shared" si="274"/>
        <v>-6853.3017286000504</v>
      </c>
      <c r="BT240" s="42">
        <f>'[1]побудинковий звіт'!BT240+'[2]побудинковий звіт'!BT240-'[3]побудинковий звіт'!BT240</f>
        <v>47993.715734727703</v>
      </c>
      <c r="BU240" s="42">
        <f>'[1]побудинковий звіт'!BU240+'[2]побудинковий звіт'!BU240-'[3]побудинковий звіт'!BU240</f>
        <v>63621.425082407855</v>
      </c>
      <c r="BV240" s="56">
        <f t="shared" si="250"/>
        <v>15627.709347680153</v>
      </c>
      <c r="BW240" s="42">
        <f>'[1]побудинковий звіт'!BW240+'[2]побудинковий звіт'!BW240-'[3]побудинковий звіт'!BW240</f>
        <v>25310.408174288445</v>
      </c>
      <c r="BX240" s="42">
        <f>'[1]побудинковий звіт'!BX240+'[2]побудинковий звіт'!BX240-'[3]побудинковий звіт'!BX240</f>
        <v>23803.461777072422</v>
      </c>
      <c r="BY240" s="56">
        <f t="shared" si="251"/>
        <v>-1506.9463972160229</v>
      </c>
      <c r="BZ240" s="42">
        <f>'[1]побудинковий звіт'!BZ240+'[2]побудинковий звіт'!BZ240-'[3]побудинковий звіт'!BZ240</f>
        <v>7086.6917854606781</v>
      </c>
      <c r="CA240" s="42">
        <f>'[1]побудинковий звіт'!CA240+'[2]побудинковий звіт'!CA240-'[3]побудинковий звіт'!CA240</f>
        <v>11891.086183278701</v>
      </c>
      <c r="CB240" s="56">
        <f t="shared" si="252"/>
        <v>4804.3943978180232</v>
      </c>
      <c r="CC240" s="42">
        <f>'[1]побудинковий звіт'!CC240+'[2]побудинковий звіт'!CC240-'[3]побудинковий звіт'!CC240</f>
        <v>588.2650769974673</v>
      </c>
      <c r="CD240" s="42">
        <f>'[1]побудинковий звіт'!CD240+'[2]побудинковий звіт'!CD240-'[3]побудинковий звіт'!CD240</f>
        <v>583.09111933068561</v>
      </c>
      <c r="CE240" s="56">
        <f t="shared" si="253"/>
        <v>-5.1739576667816891</v>
      </c>
      <c r="CF240" s="42">
        <f>'[1]побудинковий звіт'!CF240+'[2]побудинковий звіт'!CF240-'[3]побудинковий звіт'!CF240</f>
        <v>72.418996221279116</v>
      </c>
      <c r="CG240" s="42">
        <f>'[1]побудинковий звіт'!CG240+'[2]побудинковий звіт'!CG240-'[3]побудинковий звіт'!CG240</f>
        <v>553.29059442920754</v>
      </c>
      <c r="CH240" s="56">
        <f t="shared" si="254"/>
        <v>480.8715982079284</v>
      </c>
      <c r="CI240" s="42">
        <f>'[1]побудинковий звіт'!CI240+'[2]побудинковий звіт'!CI240-'[3]побудинковий звіт'!CI240</f>
        <v>4641.9462439436493</v>
      </c>
      <c r="CJ240" s="42">
        <f>'[1]побудинковий звіт'!CJ240+'[2]побудинковий звіт'!CJ240-'[3]побудинковий звіт'!CJ240</f>
        <v>3407.4594535908741</v>
      </c>
      <c r="CK240" s="56">
        <f t="shared" si="255"/>
        <v>-1234.4867903527752</v>
      </c>
      <c r="CL240" s="42">
        <f>'[1]побудинковий звіт'!CL240+'[2]побудинковий звіт'!CL240-'[3]побудинковий звіт'!CL240</f>
        <v>0</v>
      </c>
      <c r="CM240" s="42">
        <f>'[1]побудинковий звіт'!CM240+'[2]побудинковий звіт'!CM240-'[3]побудинковий звіт'!CM240</f>
        <v>0</v>
      </c>
      <c r="CN240" s="56">
        <f t="shared" si="256"/>
        <v>0</v>
      </c>
      <c r="CO240" s="42">
        <f t="shared" si="236"/>
        <v>4641.9462439436493</v>
      </c>
      <c r="CP240" s="43">
        <f t="shared" si="257"/>
        <v>3407.4594535908741</v>
      </c>
      <c r="CQ240" s="56">
        <f t="shared" si="258"/>
        <v>-1234.4867903527752</v>
      </c>
      <c r="CR240" s="78">
        <f t="shared" si="237"/>
        <v>230420.79718495515</v>
      </c>
      <c r="CS240" s="5">
        <f t="shared" si="237"/>
        <v>185364.13136089762</v>
      </c>
      <c r="CT240" s="56">
        <f t="shared" si="259"/>
        <v>-45056.665824057534</v>
      </c>
      <c r="CU240" s="87">
        <f t="shared" si="260"/>
        <v>276504.95662194618</v>
      </c>
      <c r="CV240" s="70">
        <f t="shared" si="261"/>
        <v>222436.95763307714</v>
      </c>
      <c r="CW240" s="37">
        <f t="shared" si="262"/>
        <v>-54067.998988869047</v>
      </c>
      <c r="CX240" s="42">
        <f>'[1]побудинковий звіт'!CX240+'[2]побудинковий звіт'!CX240-'[3]побудинковий звіт'!CX240</f>
        <v>9222.9633780538134</v>
      </c>
      <c r="CY240" s="42">
        <f>'[1]побудинковий звіт'!CY240+'[2]побудинковий звіт'!CY240-'[3]побудинковий звіт'!CY240</f>
        <v>63290.962366922933</v>
      </c>
      <c r="CZ240" s="56">
        <f t="shared" si="263"/>
        <v>54067.99898886912</v>
      </c>
      <c r="DA240" s="264">
        <f>'[4]побудинковий звіт'!DA240</f>
        <v>8810.5695010569616</v>
      </c>
      <c r="DB240" s="2">
        <v>3</v>
      </c>
      <c r="DC240" s="717">
        <f>'[4]побудинковий звіт'!DC240</f>
        <v>75260.259999999995</v>
      </c>
      <c r="DD240" s="717">
        <f>'[4]побудинковий звіт'!DD240</f>
        <v>4729.91</v>
      </c>
      <c r="DE240" s="717">
        <f>'[4]побудинковий звіт'!DE240</f>
        <v>51811.619999999995</v>
      </c>
      <c r="DF240" s="717">
        <f>'[4]побудинковий звіт'!DF240</f>
        <v>4367.8899999999994</v>
      </c>
      <c r="DG240" s="787">
        <v>-3387.5765534956008</v>
      </c>
      <c r="DH240" s="761">
        <f t="shared" si="226"/>
        <v>3428735.04</v>
      </c>
      <c r="DI240" s="784"/>
      <c r="DJ240" s="5"/>
      <c r="DK240" s="317">
        <f>VLOOKUP($A240,ціни!$A$4:$G$401,5)</f>
        <v>5.2439480293555603</v>
      </c>
      <c r="DL240" s="317"/>
      <c r="DM240" s="317">
        <f>VLOOKUP($A240,ціни!$A$4:$G$401,7)</f>
        <v>4.6564001441959633</v>
      </c>
      <c r="DN240" s="30">
        <f t="shared" si="276"/>
        <v>3163.6738461102091</v>
      </c>
      <c r="DO240" s="30">
        <f t="shared" si="277"/>
        <v>469.36513453495309</v>
      </c>
      <c r="DP240" s="316">
        <f t="shared" si="278"/>
        <v>3633.0389806451622</v>
      </c>
      <c r="DQ240" s="104"/>
      <c r="DR240" s="30">
        <f>VLOOKUP(A240,'ДЗ нас '!$A$1:$C$359,2)</f>
        <v>23448.639999999999</v>
      </c>
      <c r="DS240" s="748">
        <f>VLOOKUP(A240,'ДЗ нежит'!$A$1:$D$153,4,0)</f>
        <v>362.02</v>
      </c>
      <c r="DT240" s="30">
        <f t="shared" si="279"/>
        <v>23810.66</v>
      </c>
      <c r="DU240" s="257">
        <f>VLOOKUP(A240,'новий кошторис с 01.06'!$A$4:$AI$399,35)*1.2</f>
        <v>24092.798553658911</v>
      </c>
      <c r="DV240" s="30">
        <f t="shared" si="280"/>
        <v>-282.13855365891141</v>
      </c>
      <c r="DW240" s="930">
        <f>'[5]побудинковий звіт'!DW240+'[6]побудинковий звіт'!DW240</f>
        <v>302</v>
      </c>
      <c r="DY240" s="5">
        <f t="shared" si="227"/>
        <v>86181.18879719211</v>
      </c>
      <c r="DZ240" s="5">
        <f t="shared" si="228"/>
        <v>16265.575794860459</v>
      </c>
      <c r="EA240" s="752">
        <f t="shared" si="229"/>
        <v>56179.509999999995</v>
      </c>
      <c r="EC240" s="592">
        <f t="shared" si="230"/>
        <v>722852.50928011595</v>
      </c>
      <c r="EE240" s="758">
        <v>-11017</v>
      </c>
      <c r="EF240" s="738">
        <f t="shared" si="231"/>
        <v>-14404.576553495601</v>
      </c>
      <c r="EH240" s="813">
        <v>47505.226713962984</v>
      </c>
    </row>
    <row r="241" spans="1:138" x14ac:dyDescent="0.3">
      <c r="A241" s="328">
        <v>150000711</v>
      </c>
      <c r="B241" s="44" t="s">
        <v>691</v>
      </c>
      <c r="C241" s="45" t="s">
        <v>1760</v>
      </c>
      <c r="D241" s="45" t="s">
        <v>279</v>
      </c>
      <c r="E241" s="40">
        <f t="shared" si="232"/>
        <v>4238</v>
      </c>
      <c r="F241" s="490">
        <v>4198.2</v>
      </c>
      <c r="G241" s="30"/>
      <c r="H241" s="30">
        <v>39.799999999999997</v>
      </c>
      <c r="I241" s="42">
        <f>'[1]побудинковий звіт'!I241+'[2]побудинковий звіт'!I241-'[3]побудинковий звіт'!I241</f>
        <v>16669.157679782616</v>
      </c>
      <c r="J241" s="42">
        <f>'[1]побудинковий звіт'!J241+'[2]побудинковий звіт'!J241-'[3]побудинковий звіт'!J241</f>
        <v>15353.152900660596</v>
      </c>
      <c r="K241" s="56">
        <f t="shared" si="238"/>
        <v>-1316.0047791220204</v>
      </c>
      <c r="L241" s="42">
        <f>'[1]побудинковий звіт'!L241+'[2]побудинковий звіт'!L241-'[3]побудинковий звіт'!L241</f>
        <v>3400.4402470099662</v>
      </c>
      <c r="M241" s="42">
        <f>'[1]побудинковий звіт'!M241+'[2]побудинковий звіт'!M241-'[3]побудинковий звіт'!M241</f>
        <v>3321.3394917254886</v>
      </c>
      <c r="N241" s="56">
        <f t="shared" si="239"/>
        <v>-79.1007552844776</v>
      </c>
      <c r="O241" s="42">
        <f>'[1]побудинковий звіт'!O241+'[2]побудинковий звіт'!O241-'[3]побудинковий звіт'!O241</f>
        <v>6855.6</v>
      </c>
      <c r="P241" s="42">
        <f>'[1]побудинковий звіт'!P241+'[2]побудинковий звіт'!P241-'[3]побудинковий звіт'!P241</f>
        <v>6856.6800000000012</v>
      </c>
      <c r="Q241" s="56">
        <f t="shared" si="240"/>
        <v>1.0800000000008367</v>
      </c>
      <c r="R241" s="42">
        <f>'[1]побудинковий звіт'!R241+'[2]побудинковий звіт'!R241-'[3]побудинковий звіт'!R241</f>
        <v>0</v>
      </c>
      <c r="S241" s="42">
        <f>'[1]побудинковий звіт'!S241+'[2]побудинковий звіт'!S241-'[3]побудинковий звіт'!S241</f>
        <v>0</v>
      </c>
      <c r="T241" s="56">
        <f t="shared" si="241"/>
        <v>0</v>
      </c>
      <c r="U241" s="42">
        <f>'[1]побудинковий звіт'!U241+'[2]побудинковий звіт'!U241-'[3]побудинковий звіт'!U241</f>
        <v>1294.4711018415646</v>
      </c>
      <c r="V241" s="42">
        <f>'[1]побудинковий звіт'!V241+'[2]побудинковий звіт'!V241-'[3]побудинковий звіт'!V241</f>
        <v>878.96842656000217</v>
      </c>
      <c r="W241" s="56">
        <f t="shared" si="242"/>
        <v>-415.50267528156246</v>
      </c>
      <c r="X241" s="42">
        <f>'[1]побудинковий звіт'!X241+'[2]побудинковий звіт'!X241-'[3]побудинковий звіт'!X241</f>
        <v>12740.737128070783</v>
      </c>
      <c r="Y241" s="42">
        <f>'[1]побудинковий звіт'!Y241+'[2]побудинковий звіт'!Y241-'[3]побудинковий звіт'!Y241</f>
        <v>11344.274236562786</v>
      </c>
      <c r="Z241" s="56">
        <f t="shared" si="243"/>
        <v>-1396.4628915079975</v>
      </c>
      <c r="AA241" s="42">
        <f>'[1]побудинковий звіт'!AA241+'[2]побудинковий звіт'!AA241-'[3]побудинковий звіт'!AA241</f>
        <v>0</v>
      </c>
      <c r="AB241" s="42">
        <f>'[1]побудинковий звіт'!AB241+'[2]побудинковий звіт'!AB241-'[3]побудинковий звіт'!AB241</f>
        <v>0</v>
      </c>
      <c r="AC241" s="56">
        <f t="shared" si="244"/>
        <v>0</v>
      </c>
      <c r="AD241" s="42">
        <f>'[1]побудинковий звіт'!AD241+'[2]побудинковий звіт'!AD241-'[3]побудинковий звіт'!AD241</f>
        <v>19573.901592701386</v>
      </c>
      <c r="AE241" s="42">
        <f>'[1]побудинковий звіт'!AE241+'[2]побудинковий звіт'!AE241-'[3]побудинковий звіт'!AE241</f>
        <v>18041.339717926956</v>
      </c>
      <c r="AF241" s="37">
        <f t="shared" si="245"/>
        <v>-1532.5618747744302</v>
      </c>
      <c r="AG241" s="87">
        <f t="shared" si="235"/>
        <v>60534.307749406318</v>
      </c>
      <c r="AH241" s="57">
        <f t="shared" si="235"/>
        <v>55795.754773435823</v>
      </c>
      <c r="AI241" s="56">
        <f t="shared" si="246"/>
        <v>-4738.552975970495</v>
      </c>
      <c r="AJ241" s="42">
        <f>'[1]побудинковий звіт'!AJ241+'[2]побудинковий звіт'!AJ241-'[3]побудинковий звіт'!AJ241</f>
        <v>0</v>
      </c>
      <c r="AK241" s="42">
        <f>'[1]побудинковий звіт'!AK241+'[2]побудинковий звіт'!AK241-'[3]побудинковий звіт'!AK241</f>
        <v>0</v>
      </c>
      <c r="AL241" s="56">
        <f t="shared" si="247"/>
        <v>0</v>
      </c>
      <c r="AM241" s="42">
        <f>'[1]побудинковий звіт'!AM241+'[2]побудинковий звіт'!AM241-'[3]побудинковий звіт'!AM241</f>
        <v>0</v>
      </c>
      <c r="AN241" s="42">
        <f>'[1]побудинковий звіт'!AN241+'[2]побудинковий звіт'!AN241-'[3]побудинковий звіт'!AN241</f>
        <v>0</v>
      </c>
      <c r="AO241" s="56">
        <f t="shared" si="248"/>
        <v>0</v>
      </c>
      <c r="AP241" s="42">
        <f>'[1]побудинковий звіт'!AP241+'[2]побудинковий звіт'!AP241-'[3]побудинковий звіт'!AP241</f>
        <v>14205.264643404746</v>
      </c>
      <c r="AQ241" s="42">
        <f>'[1]побудинковий звіт'!AQ241+'[2]побудинковий звіт'!AQ241-'[3]побудинковий звіт'!AQ241</f>
        <v>13494.96028566048</v>
      </c>
      <c r="AR241" s="56">
        <f t="shared" si="249"/>
        <v>-710.30435774426587</v>
      </c>
      <c r="AS241" s="42">
        <f>'[1]побудинковий звіт'!AS241+'[2]побудинковий звіт'!AS241-'[3]побудинковий звіт'!AS241</f>
        <v>68701.142956935088</v>
      </c>
      <c r="AT241" s="42">
        <f>'[1]побудинковий звіт'!AT241+'[2]побудинковий звіт'!AT241-'[3]побудинковий звіт'!AT241</f>
        <v>122866.00000000001</v>
      </c>
      <c r="AU241" s="58">
        <f t="shared" si="266"/>
        <v>54164.857043064927</v>
      </c>
      <c r="AV241" s="42">
        <f>'[1]побудинковий звіт'!AV241+'[2]побудинковий звіт'!AV241-'[3]побудинковий звіт'!AV241</f>
        <v>2719.7205850661035</v>
      </c>
      <c r="AW241" s="42">
        <f>'[1]побудинковий звіт'!AW241+'[2]побудинковий звіт'!AW241-'[3]побудинковий звіт'!AW241</f>
        <v>0</v>
      </c>
      <c r="AX241" s="59">
        <f t="shared" si="267"/>
        <v>-2719.7205850661035</v>
      </c>
      <c r="AY241" s="42">
        <f>'[1]побудинковий звіт'!AY241+'[2]побудинковий звіт'!AY241-'[3]побудинковий звіт'!AY241</f>
        <v>4382.8307950745648</v>
      </c>
      <c r="AZ241" s="42">
        <f>'[1]побудинковий звіт'!AZ241+'[2]побудинковий звіт'!AZ241-'[3]побудинковий звіт'!AZ241</f>
        <v>1508</v>
      </c>
      <c r="BA241" s="37">
        <f t="shared" si="268"/>
        <v>-2874.8307950745648</v>
      </c>
      <c r="BB241" s="42">
        <f>'[1]побудинковий звіт'!BB241+'[2]побудинковий звіт'!BB241-'[3]побудинковий звіт'!BB241</f>
        <v>2466.0344534120486</v>
      </c>
      <c r="BC241" s="42">
        <f>'[1]побудинковий звіт'!BC241+'[2]побудинковий звіт'!BC241-'[3]побудинковий звіт'!BC241</f>
        <v>0</v>
      </c>
      <c r="BD241" s="59">
        <f t="shared" si="269"/>
        <v>-2466.0344534120486</v>
      </c>
      <c r="BE241" s="42">
        <f>'[1]побудинковий звіт'!BE241+'[2]побудинковий звіт'!BE241-'[3]побудинковий звіт'!BE241</f>
        <v>0</v>
      </c>
      <c r="BF241" s="42">
        <f>'[1]побудинковий звіт'!BF241+'[2]побудинковий звіт'!BF241-'[3]побудинковий звіт'!BF241</f>
        <v>0</v>
      </c>
      <c r="BG241" s="39">
        <f t="shared" si="270"/>
        <v>0</v>
      </c>
      <c r="BH241" s="42">
        <f>'[1]побудинковий звіт'!BH241+'[2]побудинковий звіт'!BH241-'[3]побудинковий звіт'!BH241</f>
        <v>1313.1883369600605</v>
      </c>
      <c r="BI241" s="42">
        <f>'[1]побудинковий звіт'!BI241+'[2]побудинковий звіт'!BI241-'[3]побудинковий звіт'!BI241</f>
        <v>0</v>
      </c>
      <c r="BJ241" s="59">
        <f t="shared" si="271"/>
        <v>-1313.1883369600605</v>
      </c>
      <c r="BK241" s="42">
        <f>'[1]побудинковий звіт'!BK241+'[2]побудинковий звіт'!BK241-'[3]побудинковий звіт'!BK241</f>
        <v>1997.2923467174544</v>
      </c>
      <c r="BL241" s="42">
        <f>'[1]побудинковий звіт'!BL241+'[2]побудинковий звіт'!BL241-'[3]побудинковий звіт'!BL241</f>
        <v>0</v>
      </c>
      <c r="BM241" s="39">
        <f t="shared" si="272"/>
        <v>-1997.2923467174544</v>
      </c>
      <c r="BN241" s="42">
        <f>'[1]побудинковий звіт'!BN241+'[2]побудинковий звіт'!BN241-'[3]побудинковий звіт'!BN241</f>
        <v>0</v>
      </c>
      <c r="BO241" s="42">
        <f>'[1]побудинковий звіт'!BO241+'[2]побудинковий звіт'!BO241-'[3]побудинковий звіт'!BO241</f>
        <v>0</v>
      </c>
      <c r="BP241" s="59">
        <f t="shared" si="273"/>
        <v>0</v>
      </c>
      <c r="BQ241" s="87">
        <f t="shared" si="233"/>
        <v>12879.066517230232</v>
      </c>
      <c r="BR241" s="43">
        <f t="shared" si="275"/>
        <v>1508</v>
      </c>
      <c r="BS241" s="59">
        <f t="shared" si="274"/>
        <v>-11371.066517230232</v>
      </c>
      <c r="BT241" s="42">
        <f>'[1]побудинковий звіт'!BT241+'[2]побудинковий звіт'!BT241-'[3]побудинковий звіт'!BT241</f>
        <v>47182.833221608562</v>
      </c>
      <c r="BU241" s="42">
        <f>'[1]побудинковий звіт'!BU241+'[2]побудинковий звіт'!BU241-'[3]побудинковий звіт'!BU241</f>
        <v>58322.919455741547</v>
      </c>
      <c r="BV241" s="56">
        <f t="shared" si="250"/>
        <v>11140.086234132985</v>
      </c>
      <c r="BW241" s="42">
        <f>'[1]побудинковий звіт'!BW241+'[2]побудинковий звіт'!BW241-'[3]побудинковий звіт'!BW241</f>
        <v>25279.878155768656</v>
      </c>
      <c r="BX241" s="42">
        <f>'[1]побудинковий звіт'!BX241+'[2]побудинковий звіт'!BX241-'[3]побудинковий звіт'!BX241</f>
        <v>23771.392961571222</v>
      </c>
      <c r="BY241" s="56">
        <f t="shared" si="251"/>
        <v>-1508.4851941974339</v>
      </c>
      <c r="BZ241" s="42">
        <f>'[1]побудинковий звіт'!BZ241+'[2]побудинковий звіт'!BZ241-'[3]побудинковий звіт'!BZ241</f>
        <v>7598.3195864855425</v>
      </c>
      <c r="CA241" s="42">
        <f>'[1]побудинковий звіт'!CA241+'[2]побудинковий звіт'!CA241-'[3]побудинковий звіт'!CA241</f>
        <v>11298.482330765233</v>
      </c>
      <c r="CB241" s="56">
        <f t="shared" si="252"/>
        <v>3700.1627442796907</v>
      </c>
      <c r="CC241" s="42">
        <f>'[1]побудинковий звіт'!CC241+'[2]побудинковий звіт'!CC241-'[3]побудинковий звіт'!CC241</f>
        <v>588.2650769974673</v>
      </c>
      <c r="CD241" s="42">
        <f>'[1]побудинковий звіт'!CD241+'[2]побудинковий звіт'!CD241-'[3]побудинковий звіт'!CD241</f>
        <v>583.09111933068561</v>
      </c>
      <c r="CE241" s="56">
        <f t="shared" si="253"/>
        <v>-5.1739576667816891</v>
      </c>
      <c r="CF241" s="42">
        <f>'[1]побудинковий звіт'!CF241+'[2]побудинковий звіт'!CF241-'[3]побудинковий звіт'!CF241</f>
        <v>72.418996221279116</v>
      </c>
      <c r="CG241" s="42">
        <f>'[1]побудинковий звіт'!CG241+'[2]побудинковий звіт'!CG241-'[3]побудинковий звіт'!CG241</f>
        <v>0</v>
      </c>
      <c r="CH241" s="56">
        <f t="shared" si="254"/>
        <v>-72.418996221279116</v>
      </c>
      <c r="CI241" s="42">
        <f>'[1]побудинковий звіт'!CI241+'[2]побудинковий звіт'!CI241-'[3]побудинковий звіт'!CI241</f>
        <v>5652.6926035120241</v>
      </c>
      <c r="CJ241" s="42">
        <f>'[1]побудинковий звіт'!CJ241+'[2]побудинковий звіт'!CJ241-'[3]побудинковий звіт'!CJ241</f>
        <v>3162.5626867614237</v>
      </c>
      <c r="CK241" s="56">
        <f t="shared" si="255"/>
        <v>-2490.1299167506004</v>
      </c>
      <c r="CL241" s="42">
        <f>'[1]побудинковий звіт'!CL241+'[2]побудинковий звіт'!CL241-'[3]побудинковий звіт'!CL241</f>
        <v>0</v>
      </c>
      <c r="CM241" s="42">
        <f>'[1]побудинковий звіт'!CM241+'[2]побудинковий звіт'!CM241-'[3]побудинковий звіт'!CM241</f>
        <v>0</v>
      </c>
      <c r="CN241" s="56">
        <f t="shared" si="256"/>
        <v>0</v>
      </c>
      <c r="CO241" s="42">
        <f t="shared" si="236"/>
        <v>5652.6926035120241</v>
      </c>
      <c r="CP241" s="43">
        <f t="shared" si="257"/>
        <v>3162.5626867614237</v>
      </c>
      <c r="CQ241" s="56">
        <f t="shared" si="258"/>
        <v>-2490.1299167506004</v>
      </c>
      <c r="CR241" s="78">
        <f t="shared" si="237"/>
        <v>242694.18950756991</v>
      </c>
      <c r="CS241" s="5">
        <f t="shared" si="237"/>
        <v>290803.16361326643</v>
      </c>
      <c r="CT241" s="56">
        <f t="shared" si="259"/>
        <v>48108.974105696514</v>
      </c>
      <c r="CU241" s="87">
        <f t="shared" si="260"/>
        <v>291233.02740908391</v>
      </c>
      <c r="CV241" s="70">
        <f t="shared" si="261"/>
        <v>348963.7963359197</v>
      </c>
      <c r="CW241" s="37">
        <f t="shared" si="262"/>
        <v>57730.768926835794</v>
      </c>
      <c r="CX241" s="42">
        <f>'[1]побудинковий звіт'!CX241+'[2]побудинковий звіт'!CX241-'[3]побудинковий звіт'!CX241</f>
        <v>11686.092590916101</v>
      </c>
      <c r="CY241" s="42">
        <f>'[1]побудинковий звіт'!CY241+'[2]побудинковий звіт'!CY241-'[3]побудинковий звіт'!CY241</f>
        <v>-46044.67633591967</v>
      </c>
      <c r="CZ241" s="56">
        <f t="shared" si="263"/>
        <v>-57730.768926835772</v>
      </c>
      <c r="DA241" s="264">
        <f>'[4]побудинковий звіт'!DA241</f>
        <v>62430.013679441385</v>
      </c>
      <c r="DB241" s="2">
        <v>3</v>
      </c>
      <c r="DC241" s="717">
        <f>'[4]побудинковий звіт'!DC241</f>
        <v>156364.22</v>
      </c>
      <c r="DD241" s="717">
        <f>'[4]побудинковий звіт'!DD241</f>
        <v>196.58</v>
      </c>
      <c r="DE241" s="717">
        <f>'[4]побудинковий звіт'!DE241</f>
        <v>131317.54</v>
      </c>
      <c r="DF241" s="717">
        <f>'[4]побудинковий звіт'!DF241</f>
        <v>0</v>
      </c>
      <c r="DG241" s="787">
        <v>49129.780435075751</v>
      </c>
      <c r="DH241" s="761">
        <f t="shared" si="226"/>
        <v>3635029.44</v>
      </c>
      <c r="DI241" s="784"/>
      <c r="DJ241" s="5"/>
      <c r="DK241" s="317">
        <f>VLOOKUP($A241,ціни!$A$4:$G$401,5)</f>
        <v>5.5186451981587474</v>
      </c>
      <c r="DL241" s="317"/>
      <c r="DM241" s="317">
        <f>VLOOKUP($A241,ціни!$A$4:$G$401,7)</f>
        <v>4.9392914458008939</v>
      </c>
      <c r="DN241" s="30">
        <f t="shared" si="276"/>
        <v>23168.376270910052</v>
      </c>
      <c r="DO241" s="30">
        <f t="shared" si="277"/>
        <v>196.58379954287557</v>
      </c>
      <c r="DP241" s="316">
        <f t="shared" si="278"/>
        <v>23364.960070452929</v>
      </c>
      <c r="DQ241" s="104"/>
      <c r="DR241" s="30">
        <f>VLOOKUP(A241,'ДЗ нас '!$A$1:$C$359,2)</f>
        <v>25046.68</v>
      </c>
      <c r="DS241" s="748">
        <f>VLOOKUP(A241,'ДЗ нежит'!$A$1:$D$153,4,0)</f>
        <v>196.58</v>
      </c>
      <c r="DT241" s="30">
        <f t="shared" si="279"/>
        <v>25243.260000000002</v>
      </c>
      <c r="DU241" s="257">
        <f>VLOOKUP(A241,'новий кошторис с 01.06'!$A$4:$AI$399,35)*1.2</f>
        <v>25434.351060393328</v>
      </c>
      <c r="DV241" s="30">
        <f t="shared" si="280"/>
        <v>-191.09106039332619</v>
      </c>
      <c r="DW241" s="930">
        <f>'[5]побудинковий звіт'!DW241+'[6]побудинковий звіт'!DW241</f>
        <v>302</v>
      </c>
      <c r="DY241" s="5">
        <f t="shared" si="227"/>
        <v>97896.251368998375</v>
      </c>
      <c r="DZ241" s="5">
        <f t="shared" si="228"/>
        <v>149248.80000000002</v>
      </c>
      <c r="EA241" s="752">
        <f t="shared" si="229"/>
        <v>131317.54</v>
      </c>
      <c r="EC241" s="592">
        <f t="shared" si="230"/>
        <v>824413.71548322099</v>
      </c>
      <c r="EE241" s="758">
        <v>-30314</v>
      </c>
      <c r="EF241" s="738">
        <f t="shared" si="231"/>
        <v>18815.780435075751</v>
      </c>
      <c r="EH241" s="813">
        <v>8577.5277502669196</v>
      </c>
    </row>
    <row r="242" spans="1:138" x14ac:dyDescent="0.3">
      <c r="A242" s="328">
        <v>150000712</v>
      </c>
      <c r="B242" s="44" t="s">
        <v>692</v>
      </c>
      <c r="C242" s="45" t="s">
        <v>1761</v>
      </c>
      <c r="D242" s="45" t="s">
        <v>280</v>
      </c>
      <c r="E242" s="40">
        <f t="shared" si="232"/>
        <v>229.7</v>
      </c>
      <c r="F242" s="490">
        <v>229.7</v>
      </c>
      <c r="G242" s="30"/>
      <c r="H242" s="30">
        <v>0</v>
      </c>
      <c r="I242" s="42">
        <f>'[1]побудинковий звіт'!I242+'[2]побудинковий звіт'!I242-'[3]побудинковий звіт'!I242</f>
        <v>11475.951943116366</v>
      </c>
      <c r="J242" s="42">
        <f>'[1]побудинковий звіт'!J242+'[2]побудинковий звіт'!J242-'[3]побудинковий звіт'!J242</f>
        <v>10620.769265793633</v>
      </c>
      <c r="K242" s="56">
        <f t="shared" si="238"/>
        <v>-855.18267732273307</v>
      </c>
      <c r="L242" s="42">
        <f>'[1]побудинковий звіт'!L242+'[2]побудинковий звіт'!L242-'[3]побудинковий звіт'!L242</f>
        <v>2283.1352684857343</v>
      </c>
      <c r="M242" s="42">
        <f>'[1]побудинковий звіт'!M242+'[2]побудинковий звіт'!M242-'[3]побудинковий звіт'!M242</f>
        <v>2251.4897539185927</v>
      </c>
      <c r="N242" s="56">
        <f t="shared" si="239"/>
        <v>-31.645514567141618</v>
      </c>
      <c r="O242" s="42">
        <f>'[1]побудинковий звіт'!O242+'[2]побудинковий звіт'!O242-'[3]побудинковий звіт'!O242</f>
        <v>4766.76</v>
      </c>
      <c r="P242" s="42">
        <f>'[1]побудинковий звіт'!P242+'[2]побудинковий звіт'!P242-'[3]побудинковий звіт'!P242</f>
        <v>4765.3200000000006</v>
      </c>
      <c r="Q242" s="56">
        <f t="shared" si="240"/>
        <v>-1.4399999999995998</v>
      </c>
      <c r="R242" s="42">
        <f>'[1]побудинковий звіт'!R242+'[2]побудинковий звіт'!R242-'[3]побудинковий звіт'!R242</f>
        <v>0</v>
      </c>
      <c r="S242" s="42">
        <f>'[1]побудинковий звіт'!S242+'[2]побудинковий звіт'!S242-'[3]побудинковий звіт'!S242</f>
        <v>0</v>
      </c>
      <c r="T242" s="56">
        <f t="shared" si="241"/>
        <v>0</v>
      </c>
      <c r="U242" s="42">
        <f>'[1]побудинковий звіт'!U242+'[2]побудинковий звіт'!U242-'[3]побудинковий звіт'!U242</f>
        <v>0</v>
      </c>
      <c r="V242" s="42">
        <f>'[1]побудинковий звіт'!V242+'[2]побудинковий звіт'!V242-'[3]побудинковий звіт'!V242</f>
        <v>0</v>
      </c>
      <c r="W242" s="56">
        <f t="shared" si="242"/>
        <v>0</v>
      </c>
      <c r="X242" s="42">
        <f>'[1]побудинковий звіт'!X242+'[2]побудинковий звіт'!X242-'[3]побудинковий звіт'!X242</f>
        <v>7432.3828375278408</v>
      </c>
      <c r="Y242" s="42">
        <f>'[1]побудинковий звіт'!Y242+'[2]побудинковий звіт'!Y242-'[3]побудинковий звіт'!Y242</f>
        <v>6509.5651971172283</v>
      </c>
      <c r="Z242" s="56">
        <f t="shared" si="243"/>
        <v>-922.81764041061251</v>
      </c>
      <c r="AA242" s="42">
        <f>'[1]побудинковий звіт'!AA242+'[2]побудинковий звіт'!AA242-'[3]побудинковий звіт'!AA242</f>
        <v>0</v>
      </c>
      <c r="AB242" s="42">
        <f>'[1]побудинковий звіт'!AB242+'[2]побудинковий звіт'!AB242-'[3]побудинковий звіт'!AB242</f>
        <v>0</v>
      </c>
      <c r="AC242" s="56">
        <f t="shared" si="244"/>
        <v>0</v>
      </c>
      <c r="AD242" s="42">
        <f>'[1]побудинковий звіт'!AD242+'[2]побудинковий звіт'!AD242-'[3]побудинковий звіт'!AD242</f>
        <v>13720.844081844394</v>
      </c>
      <c r="AE242" s="42">
        <f>'[1]побудинковий звіт'!AE242+'[2]побудинковий звіт'!AE242-'[3]побудинковий звіт'!AE242</f>
        <v>12646.273927869912</v>
      </c>
      <c r="AF242" s="37">
        <f t="shared" si="245"/>
        <v>-1074.5701539744823</v>
      </c>
      <c r="AG242" s="87">
        <f t="shared" si="235"/>
        <v>39679.074130974332</v>
      </c>
      <c r="AH242" s="57">
        <f t="shared" si="235"/>
        <v>36793.418144699361</v>
      </c>
      <c r="AI242" s="56">
        <f t="shared" si="246"/>
        <v>-2885.6559862749709</v>
      </c>
      <c r="AJ242" s="42">
        <f>'[1]побудинковий звіт'!AJ242+'[2]побудинковий звіт'!AJ242-'[3]побудинковий звіт'!AJ242</f>
        <v>0</v>
      </c>
      <c r="AK242" s="42">
        <f>'[1]побудинковий звіт'!AK242+'[2]побудинковий звіт'!AK242-'[3]побудинковий звіт'!AK242</f>
        <v>0</v>
      </c>
      <c r="AL242" s="56">
        <f t="shared" si="247"/>
        <v>0</v>
      </c>
      <c r="AM242" s="42">
        <f>'[1]побудинковий звіт'!AM242+'[2]побудинковий звіт'!AM242-'[3]побудинковий звіт'!AM242</f>
        <v>0</v>
      </c>
      <c r="AN242" s="42">
        <f>'[1]побудинковий звіт'!AN242+'[2]побудинковий звіт'!AN242-'[3]побудинковий звіт'!AN242</f>
        <v>0</v>
      </c>
      <c r="AO242" s="56">
        <f t="shared" si="248"/>
        <v>0</v>
      </c>
      <c r="AP242" s="42">
        <f>'[1]побудинковий звіт'!AP242+'[2]побудинковий звіт'!AP242-'[3]побудинковий звіт'!AP242</f>
        <v>9943.6852503833234</v>
      </c>
      <c r="AQ242" s="42">
        <f>'[1]побудинковий звіт'!AQ242+'[2]побудинковий звіт'!AQ242-'[3]побудинковий звіт'!AQ242</f>
        <v>9590.5208397375118</v>
      </c>
      <c r="AR242" s="56">
        <f t="shared" si="249"/>
        <v>-353.16441064581159</v>
      </c>
      <c r="AS242" s="42">
        <f>'[1]побудинковий звіт'!AS242+'[2]побудинковий звіт'!AS242-'[3]побудинковий звіт'!AS242</f>
        <v>41070.643391573001</v>
      </c>
      <c r="AT242" s="42">
        <f>'[1]побудинковий звіт'!AT242+'[2]побудинковий звіт'!AT242-'[3]побудинковий звіт'!AT242</f>
        <v>11522</v>
      </c>
      <c r="AU242" s="58">
        <f t="shared" si="266"/>
        <v>-29548.643391573001</v>
      </c>
      <c r="AV242" s="42">
        <f>'[1]побудинковий звіт'!AV242+'[2]побудинковий звіт'!AV242-'[3]побудинковий звіт'!AV242</f>
        <v>1872.4864454471726</v>
      </c>
      <c r="AW242" s="42">
        <f>'[1]побудинковий звіт'!AW242+'[2]побудинковий звіт'!AW242-'[3]побудинковий звіт'!AW242</f>
        <v>0</v>
      </c>
      <c r="AX242" s="59">
        <f t="shared" si="267"/>
        <v>-1872.4864454471726</v>
      </c>
      <c r="AY242" s="42">
        <f>'[1]побудинковий звіт'!AY242+'[2]побудинковий звіт'!AY242-'[3]побудинковий звіт'!AY242</f>
        <v>2942.5534028547149</v>
      </c>
      <c r="AZ242" s="42">
        <f>'[1]побудинковий звіт'!AZ242+'[2]побудинковий звіт'!AZ242-'[3]побудинковий звіт'!AZ242</f>
        <v>3509</v>
      </c>
      <c r="BA242" s="37">
        <f t="shared" si="268"/>
        <v>566.44659714528507</v>
      </c>
      <c r="BB242" s="42">
        <f>'[1]побудинковий звіт'!BB242+'[2]побудинковий звіт'!BB242-'[3]побудинковий звіт'!BB242</f>
        <v>1770.2885804307066</v>
      </c>
      <c r="BC242" s="42">
        <f>'[1]побудинковий звіт'!BC242+'[2]побудинковий звіт'!BC242-'[3]побудинковий звіт'!BC242</f>
        <v>0</v>
      </c>
      <c r="BD242" s="59">
        <f t="shared" si="269"/>
        <v>-1770.2885804307066</v>
      </c>
      <c r="BE242" s="42">
        <f>'[1]побудинковий звіт'!BE242+'[2]побудинковий звіт'!BE242-'[3]побудинковий звіт'!BE242</f>
        <v>0</v>
      </c>
      <c r="BF242" s="42">
        <f>'[1]побудинковий звіт'!BF242+'[2]побудинковий звіт'!BF242-'[3]побудинковий звіт'!BF242</f>
        <v>0</v>
      </c>
      <c r="BG242" s="39">
        <f t="shared" si="270"/>
        <v>0</v>
      </c>
      <c r="BH242" s="42">
        <f>'[1]побудинковий звіт'!BH242+'[2]побудинковий звіт'!BH242-'[3]побудинковий звіт'!BH242</f>
        <v>0</v>
      </c>
      <c r="BI242" s="42">
        <f>'[1]побудинковий звіт'!BI242+'[2]побудинковий звіт'!BI242-'[3]побудинковий звіт'!BI242</f>
        <v>0</v>
      </c>
      <c r="BJ242" s="59">
        <f t="shared" si="271"/>
        <v>0</v>
      </c>
      <c r="BK242" s="42">
        <f>'[1]побудинковий звіт'!BK242+'[2]побудинковий звіт'!BK242-'[3]побудинковий звіт'!BK242</f>
        <v>1125.4035227710551</v>
      </c>
      <c r="BL242" s="42">
        <f>'[1]побудинковий звіт'!BL242+'[2]побудинковий звіт'!BL242-'[3]побудинковий звіт'!BL242</f>
        <v>1463</v>
      </c>
      <c r="BM242" s="39">
        <f t="shared" si="272"/>
        <v>337.59647722894488</v>
      </c>
      <c r="BN242" s="42">
        <f>'[1]побудинковий звіт'!BN242+'[2]побудинковий звіт'!BN242-'[3]побудинковий звіт'!BN242</f>
        <v>0</v>
      </c>
      <c r="BO242" s="42">
        <f>'[1]побудинковий звіт'!BO242+'[2]побудинковий звіт'!BO242-'[3]побудинковий звіт'!BO242</f>
        <v>0</v>
      </c>
      <c r="BP242" s="59">
        <f t="shared" si="273"/>
        <v>0</v>
      </c>
      <c r="BQ242" s="87">
        <f t="shared" si="233"/>
        <v>7710.7319515036488</v>
      </c>
      <c r="BR242" s="43">
        <f t="shared" si="275"/>
        <v>4972</v>
      </c>
      <c r="BS242" s="59">
        <f t="shared" si="274"/>
        <v>-2738.7319515036488</v>
      </c>
      <c r="BT242" s="42">
        <f>'[1]побудинковий звіт'!BT242+'[2]побудинковий звіт'!BT242-'[3]побудинковий звіт'!BT242</f>
        <v>45716.526763614602</v>
      </c>
      <c r="BU242" s="42">
        <f>'[1]побудинковий звіт'!BU242+'[2]побудинковий звіт'!BU242-'[3]побудинковий звіт'!BU242</f>
        <v>58981.768309142069</v>
      </c>
      <c r="BV242" s="56">
        <f t="shared" si="250"/>
        <v>13265.241545527468</v>
      </c>
      <c r="BW242" s="42">
        <f>'[1]побудинковий звіт'!BW242+'[2]побудинковий звіт'!BW242-'[3]побудинковий звіт'!BW242</f>
        <v>18489.026258935453</v>
      </c>
      <c r="BX242" s="42">
        <f>'[1]побудинковий звіт'!BX242+'[2]побудинковий звіт'!BX242-'[3]побудинковий звіт'!BX242</f>
        <v>17384.953308108506</v>
      </c>
      <c r="BY242" s="56">
        <f t="shared" si="251"/>
        <v>-1104.0729508269469</v>
      </c>
      <c r="BZ242" s="42">
        <f>'[1]побудинковий звіт'!BZ242+'[2]побудинковий звіт'!BZ242-'[3]побудинковий звіт'!BZ242</f>
        <v>6043.9367124109212</v>
      </c>
      <c r="CA242" s="42">
        <f>'[1]побудинковий звіт'!CA242+'[2]побудинковий звіт'!CA242-'[3]побудинковий звіт'!CA242</f>
        <v>10403.095650585752</v>
      </c>
      <c r="CB242" s="56">
        <f t="shared" si="252"/>
        <v>4359.1589381748308</v>
      </c>
      <c r="CC242" s="42">
        <f>'[1]побудинковий звіт'!CC242+'[2]побудинковий звіт'!CC242-'[3]побудинковий звіт'!CC242</f>
        <v>294.13253849873365</v>
      </c>
      <c r="CD242" s="42">
        <f>'[1]побудинковий звіт'!CD242+'[2]побудинковий звіт'!CD242-'[3]побудинковий звіт'!CD242</f>
        <v>291.54555966534281</v>
      </c>
      <c r="CE242" s="56">
        <f t="shared" si="253"/>
        <v>-2.5869788333908446</v>
      </c>
      <c r="CF242" s="42">
        <f>'[1]побудинковий звіт'!CF242+'[2]побудинковий звіт'!CF242-'[3]побудинковий звіт'!CF242</f>
        <v>36.209498110639558</v>
      </c>
      <c r="CG242" s="42">
        <f>'[1]побудинковий звіт'!CG242+'[2]побудинковий звіт'!CG242-'[3]побудинковий звіт'!CG242</f>
        <v>0</v>
      </c>
      <c r="CH242" s="56">
        <f t="shared" si="254"/>
        <v>-36.209498110639558</v>
      </c>
      <c r="CI242" s="42">
        <f>'[1]побудинковий звіт'!CI242+'[2]побудинковий звіт'!CI242-'[3]побудинковий звіт'!CI242</f>
        <v>3930.6802872103494</v>
      </c>
      <c r="CJ242" s="42">
        <f>'[1]побудинковий звіт'!CJ242+'[2]побудинковий звіт'!CJ242-'[3]побудинковий звіт'!CJ242</f>
        <v>2122.2162851798544</v>
      </c>
      <c r="CK242" s="56">
        <f t="shared" si="255"/>
        <v>-1808.4640020304951</v>
      </c>
      <c r="CL242" s="42">
        <f>'[1]побудинковий звіт'!CL242+'[2]побудинковий звіт'!CL242-'[3]побудинковий звіт'!CL242</f>
        <v>0</v>
      </c>
      <c r="CM242" s="42">
        <f>'[1]побудинковий звіт'!CM242+'[2]побудинковий звіт'!CM242-'[3]побудинковий звіт'!CM242</f>
        <v>0</v>
      </c>
      <c r="CN242" s="56">
        <f t="shared" si="256"/>
        <v>0</v>
      </c>
      <c r="CO242" s="42">
        <f t="shared" si="236"/>
        <v>3930.6802872103494</v>
      </c>
      <c r="CP242" s="43">
        <f t="shared" si="257"/>
        <v>2122.2162851798544</v>
      </c>
      <c r="CQ242" s="56">
        <f t="shared" si="258"/>
        <v>-1808.4640020304951</v>
      </c>
      <c r="CR242" s="78">
        <f t="shared" si="237"/>
        <v>172914.64678321499</v>
      </c>
      <c r="CS242" s="5">
        <f t="shared" si="237"/>
        <v>152061.51809711839</v>
      </c>
      <c r="CT242" s="56">
        <f t="shared" si="259"/>
        <v>-20853.128686096607</v>
      </c>
      <c r="CU242" s="87">
        <f t="shared" si="260"/>
        <v>207497.57613985799</v>
      </c>
      <c r="CV242" s="70">
        <f t="shared" si="261"/>
        <v>182473.82171654206</v>
      </c>
      <c r="CW242" s="37">
        <f t="shared" si="262"/>
        <v>-25023.754423315928</v>
      </c>
      <c r="CX242" s="42">
        <f>'[1]побудинковий звіт'!CX242+'[2]побудинковий звіт'!CX242-'[3]побудинковий звіт'!CX242</f>
        <v>10348.383860142028</v>
      </c>
      <c r="CY242" s="42">
        <f>'[1]побудинковий звіт'!CY242+'[2]побудинковий звіт'!CY242-'[3]побудинковий звіт'!CY242</f>
        <v>35372.138283457949</v>
      </c>
      <c r="CZ242" s="56">
        <f t="shared" si="263"/>
        <v>25023.754423315921</v>
      </c>
      <c r="DA242" s="264">
        <f>'[4]побудинковий звіт'!DA242</f>
        <v>61317.017510517617</v>
      </c>
      <c r="DB242" s="2">
        <v>3</v>
      </c>
      <c r="DC242" s="717">
        <f>'[4]побудинковий звіт'!DC242</f>
        <v>46742.61</v>
      </c>
      <c r="DD242" s="717">
        <f>'[4]побудинковий звіт'!DD242</f>
        <v>0</v>
      </c>
      <c r="DE242" s="717">
        <f>'[4]побудинковий звіт'!DE242</f>
        <v>28588.78</v>
      </c>
      <c r="DF242" s="717">
        <f>'[4]побудинковий звіт'!DF242</f>
        <v>0</v>
      </c>
      <c r="DG242" s="787">
        <v>25806.319169712369</v>
      </c>
      <c r="DH242" s="761">
        <f t="shared" si="226"/>
        <v>2614151.5200000005</v>
      </c>
      <c r="DI242" s="784"/>
      <c r="DJ242" s="5"/>
      <c r="DK242" s="317">
        <f>VLOOKUP($A242,ціни!$A$4:$G$401,5)</f>
        <v>5.6579725678770103</v>
      </c>
      <c r="DL242" s="317"/>
      <c r="DM242" s="317">
        <f>VLOOKUP($A242,ціни!$A$4:$G$401,7)</f>
        <v>5.0529896741435163</v>
      </c>
      <c r="DN242" s="30">
        <f t="shared" si="276"/>
        <v>1299.6362988413491</v>
      </c>
      <c r="DO242" s="30">
        <f t="shared" si="277"/>
        <v>0</v>
      </c>
      <c r="DP242" s="316">
        <f t="shared" si="278"/>
        <v>1299.6362988413491</v>
      </c>
      <c r="DQ242" s="104"/>
      <c r="DR242" s="30">
        <f>VLOOKUP(A242,'ДЗ нас '!$A$1:$C$359,2)</f>
        <v>18153.830000000002</v>
      </c>
      <c r="DS242" s="748"/>
      <c r="DT242" s="30">
        <f t="shared" si="279"/>
        <v>18153.830000000002</v>
      </c>
      <c r="DU242" s="257">
        <f>VLOOKUP(A242,'новий кошторис с 01.06'!$A$4:$AI$399,35)*1.2</f>
        <v>18328.952559020789</v>
      </c>
      <c r="DV242" s="30">
        <f t="shared" si="280"/>
        <v>-175.12255902078687</v>
      </c>
      <c r="DW242" s="930">
        <f>'[5]побудинковий звіт'!DW242+'[6]побудинковий звіт'!DW242</f>
        <v>236</v>
      </c>
      <c r="DY242" s="5">
        <f t="shared" si="227"/>
        <v>58537.650411691982</v>
      </c>
      <c r="DZ242" s="5">
        <f t="shared" si="228"/>
        <v>19792.8</v>
      </c>
      <c r="EA242" s="752">
        <f t="shared" si="229"/>
        <v>28588.78</v>
      </c>
      <c r="EC242" s="592">
        <f t="shared" si="230"/>
        <v>492847.72069887602</v>
      </c>
      <c r="EE242" s="758">
        <v>34036</v>
      </c>
      <c r="EF242" s="738">
        <f t="shared" si="231"/>
        <v>59842.319169712369</v>
      </c>
      <c r="EH242" s="813">
        <v>75793.943881755054</v>
      </c>
    </row>
    <row r="243" spans="1:138" x14ac:dyDescent="0.3">
      <c r="A243" s="328">
        <v>150000713</v>
      </c>
      <c r="B243" s="44" t="s">
        <v>693</v>
      </c>
      <c r="C243" s="45" t="s">
        <v>1762</v>
      </c>
      <c r="D243" s="45" t="s">
        <v>281</v>
      </c>
      <c r="E243" s="40">
        <f t="shared" si="232"/>
        <v>1532.1999999999998</v>
      </c>
      <c r="F243" s="490">
        <v>409.7</v>
      </c>
      <c r="G243" s="30"/>
      <c r="H243" s="30">
        <v>1122.4999999999998</v>
      </c>
      <c r="I243" s="42">
        <f>'[1]побудинковий звіт'!I243+'[2]побудинковий звіт'!I243-'[3]побудинковий звіт'!I243</f>
        <v>21823.956786575414</v>
      </c>
      <c r="J243" s="42">
        <f>'[1]побудинковий звіт'!J243+'[2]побудинковий звіт'!J243-'[3]побудинковий звіт'!J243</f>
        <v>20066.07900583258</v>
      </c>
      <c r="K243" s="56">
        <f t="shared" si="238"/>
        <v>-1757.8777807428341</v>
      </c>
      <c r="L243" s="42">
        <f>'[1]побудинковий звіт'!L243+'[2]побудинковий звіт'!L243-'[3]побудинковий звіт'!L243</f>
        <v>4538.1596979672458</v>
      </c>
      <c r="M243" s="42">
        <f>'[1]побудинковий звіт'!M243+'[2]побудинковий звіт'!M243-'[3]побудинковий звіт'!M243</f>
        <v>4470.5897965950962</v>
      </c>
      <c r="N243" s="56">
        <f t="shared" si="239"/>
        <v>-67.569901372149616</v>
      </c>
      <c r="O243" s="42">
        <f>'[1]побудинковий звіт'!O243+'[2]побудинковий звіт'!O243-'[3]побудинковий звіт'!O243</f>
        <v>8748.8399999999983</v>
      </c>
      <c r="P243" s="42">
        <f>'[1]побудинковий звіт'!P243+'[2]побудинковий звіт'!P243-'[3]побудинковий звіт'!P243</f>
        <v>8747.6400000000012</v>
      </c>
      <c r="Q243" s="56">
        <f t="shared" si="240"/>
        <v>-1.1999999999970896</v>
      </c>
      <c r="R243" s="42">
        <f>'[1]побудинковий звіт'!R243+'[2]побудинковий звіт'!R243-'[3]побудинковий звіт'!R243</f>
        <v>0</v>
      </c>
      <c r="S243" s="42">
        <f>'[1]побудинковий звіт'!S243+'[2]побудинковий звіт'!S243-'[3]побудинковий звіт'!S243</f>
        <v>0</v>
      </c>
      <c r="T243" s="56">
        <f t="shared" si="241"/>
        <v>0</v>
      </c>
      <c r="U243" s="42">
        <f>'[1]побудинковий звіт'!U243+'[2]побудинковий звіт'!U243-'[3]побудинковий звіт'!U243</f>
        <v>2003.5352550963678</v>
      </c>
      <c r="V243" s="42">
        <f>'[1]побудинковий звіт'!V243+'[2]побудинковий звіт'!V243-'[3]побудинковий звіт'!V243</f>
        <v>1360.4326218215028</v>
      </c>
      <c r="W243" s="56">
        <f t="shared" si="242"/>
        <v>-643.10263327486496</v>
      </c>
      <c r="X243" s="42">
        <f>'[1]побудинковий звіт'!X243+'[2]побудинковий звіт'!X243-'[3]побудинковий звіт'!X243</f>
        <v>20188.383495777289</v>
      </c>
      <c r="Y243" s="42">
        <f>'[1]побудинковий звіт'!Y243+'[2]побудинковий звіт'!Y243-'[3]побудинковий звіт'!Y243</f>
        <v>18027.474400588748</v>
      </c>
      <c r="Z243" s="56">
        <f t="shared" si="243"/>
        <v>-2160.909095188541</v>
      </c>
      <c r="AA243" s="42">
        <f>'[1]побудинковий звіт'!AA243+'[2]побудинковий звіт'!AA243-'[3]побудинковий звіт'!AA243</f>
        <v>0</v>
      </c>
      <c r="AB243" s="42">
        <f>'[1]побудинковий звіт'!AB243+'[2]побудинковий звіт'!AB243-'[3]побудинковий звіт'!AB243</f>
        <v>0</v>
      </c>
      <c r="AC243" s="56">
        <f t="shared" si="244"/>
        <v>0</v>
      </c>
      <c r="AD243" s="42">
        <f>'[1]побудинковий звіт'!AD243+'[2]побудинковий звіт'!AD243-'[3]побудинковий звіт'!AD243</f>
        <v>26752.167570644309</v>
      </c>
      <c r="AE243" s="42">
        <f>'[1]побудинковий звіт'!AE243+'[2]побудинковий звіт'!AE243-'[3]побудинковий звіт'!AE243</f>
        <v>24649.992113555792</v>
      </c>
      <c r="AF243" s="37">
        <f t="shared" si="245"/>
        <v>-2102.1754570885169</v>
      </c>
      <c r="AG243" s="87">
        <f t="shared" si="235"/>
        <v>84055.042806060621</v>
      </c>
      <c r="AH243" s="57">
        <f t="shared" si="235"/>
        <v>77322.207938393723</v>
      </c>
      <c r="AI243" s="56">
        <f t="shared" si="246"/>
        <v>-6732.8348676668975</v>
      </c>
      <c r="AJ243" s="42">
        <f>'[1]побудинковий звіт'!AJ243+'[2]побудинковий звіт'!AJ243-'[3]побудинковий звіт'!AJ243</f>
        <v>0</v>
      </c>
      <c r="AK243" s="42">
        <f>'[1]побудинковий звіт'!AK243+'[2]побудинковий звіт'!AK243-'[3]побудинковий звіт'!AK243</f>
        <v>0</v>
      </c>
      <c r="AL243" s="56">
        <f t="shared" si="247"/>
        <v>0</v>
      </c>
      <c r="AM243" s="42">
        <f>'[1]побудинковий звіт'!AM243+'[2]побудинковий звіт'!AM243-'[3]побудинковий звіт'!AM243</f>
        <v>0</v>
      </c>
      <c r="AN243" s="42">
        <f>'[1]побудинковий звіт'!AN243+'[2]побудинковий звіт'!AN243-'[3]побудинковий звіт'!AN243</f>
        <v>0</v>
      </c>
      <c r="AO243" s="56">
        <f t="shared" si="248"/>
        <v>0</v>
      </c>
      <c r="AP243" s="42">
        <f>'[1]побудинковий звіт'!AP243+'[2]побудинковий звіт'!AP243-'[3]побудинковий звіт'!AP243</f>
        <v>15199.633168443075</v>
      </c>
      <c r="AQ243" s="42">
        <f>'[1]побудинковий звіт'!AQ243+'[2]побудинковий звіт'!AQ243-'[3]побудинковий звіт'!AQ243</f>
        <v>14841.586905778986</v>
      </c>
      <c r="AR243" s="56">
        <f t="shared" si="249"/>
        <v>-358.04626266408923</v>
      </c>
      <c r="AS243" s="42">
        <f>'[1]побудинковий звіт'!AS243+'[2]побудинковий звіт'!AS243-'[3]побудинковий звіт'!AS243</f>
        <v>92220.446755540339</v>
      </c>
      <c r="AT243" s="42">
        <f>'[1]побудинковий звіт'!AT243+'[2]побудинковий звіт'!AT243-'[3]побудинковий звіт'!AT243</f>
        <v>24345</v>
      </c>
      <c r="AU243" s="58">
        <f t="shared" si="266"/>
        <v>-67875.446755540339</v>
      </c>
      <c r="AV243" s="42">
        <f>'[1]побудинковий звіт'!AV243+'[2]побудинковий звіт'!AV243-'[3]побудинковий звіт'!AV243</f>
        <v>3586.2517104456761</v>
      </c>
      <c r="AW243" s="42">
        <f>'[1]побудинковий звіт'!AW243+'[2]побудинковий звіт'!AW243-'[3]побудинковий звіт'!AW243</f>
        <v>29837.4245853256</v>
      </c>
      <c r="AX243" s="59">
        <f t="shared" si="267"/>
        <v>26251.172874879925</v>
      </c>
      <c r="AY243" s="42">
        <f>'[1]побудинковий звіт'!AY243+'[2]побудинковий звіт'!AY243-'[3]побудинковий звіт'!AY243</f>
        <v>5849.096344318531</v>
      </c>
      <c r="AZ243" s="42">
        <f>'[1]побудинковий звіт'!AZ243+'[2]побудинковий звіт'!AZ243-'[3]побудинковий звіт'!AZ243</f>
        <v>1997</v>
      </c>
      <c r="BA243" s="37">
        <f t="shared" si="268"/>
        <v>-3852.096344318531</v>
      </c>
      <c r="BB243" s="42">
        <f>'[1]побудинковий звіт'!BB243+'[2]побудинковий звіт'!BB243-'[3]побудинковий звіт'!BB243</f>
        <v>3405.6976121344578</v>
      </c>
      <c r="BC243" s="42">
        <f>'[1]побудинковий звіт'!BC243+'[2]побудинковий звіт'!BC243-'[3]побудинковий звіт'!BC243</f>
        <v>0</v>
      </c>
      <c r="BD243" s="59">
        <f t="shared" si="269"/>
        <v>-3405.6976121344578</v>
      </c>
      <c r="BE243" s="42">
        <f>'[1]побудинковий звіт'!BE243+'[2]побудинковий звіт'!BE243-'[3]побудинковий звіт'!BE243</f>
        <v>0</v>
      </c>
      <c r="BF243" s="42">
        <f>'[1]побудинковий звіт'!BF243+'[2]побудинковий звіт'!BF243-'[3]побудинковий звіт'!BF243</f>
        <v>0</v>
      </c>
      <c r="BG243" s="39">
        <f t="shared" si="270"/>
        <v>0</v>
      </c>
      <c r="BH243" s="42">
        <f>'[1]побудинковий звіт'!BH243+'[2]побудинковий звіт'!BH243-'[3]побудинковий звіт'!BH243</f>
        <v>2032.8706882486335</v>
      </c>
      <c r="BI243" s="42">
        <f>'[1]побудинковий звіт'!BI243+'[2]побудинковий звіт'!BI243-'[3]побудинковий звіт'!BI243</f>
        <v>0</v>
      </c>
      <c r="BJ243" s="59">
        <f t="shared" si="271"/>
        <v>-2032.8706882486335</v>
      </c>
      <c r="BK243" s="42">
        <f>'[1]побудинковий звіт'!BK243+'[2]побудинковий звіт'!BK243-'[3]побудинковий звіт'!BK243</f>
        <v>3130.1207916871576</v>
      </c>
      <c r="BL243" s="42">
        <f>'[1]побудинковий звіт'!BL243+'[2]побудинковий звіт'!BL243-'[3]побудинковий звіт'!BL243</f>
        <v>617</v>
      </c>
      <c r="BM243" s="39">
        <f t="shared" si="272"/>
        <v>-2513.1207916871576</v>
      </c>
      <c r="BN243" s="42">
        <f>'[1]побудинковий звіт'!BN243+'[2]побудинковий звіт'!BN243-'[3]побудинковий звіт'!BN243</f>
        <v>0</v>
      </c>
      <c r="BO243" s="42">
        <f>'[1]побудинковий звіт'!BO243+'[2]побудинковий звіт'!BO243-'[3]побудинковий звіт'!BO243</f>
        <v>0</v>
      </c>
      <c r="BP243" s="59">
        <f t="shared" si="273"/>
        <v>0</v>
      </c>
      <c r="BQ243" s="87">
        <f t="shared" si="233"/>
        <v>18004.037146834457</v>
      </c>
      <c r="BR243" s="43">
        <f t="shared" si="275"/>
        <v>32451.4245853256</v>
      </c>
      <c r="BS243" s="59">
        <f t="shared" si="274"/>
        <v>14447.387438491143</v>
      </c>
      <c r="BT243" s="42">
        <f>'[1]побудинковий звіт'!BT243+'[2]побудинковий звіт'!BT243-'[3]побудинковий звіт'!BT243</f>
        <v>60028.113653942593</v>
      </c>
      <c r="BU243" s="42">
        <f>'[1]побудинковий звіт'!BU243+'[2]побудинковий звіт'!BU243-'[3]побудинковий звіт'!BU243</f>
        <v>80561.432274809427</v>
      </c>
      <c r="BV243" s="56">
        <f t="shared" si="250"/>
        <v>20533.318620866834</v>
      </c>
      <c r="BW243" s="42">
        <f>'[1]побудинковий звіт'!BW243+'[2]побудинковий звіт'!BW243-'[3]побудинковий звіт'!BW243</f>
        <v>32498.280943143789</v>
      </c>
      <c r="BX243" s="42">
        <f>'[1]побудинковий звіт'!BX243+'[2]побудинковий звіт'!BX243-'[3]побудинковий звіт'!BX243</f>
        <v>32356.328726516243</v>
      </c>
      <c r="BY243" s="56">
        <f t="shared" si="251"/>
        <v>-141.95221662754557</v>
      </c>
      <c r="BZ243" s="42">
        <f>'[1]побудинковий звіт'!BZ243+'[2]побудинковий звіт'!BZ243-'[3]побудинковий звіт'!BZ243</f>
        <v>11387.194080187055</v>
      </c>
      <c r="CA243" s="42">
        <f>'[1]побудинковий звіт'!CA243+'[2]побудинковий звіт'!CA243-'[3]побудинковий звіт'!CA243</f>
        <v>17824.382860641901</v>
      </c>
      <c r="CB243" s="56">
        <f t="shared" si="252"/>
        <v>6437.188780454846</v>
      </c>
      <c r="CC243" s="42">
        <f>'[1]побудинковий звіт'!CC243+'[2]побудинковий звіт'!CC243-'[3]побудинковий звіт'!CC243</f>
        <v>882.39761549620084</v>
      </c>
      <c r="CD243" s="42">
        <f>'[1]побудинковий звіт'!CD243+'[2]побудинковий звіт'!CD243-'[3]побудинковий звіт'!CD243</f>
        <v>874.63667899602842</v>
      </c>
      <c r="CE243" s="56">
        <f t="shared" si="253"/>
        <v>-7.76093650017242</v>
      </c>
      <c r="CF243" s="42">
        <f>'[1]побудинковий звіт'!CF243+'[2]побудинковий звіт'!CF243-'[3]побудинковий звіт'!CF243</f>
        <v>108.62849433191867</v>
      </c>
      <c r="CG243" s="42">
        <f>'[1]побудинковий звіт'!CG243+'[2]побудинковий звіт'!CG243-'[3]побудинковий звіт'!CG243</f>
        <v>547.9634810966121</v>
      </c>
      <c r="CH243" s="56">
        <f t="shared" si="254"/>
        <v>439.33498676469344</v>
      </c>
      <c r="CI243" s="42">
        <f>'[1]побудинковий звіт'!CI243+'[2]побудинковий звіт'!CI243-'[3]побудинковий звіт'!CI243</f>
        <v>2882.4988772875895</v>
      </c>
      <c r="CJ243" s="42">
        <f>'[1]побудинковий звіт'!CJ243+'[2]побудинковий звіт'!CJ243-'[3]побудинковий звіт'!CJ243</f>
        <v>1476.4044847540388</v>
      </c>
      <c r="CK243" s="56">
        <f t="shared" si="255"/>
        <v>-1406.0943925335507</v>
      </c>
      <c r="CL243" s="42">
        <f>'[1]побудинковий звіт'!CL243+'[2]побудинковий звіт'!CL243-'[3]побудинковий звіт'!CL243</f>
        <v>0</v>
      </c>
      <c r="CM243" s="42">
        <f>'[1]побудинковий звіт'!CM243+'[2]побудинковий звіт'!CM243-'[3]побудинковий звіт'!CM243</f>
        <v>0</v>
      </c>
      <c r="CN243" s="56">
        <f t="shared" si="256"/>
        <v>0</v>
      </c>
      <c r="CO243" s="42">
        <f t="shared" si="236"/>
        <v>2882.4988772875895</v>
      </c>
      <c r="CP243" s="43">
        <f t="shared" si="257"/>
        <v>1476.4044847540388</v>
      </c>
      <c r="CQ243" s="56">
        <f t="shared" si="258"/>
        <v>-1406.0943925335507</v>
      </c>
      <c r="CR243" s="78">
        <f t="shared" si="237"/>
        <v>317266.27354126761</v>
      </c>
      <c r="CS243" s="5">
        <f t="shared" si="237"/>
        <v>282601.36793631257</v>
      </c>
      <c r="CT243" s="56">
        <f t="shared" si="259"/>
        <v>-34664.905604955042</v>
      </c>
      <c r="CU243" s="87">
        <f t="shared" si="260"/>
        <v>380719.5282495211</v>
      </c>
      <c r="CV243" s="70">
        <f t="shared" si="261"/>
        <v>339121.64152357506</v>
      </c>
      <c r="CW243" s="37">
        <f t="shared" si="262"/>
        <v>-41597.886725946038</v>
      </c>
      <c r="CX243" s="42">
        <f>'[1]побудинковий звіт'!CX243+'[2]побудинковий звіт'!CX243-'[3]побудинковий звіт'!CX243</f>
        <v>14359.8617504789</v>
      </c>
      <c r="CY243" s="42">
        <f>'[1]побудинковий звіт'!CY243+'[2]побудинковий звіт'!CY243-'[3]побудинковий звіт'!CY243</f>
        <v>55957.748476424968</v>
      </c>
      <c r="CZ243" s="56">
        <f t="shared" si="263"/>
        <v>41597.886725946068</v>
      </c>
      <c r="DA243" s="264">
        <f>'[4]побудинковий звіт'!DA243</f>
        <v>46213.551863997956</v>
      </c>
      <c r="DB243" s="2">
        <v>3</v>
      </c>
      <c r="DC243" s="717">
        <f>'[4]побудинковий звіт'!DC243</f>
        <v>89290.58</v>
      </c>
      <c r="DD243" s="717">
        <f>'[4]побудинковий звіт'!DD243</f>
        <v>21725.989999999998</v>
      </c>
      <c r="DE243" s="717">
        <f>'[4]побудинковий звіт'!DE243</f>
        <v>61674.98</v>
      </c>
      <c r="DF243" s="717">
        <f>'[4]побудинковий звіт'!DF243</f>
        <v>16422.839999999997</v>
      </c>
      <c r="DG243" s="787">
        <v>-25097.09928133525</v>
      </c>
      <c r="DH243" s="761">
        <f t="shared" si="226"/>
        <v>4740952.68</v>
      </c>
      <c r="DI243" s="784"/>
      <c r="DJ243" s="5"/>
      <c r="DK243" s="317">
        <f>VLOOKUP($A243,ціни!$A$4:$G$401,5)</f>
        <v>5.3818515896628938</v>
      </c>
      <c r="DL243" s="317"/>
      <c r="DM243" s="317">
        <f>VLOOKUP($A243,ціни!$A$4:$G$401,7)</f>
        <v>4.7244378147372768</v>
      </c>
      <c r="DN243" s="30">
        <f t="shared" si="276"/>
        <v>2204.9445962848877</v>
      </c>
      <c r="DO243" s="30">
        <f t="shared" si="277"/>
        <v>5303.1814470425925</v>
      </c>
      <c r="DP243" s="316">
        <f t="shared" si="278"/>
        <v>7508.1260433274801</v>
      </c>
      <c r="DQ243" s="104"/>
      <c r="DR243" s="30">
        <f>VLOOKUP(A243,'ДЗ нас '!$A$1:$C$359,2)</f>
        <v>27615.599999999999</v>
      </c>
      <c r="DS243" s="748">
        <f>VLOOKUP(A243,'ДЗ нежит'!$A$1:$D$153,4,0)</f>
        <v>5303.1500000000015</v>
      </c>
      <c r="DT243" s="30">
        <f t="shared" si="279"/>
        <v>32918.75</v>
      </c>
      <c r="DU243" s="257">
        <f>VLOOKUP(A243,'новий кошторис с 01.06'!$A$4:$AI$399,35)*1.2</f>
        <v>33173.361561474936</v>
      </c>
      <c r="DV243" s="30">
        <f t="shared" si="280"/>
        <v>-254.61156147493602</v>
      </c>
      <c r="DW243" s="930">
        <f>'[5]побудинковий звіт'!DW243+'[6]побудинковий звіт'!DW243</f>
        <v>332</v>
      </c>
      <c r="DY243" s="5">
        <f t="shared" si="227"/>
        <v>132269.38068284973</v>
      </c>
      <c r="DZ243" s="5">
        <f t="shared" si="228"/>
        <v>68155.709502390717</v>
      </c>
      <c r="EA243" s="752">
        <f t="shared" si="229"/>
        <v>78097.820000000007</v>
      </c>
      <c r="EC243" s="592">
        <f t="shared" si="230"/>
        <v>1106645.3610664841</v>
      </c>
      <c r="EE243" s="758">
        <v>34274</v>
      </c>
      <c r="EF243" s="738">
        <f t="shared" si="231"/>
        <v>9176.9007186647505</v>
      </c>
      <c r="EH243" s="813">
        <v>78438.650228507366</v>
      </c>
    </row>
    <row r="244" spans="1:138" x14ac:dyDescent="0.3">
      <c r="A244" s="328">
        <v>150000714</v>
      </c>
      <c r="B244" s="44" t="s">
        <v>694</v>
      </c>
      <c r="C244" s="45" t="s">
        <v>1763</v>
      </c>
      <c r="D244" s="45" t="s">
        <v>282</v>
      </c>
      <c r="E244" s="40">
        <f t="shared" si="232"/>
        <v>386.5</v>
      </c>
      <c r="F244" s="490">
        <v>386.5</v>
      </c>
      <c r="G244" s="30"/>
      <c r="H244" s="30">
        <v>0</v>
      </c>
      <c r="I244" s="42">
        <f>'[1]побудинковий звіт'!I244+'[2]побудинковий звіт'!I244-'[3]побудинковий звіт'!I244</f>
        <v>10556.306878763233</v>
      </c>
      <c r="J244" s="42">
        <f>'[1]побудинковий звіт'!J244+'[2]побудинковий звіт'!J244-'[3]побудинковий звіт'!J244</f>
        <v>9773.2514212016358</v>
      </c>
      <c r="K244" s="56">
        <f t="shared" si="238"/>
        <v>-783.055457561597</v>
      </c>
      <c r="L244" s="42">
        <f>'[1]побудинковий звіт'!L244+'[2]побудинковий звіт'!L244-'[3]побудинковий звіт'!L244</f>
        <v>2230.1697267134045</v>
      </c>
      <c r="M244" s="42">
        <f>'[1]побудинковий звіт'!M244+'[2]побудинковий звіт'!M244-'[3]побудинковий звіт'!M244</f>
        <v>2171.3417169074646</v>
      </c>
      <c r="N244" s="56">
        <f t="shared" si="239"/>
        <v>-58.828009805939928</v>
      </c>
      <c r="O244" s="42">
        <f>'[1]побудинковий звіт'!O244+'[2]побудинковий звіт'!O244-'[3]побудинковий звіт'!O244</f>
        <v>4088.1599999999994</v>
      </c>
      <c r="P244" s="42">
        <f>'[1]побудинковий звіт'!P244+'[2]побудинковий звіт'!P244-'[3]побудинковий звіт'!P244</f>
        <v>4088.3999999999992</v>
      </c>
      <c r="Q244" s="56">
        <f t="shared" si="240"/>
        <v>0.23999999999978172</v>
      </c>
      <c r="R244" s="42">
        <f>'[1]побудинковий звіт'!R244+'[2]побудинковий звіт'!R244-'[3]побудинковий звіт'!R244</f>
        <v>0</v>
      </c>
      <c r="S244" s="42">
        <f>'[1]побудинковий звіт'!S244+'[2]побудинковий звіт'!S244-'[3]побудинковий звіт'!S244</f>
        <v>0</v>
      </c>
      <c r="T244" s="56">
        <f t="shared" si="241"/>
        <v>0</v>
      </c>
      <c r="U244" s="42">
        <f>'[1]побудинковий звіт'!U244+'[2]побудинковий звіт'!U244-'[3]побудинковий звіт'!U244</f>
        <v>0</v>
      </c>
      <c r="V244" s="42">
        <f>'[1]побудинковий звіт'!V244+'[2]побудинковий звіт'!V244-'[3]побудинковий звіт'!V244</f>
        <v>0</v>
      </c>
      <c r="W244" s="56">
        <f t="shared" si="242"/>
        <v>0</v>
      </c>
      <c r="X244" s="42">
        <f>'[1]побудинковий звіт'!X244+'[2]побудинковий звіт'!X244-'[3]побудинковий звіт'!X244</f>
        <v>7044.0863737187083</v>
      </c>
      <c r="Y244" s="42">
        <f>'[1]побудинковий звіт'!Y244+'[2]побудинковий звіт'!Y244-'[3]побудинковий звіт'!Y244</f>
        <v>6065.2994644278933</v>
      </c>
      <c r="Z244" s="56">
        <f t="shared" si="243"/>
        <v>-978.78690929081495</v>
      </c>
      <c r="AA244" s="42">
        <f>'[1]побудинковий звіт'!AA244+'[2]побудинковий звіт'!AA244-'[3]побудинковий звіт'!AA244</f>
        <v>0</v>
      </c>
      <c r="AB244" s="42">
        <f>'[1]побудинковий звіт'!AB244+'[2]побудинковий звіт'!AB244-'[3]побудинковий звіт'!AB244</f>
        <v>0</v>
      </c>
      <c r="AC244" s="56">
        <f t="shared" si="244"/>
        <v>0</v>
      </c>
      <c r="AD244" s="42">
        <f>'[1]побудинковий звіт'!AD244+'[2]побудинковий звіт'!AD244-'[3]побудинковий звіт'!AD244</f>
        <v>11834.646517602099</v>
      </c>
      <c r="AE244" s="42">
        <f>'[1]побудинковий звіт'!AE244+'[2]побудинковий звіт'!AE244-'[3]побудинковий звіт'!AE244</f>
        <v>10907.914864680775</v>
      </c>
      <c r="AF244" s="37">
        <f t="shared" si="245"/>
        <v>-926.73165292132398</v>
      </c>
      <c r="AG244" s="87">
        <f t="shared" si="235"/>
        <v>35753.369496797444</v>
      </c>
      <c r="AH244" s="57">
        <f t="shared" si="235"/>
        <v>33006.20746721777</v>
      </c>
      <c r="AI244" s="56">
        <f t="shared" si="246"/>
        <v>-2747.1620295796747</v>
      </c>
      <c r="AJ244" s="42">
        <f>'[1]побудинковий звіт'!AJ244+'[2]побудинковий звіт'!AJ244-'[3]побудинковий звіт'!AJ244</f>
        <v>0</v>
      </c>
      <c r="AK244" s="42">
        <f>'[1]побудинковий звіт'!AK244+'[2]побудинковий звіт'!AK244-'[3]побудинковий звіт'!AK244</f>
        <v>0</v>
      </c>
      <c r="AL244" s="56">
        <f t="shared" si="247"/>
        <v>0</v>
      </c>
      <c r="AM244" s="42">
        <f>'[1]побудинковий звіт'!AM244+'[2]побудинковий звіт'!AM244-'[3]побудинковий звіт'!AM244</f>
        <v>0</v>
      </c>
      <c r="AN244" s="42">
        <f>'[1]побудинковий звіт'!AN244+'[2]побудинковий звіт'!AN244-'[3]побудинковий звіт'!AN244</f>
        <v>0</v>
      </c>
      <c r="AO244" s="56">
        <f t="shared" si="248"/>
        <v>0</v>
      </c>
      <c r="AP244" s="42">
        <f>'[1]побудинковий звіт'!AP244+'[2]побудинковий звіт'!AP244-'[3]побудинковий звіт'!AP244</f>
        <v>4261.5793930214249</v>
      </c>
      <c r="AQ244" s="42">
        <f>'[1]побудинковий звіт'!AQ244+'[2]побудинковий звіт'!AQ244-'[3]побудинковий звіт'!AQ244</f>
        <v>8170.5520498701007</v>
      </c>
      <c r="AR244" s="56">
        <f t="shared" si="249"/>
        <v>3908.9726568486758</v>
      </c>
      <c r="AS244" s="42">
        <f>'[1]побудинковий звіт'!AS244+'[2]побудинковий звіт'!AS244-'[3]побудинковий звіт'!AS244</f>
        <v>47306.824999313518</v>
      </c>
      <c r="AT244" s="42">
        <f>'[1]побудинковий звіт'!AT244+'[2]побудинковий звіт'!AT244-'[3]побудинковий звіт'!AT244</f>
        <v>12893</v>
      </c>
      <c r="AU244" s="58">
        <f t="shared" si="266"/>
        <v>-34413.824999313518</v>
      </c>
      <c r="AV244" s="42">
        <f>'[1]побудинковий звіт'!AV244+'[2]побудинковий звіт'!AV244-'[3]побудинковий звіт'!AV244</f>
        <v>1761.7417485155004</v>
      </c>
      <c r="AW244" s="42">
        <f>'[1]побудинковий звіт'!AW244+'[2]побудинковий звіт'!AW244-'[3]побудинковий звіт'!AW244</f>
        <v>3782</v>
      </c>
      <c r="AX244" s="59">
        <f t="shared" si="267"/>
        <v>2020.2582514844996</v>
      </c>
      <c r="AY244" s="42">
        <f>'[1]побудинковий звіт'!AY244+'[2]побудинковий звіт'!AY244-'[3]побудинковий звіт'!AY244</f>
        <v>2874.3209718152839</v>
      </c>
      <c r="AZ244" s="42">
        <f>'[1]побудинковий звіт'!AZ244+'[2]побудинковий звіт'!AZ244-'[3]побудинковий звіт'!AZ244</f>
        <v>1976</v>
      </c>
      <c r="BA244" s="37">
        <f t="shared" si="268"/>
        <v>-898.32097181528388</v>
      </c>
      <c r="BB244" s="42">
        <f>'[1]побудинковий звіт'!BB244+'[2]побудинковий звіт'!BB244-'[3]побудинковий звіт'!BB244</f>
        <v>1510.7208812997071</v>
      </c>
      <c r="BC244" s="42">
        <f>'[1]побудинковий звіт'!BC244+'[2]побудинковий звіт'!BC244-'[3]побудинковий звіт'!BC244</f>
        <v>0</v>
      </c>
      <c r="BD244" s="59">
        <f t="shared" si="269"/>
        <v>-1510.7208812997071</v>
      </c>
      <c r="BE244" s="42">
        <f>'[1]побудинковий звіт'!BE244+'[2]побудинковий звіт'!BE244-'[3]побудинковий звіт'!BE244</f>
        <v>0</v>
      </c>
      <c r="BF244" s="42">
        <f>'[1]побудинковий звіт'!BF244+'[2]побудинковий звіт'!BF244-'[3]побудинковий звіт'!BF244</f>
        <v>0</v>
      </c>
      <c r="BG244" s="39">
        <f t="shared" si="270"/>
        <v>0</v>
      </c>
      <c r="BH244" s="42">
        <f>'[1]побудинковий звіт'!BH244+'[2]побудинковий звіт'!BH244-'[3]побудинковий звіт'!BH244</f>
        <v>0</v>
      </c>
      <c r="BI244" s="42">
        <f>'[1]побудинковий звіт'!BI244+'[2]побудинковий звіт'!BI244-'[3]побудинковий звіт'!BI244</f>
        <v>0</v>
      </c>
      <c r="BJ244" s="59">
        <f t="shared" si="271"/>
        <v>0</v>
      </c>
      <c r="BK244" s="42">
        <f>'[1]побудинковий звіт'!BK244+'[2]побудинковий звіт'!BK244-'[3]побудинковий звіт'!BK244</f>
        <v>1056.6837643250167</v>
      </c>
      <c r="BL244" s="42">
        <f>'[1]побудинковий звіт'!BL244+'[2]побудинковий звіт'!BL244-'[3]побудинковий звіт'!BL244</f>
        <v>0</v>
      </c>
      <c r="BM244" s="39">
        <f t="shared" si="272"/>
        <v>-1056.6837643250167</v>
      </c>
      <c r="BN244" s="42">
        <f>'[1]побудинковий звіт'!BN244+'[2]побудинковий звіт'!BN244-'[3]побудинковий звіт'!BN244</f>
        <v>0</v>
      </c>
      <c r="BO244" s="42">
        <f>'[1]побудинковий звіт'!BO244+'[2]побудинковий звіт'!BO244-'[3]побудинковий звіт'!BO244</f>
        <v>0</v>
      </c>
      <c r="BP244" s="59">
        <f t="shared" si="273"/>
        <v>0</v>
      </c>
      <c r="BQ244" s="87">
        <f t="shared" si="233"/>
        <v>7203.4673659555074</v>
      </c>
      <c r="BR244" s="43">
        <f t="shared" si="275"/>
        <v>5758</v>
      </c>
      <c r="BS244" s="59">
        <f t="shared" si="274"/>
        <v>-1445.4673659555074</v>
      </c>
      <c r="BT244" s="42">
        <f>'[1]побудинковий звіт'!BT244+'[2]побудинковий звіт'!BT244-'[3]побудинковий звіт'!BT244</f>
        <v>35552.557631170777</v>
      </c>
      <c r="BU244" s="42">
        <f>'[1]побудинковий звіт'!BU244+'[2]побудинковий звіт'!BU244-'[3]побудинковий звіт'!BU244</f>
        <v>46856.84408504091</v>
      </c>
      <c r="BV244" s="56">
        <f t="shared" si="250"/>
        <v>11304.286453870132</v>
      </c>
      <c r="BW244" s="42">
        <f>'[1]побудинковий звіт'!BW244+'[2]побудинковий звіт'!BW244-'[3]побудинковий звіт'!BW244</f>
        <v>18477.662840629626</v>
      </c>
      <c r="BX244" s="42">
        <f>'[1]побудинковий звіт'!BX244+'[2]побудинковий звіт'!BX244-'[3]побудинковий звіт'!BX244</f>
        <v>18254.992278750957</v>
      </c>
      <c r="BY244" s="56">
        <f t="shared" si="251"/>
        <v>-222.6705618786691</v>
      </c>
      <c r="BZ244" s="42">
        <f>'[1]побудинковий звіт'!BZ244+'[2]побудинковий звіт'!BZ244-'[3]побудинковий звіт'!BZ244</f>
        <v>4922.4696699727238</v>
      </c>
      <c r="CA244" s="42">
        <f>'[1]побудинковий звіт'!CA244+'[2]побудинковий звіт'!CA244-'[3]побудинковий звіт'!CA244</f>
        <v>10019.032649255796</v>
      </c>
      <c r="CB244" s="56">
        <f t="shared" si="252"/>
        <v>5096.5629792830723</v>
      </c>
      <c r="CC244" s="42">
        <f>'[1]побудинковий звіт'!CC244+'[2]побудинковий звіт'!CC244-'[3]побудинковий звіт'!CC244</f>
        <v>588.2650769974673</v>
      </c>
      <c r="CD244" s="42">
        <f>'[1]побудинковий звіт'!CD244+'[2]побудинковий звіт'!CD244-'[3]побудинковий звіт'!CD244</f>
        <v>583.09111933068561</v>
      </c>
      <c r="CE244" s="56">
        <f t="shared" si="253"/>
        <v>-5.1739576667816891</v>
      </c>
      <c r="CF244" s="42">
        <f>'[1]побудинковий звіт'!CF244+'[2]побудинковий звіт'!CF244-'[3]побудинковий звіт'!CF244</f>
        <v>72.418996221279116</v>
      </c>
      <c r="CG244" s="42">
        <f>'[1]побудинковий звіт'!CG244+'[2]побудинковий звіт'!CG244-'[3]побудинковий звіт'!CG244</f>
        <v>0</v>
      </c>
      <c r="CH244" s="56">
        <f t="shared" si="254"/>
        <v>-72.418996221279116</v>
      </c>
      <c r="CI244" s="42">
        <f>'[1]побудинковий звіт'!CI244+'[2]побудинковий звіт'!CI244-'[3]побудинковий звіт'!CI244</f>
        <v>9807.9831928486801</v>
      </c>
      <c r="CJ244" s="42">
        <f>'[1]побудинковий звіт'!CJ244+'[2]побудинковий звіт'!CJ244-'[3]побудинковий звіт'!CJ244</f>
        <v>9500.9523371847099</v>
      </c>
      <c r="CK244" s="56">
        <f t="shared" si="255"/>
        <v>-307.03085566397021</v>
      </c>
      <c r="CL244" s="42">
        <f>'[1]побудинковий звіт'!CL244+'[2]побудинковий звіт'!CL244-'[3]побудинковий звіт'!CL244</f>
        <v>0</v>
      </c>
      <c r="CM244" s="42">
        <f>'[1]побудинковий звіт'!CM244+'[2]побудинковий звіт'!CM244-'[3]побудинковий звіт'!CM244</f>
        <v>0</v>
      </c>
      <c r="CN244" s="56">
        <f t="shared" si="256"/>
        <v>0</v>
      </c>
      <c r="CO244" s="42">
        <f t="shared" si="236"/>
        <v>9807.9831928486801</v>
      </c>
      <c r="CP244" s="43">
        <f t="shared" si="257"/>
        <v>9500.9523371847099</v>
      </c>
      <c r="CQ244" s="56">
        <f t="shared" si="258"/>
        <v>-307.03085566397021</v>
      </c>
      <c r="CR244" s="78">
        <f t="shared" si="237"/>
        <v>163946.59866292845</v>
      </c>
      <c r="CS244" s="5">
        <f t="shared" si="237"/>
        <v>145042.67198665094</v>
      </c>
      <c r="CT244" s="56">
        <f t="shared" si="259"/>
        <v>-18903.926676277508</v>
      </c>
      <c r="CU244" s="87">
        <f t="shared" si="260"/>
        <v>196735.91839551413</v>
      </c>
      <c r="CV244" s="70">
        <f t="shared" si="261"/>
        <v>174051.20638398113</v>
      </c>
      <c r="CW244" s="37">
        <f t="shared" si="262"/>
        <v>-22684.712011533004</v>
      </c>
      <c r="CX244" s="42">
        <f>'[1]побудинковий звіт'!CX244+'[2]побудинковий звіт'!CX244-'[3]побудинковий звіт'!CX244</f>
        <v>3933.8416044858604</v>
      </c>
      <c r="CY244" s="42">
        <f>'[1]побудинковий звіт'!CY244+'[2]побудинковий звіт'!CY244-'[3]побудинковий звіт'!CY244</f>
        <v>26618.553616018886</v>
      </c>
      <c r="CZ244" s="56">
        <f t="shared" si="263"/>
        <v>22684.712011533025</v>
      </c>
      <c r="DA244" s="264">
        <f>'[4]побудинковий звіт'!DA244</f>
        <v>27046.253917913928</v>
      </c>
      <c r="DB244" s="2">
        <v>3</v>
      </c>
      <c r="DC244" s="717">
        <f>'[4]побудинковий звіт'!DC244</f>
        <v>44866.29</v>
      </c>
      <c r="DD244" s="717">
        <f>'[4]побудинковий звіт'!DD244</f>
        <v>0</v>
      </c>
      <c r="DE244" s="717">
        <f>'[4]побудинковий звіт'!DE244</f>
        <v>28143.81</v>
      </c>
      <c r="DF244" s="717">
        <f>'[4]побудинковий звіт'!DF244</f>
        <v>0</v>
      </c>
      <c r="DG244" s="787">
        <v>54421.837981127726</v>
      </c>
      <c r="DH244" s="761">
        <f t="shared" si="226"/>
        <v>2408037.12</v>
      </c>
      <c r="DI244" s="784"/>
      <c r="DJ244" s="5"/>
      <c r="DK244" s="317">
        <f>VLOOKUP($A244,ціни!$A$4:$G$401,5)</f>
        <v>6.0418213251025001</v>
      </c>
      <c r="DL244" s="317"/>
      <c r="DM244" s="317">
        <f>VLOOKUP($A244,ціни!$A$4:$G$401,7)</f>
        <v>5.360875588508736</v>
      </c>
      <c r="DN244" s="30">
        <f t="shared" si="276"/>
        <v>2335.1639421521163</v>
      </c>
      <c r="DO244" s="30">
        <f t="shared" si="277"/>
        <v>0</v>
      </c>
      <c r="DP244" s="316">
        <f t="shared" si="278"/>
        <v>2335.1639421521163</v>
      </c>
      <c r="DQ244" s="104"/>
      <c r="DR244" s="30">
        <f>VLOOKUP(A244,'ДЗ нас '!$A$1:$C$359,2)</f>
        <v>16722.48</v>
      </c>
      <c r="DS244" s="748"/>
      <c r="DT244" s="30">
        <f t="shared" si="279"/>
        <v>16722.48</v>
      </c>
      <c r="DU244" s="257">
        <f>VLOOKUP(A244,'новий кошторис с 01.06'!$A$4:$AI$399,35)*1.2</f>
        <v>16788.131703083873</v>
      </c>
      <c r="DV244" s="30">
        <f t="shared" si="280"/>
        <v>-65.651703083873144</v>
      </c>
      <c r="DW244" s="930">
        <f>'[5]побудинковий звіт'!DW244+'[6]побудинковий звіт'!DW244</f>
        <v>236</v>
      </c>
      <c r="DY244" s="5">
        <f t="shared" si="227"/>
        <v>65412.350838322825</v>
      </c>
      <c r="DZ244" s="5">
        <f t="shared" si="228"/>
        <v>22381.200000000001</v>
      </c>
      <c r="EA244" s="752">
        <f t="shared" si="229"/>
        <v>28143.81</v>
      </c>
      <c r="EC244" s="592">
        <f t="shared" si="230"/>
        <v>567681.89999176224</v>
      </c>
      <c r="EE244" s="758">
        <v>32548</v>
      </c>
      <c r="EF244" s="738">
        <f t="shared" si="231"/>
        <v>86969.837981127726</v>
      </c>
      <c r="EH244" s="813">
        <v>41529.681839487908</v>
      </c>
    </row>
    <row r="245" spans="1:138" x14ac:dyDescent="0.3">
      <c r="A245" s="328">
        <v>150000715</v>
      </c>
      <c r="B245" s="44" t="s">
        <v>695</v>
      </c>
      <c r="C245" s="45" t="s">
        <v>1764</v>
      </c>
      <c r="D245" s="45" t="s">
        <v>283</v>
      </c>
      <c r="E245" s="40">
        <f t="shared" si="232"/>
        <v>2102.6</v>
      </c>
      <c r="F245" s="490">
        <v>2102.6</v>
      </c>
      <c r="G245" s="30"/>
      <c r="H245" s="30">
        <v>0</v>
      </c>
      <c r="I245" s="42">
        <f>'[1]побудинковий звіт'!I245+'[2]побудинковий звіт'!I245-'[3]побудинковий звіт'!I245</f>
        <v>16697.379022998055</v>
      </c>
      <c r="J245" s="42">
        <f>'[1]побудинковий звіт'!J245+'[2]побудинковий звіт'!J245-'[3]побудинковий звіт'!J245</f>
        <v>15218.769895631292</v>
      </c>
      <c r="K245" s="56">
        <f t="shared" si="238"/>
        <v>-1478.6091273667626</v>
      </c>
      <c r="L245" s="42">
        <f>'[1]побудинковий звіт'!L245+'[2]побудинковий звіт'!L245-'[3]побудинковий звіт'!L245</f>
        <v>3404.2886753675057</v>
      </c>
      <c r="M245" s="42">
        <f>'[1]побудинковий звіт'!M245+'[2]побудинковий звіт'!M245-'[3]побудинковий звіт'!M245</f>
        <v>3259.698419880388</v>
      </c>
      <c r="N245" s="56">
        <f t="shared" si="239"/>
        <v>-144.5902554871177</v>
      </c>
      <c r="O245" s="42">
        <f>'[1]побудинковий звіт'!O245+'[2]побудинковий звіт'!O245-'[3]побудинковий звіт'!O245</f>
        <v>6925.3199999999988</v>
      </c>
      <c r="P245" s="42">
        <f>'[1]побудинковий звіт'!P245+'[2]побудинковий звіт'!P245-'[3]побудинковий звіт'!P245</f>
        <v>6925.44</v>
      </c>
      <c r="Q245" s="56">
        <f t="shared" si="240"/>
        <v>0.12000000000080036</v>
      </c>
      <c r="R245" s="42">
        <f>'[1]побудинковий звіт'!R245+'[2]побудинковий звіт'!R245-'[3]побудинковий звіт'!R245</f>
        <v>0</v>
      </c>
      <c r="S245" s="42">
        <f>'[1]побудинковий звіт'!S245+'[2]побудинковий звіт'!S245-'[3]побудинковий звіт'!S245</f>
        <v>0</v>
      </c>
      <c r="T245" s="56">
        <f t="shared" si="241"/>
        <v>0</v>
      </c>
      <c r="U245" s="42">
        <f>'[1]побудинковий звіт'!U245+'[2]побудинковий звіт'!U245-'[3]побудинковий звіт'!U245</f>
        <v>1321.0938583837451</v>
      </c>
      <c r="V245" s="42">
        <f>'[1]побудинковий звіт'!V245+'[2]побудинковий звіт'!V245-'[3]побудинковий звіт'!V245</f>
        <v>897.04593076256151</v>
      </c>
      <c r="W245" s="56">
        <f t="shared" si="242"/>
        <v>-424.04792762118359</v>
      </c>
      <c r="X245" s="42">
        <f>'[1]побудинковий звіт'!X245+'[2]побудинковий звіт'!X245-'[3]побудинковий звіт'!X245</f>
        <v>12728.483352989218</v>
      </c>
      <c r="Y245" s="42">
        <f>'[1]побудинковий звіт'!Y245+'[2]побудинковий звіт'!Y245-'[3]побудинковий звіт'!Y245</f>
        <v>11479.767220003869</v>
      </c>
      <c r="Z245" s="56">
        <f t="shared" si="243"/>
        <v>-1248.7161329853498</v>
      </c>
      <c r="AA245" s="42">
        <f>'[1]побудинковий звіт'!AA245+'[2]побудинковий звіт'!AA245-'[3]побудинковий звіт'!AA245</f>
        <v>0</v>
      </c>
      <c r="AB245" s="42">
        <f>'[1]побудинковий звіт'!AB245+'[2]побудинковий звіт'!AB245-'[3]побудинковий звіт'!AB245</f>
        <v>0</v>
      </c>
      <c r="AC245" s="56">
        <f t="shared" si="244"/>
        <v>0</v>
      </c>
      <c r="AD245" s="42">
        <f>'[1]побудинковий звіт'!AD245+'[2]побудинковий звіт'!AD245-'[3]побудинковий звіт'!AD245</f>
        <v>19584.59117153439</v>
      </c>
      <c r="AE245" s="42">
        <f>'[1]побудинковий звіт'!AE245+'[2]побудинковий звіт'!AE245-'[3]побудинковий звіт'!AE245</f>
        <v>18050.850562011561</v>
      </c>
      <c r="AF245" s="37">
        <f t="shared" si="245"/>
        <v>-1533.7406095228289</v>
      </c>
      <c r="AG245" s="87">
        <f t="shared" si="235"/>
        <v>60661.156081272915</v>
      </c>
      <c r="AH245" s="57">
        <f t="shared" si="235"/>
        <v>55831.572028289665</v>
      </c>
      <c r="AI245" s="56">
        <f t="shared" si="246"/>
        <v>-4829.5840529832494</v>
      </c>
      <c r="AJ245" s="42">
        <f>'[1]побудинковий звіт'!AJ245+'[2]побудинковий звіт'!AJ245-'[3]побудинковий звіт'!AJ245</f>
        <v>0</v>
      </c>
      <c r="AK245" s="42">
        <f>'[1]побудинковий звіт'!AK245+'[2]побудинковий звіт'!AK245-'[3]побудинковий звіт'!AK245</f>
        <v>0</v>
      </c>
      <c r="AL245" s="56">
        <f t="shared" si="247"/>
        <v>0</v>
      </c>
      <c r="AM245" s="42">
        <f>'[1]побудинковий звіт'!AM245+'[2]побудинковий звіт'!AM245-'[3]побудинковий звіт'!AM245</f>
        <v>0</v>
      </c>
      <c r="AN245" s="42">
        <f>'[1]побудинковий звіт'!AN245+'[2]побудинковий звіт'!AN245-'[3]побудинковий звіт'!AN245</f>
        <v>0</v>
      </c>
      <c r="AO245" s="56">
        <f t="shared" si="248"/>
        <v>0</v>
      </c>
      <c r="AP245" s="42">
        <f>'[1]побудинковий звіт'!AP245+'[2]побудинковий звіт'!AP245-'[3]побудинковий звіт'!AP245</f>
        <v>14205.264643404746</v>
      </c>
      <c r="AQ245" s="42">
        <f>'[1]побудинковий звіт'!AQ245+'[2]побудинковий звіт'!AQ245-'[3]побудинковий звіт'!AQ245</f>
        <v>13720.855394177644</v>
      </c>
      <c r="AR245" s="56">
        <f t="shared" si="249"/>
        <v>-484.4092492271011</v>
      </c>
      <c r="AS245" s="42">
        <f>'[1]побудинковий звіт'!AS245+'[2]побудинковий звіт'!AS245-'[3]побудинковий звіт'!AS245</f>
        <v>67767.605680559791</v>
      </c>
      <c r="AT245" s="42">
        <f>'[1]побудинковий звіт'!AT245+'[2]побудинковий звіт'!AT245-'[3]побудинковий звіт'!AT245</f>
        <v>5066</v>
      </c>
      <c r="AU245" s="58">
        <f t="shared" si="266"/>
        <v>-62701.605680559791</v>
      </c>
      <c r="AV245" s="42">
        <f>'[1]побудинковий звіт'!AV245+'[2]побудинковий звіт'!AV245-'[3]побудинковий звіт'!AV245</f>
        <v>2726.0289986663761</v>
      </c>
      <c r="AW245" s="42">
        <f>'[1]побудинковий звіт'!AW245+'[2]побудинковий звіт'!AW245-'[3]побудинковий звіт'!AW245</f>
        <v>0</v>
      </c>
      <c r="AX245" s="59">
        <f t="shared" si="267"/>
        <v>-2726.0289986663761</v>
      </c>
      <c r="AY245" s="42">
        <f>'[1]побудинковий звіт'!AY245+'[2]побудинковий звіт'!AY245-'[3]побудинковий звіт'!AY245</f>
        <v>4387.842192329912</v>
      </c>
      <c r="AZ245" s="42">
        <f>'[1]побудинковий звіт'!AZ245+'[2]побудинковий звіт'!AZ245-'[3]побудинковий звіт'!AZ245</f>
        <v>2072</v>
      </c>
      <c r="BA245" s="37">
        <f t="shared" si="268"/>
        <v>-2315.842192329912</v>
      </c>
      <c r="BB245" s="42">
        <f>'[1]побудинковий звіт'!BB245+'[2]побудинковий звіт'!BB245-'[3]побудинковий звіт'!BB245</f>
        <v>2515.8781281670199</v>
      </c>
      <c r="BC245" s="42">
        <f>'[1]побудинковий звіт'!BC245+'[2]побудинковий звіт'!BC245-'[3]побудинковий звіт'!BC245</f>
        <v>8630</v>
      </c>
      <c r="BD245" s="59">
        <f t="shared" si="269"/>
        <v>6114.1218718329801</v>
      </c>
      <c r="BE245" s="42">
        <f>'[1]побудинковий звіт'!BE245+'[2]побудинковий звіт'!BE245-'[3]побудинковий звіт'!BE245</f>
        <v>0</v>
      </c>
      <c r="BF245" s="42">
        <f>'[1]побудинковий звіт'!BF245+'[2]побудинковий звіт'!BF245-'[3]побудинковий звіт'!BF245</f>
        <v>0</v>
      </c>
      <c r="BG245" s="39">
        <f t="shared" si="270"/>
        <v>0</v>
      </c>
      <c r="BH245" s="42">
        <f>'[1]побудинковий звіт'!BH245+'[2]побудинковий звіт'!BH245-'[3]побудинковий звіт'!BH245</f>
        <v>1340.0602642586261</v>
      </c>
      <c r="BI245" s="42">
        <f>'[1]побудинковий звіт'!BI245+'[2]побудинковий звіт'!BI245-'[3]побудинковий звіт'!BI245</f>
        <v>0</v>
      </c>
      <c r="BJ245" s="59">
        <f t="shared" si="271"/>
        <v>-1340.0602642586261</v>
      </c>
      <c r="BK245" s="42">
        <f>'[1]побудинковий звіт'!BK245+'[2]побудинковий звіт'!BK245-'[3]побудинковий звіт'!BK245</f>
        <v>2005.6681296940276</v>
      </c>
      <c r="BL245" s="42">
        <f>'[1]побудинковий звіт'!BL245+'[2]побудинковий звіт'!BL245-'[3]побудинковий звіт'!BL245</f>
        <v>0</v>
      </c>
      <c r="BM245" s="39">
        <f t="shared" si="272"/>
        <v>-2005.6681296940276</v>
      </c>
      <c r="BN245" s="42">
        <f>'[1]побудинковий звіт'!BN245+'[2]побудинковий звіт'!BN245-'[3]побудинковий звіт'!BN245</f>
        <v>0</v>
      </c>
      <c r="BO245" s="42">
        <f>'[1]побудинковий звіт'!BO245+'[2]побудинковий звіт'!BO245-'[3]побудинковий звіт'!BO245</f>
        <v>506</v>
      </c>
      <c r="BP245" s="59">
        <f t="shared" si="273"/>
        <v>506</v>
      </c>
      <c r="BQ245" s="87">
        <f t="shared" si="233"/>
        <v>12975.477713115961</v>
      </c>
      <c r="BR245" s="43">
        <f t="shared" si="275"/>
        <v>11208</v>
      </c>
      <c r="BS245" s="59">
        <f t="shared" si="274"/>
        <v>-1767.4777131159608</v>
      </c>
      <c r="BT245" s="42">
        <f>'[1]побудинковий звіт'!BT245+'[2]побудинковий звіт'!BT245-'[3]побудинковий звіт'!BT245</f>
        <v>46901.221256499826</v>
      </c>
      <c r="BU245" s="42">
        <f>'[1]побудинковий звіт'!BU245+'[2]побудинковий звіт'!BU245-'[3]побудинковий звіт'!BU245</f>
        <v>63697.789079909744</v>
      </c>
      <c r="BV245" s="56">
        <f t="shared" si="250"/>
        <v>16796.567823409918</v>
      </c>
      <c r="BW245" s="42">
        <f>'[1]побудинковий звіт'!BW245+'[2]побудинковий звіт'!BW245-'[3]побудинковий звіт'!BW245</f>
        <v>23530.503568926724</v>
      </c>
      <c r="BX245" s="42">
        <f>'[1]побудинковий звіт'!BX245+'[2]побудинковий звіт'!BX245-'[3]побудинковий звіт'!BX245</f>
        <v>26446.270591943048</v>
      </c>
      <c r="BY245" s="56">
        <f t="shared" si="251"/>
        <v>2915.7670230163239</v>
      </c>
      <c r="BZ245" s="42">
        <f>'[1]побудинковий звіт'!BZ245+'[2]побудинковий звіт'!BZ245-'[3]побудинковий звіт'!BZ245</f>
        <v>8373.3111465369348</v>
      </c>
      <c r="CA245" s="42">
        <f>'[1]побудинковий звіт'!CA245+'[2]побудинковий звіт'!CA245-'[3]побудинковий звіт'!CA245</f>
        <v>15242.870509594402</v>
      </c>
      <c r="CB245" s="56">
        <f t="shared" si="252"/>
        <v>6869.5593630574676</v>
      </c>
      <c r="CC245" s="42">
        <f>'[1]побудинковий звіт'!CC245+'[2]побудинковий звіт'!CC245-'[3]побудинковий звіт'!CC245</f>
        <v>588.2650769974673</v>
      </c>
      <c r="CD245" s="42">
        <f>'[1]побудинковий звіт'!CD245+'[2]побудинковий звіт'!CD245-'[3]побудинковий звіт'!CD245</f>
        <v>583.09111933068561</v>
      </c>
      <c r="CE245" s="56">
        <f t="shared" si="253"/>
        <v>-5.1739576667816891</v>
      </c>
      <c r="CF245" s="42">
        <f>'[1]побудинковий звіт'!CF245+'[2]побудинковий звіт'!CF245-'[3]побудинковий звіт'!CF245</f>
        <v>72.418996221279116</v>
      </c>
      <c r="CG245" s="42">
        <f>'[1]побудинковий звіт'!CG245+'[2]побудинковий звіт'!CG245-'[3]побудинковий звіт'!CG245</f>
        <v>549.58309579295144</v>
      </c>
      <c r="CH245" s="56">
        <f t="shared" si="254"/>
        <v>477.1640995716723</v>
      </c>
      <c r="CI245" s="42">
        <f>'[1]побудинковий звіт'!CI245+'[2]побудинковий звіт'!CI245-'[3]побудинковий звіт'!CI245</f>
        <v>5371.9297258541419</v>
      </c>
      <c r="CJ245" s="42">
        <f>'[1]побудинковий звіт'!CJ245+'[2]побудинковий звіт'!CJ245-'[3]побудинковий звіт'!CJ245</f>
        <v>3051.1704455719437</v>
      </c>
      <c r="CK245" s="56">
        <f t="shared" si="255"/>
        <v>-2320.7592802821982</v>
      </c>
      <c r="CL245" s="42">
        <f>'[1]побудинковий звіт'!CL245+'[2]побудинковий звіт'!CL245-'[3]побудинковий звіт'!CL245</f>
        <v>0</v>
      </c>
      <c r="CM245" s="42">
        <f>'[1]побудинковий звіт'!CM245+'[2]побудинковий звіт'!CM245-'[3]побудинковий звіт'!CM245</f>
        <v>0</v>
      </c>
      <c r="CN245" s="56">
        <f t="shared" si="256"/>
        <v>0</v>
      </c>
      <c r="CO245" s="42">
        <f t="shared" si="236"/>
        <v>5371.9297258541419</v>
      </c>
      <c r="CP245" s="43">
        <f t="shared" si="257"/>
        <v>3051.1704455719437</v>
      </c>
      <c r="CQ245" s="56">
        <f t="shared" si="258"/>
        <v>-2320.7592802821982</v>
      </c>
      <c r="CR245" s="78">
        <f t="shared" si="237"/>
        <v>240447.15388938974</v>
      </c>
      <c r="CS245" s="5">
        <f t="shared" si="237"/>
        <v>195397.2022646101</v>
      </c>
      <c r="CT245" s="56">
        <f t="shared" si="259"/>
        <v>-45049.951624779642</v>
      </c>
      <c r="CU245" s="87">
        <f t="shared" si="260"/>
        <v>288536.58466726769</v>
      </c>
      <c r="CV245" s="70">
        <f t="shared" si="261"/>
        <v>234476.64271753212</v>
      </c>
      <c r="CW245" s="37">
        <f t="shared" si="262"/>
        <v>-54059.94194973557</v>
      </c>
      <c r="CX245" s="42">
        <f>'[1]побудинковий звіт'!CX245+'[2]побудинковий звіт'!CX245-'[3]побудинковий звіт'!CX245</f>
        <v>10336.205332732276</v>
      </c>
      <c r="CY245" s="42">
        <f>'[1]побудинковий звіт'!CY245+'[2]побудинковий звіт'!CY245-'[3]побудинковий звіт'!CY245</f>
        <v>64396.147282467893</v>
      </c>
      <c r="CZ245" s="56">
        <f t="shared" si="263"/>
        <v>54059.941949735614</v>
      </c>
      <c r="DA245" s="264">
        <f>'[4]побудинковий звіт'!DA245</f>
        <v>2336.3284897900157</v>
      </c>
      <c r="DB245" s="2">
        <v>3</v>
      </c>
      <c r="DC245" s="717">
        <f>'[4]побудинковий звіт'!DC245</f>
        <v>53765.91</v>
      </c>
      <c r="DD245" s="717">
        <f>'[4]побудинковий звіт'!DD245</f>
        <v>0</v>
      </c>
      <c r="DE245" s="717">
        <f>'[4]побудинковий звіт'!DE245</f>
        <v>28860.390000000003</v>
      </c>
      <c r="DF245" s="717">
        <f>'[4]побудинковий звіт'!DF245</f>
        <v>0</v>
      </c>
      <c r="DG245" s="787">
        <v>32631.86420543096</v>
      </c>
      <c r="DH245" s="761">
        <f t="shared" si="226"/>
        <v>3586473.4799999995</v>
      </c>
      <c r="DI245" s="784"/>
      <c r="DJ245" s="5"/>
      <c r="DK245" s="317">
        <f>VLOOKUP($A245,ціни!$A$4:$G$401,5)</f>
        <v>5.438579381905285</v>
      </c>
      <c r="DL245" s="317"/>
      <c r="DM245" s="317">
        <f>VLOOKUP($A245,ціни!$A$4:$G$401,7)</f>
        <v>4.9063521981529528</v>
      </c>
      <c r="DN245" s="30">
        <f t="shared" si="276"/>
        <v>11435.157008394051</v>
      </c>
      <c r="DO245" s="30">
        <f t="shared" si="277"/>
        <v>0</v>
      </c>
      <c r="DP245" s="316">
        <f t="shared" si="278"/>
        <v>11435.157008394051</v>
      </c>
      <c r="DQ245" s="104"/>
      <c r="DR245" s="30">
        <f>VLOOKUP(A245,'ДЗ нас '!$A$1:$C$359,2)</f>
        <v>24909.33</v>
      </c>
      <c r="DS245" s="748"/>
      <c r="DT245" s="30">
        <f t="shared" si="279"/>
        <v>24909.33</v>
      </c>
      <c r="DU245" s="257">
        <f>VLOOKUP(A245,'новий кошторис с 01.06'!$A$4:$AI$399,35)*1.2</f>
        <v>25083.447093741142</v>
      </c>
      <c r="DV245" s="30">
        <f t="shared" si="280"/>
        <v>-174.11709374114071</v>
      </c>
      <c r="DW245" s="930">
        <f>'[5]побудинковий звіт'!DW245+'[6]побудинковий звіт'!DW245</f>
        <v>302</v>
      </c>
      <c r="DY245" s="5">
        <f t="shared" si="227"/>
        <v>96891.700072410909</v>
      </c>
      <c r="DZ245" s="5">
        <f t="shared" si="228"/>
        <v>19528.8</v>
      </c>
      <c r="EA245" s="752">
        <f t="shared" si="229"/>
        <v>28860.390000000003</v>
      </c>
      <c r="EC245" s="592">
        <f t="shared" si="230"/>
        <v>813211.26816671749</v>
      </c>
      <c r="EE245" s="758">
        <v>31515</v>
      </c>
      <c r="EF245" s="738">
        <f t="shared" si="231"/>
        <v>64146.86420543096</v>
      </c>
      <c r="EH245" s="813">
        <v>55724.293693032509</v>
      </c>
    </row>
    <row r="246" spans="1:138" x14ac:dyDescent="0.3">
      <c r="A246" s="328">
        <v>150000719</v>
      </c>
      <c r="B246" s="44" t="s">
        <v>696</v>
      </c>
      <c r="C246" s="45" t="s">
        <v>1765</v>
      </c>
      <c r="D246" s="45" t="s">
        <v>284</v>
      </c>
      <c r="E246" s="40">
        <f t="shared" si="232"/>
        <v>2959.2000000000003</v>
      </c>
      <c r="F246" s="490">
        <v>2723.3</v>
      </c>
      <c r="G246" s="30"/>
      <c r="H246" s="30">
        <v>235.9</v>
      </c>
      <c r="I246" s="42">
        <f>'[1]побудинковий звіт'!I246+'[2]побудинковий звіт'!I246-'[3]побудинковий звіт'!I246</f>
        <v>21846.394664144256</v>
      </c>
      <c r="J246" s="42">
        <f>'[1]побудинковий звіт'!J246+'[2]побудинковий звіт'!J246-'[3]побудинковий звіт'!J246</f>
        <v>19923.91586314794</v>
      </c>
      <c r="K246" s="56">
        <f t="shared" si="238"/>
        <v>-1922.4788009963158</v>
      </c>
      <c r="L246" s="42">
        <f>'[1]побудинковий звіт'!L246+'[2]побудинковий звіт'!L246-'[3]побудинковий звіт'!L246</f>
        <v>4541.414853915564</v>
      </c>
      <c r="M246" s="42">
        <f>'[1]побудинковий звіт'!M246+'[2]побудинковий звіт'!M246-'[3]побудинковий звіт'!M246</f>
        <v>4390.0364544580571</v>
      </c>
      <c r="N246" s="56">
        <f t="shared" si="239"/>
        <v>-151.37839945750693</v>
      </c>
      <c r="O246" s="42">
        <f>'[1]побудинковий звіт'!O246+'[2]побудинковий звіт'!O246-'[3]побудинковий звіт'!O246</f>
        <v>9030.48</v>
      </c>
      <c r="P246" s="42">
        <f>'[1]побудинковий звіт'!P246+'[2]побудинковий звіт'!P246-'[3]побудинковий звіт'!P246</f>
        <v>9030.8399999999983</v>
      </c>
      <c r="Q246" s="56">
        <f t="shared" si="240"/>
        <v>0.35999999999876309</v>
      </c>
      <c r="R246" s="42">
        <f>'[1]побудинковий звіт'!R246+'[2]побудинковий звіт'!R246-'[3]побудинковий звіт'!R246</f>
        <v>0</v>
      </c>
      <c r="S246" s="42">
        <f>'[1]побудинковий звіт'!S246+'[2]побудинковий звіт'!S246-'[3]побудинковий звіт'!S246</f>
        <v>0</v>
      </c>
      <c r="T246" s="56">
        <f t="shared" si="241"/>
        <v>0</v>
      </c>
      <c r="U246" s="42">
        <f>'[1]побудинковий звіт'!U246+'[2]побудинковий звіт'!U246-'[3]побудинковий звіт'!U246</f>
        <v>2003.5352550963678</v>
      </c>
      <c r="V246" s="42">
        <f>'[1]побудинковий звіт'!V246+'[2]побудинковий звіт'!V246-'[3]побудинковий звіт'!V246</f>
        <v>1360.4326218215028</v>
      </c>
      <c r="W246" s="56">
        <f t="shared" si="242"/>
        <v>-643.10263327486496</v>
      </c>
      <c r="X246" s="42">
        <f>'[1]побудинковий звіт'!X246+'[2]побудинковий звіт'!X246-'[3]побудинковий звіт'!X246</f>
        <v>20668.593163651782</v>
      </c>
      <c r="Y246" s="42">
        <f>'[1]побудинковий звіт'!Y246+'[2]побудинковий звіт'!Y246-'[3]побудинковий звіт'!Y246</f>
        <v>21316.709237793944</v>
      </c>
      <c r="Z246" s="56">
        <f t="shared" si="243"/>
        <v>648.11607414216269</v>
      </c>
      <c r="AA246" s="42">
        <f>'[1]побудинковий звіт'!AA246+'[2]побудинковий звіт'!AA246-'[3]побудинковий звіт'!AA246</f>
        <v>0</v>
      </c>
      <c r="AB246" s="42">
        <f>'[1]побудинковий звіт'!AB246+'[2]побудинковий звіт'!AB246-'[3]побудинковий звіт'!AB246</f>
        <v>0</v>
      </c>
      <c r="AC246" s="56">
        <f t="shared" si="244"/>
        <v>0</v>
      </c>
      <c r="AD246" s="42">
        <f>'[1]побудинковий звіт'!AD246+'[2]побудинковий звіт'!AD246-'[3]побудинковий звіт'!AD246</f>
        <v>26557.617235883521</v>
      </c>
      <c r="AE246" s="42">
        <f>'[1]побудинковий звіт'!AE246+'[2]побудинковий звіт'!AE246-'[3]побудинковий звіт'!AE246</f>
        <v>24478.013072949339</v>
      </c>
      <c r="AF246" s="37">
        <f t="shared" si="245"/>
        <v>-2079.6041629341817</v>
      </c>
      <c r="AG246" s="87">
        <f t="shared" si="235"/>
        <v>84648.035172691481</v>
      </c>
      <c r="AH246" s="57">
        <f t="shared" si="235"/>
        <v>80499.947250170779</v>
      </c>
      <c r="AI246" s="56">
        <f t="shared" si="246"/>
        <v>-4148.0879225207027</v>
      </c>
      <c r="AJ246" s="42">
        <f>'[1]побудинковий звіт'!AJ246+'[2]побудинковий звіт'!AJ246-'[3]побудинковий звіт'!AJ246</f>
        <v>0</v>
      </c>
      <c r="AK246" s="42">
        <f>'[1]побудинковий звіт'!AK246+'[2]побудинковий звіт'!AK246-'[3]побудинковий звіт'!AK246</f>
        <v>0</v>
      </c>
      <c r="AL246" s="56">
        <f t="shared" si="247"/>
        <v>0</v>
      </c>
      <c r="AM246" s="42">
        <f>'[1]побудинковий звіт'!AM246+'[2]побудинковий звіт'!AM246-'[3]побудинковий звіт'!AM246</f>
        <v>0</v>
      </c>
      <c r="AN246" s="42">
        <f>'[1]побудинковий звіт'!AN246+'[2]побудинковий звіт'!AN246-'[3]побудинковий звіт'!AN246</f>
        <v>0</v>
      </c>
      <c r="AO246" s="56">
        <f t="shared" si="248"/>
        <v>0</v>
      </c>
      <c r="AP246" s="42">
        <f>'[1]побудинковий звіт'!AP246+'[2]побудинковий звіт'!AP246-'[3]побудинковий звіт'!AP246</f>
        <v>18040.686097124028</v>
      </c>
      <c r="AQ246" s="42">
        <f>'[1]побудинковий звіт'!AQ246+'[2]побудинковий звіт'!AQ246-'[3]побудинковий звіт'!AQ246</f>
        <v>18091.055008303516</v>
      </c>
      <c r="AR246" s="56">
        <f t="shared" si="249"/>
        <v>50.36891117948835</v>
      </c>
      <c r="AS246" s="42">
        <f>'[1]побудинковий звіт'!AS246+'[2]побудинковий звіт'!AS246-'[3]побудинковий звіт'!AS246</f>
        <v>77749.597419176484</v>
      </c>
      <c r="AT246" s="42">
        <f>'[1]побудинковий звіт'!AT246+'[2]побудинковий звіт'!AT246-'[3]побудинковий звіт'!AT246</f>
        <v>59680</v>
      </c>
      <c r="AU246" s="58">
        <f t="shared" si="266"/>
        <v>-18069.597419176484</v>
      </c>
      <c r="AV246" s="42">
        <f>'[1]побудинковий звіт'!AV246+'[2]побудинковий звіт'!AV246-'[3]побудинковий звіт'!AV246</f>
        <v>3591.3880761832252</v>
      </c>
      <c r="AW246" s="42">
        <f>'[1]побудинковий звіт'!AW246+'[2]побудинковий звіт'!AW246-'[3]побудинковий звіт'!AW246</f>
        <v>0</v>
      </c>
      <c r="AX246" s="59">
        <f t="shared" si="267"/>
        <v>-3591.3880761832252</v>
      </c>
      <c r="AY246" s="42">
        <f>'[1]побудинковий звіт'!AY246+'[2]побудинковий звіт'!AY246-'[3]побудинковий звіт'!AY246</f>
        <v>5853.1755905387199</v>
      </c>
      <c r="AZ246" s="42">
        <f>'[1]побудинковий звіт'!AZ246+'[2]побудинковий звіт'!AZ246-'[3]побудинковий звіт'!AZ246</f>
        <v>858</v>
      </c>
      <c r="BA246" s="37">
        <f t="shared" si="268"/>
        <v>-4995.1755905387199</v>
      </c>
      <c r="BB246" s="42">
        <f>'[1]побудинковий звіт'!BB246+'[2]побудинковий звіт'!BB246-'[3]побудинковий звіт'!BB246</f>
        <v>3411.6345498281385</v>
      </c>
      <c r="BC246" s="42">
        <f>'[1]побудинковий звіт'!BC246+'[2]побудинковий звіт'!BC246-'[3]побудинковий звіт'!BC246</f>
        <v>311</v>
      </c>
      <c r="BD246" s="59">
        <f t="shared" si="269"/>
        <v>-3100.6345498281385</v>
      </c>
      <c r="BE246" s="42">
        <f>'[1]побудинковий звіт'!BE246+'[2]побудинковий звіт'!BE246-'[3]побудинковий звіт'!BE246</f>
        <v>0</v>
      </c>
      <c r="BF246" s="42">
        <f>'[1]побудинковий звіт'!BF246+'[2]побудинковий звіт'!BF246-'[3]побудинковий звіт'!BF246</f>
        <v>0</v>
      </c>
      <c r="BG246" s="39">
        <f t="shared" si="270"/>
        <v>0</v>
      </c>
      <c r="BH246" s="42">
        <f>'[1]побудинковий звіт'!BH246+'[2]побудинковий звіт'!BH246-'[3]побудинковий звіт'!BH246</f>
        <v>2032.8706882486335</v>
      </c>
      <c r="BI246" s="42">
        <f>'[1]побудинковий звіт'!BI246+'[2]побудинковий звіт'!BI246-'[3]побудинковий звіт'!BI246</f>
        <v>1602</v>
      </c>
      <c r="BJ246" s="59">
        <f t="shared" si="271"/>
        <v>-430.87068824863354</v>
      </c>
      <c r="BK246" s="42">
        <f>'[1]побудинковий звіт'!BK246+'[2]побудинковий звіт'!BK246-'[3]побудинковий звіт'!BK246</f>
        <v>3257.9610079019617</v>
      </c>
      <c r="BL246" s="42">
        <f>'[1]побудинковий звіт'!BL246+'[2]побудинковий звіт'!BL246-'[3]побудинковий звіт'!BL246</f>
        <v>916.99999999999955</v>
      </c>
      <c r="BM246" s="39">
        <f t="shared" si="272"/>
        <v>-2340.9610079019621</v>
      </c>
      <c r="BN246" s="42">
        <f>'[1]побудинковий звіт'!BN246+'[2]побудинковий звіт'!BN246-'[3]побудинковий звіт'!BN246</f>
        <v>0</v>
      </c>
      <c r="BO246" s="42">
        <f>'[1]побудинковий звіт'!BO246+'[2]побудинковий звіт'!BO246-'[3]побудинковий звіт'!BO246</f>
        <v>0</v>
      </c>
      <c r="BP246" s="59">
        <f t="shared" si="273"/>
        <v>0</v>
      </c>
      <c r="BQ246" s="87">
        <f t="shared" si="233"/>
        <v>18147.029912700677</v>
      </c>
      <c r="BR246" s="43">
        <f t="shared" si="275"/>
        <v>3687.9999999999995</v>
      </c>
      <c r="BS246" s="59">
        <f t="shared" si="274"/>
        <v>-14459.029912700677</v>
      </c>
      <c r="BT246" s="42">
        <f>'[1]побудинковий звіт'!BT246+'[2]побудинковий звіт'!BT246-'[3]побудинковий звіт'!BT246</f>
        <v>74307.641991793163</v>
      </c>
      <c r="BU246" s="42">
        <f>'[1]побудинковий звіт'!BU246+'[2]побудинковий звіт'!BU246-'[3]побудинковий звіт'!BU246</f>
        <v>88394.532801577108</v>
      </c>
      <c r="BV246" s="56">
        <f t="shared" si="250"/>
        <v>14086.890809783945</v>
      </c>
      <c r="BW246" s="42">
        <f>'[1]побудинковий звіт'!BW246+'[2]побудинковий звіт'!BW246-'[3]побудинковий звіт'!BW246</f>
        <v>35037.784306407884</v>
      </c>
      <c r="BX246" s="42">
        <f>'[1]побудинковий звіт'!BX246+'[2]побудинковий звіт'!BX246-'[3]побудинковий звіт'!BX246</f>
        <v>39125.277920480119</v>
      </c>
      <c r="BY246" s="56">
        <f t="shared" si="251"/>
        <v>4087.4936140722348</v>
      </c>
      <c r="BZ246" s="42">
        <f>'[1]побудинковий звіт'!BZ246+'[2]побудинковий звіт'!BZ246-'[3]побудинковий звіт'!BZ246</f>
        <v>12418.892147486284</v>
      </c>
      <c r="CA246" s="42">
        <f>'[1]побудинковий звіт'!CA246+'[2]побудинковий звіт'!CA246-'[3]побудинковий звіт'!CA246</f>
        <v>20715.135132175827</v>
      </c>
      <c r="CB246" s="56">
        <f t="shared" si="252"/>
        <v>8296.2429846895429</v>
      </c>
      <c r="CC246" s="42">
        <f>'[1]побудинковий звіт'!CC246+'[2]побудинковий звіт'!CC246-'[3]побудинковий звіт'!CC246</f>
        <v>3553.7093301416985</v>
      </c>
      <c r="CD246" s="42">
        <f>'[1]побудинковий звіт'!CD246+'[2]побудинковий звіт'!CD246-'[3]побудинковий звіт'!CD246</f>
        <v>3522.4534518766732</v>
      </c>
      <c r="CE246" s="56">
        <f t="shared" si="253"/>
        <v>-31.255878265025331</v>
      </c>
      <c r="CF246" s="42">
        <f>'[1]побудинковий звіт'!CF246+'[2]побудинковий звіт'!CF246-'[3]побудинковий звіт'!CF246</f>
        <v>437.4831561727471</v>
      </c>
      <c r="CG246" s="42">
        <f>'[1]побудинковий звіт'!CG246+'[2]побудинковий звіт'!CG246-'[3]побудинковий звіт'!CG246</f>
        <v>0</v>
      </c>
      <c r="CH246" s="56">
        <f t="shared" si="254"/>
        <v>-437.4831561727471</v>
      </c>
      <c r="CI246" s="42">
        <f>'[1]побудинковий звіт'!CI246+'[2]побудинковий звіт'!CI246-'[3]побудинковий звіт'!CI246</f>
        <v>18549.067450597406</v>
      </c>
      <c r="CJ246" s="42">
        <f>'[1]побудинковий звіт'!CJ246+'[2]побудинковий звіт'!CJ246-'[3]побудинковий звіт'!CJ246</f>
        <v>16421.682673236628</v>
      </c>
      <c r="CK246" s="56">
        <f t="shared" si="255"/>
        <v>-2127.3847773607777</v>
      </c>
      <c r="CL246" s="42">
        <f>'[1]побудинковий звіт'!CL246+'[2]побудинковий звіт'!CL246-'[3]побудинковий звіт'!CL246</f>
        <v>0</v>
      </c>
      <c r="CM246" s="42">
        <f>'[1]побудинковий звіт'!CM246+'[2]побудинковий звіт'!CM246-'[3]побудинковий звіт'!CM246</f>
        <v>0</v>
      </c>
      <c r="CN246" s="56">
        <f t="shared" si="256"/>
        <v>0</v>
      </c>
      <c r="CO246" s="42">
        <f t="shared" si="236"/>
        <v>18549.067450597406</v>
      </c>
      <c r="CP246" s="43">
        <f t="shared" si="257"/>
        <v>16421.682673236628</v>
      </c>
      <c r="CQ246" s="56">
        <f t="shared" si="258"/>
        <v>-2127.3847773607777</v>
      </c>
      <c r="CR246" s="78">
        <f t="shared" si="237"/>
        <v>342889.92698429187</v>
      </c>
      <c r="CS246" s="5">
        <f t="shared" si="237"/>
        <v>330138.08423782064</v>
      </c>
      <c r="CT246" s="56">
        <f t="shared" si="259"/>
        <v>-12751.842746471229</v>
      </c>
      <c r="CU246" s="87">
        <f t="shared" si="260"/>
        <v>411467.91238115024</v>
      </c>
      <c r="CV246" s="70">
        <f t="shared" si="261"/>
        <v>396165.70108538476</v>
      </c>
      <c r="CW246" s="37">
        <f t="shared" si="262"/>
        <v>-15302.211295765475</v>
      </c>
      <c r="CX246" s="42">
        <f>'[1]побудинковий звіт'!CX246+'[2]побудинковий звіт'!CX246-'[3]побудинковий звіт'!CX246</f>
        <v>16435.94761884983</v>
      </c>
      <c r="CY246" s="42">
        <f>'[1]побудинковий звіт'!CY246+'[2]побудинковий звіт'!CY246-'[3]побудинковий звіт'!CY246</f>
        <v>31738.158914615247</v>
      </c>
      <c r="CZ246" s="56">
        <f t="shared" si="263"/>
        <v>15302.211295765417</v>
      </c>
      <c r="DA246" s="264">
        <f>'[4]побудинковий звіт'!DA246</f>
        <v>70725.990562722276</v>
      </c>
      <c r="DB246" s="2">
        <v>3</v>
      </c>
      <c r="DC246" s="717">
        <f>'[4]побудинковий звіт'!DC246</f>
        <v>146199.78</v>
      </c>
      <c r="DD246" s="717">
        <f>'[4]побудинковий звіт'!DD246</f>
        <v>932</v>
      </c>
      <c r="DE246" s="717">
        <f>'[4]побудинковий звіт'!DE246</f>
        <v>111757.98999999999</v>
      </c>
      <c r="DF246" s="717">
        <f>'[4]побудинковий звіт'!DF246</f>
        <v>-284</v>
      </c>
      <c r="DG246" s="787">
        <v>67791.040740843397</v>
      </c>
      <c r="DH246" s="761">
        <f t="shared" si="226"/>
        <v>5134846.32</v>
      </c>
      <c r="DI246" s="784"/>
      <c r="DJ246" s="5"/>
      <c r="DK246" s="317">
        <f>VLOOKUP($A246,ціни!$A$4:$G$401,5)</f>
        <v>5.7645850492323483</v>
      </c>
      <c r="DL246" s="317"/>
      <c r="DM246" s="317">
        <f>VLOOKUP($A246,ціни!$A$4:$G$401,7)</f>
        <v>5.1547427731802626</v>
      </c>
      <c r="DN246" s="30">
        <f t="shared" si="276"/>
        <v>15698.694464574455</v>
      </c>
      <c r="DO246" s="30">
        <f t="shared" si="277"/>
        <v>1216.0038201932239</v>
      </c>
      <c r="DP246" s="316">
        <f t="shared" si="278"/>
        <v>16914.698284767677</v>
      </c>
      <c r="DQ246" s="104"/>
      <c r="DR246" s="30">
        <f>VLOOKUP(A246,'ДЗ нас '!$A$1:$C$359,2)</f>
        <v>34441.79</v>
      </c>
      <c r="DS246" s="748">
        <f>VLOOKUP(A246,'ДЗ нежит'!$A$1:$D$153,4,0)</f>
        <v>1216</v>
      </c>
      <c r="DT246" s="30">
        <f t="shared" si="279"/>
        <v>35657.79</v>
      </c>
      <c r="DU246" s="257">
        <f>VLOOKUP(A246,'новий кошторис с 01.06'!$A$4:$AI$399,35)*1.2</f>
        <v>35934.864347953779</v>
      </c>
      <c r="DV246" s="30">
        <f t="shared" si="280"/>
        <v>-277.07434795377776</v>
      </c>
      <c r="DW246" s="930">
        <f>'[5]побудинковий звіт'!DW246+'[6]побудинковий звіт'!DW246</f>
        <v>332</v>
      </c>
      <c r="DY246" s="5">
        <f t="shared" si="227"/>
        <v>115075.95279825259</v>
      </c>
      <c r="DZ246" s="5">
        <f t="shared" si="228"/>
        <v>76041.599999999991</v>
      </c>
      <c r="EA246" s="752">
        <f t="shared" si="229"/>
        <v>111473.98999999999</v>
      </c>
      <c r="EC246" s="592">
        <f t="shared" si="230"/>
        <v>932995.1690301178</v>
      </c>
      <c r="EE246" s="758">
        <v>-66729</v>
      </c>
      <c r="EF246" s="738">
        <f t="shared" si="231"/>
        <v>1062.0407408433966</v>
      </c>
      <c r="EH246" s="813">
        <v>67659.573202134532</v>
      </c>
    </row>
    <row r="247" spans="1:138" x14ac:dyDescent="0.3">
      <c r="A247" s="328">
        <v>150000716</v>
      </c>
      <c r="B247" s="44" t="s">
        <v>697</v>
      </c>
      <c r="C247" s="45" t="s">
        <v>1766</v>
      </c>
      <c r="D247" s="45" t="s">
        <v>285</v>
      </c>
      <c r="E247" s="40">
        <f t="shared" si="232"/>
        <v>4052.32</v>
      </c>
      <c r="F247" s="490">
        <v>3559.5</v>
      </c>
      <c r="G247" s="30"/>
      <c r="H247" s="30">
        <v>492.82</v>
      </c>
      <c r="I247" s="42">
        <f>'[1]побудинковий звіт'!I247+'[2]побудинковий звіт'!I247-'[3]побудинковий звіт'!I247</f>
        <v>12505.585950830615</v>
      </c>
      <c r="J247" s="42">
        <f>'[1]побудинковий звіт'!J247+'[2]побудинковий звіт'!J247-'[3]побудинковий звіт'!J247</f>
        <v>11381.86724905574</v>
      </c>
      <c r="K247" s="56">
        <f t="shared" si="238"/>
        <v>-1123.7187017748747</v>
      </c>
      <c r="L247" s="42">
        <f>'[1]побудинковий звіт'!L247+'[2]побудинковий звіт'!L247-'[3]побудинковий звіт'!L247</f>
        <v>2282.542486220415</v>
      </c>
      <c r="M247" s="42">
        <f>'[1]побудинковий звіт'!M247+'[2]побудинковий звіт'!M247-'[3]побудинковий звіт'!M247</f>
        <v>2185.5987493226698</v>
      </c>
      <c r="N247" s="56">
        <f t="shared" si="239"/>
        <v>-96.943736897745111</v>
      </c>
      <c r="O247" s="42">
        <f>'[1]побудинковий звіт'!O247+'[2]побудинковий звіт'!O247-'[3]побудинковий звіт'!O247</f>
        <v>4647.84</v>
      </c>
      <c r="P247" s="42">
        <f>'[1]побудинковий звіт'!P247+'[2]побудинковий звіт'!P247-'[3]побудинковий звіт'!P247</f>
        <v>4648.3200000000006</v>
      </c>
      <c r="Q247" s="56">
        <f t="shared" si="240"/>
        <v>0.48000000000047294</v>
      </c>
      <c r="R247" s="42">
        <f>'[1]побудинковий звіт'!R247+'[2]побудинковий звіт'!R247-'[3]побудинковий звіт'!R247</f>
        <v>0</v>
      </c>
      <c r="S247" s="42">
        <f>'[1]побудинковий звіт'!S247+'[2]побудинковий звіт'!S247-'[3]побудинковий звіт'!S247</f>
        <v>0</v>
      </c>
      <c r="T247" s="56">
        <f t="shared" si="241"/>
        <v>0</v>
      </c>
      <c r="U247" s="42">
        <f>'[1]побудинковий звіт'!U247+'[2]побудинковий звіт'!U247-'[3]побудинковий звіт'!U247</f>
        <v>0</v>
      </c>
      <c r="V247" s="42">
        <f>'[1]побудинковий звіт'!V247+'[2]побудинковий звіт'!V247-'[3]побудинковий звіт'!V247</f>
        <v>0</v>
      </c>
      <c r="W247" s="56">
        <f t="shared" si="242"/>
        <v>0</v>
      </c>
      <c r="X247" s="42">
        <f>'[1]побудинковий звіт'!X247+'[2]побудинковий звіт'!X247-'[3]побудинковий звіт'!X247</f>
        <v>7340.234187041121</v>
      </c>
      <c r="Y247" s="42">
        <f>'[1]побудинковий звіт'!Y247+'[2]побудинковий звіт'!Y247-'[3]побудинковий звіт'!Y247</f>
        <v>6484.9289865122482</v>
      </c>
      <c r="Z247" s="56">
        <f t="shared" si="243"/>
        <v>-855.30520052887277</v>
      </c>
      <c r="AA247" s="42">
        <f>'[1]побудинковий звіт'!AA247+'[2]побудинковий звіт'!AA247-'[3]побудинковий звіт'!AA247</f>
        <v>0</v>
      </c>
      <c r="AB247" s="42">
        <f>'[1]побудинковий звіт'!AB247+'[2]побудинковий звіт'!AB247-'[3]побудинковий звіт'!AB247</f>
        <v>0</v>
      </c>
      <c r="AC247" s="56">
        <f t="shared" si="244"/>
        <v>0</v>
      </c>
      <c r="AD247" s="42">
        <f>'[1]побудинковий звіт'!AD247+'[2]побудинковий звіт'!AD247-'[3]побудинковий звіт'!AD247</f>
        <v>13560.45764103391</v>
      </c>
      <c r="AE247" s="42">
        <f>'[1]побудинковий звіт'!AE247+'[2]побудинковий звіт'!AE247-'[3]побудинковий звіт'!AE247</f>
        <v>12521.653398360639</v>
      </c>
      <c r="AF247" s="37">
        <f t="shared" si="245"/>
        <v>-1038.8042426732718</v>
      </c>
      <c r="AG247" s="87">
        <f t="shared" si="235"/>
        <v>40336.660265126062</v>
      </c>
      <c r="AH247" s="57">
        <f t="shared" si="235"/>
        <v>37222.368383251298</v>
      </c>
      <c r="AI247" s="56">
        <f t="shared" si="246"/>
        <v>-3114.2918818747639</v>
      </c>
      <c r="AJ247" s="42">
        <f>'[1]побудинковий звіт'!AJ247+'[2]побудинковий звіт'!AJ247-'[3]побудинковий звіт'!AJ247</f>
        <v>0</v>
      </c>
      <c r="AK247" s="42">
        <f>'[1]побудинковий звіт'!AK247+'[2]побудинковий звіт'!AK247-'[3]побудинковий звіт'!AK247</f>
        <v>0</v>
      </c>
      <c r="AL247" s="56">
        <f t="shared" si="247"/>
        <v>0</v>
      </c>
      <c r="AM247" s="42">
        <f>'[1]побудинковий звіт'!AM247+'[2]побудинковий звіт'!AM247-'[3]побудинковий звіт'!AM247</f>
        <v>0</v>
      </c>
      <c r="AN247" s="42">
        <f>'[1]побудинковий звіт'!AN247+'[2]побудинковий звіт'!AN247-'[3]побудинковий звіт'!AN247</f>
        <v>0</v>
      </c>
      <c r="AO247" s="56">
        <f t="shared" si="248"/>
        <v>0</v>
      </c>
      <c r="AP247" s="42">
        <f>'[1]побудинковий звіт'!AP247+'[2]побудинковий звіт'!AP247-'[3]побудинковий звіт'!AP247</f>
        <v>8523.1587860428499</v>
      </c>
      <c r="AQ247" s="42">
        <f>'[1]побудинковий звіт'!AQ247+'[2]побудинковий звіт'!AQ247-'[3]побудинковий звіт'!AQ247</f>
        <v>8087.5057809541777</v>
      </c>
      <c r="AR247" s="56">
        <f t="shared" si="249"/>
        <v>-435.65300508867222</v>
      </c>
      <c r="AS247" s="42">
        <f>'[1]побудинковий звіт'!AS247+'[2]побудинковий звіт'!AS247-'[3]побудинковий звіт'!AS247</f>
        <v>47054.131836328685</v>
      </c>
      <c r="AT247" s="42">
        <f>'[1]побудинковий звіт'!AT247+'[2]побудинковий звіт'!AT247-'[3]побудинковий звіт'!AT247</f>
        <v>104432</v>
      </c>
      <c r="AU247" s="58">
        <f t="shared" si="266"/>
        <v>57377.868163671315</v>
      </c>
      <c r="AV247" s="42">
        <f>'[1]побудинковий звіт'!AV247+'[2]побудинковий звіт'!AV247-'[3]побудинковий звіт'!AV247</f>
        <v>2196.5301685076433</v>
      </c>
      <c r="AW247" s="42">
        <f>'[1]побудинковий звіт'!AW247+'[2]побудинковий звіт'!AW247-'[3]побудинковий звіт'!AW247</f>
        <v>0</v>
      </c>
      <c r="AX247" s="59">
        <f t="shared" si="267"/>
        <v>-2196.5301685076433</v>
      </c>
      <c r="AY247" s="42">
        <f>'[1]побудинковий звіт'!AY247+'[2]побудинковий звіт'!AY247-'[3]побудинковий звіт'!AY247</f>
        <v>2941.9120062973689</v>
      </c>
      <c r="AZ247" s="42">
        <f>'[1]побудинковий звіт'!AZ247+'[2]побудинковий звіт'!AZ247-'[3]побудинковий звіт'!AZ247</f>
        <v>1741</v>
      </c>
      <c r="BA247" s="37">
        <f t="shared" si="268"/>
        <v>-1200.9120062973689</v>
      </c>
      <c r="BB247" s="42">
        <f>'[1]побудинковий звіт'!BB247+'[2]побудинковий звіт'!BB247-'[3]побудинковий звіт'!BB247</f>
        <v>1847.4865521523909</v>
      </c>
      <c r="BC247" s="42">
        <f>'[1]побудинковий звіт'!BC247+'[2]побудинковий звіт'!BC247-'[3]побудинковий звіт'!BC247</f>
        <v>5092</v>
      </c>
      <c r="BD247" s="59">
        <f t="shared" si="269"/>
        <v>3244.5134478476093</v>
      </c>
      <c r="BE247" s="42">
        <f>'[1]побудинковий звіт'!BE247+'[2]побудинковий звіт'!BE247-'[3]побудинковий звіт'!BE247</f>
        <v>0</v>
      </c>
      <c r="BF247" s="42">
        <f>'[1]побудинковий звіт'!BF247+'[2]побудинковий звіт'!BF247-'[3]побудинковий звіт'!BF247</f>
        <v>0</v>
      </c>
      <c r="BG247" s="39">
        <f t="shared" si="270"/>
        <v>0</v>
      </c>
      <c r="BH247" s="42">
        <f>'[1]побудинковий звіт'!BH247+'[2]побудинковий звіт'!BH247-'[3]побудинковий звіт'!BH247</f>
        <v>0</v>
      </c>
      <c r="BI247" s="42">
        <f>'[1]побудинковий звіт'!BI247+'[2]побудинковий звіт'!BI247-'[3]побудинковий звіт'!BI247</f>
        <v>0</v>
      </c>
      <c r="BJ247" s="59">
        <f t="shared" si="271"/>
        <v>0</v>
      </c>
      <c r="BK247" s="42">
        <f>'[1]побудинковий звіт'!BK247+'[2]побудинковий звіт'!BK247-'[3]побудинковий звіт'!BK247</f>
        <v>1203.324112177607</v>
      </c>
      <c r="BL247" s="42">
        <f>'[1]побудинковий звіт'!BL247+'[2]побудинковий звіт'!BL247-'[3]побудинковий звіт'!BL247</f>
        <v>3183</v>
      </c>
      <c r="BM247" s="39">
        <f t="shared" si="272"/>
        <v>1979.675887822393</v>
      </c>
      <c r="BN247" s="42">
        <f>'[1]побудинковий звіт'!BN247+'[2]побудинковий звіт'!BN247-'[3]побудинковий звіт'!BN247</f>
        <v>0</v>
      </c>
      <c r="BO247" s="42">
        <f>'[1]побудинковий звіт'!BO247+'[2]побудинковий звіт'!BO247-'[3]побудинковий звіт'!BO247</f>
        <v>0</v>
      </c>
      <c r="BP247" s="59">
        <f t="shared" si="273"/>
        <v>0</v>
      </c>
      <c r="BQ247" s="87">
        <f t="shared" si="233"/>
        <v>8189.2528391350097</v>
      </c>
      <c r="BR247" s="43">
        <f t="shared" si="275"/>
        <v>10016</v>
      </c>
      <c r="BS247" s="59">
        <f t="shared" si="274"/>
        <v>1826.7471608649903</v>
      </c>
      <c r="BT247" s="42">
        <f>'[1]побудинковий звіт'!BT247+'[2]побудинковий звіт'!BT247-'[3]побудинковий звіт'!BT247</f>
        <v>16091.088439180308</v>
      </c>
      <c r="BU247" s="42">
        <f>'[1]побудинковий звіт'!BU247+'[2]побудинковий звіт'!BU247-'[3]побудинковий звіт'!BU247</f>
        <v>26167.32223539281</v>
      </c>
      <c r="BV247" s="56">
        <f t="shared" si="250"/>
        <v>10076.233796212502</v>
      </c>
      <c r="BW247" s="42">
        <f>'[1]побудинковий звіт'!BW247+'[2]побудинковий звіт'!BW247-'[3]побудинковий звіт'!BW247</f>
        <v>21193.547509350985</v>
      </c>
      <c r="BX247" s="42">
        <f>'[1]побудинковий звіт'!BX247+'[2]побудинковий звіт'!BX247-'[3]побудинковий звіт'!BX247</f>
        <v>23212.865123632098</v>
      </c>
      <c r="BY247" s="56">
        <f t="shared" si="251"/>
        <v>2019.3176142811135</v>
      </c>
      <c r="BZ247" s="42">
        <f>'[1]побудинковий звіт'!BZ247+'[2]побудинковий звіт'!BZ247-'[3]побудинковий звіт'!BZ247</f>
        <v>6114.9203019381794</v>
      </c>
      <c r="CA247" s="42">
        <f>'[1]побудинковий звіт'!CA247+'[2]побудинковий звіт'!CA247-'[3]побудинковий звіт'!CA247</f>
        <v>7171.5506549426427</v>
      </c>
      <c r="CB247" s="56">
        <f t="shared" si="252"/>
        <v>1056.6303530044634</v>
      </c>
      <c r="CC247" s="42">
        <f>'[1]побудинковий звіт'!CC247+'[2]побудинковий звіт'!CC247-'[3]побудинковий звіт'!CC247</f>
        <v>1939.2158263221504</v>
      </c>
      <c r="CD247" s="42">
        <f>'[1]побудинковий звіт'!CD247+'[2]побудинковий звіт'!CD247-'[3]побудинковий звіт'!CD247</f>
        <v>1922.1598748736053</v>
      </c>
      <c r="CE247" s="56">
        <f t="shared" si="253"/>
        <v>-17.055951448545102</v>
      </c>
      <c r="CF247" s="42">
        <f>'[1]побудинковий звіт'!CF247+'[2]побудинковий звіт'!CF247-'[3]побудинковий звіт'!CF247</f>
        <v>238.72922104344647</v>
      </c>
      <c r="CG247" s="42">
        <f>'[1]побудинковий звіт'!CG247+'[2]побудинковий звіт'!CG247-'[3]побудинковий звіт'!CG247</f>
        <v>0</v>
      </c>
      <c r="CH247" s="56">
        <f t="shared" si="254"/>
        <v>-238.72922104344647</v>
      </c>
      <c r="CI247" s="42">
        <f>'[1]побудинковий звіт'!CI247+'[2]побудинковий звіт'!CI247-'[3]побудинковий звіт'!CI247</f>
        <v>5690.1276538664097</v>
      </c>
      <c r="CJ247" s="42">
        <f>'[1]побудинковий звіт'!CJ247+'[2]побудинковий звіт'!CJ247-'[3]побудинковий звіт'!CJ247</f>
        <v>5650.9625603597433</v>
      </c>
      <c r="CK247" s="56">
        <f t="shared" si="255"/>
        <v>-39.165093506666381</v>
      </c>
      <c r="CL247" s="42">
        <f>'[1]побудинковий звіт'!CL247+'[2]побудинковий звіт'!CL247-'[3]побудинковий звіт'!CL247</f>
        <v>0</v>
      </c>
      <c r="CM247" s="42">
        <f>'[1]побудинковий звіт'!CM247+'[2]побудинковий звіт'!CM247-'[3]побудинковий звіт'!CM247</f>
        <v>0</v>
      </c>
      <c r="CN247" s="56">
        <f t="shared" si="256"/>
        <v>0</v>
      </c>
      <c r="CO247" s="42">
        <f t="shared" si="236"/>
        <v>5690.1276538664097</v>
      </c>
      <c r="CP247" s="43">
        <f t="shared" si="257"/>
        <v>5650.9625603597433</v>
      </c>
      <c r="CQ247" s="56">
        <f t="shared" si="258"/>
        <v>-39.165093506666381</v>
      </c>
      <c r="CR247" s="78">
        <f t="shared" si="237"/>
        <v>155370.83267833409</v>
      </c>
      <c r="CS247" s="5">
        <f t="shared" si="237"/>
        <v>223882.73461340638</v>
      </c>
      <c r="CT247" s="56">
        <f t="shared" si="259"/>
        <v>68511.901935072296</v>
      </c>
      <c r="CU247" s="87">
        <f t="shared" si="260"/>
        <v>186444.99921400091</v>
      </c>
      <c r="CV247" s="70">
        <f t="shared" si="261"/>
        <v>268659.28153608763</v>
      </c>
      <c r="CW247" s="37">
        <f t="shared" si="262"/>
        <v>82214.282322086714</v>
      </c>
      <c r="CX247" s="42">
        <f>'[1]побудинковий звіт'!CX247+'[2]побудинковий звіт'!CX247-'[3]побудинковий звіт'!CX247</f>
        <v>9642.5707859991016</v>
      </c>
      <c r="CY247" s="42">
        <f>'[1]побудинковий звіт'!CY247+'[2]побудинковий звіт'!CY247-'[3]побудинковий звіт'!CY247</f>
        <v>-72571.711536087649</v>
      </c>
      <c r="CZ247" s="56">
        <f t="shared" si="263"/>
        <v>-82214.282322086743</v>
      </c>
      <c r="DA247" s="264">
        <f>'[4]побудинковий звіт'!DA247</f>
        <v>50772.742265081964</v>
      </c>
      <c r="DB247" s="2">
        <v>3</v>
      </c>
      <c r="DC247" s="717">
        <f>'[4]побудинковий звіт'!DC247</f>
        <v>25278.99</v>
      </c>
      <c r="DD247" s="717">
        <f>'[4]побудинковий звіт'!DD247</f>
        <v>13375.31</v>
      </c>
      <c r="DE247" s="717">
        <f>'[4]побудинковий звіт'!DE247</f>
        <v>11125.29</v>
      </c>
      <c r="DF247" s="717">
        <f>'[4]побудинковий звіт'!DF247</f>
        <v>11186.009999999998</v>
      </c>
      <c r="DG247" s="787">
        <v>-1004.5544368296978</v>
      </c>
      <c r="DH247" s="761">
        <f t="shared" si="226"/>
        <v>2353050.84</v>
      </c>
      <c r="DI247" s="784"/>
      <c r="DJ247" s="5"/>
      <c r="DK247" s="317">
        <f>VLOOKUP($A247,ціни!$A$4:$G$401,5)</f>
        <v>5.271166016720386</v>
      </c>
      <c r="DL247" s="317"/>
      <c r="DM247" s="317">
        <f>VLOOKUP($A247,ціни!$A$4:$G$401,7)</f>
        <v>4.4423680694273306</v>
      </c>
      <c r="DN247" s="30">
        <f t="shared" si="276"/>
        <v>18762.715436516213</v>
      </c>
      <c r="DO247" s="30">
        <f t="shared" si="277"/>
        <v>2189.2878319751771</v>
      </c>
      <c r="DP247" s="316">
        <f t="shared" si="278"/>
        <v>20952.003268491389</v>
      </c>
      <c r="DQ247" s="104"/>
      <c r="DR247" s="30">
        <f>VLOOKUP(A247,'ДЗ нас '!$A$1:$C$359,2)</f>
        <v>14153.7</v>
      </c>
      <c r="DS247" s="748">
        <f>VLOOKUP(A247,'ДЗ нежит'!$A$1:$D$153,4,0)</f>
        <v>2189.3000000000002</v>
      </c>
      <c r="DT247" s="30">
        <f t="shared" si="279"/>
        <v>16343</v>
      </c>
      <c r="DU247" s="257">
        <f>VLOOKUP(A247,'новий кошторис с 01.06'!$A$4:$AI$399,35)*1.2</f>
        <v>16469.308263903411</v>
      </c>
      <c r="DV247" s="30">
        <f t="shared" si="280"/>
        <v>-126.30826390341099</v>
      </c>
      <c r="DW247" s="930">
        <f>'[5]побудинковий звіт'!DW247+'[6]побудинковий звіт'!DW247</f>
        <v>202</v>
      </c>
      <c r="DY247" s="5">
        <f t="shared" si="227"/>
        <v>66292.061610556426</v>
      </c>
      <c r="DZ247" s="5">
        <f t="shared" si="228"/>
        <v>137337.60000000001</v>
      </c>
      <c r="EA247" s="752">
        <f t="shared" si="229"/>
        <v>22311.3</v>
      </c>
      <c r="EC247" s="592">
        <f t="shared" si="230"/>
        <v>564649.58203594422</v>
      </c>
      <c r="EE247" s="758">
        <v>-24113</v>
      </c>
      <c r="EF247" s="738">
        <f t="shared" si="231"/>
        <v>-25117.554436829698</v>
      </c>
      <c r="EH247" s="813">
        <v>-35860.073594274203</v>
      </c>
    </row>
    <row r="248" spans="1:138" x14ac:dyDescent="0.3">
      <c r="A248" s="328">
        <v>150000717</v>
      </c>
      <c r="B248" s="44" t="s">
        <v>698</v>
      </c>
      <c r="C248" s="45" t="s">
        <v>1767</v>
      </c>
      <c r="D248" s="45" t="s">
        <v>286</v>
      </c>
      <c r="E248" s="40">
        <f t="shared" si="232"/>
        <v>4147.0999999999995</v>
      </c>
      <c r="F248" s="490">
        <v>3575.2</v>
      </c>
      <c r="G248" s="30"/>
      <c r="H248" s="30">
        <v>571.9</v>
      </c>
      <c r="I248" s="42">
        <f>'[1]побудинковий звіт'!I248+'[2]побудинковий звіт'!I248-'[3]побудинковий звіт'!I248</f>
        <v>12278.505592711197</v>
      </c>
      <c r="J248" s="42">
        <f>'[1]побудинковий звіт'!J248+'[2]побудинковий звіт'!J248-'[3]побудинковий звіт'!J248</f>
        <v>11174.601172046627</v>
      </c>
      <c r="K248" s="56">
        <f t="shared" si="238"/>
        <v>-1103.9044206645704</v>
      </c>
      <c r="L248" s="42">
        <f>'[1]побудинковий звіт'!L248+'[2]побудинковий звіт'!L248-'[3]побудинковий звіт'!L248</f>
        <v>2282.542486220415</v>
      </c>
      <c r="M248" s="42">
        <f>'[1]побудинковий звіт'!M248+'[2]побудинковий звіт'!M248-'[3]побудинковий звіт'!M248</f>
        <v>2185.5987493226698</v>
      </c>
      <c r="N248" s="56">
        <f t="shared" si="239"/>
        <v>-96.943736897745111</v>
      </c>
      <c r="O248" s="42">
        <f>'[1]побудинковий звіт'!O248+'[2]побудинковий звіт'!O248-'[3]побудинковий звіт'!O248</f>
        <v>4634.28</v>
      </c>
      <c r="P248" s="42">
        <f>'[1]побудинковий звіт'!P248+'[2]побудинковий звіт'!P248-'[3]побудинковий звіт'!P248</f>
        <v>4634.04</v>
      </c>
      <c r="Q248" s="56">
        <f t="shared" si="240"/>
        <v>-0.23999999999978172</v>
      </c>
      <c r="R248" s="42">
        <f>'[1]побудинковий звіт'!R248+'[2]побудинковий звіт'!R248-'[3]побудинковий звіт'!R248</f>
        <v>0</v>
      </c>
      <c r="S248" s="42">
        <f>'[1]побудинковий звіт'!S248+'[2]побудинковий звіт'!S248-'[3]побудинковий звіт'!S248</f>
        <v>0</v>
      </c>
      <c r="T248" s="56">
        <f t="shared" si="241"/>
        <v>0</v>
      </c>
      <c r="U248" s="42">
        <f>'[1]побудинковий звіт'!U248+'[2]побудинковий звіт'!U248-'[3]побудинковий звіт'!U248</f>
        <v>0</v>
      </c>
      <c r="V248" s="42">
        <f>'[1]побудинковий звіт'!V248+'[2]побудинковий звіт'!V248-'[3]побудинковий звіт'!V248</f>
        <v>0</v>
      </c>
      <c r="W248" s="56">
        <f t="shared" si="242"/>
        <v>0</v>
      </c>
      <c r="X248" s="42">
        <f>'[1]побудинковий звіт'!X248+'[2]побудинковий звіт'!X248-'[3]побудинковий звіт'!X248</f>
        <v>7342.8784485283741</v>
      </c>
      <c r="Y248" s="42">
        <f>'[1]побудинковий звіт'!Y248+'[2]побудинковий звіт'!Y248-'[3]побудинковий звіт'!Y248</f>
        <v>6506.0423686753393</v>
      </c>
      <c r="Z248" s="56">
        <f t="shared" si="243"/>
        <v>-836.83607985303479</v>
      </c>
      <c r="AA248" s="42">
        <f>'[1]побудинковий звіт'!AA248+'[2]побудинковий звіт'!AA248-'[3]побудинковий звіт'!AA248</f>
        <v>0</v>
      </c>
      <c r="AB248" s="42">
        <f>'[1]побудинковий звіт'!AB248+'[2]побудинковий звіт'!AB248-'[3]побудинковий звіт'!AB248</f>
        <v>0</v>
      </c>
      <c r="AC248" s="56">
        <f t="shared" si="244"/>
        <v>0</v>
      </c>
      <c r="AD248" s="42">
        <f>'[1]побудинковий звіт'!AD248+'[2]побудинковий звіт'!AD248-'[3]побудинковий звіт'!AD248</f>
        <v>13534.289552050694</v>
      </c>
      <c r="AE248" s="42">
        <f>'[1]побудинковий звіт'!AE248+'[2]побудинковий звіт'!AE248-'[3]побудинковий звіт'!AE248</f>
        <v>12483.528840726503</v>
      </c>
      <c r="AF248" s="37">
        <f t="shared" si="245"/>
        <v>-1050.7607113241902</v>
      </c>
      <c r="AG248" s="87">
        <f t="shared" si="235"/>
        <v>40072.496079510682</v>
      </c>
      <c r="AH248" s="57">
        <f t="shared" si="235"/>
        <v>36983.811130771137</v>
      </c>
      <c r="AI248" s="56">
        <f t="shared" si="246"/>
        <v>-3088.6849487395448</v>
      </c>
      <c r="AJ248" s="42">
        <f>'[1]побудинковий звіт'!AJ248+'[2]побудинковий звіт'!AJ248-'[3]побудинковий звіт'!AJ248</f>
        <v>0</v>
      </c>
      <c r="AK248" s="42">
        <f>'[1]побудинковий звіт'!AK248+'[2]побудинковий звіт'!AK248-'[3]побудинковий звіт'!AK248</f>
        <v>0</v>
      </c>
      <c r="AL248" s="56">
        <f t="shared" si="247"/>
        <v>0</v>
      </c>
      <c r="AM248" s="42">
        <f>'[1]побудинковий звіт'!AM248+'[2]побудинковий звіт'!AM248-'[3]побудинковий звіт'!AM248</f>
        <v>0</v>
      </c>
      <c r="AN248" s="42">
        <f>'[1]побудинковий звіт'!AN248+'[2]побудинковий звіт'!AN248-'[3]побудинковий звіт'!AN248</f>
        <v>0</v>
      </c>
      <c r="AO248" s="56">
        <f t="shared" si="248"/>
        <v>0</v>
      </c>
      <c r="AP248" s="42">
        <f>'[1]побудинковий звіт'!AP248+'[2]побудинковий звіт'!AP248-'[3]побудинковий звіт'!AP248</f>
        <v>8097.0008467407069</v>
      </c>
      <c r="AQ248" s="42">
        <f>'[1]побудинковий звіт'!AQ248+'[2]побудинковий звіт'!AQ248-'[3]побудинковий звіт'!AQ248</f>
        <v>7667.4677615290984</v>
      </c>
      <c r="AR248" s="56">
        <f t="shared" si="249"/>
        <v>-429.53308521160852</v>
      </c>
      <c r="AS248" s="42">
        <f>'[1]побудинковий звіт'!AS248+'[2]побудинковий звіт'!AS248-'[3]побудинковий звіт'!AS248</f>
        <v>42987.131350440148</v>
      </c>
      <c r="AT248" s="42">
        <f>'[1]побудинковий звіт'!AT248+'[2]побудинковий звіт'!AT248-'[3]побудинковий звіт'!AT248</f>
        <v>3437.0000000000005</v>
      </c>
      <c r="AU248" s="58">
        <f t="shared" si="266"/>
        <v>-39550.131350440148</v>
      </c>
      <c r="AV248" s="42">
        <f>'[1]побудинковий звіт'!AV248+'[2]побудинковий звіт'!AV248-'[3]побудинковий звіт'!AV248</f>
        <v>2183.3875509932777</v>
      </c>
      <c r="AW248" s="42">
        <f>'[1]побудинковий звіт'!AW248+'[2]побудинковий звіт'!AW248-'[3]побудинковий звіт'!AW248</f>
        <v>0</v>
      </c>
      <c r="AX248" s="59">
        <f t="shared" si="267"/>
        <v>-2183.3875509932777</v>
      </c>
      <c r="AY248" s="42">
        <f>'[1]побудинковий звіт'!AY248+'[2]побудинковий звіт'!AY248-'[3]побудинковий звіт'!AY248</f>
        <v>2941.9120062973689</v>
      </c>
      <c r="AZ248" s="42">
        <f>'[1]побудинковий звіт'!AZ248+'[2]побудинковий звіт'!AZ248-'[3]побудинковий звіт'!AZ248</f>
        <v>5336</v>
      </c>
      <c r="BA248" s="37">
        <f t="shared" si="268"/>
        <v>2394.0879937026311</v>
      </c>
      <c r="BB248" s="42">
        <f>'[1]побудинковий звіт'!BB248+'[2]побудинковий звіт'!BB248-'[3]побудинковий звіт'!BB248</f>
        <v>1862.3329164126912</v>
      </c>
      <c r="BC248" s="42">
        <f>'[1]побудинковий звіт'!BC248+'[2]побудинковий звіт'!BC248-'[3]побудинковий звіт'!BC248</f>
        <v>0</v>
      </c>
      <c r="BD248" s="59">
        <f t="shared" si="269"/>
        <v>-1862.3329164126912</v>
      </c>
      <c r="BE248" s="42">
        <f>'[1]побудинковий звіт'!BE248+'[2]побудинковий звіт'!BE248-'[3]побудинковий звіт'!BE248</f>
        <v>0</v>
      </c>
      <c r="BF248" s="42">
        <f>'[1]побудинковий звіт'!BF248+'[2]побудинковий звіт'!BF248-'[3]побудинковий звіт'!BF248</f>
        <v>0</v>
      </c>
      <c r="BG248" s="39">
        <f t="shared" si="270"/>
        <v>0</v>
      </c>
      <c r="BH248" s="42">
        <f>'[1]побудинковий звіт'!BH248+'[2]побудинковий звіт'!BH248-'[3]побудинковий звіт'!BH248</f>
        <v>0</v>
      </c>
      <c r="BI248" s="42">
        <f>'[1]побудинковий звіт'!BI248+'[2]побудинковий звіт'!BI248-'[3]побудинковий звіт'!BI248</f>
        <v>0</v>
      </c>
      <c r="BJ248" s="59">
        <f t="shared" si="271"/>
        <v>0</v>
      </c>
      <c r="BK248" s="42">
        <f>'[1]побудинковий звіт'!BK248+'[2]побудинковий звіт'!BK248-'[3]побудинковий звіт'!BK248</f>
        <v>1203.7497185719883</v>
      </c>
      <c r="BL248" s="42">
        <f>'[1]побудинковий звіт'!BL248+'[2]побудинковий звіт'!BL248-'[3]побудинковий звіт'!BL248</f>
        <v>0</v>
      </c>
      <c r="BM248" s="39">
        <f t="shared" si="272"/>
        <v>-1203.7497185719883</v>
      </c>
      <c r="BN248" s="42">
        <f>'[1]побудинковий звіт'!BN248+'[2]побудинковий звіт'!BN248-'[3]побудинковий звіт'!BN248</f>
        <v>0</v>
      </c>
      <c r="BO248" s="42">
        <f>'[1]побудинковий звіт'!BO248+'[2]побудинковий звіт'!BO248-'[3]побудинковий звіт'!BO248</f>
        <v>0</v>
      </c>
      <c r="BP248" s="59">
        <f t="shared" si="273"/>
        <v>0</v>
      </c>
      <c r="BQ248" s="87">
        <f t="shared" si="233"/>
        <v>8191.3821922753259</v>
      </c>
      <c r="BR248" s="43">
        <f t="shared" si="275"/>
        <v>5336</v>
      </c>
      <c r="BS248" s="59">
        <f t="shared" si="274"/>
        <v>-2855.3821922753259</v>
      </c>
      <c r="BT248" s="42">
        <f>'[1]побудинковий звіт'!BT248+'[2]побудинковий звіт'!BT248-'[3]побудинковий звіт'!BT248</f>
        <v>29743.926898308368</v>
      </c>
      <c r="BU248" s="42">
        <f>'[1]побудинковий звіт'!BU248+'[2]побудинковий звіт'!BU248-'[3]побудинковий звіт'!BU248</f>
        <v>36218.362315346123</v>
      </c>
      <c r="BV248" s="56">
        <f t="shared" si="250"/>
        <v>6474.4354170377555</v>
      </c>
      <c r="BW248" s="42">
        <f>'[1]побудинковий звіт'!BW248+'[2]побудинковий звіт'!BW248-'[3]побудинковий звіт'!BW248</f>
        <v>20933.820931264687</v>
      </c>
      <c r="BX248" s="42">
        <f>'[1]побудинковий звіт'!BX248+'[2]побудинковий звіт'!BX248-'[3]побудинковий звіт'!BX248</f>
        <v>22914.009869922716</v>
      </c>
      <c r="BY248" s="56">
        <f t="shared" si="251"/>
        <v>1980.1889386580297</v>
      </c>
      <c r="BZ248" s="42">
        <f>'[1]побудинковий звіт'!BZ248+'[2]побудинковий звіт'!BZ248-'[3]побудинковий звіт'!BZ248</f>
        <v>6114.9203019381794</v>
      </c>
      <c r="CA248" s="42">
        <f>'[1]побудинковий звіт'!CA248+'[2]побудинковий звіт'!CA248-'[3]побудинковий звіт'!CA248</f>
        <v>9309.6312000434191</v>
      </c>
      <c r="CB248" s="56">
        <f t="shared" si="252"/>
        <v>3194.7108981052397</v>
      </c>
      <c r="CC248" s="42">
        <f>'[1]побудинковий звіт'!CC248+'[2]побудинковий звіт'!CC248-'[3]побудинковий звіт'!CC248</f>
        <v>1882.4482463918946</v>
      </c>
      <c r="CD248" s="42">
        <f>'[1]побудинковий звіт'!CD248+'[2]побудинковий звіт'!CD248-'[3]побудинковий звіт'!CD248</f>
        <v>1865.8915818581945</v>
      </c>
      <c r="CE248" s="56">
        <f t="shared" si="253"/>
        <v>-16.556664533700086</v>
      </c>
      <c r="CF248" s="42">
        <f>'[1]побудинковий звіт'!CF248+'[2]побудинковий звіт'!CF248-'[3]побудинковий звіт'!CF248</f>
        <v>231.74078790809313</v>
      </c>
      <c r="CG248" s="42">
        <f>'[1]побудинковий звіт'!CG248+'[2]побудинковий звіт'!CG248-'[3]побудинковий звіт'!CG248</f>
        <v>0</v>
      </c>
      <c r="CH248" s="56">
        <f t="shared" si="254"/>
        <v>-231.74078790809313</v>
      </c>
      <c r="CI248" s="42">
        <f>'[1]побудинковий звіт'!CI248+'[2]побудинковий звіт'!CI248-'[3]побудинковий звіт'!CI248</f>
        <v>6569.8513371944391</v>
      </c>
      <c r="CJ248" s="42">
        <f>'[1]побудинковий звіт'!CJ248+'[2]побудинковий звіт'!CJ248-'[3]побудинковий звіт'!CJ248</f>
        <v>4484.0473340959725</v>
      </c>
      <c r="CK248" s="56">
        <f t="shared" si="255"/>
        <v>-2085.8040030984666</v>
      </c>
      <c r="CL248" s="42">
        <f>'[1]побудинковий звіт'!CL248+'[2]побудинковий звіт'!CL248-'[3]побудинковий звіт'!CL248</f>
        <v>0</v>
      </c>
      <c r="CM248" s="42">
        <f>'[1]побудинковий звіт'!CM248+'[2]побудинковий звіт'!CM248-'[3]побудинковий звіт'!CM248</f>
        <v>0</v>
      </c>
      <c r="CN248" s="56">
        <f t="shared" si="256"/>
        <v>0</v>
      </c>
      <c r="CO248" s="42">
        <f t="shared" si="236"/>
        <v>6569.8513371944391</v>
      </c>
      <c r="CP248" s="43">
        <f t="shared" si="257"/>
        <v>4484.0473340959725</v>
      </c>
      <c r="CQ248" s="56">
        <f t="shared" si="258"/>
        <v>-2085.8040030984666</v>
      </c>
      <c r="CR248" s="78">
        <f t="shared" si="237"/>
        <v>164824.71897197253</v>
      </c>
      <c r="CS248" s="5">
        <f t="shared" si="237"/>
        <v>128216.22119356667</v>
      </c>
      <c r="CT248" s="56">
        <f t="shared" si="259"/>
        <v>-36608.497778405857</v>
      </c>
      <c r="CU248" s="87">
        <f t="shared" si="260"/>
        <v>197789.66276636702</v>
      </c>
      <c r="CV248" s="70">
        <f t="shared" si="261"/>
        <v>153859.46543228001</v>
      </c>
      <c r="CW248" s="37">
        <f t="shared" si="262"/>
        <v>-43930.197334087017</v>
      </c>
      <c r="CX248" s="42">
        <f>'[1]побудинковий звіт'!CX248+'[2]побудинковий звіт'!CX248-'[3]побудинковий звіт'!CX248</f>
        <v>10022.457233632958</v>
      </c>
      <c r="CY248" s="42">
        <f>'[1]побудинковий звіт'!CY248+'[2]побудинковий звіт'!CY248-'[3]побудинковий звіт'!CY248</f>
        <v>53952.654567720019</v>
      </c>
      <c r="CZ248" s="56">
        <f t="shared" si="263"/>
        <v>43930.197334087061</v>
      </c>
      <c r="DA248" s="264">
        <f>'[4]побудинковий звіт'!DA248</f>
        <v>-29257.089770656734</v>
      </c>
      <c r="DB248" s="2">
        <v>3</v>
      </c>
      <c r="DC248" s="717">
        <f>'[4]побудинковий звіт'!DC248</f>
        <v>22841.85</v>
      </c>
      <c r="DD248" s="717">
        <f>'[4]побудинковий звіт'!DD248</f>
        <v>12189.19</v>
      </c>
      <c r="DE248" s="717">
        <f>'[4]побудинковий звіт'!DE248</f>
        <v>8253.4299999999985</v>
      </c>
      <c r="DF248" s="717">
        <f>'[4]побудинковий звіт'!DF248</f>
        <v>9459.42</v>
      </c>
      <c r="DG248" s="787">
        <v>-72322.86160614551</v>
      </c>
      <c r="DH248" s="761">
        <f t="shared" si="226"/>
        <v>2493745.44</v>
      </c>
      <c r="DI248" s="784"/>
      <c r="DJ248" s="5"/>
      <c r="DK248" s="317">
        <f>VLOOKUP($A248,ціни!$A$4:$G$401,5)</f>
        <v>5.6199840461890558</v>
      </c>
      <c r="DL248" s="317"/>
      <c r="DM248" s="317">
        <f>VLOOKUP($A248,ціни!$A$4:$G$401,7)</f>
        <v>4.7731792545017298</v>
      </c>
      <c r="DN248" s="30">
        <f t="shared" si="276"/>
        <v>20092.56696193511</v>
      </c>
      <c r="DO248" s="30">
        <f t="shared" si="277"/>
        <v>2729.7812156495393</v>
      </c>
      <c r="DP248" s="316">
        <f t="shared" si="278"/>
        <v>22822.348177584649</v>
      </c>
      <c r="DQ248" s="104"/>
      <c r="DR248" s="30">
        <f>VLOOKUP(A248,'ДЗ нас '!$A$1:$C$359,2)</f>
        <v>14588.42</v>
      </c>
      <c r="DS248" s="748">
        <f>VLOOKUP(A248,'ДЗ нежит'!$A$1:$D$153,4,0)</f>
        <v>2729.77</v>
      </c>
      <c r="DT248" s="30">
        <f t="shared" si="279"/>
        <v>17318.189999999999</v>
      </c>
      <c r="DU248" s="257">
        <f>VLOOKUP(A248,'новий кошторис с 01.06'!$A$4:$AI$399,35)*1.2</f>
        <v>17471.420211029083</v>
      </c>
      <c r="DV248" s="30">
        <f t="shared" si="280"/>
        <v>-153.23021102908388</v>
      </c>
      <c r="DW248" s="930">
        <f>'[5]побудинковий звіт'!DW248+'[6]побудинковий звіт'!DW248</f>
        <v>202</v>
      </c>
      <c r="DY248" s="5">
        <f t="shared" si="227"/>
        <v>61414.216251258564</v>
      </c>
      <c r="DZ248" s="5">
        <f t="shared" si="228"/>
        <v>10527.6</v>
      </c>
      <c r="EA248" s="752">
        <f t="shared" si="229"/>
        <v>17712.849999999999</v>
      </c>
      <c r="EC248" s="592">
        <f t="shared" si="230"/>
        <v>515845.57620528177</v>
      </c>
      <c r="EE248" s="758">
        <v>39078</v>
      </c>
      <c r="EF248" s="738">
        <f t="shared" si="231"/>
        <v>-33244.86160614551</v>
      </c>
      <c r="EH248" s="813">
        <v>10739.570566876835</v>
      </c>
    </row>
    <row r="249" spans="1:138" x14ac:dyDescent="0.3">
      <c r="A249" s="328">
        <v>150000718</v>
      </c>
      <c r="B249" s="44" t="s">
        <v>699</v>
      </c>
      <c r="C249" s="45" t="s">
        <v>1768</v>
      </c>
      <c r="D249" s="45" t="s">
        <v>287</v>
      </c>
      <c r="E249" s="40">
        <f t="shared" si="232"/>
        <v>3564.2</v>
      </c>
      <c r="F249" s="490">
        <v>3564.2</v>
      </c>
      <c r="G249" s="30"/>
      <c r="H249" s="30">
        <v>0</v>
      </c>
      <c r="I249" s="42">
        <f>'[1]побудинковий звіт'!I249+'[2]побудинковий звіт'!I249-'[3]побудинковий звіт'!I249</f>
        <v>15934.913577688725</v>
      </c>
      <c r="J249" s="42">
        <f>'[1]побудинковий звіт'!J249+'[2]побудинковий звіт'!J249-'[3]побудинковий звіт'!J249</f>
        <v>14528.459264550838</v>
      </c>
      <c r="K249" s="56">
        <f t="shared" si="238"/>
        <v>-1406.4543131378869</v>
      </c>
      <c r="L249" s="42">
        <f>'[1]побудинковий звіт'!L249+'[2]побудинковий звіт'!L249-'[3]побудинковий звіт'!L249</f>
        <v>3375.58505409796</v>
      </c>
      <c r="M249" s="42">
        <f>'[1]побудинковий звіт'!M249+'[2]побудинковий звіт'!M249-'[3]побудинковий звіт'!M249</f>
        <v>3232.2155214250733</v>
      </c>
      <c r="N249" s="56">
        <f t="shared" si="239"/>
        <v>-143.36953267288663</v>
      </c>
      <c r="O249" s="42">
        <f>'[1]побудинковий звіт'!O249+'[2]побудинковий звіт'!O249-'[3]побудинковий звіт'!O249</f>
        <v>6606.3599999999988</v>
      </c>
      <c r="P249" s="42">
        <f>'[1]побудинковий звіт'!P249+'[2]побудинковий звіт'!P249-'[3]побудинковий звіт'!P249</f>
        <v>6604.7999999999984</v>
      </c>
      <c r="Q249" s="56">
        <f t="shared" si="240"/>
        <v>-1.5600000000004002</v>
      </c>
      <c r="R249" s="42">
        <f>'[1]побудинковий звіт'!R249+'[2]побудинковий звіт'!R249-'[3]побудинковий звіт'!R249</f>
        <v>0</v>
      </c>
      <c r="S249" s="42">
        <f>'[1]побудинковий звіт'!S249+'[2]побудинковий звіт'!S249-'[3]побудинковий звіт'!S249</f>
        <v>0</v>
      </c>
      <c r="T249" s="56">
        <f t="shared" si="241"/>
        <v>0</v>
      </c>
      <c r="U249" s="42">
        <f>'[1]побудинковий звіт'!U249+'[2]побудинковий звіт'!U249-'[3]побудинковий звіт'!U249</f>
        <v>1294.4711018415646</v>
      </c>
      <c r="V249" s="42">
        <f>'[1]побудинковий звіт'!V249+'[2]побудинковий звіт'!V249-'[3]побудинковий звіт'!V249</f>
        <v>878.96842656000217</v>
      </c>
      <c r="W249" s="56">
        <f t="shared" si="242"/>
        <v>-415.50267528156246</v>
      </c>
      <c r="X249" s="42">
        <f>'[1]побудинковий звіт'!X249+'[2]побудинковий звіт'!X249-'[3]побудинковий звіт'!X249</f>
        <v>13603.49610739062</v>
      </c>
      <c r="Y249" s="42">
        <f>'[1]побудинковий звіт'!Y249+'[2]побудинковий звіт'!Y249-'[3]побудинковий звіт'!Y249</f>
        <v>12055.340575642635</v>
      </c>
      <c r="Z249" s="56">
        <f t="shared" si="243"/>
        <v>-1548.1555317479852</v>
      </c>
      <c r="AA249" s="42">
        <f>'[1]побудинковий звіт'!AA249+'[2]побудинковий звіт'!AA249-'[3]побудинковий звіт'!AA249</f>
        <v>0</v>
      </c>
      <c r="AB249" s="42">
        <f>'[1]побудинковий звіт'!AB249+'[2]побудинковий звіт'!AB249-'[3]побудинковий звіт'!AB249</f>
        <v>0</v>
      </c>
      <c r="AC249" s="56">
        <f t="shared" si="244"/>
        <v>0</v>
      </c>
      <c r="AD249" s="42">
        <f>'[1]побудинковий звіт'!AD249+'[2]побудинковий звіт'!AD249-'[3]побудинковий звіт'!AD249</f>
        <v>19055.670810877058</v>
      </c>
      <c r="AE249" s="42">
        <f>'[1]побудинковий звіт'!AE249+'[2]побудинковий звіт'!AE249-'[3]побудинковий звіт'!AE249</f>
        <v>17563.484856541781</v>
      </c>
      <c r="AF249" s="37">
        <f t="shared" si="245"/>
        <v>-1492.1859543352766</v>
      </c>
      <c r="AG249" s="87">
        <f t="shared" si="235"/>
        <v>59870.496651895926</v>
      </c>
      <c r="AH249" s="57">
        <f t="shared" si="235"/>
        <v>54863.26864472033</v>
      </c>
      <c r="AI249" s="56">
        <f t="shared" si="246"/>
        <v>-5007.2280071755958</v>
      </c>
      <c r="AJ249" s="42">
        <f>'[1]побудинковий звіт'!AJ249+'[2]побудинковий звіт'!AJ249-'[3]побудинковий звіт'!AJ249</f>
        <v>0</v>
      </c>
      <c r="AK249" s="42">
        <f>'[1]побудинковий звіт'!AK249+'[2]побудинковий звіт'!AK249-'[3]побудинковий звіт'!AK249</f>
        <v>0</v>
      </c>
      <c r="AL249" s="56">
        <f t="shared" si="247"/>
        <v>0</v>
      </c>
      <c r="AM249" s="42">
        <f>'[1]побудинковий звіт'!AM249+'[2]побудинковий звіт'!AM249-'[3]побудинковий звіт'!AM249</f>
        <v>0</v>
      </c>
      <c r="AN249" s="42">
        <f>'[1]побудинковий звіт'!AN249+'[2]побудинковий звіт'!AN249-'[3]побудинковий звіт'!AN249</f>
        <v>0</v>
      </c>
      <c r="AO249" s="56">
        <f t="shared" si="248"/>
        <v>0</v>
      </c>
      <c r="AP249" s="42">
        <f>'[1]побудинковий звіт'!AP249+'[2]побудинковий звіт'!AP249-'[3]побудинковий звіт'!AP249</f>
        <v>7670.8429074385649</v>
      </c>
      <c r="AQ249" s="42">
        <f>'[1]побудинковий звіт'!AQ249+'[2]побудинковий звіт'!AQ249-'[3]побудинковий звіт'!AQ249</f>
        <v>12290.306926689656</v>
      </c>
      <c r="AR249" s="56">
        <f t="shared" si="249"/>
        <v>4619.4640192510915</v>
      </c>
      <c r="AS249" s="42">
        <f>'[1]побудинковий звіт'!AS249+'[2]побудинковий звіт'!AS249-'[3]побудинковий звіт'!AS249</f>
        <v>61497.728358749897</v>
      </c>
      <c r="AT249" s="42">
        <f>'[1]побудинковий звіт'!AT249+'[2]побудинковий звіт'!AT249-'[3]побудинковий звіт'!AT249</f>
        <v>7023.7719688412417</v>
      </c>
      <c r="AU249" s="58">
        <f t="shared" si="266"/>
        <v>-54473.956389908657</v>
      </c>
      <c r="AV249" s="42">
        <f>'[1]побудинковий звіт'!AV249+'[2]побудинковий звіт'!AV249-'[3]побудинковий звіт'!AV249</f>
        <v>2649.9189143213425</v>
      </c>
      <c r="AW249" s="42">
        <f>'[1]побудинковий звіт'!AW249+'[2]побудинковий звіт'!AW249-'[3]побудинковий звіт'!AW249</f>
        <v>0</v>
      </c>
      <c r="AX249" s="59">
        <f t="shared" si="267"/>
        <v>-2649.9189143213425</v>
      </c>
      <c r="AY249" s="42">
        <f>'[1]побудинковий звіт'!AY249+'[2]побудинковий звіт'!AY249-'[3]побудинковий звіт'!AY249</f>
        <v>4350.6088254260403</v>
      </c>
      <c r="AZ249" s="42">
        <f>'[1]побудинковий звіт'!AZ249+'[2]побудинковий звіт'!AZ249-'[3]побудинковий звіт'!AZ249</f>
        <v>0</v>
      </c>
      <c r="BA249" s="37">
        <f t="shared" si="268"/>
        <v>-4350.6088254260403</v>
      </c>
      <c r="BB249" s="42">
        <f>'[1]побудинковий звіт'!BB249+'[2]побудинковий звіт'!BB249-'[3]побудинковий звіт'!BB249</f>
        <v>2475.7371298877242</v>
      </c>
      <c r="BC249" s="42">
        <f>'[1]побудинковий звіт'!BC249+'[2]побудинковий звіт'!BC249-'[3]побудинковий звіт'!BC249</f>
        <v>2702</v>
      </c>
      <c r="BD249" s="59">
        <f t="shared" si="269"/>
        <v>226.26287011227578</v>
      </c>
      <c r="BE249" s="42">
        <f>'[1]побудинковий звіт'!BE249+'[2]побудинковий звіт'!BE249-'[3]побудинковий звіт'!BE249</f>
        <v>0</v>
      </c>
      <c r="BF249" s="42">
        <f>'[1]побудинковий звіт'!BF249+'[2]побудинковий звіт'!BF249-'[3]побудинковий звіт'!BF249</f>
        <v>0</v>
      </c>
      <c r="BG249" s="39">
        <f t="shared" si="270"/>
        <v>0</v>
      </c>
      <c r="BH249" s="42">
        <f>'[1]побудинковий звіт'!BH249+'[2]побудинковий звіт'!BH249-'[3]побудинковий звіт'!BH249</f>
        <v>1313.1883369600605</v>
      </c>
      <c r="BI249" s="42">
        <f>'[1]побудинковий звіт'!BI249+'[2]побудинковий звіт'!BI249-'[3]побудинковий звіт'!BI249</f>
        <v>0</v>
      </c>
      <c r="BJ249" s="59">
        <f t="shared" si="271"/>
        <v>-1313.1883369600605</v>
      </c>
      <c r="BK249" s="42">
        <f>'[1]побудинковий звіт'!BK249+'[2]побудинковий звіт'!BK249-'[3]побудинковий звіт'!BK249</f>
        <v>1948.3121048901874</v>
      </c>
      <c r="BL249" s="42">
        <f>'[1]побудинковий звіт'!BL249+'[2]побудинковий звіт'!BL249-'[3]побудинковий звіт'!BL249</f>
        <v>0</v>
      </c>
      <c r="BM249" s="39">
        <f t="shared" si="272"/>
        <v>-1948.3121048901874</v>
      </c>
      <c r="BN249" s="42">
        <f>'[1]побудинковий звіт'!BN249+'[2]побудинковий звіт'!BN249-'[3]побудинковий звіт'!BN249</f>
        <v>0</v>
      </c>
      <c r="BO249" s="42">
        <f>'[1]побудинковий звіт'!BO249+'[2]побудинковий звіт'!BO249-'[3]побудинковий звіт'!BO249</f>
        <v>0</v>
      </c>
      <c r="BP249" s="59">
        <f t="shared" si="273"/>
        <v>0</v>
      </c>
      <c r="BQ249" s="87">
        <f t="shared" si="233"/>
        <v>12737.765311485353</v>
      </c>
      <c r="BR249" s="43">
        <f t="shared" si="275"/>
        <v>2702</v>
      </c>
      <c r="BS249" s="59">
        <f t="shared" si="274"/>
        <v>-10035.765311485353</v>
      </c>
      <c r="BT249" s="42">
        <f>'[1]побудинковий звіт'!BT249+'[2]побудинковий звіт'!BT249-'[3]побудинковий звіт'!BT249</f>
        <v>48678.282120990196</v>
      </c>
      <c r="BU249" s="42">
        <f>'[1]побудинковий звіт'!BU249+'[2]побудинковий звіт'!BU249-'[3]побудинковий звіт'!BU249</f>
        <v>53914.189451484162</v>
      </c>
      <c r="BV249" s="56">
        <f t="shared" si="250"/>
        <v>5235.9073304939666</v>
      </c>
      <c r="BW249" s="42">
        <f>'[1]побудинковий звіт'!BW249+'[2]побудинковий звіт'!BW249-'[3]побудинковий звіт'!BW249</f>
        <v>25994.151267303718</v>
      </c>
      <c r="BX249" s="42">
        <f>'[1]побудинковий звіт'!BX249+'[2]побудинковий звіт'!BX249-'[3]побудинковий звіт'!BX249</f>
        <v>27962.276887752836</v>
      </c>
      <c r="BY249" s="56">
        <f t="shared" si="251"/>
        <v>1968.1256204491183</v>
      </c>
      <c r="BZ249" s="42">
        <f>'[1]побудинковий звіт'!BZ249+'[2]побудинковий звіт'!BZ249-'[3]побудинковий звіт'!BZ249</f>
        <v>7665.2604647351309</v>
      </c>
      <c r="CA249" s="42">
        <f>'[1]побудинковий звіт'!CA249+'[2]побудинковий звіт'!CA249-'[3]побудинковий звіт'!CA249</f>
        <v>13794.866441478151</v>
      </c>
      <c r="CB249" s="56">
        <f t="shared" si="252"/>
        <v>6129.6059767430197</v>
      </c>
      <c r="CC249" s="42">
        <f>'[1]побудинковий звіт'!CC249+'[2]побудинковий звіт'!CC249-'[3]побудинковий звіт'!CC249</f>
        <v>2476.5959741593374</v>
      </c>
      <c r="CD249" s="42">
        <f>'[1]побудинковий звіт'!CD249+'[2]побудинковий звіт'!CD249-'[3]побудинковий звіт'!CD249</f>
        <v>2454.8136123821864</v>
      </c>
      <c r="CE249" s="56">
        <f t="shared" si="253"/>
        <v>-21.782361777150982</v>
      </c>
      <c r="CF249" s="42">
        <f>'[1]побудинковий звіт'!CF249+'[2]побудинковий звіт'!CF249-'[3]побудинковий звіт'!CF249</f>
        <v>304.88397409158512</v>
      </c>
      <c r="CG249" s="42">
        <f>'[1]побудинковий звіт'!CG249+'[2]побудинковий звіт'!CG249-'[3]побудинковий звіт'!CG249</f>
        <v>0</v>
      </c>
      <c r="CH249" s="56">
        <f t="shared" si="254"/>
        <v>-304.88397409158512</v>
      </c>
      <c r="CI249" s="42">
        <f>'[1]побудинковий звіт'!CI249+'[2]побудинковий звіт'!CI249-'[3]побудинковий звіт'!CI249</f>
        <v>9396.1976389504543</v>
      </c>
      <c r="CJ249" s="42">
        <f>'[1]побудинковий звіт'!CJ249+'[2]побудинковий звіт'!CJ249-'[3]побудинковий звіт'!CJ249</f>
        <v>6249.0989492138469</v>
      </c>
      <c r="CK249" s="56">
        <f t="shared" si="255"/>
        <v>-3147.0986897366074</v>
      </c>
      <c r="CL249" s="42">
        <f>'[1]побудинковий звіт'!CL249+'[2]побудинковий звіт'!CL249-'[3]побудинковий звіт'!CL249</f>
        <v>0</v>
      </c>
      <c r="CM249" s="42">
        <f>'[1]побудинковий звіт'!CM249+'[2]побудинковий звіт'!CM249-'[3]побудинковий звіт'!CM249</f>
        <v>0</v>
      </c>
      <c r="CN249" s="56">
        <f t="shared" si="256"/>
        <v>0</v>
      </c>
      <c r="CO249" s="42">
        <f t="shared" si="236"/>
        <v>9396.1976389504543</v>
      </c>
      <c r="CP249" s="43">
        <f t="shared" si="257"/>
        <v>6249.0989492138469</v>
      </c>
      <c r="CQ249" s="56">
        <f t="shared" si="258"/>
        <v>-3147.0986897366074</v>
      </c>
      <c r="CR249" s="78">
        <f t="shared" si="237"/>
        <v>236292.20466980015</v>
      </c>
      <c r="CS249" s="5">
        <f t="shared" si="237"/>
        <v>181254.59288256243</v>
      </c>
      <c r="CT249" s="56">
        <f t="shared" si="259"/>
        <v>-55037.611787237722</v>
      </c>
      <c r="CU249" s="87">
        <f t="shared" si="260"/>
        <v>283550.64560376015</v>
      </c>
      <c r="CV249" s="70">
        <f t="shared" si="261"/>
        <v>217505.51145907491</v>
      </c>
      <c r="CW249" s="37">
        <f t="shared" si="262"/>
        <v>-66045.134144685231</v>
      </c>
      <c r="CX249" s="42">
        <f>'[1]побудинковий звіт'!CX249+'[2]побудинковий звіт'!CX249-'[3]побудинковий звіт'!CX249</f>
        <v>14209.31439623981</v>
      </c>
      <c r="CY249" s="42">
        <f>'[1]побудинковий звіт'!CY249+'[2]побудинковий звіт'!CY249-'[3]побудинковий звіт'!CY249</f>
        <v>80254.448540925106</v>
      </c>
      <c r="CZ249" s="56">
        <f t="shared" si="263"/>
        <v>66045.134144685289</v>
      </c>
      <c r="DA249" s="264">
        <f>'[4]побудинковий звіт'!DA249</f>
        <v>60105.413157633157</v>
      </c>
      <c r="DB249" s="2">
        <v>3</v>
      </c>
      <c r="DC249" s="717">
        <f>'[4]побудинковий звіт'!DC249</f>
        <v>35646.79</v>
      </c>
      <c r="DD249" s="717">
        <f>'[4]побудинковий звіт'!DD249</f>
        <v>0</v>
      </c>
      <c r="DE249" s="717">
        <f>'[4]побудинковий звіт'!DE249</f>
        <v>10829.89</v>
      </c>
      <c r="DF249" s="717">
        <f>'[4]побудинковий звіт'!DF249</f>
        <v>0</v>
      </c>
      <c r="DG249" s="787">
        <v>71866.972060816712</v>
      </c>
      <c r="DH249" s="761">
        <f t="shared" si="226"/>
        <v>3573119.5199999996</v>
      </c>
      <c r="DI249" s="784"/>
      <c r="DJ249" s="5"/>
      <c r="DK249" s="317">
        <f>VLOOKUP($A249,ціни!$A$4:$G$401,5)</f>
        <v>5.5671771059392858</v>
      </c>
      <c r="DL249" s="317"/>
      <c r="DM249" s="317">
        <f>VLOOKUP($A249,ціни!$A$4:$G$401,7)</f>
        <v>4.9547402969218979</v>
      </c>
      <c r="DN249" s="30">
        <f t="shared" si="276"/>
        <v>19842.5326409888</v>
      </c>
      <c r="DO249" s="30">
        <f t="shared" si="277"/>
        <v>0</v>
      </c>
      <c r="DP249" s="316">
        <f t="shared" si="278"/>
        <v>19842.5326409888</v>
      </c>
      <c r="DQ249" s="104"/>
      <c r="DR249" s="30">
        <f>VLOOKUP(A249,'ДЗ нас '!$A$1:$C$359,2)</f>
        <v>24816.9</v>
      </c>
      <c r="DS249" s="748"/>
      <c r="DT249" s="30">
        <f t="shared" si="279"/>
        <v>24816.9</v>
      </c>
      <c r="DU249" s="257">
        <f>VLOOKUP(A249,'новий кошторис с 01.06'!$A$4:$AI$399,35)*1.2</f>
        <v>25046.973694998822</v>
      </c>
      <c r="DV249" s="30">
        <f t="shared" si="280"/>
        <v>-230.07369499882043</v>
      </c>
      <c r="DW249" s="930">
        <f>'[5]побудинковий звіт'!DW249+'[6]побудинковий звіт'!DW249</f>
        <v>268</v>
      </c>
      <c r="DY249" s="5">
        <f t="shared" si="227"/>
        <v>89082.592404282288</v>
      </c>
      <c r="DZ249" s="5">
        <f t="shared" si="228"/>
        <v>11670.926362609489</v>
      </c>
      <c r="EA249" s="752">
        <f t="shared" si="229"/>
        <v>10829.89</v>
      </c>
      <c r="EC249" s="592">
        <f t="shared" si="230"/>
        <v>737972.74030499882</v>
      </c>
      <c r="EE249" s="758">
        <v>-50235</v>
      </c>
      <c r="EF249" s="738">
        <f t="shared" si="231"/>
        <v>21631.972060816712</v>
      </c>
      <c r="EH249" s="813">
        <v>119153.19668841493</v>
      </c>
    </row>
    <row r="250" spans="1:138" x14ac:dyDescent="0.3">
      <c r="A250" s="328">
        <v>150000720</v>
      </c>
      <c r="B250" s="44" t="s">
        <v>700</v>
      </c>
      <c r="C250" s="45" t="s">
        <v>1769</v>
      </c>
      <c r="D250" s="45" t="s">
        <v>288</v>
      </c>
      <c r="E250" s="40">
        <f t="shared" si="232"/>
        <v>3672.96</v>
      </c>
      <c r="F250" s="490">
        <v>3571.96</v>
      </c>
      <c r="G250" s="30"/>
      <c r="H250" s="30">
        <v>101</v>
      </c>
      <c r="I250" s="42">
        <f>'[1]побудинковий звіт'!I250+'[2]побудинковий звіт'!I250-'[3]побудинковий звіт'!I250</f>
        <v>10772.29007987258</v>
      </c>
      <c r="J250" s="42">
        <f>'[1]побудинковий звіт'!J250+'[2]побудинковий звіт'!J250-'[3]побудинковий звіт'!J250</f>
        <v>9855.8391949364741</v>
      </c>
      <c r="K250" s="56">
        <f t="shared" si="238"/>
        <v>-916.45088493610638</v>
      </c>
      <c r="L250" s="42">
        <f>'[1]побудинковий звіт'!L250+'[2]побудинковий звіт'!L250-'[3]побудинковий звіт'!L250</f>
        <v>2189.6310461812272</v>
      </c>
      <c r="M250" s="42">
        <f>'[1]побудинковий звіт'!M250+'[2]побудинковий звіт'!M250-'[3]побудинковий звіт'!M250</f>
        <v>2096.6334904054647</v>
      </c>
      <c r="N250" s="56">
        <f t="shared" si="239"/>
        <v>-92.997555775762521</v>
      </c>
      <c r="O250" s="42">
        <f>'[1]побудинковий звіт'!O250+'[2]побудинковий звіт'!O250-'[3]побудинковий звіт'!O250</f>
        <v>5245.32</v>
      </c>
      <c r="P250" s="42">
        <f>'[1]побудинковий звіт'!P250+'[2]побудинковий звіт'!P250-'[3]побудинковий звіт'!P250</f>
        <v>5244.6000000000013</v>
      </c>
      <c r="Q250" s="56">
        <f t="shared" si="240"/>
        <v>-0.71999999999843567</v>
      </c>
      <c r="R250" s="42">
        <f>'[1]побудинковий звіт'!R250+'[2]побудинковий звіт'!R250-'[3]побудинковий звіт'!R250</f>
        <v>1324.44</v>
      </c>
      <c r="S250" s="42">
        <f>'[1]побудинковий звіт'!S250+'[2]побудинковий звіт'!S250-'[3]побудинковий звіт'!S250</f>
        <v>1324.92</v>
      </c>
      <c r="T250" s="56">
        <f t="shared" si="241"/>
        <v>0.48000000000001819</v>
      </c>
      <c r="U250" s="42">
        <f>'[1]побудинковий звіт'!U250+'[2]побудинковий звіт'!U250-'[3]побудинковий звіт'!U250</f>
        <v>0</v>
      </c>
      <c r="V250" s="42">
        <f>'[1]побудинковий звіт'!V250+'[2]побудинковий звіт'!V250-'[3]побудинковий звіт'!V250</f>
        <v>0</v>
      </c>
      <c r="W250" s="56">
        <f t="shared" si="242"/>
        <v>0</v>
      </c>
      <c r="X250" s="42">
        <f>'[1]побудинковий звіт'!X250+'[2]побудинковий звіт'!X250-'[3]побудинковий звіт'!X250</f>
        <v>4543.479888157337</v>
      </c>
      <c r="Y250" s="42">
        <f>'[1]побудинковий звіт'!Y250+'[2]побудинковий звіт'!Y250-'[3]побудинковий звіт'!Y250</f>
        <v>3739.5594474460777</v>
      </c>
      <c r="Z250" s="56">
        <f t="shared" si="243"/>
        <v>-803.92044071125929</v>
      </c>
      <c r="AA250" s="42">
        <f>'[1]побудинковий звіт'!AA250+'[2]побудинковий звіт'!AA250-'[3]побудинковий звіт'!AA250</f>
        <v>0</v>
      </c>
      <c r="AB250" s="42">
        <f>'[1]побудинковий звіт'!AB250+'[2]побудинковий звіт'!AB250-'[3]побудинковий звіт'!AB250</f>
        <v>0</v>
      </c>
      <c r="AC250" s="56">
        <f t="shared" si="244"/>
        <v>0</v>
      </c>
      <c r="AD250" s="42">
        <f>'[1]побудинковий звіт'!AD250+'[2]побудинковий звіт'!AD250-'[3]побудинковий звіт'!AD250</f>
        <v>15692.729310012091</v>
      </c>
      <c r="AE250" s="42">
        <f>'[1]побудинковий звіт'!AE250+'[2]побудинковий звіт'!AE250-'[3]побудинковий звіт'!AE250</f>
        <v>14463.884075751463</v>
      </c>
      <c r="AF250" s="37">
        <f t="shared" si="245"/>
        <v>-1228.8452342606288</v>
      </c>
      <c r="AG250" s="87">
        <f t="shared" si="235"/>
        <v>39767.890324223234</v>
      </c>
      <c r="AH250" s="57">
        <f t="shared" si="235"/>
        <v>36725.436208539482</v>
      </c>
      <c r="AI250" s="56">
        <f t="shared" si="246"/>
        <v>-3042.4541156837513</v>
      </c>
      <c r="AJ250" s="42">
        <f>'[1]побудинковий звіт'!AJ250+'[2]побудинковий звіт'!AJ250-'[3]побудинковий звіт'!AJ250</f>
        <v>0</v>
      </c>
      <c r="AK250" s="42">
        <f>'[1]побудинковий звіт'!AK250+'[2]побудинковий звіт'!AK250-'[3]побудинковий звіт'!AK250</f>
        <v>0</v>
      </c>
      <c r="AL250" s="56">
        <f t="shared" si="247"/>
        <v>0</v>
      </c>
      <c r="AM250" s="42">
        <f>'[1]побудинковий звіт'!AM250+'[2]побудинковий звіт'!AM250-'[3]побудинковий звіт'!AM250</f>
        <v>0</v>
      </c>
      <c r="AN250" s="42">
        <f>'[1]побудинковий звіт'!AN250+'[2]побудинковий звіт'!AN250-'[3]побудинковий звіт'!AN250</f>
        <v>0</v>
      </c>
      <c r="AO250" s="56">
        <f t="shared" si="248"/>
        <v>0</v>
      </c>
      <c r="AP250" s="42">
        <f>'[1]побудинковий звіт'!AP250+'[2]побудинковий звіт'!AP250-'[3]побудинковий звіт'!AP250</f>
        <v>2746.351164391584</v>
      </c>
      <c r="AQ250" s="42">
        <f>'[1]побудинковий звіт'!AQ250+'[2]побудинковий звіт'!AQ250-'[3]побудинковий звіт'!AQ250</f>
        <v>2623.9787998051438</v>
      </c>
      <c r="AR250" s="56">
        <f t="shared" si="249"/>
        <v>-122.3723645864402</v>
      </c>
      <c r="AS250" s="42">
        <f>'[1]побудинковий звіт'!AS250+'[2]побудинковий звіт'!AS250-'[3]побудинковий звіт'!AS250</f>
        <v>30661.917425691652</v>
      </c>
      <c r="AT250" s="42">
        <f>'[1]побудинковий звіт'!AT250+'[2]побудинковий звіт'!AT250-'[3]побудинковий звіт'!AT250</f>
        <v>15569</v>
      </c>
      <c r="AU250" s="58">
        <f t="shared" si="266"/>
        <v>-15092.917425691652</v>
      </c>
      <c r="AV250" s="42">
        <f>'[1]побудинковий звіт'!AV250+'[2]побудинковий звіт'!AV250-'[3]побудинковий звіт'!AV250</f>
        <v>1828.4897654681938</v>
      </c>
      <c r="AW250" s="42">
        <f>'[1]побудинковий звіт'!AW250+'[2]побудинковий звіт'!AW250-'[3]побудинковий звіт'!AW250</f>
        <v>0</v>
      </c>
      <c r="AX250" s="59">
        <f t="shared" si="267"/>
        <v>-1828.4897654681938</v>
      </c>
      <c r="AY250" s="42">
        <f>'[1]побудинковий звіт'!AY250+'[2]побудинковий звіт'!AY250-'[3]побудинковий звіт'!AY250</f>
        <v>2822.0543934331595</v>
      </c>
      <c r="AZ250" s="42">
        <f>'[1]побудинковий звіт'!AZ250+'[2]побудинковий звіт'!AZ250-'[3]побудинковий звіт'!AZ250</f>
        <v>0</v>
      </c>
      <c r="BA250" s="37">
        <f t="shared" si="268"/>
        <v>-2822.0543934331595</v>
      </c>
      <c r="BB250" s="42">
        <f>'[1]побудинковий звіт'!BB250+'[2]побудинковий звіт'!BB250-'[3]побудинковий звіт'!BB250</f>
        <v>2259.0427486137705</v>
      </c>
      <c r="BC250" s="42">
        <f>'[1]побудинковий звіт'!BC250+'[2]побудинковий звіт'!BC250-'[3]побудинковий звіт'!BC250</f>
        <v>0</v>
      </c>
      <c r="BD250" s="59">
        <f t="shared" si="269"/>
        <v>-2259.0427486137705</v>
      </c>
      <c r="BE250" s="42">
        <f>'[1]побудинковий звіт'!BE250+'[2]побудинковий звіт'!BE250-'[3]побудинковий звіт'!BE250</f>
        <v>1355.1322550396417</v>
      </c>
      <c r="BF250" s="42">
        <f>'[1]побудинковий звіт'!BF250+'[2]побудинковий звіт'!BF250-'[3]побудинковий звіт'!BF250</f>
        <v>0</v>
      </c>
      <c r="BG250" s="39">
        <f t="shared" si="270"/>
        <v>-1355.1322550396417</v>
      </c>
      <c r="BH250" s="42">
        <f>'[1]побудинковий звіт'!BH250+'[2]побудинковий звіт'!BH250-'[3]побудинковий звіт'!BH250</f>
        <v>0</v>
      </c>
      <c r="BI250" s="42">
        <f>'[1]побудинковий звіт'!BI250+'[2]побудинковий звіт'!BI250-'[3]побудинковий звіт'!BI250</f>
        <v>0</v>
      </c>
      <c r="BJ250" s="59">
        <f t="shared" si="271"/>
        <v>0</v>
      </c>
      <c r="BK250" s="42">
        <f>'[1]побудинковий звіт'!BK250+'[2]побудинковий звіт'!BK250-'[3]побудинковий звіт'!BK250</f>
        <v>1131.8305790749851</v>
      </c>
      <c r="BL250" s="42">
        <f>'[1]побудинковий звіт'!BL250+'[2]побудинковий звіт'!BL250-'[3]побудинковий звіт'!BL250</f>
        <v>752</v>
      </c>
      <c r="BM250" s="39">
        <f t="shared" si="272"/>
        <v>-379.83057907498505</v>
      </c>
      <c r="BN250" s="42">
        <f>'[1]побудинковий звіт'!BN250+'[2]побудинковий звіт'!BN250-'[3]побудинковий звіт'!BN250</f>
        <v>0</v>
      </c>
      <c r="BO250" s="42">
        <f>'[1]побудинковий звіт'!BO250+'[2]побудинковий звіт'!BO250-'[3]побудинковий звіт'!BO250</f>
        <v>0</v>
      </c>
      <c r="BP250" s="59">
        <f t="shared" si="273"/>
        <v>0</v>
      </c>
      <c r="BQ250" s="87">
        <f t="shared" si="233"/>
        <v>9396.5497416297512</v>
      </c>
      <c r="BR250" s="43">
        <f t="shared" si="275"/>
        <v>752</v>
      </c>
      <c r="BS250" s="59">
        <f t="shared" si="274"/>
        <v>-8644.5497416297512</v>
      </c>
      <c r="BT250" s="42">
        <f>'[1]побудинковий звіт'!BT250+'[2]побудинковий звіт'!BT250-'[3]побудинковий звіт'!BT250</f>
        <v>41210.333779840206</v>
      </c>
      <c r="BU250" s="42">
        <f>'[1]побудинковий звіт'!BU250+'[2]побудинковий звіт'!BU250-'[3]побудинковий звіт'!BU250</f>
        <v>45453.691145818848</v>
      </c>
      <c r="BV250" s="56">
        <f t="shared" si="250"/>
        <v>4243.3573659786416</v>
      </c>
      <c r="BW250" s="42">
        <f>'[1]побудинковий звіт'!BW250+'[2]побудинковий звіт'!BW250-'[3]побудинковий звіт'!BW250</f>
        <v>20187.280227339532</v>
      </c>
      <c r="BX250" s="42">
        <f>'[1]побудинковий звіт'!BX250+'[2]побудинковий звіт'!BX250-'[3]побудинковий звіт'!BX250</f>
        <v>22471.436595214989</v>
      </c>
      <c r="BY250" s="56">
        <f t="shared" si="251"/>
        <v>2284.1563678754574</v>
      </c>
      <c r="BZ250" s="42">
        <f>'[1]побудинковий звіт'!BZ250+'[2]побудинковий звіт'!BZ250-'[3]побудинковий звіт'!BZ250</f>
        <v>5760.7164396901981</v>
      </c>
      <c r="CA250" s="42">
        <f>'[1]побудинковий звіт'!CA250+'[2]побудинковий звіт'!CA250-'[3]побудинковий звіт'!CA250</f>
        <v>11506.681657313857</v>
      </c>
      <c r="CB250" s="56">
        <f t="shared" si="252"/>
        <v>5745.9652176236586</v>
      </c>
      <c r="CC250" s="42">
        <f>'[1]побудинковий звіт'!CC250+'[2]побудинковий звіт'!CC250-'[3]побудинковий звіт'!CC250</f>
        <v>2451.8888409254432</v>
      </c>
      <c r="CD250" s="42">
        <f>'[1]побудинковий звіт'!CD250+'[2]побудинковий звіт'!CD250-'[3]побудинковий звіт'!CD250</f>
        <v>2430.3237853702981</v>
      </c>
      <c r="CE250" s="56">
        <f t="shared" si="253"/>
        <v>-21.565055555145136</v>
      </c>
      <c r="CF250" s="42">
        <f>'[1]побудинковий звіт'!CF250+'[2]побудинковий звіт'!CF250-'[3]побудинковий звіт'!CF250</f>
        <v>301.84237625029124</v>
      </c>
      <c r="CG250" s="42">
        <f>'[1]побудинковий звіт'!CG250+'[2]побудинковий звіт'!CG250-'[3]побудинковий звіт'!CG250</f>
        <v>0</v>
      </c>
      <c r="CH250" s="56">
        <f t="shared" si="254"/>
        <v>-301.84237625029124</v>
      </c>
      <c r="CI250" s="42">
        <f>'[1]побудинковий звіт'!CI250+'[2]побудинковий звіт'!CI250-'[3]побудинковий звіт'!CI250</f>
        <v>14318.906760551985</v>
      </c>
      <c r="CJ250" s="42">
        <f>'[1]побудинковий звіт'!CJ250+'[2]побудинковий звіт'!CJ250-'[3]побудинковий звіт'!CJ250</f>
        <v>13010.437622471978</v>
      </c>
      <c r="CK250" s="56">
        <f t="shared" si="255"/>
        <v>-1308.4691380800068</v>
      </c>
      <c r="CL250" s="42">
        <f>'[1]побудинковий звіт'!CL250+'[2]побудинковий звіт'!CL250-'[3]побудинковий звіт'!CL250</f>
        <v>0</v>
      </c>
      <c r="CM250" s="42">
        <f>'[1]побудинковий звіт'!CM250+'[2]побудинковий звіт'!CM250-'[3]побудинковий звіт'!CM250</f>
        <v>0</v>
      </c>
      <c r="CN250" s="56">
        <f t="shared" si="256"/>
        <v>0</v>
      </c>
      <c r="CO250" s="42">
        <f t="shared" si="236"/>
        <v>14318.906760551985</v>
      </c>
      <c r="CP250" s="43">
        <f t="shared" si="257"/>
        <v>13010.437622471978</v>
      </c>
      <c r="CQ250" s="56">
        <f t="shared" si="258"/>
        <v>-1308.4691380800068</v>
      </c>
      <c r="CR250" s="78">
        <f t="shared" si="237"/>
        <v>166803.67708053387</v>
      </c>
      <c r="CS250" s="5">
        <f t="shared" si="237"/>
        <v>150542.98581453462</v>
      </c>
      <c r="CT250" s="56">
        <f t="shared" si="259"/>
        <v>-16260.691265999252</v>
      </c>
      <c r="CU250" s="87">
        <f t="shared" si="260"/>
        <v>200164.41249664064</v>
      </c>
      <c r="CV250" s="70">
        <f t="shared" si="261"/>
        <v>180651.58297744155</v>
      </c>
      <c r="CW250" s="37">
        <f t="shared" si="262"/>
        <v>-19512.829519199091</v>
      </c>
      <c r="CX250" s="42">
        <f>'[1]побудинковий звіт'!CX250+'[2]побудинковий звіт'!CX250-'[3]побудинковий звіт'!CX250</f>
        <v>10006.947503359363</v>
      </c>
      <c r="CY250" s="42">
        <f>'[1]побудинковий звіт'!CY250+'[2]побудинковий звіт'!CY250-'[3]побудинковий звіт'!CY250</f>
        <v>29519.77702255853</v>
      </c>
      <c r="CZ250" s="56">
        <f t="shared" si="263"/>
        <v>19512.829519199167</v>
      </c>
      <c r="DA250" s="264">
        <f>'[4]побудинковий звіт'!DA250</f>
        <v>17221.57893415778</v>
      </c>
      <c r="DB250" s="2">
        <v>3</v>
      </c>
      <c r="DC250" s="717">
        <f>'[4]побудинковий звіт'!DC250</f>
        <v>35387.360000000001</v>
      </c>
      <c r="DD250" s="717">
        <f>'[4]побудинковий звіт'!DD250</f>
        <v>9404.2000000000007</v>
      </c>
      <c r="DE250" s="717">
        <f>'[4]побудинковий звіт'!DE250</f>
        <v>18296.73</v>
      </c>
      <c r="DF250" s="717">
        <f>'[4]побудинковий звіт'!DF250</f>
        <v>8980.5500000000011</v>
      </c>
      <c r="DG250" s="787">
        <v>22683.631040974986</v>
      </c>
      <c r="DH250" s="761">
        <f t="shared" si="226"/>
        <v>2522056.3199999998</v>
      </c>
      <c r="DI250" s="784"/>
      <c r="DJ250" s="5"/>
      <c r="DK250" s="317">
        <f>VLOOKUP($A250,ціни!$A$4:$G$401,5)</f>
        <v>4.7885260108503545</v>
      </c>
      <c r="DL250" s="317"/>
      <c r="DM250" s="317">
        <f>VLOOKUP($A250,ціни!$A$4:$G$401,7)</f>
        <v>4.1946327537629511</v>
      </c>
      <c r="DN250" s="30">
        <f t="shared" si="276"/>
        <v>17104.423369717031</v>
      </c>
      <c r="DO250" s="30">
        <f t="shared" si="277"/>
        <v>423.65790813005805</v>
      </c>
      <c r="DP250" s="316">
        <f t="shared" si="278"/>
        <v>17528.08127784709</v>
      </c>
      <c r="DQ250" s="104"/>
      <c r="DR250" s="30">
        <f>VLOOKUP(A250,'ДЗ нас '!$A$1:$C$359,2)</f>
        <v>17090.63</v>
      </c>
      <c r="DS250" s="748">
        <f>VLOOKUP(A250,'ДЗ нежит'!$A$1:$D$153,4,0)</f>
        <v>423.65</v>
      </c>
      <c r="DT250" s="30">
        <f t="shared" si="279"/>
        <v>17514.280000000002</v>
      </c>
      <c r="DU250" s="257">
        <f>VLOOKUP(A250,'новий кошторис с 01.06'!$A$4:$AI$399,35)*1.2</f>
        <v>17681.189770536588</v>
      </c>
      <c r="DV250" s="30">
        <f t="shared" si="280"/>
        <v>-166.90977053658571</v>
      </c>
      <c r="DW250" s="930">
        <f>'[5]побудинковий звіт'!DW250+'[6]побудинковий звіт'!DW250</f>
        <v>202</v>
      </c>
      <c r="DY250" s="5">
        <f t="shared" si="227"/>
        <v>48070.160600785683</v>
      </c>
      <c r="DZ250" s="5">
        <f t="shared" si="228"/>
        <v>19585.2</v>
      </c>
      <c r="EA250" s="752">
        <f t="shared" si="229"/>
        <v>27277.279999999999</v>
      </c>
      <c r="EC250" s="592">
        <f t="shared" si="230"/>
        <v>367943.00910829986</v>
      </c>
      <c r="EE250" s="758">
        <v>40622</v>
      </c>
      <c r="EF250" s="738">
        <f t="shared" si="231"/>
        <v>63305.631040974986</v>
      </c>
      <c r="EH250" s="813">
        <v>29193.03984301283</v>
      </c>
    </row>
    <row r="251" spans="1:138" x14ac:dyDescent="0.3">
      <c r="A251" s="328">
        <v>150000750</v>
      </c>
      <c r="B251" s="44" t="s">
        <v>701</v>
      </c>
      <c r="C251" s="45" t="s">
        <v>129</v>
      </c>
      <c r="D251" s="45" t="s">
        <v>129</v>
      </c>
      <c r="E251" s="40">
        <f t="shared" si="232"/>
        <v>4471.5</v>
      </c>
      <c r="F251" s="490">
        <v>4471.5</v>
      </c>
      <c r="G251" s="30"/>
      <c r="H251" s="30">
        <v>0</v>
      </c>
      <c r="I251" s="42">
        <f>'[1]побудинковий звіт'!I251+'[2]побудинковий звіт'!I251-'[3]побудинковий звіт'!I251</f>
        <v>0</v>
      </c>
      <c r="J251" s="42">
        <f>'[1]побудинковий звіт'!J251+'[2]побудинковий звіт'!J251-'[3]побудинковий звіт'!J251</f>
        <v>0</v>
      </c>
      <c r="K251" s="56">
        <f t="shared" si="238"/>
        <v>0</v>
      </c>
      <c r="L251" s="42">
        <f>'[1]побудинковий звіт'!L251+'[2]побудинковий звіт'!L251-'[3]побудинковий звіт'!L251</f>
        <v>0</v>
      </c>
      <c r="M251" s="42">
        <f>'[1]побудинковий звіт'!M251+'[2]побудинковий звіт'!M251-'[3]побудинковий звіт'!M251</f>
        <v>0</v>
      </c>
      <c r="N251" s="56">
        <f t="shared" si="239"/>
        <v>0</v>
      </c>
      <c r="O251" s="42">
        <f>'[1]побудинковий звіт'!O251+'[2]побудинковий звіт'!O251-'[3]побудинковий звіт'!O251</f>
        <v>0</v>
      </c>
      <c r="P251" s="42">
        <f>'[1]побудинковий звіт'!P251+'[2]побудинковий звіт'!P251-'[3]побудинковий звіт'!P251</f>
        <v>0</v>
      </c>
      <c r="Q251" s="56">
        <f t="shared" si="240"/>
        <v>0</v>
      </c>
      <c r="R251" s="42">
        <f>'[1]побудинковий звіт'!R251+'[2]побудинковий звіт'!R251-'[3]побудинковий звіт'!R251</f>
        <v>0</v>
      </c>
      <c r="S251" s="42">
        <f>'[1]побудинковий звіт'!S251+'[2]побудинковий звіт'!S251-'[3]побудинковий звіт'!S251</f>
        <v>0</v>
      </c>
      <c r="T251" s="56">
        <f t="shared" si="241"/>
        <v>0</v>
      </c>
      <c r="U251" s="42">
        <f>'[1]побудинковий звіт'!U251+'[2]побудинковий звіт'!U251-'[3]побудинковий звіт'!U251</f>
        <v>0</v>
      </c>
      <c r="V251" s="42">
        <f>'[1]побудинковий звіт'!V251+'[2]побудинковий звіт'!V251-'[3]побудинковий звіт'!V251</f>
        <v>0</v>
      </c>
      <c r="W251" s="56">
        <f t="shared" si="242"/>
        <v>0</v>
      </c>
      <c r="X251" s="42">
        <f>'[1]побудинковий звіт'!X251+'[2]побудинковий звіт'!X251-'[3]побудинковий звіт'!X251</f>
        <v>0</v>
      </c>
      <c r="Y251" s="42">
        <f>'[1]побудинковий звіт'!Y251+'[2]побудинковий звіт'!Y251-'[3]побудинковий звіт'!Y251</f>
        <v>0</v>
      </c>
      <c r="Z251" s="56">
        <f t="shared" si="243"/>
        <v>0</v>
      </c>
      <c r="AA251" s="42">
        <f>'[1]побудинковий звіт'!AA251+'[2]побудинковий звіт'!AA251-'[3]побудинковий звіт'!AA251</f>
        <v>0</v>
      </c>
      <c r="AB251" s="42">
        <f>'[1]побудинковий звіт'!AB251+'[2]побудинковий звіт'!AB251-'[3]побудинковий звіт'!AB251</f>
        <v>0</v>
      </c>
      <c r="AC251" s="56">
        <f t="shared" si="244"/>
        <v>0</v>
      </c>
      <c r="AD251" s="42">
        <f>'[1]побудинковий звіт'!AD251+'[2]побудинковий звіт'!AD251-'[3]побудинковий звіт'!AD251</f>
        <v>0</v>
      </c>
      <c r="AE251" s="42">
        <f>'[1]побудинковий звіт'!AE251+'[2]побудинковий звіт'!AE251-'[3]побудинковий звіт'!AE251</f>
        <v>183.71571454647165</v>
      </c>
      <c r="AF251" s="37">
        <f t="shared" si="245"/>
        <v>183.71571454647165</v>
      </c>
      <c r="AG251" s="87">
        <f t="shared" si="235"/>
        <v>0</v>
      </c>
      <c r="AH251" s="57">
        <f t="shared" si="235"/>
        <v>183.71571454647165</v>
      </c>
      <c r="AI251" s="56">
        <f t="shared" si="246"/>
        <v>183.71571454647165</v>
      </c>
      <c r="AJ251" s="42">
        <f>'[1]побудинковий звіт'!AJ251+'[2]побудинковий звіт'!AJ251-'[3]побудинковий звіт'!AJ251</f>
        <v>0</v>
      </c>
      <c r="AK251" s="42">
        <f>'[1]побудинковий звіт'!AK251+'[2]побудинковий звіт'!AK251-'[3]побудинковий звіт'!AK251</f>
        <v>0</v>
      </c>
      <c r="AL251" s="56">
        <f t="shared" si="247"/>
        <v>0</v>
      </c>
      <c r="AM251" s="42">
        <f>'[1]побудинковий звіт'!AM251+'[2]побудинковий звіт'!AM251-'[3]побудинковий звіт'!AM251</f>
        <v>0</v>
      </c>
      <c r="AN251" s="42">
        <f>'[1]побудинковий звіт'!AN251+'[2]побудинковий звіт'!AN251-'[3]побудинковий звіт'!AN251</f>
        <v>0</v>
      </c>
      <c r="AO251" s="56">
        <f t="shared" si="248"/>
        <v>0</v>
      </c>
      <c r="AP251" s="42">
        <f>'[1]побудинковий звіт'!AP251+'[2]побудинковий звіт'!AP251-'[3]побудинковий звіт'!AP251</f>
        <v>568.21058573618984</v>
      </c>
      <c r="AQ251" s="42">
        <f>'[1]побудинковий звіт'!AQ251+'[2]побудинковий звіт'!AQ251-'[3]побудинковий звіт'!AQ251</f>
        <v>188.60749220062357</v>
      </c>
      <c r="AR251" s="56">
        <f t="shared" si="249"/>
        <v>-379.60309353556625</v>
      </c>
      <c r="AS251" s="42">
        <f>'[1]побудинковий звіт'!AS251+'[2]побудинковий звіт'!AS251-'[3]побудинковий звіт'!AS251</f>
        <v>3903.4659180532931</v>
      </c>
      <c r="AT251" s="42">
        <f>'[1]побудинковий звіт'!AT251+'[2]побудинковий звіт'!AT251-'[3]побудинковий звіт'!AT251</f>
        <v>2579</v>
      </c>
      <c r="AU251" s="58">
        <f t="shared" si="266"/>
        <v>-1324.4659180532931</v>
      </c>
      <c r="AV251" s="42">
        <f>'[1]побудинковий звіт'!AV251+'[2]побудинковий звіт'!AV251-'[3]побудинковий звіт'!AV251</f>
        <v>0</v>
      </c>
      <c r="AW251" s="42">
        <f>'[1]побудинковий звіт'!AW251+'[2]побудинковий звіт'!AW251-'[3]побудинковий звіт'!AW251</f>
        <v>0</v>
      </c>
      <c r="AX251" s="59">
        <f t="shared" si="267"/>
        <v>0</v>
      </c>
      <c r="AY251" s="42">
        <f>'[1]побудинковий звіт'!AY251+'[2]побудинковий звіт'!AY251-'[3]побудинковий звіт'!AY251</f>
        <v>0</v>
      </c>
      <c r="AZ251" s="42">
        <f>'[1]побудинковий звіт'!AZ251+'[2]побудинковий звіт'!AZ251-'[3]побудинковий звіт'!AZ251</f>
        <v>0</v>
      </c>
      <c r="BA251" s="37">
        <f t="shared" si="268"/>
        <v>0</v>
      </c>
      <c r="BB251" s="42">
        <f>'[1]побудинковий звіт'!BB251+'[2]побудинковий звіт'!BB251-'[3]побудинковий звіт'!BB251</f>
        <v>0</v>
      </c>
      <c r="BC251" s="42">
        <f>'[1]побудинковий звіт'!BC251+'[2]побудинковий звіт'!BC251-'[3]побудинковий звіт'!BC251</f>
        <v>0</v>
      </c>
      <c r="BD251" s="59">
        <f t="shared" si="269"/>
        <v>0</v>
      </c>
      <c r="BE251" s="42">
        <f>'[1]побудинковий звіт'!BE251+'[2]побудинковий звіт'!BE251-'[3]побудинковий звіт'!BE251</f>
        <v>0</v>
      </c>
      <c r="BF251" s="42">
        <f>'[1]побудинковий звіт'!BF251+'[2]побудинковий звіт'!BF251-'[3]побудинковий звіт'!BF251</f>
        <v>0</v>
      </c>
      <c r="BG251" s="39">
        <f t="shared" si="270"/>
        <v>0</v>
      </c>
      <c r="BH251" s="42">
        <f>'[1]побудинковий звіт'!BH251+'[2]побудинковий звіт'!BH251-'[3]побудинковий звіт'!BH251</f>
        <v>0</v>
      </c>
      <c r="BI251" s="42">
        <f>'[1]побудинковий звіт'!BI251+'[2]побудинковий звіт'!BI251-'[3]побудинковий звіт'!BI251</f>
        <v>0</v>
      </c>
      <c r="BJ251" s="59">
        <f t="shared" si="271"/>
        <v>0</v>
      </c>
      <c r="BK251" s="42">
        <f>'[1]побудинковий звіт'!BK251+'[2]побудинковий звіт'!BK251-'[3]побудинковий звіт'!BK251</f>
        <v>0</v>
      </c>
      <c r="BL251" s="42">
        <f>'[1]побудинковий звіт'!BL251+'[2]побудинковий звіт'!BL251-'[3]побудинковий звіт'!BL251</f>
        <v>0</v>
      </c>
      <c r="BM251" s="39">
        <f t="shared" si="272"/>
        <v>0</v>
      </c>
      <c r="BN251" s="42">
        <f>'[1]побудинковий звіт'!BN251+'[2]побудинковий звіт'!BN251-'[3]побудинковий звіт'!BN251</f>
        <v>0</v>
      </c>
      <c r="BO251" s="42">
        <f>'[1]побудинковий звіт'!BO251+'[2]побудинковий звіт'!BO251-'[3]побудинковий звіт'!BO251</f>
        <v>0</v>
      </c>
      <c r="BP251" s="59">
        <f t="shared" si="273"/>
        <v>0</v>
      </c>
      <c r="BQ251" s="87">
        <f t="shared" si="233"/>
        <v>0</v>
      </c>
      <c r="BR251" s="43">
        <f t="shared" si="275"/>
        <v>0</v>
      </c>
      <c r="BS251" s="59">
        <f t="shared" si="274"/>
        <v>0</v>
      </c>
      <c r="BT251" s="42">
        <f>'[1]побудинковий звіт'!BT251+'[2]побудинковий звіт'!BT251-'[3]побудинковий звіт'!BT251</f>
        <v>765.66434413432012</v>
      </c>
      <c r="BU251" s="42">
        <f>'[1]побудинковий звіт'!BU251+'[2]побудинковий звіт'!BU251-'[3]побудинковий звіт'!BU251</f>
        <v>1620.0185501439278</v>
      </c>
      <c r="BV251" s="56">
        <f t="shared" si="250"/>
        <v>854.35420600960765</v>
      </c>
      <c r="BW251" s="42">
        <f>'[1]побудинковий звіт'!BW251+'[2]побудинковий звіт'!BW251-'[3]побудинковий звіт'!BW251</f>
        <v>0</v>
      </c>
      <c r="BX251" s="42">
        <f>'[1]побудинковий звіт'!BX251+'[2]побудинковий звіт'!BX251-'[3]побудинковий звіт'!BX251</f>
        <v>8.8844700978952513</v>
      </c>
      <c r="BY251" s="56">
        <f t="shared" si="251"/>
        <v>8.8844700978952513</v>
      </c>
      <c r="BZ251" s="42">
        <f>'[1]побудинковий звіт'!BZ251+'[2]побудинковий звіт'!BZ251-'[3]побудинковий звіт'!BZ251</f>
        <v>0</v>
      </c>
      <c r="CA251" s="42">
        <f>'[1]побудинковий звіт'!CA251+'[2]побудинковий звіт'!CA251-'[3]побудинковий звіт'!CA251</f>
        <v>390.49676570913755</v>
      </c>
      <c r="CB251" s="56">
        <f t="shared" si="252"/>
        <v>390.49676570913755</v>
      </c>
      <c r="CC251" s="42">
        <f>'[1]побудинковий звіт'!CC251+'[2]побудинковий звіт'!CC251-'[3]побудинковий звіт'!CC251</f>
        <v>0</v>
      </c>
      <c r="CD251" s="42">
        <f>'[1]побудинковий звіт'!CD251+'[2]побудинковий звіт'!CD251-'[3]побудинковий звіт'!CD251</f>
        <v>0</v>
      </c>
      <c r="CE251" s="56">
        <f t="shared" si="253"/>
        <v>0</v>
      </c>
      <c r="CF251" s="42">
        <f>'[1]побудинковий звіт'!CF251+'[2]побудинковий звіт'!CF251-'[3]побудинковий звіт'!CF251</f>
        <v>0</v>
      </c>
      <c r="CG251" s="42">
        <f>'[1]побудинковий звіт'!CG251+'[2]побудинковий звіт'!CG251-'[3]побудинковий звіт'!CG251</f>
        <v>0</v>
      </c>
      <c r="CH251" s="56">
        <f t="shared" si="254"/>
        <v>0</v>
      </c>
      <c r="CI251" s="42">
        <f>'[1]побудинковий звіт'!CI251+'[2]побудинковий звіт'!CI251-'[3]побудинковий звіт'!CI251</f>
        <v>0</v>
      </c>
      <c r="CJ251" s="42">
        <f>'[1]побудинковий звіт'!CJ251+'[2]побудинковий звіт'!CJ251-'[3]побудинковий звіт'!CJ251</f>
        <v>0</v>
      </c>
      <c r="CK251" s="56">
        <f t="shared" si="255"/>
        <v>0</v>
      </c>
      <c r="CL251" s="42">
        <f>'[1]побудинковий звіт'!CL251+'[2]побудинковий звіт'!CL251-'[3]побудинковий звіт'!CL251</f>
        <v>0</v>
      </c>
      <c r="CM251" s="42">
        <f>'[1]побудинковий звіт'!CM251+'[2]побудинковий звіт'!CM251-'[3]побудинковий звіт'!CM251</f>
        <v>0</v>
      </c>
      <c r="CN251" s="56">
        <f t="shared" si="256"/>
        <v>0</v>
      </c>
      <c r="CO251" s="42">
        <f t="shared" si="236"/>
        <v>0</v>
      </c>
      <c r="CP251" s="43">
        <f t="shared" si="257"/>
        <v>0</v>
      </c>
      <c r="CQ251" s="56">
        <f t="shared" si="258"/>
        <v>0</v>
      </c>
      <c r="CR251" s="78">
        <f t="shared" si="237"/>
        <v>5237.3408479238033</v>
      </c>
      <c r="CS251" s="5">
        <f t="shared" si="237"/>
        <v>4970.7229926980554</v>
      </c>
      <c r="CT251" s="56">
        <f t="shared" si="259"/>
        <v>-266.61785522574792</v>
      </c>
      <c r="CU251" s="87">
        <f t="shared" si="260"/>
        <v>6284.8090175085636</v>
      </c>
      <c r="CV251" s="70">
        <f t="shared" si="261"/>
        <v>5964.8675912376666</v>
      </c>
      <c r="CW251" s="37">
        <f t="shared" si="262"/>
        <v>-319.94142627089695</v>
      </c>
      <c r="CX251" s="42">
        <f>'[1]побудинковий звіт'!CX251+'[2]побудинковий звіт'!CX251-'[3]побудинковий звіт'!CX251</f>
        <v>282.91098249143624</v>
      </c>
      <c r="CY251" s="42">
        <f>'[1]побудинковий звіт'!CY251+'[2]побудинковий звіт'!CY251-'[3]побудинковий звіт'!CY251</f>
        <v>602.8524087623332</v>
      </c>
      <c r="CZ251" s="56">
        <f t="shared" si="263"/>
        <v>319.94142627089695</v>
      </c>
      <c r="DA251" s="264">
        <f>'[4]побудинковий звіт'!DA251</f>
        <v>-3767.0533836610443</v>
      </c>
      <c r="DB251" s="2">
        <v>1</v>
      </c>
      <c r="DC251" s="717">
        <f>'[4]побудинковий звіт'!DC251</f>
        <v>1649.75</v>
      </c>
      <c r="DD251" s="717">
        <f>'[4]побудинковий звіт'!DD251</f>
        <v>0</v>
      </c>
      <c r="DE251" s="717">
        <f>'[4]побудинковий звіт'!DE251</f>
        <v>1102.44</v>
      </c>
      <c r="DF251" s="717">
        <f>'[4]побудинковий звіт'!DF251</f>
        <v>0</v>
      </c>
      <c r="DG251" s="787">
        <v>-3200.3781753372077</v>
      </c>
      <c r="DH251" s="761">
        <f t="shared" si="226"/>
        <v>78812.639999999985</v>
      </c>
      <c r="DI251" s="784"/>
      <c r="DJ251" s="5"/>
      <c r="DK251" s="317">
        <f>VLOOKUP($A251,ціни!$A$4:$G$401,5)</f>
        <v>1.9844166737057194</v>
      </c>
      <c r="DL251" s="317"/>
      <c r="DM251" s="317">
        <f>VLOOKUP($A251,ціни!$A$4:$G$401,7)</f>
        <v>1.9844166737057194</v>
      </c>
      <c r="DN251" s="30">
        <f t="shared" si="276"/>
        <v>8873.3191564751251</v>
      </c>
      <c r="DO251" s="30">
        <f t="shared" si="277"/>
        <v>0</v>
      </c>
      <c r="DP251" s="316">
        <f t="shared" si="278"/>
        <v>8873.3191564751251</v>
      </c>
      <c r="DQ251" s="104"/>
      <c r="DR251" s="30">
        <f>VLOOKUP(A251,'ДЗ нас '!$A$1:$C$359,2)</f>
        <v>547.30999999999995</v>
      </c>
      <c r="DS251" s="748"/>
      <c r="DT251" s="30">
        <f t="shared" si="279"/>
        <v>547.30999999999995</v>
      </c>
      <c r="DU251" s="257">
        <f>VLOOKUP(A251,'новий кошторис с 01.06'!$A$4:$AI$399,35)*1.2</f>
        <v>552.01572537116874</v>
      </c>
      <c r="DV251" s="30">
        <f t="shared" si="280"/>
        <v>-4.7057253711687963</v>
      </c>
      <c r="DW251" s="930">
        <f>'[5]побудинковий звіт'!DW251+'[6]побудинковий звіт'!DW251</f>
        <v>0</v>
      </c>
      <c r="DY251" s="5">
        <f t="shared" si="227"/>
        <v>4684.1591016639513</v>
      </c>
      <c r="DZ251" s="5">
        <f t="shared" si="228"/>
        <v>3094.7999999999997</v>
      </c>
      <c r="EA251" s="752">
        <f t="shared" si="229"/>
        <v>1102.44</v>
      </c>
      <c r="EC251" s="592">
        <f t="shared" si="230"/>
        <v>46841.591016639519</v>
      </c>
      <c r="EE251" s="758">
        <v>-3303</v>
      </c>
      <c r="EF251" s="738">
        <f t="shared" si="231"/>
        <v>-6503.3781753372077</v>
      </c>
      <c r="EH251" s="813">
        <v>-3865.0494025790426</v>
      </c>
    </row>
    <row r="252" spans="1:138" x14ac:dyDescent="0.3">
      <c r="A252" s="328">
        <v>150000751</v>
      </c>
      <c r="B252" s="44" t="s">
        <v>702</v>
      </c>
      <c r="C252" s="45" t="s">
        <v>130</v>
      </c>
      <c r="D252" s="45" t="s">
        <v>130</v>
      </c>
      <c r="E252" s="40">
        <f t="shared" si="232"/>
        <v>4538</v>
      </c>
      <c r="F252" s="490">
        <v>4538</v>
      </c>
      <c r="G252" s="30"/>
      <c r="H252" s="30">
        <v>0</v>
      </c>
      <c r="I252" s="42">
        <f>'[1]побудинковий звіт'!I252+'[2]побудинковий звіт'!I252-'[3]побудинковий звіт'!I252</f>
        <v>0</v>
      </c>
      <c r="J252" s="42">
        <f>'[1]побудинковий звіт'!J252+'[2]побудинковий звіт'!J252-'[3]побудинковий звіт'!J252</f>
        <v>0</v>
      </c>
      <c r="K252" s="56">
        <f t="shared" si="238"/>
        <v>0</v>
      </c>
      <c r="L252" s="42">
        <f>'[1]побудинковий звіт'!L252+'[2]побудинковий звіт'!L252-'[3]побудинковий звіт'!L252</f>
        <v>0</v>
      </c>
      <c r="M252" s="42">
        <f>'[1]побудинковий звіт'!M252+'[2]побудинковий звіт'!M252-'[3]побудинковий звіт'!M252</f>
        <v>0</v>
      </c>
      <c r="N252" s="56">
        <f t="shared" si="239"/>
        <v>0</v>
      </c>
      <c r="O252" s="42">
        <f>'[1]побудинковий звіт'!O252+'[2]побудинковий звіт'!O252-'[3]побудинковий звіт'!O252</f>
        <v>0</v>
      </c>
      <c r="P252" s="42">
        <f>'[1]побудинковий звіт'!P252+'[2]побудинковий звіт'!P252-'[3]побудинковий звіт'!P252</f>
        <v>0</v>
      </c>
      <c r="Q252" s="56">
        <f t="shared" si="240"/>
        <v>0</v>
      </c>
      <c r="R252" s="42">
        <f>'[1]побудинковий звіт'!R252+'[2]побудинковий звіт'!R252-'[3]побудинковий звіт'!R252</f>
        <v>0</v>
      </c>
      <c r="S252" s="42">
        <f>'[1]побудинковий звіт'!S252+'[2]побудинковий звіт'!S252-'[3]побудинковий звіт'!S252</f>
        <v>0</v>
      </c>
      <c r="T252" s="56">
        <f t="shared" si="241"/>
        <v>0</v>
      </c>
      <c r="U252" s="42">
        <f>'[1]побудинковий звіт'!U252+'[2]побудинковий звіт'!U252-'[3]побудинковий звіт'!U252</f>
        <v>0</v>
      </c>
      <c r="V252" s="42">
        <f>'[1]побудинковий звіт'!V252+'[2]побудинковий звіт'!V252-'[3]побудинковий звіт'!V252</f>
        <v>0</v>
      </c>
      <c r="W252" s="56">
        <f t="shared" si="242"/>
        <v>0</v>
      </c>
      <c r="X252" s="42">
        <f>'[1]побудинковий звіт'!X252+'[2]побудинковий звіт'!X252-'[3]побудинковий звіт'!X252</f>
        <v>0</v>
      </c>
      <c r="Y252" s="42">
        <f>'[1]побудинковий звіт'!Y252+'[2]побудинковий звіт'!Y252-'[3]побудинковий звіт'!Y252</f>
        <v>0</v>
      </c>
      <c r="Z252" s="56">
        <f t="shared" si="243"/>
        <v>0</v>
      </c>
      <c r="AA252" s="42">
        <f>'[1]побудинковий звіт'!AA252+'[2]побудинковий звіт'!AA252-'[3]побудинковий звіт'!AA252</f>
        <v>0</v>
      </c>
      <c r="AB252" s="42">
        <f>'[1]побудинковий звіт'!AB252+'[2]побудинковий звіт'!AB252-'[3]побудинковий звіт'!AB252</f>
        <v>0</v>
      </c>
      <c r="AC252" s="56">
        <f t="shared" si="244"/>
        <v>0</v>
      </c>
      <c r="AD252" s="42">
        <f>'[1]побудинковий звіт'!AD252+'[2]побудинковий звіт'!AD252-'[3]побудинковий звіт'!AD252</f>
        <v>0</v>
      </c>
      <c r="AE252" s="42">
        <f>'[1]побудинковий звіт'!AE252+'[2]побудинковий звіт'!AE252-'[3]побудинковий звіт'!AE252</f>
        <v>97.320035878315821</v>
      </c>
      <c r="AF252" s="37">
        <f t="shared" si="245"/>
        <v>97.320035878315821</v>
      </c>
      <c r="AG252" s="87">
        <f t="shared" si="235"/>
        <v>0</v>
      </c>
      <c r="AH252" s="57">
        <f t="shared" si="235"/>
        <v>97.320035878315821</v>
      </c>
      <c r="AI252" s="56">
        <f t="shared" si="246"/>
        <v>97.320035878315821</v>
      </c>
      <c r="AJ252" s="42">
        <f>'[1]побудинковий звіт'!AJ252+'[2]побудинковий звіт'!AJ252-'[3]побудинковий звіт'!AJ252</f>
        <v>0</v>
      </c>
      <c r="AK252" s="42">
        <f>'[1]побудинковий звіт'!AK252+'[2]побудинковий звіт'!AK252-'[3]побудинковий звіт'!AK252</f>
        <v>0</v>
      </c>
      <c r="AL252" s="56">
        <f t="shared" si="247"/>
        <v>0</v>
      </c>
      <c r="AM252" s="42">
        <f>'[1]побудинковий звіт'!AM252+'[2]побудинковий звіт'!AM252-'[3]побудинковий звіт'!AM252</f>
        <v>0</v>
      </c>
      <c r="AN252" s="42">
        <f>'[1]побудинковий звіт'!AN252+'[2]побудинковий звіт'!AN252-'[3]побудинковий звіт'!AN252</f>
        <v>0</v>
      </c>
      <c r="AO252" s="56">
        <f t="shared" si="248"/>
        <v>0</v>
      </c>
      <c r="AP252" s="42">
        <f>'[1]побудинковий звіт'!AP252+'[2]побудинковий звіт'!AP252-'[3]побудинковий звіт'!AP252</f>
        <v>331.45617501277735</v>
      </c>
      <c r="AQ252" s="42">
        <f>'[1]побудинковий звіт'!AQ252+'[2]побудинковий звіт'!AQ252-'[3]побудинковий звіт'!AQ252</f>
        <v>283.96212900631497</v>
      </c>
      <c r="AR252" s="56">
        <f t="shared" si="249"/>
        <v>-47.494046006462384</v>
      </c>
      <c r="AS252" s="42">
        <f>'[1]побудинковий звіт'!AS252+'[2]побудинковий звіт'!AS252-'[3]побудинковий звіт'!AS252</f>
        <v>1812.8902300686082</v>
      </c>
      <c r="AT252" s="42">
        <f>'[1]побудинковий звіт'!AT252+'[2]побудинковий звіт'!AT252-'[3]побудинковий звіт'!AT252</f>
        <v>0</v>
      </c>
      <c r="AU252" s="58">
        <f t="shared" si="266"/>
        <v>-1812.8902300686082</v>
      </c>
      <c r="AV252" s="42">
        <f>'[1]побудинковий звіт'!AV252+'[2]побудинковий звіт'!AV252-'[3]побудинковий звіт'!AV252</f>
        <v>0</v>
      </c>
      <c r="AW252" s="42">
        <f>'[1]побудинковий звіт'!AW252+'[2]побудинковий звіт'!AW252-'[3]побудинковий звіт'!AW252</f>
        <v>0</v>
      </c>
      <c r="AX252" s="59">
        <f t="shared" si="267"/>
        <v>0</v>
      </c>
      <c r="AY252" s="42">
        <f>'[1]побудинковий звіт'!AY252+'[2]побудинковий звіт'!AY252-'[3]побудинковий звіт'!AY252</f>
        <v>0</v>
      </c>
      <c r="AZ252" s="42">
        <f>'[1]побудинковий звіт'!AZ252+'[2]побудинковий звіт'!AZ252-'[3]побудинковий звіт'!AZ252</f>
        <v>0</v>
      </c>
      <c r="BA252" s="37">
        <f t="shared" si="268"/>
        <v>0</v>
      </c>
      <c r="BB252" s="42">
        <f>'[1]побудинковий звіт'!BB252+'[2]побудинковий звіт'!BB252-'[3]побудинковий звіт'!BB252</f>
        <v>0</v>
      </c>
      <c r="BC252" s="42">
        <f>'[1]побудинковий звіт'!BC252+'[2]побудинковий звіт'!BC252-'[3]побудинковий звіт'!BC252</f>
        <v>0</v>
      </c>
      <c r="BD252" s="59">
        <f t="shared" si="269"/>
        <v>0</v>
      </c>
      <c r="BE252" s="42">
        <f>'[1]побудинковий звіт'!BE252+'[2]побудинковий звіт'!BE252-'[3]побудинковий звіт'!BE252</f>
        <v>0</v>
      </c>
      <c r="BF252" s="42">
        <f>'[1]побудинковий звіт'!BF252+'[2]побудинковий звіт'!BF252-'[3]побудинковий звіт'!BF252</f>
        <v>0</v>
      </c>
      <c r="BG252" s="39">
        <f t="shared" si="270"/>
        <v>0</v>
      </c>
      <c r="BH252" s="42">
        <f>'[1]побудинковий звіт'!BH252+'[2]побудинковий звіт'!BH252-'[3]побудинковий звіт'!BH252</f>
        <v>0</v>
      </c>
      <c r="BI252" s="42">
        <f>'[1]побудинковий звіт'!BI252+'[2]побудинковий звіт'!BI252-'[3]побудинковий звіт'!BI252</f>
        <v>0</v>
      </c>
      <c r="BJ252" s="59">
        <f t="shared" si="271"/>
        <v>0</v>
      </c>
      <c r="BK252" s="42">
        <f>'[1]побудинковий звіт'!BK252+'[2]побудинковий звіт'!BK252-'[3]побудинковий звіт'!BK252</f>
        <v>0</v>
      </c>
      <c r="BL252" s="42">
        <f>'[1]побудинковий звіт'!BL252+'[2]побудинковий звіт'!BL252-'[3]побудинковий звіт'!BL252</f>
        <v>0</v>
      </c>
      <c r="BM252" s="39">
        <f t="shared" si="272"/>
        <v>0</v>
      </c>
      <c r="BN252" s="42">
        <f>'[1]побудинковий звіт'!BN252+'[2]побудинковий звіт'!BN252-'[3]побудинковий звіт'!BN252</f>
        <v>0</v>
      </c>
      <c r="BO252" s="42">
        <f>'[1]побудинковий звіт'!BO252+'[2]побудинковий звіт'!BO252-'[3]побудинковий звіт'!BO252</f>
        <v>0</v>
      </c>
      <c r="BP252" s="59">
        <f t="shared" si="273"/>
        <v>0</v>
      </c>
      <c r="BQ252" s="87">
        <f t="shared" si="233"/>
        <v>0</v>
      </c>
      <c r="BR252" s="43">
        <f t="shared" si="275"/>
        <v>0</v>
      </c>
      <c r="BS252" s="59">
        <f t="shared" si="274"/>
        <v>0</v>
      </c>
      <c r="BT252" s="42">
        <f>'[1]побудинковий звіт'!BT252+'[2]побудинковий звіт'!BT252-'[3]побудинковий звіт'!BT252</f>
        <v>404.36648174593779</v>
      </c>
      <c r="BU252" s="42">
        <f>'[1]побудинковий звіт'!BU252+'[2]побудинковий звіт'!BU252-'[3]побудинковий звіт'!BU252</f>
        <v>1048.1677740291448</v>
      </c>
      <c r="BV252" s="56">
        <f t="shared" si="250"/>
        <v>643.80129228320698</v>
      </c>
      <c r="BW252" s="42">
        <f>'[1]побудинковий звіт'!BW252+'[2]побудинковий звіт'!BW252-'[3]побудинковий звіт'!BW252</f>
        <v>0</v>
      </c>
      <c r="BX252" s="42">
        <f>'[1]побудинковий звіт'!BX252+'[2]побудинковий звіт'!BX252-'[3]побудинковий звіт'!BX252</f>
        <v>4.7063853564267459</v>
      </c>
      <c r="BY252" s="56">
        <f t="shared" si="251"/>
        <v>4.7063853564267459</v>
      </c>
      <c r="BZ252" s="42">
        <f>'[1]побудинковий звіт'!BZ252+'[2]побудинковий звіт'!BZ252-'[3]побудинковий звіт'!BZ252</f>
        <v>0</v>
      </c>
      <c r="CA252" s="42">
        <f>'[1]побудинковий звіт'!CA252+'[2]побудинковий звіт'!CA252-'[3]побудинковий звіт'!CA252</f>
        <v>252.65520919039054</v>
      </c>
      <c r="CB252" s="56">
        <f t="shared" si="252"/>
        <v>252.65520919039054</v>
      </c>
      <c r="CC252" s="42">
        <f>'[1]побудинковий звіт'!CC252+'[2]побудинковий звіт'!CC252-'[3]побудинковий звіт'!CC252</f>
        <v>0</v>
      </c>
      <c r="CD252" s="42">
        <f>'[1]побудинковий звіт'!CD252+'[2]побудинковий звіт'!CD252-'[3]побудинковий звіт'!CD252</f>
        <v>0</v>
      </c>
      <c r="CE252" s="56">
        <f t="shared" si="253"/>
        <v>0</v>
      </c>
      <c r="CF252" s="42">
        <f>'[1]побудинковий звіт'!CF252+'[2]побудинковий звіт'!CF252-'[3]побудинковий звіт'!CF252</f>
        <v>0</v>
      </c>
      <c r="CG252" s="42">
        <f>'[1]побудинковий звіт'!CG252+'[2]побудинковий звіт'!CG252-'[3]побудинковий звіт'!CG252</f>
        <v>0</v>
      </c>
      <c r="CH252" s="56">
        <f t="shared" si="254"/>
        <v>0</v>
      </c>
      <c r="CI252" s="42">
        <f>'[1]побудинковий звіт'!CI252+'[2]побудинковий звіт'!CI252-'[3]побудинковий звіт'!CI252</f>
        <v>0</v>
      </c>
      <c r="CJ252" s="42">
        <f>'[1]побудинковий звіт'!CJ252+'[2]побудинковий звіт'!CJ252-'[3]побудинковий звіт'!CJ252</f>
        <v>0</v>
      </c>
      <c r="CK252" s="56">
        <f t="shared" si="255"/>
        <v>0</v>
      </c>
      <c r="CL252" s="42">
        <f>'[1]побудинковий звіт'!CL252+'[2]побудинковий звіт'!CL252-'[3]побудинковий звіт'!CL252</f>
        <v>0</v>
      </c>
      <c r="CM252" s="42">
        <f>'[1]побудинковий звіт'!CM252+'[2]побудинковий звіт'!CM252-'[3]побудинковий звіт'!CM252</f>
        <v>0</v>
      </c>
      <c r="CN252" s="56">
        <f t="shared" si="256"/>
        <v>0</v>
      </c>
      <c r="CO252" s="42">
        <f t="shared" si="236"/>
        <v>0</v>
      </c>
      <c r="CP252" s="43">
        <f t="shared" si="257"/>
        <v>0</v>
      </c>
      <c r="CQ252" s="56">
        <f t="shared" si="258"/>
        <v>0</v>
      </c>
      <c r="CR252" s="78">
        <f t="shared" si="237"/>
        <v>2548.712886827323</v>
      </c>
      <c r="CS252" s="5">
        <f t="shared" si="237"/>
        <v>1686.8115334605927</v>
      </c>
      <c r="CT252" s="56">
        <f t="shared" si="259"/>
        <v>-861.90135336673029</v>
      </c>
      <c r="CU252" s="87">
        <f t="shared" si="260"/>
        <v>3058.4554641927875</v>
      </c>
      <c r="CV252" s="70">
        <f t="shared" si="261"/>
        <v>2024.1738401527111</v>
      </c>
      <c r="CW252" s="37">
        <f t="shared" si="262"/>
        <v>-1034.2816240400764</v>
      </c>
      <c r="CX252" s="42">
        <f>'[1]побудинковий звіт'!CX252+'[2]побудинковий звіт'!CX252-'[3]побудинковий звіт'!CX252</f>
        <v>45.824535807211873</v>
      </c>
      <c r="CY252" s="42">
        <f>'[1]побудинковий звіт'!CY252+'[2]побудинковий звіт'!CY252-'[3]побудинковий звіт'!CY252</f>
        <v>1080.1061598472884</v>
      </c>
      <c r="CZ252" s="56">
        <f t="shared" si="263"/>
        <v>1034.2816240400766</v>
      </c>
      <c r="DA252" s="264">
        <f>'[4]побудинковий звіт'!DA252</f>
        <v>496.04908716558066</v>
      </c>
      <c r="DB252" s="2">
        <v>1</v>
      </c>
      <c r="DC252" s="717">
        <f>'[4]побудинковий звіт'!DC252</f>
        <v>-525.25</v>
      </c>
      <c r="DD252" s="717">
        <f>'[4]побудинковий звіт'!DD252</f>
        <v>0</v>
      </c>
      <c r="DE252" s="717">
        <f>'[4]побудинковий звіт'!DE252</f>
        <v>-783.94</v>
      </c>
      <c r="DF252" s="717">
        <f>'[4]побудинковий звіт'!DF252</f>
        <v>0</v>
      </c>
      <c r="DG252" s="787">
        <v>863.22216276737709</v>
      </c>
      <c r="DH252" s="761">
        <f t="shared" si="226"/>
        <v>37251.359999999993</v>
      </c>
      <c r="DI252" s="784"/>
      <c r="DJ252" s="5"/>
      <c r="DK252" s="317">
        <f>VLOOKUP($A252,ціни!$A$4:$G$401,5)</f>
        <v>1.7706663792811317</v>
      </c>
      <c r="DL252" s="317"/>
      <c r="DM252" s="317">
        <f>VLOOKUP($A252,ціни!$A$4:$G$401,7)</f>
        <v>1.7706663792811317</v>
      </c>
      <c r="DN252" s="30">
        <f t="shared" si="276"/>
        <v>8035.2840291777757</v>
      </c>
      <c r="DO252" s="30">
        <f t="shared" si="277"/>
        <v>0</v>
      </c>
      <c r="DP252" s="316">
        <f t="shared" si="278"/>
        <v>8035.2840291777757</v>
      </c>
      <c r="DQ252" s="104"/>
      <c r="DR252" s="30">
        <f>VLOOKUP(A252,'ДЗ нас '!$A$1:$C$359,2)</f>
        <v>258.69</v>
      </c>
      <c r="DS252" s="748"/>
      <c r="DT252" s="30">
        <f t="shared" si="279"/>
        <v>258.69</v>
      </c>
      <c r="DU252" s="257">
        <f>VLOOKUP(A252,'новий кошторис с 01.06'!$A$4:$AI$399,35)*1.2</f>
        <v>259.45897187902153</v>
      </c>
      <c r="DV252" s="30">
        <f t="shared" si="280"/>
        <v>-0.76897187902153519</v>
      </c>
      <c r="DW252" s="930">
        <f>'[5]побудинковий звіт'!DW252+'[6]побудинковий звіт'!DW252</f>
        <v>0</v>
      </c>
      <c r="DY252" s="5">
        <f t="shared" si="227"/>
        <v>2175.4682760823298</v>
      </c>
      <c r="DZ252" s="5">
        <f t="shared" si="228"/>
        <v>0</v>
      </c>
      <c r="EA252" s="752">
        <f t="shared" si="229"/>
        <v>-783.94</v>
      </c>
      <c r="EC252" s="592">
        <f t="shared" si="230"/>
        <v>21754.6827608233</v>
      </c>
      <c r="EE252" s="758">
        <v>-1249</v>
      </c>
      <c r="EF252" s="738">
        <f t="shared" si="231"/>
        <v>-385.77783723262291</v>
      </c>
      <c r="EH252" s="813">
        <v>1401.8900949620377</v>
      </c>
    </row>
    <row r="253" spans="1:138" x14ac:dyDescent="0.3">
      <c r="A253" s="328">
        <v>150000752</v>
      </c>
      <c r="B253" s="44" t="s">
        <v>703</v>
      </c>
      <c r="C253" s="45" t="s">
        <v>386</v>
      </c>
      <c r="D253" s="45" t="s">
        <v>386</v>
      </c>
      <c r="E253" s="40">
        <f t="shared" si="232"/>
        <v>3381.24</v>
      </c>
      <c r="F253" s="490">
        <v>3208.93</v>
      </c>
      <c r="G253" s="30">
        <v>276.3</v>
      </c>
      <c r="H253" s="30">
        <v>172.31</v>
      </c>
      <c r="I253" s="42">
        <f>'[1]побудинковий звіт'!I253+'[2]побудинковий звіт'!I253-'[3]побудинковий звіт'!I253</f>
        <v>11568.956497100577</v>
      </c>
      <c r="J253" s="42">
        <f>'[1]побудинковий звіт'!J253+'[2]побудинковий звіт'!J253-'[3]побудинковий звіт'!J253</f>
        <v>9857.2346196204835</v>
      </c>
      <c r="K253" s="56">
        <f t="shared" si="238"/>
        <v>-1711.7218774800931</v>
      </c>
      <c r="L253" s="42">
        <f>'[1]побудинковий звіт'!L253+'[2]побудинковий звіт'!L253-'[3]побудинковий звіт'!L253</f>
        <v>1942.5627882281137</v>
      </c>
      <c r="M253" s="42">
        <f>'[1]побудинковий звіт'!M253+'[2]побудинковий звіт'!M253-'[3]побудинковий звіт'!M253</f>
        <v>1814.3066649921655</v>
      </c>
      <c r="N253" s="56">
        <f t="shared" si="239"/>
        <v>-128.25612323594828</v>
      </c>
      <c r="O253" s="42">
        <f>'[1]побудинковий звіт'!O253+'[2]побудинковий звіт'!O253-'[3]побудинковий звіт'!O253</f>
        <v>5849.1600000000008</v>
      </c>
      <c r="P253" s="42">
        <f>'[1]побудинковий звіт'!P253+'[2]побудинковий звіт'!P253-'[3]побудинковий звіт'!P253</f>
        <v>4597.7380854838702</v>
      </c>
      <c r="Q253" s="56">
        <f t="shared" si="240"/>
        <v>-1251.4219145161305</v>
      </c>
      <c r="R253" s="42">
        <f>'[1]побудинковий звіт'!R253+'[2]побудинковий звіт'!R253-'[3]побудинковий звіт'!R253</f>
        <v>1259.5200000000002</v>
      </c>
      <c r="S253" s="42">
        <f>'[1]побудинковий звіт'!S253+'[2]побудинковий звіт'!S253-'[3]побудинковий звіт'!S253</f>
        <v>990.20485698924745</v>
      </c>
      <c r="T253" s="56">
        <f t="shared" si="241"/>
        <v>-269.31514301075276</v>
      </c>
      <c r="U253" s="42">
        <f>'[1]побудинковий звіт'!U253+'[2]побудинковий звіт'!U253-'[3]побудинковий звіт'!U253</f>
        <v>780.05784393801946</v>
      </c>
      <c r="V253" s="42">
        <f>'[1]побудинковий звіт'!V253+'[2]побудинковий звіт'!V253-'[3]побудинковий звіт'!V253</f>
        <v>291.03059205356476</v>
      </c>
      <c r="W253" s="56">
        <f t="shared" si="242"/>
        <v>-489.0272518844547</v>
      </c>
      <c r="X253" s="42">
        <f>'[1]побудинковий звіт'!X253+'[2]побудинковий звіт'!X253-'[3]побудинковий звіт'!X253</f>
        <v>8315.9107814878898</v>
      </c>
      <c r="Y253" s="42">
        <f>'[1]побудинковий звіт'!Y253+'[2]побудинковий звіт'!Y253-'[3]побудинковий звіт'!Y253</f>
        <v>5584.5590667414972</v>
      </c>
      <c r="Z253" s="56">
        <f t="shared" si="243"/>
        <v>-2731.3517147463926</v>
      </c>
      <c r="AA253" s="42">
        <f>'[1]побудинковий звіт'!AA253+'[2]побудинковий звіт'!AA253-'[3]побудинковий звіт'!AA253</f>
        <v>0</v>
      </c>
      <c r="AB253" s="42">
        <f>'[1]побудинковий звіт'!AB253+'[2]побудинковий звіт'!AB253-'[3]побудинковий звіт'!AB253</f>
        <v>0</v>
      </c>
      <c r="AC253" s="56">
        <f t="shared" si="244"/>
        <v>0</v>
      </c>
      <c r="AD253" s="42">
        <f>'[1]побудинковий звіт'!AD253+'[2]побудинковий звіт'!AD253-'[3]побудинковий звіт'!AD253</f>
        <v>17063.560899557302</v>
      </c>
      <c r="AE253" s="42">
        <f>'[1]побудинковий звіт'!AE253+'[2]побудинковий звіт'!AE253-'[3]побудинковий звіт'!AE253</f>
        <v>15727.40983077903</v>
      </c>
      <c r="AF253" s="37">
        <f t="shared" si="245"/>
        <v>-1336.151068778272</v>
      </c>
      <c r="AG253" s="87">
        <f t="shared" si="235"/>
        <v>46779.728810311906</v>
      </c>
      <c r="AH253" s="57">
        <f t="shared" si="235"/>
        <v>38862.483716659859</v>
      </c>
      <c r="AI253" s="56">
        <f t="shared" si="246"/>
        <v>-7917.2450936520472</v>
      </c>
      <c r="AJ253" s="42">
        <f>'[1]побудинковий звіт'!AJ253+'[2]побудинковий звіт'!AJ253-'[3]побудинковий звіт'!AJ253</f>
        <v>41478.570579091407</v>
      </c>
      <c r="AK253" s="42">
        <f>'[1]побудинковий звіт'!AK253+'[2]побудинковий звіт'!AK253-'[3]побудинковий звіт'!AK253</f>
        <v>40047.645652050443</v>
      </c>
      <c r="AL253" s="56">
        <f t="shared" si="247"/>
        <v>-1430.9249270409637</v>
      </c>
      <c r="AM253" s="42">
        <f>'[1]побудинковий звіт'!AM253+'[2]побудинковий звіт'!AM253-'[3]побудинковий звіт'!AM253</f>
        <v>0</v>
      </c>
      <c r="AN253" s="42">
        <f>'[1]побудинковий звіт'!AN253+'[2]побудинковий звіт'!AN253-'[3]побудинковий звіт'!AN253</f>
        <v>0</v>
      </c>
      <c r="AO253" s="56">
        <f t="shared" si="248"/>
        <v>0</v>
      </c>
      <c r="AP253" s="42">
        <f>'[1]побудинковий звіт'!AP253+'[2]побудинковий звіт'!AP253-'[3]побудинковий звіт'!AP253</f>
        <v>3219.8599858384096</v>
      </c>
      <c r="AQ253" s="42">
        <f>'[1]побудинковий звіт'!AQ253+'[2]побудинковий звіт'!AQ253-'[3]побудинковий звіт'!AQ253</f>
        <v>3028.5995710522925</v>
      </c>
      <c r="AR253" s="56">
        <f t="shared" si="249"/>
        <v>-191.26041478611705</v>
      </c>
      <c r="AS253" s="42">
        <f>'[1]побудинковий звіт'!AS253+'[2]побудинковий звіт'!AS253-'[3]побудинковий звіт'!AS253</f>
        <v>74602.500155427479</v>
      </c>
      <c r="AT253" s="42">
        <f>'[1]побудинковий звіт'!AT253+'[2]побудинковий звіт'!AT253-'[3]побудинковий звіт'!AT253</f>
        <v>113633.99999999999</v>
      </c>
      <c r="AU253" s="58">
        <f t="shared" si="266"/>
        <v>39031.499844572507</v>
      </c>
      <c r="AV253" s="42">
        <f>'[1]побудинковий звіт'!AV253+'[2]побудинковий звіт'!AV253-'[3]побудинковий звіт'!AV253</f>
        <v>961.69406720715926</v>
      </c>
      <c r="AW253" s="42">
        <f>'[1]побудинковий звіт'!AW253+'[2]побудинковий звіт'!AW253-'[3]побудинковий звіт'!AW253</f>
        <v>950</v>
      </c>
      <c r="AX253" s="59">
        <f t="shared" si="267"/>
        <v>-11.694067207159264</v>
      </c>
      <c r="AY253" s="42">
        <f>'[1]побудинковий звіт'!AY253+'[2]побудинковий звіт'!AY253-'[3]побудинковий звіт'!AY253</f>
        <v>1297.8229016329078</v>
      </c>
      <c r="AZ253" s="42">
        <f>'[1]побудинковий звіт'!AZ253+'[2]побудинковий звіт'!AZ253-'[3]побудинковий звіт'!AZ253</f>
        <v>0</v>
      </c>
      <c r="BA253" s="37">
        <f t="shared" si="268"/>
        <v>-1297.8229016329078</v>
      </c>
      <c r="BB253" s="42">
        <f>'[1]побудинковий звіт'!BB253+'[2]побудинковий звіт'!BB253-'[3]побудинковий звіт'!BB253</f>
        <v>1804.883735314449</v>
      </c>
      <c r="BC253" s="42">
        <f>'[1]побудинковий звіт'!BC253+'[2]побудинковий звіт'!BC253-'[3]побудинковий звіт'!BC253</f>
        <v>0</v>
      </c>
      <c r="BD253" s="59">
        <f t="shared" si="269"/>
        <v>-1804.883735314449</v>
      </c>
      <c r="BE253" s="42">
        <f>'[1]побудинковий звіт'!BE253+'[2]побудинковий звіт'!BE253-'[3]побудинковий звіт'!BE253</f>
        <v>656.49589741022794</v>
      </c>
      <c r="BF253" s="42">
        <f>'[1]побудинковий звіт'!BF253+'[2]побудинковий звіт'!BF253-'[3]побудинковий звіт'!BF253</f>
        <v>0</v>
      </c>
      <c r="BG253" s="39">
        <f t="shared" si="270"/>
        <v>-656.49589741022794</v>
      </c>
      <c r="BH253" s="42">
        <f>'[1]побудинковий звіт'!BH253+'[2]побудинковий звіт'!BH253-'[3]побудинковий звіт'!BH253</f>
        <v>395.76741189229665</v>
      </c>
      <c r="BI253" s="42">
        <f>'[1]побудинковий звіт'!BI253+'[2]побудинковий звіт'!BI253-'[3]побудинковий звіт'!BI253</f>
        <v>0</v>
      </c>
      <c r="BJ253" s="59">
        <f t="shared" si="271"/>
        <v>-395.76741189229665</v>
      </c>
      <c r="BK253" s="42">
        <f>'[1]побудинковий звіт'!BK253+'[2]побудинковий звіт'!BK253-'[3]побудинковий звіт'!BK253</f>
        <v>1092.5591927780767</v>
      </c>
      <c r="BL253" s="42">
        <f>'[1]побудинковий звіт'!BL253+'[2]побудинковий звіт'!BL253-'[3]побудинковий звіт'!BL253</f>
        <v>5132</v>
      </c>
      <c r="BM253" s="39">
        <f t="shared" si="272"/>
        <v>4039.440807221923</v>
      </c>
      <c r="BN253" s="42">
        <f>'[1]побудинковий звіт'!BN253+'[2]побудинковий звіт'!BN253-'[3]побудинковий звіт'!BN253</f>
        <v>564.96887113974969</v>
      </c>
      <c r="BO253" s="42">
        <f>'[1]побудинковий звіт'!BO253+'[2]побудинковий звіт'!BO253-'[3]побудинковий звіт'!BO253</f>
        <v>0</v>
      </c>
      <c r="BP253" s="59">
        <f t="shared" si="273"/>
        <v>-564.96887113974969</v>
      </c>
      <c r="BQ253" s="87">
        <f t="shared" si="233"/>
        <v>6774.192077374867</v>
      </c>
      <c r="BR253" s="43">
        <f t="shared" si="275"/>
        <v>6082</v>
      </c>
      <c r="BS253" s="59">
        <f t="shared" si="274"/>
        <v>-692.19207737486704</v>
      </c>
      <c r="BT253" s="42">
        <f>'[1]побудинковий звіт'!BT253+'[2]побудинковий звіт'!BT253-'[3]побудинковий звіт'!BT253</f>
        <v>44130.311091500247</v>
      </c>
      <c r="BU253" s="42">
        <f>'[1]побудинковий звіт'!BU253+'[2]побудинковий звіт'!BU253-'[3]побудинковий звіт'!BU253</f>
        <v>42518.289095146538</v>
      </c>
      <c r="BV253" s="56">
        <f t="shared" si="250"/>
        <v>-1612.0219963537093</v>
      </c>
      <c r="BW253" s="42">
        <f>'[1]побудинковий звіт'!BW253+'[2]побудинковий звіт'!BW253-'[3]побудинковий звіт'!BW253</f>
        <v>48375.845955197088</v>
      </c>
      <c r="BX253" s="42">
        <f>'[1]побудинковий звіт'!BX253+'[2]побудинковий звіт'!BX253-'[3]побудинковий звіт'!BX253</f>
        <v>34408.251881658762</v>
      </c>
      <c r="BY253" s="56">
        <f t="shared" si="251"/>
        <v>-13967.594073538326</v>
      </c>
      <c r="BZ253" s="42">
        <f>'[1]побудинковий звіт'!BZ253+'[2]побудинковий звіт'!BZ253-'[3]побудинковий звіт'!BZ253</f>
        <v>6491.9522610755403</v>
      </c>
      <c r="CA253" s="42">
        <f>'[1]побудинковий звіт'!CA253+'[2]побудинковий звіт'!CA253-'[3]побудинковий звіт'!CA253</f>
        <v>3756.5604011815894</v>
      </c>
      <c r="CB253" s="56">
        <f t="shared" si="252"/>
        <v>-2735.3918598939508</v>
      </c>
      <c r="CC253" s="42">
        <f>'[1]побудинковий звіт'!CC253+'[2]побудинковий звіт'!CC253-'[3]побудинковий звіт'!CC253</f>
        <v>1474.1922829556524</v>
      </c>
      <c r="CD253" s="42">
        <f>'[1]побудинковий звіт'!CD253+'[2]побудинковий звіт'!CD253-'[3]побудинковий звіт'!CD253</f>
        <v>1461.2263450426985</v>
      </c>
      <c r="CE253" s="56">
        <f t="shared" si="253"/>
        <v>-12.965937912953905</v>
      </c>
      <c r="CF253" s="42">
        <f>'[1]побудинковий звіт'!CF253+'[2]побудинковий звіт'!CF253-'[3]побудинковий звіт'!CF253</f>
        <v>181.48200453052547</v>
      </c>
      <c r="CG253" s="42">
        <f>'[1]побудинковий звіт'!CG253+'[2]побудинковий звіт'!CG253-'[3]побудинковий звіт'!CG253</f>
        <v>0</v>
      </c>
      <c r="CH253" s="56">
        <f t="shared" si="254"/>
        <v>-181.48200453052547</v>
      </c>
      <c r="CI253" s="42">
        <f>'[1]побудинковий звіт'!CI253+'[2]побудинковий звіт'!CI253-'[3]побудинковий звіт'!CI253</f>
        <v>3855.8101865015806</v>
      </c>
      <c r="CJ253" s="42">
        <f>'[1]побудинковий звіт'!CJ253+'[2]побудинковий звіт'!CJ253-'[3]побудинковий звіт'!CJ253</f>
        <v>7062.9640173020425</v>
      </c>
      <c r="CK253" s="56">
        <f t="shared" si="255"/>
        <v>3207.1538308004619</v>
      </c>
      <c r="CL253" s="42">
        <f>'[1]побудинковий звіт'!CL253+'[2]побудинковий звіт'!CL253-'[3]побудинковий звіт'!CL253</f>
        <v>12016.651163757348</v>
      </c>
      <c r="CM253" s="42">
        <f>'[1]побудинковий звіт'!CM253+'[2]побудинковий звіт'!CM253-'[3]побудинковий звіт'!CM253</f>
        <v>5538.3986377565689</v>
      </c>
      <c r="CN253" s="56">
        <f t="shared" si="256"/>
        <v>-6478.2525260007787</v>
      </c>
      <c r="CO253" s="42">
        <f t="shared" si="236"/>
        <v>15872.461350258927</v>
      </c>
      <c r="CP253" s="43">
        <f t="shared" si="257"/>
        <v>12601.362655058612</v>
      </c>
      <c r="CQ253" s="56">
        <f t="shared" si="258"/>
        <v>-3271.098695200315</v>
      </c>
      <c r="CR253" s="78">
        <f t="shared" si="237"/>
        <v>289381.09655356209</v>
      </c>
      <c r="CS253" s="5">
        <f t="shared" si="237"/>
        <v>296400.41931785073</v>
      </c>
      <c r="CT253" s="56">
        <f t="shared" si="259"/>
        <v>7019.3227642886341</v>
      </c>
      <c r="CU253" s="87">
        <f t="shared" si="260"/>
        <v>347257.31586427451</v>
      </c>
      <c r="CV253" s="70">
        <f t="shared" si="261"/>
        <v>355680.50318142085</v>
      </c>
      <c r="CW253" s="37">
        <f t="shared" si="262"/>
        <v>8423.1873171463376</v>
      </c>
      <c r="CX253" s="42">
        <f>'[1]побудинковий звіт'!CX253+'[2]побудинковий звіт'!CX253-'[3]побудинковий звіт'!CX253</f>
        <v>8678.174135725505</v>
      </c>
      <c r="CY253" s="42">
        <f>'[1]побудинковий звіт'!CY253+'[2]побудинковий звіт'!CY253-'[3]побудинковий звіт'!CY253</f>
        <v>254.98681857904012</v>
      </c>
      <c r="CZ253" s="56">
        <f t="shared" si="263"/>
        <v>-8423.1873171464649</v>
      </c>
      <c r="DA253" s="264">
        <f>'[4]побудинковий звіт'!DA253</f>
        <v>-43920.457270731014</v>
      </c>
      <c r="DB253" s="2">
        <v>1</v>
      </c>
      <c r="DC253" s="717">
        <f>'[4]побудинковий звіт'!DC253</f>
        <v>54332.97</v>
      </c>
      <c r="DD253" s="717">
        <f>'[4]побудинковий звіт'!DD253</f>
        <v>4182.3599999999997</v>
      </c>
      <c r="DE253" s="717">
        <f>'[4]побудинковий звіт'!DE253</f>
        <v>25501.870000000003</v>
      </c>
      <c r="DF253" s="717">
        <f>'[4]побудинковий звіт'!DF253</f>
        <v>3352.49</v>
      </c>
      <c r="DG253" s="787">
        <v>47162.048386743409</v>
      </c>
      <c r="DH253" s="761">
        <f t="shared" si="226"/>
        <v>4271225.88</v>
      </c>
      <c r="DI253" s="784"/>
      <c r="DJ253" s="5"/>
      <c r="DK253" s="317">
        <f>VLOOKUP($A253,ціни!$A$4:$G$401,5)</f>
        <v>6.1147289173784554</v>
      </c>
      <c r="DL253" s="317">
        <f>VLOOKUP($A253,ціни!$A$4:$G$401,6)</f>
        <v>7.6627541647294617</v>
      </c>
      <c r="DM253" s="317">
        <f>VLOOKUP($A253,ціни!$A$4:$G$401,7)</f>
        <v>4.8161420196182156</v>
      </c>
      <c r="DN253" s="30">
        <f t="shared" ref="DN253:DN258" si="281">DK253*G253+(F253-G253)*DL253</f>
        <v>24161.522345982223</v>
      </c>
      <c r="DO253" s="30">
        <f>DM253*H253</f>
        <v>829.86943140041478</v>
      </c>
      <c r="DP253" s="316">
        <f t="shared" si="278"/>
        <v>24991.391777382636</v>
      </c>
      <c r="DQ253" s="104"/>
      <c r="DR253" s="30">
        <f>VLOOKUP(A253,'ДЗ нас '!$A$1:$C$359,2)</f>
        <v>28831.1</v>
      </c>
      <c r="DS253" s="748">
        <f>VLOOKUP(A253,'ДЗ нежит'!$A$1:$D$153,4,0)</f>
        <v>829.87</v>
      </c>
      <c r="DT253" s="30">
        <f t="shared" si="279"/>
        <v>29660.969999999998</v>
      </c>
      <c r="DU253" s="257">
        <f>VLOOKUP(A253,'новий кошторис с 01.06'!$A$4:$AI$399,35)*1.2</f>
        <v>29806.252945016891</v>
      </c>
      <c r="DV253" s="30">
        <f t="shared" si="280"/>
        <v>-145.28294501689379</v>
      </c>
      <c r="DW253" s="930">
        <f>'[5]побудинковий звіт'!DW253+'[6]побудинковий звіт'!DW253</f>
        <v>202</v>
      </c>
      <c r="DY253" s="5">
        <f t="shared" si="227"/>
        <v>97652.030679362811</v>
      </c>
      <c r="DZ253" s="5">
        <f t="shared" si="228"/>
        <v>143659.19999999998</v>
      </c>
      <c r="EA253" s="752">
        <f t="shared" si="229"/>
        <v>28854.36</v>
      </c>
      <c r="EC253" s="592">
        <f t="shared" si="230"/>
        <v>895230.00186512969</v>
      </c>
      <c r="EE253" s="758">
        <v>28560</v>
      </c>
      <c r="EF253" s="738">
        <f t="shared" si="231"/>
        <v>75722.048386743409</v>
      </c>
      <c r="EH253" s="813">
        <v>-76801.120760064601</v>
      </c>
    </row>
    <row r="254" spans="1:138" x14ac:dyDescent="0.3">
      <c r="A254" s="328">
        <v>150000760</v>
      </c>
      <c r="B254" s="44" t="s">
        <v>704</v>
      </c>
      <c r="C254" s="45" t="s">
        <v>387</v>
      </c>
      <c r="D254" s="45" t="s">
        <v>387</v>
      </c>
      <c r="E254" s="40">
        <f t="shared" si="232"/>
        <v>5131.2</v>
      </c>
      <c r="F254" s="490">
        <v>5131.2</v>
      </c>
      <c r="G254" s="30">
        <v>1200.4000000000001</v>
      </c>
      <c r="H254" s="30">
        <v>0</v>
      </c>
      <c r="I254" s="42">
        <f>'[1]побудинковий звіт'!I254+'[2]побудинковий звіт'!I254-'[3]побудинковий звіт'!I254</f>
        <v>26973.089258327891</v>
      </c>
      <c r="J254" s="42">
        <f>'[1]побудинковий звіт'!J254+'[2]побудинковий звіт'!J254-'[3]побудинковий звіт'!J254</f>
        <v>27220.493570404968</v>
      </c>
      <c r="K254" s="56">
        <f t="shared" si="238"/>
        <v>247.40431207707661</v>
      </c>
      <c r="L254" s="42">
        <f>'[1]побудинковий звіт'!L254+'[2]побудинковий звіт'!L254-'[3]побудинковий звіт'!L254</f>
        <v>8124.4370392286701</v>
      </c>
      <c r="M254" s="42">
        <f>'[1]побудинковий звіт'!M254+'[2]побудинковий звіт'!M254-'[3]побудинковий звіт'!M254</f>
        <v>8313.0579995863554</v>
      </c>
      <c r="N254" s="56">
        <f t="shared" si="239"/>
        <v>188.62096035768536</v>
      </c>
      <c r="O254" s="42">
        <f>'[1]побудинковий звіт'!O254+'[2]побудинковий звіт'!O254-'[3]побудинковий звіт'!O254</f>
        <v>15837.719999999998</v>
      </c>
      <c r="P254" s="42">
        <f>'[1]побудинковий звіт'!P254+'[2]побудинковий звіт'!P254-'[3]побудинковий звіт'!P254</f>
        <v>15838.8</v>
      </c>
      <c r="Q254" s="56">
        <f t="shared" si="240"/>
        <v>1.0800000000017462</v>
      </c>
      <c r="R254" s="42">
        <f>'[1]побудинковий звіт'!R254+'[2]побудинковий звіт'!R254-'[3]побудинковий звіт'!R254</f>
        <v>3603.1200000000013</v>
      </c>
      <c r="S254" s="42">
        <f>'[1]побудинковий звіт'!S254+'[2]побудинковий звіт'!S254-'[3]побудинковий звіт'!S254</f>
        <v>3605.3999999999992</v>
      </c>
      <c r="T254" s="56">
        <f t="shared" si="241"/>
        <v>2.2799999999979264</v>
      </c>
      <c r="U254" s="42">
        <f>'[1]побудинковий звіт'!U254+'[2]побудинковий звіт'!U254-'[3]побудинковий звіт'!U254</f>
        <v>1170.2323882178873</v>
      </c>
      <c r="V254" s="42">
        <f>'[1]побудинковий звіт'!V254+'[2]побудинковий звіт'!V254-'[3]побудинковий звіт'!V254</f>
        <v>3121.8615706461383</v>
      </c>
      <c r="W254" s="56">
        <f t="shared" si="242"/>
        <v>1951.6291824282509</v>
      </c>
      <c r="X254" s="42">
        <f>'[1]побудинковий звіт'!X254+'[2]побудинковий звіт'!X254-'[3]побудинковий звіт'!X254</f>
        <v>24412.139173749754</v>
      </c>
      <c r="Y254" s="42">
        <f>'[1]побудинковий звіт'!Y254+'[2]побудинковий звіт'!Y254-'[3]побудинковий звіт'!Y254</f>
        <v>21470.766554556583</v>
      </c>
      <c r="Z254" s="56">
        <f t="shared" si="243"/>
        <v>-2941.372619193171</v>
      </c>
      <c r="AA254" s="42">
        <f>'[1]побудинковий звіт'!AA254+'[2]побудинковий звіт'!AA254-'[3]побудинковий звіт'!AA254</f>
        <v>0</v>
      </c>
      <c r="AB254" s="42">
        <f>'[1]побудинковий звіт'!AB254+'[2]побудинковий звіт'!AB254-'[3]побудинковий звіт'!AB254</f>
        <v>0</v>
      </c>
      <c r="AC254" s="56">
        <f t="shared" si="244"/>
        <v>0</v>
      </c>
      <c r="AD254" s="42">
        <f>'[1]побудинковий звіт'!AD254+'[2]побудинковий звіт'!AD254-'[3]побудинковий звіт'!AD254</f>
        <v>48477.753107484612</v>
      </c>
      <c r="AE254" s="42">
        <f>'[1]побудинковий звіт'!AE254+'[2]побудинковий звіт'!AE254-'[3]побудинковий звіт'!AE254</f>
        <v>44682.155133258464</v>
      </c>
      <c r="AF254" s="37">
        <f t="shared" si="245"/>
        <v>-3795.5979742261479</v>
      </c>
      <c r="AG254" s="87">
        <f t="shared" si="235"/>
        <v>128598.49096700881</v>
      </c>
      <c r="AH254" s="57">
        <f t="shared" si="235"/>
        <v>124252.53482845251</v>
      </c>
      <c r="AI254" s="56">
        <f t="shared" si="246"/>
        <v>-4345.9561385562993</v>
      </c>
      <c r="AJ254" s="42">
        <f>'[1]побудинковий звіт'!AJ254+'[2]побудинковий звіт'!AJ254-'[3]побудинковий звіт'!AJ254</f>
        <v>89353.053207837773</v>
      </c>
      <c r="AK254" s="42">
        <f>'[1]побудинковий звіт'!AK254+'[2]побудинковий звіт'!AK254-'[3]побудинковий звіт'!AK254</f>
        <v>88566.897341068616</v>
      </c>
      <c r="AL254" s="56">
        <f t="shared" si="247"/>
        <v>-786.155866769157</v>
      </c>
      <c r="AM254" s="42">
        <f>'[1]побудинковий звіт'!AM254+'[2]побудинковий звіт'!AM254-'[3]побудинковий звіт'!AM254</f>
        <v>9470.5329532255873</v>
      </c>
      <c r="AN254" s="42">
        <f>'[1]побудинковий звіт'!AN254+'[2]побудинковий звіт'!AN254-'[3]побудинковий звіт'!AN254</f>
        <v>7823.7025546253299</v>
      </c>
      <c r="AO254" s="56">
        <f t="shared" si="248"/>
        <v>-1646.8303986002575</v>
      </c>
      <c r="AP254" s="42">
        <f>'[1]побудинковий звіт'!AP254+'[2]побудинковий звіт'!AP254-'[3]побудинковий звіт'!AP254</f>
        <v>10227.790543251416</v>
      </c>
      <c r="AQ254" s="42">
        <f>'[1]побудинковий звіт'!AQ254+'[2]побудинковий звіт'!AQ254-'[3]побудинковий звіт'!AQ254</f>
        <v>9962.6951593036647</v>
      </c>
      <c r="AR254" s="56">
        <f t="shared" si="249"/>
        <v>-265.09538394775154</v>
      </c>
      <c r="AS254" s="42">
        <f>'[1]побудинковий звіт'!AS254+'[2]побудинковий звіт'!AS254-'[3]побудинковий звіт'!AS254</f>
        <v>199378.74588414482</v>
      </c>
      <c r="AT254" s="42">
        <f>'[1]побудинковий звіт'!AT254+'[2]побудинковий звіт'!AT254-'[3]побудинковий звіт'!AT254</f>
        <v>13715.896145103165</v>
      </c>
      <c r="AU254" s="58">
        <f t="shared" si="266"/>
        <v>-185662.84973904165</v>
      </c>
      <c r="AV254" s="42">
        <f>'[1]побудинковий звіт'!AV254+'[2]побудинковий звіт'!AV254-'[3]побудинковий звіт'!AV254</f>
        <v>2132.0641849026724</v>
      </c>
      <c r="AW254" s="42">
        <f>'[1]побудинковий звіт'!AW254+'[2]побудинковий звіт'!AW254-'[3]побудинковий звіт'!AW254</f>
        <v>6402</v>
      </c>
      <c r="AX254" s="59">
        <f t="shared" si="267"/>
        <v>4269.9358150973276</v>
      </c>
      <c r="AY254" s="42">
        <f>'[1]побудинковий звіт'!AY254+'[2]побудинковий звіт'!AY254-'[3]побудинковий звіт'!AY254</f>
        <v>5373.5146163070895</v>
      </c>
      <c r="AZ254" s="42">
        <f>'[1]побудинковий звіт'!AZ254+'[2]побудинковий звіт'!AZ254-'[3]побудинковий звіт'!AZ254</f>
        <v>6340</v>
      </c>
      <c r="BA254" s="37">
        <f t="shared" si="268"/>
        <v>966.48538369291055</v>
      </c>
      <c r="BB254" s="42">
        <f>'[1]побудинковий звіт'!BB254+'[2]побудинковий звіт'!BB254-'[3]побудинковий звіт'!BB254</f>
        <v>4472.7789092458415</v>
      </c>
      <c r="BC254" s="42">
        <f>'[1]побудинковий звіт'!BC254+'[2]побудинковий звіт'!BC254-'[3]побудинковий звіт'!BC254</f>
        <v>883</v>
      </c>
      <c r="BD254" s="59">
        <f t="shared" si="269"/>
        <v>-3589.7789092458415</v>
      </c>
      <c r="BE254" s="42">
        <f>'[1]побудинковий звіт'!BE254+'[2]побудинковий звіт'!BE254-'[3]побудинковий звіт'!BE254</f>
        <v>1728.7653925644852</v>
      </c>
      <c r="BF254" s="42">
        <f>'[1]побудинковий звіт'!BF254+'[2]побудинковий звіт'!BF254-'[3]побудинковий звіт'!BF254</f>
        <v>0</v>
      </c>
      <c r="BG254" s="39">
        <f t="shared" si="270"/>
        <v>-1728.7653925644852</v>
      </c>
      <c r="BH254" s="42">
        <f>'[1]побудинковий звіт'!BH254+'[2]побудинковий звіт'!BH254-'[3]побудинковий звіт'!BH254</f>
        <v>593.65087276649558</v>
      </c>
      <c r="BI254" s="42">
        <f>'[1]побудинковий звіт'!BI254+'[2]побудинковий звіт'!BI254-'[3]побудинковий звіт'!BI254</f>
        <v>0</v>
      </c>
      <c r="BJ254" s="59">
        <f t="shared" si="271"/>
        <v>-593.65087276649558</v>
      </c>
      <c r="BK254" s="42">
        <f>'[1]побудинковий звіт'!BK254+'[2]побудинковий звіт'!BK254-'[3]побудинковий звіт'!BK254</f>
        <v>3112.3210858872571</v>
      </c>
      <c r="BL254" s="42">
        <f>'[1]побудинковий звіт'!BL254+'[2]побудинковий звіт'!BL254-'[3]побудинковий звіт'!BL254</f>
        <v>9298.0996561008615</v>
      </c>
      <c r="BM254" s="39">
        <f t="shared" si="272"/>
        <v>6185.7785702136043</v>
      </c>
      <c r="BN254" s="42">
        <f>'[1]побудинковий звіт'!BN254+'[2]побудинковий звіт'!BN254-'[3]побудинковий звіт'!BN254</f>
        <v>0</v>
      </c>
      <c r="BO254" s="42">
        <f>'[1]побудинковий звіт'!BO254+'[2]побудинковий звіт'!BO254-'[3]побудинковий звіт'!BO254</f>
        <v>0</v>
      </c>
      <c r="BP254" s="59">
        <f t="shared" si="273"/>
        <v>0</v>
      </c>
      <c r="BQ254" s="87">
        <f t="shared" si="233"/>
        <v>17413.095061673841</v>
      </c>
      <c r="BR254" s="43">
        <f t="shared" si="275"/>
        <v>22923.099656100861</v>
      </c>
      <c r="BS254" s="59">
        <f t="shared" si="274"/>
        <v>5510.0045944270205</v>
      </c>
      <c r="BT254" s="42">
        <f>'[1]побудинковий звіт'!BT254+'[2]побудинковий звіт'!BT254-'[3]побудинковий звіт'!BT254</f>
        <v>123661.47422939987</v>
      </c>
      <c r="BU254" s="42">
        <f>'[1]побудинковий звіт'!BU254+'[2]побудинковий звіт'!BU254-'[3]побудинковий звіт'!BU254</f>
        <v>128490.22420604192</v>
      </c>
      <c r="BV254" s="56">
        <f t="shared" si="250"/>
        <v>4828.7499766420515</v>
      </c>
      <c r="BW254" s="42">
        <f>'[1]побудинковий звіт'!BW254+'[2]побудинковий звіт'!BW254-'[3]побудинковий звіт'!BW254</f>
        <v>126423.20923852353</v>
      </c>
      <c r="BX254" s="42">
        <f>'[1]побудинковий звіт'!BX254+'[2]побудинковий звіт'!BX254-'[3]побудинковий звіт'!BX254</f>
        <v>137156.54315377126</v>
      </c>
      <c r="BY254" s="56">
        <f t="shared" si="251"/>
        <v>10733.333915247727</v>
      </c>
      <c r="BZ254" s="42">
        <f>'[1]побудинковий звіт'!BZ254+'[2]побудинковий звіт'!BZ254-'[3]побудинковий звіт'!BZ254</f>
        <v>11008.639493405839</v>
      </c>
      <c r="CA254" s="42">
        <f>'[1]побудинковий звіт'!CA254+'[2]побудинковий звіт'!CA254-'[3]побудинковий звіт'!CA254</f>
        <v>29222.383465352039</v>
      </c>
      <c r="CB254" s="56">
        <f t="shared" si="252"/>
        <v>18213.743971946198</v>
      </c>
      <c r="CC254" s="42">
        <f>'[1]побудинковий звіт'!CC254+'[2]побудинковий звіт'!CC254-'[3]побудинковий звіт'!CC254</f>
        <v>3897.3737881236202</v>
      </c>
      <c r="CD254" s="42">
        <f>'[1]побудинковий звіт'!CD254+'[2]побудинковий звіт'!CD254-'[3]побудинковий звіт'!CD254</f>
        <v>3863.0952837896589</v>
      </c>
      <c r="CE254" s="56">
        <f t="shared" si="253"/>
        <v>-34.278504333961337</v>
      </c>
      <c r="CF254" s="42">
        <f>'[1]побудинковий звіт'!CF254+'[2]побудинковий звіт'!CF254-'[3]побудинковий звіт'!CF254</f>
        <v>479.79033376521818</v>
      </c>
      <c r="CG254" s="42">
        <f>'[1]побудинковий звіт'!CG254+'[2]побудинковий звіт'!CG254-'[3]побудинковий звіт'!CG254</f>
        <v>1369.9087027415303</v>
      </c>
      <c r="CH254" s="56">
        <f t="shared" si="254"/>
        <v>890.11836897631213</v>
      </c>
      <c r="CI254" s="42">
        <f>'[1]побудинковий звіт'!CI254+'[2]побудинковий звіт'!CI254-'[3]побудинковий звіт'!CI254</f>
        <v>15513.08486685684</v>
      </c>
      <c r="CJ254" s="42">
        <f>'[1]побудинковий звіт'!CJ254+'[2]побудинковий звіт'!CJ254-'[3]побудинковий звіт'!CJ254</f>
        <v>14867.143789343601</v>
      </c>
      <c r="CK254" s="56">
        <f t="shared" si="255"/>
        <v>-645.94107751323827</v>
      </c>
      <c r="CL254" s="42">
        <f>'[1]побудинковий звіт'!CL254+'[2]побудинковий звіт'!CL254-'[3]побудинковий звіт'!CL254</f>
        <v>21899.504457314797</v>
      </c>
      <c r="CM254" s="42">
        <f>'[1]побудинковий звіт'!CM254+'[2]побудинковий звіт'!CM254-'[3]побудинковий звіт'!CM254</f>
        <v>24165.227425171055</v>
      </c>
      <c r="CN254" s="56">
        <f t="shared" si="256"/>
        <v>2265.722967856258</v>
      </c>
      <c r="CO254" s="42">
        <f t="shared" si="236"/>
        <v>37412.58932417164</v>
      </c>
      <c r="CP254" s="43">
        <f t="shared" si="257"/>
        <v>39032.371214514656</v>
      </c>
      <c r="CQ254" s="56">
        <f t="shared" si="258"/>
        <v>1619.7818903430161</v>
      </c>
      <c r="CR254" s="78">
        <f t="shared" si="237"/>
        <v>757324.78502453188</v>
      </c>
      <c r="CS254" s="5">
        <f t="shared" si="237"/>
        <v>606379.35171086504</v>
      </c>
      <c r="CT254" s="56">
        <f t="shared" si="259"/>
        <v>-150945.43331366684</v>
      </c>
      <c r="CU254" s="87">
        <f t="shared" si="260"/>
        <v>908789.74202943826</v>
      </c>
      <c r="CV254" s="70">
        <f t="shared" si="261"/>
        <v>727655.22205303807</v>
      </c>
      <c r="CW254" s="37">
        <f t="shared" si="262"/>
        <v>-181134.51997640019</v>
      </c>
      <c r="CX254" s="42">
        <f>'[1]побудинковий звіт'!CX254+'[2]побудинковий звіт'!CX254-'[3]побудинковий звіт'!CX254</f>
        <v>22961.5479705615</v>
      </c>
      <c r="CY254" s="42">
        <f>'[1]побудинковий звіт'!CY254+'[2]побудинковий звіт'!CY254-'[3]побудинковий звіт'!CY254</f>
        <v>204096.06794696173</v>
      </c>
      <c r="CZ254" s="56">
        <f t="shared" si="263"/>
        <v>181134.51997640025</v>
      </c>
      <c r="DA254" s="264">
        <f>'[4]побудинковий звіт'!DA254</f>
        <v>47693.137105898611</v>
      </c>
      <c r="DB254" s="2">
        <v>2</v>
      </c>
      <c r="DC254" s="717">
        <f>'[4]побудинковий звіт'!DC254</f>
        <v>251371.65</v>
      </c>
      <c r="DD254" s="717">
        <f>'[4]побудинковий звіт'!DD254</f>
        <v>0</v>
      </c>
      <c r="DE254" s="717">
        <f>'[4]побудинковий звіт'!DE254</f>
        <v>173679.47</v>
      </c>
      <c r="DF254" s="717">
        <f>'[4]побудинковий звіт'!DF254</f>
        <v>0</v>
      </c>
      <c r="DG254" s="787">
        <v>67405.754169722553</v>
      </c>
      <c r="DH254" s="761">
        <f t="shared" si="226"/>
        <v>11181015.479999997</v>
      </c>
      <c r="DI254" s="784"/>
      <c r="DJ254" s="5"/>
      <c r="DK254" s="317">
        <f>VLOOKUP($A254,ціни!$A$4:$G$401,5)</f>
        <v>5.7553237519541813</v>
      </c>
      <c r="DL254" s="317">
        <f>VLOOKUP($A254,ціни!$A$4:$G$401,6)</f>
        <v>6.975985510146641</v>
      </c>
      <c r="DM254" s="317">
        <f>VLOOKUP($A254,ціни!$A$4:$G$401,7)</f>
        <v>4.6123696798518656</v>
      </c>
      <c r="DN254" s="30">
        <f t="shared" si="281"/>
        <v>34329.894475130212</v>
      </c>
      <c r="DO254" s="30">
        <f>DM254*H254</f>
        <v>0</v>
      </c>
      <c r="DP254" s="316">
        <f t="shared" si="278"/>
        <v>34329.894475130212</v>
      </c>
      <c r="DQ254" s="104"/>
      <c r="DR254" s="30">
        <f>VLOOKUP(A254,'ДЗ нас '!$A$1:$C$359,2)</f>
        <v>77692.179999999993</v>
      </c>
      <c r="DS254" s="748"/>
      <c r="DT254" s="30">
        <f t="shared" si="279"/>
        <v>77692.179999999993</v>
      </c>
      <c r="DU254" s="257">
        <f>VLOOKUP(A254,'новий кошторис с 01.06'!$A$4:$AI$399,35)*1.2</f>
        <v>78004.45285752682</v>
      </c>
      <c r="DV254" s="30">
        <f t="shared" si="280"/>
        <v>-312.27285752682656</v>
      </c>
      <c r="DW254" s="930">
        <f>'[5]побудинковий звіт'!DW254+'[6]побудинковий звіт'!DW254</f>
        <v>436</v>
      </c>
      <c r="DY254" s="5">
        <f t="shared" si="227"/>
        <v>260150.20913498237</v>
      </c>
      <c r="DZ254" s="5">
        <f t="shared" si="228"/>
        <v>43966.794961444837</v>
      </c>
      <c r="EA254" s="752">
        <f t="shared" si="229"/>
        <v>173679.47</v>
      </c>
      <c r="EC254" s="592">
        <f t="shared" si="230"/>
        <v>2392544.950609738</v>
      </c>
      <c r="EE254" s="758">
        <v>51182</v>
      </c>
      <c r="EF254" s="738">
        <f t="shared" si="231"/>
        <v>118587.75416972255</v>
      </c>
      <c r="EH254" s="813">
        <v>210033.29067879092</v>
      </c>
    </row>
    <row r="255" spans="1:138" x14ac:dyDescent="0.3">
      <c r="A255" s="328">
        <v>150000758</v>
      </c>
      <c r="B255" s="44" t="s">
        <v>705</v>
      </c>
      <c r="C255" s="45" t="s">
        <v>388</v>
      </c>
      <c r="D255" s="45" t="s">
        <v>388</v>
      </c>
      <c r="E255" s="40">
        <f t="shared" si="232"/>
        <v>2774.6000000000004</v>
      </c>
      <c r="F255" s="490">
        <v>2767.8</v>
      </c>
      <c r="G255" s="30">
        <v>1410.95</v>
      </c>
      <c r="H255" s="30">
        <v>6.8</v>
      </c>
      <c r="I255" s="42">
        <f>'[1]побудинковий звіт'!I255+'[2]побудинковий звіт'!I255-'[3]побудинковий звіт'!I255</f>
        <v>33788.062790497868</v>
      </c>
      <c r="J255" s="42">
        <f>'[1]побудинковий звіт'!J255+'[2]побудинковий звіт'!J255-'[3]побудинковий звіт'!J255</f>
        <v>34029.845441867044</v>
      </c>
      <c r="K255" s="56">
        <f t="shared" si="238"/>
        <v>241.78265136917616</v>
      </c>
      <c r="L255" s="42">
        <f>'[1]побудинковий звіт'!L255+'[2]побудинковий звіт'!L255-'[3]побудинковий звіт'!L255</f>
        <v>9478.1632316935211</v>
      </c>
      <c r="M255" s="42">
        <f>'[1]побудинковий звіт'!M255+'[2]побудинковий звіт'!M255-'[3]побудинковий звіт'!M255</f>
        <v>9632.4707495067905</v>
      </c>
      <c r="N255" s="56">
        <f t="shared" si="239"/>
        <v>154.30751781326944</v>
      </c>
      <c r="O255" s="42">
        <f>'[1]побудинковий звіт'!O255+'[2]побудинковий звіт'!O255-'[3]побудинковий звіт'!O255</f>
        <v>18192.719999999998</v>
      </c>
      <c r="P255" s="42">
        <f>'[1]побудинковий звіт'!P255+'[2]побудинковий звіт'!P255-'[3]побудинковий звіт'!P255</f>
        <v>18198.599999999995</v>
      </c>
      <c r="Q255" s="56">
        <f t="shared" si="240"/>
        <v>5.8799999999973807</v>
      </c>
      <c r="R255" s="42">
        <f>'[1]побудинковий звіт'!R255+'[2]побудинковий звіт'!R255-'[3]побудинковий звіт'!R255</f>
        <v>3952.9199999999996</v>
      </c>
      <c r="S255" s="42">
        <f>'[1]побудинковий звіт'!S255+'[2]побудинковий звіт'!S255-'[3]побудинковий звіт'!S255</f>
        <v>3951.6000000000008</v>
      </c>
      <c r="T255" s="56">
        <f t="shared" si="241"/>
        <v>-1.3199999999987995</v>
      </c>
      <c r="U255" s="42">
        <f>'[1]побудинковий звіт'!U255+'[2]побудинковий звіт'!U255-'[3]побудинковий звіт'!U255</f>
        <v>1365.1735479030635</v>
      </c>
      <c r="V255" s="42">
        <f>'[1]побудинковий звіт'!V255+'[2]побудинковий звіт'!V255-'[3]побудинковий звіт'!V255</f>
        <v>3798.0046058877915</v>
      </c>
      <c r="W255" s="56">
        <f t="shared" si="242"/>
        <v>2432.831057984728</v>
      </c>
      <c r="X255" s="42">
        <f>'[1]побудинковий звіт'!X255+'[2]побудинковий звіт'!X255-'[3]побудинковий звіт'!X255</f>
        <v>22764.789841589169</v>
      </c>
      <c r="Y255" s="42">
        <f>'[1]побудинковий звіт'!Y255+'[2]побудинковий звіт'!Y255-'[3]побудинковий звіт'!Y255</f>
        <v>21439.767818032578</v>
      </c>
      <c r="Z255" s="56">
        <f t="shared" si="243"/>
        <v>-1325.0220235565903</v>
      </c>
      <c r="AA255" s="42">
        <f>'[1]побудинковий звіт'!AA255+'[2]побудинковий звіт'!AA255-'[3]побудинковий звіт'!AA255</f>
        <v>0</v>
      </c>
      <c r="AB255" s="42">
        <f>'[1]побудинковий звіт'!AB255+'[2]побудинковий звіт'!AB255-'[3]побудинковий звіт'!AB255</f>
        <v>0</v>
      </c>
      <c r="AC255" s="56">
        <f t="shared" si="244"/>
        <v>0</v>
      </c>
      <c r="AD255" s="42">
        <f>'[1]побудинковий звіт'!AD255+'[2]побудинковий звіт'!AD255-'[3]побудинковий звіт'!AD255</f>
        <v>56519.309471981433</v>
      </c>
      <c r="AE255" s="42">
        <f>'[1]побудинковий звіт'!AE255+'[2]побудинковий звіт'!AE255-'[3]побудинковий звіт'!AE255</f>
        <v>52099.156445998684</v>
      </c>
      <c r="AF255" s="37">
        <f t="shared" si="245"/>
        <v>-4420.1530259827487</v>
      </c>
      <c r="AG255" s="87">
        <f t="shared" si="235"/>
        <v>146061.13888366506</v>
      </c>
      <c r="AH255" s="57">
        <f t="shared" si="235"/>
        <v>143149.44506129291</v>
      </c>
      <c r="AI255" s="56">
        <f t="shared" si="246"/>
        <v>-2911.6938223721518</v>
      </c>
      <c r="AJ255" s="42">
        <f>'[1]побудинковий звіт'!AJ255+'[2]побудинковий звіт'!AJ255-'[3]побудинковий звіт'!AJ255</f>
        <v>169300.28262091972</v>
      </c>
      <c r="AK255" s="42">
        <f>'[1]побудинковий звіт'!AK255+'[2]побудинковий звіт'!AK255-'[3]побудинковий звіт'!AK255</f>
        <v>167689.41070587208</v>
      </c>
      <c r="AL255" s="56">
        <f t="shared" si="247"/>
        <v>-1610.871915047639</v>
      </c>
      <c r="AM255" s="42">
        <f>'[1]побудинковий звіт'!AM255+'[2]побудинковий звіт'!AM255-'[3]побудинковий звіт'!AM255</f>
        <v>4735.2664766127937</v>
      </c>
      <c r="AN255" s="42">
        <f>'[1]побудинковий звіт'!AN255+'[2]побудинковий звіт'!AN255-'[3]побудинковий звіт'!AN255</f>
        <v>2865.3043773676359</v>
      </c>
      <c r="AO255" s="56">
        <f t="shared" si="248"/>
        <v>-1869.9620992451578</v>
      </c>
      <c r="AP255" s="42">
        <f>'[1]побудинковий звіт'!AP255+'[2]побудинковий звіт'!AP255-'[3]побудинковий звіт'!AP255</f>
        <v>11885.071418315307</v>
      </c>
      <c r="AQ255" s="42">
        <f>'[1]побудинковий звіт'!AQ255+'[2]побудинковий звіт'!AQ255-'[3]побудинковий звіт'!AQ255</f>
        <v>9633.8437337966134</v>
      </c>
      <c r="AR255" s="56">
        <f t="shared" si="249"/>
        <v>-2251.2276845186934</v>
      </c>
      <c r="AS255" s="42">
        <f>'[1]побудинковий звіт'!AS255+'[2]побудинковий звіт'!AS255-'[3]побудинковий звіт'!AS255</f>
        <v>243877.53709069974</v>
      </c>
      <c r="AT255" s="42">
        <f>'[1]побудинковий звіт'!AT255+'[2]побудинковий звіт'!AT255-'[3]побудинковий звіт'!AT255</f>
        <v>36204.999999999942</v>
      </c>
      <c r="AU255" s="58">
        <f t="shared" si="266"/>
        <v>-207672.5370906998</v>
      </c>
      <c r="AV255" s="42">
        <f>'[1]побудинковий звіт'!AV255+'[2]побудинковий звіт'!AV255-'[3]побудинковий звіт'!AV255</f>
        <v>2756.7173454829358</v>
      </c>
      <c r="AW255" s="42">
        <f>'[1]побудинковий звіт'!AW255+'[2]побудинковий звіт'!AW255-'[3]побудинковий звіт'!AW255</f>
        <v>0</v>
      </c>
      <c r="AX255" s="59">
        <f t="shared" si="267"/>
        <v>-2756.7173454829358</v>
      </c>
      <c r="AY255" s="42">
        <f>'[1]побудинковий звіт'!AY255+'[2]побудинковий звіт'!AY255-'[3]побудинковий звіт'!AY255</f>
        <v>6268.8140207556853</v>
      </c>
      <c r="AZ255" s="42">
        <f>'[1]побудинковий звіт'!AZ255+'[2]побудинковий звіт'!AZ255-'[3]побудинковий звіт'!AZ255</f>
        <v>3117.9999999999995</v>
      </c>
      <c r="BA255" s="37">
        <f t="shared" si="268"/>
        <v>-3150.8140207556858</v>
      </c>
      <c r="BB255" s="42">
        <f>'[1]побудинковий звіт'!BB255+'[2]побудинковий звіт'!BB255-'[3]побудинковий звіт'!BB255</f>
        <v>4937.001410919047</v>
      </c>
      <c r="BC255" s="42">
        <f>'[1]побудинковий звіт'!BC255+'[2]побудинковий звіт'!BC255-'[3]побудинковий звіт'!BC255</f>
        <v>1695</v>
      </c>
      <c r="BD255" s="59">
        <f t="shared" si="269"/>
        <v>-3242.001410919047</v>
      </c>
      <c r="BE255" s="42">
        <f>'[1]побудинковий звіт'!BE255+'[2]побудинковий звіт'!BE255-'[3]побудинковий звіт'!BE255</f>
        <v>1873.659797036064</v>
      </c>
      <c r="BF255" s="42">
        <f>'[1]побудинковий звіт'!BF255+'[2]побудинковий звіт'!BF255-'[3]побудинковий звіт'!BF255</f>
        <v>0</v>
      </c>
      <c r="BG255" s="39">
        <f t="shared" si="270"/>
        <v>-1873.659797036064</v>
      </c>
      <c r="BH255" s="42">
        <f>'[1]побудинковий звіт'!BH255+'[2]побудинковий звіт'!BH255-'[3]побудинковий звіт'!BH255</f>
        <v>692.52015965609053</v>
      </c>
      <c r="BI255" s="42">
        <f>'[1]побудинковий звіт'!BI255+'[2]побудинковий звіт'!BI255-'[3]побудинковий звіт'!BI255</f>
        <v>0</v>
      </c>
      <c r="BJ255" s="59">
        <f t="shared" si="271"/>
        <v>-692.52015965609053</v>
      </c>
      <c r="BK255" s="42">
        <f>'[1]побудинковий звіт'!BK255+'[2]побудинковий звіт'!BK255-'[3]побудинковий звіт'!BK255</f>
        <v>3254.6927853582233</v>
      </c>
      <c r="BL255" s="42">
        <f>'[1]побудинковий звіт'!BL255+'[2]побудинковий звіт'!BL255-'[3]побудинковий звіт'!BL255</f>
        <v>810</v>
      </c>
      <c r="BM255" s="39">
        <f t="shared" si="272"/>
        <v>-2444.6927853582233</v>
      </c>
      <c r="BN255" s="42">
        <f>'[1]побудинковий звіт'!BN255+'[2]побудинковий звіт'!BN255-'[3]побудинковий звіт'!BN255</f>
        <v>0</v>
      </c>
      <c r="BO255" s="42">
        <f>'[1]побудинковий звіт'!BO255+'[2]побудинковий звіт'!BO255-'[3]побудинковий звіт'!BO255</f>
        <v>0</v>
      </c>
      <c r="BP255" s="59">
        <f t="shared" si="273"/>
        <v>0</v>
      </c>
      <c r="BQ255" s="87">
        <f t="shared" ref="BQ255:BQ307" si="282">AV255+AY255+BB255+BE255+BH255+BK255+BN255</f>
        <v>19783.405519208045</v>
      </c>
      <c r="BR255" s="43">
        <f t="shared" ref="BR255:BR279" si="283">AW255+AZ255+BC255+BF255+BI255+BL255+BO255</f>
        <v>5623</v>
      </c>
      <c r="BS255" s="59">
        <f t="shared" si="274"/>
        <v>-14160.405519208045</v>
      </c>
      <c r="BT255" s="42">
        <f>'[1]побудинковий звіт'!BT255+'[2]побудинковий звіт'!BT255-'[3]побудинковий звіт'!BT255</f>
        <v>169589.09082470724</v>
      </c>
      <c r="BU255" s="42">
        <f>'[1]побудинковий звіт'!BU255+'[2]побудинковий звіт'!BU255-'[3]побудинковий звіт'!BU255</f>
        <v>168625.69412974981</v>
      </c>
      <c r="BV255" s="56">
        <f t="shared" si="250"/>
        <v>-963.39669495742419</v>
      </c>
      <c r="BW255" s="42">
        <f>'[1]побудинковий звіт'!BW255+'[2]побудинковий звіт'!BW255-'[3]побудинковий звіт'!BW255</f>
        <v>115400.5409521067</v>
      </c>
      <c r="BX255" s="42">
        <f>'[1]побудинковий звіт'!BX255+'[2]побудинковий звіт'!BX255-'[3]побудинковий звіт'!BX255</f>
        <v>121045.41933553902</v>
      </c>
      <c r="BY255" s="56">
        <f t="shared" si="251"/>
        <v>5644.8783834323112</v>
      </c>
      <c r="BZ255" s="42">
        <f>'[1]побудинковий звіт'!BZ255+'[2]побудинковий звіт'!BZ255-'[3]побудинковий звіт'!BZ255</f>
        <v>11451.803788537256</v>
      </c>
      <c r="CA255" s="42">
        <f>'[1]побудинковий звіт'!CA255+'[2]побудинковий звіт'!CA255-'[3]побудинковий звіт'!CA255</f>
        <v>38625.913494667337</v>
      </c>
      <c r="CB255" s="56">
        <f t="shared" si="252"/>
        <v>27174.109706130082</v>
      </c>
      <c r="CC255" s="42">
        <f>'[1]побудинковий звіт'!CC255+'[2]побудинковий звіт'!CC255-'[3]побудинковий звіт'!CC255</f>
        <v>4500.816104107621</v>
      </c>
      <c r="CD255" s="42">
        <f>'[1]побудинковий звіт'!CD255+'[2]побудинковий звіт'!CD255-'[3]побудинковий звіт'!CD255</f>
        <v>4461.2301539990767</v>
      </c>
      <c r="CE255" s="56">
        <f t="shared" si="253"/>
        <v>-39.585950108544239</v>
      </c>
      <c r="CF255" s="42">
        <f>'[1]побудинковий звіт'!CF255+'[2]побудинковий звіт'!CF255-'[3]побудинковий звіт'!CF255</f>
        <v>554.0777400890064</v>
      </c>
      <c r="CG255" s="42">
        <f>'[1]побудинковий звіт'!CG255+'[2]побудинковий звіт'!CG255-'[3]побудинковий звіт'!CG255</f>
        <v>0</v>
      </c>
      <c r="CH255" s="56">
        <f t="shared" si="254"/>
        <v>-554.0777400890064</v>
      </c>
      <c r="CI255" s="42">
        <f>'[1]побудинковий звіт'!CI255+'[2]побудинковий звіт'!CI255-'[3]побудинковий звіт'!CI255</f>
        <v>19990.3168892412</v>
      </c>
      <c r="CJ255" s="42">
        <f>'[1]побудинковий звіт'!CJ255+'[2]побудинковий звіт'!CJ255-'[3]побудинковий звіт'!CJ255</f>
        <v>21043.808640696388</v>
      </c>
      <c r="CK255" s="56">
        <f t="shared" si="255"/>
        <v>1053.4917514551889</v>
      </c>
      <c r="CL255" s="42">
        <f>'[1]побудинковий звіт'!CL255+'[2]побудинковий звіт'!CL255-'[3]побудинковий звіт'!CL255</f>
        <v>27645.784686712777</v>
      </c>
      <c r="CM255" s="42">
        <f>'[1]побудинковий звіт'!CM255+'[2]побудинковий звіт'!CM255-'[3]побудинковий звіт'!CM255</f>
        <v>31598.002580858425</v>
      </c>
      <c r="CN255" s="56">
        <f t="shared" si="256"/>
        <v>3952.2178941456477</v>
      </c>
      <c r="CO255" s="42">
        <f t="shared" si="236"/>
        <v>47636.101575953973</v>
      </c>
      <c r="CP255" s="43">
        <f t="shared" si="257"/>
        <v>52641.811221554817</v>
      </c>
      <c r="CQ255" s="56">
        <f t="shared" si="258"/>
        <v>5005.7096456008439</v>
      </c>
      <c r="CR255" s="78">
        <f t="shared" si="237"/>
        <v>944775.13299492246</v>
      </c>
      <c r="CS255" s="5">
        <f t="shared" si="237"/>
        <v>750566.07221383927</v>
      </c>
      <c r="CT255" s="56">
        <f t="shared" si="259"/>
        <v>-194209.06078108319</v>
      </c>
      <c r="CU255" s="87">
        <f t="shared" si="260"/>
        <v>1133730.159593907</v>
      </c>
      <c r="CV255" s="70">
        <f t="shared" si="261"/>
        <v>900679.28665660706</v>
      </c>
      <c r="CW255" s="37">
        <f t="shared" si="262"/>
        <v>-233050.87293729989</v>
      </c>
      <c r="CX255" s="42">
        <f>'[1]побудинковий звіт'!CX255+'[2]побудинковий звіт'!CX255-'[3]побудинковий звіт'!CX255</f>
        <v>12940.660406093142</v>
      </c>
      <c r="CY255" s="42">
        <f>'[1]побудинковий звіт'!CY255+'[2]побудинковий звіт'!CY255-'[3]побудинковий звіт'!CY255</f>
        <v>245991.53334339289</v>
      </c>
      <c r="CZ255" s="56">
        <f t="shared" si="263"/>
        <v>233050.87293729975</v>
      </c>
      <c r="DA255" s="264">
        <f>'[4]побудинковий звіт'!DA255</f>
        <v>-196354.10037210345</v>
      </c>
      <c r="DB255" s="2">
        <v>2</v>
      </c>
      <c r="DC255" s="717">
        <f>'[4]побудинковий звіт'!DC255</f>
        <v>267873.65000000002</v>
      </c>
      <c r="DD255" s="717">
        <f>'[4]побудинковий звіт'!DD255</f>
        <v>0</v>
      </c>
      <c r="DE255" s="717">
        <f>'[4]побудинковий звіт'!DE255</f>
        <v>172320.42000000004</v>
      </c>
      <c r="DF255" s="717">
        <f>'[4]побудинковий звіт'!DF255</f>
        <v>-32.619999999999997</v>
      </c>
      <c r="DG255" s="787">
        <v>-29761.116386293899</v>
      </c>
      <c r="DH255" s="761">
        <f t="shared" si="226"/>
        <v>13760049.84</v>
      </c>
      <c r="DI255" s="784"/>
      <c r="DJ255" s="5"/>
      <c r="DK255" s="317">
        <f>VLOOKUP($A255,ціни!$A$4:$G$401,5)</f>
        <v>5.6783670549528935</v>
      </c>
      <c r="DL255" s="317">
        <f>VLOOKUP($A255,ціни!$A$4:$G$401,6)</f>
        <v>7.4045391561487488</v>
      </c>
      <c r="DM255" s="317">
        <f>VLOOKUP($A255,ціни!$A$4:$G$401,7)</f>
        <v>4.7961480039910986</v>
      </c>
      <c r="DN255" s="30">
        <f t="shared" si="281"/>
        <v>18058.740950206215</v>
      </c>
      <c r="DO255" s="30">
        <v>26.29</v>
      </c>
      <c r="DP255" s="316">
        <f t="shared" si="278"/>
        <v>18085.030950206215</v>
      </c>
      <c r="DQ255" s="104"/>
      <c r="DR255" s="30">
        <f>VLOOKUP(A255,'ДЗ нас '!$A$1:$C$359,2)</f>
        <v>95553.23</v>
      </c>
      <c r="DS255" s="748">
        <f>VLOOKUP(A255,'ДЗ нежит'!$A$1:$D$153,4,0)</f>
        <v>32.619999999999997</v>
      </c>
      <c r="DT255" s="30">
        <f t="shared" si="279"/>
        <v>95585.849999999991</v>
      </c>
      <c r="DU255" s="257">
        <f>VLOOKUP(A255,'новий кошторис с 01.06'!$A$4:$AI$399,35)*1.2</f>
        <v>95611.243459086138</v>
      </c>
      <c r="DV255" s="30">
        <f t="shared" si="280"/>
        <v>-25.393459086146322</v>
      </c>
      <c r="DW255" s="930">
        <f>'[5]побудинковий звіт'!DW255+'[6]побудинковий звіт'!DW255</f>
        <v>436</v>
      </c>
      <c r="DY255" s="5">
        <f t="shared" si="227"/>
        <v>316393.1311318893</v>
      </c>
      <c r="DZ255" s="5">
        <f t="shared" si="228"/>
        <v>50193.599999999926</v>
      </c>
      <c r="EA255" s="752">
        <f t="shared" si="229"/>
        <v>172287.80000000005</v>
      </c>
      <c r="EC255" s="592">
        <f t="shared" si="230"/>
        <v>2926530.4450883968</v>
      </c>
      <c r="EE255" s="758">
        <v>-67</v>
      </c>
      <c r="EF255" s="738">
        <f t="shared" si="231"/>
        <v>-29828.116386293899</v>
      </c>
      <c r="EH255" s="813">
        <v>-5414.2277722142899</v>
      </c>
    </row>
    <row r="256" spans="1:138" x14ac:dyDescent="0.3">
      <c r="A256" s="328">
        <v>150000759</v>
      </c>
      <c r="B256" s="44" t="s">
        <v>706</v>
      </c>
      <c r="C256" s="45" t="s">
        <v>389</v>
      </c>
      <c r="D256" s="45" t="s">
        <v>389</v>
      </c>
      <c r="E256" s="40">
        <f t="shared" si="232"/>
        <v>4580.3</v>
      </c>
      <c r="F256" s="490">
        <v>4580.3</v>
      </c>
      <c r="G256" s="30">
        <v>618.45000000000005</v>
      </c>
      <c r="H256" s="30">
        <v>0</v>
      </c>
      <c r="I256" s="42">
        <f>'[1]побудинковий звіт'!I256+'[2]побудинковий звіт'!I256-'[3]побудинковий звіт'!I256</f>
        <v>14778.064138593272</v>
      </c>
      <c r="J256" s="42">
        <f>'[1]побудинковий звіт'!J256+'[2]побудинковий звіт'!J256-'[3]побудинковий звіт'!J256</f>
        <v>14869.535383209901</v>
      </c>
      <c r="K256" s="56">
        <f t="shared" si="238"/>
        <v>91.47124461662861</v>
      </c>
      <c r="L256" s="42">
        <f>'[1]побудинковий звіт'!L256+'[2]побудинковий звіт'!L256-'[3]побудинковий звіт'!L256</f>
        <v>2324.860493836351</v>
      </c>
      <c r="M256" s="42">
        <f>'[1]побудинковий звіт'!M256+'[2]побудинковий звіт'!M256-'[3]побудинковий звіт'!M256</f>
        <v>2641.6897671768697</v>
      </c>
      <c r="N256" s="56">
        <f t="shared" si="239"/>
        <v>316.82927334051874</v>
      </c>
      <c r="O256" s="42">
        <f>'[1]побудинковий звіт'!O256+'[2]побудинковий звіт'!O256-'[3]побудинковий звіт'!O256</f>
        <v>8412.6</v>
      </c>
      <c r="P256" s="42">
        <f>'[1]побудинковий звіт'!P256+'[2]побудинковий звіт'!P256-'[3]побудинковий звіт'!P256</f>
        <v>8411.8799999999992</v>
      </c>
      <c r="Q256" s="56">
        <f t="shared" si="240"/>
        <v>-0.72000000000116415</v>
      </c>
      <c r="R256" s="42">
        <f>'[1]побудинковий звіт'!R256+'[2]побудинковий звіт'!R256-'[3]побудинковий звіт'!R256</f>
        <v>1944.12</v>
      </c>
      <c r="S256" s="42">
        <f>'[1]побудинковий звіт'!S256+'[2]побудинковий звіт'!S256-'[3]побудинковий звіт'!S256</f>
        <v>1945.1999999999996</v>
      </c>
      <c r="T256" s="56">
        <f t="shared" si="241"/>
        <v>1.0799999999996999</v>
      </c>
      <c r="U256" s="42">
        <f>'[1]побудинковий звіт'!U256+'[2]побудинковий звіт'!U256-'[3]побудинковий звіт'!U256</f>
        <v>585.1157039650443</v>
      </c>
      <c r="V256" s="42">
        <f>'[1]побудинковий звіт'!V256+'[2]побудинковий звіт'!V256-'[3]побудинковий звіт'!V256</f>
        <v>1560.9307853230691</v>
      </c>
      <c r="W256" s="56">
        <f t="shared" si="242"/>
        <v>975.81508135802483</v>
      </c>
      <c r="X256" s="42">
        <f>'[1]побудинковий звіт'!X256+'[2]побудинковий звіт'!X256-'[3]побудинковий звіт'!X256</f>
        <v>11745.559742291814</v>
      </c>
      <c r="Y256" s="42">
        <f>'[1]побудинковий звіт'!Y256+'[2]побудинковий звіт'!Y256-'[3]побудинковий звіт'!Y256</f>
        <v>12154.52696857527</v>
      </c>
      <c r="Z256" s="56">
        <f t="shared" si="243"/>
        <v>408.9672262834556</v>
      </c>
      <c r="AA256" s="42">
        <f>'[1]побудинковий звіт'!AA256+'[2]побудинковий звіт'!AA256-'[3]побудинковий звіт'!AA256</f>
        <v>0</v>
      </c>
      <c r="AB256" s="42">
        <f>'[1]побудинковий звіт'!AB256+'[2]побудинковий звіт'!AB256-'[3]побудинковий звіт'!AB256</f>
        <v>0</v>
      </c>
      <c r="AC256" s="56">
        <f t="shared" si="244"/>
        <v>0</v>
      </c>
      <c r="AD256" s="42">
        <f>'[1]побудинковий звіт'!AD256+'[2]побудинковий звіт'!AD256-'[3]побудинковий звіт'!AD256</f>
        <v>24328.113157840275</v>
      </c>
      <c r="AE256" s="42">
        <f>'[1]побудинковий звіт'!AE256+'[2]побудинковий звіт'!AE256-'[3]побудинковий звіт'!AE256</f>
        <v>22423.059847993674</v>
      </c>
      <c r="AF256" s="37">
        <f t="shared" si="245"/>
        <v>-1905.0533098466003</v>
      </c>
      <c r="AG256" s="87">
        <f t="shared" si="235"/>
        <v>64118.433236526762</v>
      </c>
      <c r="AH256" s="57">
        <f t="shared" si="235"/>
        <v>64006.822752278786</v>
      </c>
      <c r="AI256" s="56">
        <f t="shared" si="246"/>
        <v>-111.61048424797627</v>
      </c>
      <c r="AJ256" s="42">
        <f>'[1]побудинковий звіт'!AJ256+'[2]побудинковий звіт'!AJ256-'[3]побудинковий звіт'!AJ256</f>
        <v>86413.599575368164</v>
      </c>
      <c r="AK256" s="42">
        <f>'[1]побудинковий звіт'!AK256+'[2]побудинковий звіт'!AK256-'[3]побудинковий звіт'!AK256</f>
        <v>85653.429519667989</v>
      </c>
      <c r="AL256" s="56">
        <f t="shared" si="247"/>
        <v>-760.170055700175</v>
      </c>
      <c r="AM256" s="42">
        <f>'[1]побудинковий звіт'!AM256+'[2]побудинковий звіт'!AM256-'[3]побудинковий звіт'!AM256</f>
        <v>0</v>
      </c>
      <c r="AN256" s="42">
        <f>'[1]побудинковий звіт'!AN256+'[2]побудинковий звіт'!AN256-'[3]побудинковий звіт'!AN256</f>
        <v>0</v>
      </c>
      <c r="AO256" s="56">
        <f t="shared" si="248"/>
        <v>0</v>
      </c>
      <c r="AP256" s="42">
        <f>'[1]побудинковий звіт'!AP256+'[2]побудинковий звіт'!AP256-'[3]побудинковий звіт'!AP256</f>
        <v>5113.8952716257081</v>
      </c>
      <c r="AQ256" s="42">
        <f>'[1]побудинковий звіт'!AQ256+'[2]побудинковий звіт'!AQ256-'[3]побудинковий звіт'!AQ256</f>
        <v>8992.6045217117444</v>
      </c>
      <c r="AR256" s="56">
        <f t="shared" si="249"/>
        <v>3878.7092500860363</v>
      </c>
      <c r="AS256" s="42">
        <f>'[1]побудинковий звіт'!AS256+'[2]побудинковий звіт'!AS256-'[3]побудинковий звіт'!AS256</f>
        <v>105179.08388894561</v>
      </c>
      <c r="AT256" s="42">
        <f>'[1]побудинковий звіт'!AT256+'[2]побудинковий звіт'!AT256-'[3]побудинковий звіт'!AT256</f>
        <v>18175</v>
      </c>
      <c r="AU256" s="58">
        <f t="shared" si="266"/>
        <v>-87004.083888945606</v>
      </c>
      <c r="AV256" s="42">
        <f>'[1]побудинковий звіт'!AV256+'[2]побудинковий звіт'!AV256-'[3]побудинковий звіт'!AV256</f>
        <v>1223.0524661633051</v>
      </c>
      <c r="AW256" s="42">
        <f>'[1]побудинковий звіт'!AW256+'[2]побудинковий звіт'!AW256-'[3]побудинковий звіт'!AW256</f>
        <v>1209</v>
      </c>
      <c r="AX256" s="59">
        <f t="shared" si="267"/>
        <v>-14.052466163305098</v>
      </c>
      <c r="AY256" s="42">
        <f>'[1]побудинковий звіт'!AY256+'[2]побудинковий звіт'!AY256-'[3]побудинковий звіт'!AY256</f>
        <v>1567.0283868514341</v>
      </c>
      <c r="AZ256" s="42">
        <f>'[1]побудинковий звіт'!AZ256+'[2]побудинковий звіт'!AZ256-'[3]побудинковий звіт'!AZ256</f>
        <v>0</v>
      </c>
      <c r="BA256" s="37">
        <f t="shared" si="268"/>
        <v>-1567.0283868514341</v>
      </c>
      <c r="BB256" s="42">
        <f>'[1]побудинковий звіт'!BB256+'[2]побудинковий звіт'!BB256-'[3]побудинковий звіт'!BB256</f>
        <v>2062.7285304522206</v>
      </c>
      <c r="BC256" s="42">
        <f>'[1]побудинковий звіт'!BC256+'[2]побудинковий звіт'!BC256-'[3]побудинковий звіт'!BC256</f>
        <v>337</v>
      </c>
      <c r="BD256" s="59">
        <f t="shared" si="269"/>
        <v>-1725.7285304522206</v>
      </c>
      <c r="BE256" s="42">
        <f>'[1]побудинковий звіт'!BE256+'[2]побудинковий звіт'!BE256-'[3]побудинковий звіт'!BE256</f>
        <v>1083.3718009514098</v>
      </c>
      <c r="BF256" s="42">
        <f>'[1]побудинковий звіт'!BF256+'[2]побудинковий звіт'!BF256-'[3]побудинковий звіт'!BF256</f>
        <v>888</v>
      </c>
      <c r="BG256" s="39">
        <f t="shared" si="270"/>
        <v>-195.3718009514098</v>
      </c>
      <c r="BH256" s="42">
        <f>'[1]побудинковий звіт'!BH256+'[2]побудинковий звіт'!BH256-'[3]побудинковий звіт'!BH256</f>
        <v>296.75274776379348</v>
      </c>
      <c r="BI256" s="42">
        <f>'[1]побудинковий звіт'!BI256+'[2]побудинковий звіт'!BI256-'[3]побудинковий звіт'!BI256</f>
        <v>0</v>
      </c>
      <c r="BJ256" s="59">
        <f t="shared" si="271"/>
        <v>-296.75274776379348</v>
      </c>
      <c r="BK256" s="42">
        <f>'[1]побудинковий звіт'!BK256+'[2]побудинковий звіт'!BK256-'[3]побудинковий звіт'!BK256</f>
        <v>1514.400586237809</v>
      </c>
      <c r="BL256" s="42">
        <f>'[1]побудинковий звіт'!BL256+'[2]побудинковий звіт'!BL256-'[3]побудинковий звіт'!BL256</f>
        <v>124</v>
      </c>
      <c r="BM256" s="39">
        <f t="shared" si="272"/>
        <v>-1390.400586237809</v>
      </c>
      <c r="BN256" s="42">
        <f>'[1]побудинковий звіт'!BN256+'[2]побудинковий звіт'!BN256-'[3]побудинковий звіт'!BN256</f>
        <v>0</v>
      </c>
      <c r="BO256" s="42">
        <f>'[1]побудинковий звіт'!BO256+'[2]побудинковий звіт'!BO256-'[3]побудинковий звіт'!BO256</f>
        <v>0</v>
      </c>
      <c r="BP256" s="59">
        <f t="shared" si="273"/>
        <v>0</v>
      </c>
      <c r="BQ256" s="87">
        <f t="shared" si="282"/>
        <v>7747.3345184199716</v>
      </c>
      <c r="BR256" s="43">
        <f t="shared" si="283"/>
        <v>2558</v>
      </c>
      <c r="BS256" s="59">
        <f t="shared" si="274"/>
        <v>-5189.3345184199716</v>
      </c>
      <c r="BT256" s="42">
        <f>'[1]побудинковий звіт'!BT256+'[2]побудинковий звіт'!BT256-'[3]побудинковий звіт'!BT256</f>
        <v>74256.576721583391</v>
      </c>
      <c r="BU256" s="42">
        <f>'[1]побудинковий звіт'!BU256+'[2]побудинковий звіт'!BU256-'[3]побудинковий звіт'!BU256</f>
        <v>77313.072378888974</v>
      </c>
      <c r="BV256" s="56">
        <f t="shared" si="250"/>
        <v>3056.4956573055824</v>
      </c>
      <c r="BW256" s="42">
        <f>'[1]побудинковий звіт'!BW256+'[2]побудинковий звіт'!BW256-'[3]побудинковий звіт'!BW256</f>
        <v>32818.851983453773</v>
      </c>
      <c r="BX256" s="42">
        <f>'[1]побудинковий звіт'!BX256+'[2]побудинковий звіт'!BX256-'[3]побудинковий звіт'!BX256</f>
        <v>34131.482565402926</v>
      </c>
      <c r="BY256" s="56">
        <f t="shared" si="251"/>
        <v>1312.6305819491536</v>
      </c>
      <c r="BZ256" s="42">
        <f>'[1]побудинковий звіт'!BZ256+'[2]побудинковий звіт'!BZ256-'[3]побудинковий звіт'!BZ256</f>
        <v>11321.964743315744</v>
      </c>
      <c r="CA256" s="42">
        <f>'[1]побудинковий звіт'!CA256+'[2]побудинковий звіт'!CA256-'[3]побудинковий звіт'!CA256</f>
        <v>16217.584321367955</v>
      </c>
      <c r="CB256" s="56">
        <f t="shared" si="252"/>
        <v>4895.6195780522103</v>
      </c>
      <c r="CC256" s="42">
        <f>'[1]побудинковий звіт'!CC256+'[2]побудинковий звіт'!CC256-'[3]побудинковий звіт'!CC256</f>
        <v>2710.7254748043288</v>
      </c>
      <c r="CD256" s="42">
        <f>'[1]побудинковий звіт'!CD256+'[2]побудинковий звіт'!CD256-'[3]побудинковий звіт'!CD256</f>
        <v>2686.8838778758</v>
      </c>
      <c r="CE256" s="56">
        <f t="shared" si="253"/>
        <v>-23.841596928528816</v>
      </c>
      <c r="CF256" s="42">
        <f>'[1]побудинковий звіт'!CF256+'[2]побудинковий звіт'!CF256-'[3]побудинковий звіт'!CF256</f>
        <v>333.70673458765413</v>
      </c>
      <c r="CG256" s="42">
        <f>'[1]побудинковий звіт'!CG256+'[2]побудинковий звіт'!CG256-'[3]побудинковий звіт'!CG256</f>
        <v>0</v>
      </c>
      <c r="CH256" s="56">
        <f t="shared" si="254"/>
        <v>-333.70673458765413</v>
      </c>
      <c r="CI256" s="42">
        <f>'[1]побудинковий звіт'!CI256+'[2]побудинковий звіт'!CI256-'[3]побудинковий звіт'!CI256</f>
        <v>17163.97058748519</v>
      </c>
      <c r="CJ256" s="42">
        <f>'[1]побудинковий звіт'!CJ256+'[2]побудинковий звіт'!CJ256-'[3]побудинковий звіт'!CJ256</f>
        <v>11159.575177275343</v>
      </c>
      <c r="CK256" s="56">
        <f t="shared" si="255"/>
        <v>-6004.3954102098469</v>
      </c>
      <c r="CL256" s="42">
        <f>'[1]побудинковий звіт'!CL256+'[2]побудинковий звіт'!CL256-'[3]побудинковий звіт'!CL256</f>
        <v>9545.9378403679912</v>
      </c>
      <c r="CM256" s="42">
        <f>'[1]побудинковий звіт'!CM256+'[2]побудинковий звіт'!CM256-'[3]побудинковий звіт'!CM256</f>
        <v>10990.50223067049</v>
      </c>
      <c r="CN256" s="56">
        <f t="shared" si="256"/>
        <v>1444.5643903024993</v>
      </c>
      <c r="CO256" s="42">
        <f t="shared" si="236"/>
        <v>26709.908427853181</v>
      </c>
      <c r="CP256" s="43">
        <f t="shared" si="257"/>
        <v>22150.077407945835</v>
      </c>
      <c r="CQ256" s="56">
        <f t="shared" si="258"/>
        <v>-4559.8310199073458</v>
      </c>
      <c r="CR256" s="78">
        <f t="shared" si="237"/>
        <v>416724.08057648438</v>
      </c>
      <c r="CS256" s="5">
        <f t="shared" si="237"/>
        <v>331884.95734513999</v>
      </c>
      <c r="CT256" s="56">
        <f t="shared" si="259"/>
        <v>-84839.123231344391</v>
      </c>
      <c r="CU256" s="87">
        <f t="shared" si="260"/>
        <v>500068.89669178124</v>
      </c>
      <c r="CV256" s="70">
        <f t="shared" si="261"/>
        <v>398261.94881416799</v>
      </c>
      <c r="CW256" s="37">
        <f t="shared" si="262"/>
        <v>-101806.94787761325</v>
      </c>
      <c r="CX256" s="42">
        <f>'[1]побудинковий звіт'!CX256+'[2]побудинковий звіт'!CX256-'[3]побудинковий звіт'!CX256</f>
        <v>7423.8833082188212</v>
      </c>
      <c r="CY256" s="42">
        <f>'[1]побудинковий звіт'!CY256+'[2]побудинковий звіт'!CY256-'[3]побудинковий звіт'!CY256</f>
        <v>109230.83118583201</v>
      </c>
      <c r="CZ256" s="56">
        <f t="shared" si="263"/>
        <v>101806.94787761319</v>
      </c>
      <c r="DA256" s="264">
        <f>'[4]побудинковий звіт'!DA256</f>
        <v>-100307.63223628691</v>
      </c>
      <c r="DB256" s="2">
        <v>2</v>
      </c>
      <c r="DC256" s="717">
        <f>'[4]побудинковий звіт'!DC256</f>
        <v>166785.5</v>
      </c>
      <c r="DD256" s="717">
        <f>'[4]побудинковий звіт'!DD256</f>
        <v>0</v>
      </c>
      <c r="DE256" s="717">
        <f>'[4]побудинковий звіт'!DE256</f>
        <v>124494.34</v>
      </c>
      <c r="DF256" s="717">
        <f>'[4]побудинковий звіт'!DF256</f>
        <v>0</v>
      </c>
      <c r="DG256" s="787">
        <v>-49407.190581071423</v>
      </c>
      <c r="DH256" s="761">
        <f t="shared" si="226"/>
        <v>6089913.3600000003</v>
      </c>
      <c r="DI256" s="784"/>
      <c r="DJ256" s="5"/>
      <c r="DK256" s="317">
        <f>VLOOKUP($A256,ціни!$A$4:$G$401,5)</f>
        <v>5.7222200775467051</v>
      </c>
      <c r="DL256" s="317">
        <f>VLOOKUP($A256,ціни!$A$4:$G$401,6)</f>
        <v>7.6428375702846045</v>
      </c>
      <c r="DM256" s="317">
        <f>VLOOKUP($A256,ціни!$A$4:$G$401,7)</f>
        <v>5.1367542031353928</v>
      </c>
      <c r="DN256" s="30">
        <f t="shared" si="281"/>
        <v>33818.683034790825</v>
      </c>
      <c r="DO256" s="30">
        <f>DM256*H256</f>
        <v>0</v>
      </c>
      <c r="DP256" s="316">
        <f t="shared" si="278"/>
        <v>33818.683034790825</v>
      </c>
      <c r="DQ256" s="104"/>
      <c r="DR256" s="30">
        <f>VLOOKUP(A256,'ДЗ нас '!$A$1:$C$359,2)</f>
        <v>42291.16</v>
      </c>
      <c r="DS256" s="748"/>
      <c r="DT256" s="30">
        <f t="shared" si="279"/>
        <v>42291.16</v>
      </c>
      <c r="DU256" s="257">
        <f>VLOOKUP(A256,'новий кошторис с 01.06'!$A$4:$AI$399,35)*1.2</f>
        <v>42422.511402686112</v>
      </c>
      <c r="DV256" s="30">
        <f t="shared" si="280"/>
        <v>-131.35140268610849</v>
      </c>
      <c r="DW256" s="930">
        <f>'[5]побудинковий звіт'!DW256+'[6]побудинковий звіт'!DW256</f>
        <v>332</v>
      </c>
      <c r="DY256" s="5">
        <f t="shared" si="227"/>
        <v>135511.70208883868</v>
      </c>
      <c r="DZ256" s="5">
        <f t="shared" si="228"/>
        <v>24879.599999999999</v>
      </c>
      <c r="EA256" s="752">
        <f t="shared" si="229"/>
        <v>124494.34</v>
      </c>
      <c r="EC256" s="592">
        <f t="shared" si="230"/>
        <v>1262149.0066673472</v>
      </c>
      <c r="EE256" s="758">
        <v>45074</v>
      </c>
      <c r="EF256" s="738">
        <f t="shared" si="231"/>
        <v>-4333.1905810714234</v>
      </c>
      <c r="EH256" s="813">
        <v>-12301.748009499534</v>
      </c>
    </row>
    <row r="257" spans="1:138" x14ac:dyDescent="0.3">
      <c r="A257" s="328">
        <v>150000761</v>
      </c>
      <c r="B257" s="44" t="s">
        <v>707</v>
      </c>
      <c r="C257" s="45" t="s">
        <v>390</v>
      </c>
      <c r="D257" s="45" t="s">
        <v>390</v>
      </c>
      <c r="E257" s="40">
        <f t="shared" si="232"/>
        <v>6069.8</v>
      </c>
      <c r="F257" s="490">
        <v>5975.2</v>
      </c>
      <c r="G257" s="30">
        <v>727.4</v>
      </c>
      <c r="H257" s="30">
        <v>94.6</v>
      </c>
      <c r="I257" s="42">
        <f>'[1]побудинковий звіт'!I257+'[2]побудинковий звіт'!I257-'[3]побудинковий звіт'!I257</f>
        <v>15610.118296738725</v>
      </c>
      <c r="J257" s="42">
        <f>'[1]побудинковий звіт'!J257+'[2]побудинковий звіт'!J257-'[3]побудинковий звіт'!J257</f>
        <v>15834.544813949098</v>
      </c>
      <c r="K257" s="56">
        <f t="shared" si="238"/>
        <v>224.42651721037328</v>
      </c>
      <c r="L257" s="42">
        <f>'[1]побудинковий звіт'!L257+'[2]побудинковий звіт'!L257-'[3]побудинковий звіт'!L257</f>
        <v>2379.6009513973468</v>
      </c>
      <c r="M257" s="42">
        <f>'[1]побудинковий звіт'!M257+'[2]побудинковий звіт'!M257-'[3]побудинковий звіт'!M257</f>
        <v>2400.9101868404264</v>
      </c>
      <c r="N257" s="56">
        <f t="shared" si="239"/>
        <v>21.309235443079615</v>
      </c>
      <c r="O257" s="42">
        <f>'[1]побудинковий звіт'!O257+'[2]побудинковий звіт'!O257-'[3]побудинковий звіт'!O257</f>
        <v>9936.2400000000016</v>
      </c>
      <c r="P257" s="42">
        <f>'[1]побудинковий звіт'!P257+'[2]побудинковий звіт'!P257-'[3]побудинковий звіт'!P257</f>
        <v>9936.8399999999983</v>
      </c>
      <c r="Q257" s="56">
        <f t="shared" si="240"/>
        <v>0.59999999999672582</v>
      </c>
      <c r="R257" s="42">
        <f>'[1]побудинковий звіт'!R257+'[2]побудинковий звіт'!R257-'[3]побудинковий звіт'!R257</f>
        <v>1986.7199999999998</v>
      </c>
      <c r="S257" s="42">
        <f>'[1]побудинковий звіт'!S257+'[2]побудинковий звіт'!S257-'[3]побудинковий звіт'!S257</f>
        <v>1990.0799999999997</v>
      </c>
      <c r="T257" s="56">
        <f t="shared" si="241"/>
        <v>3.3599999999999</v>
      </c>
      <c r="U257" s="42">
        <f>'[1]побудинковий звіт'!U257+'[2]побудинковий звіт'!U257-'[3]побудинковий звіт'!U257</f>
        <v>780.05784393801946</v>
      </c>
      <c r="V257" s="42">
        <f>'[1]побудинковий звіт'!V257+'[2]побудинковий звіт'!V257-'[3]побудинковий звіт'!V257</f>
        <v>2080.9779984312099</v>
      </c>
      <c r="W257" s="56">
        <f t="shared" si="242"/>
        <v>1300.9201544931905</v>
      </c>
      <c r="X257" s="42">
        <f>'[1]побудинковий звіт'!X257+'[2]побудинковий звіт'!X257-'[3]побудинковий звіт'!X257</f>
        <v>7814.7896704404629</v>
      </c>
      <c r="Y257" s="42">
        <f>'[1]побудинковий звіт'!Y257+'[2]побудинковий звіт'!Y257-'[3]побудинковий звіт'!Y257</f>
        <v>6097.2724640983843</v>
      </c>
      <c r="Z257" s="56">
        <f t="shared" si="243"/>
        <v>-1717.5172063420787</v>
      </c>
      <c r="AA257" s="42">
        <f>'[1]побудинковий звіт'!AA257+'[2]побудинковий звіт'!AA257-'[3]побудинковий звіт'!AA257</f>
        <v>0</v>
      </c>
      <c r="AB257" s="42">
        <f>'[1]побудинковий звіт'!AB257+'[2]побудинковий звіт'!AB257-'[3]побудинковий звіт'!AB257</f>
        <v>0</v>
      </c>
      <c r="AC257" s="56">
        <f t="shared" si="244"/>
        <v>0</v>
      </c>
      <c r="AD257" s="42">
        <f>'[1]побудинковий звіт'!AD257+'[2]побудинковий звіт'!AD257-'[3]побудинковий звіт'!AD257</f>
        <v>29141.459473083378</v>
      </c>
      <c r="AE257" s="42">
        <f>'[1]побудинковий звіт'!AE257+'[2]побудинковий звіт'!AE257-'[3]побудинковий звіт'!AE257</f>
        <v>26859.752170580614</v>
      </c>
      <c r="AF257" s="37">
        <f t="shared" si="245"/>
        <v>-2281.7073025027639</v>
      </c>
      <c r="AG257" s="87">
        <f t="shared" si="235"/>
        <v>67648.986235597928</v>
      </c>
      <c r="AH257" s="57">
        <f t="shared" si="235"/>
        <v>65200.377633899727</v>
      </c>
      <c r="AI257" s="56">
        <f t="shared" si="246"/>
        <v>-2448.6086016982008</v>
      </c>
      <c r="AJ257" s="42">
        <f>'[1]побудинковий звіт'!AJ257+'[2]побудинковий звіт'!AJ257-'[3]побудинковий звіт'!AJ257</f>
        <v>57609.066383578771</v>
      </c>
      <c r="AK257" s="42">
        <f>'[1]побудинковий звіт'!AK257+'[2]побудинковий звіт'!AK257-'[3]побудинковий звіт'!AK257</f>
        <v>57102.250446068152</v>
      </c>
      <c r="AL257" s="56">
        <f t="shared" si="247"/>
        <v>-506.81593751061882</v>
      </c>
      <c r="AM257" s="42">
        <f>'[1]побудинковий звіт'!AM257+'[2]побудинковий звіт'!AM257-'[3]побудинковий звіт'!AM257</f>
        <v>0</v>
      </c>
      <c r="AN257" s="42">
        <f>'[1]побудинковий звіт'!AN257+'[2]побудинковий звіт'!AN257-'[3]побудинковий звіт'!AN257</f>
        <v>0</v>
      </c>
      <c r="AO257" s="56">
        <f t="shared" si="248"/>
        <v>0</v>
      </c>
      <c r="AP257" s="42">
        <f>'[1]побудинковий звіт'!AP257+'[2]побудинковий звіт'!AP257-'[3]побудинковий звіт'!AP257</f>
        <v>4261.5793930214249</v>
      </c>
      <c r="AQ257" s="42">
        <f>'[1]побудинковий звіт'!AQ257+'[2]побудинковий звіт'!AQ257-'[3]побудинковий звіт'!AQ257</f>
        <v>4106.0470913617646</v>
      </c>
      <c r="AR257" s="56">
        <f t="shared" si="249"/>
        <v>-155.53230165966033</v>
      </c>
      <c r="AS257" s="42">
        <f>'[1]побудинковий звіт'!AS257+'[2]побудинковий звіт'!AS257-'[3]побудинковий звіт'!AS257</f>
        <v>89239.403482151843</v>
      </c>
      <c r="AT257" s="42">
        <f>'[1]побудинковий звіт'!AT257+'[2]побудинковий звіт'!AT257-'[3]побудинковий звіт'!AT257</f>
        <v>11945.185133606299</v>
      </c>
      <c r="AU257" s="58">
        <f t="shared" si="266"/>
        <v>-77294.218348545546</v>
      </c>
      <c r="AV257" s="42">
        <f>'[1]побудинковий звіт'!AV257+'[2]побудинковий звіт'!AV257-'[3]побудинковий звіт'!AV257</f>
        <v>733.88638053240402</v>
      </c>
      <c r="AW257" s="42">
        <f>'[1]побудинковий звіт'!AW257+'[2]побудинковий звіт'!AW257-'[3]побудинковий звіт'!AW257</f>
        <v>15225</v>
      </c>
      <c r="AX257" s="59">
        <f t="shared" si="267"/>
        <v>14491.113619467596</v>
      </c>
      <c r="AY257" s="42">
        <f>'[1]побудинковий звіт'!AY257+'[2]побудинковий звіт'!AY257-'[3]побудинковий звіт'!AY257</f>
        <v>947.60805588229528</v>
      </c>
      <c r="AZ257" s="42">
        <f>'[1]побудинковий звіт'!AZ257+'[2]побудинковий звіт'!AZ257-'[3]побудинковий звіт'!AZ257</f>
        <v>0</v>
      </c>
      <c r="BA257" s="37">
        <f t="shared" si="268"/>
        <v>-947.60805588229528</v>
      </c>
      <c r="BB257" s="42">
        <f>'[1]побудинковий звіт'!BB257+'[2]побудинковий звіт'!BB257-'[3]побудинковий звіт'!BB257</f>
        <v>1586.2383804804301</v>
      </c>
      <c r="BC257" s="42">
        <f>'[1]побудинковий звіт'!BC257+'[2]побудинковий звіт'!BC257-'[3]побудинковий звіт'!BC257</f>
        <v>32315.999999999996</v>
      </c>
      <c r="BD257" s="59">
        <f t="shared" si="269"/>
        <v>30729.761619519566</v>
      </c>
      <c r="BE257" s="42">
        <f>'[1]побудинковий звіт'!BE257+'[2]побудинковий звіт'!BE257-'[3]побудинковий звіт'!BE257</f>
        <v>548.66782316481806</v>
      </c>
      <c r="BF257" s="42">
        <f>'[1]побудинковий звіт'!BF257+'[2]побудинковий звіт'!BF257-'[3]побудинковий звіт'!BF257</f>
        <v>0</v>
      </c>
      <c r="BG257" s="39">
        <f t="shared" si="270"/>
        <v>-548.66782316481806</v>
      </c>
      <c r="BH257" s="42">
        <f>'[1]побудинковий звіт'!BH257+'[2]побудинковий звіт'!BH257-'[3]побудинковий звіт'!BH257</f>
        <v>237.46044713537805</v>
      </c>
      <c r="BI257" s="42">
        <f>'[1]побудинковий звіт'!BI257+'[2]побудинковий звіт'!BI257-'[3]побудинковий звіт'!BI257</f>
        <v>0</v>
      </c>
      <c r="BJ257" s="59">
        <f t="shared" si="271"/>
        <v>-237.46044713537805</v>
      </c>
      <c r="BK257" s="42">
        <f>'[1]побудинковий звіт'!BK257+'[2]побудинковий звіт'!BK257-'[3]побудинковий звіт'!BK257</f>
        <v>535.50420489191015</v>
      </c>
      <c r="BL257" s="42">
        <f>'[1]побудинковий звіт'!BL257+'[2]побудинковий звіт'!BL257-'[3]побудинковий звіт'!BL257</f>
        <v>10182</v>
      </c>
      <c r="BM257" s="39">
        <f t="shared" si="272"/>
        <v>9646.4957951080905</v>
      </c>
      <c r="BN257" s="42">
        <f>'[1]побудинковий звіт'!BN257+'[2]побудинковий звіт'!BN257-'[3]побудинковий звіт'!BN257</f>
        <v>0</v>
      </c>
      <c r="BO257" s="42">
        <f>'[1]побудинковий звіт'!BO257+'[2]побудинковий звіт'!BO257-'[3]побудинковий звіт'!BO257</f>
        <v>0</v>
      </c>
      <c r="BP257" s="59">
        <f t="shared" si="273"/>
        <v>0</v>
      </c>
      <c r="BQ257" s="87">
        <f t="shared" si="282"/>
        <v>4589.3652920872355</v>
      </c>
      <c r="BR257" s="43">
        <f t="shared" si="283"/>
        <v>57723</v>
      </c>
      <c r="BS257" s="59">
        <f t="shared" si="274"/>
        <v>53133.634707912766</v>
      </c>
      <c r="BT257" s="42">
        <f>'[1]побудинковий звіт'!BT257+'[2]побудинковий звіт'!BT257-'[3]побудинковий звіт'!BT257</f>
        <v>79430.153865510511</v>
      </c>
      <c r="BU257" s="42">
        <f>'[1]побудинковий звіт'!BU257+'[2]побудинковий звіт'!BU257-'[3]побудинковий звіт'!BU257</f>
        <v>90212.737037501676</v>
      </c>
      <c r="BV257" s="56">
        <f t="shared" si="250"/>
        <v>10782.583171991166</v>
      </c>
      <c r="BW257" s="42">
        <f>'[1]побудинковий звіт'!BW257+'[2]побудинковий звіт'!BW257-'[3]побудинковий звіт'!BW257</f>
        <v>49549.657838705061</v>
      </c>
      <c r="BX257" s="42">
        <f>'[1]побудинковий звіт'!BX257+'[2]побудинковий звіт'!BX257-'[3]побудинковий звіт'!BX257</f>
        <v>52364.552468456503</v>
      </c>
      <c r="BY257" s="56">
        <f t="shared" si="251"/>
        <v>2814.8946297514412</v>
      </c>
      <c r="BZ257" s="42">
        <f>'[1]побудинковий звіт'!BZ257+'[2]побудинковий звіт'!BZ257-'[3]побудинковий звіт'!BZ257</f>
        <v>21527.313697726499</v>
      </c>
      <c r="CA257" s="42">
        <f>'[1]побудинковий звіт'!CA257+'[2]побудинковий звіт'!CA257-'[3]побудинковий звіт'!CA257</f>
        <v>20575.045435660624</v>
      </c>
      <c r="CB257" s="56">
        <f t="shared" si="252"/>
        <v>-952.2682620658743</v>
      </c>
      <c r="CC257" s="42">
        <f>'[1]побудинковий звіт'!CC257+'[2]побудинковий звіт'!CC257-'[3]побудинковий звіт'!CC257</f>
        <v>2367.0316035685587</v>
      </c>
      <c r="CD257" s="42">
        <f>'[1]побудинковий звіт'!CD257+'[2]побудинковий звіт'!CD257-'[3]побудинковий звіт'!CD257</f>
        <v>2346.2128914068467</v>
      </c>
      <c r="CE257" s="56">
        <f t="shared" si="253"/>
        <v>-20.818712161712028</v>
      </c>
      <c r="CF257" s="42">
        <f>'[1]побудинковий звіт'!CF257+'[2]побудинковий звіт'!CF257-'[3]побудинковий звіт'!CF257</f>
        <v>291.39593604537168</v>
      </c>
      <c r="CG257" s="42">
        <f>'[1]побудинковий звіт'!CG257+'[2]побудинковий звіт'!CG257-'[3]побудинковий звіт'!CG257</f>
        <v>0</v>
      </c>
      <c r="CH257" s="56">
        <f t="shared" si="254"/>
        <v>-291.39593604537168</v>
      </c>
      <c r="CI257" s="42">
        <f>'[1]побудинковий звіт'!CI257+'[2]побудинковий звіт'!CI257-'[3]побудинковий звіт'!CI257</f>
        <v>22610.770414048096</v>
      </c>
      <c r="CJ257" s="42">
        <f>'[1]побудинковий звіт'!CJ257+'[2]побудинковий звіт'!CJ257-'[3]побудинковий звіт'!CJ257</f>
        <v>17696.106888715585</v>
      </c>
      <c r="CK257" s="56">
        <f t="shared" si="255"/>
        <v>-4914.6635253325112</v>
      </c>
      <c r="CL257" s="42">
        <f>'[1]побудинковий звіт'!CL257+'[2]побудинковий звіт'!CL257-'[3]побудинковий звіт'!CL257</f>
        <v>9545.9378403679912</v>
      </c>
      <c r="CM257" s="42">
        <f>'[1]побудинковий звіт'!CM257+'[2]побудинковий звіт'!CM257-'[3]побудинковий звіт'!CM257</f>
        <v>16972.425732407271</v>
      </c>
      <c r="CN257" s="56">
        <f t="shared" si="256"/>
        <v>7426.4878920392803</v>
      </c>
      <c r="CO257" s="42">
        <f t="shared" si="236"/>
        <v>32156.708254416088</v>
      </c>
      <c r="CP257" s="43">
        <f t="shared" si="257"/>
        <v>34668.532621122853</v>
      </c>
      <c r="CQ257" s="56">
        <f t="shared" si="258"/>
        <v>2511.8243667067654</v>
      </c>
      <c r="CR257" s="78">
        <f t="shared" si="237"/>
        <v>408670.66198240931</v>
      </c>
      <c r="CS257" s="5">
        <f t="shared" si="237"/>
        <v>396243.94075908442</v>
      </c>
      <c r="CT257" s="56">
        <f t="shared" si="259"/>
        <v>-12426.721223324887</v>
      </c>
      <c r="CU257" s="87">
        <f t="shared" si="260"/>
        <v>490404.79437889112</v>
      </c>
      <c r="CV257" s="70">
        <f t="shared" si="261"/>
        <v>475492.72891090129</v>
      </c>
      <c r="CW257" s="37">
        <f t="shared" si="262"/>
        <v>-14912.065467989829</v>
      </c>
      <c r="CX257" s="42">
        <f>'[1]побудинковий звіт'!CX257+'[2]побудинковий звіт'!CX257-'[3]побудинковий звіт'!CX257</f>
        <v>3980.8056211088842</v>
      </c>
      <c r="CY257" s="42">
        <f>'[1]побудинковий звіт'!CY257+'[2]побудинковий звіт'!CY257-'[3]побудинковий звіт'!CY257</f>
        <v>18892.871089098764</v>
      </c>
      <c r="CZ257" s="56">
        <f t="shared" si="263"/>
        <v>14912.06546798988</v>
      </c>
      <c r="DA257" s="264">
        <f>'[4]побудинковий звіт'!DA257</f>
        <v>119597.87974552668</v>
      </c>
      <c r="DB257" s="2">
        <v>2</v>
      </c>
      <c r="DC257" s="717">
        <f>'[4]побудинковий звіт'!DC257</f>
        <v>71981.289999999994</v>
      </c>
      <c r="DD257" s="717">
        <f>'[4]побудинковий звіт'!DD257</f>
        <v>406.5</v>
      </c>
      <c r="DE257" s="717">
        <f>'[4]побудинковий звіт'!DE257</f>
        <v>31190.989999999991</v>
      </c>
      <c r="DF257" s="717">
        <f>'[4]побудинковий звіт'!DF257</f>
        <v>-2</v>
      </c>
      <c r="DG257" s="787">
        <v>74571.787258951459</v>
      </c>
      <c r="DH257" s="761">
        <f t="shared" si="226"/>
        <v>5932627.1999999993</v>
      </c>
      <c r="DI257" s="784"/>
      <c r="DJ257" s="5"/>
      <c r="DK257" s="317">
        <f>VLOOKUP($A257,ціни!$A$4:$G$401,5)</f>
        <v>5.0613510014502827</v>
      </c>
      <c r="DL257" s="317">
        <f>VLOOKUP($A257,ціни!$A$4:$G$401,6)</f>
        <v>6.1907993480077117</v>
      </c>
      <c r="DM257" s="317">
        <f>VLOOKUP($A257,ціни!$A$4:$G$401,7)</f>
        <v>4.3181934991117972</v>
      </c>
      <c r="DN257" s="30">
        <f t="shared" si="281"/>
        <v>36169.703536929803</v>
      </c>
      <c r="DO257" s="30">
        <v>337.15</v>
      </c>
      <c r="DP257" s="316">
        <f t="shared" si="278"/>
        <v>36506.853536929804</v>
      </c>
      <c r="DQ257" s="104"/>
      <c r="DR257" s="30">
        <f>VLOOKUP(A257,'ДЗ нас '!$A$1:$C$359,2)</f>
        <v>40790.300000000003</v>
      </c>
      <c r="DS257" s="748">
        <f>VLOOKUP(A257,'ДЗ нежит'!$A$1:$D$153,4,0)</f>
        <v>408.5</v>
      </c>
      <c r="DT257" s="30">
        <f t="shared" si="279"/>
        <v>41198.800000000003</v>
      </c>
      <c r="DU257" s="257">
        <f>VLOOKUP(A257,'новий кошторис с 01.06'!$A$4:$AI$399,35)*1.2</f>
        <v>41259.390033744035</v>
      </c>
      <c r="DV257" s="30">
        <f t="shared" si="280"/>
        <v>-60.590033744032553</v>
      </c>
      <c r="DW257" s="930">
        <f>'[5]побудинковий звіт'!DW257+'[6]побудинковий звіт'!DW257</f>
        <v>268</v>
      </c>
      <c r="DY257" s="5">
        <f t="shared" si="227"/>
        <v>112594.5225290869</v>
      </c>
      <c r="DZ257" s="5">
        <f t="shared" si="228"/>
        <v>83601.82216032756</v>
      </c>
      <c r="EA257" s="752">
        <f t="shared" si="229"/>
        <v>31188.989999999991</v>
      </c>
      <c r="EC257" s="592">
        <f t="shared" si="230"/>
        <v>1070872.8417858221</v>
      </c>
      <c r="EE257" s="758">
        <v>78270</v>
      </c>
      <c r="EF257" s="738">
        <f t="shared" si="231"/>
        <v>152841.78725895146</v>
      </c>
      <c r="EH257" s="813">
        <v>135053.56135334951</v>
      </c>
    </row>
    <row r="258" spans="1:138" x14ac:dyDescent="0.3">
      <c r="A258" s="328">
        <v>150000762</v>
      </c>
      <c r="B258" s="44" t="s">
        <v>708</v>
      </c>
      <c r="C258" s="45" t="s">
        <v>391</v>
      </c>
      <c r="D258" s="45" t="s">
        <v>391</v>
      </c>
      <c r="E258" s="40">
        <f t="shared" si="232"/>
        <v>2685</v>
      </c>
      <c r="F258" s="490">
        <v>2685</v>
      </c>
      <c r="G258" s="30">
        <v>312.10000000000002</v>
      </c>
      <c r="H258" s="30">
        <v>0</v>
      </c>
      <c r="I258" s="42">
        <f>'[1]побудинковий звіт'!I258+'[2]побудинковий звіт'!I258-'[3]побудинковий звіт'!I258</f>
        <v>8636.6782406116563</v>
      </c>
      <c r="J258" s="42">
        <f>'[1]побудинковий звіт'!J258+'[2]побудинковий звіт'!J258-'[3]побудинковий звіт'!J258</f>
        <v>8663.1619048452758</v>
      </c>
      <c r="K258" s="56">
        <f t="shared" si="238"/>
        <v>26.483664233619493</v>
      </c>
      <c r="L258" s="42">
        <f>'[1]побудинковий звіт'!L258+'[2]побудинковий звіт'!L258-'[3]побудинковий звіт'!L258</f>
        <v>1387.1612886911716</v>
      </c>
      <c r="M258" s="42">
        <f>'[1]побудинковий звіт'!M258+'[2]побудинковий звіт'!M258-'[3]побудинковий звіт'!M258</f>
        <v>1399.5855453752695</v>
      </c>
      <c r="N258" s="56">
        <f t="shared" si="239"/>
        <v>12.424256684097827</v>
      </c>
      <c r="O258" s="42">
        <f>'[1]побудинковий звіт'!O258+'[2]побудинковий звіт'!O258-'[3]побудинковий звіт'!O258</f>
        <v>0</v>
      </c>
      <c r="P258" s="42">
        <f>'[1]побудинковий звіт'!P258+'[2]побудинковий звіт'!P258-'[3]побудинковий звіт'!P258</f>
        <v>0</v>
      </c>
      <c r="Q258" s="56">
        <f t="shared" si="240"/>
        <v>0</v>
      </c>
      <c r="R258" s="42">
        <f>'[1]побудинковий звіт'!R258+'[2]побудинковий звіт'!R258-'[3]побудинковий звіт'!R258</f>
        <v>0</v>
      </c>
      <c r="S258" s="42">
        <f>'[1]побудинковий звіт'!S258+'[2]побудинковий звіт'!S258-'[3]побудинковий звіт'!S258</f>
        <v>0</v>
      </c>
      <c r="T258" s="56">
        <f t="shared" si="241"/>
        <v>0</v>
      </c>
      <c r="U258" s="42">
        <f>'[1]побудинковий звіт'!U258+'[2]побудинковий звіт'!U258-'[3]побудинковий звіт'!U258</f>
        <v>390.17454427986797</v>
      </c>
      <c r="V258" s="42">
        <f>'[1]побудинковий звіт'!V258+'[2]побудинковий звіт'!V258-'[3]побудинковий звіт'!V258</f>
        <v>1040.8835722149281</v>
      </c>
      <c r="W258" s="56">
        <f t="shared" si="242"/>
        <v>650.70902793506013</v>
      </c>
      <c r="X258" s="42">
        <f>'[1]побудинковий звіт'!X258+'[2]побудинковий звіт'!X258-'[3]побудинковий звіт'!X258</f>
        <v>3340.8380127039786</v>
      </c>
      <c r="Y258" s="42">
        <f>'[1]побудинковий звіт'!Y258+'[2]побудинковий звіт'!Y258-'[3]побудинковий звіт'!Y258</f>
        <v>4656.2254250890173</v>
      </c>
      <c r="Z258" s="56">
        <f t="shared" si="243"/>
        <v>1315.3874123850387</v>
      </c>
      <c r="AA258" s="42">
        <f>'[1]побудинковий звіт'!AA258+'[2]побудинковий звіт'!AA258-'[3]побудинковий звіт'!AA258</f>
        <v>0</v>
      </c>
      <c r="AB258" s="42">
        <f>'[1]побудинковий звіт'!AB258+'[2]побудинковий звіт'!AB258-'[3]побудинковий звіт'!AB258</f>
        <v>0</v>
      </c>
      <c r="AC258" s="56">
        <f t="shared" si="244"/>
        <v>0</v>
      </c>
      <c r="AD258" s="42">
        <f>'[1]побудинковий звіт'!AD258+'[2]побудинковий звіт'!AD258-'[3]побудинковий звіт'!AD258</f>
        <v>12074.093083461528</v>
      </c>
      <c r="AE258" s="42">
        <f>'[1]побудинковий звіт'!AE258+'[2]побудинковий звіт'!AE258-'[3]побудинковий звіт'!AE258</f>
        <v>11128.645336431822</v>
      </c>
      <c r="AF258" s="37">
        <f t="shared" si="245"/>
        <v>-945.44774702970608</v>
      </c>
      <c r="AG258" s="87">
        <f t="shared" si="235"/>
        <v>25828.9451697482</v>
      </c>
      <c r="AH258" s="57">
        <f t="shared" si="235"/>
        <v>26888.501783956315</v>
      </c>
      <c r="AI258" s="56">
        <f t="shared" si="246"/>
        <v>1059.5566142081152</v>
      </c>
      <c r="AJ258" s="42">
        <f>'[1]побудинковий звіт'!AJ258+'[2]побудинковий звіт'!AJ258-'[3]побудинковий звіт'!AJ258</f>
        <v>14978.432129831193</v>
      </c>
      <c r="AK258" s="42">
        <f>'[1]побудинковий звіт'!AK258+'[2]побудинковий звіт'!AK258-'[3]побудинковий звіт'!AK258</f>
        <v>14608.531962347497</v>
      </c>
      <c r="AL258" s="56">
        <f t="shared" si="247"/>
        <v>-369.90016748369635</v>
      </c>
      <c r="AM258" s="42">
        <f>'[1]побудинковий звіт'!AM258+'[2]побудинковий звіт'!AM258-'[3]побудинковий звіт'!AM258</f>
        <v>0</v>
      </c>
      <c r="AN258" s="42">
        <f>'[1]побудинковий звіт'!AN258+'[2]побудинковий звіт'!AN258-'[3]побудинковий звіт'!AN258</f>
        <v>0</v>
      </c>
      <c r="AO258" s="56">
        <f t="shared" si="248"/>
        <v>0</v>
      </c>
      <c r="AP258" s="42">
        <f>'[1]побудинковий звіт'!AP258+'[2]побудинковий звіт'!AP258-'[3]побудинковий звіт'!AP258</f>
        <v>1704.6317572085691</v>
      </c>
      <c r="AQ258" s="42">
        <f>'[1]побудинковий звіт'!AQ258+'[2]побудинковий звіт'!AQ258-'[3]побудинковий звіт'!AQ258</f>
        <v>1546.4543649843658</v>
      </c>
      <c r="AR258" s="56">
        <f t="shared" si="249"/>
        <v>-158.17739222420323</v>
      </c>
      <c r="AS258" s="42">
        <f>'[1]побудинковий звіт'!AS258+'[2]побудинковий звіт'!AS258-'[3]побудинковий звіт'!AS258</f>
        <v>36397.508308716904</v>
      </c>
      <c r="AT258" s="42">
        <f>'[1]побудинковий звіт'!AT258+'[2]побудинковий звіт'!AT258-'[3]побудинковий звіт'!AT258</f>
        <v>8212</v>
      </c>
      <c r="AU258" s="58">
        <f t="shared" si="266"/>
        <v>-28185.508308716904</v>
      </c>
      <c r="AV258" s="42">
        <f>'[1]побудинковий звіт'!AV258+'[2]побудинковий звіт'!AV258-'[3]побудинковий звіт'!AV258</f>
        <v>426.7357792822782</v>
      </c>
      <c r="AW258" s="42">
        <f>'[1]побудинковий звіт'!AW258+'[2]побудинковий звіт'!AW258-'[3]побудинковий звіт'!AW258</f>
        <v>364</v>
      </c>
      <c r="AX258" s="59">
        <f t="shared" si="267"/>
        <v>-62.735779282278202</v>
      </c>
      <c r="AY258" s="42">
        <f>'[1]побудинковий звіт'!AY258+'[2]побудинковий звіт'!AY258-'[3]побудинковий звіт'!AY258</f>
        <v>550.04534384095462</v>
      </c>
      <c r="AZ258" s="42">
        <f>'[1]побудинковий звіт'!AZ258+'[2]побудинковий звіт'!AZ258-'[3]побудинковий звіт'!AZ258</f>
        <v>0</v>
      </c>
      <c r="BA258" s="37">
        <f t="shared" si="268"/>
        <v>-550.04534384095462</v>
      </c>
      <c r="BB258" s="42">
        <f>'[1]побудинковий звіт'!BB258+'[2]побудинковий звіт'!BB258-'[3]побудинковий звіт'!BB258</f>
        <v>0</v>
      </c>
      <c r="BC258" s="42">
        <f>'[1]побудинковий звіт'!BC258+'[2]побудинковий звіт'!BC258-'[3]побудинковий звіт'!BC258</f>
        <v>0</v>
      </c>
      <c r="BD258" s="59">
        <f t="shared" si="269"/>
        <v>0</v>
      </c>
      <c r="BE258" s="42">
        <f>'[1]побудинковий звіт'!BE258+'[2]побудинковий звіт'!BE258-'[3]побудинковий звіт'!BE258</f>
        <v>0</v>
      </c>
      <c r="BF258" s="42">
        <f>'[1]побудинковий звіт'!BF258+'[2]побудинковий звіт'!BF258-'[3]побудинковий звіт'!BF258</f>
        <v>0</v>
      </c>
      <c r="BG258" s="39">
        <f t="shared" si="270"/>
        <v>0</v>
      </c>
      <c r="BH258" s="42">
        <f>'[1]побудинковий звіт'!BH258+'[2]побудинковий звіт'!BH258-'[3]побудинковий звіт'!BH258</f>
        <v>118.73022356768902</v>
      </c>
      <c r="BI258" s="42">
        <f>'[1]побудинковий звіт'!BI258+'[2]побудинковий звіт'!BI258-'[3]побудинковий звіт'!BI258</f>
        <v>0</v>
      </c>
      <c r="BJ258" s="59">
        <f t="shared" si="271"/>
        <v>-118.73022356768902</v>
      </c>
      <c r="BK258" s="42">
        <f>'[1]побудинковий звіт'!BK258+'[2]побудинковий звіт'!BK258-'[3]побудинковий звіт'!BK258</f>
        <v>286.28114353368375</v>
      </c>
      <c r="BL258" s="42">
        <f>'[1]побудинковий звіт'!BL258+'[2]побудинковий звіт'!BL258-'[3]побудинковий звіт'!BL258</f>
        <v>0</v>
      </c>
      <c r="BM258" s="39">
        <f t="shared" si="272"/>
        <v>-286.28114353368375</v>
      </c>
      <c r="BN258" s="42">
        <f>'[1]побудинковий звіт'!BN258+'[2]побудинковий звіт'!BN258-'[3]побудинковий звіт'!BN258</f>
        <v>0</v>
      </c>
      <c r="BO258" s="42">
        <f>'[1]побудинковий звіт'!BO258+'[2]побудинковий звіт'!BO258-'[3]побудинковий звіт'!BO258</f>
        <v>0</v>
      </c>
      <c r="BP258" s="59">
        <f t="shared" si="273"/>
        <v>0</v>
      </c>
      <c r="BQ258" s="87">
        <f t="shared" si="282"/>
        <v>1381.7924902246057</v>
      </c>
      <c r="BR258" s="43">
        <f t="shared" si="283"/>
        <v>364</v>
      </c>
      <c r="BS258" s="59">
        <f t="shared" si="274"/>
        <v>-1017.7924902246057</v>
      </c>
      <c r="BT258" s="42">
        <f>'[1]побудинковий звіт'!BT258+'[2]побудинковий звіт'!BT258-'[3]побудинковий звіт'!BT258</f>
        <v>38541.152555361652</v>
      </c>
      <c r="BU258" s="42">
        <f>'[1]побудинковий звіт'!BU258+'[2]побудинковий звіт'!BU258-'[3]побудинковий звіт'!BU258</f>
        <v>47883.48789945255</v>
      </c>
      <c r="BV258" s="56">
        <f t="shared" si="250"/>
        <v>9342.3353440908977</v>
      </c>
      <c r="BW258" s="42">
        <f>'[1]побудинковий звіт'!BW258+'[2]побудинковий звіт'!BW258-'[3]побудинковий звіт'!BW258</f>
        <v>23012.397748913445</v>
      </c>
      <c r="BX258" s="42">
        <f>'[1]побудинковий звіт'!BX258+'[2]побудинковий звіт'!BX258-'[3]побудинковий звіт'!BX258</f>
        <v>23509.334284604403</v>
      </c>
      <c r="BY258" s="56">
        <f t="shared" si="251"/>
        <v>496.93653569095841</v>
      </c>
      <c r="BZ258" s="42">
        <f>'[1]побудинковий звіт'!BZ258+'[2]побудинковий звіт'!BZ258-'[3]побудинковий звіт'!BZ258</f>
        <v>11919.224351334695</v>
      </c>
      <c r="CA258" s="42">
        <f>'[1]побудинковий звіт'!CA258+'[2]побудинковий звіт'!CA258-'[3]побудинковий звіт'!CA258</f>
        <v>9884.806171582868</v>
      </c>
      <c r="CB258" s="56">
        <f t="shared" si="252"/>
        <v>-2034.4181797518268</v>
      </c>
      <c r="CC258" s="42">
        <f>'[1]побудинковий звіт'!CC258+'[2]побудинковий звіт'!CC258-'[3]побудинковий звіт'!CC258</f>
        <v>1045.4941080937483</v>
      </c>
      <c r="CD258" s="42">
        <f>'[1]побудинковий звіт'!CD258+'[2]побудинковий звіт'!CD258-'[3]побудинковий звіт'!CD258</f>
        <v>1036.2986918304614</v>
      </c>
      <c r="CE258" s="56">
        <f t="shared" si="253"/>
        <v>-9.1954162632869156</v>
      </c>
      <c r="CF258" s="42">
        <f>'[1]побудинковий звіт'!CF258+'[2]побудинковий звіт'!CF258-'[3]побудинковий звіт'!CF258</f>
        <v>128.70666103426825</v>
      </c>
      <c r="CG258" s="42">
        <f>'[1]побудинковий звіт'!CG258+'[2]побудинковий звіт'!CG258-'[3]побудинковий звіт'!CG258</f>
        <v>0</v>
      </c>
      <c r="CH258" s="56">
        <f t="shared" si="254"/>
        <v>-128.70666103426825</v>
      </c>
      <c r="CI258" s="42">
        <f>'[1]побудинковий звіт'!CI258+'[2]побудинковий звіт'!CI258-'[3]побудинковий звіт'!CI258</f>
        <v>1909.187568073598</v>
      </c>
      <c r="CJ258" s="42">
        <f>'[1]побудинковий звіт'!CJ258+'[2]побудинковий звіт'!CJ258-'[3]побудинковий звіт'!CJ258</f>
        <v>2335.5843157750642</v>
      </c>
      <c r="CK258" s="56">
        <f t="shared" si="255"/>
        <v>426.39674770146621</v>
      </c>
      <c r="CL258" s="42">
        <f>'[1]побудинковий звіт'!CL258+'[2]побудинковий звіт'!CL258-'[3]побудинковий звіт'!CL258</f>
        <v>4042.9854382735002</v>
      </c>
      <c r="CM258" s="42">
        <f>'[1]побудинковий звіт'!CM258+'[2]побудинковий звіт'!CM258-'[3]побудинковий звіт'!CM258</f>
        <v>4246.4010545966448</v>
      </c>
      <c r="CN258" s="56">
        <f t="shared" si="256"/>
        <v>203.4156163231446</v>
      </c>
      <c r="CO258" s="42">
        <f t="shared" si="236"/>
        <v>5952.1730063470986</v>
      </c>
      <c r="CP258" s="43">
        <f t="shared" si="257"/>
        <v>6581.985370371709</v>
      </c>
      <c r="CQ258" s="56">
        <f t="shared" si="258"/>
        <v>629.81236402461036</v>
      </c>
      <c r="CR258" s="78">
        <f t="shared" si="237"/>
        <v>160890.45828681439</v>
      </c>
      <c r="CS258" s="5">
        <f t="shared" si="237"/>
        <v>140515.40052913019</v>
      </c>
      <c r="CT258" s="56">
        <f t="shared" si="259"/>
        <v>-20375.057757684204</v>
      </c>
      <c r="CU258" s="87">
        <f t="shared" si="260"/>
        <v>193068.54994417727</v>
      </c>
      <c r="CV258" s="70">
        <f t="shared" si="261"/>
        <v>168618.48063495621</v>
      </c>
      <c r="CW258" s="37">
        <f t="shared" si="262"/>
        <v>-24450.069309221057</v>
      </c>
      <c r="CX258" s="42">
        <f>'[1]побудинковий звіт'!CX258+'[2]побудинковий звіт'!CX258-'[3]побудинковий звіт'!CX258</f>
        <v>4833.7700558228025</v>
      </c>
      <c r="CY258" s="42">
        <f>'[1]побудинковий звіт'!CY258+'[2]побудинковий звіт'!CY258-'[3]побудинковий звіт'!CY258</f>
        <v>29283.839365043808</v>
      </c>
      <c r="CZ258" s="56">
        <f t="shared" si="263"/>
        <v>24450.069309221006</v>
      </c>
      <c r="DA258" s="264">
        <f>'[4]побудинковий звіт'!DA258</f>
        <v>-92487.671957116298</v>
      </c>
      <c r="DB258" s="2">
        <v>2</v>
      </c>
      <c r="DC258" s="717">
        <f>'[4]побудинковий звіт'!DC258</f>
        <v>47477.79</v>
      </c>
      <c r="DD258" s="717">
        <f>'[4]побудинковий звіт'!DD258</f>
        <v>0</v>
      </c>
      <c r="DE258" s="717">
        <f>'[4]побудинковий звіт'!DE258</f>
        <v>30985.93</v>
      </c>
      <c r="DF258" s="717">
        <f>'[4]побудинковий звіт'!DF258</f>
        <v>0</v>
      </c>
      <c r="DG258" s="787">
        <v>-62647.226946536975</v>
      </c>
      <c r="DH258" s="761">
        <f t="shared" si="226"/>
        <v>2374827.8400000008</v>
      </c>
      <c r="DI258" s="784"/>
      <c r="DJ258" s="5"/>
      <c r="DK258" s="317">
        <f>VLOOKUP($A258,ціни!$A$4:$G$401,5)</f>
        <v>5.149648230635222</v>
      </c>
      <c r="DL258" s="317">
        <f>VLOOKUP($A258,ціни!$A$4:$G$401,6)</f>
        <v>5.9258935229594369</v>
      </c>
      <c r="DM258" s="317">
        <f>VLOOKUP($A258,ціни!$A$4:$G$401,7)</f>
        <v>4.3143303011559286</v>
      </c>
      <c r="DN258" s="30">
        <f t="shared" si="281"/>
        <v>15668.757953411701</v>
      </c>
      <c r="DO258" s="30">
        <f>DM258*H258</f>
        <v>0</v>
      </c>
      <c r="DP258" s="316">
        <f t="shared" si="278"/>
        <v>15668.757953411701</v>
      </c>
      <c r="DQ258" s="104"/>
      <c r="DR258" s="30">
        <f>VLOOKUP(A258,'ДЗ нас '!$A$1:$C$359,2)</f>
        <v>16491.86</v>
      </c>
      <c r="DS258" s="748"/>
      <c r="DT258" s="30">
        <f t="shared" si="279"/>
        <v>16491.86</v>
      </c>
      <c r="DU258" s="257">
        <f>VLOOKUP(A258,'новий кошторис с 01.06'!$A$4:$AI$399,35)*1.2</f>
        <v>16571.717203541877</v>
      </c>
      <c r="DV258" s="30">
        <f t="shared" si="280"/>
        <v>-79.857203541876515</v>
      </c>
      <c r="DW258" s="930">
        <f>'[5]побудинковий звіт'!DW258+'[6]побудинковий звіт'!DW258</f>
        <v>236</v>
      </c>
      <c r="DY258" s="5">
        <f t="shared" si="227"/>
        <v>45335.160958729815</v>
      </c>
      <c r="DZ258" s="5">
        <f t="shared" si="228"/>
        <v>10291.199999999999</v>
      </c>
      <c r="EA258" s="752">
        <f t="shared" si="229"/>
        <v>30985.93</v>
      </c>
      <c r="EC258" s="592">
        <f t="shared" si="230"/>
        <v>436770.09970460285</v>
      </c>
      <c r="EE258" s="758">
        <v>26339</v>
      </c>
      <c r="EF258" s="738">
        <f t="shared" si="231"/>
        <v>-36308.226946536975</v>
      </c>
      <c r="EH258" s="813">
        <v>-76314.541561746635</v>
      </c>
    </row>
    <row r="259" spans="1:138" x14ac:dyDescent="0.3">
      <c r="A259" s="328">
        <v>150000736</v>
      </c>
      <c r="B259" s="44" t="s">
        <v>709</v>
      </c>
      <c r="C259" s="45" t="s">
        <v>1770</v>
      </c>
      <c r="D259" s="45" t="s">
        <v>219</v>
      </c>
      <c r="E259" s="40">
        <f t="shared" si="232"/>
        <v>2786.3999999999996</v>
      </c>
      <c r="F259" s="490">
        <v>2595.6999999999998</v>
      </c>
      <c r="G259" s="30"/>
      <c r="H259" s="30">
        <v>190.7</v>
      </c>
      <c r="I259" s="42">
        <f>'[1]побудинковий звіт'!I259+'[2]побудинковий звіт'!I259-'[3]побудинковий звіт'!I259</f>
        <v>9015.1116576327877</v>
      </c>
      <c r="J259" s="42">
        <f>'[1]побудинковий звіт'!J259+'[2]побудинковий звіт'!J259-'[3]побудинковий звіт'!J259</f>
        <v>9040.5103451813302</v>
      </c>
      <c r="K259" s="56">
        <f t="shared" si="238"/>
        <v>25.398687548542512</v>
      </c>
      <c r="L259" s="42">
        <f>'[1]побудинковий звіт'!L259+'[2]побудинковий звіт'!L259-'[3]побудинковий звіт'!L259</f>
        <v>1829.8218157188096</v>
      </c>
      <c r="M259" s="42">
        <f>'[1]побудинковий звіт'!M259+'[2]побудинковий звіт'!M259-'[3]побудинковий звіт'!M259</f>
        <v>1846.210966851678</v>
      </c>
      <c r="N259" s="56">
        <f t="shared" si="239"/>
        <v>16.389151132868392</v>
      </c>
      <c r="O259" s="42">
        <f>'[1]побудинковий звіт'!O259+'[2]побудинковий звіт'!O259-'[3]побудинковий звіт'!O259</f>
        <v>3916.6799999999994</v>
      </c>
      <c r="P259" s="42">
        <f>'[1]побудинковий звіт'!P259+'[2]побудинковий звіт'!P259-'[3]побудинковий звіт'!P259</f>
        <v>3078.6856387096782</v>
      </c>
      <c r="Q259" s="56">
        <f t="shared" si="240"/>
        <v>-837.99436129032119</v>
      </c>
      <c r="R259" s="42">
        <f>'[1]побудинковий звіт'!R259+'[2]побудинковий звіт'!R259-'[3]побудинковий звіт'!R259</f>
        <v>0</v>
      </c>
      <c r="S259" s="42">
        <f>'[1]побудинковий звіт'!S259+'[2]побудинковий звіт'!S259-'[3]побудинковий звіт'!S259</f>
        <v>0</v>
      </c>
      <c r="T259" s="56">
        <f t="shared" si="241"/>
        <v>0</v>
      </c>
      <c r="U259" s="42">
        <f>'[1]побудинковий звіт'!U259+'[2]побудинковий звіт'!U259-'[3]побудинковий звіт'!U259</f>
        <v>0</v>
      </c>
      <c r="V259" s="42">
        <f>'[1]побудинковий звіт'!V259+'[2]побудинковий звіт'!V259-'[3]побудинковий звіт'!V259</f>
        <v>0</v>
      </c>
      <c r="W259" s="56">
        <f t="shared" si="242"/>
        <v>0</v>
      </c>
      <c r="X259" s="42">
        <f>'[1]побудинковий звіт'!X259+'[2]побудинковий звіт'!X259-'[3]побудинковий звіт'!X259</f>
        <v>6898.8732812150902</v>
      </c>
      <c r="Y259" s="42">
        <f>'[1]побудинковий звіт'!Y259+'[2]побудинковий звіт'!Y259-'[3]побудинковий звіт'!Y259</f>
        <v>5397.9904268477649</v>
      </c>
      <c r="Z259" s="56">
        <f t="shared" si="243"/>
        <v>-1500.8828543673253</v>
      </c>
      <c r="AA259" s="42">
        <f>'[1]побудинковий звіт'!AA259+'[2]побудинковий звіт'!AA259-'[3]побудинковий звіт'!AA259</f>
        <v>0</v>
      </c>
      <c r="AB259" s="42">
        <f>'[1]побудинковий звіт'!AB259+'[2]побудинковий звіт'!AB259-'[3]побудинковий звіт'!AB259</f>
        <v>0</v>
      </c>
      <c r="AC259" s="56">
        <f t="shared" si="244"/>
        <v>0</v>
      </c>
      <c r="AD259" s="42">
        <f>'[1]побудинковий звіт'!AD259+'[2]побудинковий звіт'!AD259-'[3]побудинковий звіт'!AD259</f>
        <v>12172.864791878537</v>
      </c>
      <c r="AE259" s="42">
        <f>'[1]побудинковий звіт'!AE259+'[2]побудинковий звіт'!AE259-'[3]побудинковий звіт'!AE259</f>
        <v>11193.51393902247</v>
      </c>
      <c r="AF259" s="37">
        <f t="shared" si="245"/>
        <v>-979.35085285606692</v>
      </c>
      <c r="AG259" s="87">
        <f t="shared" si="235"/>
        <v>33833.351546445221</v>
      </c>
      <c r="AH259" s="57">
        <f t="shared" si="235"/>
        <v>30556.911316612925</v>
      </c>
      <c r="AI259" s="56">
        <f t="shared" si="246"/>
        <v>-3276.4402298322966</v>
      </c>
      <c r="AJ259" s="42">
        <f>'[1]побудинковий звіт'!AJ259+'[2]побудинковий звіт'!AJ259-'[3]побудинковий звіт'!AJ259</f>
        <v>0</v>
      </c>
      <c r="AK259" s="42">
        <f>'[1]побудинковий звіт'!AK259+'[2]побудинковий звіт'!AK259-'[3]побудинковий звіт'!AK259</f>
        <v>0</v>
      </c>
      <c r="AL259" s="56">
        <f t="shared" si="247"/>
        <v>0</v>
      </c>
      <c r="AM259" s="42">
        <f>'[1]побудинковий звіт'!AM259+'[2]побудинковий звіт'!AM259-'[3]побудинковий звіт'!AM259</f>
        <v>0</v>
      </c>
      <c r="AN259" s="42">
        <f>'[1]побудинковий звіт'!AN259+'[2]побудинковий звіт'!AN259-'[3]побудинковий звіт'!AN259</f>
        <v>0</v>
      </c>
      <c r="AO259" s="56">
        <f t="shared" si="248"/>
        <v>0</v>
      </c>
      <c r="AP259" s="42">
        <f>'[1]побудинковий звіт'!AP259+'[2]побудинковий звіт'!AP259-'[3]побудинковий звіт'!AP259</f>
        <v>8949.3167253449919</v>
      </c>
      <c r="AQ259" s="42">
        <f>'[1]побудинковий звіт'!AQ259+'[2]побудинковий звіт'!AQ259-'[3]побудинковий звіт'!AQ259</f>
        <v>8369.7725649159293</v>
      </c>
      <c r="AR259" s="56">
        <f t="shared" si="249"/>
        <v>-579.54416042906269</v>
      </c>
      <c r="AS259" s="42">
        <f>'[1]побудинковий звіт'!AS259+'[2]побудинковий звіт'!AS259-'[3]побудинковий звіт'!AS259</f>
        <v>34615.977280484891</v>
      </c>
      <c r="AT259" s="42">
        <f>'[1]побудинковий звіт'!AT259+'[2]побудинковий звіт'!AT259-'[3]побудинковий звіт'!AT259</f>
        <v>29971</v>
      </c>
      <c r="AU259" s="58">
        <f t="shared" si="266"/>
        <v>-4644.9772804848908</v>
      </c>
      <c r="AV259" s="42">
        <f>'[1]побудинковий звіт'!AV259+'[2]побудинковий звіт'!AV259-'[3]побудинковий звіт'!AV259</f>
        <v>1368.7608611583591</v>
      </c>
      <c r="AW259" s="42">
        <f>'[1]побудинковий звіт'!AW259+'[2]побудинковий звіт'!AW259-'[3]побудинковий звіт'!AW259</f>
        <v>443</v>
      </c>
      <c r="AX259" s="59">
        <f t="shared" si="267"/>
        <v>-925.76086115835915</v>
      </c>
      <c r="AY259" s="42">
        <f>'[1]побудинковий звіт'!AY259+'[2]побудинковий звіт'!AY259-'[3]побудинковий звіт'!AY259</f>
        <v>2358.2381722663035</v>
      </c>
      <c r="AZ259" s="42">
        <f>'[1]побудинковий звіт'!AZ259+'[2]побудинковий звіт'!AZ259-'[3]побудинковий звіт'!AZ259</f>
        <v>0</v>
      </c>
      <c r="BA259" s="37">
        <f t="shared" si="268"/>
        <v>-2358.2381722663035</v>
      </c>
      <c r="BB259" s="42">
        <f>'[1]побудинковий звіт'!BB259+'[2]побудинковий звіт'!BB259-'[3]побудинковий звіт'!BB259</f>
        <v>2206.9999042560471</v>
      </c>
      <c r="BC259" s="42">
        <f>'[1]побудинковий звіт'!BC259+'[2]побудинковий звіт'!BC259-'[3]побудинковий звіт'!BC259</f>
        <v>1582</v>
      </c>
      <c r="BD259" s="59">
        <f t="shared" si="269"/>
        <v>-624.9999042560471</v>
      </c>
      <c r="BE259" s="42">
        <f>'[1]побудинковий звіт'!BE259+'[2]побудинковий звіт'!BE259-'[3]побудинковий звіт'!BE259</f>
        <v>0</v>
      </c>
      <c r="BF259" s="42">
        <f>'[1]побудинковий звіт'!BF259+'[2]побудинковий звіт'!BF259-'[3]побудинковий звіт'!BF259</f>
        <v>0</v>
      </c>
      <c r="BG259" s="39">
        <f t="shared" si="270"/>
        <v>0</v>
      </c>
      <c r="BH259" s="42">
        <f>'[1]побудинковий звіт'!BH259+'[2]побудинковий звіт'!BH259-'[3]побудинковий звіт'!BH259</f>
        <v>0</v>
      </c>
      <c r="BI259" s="42">
        <f>'[1]побудинковий звіт'!BI259+'[2]побудинковий звіт'!BI259-'[3]побудинковий звіт'!BI259</f>
        <v>1067.3185707928915</v>
      </c>
      <c r="BJ259" s="59">
        <f t="shared" si="271"/>
        <v>1067.3185707928915</v>
      </c>
      <c r="BK259" s="42">
        <f>'[1]побудинковий звіт'!BK259+'[2]побудинковий звіт'!BK259-'[3]побудинковий звіт'!BK259</f>
        <v>954.67898494974111</v>
      </c>
      <c r="BL259" s="42">
        <f>'[1]побудинковий звіт'!BL259+'[2]побудинковий звіт'!BL259-'[3]побудинковий звіт'!BL259</f>
        <v>0</v>
      </c>
      <c r="BM259" s="39">
        <f t="shared" si="272"/>
        <v>-954.67898494974111</v>
      </c>
      <c r="BN259" s="42">
        <f>'[1]побудинковий звіт'!BN259+'[2]побудинковий звіт'!BN259-'[3]побудинковий звіт'!BN259</f>
        <v>0</v>
      </c>
      <c r="BO259" s="42">
        <f>'[1]побудинковий звіт'!BO259+'[2]побудинковий звіт'!BO259-'[3]побудинковий звіт'!BO259</f>
        <v>0</v>
      </c>
      <c r="BP259" s="59">
        <f t="shared" si="273"/>
        <v>0</v>
      </c>
      <c r="BQ259" s="87">
        <f t="shared" si="282"/>
        <v>6888.6779226304507</v>
      </c>
      <c r="BR259" s="43">
        <f t="shared" si="283"/>
        <v>3092.3185707928915</v>
      </c>
      <c r="BS259" s="59">
        <f t="shared" si="274"/>
        <v>-3796.3593518375592</v>
      </c>
      <c r="BT259" s="42">
        <f>'[1]побудинковий звіт'!BT259+'[2]побудинковий звіт'!BT259-'[3]побудинковий звіт'!BT259</f>
        <v>16309.006492194854</v>
      </c>
      <c r="BU259" s="42">
        <f>'[1]побудинковий звіт'!BU259+'[2]побудинковий звіт'!BU259-'[3]побудинковий звіт'!BU259</f>
        <v>27724.899358814429</v>
      </c>
      <c r="BV259" s="56">
        <f t="shared" si="250"/>
        <v>11415.892866619575</v>
      </c>
      <c r="BW259" s="42">
        <f>'[1]побудинковий звіт'!BW259+'[2]побудинковий звіт'!BW259-'[3]побудинковий звіт'!BW259</f>
        <v>19161.75430557549</v>
      </c>
      <c r="BX259" s="42">
        <f>'[1]побудинковий звіт'!BX259+'[2]побудинковий звіт'!BX259-'[3]побудинковий звіт'!BX259</f>
        <v>19323.724275396162</v>
      </c>
      <c r="BY259" s="56">
        <f t="shared" si="251"/>
        <v>161.96996982067139</v>
      </c>
      <c r="BZ259" s="42">
        <f>'[1]побудинковий звіт'!BZ259+'[2]побудинковий звіт'!BZ259-'[3]побудинковий звіт'!BZ259</f>
        <v>8678.9080165856631</v>
      </c>
      <c r="CA259" s="42">
        <f>'[1]побудинковий звіт'!CA259+'[2]побудинковий звіт'!CA259-'[3]побудинковий звіт'!CA259</f>
        <v>8234.6969409643098</v>
      </c>
      <c r="CB259" s="56">
        <f t="shared" si="252"/>
        <v>-444.2110756213533</v>
      </c>
      <c r="CC259" s="42">
        <f>'[1]побудинковий звіт'!CC259+'[2]побудинковий звіт'!CC259-'[3]побудинковий звіт'!CC259</f>
        <v>598.55971584492295</v>
      </c>
      <c r="CD259" s="42">
        <f>'[1]побудинковий звіт'!CD259+'[2]побудинковий звіт'!CD259-'[3]побудинковий звіт'!CD259</f>
        <v>593.29521391897265</v>
      </c>
      <c r="CE259" s="56">
        <f t="shared" si="253"/>
        <v>-5.2645019259502988</v>
      </c>
      <c r="CF259" s="42">
        <f>'[1]побудинковий звіт'!CF259+'[2]побудинковий звіт'!CF259-'[3]побудинковий звіт'!CF259</f>
        <v>73.686328655151485</v>
      </c>
      <c r="CG259" s="42">
        <f>'[1]побудинковий звіт'!CG259+'[2]побудинковий звіт'!CG259-'[3]побудинковий звіт'!CG259</f>
        <v>0</v>
      </c>
      <c r="CH259" s="56">
        <f t="shared" si="254"/>
        <v>-73.686328655151485</v>
      </c>
      <c r="CI259" s="42">
        <f>'[1]побудинковий звіт'!CI259+'[2]побудинковий звіт'!CI259-'[3]побудинковий звіт'!CI259</f>
        <v>2938.6514528191651</v>
      </c>
      <c r="CJ259" s="42">
        <f>'[1]побудинковий звіт'!CJ259+'[2]побудинковий звіт'!CJ259-'[3]побудинковий звіт'!CJ259</f>
        <v>2317.7869449030768</v>
      </c>
      <c r="CK259" s="56">
        <f t="shared" si="255"/>
        <v>-620.86450791608831</v>
      </c>
      <c r="CL259" s="42">
        <f>'[1]побудинковий звіт'!CL259+'[2]побудинковий звіт'!CL259-'[3]побудинковий звіт'!CL259</f>
        <v>0</v>
      </c>
      <c r="CM259" s="42">
        <f>'[1]побудинковий звіт'!CM259+'[2]побудинковий звіт'!CM259-'[3]побудинковий звіт'!CM259</f>
        <v>0</v>
      </c>
      <c r="CN259" s="56">
        <f t="shared" si="256"/>
        <v>0</v>
      </c>
      <c r="CO259" s="42">
        <f t="shared" si="236"/>
        <v>2938.6514528191651</v>
      </c>
      <c r="CP259" s="43">
        <f t="shared" si="257"/>
        <v>2317.7869449030768</v>
      </c>
      <c r="CQ259" s="56">
        <f t="shared" si="258"/>
        <v>-620.86450791608831</v>
      </c>
      <c r="CR259" s="78">
        <f t="shared" si="237"/>
        <v>132047.88978658081</v>
      </c>
      <c r="CS259" s="5">
        <f t="shared" si="237"/>
        <v>130184.40518631868</v>
      </c>
      <c r="CT259" s="56">
        <f t="shared" si="259"/>
        <v>-1863.4846002621343</v>
      </c>
      <c r="CU259" s="87">
        <f t="shared" si="260"/>
        <v>158457.46774389697</v>
      </c>
      <c r="CV259" s="70">
        <f t="shared" si="261"/>
        <v>156221.2862235824</v>
      </c>
      <c r="CW259" s="37">
        <f t="shared" si="262"/>
        <v>-2236.181520314567</v>
      </c>
      <c r="CX259" s="42">
        <f>'[1]побудинковий звіт'!CX259+'[2]побудинковий звіт'!CX259-'[3]побудинковий звіт'!CX259</f>
        <v>3619.2722561030623</v>
      </c>
      <c r="CY259" s="42">
        <f>'[1]побудинковий звіт'!CY259+'[2]побудинковий звіт'!CY259-'[3]побудинковий звіт'!CY259</f>
        <v>5855.4537764175857</v>
      </c>
      <c r="CZ259" s="56">
        <f t="shared" si="263"/>
        <v>2236.1815203145234</v>
      </c>
      <c r="DA259" s="264">
        <f>'[4]побудинковий звіт'!DA259</f>
        <v>91314.88842890432</v>
      </c>
      <c r="DB259" s="2">
        <v>2</v>
      </c>
      <c r="DC259" s="717">
        <f>'[4]побудинковий звіт'!DC259</f>
        <v>26291.23</v>
      </c>
      <c r="DD259" s="717">
        <f>'[4]побудинковий звіт'!DD259</f>
        <v>559.67000000000007</v>
      </c>
      <c r="DE259" s="717">
        <f>'[4]побудинковий звіт'!DE259</f>
        <v>13542.99</v>
      </c>
      <c r="DF259" s="717">
        <f>'[4]побудинковий звіт'!DF259</f>
        <v>-215.41999999999996</v>
      </c>
      <c r="DG259" s="787">
        <v>112036.85061308002</v>
      </c>
      <c r="DH259" s="761">
        <f t="shared" si="226"/>
        <v>1944920.8800000004</v>
      </c>
      <c r="DI259" s="784"/>
      <c r="DJ259" s="5"/>
      <c r="DK259" s="317">
        <f>VLOOKUP($A259,ціни!$A$4:$G$401,5)</f>
        <v>4.804489651453598</v>
      </c>
      <c r="DL259" s="317"/>
      <c r="DM259" s="317">
        <f>VLOOKUP($A259,ціни!$A$4:$G$401,7)</f>
        <v>4.0643608440068304</v>
      </c>
      <c r="DN259" s="30">
        <f t="shared" ref="DN259:DN270" si="284">F259*DK259</f>
        <v>12471.013788278104</v>
      </c>
      <c r="DO259" s="30">
        <f t="shared" ref="DO259:DO270" si="285">H259*DM259</f>
        <v>775.07361295210251</v>
      </c>
      <c r="DP259" s="316">
        <f t="shared" si="278"/>
        <v>13246.087401230207</v>
      </c>
      <c r="DQ259" s="104"/>
      <c r="DR259" s="30">
        <f>VLOOKUP(A259,'ДЗ нас '!$A$1:$C$359,2)</f>
        <v>12748.24</v>
      </c>
      <c r="DS259" s="748">
        <f>VLOOKUP(A259,'ДЗ нежит'!$A$1:$D$153,4,0)</f>
        <v>775.09</v>
      </c>
      <c r="DT259" s="30">
        <f t="shared" si="279"/>
        <v>13523.33</v>
      </c>
      <c r="DU259" s="257">
        <f>VLOOKUP(A259,'новий кошторис с 01.06'!$A$4:$AI$399,35)*1.2</f>
        <v>13600.932648017824</v>
      </c>
      <c r="DV259" s="30">
        <f t="shared" si="280"/>
        <v>-77.602648017824322</v>
      </c>
      <c r="DW259" s="930">
        <f>'[5]побудинковий звіт'!DW259+'[6]побудинковий звіт'!DW259</f>
        <v>236</v>
      </c>
      <c r="DY259" s="5">
        <f t="shared" si="227"/>
        <v>49805.586243738406</v>
      </c>
      <c r="DZ259" s="5">
        <f t="shared" si="228"/>
        <v>39675.982284951468</v>
      </c>
      <c r="EA259" s="752">
        <f t="shared" si="229"/>
        <v>13327.57</v>
      </c>
      <c r="EC259" s="592">
        <f t="shared" si="230"/>
        <v>415391.72736581869</v>
      </c>
      <c r="EE259" s="758">
        <v>-39383</v>
      </c>
      <c r="EF259" s="738">
        <f t="shared" si="231"/>
        <v>72653.850613080023</v>
      </c>
      <c r="EH259" s="813">
        <v>93620.284153619461</v>
      </c>
    </row>
    <row r="260" spans="1:138" x14ac:dyDescent="0.3">
      <c r="A260" s="328">
        <v>150000743</v>
      </c>
      <c r="B260" s="44" t="s">
        <v>710</v>
      </c>
      <c r="C260" s="45" t="s">
        <v>1771</v>
      </c>
      <c r="D260" s="45" t="s">
        <v>220</v>
      </c>
      <c r="E260" s="40">
        <f t="shared" si="232"/>
        <v>4979.4000000000005</v>
      </c>
      <c r="F260" s="490">
        <v>4456.6000000000004</v>
      </c>
      <c r="G260" s="30"/>
      <c r="H260" s="30">
        <v>522.79999999999995</v>
      </c>
      <c r="I260" s="42">
        <f>'[1]побудинковий звіт'!I260+'[2]побудинковий звіт'!I260-'[3]побудинковий звіт'!I260</f>
        <v>7766.9514848117924</v>
      </c>
      <c r="J260" s="42">
        <f>'[1]побудинковий звіт'!J260+'[2]побудинковий звіт'!J260-'[3]побудинковий звіт'!J260</f>
        <v>7750.4968824548741</v>
      </c>
      <c r="K260" s="56">
        <f t="shared" si="238"/>
        <v>-16.454602356918258</v>
      </c>
      <c r="L260" s="42">
        <f>'[1]побудинковий звіт'!L260+'[2]побудинковий звіт'!L260-'[3]побудинковий звіт'!L260</f>
        <v>1369.1140241682106</v>
      </c>
      <c r="M260" s="42">
        <f>'[1]побудинковий звіт'!M260+'[2]побудинковий звіт'!M260-'[3]побудинковий звіт'!M260</f>
        <v>1391.2876550568571</v>
      </c>
      <c r="N260" s="56">
        <f t="shared" si="239"/>
        <v>22.173630888646585</v>
      </c>
      <c r="O260" s="42">
        <f>'[1]побудинковий звіт'!O260+'[2]побудинковий звіт'!O260-'[3]побудинковий звіт'!O260</f>
        <v>2845.9199999999996</v>
      </c>
      <c r="P260" s="42">
        <f>'[1]побудинковий звіт'!P260+'[2]побудинковий звіт'!P260-'[3]побудинковий звіт'!P260</f>
        <v>2236.9024776881724</v>
      </c>
      <c r="Q260" s="56">
        <f t="shared" si="240"/>
        <v>-609.01752231182718</v>
      </c>
      <c r="R260" s="42">
        <f>'[1]побудинковий звіт'!R260+'[2]побудинковий звіт'!R260-'[3]побудинковий звіт'!R260</f>
        <v>0</v>
      </c>
      <c r="S260" s="42">
        <f>'[1]побудинковий звіт'!S260+'[2]побудинковий звіт'!S260-'[3]побудинковий звіт'!S260</f>
        <v>0</v>
      </c>
      <c r="T260" s="56">
        <f t="shared" si="241"/>
        <v>0</v>
      </c>
      <c r="U260" s="42">
        <f>'[1]побудинковий звіт'!U260+'[2]побудинковий звіт'!U260-'[3]побудинковий звіт'!U260</f>
        <v>0</v>
      </c>
      <c r="V260" s="42">
        <f>'[1]побудинковий звіт'!V260+'[2]побудинковий звіт'!V260-'[3]побудинковий звіт'!V260</f>
        <v>0</v>
      </c>
      <c r="W260" s="56">
        <f t="shared" si="242"/>
        <v>0</v>
      </c>
      <c r="X260" s="42">
        <f>'[1]побудинковий звіт'!X260+'[2]побудинковий звіт'!X260-'[3]побудинковий звіт'!X260</f>
        <v>4611.3113992049221</v>
      </c>
      <c r="Y260" s="42">
        <f>'[1]побудинковий звіт'!Y260+'[2]побудинковий звіт'!Y260-'[3]побудинковий звіт'!Y260</f>
        <v>3505.6531861309691</v>
      </c>
      <c r="Z260" s="56">
        <f t="shared" si="243"/>
        <v>-1105.658213073953</v>
      </c>
      <c r="AA260" s="42">
        <f>'[1]побудинковий звіт'!AA260+'[2]побудинковий звіт'!AA260-'[3]побудинковий звіт'!AA260</f>
        <v>0</v>
      </c>
      <c r="AB260" s="42">
        <f>'[1]побудинковий звіт'!AB260+'[2]побудинковий звіт'!AB260-'[3]побудинковий звіт'!AB260</f>
        <v>0</v>
      </c>
      <c r="AC260" s="56">
        <f t="shared" si="244"/>
        <v>0</v>
      </c>
      <c r="AD260" s="42">
        <f>'[1]побудинковий звіт'!AD260+'[2]побудинковий звіт'!AD260-'[3]побудинковий звіт'!AD260</f>
        <v>9820.3022823096817</v>
      </c>
      <c r="AE260" s="42">
        <f>'[1]побудинковий звіт'!AE260+'[2]побудинковий звіт'!AE260-'[3]побудинковий звіт'!AE260</f>
        <v>9051.2730336086042</v>
      </c>
      <c r="AF260" s="37">
        <f t="shared" si="245"/>
        <v>-769.02924870107745</v>
      </c>
      <c r="AG260" s="87">
        <f t="shared" si="235"/>
        <v>26413.599190494606</v>
      </c>
      <c r="AH260" s="57">
        <f t="shared" si="235"/>
        <v>23935.613234939476</v>
      </c>
      <c r="AI260" s="56">
        <f t="shared" si="246"/>
        <v>-2477.9859555551302</v>
      </c>
      <c r="AJ260" s="42">
        <f>'[1]побудинковий звіт'!AJ260+'[2]побудинковий звіт'!AJ260-'[3]побудинковий звіт'!AJ260</f>
        <v>0</v>
      </c>
      <c r="AK260" s="42">
        <f>'[1]побудинковий звіт'!AK260+'[2]побудинковий звіт'!AK260-'[3]побудинковий звіт'!AK260</f>
        <v>0</v>
      </c>
      <c r="AL260" s="56">
        <f t="shared" si="247"/>
        <v>0</v>
      </c>
      <c r="AM260" s="42">
        <f>'[1]побудинковий звіт'!AM260+'[2]побудинковий звіт'!AM260-'[3]побудинковий звіт'!AM260</f>
        <v>0</v>
      </c>
      <c r="AN260" s="42">
        <f>'[1]побудинковий звіт'!AN260+'[2]побудинковий звіт'!AN260-'[3]побудинковий звіт'!AN260</f>
        <v>0</v>
      </c>
      <c r="AO260" s="56">
        <f t="shared" si="248"/>
        <v>0</v>
      </c>
      <c r="AP260" s="42">
        <f>'[1]побудинковий звіт'!AP260+'[2]побудинковий звіт'!AP260-'[3]побудинковий звіт'!AP260</f>
        <v>6108.2637966640423</v>
      </c>
      <c r="AQ260" s="42">
        <f>'[1]побудинковий звіт'!AQ260+'[2]побудинковий звіт'!AQ260-'[3]побудинковий звіт'!AQ260</f>
        <v>5630.9338212052935</v>
      </c>
      <c r="AR260" s="56">
        <f t="shared" si="249"/>
        <v>-477.32997545874878</v>
      </c>
      <c r="AS260" s="42">
        <f>'[1]побудинковий звіт'!AS260+'[2]побудинковий звіт'!AS260-'[3]побудинковий звіт'!AS260</f>
        <v>24562.675663462083</v>
      </c>
      <c r="AT260" s="42">
        <f>'[1]побудинковий звіт'!AT260+'[2]побудинковий звіт'!AT260-'[3]побудинковий звіт'!AT260</f>
        <v>264635.31193502864</v>
      </c>
      <c r="AU260" s="58">
        <f t="shared" si="266"/>
        <v>240072.63627156656</v>
      </c>
      <c r="AV260" s="42">
        <f>'[1]побудинковий звіт'!AV260+'[2]побудинковий звіт'!AV260-'[3]побудинковий звіт'!AV260</f>
        <v>1257.8367990749434</v>
      </c>
      <c r="AW260" s="42">
        <f>'[1]побудинковий звіт'!AW260+'[2]побудинковий звіт'!AW260-'[3]побудинковий звіт'!AW260</f>
        <v>0</v>
      </c>
      <c r="AX260" s="59">
        <f t="shared" si="267"/>
        <v>-1257.8367990749434</v>
      </c>
      <c r="AY260" s="42">
        <f>'[1]побудинковий звіт'!AY260+'[2]побудинковий звіт'!AY260-'[3]побудинковий звіт'!AY260</f>
        <v>1764.832298202359</v>
      </c>
      <c r="AZ260" s="42">
        <f>'[1]побудинковий звіт'!AZ260+'[2]побудинковий звіт'!AZ260-'[3]побудинковий звіт'!AZ260</f>
        <v>0</v>
      </c>
      <c r="BA260" s="37">
        <f t="shared" si="268"/>
        <v>-1764.832298202359</v>
      </c>
      <c r="BB260" s="42">
        <f>'[1]побудинковий звіт'!BB260+'[2]побудинковий звіт'!BB260-'[3]побудинковий звіт'!BB260</f>
        <v>1290.6919343424536</v>
      </c>
      <c r="BC260" s="42">
        <f>'[1]побудинковий звіт'!BC260+'[2]побудинковий звіт'!BC260-'[3]побудинковий звіт'!BC260</f>
        <v>0</v>
      </c>
      <c r="BD260" s="59">
        <f t="shared" si="269"/>
        <v>-1290.6919343424536</v>
      </c>
      <c r="BE260" s="42">
        <f>'[1]побудинковий звіт'!BE260+'[2]побудинковий звіт'!BE260-'[3]побудинковий звіт'!BE260</f>
        <v>0</v>
      </c>
      <c r="BF260" s="42">
        <f>'[1]побудинковий звіт'!BF260+'[2]побудинковий звіт'!BF260-'[3]побудинковий звіт'!BF260</f>
        <v>0</v>
      </c>
      <c r="BG260" s="39">
        <f t="shared" si="270"/>
        <v>0</v>
      </c>
      <c r="BH260" s="42">
        <f>'[1]побудинковий звіт'!BH260+'[2]побудинковий звіт'!BH260-'[3]побудинковий звіт'!BH260</f>
        <v>0</v>
      </c>
      <c r="BI260" s="42">
        <f>'[1]побудинковий звіт'!BI260+'[2]побудинковий звіт'!BI260-'[3]побудинковий звіт'!BI260</f>
        <v>0</v>
      </c>
      <c r="BJ260" s="59">
        <f t="shared" si="271"/>
        <v>0</v>
      </c>
      <c r="BK260" s="42">
        <f>'[1]побудинковий звіт'!BK260+'[2]побудинковий звіт'!BK260-'[3]побудинковий звіт'!BK260</f>
        <v>619.15263517957965</v>
      </c>
      <c r="BL260" s="42">
        <f>'[1]побудинковий звіт'!BL260+'[2]побудинковий звіт'!BL260-'[3]побудинковий звіт'!BL260</f>
        <v>0</v>
      </c>
      <c r="BM260" s="39">
        <f t="shared" si="272"/>
        <v>-619.15263517957965</v>
      </c>
      <c r="BN260" s="42">
        <f>'[1]побудинковий звіт'!BN260+'[2]побудинковий звіт'!BN260-'[3]побудинковий звіт'!BN260</f>
        <v>0</v>
      </c>
      <c r="BO260" s="42">
        <f>'[1]побудинковий звіт'!BO260+'[2]побудинковий звіт'!BO260-'[3]побудинковий звіт'!BO260</f>
        <v>0</v>
      </c>
      <c r="BP260" s="59">
        <f t="shared" si="273"/>
        <v>0</v>
      </c>
      <c r="BQ260" s="87">
        <f t="shared" si="282"/>
        <v>4932.5136667993356</v>
      </c>
      <c r="BR260" s="43">
        <f t="shared" si="283"/>
        <v>0</v>
      </c>
      <c r="BS260" s="59">
        <f t="shared" si="274"/>
        <v>-4932.5136667993356</v>
      </c>
      <c r="BT260" s="42">
        <f>'[1]побудинковий звіт'!BT260+'[2]побудинковий звіт'!BT260-'[3]побудинковий звіт'!BT260</f>
        <v>11876.648990378237</v>
      </c>
      <c r="BU260" s="42">
        <f>'[1]побудинковий звіт'!BU260+'[2]побудинковий звіт'!BU260-'[3]побудинковий звіт'!BU260</f>
        <v>23425.252631741714</v>
      </c>
      <c r="BV260" s="56">
        <f t="shared" si="250"/>
        <v>11548.603641363477</v>
      </c>
      <c r="BW260" s="42">
        <f>'[1]побудинковий звіт'!BW260+'[2]побудинковий звіт'!BW260-'[3]побудинковий звіт'!BW260</f>
        <v>11645.617480436065</v>
      </c>
      <c r="BX260" s="42">
        <f>'[1]побудинковий звіт'!BX260+'[2]побудинковий звіт'!BX260-'[3]побудинковий звіт'!BX260</f>
        <v>15410.944608375034</v>
      </c>
      <c r="BY260" s="56">
        <f t="shared" si="251"/>
        <v>3765.3271279389683</v>
      </c>
      <c r="BZ260" s="42">
        <f>'[1]побудинковий звіт'!BZ260+'[2]побудинковий звіт'!BZ260-'[3]побудинковий звіт'!BZ260</f>
        <v>7720.0732091517111</v>
      </c>
      <c r="CA260" s="42">
        <f>'[1]побудинковий звіт'!CA260+'[2]побудинковий звіт'!CA260-'[3]побудинковий звіт'!CA260</f>
        <v>7679.9240194326458</v>
      </c>
      <c r="CB260" s="56">
        <f t="shared" si="252"/>
        <v>-40.149189719065362</v>
      </c>
      <c r="CC260" s="42">
        <f>'[1]побудинковий звіт'!CC260+'[2]побудинковий звіт'!CC260-'[3]побудинковий звіт'!CC260</f>
        <v>1648.9070108239005</v>
      </c>
      <c r="CD260" s="42">
        <f>'[1]побудинковий звіт'!CD260+'[2]побудинковий звіт'!CD260-'[3]побудинковий звіт'!CD260</f>
        <v>1634.4044074839121</v>
      </c>
      <c r="CE260" s="56">
        <f t="shared" si="253"/>
        <v>-14.502603339988354</v>
      </c>
      <c r="CF260" s="42">
        <f>'[1]побудинковий звіт'!CF260+'[2]побудинковий звіт'!CF260-'[3]побудинковий звіт'!CF260</f>
        <v>202.99044640824525</v>
      </c>
      <c r="CG260" s="42">
        <f>'[1]побудинковий звіт'!CG260+'[2]побудинковий звіт'!CG260-'[3]побудинковий звіт'!CG260</f>
        <v>0</v>
      </c>
      <c r="CH260" s="56">
        <f t="shared" si="254"/>
        <v>-202.99044640824525</v>
      </c>
      <c r="CI260" s="42">
        <f>'[1]побудинковий звіт'!CI260+'[2]побудинковий звіт'!CI260-'[3]побудинковий звіт'!CI260</f>
        <v>449.22060425261122</v>
      </c>
      <c r="CJ260" s="42">
        <f>'[1]побудинковий звіт'!CJ260+'[2]побудинковий звіт'!CJ260-'[3]побудинковий звіт'!CJ260</f>
        <v>270.22484240690733</v>
      </c>
      <c r="CK260" s="56">
        <f t="shared" si="255"/>
        <v>-178.9957618457039</v>
      </c>
      <c r="CL260" s="42">
        <f>'[1]побудинковий звіт'!CL260+'[2]побудинковий звіт'!CL260-'[3]побудинковий звіт'!CL260</f>
        <v>0</v>
      </c>
      <c r="CM260" s="42">
        <f>'[1]побудинковий звіт'!CM260+'[2]побудинковий звіт'!CM260-'[3]побудинковий звіт'!CM260</f>
        <v>0</v>
      </c>
      <c r="CN260" s="56">
        <f t="shared" si="256"/>
        <v>0</v>
      </c>
      <c r="CO260" s="42">
        <f t="shared" si="236"/>
        <v>449.22060425261122</v>
      </c>
      <c r="CP260" s="43">
        <f t="shared" si="257"/>
        <v>270.22484240690733</v>
      </c>
      <c r="CQ260" s="56">
        <f t="shared" si="258"/>
        <v>-178.9957618457039</v>
      </c>
      <c r="CR260" s="78">
        <f t="shared" si="237"/>
        <v>95560.51005887083</v>
      </c>
      <c r="CS260" s="5">
        <f t="shared" si="237"/>
        <v>342622.60950061359</v>
      </c>
      <c r="CT260" s="56">
        <f t="shared" si="259"/>
        <v>247062.09944174276</v>
      </c>
      <c r="CU260" s="87">
        <f t="shared" si="260"/>
        <v>114672.61207064499</v>
      </c>
      <c r="CV260" s="70">
        <f t="shared" si="261"/>
        <v>411147.13140073628</v>
      </c>
      <c r="CW260" s="37">
        <f t="shared" si="262"/>
        <v>296474.51933009131</v>
      </c>
      <c r="CX260" s="42">
        <f>'[1]побудинковий звіт'!CX260+'[2]побудинковий звіт'!CX260-'[3]побудинковий звіт'!CX260</f>
        <v>2862.2279293549873</v>
      </c>
      <c r="CY260" s="42">
        <f>'[1]побудинковий звіт'!CY260+'[2]побудинковий звіт'!CY260-'[3]побудинковий звіт'!CY260</f>
        <v>-293612.2914007362</v>
      </c>
      <c r="CZ260" s="56">
        <f t="shared" si="263"/>
        <v>-296474.51933009119</v>
      </c>
      <c r="DA260" s="264">
        <f>'[4]побудинковий звіт'!DA260</f>
        <v>237944.03362666184</v>
      </c>
      <c r="DB260" s="2">
        <v>2</v>
      </c>
      <c r="DC260" s="717">
        <f>'[4]побудинковий звіт'!DC260</f>
        <v>50324.33</v>
      </c>
      <c r="DD260" s="717">
        <f>'[4]побудинковий звіт'!DD260</f>
        <v>1650.83</v>
      </c>
      <c r="DE260" s="717">
        <f>'[4]побудинковий звіт'!DE260</f>
        <v>42487.700000000004</v>
      </c>
      <c r="DF260" s="717">
        <f>'[4]побудинковий звіт'!DF260</f>
        <v>-307.11000000000035</v>
      </c>
      <c r="DG260" s="787">
        <v>-45427.767321562336</v>
      </c>
      <c r="DH260" s="761">
        <f t="shared" si="226"/>
        <v>1410418.0799999996</v>
      </c>
      <c r="DI260" s="784"/>
      <c r="DJ260" s="5"/>
      <c r="DK260" s="317">
        <f>VLOOKUP($A260,ціни!$A$4:$G$401,5)</f>
        <v>4.4179691940324739</v>
      </c>
      <c r="DL260" s="317"/>
      <c r="DM260" s="317">
        <f>VLOOKUP($A260,ціни!$A$4:$G$401,7)</f>
        <v>3.7450587753252771</v>
      </c>
      <c r="DN260" s="30">
        <f t="shared" si="284"/>
        <v>19689.121510125125</v>
      </c>
      <c r="DO260" s="30">
        <f t="shared" si="285"/>
        <v>1957.9167277400547</v>
      </c>
      <c r="DP260" s="316">
        <f t="shared" si="278"/>
        <v>21647.038237865181</v>
      </c>
      <c r="DQ260" s="104"/>
      <c r="DR260" s="30">
        <f>VLOOKUP(A260,'ДЗ нас '!$A$1:$C$359,2)</f>
        <v>7836.63</v>
      </c>
      <c r="DS260" s="748">
        <f>VLOOKUP(A260,'ДЗ нежит'!$A$1:$D$153,4,0)</f>
        <v>1957.9400000000003</v>
      </c>
      <c r="DT260" s="30">
        <f t="shared" si="279"/>
        <v>9794.57</v>
      </c>
      <c r="DU260" s="257">
        <f>VLOOKUP(A260,'новий кошторис с 01.06'!$A$4:$AI$399,35)*1.2</f>
        <v>9842.7325360636951</v>
      </c>
      <c r="DV260" s="30">
        <f t="shared" si="280"/>
        <v>-48.16253606369537</v>
      </c>
      <c r="DW260" s="930">
        <f>'[5]побудинковий звіт'!DW260+'[6]побудинковий звіт'!DW260</f>
        <v>236</v>
      </c>
      <c r="DY260" s="5">
        <f t="shared" ref="DY260:DY320" si="286">(AS260+BQ260)*1.2</f>
        <v>35394.227196313703</v>
      </c>
      <c r="DZ260" s="5">
        <f t="shared" ref="DZ260:DZ320" si="287">(AT260+BR260)*1.2</f>
        <v>317562.37432203436</v>
      </c>
      <c r="EA260" s="752">
        <f t="shared" si="229"/>
        <v>42180.590000000004</v>
      </c>
      <c r="EC260" s="592">
        <f t="shared" ref="EC260:EC320" si="288">AS260*12</f>
        <v>294752.107961545</v>
      </c>
      <c r="EE260" s="758">
        <v>66963</v>
      </c>
      <c r="EF260" s="738">
        <f t="shared" ref="EF260:EF320" si="289">EE260+DG260</f>
        <v>21535.232678437664</v>
      </c>
      <c r="EH260" s="813">
        <v>5713.9421626418189</v>
      </c>
    </row>
    <row r="261" spans="1:138" x14ac:dyDescent="0.3">
      <c r="A261" s="328">
        <v>150000737</v>
      </c>
      <c r="B261" s="44" t="s">
        <v>711</v>
      </c>
      <c r="C261" s="45" t="s">
        <v>1772</v>
      </c>
      <c r="D261" s="45" t="s">
        <v>221</v>
      </c>
      <c r="E261" s="40">
        <f t="shared" si="232"/>
        <v>3871.3</v>
      </c>
      <c r="F261" s="490">
        <v>3569.1</v>
      </c>
      <c r="G261" s="30"/>
      <c r="H261" s="30">
        <v>302.20000000000005</v>
      </c>
      <c r="I261" s="42">
        <f>'[1]побудинковий звіт'!I261+'[2]побудинковий звіт'!I261-'[3]побудинковий звіт'!I261</f>
        <v>10063.962877146287</v>
      </c>
      <c r="J261" s="42">
        <f>'[1]побудинковий звіт'!J261+'[2]побудинковий звіт'!J261-'[3]побудинковий звіт'!J261</f>
        <v>10015.987951680456</v>
      </c>
      <c r="K261" s="56">
        <f t="shared" si="238"/>
        <v>-47.974925465830893</v>
      </c>
      <c r="L261" s="42">
        <f>'[1]побудинковий звіт'!L261+'[2]побудинковий звіт'!L261-'[3]побудинковий звіт'!L261</f>
        <v>1813.2547913555013</v>
      </c>
      <c r="M261" s="42">
        <f>'[1]побудинковий звіт'!M261+'[2]побудинковий звіт'!M261-'[3]побудинковий звіт'!M261</f>
        <v>1851.4878676810763</v>
      </c>
      <c r="N261" s="56">
        <f t="shared" si="239"/>
        <v>38.233076325574984</v>
      </c>
      <c r="O261" s="42">
        <f>'[1]побудинковий звіт'!O261+'[2]побудинковий звіт'!O261-'[3]побудинковий звіт'!O261</f>
        <v>4135.2</v>
      </c>
      <c r="P261" s="42">
        <f>'[1]побудинковий звіт'!P261+'[2]побудинковий звіт'!P261-'[3]побудинковий звіт'!P261</f>
        <v>3250.2028639784949</v>
      </c>
      <c r="Q261" s="56">
        <f t="shared" si="240"/>
        <v>-884.99713602150496</v>
      </c>
      <c r="R261" s="42">
        <f>'[1]побудинковий звіт'!R261+'[2]побудинковий звіт'!R261-'[3]побудинковий звіт'!R261</f>
        <v>0</v>
      </c>
      <c r="S261" s="42">
        <f>'[1]побудинковий звіт'!S261+'[2]побудинковий звіт'!S261-'[3]побудинковий звіт'!S261</f>
        <v>0</v>
      </c>
      <c r="T261" s="56">
        <f t="shared" si="241"/>
        <v>0</v>
      </c>
      <c r="U261" s="42">
        <f>'[1]побудинковий звіт'!U261+'[2]побудинковий звіт'!U261-'[3]побудинковий звіт'!U261</f>
        <v>0</v>
      </c>
      <c r="V261" s="42">
        <f>'[1]побудинковий звіт'!V261+'[2]побудинковий звіт'!V261-'[3]побудинковий звіт'!V261</f>
        <v>0</v>
      </c>
      <c r="W261" s="56">
        <f t="shared" si="242"/>
        <v>0</v>
      </c>
      <c r="X261" s="42">
        <f>'[1]побудинковий звіт'!X261+'[2]побудинковий звіт'!X261-'[3]побудинковий звіт'!X261</f>
        <v>6760.0709430514844</v>
      </c>
      <c r="Y261" s="42">
        <f>'[1]побудинковий звіт'!Y261+'[2]побудинковий звіт'!Y261-'[3]побудинковий звіт'!Y261</f>
        <v>7555.2607107650365</v>
      </c>
      <c r="Z261" s="56">
        <f t="shared" si="243"/>
        <v>795.1897677135521</v>
      </c>
      <c r="AA261" s="42">
        <f>'[1]побудинковий звіт'!AA261+'[2]побудинковий звіт'!AA261-'[3]побудинковий звіт'!AA261</f>
        <v>0</v>
      </c>
      <c r="AB261" s="42">
        <f>'[1]побудинковий звіт'!AB261+'[2]побудинковий звіт'!AB261-'[3]побудинковий звіт'!AB261</f>
        <v>0</v>
      </c>
      <c r="AC261" s="56">
        <f t="shared" si="244"/>
        <v>0</v>
      </c>
      <c r="AD261" s="42">
        <f>'[1]побудинковий звіт'!AD261+'[2]побудинковий звіт'!AD261-'[3]побудинковий звіт'!AD261</f>
        <v>11002.142118087277</v>
      </c>
      <c r="AE261" s="42">
        <f>'[1]побудинковий звіт'!AE261+'[2]побудинковий звіт'!AE261-'[3]побудинковий звіт'!AE261</f>
        <v>10286.271708878185</v>
      </c>
      <c r="AF261" s="37">
        <f t="shared" si="245"/>
        <v>-715.87040920909203</v>
      </c>
      <c r="AG261" s="87">
        <f t="shared" si="235"/>
        <v>33774.63072964055</v>
      </c>
      <c r="AH261" s="57">
        <f t="shared" si="235"/>
        <v>32959.211102983252</v>
      </c>
      <c r="AI261" s="56">
        <f t="shared" si="246"/>
        <v>-815.41962665729807</v>
      </c>
      <c r="AJ261" s="42">
        <f>'[1]побудинковий звіт'!AJ261+'[2]побудинковий звіт'!AJ261-'[3]побудинковий звіт'!AJ261</f>
        <v>0</v>
      </c>
      <c r="AK261" s="42">
        <f>'[1]побудинковий звіт'!AK261+'[2]побудинковий звіт'!AK261-'[3]побудинковий звіт'!AK261</f>
        <v>0</v>
      </c>
      <c r="AL261" s="56">
        <f t="shared" si="247"/>
        <v>0</v>
      </c>
      <c r="AM261" s="42">
        <f>'[1]побудинковий звіт'!AM261+'[2]побудинковий звіт'!AM261-'[3]побудинковий звіт'!AM261</f>
        <v>0</v>
      </c>
      <c r="AN261" s="42">
        <f>'[1]побудинковий звіт'!AN261+'[2]побудинковий звіт'!AN261-'[3]побудинковий звіт'!AN261</f>
        <v>0</v>
      </c>
      <c r="AO261" s="56">
        <f t="shared" si="248"/>
        <v>0</v>
      </c>
      <c r="AP261" s="42">
        <f>'[1]побудинковий звіт'!AP261+'[2]побудинковий звіт'!AP261-'[3]побудинковий звіт'!AP261</f>
        <v>8239.0534931747534</v>
      </c>
      <c r="AQ261" s="42">
        <f>'[1]побудинковий звіт'!AQ261+'[2]побудинковий звіт'!AQ261-'[3]побудинковий звіт'!AQ261</f>
        <v>8596.0673702976492</v>
      </c>
      <c r="AR261" s="56">
        <f t="shared" si="249"/>
        <v>357.01387712289579</v>
      </c>
      <c r="AS261" s="42">
        <f>'[1]побудинковий звіт'!AS261+'[2]побудинковий звіт'!AS261-'[3]побудинковий звіт'!AS261</f>
        <v>38857.356723759396</v>
      </c>
      <c r="AT261" s="42">
        <f>'[1]побудинковий звіт'!AT261+'[2]побудинковий звіт'!AT261-'[3]побудинковий звіт'!AT261</f>
        <v>112223</v>
      </c>
      <c r="AU261" s="58">
        <f t="shared" si="266"/>
        <v>73365.643276240604</v>
      </c>
      <c r="AV261" s="42">
        <f>'[1]побудинковий звіт'!AV261+'[2]побудинковий звіт'!AV261-'[3]побудинковий звіт'!AV261</f>
        <v>1630.989410215941</v>
      </c>
      <c r="AW261" s="42">
        <f>'[1]побудинковий звіт'!AW261+'[2]побудинковий звіт'!AW261-'[3]побудинковий звіт'!AW261</f>
        <v>0</v>
      </c>
      <c r="AX261" s="59">
        <f t="shared" si="267"/>
        <v>-1630.989410215941</v>
      </c>
      <c r="AY261" s="42">
        <f>'[1]побудинковий звіт'!AY261+'[2]побудинковий звіт'!AY261-'[3]побудинковий звіт'!AY261</f>
        <v>2337.261412497548</v>
      </c>
      <c r="AZ261" s="42">
        <f>'[1]побудинковий звіт'!AZ261+'[2]побудинковий звіт'!AZ261-'[3]побудинковий звіт'!AZ261</f>
        <v>0</v>
      </c>
      <c r="BA261" s="37">
        <f t="shared" si="268"/>
        <v>-2337.261412497548</v>
      </c>
      <c r="BB261" s="42">
        <f>'[1]побудинковий звіт'!BB261+'[2]побудинковий звіт'!BB261-'[3]побудинковий звіт'!BB261</f>
        <v>1437.852631880578</v>
      </c>
      <c r="BC261" s="42">
        <f>'[1]побудинковий звіт'!BC261+'[2]побудинковий звіт'!BC261-'[3]побудинковий звіт'!BC261</f>
        <v>2937</v>
      </c>
      <c r="BD261" s="59">
        <f t="shared" si="269"/>
        <v>1499.147368119422</v>
      </c>
      <c r="BE261" s="42">
        <f>'[1]побудинковий звіт'!BE261+'[2]побудинковий звіт'!BE261-'[3]побудинковий звіт'!BE261</f>
        <v>0</v>
      </c>
      <c r="BF261" s="42">
        <f>'[1]побудинковий звіт'!BF261+'[2]побудинковий звіт'!BF261-'[3]побудинковий звіт'!BF261</f>
        <v>0</v>
      </c>
      <c r="BG261" s="39">
        <f t="shared" si="270"/>
        <v>0</v>
      </c>
      <c r="BH261" s="42">
        <f>'[1]побудинковий звіт'!BH261+'[2]побудинковий звіт'!BH261-'[3]побудинковий звіт'!BH261</f>
        <v>0</v>
      </c>
      <c r="BI261" s="42">
        <f>'[1]побудинковий звіт'!BI261+'[2]побудинковий звіт'!BI261-'[3]побудинковий звіт'!BI261</f>
        <v>1059.0296082014213</v>
      </c>
      <c r="BJ261" s="59">
        <f t="shared" si="271"/>
        <v>1059.0296082014213</v>
      </c>
      <c r="BK261" s="42">
        <f>'[1]побудинковий звіт'!BK261+'[2]побудинковий звіт'!BK261-'[3]побудинковий звіт'!BK261</f>
        <v>933.73207326345789</v>
      </c>
      <c r="BL261" s="42">
        <f>'[1]побудинковий звіт'!BL261+'[2]побудинковий звіт'!BL261-'[3]побудинковий звіт'!BL261</f>
        <v>0</v>
      </c>
      <c r="BM261" s="39">
        <f t="shared" si="272"/>
        <v>-933.73207326345789</v>
      </c>
      <c r="BN261" s="42">
        <f>'[1]побудинковий звіт'!BN261+'[2]побудинковий звіт'!BN261-'[3]побудинковий звіт'!BN261</f>
        <v>0</v>
      </c>
      <c r="BO261" s="42">
        <f>'[1]побудинковий звіт'!BO261+'[2]побудинковий звіт'!BO261-'[3]побудинковий звіт'!BO261</f>
        <v>0</v>
      </c>
      <c r="BP261" s="59">
        <f t="shared" si="273"/>
        <v>0</v>
      </c>
      <c r="BQ261" s="87">
        <f t="shared" si="282"/>
        <v>6339.8355278575254</v>
      </c>
      <c r="BR261" s="43">
        <f t="shared" si="283"/>
        <v>3996.0296082014211</v>
      </c>
      <c r="BS261" s="59">
        <f t="shared" si="274"/>
        <v>-2343.8059196561044</v>
      </c>
      <c r="BT261" s="42">
        <f>'[1]побудинковий звіт'!BT261+'[2]побудинковий звіт'!BT261-'[3]побудинковий звіт'!BT261</f>
        <v>13564.903658183688</v>
      </c>
      <c r="BU261" s="42">
        <f>'[1]побудинковий звіт'!BU261+'[2]побудинковий звіт'!BU261-'[3]побудинковий звіт'!BU261</f>
        <v>21163.794703614156</v>
      </c>
      <c r="BV261" s="56">
        <f t="shared" si="250"/>
        <v>7598.8910454304678</v>
      </c>
      <c r="BW261" s="42">
        <f>'[1]побудинковий звіт'!BW261+'[2]побудинковий звіт'!BW261-'[3]побудинковий звіт'!BW261</f>
        <v>14666.704783747289</v>
      </c>
      <c r="BX261" s="42">
        <f>'[1]побудинковий звіт'!BX261+'[2]побудинковий звіт'!BX261-'[3]побудинковий звіт'!BX261</f>
        <v>15233.586527993253</v>
      </c>
      <c r="BY261" s="56">
        <f t="shared" si="251"/>
        <v>566.881744245964</v>
      </c>
      <c r="BZ261" s="42">
        <f>'[1]побудинковий звіт'!BZ261+'[2]побудинковий звіт'!BZ261-'[3]побудинковий звіт'!BZ261</f>
        <v>7302.614137237646</v>
      </c>
      <c r="CA261" s="42">
        <f>'[1]побудинковий звіт'!CA261+'[2]побудинковий звіт'!CA261-'[3]побудинковий звіт'!CA261</f>
        <v>4916.8253774547011</v>
      </c>
      <c r="CB261" s="56">
        <f t="shared" si="252"/>
        <v>-2385.7887597829449</v>
      </c>
      <c r="CC261" s="42">
        <f>'[1]побудинковий звіт'!CC261+'[2]побудинковий звіт'!CC261-'[3]побудинковий звіт'!CC261</f>
        <v>979.75548573928177</v>
      </c>
      <c r="CD261" s="42">
        <f>'[1]побудинковий звіт'!CD261+'[2]побудинковий звіт'!CD261-'[3]побудинковий звіт'!CD261</f>
        <v>971.13825924525736</v>
      </c>
      <c r="CE261" s="56">
        <f t="shared" si="253"/>
        <v>-8.6172264940244077</v>
      </c>
      <c r="CF261" s="42">
        <f>'[1]побудинковий звіт'!CF261+'[2]побудинковий звіт'!CF261-'[3]побудинковий звіт'!CF261</f>
        <v>120.61383820654039</v>
      </c>
      <c r="CG261" s="42">
        <f>'[1]побудинковий звіт'!CG261+'[2]побудинковий звіт'!CG261-'[3]побудинковий звіт'!CG261</f>
        <v>0</v>
      </c>
      <c r="CH261" s="56">
        <f t="shared" si="254"/>
        <v>-120.61383820654039</v>
      </c>
      <c r="CI261" s="42">
        <f>'[1]побудинковий звіт'!CI261+'[2]побудинковий звіт'!CI261-'[3]побудинковий звіт'!CI261</f>
        <v>4024.2679130963088</v>
      </c>
      <c r="CJ261" s="42">
        <f>'[1]побудинковий звіт'!CJ261+'[2]побудинковий звіт'!CJ261-'[3]побудинковий звіт'!CJ261</f>
        <v>2041.2649148487433</v>
      </c>
      <c r="CK261" s="56">
        <f t="shared" si="255"/>
        <v>-1983.0029982475655</v>
      </c>
      <c r="CL261" s="42">
        <f>'[1]побудинковий звіт'!CL261+'[2]побудинковий звіт'!CL261-'[3]побудинковий звіт'!CL261</f>
        <v>0</v>
      </c>
      <c r="CM261" s="42">
        <f>'[1]побудинковий звіт'!CM261+'[2]побудинковий звіт'!CM261-'[3]побудинковий звіт'!CM261</f>
        <v>0</v>
      </c>
      <c r="CN261" s="56">
        <f t="shared" si="256"/>
        <v>0</v>
      </c>
      <c r="CO261" s="42">
        <f t="shared" si="236"/>
        <v>4024.2679130963088</v>
      </c>
      <c r="CP261" s="43">
        <f t="shared" si="257"/>
        <v>2041.2649148487433</v>
      </c>
      <c r="CQ261" s="56">
        <f t="shared" si="258"/>
        <v>-1983.0029982475655</v>
      </c>
      <c r="CR261" s="78">
        <f t="shared" si="237"/>
        <v>127869.73629064299</v>
      </c>
      <c r="CS261" s="5">
        <f t="shared" si="237"/>
        <v>202100.91786463841</v>
      </c>
      <c r="CT261" s="56">
        <f t="shared" si="259"/>
        <v>74231.181573995418</v>
      </c>
      <c r="CU261" s="87">
        <f t="shared" si="260"/>
        <v>153443.68354877157</v>
      </c>
      <c r="CV261" s="70">
        <f t="shared" si="261"/>
        <v>242521.10143756607</v>
      </c>
      <c r="CW261" s="37">
        <f t="shared" si="262"/>
        <v>89077.417888794502</v>
      </c>
      <c r="CX261" s="42">
        <f>'[1]побудинковий звіт'!CX261+'[2]побудинковий звіт'!CX261-'[3]побудинковий звіт'!CX261</f>
        <v>1969.7564512284589</v>
      </c>
      <c r="CY261" s="42">
        <f>'[1]побудинковий звіт'!CY261+'[2]побудинковий звіт'!CY261-'[3]побудинковий звіт'!CY261</f>
        <v>-87107.661437566116</v>
      </c>
      <c r="CZ261" s="56">
        <f t="shared" si="263"/>
        <v>-89077.417888794575</v>
      </c>
      <c r="DA261" s="264">
        <f>'[4]побудинковий звіт'!DA261</f>
        <v>33828.502009892363</v>
      </c>
      <c r="DB261" s="2">
        <v>2</v>
      </c>
      <c r="DC261" s="717">
        <f>'[4]побудинковий звіт'!DC261</f>
        <v>53258.27</v>
      </c>
      <c r="DD261" s="717">
        <f>'[4]побудинковий звіт'!DD261</f>
        <v>5060.8600000000006</v>
      </c>
      <c r="DE261" s="717">
        <f>'[4]побудинковий звіт'!DE261</f>
        <v>41656.629999999997</v>
      </c>
      <c r="DF261" s="717">
        <f>'[4]побудинковий звіт'!DF261</f>
        <v>3711.3800000000006</v>
      </c>
      <c r="DG261" s="787">
        <v>-26125.019743001845</v>
      </c>
      <c r="DH261" s="761">
        <f t="shared" ref="DH261:DH321" si="290">(CU261+CX261)*12</f>
        <v>1864961.2800000003</v>
      </c>
      <c r="DI261" s="784"/>
      <c r="DJ261" s="5"/>
      <c r="DK261" s="317">
        <f>VLOOKUP($A261,ціни!$A$4:$G$401,5)</f>
        <v>5.1095284410893109</v>
      </c>
      <c r="DL261" s="317"/>
      <c r="DM261" s="317">
        <f>VLOOKUP($A261,ціни!$A$4:$G$401,7)</f>
        <v>4.4654726586412927</v>
      </c>
      <c r="DN261" s="30">
        <f t="shared" si="284"/>
        <v>18236.417959091857</v>
      </c>
      <c r="DO261" s="30">
        <f t="shared" si="285"/>
        <v>1349.4658374413989</v>
      </c>
      <c r="DP261" s="316">
        <f t="shared" si="278"/>
        <v>19585.883796533257</v>
      </c>
      <c r="DQ261" s="104"/>
      <c r="DR261" s="30">
        <f>VLOOKUP(A261,'ДЗ нас '!$A$1:$C$359,2)</f>
        <v>11601.64</v>
      </c>
      <c r="DS261" s="748">
        <f>VLOOKUP(A261,'ДЗ нежит'!$A$1:$D$153,4,0)</f>
        <v>1349.48</v>
      </c>
      <c r="DT261" s="30">
        <f t="shared" si="279"/>
        <v>12951.119999999999</v>
      </c>
      <c r="DU261" s="257">
        <f>VLOOKUP(A261,'новий кошторис с 01.06'!$A$4:$AI$399,35)*1.2</f>
        <v>13017.139154387452</v>
      </c>
      <c r="DV261" s="30">
        <f t="shared" si="280"/>
        <v>-66.019154387453455</v>
      </c>
      <c r="DW261" s="930">
        <f>'[5]побудинковий звіт'!DW261+'[6]побудинковий звіт'!DW261</f>
        <v>204</v>
      </c>
      <c r="DY261" s="5">
        <f t="shared" si="286"/>
        <v>54236.630701940303</v>
      </c>
      <c r="DZ261" s="5">
        <f t="shared" si="287"/>
        <v>139462.83552984172</v>
      </c>
      <c r="EA261" s="752">
        <f t="shared" ref="EA261:EA321" si="291">DE261+DF261</f>
        <v>45368.009999999995</v>
      </c>
      <c r="EC261" s="592">
        <f t="shared" si="288"/>
        <v>466288.28068511275</v>
      </c>
      <c r="EE261" s="758">
        <v>-23532</v>
      </c>
      <c r="EF261" s="738">
        <f t="shared" si="289"/>
        <v>-49657.019743001845</v>
      </c>
      <c r="EH261" s="813">
        <v>8517.3882457564978</v>
      </c>
    </row>
    <row r="262" spans="1:138" x14ac:dyDescent="0.3">
      <c r="A262" s="328">
        <v>150000738</v>
      </c>
      <c r="B262" s="44" t="s">
        <v>712</v>
      </c>
      <c r="C262" s="45" t="s">
        <v>1773</v>
      </c>
      <c r="D262" s="45" t="s">
        <v>289</v>
      </c>
      <c r="E262" s="40">
        <f t="shared" si="232"/>
        <v>275.8</v>
      </c>
      <c r="F262" s="490">
        <v>275.8</v>
      </c>
      <c r="G262" s="30"/>
      <c r="H262" s="30">
        <v>0</v>
      </c>
      <c r="I262" s="42">
        <f>'[1]побудинковий звіт'!I262+'[2]побудинковий звіт'!I262-'[3]побудинковий звіт'!I262</f>
        <v>12210.223783511528</v>
      </c>
      <c r="J262" s="42">
        <f>'[1]побудинковий звіт'!J262+'[2]побудинковий звіт'!J262-'[3]побудинковий звіт'!J262</f>
        <v>12193.969794291879</v>
      </c>
      <c r="K262" s="56">
        <f t="shared" si="238"/>
        <v>-16.253989219649156</v>
      </c>
      <c r="L262" s="42">
        <f>'[1]побудинковий звіт'!L262+'[2]побудинковий звіт'!L262-'[3]побудинковий звіт'!L262</f>
        <v>2071.8644132300337</v>
      </c>
      <c r="M262" s="42">
        <f>'[1]побудинковий звіт'!M262+'[2]побудинковий звіт'!M262-'[3]побудинковий звіт'!M262</f>
        <v>2090.4219259209976</v>
      </c>
      <c r="N262" s="56">
        <f t="shared" si="239"/>
        <v>18.557512690963904</v>
      </c>
      <c r="O262" s="42">
        <f>'[1]побудинковий звіт'!O262+'[2]побудинковий звіт'!O262-'[3]побудинковий звіт'!O262</f>
        <v>5222.16</v>
      </c>
      <c r="P262" s="42">
        <f>'[1]побудинковий звіт'!P262+'[2]побудинковий звіт'!P262-'[3]побудинковий звіт'!P262</f>
        <v>4104.9431333333332</v>
      </c>
      <c r="Q262" s="56">
        <f t="shared" si="240"/>
        <v>-1117.2168666666666</v>
      </c>
      <c r="R262" s="42">
        <f>'[1]побудинковий звіт'!R262+'[2]побудинковий звіт'!R262-'[3]побудинковий звіт'!R262</f>
        <v>0</v>
      </c>
      <c r="S262" s="42">
        <f>'[1]побудинковий звіт'!S262+'[2]побудинковий звіт'!S262-'[3]побудинковий звіт'!S262</f>
        <v>0</v>
      </c>
      <c r="T262" s="56">
        <f t="shared" si="241"/>
        <v>0</v>
      </c>
      <c r="U262" s="42">
        <f>'[1]побудинковий звіт'!U262+'[2]побудинковий звіт'!U262-'[3]побудинковий звіт'!U262</f>
        <v>0</v>
      </c>
      <c r="V262" s="42">
        <f>'[1]побудинковий звіт'!V262+'[2]побудинковий звіт'!V262-'[3]побудинковий звіт'!V262</f>
        <v>0</v>
      </c>
      <c r="W262" s="56">
        <f t="shared" si="242"/>
        <v>0</v>
      </c>
      <c r="X262" s="42">
        <f>'[1]побудинковий звіт'!X262+'[2]побудинковий звіт'!X262-'[3]побудинковий звіт'!X262</f>
        <v>7629.2753774146186</v>
      </c>
      <c r="Y262" s="42">
        <f>'[1]побудинковий звіт'!Y262+'[2]побудинковий звіт'!Y262-'[3]побудинковий звіт'!Y262</f>
        <v>5982.384032688934</v>
      </c>
      <c r="Z262" s="56">
        <f t="shared" si="243"/>
        <v>-1646.8913447256846</v>
      </c>
      <c r="AA262" s="42">
        <f>'[1]побудинковий звіт'!AA262+'[2]побудинковий звіт'!AA262-'[3]побудинковий звіт'!AA262</f>
        <v>0</v>
      </c>
      <c r="AB262" s="42">
        <f>'[1]побудинковий звіт'!AB262+'[2]побудинковий звіт'!AB262-'[3]побудинковий звіт'!AB262</f>
        <v>0</v>
      </c>
      <c r="AC262" s="56">
        <f t="shared" si="244"/>
        <v>0</v>
      </c>
      <c r="AD262" s="42">
        <f>'[1]побудинковий звіт'!AD262+'[2]побудинковий звіт'!AD262-'[3]побудинковий звіт'!AD262</f>
        <v>15255.739327318637</v>
      </c>
      <c r="AE262" s="42">
        <f>'[1]побудинковий звіт'!AE262+'[2]побудинковий звіт'!AE262-'[3]побудинковий звіт'!AE262</f>
        <v>14061.113319493654</v>
      </c>
      <c r="AF262" s="37">
        <f t="shared" si="245"/>
        <v>-1194.6260078249834</v>
      </c>
      <c r="AG262" s="87">
        <f t="shared" si="235"/>
        <v>42389.262901474816</v>
      </c>
      <c r="AH262" s="57">
        <f t="shared" si="235"/>
        <v>38432.832205728795</v>
      </c>
      <c r="AI262" s="56">
        <f t="shared" si="246"/>
        <v>-3956.4306957460212</v>
      </c>
      <c r="AJ262" s="42">
        <f>'[1]побудинковий звіт'!AJ262+'[2]побудинковий звіт'!AJ262-'[3]побудинковий звіт'!AJ262</f>
        <v>0</v>
      </c>
      <c r="AK262" s="42">
        <f>'[1]побудинковий звіт'!AK262+'[2]побудинковий звіт'!AK262-'[3]побудинковий звіт'!AK262</f>
        <v>0</v>
      </c>
      <c r="AL262" s="56">
        <f t="shared" si="247"/>
        <v>0</v>
      </c>
      <c r="AM262" s="42">
        <f>'[1]побудинковий звіт'!AM262+'[2]побудинковий звіт'!AM262-'[3]побудинковий звіт'!AM262</f>
        <v>0</v>
      </c>
      <c r="AN262" s="42">
        <f>'[1]побудинковий звіт'!AN262+'[2]побудинковий звіт'!AN262-'[3]побудинковий звіт'!AN262</f>
        <v>0</v>
      </c>
      <c r="AO262" s="56">
        <f t="shared" si="248"/>
        <v>0</v>
      </c>
      <c r="AP262" s="42">
        <f>'[1]побудинковий звіт'!AP262+'[2]побудинковий звіт'!AP262-'[3]побудинковий звіт'!AP262</f>
        <v>11364.211714723799</v>
      </c>
      <c r="AQ262" s="42">
        <f>'[1]побудинковий звіт'!AQ262+'[2]побудинковий звіт'!AQ262-'[3]побудинковий звіт'!AQ262</f>
        <v>10555.34957771171</v>
      </c>
      <c r="AR262" s="56">
        <f t="shared" si="249"/>
        <v>-808.86213701208908</v>
      </c>
      <c r="AS262" s="42">
        <f>'[1]побудинковий звіт'!AS262+'[2]побудинковий звіт'!AS262-'[3]побудинковий звіт'!AS262</f>
        <v>57374.439324629508</v>
      </c>
      <c r="AT262" s="42">
        <f>'[1]побудинковий звіт'!AT262+'[2]побудинковий звіт'!AT262-'[3]побудинковий звіт'!AT262</f>
        <v>39784</v>
      </c>
      <c r="AU262" s="58">
        <f t="shared" si="266"/>
        <v>-17590.439324629508</v>
      </c>
      <c r="AV262" s="42">
        <f>'[1]побудинковий звіт'!AV262+'[2]побудинковий звіт'!AV262-'[3]побудинковий звіт'!AV262</f>
        <v>1941.2189983180372</v>
      </c>
      <c r="AW262" s="42">
        <f>'[1]побудинковий звіт'!AW262+'[2]побудинковий звіт'!AW262-'[3]побудинковий звіт'!AW262</f>
        <v>682</v>
      </c>
      <c r="AX262" s="59">
        <f t="shared" si="267"/>
        <v>-1259.2189983180372</v>
      </c>
      <c r="AY262" s="42">
        <f>'[1]побудинковий звіт'!AY262+'[2]побудинковий звіт'!AY262-'[3]побудинковий звіт'!AY262</f>
        <v>2670.2650752543364</v>
      </c>
      <c r="AZ262" s="42">
        <f>'[1]побудинковий звіт'!AZ262+'[2]побудинковий звіт'!AZ262-'[3]побудинковий звіт'!AZ262</f>
        <v>0</v>
      </c>
      <c r="BA262" s="37">
        <f t="shared" si="268"/>
        <v>-2670.2650752543364</v>
      </c>
      <c r="BB262" s="42">
        <f>'[1]побудинковий звіт'!BB262+'[2]побудинковий звіт'!BB262-'[3]побудинковий звіт'!BB262</f>
        <v>2675.2102145267922</v>
      </c>
      <c r="BC262" s="42">
        <f>'[1]побудинковий звіт'!BC262+'[2]побудинковий звіт'!BC262-'[3]побудинковий звіт'!BC262</f>
        <v>0</v>
      </c>
      <c r="BD262" s="59">
        <f t="shared" si="269"/>
        <v>-2675.2102145267922</v>
      </c>
      <c r="BE262" s="42">
        <f>'[1]побудинковий звіт'!BE262+'[2]побудинковий звіт'!BE262-'[3]побудинковий звіт'!BE262</f>
        <v>0</v>
      </c>
      <c r="BF262" s="42">
        <f>'[1]побудинковий звіт'!BF262+'[2]побудинковий звіт'!BF262-'[3]побудинковий звіт'!BF262</f>
        <v>0</v>
      </c>
      <c r="BG262" s="39">
        <f t="shared" si="270"/>
        <v>0</v>
      </c>
      <c r="BH262" s="42">
        <f>'[1]побудинковий звіт'!BH262+'[2]побудинковий звіт'!BH262-'[3]побудинковий звіт'!BH262</f>
        <v>0</v>
      </c>
      <c r="BI262" s="42">
        <f>'[1]побудинковий звіт'!BI262+'[2]побудинковий звіт'!BI262-'[3]побудинковий звіт'!BI262</f>
        <v>556</v>
      </c>
      <c r="BJ262" s="59">
        <f t="shared" si="271"/>
        <v>556</v>
      </c>
      <c r="BK262" s="42">
        <f>'[1]побудинковий звіт'!BK262+'[2]побудинковий звіт'!BK262-'[3]побудинковий звіт'!BK262</f>
        <v>1077.4931120872545</v>
      </c>
      <c r="BL262" s="42">
        <f>'[1]побудинковий звіт'!BL262+'[2]побудинковий звіт'!BL262-'[3]побудинковий звіт'!BL262</f>
        <v>0</v>
      </c>
      <c r="BM262" s="39">
        <f t="shared" si="272"/>
        <v>-1077.4931120872545</v>
      </c>
      <c r="BN262" s="42">
        <f>'[1]побудинковий звіт'!BN262+'[2]побудинковий звіт'!BN262-'[3]побудинковий звіт'!BN262</f>
        <v>0</v>
      </c>
      <c r="BO262" s="42">
        <f>'[1]побудинковий звіт'!BO262+'[2]побудинковий звіт'!BO262-'[3]побудинковий звіт'!BO262</f>
        <v>0</v>
      </c>
      <c r="BP262" s="59">
        <f t="shared" si="273"/>
        <v>0</v>
      </c>
      <c r="BQ262" s="87">
        <f t="shared" si="282"/>
        <v>8364.1874001864217</v>
      </c>
      <c r="BR262" s="43">
        <f t="shared" si="283"/>
        <v>1238</v>
      </c>
      <c r="BS262" s="59">
        <f t="shared" si="274"/>
        <v>-7126.1874001864217</v>
      </c>
      <c r="BT262" s="42">
        <f>'[1]побудинковий звіт'!BT262+'[2]побудинковий звіт'!BT262-'[3]побудинковий звіт'!BT262</f>
        <v>29148.809471370809</v>
      </c>
      <c r="BU262" s="42">
        <f>'[1]побудинковий звіт'!BU262+'[2]побудинковий звіт'!BU262-'[3]побудинковий звіт'!BU262</f>
        <v>40530.967859276738</v>
      </c>
      <c r="BV262" s="56">
        <f t="shared" si="250"/>
        <v>11382.158387905929</v>
      </c>
      <c r="BW262" s="42">
        <f>'[1]побудинковий звіт'!BW262+'[2]побудинковий звіт'!BW262-'[3]побудинковий звіт'!BW262</f>
        <v>17971.49413016417</v>
      </c>
      <c r="BX262" s="42">
        <f>'[1]побудинковий звіт'!BX262+'[2]побудинковий звіт'!BX262-'[3]побудинковий звіт'!BX262</f>
        <v>18390.626402265669</v>
      </c>
      <c r="BY262" s="56">
        <f t="shared" si="251"/>
        <v>419.13227210149853</v>
      </c>
      <c r="BZ262" s="42">
        <f>'[1]побудинковий звіт'!BZ262+'[2]побудинковий звіт'!BZ262-'[3]побудинковий звіт'!BZ262</f>
        <v>8708.1099946521008</v>
      </c>
      <c r="CA262" s="42">
        <f>'[1]побудинковий звіт'!CA262+'[2]побудинковий звіт'!CA262-'[3]побудинковий звіт'!CA262</f>
        <v>8461.7311356196369</v>
      </c>
      <c r="CB262" s="56">
        <f t="shared" si="252"/>
        <v>-246.37885903246388</v>
      </c>
      <c r="CC262" s="42">
        <f>'[1]побудинковий звіт'!CC262+'[2]побудинковий звіт'!CC262-'[3]побудинковий звіт'!CC262</f>
        <v>2077.7522519550539</v>
      </c>
      <c r="CD262" s="42">
        <f>'[1]побудинковий звіт'!CD262+'[2]побудинковий звіт'!CD262-'[3]побудинковий звіт'!CD262</f>
        <v>2059.4778334759817</v>
      </c>
      <c r="CE262" s="56">
        <f t="shared" si="253"/>
        <v>-18.27441847907221</v>
      </c>
      <c r="CF262" s="42">
        <f>'[1]побудинковий звіт'!CF262+'[2]побудинковий звіт'!CF262-'[3]побудинковий звіт'!CF262</f>
        <v>255.78389465355784</v>
      </c>
      <c r="CG262" s="42">
        <f>'[1]побудинковий звіт'!CG262+'[2]побудинковий звіт'!CG262-'[3]побудинковий звіт'!CG262</f>
        <v>0</v>
      </c>
      <c r="CH262" s="56">
        <f t="shared" si="254"/>
        <v>-255.78389465355784</v>
      </c>
      <c r="CI262" s="42">
        <f>'[1]побудинковий звіт'!CI262+'[2]побудинковий звіт'!CI262-'[3]побудинковий звіт'!CI262</f>
        <v>5727.5627042207934</v>
      </c>
      <c r="CJ262" s="42">
        <f>'[1]побудинковий звіт'!CJ262+'[2]побудинковий звіт'!CJ262-'[3]побудинковий звіт'!CJ262</f>
        <v>2158.8611884148531</v>
      </c>
      <c r="CK262" s="56">
        <f t="shared" si="255"/>
        <v>-3568.7015158059403</v>
      </c>
      <c r="CL262" s="42">
        <f>'[1]побудинковий звіт'!CL262+'[2]побудинковий звіт'!CL262-'[3]побудинковий звіт'!CL262</f>
        <v>0</v>
      </c>
      <c r="CM262" s="42">
        <f>'[1]побудинковий звіт'!CM262+'[2]побудинковий звіт'!CM262-'[3]побудинковий звіт'!CM262</f>
        <v>0</v>
      </c>
      <c r="CN262" s="56">
        <f t="shared" si="256"/>
        <v>0</v>
      </c>
      <c r="CO262" s="42">
        <f t="shared" si="236"/>
        <v>5727.5627042207934</v>
      </c>
      <c r="CP262" s="43">
        <f t="shared" si="257"/>
        <v>2158.8611884148531</v>
      </c>
      <c r="CQ262" s="56">
        <f t="shared" si="258"/>
        <v>-3568.7015158059403</v>
      </c>
      <c r="CR262" s="78">
        <f t="shared" si="237"/>
        <v>183381.61378803101</v>
      </c>
      <c r="CS262" s="5">
        <f t="shared" si="237"/>
        <v>161611.84620249335</v>
      </c>
      <c r="CT262" s="56">
        <f t="shared" si="259"/>
        <v>-21769.767585537658</v>
      </c>
      <c r="CU262" s="87">
        <f t="shared" si="260"/>
        <v>220057.9365456372</v>
      </c>
      <c r="CV262" s="70">
        <f t="shared" si="261"/>
        <v>193934.21544299202</v>
      </c>
      <c r="CW262" s="37">
        <f t="shared" si="262"/>
        <v>-26123.721102645184</v>
      </c>
      <c r="CX262" s="42">
        <f>'[1]побудинковий звіт'!CX262+'[2]побудинковий звіт'!CX262-'[3]побудинковий звіт'!CX262</f>
        <v>6530.0834543627243</v>
      </c>
      <c r="CY262" s="42">
        <f>'[1]побудинковий звіт'!CY262+'[2]побудинковий звіт'!CY262-'[3]побудинковий звіт'!CY262</f>
        <v>32653.804557007934</v>
      </c>
      <c r="CZ262" s="56">
        <f t="shared" si="263"/>
        <v>26123.72110264521</v>
      </c>
      <c r="DA262" s="264">
        <f>'[4]побудинковий звіт'!DA262</f>
        <v>9441.8365576505312</v>
      </c>
      <c r="DB262" s="2">
        <v>2</v>
      </c>
      <c r="DC262" s="717">
        <f>'[4]побудинковий звіт'!DC262</f>
        <v>47643.199999999997</v>
      </c>
      <c r="DD262" s="717">
        <f>'[4]побудинковий звіт'!DD262</f>
        <v>0</v>
      </c>
      <c r="DE262" s="717">
        <f>'[4]побудинковий звіт'!DE262</f>
        <v>28761.129999999997</v>
      </c>
      <c r="DF262" s="717">
        <f>'[4]побудинковий звіт'!DF262</f>
        <v>0</v>
      </c>
      <c r="DG262" s="787">
        <v>75676.866376611055</v>
      </c>
      <c r="DH262" s="761">
        <f t="shared" si="290"/>
        <v>2719056.2399999993</v>
      </c>
      <c r="DI262" s="784"/>
      <c r="DJ262" s="5"/>
      <c r="DK262" s="317">
        <f>VLOOKUP($A262,ціни!$A$4:$G$401,5)</f>
        <v>5.2939561703431135</v>
      </c>
      <c r="DL262" s="317"/>
      <c r="DM262" s="317">
        <f>VLOOKUP($A262,ціни!$A$4:$G$401,7)</f>
        <v>4.7751456948794209</v>
      </c>
      <c r="DN262" s="30">
        <f t="shared" si="284"/>
        <v>1460.0731117806308</v>
      </c>
      <c r="DO262" s="30">
        <f t="shared" si="285"/>
        <v>0</v>
      </c>
      <c r="DP262" s="316">
        <f t="shared" si="278"/>
        <v>1460.0731117806308</v>
      </c>
      <c r="DQ262" s="104"/>
      <c r="DR262" s="30">
        <f>VLOOKUP(A262,'ДЗ нас '!$A$1:$C$359,2)</f>
        <v>18882.07</v>
      </c>
      <c r="DS262" s="748"/>
      <c r="DT262" s="30">
        <f t="shared" si="279"/>
        <v>18882.07</v>
      </c>
      <c r="DU262" s="257">
        <f>VLOOKUP(A262,'новий кошторис с 01.06'!$A$4:$AI$399,35)*1.2</f>
        <v>18998.335188440022</v>
      </c>
      <c r="DV262" s="30">
        <f t="shared" si="280"/>
        <v>-116.26518844002203</v>
      </c>
      <c r="DW262" s="930">
        <f>'[5]побудинковий звіт'!DW262+'[6]побудинковий звіт'!DW262</f>
        <v>236</v>
      </c>
      <c r="DY262" s="5">
        <f t="shared" si="286"/>
        <v>78886.35206977911</v>
      </c>
      <c r="DZ262" s="5">
        <f t="shared" si="287"/>
        <v>49226.400000000001</v>
      </c>
      <c r="EA262" s="752">
        <f t="shared" si="291"/>
        <v>28761.129999999997</v>
      </c>
      <c r="EC262" s="592">
        <f t="shared" si="288"/>
        <v>688493.27189555415</v>
      </c>
      <c r="EE262" s="758">
        <v>19314</v>
      </c>
      <c r="EF262" s="738">
        <f t="shared" si="289"/>
        <v>94990.866376611055</v>
      </c>
      <c r="EH262" s="813">
        <v>27126.359105788142</v>
      </c>
    </row>
    <row r="263" spans="1:138" x14ac:dyDescent="0.3">
      <c r="A263" s="328">
        <v>150000739</v>
      </c>
      <c r="B263" s="44" t="s">
        <v>713</v>
      </c>
      <c r="C263" s="45" t="s">
        <v>1774</v>
      </c>
      <c r="D263" s="45" t="s">
        <v>222</v>
      </c>
      <c r="E263" s="40">
        <f t="shared" si="232"/>
        <v>478.1</v>
      </c>
      <c r="F263" s="490">
        <v>146.1</v>
      </c>
      <c r="G263" s="30"/>
      <c r="H263" s="30">
        <v>332</v>
      </c>
      <c r="I263" s="42">
        <f>'[1]побудинковий звіт'!I263+'[2]побудинковий звіт'!I263-'[3]побудинковий звіт'!I263</f>
        <v>12877.539021209617</v>
      </c>
      <c r="J263" s="42">
        <f>'[1]побудинковий звіт'!J263+'[2]побудинковий звіт'!J263-'[3]побудинковий звіт'!J263</f>
        <v>12835.610291350753</v>
      </c>
      <c r="K263" s="56">
        <f t="shared" si="238"/>
        <v>-41.928729858864244</v>
      </c>
      <c r="L263" s="42">
        <f>'[1]побудинковий звіт'!L263+'[2]побудинковий звіт'!L263-'[3]побудинковий звіт'!L263</f>
        <v>2304.1425231841026</v>
      </c>
      <c r="M263" s="42">
        <f>'[1]побудинковий звіт'!M263+'[2]побудинковий звіт'!M263-'[3]побудинковий звіт'!M263</f>
        <v>2344.6077343744814</v>
      </c>
      <c r="N263" s="56">
        <f t="shared" si="239"/>
        <v>40.465211190378795</v>
      </c>
      <c r="O263" s="42">
        <f>'[1]побудинковий звіт'!O263+'[2]побудинковий звіт'!O263-'[3]побудинковий звіт'!O263</f>
        <v>5095.32</v>
      </c>
      <c r="P263" s="42">
        <f>'[1]побудинковий звіт'!P263+'[2]побудинковий звіт'!P263-'[3]побудинковий звіт'!P263</f>
        <v>4004.860406451613</v>
      </c>
      <c r="Q263" s="56">
        <f t="shared" si="240"/>
        <v>-1090.4595935483867</v>
      </c>
      <c r="R263" s="42">
        <f>'[1]побудинковий звіт'!R263+'[2]побудинковий звіт'!R263-'[3]побудинковий звіт'!R263</f>
        <v>0</v>
      </c>
      <c r="S263" s="42">
        <f>'[1]побудинковий звіт'!S263+'[2]побудинковий звіт'!S263-'[3]побудинковий звіт'!S263</f>
        <v>0</v>
      </c>
      <c r="T263" s="56">
        <f t="shared" si="241"/>
        <v>0</v>
      </c>
      <c r="U263" s="42">
        <f>'[1]побудинковий звіт'!U263+'[2]побудинковий звіт'!U263-'[3]побудинковий звіт'!U263</f>
        <v>0</v>
      </c>
      <c r="V263" s="42">
        <f>'[1]побудинковий звіт'!V263+'[2]побудинковий звіт'!V263-'[3]побудинковий звіт'!V263</f>
        <v>0</v>
      </c>
      <c r="W263" s="56">
        <f t="shared" si="242"/>
        <v>0</v>
      </c>
      <c r="X263" s="42">
        <f>'[1]побудинковий звіт'!X263+'[2]побудинковий звіт'!X263-'[3]побудинковий звіт'!X263</f>
        <v>10078.499790986953</v>
      </c>
      <c r="Y263" s="42">
        <f>'[1]побудинковий звіт'!Y263+'[2]побудинковий звіт'!Y263-'[3]побудинковий звіт'!Y263</f>
        <v>8026.2255385619219</v>
      </c>
      <c r="Z263" s="56">
        <f t="shared" si="243"/>
        <v>-2052.2742524250307</v>
      </c>
      <c r="AA263" s="42">
        <f>'[1]побудинковий звіт'!AA263+'[2]побудинковий звіт'!AA263-'[3]побудинковий звіт'!AA263</f>
        <v>0</v>
      </c>
      <c r="AB263" s="42">
        <f>'[1]побудинковий звіт'!AB263+'[2]побудинковий звіт'!AB263-'[3]побудинковий звіт'!AB263</f>
        <v>0</v>
      </c>
      <c r="AC263" s="56">
        <f t="shared" si="244"/>
        <v>0</v>
      </c>
      <c r="AD263" s="42">
        <f>'[1]побудинковий звіт'!AD263+'[2]побудинковий звіт'!AD263-'[3]побудинковий звіт'!AD263</f>
        <v>15528.53737913706</v>
      </c>
      <c r="AE263" s="42">
        <f>'[1]побудинковий звіт'!AE263+'[2]побудинковий звіт'!AE263-'[3]побудинковий звіт'!AE263</f>
        <v>14459.609735197299</v>
      </c>
      <c r="AF263" s="37">
        <f t="shared" si="245"/>
        <v>-1068.9276439397618</v>
      </c>
      <c r="AG263" s="87">
        <f t="shared" si="235"/>
        <v>45884.03871451773</v>
      </c>
      <c r="AH263" s="57">
        <f t="shared" si="235"/>
        <v>41670.913705936066</v>
      </c>
      <c r="AI263" s="56">
        <f t="shared" si="246"/>
        <v>-4213.1250085816646</v>
      </c>
      <c r="AJ263" s="42">
        <f>'[1]побудинковий звіт'!AJ263+'[2]побудинковий звіт'!AJ263-'[3]побудинковий звіт'!AJ263</f>
        <v>0</v>
      </c>
      <c r="AK263" s="42">
        <f>'[1]побудинковий звіт'!AK263+'[2]побудинковий звіт'!AK263-'[3]побудинковий звіт'!AK263</f>
        <v>0</v>
      </c>
      <c r="AL263" s="56">
        <f t="shared" si="247"/>
        <v>0</v>
      </c>
      <c r="AM263" s="42">
        <f>'[1]побудинковий звіт'!AM263+'[2]побудинковий звіт'!AM263-'[3]побудинковий звіт'!AM263</f>
        <v>0</v>
      </c>
      <c r="AN263" s="42">
        <f>'[1]побудинковий звіт'!AN263+'[2]побудинковий звіт'!AN263-'[3]побудинковий звіт'!AN263</f>
        <v>0</v>
      </c>
      <c r="AO263" s="56">
        <f t="shared" si="248"/>
        <v>0</v>
      </c>
      <c r="AP263" s="42">
        <f>'[1]побудинковий звіт'!AP263+'[2]побудинковий звіт'!AP263-'[3]побудинковий звіт'!AP263</f>
        <v>10653.94848255356</v>
      </c>
      <c r="AQ263" s="42">
        <f>'[1]побудинковий звіт'!AQ263+'[2]побудинковий звіт'!AQ263-'[3]побудинковий звіт'!AQ263</f>
        <v>9712.3671859068145</v>
      </c>
      <c r="AR263" s="56">
        <f t="shared" si="249"/>
        <v>-941.58129664674561</v>
      </c>
      <c r="AS263" s="42">
        <f>'[1]побудинковий звіт'!AS263+'[2]побудинковий звіт'!AS263-'[3]побудинковий звіт'!AS263</f>
        <v>45062.901893964838</v>
      </c>
      <c r="AT263" s="42">
        <f>'[1]побудинковий звіт'!AT263+'[2]побудинковий звіт'!AT263-'[3]побудинковий звіт'!AT263</f>
        <v>278586.57966667548</v>
      </c>
      <c r="AU263" s="58">
        <f t="shared" si="266"/>
        <v>233523.67777271062</v>
      </c>
      <c r="AV263" s="42">
        <f>'[1]побудинковий звіт'!AV263+'[2]побудинковий звіт'!AV263-'[3]побудинковий звіт'!AV263</f>
        <v>2079.8486131865361</v>
      </c>
      <c r="AW263" s="42">
        <f>'[1]побудинковий звіт'!AW263+'[2]побудинковий звіт'!AW263-'[3]побудинковий звіт'!AW263</f>
        <v>0</v>
      </c>
      <c r="AX263" s="59">
        <f t="shared" si="267"/>
        <v>-2079.8486131865361</v>
      </c>
      <c r="AY263" s="42">
        <f>'[1]побудинковий звіт'!AY263+'[2]побудинковий звіт'!AY263-'[3]побудинковий звіт'!AY263</f>
        <v>2969.7644653917991</v>
      </c>
      <c r="AZ263" s="42">
        <f>'[1]побудинковий звіт'!AZ263+'[2]побудинковий звіт'!AZ263-'[3]побудинковий звіт'!AZ263</f>
        <v>0</v>
      </c>
      <c r="BA263" s="37">
        <f t="shared" si="268"/>
        <v>-2969.7644653917991</v>
      </c>
      <c r="BB263" s="42">
        <f>'[1]побудинковий звіт'!BB263+'[2]побудинковий звіт'!BB263-'[3]побудинковий звіт'!BB263</f>
        <v>2567.4502082701674</v>
      </c>
      <c r="BC263" s="42">
        <f>'[1]побудинковий звіт'!BC263+'[2]побудинковий звіт'!BC263-'[3]побудинковий звіт'!BC263</f>
        <v>1748</v>
      </c>
      <c r="BD263" s="59">
        <f t="shared" si="269"/>
        <v>-819.45020827016742</v>
      </c>
      <c r="BE263" s="42">
        <f>'[1]побудинковий звіт'!BE263+'[2]побудинковий звіт'!BE263-'[3]побудинковий звіт'!BE263</f>
        <v>0</v>
      </c>
      <c r="BF263" s="42">
        <f>'[1]побудинковий звіт'!BF263+'[2]побудинковий звіт'!BF263-'[3]побудинковий звіт'!BF263</f>
        <v>0</v>
      </c>
      <c r="BG263" s="39">
        <f t="shared" si="270"/>
        <v>0</v>
      </c>
      <c r="BH263" s="42">
        <f>'[1]побудинковий звіт'!BH263+'[2]побудинковий звіт'!BH263-'[3]побудинковий звіт'!BH263</f>
        <v>0</v>
      </c>
      <c r="BI263" s="42">
        <f>'[1]побудинковий звіт'!BI263+'[2]побудинковий звіт'!BI263-'[3]побудинковий звіт'!BI263</f>
        <v>2509</v>
      </c>
      <c r="BJ263" s="59">
        <f t="shared" si="271"/>
        <v>2509</v>
      </c>
      <c r="BK263" s="42">
        <f>'[1]побудинковий звіт'!BK263+'[2]побудинковий звіт'!BK263-'[3]побудинковий звіт'!BK263</f>
        <v>1377.6536715304339</v>
      </c>
      <c r="BL263" s="42">
        <f>'[1]побудинковий звіт'!BL263+'[2]побудинковий звіт'!BL263-'[3]побудинковий звіт'!BL263</f>
        <v>0</v>
      </c>
      <c r="BM263" s="39">
        <f t="shared" si="272"/>
        <v>-1377.6536715304339</v>
      </c>
      <c r="BN263" s="42">
        <f>'[1]побудинковий звіт'!BN263+'[2]побудинковий звіт'!BN263-'[3]побудинковий звіт'!BN263</f>
        <v>0</v>
      </c>
      <c r="BO263" s="42">
        <f>'[1]побудинковий звіт'!BO263+'[2]побудинковий звіт'!BO263-'[3]побудинковий звіт'!BO263</f>
        <v>0</v>
      </c>
      <c r="BP263" s="59">
        <f t="shared" si="273"/>
        <v>0</v>
      </c>
      <c r="BQ263" s="87">
        <f t="shared" si="282"/>
        <v>8994.7169583789364</v>
      </c>
      <c r="BR263" s="43">
        <f t="shared" si="283"/>
        <v>4257</v>
      </c>
      <c r="BS263" s="59">
        <f t="shared" si="274"/>
        <v>-4737.7169583789364</v>
      </c>
      <c r="BT263" s="42">
        <f>'[1]побудинковий звіт'!BT263+'[2]побудинковий звіт'!BT263-'[3]побудинковий звіт'!BT263</f>
        <v>24821.248539396747</v>
      </c>
      <c r="BU263" s="42">
        <f>'[1]побудинковий звіт'!BU263+'[2]побудинковий звіт'!BU263-'[3]побудинковий звіт'!BU263</f>
        <v>38274.686783886391</v>
      </c>
      <c r="BV263" s="56">
        <f t="shared" si="250"/>
        <v>13453.438244489644</v>
      </c>
      <c r="BW263" s="42">
        <f>'[1]побудинковий звіт'!BW263+'[2]побудинковий звіт'!BW263-'[3]побудинковий звіт'!BW263</f>
        <v>21198.185837661687</v>
      </c>
      <c r="BX263" s="42">
        <f>'[1]побудинковий звіт'!BX263+'[2]побудинковий звіт'!BX263-'[3]побудинковий звіт'!BX263</f>
        <v>27428.688285150198</v>
      </c>
      <c r="BY263" s="56">
        <f t="shared" si="251"/>
        <v>6230.5024474885104</v>
      </c>
      <c r="BZ263" s="42">
        <f>'[1]побудинковий звіт'!BZ263+'[2]побудинковий звіт'!BZ263-'[3]побудинковий звіт'!BZ263</f>
        <v>12252.311658071581</v>
      </c>
      <c r="CA263" s="42">
        <f>'[1]побудинковий звіт'!CA263+'[2]побудинковий звіт'!CA263-'[3]побудинковий звіт'!CA263</f>
        <v>10719.879596333121</v>
      </c>
      <c r="CB263" s="56">
        <f t="shared" si="252"/>
        <v>-1532.4320617384601</v>
      </c>
      <c r="CC263" s="42">
        <f>'[1]побудинковий звіт'!CC263+'[2]побудинковий звіт'!CC263-'[3]побудинковий звіт'!CC263</f>
        <v>2728.3734271142521</v>
      </c>
      <c r="CD263" s="42">
        <f>'[1]побудинковий звіт'!CD263+'[2]побудинковий звіт'!CD263-'[3]побудинковий звіт'!CD263</f>
        <v>2704.3766114557202</v>
      </c>
      <c r="CE263" s="56">
        <f t="shared" si="253"/>
        <v>-23.996815658531887</v>
      </c>
      <c r="CF263" s="42">
        <f>'[1]побудинковий звіт'!CF263+'[2]побудинковий звіт'!CF263-'[3]побудинковий звіт'!CF263</f>
        <v>335.87930447429244</v>
      </c>
      <c r="CG263" s="42">
        <f>'[1]побудинковий звіт'!CG263+'[2]побудинковий звіт'!CG263-'[3]побудинковий звіт'!CG263</f>
        <v>0</v>
      </c>
      <c r="CH263" s="56">
        <f t="shared" si="254"/>
        <v>-335.87930447429244</v>
      </c>
      <c r="CI263" s="42">
        <f>'[1]побудинковий звіт'!CI263+'[2]побудинковий звіт'!CI263-'[3]побудинковий звіт'!CI263</f>
        <v>3425.3071074261607</v>
      </c>
      <c r="CJ263" s="42">
        <f>'[1]побудинковий звіт'!CJ263+'[2]побудинковий звіт'!CJ263-'[3]побудинковий звіт'!CJ263</f>
        <v>4703.6476076201634</v>
      </c>
      <c r="CK263" s="56">
        <f t="shared" si="255"/>
        <v>1278.3405001940027</v>
      </c>
      <c r="CL263" s="42">
        <f>'[1]побудинковий звіт'!CL263+'[2]побудинковий звіт'!CL263-'[3]побудинковий звіт'!CL263</f>
        <v>0</v>
      </c>
      <c r="CM263" s="42">
        <f>'[1]побудинковий звіт'!CM263+'[2]побудинковий звіт'!CM263-'[3]побудинковий звіт'!CM263</f>
        <v>0</v>
      </c>
      <c r="CN263" s="56">
        <f t="shared" si="256"/>
        <v>0</v>
      </c>
      <c r="CO263" s="42">
        <f t="shared" si="236"/>
        <v>3425.3071074261607</v>
      </c>
      <c r="CP263" s="43">
        <f t="shared" si="257"/>
        <v>4703.6476076201634</v>
      </c>
      <c r="CQ263" s="56">
        <f t="shared" si="258"/>
        <v>1278.3405001940027</v>
      </c>
      <c r="CR263" s="78">
        <f t="shared" si="237"/>
        <v>175356.91192355979</v>
      </c>
      <c r="CS263" s="5">
        <f t="shared" si="237"/>
        <v>418058.13944296393</v>
      </c>
      <c r="CT263" s="56">
        <f t="shared" si="259"/>
        <v>242701.22751940414</v>
      </c>
      <c r="CU263" s="87">
        <f t="shared" si="260"/>
        <v>210428.29430827175</v>
      </c>
      <c r="CV263" s="70">
        <f t="shared" si="261"/>
        <v>501669.76733155671</v>
      </c>
      <c r="CW263" s="37">
        <f t="shared" si="262"/>
        <v>291241.47302328493</v>
      </c>
      <c r="CX263" s="42">
        <f>'[1]побудинковий звіт'!CX263+'[2]побудинковий звіт'!CX263-'[3]побудинковий звіт'!CX263</f>
        <v>4804.4756917282757</v>
      </c>
      <c r="CY263" s="42">
        <f>'[1]побудинковий звіт'!CY263+'[2]побудинковий звіт'!CY263-'[3]побудинковий звіт'!CY263</f>
        <v>-286436.99733155669</v>
      </c>
      <c r="CZ263" s="56">
        <f t="shared" si="263"/>
        <v>-291241.47302328498</v>
      </c>
      <c r="DA263" s="264">
        <f>'[4]побудинковий звіт'!DA263</f>
        <v>295472.44986497285</v>
      </c>
      <c r="DB263" s="2">
        <v>2</v>
      </c>
      <c r="DC263" s="717">
        <f>'[4]побудинковий звіт'!DC263</f>
        <v>50794.46</v>
      </c>
      <c r="DD263" s="717">
        <f>'[4]побудинковий звіт'!DD263</f>
        <v>1116.7299999999998</v>
      </c>
      <c r="DE263" s="717">
        <f>'[4]побудинковий звіт'!DE263</f>
        <v>34581.22</v>
      </c>
      <c r="DF263" s="717">
        <f>'[4]побудинковий звіт'!DF263</f>
        <v>-564.8900000000001</v>
      </c>
      <c r="DG263" s="787">
        <v>20473.721731618512</v>
      </c>
      <c r="DH263" s="761">
        <f t="shared" si="290"/>
        <v>2582793.2400000002</v>
      </c>
      <c r="DI263" s="784"/>
      <c r="DJ263" s="5"/>
      <c r="DK263" s="317">
        <f>VLOOKUP($A263,ціни!$A$4:$G$401,5)</f>
        <v>5.0013359736375955</v>
      </c>
      <c r="DL263" s="317"/>
      <c r="DM263" s="317">
        <f>VLOOKUP($A263,ціни!$A$4:$G$401,7)</f>
        <v>4.3509291581916338</v>
      </c>
      <c r="DN263" s="30">
        <f t="shared" si="284"/>
        <v>730.69518574845267</v>
      </c>
      <c r="DO263" s="30">
        <f t="shared" si="285"/>
        <v>1444.5084805196225</v>
      </c>
      <c r="DP263" s="316">
        <f t="shared" si="278"/>
        <v>2175.2036662680753</v>
      </c>
      <c r="DQ263" s="104"/>
      <c r="DR263" s="30">
        <f>VLOOKUP(A263,'ДЗ нас '!$A$1:$C$359,2)</f>
        <v>16213.24</v>
      </c>
      <c r="DS263" s="748">
        <f>VLOOKUP(A263,'ДЗ нежит'!$A$1:$D$153,4,0)</f>
        <v>1681.62</v>
      </c>
      <c r="DT263" s="30">
        <f t="shared" si="279"/>
        <v>17894.86</v>
      </c>
      <c r="DU263" s="257">
        <f>VLOOKUP(A263,'новий кошторис с 01.06'!$A$4:$AI$399,35)*1.2</f>
        <v>18061.761928126656</v>
      </c>
      <c r="DV263" s="30">
        <f t="shared" si="280"/>
        <v>-166.90192812665555</v>
      </c>
      <c r="DW263" s="930">
        <f>'[5]побудинковий звіт'!DW263+'[6]побудинковий звіт'!DW263</f>
        <v>236</v>
      </c>
      <c r="DY263" s="5">
        <f t="shared" si="286"/>
        <v>64869.142622812527</v>
      </c>
      <c r="DZ263" s="5">
        <f t="shared" si="287"/>
        <v>339412.29560001055</v>
      </c>
      <c r="EA263" s="752">
        <f t="shared" si="291"/>
        <v>34016.33</v>
      </c>
      <c r="EC263" s="592">
        <f t="shared" si="288"/>
        <v>540754.82272757799</v>
      </c>
      <c r="EE263" s="758">
        <v>9774</v>
      </c>
      <c r="EF263" s="738">
        <f t="shared" si="289"/>
        <v>30247.721731618512</v>
      </c>
      <c r="EH263" s="813">
        <v>-236.11459660171386</v>
      </c>
    </row>
    <row r="264" spans="1:138" x14ac:dyDescent="0.3">
      <c r="A264" s="328">
        <v>150000740</v>
      </c>
      <c r="B264" s="44" t="s">
        <v>714</v>
      </c>
      <c r="C264" s="45" t="s">
        <v>1775</v>
      </c>
      <c r="D264" s="45" t="s">
        <v>197</v>
      </c>
      <c r="E264" s="40">
        <f t="shared" si="232"/>
        <v>3947.7000000000003</v>
      </c>
      <c r="F264" s="490">
        <v>3818.4</v>
      </c>
      <c r="G264" s="30"/>
      <c r="H264" s="30">
        <v>129.30000000000001</v>
      </c>
      <c r="I264" s="42">
        <f>'[1]побудинковий звіт'!I264+'[2]побудинковий звіт'!I264-'[3]побудинковий звіт'!I264</f>
        <v>5601.4898671624005</v>
      </c>
      <c r="J264" s="42">
        <f>'[1]побудинковий звіт'!J264+'[2]побудинковий звіт'!J264-'[3]побудинковий звіт'!J264</f>
        <v>5574.3991590776914</v>
      </c>
      <c r="K264" s="56">
        <f t="shared" si="238"/>
        <v>-27.090708084709149</v>
      </c>
      <c r="L264" s="42">
        <f>'[1]побудинковий звіт'!L264+'[2]побудинковий звіт'!L264-'[3]побудинковий звіт'!L264</f>
        <v>1398.1079097716722</v>
      </c>
      <c r="M264" s="42">
        <f>'[1]побудинковий звіт'!M264+'[2]побудинковий звіт'!M264-'[3]побудинковий звіт'!M264</f>
        <v>1410.6317623502873</v>
      </c>
      <c r="N264" s="56">
        <f t="shared" si="239"/>
        <v>12.523852578615106</v>
      </c>
      <c r="O264" s="42">
        <f>'[1]побудинковий звіт'!O264+'[2]побудинковий звіт'!O264-'[3]побудинковий звіт'!O264</f>
        <v>1981.8000000000004</v>
      </c>
      <c r="P264" s="42">
        <f>'[1]побудинковий звіт'!P264+'[2]побудинковий звіт'!P264-'[3]побудинковий звіт'!P264</f>
        <v>1557.7876986559145</v>
      </c>
      <c r="Q264" s="56">
        <f t="shared" si="240"/>
        <v>-424.01230134408593</v>
      </c>
      <c r="R264" s="42">
        <f>'[1]побудинковий звіт'!R264+'[2]побудинковий звіт'!R264-'[3]побудинковий звіт'!R264</f>
        <v>0</v>
      </c>
      <c r="S264" s="42">
        <f>'[1]побудинковий звіт'!S264+'[2]побудинковий звіт'!S264-'[3]побудинковий звіт'!S264</f>
        <v>0</v>
      </c>
      <c r="T264" s="56">
        <f t="shared" si="241"/>
        <v>0</v>
      </c>
      <c r="U264" s="42">
        <f>'[1]побудинковий звіт'!U264+'[2]побудинковий звіт'!U264-'[3]побудинковий звіт'!U264</f>
        <v>0</v>
      </c>
      <c r="V264" s="42">
        <f>'[1]побудинковий звіт'!V264+'[2]побудинковий звіт'!V264-'[3]побудинковий звіт'!V264</f>
        <v>0</v>
      </c>
      <c r="W264" s="56">
        <f t="shared" si="242"/>
        <v>0</v>
      </c>
      <c r="X264" s="42">
        <f>'[1]побудинковий звіт'!X264+'[2]побудинковий звіт'!X264-'[3]побудинковий звіт'!X264</f>
        <v>3933.4630306264944</v>
      </c>
      <c r="Y264" s="42">
        <f>'[1]побудинковий звіт'!Y264+'[2]побудинковий звіт'!Y264-'[3]побудинковий звіт'!Y264</f>
        <v>3009.4527992797575</v>
      </c>
      <c r="Z264" s="56">
        <f t="shared" si="243"/>
        <v>-924.01023134673687</v>
      </c>
      <c r="AA264" s="42">
        <f>'[1]побудинковий звіт'!AA264+'[2]побудинковий звіт'!AA264-'[3]побудинковий звіт'!AA264</f>
        <v>0</v>
      </c>
      <c r="AB264" s="42">
        <f>'[1]побудинковий звіт'!AB264+'[2]побудинковий звіт'!AB264-'[3]побудинковий звіт'!AB264</f>
        <v>0</v>
      </c>
      <c r="AC264" s="56">
        <f t="shared" si="244"/>
        <v>0</v>
      </c>
      <c r="AD264" s="42">
        <f>'[1]побудинковий звіт'!AD264+'[2]побудинковий звіт'!AD264-'[3]побудинковий звіт'!AD264</f>
        <v>5841.2134575100181</v>
      </c>
      <c r="AE264" s="42">
        <f>'[1]побудинковий звіт'!AE264+'[2]побудинковий звіт'!AE264-'[3]побудинковий звіт'!AE264</f>
        <v>5383.8758693624059</v>
      </c>
      <c r="AF264" s="37">
        <f t="shared" si="245"/>
        <v>-457.33758814761222</v>
      </c>
      <c r="AG264" s="87">
        <f t="shared" si="235"/>
        <v>18756.074265070583</v>
      </c>
      <c r="AH264" s="57">
        <f t="shared" si="235"/>
        <v>16936.147288726057</v>
      </c>
      <c r="AI264" s="56">
        <f t="shared" si="246"/>
        <v>-1819.9269763445263</v>
      </c>
      <c r="AJ264" s="42">
        <f>'[1]побудинковий звіт'!AJ264+'[2]побудинковий звіт'!AJ264-'[3]побудинковий звіт'!AJ264</f>
        <v>0</v>
      </c>
      <c r="AK264" s="42">
        <f>'[1]побудинковий звіт'!AK264+'[2]побудинковий звіт'!AK264-'[3]побудинковий звіт'!AK264</f>
        <v>0</v>
      </c>
      <c r="AL264" s="56">
        <f t="shared" si="247"/>
        <v>0</v>
      </c>
      <c r="AM264" s="42">
        <f>'[1]побудинковий звіт'!AM264+'[2]побудинковий звіт'!AM264-'[3]побудинковий звіт'!AM264</f>
        <v>0</v>
      </c>
      <c r="AN264" s="42">
        <f>'[1]побудинковий звіт'!AN264+'[2]побудинковий звіт'!AN264-'[3]побудинковий звіт'!AN264</f>
        <v>0</v>
      </c>
      <c r="AO264" s="56">
        <f t="shared" si="248"/>
        <v>0</v>
      </c>
      <c r="AP264" s="42">
        <f>'[1]побудинковий звіт'!AP264+'[2]побудинковий звіт'!AP264-'[3]побудинковий звіт'!AP264</f>
        <v>2841.0529286809497</v>
      </c>
      <c r="AQ264" s="42">
        <f>'[1]побудинковий звіт'!AQ264+'[2]побудинковий звіт'!AQ264-'[3]побудинковий звіт'!AQ264</f>
        <v>2655.7896780036231</v>
      </c>
      <c r="AR264" s="56">
        <f t="shared" si="249"/>
        <v>-185.2632506773266</v>
      </c>
      <c r="AS264" s="42">
        <f>'[1]побудинковий звіт'!AS264+'[2]побудинковий звіт'!AS264-'[3]побудинковий звіт'!AS264</f>
        <v>16179.911866608325</v>
      </c>
      <c r="AT264" s="42">
        <f>'[1]побудинковий звіт'!AT264+'[2]побудинковий звіт'!AT264-'[3]побудинковий звіт'!AT264</f>
        <v>4278.0000000000009</v>
      </c>
      <c r="AU264" s="58">
        <f t="shared" si="266"/>
        <v>-11901.911866608323</v>
      </c>
      <c r="AV264" s="42">
        <f>'[1]побудинковий звіт'!AV264+'[2]побудинковий звіт'!AV264-'[3]побудинковий звіт'!AV264</f>
        <v>1001.7790737636644</v>
      </c>
      <c r="AW264" s="42">
        <f>'[1]побудинковий звіт'!AW264+'[2]побудинковий звіт'!AW264-'[3]побудинковий звіт'!AW264</f>
        <v>0</v>
      </c>
      <c r="AX264" s="59">
        <f t="shared" si="267"/>
        <v>-1001.7790737636644</v>
      </c>
      <c r="AY264" s="42">
        <f>'[1]побудинковий звіт'!AY264+'[2]побудинковий звіт'!AY264-'[3]побудинковий звіт'!AY264</f>
        <v>1801.7749106284223</v>
      </c>
      <c r="AZ264" s="42">
        <f>'[1]побудинковий звіт'!AZ264+'[2]побудинковий звіт'!AZ264-'[3]побудинковий звіт'!AZ264</f>
        <v>0</v>
      </c>
      <c r="BA264" s="37">
        <f t="shared" si="268"/>
        <v>-1801.7749106284223</v>
      </c>
      <c r="BB264" s="42">
        <f>'[1]побудинковий звіт'!BB264+'[2]побудинковий звіт'!BB264-'[3]побудинковий звіт'!BB264</f>
        <v>963.89916963247276</v>
      </c>
      <c r="BC264" s="42">
        <f>'[1]побудинковий звіт'!BC264+'[2]побудинковий звіт'!BC264-'[3]побудинковий звіт'!BC264</f>
        <v>0</v>
      </c>
      <c r="BD264" s="59">
        <f t="shared" si="269"/>
        <v>-963.89916963247276</v>
      </c>
      <c r="BE264" s="42">
        <f>'[1]побудинковий звіт'!BE264+'[2]побудинковий звіт'!BE264-'[3]побудинковий звіт'!BE264</f>
        <v>0</v>
      </c>
      <c r="BF264" s="42">
        <f>'[1]побудинковий звіт'!BF264+'[2]побудинковий звіт'!BF264-'[3]побудинковий звіт'!BF264</f>
        <v>0</v>
      </c>
      <c r="BG264" s="39">
        <f t="shared" si="270"/>
        <v>0</v>
      </c>
      <c r="BH264" s="42">
        <f>'[1]побудинковий звіт'!BH264+'[2]побудинковий звіт'!BH264-'[3]побудинковий звіт'!BH264</f>
        <v>0</v>
      </c>
      <c r="BI264" s="42">
        <f>'[1]побудинковий звіт'!BI264+'[2]побудинковий звіт'!BI264-'[3]побудинковий звіт'!BI264</f>
        <v>564</v>
      </c>
      <c r="BJ264" s="59">
        <f t="shared" si="271"/>
        <v>564</v>
      </c>
      <c r="BK264" s="42">
        <f>'[1]побудинковий звіт'!BK264+'[2]побудинковий звіт'!BK264-'[3]побудинковий звіт'!BK264</f>
        <v>480.08864742659659</v>
      </c>
      <c r="BL264" s="42">
        <f>'[1]побудинковий звіт'!BL264+'[2]побудинковий звіт'!BL264-'[3]побудинковий звіт'!BL264</f>
        <v>0</v>
      </c>
      <c r="BM264" s="39">
        <f t="shared" si="272"/>
        <v>-480.08864742659659</v>
      </c>
      <c r="BN264" s="42">
        <f>'[1]побудинковий звіт'!BN264+'[2]побудинковий звіт'!BN264-'[3]побудинковий звіт'!BN264</f>
        <v>0</v>
      </c>
      <c r="BO264" s="42">
        <f>'[1]побудинковий звіт'!BO264+'[2]побудинковий звіт'!BO264-'[3]побудинковий звіт'!BO264</f>
        <v>0</v>
      </c>
      <c r="BP264" s="59">
        <f t="shared" si="273"/>
        <v>0</v>
      </c>
      <c r="BQ264" s="87">
        <f t="shared" si="282"/>
        <v>4247.5418014511561</v>
      </c>
      <c r="BR264" s="43">
        <f t="shared" si="283"/>
        <v>564</v>
      </c>
      <c r="BS264" s="59">
        <f t="shared" si="274"/>
        <v>-3683.5418014511561</v>
      </c>
      <c r="BT264" s="42">
        <f>'[1]побудинковий звіт'!BT264+'[2]побудинковий звіт'!BT264-'[3]побудинковий звіт'!BT264</f>
        <v>13403.862647075272</v>
      </c>
      <c r="BU264" s="42">
        <f>'[1]побудинковий звіт'!BU264+'[2]побудинковий звіт'!BU264-'[3]побудинковий звіт'!BU264</f>
        <v>20412.834749588659</v>
      </c>
      <c r="BV264" s="56">
        <f t="shared" si="250"/>
        <v>7008.9721025133877</v>
      </c>
      <c r="BW264" s="42">
        <f>'[1]побудинковий звіт'!BW264+'[2]побудинковий звіт'!BW264-'[3]побудинковий звіт'!BW264</f>
        <v>12343.006837403216</v>
      </c>
      <c r="BX264" s="42">
        <f>'[1]побудинковий звіт'!BX264+'[2]побудинковий звіт'!BX264-'[3]побудинковий звіт'!BX264</f>
        <v>12405.712762989124</v>
      </c>
      <c r="BY264" s="56">
        <f t="shared" si="251"/>
        <v>62.705925585907607</v>
      </c>
      <c r="BZ264" s="42">
        <f>'[1]побудинковий звіт'!BZ264+'[2]побудинковий звіт'!BZ264-'[3]побудинковий звіт'!BZ264</f>
        <v>6338.9280762704911</v>
      </c>
      <c r="CA264" s="42">
        <f>'[1]побудинковий звіт'!CA264+'[2]побудинковий звіт'!CA264-'[3]побудинковий звіт'!CA264</f>
        <v>7494.3939402762308</v>
      </c>
      <c r="CB264" s="56">
        <f t="shared" si="252"/>
        <v>1155.4658640057396</v>
      </c>
      <c r="CC264" s="42">
        <f>'[1]побудинковий звіт'!CC264+'[2]побудинковий звіт'!CC264-'[3]побудинковий звіт'!CC264</f>
        <v>1014.7572578206309</v>
      </c>
      <c r="CD264" s="42">
        <f>'[1]побудинковий звіт'!CD264+'[2]побудинковий звіт'!CD264-'[3]побудинковий звіт'!CD264</f>
        <v>1005.832180845433</v>
      </c>
      <c r="CE264" s="56">
        <f t="shared" si="253"/>
        <v>-8.9250769751979533</v>
      </c>
      <c r="CF264" s="42">
        <f>'[1]побудинковий звіт'!CF264+'[2]побудинковий звіт'!CF264-'[3]побудинковий звіт'!CF264</f>
        <v>124.92276848170647</v>
      </c>
      <c r="CG264" s="42">
        <f>'[1]побудинковий звіт'!CG264+'[2]побудинковий звіт'!CG264-'[3]побудинковий звіт'!CG264</f>
        <v>0</v>
      </c>
      <c r="CH264" s="56">
        <f t="shared" si="254"/>
        <v>-124.92276848170647</v>
      </c>
      <c r="CI264" s="42">
        <f>'[1]побудинковий звіт'!CI264+'[2]побудинковий звіт'!CI264-'[3]побудинковий звіт'!CI264</f>
        <v>1197.9216113402967</v>
      </c>
      <c r="CJ264" s="42">
        <f>'[1]побудинковий звіт'!CJ264+'[2]побудинковий звіт'!CJ264-'[3]побудинковий звіт'!CJ264</f>
        <v>767.89564390207568</v>
      </c>
      <c r="CK264" s="56">
        <f t="shared" si="255"/>
        <v>-430.02596743822107</v>
      </c>
      <c r="CL264" s="42">
        <f>'[1]побудинковий звіт'!CL264+'[2]побудинковий звіт'!CL264-'[3]побудинковий звіт'!CL264</f>
        <v>0</v>
      </c>
      <c r="CM264" s="42">
        <f>'[1]побудинковий звіт'!CM264+'[2]побудинковий звіт'!CM264-'[3]побудинковий звіт'!CM264</f>
        <v>0</v>
      </c>
      <c r="CN264" s="56">
        <f t="shared" si="256"/>
        <v>0</v>
      </c>
      <c r="CO264" s="42">
        <f t="shared" si="236"/>
        <v>1197.9216113402967</v>
      </c>
      <c r="CP264" s="43">
        <f t="shared" si="257"/>
        <v>767.89564390207568</v>
      </c>
      <c r="CQ264" s="56">
        <f t="shared" si="258"/>
        <v>-430.02596743822107</v>
      </c>
      <c r="CR264" s="78">
        <f t="shared" si="237"/>
        <v>76447.980060202623</v>
      </c>
      <c r="CS264" s="5">
        <f t="shared" si="237"/>
        <v>66520.606244331197</v>
      </c>
      <c r="CT264" s="56">
        <f t="shared" si="259"/>
        <v>-9927.3738158714259</v>
      </c>
      <c r="CU264" s="87">
        <f t="shared" si="260"/>
        <v>91737.576072243144</v>
      </c>
      <c r="CV264" s="70">
        <f t="shared" si="261"/>
        <v>79824.727493197439</v>
      </c>
      <c r="CW264" s="37">
        <f t="shared" si="262"/>
        <v>-11912.848579045705</v>
      </c>
      <c r="CX264" s="42">
        <f>'[1]побудинковий звіт'!CX264+'[2]побудинковий звіт'!CX264-'[3]побудинковий звіт'!CX264</f>
        <v>2307.8639277568473</v>
      </c>
      <c r="CY264" s="42">
        <f>'[1]побудинковий звіт'!CY264+'[2]побудинковий звіт'!CY264-'[3]побудинковий звіт'!CY264</f>
        <v>14220.712506802563</v>
      </c>
      <c r="CZ264" s="56">
        <f t="shared" si="263"/>
        <v>11912.848579045716</v>
      </c>
      <c r="DA264" s="264">
        <f>'[4]побудинковий звіт'!DA264</f>
        <v>20355.190695855639</v>
      </c>
      <c r="DB264" s="2">
        <v>2</v>
      </c>
      <c r="DC264" s="717">
        <f>'[4]побудинковий звіт'!DC264</f>
        <v>16303.21</v>
      </c>
      <c r="DD264" s="717">
        <f>'[4]побудинковий звіт'!DD264</f>
        <v>4617.6000000000004</v>
      </c>
      <c r="DE264" s="717">
        <f>'[4]побудинковий звіт'!DE264</f>
        <v>9088.02</v>
      </c>
      <c r="DF264" s="717">
        <f>'[4]побудинковий звіт'!DF264</f>
        <v>3995.6700000000005</v>
      </c>
      <c r="DG264" s="787">
        <v>38748.895236791606</v>
      </c>
      <c r="DH264" s="761">
        <f t="shared" si="290"/>
        <v>1128545.2799999998</v>
      </c>
      <c r="DI264" s="784"/>
      <c r="DJ264" s="5"/>
      <c r="DK264" s="317">
        <f>VLOOKUP($A264,ціни!$A$4:$G$401,5)</f>
        <v>5.8327960145512847</v>
      </c>
      <c r="DL264" s="317"/>
      <c r="DM264" s="317">
        <f>VLOOKUP($A264,ціни!$A$4:$G$401,7)</f>
        <v>4.8098673269430785</v>
      </c>
      <c r="DN264" s="30">
        <f t="shared" si="284"/>
        <v>22271.948301962628</v>
      </c>
      <c r="DO264" s="30">
        <f t="shared" si="285"/>
        <v>621.91584537374013</v>
      </c>
      <c r="DP264" s="316">
        <f t="shared" si="278"/>
        <v>22893.864147336368</v>
      </c>
      <c r="DQ264" s="104"/>
      <c r="DR264" s="30">
        <f>VLOOKUP(A264,'ДЗ нас '!$A$1:$C$359,2)</f>
        <v>7215.19</v>
      </c>
      <c r="DS264" s="748">
        <f>VLOOKUP(A264,'ДЗ нежит'!$A$1:$D$153,4,0)</f>
        <v>621.92999999999995</v>
      </c>
      <c r="DT264" s="30">
        <f t="shared" si="279"/>
        <v>7837.12</v>
      </c>
      <c r="DU264" s="257">
        <f>VLOOKUP(A264,'новий кошторис с 01.06'!$A$4:$AI$399,35)*1.2</f>
        <v>7874.1419462008698</v>
      </c>
      <c r="DV264" s="30">
        <f t="shared" si="280"/>
        <v>-37.021946200869934</v>
      </c>
      <c r="DW264" s="930">
        <f>'[5]побудинковий звіт'!DW264+'[6]побудинковий звіт'!DW264</f>
        <v>236</v>
      </c>
      <c r="DY264" s="5">
        <f t="shared" si="286"/>
        <v>24512.944401671379</v>
      </c>
      <c r="DZ264" s="5">
        <f t="shared" si="287"/>
        <v>5810.4000000000005</v>
      </c>
      <c r="EA264" s="752">
        <f t="shared" si="291"/>
        <v>13083.69</v>
      </c>
      <c r="EC264" s="592">
        <f t="shared" si="288"/>
        <v>194158.94239929991</v>
      </c>
      <c r="EE264" s="758">
        <v>-30634</v>
      </c>
      <c r="EF264" s="738">
        <f t="shared" si="289"/>
        <v>8114.8952367916063</v>
      </c>
      <c r="EH264" s="813">
        <v>30600.454476227071</v>
      </c>
    </row>
    <row r="265" spans="1:138" x14ac:dyDescent="0.3">
      <c r="A265" s="328">
        <v>150000744</v>
      </c>
      <c r="B265" s="44" t="s">
        <v>715</v>
      </c>
      <c r="C265" s="45" t="s">
        <v>1776</v>
      </c>
      <c r="D265" s="45" t="s">
        <v>223</v>
      </c>
      <c r="E265" s="40">
        <f t="shared" ref="E265:E328" si="292">F265+H265</f>
        <v>11337.62</v>
      </c>
      <c r="F265" s="490">
        <v>11337.62</v>
      </c>
      <c r="G265" s="30"/>
      <c r="H265" s="30">
        <v>0</v>
      </c>
      <c r="I265" s="42">
        <f>'[1]побудинковий звіт'!I265+'[2]побудинковий звіт'!I265-'[3]побудинковий звіт'!I265</f>
        <v>5702.5415166531729</v>
      </c>
      <c r="J265" s="42">
        <f>'[1]побудинковий звіт'!J265+'[2]побудинковий звіт'!J265-'[3]побудинковий звіт'!J265</f>
        <v>5684.795942860319</v>
      </c>
      <c r="K265" s="56">
        <f t="shared" si="238"/>
        <v>-17.745573792853975</v>
      </c>
      <c r="L265" s="42">
        <f>'[1]побудинковий звіт'!L265+'[2]побудинковий звіт'!L265-'[3]побудинковий звіт'!L265</f>
        <v>1089.1946296639073</v>
      </c>
      <c r="M265" s="42">
        <f>'[1]побудинковий звіт'!M265+'[2]побудинковий звіт'!M265-'[3]побудинковий звіт'!M265</f>
        <v>1110.8485949425565</v>
      </c>
      <c r="N265" s="56">
        <f t="shared" si="239"/>
        <v>21.653965278649139</v>
      </c>
      <c r="O265" s="42">
        <f>'[1]побудинковий звіт'!O265+'[2]побудинковий звіт'!O265-'[3]побудинковий звіт'!O265</f>
        <v>2200.5600000000004</v>
      </c>
      <c r="P265" s="42">
        <f>'[1]побудинковий звіт'!P265+'[2]побудинковий звіт'!P265-'[3]побудинковий звіт'!P265</f>
        <v>1729.7922693548392</v>
      </c>
      <c r="Q265" s="56">
        <f t="shared" si="240"/>
        <v>-470.76773064516124</v>
      </c>
      <c r="R265" s="42">
        <f>'[1]побудинковий звіт'!R265+'[2]побудинковий звіт'!R265-'[3]побудинковий звіт'!R265</f>
        <v>0</v>
      </c>
      <c r="S265" s="42">
        <f>'[1]побудинковий звіт'!S265+'[2]побудинковий звіт'!S265-'[3]побудинковий звіт'!S265</f>
        <v>0</v>
      </c>
      <c r="T265" s="56">
        <f t="shared" si="241"/>
        <v>0</v>
      </c>
      <c r="U265" s="42">
        <f>'[1]побудинковий звіт'!U265+'[2]побудинковий звіт'!U265-'[3]побудинковий звіт'!U265</f>
        <v>0</v>
      </c>
      <c r="V265" s="42">
        <f>'[1]побудинковий звіт'!V265+'[2]побудинковий звіт'!V265-'[3]побудинковий звіт'!V265</f>
        <v>0</v>
      </c>
      <c r="W265" s="56">
        <f t="shared" si="242"/>
        <v>0</v>
      </c>
      <c r="X265" s="42">
        <f>'[1]побудинковий звіт'!X265+'[2]побудинковий звіт'!X265-'[3]побудинковий звіт'!X265</f>
        <v>2759.0624222044357</v>
      </c>
      <c r="Y265" s="42">
        <f>'[1]побудинковий звіт'!Y265+'[2]побудинковий звіт'!Y265-'[3]побудинковий звіт'!Y265</f>
        <v>4108.0991620113427</v>
      </c>
      <c r="Z265" s="56">
        <f t="shared" si="243"/>
        <v>1349.036739806907</v>
      </c>
      <c r="AA265" s="42">
        <f>'[1]побудинковий звіт'!AA265+'[2]побудинковий звіт'!AA265-'[3]побудинковий звіт'!AA265</f>
        <v>0</v>
      </c>
      <c r="AB265" s="42">
        <f>'[1]побудинковий звіт'!AB265+'[2]побудинковий звіт'!AB265-'[3]побудинковий звіт'!AB265</f>
        <v>0</v>
      </c>
      <c r="AC265" s="56">
        <f t="shared" si="244"/>
        <v>0</v>
      </c>
      <c r="AD265" s="42">
        <f>'[1]побудинковий звіт'!AD265+'[2]побудинковий звіт'!AD265-'[3]побудинковий звіт'!AD265</f>
        <v>6432.5609585521361</v>
      </c>
      <c r="AE265" s="42">
        <f>'[1]побудинковий звіт'!AE265+'[2]побудинковий звіт'!AE265-'[3]побудинковий звіт'!AE265</f>
        <v>5954.5258856609089</v>
      </c>
      <c r="AF265" s="37">
        <f t="shared" si="245"/>
        <v>-478.03507289122717</v>
      </c>
      <c r="AG265" s="87">
        <f t="shared" si="235"/>
        <v>18183.919527073653</v>
      </c>
      <c r="AH265" s="57">
        <f t="shared" si="235"/>
        <v>18588.061854829968</v>
      </c>
      <c r="AI265" s="56">
        <f t="shared" si="246"/>
        <v>404.14232775631535</v>
      </c>
      <c r="AJ265" s="42">
        <f>'[1]побудинковий звіт'!AJ265+'[2]побудинковий звіт'!AJ265-'[3]побудинковий звіт'!AJ265</f>
        <v>0</v>
      </c>
      <c r="AK265" s="42">
        <f>'[1]побудинковий звіт'!AK265+'[2]побудинковий звіт'!AK265-'[3]побудинковий звіт'!AK265</f>
        <v>0</v>
      </c>
      <c r="AL265" s="56">
        <f t="shared" si="247"/>
        <v>0</v>
      </c>
      <c r="AM265" s="42">
        <f>'[1]побудинковий звіт'!AM265+'[2]побудинковий звіт'!AM265-'[3]побудинковий звіт'!AM265</f>
        <v>0</v>
      </c>
      <c r="AN265" s="42">
        <f>'[1]побудинковий звіт'!AN265+'[2]побудинковий звіт'!AN265-'[3]побудинковий звіт'!AN265</f>
        <v>0</v>
      </c>
      <c r="AO265" s="56">
        <f t="shared" si="248"/>
        <v>0</v>
      </c>
      <c r="AP265" s="42">
        <f>'[1]побудинковий звіт'!AP265+'[2]побудинковий звіт'!AP265-'[3]побудинковий звіт'!AP265</f>
        <v>4545.6846858895187</v>
      </c>
      <c r="AQ265" s="42">
        <f>'[1]побудинковий звіт'!AQ265+'[2]побудинковий звіт'!AQ265-'[3]побудинковий звіт'!AQ265</f>
        <v>4260.2850783900058</v>
      </c>
      <c r="AR265" s="56">
        <f t="shared" si="249"/>
        <v>-285.39960749951297</v>
      </c>
      <c r="AS265" s="42">
        <f>'[1]побудинковий звіт'!AS265+'[2]побудинковий звіт'!AS265-'[3]побудинковий звіт'!AS265</f>
        <v>15101.925537695901</v>
      </c>
      <c r="AT265" s="42">
        <f>'[1]побудинковий звіт'!AT265+'[2]побудинковий звіт'!AT265-'[3]побудинковий звіт'!AT265</f>
        <v>2422</v>
      </c>
      <c r="AU265" s="58">
        <f t="shared" si="266"/>
        <v>-12679.925537695901</v>
      </c>
      <c r="AV265" s="42">
        <f>'[1]побудинковий звіт'!AV265+'[2]побудинковий звіт'!AV265-'[3]побудинковий звіт'!AV265</f>
        <v>954.22272985364179</v>
      </c>
      <c r="AW265" s="42">
        <f>'[1]побудинковий звіт'!AW265+'[2]побудинковий звіт'!AW265-'[3]побудинковий звіт'!AW265</f>
        <v>0</v>
      </c>
      <c r="AX265" s="59">
        <f t="shared" si="267"/>
        <v>-954.22272985364179</v>
      </c>
      <c r="AY265" s="42">
        <f>'[1]побудинковий звіт'!AY265+'[2]побудинковий звіт'!AY265-'[3]побудинковий звіт'!AY265</f>
        <v>1403.9761763511401</v>
      </c>
      <c r="AZ265" s="42">
        <f>'[1]побудинковий звіт'!AZ265+'[2]побудинковий звіт'!AZ265-'[3]побудинковий звіт'!AZ265</f>
        <v>0</v>
      </c>
      <c r="BA265" s="37">
        <f t="shared" si="268"/>
        <v>-1403.9761763511401</v>
      </c>
      <c r="BB265" s="42">
        <f>'[1]побудинковий звіт'!BB265+'[2]побудинковий звіт'!BB265-'[3]побудинковий звіт'!BB265</f>
        <v>1036.2949495964508</v>
      </c>
      <c r="BC265" s="42">
        <f>'[1]побудинковий звіт'!BC265+'[2]побудинковий звіт'!BC265-'[3]побудинковий звіт'!BC265</f>
        <v>0</v>
      </c>
      <c r="BD265" s="59">
        <f t="shared" si="269"/>
        <v>-1036.2949495964508</v>
      </c>
      <c r="BE265" s="42">
        <f>'[1]побудинковий звіт'!BE265+'[2]побудинковий звіт'!BE265-'[3]побудинковий звіт'!BE265</f>
        <v>0</v>
      </c>
      <c r="BF265" s="42">
        <f>'[1]побудинковий звіт'!BF265+'[2]побудинковий звіт'!BF265-'[3]побудинковий звіт'!BF265</f>
        <v>0</v>
      </c>
      <c r="BG265" s="39">
        <f t="shared" si="270"/>
        <v>0</v>
      </c>
      <c r="BH265" s="42">
        <f>'[1]побудинковий звіт'!BH265+'[2]побудинковий звіт'!BH265-'[3]побудинковий звіт'!BH265</f>
        <v>0</v>
      </c>
      <c r="BI265" s="42">
        <f>'[1]побудинковий звіт'!BI265+'[2]побудинковий звіт'!BI265-'[3]побудинковий звіт'!BI265</f>
        <v>0</v>
      </c>
      <c r="BJ265" s="59">
        <f t="shared" si="271"/>
        <v>0</v>
      </c>
      <c r="BK265" s="42">
        <f>'[1]побудинковий звіт'!BK265+'[2]побудинковий звіт'!BK265-'[3]побудинковий звіт'!BK265</f>
        <v>328.51922665841096</v>
      </c>
      <c r="BL265" s="42">
        <f>'[1]побудинковий звіт'!BL265+'[2]побудинковий звіт'!BL265-'[3]побудинковий звіт'!BL265</f>
        <v>0</v>
      </c>
      <c r="BM265" s="39">
        <f t="shared" si="272"/>
        <v>-328.51922665841096</v>
      </c>
      <c r="BN265" s="42">
        <f>'[1]побудинковий звіт'!BN265+'[2]побудинковий звіт'!BN265-'[3]побудинковий звіт'!BN265</f>
        <v>0</v>
      </c>
      <c r="BO265" s="42">
        <f>'[1]побудинковий звіт'!BO265+'[2]побудинковий звіт'!BO265-'[3]побудинковий звіт'!BO265</f>
        <v>0</v>
      </c>
      <c r="BP265" s="59">
        <f t="shared" si="273"/>
        <v>0</v>
      </c>
      <c r="BQ265" s="87">
        <f t="shared" si="282"/>
        <v>3723.0130824596436</v>
      </c>
      <c r="BR265" s="43">
        <f t="shared" si="283"/>
        <v>0</v>
      </c>
      <c r="BS265" s="59">
        <f t="shared" si="274"/>
        <v>-3723.0130824596436</v>
      </c>
      <c r="BT265" s="42">
        <f>'[1]побудинковий звіт'!BT265+'[2]побудинковий звіт'!BT265-'[3]побудинковий звіт'!BT265</f>
        <v>21764.308933889086</v>
      </c>
      <c r="BU265" s="42">
        <f>'[1]побудинковий звіт'!BU265+'[2]побудинковий звіт'!BU265-'[3]побудинковий звіт'!BU265</f>
        <v>28928.919815170084</v>
      </c>
      <c r="BV265" s="56">
        <f t="shared" si="250"/>
        <v>7164.610881280998</v>
      </c>
      <c r="BW265" s="42">
        <f>'[1]побудинковий звіт'!BW265+'[2]побудинковий звіт'!BW265-'[3]побудинковий звіт'!BW265</f>
        <v>7547.5755567315509</v>
      </c>
      <c r="BX265" s="42">
        <f>'[1]побудинковий звіт'!BX265+'[2]побудинковий звіт'!BX265-'[3]побудинковий звіт'!BX265</f>
        <v>7992.7738278025699</v>
      </c>
      <c r="BY265" s="56">
        <f t="shared" si="251"/>
        <v>445.19827107101901</v>
      </c>
      <c r="BZ265" s="42">
        <f>'[1]побудинковий звіт'!BZ265+'[2]побудинковий звіт'!BZ265-'[3]побудинковий звіт'!BZ265</f>
        <v>6799.4288014622853</v>
      </c>
      <c r="CA265" s="42">
        <f>'[1]побудинковий звіт'!CA265+'[2]побудинковий звіт'!CA265-'[3]побудинковий звіт'!CA265</f>
        <v>6210.5095484130215</v>
      </c>
      <c r="CB265" s="56">
        <f t="shared" si="252"/>
        <v>-588.91925304926372</v>
      </c>
      <c r="CC265" s="42">
        <f>'[1]побудинковий звіт'!CC265+'[2]побудинковий звіт'!CC265-'[3]побудинковий звіт'!CC265</f>
        <v>873.5736393412385</v>
      </c>
      <c r="CD265" s="42">
        <f>'[1]побудинковий звіт'!CD265+'[2]побудинковий звіт'!CD265-'[3]побудинковий звіт'!CD265</f>
        <v>865.89031220606819</v>
      </c>
      <c r="CE265" s="56">
        <f t="shared" si="253"/>
        <v>-7.6833271351703161</v>
      </c>
      <c r="CF265" s="42">
        <f>'[1]побудинковий звіт'!CF265+'[2]побудинковий звіт'!CF265-'[3]побудинковий звіт'!CF265</f>
        <v>107.5422093885995</v>
      </c>
      <c r="CG265" s="42">
        <f>'[1]побудинковий звіт'!CG265+'[2]побудинковий звіт'!CG265-'[3]побудинковий звіт'!CG265</f>
        <v>0</v>
      </c>
      <c r="CH265" s="56">
        <f t="shared" si="254"/>
        <v>-107.5422093885995</v>
      </c>
      <c r="CI265" s="42">
        <f>'[1]побудинковий звіт'!CI265+'[2]побудинковий звіт'!CI265-'[3]побудинковий звіт'!CI265</f>
        <v>3294.2844311858162</v>
      </c>
      <c r="CJ265" s="42">
        <f>'[1]побудинковий звіт'!CJ265+'[2]побудинковий звіт'!CJ265-'[3]побудинковий звіт'!CJ265</f>
        <v>1785.5251558053096</v>
      </c>
      <c r="CK265" s="56">
        <f t="shared" si="255"/>
        <v>-1508.7592753805066</v>
      </c>
      <c r="CL265" s="42">
        <f>'[1]побудинковий звіт'!CL265+'[2]побудинковий звіт'!CL265-'[3]побудинковий звіт'!CL265</f>
        <v>0</v>
      </c>
      <c r="CM265" s="42">
        <f>'[1]побудинковий звіт'!CM265+'[2]побудинковий звіт'!CM265-'[3]побудинковий звіт'!CM265</f>
        <v>0</v>
      </c>
      <c r="CN265" s="56">
        <f t="shared" si="256"/>
        <v>0</v>
      </c>
      <c r="CO265" s="42">
        <f t="shared" si="236"/>
        <v>3294.2844311858162</v>
      </c>
      <c r="CP265" s="43">
        <f t="shared" si="257"/>
        <v>1785.5251558053096</v>
      </c>
      <c r="CQ265" s="56">
        <f t="shared" si="258"/>
        <v>-1508.7592753805066</v>
      </c>
      <c r="CR265" s="78">
        <f t="shared" si="237"/>
        <v>81941.256405117296</v>
      </c>
      <c r="CS265" s="5">
        <f t="shared" si="237"/>
        <v>71053.965592617038</v>
      </c>
      <c r="CT265" s="56">
        <f t="shared" si="259"/>
        <v>-10887.290812500258</v>
      </c>
      <c r="CU265" s="87">
        <f t="shared" si="260"/>
        <v>98329.507686140758</v>
      </c>
      <c r="CV265" s="70">
        <f t="shared" si="261"/>
        <v>85264.758711140443</v>
      </c>
      <c r="CW265" s="37">
        <f t="shared" si="262"/>
        <v>-13064.748975000315</v>
      </c>
      <c r="CX265" s="42">
        <f>'[1]побудинковий звіт'!CX265+'[2]побудинковий звіт'!CX265-'[3]побудинковий звіт'!CX265</f>
        <v>2454.6123138592284</v>
      </c>
      <c r="CY265" s="42">
        <f>'[1]побудинковий звіт'!CY265+'[2]побудинковий звіт'!CY265-'[3]побудинковий звіт'!CY265</f>
        <v>15519.361288859571</v>
      </c>
      <c r="CZ265" s="56">
        <f t="shared" si="263"/>
        <v>13064.748975000342</v>
      </c>
      <c r="DA265" s="264">
        <f>'[4]побудинковий звіт'!DA265</f>
        <v>-43905.846138135013</v>
      </c>
      <c r="DB265" s="2">
        <v>2</v>
      </c>
      <c r="DC265" s="717">
        <f>'[4]побудинковий звіт'!DC265</f>
        <v>24884.16</v>
      </c>
      <c r="DD265" s="717">
        <f>'[4]побудинковий звіт'!DD265</f>
        <v>0</v>
      </c>
      <c r="DE265" s="717">
        <f>'[4]побудинковий звіт'!DE265</f>
        <v>16485.809999999998</v>
      </c>
      <c r="DF265" s="717">
        <f>'[4]побудинковий звіт'!DF265</f>
        <v>0</v>
      </c>
      <c r="DG265" s="787">
        <v>-18309.890669501241</v>
      </c>
      <c r="DH265" s="761">
        <f t="shared" si="290"/>
        <v>1209409.4399999997</v>
      </c>
      <c r="DI265" s="784"/>
      <c r="DJ265" s="5"/>
      <c r="DK265" s="317">
        <f>VLOOKUP($A265,ціни!$A$4:$G$401,5)</f>
        <v>5.5829425561848733</v>
      </c>
      <c r="DL265" s="317"/>
      <c r="DM265" s="317">
        <f>VLOOKUP($A265,ціни!$A$4:$G$401,7)</f>
        <v>5.0687000046261232</v>
      </c>
      <c r="DN265" s="30">
        <f t="shared" si="284"/>
        <v>63297.281183852749</v>
      </c>
      <c r="DO265" s="30">
        <f t="shared" si="285"/>
        <v>0</v>
      </c>
      <c r="DP265" s="316">
        <f t="shared" si="278"/>
        <v>63297.281183852749</v>
      </c>
      <c r="DQ265" s="104"/>
      <c r="DR265" s="30">
        <f>VLOOKUP(A265,'ДЗ нас '!$A$1:$C$359,2)</f>
        <v>8398.35</v>
      </c>
      <c r="DS265" s="748">
        <f>VLOOKUP(A265,'ДЗ нежит'!$A$1:$D$153,4,0)</f>
        <v>427.3</v>
      </c>
      <c r="DT265" s="30">
        <f t="shared" si="279"/>
        <v>8825.65</v>
      </c>
      <c r="DU265" s="257">
        <f>VLOOKUP(A265,'новий кошторис с 01.06'!$A$4:$AI$399,35)*1.2</f>
        <v>8439.9494097270835</v>
      </c>
      <c r="DV265" s="30">
        <f t="shared" si="280"/>
        <v>385.70059027291609</v>
      </c>
      <c r="DW265" s="930">
        <f>'[5]побудинковий звіт'!DW265+'[6]побудинковий звіт'!DW265</f>
        <v>204</v>
      </c>
      <c r="DY265" s="5">
        <f t="shared" si="286"/>
        <v>22589.926344186653</v>
      </c>
      <c r="DZ265" s="5">
        <f t="shared" si="287"/>
        <v>2906.4</v>
      </c>
      <c r="EA265" s="752">
        <f t="shared" si="291"/>
        <v>16485.809999999998</v>
      </c>
      <c r="EC265" s="592">
        <f t="shared" si="288"/>
        <v>181223.1064523508</v>
      </c>
      <c r="EE265" s="758">
        <v>15049</v>
      </c>
      <c r="EF265" s="738">
        <f t="shared" si="289"/>
        <v>-3260.8906695012411</v>
      </c>
      <c r="EH265" s="813">
        <v>-31033.750221757371</v>
      </c>
    </row>
    <row r="266" spans="1:138" x14ac:dyDescent="0.3">
      <c r="A266" s="328">
        <v>150000741</v>
      </c>
      <c r="B266" s="44" t="s">
        <v>716</v>
      </c>
      <c r="C266" s="45" t="s">
        <v>1777</v>
      </c>
      <c r="D266" s="45" t="s">
        <v>224</v>
      </c>
      <c r="E266" s="40">
        <f t="shared" si="292"/>
        <v>13532.32</v>
      </c>
      <c r="F266" s="490">
        <v>13211.52</v>
      </c>
      <c r="G266" s="30"/>
      <c r="H266" s="30">
        <v>320.79999999999995</v>
      </c>
      <c r="I266" s="42">
        <f>'[1]побудинковий звіт'!I266+'[2]побудинковий звіт'!I266-'[3]побудинковий звіт'!I266</f>
        <v>10007.541067425478</v>
      </c>
      <c r="J266" s="42">
        <f>'[1]побудинковий звіт'!J266+'[2]побудинковий звіт'!J266-'[3]побудинковий звіт'!J266</f>
        <v>9974.5350478677374</v>
      </c>
      <c r="K266" s="56">
        <f t="shared" si="238"/>
        <v>-33.006019557740728</v>
      </c>
      <c r="L266" s="42">
        <f>'[1]побудинковий звіт'!L266+'[2]побудинковий звіт'!L266-'[3]побудинковий звіт'!L266</f>
        <v>1578.0127700748317</v>
      </c>
      <c r="M266" s="42">
        <f>'[1]побудинковий звіт'!M266+'[2]побудинковий звіт'!M266-'[3]побудинковий звіт'!M266</f>
        <v>1592.147976426261</v>
      </c>
      <c r="N266" s="56">
        <f t="shared" si="239"/>
        <v>14.13520635142936</v>
      </c>
      <c r="O266" s="42">
        <f>'[1]побудинковий звіт'!O266+'[2]побудинковий звіт'!O266-'[3]побудинковий звіт'!O266</f>
        <v>3639.8400000000006</v>
      </c>
      <c r="P266" s="42">
        <f>'[1]побудинковий звіт'!P266+'[2]побудинковий звіт'!P266-'[3]побудинковий звіт'!P266</f>
        <v>2860.9037978494625</v>
      </c>
      <c r="Q266" s="56">
        <f t="shared" si="240"/>
        <v>-778.93620215053807</v>
      </c>
      <c r="R266" s="42">
        <f>'[1]побудинковий звіт'!R266+'[2]побудинковий звіт'!R266-'[3]побудинковий звіт'!R266</f>
        <v>0</v>
      </c>
      <c r="S266" s="42">
        <f>'[1]побудинковий звіт'!S266+'[2]побудинковий звіт'!S266-'[3]побудинковий звіт'!S266</f>
        <v>0</v>
      </c>
      <c r="T266" s="56">
        <f t="shared" si="241"/>
        <v>0</v>
      </c>
      <c r="U266" s="42">
        <f>'[1]побудинковий звіт'!U266+'[2]побудинковий звіт'!U266-'[3]побудинковий звіт'!U266</f>
        <v>0</v>
      </c>
      <c r="V266" s="42">
        <f>'[1]побудинковий звіт'!V266+'[2]побудинковий звіт'!V266-'[3]побудинковий звіт'!V266</f>
        <v>0</v>
      </c>
      <c r="W266" s="56">
        <f t="shared" si="242"/>
        <v>0</v>
      </c>
      <c r="X266" s="42">
        <f>'[1]побудинковий звіт'!X266+'[2]побудинковий звіт'!X266-'[3]побудинковий звіт'!X266</f>
        <v>6555.9561916103348</v>
      </c>
      <c r="Y266" s="42">
        <f>'[1]побудинковий звіт'!Y266+'[2]побудинковий звіт'!Y266-'[3]побудинковий звіт'!Y266</f>
        <v>7337.4995822708051</v>
      </c>
      <c r="Z266" s="56">
        <f t="shared" si="243"/>
        <v>781.54339066047032</v>
      </c>
      <c r="AA266" s="42">
        <f>'[1]побудинковий звіт'!AA266+'[2]побудинковий звіт'!AA266-'[3]побудинковий звіт'!AA266</f>
        <v>0</v>
      </c>
      <c r="AB266" s="42">
        <f>'[1]побудинковий звіт'!AB266+'[2]побудинковий звіт'!AB266-'[3]побудинковий звіт'!AB266</f>
        <v>0</v>
      </c>
      <c r="AC266" s="56">
        <f t="shared" si="244"/>
        <v>0</v>
      </c>
      <c r="AD266" s="42">
        <f>'[1]побудинковий звіт'!AD266+'[2]побудинковий звіт'!AD266-'[3]побудинковий звіт'!AD266</f>
        <v>11092.789746591201</v>
      </c>
      <c r="AE266" s="42">
        <f>'[1]побудинковий звіт'!AE266+'[2]побудинковий звіт'!AE266-'[3]побудинковий звіт'!AE266</f>
        <v>10224.047919492026</v>
      </c>
      <c r="AF266" s="37">
        <f t="shared" si="245"/>
        <v>-868.74182709917477</v>
      </c>
      <c r="AG266" s="87">
        <f t="shared" si="235"/>
        <v>32874.139775701842</v>
      </c>
      <c r="AH266" s="57">
        <f t="shared" si="235"/>
        <v>31989.134323906292</v>
      </c>
      <c r="AI266" s="56">
        <f t="shared" si="246"/>
        <v>-885.00545179555047</v>
      </c>
      <c r="AJ266" s="42">
        <f>'[1]побудинковий звіт'!AJ266+'[2]побудинковий звіт'!AJ266-'[3]побудинковий звіт'!AJ266</f>
        <v>0</v>
      </c>
      <c r="AK266" s="42">
        <f>'[1]побудинковий звіт'!AK266+'[2]побудинковий звіт'!AK266-'[3]побудинковий звіт'!AK266</f>
        <v>0</v>
      </c>
      <c r="AL266" s="56">
        <f t="shared" si="247"/>
        <v>0</v>
      </c>
      <c r="AM266" s="42">
        <f>'[1]побудинковий звіт'!AM266+'[2]побудинковий звіт'!AM266-'[3]побудинковий звіт'!AM266</f>
        <v>0</v>
      </c>
      <c r="AN266" s="42">
        <f>'[1]побудинковий звіт'!AN266+'[2]побудинковий звіт'!AN266-'[3]побудинковий звіт'!AN266</f>
        <v>0</v>
      </c>
      <c r="AO266" s="56">
        <f t="shared" si="248"/>
        <v>0</v>
      </c>
      <c r="AP266" s="42">
        <f>'[1]побудинковий звіт'!AP266+'[2]побудинковий звіт'!AP266-'[3]побудинковий звіт'!AP266</f>
        <v>7954.9482003066569</v>
      </c>
      <c r="AQ266" s="42">
        <f>'[1]побудинковий звіт'!AQ266+'[2]побудинковий звіт'!AQ266-'[3]побудинковий звіт'!AQ266</f>
        <v>8316.2235502400672</v>
      </c>
      <c r="AR266" s="56">
        <f t="shared" si="249"/>
        <v>361.27534993341033</v>
      </c>
      <c r="AS266" s="42">
        <f>'[1]побудинковий звіт'!AS266+'[2]побудинковий звіт'!AS266-'[3]побудинковий звіт'!AS266</f>
        <v>32946.363004077532</v>
      </c>
      <c r="AT266" s="42">
        <f>'[1]побудинковий звіт'!AT266+'[2]побудинковий звіт'!AT266-'[3]побудинковий звіт'!AT266</f>
        <v>3895</v>
      </c>
      <c r="AU266" s="58">
        <f t="shared" si="266"/>
        <v>-29051.363004077532</v>
      </c>
      <c r="AV266" s="42">
        <f>'[1]побудинковий звіт'!AV266+'[2]побудинковий звіт'!AV266-'[3]побудинковий звіт'!AV266</f>
        <v>1627.9531490506042</v>
      </c>
      <c r="AW266" s="42">
        <f>'[1]побудинковий звіт'!AW266+'[2]побудинковий звіт'!AW266-'[3]побудинковий звіт'!AW266</f>
        <v>0</v>
      </c>
      <c r="AX266" s="59">
        <f t="shared" si="267"/>
        <v>-1627.9531490506042</v>
      </c>
      <c r="AY266" s="42">
        <f>'[1]побудинковий звіт'!AY266+'[2]побудинковий звіт'!AY266-'[3]побудинковий звіт'!AY266</f>
        <v>2033.6832662837994</v>
      </c>
      <c r="AZ266" s="42">
        <f>'[1]побудинковий звіт'!AZ266+'[2]побудинковий звіт'!AZ266-'[3]побудинковий звіт'!AZ266</f>
        <v>0</v>
      </c>
      <c r="BA266" s="37">
        <f t="shared" si="268"/>
        <v>-2033.6832662837994</v>
      </c>
      <c r="BB266" s="42">
        <f>'[1]побудинковий звіт'!BB266+'[2]побудинковий звіт'!BB266-'[3]побудинковий звіт'!BB266</f>
        <v>1796.4142790237477</v>
      </c>
      <c r="BC266" s="42">
        <f>'[1]побудинковий звіт'!BC266+'[2]побудинковий звіт'!BC266-'[3]побудинковий звіт'!BC266</f>
        <v>0</v>
      </c>
      <c r="BD266" s="59">
        <f t="shared" si="269"/>
        <v>-1796.4142790237477</v>
      </c>
      <c r="BE266" s="42">
        <f>'[1]побудинковий звіт'!BE266+'[2]побудинковий звіт'!BE266-'[3]побудинковий звіт'!BE266</f>
        <v>0</v>
      </c>
      <c r="BF266" s="42">
        <f>'[1]побудинковий звіт'!BF266+'[2]побудинковий звіт'!BF266-'[3]побудинковий звіт'!BF266</f>
        <v>0</v>
      </c>
      <c r="BG266" s="39">
        <f t="shared" si="270"/>
        <v>0</v>
      </c>
      <c r="BH266" s="42">
        <f>'[1]побудинковий звіт'!BH266+'[2]побудинковий звіт'!BH266-'[3]побудинковий звіт'!BH266</f>
        <v>0</v>
      </c>
      <c r="BI266" s="42">
        <f>'[1]побудинковий звіт'!BI266+'[2]побудинковий звіт'!BI266-'[3]побудинковий звіт'!BI266</f>
        <v>0</v>
      </c>
      <c r="BJ266" s="59">
        <f t="shared" si="271"/>
        <v>0</v>
      </c>
      <c r="BK266" s="42">
        <f>'[1]побудинковий звіт'!BK266+'[2]побудинковий звіт'!BK266-'[3]побудинковий звіт'!BK266</f>
        <v>890.6052534508683</v>
      </c>
      <c r="BL266" s="42">
        <f>'[1]побудинковий звіт'!BL266+'[2]побудинковий звіт'!BL266-'[3]побудинковий звіт'!BL266</f>
        <v>0</v>
      </c>
      <c r="BM266" s="39">
        <f t="shared" si="272"/>
        <v>-890.6052534508683</v>
      </c>
      <c r="BN266" s="42">
        <f>'[1]побудинковий звіт'!BN266+'[2]побудинковий звіт'!BN266-'[3]побудинковий звіт'!BN266</f>
        <v>0</v>
      </c>
      <c r="BO266" s="42">
        <f>'[1]побудинковий звіт'!BO266+'[2]побудинковий звіт'!BO266-'[3]побудинковий звіт'!BO266</f>
        <v>0</v>
      </c>
      <c r="BP266" s="59">
        <f t="shared" si="273"/>
        <v>0</v>
      </c>
      <c r="BQ266" s="87">
        <f t="shared" si="282"/>
        <v>6348.6559478090194</v>
      </c>
      <c r="BR266" s="43">
        <f t="shared" si="283"/>
        <v>0</v>
      </c>
      <c r="BS266" s="59">
        <f t="shared" si="274"/>
        <v>-6348.6559478090194</v>
      </c>
      <c r="BT266" s="42">
        <f>'[1]побудинковий звіт'!BT266+'[2]побудинковий звіт'!BT266-'[3]побудинковий звіт'!BT266</f>
        <v>27509.540400612961</v>
      </c>
      <c r="BU266" s="42">
        <f>'[1]побудинковий звіт'!BU266+'[2]побудинковий звіт'!BU266-'[3]побудинковий звіт'!BU266</f>
        <v>35738.55562669006</v>
      </c>
      <c r="BV266" s="56">
        <f t="shared" si="250"/>
        <v>8229.0152260770992</v>
      </c>
      <c r="BW266" s="42">
        <f>'[1]побудинковий звіт'!BW266+'[2]побудинковий звіт'!BW266-'[3]побудинковий звіт'!BW266</f>
        <v>17628.323574693532</v>
      </c>
      <c r="BX266" s="42">
        <f>'[1]побудинковий звіт'!BX266+'[2]побудинковий звіт'!BX266-'[3]побудинковий звіт'!BX266</f>
        <v>17859.014511322279</v>
      </c>
      <c r="BY266" s="56">
        <f t="shared" si="251"/>
        <v>230.69093662874729</v>
      </c>
      <c r="BZ266" s="42">
        <f>'[1]побудинковий звіт'!BZ266+'[2]побудинковий звіт'!BZ266-'[3]побудинковий звіт'!BZ266</f>
        <v>8301.9705143155115</v>
      </c>
      <c r="CA266" s="42">
        <f>'[1]побудинковий звіт'!CA266+'[2]побудинковий звіт'!CA266-'[3]побудинковий звіт'!CA266</f>
        <v>10855.382582477916</v>
      </c>
      <c r="CB266" s="56">
        <f t="shared" si="252"/>
        <v>2553.4120681624045</v>
      </c>
      <c r="CC266" s="42">
        <f>'[1]побудинковий звіт'!CC266+'[2]побудинковий звіт'!CC266-'[3]побудинковий звіт'!CC266</f>
        <v>0</v>
      </c>
      <c r="CD266" s="42">
        <f>'[1]побудинковий звіт'!CD266+'[2]побудинковий звіт'!CD266-'[3]побудинковий звіт'!CD266</f>
        <v>0</v>
      </c>
      <c r="CE266" s="56">
        <f t="shared" si="253"/>
        <v>0</v>
      </c>
      <c r="CF266" s="42">
        <f>'[1]побудинковий звіт'!CF266+'[2]побудинковий звіт'!CF266-'[3]побудинковий звіт'!CF266</f>
        <v>0</v>
      </c>
      <c r="CG266" s="42">
        <f>'[1]побудинковий звіт'!CG266+'[2]побудинковий звіт'!CG266-'[3]побудинковий звіт'!CG266</f>
        <v>0</v>
      </c>
      <c r="CH266" s="56">
        <f t="shared" si="254"/>
        <v>0</v>
      </c>
      <c r="CI266" s="42">
        <f>'[1]побудинковий звіт'!CI266+'[2]побудинковий звіт'!CI266-'[3]побудинковий звіт'!CI266</f>
        <v>1647.1422155929081</v>
      </c>
      <c r="CJ266" s="42">
        <f>'[1]побудинковий звіт'!CJ266+'[2]побудинковий звіт'!CJ266-'[3]побудинковий звіт'!CJ266</f>
        <v>283.74497830281263</v>
      </c>
      <c r="CK266" s="56">
        <f t="shared" si="255"/>
        <v>-1363.3972372900955</v>
      </c>
      <c r="CL266" s="42">
        <f>'[1]побудинковий звіт'!CL266+'[2]побудинковий звіт'!CL266-'[3]побудинковий звіт'!CL266</f>
        <v>0</v>
      </c>
      <c r="CM266" s="42">
        <f>'[1]побудинковий звіт'!CM266+'[2]побудинковий звіт'!CM266-'[3]побудинковий звіт'!CM266</f>
        <v>0</v>
      </c>
      <c r="CN266" s="56">
        <f t="shared" si="256"/>
        <v>0</v>
      </c>
      <c r="CO266" s="42">
        <f t="shared" si="236"/>
        <v>1647.1422155929081</v>
      </c>
      <c r="CP266" s="43">
        <f t="shared" si="257"/>
        <v>283.74497830281263</v>
      </c>
      <c r="CQ266" s="56">
        <f t="shared" si="258"/>
        <v>-1363.3972372900955</v>
      </c>
      <c r="CR266" s="78">
        <f t="shared" si="237"/>
        <v>135211.08363310993</v>
      </c>
      <c r="CS266" s="5">
        <f t="shared" si="237"/>
        <v>108937.05557293943</v>
      </c>
      <c r="CT266" s="56">
        <f t="shared" si="259"/>
        <v>-26274.028060170502</v>
      </c>
      <c r="CU266" s="87">
        <f t="shared" si="260"/>
        <v>162253.30035973192</v>
      </c>
      <c r="CV266" s="70">
        <f t="shared" si="261"/>
        <v>130724.46668752731</v>
      </c>
      <c r="CW266" s="37">
        <f t="shared" si="262"/>
        <v>-31528.833672204608</v>
      </c>
      <c r="CX266" s="42">
        <f>'[1]побудинковий звіт'!CX266+'[2]побудинковий звіт'!CX266-'[3]побудинковий звіт'!CX266</f>
        <v>4036.6996402680525</v>
      </c>
      <c r="CY266" s="42">
        <f>'[1]побудинковий звіт'!CY266+'[2]побудинковий звіт'!CY266-'[3]побудинковий звіт'!CY266</f>
        <v>35565.533312472697</v>
      </c>
      <c r="CZ266" s="56">
        <f t="shared" si="263"/>
        <v>31528.833672204644</v>
      </c>
      <c r="DA266" s="264">
        <f>'[4]побудинковий звіт'!DA266</f>
        <v>-34302.510310177429</v>
      </c>
      <c r="DB266" s="2">
        <v>2</v>
      </c>
      <c r="DC266" s="717">
        <f>'[4]побудинковий звіт'!DC266</f>
        <v>25017.64</v>
      </c>
      <c r="DD266" s="717">
        <f>'[4]побудинковий звіт'!DD266</f>
        <v>3352.38</v>
      </c>
      <c r="DE266" s="717">
        <f>'[4]побудинковий звіт'!DE266</f>
        <v>12650.519999999999</v>
      </c>
      <c r="DF266" s="717">
        <f>'[4]побудинковий звіт'!DF266</f>
        <v>1862</v>
      </c>
      <c r="DG266" s="787">
        <v>7162.025036948151</v>
      </c>
      <c r="DH266" s="761">
        <f t="shared" si="290"/>
        <v>1995479.9999999995</v>
      </c>
      <c r="DI266" s="784"/>
      <c r="DJ266" s="5"/>
      <c r="DK266" s="317">
        <f>VLOOKUP($A266,ціни!$A$4:$G$401,5)</f>
        <v>5.4404260807513758</v>
      </c>
      <c r="DL266" s="317"/>
      <c r="DM266" s="317">
        <f>VLOOKUP($A266,ціни!$A$4:$G$401,7)</f>
        <v>4.6456589083713071</v>
      </c>
      <c r="DN266" s="30">
        <f t="shared" si="284"/>
        <v>71876.297974368412</v>
      </c>
      <c r="DO266" s="30">
        <f t="shared" si="285"/>
        <v>1490.3273778055152</v>
      </c>
      <c r="DP266" s="316">
        <f t="shared" si="278"/>
        <v>73366.625352173927</v>
      </c>
      <c r="DQ266" s="104"/>
      <c r="DR266" s="30">
        <f>VLOOKUP(A266,'ДЗ нас '!$A$1:$C$359,2)</f>
        <v>12367.12</v>
      </c>
      <c r="DS266" s="748">
        <f>VLOOKUP(A266,'ДЗ нежит'!$A$1:$D$153,4,0)</f>
        <v>1492.2399999999998</v>
      </c>
      <c r="DT266" s="30">
        <f t="shared" si="279"/>
        <v>13859.36</v>
      </c>
      <c r="DU266" s="257">
        <f>VLOOKUP(A266,'новий кошторис с 01.06'!$A$4:$AI$399,35)*1.2</f>
        <v>13926.741614210325</v>
      </c>
      <c r="DV266" s="30">
        <f t="shared" si="280"/>
        <v>-67.381614210324187</v>
      </c>
      <c r="DW266" s="930">
        <f>'[5]побудинковий звіт'!DW266+'[6]побудинковий звіт'!DW266</f>
        <v>236</v>
      </c>
      <c r="DY266" s="5">
        <f t="shared" si="286"/>
        <v>47154.022742263864</v>
      </c>
      <c r="DZ266" s="5">
        <f t="shared" si="287"/>
        <v>4674</v>
      </c>
      <c r="EA266" s="752">
        <f t="shared" si="291"/>
        <v>14512.519999999999</v>
      </c>
      <c r="EC266" s="592">
        <f t="shared" si="288"/>
        <v>395356.35604893038</v>
      </c>
      <c r="EE266" s="758">
        <v>-2021</v>
      </c>
      <c r="EF266" s="738">
        <f t="shared" si="289"/>
        <v>5141.025036948151</v>
      </c>
      <c r="EH266" s="813">
        <v>-5300.1988137793996</v>
      </c>
    </row>
    <row r="267" spans="1:138" x14ac:dyDescent="0.3">
      <c r="A267" s="328">
        <v>150000742</v>
      </c>
      <c r="B267" s="44" t="s">
        <v>717</v>
      </c>
      <c r="C267" s="45" t="s">
        <v>1778</v>
      </c>
      <c r="D267" s="45" t="s">
        <v>290</v>
      </c>
      <c r="E267" s="40">
        <f t="shared" si="292"/>
        <v>5858.7800000000007</v>
      </c>
      <c r="F267" s="490">
        <v>5689.68</v>
      </c>
      <c r="G267" s="30"/>
      <c r="H267" s="30">
        <v>169.1</v>
      </c>
      <c r="I267" s="42">
        <f>'[1]побудинковий звіт'!I267+'[2]побудинковий звіт'!I267-'[3]побудинковий звіт'!I267</f>
        <v>6179.4671072140818</v>
      </c>
      <c r="J267" s="42">
        <f>'[1]побудинковий звіт'!J267+'[2]побудинковий звіт'!J267-'[3]побудинковий звіт'!J267</f>
        <v>6164.2875252980884</v>
      </c>
      <c r="K267" s="56">
        <f t="shared" si="238"/>
        <v>-15.179581915993367</v>
      </c>
      <c r="L267" s="42">
        <f>'[1]побудинковий звіт'!L267+'[2]побудинковий звіт'!L267-'[3]побудинковий звіт'!L267</f>
        <v>1168.4921735006017</v>
      </c>
      <c r="M267" s="42">
        <f>'[1]побудинковий звіт'!M267+'[2]побудинковий звіт'!M267-'[3]побудинковий звіт'!M267</f>
        <v>1178.9597522796371</v>
      </c>
      <c r="N267" s="56">
        <f t="shared" si="239"/>
        <v>10.467578779035421</v>
      </c>
      <c r="O267" s="42">
        <f>'[1]побудинковий звіт'!O267+'[2]побудинковий звіт'!O267-'[3]побудинковий звіт'!O267</f>
        <v>2579.0400000000004</v>
      </c>
      <c r="P267" s="42">
        <f>'[1]побудинковий звіт'!P267+'[2]побудинковий звіт'!P267-'[3]побудинковий звіт'!P267</f>
        <v>2027.2208774193552</v>
      </c>
      <c r="Q267" s="56">
        <f t="shared" si="240"/>
        <v>-551.81912258064517</v>
      </c>
      <c r="R267" s="42">
        <f>'[1]побудинковий звіт'!R267+'[2]побудинковий звіт'!R267-'[3]побудинковий звіт'!R267</f>
        <v>0</v>
      </c>
      <c r="S267" s="42">
        <f>'[1]побудинковий звіт'!S267+'[2]побудинковий звіт'!S267-'[3]побудинковий звіт'!S267</f>
        <v>0</v>
      </c>
      <c r="T267" s="56">
        <f t="shared" si="241"/>
        <v>0</v>
      </c>
      <c r="U267" s="42">
        <f>'[1]побудинковий звіт'!U267+'[2]побудинковий звіт'!U267-'[3]побудинковий звіт'!U267</f>
        <v>0</v>
      </c>
      <c r="V267" s="42">
        <f>'[1]побудинковий звіт'!V267+'[2]побудинковий звіт'!V267-'[3]побудинковий звіт'!V267</f>
        <v>0</v>
      </c>
      <c r="W267" s="56">
        <f t="shared" si="242"/>
        <v>0</v>
      </c>
      <c r="X267" s="42">
        <f>'[1]побудинковий звіт'!X267+'[2]побудинковий звіт'!X267-'[3]побудинковий звіт'!X267</f>
        <v>3285.2964814571123</v>
      </c>
      <c r="Y267" s="42">
        <f>'[1]побудинковий звіт'!Y267+'[2]побудинковий звіт'!Y267-'[3]побудинковий звіт'!Y267</f>
        <v>2502.2173666490094</v>
      </c>
      <c r="Z267" s="56">
        <f t="shared" si="243"/>
        <v>-783.07911480810299</v>
      </c>
      <c r="AA267" s="42">
        <f>'[1]побудинковий звіт'!AA267+'[2]побудинковий звіт'!AA267-'[3]побудинковий звіт'!AA267</f>
        <v>0</v>
      </c>
      <c r="AB267" s="42">
        <f>'[1]побудинковий звіт'!AB267+'[2]побудинковий звіт'!AB267-'[3]побудинковий звіт'!AB267</f>
        <v>0</v>
      </c>
      <c r="AC267" s="56">
        <f t="shared" si="244"/>
        <v>0</v>
      </c>
      <c r="AD267" s="42">
        <f>'[1]побудинковий звіт'!AD267+'[2]побудинковий звіт'!AD267-'[3]побудинковий звіт'!AD267</f>
        <v>7993.239468171605</v>
      </c>
      <c r="AE267" s="42">
        <f>'[1]побудинковий звіт'!AE267+'[2]побудинковий звіт'!AE267-'[3]побудинковий звіт'!AE267</f>
        <v>7367.7438423336735</v>
      </c>
      <c r="AF267" s="37">
        <f t="shared" si="245"/>
        <v>-625.49562583793158</v>
      </c>
      <c r="AG267" s="87">
        <f t="shared" si="235"/>
        <v>21205.535230343405</v>
      </c>
      <c r="AH267" s="57">
        <f t="shared" si="235"/>
        <v>19240.429363979762</v>
      </c>
      <c r="AI267" s="56">
        <f t="shared" si="246"/>
        <v>-1965.1058663636431</v>
      </c>
      <c r="AJ267" s="42">
        <f>'[1]побудинковий звіт'!AJ267+'[2]побудинковий звіт'!AJ267-'[3]побудинковий звіт'!AJ267</f>
        <v>0</v>
      </c>
      <c r="AK267" s="42">
        <f>'[1]побудинковий звіт'!AK267+'[2]побудинковий звіт'!AK267-'[3]побудинковий звіт'!AK267</f>
        <v>0</v>
      </c>
      <c r="AL267" s="56">
        <f t="shared" si="247"/>
        <v>0</v>
      </c>
      <c r="AM267" s="42">
        <f>'[1]побудинковий звіт'!AM267+'[2]побудинковий звіт'!AM267-'[3]побудинковий звіт'!AM267</f>
        <v>0</v>
      </c>
      <c r="AN267" s="42">
        <f>'[1]побудинковий звіт'!AN267+'[2]побудинковий звіт'!AN267-'[3]побудинковий звіт'!AN267</f>
        <v>0</v>
      </c>
      <c r="AO267" s="56">
        <f t="shared" si="248"/>
        <v>0</v>
      </c>
      <c r="AP267" s="42">
        <f>'[1]побудинковий звіт'!AP267+'[2]побудинковий звіт'!AP267-'[3]побудинковий звіт'!AP267</f>
        <v>4971.8426251916617</v>
      </c>
      <c r="AQ267" s="42">
        <f>'[1]побудинковий звіт'!AQ267+'[2]побудинковий звіт'!AQ267-'[3]побудинковий звіт'!AQ267</f>
        <v>4432.5329881341713</v>
      </c>
      <c r="AR267" s="56">
        <f t="shared" si="249"/>
        <v>-539.30963705749036</v>
      </c>
      <c r="AS267" s="42">
        <f>'[1]побудинковий звіт'!AS267+'[2]побудинковий звіт'!AS267-'[3]побудинковий звіт'!AS267</f>
        <v>22128.324776385038</v>
      </c>
      <c r="AT267" s="42">
        <f>'[1]побудинковий звіт'!AT267+'[2]побудинковий звіт'!AT267-'[3]побудинковий звіт'!AT267</f>
        <v>3814</v>
      </c>
      <c r="AU267" s="58">
        <f t="shared" si="266"/>
        <v>-18314.324776385038</v>
      </c>
      <c r="AV267" s="42">
        <f>'[1]побудинковий звіт'!AV267+'[2]побудинковий звіт'!AV267-'[3]побудинковий звіт'!AV267</f>
        <v>1021.3550171155491</v>
      </c>
      <c r="AW267" s="42">
        <f>'[1]побудинковий звіт'!AW267+'[2]побудинковий звіт'!AW267-'[3]побудинковий звіт'!AW267</f>
        <v>0</v>
      </c>
      <c r="AX267" s="59">
        <f t="shared" si="267"/>
        <v>-1021.3550171155491</v>
      </c>
      <c r="AY267" s="42">
        <f>'[1]побудинковий звіт'!AY267+'[2]побудинковий звіт'!AY267-'[3]побудинковий звіт'!AY267</f>
        <v>1506.0041246316141</v>
      </c>
      <c r="AZ267" s="42">
        <f>'[1]побудинковий звіт'!AZ267+'[2]побудинковий звіт'!AZ267-'[3]побудинковий звіт'!AZ267</f>
        <v>0</v>
      </c>
      <c r="BA267" s="37">
        <f t="shared" si="268"/>
        <v>-1506.0041246316141</v>
      </c>
      <c r="BB267" s="42">
        <f>'[1]побудинковий звіт'!BB267+'[2]побудинковий звіт'!BB267-'[3]побудинковий звіт'!BB267</f>
        <v>1324.6729239194649</v>
      </c>
      <c r="BC267" s="42">
        <f>'[1]побудинковий звіт'!BC267+'[2]побудинковий звіт'!BC267-'[3]побудинковий звіт'!BC267</f>
        <v>0</v>
      </c>
      <c r="BD267" s="59">
        <f t="shared" si="269"/>
        <v>-1324.6729239194649</v>
      </c>
      <c r="BE267" s="42">
        <f>'[1]побудинковий звіт'!BE267+'[2]побудинковий звіт'!BE267-'[3]побудинковий звіт'!BE267</f>
        <v>0</v>
      </c>
      <c r="BF267" s="42">
        <f>'[1]побудинковий звіт'!BF267+'[2]побудинковий звіт'!BF267-'[3]побудинковий звіт'!BF267</f>
        <v>0</v>
      </c>
      <c r="BG267" s="39">
        <f t="shared" si="270"/>
        <v>0</v>
      </c>
      <c r="BH267" s="42">
        <f>'[1]побудинковий звіт'!BH267+'[2]побудинковий звіт'!BH267-'[3]побудинковий звіт'!BH267</f>
        <v>0</v>
      </c>
      <c r="BI267" s="42">
        <f>'[1]побудинковий звіт'!BI267+'[2]побудинковий звіт'!BI267-'[3]побудинковий звіт'!BI267</f>
        <v>0</v>
      </c>
      <c r="BJ267" s="59">
        <f t="shared" si="271"/>
        <v>0</v>
      </c>
      <c r="BK267" s="42">
        <f>'[1]побудинковий звіт'!BK267+'[2]побудинковий звіт'!BK267-'[3]побудинковий звіт'!BK267</f>
        <v>419.4000674212781</v>
      </c>
      <c r="BL267" s="42">
        <f>'[1]побудинковий звіт'!BL267+'[2]побудинковий звіт'!BL267-'[3]побудинковий звіт'!BL267</f>
        <v>0</v>
      </c>
      <c r="BM267" s="39">
        <f t="shared" si="272"/>
        <v>-419.4000674212781</v>
      </c>
      <c r="BN267" s="42">
        <f>'[1]побудинковий звіт'!BN267+'[2]побудинковий звіт'!BN267-'[3]побудинковий звіт'!BN267</f>
        <v>0</v>
      </c>
      <c r="BO267" s="42">
        <f>'[1]побудинковий звіт'!BO267+'[2]побудинковий звіт'!BO267-'[3]побудинковий звіт'!BO267</f>
        <v>0</v>
      </c>
      <c r="BP267" s="59">
        <f t="shared" si="273"/>
        <v>0</v>
      </c>
      <c r="BQ267" s="87">
        <f t="shared" si="282"/>
        <v>4271.4321330879065</v>
      </c>
      <c r="BR267" s="43">
        <f t="shared" si="283"/>
        <v>0</v>
      </c>
      <c r="BS267" s="59">
        <f t="shared" si="274"/>
        <v>-4271.4321330879065</v>
      </c>
      <c r="BT267" s="42">
        <f>'[1]побудинковий звіт'!BT267+'[2]побудинковий звіт'!BT267-'[3]побудинковий звіт'!BT267</f>
        <v>15795.927283743815</v>
      </c>
      <c r="BU267" s="42">
        <f>'[1]побудинковий звіт'!BU267+'[2]побудинковий звіт'!BU267-'[3]побудинковий звіт'!BU267</f>
        <v>25254.232295458525</v>
      </c>
      <c r="BV267" s="56">
        <f t="shared" si="250"/>
        <v>9458.3050117147104</v>
      </c>
      <c r="BW267" s="42">
        <f>'[1]побудинковий звіт'!BW267+'[2]побудинковий звіт'!BW267-'[3]побудинковий звіт'!BW267</f>
        <v>9033.8853168233418</v>
      </c>
      <c r="BX267" s="42">
        <f>'[1]побудинковий звіт'!BX267+'[2]побудинковий звіт'!BX267-'[3]побудинковий звіт'!BX267</f>
        <v>9436.1596846536031</v>
      </c>
      <c r="BY267" s="56">
        <f t="shared" si="251"/>
        <v>402.27436783026133</v>
      </c>
      <c r="BZ267" s="42">
        <f>'[1]побудинковий звіт'!BZ267+'[2]побудинковий звіт'!BZ267-'[3]побудинковий звіт'!BZ267</f>
        <v>8724.2808397627796</v>
      </c>
      <c r="CA267" s="42">
        <f>'[1]побудинковий звіт'!CA267+'[2]побудинковий звіт'!CA267-'[3]побудинковий звіт'!CA267</f>
        <v>5624.3386819680854</v>
      </c>
      <c r="CB267" s="56">
        <f t="shared" si="252"/>
        <v>-3099.9421577946941</v>
      </c>
      <c r="CC267" s="42">
        <f>'[1]побудинковий звіт'!CC267+'[2]побудинковий звіт'!CC267-'[3]побудинковий звіт'!CC267</f>
        <v>1494.1932955735665</v>
      </c>
      <c r="CD267" s="42">
        <f>'[1]побудинковий звіт'!CD267+'[2]побудинковий звіт'!CD267-'[3]побудинковий звіт'!CD267</f>
        <v>1481.0514430999415</v>
      </c>
      <c r="CE267" s="56">
        <f t="shared" si="253"/>
        <v>-13.141852473625022</v>
      </c>
      <c r="CF267" s="42">
        <f>'[1]побудинковий звіт'!CF267+'[2]побудинковий звіт'!CF267-'[3]побудинковий звіт'!CF267</f>
        <v>183.94425040204894</v>
      </c>
      <c r="CG267" s="42">
        <f>'[1]побудинковий звіт'!CG267+'[2]побудинковий звіт'!CG267-'[3]побудинковий звіт'!CG267</f>
        <v>0</v>
      </c>
      <c r="CH267" s="56">
        <f t="shared" si="254"/>
        <v>-183.94425040204894</v>
      </c>
      <c r="CI267" s="42">
        <f>'[1]побудинковий звіт'!CI267+'[2]побудинковий звіт'!CI267-'[3]побудинковий звіт'!CI267</f>
        <v>3743.5050354384275</v>
      </c>
      <c r="CJ267" s="42">
        <f>'[1]побудинковий звіт'!CJ267+'[2]побудинковий звіт'!CJ267-'[3]побудинковий звіт'!CJ267</f>
        <v>2656.3065658870305</v>
      </c>
      <c r="CK267" s="56">
        <f t="shared" si="255"/>
        <v>-1087.198469551397</v>
      </c>
      <c r="CL267" s="42">
        <f>'[1]побудинковий звіт'!CL267+'[2]побудинковий звіт'!CL267-'[3]побудинковий звіт'!CL267</f>
        <v>0</v>
      </c>
      <c r="CM267" s="42">
        <f>'[1]побудинковий звіт'!CM267+'[2]побудинковий звіт'!CM267-'[3]побудинковий звіт'!CM267</f>
        <v>0</v>
      </c>
      <c r="CN267" s="56">
        <f t="shared" si="256"/>
        <v>0</v>
      </c>
      <c r="CO267" s="42">
        <f t="shared" si="236"/>
        <v>3743.5050354384275</v>
      </c>
      <c r="CP267" s="43">
        <f t="shared" si="257"/>
        <v>2656.3065658870305</v>
      </c>
      <c r="CQ267" s="56">
        <f t="shared" si="258"/>
        <v>-1087.198469551397</v>
      </c>
      <c r="CR267" s="78">
        <f t="shared" si="237"/>
        <v>91552.870786752013</v>
      </c>
      <c r="CS267" s="5">
        <f t="shared" si="237"/>
        <v>71939.05102318112</v>
      </c>
      <c r="CT267" s="56">
        <f t="shared" si="259"/>
        <v>-19613.819763570893</v>
      </c>
      <c r="CU267" s="87">
        <f t="shared" si="260"/>
        <v>109863.44494410242</v>
      </c>
      <c r="CV267" s="70">
        <f t="shared" si="261"/>
        <v>86326.861227817339</v>
      </c>
      <c r="CW267" s="37">
        <f t="shared" si="262"/>
        <v>-23536.58371628508</v>
      </c>
      <c r="CX267" s="42">
        <f>'[1]побудинковий звіт'!CX267+'[2]побудинковий звіт'!CX267-'[3]побудинковий звіт'!CX267</f>
        <v>2246.0450558976372</v>
      </c>
      <c r="CY267" s="42">
        <f>'[1]побудинковий звіт'!CY267+'[2]побудинковий звіт'!CY267-'[3]побудинковий звіт'!CY267</f>
        <v>25782.628772182652</v>
      </c>
      <c r="CZ267" s="56">
        <f t="shared" si="263"/>
        <v>23536.583716285015</v>
      </c>
      <c r="DA267" s="264">
        <f>'[4]побудинковий звіт'!DA267</f>
        <v>-41948.58695790841</v>
      </c>
      <c r="DB267" s="2">
        <v>2</v>
      </c>
      <c r="DC267" s="717">
        <f>'[4]побудинковий звіт'!DC267</f>
        <v>30162.28</v>
      </c>
      <c r="DD267" s="717">
        <f>'[4]побудинковий звіт'!DD267</f>
        <v>0</v>
      </c>
      <c r="DE267" s="717">
        <f>'[4]побудинковий звіт'!DE267</f>
        <v>21581.739999999998</v>
      </c>
      <c r="DF267" s="717">
        <f>'[4]побудинковий звіт'!DF267</f>
        <v>-761.37</v>
      </c>
      <c r="DG267" s="787">
        <v>-6076.4525086939102</v>
      </c>
      <c r="DH267" s="761">
        <f t="shared" si="290"/>
        <v>1345313.8800000006</v>
      </c>
      <c r="DI267" s="784"/>
      <c r="DJ267" s="5"/>
      <c r="DK267" s="317">
        <f>VLOOKUP($A267,ціни!$A$4:$G$401,5)</f>
        <v>5.0443858289526151</v>
      </c>
      <c r="DL267" s="317"/>
      <c r="DM267" s="317">
        <f>VLOOKUP($A267,ціни!$A$4:$G$401,7)</f>
        <v>4.502480217145993</v>
      </c>
      <c r="DN267" s="30">
        <f t="shared" si="284"/>
        <v>28700.941163275118</v>
      </c>
      <c r="DO267" s="30">
        <f t="shared" si="285"/>
        <v>761.36940471938738</v>
      </c>
      <c r="DP267" s="316">
        <f t="shared" si="278"/>
        <v>29462.310567994504</v>
      </c>
      <c r="DQ267" s="104"/>
      <c r="DR267" s="30">
        <f>VLOOKUP(A267,'ДЗ нас '!$A$1:$C$359,2)</f>
        <v>8580.5400000000009</v>
      </c>
      <c r="DS267" s="748">
        <f>VLOOKUP(A267,'ДЗ нежит'!$A$1:$D$153,4,0)</f>
        <v>761.37</v>
      </c>
      <c r="DT267" s="30">
        <f t="shared" si="279"/>
        <v>9341.9100000000017</v>
      </c>
      <c r="DU267" s="257">
        <f>VLOOKUP(A267,'новий кошторис с 01.06'!$A$4:$AI$399,35)*1.2</f>
        <v>9375.0139685634022</v>
      </c>
      <c r="DV267" s="30">
        <f t="shared" si="280"/>
        <v>-33.103968563400485</v>
      </c>
      <c r="DW267" s="930">
        <f>'[5]побудинковий звіт'!DW267+'[6]побудинковий звіт'!DW267</f>
        <v>236</v>
      </c>
      <c r="DY267" s="5">
        <f t="shared" si="286"/>
        <v>31679.708291367533</v>
      </c>
      <c r="DZ267" s="5">
        <f t="shared" si="287"/>
        <v>4576.8</v>
      </c>
      <c r="EA267" s="752">
        <f t="shared" si="291"/>
        <v>20820.37</v>
      </c>
      <c r="EC267" s="592">
        <f t="shared" si="288"/>
        <v>265539.89731662045</v>
      </c>
      <c r="EE267" s="758">
        <v>-3898</v>
      </c>
      <c r="EF267" s="738">
        <f t="shared" si="289"/>
        <v>-9974.4525086939102</v>
      </c>
      <c r="EH267" s="813">
        <v>-20293.555997125815</v>
      </c>
    </row>
    <row r="268" spans="1:138" x14ac:dyDescent="0.3">
      <c r="A268" s="328">
        <v>150000745</v>
      </c>
      <c r="B268" s="44" t="s">
        <v>718</v>
      </c>
      <c r="C268" s="45" t="s">
        <v>1779</v>
      </c>
      <c r="D268" s="45" t="s">
        <v>133</v>
      </c>
      <c r="E268" s="40">
        <f t="shared" si="292"/>
        <v>6720.79</v>
      </c>
      <c r="F268" s="490">
        <v>6720.79</v>
      </c>
      <c r="G268" s="30"/>
      <c r="H268" s="30">
        <v>0</v>
      </c>
      <c r="I268" s="42">
        <f>'[1]побудинковий звіт'!I268+'[2]побудинковий звіт'!I268-'[3]побудинковий звіт'!I268</f>
        <v>0</v>
      </c>
      <c r="J268" s="42">
        <f>'[1]побудинковий звіт'!J268+'[2]побудинковий звіт'!J268-'[3]побудинковий звіт'!J268</f>
        <v>0</v>
      </c>
      <c r="K268" s="56">
        <f t="shared" si="238"/>
        <v>0</v>
      </c>
      <c r="L268" s="42">
        <f>'[1]побудинковий звіт'!L268+'[2]побудинковий звіт'!L268-'[3]побудинковий звіт'!L268</f>
        <v>0</v>
      </c>
      <c r="M268" s="42">
        <f>'[1]побудинковий звіт'!M268+'[2]побудинковий звіт'!M268-'[3]побудинковий звіт'!M268</f>
        <v>0</v>
      </c>
      <c r="N268" s="56">
        <f t="shared" si="239"/>
        <v>0</v>
      </c>
      <c r="O268" s="42">
        <f>'[1]побудинковий звіт'!O268+'[2]побудинковий звіт'!O268-'[3]побудинковий звіт'!O268</f>
        <v>0</v>
      </c>
      <c r="P268" s="42">
        <f>'[1]побудинковий звіт'!P268+'[2]побудинковий звіт'!P268-'[3]побудинковий звіт'!P268</f>
        <v>0</v>
      </c>
      <c r="Q268" s="56">
        <f t="shared" si="240"/>
        <v>0</v>
      </c>
      <c r="R268" s="42">
        <f>'[1]побудинковий звіт'!R268+'[2]побудинковий звіт'!R268-'[3]побудинковий звіт'!R268</f>
        <v>0</v>
      </c>
      <c r="S268" s="42">
        <f>'[1]побудинковий звіт'!S268+'[2]побудинковий звіт'!S268-'[3]побудинковий звіт'!S268</f>
        <v>0</v>
      </c>
      <c r="T268" s="56">
        <f t="shared" si="241"/>
        <v>0</v>
      </c>
      <c r="U268" s="42">
        <f>'[1]побудинковий звіт'!U268+'[2]побудинковий звіт'!U268-'[3]побудинковий звіт'!U268</f>
        <v>0</v>
      </c>
      <c r="V268" s="42">
        <f>'[1]побудинковий звіт'!V268+'[2]побудинковий звіт'!V268-'[3]побудинковий звіт'!V268</f>
        <v>0</v>
      </c>
      <c r="W268" s="56">
        <f t="shared" si="242"/>
        <v>0</v>
      </c>
      <c r="X268" s="42">
        <f>'[1]побудинковий звіт'!X268+'[2]побудинковий звіт'!X268-'[3]побудинковий звіт'!X268</f>
        <v>0</v>
      </c>
      <c r="Y268" s="42">
        <f>'[1]побудинковий звіт'!Y268+'[2]побудинковий звіт'!Y268-'[3]побудинковий звіт'!Y268</f>
        <v>0</v>
      </c>
      <c r="Z268" s="56">
        <f t="shared" si="243"/>
        <v>0</v>
      </c>
      <c r="AA268" s="42">
        <f>'[1]побудинковий звіт'!AA268+'[2]побудинковий звіт'!AA268-'[3]побудинковий звіт'!AA268</f>
        <v>0</v>
      </c>
      <c r="AB268" s="42">
        <f>'[1]побудинковий звіт'!AB268+'[2]побудинковий звіт'!AB268-'[3]побудинковий звіт'!AB268</f>
        <v>0</v>
      </c>
      <c r="AC268" s="56">
        <f t="shared" si="244"/>
        <v>0</v>
      </c>
      <c r="AD268" s="42">
        <f>'[1]побудинковий звіт'!AD268+'[2]побудинковий звіт'!AD268-'[3]побудинковий звіт'!AD268</f>
        <v>0</v>
      </c>
      <c r="AE268" s="42">
        <f>'[1]побудинковий звіт'!AE268+'[2]побудинковий звіт'!AE268-'[3]побудинковий звіт'!AE268</f>
        <v>183.38265487543018</v>
      </c>
      <c r="AF268" s="37">
        <f t="shared" si="245"/>
        <v>183.38265487543018</v>
      </c>
      <c r="AG268" s="87">
        <f t="shared" si="235"/>
        <v>0</v>
      </c>
      <c r="AH268" s="57">
        <f t="shared" si="235"/>
        <v>183.38265487543018</v>
      </c>
      <c r="AI268" s="56">
        <f t="shared" si="246"/>
        <v>183.38265487543018</v>
      </c>
      <c r="AJ268" s="42">
        <f>'[1]побудинковий звіт'!AJ268+'[2]побудинковий звіт'!AJ268-'[3]побудинковий звіт'!AJ268</f>
        <v>0</v>
      </c>
      <c r="AK268" s="42">
        <f>'[1]побудинковий звіт'!AK268+'[2]побудинковий звіт'!AK268-'[3]побудинковий звіт'!AK268</f>
        <v>0</v>
      </c>
      <c r="AL268" s="56">
        <f t="shared" si="247"/>
        <v>0</v>
      </c>
      <c r="AM268" s="42">
        <f>'[1]побудинковий звіт'!AM268+'[2]побудинковий звіт'!AM268-'[3]побудинковий звіт'!AM268</f>
        <v>0</v>
      </c>
      <c r="AN268" s="42">
        <f>'[1]побудинковий звіт'!AN268+'[2]побудинковий звіт'!AN268-'[3]побудинковий звіт'!AN268</f>
        <v>0</v>
      </c>
      <c r="AO268" s="56">
        <f t="shared" si="248"/>
        <v>0</v>
      </c>
      <c r="AP268" s="42">
        <f>'[1]побудинковий звіт'!AP268+'[2]побудинковий звіт'!AP268-'[3]побудинковий звіт'!AP268</f>
        <v>852.31587860428453</v>
      </c>
      <c r="AQ268" s="42">
        <f>'[1]побудинковий звіт'!AQ268+'[2]побудинковий звіт'!AQ268-'[3]побудинковий звіт'!AQ268</f>
        <v>844.98122334670961</v>
      </c>
      <c r="AR268" s="56">
        <f t="shared" si="249"/>
        <v>-7.3346552575749229</v>
      </c>
      <c r="AS268" s="42">
        <f>'[1]побудинковий звіт'!AS268+'[2]побудинковий звіт'!AS268-'[3]побудинковий звіт'!AS268</f>
        <v>2712.7379556368714</v>
      </c>
      <c r="AT268" s="42">
        <f>'[1]побудинковий звіт'!AT268+'[2]побудинковий звіт'!AT268-'[3]побудинковий звіт'!AT268</f>
        <v>546</v>
      </c>
      <c r="AU268" s="58">
        <f t="shared" si="266"/>
        <v>-2166.7379556368714</v>
      </c>
      <c r="AV268" s="42">
        <f>'[1]побудинковий звіт'!AV268+'[2]побудинковий звіт'!AV268-'[3]побудинковий звіт'!AV268</f>
        <v>0</v>
      </c>
      <c r="AW268" s="42">
        <f>'[1]побудинковий звіт'!AW268+'[2]побудинковий звіт'!AW268-'[3]побудинковий звіт'!AW268</f>
        <v>0</v>
      </c>
      <c r="AX268" s="59">
        <f t="shared" si="267"/>
        <v>0</v>
      </c>
      <c r="AY268" s="42">
        <f>'[1]побудинковий звіт'!AY268+'[2]побудинковий звіт'!AY268-'[3]побудинковий звіт'!AY268</f>
        <v>0</v>
      </c>
      <c r="AZ268" s="42">
        <f>'[1]побудинковий звіт'!AZ268+'[2]побудинковий звіт'!AZ268-'[3]побудинковий звіт'!AZ268</f>
        <v>0</v>
      </c>
      <c r="BA268" s="37">
        <f t="shared" si="268"/>
        <v>0</v>
      </c>
      <c r="BB268" s="42">
        <f>'[1]побудинковий звіт'!BB268+'[2]побудинковий звіт'!BB268-'[3]побудинковий звіт'!BB268</f>
        <v>0</v>
      </c>
      <c r="BC268" s="42">
        <f>'[1]побудинковий звіт'!BC268+'[2]побудинковий звіт'!BC268-'[3]побудинковий звіт'!BC268</f>
        <v>0</v>
      </c>
      <c r="BD268" s="59">
        <f t="shared" si="269"/>
        <v>0</v>
      </c>
      <c r="BE268" s="42">
        <f>'[1]побудинковий звіт'!BE268+'[2]побудинковий звіт'!BE268-'[3]побудинковий звіт'!BE268</f>
        <v>0</v>
      </c>
      <c r="BF268" s="42">
        <f>'[1]побудинковий звіт'!BF268+'[2]побудинковий звіт'!BF268-'[3]побудинковий звіт'!BF268</f>
        <v>0</v>
      </c>
      <c r="BG268" s="39">
        <f t="shared" si="270"/>
        <v>0</v>
      </c>
      <c r="BH268" s="42">
        <f>'[1]побудинковий звіт'!BH268+'[2]побудинковий звіт'!BH268-'[3]побудинковий звіт'!BH268</f>
        <v>0</v>
      </c>
      <c r="BI268" s="42">
        <f>'[1]побудинковий звіт'!BI268+'[2]побудинковий звіт'!BI268-'[3]побудинковий звіт'!BI268</f>
        <v>0</v>
      </c>
      <c r="BJ268" s="59">
        <f t="shared" si="271"/>
        <v>0</v>
      </c>
      <c r="BK268" s="42">
        <f>'[1]побудинковий звіт'!BK268+'[2]побудинковий звіт'!BK268-'[3]побудинковий звіт'!BK268</f>
        <v>0</v>
      </c>
      <c r="BL268" s="42">
        <f>'[1]побудинковий звіт'!BL268+'[2]побудинковий звіт'!BL268-'[3]побудинковий звіт'!BL268</f>
        <v>0</v>
      </c>
      <c r="BM268" s="39">
        <f t="shared" si="272"/>
        <v>0</v>
      </c>
      <c r="BN268" s="42">
        <f>'[1]побудинковий звіт'!BN268+'[2]побудинковий звіт'!BN268-'[3]побудинковий звіт'!BN268</f>
        <v>0</v>
      </c>
      <c r="BO268" s="42">
        <f>'[1]побудинковий звіт'!BO268+'[2]побудинковий звіт'!BO268-'[3]побудинковий звіт'!BO268</f>
        <v>0</v>
      </c>
      <c r="BP268" s="59">
        <f t="shared" si="273"/>
        <v>0</v>
      </c>
      <c r="BQ268" s="87">
        <f t="shared" si="282"/>
        <v>0</v>
      </c>
      <c r="BR268" s="43">
        <f t="shared" si="283"/>
        <v>0</v>
      </c>
      <c r="BS268" s="59">
        <f t="shared" si="274"/>
        <v>0</v>
      </c>
      <c r="BT268" s="42">
        <f>'[1]побудинковий звіт'!BT268+'[2]побудинковий звіт'!BT268-'[3]побудинковий звіт'!BT268</f>
        <v>598.17526885493771</v>
      </c>
      <c r="BU268" s="42">
        <f>'[1]побудинковий звіт'!BU268+'[2]побудинковий звіт'!BU268-'[3]побудинковий звіт'!BU268</f>
        <v>2002.658555960533</v>
      </c>
      <c r="BV268" s="56">
        <f t="shared" si="250"/>
        <v>1404.4832871055953</v>
      </c>
      <c r="BW268" s="42">
        <f>'[1]побудинковий звіт'!BW268+'[2]побудинковий звіт'!BW268-'[3]побудинковий звіт'!BW268</f>
        <v>0</v>
      </c>
      <c r="BX268" s="42">
        <f>'[1]побудинковий звіт'!BX268+'[2]побудинковий звіт'!BX268-'[3]побудинковий звіт'!BX268</f>
        <v>8.8683633718294512</v>
      </c>
      <c r="BY268" s="56">
        <f t="shared" si="251"/>
        <v>8.8683633718294512</v>
      </c>
      <c r="BZ268" s="42">
        <f>'[1]побудинковий звіт'!BZ268+'[2]побудинковий звіт'!BZ268-'[3]побудинковий звіт'!BZ268</f>
        <v>0</v>
      </c>
      <c r="CA268" s="42">
        <f>'[1]побудинковий звіт'!CA268+'[2]побудинковий звіт'!CA268-'[3]побудинковий звіт'!CA268</f>
        <v>419.444578799954</v>
      </c>
      <c r="CB268" s="56">
        <f t="shared" si="252"/>
        <v>419.444578799954</v>
      </c>
      <c r="CC268" s="42">
        <f>'[1]побудинковий звіт'!CC268+'[2]побудинковий звіт'!CC268-'[3]побудинковий звіт'!CC268</f>
        <v>0</v>
      </c>
      <c r="CD268" s="42">
        <f>'[1]побудинковий звіт'!CD268+'[2]побудинковий звіт'!CD268-'[3]побудинковий звіт'!CD268</f>
        <v>0</v>
      </c>
      <c r="CE268" s="56">
        <f t="shared" si="253"/>
        <v>0</v>
      </c>
      <c r="CF268" s="42">
        <f>'[1]побудинковий звіт'!CF268+'[2]побудинковий звіт'!CF268-'[3]побудинковий звіт'!CF268</f>
        <v>0</v>
      </c>
      <c r="CG268" s="42">
        <f>'[1]побудинковий звіт'!CG268+'[2]побудинковий звіт'!CG268-'[3]побудинковий звіт'!CG268</f>
        <v>0</v>
      </c>
      <c r="CH268" s="56">
        <f t="shared" si="254"/>
        <v>0</v>
      </c>
      <c r="CI268" s="42">
        <f>'[1]побудинковий звіт'!CI268+'[2]побудинковий звіт'!CI268-'[3]побудинковий звіт'!CI268</f>
        <v>0</v>
      </c>
      <c r="CJ268" s="42">
        <f>'[1]побудинковий звіт'!CJ268+'[2]побудинковий звіт'!CJ268-'[3]побудинковий звіт'!CJ268</f>
        <v>0</v>
      </c>
      <c r="CK268" s="56">
        <f t="shared" si="255"/>
        <v>0</v>
      </c>
      <c r="CL268" s="42">
        <f>'[1]побудинковий звіт'!CL268+'[2]побудинковий звіт'!CL268-'[3]побудинковий звіт'!CL268</f>
        <v>0</v>
      </c>
      <c r="CM268" s="42">
        <f>'[1]побудинковий звіт'!CM268+'[2]побудинковий звіт'!CM268-'[3]побудинковий звіт'!CM268</f>
        <v>0</v>
      </c>
      <c r="CN268" s="56">
        <f t="shared" si="256"/>
        <v>0</v>
      </c>
      <c r="CO268" s="42">
        <f t="shared" si="236"/>
        <v>0</v>
      </c>
      <c r="CP268" s="43">
        <f t="shared" si="257"/>
        <v>0</v>
      </c>
      <c r="CQ268" s="56">
        <f t="shared" si="258"/>
        <v>0</v>
      </c>
      <c r="CR268" s="78">
        <f t="shared" si="237"/>
        <v>4163.2291030960932</v>
      </c>
      <c r="CS268" s="5">
        <f t="shared" si="237"/>
        <v>4005.3353763544565</v>
      </c>
      <c r="CT268" s="56">
        <f t="shared" si="259"/>
        <v>-157.89372674163678</v>
      </c>
      <c r="CU268" s="87">
        <f t="shared" si="260"/>
        <v>4995.8749237153115</v>
      </c>
      <c r="CV268" s="70">
        <f t="shared" si="261"/>
        <v>4806.4024516253476</v>
      </c>
      <c r="CW268" s="37">
        <f t="shared" si="262"/>
        <v>-189.47247208996396</v>
      </c>
      <c r="CX268" s="42">
        <f>'[1]побудинковий звіт'!CX268+'[2]побудинковий звіт'!CX268-'[3]побудинковий звіт'!CX268</f>
        <v>125.00507628468699</v>
      </c>
      <c r="CY268" s="42">
        <f>'[1]побудинковий звіт'!CY268+'[2]побудинковий звіт'!CY268-'[3]побудинковий звіт'!CY268</f>
        <v>314.47754837465243</v>
      </c>
      <c r="CZ268" s="56">
        <f t="shared" si="263"/>
        <v>189.47247208996544</v>
      </c>
      <c r="DA268" s="264">
        <f>'[4]побудинковий звіт'!DA268</f>
        <v>-5373.0822216086817</v>
      </c>
      <c r="DB268" s="2">
        <v>2</v>
      </c>
      <c r="DC268" s="717">
        <f>'[4]побудинковий звіт'!DC268</f>
        <v>2379.0500000000002</v>
      </c>
      <c r="DD268" s="717">
        <f>'[4]побудинковий звіт'!DD268</f>
        <v>0</v>
      </c>
      <c r="DE268" s="717">
        <f>'[4]побудинковий звіт'!DE268</f>
        <v>1952.3100000000002</v>
      </c>
      <c r="DF268" s="717">
        <f>'[4]побудинковий звіт'!DF268</f>
        <v>0</v>
      </c>
      <c r="DG268" s="787">
        <v>-4396.0452857463006</v>
      </c>
      <c r="DH268" s="761">
        <f t="shared" si="290"/>
        <v>61450.559999999983</v>
      </c>
      <c r="DI268" s="784"/>
      <c r="DJ268" s="5"/>
      <c r="DK268" s="317">
        <f>VLOOKUP($A268,ціни!$A$4:$G$401,5)</f>
        <v>1.5500580569100968</v>
      </c>
      <c r="DL268" s="317"/>
      <c r="DM268" s="317">
        <f>VLOOKUP($A268,ціни!$A$4:$G$401,7)</f>
        <v>1.5500580569100968</v>
      </c>
      <c r="DN268" s="30">
        <f t="shared" si="284"/>
        <v>10417.61468830081</v>
      </c>
      <c r="DO268" s="30">
        <f t="shared" si="285"/>
        <v>0</v>
      </c>
      <c r="DP268" s="316">
        <f t="shared" si="278"/>
        <v>10417.61468830081</v>
      </c>
      <c r="DQ268" s="104"/>
      <c r="DR268" s="30">
        <f>VLOOKUP(A268,'ДЗ нас '!$A$1:$C$359,2)</f>
        <v>426.74</v>
      </c>
      <c r="DS268" s="748"/>
      <c r="DT268" s="30">
        <f t="shared" si="279"/>
        <v>426.74</v>
      </c>
      <c r="DU268" s="257">
        <f>VLOOKUP(A268,'новий кошторис с 01.06'!$A$4:$AI$399,35)*1.2</f>
        <v>428.81259761889771</v>
      </c>
      <c r="DV268" s="30">
        <f t="shared" si="280"/>
        <v>-2.0725976188977029</v>
      </c>
      <c r="DW268" s="930">
        <f>'[5]побудинковий звіт'!DW268+'[6]побудинковий звіт'!DW268</f>
        <v>0</v>
      </c>
      <c r="DY268" s="5">
        <f t="shared" si="286"/>
        <v>3255.2855467642457</v>
      </c>
      <c r="DZ268" s="5">
        <f t="shared" si="287"/>
        <v>655.19999999999993</v>
      </c>
      <c r="EA268" s="752">
        <f t="shared" si="291"/>
        <v>1952.3100000000002</v>
      </c>
      <c r="EC268" s="592">
        <f t="shared" si="288"/>
        <v>32552.855467642457</v>
      </c>
      <c r="EE268" s="758">
        <v>-2754</v>
      </c>
      <c r="EF268" s="738">
        <f t="shared" si="289"/>
        <v>-7150.0452857463006</v>
      </c>
      <c r="EH268" s="813">
        <v>-4847.4402670303189</v>
      </c>
    </row>
    <row r="269" spans="1:138" ht="13.95" customHeight="1" x14ac:dyDescent="0.3">
      <c r="A269" s="328">
        <v>150001094</v>
      </c>
      <c r="B269" s="44" t="s">
        <v>719</v>
      </c>
      <c r="C269" s="45" t="s">
        <v>185</v>
      </c>
      <c r="D269" s="45" t="s">
        <v>185</v>
      </c>
      <c r="E269" s="40">
        <f t="shared" si="292"/>
        <v>2823.8</v>
      </c>
      <c r="F269" s="490">
        <v>2823.8</v>
      </c>
      <c r="G269" s="30"/>
      <c r="H269" s="30">
        <v>0</v>
      </c>
      <c r="I269" s="42">
        <f>'[1]побудинковий звіт'!I269+'[2]побудинковий звіт'!I269-'[3]побудинковий звіт'!I269</f>
        <v>0</v>
      </c>
      <c r="J269" s="42">
        <f>'[1]побудинковий звіт'!J269+'[2]побудинковий звіт'!J269-'[3]побудинковий звіт'!J269</f>
        <v>0</v>
      </c>
      <c r="K269" s="56">
        <f t="shared" si="238"/>
        <v>0</v>
      </c>
      <c r="L269" s="42">
        <f>'[1]побудинковий звіт'!L269+'[2]побудинковий звіт'!L269-'[3]побудинковий звіт'!L269</f>
        <v>0</v>
      </c>
      <c r="M269" s="42">
        <f>'[1]побудинковий звіт'!M269+'[2]побудинковий звіт'!M269-'[3]побудинковий звіт'!M269</f>
        <v>0</v>
      </c>
      <c r="N269" s="56">
        <f t="shared" si="239"/>
        <v>0</v>
      </c>
      <c r="O269" s="42">
        <f>'[1]побудинковий звіт'!O269+'[2]побудинковий звіт'!O269-'[3]побудинковий звіт'!O269</f>
        <v>0</v>
      </c>
      <c r="P269" s="42">
        <f>'[1]побудинковий звіт'!P269+'[2]побудинковий звіт'!P269-'[3]побудинковий звіт'!P269</f>
        <v>0</v>
      </c>
      <c r="Q269" s="56">
        <f t="shared" si="240"/>
        <v>0</v>
      </c>
      <c r="R269" s="42">
        <f>'[1]побудинковий звіт'!R269+'[2]побудинковий звіт'!R269-'[3]побудинковий звіт'!R269</f>
        <v>0</v>
      </c>
      <c r="S269" s="42">
        <f>'[1]побудинковий звіт'!S269+'[2]побудинковий звіт'!S269-'[3]побудинковий звіт'!S269</f>
        <v>0</v>
      </c>
      <c r="T269" s="56">
        <f t="shared" si="241"/>
        <v>0</v>
      </c>
      <c r="U269" s="42">
        <f>'[1]побудинковий звіт'!U269+'[2]побудинковий звіт'!U269-'[3]побудинковий звіт'!U269</f>
        <v>0</v>
      </c>
      <c r="V269" s="42">
        <f>'[1]побудинковий звіт'!V269+'[2]побудинковий звіт'!V269-'[3]побудинковий звіт'!V269</f>
        <v>0</v>
      </c>
      <c r="W269" s="56">
        <f t="shared" si="242"/>
        <v>0</v>
      </c>
      <c r="X269" s="42">
        <f>'[1]побудинковий звіт'!X269+'[2]побудинковий звіт'!X269-'[3]побудинковий звіт'!X269</f>
        <v>496.71169409021098</v>
      </c>
      <c r="Y269" s="42">
        <f>'[1]побудинковий звіт'!Y269+'[2]побудинковий звіт'!Y269-'[3]побудинковий звіт'!Y269</f>
        <v>289.33153846611629</v>
      </c>
      <c r="Z269" s="56">
        <f t="shared" si="243"/>
        <v>-207.3801556240947</v>
      </c>
      <c r="AA269" s="42">
        <f>'[1]побудинковий звіт'!AA269+'[2]побудинковий звіт'!AA269-'[3]побудинковий звіт'!AA269</f>
        <v>0</v>
      </c>
      <c r="AB269" s="42">
        <f>'[1]побудинковий звіт'!AB269+'[2]побудинковий звіт'!AB269-'[3]побудинковий звіт'!AB269</f>
        <v>0</v>
      </c>
      <c r="AC269" s="56">
        <f t="shared" si="244"/>
        <v>0</v>
      </c>
      <c r="AD269" s="42">
        <f>'[1]побудинковий звіт'!AD269+'[2]побудинковий звіт'!AD269-'[3]побудинковий звіт'!AD269</f>
        <v>1303.7010344739074</v>
      </c>
      <c r="AE269" s="42">
        <f>'[1]побудинковий звіт'!AE269+'[2]побудинковий звіт'!AE269-'[3]побудинковий звіт'!AE269</f>
        <v>1206.5667675966258</v>
      </c>
      <c r="AF269" s="37">
        <f t="shared" si="245"/>
        <v>-97.134266877281561</v>
      </c>
      <c r="AG269" s="87">
        <f t="shared" si="235"/>
        <v>1800.4127285641184</v>
      </c>
      <c r="AH269" s="57">
        <f t="shared" si="235"/>
        <v>1495.898306062742</v>
      </c>
      <c r="AI269" s="56">
        <f t="shared" si="246"/>
        <v>-304.51442250137643</v>
      </c>
      <c r="AJ269" s="42">
        <f>'[1]побудинковий звіт'!AJ269+'[2]побудинковий звіт'!AJ269-'[3]побудинковий звіт'!AJ269</f>
        <v>0</v>
      </c>
      <c r="AK269" s="42">
        <f>'[1]побудинковий звіт'!AK269+'[2]побудинковий звіт'!AK269-'[3]побудинковий звіт'!AK269</f>
        <v>0</v>
      </c>
      <c r="AL269" s="56">
        <f t="shared" si="247"/>
        <v>0</v>
      </c>
      <c r="AM269" s="42">
        <f>'[1]побудинковий звіт'!AM269+'[2]побудинковий звіт'!AM269-'[3]побудинковий звіт'!AM269</f>
        <v>0</v>
      </c>
      <c r="AN269" s="42">
        <f>'[1]побудинковий звіт'!AN269+'[2]побудинковий звіт'!AN269-'[3]побудинковий звіт'!AN269</f>
        <v>0</v>
      </c>
      <c r="AO269" s="56">
        <f t="shared" si="248"/>
        <v>0</v>
      </c>
      <c r="AP269" s="42">
        <f>'[1]побудинковий звіт'!AP269+'[2]побудинковий звіт'!AP269-'[3]побудинковий звіт'!AP269</f>
        <v>0</v>
      </c>
      <c r="AQ269" s="42">
        <f>'[1]побудинковий звіт'!AQ269+'[2]побудинковий звіт'!AQ269-'[3]побудинковий звіт'!AQ269</f>
        <v>0</v>
      </c>
      <c r="AR269" s="56">
        <f t="shared" si="249"/>
        <v>0</v>
      </c>
      <c r="AS269" s="42">
        <f>'[1]побудинковий звіт'!AS269+'[2]побудинковий звіт'!AS269-'[3]побудинковий звіт'!AS269</f>
        <v>5080.8618426359717</v>
      </c>
      <c r="AT269" s="42">
        <f>'[1]побудинковий звіт'!AT269+'[2]побудинковий звіт'!AT269-'[3]побудинковий звіт'!AT269</f>
        <v>39459</v>
      </c>
      <c r="AU269" s="58">
        <f t="shared" si="266"/>
        <v>34378.138157364025</v>
      </c>
      <c r="AV269" s="42">
        <f>'[1]побудинковий звіт'!AV269+'[2]побудинковий звіт'!AV269-'[3]побудинковий звіт'!AV269</f>
        <v>0</v>
      </c>
      <c r="AW269" s="42">
        <f>'[1]побудинковий звіт'!AW269+'[2]побудинковий звіт'!AW269-'[3]побудинковий звіт'!AW269</f>
        <v>0</v>
      </c>
      <c r="AX269" s="59">
        <f t="shared" si="267"/>
        <v>0</v>
      </c>
      <c r="AY269" s="42">
        <f>'[1]побудинковий звіт'!AY269+'[2]побудинковий звіт'!AY269-'[3]побудинковий звіт'!AY269</f>
        <v>0</v>
      </c>
      <c r="AZ269" s="42">
        <f>'[1]побудинковий звіт'!AZ269+'[2]побудинковий звіт'!AZ269-'[3]побудинковий звіт'!AZ269</f>
        <v>0</v>
      </c>
      <c r="BA269" s="37">
        <f t="shared" si="268"/>
        <v>0</v>
      </c>
      <c r="BB269" s="42">
        <f>'[1]побудинковий звіт'!BB269+'[2]побудинковий звіт'!BB269-'[3]побудинковий звіт'!BB269</f>
        <v>0</v>
      </c>
      <c r="BC269" s="42">
        <f>'[1]побудинковий звіт'!BC269+'[2]побудинковий звіт'!BC269-'[3]побудинковий звіт'!BC269</f>
        <v>0</v>
      </c>
      <c r="BD269" s="59">
        <f t="shared" si="269"/>
        <v>0</v>
      </c>
      <c r="BE269" s="42">
        <f>'[1]побудинковий звіт'!BE269+'[2]побудинковий звіт'!BE269-'[3]побудинковий звіт'!BE269</f>
        <v>0</v>
      </c>
      <c r="BF269" s="42">
        <f>'[1]побудинковий звіт'!BF269+'[2]побудинковий звіт'!BF269-'[3]побудинковий звіт'!BF269</f>
        <v>0</v>
      </c>
      <c r="BG269" s="39">
        <f t="shared" si="270"/>
        <v>0</v>
      </c>
      <c r="BH269" s="42">
        <f>'[1]побудинковий звіт'!BH269+'[2]побудинковий звіт'!BH269-'[3]побудинковий звіт'!BH269</f>
        <v>0</v>
      </c>
      <c r="BI269" s="42">
        <f>'[1]побудинковий звіт'!BI269+'[2]побудинковий звіт'!BI269-'[3]побудинковий звіт'!BI269</f>
        <v>0</v>
      </c>
      <c r="BJ269" s="59">
        <f t="shared" si="271"/>
        <v>0</v>
      </c>
      <c r="BK269" s="42">
        <f>'[1]побудинковий звіт'!BK269+'[2]побудинковий звіт'!BK269-'[3]побудинковий звіт'!BK269</f>
        <v>138.35105058558756</v>
      </c>
      <c r="BL269" s="42">
        <f>'[1]побудинковий звіт'!BL269+'[2]побудинковий звіт'!BL269-'[3]побудинковий звіт'!BL269</f>
        <v>0</v>
      </c>
      <c r="BM269" s="39">
        <f t="shared" si="272"/>
        <v>-138.35105058558756</v>
      </c>
      <c r="BN269" s="42">
        <f>'[1]побудинковий звіт'!BN269+'[2]побудинковий звіт'!BN269-'[3]побудинковий звіт'!BN269</f>
        <v>0</v>
      </c>
      <c r="BO269" s="42">
        <f>'[1]побудинковий звіт'!BO269+'[2]побудинковий звіт'!BO269-'[3]побудинковий звіт'!BO269</f>
        <v>0</v>
      </c>
      <c r="BP269" s="59">
        <f t="shared" si="273"/>
        <v>0</v>
      </c>
      <c r="BQ269" s="87">
        <f t="shared" si="282"/>
        <v>138.35105058558756</v>
      </c>
      <c r="BR269" s="43">
        <f t="shared" si="283"/>
        <v>0</v>
      </c>
      <c r="BS269" s="59">
        <f t="shared" si="274"/>
        <v>-138.35105058558756</v>
      </c>
      <c r="BT269" s="42">
        <f>'[1]побудинковий звіт'!BT269+'[2]побудинковий звіт'!BT269-'[3]побудинковий звіт'!BT269</f>
        <v>0</v>
      </c>
      <c r="BU269" s="42">
        <f>'[1]побудинковий звіт'!BU269+'[2]побудинковий звіт'!BU269-'[3]побудинковий звіт'!BU269</f>
        <v>0</v>
      </c>
      <c r="BV269" s="56">
        <f t="shared" si="250"/>
        <v>0</v>
      </c>
      <c r="BW269" s="42">
        <f>'[1]побудинковий звіт'!BW269+'[2]побудинковий звіт'!BW269-'[3]побудинковий звіт'!BW269</f>
        <v>233.77789945066624</v>
      </c>
      <c r="BX269" s="42">
        <f>'[1]побудинковий звіт'!BX269+'[2]побудинковий звіт'!BX269-'[3]побудинковий звіт'!BX269</f>
        <v>9.851108373702953</v>
      </c>
      <c r="BY269" s="56">
        <f t="shared" si="251"/>
        <v>-223.9267910769633</v>
      </c>
      <c r="BZ269" s="42">
        <f>'[1]побудинковий звіт'!BZ269+'[2]побудинковий звіт'!BZ269-'[3]побудинковий звіт'!BZ269</f>
        <v>0</v>
      </c>
      <c r="CA269" s="42">
        <f>'[1]побудинковий звіт'!CA269+'[2]побудинковий звіт'!CA269-'[3]побудинковий звіт'!CA269</f>
        <v>0</v>
      </c>
      <c r="CB269" s="56">
        <f t="shared" si="252"/>
        <v>0</v>
      </c>
      <c r="CC269" s="42">
        <f>'[1]побудинковий звіт'!CC269+'[2]побудинковий звіт'!CC269-'[3]побудинковий звіт'!CC269</f>
        <v>0</v>
      </c>
      <c r="CD269" s="42">
        <f>'[1]побудинковий звіт'!CD269+'[2]побудинковий звіт'!CD269-'[3]побудинковий звіт'!CD269</f>
        <v>0</v>
      </c>
      <c r="CE269" s="56">
        <f t="shared" si="253"/>
        <v>0</v>
      </c>
      <c r="CF269" s="42">
        <f>'[1]побудинковий звіт'!CF269+'[2]побудинковий звіт'!CF269-'[3]побудинковий звіт'!CF269</f>
        <v>0</v>
      </c>
      <c r="CG269" s="42">
        <f>'[1]побудинковий звіт'!CG269+'[2]побудинковий звіт'!CG269-'[3]побудинковий звіт'!CG269</f>
        <v>0</v>
      </c>
      <c r="CH269" s="56">
        <f t="shared" si="254"/>
        <v>0</v>
      </c>
      <c r="CI269" s="42">
        <f>'[1]побудинковий звіт'!CI269+'[2]побудинковий звіт'!CI269-'[3]побудинковий звіт'!CI269</f>
        <v>93.587625885960676</v>
      </c>
      <c r="CJ269" s="42">
        <f>'[1]побудинковий звіт'!CJ269+'[2]побудинковий звіт'!CJ269-'[3]побудинковий звіт'!CJ269</f>
        <v>234.40287579437594</v>
      </c>
      <c r="CK269" s="56">
        <f t="shared" si="255"/>
        <v>140.81524990841527</v>
      </c>
      <c r="CL269" s="42">
        <f>'[1]побудинковий звіт'!CL269+'[2]побудинковий звіт'!CL269-'[3]побудинковий звіт'!CL269</f>
        <v>0</v>
      </c>
      <c r="CM269" s="42">
        <f>'[1]побудинковий звіт'!CM269+'[2]побудинковий звіт'!CM269-'[3]побудинковий звіт'!CM269</f>
        <v>0</v>
      </c>
      <c r="CN269" s="56">
        <f t="shared" si="256"/>
        <v>0</v>
      </c>
      <c r="CO269" s="42">
        <f t="shared" si="236"/>
        <v>93.587625885960676</v>
      </c>
      <c r="CP269" s="43">
        <f t="shared" si="257"/>
        <v>234.40287579437594</v>
      </c>
      <c r="CQ269" s="56">
        <f t="shared" si="258"/>
        <v>140.81524990841527</v>
      </c>
      <c r="CR269" s="78">
        <f t="shared" si="237"/>
        <v>7346.9911471223049</v>
      </c>
      <c r="CS269" s="5">
        <f t="shared" si="237"/>
        <v>41199.152290230821</v>
      </c>
      <c r="CT269" s="56">
        <f t="shared" si="259"/>
        <v>33852.161143108518</v>
      </c>
      <c r="CU269" s="87">
        <f t="shared" si="260"/>
        <v>8816.3893765467656</v>
      </c>
      <c r="CV269" s="70">
        <f t="shared" si="261"/>
        <v>49438.982748276983</v>
      </c>
      <c r="CW269" s="37">
        <f t="shared" si="262"/>
        <v>40622.593371730218</v>
      </c>
      <c r="CX269" s="42">
        <f>'[1]побудинковий звіт'!CX269+'[2]побудинковий звіт'!CX269-'[3]побудинковий звіт'!CX269</f>
        <v>650.1706234532362</v>
      </c>
      <c r="CY269" s="42">
        <f>'[1]побудинковий звіт'!CY269+'[2]побудинковий звіт'!CY269-'[3]побудинковий звіт'!CY269</f>
        <v>-39972.422748277007</v>
      </c>
      <c r="CZ269" s="56">
        <f t="shared" si="263"/>
        <v>-40622.593371730247</v>
      </c>
      <c r="DA269" s="264">
        <f>'[4]побудинковий звіт'!DA269</f>
        <v>30555.690885501179</v>
      </c>
      <c r="DB269" s="2">
        <v>1</v>
      </c>
      <c r="DC269" s="717">
        <f>'[4]побудинковий звіт'!DC269</f>
        <v>788.88</v>
      </c>
      <c r="DD269" s="717">
        <f>'[4]побудинковий звіт'!DD269</f>
        <v>0</v>
      </c>
      <c r="DE269" s="717">
        <f>'[4]побудинковий звіт'!DE269</f>
        <v>0</v>
      </c>
      <c r="DF269" s="717">
        <f>'[4]побудинковий звіт'!DF269</f>
        <v>0</v>
      </c>
      <c r="DG269" s="787">
        <v>-11644.458671334247</v>
      </c>
      <c r="DH269" s="761">
        <f t="shared" si="290"/>
        <v>113598.72000000002</v>
      </c>
      <c r="DI269" s="784"/>
      <c r="DJ269" s="5"/>
      <c r="DK269" s="317">
        <f>VLOOKUP($A269,ціни!$A$4:$G$401,5)</f>
        <v>2.4698805922598757</v>
      </c>
      <c r="DL269" s="317"/>
      <c r="DM269" s="317">
        <f>VLOOKUP($A269,ціни!$A$4:$G$401,7)</f>
        <v>2.391290120978494</v>
      </c>
      <c r="DN269" s="30">
        <f t="shared" si="284"/>
        <v>6974.4488164234372</v>
      </c>
      <c r="DO269" s="30">
        <f t="shared" si="285"/>
        <v>0</v>
      </c>
      <c r="DP269" s="316">
        <f t="shared" si="278"/>
        <v>6974.4488164234372</v>
      </c>
      <c r="DQ269" s="104"/>
      <c r="DR269" s="30">
        <f>VLOOKUP(A269,'ДЗ нас '!$A$1:$C$359,2)</f>
        <v>788.88</v>
      </c>
      <c r="DS269" s="748"/>
      <c r="DT269" s="30">
        <f t="shared" si="279"/>
        <v>788.88</v>
      </c>
      <c r="DU269" s="257">
        <f>VLOOKUP(A269,'новий кошторис с 01.06'!$A$4:$AI$399,35)*1.2</f>
        <v>756.74008815359718</v>
      </c>
      <c r="DV269" s="30">
        <f t="shared" si="280"/>
        <v>32.139911846402811</v>
      </c>
      <c r="DW269" s="930">
        <f>'[5]побудинковий звіт'!DW269+'[6]побудинковий звіт'!DW269</f>
        <v>0</v>
      </c>
      <c r="DY269" s="5">
        <f t="shared" si="286"/>
        <v>6263.0554718658705</v>
      </c>
      <c r="DZ269" s="5">
        <f t="shared" si="287"/>
        <v>47350.799999999996</v>
      </c>
      <c r="EA269" s="752">
        <f t="shared" si="291"/>
        <v>0</v>
      </c>
      <c r="EC269" s="592">
        <f t="shared" si="288"/>
        <v>60970.34211163166</v>
      </c>
      <c r="EE269" s="758">
        <v>5468</v>
      </c>
      <c r="EF269" s="738">
        <f t="shared" si="289"/>
        <v>-6176.4586713342469</v>
      </c>
      <c r="EH269" s="813">
        <v>-11207.849980993706</v>
      </c>
    </row>
    <row r="270" spans="1:138" x14ac:dyDescent="0.3">
      <c r="A270" s="328">
        <v>150000795</v>
      </c>
      <c r="B270" s="44" t="s">
        <v>721</v>
      </c>
      <c r="C270" s="45" t="s">
        <v>291</v>
      </c>
      <c r="D270" s="45" t="s">
        <v>291</v>
      </c>
      <c r="E270" s="40">
        <f t="shared" si="292"/>
        <v>2653.7</v>
      </c>
      <c r="F270" s="490">
        <v>2653.7</v>
      </c>
      <c r="G270" s="30"/>
      <c r="H270" s="30">
        <v>0</v>
      </c>
      <c r="I270" s="42">
        <f>'[1]побудинковий звіт'!I270+'[2]побудинковий звіт'!I270-'[3]побудинковий звіт'!I270</f>
        <v>10557.819091454143</v>
      </c>
      <c r="J270" s="42">
        <f>'[1]побудинковий звіт'!J270+'[2]побудинковий звіт'!J270-'[3]побудинковий звіт'!J270</f>
        <v>9615.1110605918784</v>
      </c>
      <c r="K270" s="56">
        <f t="shared" si="238"/>
        <v>-942.70803086226442</v>
      </c>
      <c r="L270" s="42">
        <f>'[1]побудинковий звіт'!L270+'[2]побудинковий звіт'!L270-'[3]побудинковий звіт'!L270</f>
        <v>1994.6359706671178</v>
      </c>
      <c r="M270" s="42">
        <f>'[1]побудинковий звіт'!M270+'[2]побудинковий звіт'!M270-'[3]побудинковий звіт'!M270</f>
        <v>1909.9197782193564</v>
      </c>
      <c r="N270" s="56">
        <f t="shared" si="239"/>
        <v>-84.716192447761387</v>
      </c>
      <c r="O270" s="42">
        <f>'[1]побудинковий звіт'!O270+'[2]побудинковий звіт'!O270-'[3]побудинковий звіт'!O270</f>
        <v>0</v>
      </c>
      <c r="P270" s="42">
        <f>'[1]побудинковий звіт'!P270+'[2]побудинковий звіт'!P270-'[3]побудинковий звіт'!P270</f>
        <v>0</v>
      </c>
      <c r="Q270" s="56">
        <f t="shared" si="240"/>
        <v>0</v>
      </c>
      <c r="R270" s="42">
        <f>'[1]побудинковий звіт'!R270+'[2]побудинковий звіт'!R270-'[3]побудинковий звіт'!R270</f>
        <v>0</v>
      </c>
      <c r="S270" s="42">
        <f>'[1]побудинковий звіт'!S270+'[2]побудинковий звіт'!S270-'[3]побудинковий звіт'!S270</f>
        <v>0</v>
      </c>
      <c r="T270" s="56">
        <f t="shared" si="241"/>
        <v>0</v>
      </c>
      <c r="U270" s="42">
        <f>'[1]побудинковий звіт'!U270+'[2]побудинковий звіт'!U270-'[3]побудинковий звіт'!U270</f>
        <v>0</v>
      </c>
      <c r="V270" s="42">
        <f>'[1]побудинковий звіт'!V270+'[2]побудинковий звіт'!V270-'[3]побудинковий звіт'!V270</f>
        <v>0</v>
      </c>
      <c r="W270" s="56">
        <f t="shared" si="242"/>
        <v>0</v>
      </c>
      <c r="X270" s="42">
        <f>'[1]побудинковий звіт'!X270+'[2]побудинковий звіт'!X270-'[3]побудинковий звіт'!X270</f>
        <v>7091.9799450983883</v>
      </c>
      <c r="Y270" s="42">
        <f>'[1]побудинковий звіт'!Y270+'[2]побудинковий звіт'!Y270-'[3]побудинковий звіт'!Y270</f>
        <v>6123.8806540911319</v>
      </c>
      <c r="Z270" s="56">
        <f t="shared" si="243"/>
        <v>-968.0992910072564</v>
      </c>
      <c r="AA270" s="42">
        <f>'[1]побудинковий звіт'!AA270+'[2]побудинковий звіт'!AA270-'[3]побудинковий звіт'!AA270</f>
        <v>0</v>
      </c>
      <c r="AB270" s="42">
        <f>'[1]побудинковий звіт'!AB270+'[2]побудинковий звіт'!AB270-'[3]побудинковий звіт'!AB270</f>
        <v>0</v>
      </c>
      <c r="AC270" s="56">
        <f t="shared" si="244"/>
        <v>0</v>
      </c>
      <c r="AD270" s="42">
        <f>'[1]побудинковий звіт'!AD270+'[2]побудинковий звіт'!AD270-'[3]побудинковий звіт'!AD270</f>
        <v>11810.872894277485</v>
      </c>
      <c r="AE270" s="42">
        <f>'[1]побудинковий звіт'!AE270+'[2]побудинковий звіт'!AE270-'[3]побудинковий звіт'!AE270</f>
        <v>10886.023374589955</v>
      </c>
      <c r="AF270" s="37">
        <f t="shared" si="245"/>
        <v>-924.84951968753012</v>
      </c>
      <c r="AG270" s="87">
        <f t="shared" ref="AG270:AH325" si="293">I270+L270+O270+R270+U270+X270+AA270+AD270</f>
        <v>31455.30790149713</v>
      </c>
      <c r="AH270" s="57">
        <f t="shared" si="293"/>
        <v>28534.934867492324</v>
      </c>
      <c r="AI270" s="56">
        <f t="shared" si="246"/>
        <v>-2920.373034004806</v>
      </c>
      <c r="AJ270" s="42">
        <f>'[1]побудинковий звіт'!AJ270+'[2]побудинковий звіт'!AJ270-'[3]побудинковий звіт'!AJ270</f>
        <v>0</v>
      </c>
      <c r="AK270" s="42">
        <f>'[1]побудинковий звіт'!AK270+'[2]побудинковий звіт'!AK270-'[3]побудинковий звіт'!AK270</f>
        <v>0</v>
      </c>
      <c r="AL270" s="56">
        <f t="shared" si="247"/>
        <v>0</v>
      </c>
      <c r="AM270" s="42">
        <f>'[1]побудинковий звіт'!AM270+'[2]побудинковий звіт'!AM270-'[3]побудинковий звіт'!AM270</f>
        <v>0</v>
      </c>
      <c r="AN270" s="42">
        <f>'[1]побудинковий звіт'!AN270+'[2]побудинковий звіт'!AN270-'[3]побудинковий звіт'!AN270</f>
        <v>0</v>
      </c>
      <c r="AO270" s="56">
        <f t="shared" si="248"/>
        <v>0</v>
      </c>
      <c r="AP270" s="42">
        <f>'[1]побудинковий звіт'!AP270+'[2]побудинковий звіт'!AP270-'[3]побудинковий звіт'!AP270</f>
        <v>2841.0529286809497</v>
      </c>
      <c r="AQ270" s="42">
        <f>'[1]побудинковий звіт'!AQ270+'[2]побудинковий звіт'!AQ270-'[3]побудинковий звіт'!AQ270</f>
        <v>2719.7402455979723</v>
      </c>
      <c r="AR270" s="56">
        <f t="shared" si="249"/>
        <v>-121.3126830829774</v>
      </c>
      <c r="AS270" s="42">
        <f>'[1]побудинковий звіт'!AS270+'[2]побудинковий звіт'!AS270-'[3]побудинковий звіт'!AS270</f>
        <v>37124.116289866673</v>
      </c>
      <c r="AT270" s="42">
        <f>'[1]побудинковий звіт'!AT270+'[2]побудинковий звіт'!AT270-'[3]побудинковий звіт'!AT270</f>
        <v>67223</v>
      </c>
      <c r="AU270" s="58">
        <f t="shared" si="266"/>
        <v>30098.883710133327</v>
      </c>
      <c r="AV270" s="42">
        <f>'[1]побудинковий звіт'!AV270+'[2]побудинковий звіт'!AV270-'[3]побудинковий звіт'!AV270</f>
        <v>1762.1071081468467</v>
      </c>
      <c r="AW270" s="42">
        <f>'[1]побудинковий звіт'!AW270+'[2]побудинковий звіт'!AW270-'[3]побудинковий звіт'!AW270</f>
        <v>1488</v>
      </c>
      <c r="AX270" s="59">
        <f t="shared" si="267"/>
        <v>-274.10710814684671</v>
      </c>
      <c r="AY270" s="42">
        <f>'[1]побудинковий звіт'!AY270+'[2]побудинковий звіт'!AY270-'[3]побудинковий звіт'!AY270</f>
        <v>2570.742825601536</v>
      </c>
      <c r="AZ270" s="42">
        <f>'[1]побудинковий звіт'!AZ270+'[2]побудинковий звіт'!AZ270-'[3]побудинковий звіт'!AZ270</f>
        <v>2619</v>
      </c>
      <c r="BA270" s="37">
        <f t="shared" si="268"/>
        <v>48.257174398464031</v>
      </c>
      <c r="BB270" s="42">
        <f>'[1]побудинковий звіт'!BB270+'[2]побудинковий звіт'!BB270-'[3]побудинковий звіт'!BB270</f>
        <v>0</v>
      </c>
      <c r="BC270" s="42">
        <f>'[1]побудинковий звіт'!BC270+'[2]побудинковий звіт'!BC270-'[3]побудинковий звіт'!BC270</f>
        <v>0</v>
      </c>
      <c r="BD270" s="59">
        <f t="shared" si="269"/>
        <v>0</v>
      </c>
      <c r="BE270" s="42">
        <f>'[1]побудинковий звіт'!BE270+'[2]побудинковий звіт'!BE270-'[3]побудинковий звіт'!BE270</f>
        <v>0</v>
      </c>
      <c r="BF270" s="42">
        <f>'[1]побудинковий звіт'!BF270+'[2]побудинковий звіт'!BF270-'[3]побудинковий звіт'!BF270</f>
        <v>0</v>
      </c>
      <c r="BG270" s="39">
        <f t="shared" si="270"/>
        <v>0</v>
      </c>
      <c r="BH270" s="42">
        <f>'[1]побудинковий звіт'!BH270+'[2]побудинковий звіт'!BH270-'[3]побудинковий звіт'!BH270</f>
        <v>0</v>
      </c>
      <c r="BI270" s="42">
        <f>'[1]побудинковий звіт'!BI270+'[2]побудинковий звіт'!BI270-'[3]побудинковий звіт'!BI270</f>
        <v>0</v>
      </c>
      <c r="BJ270" s="59">
        <f t="shared" si="271"/>
        <v>0</v>
      </c>
      <c r="BK270" s="42">
        <f>'[1]побудинковий звіт'!BK270+'[2]побудинковий звіт'!BK270-'[3]побудинковий звіт'!BK270</f>
        <v>1589.7287286988139</v>
      </c>
      <c r="BL270" s="42">
        <f>'[1]побудинковий звіт'!BL270+'[2]побудинковий звіт'!BL270-'[3]побудинковий звіт'!BL270</f>
        <v>591</v>
      </c>
      <c r="BM270" s="39">
        <f t="shared" si="272"/>
        <v>-998.72872869881394</v>
      </c>
      <c r="BN270" s="42">
        <f>'[1]побудинковий звіт'!BN270+'[2]побудинковий звіт'!BN270-'[3]побудинковий звіт'!BN270</f>
        <v>0</v>
      </c>
      <c r="BO270" s="42">
        <f>'[1]побудинковий звіт'!BO270+'[2]побудинковий звіт'!BO270-'[3]побудинковий звіт'!BO270</f>
        <v>0</v>
      </c>
      <c r="BP270" s="59">
        <f t="shared" si="273"/>
        <v>0</v>
      </c>
      <c r="BQ270" s="87">
        <f t="shared" si="282"/>
        <v>5922.5786624471966</v>
      </c>
      <c r="BR270" s="43">
        <f t="shared" si="283"/>
        <v>4698</v>
      </c>
      <c r="BS270" s="59">
        <f t="shared" si="274"/>
        <v>-1224.5786624471966</v>
      </c>
      <c r="BT270" s="42">
        <f>'[1]побудинковий звіт'!BT270+'[2]побудинковий звіт'!BT270-'[3]побудинковий звіт'!BT270</f>
        <v>44146.139217553166</v>
      </c>
      <c r="BU270" s="42">
        <f>'[1]побудинковий звіт'!BU270+'[2]побудинковий звіт'!BU270-'[3]побудинковий звіт'!BU270</f>
        <v>48885.757634159861</v>
      </c>
      <c r="BV270" s="56">
        <f t="shared" si="250"/>
        <v>4739.618416606696</v>
      </c>
      <c r="BW270" s="42">
        <f>'[1]побудинковий звіт'!BW270+'[2]побудинковий звіт'!BW270-'[3]побудинковий звіт'!BW270</f>
        <v>17884.226859669368</v>
      </c>
      <c r="BX270" s="42">
        <f>'[1]побудинковий звіт'!BX270+'[2]побудинковий звіт'!BX270-'[3]побудинковий звіт'!BX270</f>
        <v>18798.050712312899</v>
      </c>
      <c r="BY270" s="56">
        <f t="shared" si="251"/>
        <v>913.8238526435307</v>
      </c>
      <c r="BZ270" s="42">
        <f>'[1]побудинковий звіт'!BZ270+'[2]побудинковий звіт'!BZ270-'[3]побудинковий звіт'!BZ270</f>
        <v>8751.7712764509397</v>
      </c>
      <c r="CA270" s="42">
        <f>'[1]побудинковий звіт'!CA270+'[2]побудинковий звіт'!CA270-'[3]побудинковий звіт'!CA270</f>
        <v>10335.533853720503</v>
      </c>
      <c r="CB270" s="56">
        <f t="shared" si="252"/>
        <v>1583.7625772695628</v>
      </c>
      <c r="CC270" s="42">
        <f>'[1]побудинковий звіт'!CC270+'[2]побудинковий звіт'!CC270-'[3]побудинковий звіт'!CC270</f>
        <v>1723.6166756025787</v>
      </c>
      <c r="CD270" s="42">
        <f>'[1]побудинковий звіт'!CD270+'[2]побудинковий звіт'!CD270-'[3]побудинковий звіт'!CD270</f>
        <v>1708.4569796389089</v>
      </c>
      <c r="CE270" s="56">
        <f t="shared" si="253"/>
        <v>-15.159695963669719</v>
      </c>
      <c r="CF270" s="42">
        <f>'[1]побудинковий звіт'!CF270+'[2]побудинковий звіт'!CF270-'[3]побудинковий звіт'!CF270</f>
        <v>212.18765892834779</v>
      </c>
      <c r="CG270" s="42">
        <f>'[1]побудинковий звіт'!CG270+'[2]побудинковий звіт'!CG270-'[3]побудинковий звіт'!CG270</f>
        <v>0</v>
      </c>
      <c r="CH270" s="56">
        <f t="shared" si="254"/>
        <v>-212.18765892834779</v>
      </c>
      <c r="CI270" s="42">
        <f>'[1]побудинковий звіт'!CI270+'[2]побудинковий звіт'!CI270-'[3]побудинковий звіт'!CI270</f>
        <v>6682.1564882575904</v>
      </c>
      <c r="CJ270" s="42">
        <f>'[1]побудинковий звіт'!CJ270+'[2]побудинковий звіт'!CJ270-'[3]побудинковий звіт'!CJ270</f>
        <v>1866.5247350543023</v>
      </c>
      <c r="CK270" s="56">
        <f t="shared" si="255"/>
        <v>-4815.6317532032881</v>
      </c>
      <c r="CL270" s="42">
        <f>'[1]побудинковий звіт'!CL270+'[2]побудинковий звіт'!CL270-'[3]побудинковий звіт'!CL270</f>
        <v>0</v>
      </c>
      <c r="CM270" s="42">
        <f>'[1]побудинковий звіт'!CM270+'[2]побудинковий звіт'!CM270-'[3]побудинковий звіт'!CM270</f>
        <v>0</v>
      </c>
      <c r="CN270" s="56">
        <f t="shared" si="256"/>
        <v>0</v>
      </c>
      <c r="CO270" s="42">
        <f t="shared" ref="CO270:CO325" si="294">CI270+CL270</f>
        <v>6682.1564882575904</v>
      </c>
      <c r="CP270" s="43">
        <f t="shared" si="257"/>
        <v>1866.5247350543023</v>
      </c>
      <c r="CQ270" s="56">
        <f t="shared" si="258"/>
        <v>-4815.6317532032881</v>
      </c>
      <c r="CR270" s="78">
        <f t="shared" ref="CR270:CS325" si="295">AG270+AJ270+AM270+AP270+AS270+BQ270+BT270+BW270+BZ270+CC270+CF270+CO270</f>
        <v>156743.15395895395</v>
      </c>
      <c r="CS270" s="5">
        <f t="shared" si="295"/>
        <v>184769.99902797674</v>
      </c>
      <c r="CT270" s="56">
        <f t="shared" si="259"/>
        <v>28026.845069022791</v>
      </c>
      <c r="CU270" s="87">
        <f t="shared" si="260"/>
        <v>188091.78475074473</v>
      </c>
      <c r="CV270" s="70">
        <f t="shared" si="261"/>
        <v>221723.99883357208</v>
      </c>
      <c r="CW270" s="37">
        <f t="shared" si="262"/>
        <v>33632.214082827355</v>
      </c>
      <c r="CX270" s="42">
        <f>'[1]побудинковий звіт'!CX270+'[2]побудинковий звіт'!CX270-'[3]побудинковий звіт'!CX270</f>
        <v>2131.885249255296</v>
      </c>
      <c r="CY270" s="42">
        <f>'[1]побудинковий звіт'!CY270+'[2]побудинковий звіт'!CY270-'[3]побудинковий звіт'!CY270</f>
        <v>-31500.328833572123</v>
      </c>
      <c r="CZ270" s="56">
        <f t="shared" si="263"/>
        <v>-33632.21408282742</v>
      </c>
      <c r="DA270" s="264">
        <f>'[4]побудинковий звіт'!DA270</f>
        <v>255042.1713054101</v>
      </c>
      <c r="DB270" s="2">
        <v>3</v>
      </c>
      <c r="DC270" s="717">
        <f>'[4]побудинковий звіт'!DC270</f>
        <v>48781.88</v>
      </c>
      <c r="DD270" s="717">
        <f>'[4]побудинковий звіт'!DD270</f>
        <v>0</v>
      </c>
      <c r="DE270" s="717">
        <f>'[4]побудинковий звіт'!DE270</f>
        <v>33105.5</v>
      </c>
      <c r="DF270" s="717">
        <f>'[4]побудинковий звіт'!DF270</f>
        <v>0</v>
      </c>
      <c r="DG270" s="787">
        <v>-2135.6240790478769</v>
      </c>
      <c r="DH270" s="761">
        <f t="shared" si="290"/>
        <v>2282684.04</v>
      </c>
      <c r="DI270" s="784"/>
      <c r="DJ270" s="5"/>
      <c r="DK270" s="317">
        <f>VLOOKUP($A270,ціни!$A$4:$G$401,5)</f>
        <v>5.674494394366671</v>
      </c>
      <c r="DL270" s="317"/>
      <c r="DM270" s="317">
        <f>VLOOKUP($A270,ціни!$A$4:$G$401,7)</f>
        <v>5.0270406300424497</v>
      </c>
      <c r="DN270" s="30">
        <f t="shared" si="284"/>
        <v>15058.405774330833</v>
      </c>
      <c r="DO270" s="30">
        <f t="shared" si="285"/>
        <v>0</v>
      </c>
      <c r="DP270" s="316">
        <f t="shared" si="278"/>
        <v>15058.405774330833</v>
      </c>
      <c r="DQ270" s="104"/>
      <c r="DR270" s="30">
        <f>VLOOKUP(A270,'ДЗ нас '!$A$1:$C$359,2)</f>
        <v>15676.38</v>
      </c>
      <c r="DS270" s="748"/>
      <c r="DT270" s="30">
        <f t="shared" si="279"/>
        <v>15676.38</v>
      </c>
      <c r="DU270" s="257">
        <f>VLOOKUP(A270,'новий кошторис с 01.06'!$A$4:$AI$399,35)*1.2</f>
        <v>15674.315395895392</v>
      </c>
      <c r="DV270" s="30">
        <f t="shared" si="280"/>
        <v>2.064604104607497</v>
      </c>
      <c r="DW270" s="930">
        <f>'[5]побудинковий звіт'!DW270+'[6]побудинковий звіт'!DW270</f>
        <v>204</v>
      </c>
      <c r="DY270" s="5">
        <f t="shared" si="286"/>
        <v>51656.033942776638</v>
      </c>
      <c r="DZ270" s="5">
        <f t="shared" si="287"/>
        <v>86305.2</v>
      </c>
      <c r="EA270" s="752">
        <f t="shared" si="291"/>
        <v>33105.5</v>
      </c>
      <c r="EC270" s="592">
        <f t="shared" si="288"/>
        <v>445489.39547840005</v>
      </c>
      <c r="EE270" s="758">
        <v>8483</v>
      </c>
      <c r="EF270" s="738">
        <f t="shared" si="289"/>
        <v>6347.3759209521231</v>
      </c>
      <c r="EH270" s="813">
        <v>229837.90268425978</v>
      </c>
    </row>
    <row r="271" spans="1:138" x14ac:dyDescent="0.3">
      <c r="A271" s="328">
        <v>150000832</v>
      </c>
      <c r="B271" s="44" t="s">
        <v>722</v>
      </c>
      <c r="C271" s="45" t="s">
        <v>1780</v>
      </c>
      <c r="D271" s="45" t="s">
        <v>422</v>
      </c>
      <c r="E271" s="40">
        <f t="shared" si="292"/>
        <v>1773.9</v>
      </c>
      <c r="F271" s="490">
        <v>1773.9</v>
      </c>
      <c r="G271" s="30">
        <v>394.3</v>
      </c>
      <c r="H271" s="30">
        <v>0</v>
      </c>
      <c r="I271" s="42">
        <f>'[1]побудинковий звіт'!I271+'[2]побудинковий звіт'!I271-'[3]побудинковий звіт'!I271</f>
        <v>16637.6481848074</v>
      </c>
      <c r="J271" s="42">
        <f>'[1]побудинковий звіт'!J271+'[2]побудинковий звіт'!J271-'[3]побудинковий звіт'!J271</f>
        <v>14088.656867864909</v>
      </c>
      <c r="K271" s="56">
        <f t="shared" ref="K271:K326" si="296">J271-I271</f>
        <v>-2548.9913169424908</v>
      </c>
      <c r="L271" s="42">
        <f>'[1]побудинковий звіт'!L271+'[2]побудинковий звіт'!L271-'[3]побудинковий звіт'!L271</f>
        <v>2558.6575653181253</v>
      </c>
      <c r="M271" s="42">
        <f>'[1]побудинковий звіт'!M271+'[2]побудинковий звіт'!M271-'[3]побудинковий звіт'!M271</f>
        <v>2447.393908499218</v>
      </c>
      <c r="N271" s="56">
        <f t="shared" ref="N271:N326" si="297">M271-L271</f>
        <v>-111.26365681890729</v>
      </c>
      <c r="O271" s="42">
        <f>'[1]побудинковий звіт'!O271+'[2]побудинковий звіт'!O271-'[3]побудинковий звіт'!O271</f>
        <v>6718.2000000000016</v>
      </c>
      <c r="P271" s="42">
        <f>'[1]побудинковий звіт'!P271+'[2]побудинковий звіт'!P271-'[3]побудинковий звіт'!P271</f>
        <v>5280.7351620967747</v>
      </c>
      <c r="Q271" s="56">
        <f t="shared" ref="Q271:Q326" si="298">P271-O271</f>
        <v>-1437.4648379032269</v>
      </c>
      <c r="R271" s="42">
        <f>'[1]побудинковий звіт'!R271+'[2]побудинковий звіт'!R271-'[3]побудинковий звіт'!R271</f>
        <v>1347.7199999999998</v>
      </c>
      <c r="S271" s="42">
        <f>'[1]побудинковий звіт'!S271+'[2]побудинковий звіт'!S271-'[3]побудинковий звіт'!S271</f>
        <v>1059.5549336021506</v>
      </c>
      <c r="T271" s="56">
        <f t="shared" ref="T271:T326" si="299">S271-R271</f>
        <v>-288.16506639784916</v>
      </c>
      <c r="U271" s="42">
        <f>'[1]побудинковий звіт'!U271+'[2]побудинковий звіт'!U271-'[3]побудинковий звіт'!U271</f>
        <v>531.87068102458227</v>
      </c>
      <c r="V271" s="42">
        <f>'[1]побудинковий звіт'!V271+'[2]побудинковий звіт'!V271-'[3]побудинковий звіт'!V271</f>
        <v>249.92847275623279</v>
      </c>
      <c r="W271" s="56">
        <f t="shared" ref="W271:W326" si="300">V271-U271</f>
        <v>-281.94220826834948</v>
      </c>
      <c r="X271" s="42">
        <f>'[1]побудинковий звіт'!X271+'[2]побудинковий звіт'!X271-'[3]побудинковий звіт'!X271</f>
        <v>7241.8591629076373</v>
      </c>
      <c r="Y271" s="42">
        <f>'[1]побудинковий звіт'!Y271+'[2]побудинковий звіт'!Y271-'[3]побудинковий звіт'!Y271</f>
        <v>5046.0076153168538</v>
      </c>
      <c r="Z271" s="56">
        <f t="shared" ref="Z271:Z326" si="301">Y271-X271</f>
        <v>-2195.8515475907834</v>
      </c>
      <c r="AA271" s="42">
        <f>'[1]побудинковий звіт'!AA271+'[2]побудинковий звіт'!AA271-'[3]побудинковий звіт'!AA271</f>
        <v>0</v>
      </c>
      <c r="AB271" s="42">
        <f>'[1]побудинковий звіт'!AB271+'[2]побудинковий звіт'!AB271-'[3]побудинковий звіт'!AB271</f>
        <v>0</v>
      </c>
      <c r="AC271" s="56">
        <f t="shared" ref="AC271:AC326" si="302">AB271-AA271</f>
        <v>0</v>
      </c>
      <c r="AD271" s="42">
        <f>'[1]побудинковий звіт'!AD271+'[2]побудинковий звіт'!AD271-'[3]побудинковий звіт'!AD271</f>
        <v>18799.976085191451</v>
      </c>
      <c r="AE271" s="42">
        <f>'[1]побудинковий звіт'!AE271+'[2]побудинковий звіт'!AE271-'[3]побудинковий звіт'!AE271</f>
        <v>17362.597397368583</v>
      </c>
      <c r="AF271" s="37">
        <f t="shared" ref="AF271:AF326" si="303">AE271-AD271</f>
        <v>-1437.3786878228675</v>
      </c>
      <c r="AG271" s="87">
        <f t="shared" si="293"/>
        <v>53835.931679249203</v>
      </c>
      <c r="AH271" s="57">
        <f t="shared" si="293"/>
        <v>45534.874357504727</v>
      </c>
      <c r="AI271" s="56">
        <f t="shared" ref="AI271:AI326" si="304">AH271-AG271</f>
        <v>-8301.0573217444762</v>
      </c>
      <c r="AJ271" s="42">
        <f>'[1]побудинковий звіт'!AJ271+'[2]побудинковий звіт'!AJ271-'[3]побудинковий звіт'!AJ271</f>
        <v>42638.522353643682</v>
      </c>
      <c r="AK271" s="42">
        <f>'[1]побудинковий звіт'!AK271+'[2]побудинковий звіт'!AK271-'[3]побудинковий звіт'!AK271</f>
        <v>42263.493428947717</v>
      </c>
      <c r="AL271" s="56">
        <f t="shared" ref="AL271:AL326" si="305">AK271-AJ271</f>
        <v>-375.02892469596554</v>
      </c>
      <c r="AM271" s="42">
        <f>'[1]побудинковий звіт'!AM271+'[2]побудинковий звіт'!AM271-'[3]побудинковий звіт'!AM271</f>
        <v>0</v>
      </c>
      <c r="AN271" s="42">
        <f>'[1]побудинковий звіт'!AN271+'[2]побудинковий звіт'!AN271-'[3]побудинковий звіт'!AN271</f>
        <v>0</v>
      </c>
      <c r="AO271" s="56">
        <f t="shared" ref="AO271:AO326" si="306">AN271-AM271</f>
        <v>0</v>
      </c>
      <c r="AP271" s="42">
        <f>'[1]побудинковий звіт'!AP271+'[2]побудинковий звіт'!AP271-'[3]побудинковий звіт'!AP271</f>
        <v>3788.0705715745994</v>
      </c>
      <c r="AQ271" s="42">
        <f>'[1]побудинковий звіт'!AQ271+'[2]побудинковий звіт'!AQ271-'[3]побудинковий звіт'!AQ271</f>
        <v>3749.32010689457</v>
      </c>
      <c r="AR271" s="56">
        <f t="shared" ref="AR271:AR326" si="307">AQ271-AP271</f>
        <v>-38.750464680029381</v>
      </c>
      <c r="AS271" s="42">
        <f>'[1]побудинковий звіт'!AS271+'[2]побудинковий звіт'!AS271-'[3]побудинковий звіт'!AS271</f>
        <v>61933.085589067923</v>
      </c>
      <c r="AT271" s="42">
        <f>'[1]побудинковий звіт'!AT271+'[2]побудинковий звіт'!AT271-'[3]побудинковий звіт'!AT271</f>
        <v>8529</v>
      </c>
      <c r="AU271" s="58">
        <f t="shared" si="266"/>
        <v>-53404.085589067923</v>
      </c>
      <c r="AV271" s="42">
        <f>'[1]побудинковий звіт'!AV271+'[2]побудинковий звіт'!AV271-'[3]побудинковий звіт'!AV271</f>
        <v>1286.4451247283018</v>
      </c>
      <c r="AW271" s="42">
        <f>'[1]побудинковий звіт'!AW271+'[2]побудинковий звіт'!AW271-'[3]побудинковий звіт'!AW271</f>
        <v>1342.8907635597841</v>
      </c>
      <c r="AX271" s="59">
        <f t="shared" si="267"/>
        <v>56.445638831482256</v>
      </c>
      <c r="AY271" s="42">
        <f>'[1]побудинковий звіт'!AY271+'[2]побудинковий звіт'!AY271-'[3]побудинковий звіт'!AY271</f>
        <v>1494.394984156788</v>
      </c>
      <c r="AZ271" s="42">
        <f>'[1]побудинковий звіт'!AZ271+'[2]побудинковий звіт'!AZ271-'[3]побудинковий звіт'!AZ271</f>
        <v>3094</v>
      </c>
      <c r="BA271" s="37">
        <f t="shared" si="268"/>
        <v>1599.605015843212</v>
      </c>
      <c r="BB271" s="42">
        <f>'[1]побудинковий звіт'!BB271+'[2]побудинковий звіт'!BB271-'[3]побудинковий звіт'!BB271</f>
        <v>1360.6626241905344</v>
      </c>
      <c r="BC271" s="42">
        <f>'[1]побудинковий звіт'!BC271+'[2]побудинковий звіт'!BC271-'[3]побудинковий звіт'!BC271</f>
        <v>0</v>
      </c>
      <c r="BD271" s="59">
        <f t="shared" si="269"/>
        <v>-1360.6626241905344</v>
      </c>
      <c r="BE271" s="42">
        <f>'[1]побудинковий звіт'!BE271+'[2]побудинковий звіт'!BE271-'[3]побудинковий звіт'!BE271</f>
        <v>772.12588337701925</v>
      </c>
      <c r="BF271" s="42">
        <f>'[1]побудинковий звіт'!BF271+'[2]побудинковий звіт'!BF271-'[3]побудинковий звіт'!BF271</f>
        <v>0</v>
      </c>
      <c r="BG271" s="39">
        <f t="shared" si="270"/>
        <v>-772.12588337701925</v>
      </c>
      <c r="BH271" s="42">
        <f>'[1]побудинковий звіт'!BH271+'[2]побудинковий звіт'!BH271-'[3]побудинковий звіт'!BH271</f>
        <v>269.88106553717734</v>
      </c>
      <c r="BI271" s="42">
        <f>'[1]побудинковий звіт'!BI271+'[2]побудинковий звіт'!BI271-'[3]побудинковий звіт'!BI271</f>
        <v>0</v>
      </c>
      <c r="BJ271" s="59">
        <f t="shared" si="271"/>
        <v>-269.88106553717734</v>
      </c>
      <c r="BK271" s="42">
        <f>'[1]побудинковий звіт'!BK271+'[2]побудинковий звіт'!BK271-'[3]побудинковий звіт'!BK271</f>
        <v>799.38644007811627</v>
      </c>
      <c r="BL271" s="42">
        <f>'[1]побудинковий звіт'!BL271+'[2]побудинковий звіт'!BL271-'[3]побудинковий звіт'!BL271</f>
        <v>1047.8760942275612</v>
      </c>
      <c r="BM271" s="39">
        <f t="shared" si="272"/>
        <v>248.48965414944496</v>
      </c>
      <c r="BN271" s="42">
        <f>'[1]побудинковий звіт'!BN271+'[2]побудинковий звіт'!BN271-'[3]побудинковий звіт'!BN271</f>
        <v>479.27278233266935</v>
      </c>
      <c r="BO271" s="42">
        <f>'[1]побудинковий звіт'!BO271+'[2]побудинковий звіт'!BO271-'[3]побудинковий звіт'!BO271</f>
        <v>0</v>
      </c>
      <c r="BP271" s="59">
        <f t="shared" si="273"/>
        <v>-479.27278233266935</v>
      </c>
      <c r="BQ271" s="87">
        <f t="shared" si="282"/>
        <v>6462.1689044006052</v>
      </c>
      <c r="BR271" s="43">
        <f t="shared" si="283"/>
        <v>5484.7668577873455</v>
      </c>
      <c r="BS271" s="59">
        <f t="shared" si="274"/>
        <v>-977.4020466132597</v>
      </c>
      <c r="BT271" s="42">
        <f>'[1]побудинковий звіт'!BT271+'[2]побудинковий звіт'!BT271-'[3]побудинковий звіт'!BT271</f>
        <v>71741.615754021608</v>
      </c>
      <c r="BU271" s="42">
        <f>'[1]побудинковий звіт'!BU271+'[2]побудинковий звіт'!BU271-'[3]побудинковий звіт'!BU271</f>
        <v>70651.463569085128</v>
      </c>
      <c r="BV271" s="56">
        <f t="shared" ref="BV271:BV326" si="308">BU271-BT271</f>
        <v>-1090.1521849364799</v>
      </c>
      <c r="BW271" s="42">
        <f>'[1]побудинковий звіт'!BW271+'[2]побудинковий звіт'!BW271-'[3]побудинковий звіт'!BW271</f>
        <v>47604.688404427259</v>
      </c>
      <c r="BX271" s="42">
        <f>'[1]побудинковий звіт'!BX271+'[2]побудинковий звіт'!BX271-'[3]побудинковий звіт'!BX271</f>
        <v>52249.680414854636</v>
      </c>
      <c r="BY271" s="56">
        <f t="shared" ref="BY271:BY326" si="309">BX271-BW271</f>
        <v>4644.992010427377</v>
      </c>
      <c r="BZ271" s="42">
        <f>'[1]побудинковий звіт'!BZ271+'[2]побудинковий звіт'!BZ271-'[3]побудинковий звіт'!BZ271</f>
        <v>4933.8837184174117</v>
      </c>
      <c r="CA271" s="42">
        <f>'[1]побудинковий звіт'!CA271+'[2]побудинковий звіт'!CA271-'[3]побудинковий звіт'!CA271</f>
        <v>17365.298456740762</v>
      </c>
      <c r="CB271" s="56">
        <f t="shared" ref="CB271:CB326" si="310">CA271-BZ271</f>
        <v>12431.41473832335</v>
      </c>
      <c r="CC271" s="42">
        <f>'[1]побудинковий звіт'!CC271+'[2]побудинковий звіт'!CC271-'[3]побудинковий звіт'!CC271</f>
        <v>1405.9535340239463</v>
      </c>
      <c r="CD271" s="42">
        <f>'[1]побудинковий звіт'!CD271+'[2]побудинковий звіт'!CD271-'[3]побудинковий звіт'!CD271</f>
        <v>1393.5877752003389</v>
      </c>
      <c r="CE271" s="56">
        <f t="shared" ref="CE271:CE326" si="311">CD271-CC271</f>
        <v>-12.365758823607393</v>
      </c>
      <c r="CF271" s="42">
        <f>'[1]побудинковий звіт'!CF271+'[2]побудинковий звіт'!CF271-'[3]побудинковий звіт'!CF271</f>
        <v>173.08140096885708</v>
      </c>
      <c r="CG271" s="42">
        <f>'[1]побудинковий звіт'!CG271+'[2]побудинковий звіт'!CG271-'[3]побудинковий звіт'!CG271</f>
        <v>1648.7492873788544</v>
      </c>
      <c r="CH271" s="56">
        <f t="shared" ref="CH271:CH326" si="312">CG271-CF271</f>
        <v>1475.6678864099974</v>
      </c>
      <c r="CI271" s="42">
        <f>'[1]побудинковий звіт'!CI271+'[2]побудинковий звіт'!CI271-'[3]побудинковий звіт'!CI271</f>
        <v>16415.269580397504</v>
      </c>
      <c r="CJ271" s="42">
        <f>'[1]побудинковий звіт'!CJ271+'[2]побудинковий звіт'!CJ271-'[3]побудинковий звіт'!CJ271</f>
        <v>41214.295262219035</v>
      </c>
      <c r="CK271" s="56">
        <f t="shared" ref="CK271:CK326" si="313">CJ271-CI271</f>
        <v>24799.025681821531</v>
      </c>
      <c r="CL271" s="42">
        <f>'[1]побудинковий звіт'!CL271+'[2]побудинковий звіт'!CL271-'[3]побудинковий звіт'!CL271</f>
        <v>5877.3029056383302</v>
      </c>
      <c r="CM271" s="42">
        <f>'[1]побудинковий звіт'!CM271+'[2]побудинковий звіт'!CM271-'[3]побудинковий звіт'!CM271</f>
        <v>6447.1993019966922</v>
      </c>
      <c r="CN271" s="56">
        <f t="shared" ref="CN271:CN326" si="314">CM271-CL271</f>
        <v>569.89639635836193</v>
      </c>
      <c r="CO271" s="42">
        <f t="shared" si="294"/>
        <v>22292.572486035835</v>
      </c>
      <c r="CP271" s="43">
        <f t="shared" ref="CP271:CP326" si="315">CJ271+CM271</f>
        <v>47661.494564215725</v>
      </c>
      <c r="CQ271" s="56">
        <f t="shared" ref="CQ271:CQ326" si="316">CP271-CO271</f>
        <v>25368.92207817989</v>
      </c>
      <c r="CR271" s="78">
        <f t="shared" si="295"/>
        <v>316809.57439583092</v>
      </c>
      <c r="CS271" s="5">
        <f t="shared" si="295"/>
        <v>296531.72881860979</v>
      </c>
      <c r="CT271" s="56">
        <f t="shared" ref="CT271:CT326" si="317">CS271-CR271</f>
        <v>-20277.845577221131</v>
      </c>
      <c r="CU271" s="87">
        <f t="shared" ref="CU271:CU326" si="318">CR271*1.2</f>
        <v>380171.48927499709</v>
      </c>
      <c r="CV271" s="70">
        <f t="shared" ref="CV271:CV326" si="319">CS271*1.2</f>
        <v>355838.07458233176</v>
      </c>
      <c r="CW271" s="37">
        <f t="shared" ref="CW271:CW326" si="320">CV271-CU271</f>
        <v>-24333.414692665334</v>
      </c>
      <c r="CX271" s="42">
        <f>'[1]побудинковий звіт'!CX271+'[2]побудинковий звіт'!CX271-'[3]побудинковий звіт'!CX271</f>
        <v>3908.2507250028648</v>
      </c>
      <c r="CY271" s="42">
        <f>'[1]побудинковий звіт'!CY271+'[2]побудинковий звіт'!CY271-'[3]побудинковий звіт'!CY271</f>
        <v>28241.665417668257</v>
      </c>
      <c r="CZ271" s="56">
        <f t="shared" ref="CZ271:CZ326" si="321">CY271-CX271</f>
        <v>24333.414692665392</v>
      </c>
      <c r="DA271" s="264">
        <f>'[4]побудинковий звіт'!DA271</f>
        <v>-20988.66463600831</v>
      </c>
      <c r="DB271" s="2">
        <v>1</v>
      </c>
      <c r="DC271" s="717">
        <f>'[4]побудинковий звіт'!DC271</f>
        <v>59643.97</v>
      </c>
      <c r="DD271" s="717">
        <f>'[4]побудинковий звіт'!DD271</f>
        <v>0</v>
      </c>
      <c r="DE271" s="717">
        <f>'[4]побудинковий звіт'!DE271</f>
        <v>27628.460000000003</v>
      </c>
      <c r="DF271" s="717">
        <f>'[4]побудинковий звіт'!DF271</f>
        <v>0</v>
      </c>
      <c r="DG271" s="787">
        <v>-90780.313776396331</v>
      </c>
      <c r="DH271" s="761">
        <f t="shared" si="290"/>
        <v>4608956.879999999</v>
      </c>
      <c r="DI271" s="784"/>
      <c r="DJ271" s="5"/>
      <c r="DK271" s="317">
        <f>VLOOKUP($A271,ціни!$A$4:$G$401,5)</f>
        <v>6.163043273014793</v>
      </c>
      <c r="DL271" s="317">
        <f>VLOOKUP($A271,ціни!$A$4:$G$401,6)</f>
        <v>7.3873026986706289</v>
      </c>
      <c r="DM271" s="317">
        <f>VLOOKUP($A271,ціни!$A$4:$G$401,7)</f>
        <v>5.0695039878876198</v>
      </c>
      <c r="DN271" s="30">
        <f>DK271*G271+(F271-G271)*DL271</f>
        <v>12621.610765635733</v>
      </c>
      <c r="DO271" s="30">
        <f>DM271*H271</f>
        <v>0</v>
      </c>
      <c r="DP271" s="316">
        <f t="shared" si="278"/>
        <v>12621.610765635733</v>
      </c>
      <c r="DQ271" s="104"/>
      <c r="DR271" s="30">
        <f>VLOOKUP(A271,'ДЗ нас '!$A$1:$C$359,2)</f>
        <v>32015.51</v>
      </c>
      <c r="DS271" s="748">
        <f>VLOOKUP(A271,'ДЗ нежит'!$A$1:$D$153,4,0)</f>
        <v>578.94000000000005</v>
      </c>
      <c r="DT271" s="30">
        <f t="shared" si="279"/>
        <v>32594.449999999997</v>
      </c>
      <c r="DU271" s="257">
        <f>VLOOKUP(A271,'новий кошторис с 01.06'!$A$4:$AI$399,35)*1.2</f>
        <v>32061.128928858088</v>
      </c>
      <c r="DV271" s="30">
        <f t="shared" si="280"/>
        <v>533.32107114190876</v>
      </c>
      <c r="DW271" s="930">
        <f>'[5]побудинковий звіт'!DW271+'[6]побудинковий звіт'!DW271</f>
        <v>236</v>
      </c>
      <c r="DY271" s="5">
        <f t="shared" si="286"/>
        <v>82074.305392162234</v>
      </c>
      <c r="DZ271" s="5">
        <f t="shared" si="287"/>
        <v>16816.520229344813</v>
      </c>
      <c r="EA271" s="752">
        <f t="shared" si="291"/>
        <v>27628.460000000003</v>
      </c>
      <c r="EC271" s="592">
        <f t="shared" si="288"/>
        <v>743197.02706881508</v>
      </c>
      <c r="EE271" s="758">
        <v>40022</v>
      </c>
      <c r="EF271" s="738">
        <f t="shared" si="289"/>
        <v>-50758.313776396331</v>
      </c>
      <c r="EH271" s="813">
        <v>-1386.6120412153396</v>
      </c>
    </row>
    <row r="272" spans="1:138" x14ac:dyDescent="0.3">
      <c r="A272" s="328">
        <v>150000833</v>
      </c>
      <c r="B272" s="44" t="s">
        <v>723</v>
      </c>
      <c r="C272" s="45" t="s">
        <v>1781</v>
      </c>
      <c r="D272" s="45" t="s">
        <v>392</v>
      </c>
      <c r="E272" s="40">
        <f t="shared" si="292"/>
        <v>2311.4</v>
      </c>
      <c r="F272" s="490">
        <v>2311.4</v>
      </c>
      <c r="G272" s="30">
        <v>455.3</v>
      </c>
      <c r="H272" s="30">
        <v>0</v>
      </c>
      <c r="I272" s="42">
        <f>'[1]побудинковий звіт'!I272+'[2]побудинковий звіт'!I272-'[3]побудинковий звіт'!I272</f>
        <v>16637.347627451596</v>
      </c>
      <c r="J272" s="42">
        <f>'[1]побудинковий звіт'!J272+'[2]побудинковий звіт'!J272-'[3]побудинковий звіт'!J272</f>
        <v>14376.854989347528</v>
      </c>
      <c r="K272" s="56">
        <f t="shared" si="296"/>
        <v>-2260.4926381040677</v>
      </c>
      <c r="L272" s="42">
        <f>'[1]побудинковий звіт'!L272+'[2]побудинковий звіт'!L272-'[3]побудинковий звіт'!L272</f>
        <v>2358.0366949383151</v>
      </c>
      <c r="M272" s="42">
        <f>'[1]побудинковий звіт'!M272+'[2]побудинковий звіт'!M272-'[3]побудинковий звіт'!M272</f>
        <v>2290.0997454705639</v>
      </c>
      <c r="N272" s="56">
        <f t="shared" si="297"/>
        <v>-67.936949467751219</v>
      </c>
      <c r="O272" s="42">
        <f>'[1]побудинковий звіт'!O272+'[2]побудинковий звіт'!O272-'[3]побудинковий звіт'!O272</f>
        <v>7045.6800000000012</v>
      </c>
      <c r="P272" s="42">
        <f>'[1]побудинковий звіт'!P272+'[2]побудинковий звіт'!P272-'[3]побудинковий звіт'!P272</f>
        <v>5538.2845233870967</v>
      </c>
      <c r="Q272" s="56">
        <f t="shared" si="298"/>
        <v>-1507.3954766129045</v>
      </c>
      <c r="R272" s="42">
        <f>'[1]побудинковий звіт'!R272+'[2]побудинковий звіт'!R272-'[3]побудинковий звіт'!R272</f>
        <v>1455.8399999999997</v>
      </c>
      <c r="S272" s="42">
        <f>'[1]побудинковий звіт'!S272+'[2]побудинковий звіт'!S272-'[3]побудинковий звіт'!S272</f>
        <v>1144.1197387096772</v>
      </c>
      <c r="T272" s="56">
        <f t="shared" si="299"/>
        <v>-311.72026129032247</v>
      </c>
      <c r="U272" s="42">
        <f>'[1]побудинковий звіт'!U272+'[2]побудинковий звіт'!U272-'[3]побудинковий звіт'!U272</f>
        <v>833.30286687848127</v>
      </c>
      <c r="V272" s="42">
        <f>'[1]побудинковий звіт'!V272+'[2]побудинковий звіт'!V272-'[3]побудинковий звіт'!V272</f>
        <v>381.17542913386148</v>
      </c>
      <c r="W272" s="56">
        <f t="shared" si="300"/>
        <v>-452.12743774461978</v>
      </c>
      <c r="X272" s="42">
        <f>'[1]побудинковий звіт'!X272+'[2]побудинковий звіт'!X272-'[3]побудинковий звіт'!X272</f>
        <v>7004.3397157717127</v>
      </c>
      <c r="Y272" s="42">
        <f>'[1]побудинковий звіт'!Y272+'[2]побудинковий звіт'!Y272-'[3]побудинковий звіт'!Y272</f>
        <v>4447.5292463325568</v>
      </c>
      <c r="Z272" s="56">
        <f t="shared" si="301"/>
        <v>-2556.8104694391559</v>
      </c>
      <c r="AA272" s="42">
        <f>'[1]побудинковий звіт'!AA272+'[2]побудинковий звіт'!AA272-'[3]побудинковий звіт'!AA272</f>
        <v>0</v>
      </c>
      <c r="AB272" s="42">
        <f>'[1]побудинковий звіт'!AB272+'[2]побудинковий звіт'!AB272-'[3]побудинковий звіт'!AB272</f>
        <v>0</v>
      </c>
      <c r="AC272" s="56">
        <f t="shared" si="302"/>
        <v>0</v>
      </c>
      <c r="AD272" s="42">
        <f>'[1]побудинковий звіт'!AD272+'[2]побудинковий звіт'!AD272-'[3]побудинковий звіт'!AD272</f>
        <v>20319.179028938845</v>
      </c>
      <c r="AE272" s="42">
        <f>'[1]побудинковий звіт'!AE272+'[2]побудинковий звіт'!AE272-'[3]побудинковий звіт'!AE272</f>
        <v>18728.051964899743</v>
      </c>
      <c r="AF272" s="37">
        <f t="shared" si="303"/>
        <v>-1591.1270640391012</v>
      </c>
      <c r="AG272" s="87">
        <f t="shared" si="293"/>
        <v>55653.725933978953</v>
      </c>
      <c r="AH272" s="57">
        <f t="shared" si="293"/>
        <v>46906.115637281029</v>
      </c>
      <c r="AI272" s="56">
        <f t="shared" si="304"/>
        <v>-8747.6102966979233</v>
      </c>
      <c r="AJ272" s="42">
        <f>'[1]побудинковий звіт'!AJ272+'[2]побудинковий звіт'!AJ272-'[3]побудинковий звіт'!AJ272</f>
        <v>35725.605519273005</v>
      </c>
      <c r="AK272" s="42">
        <f>'[1]побудинковий звіт'!AK272+'[2]побудинковий звіт'!AK272-'[3]побудинковий звіт'!AK272</f>
        <v>29665.033560572807</v>
      </c>
      <c r="AL272" s="56">
        <f t="shared" si="305"/>
        <v>-6060.5719587001986</v>
      </c>
      <c r="AM272" s="42">
        <f>'[1]побудинковий звіт'!AM272+'[2]побудинковий звіт'!AM272-'[3]побудинковий звіт'!AM272</f>
        <v>0</v>
      </c>
      <c r="AN272" s="42">
        <f>'[1]побудинковий звіт'!AN272+'[2]побудинковий звіт'!AN272-'[3]побудинковий звіт'!AN272</f>
        <v>3865.2699247289192</v>
      </c>
      <c r="AO272" s="56">
        <f t="shared" si="306"/>
        <v>3865.2699247289192</v>
      </c>
      <c r="AP272" s="42">
        <f>'[1]побудинковий звіт'!AP272+'[2]побудинковий звіт'!AP272-'[3]побудинковий звіт'!AP272</f>
        <v>3788.0705715745994</v>
      </c>
      <c r="AQ272" s="42">
        <f>'[1]побудинковий звіт'!AQ272+'[2]побудинковий звіт'!AQ272-'[3]побудинковий звіт'!AQ272</f>
        <v>3702.3324799199577</v>
      </c>
      <c r="AR272" s="56">
        <f t="shared" si="307"/>
        <v>-85.738091654641721</v>
      </c>
      <c r="AS272" s="42">
        <f>'[1]побудинковий звіт'!AS272+'[2]побудинковий звіт'!AS272-'[3]побудинковий звіт'!AS272</f>
        <v>68793.323041119729</v>
      </c>
      <c r="AT272" s="42">
        <f>'[1]побудинковий звіт'!AT272+'[2]побудинковий звіт'!AT272-'[3]побудинковий звіт'!AT272</f>
        <v>24560</v>
      </c>
      <c r="AU272" s="58">
        <f t="shared" ref="AU272:AU327" si="322">AT272-AS272</f>
        <v>-44233.323041119729</v>
      </c>
      <c r="AV272" s="42">
        <f>'[1]побудинковий звіт'!AV272+'[2]побудинковий звіт'!AV272-'[3]побудинковий звіт'!AV272</f>
        <v>1029.1560997826414</v>
      </c>
      <c r="AW272" s="42">
        <f>'[1]побудинковий звіт'!AW272+'[2]побудинковий звіт'!AW272-'[3]побудинковий звіт'!AW272</f>
        <v>4245.3894632361389</v>
      </c>
      <c r="AX272" s="59">
        <f t="shared" ref="AX272:AX327" si="323">AW272-AV272</f>
        <v>3216.2333634534975</v>
      </c>
      <c r="AY272" s="42">
        <f>'[1]побудинковий звіт'!AY272+'[2]побудинковий звіт'!AY272-'[3]побудинковий звіт'!AY272</f>
        <v>1111.4041540851915</v>
      </c>
      <c r="AZ272" s="42">
        <f>'[1]побудинковий звіт'!AZ272+'[2]побудинковий звіт'!AZ272-'[3]побудинковий звіт'!AZ272</f>
        <v>1220</v>
      </c>
      <c r="BA272" s="37">
        <f t="shared" ref="BA272:BA327" si="324">AZ272-AY272</f>
        <v>108.59584591480848</v>
      </c>
      <c r="BB272" s="42">
        <f>'[1]побудинковий звіт'!BB272+'[2]побудинковий звіт'!BB272-'[3]побудинковий звіт'!BB272</f>
        <v>1379.4653112763287</v>
      </c>
      <c r="BC272" s="42">
        <f>'[1]побудинковий звіт'!BC272+'[2]побудинковий звіт'!BC272-'[3]побудинковий звіт'!BC272</f>
        <v>0</v>
      </c>
      <c r="BD272" s="59">
        <f t="shared" ref="BD272:BD327" si="325">BC272-BB272</f>
        <v>-1379.4653112763287</v>
      </c>
      <c r="BE272" s="42">
        <f>'[1]побудинковий звіт'!BE272+'[2]побудинковий звіт'!BE272-'[3]побудинковий звіт'!BE272</f>
        <v>667.0073416075569</v>
      </c>
      <c r="BF272" s="42">
        <f>'[1]побудинковий звіт'!BF272+'[2]побудинковий звіт'!BF272-'[3]побудинковий звіт'!BF272</f>
        <v>0</v>
      </c>
      <c r="BG272" s="39">
        <f t="shared" ref="BG272:BG327" si="326">BF272-BE272</f>
        <v>-667.0073416075569</v>
      </c>
      <c r="BH272" s="42">
        <f>'[1]побудинковий звіт'!BH272+'[2]побудинковий звіт'!BH272-'[3]побудинковий звіт'!BH272</f>
        <v>338.22757708625721</v>
      </c>
      <c r="BI272" s="42">
        <f>'[1]побудинковий звіт'!BI272+'[2]побудинковий звіт'!BI272-'[3]побудинковий звіт'!BI272</f>
        <v>0</v>
      </c>
      <c r="BJ272" s="59">
        <f t="shared" ref="BJ272:BJ327" si="327">BI272-BH272</f>
        <v>-338.22757708625721</v>
      </c>
      <c r="BK272" s="42">
        <f>'[1]побудинковий звіт'!BK272+'[2]побудинковий звіт'!BK272-'[3]побудинковий звіт'!BK272</f>
        <v>630.97134106334943</v>
      </c>
      <c r="BL272" s="42">
        <f>'[1]побудинковий звіт'!BL272+'[2]побудинковий звіт'!BL272-'[3]побудинковий звіт'!BL272</f>
        <v>7223.0639787842392</v>
      </c>
      <c r="BM272" s="39">
        <f t="shared" ref="BM272:BM327" si="328">BL272-BK272</f>
        <v>6592.0926377208898</v>
      </c>
      <c r="BN272" s="42">
        <f>'[1]побудинковий звіт'!BN272+'[2]побудинковий звіт'!BN272-'[3]побудинковий звіт'!BN272</f>
        <v>473.28042335629442</v>
      </c>
      <c r="BO272" s="42">
        <f>'[1]побудинковий звіт'!BO272+'[2]побудинковий звіт'!BO272-'[3]побудинковий звіт'!BO272</f>
        <v>0</v>
      </c>
      <c r="BP272" s="59">
        <f t="shared" ref="BP272:BP327" si="329">BO272-BN272</f>
        <v>-473.28042335629442</v>
      </c>
      <c r="BQ272" s="87">
        <f t="shared" si="282"/>
        <v>5629.5122482576198</v>
      </c>
      <c r="BR272" s="43">
        <f t="shared" si="283"/>
        <v>12688.453442020378</v>
      </c>
      <c r="BS272" s="59">
        <f t="shared" ref="BS272:BS327" si="330">BR272-BQ272</f>
        <v>7058.9411937627583</v>
      </c>
      <c r="BT272" s="42">
        <f>'[1]побудинковий звіт'!BT272+'[2]побудинковий звіт'!BT272-'[3]побудинковий звіт'!BT272</f>
        <v>63852.676023079752</v>
      </c>
      <c r="BU272" s="42">
        <f>'[1]побудинковий звіт'!BU272+'[2]побудинковий звіт'!BU272-'[3]побудинковий звіт'!BU272</f>
        <v>72501.037404187693</v>
      </c>
      <c r="BV272" s="56">
        <f t="shared" si="308"/>
        <v>8648.3613811079413</v>
      </c>
      <c r="BW272" s="42">
        <f>'[1]побудинковий звіт'!BW272+'[2]побудинковий звіт'!BW272-'[3]побудинковий звіт'!BW272</f>
        <v>41186.125528421479</v>
      </c>
      <c r="BX272" s="42">
        <f>'[1]побудинковий звіт'!BX272+'[2]побудинковий звіт'!BX272-'[3]побудинковий звіт'!BX272</f>
        <v>46030.406073380989</v>
      </c>
      <c r="BY272" s="56">
        <f t="shared" si="309"/>
        <v>4844.2805449595107</v>
      </c>
      <c r="BZ272" s="42">
        <f>'[1]побудинковий звіт'!BZ272+'[2]побудинковий звіт'!BZ272-'[3]побудинковий звіт'!BZ272</f>
        <v>7530.6646228476257</v>
      </c>
      <c r="CA272" s="42">
        <f>'[1]побудинковий звіт'!CA272+'[2]побудинковий звіт'!CA272-'[3]побудинковий звіт'!CA272</f>
        <v>16747.656358708831</v>
      </c>
      <c r="CB272" s="56">
        <f t="shared" si="310"/>
        <v>9216.9917358612056</v>
      </c>
      <c r="CC272" s="42">
        <f>'[1]побудинковий звіт'!CC272+'[2]побудинковий звіт'!CC272-'[3]побудинковий звіт'!CC272</f>
        <v>1571.8442857372324</v>
      </c>
      <c r="CD272" s="42">
        <f>'[1]побудинковий звіт'!CD272+'[2]побудинковий звіт'!CD272-'[3]побудинковий звіт'!CD272</f>
        <v>1558.0194708515919</v>
      </c>
      <c r="CE272" s="56">
        <f t="shared" si="311"/>
        <v>-13.824814885640535</v>
      </c>
      <c r="CF272" s="42">
        <f>'[1]побудинковий звіт'!CF272+'[2]побудинковий звіт'!CF272-'[3]побудинковий звіт'!CF272</f>
        <v>193.50355790325776</v>
      </c>
      <c r="CG272" s="42">
        <f>'[1]побудинковий звіт'!CG272+'[2]побудинковий звіт'!CG272-'[3]побудинковий звіт'!CG272</f>
        <v>0</v>
      </c>
      <c r="CH272" s="56">
        <f t="shared" si="312"/>
        <v>-193.50355790325776</v>
      </c>
      <c r="CI272" s="42">
        <f>'[1]побудинковий звіт'!CI272+'[2]побудинковий звіт'!CI272-'[3]побудинковий звіт'!CI272</f>
        <v>4248.8782152226131</v>
      </c>
      <c r="CJ272" s="42">
        <f>'[1]побудинковий звіт'!CJ272+'[2]побудинковий звіт'!CJ272-'[3]побудинковий звіт'!CJ272</f>
        <v>2198.5275553509523</v>
      </c>
      <c r="CK272" s="56">
        <f t="shared" si="313"/>
        <v>-2050.3506598716608</v>
      </c>
      <c r="CL272" s="42">
        <f>'[1]побудинковий звіт'!CL272+'[2]побудинковий звіт'!CL272-'[3]побудинковий звіт'!CL272</f>
        <v>23808.692025388398</v>
      </c>
      <c r="CM272" s="42">
        <f>'[1]побудинковий звіт'!CM272+'[2]побудинковий звіт'!CM272-'[3]побудинковий звіт'!CM272</f>
        <v>19389.768072741281</v>
      </c>
      <c r="CN272" s="56">
        <f t="shared" si="314"/>
        <v>-4418.9239526471174</v>
      </c>
      <c r="CO272" s="42">
        <f t="shared" si="294"/>
        <v>28057.57024061101</v>
      </c>
      <c r="CP272" s="43">
        <f t="shared" si="315"/>
        <v>21588.295628092234</v>
      </c>
      <c r="CQ272" s="56">
        <f t="shared" si="316"/>
        <v>-6469.2746125187768</v>
      </c>
      <c r="CR272" s="78">
        <f t="shared" si="295"/>
        <v>311982.62157280435</v>
      </c>
      <c r="CS272" s="5">
        <f t="shared" si="295"/>
        <v>279812.61997974443</v>
      </c>
      <c r="CT272" s="56">
        <f t="shared" si="317"/>
        <v>-32170.001593059918</v>
      </c>
      <c r="CU272" s="87">
        <f t="shared" si="318"/>
        <v>374379.14588736522</v>
      </c>
      <c r="CV272" s="70">
        <f t="shared" si="319"/>
        <v>335775.14397569333</v>
      </c>
      <c r="CW272" s="37">
        <f t="shared" si="320"/>
        <v>-38604.00191167189</v>
      </c>
      <c r="CX272" s="42">
        <f>'[1]побудинковий звіт'!CX272+'[2]побудинковий звіт'!CX272-'[3]побудинковий звіт'!CX272</f>
        <v>5625.8541126350174</v>
      </c>
      <c r="CY272" s="42">
        <f>'[1]побудинковий звіт'!CY272+'[2]побудинковий звіт'!CY272-'[3]побудинковий звіт'!CY272</f>
        <v>44229.856024306719</v>
      </c>
      <c r="CZ272" s="56">
        <f t="shared" si="321"/>
        <v>38604.001911671701</v>
      </c>
      <c r="DA272" s="264">
        <f>'[4]побудинковий звіт'!DA272</f>
        <v>460228.20592087775</v>
      </c>
      <c r="DB272" s="2">
        <v>1</v>
      </c>
      <c r="DC272" s="717">
        <f>'[4]побудинковий звіт'!DC272</f>
        <v>62290.21</v>
      </c>
      <c r="DD272" s="717">
        <f>'[4]побудинковий звіт'!DD272</f>
        <v>0</v>
      </c>
      <c r="DE272" s="717">
        <f>'[4]побудинковий звіт'!DE272</f>
        <v>30622.559999999998</v>
      </c>
      <c r="DF272" s="717">
        <f>'[4]побудинковий звіт'!DF272</f>
        <v>0</v>
      </c>
      <c r="DG272" s="787">
        <v>481851.43247082061</v>
      </c>
      <c r="DH272" s="761">
        <f t="shared" si="290"/>
        <v>4560060.0000000028</v>
      </c>
      <c r="DI272" s="784"/>
      <c r="DJ272" s="5"/>
      <c r="DK272" s="317">
        <f>VLOOKUP($A272,ціни!$A$4:$G$401,5)</f>
        <v>5.3920382333823982</v>
      </c>
      <c r="DL272" s="317">
        <f>VLOOKUP($A272,ціни!$A$4:$G$401,6)</f>
        <v>6.7983711324661655</v>
      </c>
      <c r="DM272" s="317">
        <f>VLOOKUP($A272,ціни!$A$4:$G$401,7)</f>
        <v>4.5123446787150341</v>
      </c>
      <c r="DN272" s="30">
        <f>DK272*G272+(F272-G272)*DL272</f>
        <v>15073.451666629455</v>
      </c>
      <c r="DO272" s="30">
        <f>DM272*H272</f>
        <v>0</v>
      </c>
      <c r="DP272" s="316">
        <f t="shared" si="278"/>
        <v>15073.451666629455</v>
      </c>
      <c r="DQ272" s="104"/>
      <c r="DR272" s="30">
        <f>VLOOKUP(A272,'ДЗ нас '!$A$1:$C$359,2)</f>
        <v>31667.65</v>
      </c>
      <c r="DS272" s="748"/>
      <c r="DT272" s="30">
        <f t="shared" si="279"/>
        <v>31667.65</v>
      </c>
      <c r="DU272" s="257">
        <f>VLOOKUP(A272,'новий кошторис с 01.06'!$A$4:$AI$399,35)*1.2</f>
        <v>31759.830876111468</v>
      </c>
      <c r="DV272" s="30">
        <f t="shared" si="280"/>
        <v>-92.180876111466205</v>
      </c>
      <c r="DW272" s="930">
        <f>'[5]побудинковий звіт'!DW272+'[6]побудинковий звіт'!DW272</f>
        <v>253</v>
      </c>
      <c r="DY272" s="5">
        <f t="shared" si="286"/>
        <v>89307.402347252821</v>
      </c>
      <c r="DZ272" s="5">
        <f t="shared" si="287"/>
        <v>44698.144130424451</v>
      </c>
      <c r="EA272" s="752">
        <f t="shared" si="291"/>
        <v>30622.559999999998</v>
      </c>
      <c r="EC272" s="592">
        <f t="shared" si="288"/>
        <v>825519.87649343675</v>
      </c>
      <c r="EE272" s="758">
        <v>10236</v>
      </c>
      <c r="EF272" s="738">
        <f t="shared" si="289"/>
        <v>492087.43247082061</v>
      </c>
      <c r="EH272" s="813">
        <v>500126.89658217254</v>
      </c>
    </row>
    <row r="273" spans="1:138" x14ac:dyDescent="0.3">
      <c r="A273" s="328">
        <v>150000836</v>
      </c>
      <c r="B273" s="44" t="s">
        <v>724</v>
      </c>
      <c r="C273" s="45" t="s">
        <v>1782</v>
      </c>
      <c r="D273" s="45" t="s">
        <v>198</v>
      </c>
      <c r="E273" s="40">
        <f t="shared" si="292"/>
        <v>3567.9</v>
      </c>
      <c r="F273" s="490">
        <v>3567.9</v>
      </c>
      <c r="G273" s="30"/>
      <c r="H273" s="30">
        <v>0</v>
      </c>
      <c r="I273" s="42">
        <f>'[1]побудинковий звіт'!I273+'[2]побудинковий звіт'!I273-'[3]побудинковий звіт'!I273</f>
        <v>6521.0759053359816</v>
      </c>
      <c r="J273" s="42">
        <f>'[1]побудинковий звіт'!J273+'[2]побудинковий звіт'!J273-'[3]побудинковий звіт'!J273</f>
        <v>5466.4249686827588</v>
      </c>
      <c r="K273" s="56">
        <f t="shared" si="296"/>
        <v>-1054.6509366532227</v>
      </c>
      <c r="L273" s="42">
        <f>'[1]побудинковий звіт'!L273+'[2]побудинковий звіт'!L273-'[3]побудинковий звіт'!L273</f>
        <v>1435.4095696798076</v>
      </c>
      <c r="M273" s="42">
        <f>'[1]побудинковий звіт'!M273+'[2]побудинковий звіт'!M273-'[3]побудинковий звіт'!M273</f>
        <v>1315.4548252812012</v>
      </c>
      <c r="N273" s="56">
        <f t="shared" si="297"/>
        <v>-119.95474439860641</v>
      </c>
      <c r="O273" s="42">
        <f>'[1]побудинковий звіт'!O273+'[2]побудинковий звіт'!O273-'[3]побудинковий звіт'!O273</f>
        <v>2220.7199999999998</v>
      </c>
      <c r="P273" s="42">
        <f>'[1]побудинковий звіт'!P273+'[2]побудинковий звіт'!P273-'[3]побудинковий звіт'!P273</f>
        <v>1745.5888228494623</v>
      </c>
      <c r="Q273" s="56">
        <f t="shared" si="298"/>
        <v>-475.1311771505375</v>
      </c>
      <c r="R273" s="42">
        <f>'[1]побудинковий звіт'!R273+'[2]побудинковий звіт'!R273-'[3]побудинковий звіт'!R273</f>
        <v>539.04000000000008</v>
      </c>
      <c r="S273" s="42">
        <f>'[1]побудинковий звіт'!S273+'[2]побудинковий звіт'!S273-'[3]побудинковий звіт'!S273</f>
        <v>423.62794166666663</v>
      </c>
      <c r="T273" s="56">
        <f t="shared" si="299"/>
        <v>-115.41205833333345</v>
      </c>
      <c r="U273" s="42">
        <f>'[1]побудинковий звіт'!U273+'[2]побудинковий звіт'!U273-'[3]побудинковий звіт'!U273</f>
        <v>212.6898274279298</v>
      </c>
      <c r="V273" s="42">
        <f>'[1]побудинковий звіт'!V273+'[2]побудинковий звіт'!V273-'[3]побудинковий звіт'!V273</f>
        <v>72.824377562118002</v>
      </c>
      <c r="W273" s="56">
        <f t="shared" si="300"/>
        <v>-139.8654498658118</v>
      </c>
      <c r="X273" s="42">
        <f>'[1]побудинковий звіт'!X273+'[2]побудинковий звіт'!X273-'[3]побудинковий звіт'!X273</f>
        <v>2565.6953314145953</v>
      </c>
      <c r="Y273" s="42">
        <f>'[1]побудинковий звіт'!Y273+'[2]побудинковий звіт'!Y273-'[3]побудинковий звіт'!Y273</f>
        <v>1379.5116808375342</v>
      </c>
      <c r="Z273" s="56">
        <f t="shared" si="301"/>
        <v>-1186.1836505770611</v>
      </c>
      <c r="AA273" s="42">
        <f>'[1]побудинковий звіт'!AA273+'[2]побудинковий звіт'!AA273-'[3]побудинковий звіт'!AA273</f>
        <v>0</v>
      </c>
      <c r="AB273" s="42">
        <f>'[1]побудинковий звіт'!AB273+'[2]побудинковий звіт'!AB273-'[3]побудинковий звіт'!AB273</f>
        <v>0</v>
      </c>
      <c r="AC273" s="56">
        <f t="shared" si="302"/>
        <v>0</v>
      </c>
      <c r="AD273" s="42">
        <f>'[1]побудинковий звіт'!AD273+'[2]побудинковий звіт'!AD273-'[3]побудинковий звіт'!AD273</f>
        <v>6750.2552414691936</v>
      </c>
      <c r="AE273" s="42">
        <f>'[1]побудинковий звіт'!AE273+'[2]побудинковий звіт'!AE273-'[3]побудинковий звіт'!AE273</f>
        <v>6221.66529260479</v>
      </c>
      <c r="AF273" s="37">
        <f t="shared" si="303"/>
        <v>-528.5899488644036</v>
      </c>
      <c r="AG273" s="87">
        <f t="shared" si="293"/>
        <v>20244.885875327509</v>
      </c>
      <c r="AH273" s="57">
        <f t="shared" si="293"/>
        <v>16625.097909484528</v>
      </c>
      <c r="AI273" s="56">
        <f t="shared" si="304"/>
        <v>-3619.7879658429811</v>
      </c>
      <c r="AJ273" s="42">
        <f>'[1]побудинковий звіт'!AJ273+'[2]побудинковий звіт'!AJ273-'[3]побудинковий звіт'!AJ273</f>
        <v>0</v>
      </c>
      <c r="AK273" s="42">
        <f>'[1]побудинковий звіт'!AK273+'[2]побудинковий звіт'!AK273-'[3]побудинковий звіт'!AK273</f>
        <v>0</v>
      </c>
      <c r="AL273" s="56">
        <f t="shared" si="305"/>
        <v>0</v>
      </c>
      <c r="AM273" s="42">
        <f>'[1]побудинковий звіт'!AM273+'[2]побудинковий звіт'!AM273-'[3]побудинковий звіт'!AM273</f>
        <v>0</v>
      </c>
      <c r="AN273" s="42">
        <f>'[1]побудинковий звіт'!AN273+'[2]побудинковий звіт'!AN273-'[3]побудинковий звіт'!AN273</f>
        <v>0</v>
      </c>
      <c r="AO273" s="56">
        <f t="shared" si="306"/>
        <v>0</v>
      </c>
      <c r="AP273" s="42">
        <f>'[1]побудинковий звіт'!AP273+'[2]побудинковий звіт'!AP273-'[3]побудинковий звіт'!AP273</f>
        <v>568.21058573618984</v>
      </c>
      <c r="AQ273" s="42">
        <f>'[1]побудинковий звіт'!AQ273+'[2]побудинковий звіт'!AQ273-'[3]побудинковий звіт'!AQ273</f>
        <v>326.03827125248421</v>
      </c>
      <c r="AR273" s="56">
        <f t="shared" si="307"/>
        <v>-242.17231448370563</v>
      </c>
      <c r="AS273" s="42">
        <f>'[1]побудинковий звіт'!AS273+'[2]побудинковий звіт'!AS273-'[3]побудинковий звіт'!AS273</f>
        <v>26167.94777580196</v>
      </c>
      <c r="AT273" s="42">
        <f>'[1]побудинковий звіт'!AT273+'[2]побудинковий звіт'!AT273-'[3]побудинковий звіт'!AT273</f>
        <v>3442</v>
      </c>
      <c r="AU273" s="58">
        <f t="shared" si="322"/>
        <v>-22725.94777580196</v>
      </c>
      <c r="AV273" s="42">
        <f>'[1]побудинковий звіт'!AV273+'[2]побудинковий звіт'!AV273-'[3]побудинковий звіт'!AV273</f>
        <v>1177.4874086718121</v>
      </c>
      <c r="AW273" s="42">
        <f>'[1]побудинковий звіт'!AW273+'[2]побудинковий звіт'!AW273-'[3]побудинковий звіт'!AW273</f>
        <v>0</v>
      </c>
      <c r="AX273" s="59">
        <f t="shared" si="323"/>
        <v>-1177.4874086718121</v>
      </c>
      <c r="AY273" s="42">
        <f>'[1]побудинковий звіт'!AY273+'[2]побудинковий звіт'!AY273-'[3]побудинковий звіт'!AY273</f>
        <v>1714.7481482563896</v>
      </c>
      <c r="AZ273" s="42">
        <f>'[1]побудинковий звіт'!AZ273+'[2]побудинковий звіт'!AZ273-'[3]побудинковий звіт'!AZ273</f>
        <v>6123</v>
      </c>
      <c r="BA273" s="37">
        <f t="shared" si="324"/>
        <v>4408.2518517436101</v>
      </c>
      <c r="BB273" s="42">
        <f>'[1]побудинковий звіт'!BB273+'[2]побудинковий звіт'!BB273-'[3]побудинковий звіт'!BB273</f>
        <v>1046.4017712720649</v>
      </c>
      <c r="BC273" s="42">
        <f>'[1]побудинковий звіт'!BC273+'[2]побудинковий звіт'!BC273-'[3]побудинковий звіт'!BC273</f>
        <v>0</v>
      </c>
      <c r="BD273" s="59">
        <f t="shared" si="325"/>
        <v>-1046.4017712720649</v>
      </c>
      <c r="BE273" s="42">
        <f>'[1]побудинковий звіт'!BE273+'[2]побудинковий звіт'!BE273-'[3]побудинковий звіт'!BE273</f>
        <v>639.2299292562808</v>
      </c>
      <c r="BF273" s="42">
        <f>'[1]побудинковий звіт'!BF273+'[2]побудинковий звіт'!BF273-'[3]побудинковий звіт'!BF273</f>
        <v>0</v>
      </c>
      <c r="BG273" s="39">
        <f t="shared" si="326"/>
        <v>-639.2299292562808</v>
      </c>
      <c r="BH273" s="42">
        <f>'[1]побудинковий звіт'!BH273+'[2]побудинковий звіт'!BH273-'[3]побудинковий звіт'!BH273</f>
        <v>215.84670153417849</v>
      </c>
      <c r="BI273" s="42">
        <f>'[1]побудинковий звіт'!BI273+'[2]побудинковий звіт'!BI273-'[3]побудинковий звіт'!BI273</f>
        <v>0</v>
      </c>
      <c r="BJ273" s="59">
        <f t="shared" si="327"/>
        <v>-215.84670153417849</v>
      </c>
      <c r="BK273" s="42">
        <f>'[1]побудинковий звіт'!BK273+'[2]побудинковий звіт'!BK273-'[3]побудинковий звіт'!BK273</f>
        <v>553.11184355419323</v>
      </c>
      <c r="BL273" s="42">
        <f>'[1]побудинковий звіт'!BL273+'[2]побудинковий звіт'!BL273-'[3]побудинковий звіт'!BL273</f>
        <v>328</v>
      </c>
      <c r="BM273" s="39">
        <f t="shared" si="328"/>
        <v>-225.11184355419323</v>
      </c>
      <c r="BN273" s="42">
        <f>'[1]побудинковий звіт'!BN273+'[2]побудинковий звіт'!BN273-'[3]побудинковий звіт'!BN273</f>
        <v>191.44566298922325</v>
      </c>
      <c r="BO273" s="42">
        <f>'[1]побудинковий звіт'!BO273+'[2]побудинковий звіт'!BO273-'[3]побудинковий звіт'!BO273</f>
        <v>0</v>
      </c>
      <c r="BP273" s="59">
        <f t="shared" si="329"/>
        <v>-191.44566298922325</v>
      </c>
      <c r="BQ273" s="87">
        <f t="shared" si="282"/>
        <v>5538.2714655341424</v>
      </c>
      <c r="BR273" s="43">
        <f t="shared" si="283"/>
        <v>6451</v>
      </c>
      <c r="BS273" s="59">
        <f t="shared" si="330"/>
        <v>912.72853446585759</v>
      </c>
      <c r="BT273" s="42">
        <f>'[1]побудинковий звіт'!BT273+'[2]побудинковий звіт'!BT273-'[3]побудинковий звіт'!BT273</f>
        <v>28102.468708286397</v>
      </c>
      <c r="BU273" s="42">
        <f>'[1]побудинковий звіт'!BU273+'[2]побудинковий звіт'!BU273-'[3]побудинковий звіт'!BU273</f>
        <v>38594.254874232036</v>
      </c>
      <c r="BV273" s="56">
        <f t="shared" si="308"/>
        <v>10491.786165945639</v>
      </c>
      <c r="BW273" s="42">
        <f>'[1]побудинковий звіт'!BW273+'[2]побудинковий звіт'!BW273-'[3]побудинковий звіт'!BW273</f>
        <v>12134.695382117476</v>
      </c>
      <c r="BX273" s="42">
        <f>'[1]побудинковий звіт'!BX273+'[2]побудинковий звіт'!BX273-'[3]побудинковий звіт'!BX273</f>
        <v>13939.519170408043</v>
      </c>
      <c r="BY273" s="56">
        <f t="shared" si="309"/>
        <v>1804.8237882905669</v>
      </c>
      <c r="BZ273" s="42">
        <f>'[1]побудинковий звіт'!BZ273+'[2]побудинковий звіт'!BZ273-'[3]побудинковий звіт'!BZ273</f>
        <v>12983.904522151081</v>
      </c>
      <c r="CA273" s="42">
        <f>'[1]побудинковий звіт'!CA273+'[2]побудинковий звіт'!CA273-'[3]побудинковий звіт'!CA273</f>
        <v>8935.4579215388421</v>
      </c>
      <c r="CB273" s="56">
        <f t="shared" si="310"/>
        <v>-4048.4466006122384</v>
      </c>
      <c r="CC273" s="42">
        <f>'[1]побудинковий звіт'!CC273+'[2]побудинковий звіт'!CC273-'[3]побудинковий звіт'!CC273</f>
        <v>941.2241231959473</v>
      </c>
      <c r="CD273" s="42">
        <f>'[1]побудинковий звіт'!CD273+'[2]побудинковий звіт'!CD273-'[3]побудинковий звіт'!CD273</f>
        <v>932.94579092909726</v>
      </c>
      <c r="CE273" s="56">
        <f t="shared" si="311"/>
        <v>-8.2783322668500432</v>
      </c>
      <c r="CF273" s="42">
        <f>'[1]побудинковий звіт'!CF273+'[2]побудинковий звіт'!CF273-'[3]побудинковий звіт'!CF273</f>
        <v>115.87039395404656</v>
      </c>
      <c r="CG273" s="42">
        <f>'[1]побудинковий звіт'!CG273+'[2]побудинковий звіт'!CG273-'[3]побудинковий звіт'!CG273</f>
        <v>0</v>
      </c>
      <c r="CH273" s="56">
        <f t="shared" si="312"/>
        <v>-115.87039395404656</v>
      </c>
      <c r="CI273" s="42">
        <f>'[1]побудинковий звіт'!CI273+'[2]побудинковий звіт'!CI273-'[3]побудинковий звіт'!CI273</f>
        <v>3893.245236855962</v>
      </c>
      <c r="CJ273" s="42">
        <f>'[1]побудинковий звіт'!CJ273+'[2]побудинковий звіт'!CJ273-'[3]побудинковий звіт'!CJ273</f>
        <v>238.13878242941053</v>
      </c>
      <c r="CK273" s="56">
        <f t="shared" si="313"/>
        <v>-3655.1064544265514</v>
      </c>
      <c r="CL273" s="42">
        <f>'[1]побудинковий звіт'!CL273+'[2]побудинковий звіт'!CL273-'[3]побудинковий звіт'!CL273</f>
        <v>0</v>
      </c>
      <c r="CM273" s="42">
        <f>'[1]побудинковий звіт'!CM273+'[2]побудинковий звіт'!CM273-'[3]побудинковий звіт'!CM273</f>
        <v>0</v>
      </c>
      <c r="CN273" s="56">
        <f t="shared" si="314"/>
        <v>0</v>
      </c>
      <c r="CO273" s="42">
        <f t="shared" si="294"/>
        <v>3893.245236855962</v>
      </c>
      <c r="CP273" s="43">
        <f t="shared" si="315"/>
        <v>238.13878242941053</v>
      </c>
      <c r="CQ273" s="56">
        <f t="shared" si="316"/>
        <v>-3655.1064544265514</v>
      </c>
      <c r="CR273" s="78">
        <f t="shared" si="295"/>
        <v>110690.7240689607</v>
      </c>
      <c r="CS273" s="5">
        <f t="shared" si="295"/>
        <v>89484.452720274436</v>
      </c>
      <c r="CT273" s="56">
        <f t="shared" si="317"/>
        <v>-21206.271348686263</v>
      </c>
      <c r="CU273" s="87">
        <f t="shared" si="318"/>
        <v>132828.86888275284</v>
      </c>
      <c r="CV273" s="70">
        <f t="shared" si="319"/>
        <v>107381.34326432932</v>
      </c>
      <c r="CW273" s="37">
        <f t="shared" si="320"/>
        <v>-25447.525618423519</v>
      </c>
      <c r="CX273" s="42">
        <f>'[1]побудинковий звіт'!CX273+'[2]побудинковий звіт'!CX273-'[3]побудинковий звіт'!CX273</f>
        <v>1327.5311172471702</v>
      </c>
      <c r="CY273" s="42">
        <f>'[1]побудинковий звіт'!CY273+'[2]побудинковий звіт'!CY273-'[3]побудинковий звіт'!CY273</f>
        <v>26775.056735670674</v>
      </c>
      <c r="CZ273" s="56">
        <f t="shared" si="321"/>
        <v>25447.525618423504</v>
      </c>
      <c r="DA273" s="264">
        <f>'[4]побудинковий звіт'!DA273</f>
        <v>-11544.050348202796</v>
      </c>
      <c r="DB273" s="2">
        <v>1</v>
      </c>
      <c r="DC273" s="717">
        <f>'[4]побудинковий звіт'!DC273</f>
        <v>32984.019999999997</v>
      </c>
      <c r="DD273" s="717">
        <f>'[4]побудинковий звіт'!DD273</f>
        <v>0</v>
      </c>
      <c r="DE273" s="717">
        <f>'[4]побудинковий звіт'!DE273</f>
        <v>21804.319999999996</v>
      </c>
      <c r="DF273" s="717">
        <f>'[4]побудинковий звіт'!DF273</f>
        <v>0</v>
      </c>
      <c r="DG273" s="787">
        <v>-10736.074559050379</v>
      </c>
      <c r="DH273" s="761">
        <f t="shared" si="290"/>
        <v>1609876.8000000003</v>
      </c>
      <c r="DI273" s="784"/>
      <c r="DJ273" s="5"/>
      <c r="DK273" s="317">
        <f>VLOOKUP($A273,ціни!$A$4:$G$401,5)</f>
        <v>7.0816261043675368</v>
      </c>
      <c r="DL273" s="317"/>
      <c r="DM273" s="317">
        <f>VLOOKUP($A273,ціни!$A$4:$G$401,7)</f>
        <v>6.3052884635276909</v>
      </c>
      <c r="DN273" s="30">
        <f>F273*DK273</f>
        <v>25266.533777772936</v>
      </c>
      <c r="DO273" s="30">
        <f>H273*DM273</f>
        <v>0</v>
      </c>
      <c r="DP273" s="316">
        <f t="shared" si="278"/>
        <v>25266.533777772936</v>
      </c>
      <c r="DQ273" s="104"/>
      <c r="DR273" s="30">
        <f>VLOOKUP(A273,'ДЗ нас '!$A$1:$C$359,2)</f>
        <v>11179.7</v>
      </c>
      <c r="DS273" s="748"/>
      <c r="DT273" s="30">
        <f t="shared" si="279"/>
        <v>11179.7</v>
      </c>
      <c r="DU273" s="257">
        <f>VLOOKUP(A273,'новий кошторис с 01.06'!$A$4:$AI$399,35)*1.2</f>
        <v>11201.901275778824</v>
      </c>
      <c r="DV273" s="30">
        <f t="shared" si="280"/>
        <v>-22.201275778823401</v>
      </c>
      <c r="DW273" s="930">
        <f>'[5]побудинковий звіт'!DW273+'[6]побудинковий звіт'!DW273</f>
        <v>204</v>
      </c>
      <c r="DY273" s="5">
        <f t="shared" si="286"/>
        <v>38047.463089603327</v>
      </c>
      <c r="DZ273" s="5">
        <f t="shared" si="287"/>
        <v>11871.6</v>
      </c>
      <c r="EA273" s="752">
        <f t="shared" si="291"/>
        <v>21804.319999999996</v>
      </c>
      <c r="EC273" s="592">
        <f t="shared" si="288"/>
        <v>314015.37330962351</v>
      </c>
      <c r="EE273" s="758">
        <v>66051</v>
      </c>
      <c r="EF273" s="738">
        <f t="shared" si="289"/>
        <v>55314.925440949621</v>
      </c>
      <c r="EH273" s="813">
        <v>15337.75826735891</v>
      </c>
    </row>
    <row r="274" spans="1:138" x14ac:dyDescent="0.3">
      <c r="A274" s="328">
        <v>150000837</v>
      </c>
      <c r="B274" s="44" t="s">
        <v>725</v>
      </c>
      <c r="C274" s="45" t="s">
        <v>1783</v>
      </c>
      <c r="D274" s="45" t="s">
        <v>199</v>
      </c>
      <c r="E274" s="40">
        <f t="shared" si="292"/>
        <v>3446.6</v>
      </c>
      <c r="F274" s="490">
        <v>3340.7</v>
      </c>
      <c r="G274" s="30"/>
      <c r="H274" s="30">
        <v>105.9</v>
      </c>
      <c r="I274" s="42">
        <f>'[1]побудинковий звіт'!I274+'[2]побудинковий звіт'!I274-'[3]побудинковий звіт'!I274</f>
        <v>2908.6610907202726</v>
      </c>
      <c r="J274" s="42">
        <f>'[1]побудинковий звіт'!J274+'[2]побудинковий звіт'!J274-'[3]побудинковий звіт'!J274</f>
        <v>2432.2664592452265</v>
      </c>
      <c r="K274" s="56">
        <f t="shared" si="296"/>
        <v>-476.39463147504603</v>
      </c>
      <c r="L274" s="42">
        <f>'[1]побудинковий звіт'!L274+'[2]побудинковий звіт'!L274-'[3]побудинковий звіт'!L274</f>
        <v>433.78300722091524</v>
      </c>
      <c r="M274" s="42">
        <f>'[1]побудинковий звіт'!M274+'[2]побудинковий звіт'!M274-'[3]побудинковий звіт'!M274</f>
        <v>443.9694742371654</v>
      </c>
      <c r="N274" s="56">
        <f t="shared" si="297"/>
        <v>10.186467016250162</v>
      </c>
      <c r="O274" s="42">
        <f>'[1]побудинковий звіт'!O274+'[2]побудинковий звіт'!O274-'[3]побудинковий звіт'!O274</f>
        <v>805.68</v>
      </c>
      <c r="P274" s="42">
        <f>'[1]побудинковий звіт'!P274+'[2]побудинковий звіт'!P274-'[3]побудинковий звіт'!P274</f>
        <v>633.32812150537632</v>
      </c>
      <c r="Q274" s="56">
        <f t="shared" si="298"/>
        <v>-172.35187849462363</v>
      </c>
      <c r="R274" s="42">
        <f>'[1]побудинковий звіт'!R274+'[2]побудинковий звіт'!R274-'[3]побудинковий звіт'!R274</f>
        <v>0</v>
      </c>
      <c r="S274" s="42">
        <f>'[1]побудинковий звіт'!S274+'[2]побудинковий звіт'!S274-'[3]побудинковий звіт'!S274</f>
        <v>0</v>
      </c>
      <c r="T274" s="56">
        <f t="shared" si="299"/>
        <v>0</v>
      </c>
      <c r="U274" s="42">
        <f>'[1]побудинковий звіт'!U274+'[2]побудинковий звіт'!U274-'[3]побудинковий звіт'!U274</f>
        <v>0</v>
      </c>
      <c r="V274" s="42">
        <f>'[1]побудинковий звіт'!V274+'[2]побудинковий звіт'!V274-'[3]побудинковий звіт'!V274</f>
        <v>0</v>
      </c>
      <c r="W274" s="56">
        <f t="shared" si="300"/>
        <v>0</v>
      </c>
      <c r="X274" s="42">
        <f>'[1]побудинковий звіт'!X274+'[2]побудинковий звіт'!X274-'[3]побудинковий звіт'!X274</f>
        <v>1454.500092173831</v>
      </c>
      <c r="Y274" s="42">
        <f>'[1]побудинковий звіт'!Y274+'[2]побудинковий звіт'!Y274-'[3]побудинковий звіт'!Y274</f>
        <v>912.11308815175369</v>
      </c>
      <c r="Z274" s="56">
        <f t="shared" si="301"/>
        <v>-542.38700402207735</v>
      </c>
      <c r="AA274" s="42">
        <f>'[1]побудинковий звіт'!AA274+'[2]побудинковий звіт'!AA274-'[3]побудинковий звіт'!AA274</f>
        <v>0</v>
      </c>
      <c r="AB274" s="42">
        <f>'[1]побудинковий звіт'!AB274+'[2]побудинковий звіт'!AB274-'[3]побудинковий звіт'!AB274</f>
        <v>0</v>
      </c>
      <c r="AC274" s="56">
        <f t="shared" si="302"/>
        <v>0</v>
      </c>
      <c r="AD274" s="42">
        <f>'[1]побудинковий звіт'!AD274+'[2]побудинковий звіт'!AD274-'[3]побудинковий звіт'!AD274</f>
        <v>2698.4772806050601</v>
      </c>
      <c r="AE274" s="42">
        <f>'[1]побудинковий звіт'!AE274+'[2]побудинковий звіт'!AE274-'[3]побудинковий звіт'!AE274</f>
        <v>2487.1685349736381</v>
      </c>
      <c r="AF274" s="37">
        <f t="shared" si="303"/>
        <v>-211.30874563142197</v>
      </c>
      <c r="AG274" s="87">
        <f t="shared" si="293"/>
        <v>8301.1014707200793</v>
      </c>
      <c r="AH274" s="57">
        <f t="shared" si="293"/>
        <v>6908.8456781131599</v>
      </c>
      <c r="AI274" s="56">
        <f t="shared" si="304"/>
        <v>-1392.2557926069194</v>
      </c>
      <c r="AJ274" s="42">
        <f>'[1]побудинковий звіт'!AJ274+'[2]побудинковий звіт'!AJ274-'[3]побудинковий звіт'!AJ274</f>
        <v>0</v>
      </c>
      <c r="AK274" s="42">
        <f>'[1]побудинковий звіт'!AK274+'[2]побудинковий звіт'!AK274-'[3]побудинковий звіт'!AK274</f>
        <v>0</v>
      </c>
      <c r="AL274" s="56">
        <f t="shared" si="305"/>
        <v>0</v>
      </c>
      <c r="AM274" s="42">
        <f>'[1]побудинковий звіт'!AM274+'[2]побудинковий звіт'!AM274-'[3]побудинковий звіт'!AM274</f>
        <v>0</v>
      </c>
      <c r="AN274" s="42">
        <f>'[1]побудинковий звіт'!AN274+'[2]побудинковий звіт'!AN274-'[3]побудинковий звіт'!AN274</f>
        <v>0</v>
      </c>
      <c r="AO274" s="56">
        <f t="shared" si="306"/>
        <v>0</v>
      </c>
      <c r="AP274" s="42">
        <f>'[1]побудинковий звіт'!AP274+'[2]побудинковий звіт'!AP274-'[3]побудинковий звіт'!AP274</f>
        <v>1562.579110774522</v>
      </c>
      <c r="AQ274" s="42">
        <f>'[1]побудинковий звіт'!AQ274+'[2]побудинковий звіт'!AQ274-'[3]побудинковий звіт'!AQ274</f>
        <v>1328.2838501756241</v>
      </c>
      <c r="AR274" s="56">
        <f t="shared" si="307"/>
        <v>-234.29526059889781</v>
      </c>
      <c r="AS274" s="42">
        <f>'[1]побудинковий звіт'!AS274+'[2]побудинковий звіт'!AS274-'[3]побудинковий звіт'!AS274</f>
        <v>5248.5597123362022</v>
      </c>
      <c r="AT274" s="42">
        <f>'[1]побудинковий звіт'!AT274+'[2]побудинковий звіт'!AT274-'[3]побудинковий звіт'!AT274</f>
        <v>0</v>
      </c>
      <c r="AU274" s="58">
        <f t="shared" si="322"/>
        <v>-5248.5597123362022</v>
      </c>
      <c r="AV274" s="42">
        <f>'[1]побудинковий звіт'!AV274+'[2]побудинковий звіт'!AV274-'[3]побудинковий звіт'!AV274</f>
        <v>550.79826680800022</v>
      </c>
      <c r="AW274" s="42">
        <f>'[1]побудинковий звіт'!AW274+'[2]побудинковий звіт'!AW274-'[3]побудинковий звіт'!AW274</f>
        <v>0</v>
      </c>
      <c r="AX274" s="59">
        <f t="shared" si="323"/>
        <v>-550.79826680800022</v>
      </c>
      <c r="AY274" s="42">
        <f>'[1]побудинковий звіт'!AY274+'[2]побудинковий звіт'!AY274-'[3]побудинковий звіт'!AY274</f>
        <v>558.96847012165529</v>
      </c>
      <c r="AZ274" s="42">
        <f>'[1]побудинковий звіт'!AZ274+'[2]побудинковий звіт'!AZ274-'[3]побудинковий звіт'!AZ274</f>
        <v>0</v>
      </c>
      <c r="BA274" s="37">
        <f t="shared" si="324"/>
        <v>-558.96847012165529</v>
      </c>
      <c r="BB274" s="42">
        <f>'[1]побудинковий звіт'!BB274+'[2]побудинковий звіт'!BB274-'[3]побудинковий звіт'!BB274</f>
        <v>407.48074181264576</v>
      </c>
      <c r="BC274" s="42">
        <f>'[1]побудинковий звіт'!BC274+'[2]побудинковий звіт'!BC274-'[3]побудинковий звіт'!BC274</f>
        <v>664</v>
      </c>
      <c r="BD274" s="59">
        <f t="shared" si="325"/>
        <v>256.51925818735424</v>
      </c>
      <c r="BE274" s="42">
        <f>'[1]побудинковий звіт'!BE274+'[2]побудинковий звіт'!BE274-'[3]побудинковий звіт'!BE274</f>
        <v>0</v>
      </c>
      <c r="BF274" s="42">
        <f>'[1]побудинковий звіт'!BF274+'[2]побудинковий звіт'!BF274-'[3]побудинковий звіт'!BF274</f>
        <v>0</v>
      </c>
      <c r="BG274" s="39">
        <f t="shared" si="326"/>
        <v>0</v>
      </c>
      <c r="BH274" s="42">
        <f>'[1]побудинковий звіт'!BH274+'[2]побудинковий звіт'!BH274-'[3]побудинковий звіт'!BH274</f>
        <v>0</v>
      </c>
      <c r="BI274" s="42">
        <f>'[1]побудинковий звіт'!BI274+'[2]побудинковий звіт'!BI274-'[3]побудинковий звіт'!BI274</f>
        <v>0</v>
      </c>
      <c r="BJ274" s="59">
        <f t="shared" si="327"/>
        <v>0</v>
      </c>
      <c r="BK274" s="42">
        <f>'[1]побудинковий звіт'!BK274+'[2]побудинковий звіт'!BK274-'[3]побудинковий звіт'!BK274</f>
        <v>267.11038291810968</v>
      </c>
      <c r="BL274" s="42">
        <f>'[1]побудинковий звіт'!BL274+'[2]побудинковий звіт'!BL274-'[3]побудинковий звіт'!BL274</f>
        <v>0</v>
      </c>
      <c r="BM274" s="39">
        <f t="shared" si="328"/>
        <v>-267.11038291810968</v>
      </c>
      <c r="BN274" s="42">
        <f>'[1]побудинковий звіт'!BN274+'[2]побудинковий звіт'!BN274-'[3]побудинковий звіт'!BN274</f>
        <v>91.722285835089508</v>
      </c>
      <c r="BO274" s="42">
        <f>'[1]побудинковий звіт'!BO274+'[2]побудинковий звіт'!BO274-'[3]побудинковий звіт'!BO274</f>
        <v>0</v>
      </c>
      <c r="BP274" s="59">
        <f t="shared" si="329"/>
        <v>-91.722285835089508</v>
      </c>
      <c r="BQ274" s="87">
        <f t="shared" si="282"/>
        <v>1876.0801474955003</v>
      </c>
      <c r="BR274" s="43">
        <f t="shared" si="283"/>
        <v>664</v>
      </c>
      <c r="BS274" s="59">
        <f t="shared" si="330"/>
        <v>-1212.0801474955003</v>
      </c>
      <c r="BT274" s="42">
        <f>'[1]побудинковий звіт'!BT274+'[2]побудинковий звіт'!BT274-'[3]побудинковий звіт'!BT274</f>
        <v>9102.5818921891332</v>
      </c>
      <c r="BU274" s="42">
        <f>'[1]побудинковий звіт'!BU274+'[2]побудинковий звіт'!BU274-'[3]побудинковий звіт'!BU274</f>
        <v>14968.020358373531</v>
      </c>
      <c r="BV274" s="56">
        <f t="shared" si="308"/>
        <v>5865.4384661843978</v>
      </c>
      <c r="BW274" s="42">
        <f>'[1]побудинковий звіт'!BW274+'[2]побудинковий звіт'!BW274-'[3]побудинковий звіт'!BW274</f>
        <v>4400.477160667554</v>
      </c>
      <c r="BX274" s="42">
        <f>'[1]побудинковий звіт'!BX274+'[2]побудинковий звіт'!BX274-'[3]побудинковий звіт'!BX274</f>
        <v>5392.1771118371335</v>
      </c>
      <c r="BY274" s="56">
        <f t="shared" si="309"/>
        <v>991.69995116957944</v>
      </c>
      <c r="BZ274" s="42">
        <f>'[1]побудинковий звіт'!BZ274+'[2]побудинковий звіт'!BZ274-'[3]побудинковий звіт'!BZ274</f>
        <v>3895.1713566453245</v>
      </c>
      <c r="CA274" s="42">
        <f>'[1]побудинковий звіт'!CA274+'[2]побудинковий звіт'!CA274-'[3]побудинковий звіт'!CA274</f>
        <v>2829.1513214688116</v>
      </c>
      <c r="CB274" s="56">
        <f t="shared" si="310"/>
        <v>-1066.0200351765129</v>
      </c>
      <c r="CC274" s="42">
        <f>'[1]побудинковий звіт'!CC274+'[2]побудинковий звіт'!CC274-'[3]побудинковий звіт'!CC274</f>
        <v>0</v>
      </c>
      <c r="CD274" s="42">
        <f>'[1]побудинковий звіт'!CD274+'[2]побудинковий звіт'!CD274-'[3]побудинковий звіт'!CD274</f>
        <v>0</v>
      </c>
      <c r="CE274" s="56">
        <f t="shared" si="311"/>
        <v>0</v>
      </c>
      <c r="CF274" s="42">
        <f>'[1]побудинковий звіт'!CF274+'[2]побудинковий звіт'!CF274-'[3]побудинковий звіт'!CF274</f>
        <v>0</v>
      </c>
      <c r="CG274" s="42">
        <f>'[1]побудинковий звіт'!CG274+'[2]побудинковий звіт'!CG274-'[3]побудинковий звіт'!CG274</f>
        <v>0</v>
      </c>
      <c r="CH274" s="56">
        <f t="shared" si="312"/>
        <v>0</v>
      </c>
      <c r="CI274" s="42">
        <f>'[1]побудинковий звіт'!CI274+'[2]побудинковий звіт'!CI274-'[3]побудинковий звіт'!CI274</f>
        <v>505.37317978418753</v>
      </c>
      <c r="CJ274" s="42">
        <f>'[1]побудинковий звіт'!CJ274+'[2]побудинковий звіт'!CJ274-'[3]побудинковий звіт'!CJ274</f>
        <v>625.40317112427078</v>
      </c>
      <c r="CK274" s="56">
        <f t="shared" si="313"/>
        <v>120.02999134008326</v>
      </c>
      <c r="CL274" s="42">
        <f>'[1]побудинковий звіт'!CL274+'[2]побудинковий звіт'!CL274-'[3]побудинковий звіт'!CL274</f>
        <v>0</v>
      </c>
      <c r="CM274" s="42">
        <f>'[1]побудинковий звіт'!CM274+'[2]побудинковий звіт'!CM274-'[3]побудинковий звіт'!CM274</f>
        <v>0</v>
      </c>
      <c r="CN274" s="56">
        <f t="shared" si="314"/>
        <v>0</v>
      </c>
      <c r="CO274" s="42">
        <f t="shared" si="294"/>
        <v>505.37317978418753</v>
      </c>
      <c r="CP274" s="43">
        <f t="shared" si="315"/>
        <v>625.40317112427078</v>
      </c>
      <c r="CQ274" s="56">
        <f t="shared" si="316"/>
        <v>120.02999134008326</v>
      </c>
      <c r="CR274" s="78">
        <f t="shared" si="295"/>
        <v>34891.924030612507</v>
      </c>
      <c r="CS274" s="5">
        <f t="shared" si="295"/>
        <v>32715.881491092532</v>
      </c>
      <c r="CT274" s="56">
        <f t="shared" si="317"/>
        <v>-2176.0425395199745</v>
      </c>
      <c r="CU274" s="87">
        <f t="shared" si="318"/>
        <v>41870.308836735006</v>
      </c>
      <c r="CV274" s="70">
        <f t="shared" si="319"/>
        <v>39259.057789311039</v>
      </c>
      <c r="CW274" s="37">
        <f t="shared" si="320"/>
        <v>-2611.251047423968</v>
      </c>
      <c r="CX274" s="42">
        <f>'[1]побудинковий звіт'!CX274+'[2]побудинковий звіт'!CX274-'[3]побудинковий звіт'!CX274</f>
        <v>-0.14883673500116856</v>
      </c>
      <c r="CY274" s="42">
        <f>'[1]побудинковий звіт'!CY274+'[2]побудинковий звіт'!CY274-'[3]побудинковий звіт'!CY274</f>
        <v>2611.1022106889682</v>
      </c>
      <c r="CZ274" s="56">
        <f t="shared" si="321"/>
        <v>2611.2510474239693</v>
      </c>
      <c r="DA274" s="264">
        <f>'[4]побудинковий звіт'!DA274</f>
        <v>18768.030425491481</v>
      </c>
      <c r="DB274" s="2">
        <v>1</v>
      </c>
      <c r="DC274" s="717">
        <f>'[4]побудинковий звіт'!DC274</f>
        <v>3225.85</v>
      </c>
      <c r="DD274" s="717">
        <f>'[4]побудинковий звіт'!DD274</f>
        <v>911.57</v>
      </c>
      <c r="DE274" s="717">
        <f>'[4]побудинковий звіт'!DE274</f>
        <v>248.31999999999971</v>
      </c>
      <c r="DF274" s="717">
        <f>'[4]побудинковий звіт'!DF274</f>
        <v>399.92000000000007</v>
      </c>
      <c r="DG274" s="787">
        <v>17805.584158903279</v>
      </c>
      <c r="DH274" s="761">
        <f t="shared" si="290"/>
        <v>502441.92000000004</v>
      </c>
      <c r="DI274" s="784"/>
      <c r="DJ274" s="5"/>
      <c r="DK274" s="317">
        <f>VLOOKUP($A274,ціни!$A$4:$G$401,5)</f>
        <v>5.6693432290313046</v>
      </c>
      <c r="DL274" s="317"/>
      <c r="DM274" s="317">
        <f>VLOOKUP($A274,ціни!$A$4:$G$401,7)</f>
        <v>4.8314762905949848</v>
      </c>
      <c r="DN274" s="30">
        <f>F274*DK274</f>
        <v>18939.574925224879</v>
      </c>
      <c r="DO274" s="30">
        <f>H274*DM274</f>
        <v>511.65333917400892</v>
      </c>
      <c r="DP274" s="316">
        <f t="shared" si="278"/>
        <v>19451.228264398887</v>
      </c>
      <c r="DQ274" s="104"/>
      <c r="DR274" s="30">
        <f>VLOOKUP(A274,'ДЗ нас '!$A$1:$C$359,2)</f>
        <v>2977.53</v>
      </c>
      <c r="DS274" s="748">
        <f>VLOOKUP(A274,'ДЗ нежит'!$A$1:$D$153,4,0)</f>
        <v>511.65</v>
      </c>
      <c r="DT274" s="30">
        <f t="shared" si="279"/>
        <v>3489.1800000000003</v>
      </c>
      <c r="DU274" s="257">
        <f>VLOOKUP(A274,'новий кошторис с 01.06'!$A$4:$AI$399,35)*1.2</f>
        <v>3489.1924030612504</v>
      </c>
      <c r="DV274" s="30">
        <f t="shared" si="280"/>
        <v>-1.240306125009738E-2</v>
      </c>
      <c r="DW274" s="930">
        <f>'[5]побудинковий звіт'!DW274+'[6]побудинковий звіт'!DW274</f>
        <v>204</v>
      </c>
      <c r="DY274" s="5">
        <f t="shared" si="286"/>
        <v>8549.5678317980437</v>
      </c>
      <c r="DZ274" s="5">
        <f t="shared" si="287"/>
        <v>796.8</v>
      </c>
      <c r="EA274" s="752">
        <f t="shared" si="291"/>
        <v>648.23999999999978</v>
      </c>
      <c r="EC274" s="592">
        <f t="shared" si="288"/>
        <v>62982.716548034427</v>
      </c>
      <c r="EE274" s="758">
        <v>490</v>
      </c>
      <c r="EF274" s="738">
        <f t="shared" si="289"/>
        <v>18295.584158903279</v>
      </c>
      <c r="EH274" s="813">
        <v>18152.321647803758</v>
      </c>
    </row>
    <row r="275" spans="1:138" x14ac:dyDescent="0.3">
      <c r="A275" s="328">
        <v>150000839</v>
      </c>
      <c r="B275" s="44" t="s">
        <v>726</v>
      </c>
      <c r="C275" s="45" t="s">
        <v>1784</v>
      </c>
      <c r="D275" s="45" t="s">
        <v>135</v>
      </c>
      <c r="E275" s="40">
        <f t="shared" si="292"/>
        <v>1236.8</v>
      </c>
      <c r="F275" s="490">
        <v>1236.8</v>
      </c>
      <c r="G275" s="30"/>
      <c r="H275" s="30">
        <v>0</v>
      </c>
      <c r="I275" s="42">
        <f>'[1]побудинковий звіт'!I275+'[2]побудинковий звіт'!I275-'[3]побудинковий звіт'!I275</f>
        <v>0</v>
      </c>
      <c r="J275" s="42">
        <f>'[1]побудинковий звіт'!J275+'[2]побудинковий звіт'!J275-'[3]побудинковий звіт'!J275</f>
        <v>0</v>
      </c>
      <c r="K275" s="56">
        <f t="shared" si="296"/>
        <v>0</v>
      </c>
      <c r="L275" s="42">
        <f>'[1]побудинковий звіт'!L275+'[2]побудинковий звіт'!L275-'[3]побудинковий звіт'!L275</f>
        <v>0</v>
      </c>
      <c r="M275" s="42">
        <f>'[1]побудинковий звіт'!M275+'[2]побудинковий звіт'!M275-'[3]побудинковий звіт'!M275</f>
        <v>0</v>
      </c>
      <c r="N275" s="56">
        <f t="shared" si="297"/>
        <v>0</v>
      </c>
      <c r="O275" s="42">
        <f>'[1]побудинковий звіт'!O275+'[2]побудинковий звіт'!O275-'[3]побудинковий звіт'!O275</f>
        <v>0</v>
      </c>
      <c r="P275" s="42">
        <f>'[1]побудинковий звіт'!P275+'[2]побудинковий звіт'!P275-'[3]побудинковий звіт'!P275</f>
        <v>0</v>
      </c>
      <c r="Q275" s="56">
        <f t="shared" si="298"/>
        <v>0</v>
      </c>
      <c r="R275" s="42">
        <f>'[1]побудинковий звіт'!R275+'[2]побудинковий звіт'!R275-'[3]побудинковий звіт'!R275</f>
        <v>0</v>
      </c>
      <c r="S275" s="42">
        <f>'[1]побудинковий звіт'!S275+'[2]побудинковий звіт'!S275-'[3]побудинковий звіт'!S275</f>
        <v>0</v>
      </c>
      <c r="T275" s="56">
        <f t="shared" si="299"/>
        <v>0</v>
      </c>
      <c r="U275" s="42">
        <f>'[1]побудинковий звіт'!U275+'[2]побудинковий звіт'!U275-'[3]побудинковий звіт'!U275</f>
        <v>0</v>
      </c>
      <c r="V275" s="42">
        <f>'[1]побудинковий звіт'!V275+'[2]побудинковий звіт'!V275-'[3]побудинковий звіт'!V275</f>
        <v>0</v>
      </c>
      <c r="W275" s="56">
        <f t="shared" si="300"/>
        <v>0</v>
      </c>
      <c r="X275" s="42">
        <f>'[1]побудинковий звіт'!X275+'[2]побудинковий звіт'!X275-'[3]побудинковий звіт'!X275</f>
        <v>0</v>
      </c>
      <c r="Y275" s="42">
        <f>'[1]побудинковий звіт'!Y275+'[2]побудинковий звіт'!Y275-'[3]побудинковий звіт'!Y275</f>
        <v>0</v>
      </c>
      <c r="Z275" s="56">
        <f t="shared" si="301"/>
        <v>0</v>
      </c>
      <c r="AA275" s="42">
        <f>'[1]побудинковий звіт'!AA275+'[2]побудинковий звіт'!AA275-'[3]побудинковий звіт'!AA275</f>
        <v>0</v>
      </c>
      <c r="AB275" s="42">
        <f>'[1]побудинковий звіт'!AB275+'[2]побудинковий звіт'!AB275-'[3]побудинковий звіт'!AB275</f>
        <v>0</v>
      </c>
      <c r="AC275" s="56">
        <f t="shared" si="302"/>
        <v>0</v>
      </c>
      <c r="AD275" s="42">
        <f>'[1]побудинковий звіт'!AD275+'[2]побудинковий звіт'!AD275-'[3]побудинковий звіт'!AD275</f>
        <v>0</v>
      </c>
      <c r="AE275" s="42">
        <f>'[1]побудинковий звіт'!AE275+'[2]побудинковий звіт'!AE275-'[3]побудинковий звіт'!AE275</f>
        <v>85.396499655031405</v>
      </c>
      <c r="AF275" s="37">
        <f t="shared" si="303"/>
        <v>85.396499655031405</v>
      </c>
      <c r="AG275" s="87">
        <f t="shared" si="293"/>
        <v>0</v>
      </c>
      <c r="AH275" s="57">
        <f t="shared" si="293"/>
        <v>85.396499655031405</v>
      </c>
      <c r="AI275" s="56">
        <f t="shared" si="304"/>
        <v>85.396499655031405</v>
      </c>
      <c r="AJ275" s="42">
        <f>'[1]побудинковий звіт'!AJ275+'[2]побудинковий звіт'!AJ275-'[3]побудинковий звіт'!AJ275</f>
        <v>0</v>
      </c>
      <c r="AK275" s="42">
        <f>'[1]побудинковий звіт'!AK275+'[2]побудинковий звіт'!AK275-'[3]побудинковий звіт'!AK275</f>
        <v>0</v>
      </c>
      <c r="AL275" s="56">
        <f t="shared" si="305"/>
        <v>0</v>
      </c>
      <c r="AM275" s="42">
        <f>'[1]побудинковий звіт'!AM275+'[2]побудинковий звіт'!AM275-'[3]побудинковий звіт'!AM275</f>
        <v>0</v>
      </c>
      <c r="AN275" s="42">
        <f>'[1]побудинковий звіт'!AN275+'[2]побудинковий звіт'!AN275-'[3]побудинковий звіт'!AN275</f>
        <v>0</v>
      </c>
      <c r="AO275" s="56">
        <f t="shared" si="306"/>
        <v>0</v>
      </c>
      <c r="AP275" s="42">
        <f>'[1]побудинковий звіт'!AP275+'[2]побудинковий звіт'!AP275-'[3]побудинковий звіт'!AP275</f>
        <v>426.15793930214227</v>
      </c>
      <c r="AQ275" s="42">
        <f>'[1]побудинковий звіт'!AQ275+'[2]побудинковий звіт'!AQ275-'[3]побудинковий звіт'!AQ275</f>
        <v>283.96212900631497</v>
      </c>
      <c r="AR275" s="56">
        <f t="shared" si="307"/>
        <v>-142.1958102958273</v>
      </c>
      <c r="AS275" s="42">
        <f>'[1]побудинковий звіт'!AS275+'[2]побудинковий звіт'!AS275-'[3]побудинковий звіт'!AS275</f>
        <v>2388.0050205839611</v>
      </c>
      <c r="AT275" s="42">
        <f>'[1]побудинковий звіт'!AT275+'[2]побудинковий звіт'!AT275-'[3]побудинковий звіт'!AT275</f>
        <v>0</v>
      </c>
      <c r="AU275" s="58">
        <f t="shared" si="322"/>
        <v>-2388.0050205839611</v>
      </c>
      <c r="AV275" s="42">
        <f>'[1]побудинковий звіт'!AV275+'[2]побудинковий звіт'!AV275-'[3]побудинковий звіт'!AV275</f>
        <v>0</v>
      </c>
      <c r="AW275" s="42">
        <f>'[1]побудинковий звіт'!AW275+'[2]побудинковий звіт'!AW275-'[3]побудинковий звіт'!AW275</f>
        <v>0</v>
      </c>
      <c r="AX275" s="59">
        <f t="shared" si="323"/>
        <v>0</v>
      </c>
      <c r="AY275" s="42">
        <f>'[1]побудинковий звіт'!AY275+'[2]побудинковий звіт'!AY275-'[3]побудинковий звіт'!AY275</f>
        <v>0</v>
      </c>
      <c r="AZ275" s="42">
        <f>'[1]побудинковий звіт'!AZ275+'[2]побудинковий звіт'!AZ275-'[3]побудинковий звіт'!AZ275</f>
        <v>0</v>
      </c>
      <c r="BA275" s="37">
        <f t="shared" si="324"/>
        <v>0</v>
      </c>
      <c r="BB275" s="42">
        <f>'[1]побудинковий звіт'!BB275+'[2]побудинковий звіт'!BB275-'[3]побудинковий звіт'!BB275</f>
        <v>0</v>
      </c>
      <c r="BC275" s="42">
        <f>'[1]побудинковий звіт'!BC275+'[2]побудинковий звіт'!BC275-'[3]побудинковий звіт'!BC275</f>
        <v>0</v>
      </c>
      <c r="BD275" s="59">
        <f t="shared" si="325"/>
        <v>0</v>
      </c>
      <c r="BE275" s="42">
        <f>'[1]побудинковий звіт'!BE275+'[2]побудинковий звіт'!BE275-'[3]побудинковий звіт'!BE275</f>
        <v>0</v>
      </c>
      <c r="BF275" s="42">
        <f>'[1]побудинковий звіт'!BF275+'[2]побудинковий звіт'!BF275-'[3]побудинковий звіт'!BF275</f>
        <v>0</v>
      </c>
      <c r="BG275" s="39">
        <f t="shared" si="326"/>
        <v>0</v>
      </c>
      <c r="BH275" s="42">
        <f>'[1]побудинковий звіт'!BH275+'[2]побудинковий звіт'!BH275-'[3]побудинковий звіт'!BH275</f>
        <v>0</v>
      </c>
      <c r="BI275" s="42">
        <f>'[1]побудинковий звіт'!BI275+'[2]побудинковий звіт'!BI275-'[3]побудинковий звіт'!BI275</f>
        <v>0</v>
      </c>
      <c r="BJ275" s="59">
        <f t="shared" si="327"/>
        <v>0</v>
      </c>
      <c r="BK275" s="42">
        <f>'[1]побудинковий звіт'!BK275+'[2]побудинковий звіт'!BK275-'[3]побудинковий звіт'!BK275</f>
        <v>0</v>
      </c>
      <c r="BL275" s="42">
        <f>'[1]побудинковий звіт'!BL275+'[2]побудинковий звіт'!BL275-'[3]побудинковий звіт'!BL275</f>
        <v>0</v>
      </c>
      <c r="BM275" s="39">
        <f t="shared" si="328"/>
        <v>0</v>
      </c>
      <c r="BN275" s="42">
        <f>'[1]побудинковий звіт'!BN275+'[2]побудинковий звіт'!BN275-'[3]побудинковий звіт'!BN275</f>
        <v>0</v>
      </c>
      <c r="BO275" s="42">
        <f>'[1]побудинковий звіт'!BO275+'[2]побудинковий звіт'!BO275-'[3]побудинковий звіт'!BO275</f>
        <v>0</v>
      </c>
      <c r="BP275" s="59">
        <f t="shared" si="329"/>
        <v>0</v>
      </c>
      <c r="BQ275" s="87">
        <f t="shared" si="282"/>
        <v>0</v>
      </c>
      <c r="BR275" s="43">
        <f t="shared" si="283"/>
        <v>0</v>
      </c>
      <c r="BS275" s="59">
        <f t="shared" si="330"/>
        <v>0</v>
      </c>
      <c r="BT275" s="42">
        <f>'[1]побудинковий звіт'!BT275+'[2]побудинковий звіт'!BT275-'[3]побудинковий звіт'!BT275</f>
        <v>239.27010754197514</v>
      </c>
      <c r="BU275" s="42">
        <f>'[1]побудинковий звіт'!BU275+'[2]побудинковий звіт'!BU275-'[3]побудинковий звіт'!BU275</f>
        <v>891.57349136571929</v>
      </c>
      <c r="BV275" s="56">
        <f t="shared" si="308"/>
        <v>652.30338382374418</v>
      </c>
      <c r="BW275" s="42">
        <f>'[1]побудинковий звіт'!BW275+'[2]побудинковий звіт'!BW275-'[3]побудинковий звіт'!BW275</f>
        <v>0</v>
      </c>
      <c r="BX275" s="42">
        <f>'[1]побудинковий звіт'!BX275+'[2]побудинковий звіт'!BX275-'[3]побудинковий звіт'!BX275</f>
        <v>4.129764563271106</v>
      </c>
      <c r="BY275" s="56">
        <f t="shared" si="309"/>
        <v>4.129764563271106</v>
      </c>
      <c r="BZ275" s="42">
        <f>'[1]побудинковий звіт'!BZ275+'[2]побудинковий звіт'!BZ275-'[3]побудинковий звіт'!BZ275</f>
        <v>0</v>
      </c>
      <c r="CA275" s="42">
        <f>'[1]побудинковий звіт'!CA275+'[2]побудинковий звіт'!CA275-'[3]побудинковий звіт'!CA275</f>
        <v>214.90899887497324</v>
      </c>
      <c r="CB275" s="56">
        <f t="shared" si="310"/>
        <v>214.90899887497324</v>
      </c>
      <c r="CC275" s="42">
        <f>'[1]побудинковий звіт'!CC275+'[2]побудинковий звіт'!CC275-'[3]побудинковий звіт'!CC275</f>
        <v>0</v>
      </c>
      <c r="CD275" s="42">
        <f>'[1]побудинковий звіт'!CD275+'[2]побудинковий звіт'!CD275-'[3]побудинковий звіт'!CD275</f>
        <v>0</v>
      </c>
      <c r="CE275" s="56">
        <f t="shared" si="311"/>
        <v>0</v>
      </c>
      <c r="CF275" s="42">
        <f>'[1]побудинковий звіт'!CF275+'[2]побудинковий звіт'!CF275-'[3]побудинковий звіт'!CF275</f>
        <v>0</v>
      </c>
      <c r="CG275" s="42">
        <f>'[1]побудинковий звіт'!CG275+'[2]побудинковий звіт'!CG275-'[3]побудинковий звіт'!CG275</f>
        <v>0</v>
      </c>
      <c r="CH275" s="56">
        <f t="shared" si="312"/>
        <v>0</v>
      </c>
      <c r="CI275" s="42">
        <f>'[1]побудинковий звіт'!CI275+'[2]побудинковий звіт'!CI275-'[3]побудинковий звіт'!CI275</f>
        <v>0</v>
      </c>
      <c r="CJ275" s="42">
        <f>'[1]побудинковий звіт'!CJ275+'[2]побудинковий звіт'!CJ275-'[3]побудинковий звіт'!CJ275</f>
        <v>0</v>
      </c>
      <c r="CK275" s="56">
        <f t="shared" si="313"/>
        <v>0</v>
      </c>
      <c r="CL275" s="42">
        <f>'[1]побудинковий звіт'!CL275+'[2]побудинковий звіт'!CL275-'[3]побудинковий звіт'!CL275</f>
        <v>0</v>
      </c>
      <c r="CM275" s="42">
        <f>'[1]побудинковий звіт'!CM275+'[2]побудинковий звіт'!CM275-'[3]побудинковий звіт'!CM275</f>
        <v>0</v>
      </c>
      <c r="CN275" s="56">
        <f t="shared" si="314"/>
        <v>0</v>
      </c>
      <c r="CO275" s="42">
        <f t="shared" si="294"/>
        <v>0</v>
      </c>
      <c r="CP275" s="43">
        <f t="shared" si="315"/>
        <v>0</v>
      </c>
      <c r="CQ275" s="56">
        <f t="shared" si="316"/>
        <v>0</v>
      </c>
      <c r="CR275" s="78">
        <f t="shared" si="295"/>
        <v>3053.4330674280786</v>
      </c>
      <c r="CS275" s="5">
        <f t="shared" si="295"/>
        <v>1479.9708834653097</v>
      </c>
      <c r="CT275" s="56">
        <f t="shared" si="317"/>
        <v>-1573.4621839627689</v>
      </c>
      <c r="CU275" s="87">
        <f t="shared" si="318"/>
        <v>3664.1196809136941</v>
      </c>
      <c r="CV275" s="70">
        <f t="shared" si="319"/>
        <v>1775.9650601583717</v>
      </c>
      <c r="CW275" s="37">
        <f t="shared" si="320"/>
        <v>-1888.1546207553224</v>
      </c>
      <c r="CX275" s="42">
        <f>'[1]побудинковий звіт'!CX275+'[2]побудинковий звіт'!CX275-'[3]побудинковий звіт'!CX275</f>
        <v>54.920319086306108</v>
      </c>
      <c r="CY275" s="42">
        <f>'[1]побудинковий звіт'!CY275+'[2]побудинковий звіт'!CY275-'[3]побудинковий звіт'!CY275</f>
        <v>1943.0749398416281</v>
      </c>
      <c r="CZ275" s="56">
        <f t="shared" si="321"/>
        <v>1888.154620755322</v>
      </c>
      <c r="DA275" s="264">
        <f>'[4]побудинковий звіт'!DA275</f>
        <v>-6067.7723957774051</v>
      </c>
      <c r="DB275" s="2">
        <v>1</v>
      </c>
      <c r="DC275" s="717">
        <f>'[4]побудинковий звіт'!DC275</f>
        <v>-6998.88</v>
      </c>
      <c r="DD275" s="717">
        <f>'[4]побудинковий звіт'!DD275</f>
        <v>0</v>
      </c>
      <c r="DE275" s="717">
        <f>'[4]побудинковий звіт'!DE275</f>
        <v>-7308.8</v>
      </c>
      <c r="DF275" s="717">
        <f>'[4]побудинковий звіт'!DF275</f>
        <v>0</v>
      </c>
      <c r="DG275" s="787">
        <v>-3128.0257647512562</v>
      </c>
      <c r="DH275" s="761">
        <f t="shared" si="290"/>
        <v>44628.479999999996</v>
      </c>
      <c r="DI275" s="784"/>
      <c r="DJ275" s="5"/>
      <c r="DK275" s="317">
        <f>VLOOKUP($A275,ціни!$A$4:$G$401,5)</f>
        <v>2.4174996594691889</v>
      </c>
      <c r="DL275" s="317"/>
      <c r="DM275" s="317">
        <f>VLOOKUP($A275,ціни!$A$4:$G$401,7)</f>
        <v>2.4174996594691889</v>
      </c>
      <c r="DN275" s="30">
        <f>F275*DK275</f>
        <v>2989.9635788314927</v>
      </c>
      <c r="DO275" s="30">
        <f>H275*DM275</f>
        <v>0</v>
      </c>
      <c r="DP275" s="316">
        <f t="shared" si="278"/>
        <v>2989.9635788314927</v>
      </c>
      <c r="DQ275" s="104"/>
      <c r="DR275" s="30">
        <f>VLOOKUP(A275,'ДЗ нас '!$A$1:$C$359,2)</f>
        <v>309.92</v>
      </c>
      <c r="DS275" s="748"/>
      <c r="DT275" s="30">
        <f t="shared" si="279"/>
        <v>309.92</v>
      </c>
      <c r="DU275" s="257">
        <f>VLOOKUP(A275,'новий кошторис с 01.06'!$A$4:$AI$399,35)*1.2</f>
        <v>310.83948626417839</v>
      </c>
      <c r="DV275" s="30">
        <f t="shared" si="280"/>
        <v>-0.91948626417837431</v>
      </c>
      <c r="DW275" s="930">
        <f>'[5]побудинковий звіт'!DW275+'[6]побудинковий звіт'!DW275</f>
        <v>204</v>
      </c>
      <c r="DY275" s="5">
        <f t="shared" si="286"/>
        <v>2865.6060247007531</v>
      </c>
      <c r="DZ275" s="5">
        <f t="shared" si="287"/>
        <v>0</v>
      </c>
      <c r="EA275" s="752">
        <f t="shared" si="291"/>
        <v>-7308.8</v>
      </c>
      <c r="EC275" s="592">
        <f t="shared" si="288"/>
        <v>28656.060247007532</v>
      </c>
      <c r="EE275" s="758">
        <v>-65</v>
      </c>
      <c r="EF275" s="738">
        <f t="shared" si="289"/>
        <v>-3193.0257647512562</v>
      </c>
      <c r="EH275" s="813">
        <v>-4462.8102604883525</v>
      </c>
    </row>
    <row r="276" spans="1:138" x14ac:dyDescent="0.3">
      <c r="A276" s="328">
        <v>150000840</v>
      </c>
      <c r="B276" s="44" t="s">
        <v>727</v>
      </c>
      <c r="C276" s="45" t="s">
        <v>1785</v>
      </c>
      <c r="D276" s="45" t="s">
        <v>393</v>
      </c>
      <c r="E276" s="40">
        <f t="shared" si="292"/>
        <v>1504.4</v>
      </c>
      <c r="F276" s="490">
        <v>1504.4</v>
      </c>
      <c r="G276" s="30">
        <v>460.11</v>
      </c>
      <c r="H276" s="30">
        <v>0</v>
      </c>
      <c r="I276" s="42">
        <f>'[1]побудинковий звіт'!I276+'[2]побудинковий звіт'!I276-'[3]побудинковий звіт'!I276</f>
        <v>15763.311855159316</v>
      </c>
      <c r="J276" s="42">
        <f>'[1]побудинковий звіт'!J276+'[2]побудинковий звіт'!J276-'[3]побудинковий звіт'!J276</f>
        <v>13316.409418681225</v>
      </c>
      <c r="K276" s="56">
        <f t="shared" si="296"/>
        <v>-2446.9024364780907</v>
      </c>
      <c r="L276" s="42">
        <f>'[1]побудинковий звіт'!L276+'[2]побудинковий звіт'!L276-'[3]побудинковий звіт'!L276</f>
        <v>2445.3154780972104</v>
      </c>
      <c r="M276" s="42">
        <f>'[1]побудинковий звіт'!M276+'[2]побудинковий звіт'!M276-'[3]побудинковий звіт'!M276</f>
        <v>2367.7089006386987</v>
      </c>
      <c r="N276" s="56">
        <f t="shared" si="297"/>
        <v>-77.606577458511765</v>
      </c>
      <c r="O276" s="42">
        <f>'[1]побудинковий звіт'!O276+'[2]побудинковий звіт'!O276-'[3]побудинковий звіт'!O276</f>
        <v>5950.9199999999992</v>
      </c>
      <c r="P276" s="42">
        <f>'[1]побудинковий звіт'!P276+'[2]побудинковий звіт'!P276-'[3]побудинковий звіт'!P276</f>
        <v>4677.8068406451621</v>
      </c>
      <c r="Q276" s="56">
        <f t="shared" si="298"/>
        <v>-1273.1131593548371</v>
      </c>
      <c r="R276" s="42">
        <f>'[1]побудинковий звіт'!R276+'[2]побудинковий звіт'!R276-'[3]побудинковий звіт'!R276</f>
        <v>1328.4000000000003</v>
      </c>
      <c r="S276" s="42">
        <f>'[1]побудинковий звіт'!S276+'[2]побудинковий звіт'!S276-'[3]побудинковий звіт'!S276</f>
        <v>1044.0990854838712</v>
      </c>
      <c r="T276" s="56">
        <f t="shared" si="299"/>
        <v>-284.30091451612907</v>
      </c>
      <c r="U276" s="42">
        <f>'[1]побудинковий звіт'!U276+'[2]побудинковий звіт'!U276-'[3]побудинковий звіт'!U276</f>
        <v>780.05784393801946</v>
      </c>
      <c r="V276" s="42">
        <f>'[1]побудинковий звіт'!V276+'[2]побудинковий звіт'!V276-'[3]побудинковий звіт'!V276</f>
        <v>316.27324177385123</v>
      </c>
      <c r="W276" s="56">
        <f t="shared" si="300"/>
        <v>-463.78460216416823</v>
      </c>
      <c r="X276" s="42">
        <f>'[1]побудинковий звіт'!X276+'[2]побудинковий звіт'!X276-'[3]побудинковий звіт'!X276</f>
        <v>6774.8959264327068</v>
      </c>
      <c r="Y276" s="42">
        <f>'[1]побудинковий звіт'!Y276+'[2]побудинковий звіт'!Y276-'[3]побудинковий звіт'!Y276</f>
        <v>4653.8962925710093</v>
      </c>
      <c r="Z276" s="56">
        <f t="shared" si="301"/>
        <v>-2120.9996338616975</v>
      </c>
      <c r="AA276" s="42">
        <f>'[1]побудинковий звіт'!AA276+'[2]побудинковий звіт'!AA276-'[3]побудинковий звіт'!AA276</f>
        <v>0</v>
      </c>
      <c r="AB276" s="42">
        <f>'[1]побудинковий звіт'!AB276+'[2]побудинковий звіт'!AB276-'[3]побудинковий звіт'!AB276</f>
        <v>0</v>
      </c>
      <c r="AC276" s="56">
        <f t="shared" si="302"/>
        <v>0</v>
      </c>
      <c r="AD276" s="42">
        <f>'[1]побудинковий звіт'!AD276+'[2]побудинковий звіт'!AD276-'[3]побудинковий звіт'!AD276</f>
        <v>18029.300209646761</v>
      </c>
      <c r="AE276" s="42">
        <f>'[1]побудинковий звіт'!AE276+'[2]побудинковий звіт'!AE276-'[3]побудинковий звіт'!AE276</f>
        <v>16617.1715740828</v>
      </c>
      <c r="AF276" s="37">
        <f t="shared" si="303"/>
        <v>-1412.1286355639604</v>
      </c>
      <c r="AG276" s="87">
        <f t="shared" si="293"/>
        <v>51072.20131327401</v>
      </c>
      <c r="AH276" s="57">
        <f t="shared" si="293"/>
        <v>42993.365353876623</v>
      </c>
      <c r="AI276" s="56">
        <f t="shared" si="304"/>
        <v>-8078.8359593973873</v>
      </c>
      <c r="AJ276" s="42">
        <f>'[1]побудинковий звіт'!AJ276+'[2]побудинковий звіт'!AJ276-'[3]побудинковий звіт'!AJ276</f>
        <v>34487.04013897651</v>
      </c>
      <c r="AK276" s="42">
        <f>'[1]побудинковий звіт'!AK276+'[2]побудинковий звіт'!AK276-'[3]побудинковий звіт'!AK276</f>
        <v>34183.700302611556</v>
      </c>
      <c r="AL276" s="56">
        <f t="shared" si="305"/>
        <v>-303.33983636495395</v>
      </c>
      <c r="AM276" s="42">
        <f>'[1]побудинковий звіт'!AM276+'[2]побудинковий звіт'!AM276-'[3]побудинковий звіт'!AM276</f>
        <v>0</v>
      </c>
      <c r="AN276" s="42">
        <f>'[1]побудинковий звіт'!AN276+'[2]побудинковий звіт'!AN276-'[3]побудинковий звіт'!AN276</f>
        <v>1948.4374651447733</v>
      </c>
      <c r="AO276" s="56">
        <f t="shared" si="306"/>
        <v>1948.4374651447733</v>
      </c>
      <c r="AP276" s="42">
        <f>'[1]побудинковий звіт'!AP276+'[2]побудинковий звіт'!AP276-'[3]побудинковий звіт'!AP276</f>
        <v>3409.2635144171381</v>
      </c>
      <c r="AQ276" s="42">
        <f>'[1]побудинковий звіт'!AQ276+'[2]побудинковий звіт'!AQ276-'[3]побудинковий звіт'!AQ276</f>
        <v>3385.2956288823812</v>
      </c>
      <c r="AR276" s="56">
        <f t="shared" si="307"/>
        <v>-23.967885534756988</v>
      </c>
      <c r="AS276" s="42">
        <f>'[1]побудинковий звіт'!AS276+'[2]побудинковий звіт'!AS276-'[3]побудинковий звіт'!AS276</f>
        <v>60388.055510335369</v>
      </c>
      <c r="AT276" s="42">
        <f>'[1]побудинковий звіт'!AT276+'[2]побудинковий звіт'!AT276-'[3]побудинковий звіт'!AT276</f>
        <v>123573.56946886303</v>
      </c>
      <c r="AU276" s="58">
        <f t="shared" si="322"/>
        <v>63185.513958527663</v>
      </c>
      <c r="AV276" s="42">
        <f>'[1]побудинковий звіт'!AV276+'[2]побудинковий звіт'!AV276-'[3]побудинковий звіт'!AV276</f>
        <v>1240.5837293449365</v>
      </c>
      <c r="AW276" s="42">
        <f>'[1]побудинковий звіт'!AW276+'[2]побудинковий звіт'!AW276-'[3]побудинковий звіт'!AW276</f>
        <v>1301</v>
      </c>
      <c r="AX276" s="59">
        <f t="shared" si="323"/>
        <v>60.416270655063499</v>
      </c>
      <c r="AY276" s="42">
        <f>'[1]побудинковий звіт'!AY276+'[2]побудинковий звіт'!AY276-'[3]побудинковий звіт'!AY276</f>
        <v>1498.3557380609514</v>
      </c>
      <c r="AZ276" s="42">
        <f>'[1]побудинковий звіт'!AZ276+'[2]побудинковий звіт'!AZ276-'[3]побудинковий звіт'!AZ276</f>
        <v>0</v>
      </c>
      <c r="BA276" s="37">
        <f t="shared" si="324"/>
        <v>-1498.3557380609514</v>
      </c>
      <c r="BB276" s="42">
        <f>'[1]побудинковий звіт'!BB276+'[2]побудинковий звіт'!BB276-'[3]побудинковий звіт'!BB276</f>
        <v>1874.1393256250351</v>
      </c>
      <c r="BC276" s="42">
        <f>'[1]побудинковий звіт'!BC276+'[2]побудинковий звіт'!BC276-'[3]побудинковий звіт'!BC276</f>
        <v>0</v>
      </c>
      <c r="BD276" s="59">
        <f t="shared" si="325"/>
        <v>-1874.1393256250351</v>
      </c>
      <c r="BE276" s="42">
        <f>'[1]побудинковий звіт'!BE276+'[2]побудинковий звіт'!BE276-'[3]побудинковий звіт'!BE276</f>
        <v>694.43415276689484</v>
      </c>
      <c r="BF276" s="42">
        <f>'[1]побудинковий звіт'!BF276+'[2]побудинковий звіт'!BF276-'[3]побудинковий звіт'!BF276</f>
        <v>0</v>
      </c>
      <c r="BG276" s="39">
        <f t="shared" si="326"/>
        <v>-694.43415276689484</v>
      </c>
      <c r="BH276" s="42">
        <f>'[1]побудинковий звіт'!BH276+'[2]побудинковий звіт'!BH276-'[3]побудинковий звіт'!BH276</f>
        <v>395.76741189229665</v>
      </c>
      <c r="BI276" s="42">
        <f>'[1]побудинковий звіт'!BI276+'[2]побудинковий звіт'!BI276-'[3]побудинковий звіт'!BI276</f>
        <v>1044</v>
      </c>
      <c r="BJ276" s="59">
        <f t="shared" si="327"/>
        <v>648.23258810770335</v>
      </c>
      <c r="BK276" s="42">
        <f>'[1]побудинковий звіт'!BK276+'[2]побудинковий звіт'!BK276-'[3]побудинковий звіт'!BK276</f>
        <v>763.74000887404327</v>
      </c>
      <c r="BL276" s="42">
        <f>'[1]побудинковий звіт'!BL276+'[2]побудинковий звіт'!BL276-'[3]побудинковий звіт'!BL276</f>
        <v>974</v>
      </c>
      <c r="BM276" s="39">
        <f t="shared" si="328"/>
        <v>210.25999112595673</v>
      </c>
      <c r="BN276" s="42">
        <f>'[1]побудинковий звіт'!BN276+'[2]побудинковий звіт'!BN276-'[3]побудинковий звіт'!BN276</f>
        <v>614.00142415151981</v>
      </c>
      <c r="BO276" s="42">
        <f>'[1]побудинковий звіт'!BO276+'[2]побудинковий звіт'!BO276-'[3]побудинковий звіт'!BO276</f>
        <v>0</v>
      </c>
      <c r="BP276" s="59">
        <f t="shared" si="329"/>
        <v>-614.00142415151981</v>
      </c>
      <c r="BQ276" s="87">
        <f t="shared" si="282"/>
        <v>7081.0217907156775</v>
      </c>
      <c r="BR276" s="43">
        <f t="shared" si="283"/>
        <v>3319</v>
      </c>
      <c r="BS276" s="59">
        <f t="shared" si="330"/>
        <v>-3762.0217907156775</v>
      </c>
      <c r="BT276" s="42">
        <f>'[1]побудинковий звіт'!BT276+'[2]побудинковий звіт'!BT276-'[3]побудинковий звіт'!BT276</f>
        <v>63830.114963281565</v>
      </c>
      <c r="BU276" s="42">
        <f>'[1]побудинковий звіт'!BU276+'[2]побудинковий звіт'!BU276-'[3]побудинковий звіт'!BU276</f>
        <v>63231.853184696047</v>
      </c>
      <c r="BV276" s="56">
        <f t="shared" si="308"/>
        <v>-598.26177858551819</v>
      </c>
      <c r="BW276" s="42">
        <f>'[1]побудинковий звіт'!BW276+'[2]побудинковий звіт'!BW276-'[3]побудинковий звіт'!BW276</f>
        <v>36380.577854186486</v>
      </c>
      <c r="BX276" s="42">
        <f>'[1]побудинковий звіт'!BX276+'[2]побудинковий звіт'!BX276-'[3]побудинковий звіт'!BX276</f>
        <v>30087.162316420006</v>
      </c>
      <c r="BY276" s="56">
        <f t="shared" si="309"/>
        <v>-6293.4155377664792</v>
      </c>
      <c r="BZ276" s="42">
        <f>'[1]побудинковий звіт'!BZ276+'[2]побудинковий звіт'!BZ276-'[3]побудинковий звіт'!BZ276</f>
        <v>12724.226431708059</v>
      </c>
      <c r="CA276" s="42">
        <f>'[1]побудинковий звіт'!CA276+'[2]побудинковий звіт'!CA276-'[3]побудинковий звіт'!CA276</f>
        <v>12397.455233311304</v>
      </c>
      <c r="CB276" s="56">
        <f t="shared" si="310"/>
        <v>-326.7711983967547</v>
      </c>
      <c r="CC276" s="42">
        <f>'[1]побудинковий звіт'!CC276+'[2]побудинковий звіт'!CC276-'[3]побудинковий звіт'!CC276</f>
        <v>1964.8053571715398</v>
      </c>
      <c r="CD276" s="42">
        <f>'[1]побудинковий звіт'!CD276+'[2]побудинковий звіт'!CD276-'[3]побудинковий звіт'!CD276</f>
        <v>1947.5243385644903</v>
      </c>
      <c r="CE276" s="56">
        <f t="shared" si="311"/>
        <v>-17.281018607049418</v>
      </c>
      <c r="CF276" s="42">
        <f>'[1]побудинковий звіт'!CF276+'[2]побудинковий звіт'!CF276-'[3]побудинковий звіт'!CF276</f>
        <v>241.87944737907213</v>
      </c>
      <c r="CG276" s="42">
        <f>'[1]побудинковий звіт'!CG276+'[2]побудинковий звіт'!CG276-'[3]побудинковий звіт'!CG276</f>
        <v>0</v>
      </c>
      <c r="CH276" s="56">
        <f t="shared" si="312"/>
        <v>-241.87944737907213</v>
      </c>
      <c r="CI276" s="42">
        <f>'[1]побудинковий звіт'!CI276+'[2]побудинковий звіт'!CI276-'[3]побудинковий звіт'!CI276</f>
        <v>8460.3213800908452</v>
      </c>
      <c r="CJ276" s="42">
        <f>'[1]побудинковий звіт'!CJ276+'[2]побудинковий звіт'!CJ276-'[3]побудинковий звіт'!CJ276</f>
        <v>3273.8946847972757</v>
      </c>
      <c r="CK276" s="56">
        <f t="shared" si="313"/>
        <v>-5186.4266952935695</v>
      </c>
      <c r="CL276" s="42">
        <f>'[1]побудинковий звіт'!CL276+'[2]побудинковий звіт'!CL276-'[3]побудинковий звіт'!CL276</f>
        <v>6251.653409182175</v>
      </c>
      <c r="CM276" s="42">
        <f>'[1]побудинковий звіт'!CM276+'[2]побудинковий звіт'!CM276-'[3]побудинковий звіт'!CM276</f>
        <v>6409.9077516775396</v>
      </c>
      <c r="CN276" s="56">
        <f t="shared" si="314"/>
        <v>158.25434249536465</v>
      </c>
      <c r="CO276" s="42">
        <f t="shared" si="294"/>
        <v>14711.974789273019</v>
      </c>
      <c r="CP276" s="43">
        <f t="shared" si="315"/>
        <v>9683.8024364748162</v>
      </c>
      <c r="CQ276" s="56">
        <f t="shared" si="316"/>
        <v>-5028.1723527982031</v>
      </c>
      <c r="CR276" s="78">
        <f t="shared" si="295"/>
        <v>286291.16111071844</v>
      </c>
      <c r="CS276" s="5">
        <f t="shared" si="295"/>
        <v>326751.16572884499</v>
      </c>
      <c r="CT276" s="56">
        <f t="shared" si="317"/>
        <v>40460.00461812655</v>
      </c>
      <c r="CU276" s="87">
        <f t="shared" si="318"/>
        <v>343549.39333286212</v>
      </c>
      <c r="CV276" s="70">
        <f t="shared" si="319"/>
        <v>392101.39887461398</v>
      </c>
      <c r="CW276" s="37">
        <f t="shared" si="320"/>
        <v>48552.00554175186</v>
      </c>
      <c r="CX276" s="42">
        <f>'[1]побудинковий звіт'!CX276+'[2]побудинковий звіт'!CX276-'[3]побудинковий звіт'!CX276</f>
        <v>8509.2466671379516</v>
      </c>
      <c r="CY276" s="42">
        <f>'[1]побудинковий звіт'!CY276+'[2]побудинковий звіт'!CY276-'[3]побудинковий звіт'!CY276</f>
        <v>-40042.75887461401</v>
      </c>
      <c r="CZ276" s="56">
        <f t="shared" si="321"/>
        <v>-48552.005541751962</v>
      </c>
      <c r="DA276" s="264">
        <f>'[4]побудинковий звіт'!DA276</f>
        <v>81944.726071784447</v>
      </c>
      <c r="DB276" s="2">
        <v>1</v>
      </c>
      <c r="DC276" s="717">
        <f>'[4]побудинковий звіт'!DC276</f>
        <v>46706.06</v>
      </c>
      <c r="DD276" s="717">
        <f>'[4]побудинковий звіт'!DD276</f>
        <v>0</v>
      </c>
      <c r="DE276" s="717">
        <f>'[4]побудинковий звіт'!DE276</f>
        <v>17367.839999999997</v>
      </c>
      <c r="DF276" s="717">
        <f>'[4]побудинковий звіт'!DF276</f>
        <v>0</v>
      </c>
      <c r="DG276" s="787">
        <v>66876.388002704945</v>
      </c>
      <c r="DH276" s="761">
        <f t="shared" si="290"/>
        <v>4224703.6800000006</v>
      </c>
      <c r="DI276" s="784"/>
      <c r="DJ276" s="5"/>
      <c r="DK276" s="317">
        <f>VLOOKUP($A276,ціни!$A$4:$G$401,5)</f>
        <v>5.9691141416610618</v>
      </c>
      <c r="DL276" s="317">
        <f>VLOOKUP($A276,ціни!$A$4:$G$401,6)</f>
        <v>7.0807264587919336</v>
      </c>
      <c r="DM276" s="317">
        <f>VLOOKUP($A276,ціни!$A$4:$G$401,7)</f>
        <v>5.0847417551530754</v>
      </c>
      <c r="DN276" s="30">
        <f>DK276*G276+(F276-G276)*DL276</f>
        <v>10140.780941371499</v>
      </c>
      <c r="DO276" s="30">
        <f>DM276*H276</f>
        <v>0</v>
      </c>
      <c r="DP276" s="316">
        <f t="shared" si="278"/>
        <v>10140.780941371499</v>
      </c>
      <c r="DQ276" s="104"/>
      <c r="DR276" s="30">
        <f>VLOOKUP(A276,'ДЗ нас '!$A$1:$C$359,2)</f>
        <v>29338.22</v>
      </c>
      <c r="DS276" s="748"/>
      <c r="DT276" s="30">
        <f t="shared" si="279"/>
        <v>29338.22</v>
      </c>
      <c r="DU276" s="257">
        <f>VLOOKUP(A276,'новий кошторис с 01.06'!$A$4:$AI$399,35)*1.2</f>
        <v>29487.989594403993</v>
      </c>
      <c r="DV276" s="30">
        <f t="shared" si="280"/>
        <v>-149.7695944039915</v>
      </c>
      <c r="DW276" s="930">
        <f>'[5]побудинковий звіт'!DW276+'[6]побудинковий звіт'!DW276</f>
        <v>236</v>
      </c>
      <c r="DY276" s="5">
        <f t="shared" si="286"/>
        <v>80962.892761261246</v>
      </c>
      <c r="DZ276" s="5">
        <f t="shared" si="287"/>
        <v>152271.08336263563</v>
      </c>
      <c r="EA276" s="752">
        <f t="shared" si="291"/>
        <v>17367.839999999997</v>
      </c>
      <c r="EC276" s="592">
        <f t="shared" si="288"/>
        <v>724656.66612402443</v>
      </c>
      <c r="EE276" s="758">
        <v>-55287</v>
      </c>
      <c r="EF276" s="738">
        <f t="shared" si="289"/>
        <v>11589.388002704945</v>
      </c>
      <c r="EH276" s="813">
        <v>7350.8404015087945</v>
      </c>
    </row>
    <row r="277" spans="1:138" x14ac:dyDescent="0.3">
      <c r="A277" s="328">
        <v>150000841</v>
      </c>
      <c r="B277" s="44" t="s">
        <v>728</v>
      </c>
      <c r="C277" s="45" t="s">
        <v>1786</v>
      </c>
      <c r="D277" s="45" t="s">
        <v>136</v>
      </c>
      <c r="E277" s="40">
        <f t="shared" si="292"/>
        <v>2273.5</v>
      </c>
      <c r="F277" s="490">
        <v>2273.5</v>
      </c>
      <c r="G277" s="30"/>
      <c r="H277" s="30">
        <v>0</v>
      </c>
      <c r="I277" s="42">
        <f>'[1]побудинковий звіт'!I277+'[2]побудинковий звіт'!I277-'[3]побудинковий звіт'!I277</f>
        <v>0</v>
      </c>
      <c r="J277" s="42">
        <f>'[1]побудинковий звіт'!J277+'[2]побудинковий звіт'!J277-'[3]побудинковий звіт'!J277</f>
        <v>0</v>
      </c>
      <c r="K277" s="56">
        <f t="shared" si="296"/>
        <v>0</v>
      </c>
      <c r="L277" s="42">
        <f>'[1]побудинковий звіт'!L277+'[2]побудинковий звіт'!L277-'[3]побудинковий звіт'!L277</f>
        <v>0</v>
      </c>
      <c r="M277" s="42">
        <f>'[1]побудинковий звіт'!M277+'[2]побудинковий звіт'!M277-'[3]побудинковий звіт'!M277</f>
        <v>0</v>
      </c>
      <c r="N277" s="56">
        <f t="shared" si="297"/>
        <v>0</v>
      </c>
      <c r="O277" s="42">
        <f>'[1]побудинковий звіт'!O277+'[2]побудинковий звіт'!O277-'[3]побудинковий звіт'!O277</f>
        <v>0</v>
      </c>
      <c r="P277" s="42">
        <f>'[1]побудинковий звіт'!P277+'[2]побудинковий звіт'!P277-'[3]побудинковий звіт'!P277</f>
        <v>0</v>
      </c>
      <c r="Q277" s="56">
        <f t="shared" si="298"/>
        <v>0</v>
      </c>
      <c r="R277" s="42">
        <f>'[1]побудинковий звіт'!R277+'[2]побудинковий звіт'!R277-'[3]побудинковий звіт'!R277</f>
        <v>0</v>
      </c>
      <c r="S277" s="42">
        <f>'[1]побудинковий звіт'!S277+'[2]побудинковий звіт'!S277-'[3]побудинковий звіт'!S277</f>
        <v>0</v>
      </c>
      <c r="T277" s="56">
        <f t="shared" si="299"/>
        <v>0</v>
      </c>
      <c r="U277" s="42">
        <f>'[1]побудинковий звіт'!U277+'[2]побудинковий звіт'!U277-'[3]побудинковий звіт'!U277</f>
        <v>0</v>
      </c>
      <c r="V277" s="42">
        <f>'[1]побудинковий звіт'!V277+'[2]побудинковий звіт'!V277-'[3]побудинковий звіт'!V277</f>
        <v>0</v>
      </c>
      <c r="W277" s="56">
        <f t="shared" si="300"/>
        <v>0</v>
      </c>
      <c r="X277" s="42">
        <f>'[1]побудинковий звіт'!X277+'[2]побудинковий звіт'!X277-'[3]побудинковий звіт'!X277</f>
        <v>0</v>
      </c>
      <c r="Y277" s="42">
        <f>'[1]побудинковий звіт'!Y277+'[2]побудинковий звіт'!Y277-'[3]побудинковий звіт'!Y277</f>
        <v>0</v>
      </c>
      <c r="Z277" s="56">
        <f t="shared" si="301"/>
        <v>0</v>
      </c>
      <c r="AA277" s="42">
        <f>'[1]побудинковий звіт'!AA277+'[2]побудинковий звіт'!AA277-'[3]побудинковий звіт'!AA277</f>
        <v>0</v>
      </c>
      <c r="AB277" s="42">
        <f>'[1]побудинковий звіт'!AB277+'[2]побудинковий звіт'!AB277-'[3]побудинковий звіт'!AB277</f>
        <v>0</v>
      </c>
      <c r="AC277" s="56">
        <f t="shared" si="302"/>
        <v>0</v>
      </c>
      <c r="AD277" s="42">
        <f>'[1]побудинковий звіт'!AD277+'[2]побудинковий звіт'!AD277-'[3]побудинковий звіт'!AD277</f>
        <v>0</v>
      </c>
      <c r="AE277" s="42">
        <f>'[1]побудинковий звіт'!AE277+'[2]побудинковий звіт'!AE277-'[3]побудинковий звіт'!AE277</f>
        <v>114.83897457509684</v>
      </c>
      <c r="AF277" s="37">
        <f t="shared" si="303"/>
        <v>114.83897457509684</v>
      </c>
      <c r="AG277" s="87">
        <f t="shared" si="293"/>
        <v>0</v>
      </c>
      <c r="AH277" s="57">
        <f t="shared" si="293"/>
        <v>114.83897457509684</v>
      </c>
      <c r="AI277" s="56">
        <f t="shared" si="304"/>
        <v>114.83897457509684</v>
      </c>
      <c r="AJ277" s="42">
        <f>'[1]побудинковий звіт'!AJ277+'[2]побудинковий звіт'!AJ277-'[3]побудинковий звіт'!AJ277</f>
        <v>0</v>
      </c>
      <c r="AK277" s="42">
        <f>'[1]побудинковий звіт'!AK277+'[2]побудинковий звіт'!AK277-'[3]побудинковий звіт'!AK277</f>
        <v>0</v>
      </c>
      <c r="AL277" s="56">
        <f t="shared" si="305"/>
        <v>0</v>
      </c>
      <c r="AM277" s="42">
        <f>'[1]побудинковий звіт'!AM277+'[2]побудинковий звіт'!AM277-'[3]побудинковий звіт'!AM277</f>
        <v>0</v>
      </c>
      <c r="AN277" s="42">
        <f>'[1]побудинковий звіт'!AN277+'[2]побудинковий звіт'!AN277-'[3]побудинковий звіт'!AN277</f>
        <v>0</v>
      </c>
      <c r="AO277" s="56">
        <f t="shared" si="306"/>
        <v>0</v>
      </c>
      <c r="AP277" s="42">
        <f>'[1]побудинковий звіт'!AP277+'[2]побудинковий звіт'!AP277-'[3]побудинковий звіт'!AP277</f>
        <v>284.10529286809492</v>
      </c>
      <c r="AQ277" s="42">
        <f>'[1]побудинковий звіт'!AQ277+'[2]побудинковий звіт'!AQ277-'[3]побудинковий звіт'!AQ277</f>
        <v>214.4439856880754</v>
      </c>
      <c r="AR277" s="56">
        <f t="shared" si="307"/>
        <v>-69.66130718001952</v>
      </c>
      <c r="AS277" s="42">
        <f>'[1]побудинковий звіт'!AS277+'[2]побудинковий звіт'!AS277-'[3]побудинковий звіт'!AS277</f>
        <v>1924.9943200186433</v>
      </c>
      <c r="AT277" s="42">
        <f>'[1]побудинковий звіт'!AT277+'[2]побудинковий звіт'!AT277-'[3]побудинковий звіт'!AT277</f>
        <v>0</v>
      </c>
      <c r="AU277" s="58">
        <f t="shared" si="322"/>
        <v>-1924.9943200186433</v>
      </c>
      <c r="AV277" s="42">
        <f>'[1]побудинковий звіт'!AV277+'[2]побудинковий звіт'!AV277-'[3]побудинковий звіт'!AV277</f>
        <v>0</v>
      </c>
      <c r="AW277" s="42">
        <f>'[1]побудинковий звіт'!AW277+'[2]побудинковий звіт'!AW277-'[3]побудинковий звіт'!AW277</f>
        <v>0</v>
      </c>
      <c r="AX277" s="59">
        <f t="shared" si="323"/>
        <v>0</v>
      </c>
      <c r="AY277" s="42">
        <f>'[1]побудинковий звіт'!AY277+'[2]побудинковий звіт'!AY277-'[3]побудинковий звіт'!AY277</f>
        <v>0</v>
      </c>
      <c r="AZ277" s="42">
        <f>'[1]побудинковий звіт'!AZ277+'[2]побудинковий звіт'!AZ277-'[3]побудинковий звіт'!AZ277</f>
        <v>0</v>
      </c>
      <c r="BA277" s="37">
        <f t="shared" si="324"/>
        <v>0</v>
      </c>
      <c r="BB277" s="42">
        <f>'[1]побудинковий звіт'!BB277+'[2]побудинковий звіт'!BB277-'[3]побудинковий звіт'!BB277</f>
        <v>0</v>
      </c>
      <c r="BC277" s="42">
        <f>'[1]побудинковий звіт'!BC277+'[2]побудинковий звіт'!BC277-'[3]побудинковий звіт'!BC277</f>
        <v>0</v>
      </c>
      <c r="BD277" s="59">
        <f t="shared" si="325"/>
        <v>0</v>
      </c>
      <c r="BE277" s="42">
        <f>'[1]побудинковий звіт'!BE277+'[2]побудинковий звіт'!BE277-'[3]побудинковий звіт'!BE277</f>
        <v>0</v>
      </c>
      <c r="BF277" s="42">
        <f>'[1]побудинковий звіт'!BF277+'[2]побудинковий звіт'!BF277-'[3]побудинковий звіт'!BF277</f>
        <v>0</v>
      </c>
      <c r="BG277" s="39">
        <f t="shared" si="326"/>
        <v>0</v>
      </c>
      <c r="BH277" s="42">
        <f>'[1]побудинковий звіт'!BH277+'[2]побудинковий звіт'!BH277-'[3]побудинковий звіт'!BH277</f>
        <v>0</v>
      </c>
      <c r="BI277" s="42">
        <f>'[1]побудинковий звіт'!BI277+'[2]побудинковий звіт'!BI277-'[3]побудинковий звіт'!BI277</f>
        <v>0</v>
      </c>
      <c r="BJ277" s="59">
        <f t="shared" si="327"/>
        <v>0</v>
      </c>
      <c r="BK277" s="42">
        <f>'[1]побудинковий звіт'!BK277+'[2]побудинковий звіт'!BK277-'[3]побудинковий звіт'!BK277</f>
        <v>0</v>
      </c>
      <c r="BL277" s="42">
        <f>'[1]побудинковий звіт'!BL277+'[2]побудинковий звіт'!BL277-'[3]побудинковий звіт'!BL277</f>
        <v>0</v>
      </c>
      <c r="BM277" s="39">
        <f t="shared" si="328"/>
        <v>0</v>
      </c>
      <c r="BN277" s="42">
        <f>'[1]побудинковий звіт'!BN277+'[2]побудинковий звіт'!BN277-'[3]побудинковий звіт'!BN277</f>
        <v>0</v>
      </c>
      <c r="BO277" s="42">
        <f>'[1]побудинковий звіт'!BO277+'[2]побудинковий звіт'!BO277-'[3]побудинковий звіт'!BO277</f>
        <v>0</v>
      </c>
      <c r="BP277" s="59">
        <f t="shared" si="329"/>
        <v>0</v>
      </c>
      <c r="BQ277" s="87">
        <f t="shared" si="282"/>
        <v>0</v>
      </c>
      <c r="BR277" s="43">
        <f t="shared" si="283"/>
        <v>0</v>
      </c>
      <c r="BS277" s="59">
        <f t="shared" si="330"/>
        <v>0</v>
      </c>
      <c r="BT277" s="42">
        <f>'[1]побудинковий звіт'!BT277+'[2]побудинковий звіт'!BT277-'[3]побудинковий звіт'!BT277</f>
        <v>765.66434413432012</v>
      </c>
      <c r="BU277" s="42">
        <f>'[1]побудинковий звіт'!BU277+'[2]побудинковий звіт'!BU277-'[3]побудинковий звіт'!BU277</f>
        <v>1486.181134457489</v>
      </c>
      <c r="BV277" s="56">
        <f t="shared" si="308"/>
        <v>720.51679032316883</v>
      </c>
      <c r="BW277" s="42">
        <f>'[1]побудинковий звіт'!BW277+'[2]побудинковий звіт'!BW277-'[3]побудинковий звіт'!BW277</f>
        <v>0</v>
      </c>
      <c r="BX277" s="42">
        <f>'[1]побудинковий звіт'!BX277+'[2]побудинковий звіт'!BX277-'[3]побудинковий звіт'!BX277</f>
        <v>5.553599147487823</v>
      </c>
      <c r="BY277" s="56">
        <f t="shared" si="309"/>
        <v>5.553599147487823</v>
      </c>
      <c r="BZ277" s="42">
        <f>'[1]побудинковий звіт'!BZ277+'[2]побудинковий звіт'!BZ277-'[3]побудинковий звіт'!BZ277</f>
        <v>0</v>
      </c>
      <c r="CA277" s="42">
        <f>'[1]побудинковий звіт'!CA277+'[2]побудинковий звіт'!CA277-'[3]побудинковий звіт'!CA277</f>
        <v>358.23597588560102</v>
      </c>
      <c r="CB277" s="56">
        <f t="shared" si="310"/>
        <v>358.23597588560102</v>
      </c>
      <c r="CC277" s="42">
        <f>'[1]побудинковий звіт'!CC277+'[2]побудинковий звіт'!CC277-'[3]побудинковий звіт'!CC277</f>
        <v>0</v>
      </c>
      <c r="CD277" s="42">
        <f>'[1]побудинковий звіт'!CD277+'[2]побудинковий звіт'!CD277-'[3]побудинковий звіт'!CD277</f>
        <v>0</v>
      </c>
      <c r="CE277" s="56">
        <f t="shared" si="311"/>
        <v>0</v>
      </c>
      <c r="CF277" s="42">
        <f>'[1]побудинковий звіт'!CF277+'[2]побудинковий звіт'!CF277-'[3]побудинковий звіт'!CF277</f>
        <v>0</v>
      </c>
      <c r="CG277" s="42">
        <f>'[1]побудинковий звіт'!CG277+'[2]побудинковий звіт'!CG277-'[3]побудинковий звіт'!CG277</f>
        <v>0</v>
      </c>
      <c r="CH277" s="56">
        <f t="shared" si="312"/>
        <v>0</v>
      </c>
      <c r="CI277" s="42">
        <f>'[1]побудинковий звіт'!CI277+'[2]побудинковий звіт'!CI277-'[3]побудинковий звіт'!CI277</f>
        <v>0</v>
      </c>
      <c r="CJ277" s="42">
        <f>'[1]побудинковий звіт'!CJ277+'[2]побудинковий звіт'!CJ277-'[3]побудинковий звіт'!CJ277</f>
        <v>0</v>
      </c>
      <c r="CK277" s="56">
        <f t="shared" si="313"/>
        <v>0</v>
      </c>
      <c r="CL277" s="42">
        <f>'[1]побудинковий звіт'!CL277+'[2]побудинковий звіт'!CL277-'[3]побудинковий звіт'!CL277</f>
        <v>0</v>
      </c>
      <c r="CM277" s="42">
        <f>'[1]побудинковий звіт'!CM277+'[2]побудинковий звіт'!CM277-'[3]побудинковий звіт'!CM277</f>
        <v>0</v>
      </c>
      <c r="CN277" s="56">
        <f t="shared" si="314"/>
        <v>0</v>
      </c>
      <c r="CO277" s="42">
        <f t="shared" si="294"/>
        <v>0</v>
      </c>
      <c r="CP277" s="43">
        <f t="shared" si="315"/>
        <v>0</v>
      </c>
      <c r="CQ277" s="56">
        <f t="shared" si="316"/>
        <v>0</v>
      </c>
      <c r="CR277" s="78">
        <f t="shared" si="295"/>
        <v>2974.7639570210586</v>
      </c>
      <c r="CS277" s="5">
        <f t="shared" si="295"/>
        <v>2179.2536697537503</v>
      </c>
      <c r="CT277" s="56">
        <f t="shared" si="317"/>
        <v>-795.51028726730829</v>
      </c>
      <c r="CU277" s="87">
        <f t="shared" si="318"/>
        <v>3569.71674842527</v>
      </c>
      <c r="CV277" s="70">
        <f t="shared" si="319"/>
        <v>2615.1044037045003</v>
      </c>
      <c r="CW277" s="37">
        <f t="shared" si="320"/>
        <v>-954.61234472076967</v>
      </c>
      <c r="CX277" s="42">
        <f>'[1]побудинковий звіт'!CX277+'[2]побудинковий звіт'!CX277-'[3]побудинковий звіт'!CX277</f>
        <v>53.563251574729293</v>
      </c>
      <c r="CY277" s="42">
        <f>'[1]побудинковий звіт'!CY277+'[2]побудинковий звіт'!CY277-'[3]побудинковий звіт'!CY277</f>
        <v>1008.1755962955004</v>
      </c>
      <c r="CZ277" s="56">
        <f t="shared" si="321"/>
        <v>954.61234472077115</v>
      </c>
      <c r="DA277" s="264">
        <f>'[4]побудинковий звіт'!DA277</f>
        <v>-4562.9428411521621</v>
      </c>
      <c r="DB277" s="2">
        <v>1</v>
      </c>
      <c r="DC277" s="717">
        <f>'[4]побудинковий звіт'!DC277</f>
        <v>301.95999999999998</v>
      </c>
      <c r="DD277" s="717">
        <f>'[4]побудинковий звіт'!DD277</f>
        <v>0</v>
      </c>
      <c r="DE277" s="717">
        <f>'[4]побудинковий звіт'!DE277</f>
        <v>1.999999999998181E-2</v>
      </c>
      <c r="DF277" s="717">
        <f>'[4]побудинковий звіт'!DF277</f>
        <v>0</v>
      </c>
      <c r="DG277" s="787">
        <v>-3867.3518820065292</v>
      </c>
      <c r="DH277" s="761">
        <f t="shared" si="290"/>
        <v>43479.359999999993</v>
      </c>
      <c r="DI277" s="784"/>
      <c r="DJ277" s="5"/>
      <c r="DK277" s="317">
        <f>VLOOKUP($A277,ціни!$A$4:$G$401,5)</f>
        <v>1.7513836521904724</v>
      </c>
      <c r="DL277" s="317"/>
      <c r="DM277" s="317">
        <f>VLOOKUP($A277,ціни!$A$4:$G$401,7)</f>
        <v>1.7513836521904724</v>
      </c>
      <c r="DN277" s="30">
        <f>F277*DK277</f>
        <v>3981.770733255039</v>
      </c>
      <c r="DO277" s="30">
        <f>H277*DM277</f>
        <v>0</v>
      </c>
      <c r="DP277" s="316">
        <f t="shared" si="278"/>
        <v>3981.770733255039</v>
      </c>
      <c r="DQ277" s="104"/>
      <c r="DR277" s="30">
        <f>VLOOKUP(A277,'ДЗ нас '!$A$1:$C$359,2)</f>
        <v>301.94</v>
      </c>
      <c r="DS277" s="748"/>
      <c r="DT277" s="30">
        <f t="shared" si="279"/>
        <v>301.94</v>
      </c>
      <c r="DU277" s="257">
        <f>VLOOKUP(A277,'новий кошторис с 01.06'!$A$4:$AI$399,35)*1.2</f>
        <v>302.83097082474376</v>
      </c>
      <c r="DV277" s="30">
        <f t="shared" si="280"/>
        <v>-0.89097082474376066</v>
      </c>
      <c r="DW277" s="930">
        <f>'[5]побудинковий звіт'!DW277+'[6]побудинковий звіт'!DW277</f>
        <v>0</v>
      </c>
      <c r="DY277" s="5">
        <f t="shared" si="286"/>
        <v>2309.9931840223717</v>
      </c>
      <c r="DZ277" s="5">
        <f t="shared" si="287"/>
        <v>0</v>
      </c>
      <c r="EA277" s="752">
        <f t="shared" si="291"/>
        <v>1.999999999998181E-2</v>
      </c>
      <c r="EC277" s="592">
        <f t="shared" si="288"/>
        <v>23099.931840223719</v>
      </c>
      <c r="EE277" s="758">
        <v>946</v>
      </c>
      <c r="EF277" s="738">
        <f t="shared" si="289"/>
        <v>-2921.3518820065292</v>
      </c>
      <c r="EH277" s="813">
        <v>-3690.5877301261817</v>
      </c>
    </row>
    <row r="278" spans="1:138" x14ac:dyDescent="0.3">
      <c r="A278" s="328">
        <v>150000848</v>
      </c>
      <c r="B278" s="44" t="s">
        <v>729</v>
      </c>
      <c r="C278" s="45" t="s">
        <v>1787</v>
      </c>
      <c r="D278" s="45" t="s">
        <v>186</v>
      </c>
      <c r="E278" s="40">
        <f t="shared" si="292"/>
        <v>1700.4</v>
      </c>
      <c r="F278" s="490">
        <v>1700.4</v>
      </c>
      <c r="G278" s="30"/>
      <c r="H278" s="30">
        <v>0</v>
      </c>
      <c r="I278" s="42">
        <f>'[1]побудинковий звіт'!I278+'[2]побудинковий звіт'!I278-'[3]побудинковий звіт'!I278</f>
        <v>497.81400243106344</v>
      </c>
      <c r="J278" s="42">
        <f>'[1]побудинковий звіт'!J278+'[2]побудинковий звіт'!J278-'[3]побудинковий звіт'!J278</f>
        <v>500.85632807361878</v>
      </c>
      <c r="K278" s="56">
        <f t="shared" si="296"/>
        <v>3.0423256425553404</v>
      </c>
      <c r="L278" s="42">
        <f>'[1]побудинковий звіт'!L278+'[2]побудинковий звіт'!L278-'[3]побудинковий звіт'!L278</f>
        <v>227.546144853393</v>
      </c>
      <c r="M278" s="42">
        <f>'[1]побудинковий звіт'!M278+'[2]побудинковий звіт'!M278-'[3]побудинковий звіт'!M278</f>
        <v>229.58218523753885</v>
      </c>
      <c r="N278" s="56">
        <f t="shared" si="297"/>
        <v>2.0360403841458492</v>
      </c>
      <c r="O278" s="42">
        <f>'[1]побудинковий звіт'!O278+'[2]побудинковий звіт'!O278-'[3]побудинковий звіт'!O278</f>
        <v>0</v>
      </c>
      <c r="P278" s="42">
        <f>'[1]побудинковий звіт'!P278+'[2]побудинковий звіт'!P278-'[3]побудинковий звіт'!P278</f>
        <v>0</v>
      </c>
      <c r="Q278" s="56">
        <f t="shared" si="298"/>
        <v>0</v>
      </c>
      <c r="R278" s="42">
        <f>'[1]побудинковий звіт'!R278+'[2]побудинковий звіт'!R278-'[3]побудинковий звіт'!R278</f>
        <v>0</v>
      </c>
      <c r="S278" s="42">
        <f>'[1]побудинковий звіт'!S278+'[2]побудинковий звіт'!S278-'[3]побудинковий звіт'!S278</f>
        <v>0</v>
      </c>
      <c r="T278" s="56">
        <f t="shared" si="299"/>
        <v>0</v>
      </c>
      <c r="U278" s="42">
        <f>'[1]побудинковий звіт'!U278+'[2]побудинковий звіт'!U278-'[3]побудинковий звіт'!U278</f>
        <v>0</v>
      </c>
      <c r="V278" s="42">
        <f>'[1]побудинковий звіт'!V278+'[2]побудинковий звіт'!V278-'[3]побудинковий звіт'!V278</f>
        <v>0</v>
      </c>
      <c r="W278" s="56">
        <f t="shared" si="300"/>
        <v>0</v>
      </c>
      <c r="X278" s="42">
        <f>'[1]побудинковий звіт'!X278+'[2]побудинковий звіт'!X278-'[3]побудинковий звіт'!X278</f>
        <v>425.18133968942954</v>
      </c>
      <c r="Y278" s="42">
        <f>'[1]побудинковий звіт'!Y278+'[2]побудинковий звіт'!Y278-'[3]побудинковий звіт'!Y278</f>
        <v>306.929433518042</v>
      </c>
      <c r="Z278" s="56">
        <f t="shared" si="301"/>
        <v>-118.25190617138753</v>
      </c>
      <c r="AA278" s="42">
        <f>'[1]побудинковий звіт'!AA278+'[2]побудинковий звіт'!AA278-'[3]побудинковий звіт'!AA278</f>
        <v>0</v>
      </c>
      <c r="AB278" s="42">
        <f>'[1]побудинковий звіт'!AB278+'[2]побудинковий звіт'!AB278-'[3]побудинковий звіт'!AB278</f>
        <v>0</v>
      </c>
      <c r="AC278" s="56">
        <f t="shared" si="302"/>
        <v>0</v>
      </c>
      <c r="AD278" s="42">
        <f>'[1]побудинковий звіт'!AD278+'[2]побудинковий звіт'!AD278-'[3]побудинковий звіт'!AD278</f>
        <v>1116.8471964728913</v>
      </c>
      <c r="AE278" s="42">
        <f>'[1]побудинковий звіт'!AE278+'[2]побудинковий звіт'!AE278-'[3]побудинковий звіт'!AE278</f>
        <v>1029.3906216686964</v>
      </c>
      <c r="AF278" s="37">
        <f t="shared" si="303"/>
        <v>-87.456574804194815</v>
      </c>
      <c r="AG278" s="87">
        <f t="shared" si="293"/>
        <v>2267.3886834467771</v>
      </c>
      <c r="AH278" s="57">
        <f t="shared" si="293"/>
        <v>2066.7585684978958</v>
      </c>
      <c r="AI278" s="56">
        <f t="shared" si="304"/>
        <v>-200.63011494888133</v>
      </c>
      <c r="AJ278" s="42">
        <f>'[1]побудинковий звіт'!AJ278+'[2]побудинковий звіт'!AJ278-'[3]побудинковий звіт'!AJ278</f>
        <v>0</v>
      </c>
      <c r="AK278" s="42">
        <f>'[1]побудинковий звіт'!AK278+'[2]побудинковий звіт'!AK278-'[3]побудинковий звіт'!AK278</f>
        <v>0</v>
      </c>
      <c r="AL278" s="56">
        <f t="shared" si="305"/>
        <v>0</v>
      </c>
      <c r="AM278" s="42">
        <f>'[1]побудинковий звіт'!AM278+'[2]побудинковий звіт'!AM278-'[3]побудинковий звіт'!AM278</f>
        <v>0</v>
      </c>
      <c r="AN278" s="42">
        <f>'[1]побудинковий звіт'!AN278+'[2]побудинковий звіт'!AN278-'[3]побудинковий звіт'!AN278</f>
        <v>0</v>
      </c>
      <c r="AO278" s="56">
        <f t="shared" si="306"/>
        <v>0</v>
      </c>
      <c r="AP278" s="42">
        <f>'[1]побудинковий звіт'!AP278+'[2]побудинковий звіт'!AP278-'[3]побудинковий звіт'!AP278</f>
        <v>568.21058573618984</v>
      </c>
      <c r="AQ278" s="42">
        <f>'[1]побудинковий звіт'!AQ278+'[2]побудинковий звіт'!AQ278-'[3]побудинковий звіт'!AQ278</f>
        <v>496.0150382230737</v>
      </c>
      <c r="AR278" s="56">
        <f t="shared" si="307"/>
        <v>-72.195547513116139</v>
      </c>
      <c r="AS278" s="42">
        <f>'[1]побудинковий звіт'!AS278+'[2]побудинковий звіт'!AS278-'[3]побудинковий звіт'!AS278</f>
        <v>3741.456878543283</v>
      </c>
      <c r="AT278" s="42">
        <f>'[1]побудинковий звіт'!AT278+'[2]побудинковий звіт'!AT278-'[3]побудинковий звіт'!AT278</f>
        <v>0</v>
      </c>
      <c r="AU278" s="58">
        <f t="shared" si="322"/>
        <v>-3741.456878543283</v>
      </c>
      <c r="AV278" s="42">
        <f>'[1]побудинковий звіт'!AV278+'[2]побудинковий звіт'!AV278-'[3]побудинковий звіт'!AV278</f>
        <v>217.85153657885775</v>
      </c>
      <c r="AW278" s="42">
        <f>'[1]побудинковий звіт'!AW278+'[2]побудинковий звіт'!AW278-'[3]побудинковий звіт'!AW278</f>
        <v>0</v>
      </c>
      <c r="AX278" s="59">
        <f t="shared" si="323"/>
        <v>-217.85153657885775</v>
      </c>
      <c r="AY278" s="42">
        <f>'[1]побудинковий звіт'!AY278+'[2]побудинковий звіт'!AY278-'[3]побудинковий звіт'!AY278</f>
        <v>293.55584184695147</v>
      </c>
      <c r="AZ278" s="42">
        <f>'[1]побудинковий звіт'!AZ278+'[2]побудинковий звіт'!AZ278-'[3]побудинковий звіт'!AZ278</f>
        <v>0</v>
      </c>
      <c r="BA278" s="37">
        <f t="shared" si="324"/>
        <v>-293.55584184695147</v>
      </c>
      <c r="BB278" s="42">
        <f>'[1]побудинковий звіт'!BB278+'[2]побудинковий звіт'!BB278-'[3]побудинковий звіт'!BB278</f>
        <v>151.88545680503069</v>
      </c>
      <c r="BC278" s="42">
        <f>'[1]побудинковий звіт'!BC278+'[2]побудинковий звіт'!BC278-'[3]побудинковий звіт'!BC278</f>
        <v>0</v>
      </c>
      <c r="BD278" s="59">
        <f t="shared" si="325"/>
        <v>-151.88545680503069</v>
      </c>
      <c r="BE278" s="42">
        <f>'[1]побудинковий звіт'!BE278+'[2]побудинковий звіт'!BE278-'[3]побудинковий звіт'!BE278</f>
        <v>0</v>
      </c>
      <c r="BF278" s="42">
        <f>'[1]побудинковий звіт'!BF278+'[2]побудинковий звіт'!BF278-'[3]побудинковий звіт'!BF278</f>
        <v>0</v>
      </c>
      <c r="BG278" s="39">
        <f t="shared" si="326"/>
        <v>0</v>
      </c>
      <c r="BH278" s="42">
        <f>'[1]побудинковий звіт'!BH278+'[2]побудинковий звіт'!BH278-'[3]побудинковий звіт'!BH278</f>
        <v>0</v>
      </c>
      <c r="BI278" s="42">
        <f>'[1]побудинковий звіт'!BI278+'[2]побудинковий звіт'!BI278-'[3]побудинковий звіт'!BI278</f>
        <v>0</v>
      </c>
      <c r="BJ278" s="59">
        <f t="shared" si="327"/>
        <v>0</v>
      </c>
      <c r="BK278" s="42">
        <f>'[1]побудинковий звіт'!BK278+'[2]побудинковий звіт'!BK278-'[3]побудинковий звіт'!BK278</f>
        <v>59.168551776459466</v>
      </c>
      <c r="BL278" s="42">
        <f>'[1]побудинковий звіт'!BL278+'[2]побудинковий звіт'!BL278-'[3]побудинковий звіт'!BL278</f>
        <v>0</v>
      </c>
      <c r="BM278" s="39">
        <f t="shared" si="328"/>
        <v>-59.168551776459466</v>
      </c>
      <c r="BN278" s="42">
        <f>'[1]побудинковий звіт'!BN278+'[2]побудинковий звіт'!BN278-'[3]побудинковий звіт'!BN278</f>
        <v>0</v>
      </c>
      <c r="BO278" s="42">
        <f>'[1]побудинковий звіт'!BO278+'[2]побудинковий звіт'!BO278-'[3]побудинковий звіт'!BO278</f>
        <v>0</v>
      </c>
      <c r="BP278" s="59">
        <f t="shared" si="329"/>
        <v>0</v>
      </c>
      <c r="BQ278" s="87">
        <f t="shared" si="282"/>
        <v>722.46138700729944</v>
      </c>
      <c r="BR278" s="43">
        <f t="shared" si="283"/>
        <v>0</v>
      </c>
      <c r="BS278" s="59">
        <f t="shared" si="330"/>
        <v>-722.46138700729944</v>
      </c>
      <c r="BT278" s="42">
        <f>'[1]побудинковий звіт'!BT278+'[2]побудинковий звіт'!BT278-'[3]побудинковий звіт'!BT278</f>
        <v>3960.8377920116645</v>
      </c>
      <c r="BU278" s="42">
        <f>'[1]побудинковий звіт'!BU278+'[2]побудинковий звіт'!BU278-'[3]побудинковий звіт'!BU278</f>
        <v>5621.5599216379733</v>
      </c>
      <c r="BV278" s="56">
        <f t="shared" si="308"/>
        <v>1660.7221296263087</v>
      </c>
      <c r="BW278" s="42">
        <f>'[1]побудинковий звіт'!BW278+'[2]побудинковий звіт'!BW278-'[3]побудинковий звіт'!BW278</f>
        <v>2319.4303036996516</v>
      </c>
      <c r="BX278" s="42">
        <f>'[1]побудинковий звіт'!BX278+'[2]побудинковий звіт'!BX278-'[3]побудинковий звіт'!BX278</f>
        <v>2412.2744894575208</v>
      </c>
      <c r="BY278" s="56">
        <f t="shared" si="309"/>
        <v>92.844185757869127</v>
      </c>
      <c r="BZ278" s="42">
        <f>'[1]побудинковий звіт'!BZ278+'[2]побудинковий звіт'!BZ278-'[3]побудинковий звіт'!BZ278</f>
        <v>2030.3403589887735</v>
      </c>
      <c r="CA278" s="42">
        <f>'[1]побудинковий звіт'!CA278+'[2]побудинковий звіт'!CA278-'[3]побудинковий звіт'!CA278</f>
        <v>1178.2937615677663</v>
      </c>
      <c r="CB278" s="56">
        <f t="shared" si="310"/>
        <v>-852.04659742100716</v>
      </c>
      <c r="CC278" s="42">
        <f>'[1]побудинковий звіт'!CC278+'[2]побудинковий звіт'!CC278-'[3]побудинковий звіт'!CC278</f>
        <v>0</v>
      </c>
      <c r="CD278" s="42">
        <f>'[1]побудинковий звіт'!CD278+'[2]побудинковий звіт'!CD278-'[3]побудинковий звіт'!CD278</f>
        <v>0</v>
      </c>
      <c r="CE278" s="56">
        <f t="shared" si="311"/>
        <v>0</v>
      </c>
      <c r="CF278" s="42">
        <f>'[1]побудинковий звіт'!CF278+'[2]побудинковий звіт'!CF278-'[3]побудинковий звіт'!CF278</f>
        <v>0</v>
      </c>
      <c r="CG278" s="42">
        <f>'[1]побудинковий звіт'!CG278+'[2]побудинковий звіт'!CG278-'[3]побудинковий звіт'!CG278</f>
        <v>0</v>
      </c>
      <c r="CH278" s="56">
        <f t="shared" si="312"/>
        <v>0</v>
      </c>
      <c r="CI278" s="42">
        <f>'[1]побудинковий звіт'!CI278+'[2]побудинковий звіт'!CI278-'[3]побудинковий звіт'!CI278</f>
        <v>935.87625885960688</v>
      </c>
      <c r="CJ278" s="42">
        <f>'[1]побудинковий звіт'!CJ278+'[2]побудинковий звіт'!CJ278-'[3]побудинковий звіт'!CJ278</f>
        <v>1275.6197771262753</v>
      </c>
      <c r="CK278" s="56">
        <f t="shared" si="313"/>
        <v>339.74351826666839</v>
      </c>
      <c r="CL278" s="42">
        <f>'[1]побудинковий звіт'!CL278+'[2]побудинковий звіт'!CL278-'[3]побудинковий звіт'!CL278</f>
        <v>0</v>
      </c>
      <c r="CM278" s="42">
        <f>'[1]побудинковий звіт'!CM278+'[2]побудинковий звіт'!CM278-'[3]побудинковий звіт'!CM278</f>
        <v>0</v>
      </c>
      <c r="CN278" s="56">
        <f t="shared" si="314"/>
        <v>0</v>
      </c>
      <c r="CO278" s="42">
        <f t="shared" si="294"/>
        <v>935.87625885960688</v>
      </c>
      <c r="CP278" s="43">
        <f t="shared" si="315"/>
        <v>1275.6197771262753</v>
      </c>
      <c r="CQ278" s="56">
        <f t="shared" si="316"/>
        <v>339.74351826666839</v>
      </c>
      <c r="CR278" s="78">
        <f t="shared" si="295"/>
        <v>16546.002248293247</v>
      </c>
      <c r="CS278" s="5">
        <f t="shared" si="295"/>
        <v>13050.521556510505</v>
      </c>
      <c r="CT278" s="56">
        <f t="shared" si="317"/>
        <v>-3495.4806917827427</v>
      </c>
      <c r="CU278" s="87">
        <f t="shared" si="318"/>
        <v>19855.202697951896</v>
      </c>
      <c r="CV278" s="70">
        <f t="shared" si="319"/>
        <v>15660.625867812605</v>
      </c>
      <c r="CW278" s="37">
        <f t="shared" si="320"/>
        <v>-4194.5768301392909</v>
      </c>
      <c r="CX278" s="42">
        <f>'[1]побудинковий звіт'!CX278+'[2]побудинковий звіт'!CX278-'[3]побудинковий звіт'!CX278</f>
        <v>297.71730204810592</v>
      </c>
      <c r="CY278" s="42">
        <f>'[1]побудинковий звіт'!CY278+'[2]побудинковий звіт'!CY278-'[3]побудинковий звіт'!CY278</f>
        <v>4492.2941321873941</v>
      </c>
      <c r="CZ278" s="56">
        <f t="shared" si="321"/>
        <v>4194.5768301392882</v>
      </c>
      <c r="DA278" s="264">
        <f>'[4]побудинковий звіт'!DA278</f>
        <v>-22082.748321894011</v>
      </c>
      <c r="DB278" s="2">
        <v>2</v>
      </c>
      <c r="DC278" s="717">
        <f>'[4]побудинковий звіт'!DC278</f>
        <v>10671.82</v>
      </c>
      <c r="DD278" s="717">
        <f>'[4]побудинковий звіт'!DD278</f>
        <v>0</v>
      </c>
      <c r="DE278" s="717">
        <f>'[4]побудинковий звіт'!DE278</f>
        <v>8992.41</v>
      </c>
      <c r="DF278" s="717">
        <f>'[4]побудинковий звіт'!DF278</f>
        <v>0</v>
      </c>
      <c r="DG278" s="787">
        <v>-15451.875858121908</v>
      </c>
      <c r="DH278" s="761">
        <f t="shared" si="290"/>
        <v>241835.04000000004</v>
      </c>
      <c r="DI278" s="784"/>
      <c r="DJ278" s="5"/>
      <c r="DK278" s="317">
        <f>VLOOKUP($A278,ціни!$A$4:$G$401,5)</f>
        <v>6.4296295107265111</v>
      </c>
      <c r="DL278" s="317"/>
      <c r="DM278" s="317">
        <f>VLOOKUP($A278,ціни!$A$4:$G$401,7)</f>
        <v>5.5283194960805897</v>
      </c>
      <c r="DN278" s="30">
        <f>F278*DK278</f>
        <v>10932.94202003936</v>
      </c>
      <c r="DO278" s="30">
        <f>H278*DM278</f>
        <v>0</v>
      </c>
      <c r="DP278" s="316">
        <f t="shared" si="278"/>
        <v>10932.94202003936</v>
      </c>
      <c r="DQ278" s="104"/>
      <c r="DR278" s="30">
        <f>VLOOKUP(A278,'ДЗ нас '!$A$1:$C$359,2)</f>
        <v>1679.41</v>
      </c>
      <c r="DS278" s="748"/>
      <c r="DT278" s="30">
        <f t="shared" si="279"/>
        <v>1679.41</v>
      </c>
      <c r="DU278" s="257">
        <f>VLOOKUP(A278,'новий кошторис с 01.06'!$A$4:$AI$399,35)*1.2</f>
        <v>1684.3830288762524</v>
      </c>
      <c r="DV278" s="30">
        <f t="shared" si="280"/>
        <v>-4.9730288762523287</v>
      </c>
      <c r="DW278" s="930">
        <f>'[5]побудинковий звіт'!DW278+'[6]побудинковий звіт'!DW278</f>
        <v>204</v>
      </c>
      <c r="DY278" s="5">
        <f t="shared" si="286"/>
        <v>5356.7019186606994</v>
      </c>
      <c r="DZ278" s="5">
        <f t="shared" si="287"/>
        <v>0</v>
      </c>
      <c r="EA278" s="752">
        <f t="shared" si="291"/>
        <v>8992.41</v>
      </c>
      <c r="EC278" s="592">
        <f t="shared" si="288"/>
        <v>44897.482542519399</v>
      </c>
      <c r="EE278" s="758">
        <v>-8221</v>
      </c>
      <c r="EF278" s="738">
        <f t="shared" si="289"/>
        <v>-23672.875858121908</v>
      </c>
      <c r="EH278" s="813">
        <v>-18979.939342103768</v>
      </c>
    </row>
    <row r="279" spans="1:138" x14ac:dyDescent="0.3">
      <c r="A279" s="328">
        <v>150000845</v>
      </c>
      <c r="B279" s="44" t="s">
        <v>731</v>
      </c>
      <c r="C279" s="45" t="s">
        <v>1788</v>
      </c>
      <c r="D279" s="45" t="s">
        <v>138</v>
      </c>
      <c r="E279" s="40">
        <f t="shared" si="292"/>
        <v>275.3</v>
      </c>
      <c r="F279" s="490">
        <v>275.3</v>
      </c>
      <c r="G279" s="30"/>
      <c r="H279" s="30">
        <v>0</v>
      </c>
      <c r="I279" s="42">
        <f>'[1]побудинковий звіт'!I279+'[2]побудинковий звіт'!I279-'[3]побудинковий звіт'!I279</f>
        <v>0</v>
      </c>
      <c r="J279" s="42">
        <f>'[1]побудинковий звіт'!J279+'[2]побудинковий звіт'!J279-'[3]побудинковий звіт'!J279</f>
        <v>0</v>
      </c>
      <c r="K279" s="56">
        <f t="shared" si="296"/>
        <v>0</v>
      </c>
      <c r="L279" s="42">
        <f>'[1]побудинковий звіт'!L279+'[2]побудинковий звіт'!L279-'[3]побудинковий звіт'!L279</f>
        <v>0</v>
      </c>
      <c r="M279" s="42">
        <f>'[1]побудинковий звіт'!M279+'[2]побудинковий звіт'!M279-'[3]побудинковий звіт'!M279</f>
        <v>0</v>
      </c>
      <c r="N279" s="56">
        <f t="shared" si="297"/>
        <v>0</v>
      </c>
      <c r="O279" s="42">
        <f>'[1]побудинковий звіт'!O279+'[2]побудинковий звіт'!O279-'[3]побудинковий звіт'!O279</f>
        <v>0</v>
      </c>
      <c r="P279" s="42">
        <f>'[1]побудинковий звіт'!P279+'[2]побудинковий звіт'!P279-'[3]побудинковий звіт'!P279</f>
        <v>0</v>
      </c>
      <c r="Q279" s="56">
        <f t="shared" si="298"/>
        <v>0</v>
      </c>
      <c r="R279" s="42">
        <f>'[1]побудинковий звіт'!R279+'[2]побудинковий звіт'!R279-'[3]побудинковий звіт'!R279</f>
        <v>0</v>
      </c>
      <c r="S279" s="42">
        <f>'[1]побудинковий звіт'!S279+'[2]побудинковий звіт'!S279-'[3]побудинковий звіт'!S279</f>
        <v>0</v>
      </c>
      <c r="T279" s="56">
        <f t="shared" si="299"/>
        <v>0</v>
      </c>
      <c r="U279" s="42">
        <f>'[1]побудинковий звіт'!U279+'[2]побудинковий звіт'!U279-'[3]побудинковий звіт'!U279</f>
        <v>0</v>
      </c>
      <c r="V279" s="42">
        <f>'[1]побудинковий звіт'!V279+'[2]побудинковий звіт'!V279-'[3]побудинковий звіт'!V279</f>
        <v>0</v>
      </c>
      <c r="W279" s="56">
        <f t="shared" si="300"/>
        <v>0</v>
      </c>
      <c r="X279" s="42">
        <f>'[1]побудинковий звіт'!X279+'[2]побудинковий звіт'!X279-'[3]побудинковий звіт'!X279</f>
        <v>0</v>
      </c>
      <c r="Y279" s="42">
        <f>'[1]побудинковий звіт'!Y279+'[2]побудинковий звіт'!Y279-'[3]побудинковий звіт'!Y279</f>
        <v>0</v>
      </c>
      <c r="Z279" s="56">
        <f t="shared" si="301"/>
        <v>0</v>
      </c>
      <c r="AA279" s="42">
        <f>'[1]побудинковий звіт'!AA279+'[2]побудинковий звіт'!AA279-'[3]побудинковий звіт'!AA279</f>
        <v>0</v>
      </c>
      <c r="AB279" s="42">
        <f>'[1]побудинковий звіт'!AB279+'[2]побудинковий звіт'!AB279-'[3]побудинковий звіт'!AB279</f>
        <v>0</v>
      </c>
      <c r="AC279" s="56">
        <f t="shared" si="302"/>
        <v>0</v>
      </c>
      <c r="AD279" s="42">
        <f>'[1]побудинковий звіт'!AD279+'[2]побудинковий звіт'!AD279-'[3]побудинковий звіт'!AD279</f>
        <v>0</v>
      </c>
      <c r="AE279" s="42">
        <f>'[1]побудинковий звіт'!AE279+'[2]побудинковий звіт'!AE279-'[3]побудинковий звіт'!AE279</f>
        <v>168.39496967856428</v>
      </c>
      <c r="AF279" s="37">
        <f t="shared" si="303"/>
        <v>168.39496967856428</v>
      </c>
      <c r="AG279" s="87">
        <f t="shared" si="293"/>
        <v>0</v>
      </c>
      <c r="AH279" s="57">
        <f t="shared" si="293"/>
        <v>168.39496967856428</v>
      </c>
      <c r="AI279" s="56">
        <f t="shared" si="304"/>
        <v>168.39496967856428</v>
      </c>
      <c r="AJ279" s="42">
        <f>'[1]побудинковий звіт'!AJ279+'[2]побудинковий звіт'!AJ279-'[3]побудинковий звіт'!AJ279</f>
        <v>0</v>
      </c>
      <c r="AK279" s="42">
        <f>'[1]побудинковий звіт'!AK279+'[2]побудинковий звіт'!AK279-'[3]побудинковий звіт'!AK279</f>
        <v>0</v>
      </c>
      <c r="AL279" s="56">
        <f t="shared" si="305"/>
        <v>0</v>
      </c>
      <c r="AM279" s="42">
        <f>'[1]побудинковий звіт'!AM279+'[2]побудинковий звіт'!AM279-'[3]побудинковий звіт'!AM279</f>
        <v>0</v>
      </c>
      <c r="AN279" s="42">
        <f>'[1]побудинковий звіт'!AN279+'[2]побудинковий звіт'!AN279-'[3]побудинковий звіт'!AN279</f>
        <v>0</v>
      </c>
      <c r="AO279" s="56">
        <f t="shared" si="306"/>
        <v>0</v>
      </c>
      <c r="AP279" s="42">
        <f>'[1]побудинковий звіт'!AP279+'[2]побудинковий звіт'!AP279-'[3]побудинковий звіт'!AP279</f>
        <v>378.80705715745984</v>
      </c>
      <c r="AQ279" s="42">
        <f>'[1]побудинковий звіт'!AQ279+'[2]побудинковий звіт'!AQ279-'[3]побудинковий звіт'!AQ279</f>
        <v>141.30984918121601</v>
      </c>
      <c r="AR279" s="56">
        <f t="shared" si="307"/>
        <v>-237.49720797624383</v>
      </c>
      <c r="AS279" s="42">
        <f>'[1]побудинковий звіт'!AS279+'[2]побудинковий звіт'!AS279-'[3]побудинковий звіт'!AS279</f>
        <v>4172.9388429361361</v>
      </c>
      <c r="AT279" s="42">
        <f>'[1]побудинковий звіт'!AT279+'[2]побудинковий звіт'!AT279-'[3]побудинковий звіт'!AT279</f>
        <v>0</v>
      </c>
      <c r="AU279" s="58">
        <f t="shared" si="322"/>
        <v>-4172.9388429361361</v>
      </c>
      <c r="AV279" s="42">
        <f>'[1]побудинковий звіт'!AV279+'[2]побудинковий звіт'!AV279-'[3]побудинковий звіт'!AV279</f>
        <v>0</v>
      </c>
      <c r="AW279" s="42">
        <f>'[1]побудинковий звіт'!AW279+'[2]побудинковий звіт'!AW279-'[3]побудинковий звіт'!AW279</f>
        <v>0</v>
      </c>
      <c r="AX279" s="59">
        <f t="shared" si="323"/>
        <v>0</v>
      </c>
      <c r="AY279" s="42">
        <f>'[1]побудинковий звіт'!AY279+'[2]побудинковий звіт'!AY279-'[3]побудинковий звіт'!AY279</f>
        <v>0</v>
      </c>
      <c r="AZ279" s="42">
        <f>'[1]побудинковий звіт'!AZ279+'[2]побудинковий звіт'!AZ279-'[3]побудинковий звіт'!AZ279</f>
        <v>0</v>
      </c>
      <c r="BA279" s="37">
        <f t="shared" si="324"/>
        <v>0</v>
      </c>
      <c r="BB279" s="42">
        <f>'[1]побудинковий звіт'!BB279+'[2]побудинковий звіт'!BB279-'[3]побудинковий звіт'!BB279</f>
        <v>0</v>
      </c>
      <c r="BC279" s="42">
        <f>'[1]побудинковий звіт'!BC279+'[2]побудинковий звіт'!BC279-'[3]побудинковий звіт'!BC279</f>
        <v>0</v>
      </c>
      <c r="BD279" s="59">
        <f t="shared" si="325"/>
        <v>0</v>
      </c>
      <c r="BE279" s="42">
        <f>'[1]побудинковий звіт'!BE279+'[2]побудинковий звіт'!BE279-'[3]побудинковий звіт'!BE279</f>
        <v>0</v>
      </c>
      <c r="BF279" s="42">
        <f>'[1]побудинковий звіт'!BF279+'[2]побудинковий звіт'!BF279-'[3]побудинковий звіт'!BF279</f>
        <v>0</v>
      </c>
      <c r="BG279" s="39">
        <f t="shared" si="326"/>
        <v>0</v>
      </c>
      <c r="BH279" s="42">
        <f>'[1]побудинковий звіт'!BH279+'[2]побудинковий звіт'!BH279-'[3]побудинковий звіт'!BH279</f>
        <v>0</v>
      </c>
      <c r="BI279" s="42">
        <f>'[1]побудинковий звіт'!BI279+'[2]побудинковий звіт'!BI279-'[3]побудинковий звіт'!BI279</f>
        <v>0</v>
      </c>
      <c r="BJ279" s="59">
        <f t="shared" si="327"/>
        <v>0</v>
      </c>
      <c r="BK279" s="42">
        <f>'[1]побудинковий звіт'!BK279+'[2]побудинковий звіт'!BK279-'[3]побудинковий звіт'!BK279</f>
        <v>0</v>
      </c>
      <c r="BL279" s="42">
        <f>'[1]побудинковий звіт'!BL279+'[2]побудинковий звіт'!BL279-'[3]побудинковий звіт'!BL279</f>
        <v>0</v>
      </c>
      <c r="BM279" s="39">
        <f t="shared" si="328"/>
        <v>0</v>
      </c>
      <c r="BN279" s="42">
        <f>'[1]побудинковий звіт'!BN279+'[2]побудинковий звіт'!BN279-'[3]побудинковий звіт'!BN279</f>
        <v>0</v>
      </c>
      <c r="BO279" s="42">
        <f>'[1]побудинковий звіт'!BO279+'[2]побудинковий звіт'!BO279-'[3]побудинковий звіт'!BO279</f>
        <v>0</v>
      </c>
      <c r="BP279" s="59">
        <f t="shared" si="329"/>
        <v>0</v>
      </c>
      <c r="BQ279" s="87">
        <f t="shared" si="282"/>
        <v>0</v>
      </c>
      <c r="BR279" s="43">
        <f t="shared" si="283"/>
        <v>0</v>
      </c>
      <c r="BS279" s="59">
        <f t="shared" si="330"/>
        <v>0</v>
      </c>
      <c r="BT279" s="42">
        <f>'[1]побудинковий звіт'!BT279+'[2]побудинковий звіт'!BT279-'[3]побудинковий звіт'!BT279</f>
        <v>0</v>
      </c>
      <c r="BU279" s="42">
        <f>'[1]побудинковий звіт'!BU279+'[2]побудинковий звіт'!BU279-'[3]побудинковий звіт'!BU279</f>
        <v>0</v>
      </c>
      <c r="BV279" s="56">
        <f t="shared" si="308"/>
        <v>0</v>
      </c>
      <c r="BW279" s="42">
        <f>'[1]побудинковий звіт'!BW279+'[2]побудинковий звіт'!BW279-'[3]побудинковий звіт'!BW279</f>
        <v>0</v>
      </c>
      <c r="BX279" s="42">
        <f>'[1]побудинковий звіт'!BX279+'[2]побудинковий звіт'!BX279-'[3]побудинковий звіт'!BX279</f>
        <v>8.1435606988684519</v>
      </c>
      <c r="BY279" s="56">
        <f t="shared" si="309"/>
        <v>8.1435606988684519</v>
      </c>
      <c r="BZ279" s="42">
        <f>'[1]побудинковий звіт'!BZ279+'[2]побудинковий звіт'!BZ279-'[3]побудинковий звіт'!BZ279</f>
        <v>0</v>
      </c>
      <c r="CA279" s="42">
        <f>'[1]побудинковий звіт'!CA279+'[2]побудинковий звіт'!CA279-'[3]побудинковий звіт'!CA279</f>
        <v>0</v>
      </c>
      <c r="CB279" s="56">
        <f t="shared" si="310"/>
        <v>0</v>
      </c>
      <c r="CC279" s="42">
        <f>'[1]побудинковий звіт'!CC279+'[2]побудинковий звіт'!CC279-'[3]побудинковий звіт'!CC279</f>
        <v>0</v>
      </c>
      <c r="CD279" s="42">
        <f>'[1]побудинковий звіт'!CD279+'[2]побудинковий звіт'!CD279-'[3]побудинковий звіт'!CD279</f>
        <v>0</v>
      </c>
      <c r="CE279" s="56">
        <f t="shared" si="311"/>
        <v>0</v>
      </c>
      <c r="CF279" s="42">
        <f>'[1]побудинковий звіт'!CF279+'[2]побудинковий звіт'!CF279-'[3]побудинковий звіт'!CF279</f>
        <v>0</v>
      </c>
      <c r="CG279" s="42">
        <f>'[1]побудинковий звіт'!CG279+'[2]побудинковий звіт'!CG279-'[3]побудинковий звіт'!CG279</f>
        <v>0</v>
      </c>
      <c r="CH279" s="56">
        <f t="shared" si="312"/>
        <v>0</v>
      </c>
      <c r="CI279" s="42">
        <f>'[1]побудинковий звіт'!CI279+'[2]побудинковий звіт'!CI279-'[3]побудинковий звіт'!CI279</f>
        <v>0</v>
      </c>
      <c r="CJ279" s="42">
        <f>'[1]побудинковий звіт'!CJ279+'[2]побудинковий звіт'!CJ279-'[3]побудинковий звіт'!CJ279</f>
        <v>0</v>
      </c>
      <c r="CK279" s="56">
        <f t="shared" si="313"/>
        <v>0</v>
      </c>
      <c r="CL279" s="42">
        <f>'[1]побудинковий звіт'!CL279+'[2]побудинковий звіт'!CL279-'[3]побудинковий звіт'!CL279</f>
        <v>0</v>
      </c>
      <c r="CM279" s="42">
        <f>'[1]побудинковий звіт'!CM279+'[2]побудинковий звіт'!CM279-'[3]побудинковий звіт'!CM279</f>
        <v>0</v>
      </c>
      <c r="CN279" s="56">
        <f t="shared" si="314"/>
        <v>0</v>
      </c>
      <c r="CO279" s="42">
        <f t="shared" si="294"/>
        <v>0</v>
      </c>
      <c r="CP279" s="43">
        <f t="shared" si="315"/>
        <v>0</v>
      </c>
      <c r="CQ279" s="56">
        <f t="shared" si="316"/>
        <v>0</v>
      </c>
      <c r="CR279" s="78">
        <f t="shared" si="295"/>
        <v>4551.745900093596</v>
      </c>
      <c r="CS279" s="5">
        <f t="shared" si="295"/>
        <v>317.84837955864873</v>
      </c>
      <c r="CT279" s="56">
        <f t="shared" si="317"/>
        <v>-4233.897520534947</v>
      </c>
      <c r="CU279" s="87">
        <f t="shared" si="318"/>
        <v>5462.0950801123154</v>
      </c>
      <c r="CV279" s="70">
        <f t="shared" si="319"/>
        <v>381.41805547037848</v>
      </c>
      <c r="CW279" s="37">
        <f t="shared" si="320"/>
        <v>-5080.6770246419364</v>
      </c>
      <c r="CX279" s="42">
        <f>'[1]побудинковий звіт'!CX279+'[2]побудинковий звіт'!CX279-'[3]побудинковий звіт'!CX279</f>
        <v>136.38491988768533</v>
      </c>
      <c r="CY279" s="42">
        <f>'[1]побудинковий звіт'!CY279+'[2]побудинковий звіт'!CY279-'[3]побудинковий звіт'!CY279</f>
        <v>5217.0619445296215</v>
      </c>
      <c r="CZ279" s="56">
        <f t="shared" si="321"/>
        <v>5080.6770246419364</v>
      </c>
      <c r="DA279" s="264">
        <f>'[4]побудинковий звіт'!DA279</f>
        <v>-15433.177207732184</v>
      </c>
      <c r="DB279" s="2">
        <v>1</v>
      </c>
      <c r="DC279" s="717">
        <f>'[4]побудинковий звіт'!DC279</f>
        <v>966.87</v>
      </c>
      <c r="DD279" s="717">
        <f>'[4]побудинковий звіт'!DD279</f>
        <v>0</v>
      </c>
      <c r="DE279" s="717">
        <f>'[4]побудинковий звіт'!DE279</f>
        <v>500.33</v>
      </c>
      <c r="DF279" s="717">
        <f>'[4]побудинковий звіт'!DF279</f>
        <v>0</v>
      </c>
      <c r="DG279" s="787">
        <v>-7984.9123372053855</v>
      </c>
      <c r="DH279" s="761">
        <f t="shared" si="290"/>
        <v>67181.760000000009</v>
      </c>
      <c r="DI279" s="784"/>
      <c r="DJ279" s="5"/>
      <c r="DK279" s="317">
        <f>VLOOKUP($A279,ціни!$A$4:$G$401,5)</f>
        <v>1.8455457071186456</v>
      </c>
      <c r="DL279" s="317"/>
      <c r="DM279" s="317">
        <f>VLOOKUP($A279,ціни!$A$4:$G$401,7)</f>
        <v>1.8455457071186456</v>
      </c>
      <c r="DN279" s="30">
        <f>F279*DK279</f>
        <v>508.07873316976315</v>
      </c>
      <c r="DO279" s="30">
        <f>H279*DM279</f>
        <v>0</v>
      </c>
      <c r="DP279" s="316">
        <f t="shared" si="278"/>
        <v>508.07873316976315</v>
      </c>
      <c r="DQ279" s="104"/>
      <c r="DR279" s="30">
        <f>VLOOKUP(A279,'ДЗ нас '!$A$1:$C$359,2)</f>
        <v>466.54</v>
      </c>
      <c r="DS279" s="748"/>
      <c r="DT279" s="30">
        <f t="shared" si="279"/>
        <v>466.54</v>
      </c>
      <c r="DU279" s="257">
        <f>VLOOKUP(A279,'новий кошторис с 01.06'!$A$4:$AI$399,35)*1.2</f>
        <v>468.82982770964037</v>
      </c>
      <c r="DV279" s="30">
        <f t="shared" si="280"/>
        <v>-2.289827709640349</v>
      </c>
      <c r="DW279" s="930">
        <f>'[5]побудинковий звіт'!DW279+'[6]побудинковий звіт'!DW279</f>
        <v>0</v>
      </c>
      <c r="DY279" s="5">
        <f t="shared" si="286"/>
        <v>5007.5266115233635</v>
      </c>
      <c r="DZ279" s="5">
        <f t="shared" si="287"/>
        <v>0</v>
      </c>
      <c r="EA279" s="752">
        <f t="shared" si="291"/>
        <v>500.33</v>
      </c>
      <c r="EC279" s="592">
        <f t="shared" si="288"/>
        <v>50075.266115233637</v>
      </c>
      <c r="EE279" s="758">
        <v>3904</v>
      </c>
      <c r="EF279" s="738">
        <f t="shared" si="289"/>
        <v>-4080.9123372053855</v>
      </c>
      <c r="EH279" s="813">
        <v>-11059.55957499057</v>
      </c>
    </row>
    <row r="280" spans="1:138" x14ac:dyDescent="0.3">
      <c r="A280" s="328">
        <v>150000798</v>
      </c>
      <c r="B280" s="44" t="s">
        <v>733</v>
      </c>
      <c r="C280" s="45" t="s">
        <v>225</v>
      </c>
      <c r="D280" s="45" t="s">
        <v>225</v>
      </c>
      <c r="E280" s="40">
        <f t="shared" si="292"/>
        <v>626.5</v>
      </c>
      <c r="F280" s="490">
        <v>304.89999999999998</v>
      </c>
      <c r="G280" s="30"/>
      <c r="H280" s="30">
        <v>321.60000000000002</v>
      </c>
      <c r="I280" s="42">
        <f>'[1]побудинковий звіт'!I280+'[2]побудинковий звіт'!I280-'[3]побудинковий звіт'!I280</f>
        <v>3949.8225616604327</v>
      </c>
      <c r="J280" s="42">
        <f>'[1]побудинковий звіт'!J280+'[2]побудинковий звіт'!J280-'[3]побудинковий звіт'!J280</f>
        <v>3937.5528304870445</v>
      </c>
      <c r="K280" s="56">
        <f t="shared" si="296"/>
        <v>-12.269731173388209</v>
      </c>
      <c r="L280" s="42">
        <f>'[1]побудинковий звіт'!L280+'[2]побудинковий звіт'!L280-'[3]побудинковий звіт'!L280</f>
        <v>705.12249841090397</v>
      </c>
      <c r="M280" s="42">
        <f>'[1]побудинковий звіт'!M280+'[2]побудинковий звіт'!M280-'[3]побудинковий звіт'!M280</f>
        <v>711.43608247211318</v>
      </c>
      <c r="N280" s="56">
        <f t="shared" si="297"/>
        <v>6.3135840612092125</v>
      </c>
      <c r="O280" s="42">
        <f>'[1]побудинковий звіт'!O280+'[2]побудинковий звіт'!O280-'[3]побудинковий звіт'!O280</f>
        <v>1889.2800000000002</v>
      </c>
      <c r="P280" s="42">
        <f>'[1]побудинковий звіт'!P280+'[2]побудинковий звіт'!P280-'[3]побудинковий звіт'!P280</f>
        <v>1485.0899376344084</v>
      </c>
      <c r="Q280" s="56">
        <f t="shared" si="298"/>
        <v>-404.19006236559176</v>
      </c>
      <c r="R280" s="42">
        <f>'[1]побудинковий звіт'!R280+'[2]побудинковий звіт'!R280-'[3]побудинковий звіт'!R280</f>
        <v>0</v>
      </c>
      <c r="S280" s="42">
        <f>'[1]побудинковий звіт'!S280+'[2]побудинковий звіт'!S280-'[3]побудинковий звіт'!S280</f>
        <v>0</v>
      </c>
      <c r="T280" s="56">
        <f t="shared" si="299"/>
        <v>0</v>
      </c>
      <c r="U280" s="42">
        <f>'[1]побудинковий звіт'!U280+'[2]побудинковий звіт'!U280-'[3]побудинковий звіт'!U280</f>
        <v>0</v>
      </c>
      <c r="V280" s="42">
        <f>'[1]побудинковий звіт'!V280+'[2]побудинковий звіт'!V280-'[3]побудинковий звіт'!V280</f>
        <v>0</v>
      </c>
      <c r="W280" s="56">
        <f t="shared" si="300"/>
        <v>0</v>
      </c>
      <c r="X280" s="42">
        <f>'[1]побудинковий звіт'!X280+'[2]побудинковий звіт'!X280-'[3]побудинковий звіт'!X280</f>
        <v>2933.6583979877742</v>
      </c>
      <c r="Y280" s="42">
        <f>'[1]побудинковий звіт'!Y280+'[2]побудинковий звіт'!Y280-'[3]побудинковий звіт'!Y280</f>
        <v>2201.9398817182305</v>
      </c>
      <c r="Z280" s="56">
        <f t="shared" si="301"/>
        <v>-731.71851626954367</v>
      </c>
      <c r="AA280" s="42">
        <f>'[1]побудинковий звіт'!AA280+'[2]побудинковий звіт'!AA280-'[3]побудинковий звіт'!AA280</f>
        <v>0</v>
      </c>
      <c r="AB280" s="42">
        <f>'[1]побудинковий звіт'!AB280+'[2]побудинковий звіт'!AB280-'[3]побудинковий звіт'!AB280</f>
        <v>0</v>
      </c>
      <c r="AC280" s="56">
        <f t="shared" si="302"/>
        <v>0</v>
      </c>
      <c r="AD280" s="42">
        <f>'[1]побудинковий звіт'!AD280+'[2]побудинковий звіт'!AD280-'[3]побудинковий звіт'!AD280</f>
        <v>5635.1183776095831</v>
      </c>
      <c r="AE280" s="42">
        <f>'[1]побудинковий звіт'!AE280+'[2]побудинковий звіт'!AE280-'[3]побудинковий звіт'!AE280</f>
        <v>5193.8169061609779</v>
      </c>
      <c r="AF280" s="37">
        <f t="shared" si="303"/>
        <v>-441.3014714486053</v>
      </c>
      <c r="AG280" s="87">
        <f t="shared" si="293"/>
        <v>15113.001835668696</v>
      </c>
      <c r="AH280" s="57">
        <f t="shared" si="293"/>
        <v>13529.835638472774</v>
      </c>
      <c r="AI280" s="56">
        <f t="shared" si="304"/>
        <v>-1583.166197195922</v>
      </c>
      <c r="AJ280" s="42">
        <f>'[1]побудинковий звіт'!AJ280+'[2]побудинковий звіт'!AJ280-'[3]побудинковий звіт'!AJ280</f>
        <v>0</v>
      </c>
      <c r="AK280" s="42">
        <f>'[1]побудинковий звіт'!AK280+'[2]побудинковий звіт'!AK280-'[3]побудинковий звіт'!AK280</f>
        <v>0</v>
      </c>
      <c r="AL280" s="56">
        <f t="shared" si="305"/>
        <v>0</v>
      </c>
      <c r="AM280" s="42">
        <f>'[1]побудинковий звіт'!AM280+'[2]побудинковий звіт'!AM280-'[3]побудинковий звіт'!AM280</f>
        <v>0</v>
      </c>
      <c r="AN280" s="42">
        <f>'[1]побудинковий звіт'!AN280+'[2]побудинковий звіт'!AN280-'[3]побудинковий звіт'!AN280</f>
        <v>0</v>
      </c>
      <c r="AO280" s="56">
        <f t="shared" si="306"/>
        <v>0</v>
      </c>
      <c r="AP280" s="42">
        <f>'[1]побудинковий звіт'!AP280+'[2]побудинковий звіт'!AP280-'[3]побудинковий звіт'!AP280</f>
        <v>2556.9476358128541</v>
      </c>
      <c r="AQ280" s="42">
        <f>'[1]побудинковий звіт'!AQ280+'[2]побудинковий звіт'!AQ280-'[3]побудинковий звіт'!AQ280</f>
        <v>2121.2679330099008</v>
      </c>
      <c r="AR280" s="56">
        <f t="shared" si="307"/>
        <v>-435.67970280295322</v>
      </c>
      <c r="AS280" s="42">
        <f>'[1]побудинковий звіт'!AS280+'[2]побудинковий звіт'!AS280-'[3]побудинковий звіт'!AS280</f>
        <v>15654.634561050747</v>
      </c>
      <c r="AT280" s="42">
        <f>'[1]побудинковий звіт'!AT280+'[2]побудинковий звіт'!AT280-'[3]побудинковий звіт'!AT280</f>
        <v>9832</v>
      </c>
      <c r="AU280" s="58">
        <f t="shared" si="322"/>
        <v>-5822.6345610507469</v>
      </c>
      <c r="AV280" s="42">
        <f>'[1]побудинковий звіт'!AV280+'[2]побудинковий звіт'!AV280-'[3]побудинковий звіт'!AV280</f>
        <v>760.68954818548775</v>
      </c>
      <c r="AW280" s="42">
        <f>'[1]побудинковий звіт'!AW280+'[2]побудинковий звіт'!AW280-'[3]побудинковий звіт'!AW280</f>
        <v>460</v>
      </c>
      <c r="AX280" s="59">
        <f t="shared" si="323"/>
        <v>-300.68954818548775</v>
      </c>
      <c r="AY280" s="42">
        <f>'[1]побудинковий звіт'!AY280+'[2]побудинковий звіт'!AY280-'[3]побудинковий звіт'!AY280</f>
        <v>908.87013657091507</v>
      </c>
      <c r="AZ280" s="42">
        <f>'[1]побудинковий звіт'!AZ280+'[2]побудинковий звіт'!AZ280-'[3]побудинковий звіт'!AZ280</f>
        <v>0</v>
      </c>
      <c r="BA280" s="37">
        <f t="shared" si="324"/>
        <v>-908.87013657091507</v>
      </c>
      <c r="BB280" s="42">
        <f>'[1]побудинковий звіт'!BB280+'[2]побудинковий звіт'!BB280-'[3]побудинковий звіт'!BB280</f>
        <v>952.62342012223451</v>
      </c>
      <c r="BC280" s="42">
        <f>'[1]побудинковий звіт'!BC280+'[2]побудинковий звіт'!BC280-'[3]побудинковий звіт'!BC280</f>
        <v>0</v>
      </c>
      <c r="BD280" s="59">
        <f t="shared" si="325"/>
        <v>-952.62342012223451</v>
      </c>
      <c r="BE280" s="42">
        <f>'[1]побудинковий звіт'!BE280+'[2]побудинковий звіт'!BE280-'[3]побудинковий звіт'!BE280</f>
        <v>0</v>
      </c>
      <c r="BF280" s="42">
        <f>'[1]побудинковий звіт'!BF280+'[2]побудинковий звіт'!BF280-'[3]побудинковий звіт'!BF280</f>
        <v>0</v>
      </c>
      <c r="BG280" s="39">
        <f t="shared" si="326"/>
        <v>0</v>
      </c>
      <c r="BH280" s="42">
        <f>'[1]побудинковий звіт'!BH280+'[2]побудинковий звіт'!BH280-'[3]побудинковий звіт'!BH280</f>
        <v>0</v>
      </c>
      <c r="BI280" s="42">
        <f>'[1]побудинковий звіт'!BI280+'[2]побудинковий звіт'!BI280-'[3]побудинковий звіт'!BI280</f>
        <v>378</v>
      </c>
      <c r="BJ280" s="59">
        <f t="shared" si="327"/>
        <v>378</v>
      </c>
      <c r="BK280" s="42">
        <f>'[1]побудинковий звіт'!BK280+'[2]побудинковий звіт'!BK280-'[3]побудинковий звіт'!BK280</f>
        <v>354.89402947662137</v>
      </c>
      <c r="BL280" s="42">
        <f>'[1]побудинковий звіт'!BL280+'[2]побудинковий звіт'!BL280-'[3]побудинковий звіт'!BL280</f>
        <v>0</v>
      </c>
      <c r="BM280" s="39">
        <f t="shared" si="328"/>
        <v>-354.89402947662137</v>
      </c>
      <c r="BN280" s="42">
        <f>'[1]побудинковий звіт'!BN280+'[2]побудинковий звіт'!BN280-'[3]побудинковий звіт'!BN280</f>
        <v>0</v>
      </c>
      <c r="BO280" s="42">
        <f>'[1]побудинковий звіт'!BO280+'[2]побудинковий звіт'!BO280-'[3]побудинковий звіт'!BO280</f>
        <v>0</v>
      </c>
      <c r="BP280" s="59">
        <f t="shared" si="329"/>
        <v>0</v>
      </c>
      <c r="BQ280" s="87">
        <f t="shared" si="282"/>
        <v>2977.0771343552587</v>
      </c>
      <c r="BR280" s="43">
        <f t="shared" ref="BR280:BR307" si="331">AW280+AZ280+BC280+BF280+BI280+BL280+BO280</f>
        <v>838</v>
      </c>
      <c r="BS280" s="59">
        <f t="shared" si="330"/>
        <v>-2139.0771343552587</v>
      </c>
      <c r="BT280" s="42">
        <f>'[1]побудинковий звіт'!BT280+'[2]побудинковий звіт'!BT280-'[3]побудинковий звіт'!BT280</f>
        <v>9813.4132625032762</v>
      </c>
      <c r="BU280" s="42">
        <f>'[1]побудинковий звіт'!BU280+'[2]побудинковий звіт'!BU280-'[3]побудинковий звіт'!BU280</f>
        <v>15148.617601196629</v>
      </c>
      <c r="BV280" s="56">
        <f t="shared" si="308"/>
        <v>5335.2043386933528</v>
      </c>
      <c r="BW280" s="42">
        <f>'[1]побудинковий звіт'!BW280+'[2]побудинковий звіт'!BW280-'[3]побудинковий звіт'!BW280</f>
        <v>8955.2897177212453</v>
      </c>
      <c r="BX280" s="42">
        <f>'[1]побудинковий звіт'!BX280+'[2]побудинковий звіт'!BX280-'[3]побудинковий звіт'!BX280</f>
        <v>11486.222310450883</v>
      </c>
      <c r="BY280" s="56">
        <f t="shared" si="309"/>
        <v>2530.9325927296377</v>
      </c>
      <c r="BZ280" s="42">
        <f>'[1]побудинковий звіт'!BZ280+'[2]побудинковий звіт'!BZ280-'[3]побудинковий звіт'!BZ280</f>
        <v>5198.4130623936398</v>
      </c>
      <c r="CA280" s="42">
        <f>'[1]побудинковий звіт'!CA280+'[2]побудинковий звіт'!CA280-'[3]побудинковий звіт'!CA280</f>
        <v>6116.3077633263401</v>
      </c>
      <c r="CB280" s="56">
        <f t="shared" si="310"/>
        <v>917.89470093270029</v>
      </c>
      <c r="CC280" s="42">
        <f>'[1]побудинковий звіт'!CC280+'[2]побудинковий звіт'!CC280-'[3]побудинковий звіт'!CC280</f>
        <v>1405.3652689469488</v>
      </c>
      <c r="CD280" s="42">
        <f>'[1]побудинковий звіт'!CD280+'[2]побудинковий звіт'!CD280-'[3]побудинковий звіт'!CD280</f>
        <v>1393.0046840810085</v>
      </c>
      <c r="CE280" s="56">
        <f t="shared" si="311"/>
        <v>-12.360584865940382</v>
      </c>
      <c r="CF280" s="42">
        <f>'[1]побудинковий звіт'!CF280+'[2]побудинковий звіт'!CF280-'[3]побудинковий звіт'!CF280</f>
        <v>173.00898197263575</v>
      </c>
      <c r="CG280" s="42">
        <f>'[1]побудинковий звіт'!CG280+'[2]побудинковий звіт'!CG280-'[3]побудинковий звіт'!CG280</f>
        <v>0</v>
      </c>
      <c r="CH280" s="56">
        <f t="shared" si="312"/>
        <v>-173.00898197263575</v>
      </c>
      <c r="CI280" s="42">
        <f>'[1]побудинковий звіт'!CI280+'[2]побудинковий звіт'!CI280-'[3]побудинковий звіт'!CI280</f>
        <v>3088.3916542367024</v>
      </c>
      <c r="CJ280" s="42">
        <f>'[1]побудинковий звіт'!CJ280+'[2]побудинковий звіт'!CJ280-'[3]побудинковий звіт'!CJ280</f>
        <v>768.04374641770676</v>
      </c>
      <c r="CK280" s="56">
        <f t="shared" si="313"/>
        <v>-2320.3479078189957</v>
      </c>
      <c r="CL280" s="42">
        <f>'[1]побудинковий звіт'!CL280+'[2]побудинковий звіт'!CL280-'[3]побудинковий звіт'!CL280</f>
        <v>0</v>
      </c>
      <c r="CM280" s="42">
        <f>'[1]побудинковий звіт'!CM280+'[2]побудинковий звіт'!CM280-'[3]побудинковий звіт'!CM280</f>
        <v>0</v>
      </c>
      <c r="CN280" s="56">
        <f t="shared" si="314"/>
        <v>0</v>
      </c>
      <c r="CO280" s="42">
        <f t="shared" si="294"/>
        <v>3088.3916542367024</v>
      </c>
      <c r="CP280" s="43">
        <f t="shared" si="315"/>
        <v>768.04374641770676</v>
      </c>
      <c r="CQ280" s="56">
        <f t="shared" si="316"/>
        <v>-2320.3479078189957</v>
      </c>
      <c r="CR280" s="78">
        <f t="shared" si="295"/>
        <v>64935.543114661996</v>
      </c>
      <c r="CS280" s="5">
        <f t="shared" si="295"/>
        <v>61233.299676955241</v>
      </c>
      <c r="CT280" s="56">
        <f t="shared" si="317"/>
        <v>-3702.2434377067548</v>
      </c>
      <c r="CU280" s="87">
        <f t="shared" si="318"/>
        <v>77922.651737594395</v>
      </c>
      <c r="CV280" s="70">
        <f t="shared" si="319"/>
        <v>73479.959612346283</v>
      </c>
      <c r="CW280" s="37">
        <f t="shared" si="320"/>
        <v>-4442.6921252481116</v>
      </c>
      <c r="CX280" s="42">
        <f>'[1]побудинковий звіт'!CX280+'[2]побудинковий звіт'!CX280-'[3]побудинковий звіт'!CX280</f>
        <v>1941.5482624055876</v>
      </c>
      <c r="CY280" s="42">
        <f>'[1]побудинковий звіт'!CY280+'[2]побудинковий звіт'!CY280-'[3]побудинковий звіт'!CY280</f>
        <v>6384.2403876537119</v>
      </c>
      <c r="CZ280" s="56">
        <f t="shared" si="321"/>
        <v>4442.6921252481243</v>
      </c>
      <c r="DA280" s="264">
        <f>'[4]побудинковий звіт'!DA280</f>
        <v>84653.930414272356</v>
      </c>
      <c r="DB280" s="2">
        <v>2</v>
      </c>
      <c r="DC280" s="717">
        <f>'[4]побудинковий звіт'!DC280</f>
        <v>26509.58</v>
      </c>
      <c r="DD280" s="717">
        <f>'[4]побудинковий звіт'!DD280</f>
        <v>2178.59</v>
      </c>
      <c r="DE280" s="717">
        <f>'[4]побудинковий звіт'!DE280</f>
        <v>21254.440000000002</v>
      </c>
      <c r="DF280" s="717">
        <f>'[4]побудинковий звіт'!DF280</f>
        <v>778.38000000000011</v>
      </c>
      <c r="DG280" s="787">
        <v>96299.250653039519</v>
      </c>
      <c r="DH280" s="761">
        <f t="shared" si="290"/>
        <v>958370.39999999979</v>
      </c>
      <c r="DI280" s="784"/>
      <c r="DJ280" s="5"/>
      <c r="DK280" s="317">
        <f>VLOOKUP($A280,ціни!$A$4:$G$401,5)</f>
        <v>5.2752042217648372</v>
      </c>
      <c r="DL280" s="317"/>
      <c r="DM280" s="317">
        <f>VLOOKUP($A280,ціни!$A$4:$G$401,7)</f>
        <v>4.3538781191186189</v>
      </c>
      <c r="DN280" s="30">
        <f>F280*DK280</f>
        <v>1608.4097672160988</v>
      </c>
      <c r="DO280" s="30">
        <f>H280*DM280</f>
        <v>1400.2072031085479</v>
      </c>
      <c r="DP280" s="316">
        <f t="shared" si="278"/>
        <v>3008.6169703246469</v>
      </c>
      <c r="DQ280" s="104"/>
      <c r="DR280" s="30">
        <f>VLOOKUP(A280,'ДЗ нас '!$A$1:$C$359,2)</f>
        <v>5255.14</v>
      </c>
      <c r="DS280" s="748">
        <f>VLOOKUP(A280,'ДЗ нежит'!$A$1:$D$153,4,0)</f>
        <v>1400.21</v>
      </c>
      <c r="DT280" s="30">
        <f t="shared" si="279"/>
        <v>6655.35</v>
      </c>
      <c r="DU280" s="257">
        <f>VLOOKUP(A280,'новий кошторис с 01.06'!$A$4:$AI$399,35)*1.2</f>
        <v>6688.3609408101875</v>
      </c>
      <c r="DV280" s="30">
        <f t="shared" si="280"/>
        <v>-33.010940810187094</v>
      </c>
      <c r="DW280" s="930">
        <f>'[5]побудинковий звіт'!DW280+'[6]побудинковий звіт'!DW280</f>
        <v>236</v>
      </c>
      <c r="DY280" s="5">
        <f t="shared" si="286"/>
        <v>22358.054034487202</v>
      </c>
      <c r="DZ280" s="5">
        <f t="shared" si="287"/>
        <v>12804</v>
      </c>
      <c r="EA280" s="752">
        <f t="shared" si="291"/>
        <v>22032.820000000003</v>
      </c>
      <c r="EC280" s="592">
        <f t="shared" si="288"/>
        <v>187855.61473260896</v>
      </c>
      <c r="EE280" s="758">
        <v>24456</v>
      </c>
      <c r="EF280" s="738">
        <f t="shared" si="289"/>
        <v>120755.25065303952</v>
      </c>
      <c r="EH280" s="813">
        <v>85907.952975026245</v>
      </c>
    </row>
    <row r="281" spans="1:138" x14ac:dyDescent="0.3">
      <c r="A281" s="328">
        <v>150000819</v>
      </c>
      <c r="B281" s="44" t="s">
        <v>734</v>
      </c>
      <c r="C281" s="45" t="s">
        <v>423</v>
      </c>
      <c r="D281" s="45" t="s">
        <v>423</v>
      </c>
      <c r="E281" s="40">
        <f t="shared" si="292"/>
        <v>2916.54</v>
      </c>
      <c r="F281" s="490">
        <v>2762.24</v>
      </c>
      <c r="G281" s="30">
        <v>226.3</v>
      </c>
      <c r="H281" s="30">
        <v>154.30000000000001</v>
      </c>
      <c r="I281" s="42">
        <f>'[1]побудинковий звіт'!I281+'[2]побудинковий звіт'!I281-'[3]побудинковий звіт'!I281</f>
        <v>26457.216169771706</v>
      </c>
      <c r="J281" s="42">
        <f>'[1]побудинковий звіт'!J281+'[2]побудинковий звіт'!J281-'[3]побудинковий звіт'!J281</f>
        <v>24167.837511227059</v>
      </c>
      <c r="K281" s="56">
        <f t="shared" si="296"/>
        <v>-2289.3786585446469</v>
      </c>
      <c r="L281" s="42">
        <f>'[1]побудинковий звіт'!L281+'[2]побудинковий звіт'!L281-'[3]побудинковий звіт'!L281</f>
        <v>4490.2296195147919</v>
      </c>
      <c r="M281" s="42">
        <f>'[1]побудинковий звіт'!M281+'[2]побудинковий звіт'!M281-'[3]побудинковий звіт'!M281</f>
        <v>4299.5152995814769</v>
      </c>
      <c r="N281" s="56">
        <f t="shared" si="297"/>
        <v>-190.71431993331498</v>
      </c>
      <c r="O281" s="42">
        <f>'[1]побудинковий звіт'!O281+'[2]побудинковий звіт'!O281-'[3]побудинковий звіт'!O281</f>
        <v>8565.1200000000008</v>
      </c>
      <c r="P281" s="42">
        <f>'[1]побудинковий звіт'!P281+'[2]побудинковий звіт'!P281-'[3]побудинковий звіт'!P281</f>
        <v>8566.92</v>
      </c>
      <c r="Q281" s="56">
        <f t="shared" si="298"/>
        <v>1.7999999999992724</v>
      </c>
      <c r="R281" s="42">
        <f>'[1]побудинковий звіт'!R281+'[2]побудинковий звіт'!R281-'[3]побудинковий звіт'!R281</f>
        <v>2172.12</v>
      </c>
      <c r="S281" s="42">
        <f>'[1]побудинковий звіт'!S281+'[2]побудинковий звіт'!S281-'[3]побудинковий звіт'!S281</f>
        <v>2174.0400000000004</v>
      </c>
      <c r="T281" s="56">
        <f t="shared" si="299"/>
        <v>1.9200000000005275</v>
      </c>
      <c r="U281" s="42">
        <f>'[1]побудинковий звіт'!U281+'[2]побудинковий звіт'!U281-'[3]побудинковий звіт'!U281</f>
        <v>1250.1001677005297</v>
      </c>
      <c r="V281" s="42">
        <f>'[1]побудинковий звіт'!V281+'[2]побудинковий звіт'!V281-'[3]побудинковий звіт'!V281</f>
        <v>848.83925288906971</v>
      </c>
      <c r="W281" s="56">
        <f t="shared" si="300"/>
        <v>-401.26091481146</v>
      </c>
      <c r="X281" s="42">
        <f>'[1]побудинковий звіт'!X281+'[2]побудинковий звіт'!X281-'[3]побудинковий звіт'!X281</f>
        <v>10084.677440066289</v>
      </c>
      <c r="Y281" s="42">
        <f>'[1]побудинковий звіт'!Y281+'[2]побудинковий звіт'!Y281-'[3]побудинковий звіт'!Y281</f>
        <v>10214.473954208674</v>
      </c>
      <c r="Z281" s="56">
        <f t="shared" si="301"/>
        <v>129.79651414238469</v>
      </c>
      <c r="AA281" s="42">
        <f>'[1]побудинковий звіт'!AA281+'[2]побудинковий звіт'!AA281-'[3]побудинковий звіт'!AA281</f>
        <v>0</v>
      </c>
      <c r="AB281" s="42">
        <f>'[1]побудинковий звіт'!AB281+'[2]побудинковий звіт'!AB281-'[3]побудинковий звіт'!AB281</f>
        <v>0</v>
      </c>
      <c r="AC281" s="56">
        <f t="shared" si="302"/>
        <v>0</v>
      </c>
      <c r="AD281" s="42">
        <f>'[1]побудинковий звіт'!AD281+'[2]побудинковий звіт'!AD281-'[3]побудинковий звіт'!AD281</f>
        <v>28948.876020827873</v>
      </c>
      <c r="AE281" s="42">
        <f>'[1]побудинковий звіт'!AE281+'[2]побудинковий звіт'!AE281-'[3]побудинковий звіт'!AE281</f>
        <v>26558.80592549032</v>
      </c>
      <c r="AF281" s="37">
        <f t="shared" si="303"/>
        <v>-2390.0700953375526</v>
      </c>
      <c r="AG281" s="87">
        <f t="shared" si="293"/>
        <v>81968.339417881201</v>
      </c>
      <c r="AH281" s="57">
        <f t="shared" si="293"/>
        <v>76830.431943396601</v>
      </c>
      <c r="AI281" s="56">
        <f t="shared" si="304"/>
        <v>-5137.9074744846002</v>
      </c>
      <c r="AJ281" s="42">
        <f>'[1]побудинковий звіт'!AJ281+'[2]побудинковий звіт'!AJ281-'[3]побудинковий звіт'!AJ281</f>
        <v>52114.804261030848</v>
      </c>
      <c r="AK281" s="42">
        <f>'[1]побудинковий звіт'!AK281+'[2]побудинковий звіт'!AK281-'[3]побудинковий звіт'!AK281</f>
        <v>51560.641144296242</v>
      </c>
      <c r="AL281" s="56">
        <f t="shared" si="305"/>
        <v>-554.16311673460586</v>
      </c>
      <c r="AM281" s="42">
        <f>'[1]побудинковий звіт'!AM281+'[2]побудинковий звіт'!AM281-'[3]побудинковий звіт'!AM281</f>
        <v>1578.4221588709306</v>
      </c>
      <c r="AN281" s="42">
        <f>'[1]побудинковий звіт'!AN281+'[2]побудинковий звіт'!AN281-'[3]побудинковий звіт'!AN281</f>
        <v>0</v>
      </c>
      <c r="AO281" s="56">
        <f t="shared" si="306"/>
        <v>-1578.4221588709306</v>
      </c>
      <c r="AP281" s="42">
        <f>'[1]побудинковий звіт'!AP281+'[2]побудинковий звіт'!AP281-'[3]побудинковий звіт'!AP281</f>
        <v>5303.2988002044376</v>
      </c>
      <c r="AQ281" s="42">
        <f>'[1]побудинковий звіт'!AQ281+'[2]побудинковий звіт'!AQ281-'[3]побудинковий звіт'!AQ281</f>
        <v>5123.5205295869846</v>
      </c>
      <c r="AR281" s="56">
        <f t="shared" si="307"/>
        <v>-179.77827061745302</v>
      </c>
      <c r="AS281" s="42">
        <f>'[1]побудинковий звіт'!AS281+'[2]побудинковий звіт'!AS281-'[3]побудинковий звіт'!AS281</f>
        <v>138941.75999999998</v>
      </c>
      <c r="AT281" s="42">
        <f>'[1]побудинковий звіт'!AT281+'[2]побудинковий звіт'!AT281-'[3]побудинковий звіт'!AT281</f>
        <v>74930</v>
      </c>
      <c r="AU281" s="58">
        <f t="shared" si="322"/>
        <v>-64011.75999999998</v>
      </c>
      <c r="AV281" s="42">
        <f>'[1]побудинковий звіт'!AV281+'[2]побудинковий звіт'!AV281-'[3]побудинковий звіт'!AV281</f>
        <v>2127.0322516732763</v>
      </c>
      <c r="AW281" s="42">
        <f>'[1]побудинковий звіт'!AW281+'[2]побудинковий звіт'!AW281-'[3]побудинковий звіт'!AW281</f>
        <v>3837</v>
      </c>
      <c r="AX281" s="59">
        <f t="shared" si="323"/>
        <v>1709.9677483267237</v>
      </c>
      <c r="AY281" s="42">
        <f>'[1]побудинковий звіт'!AY281+'[2]побудинковий звіт'!AY281-'[3]побудинковий звіт'!AY281</f>
        <v>2962.410674261333</v>
      </c>
      <c r="AZ281" s="42">
        <f>'[1]побудинковий звіт'!AZ281+'[2]побудинковий звіт'!AZ281-'[3]побудинковий звіт'!AZ281</f>
        <v>1331</v>
      </c>
      <c r="BA281" s="37">
        <f t="shared" si="324"/>
        <v>-1631.410674261333</v>
      </c>
      <c r="BB281" s="42">
        <f>'[1]побудинковий звіт'!BB281+'[2]побудинковий звіт'!BB281-'[3]побудинковий звіт'!BB281</f>
        <v>3594.0212437855835</v>
      </c>
      <c r="BC281" s="42">
        <f>'[1]побудинковий звіт'!BC281+'[2]побудинковий звіт'!BC281-'[3]побудинковий звіт'!BC281</f>
        <v>19022</v>
      </c>
      <c r="BD281" s="59">
        <f t="shared" si="325"/>
        <v>15427.978756214416</v>
      </c>
      <c r="BE281" s="42">
        <f>'[1]побудинковий звіт'!BE281+'[2]побудинковий звіт'!BE281-'[3]побудинковий звіт'!BE281</f>
        <v>1212.9835507155915</v>
      </c>
      <c r="BF281" s="42">
        <f>'[1]побудинковий звіт'!BF281+'[2]побудинковий звіт'!BF281-'[3]побудинковий звіт'!BF281</f>
        <v>4307</v>
      </c>
      <c r="BG281" s="39">
        <f t="shared" si="326"/>
        <v>3094.0164492844087</v>
      </c>
      <c r="BH281" s="42">
        <f>'[1]побудинковий звіт'!BH281+'[2]побудинковий звіт'!BH281-'[3]побудинковий звіт'!BH281</f>
        <v>634.10414095325257</v>
      </c>
      <c r="BI281" s="42">
        <f>'[1]побудинковий звіт'!BI281+'[2]побудинковий звіт'!BI281-'[3]побудинковий звіт'!BI281</f>
        <v>0</v>
      </c>
      <c r="BJ281" s="59">
        <f t="shared" si="327"/>
        <v>-634.10414095325257</v>
      </c>
      <c r="BK281" s="42">
        <f>'[1]побудинковий звіт'!BK281+'[2]побудинковий звіт'!BK281-'[3]побудинковий звіт'!BK281</f>
        <v>821.24248283863255</v>
      </c>
      <c r="BL281" s="42">
        <f>'[1]побудинковий звіт'!BL281+'[2]побудинковий звіт'!BL281-'[3]побудинковий звіт'!BL281</f>
        <v>2954</v>
      </c>
      <c r="BM281" s="39">
        <f t="shared" si="328"/>
        <v>2132.7575171613676</v>
      </c>
      <c r="BN281" s="42">
        <f>'[1]побудинковий звіт'!BN281+'[2]побудинковий звіт'!BN281-'[3]побудинковий звіт'!BN281</f>
        <v>0</v>
      </c>
      <c r="BO281" s="42">
        <f>'[1]побудинковий звіт'!BO281+'[2]побудинковий звіт'!BO281-'[3]побудинковий звіт'!BO281</f>
        <v>0</v>
      </c>
      <c r="BP281" s="59">
        <f t="shared" si="329"/>
        <v>0</v>
      </c>
      <c r="BQ281" s="87">
        <f t="shared" si="282"/>
        <v>11351.794344227666</v>
      </c>
      <c r="BR281" s="43">
        <f t="shared" si="331"/>
        <v>31451</v>
      </c>
      <c r="BS281" s="59">
        <f t="shared" si="330"/>
        <v>20099.205655772334</v>
      </c>
      <c r="BT281" s="42">
        <f>'[1]побудинковий звіт'!BT281+'[2]побудинковий звіт'!BT281-'[3]побудинковий звіт'!BT281</f>
        <v>42039.960000000006</v>
      </c>
      <c r="BU281" s="42">
        <f>'[1]побудинковий звіт'!BU281+'[2]побудинковий звіт'!BU281-'[3]побудинковий звіт'!BU281</f>
        <v>55954.946864513091</v>
      </c>
      <c r="BV281" s="56">
        <f t="shared" si="308"/>
        <v>13914.986864513085</v>
      </c>
      <c r="BW281" s="42">
        <f>'[1]побудинковий звіт'!BW281+'[2]побудинковий звіт'!BW281-'[3]побудинковий звіт'!BW281</f>
        <v>53737.44000000001</v>
      </c>
      <c r="BX281" s="42">
        <f>'[1]побудинковий звіт'!BX281+'[2]побудинковий звіт'!BX281-'[3]побудинковий звіт'!BX281</f>
        <v>54172.007108218648</v>
      </c>
      <c r="BY281" s="56">
        <f t="shared" si="309"/>
        <v>434.56710821863817</v>
      </c>
      <c r="BZ281" s="42">
        <f>'[1]побудинковий звіт'!BZ281+'[2]побудинковий звіт'!BZ281-'[3]побудинковий звіт'!BZ281</f>
        <v>16740.719999999998</v>
      </c>
      <c r="CA281" s="42">
        <f>'[1]побудинковий звіт'!CA281+'[2]побудинковий звіт'!CA281-'[3]побудинковий звіт'!CA281</f>
        <v>13036.724202601194</v>
      </c>
      <c r="CB281" s="56">
        <f t="shared" si="310"/>
        <v>-3703.9957973988039</v>
      </c>
      <c r="CC281" s="42">
        <f>'[1]побудинковий звіт'!CC281+'[2]побудинковий звіт'!CC281-'[3]побудинковий звіт'!CC281</f>
        <v>647.09158469721388</v>
      </c>
      <c r="CD281" s="42">
        <f>'[1]побудинковий звіт'!CD281+'[2]побудинковий звіт'!CD281-'[3]побудинковий звіт'!CD281</f>
        <v>641.40023126375434</v>
      </c>
      <c r="CE281" s="56">
        <f t="shared" si="311"/>
        <v>-5.6913534334595397</v>
      </c>
      <c r="CF281" s="42">
        <f>'[1]побудинковий звіт'!CF281+'[2]побудинковий звіт'!CF281-'[3]побудинковий звіт'!CF281</f>
        <v>79.660895843407005</v>
      </c>
      <c r="CG281" s="42">
        <f>'[1]побудинковий звіт'!CG281+'[2]побудинковий звіт'!CG281-'[3]побудинковий звіт'!CG281</f>
        <v>0</v>
      </c>
      <c r="CH281" s="56">
        <f t="shared" si="312"/>
        <v>-79.660895843407005</v>
      </c>
      <c r="CI281" s="42">
        <f>'[1]побудинковий звіт'!CI281+'[2]побудинковий звіт'!CI281-'[3]побудинковий звіт'!CI281</f>
        <v>13289.442875806415</v>
      </c>
      <c r="CJ281" s="42">
        <f>'[1]побудинковий звіт'!CJ281+'[2]побудинковий звіт'!CJ281-'[3]побудинковий звіт'!CJ281</f>
        <v>11902.722536171379</v>
      </c>
      <c r="CK281" s="56">
        <f t="shared" si="313"/>
        <v>-1386.720339635036</v>
      </c>
      <c r="CL281" s="42">
        <f>'[1]побудинковий звіт'!CL281+'[2]побудинковий звіт'!CL281-'[3]побудинковий звіт'!CL281</f>
        <v>19934.164313709625</v>
      </c>
      <c r="CM281" s="42">
        <f>'[1]побудинковий звіт'!CM281+'[2]побудинковий звіт'!CM281-'[3]побудинковий звіт'!CM281</f>
        <v>17853.755670805534</v>
      </c>
      <c r="CN281" s="56">
        <f t="shared" si="314"/>
        <v>-2080.4086429040908</v>
      </c>
      <c r="CO281" s="42">
        <f t="shared" si="294"/>
        <v>33223.607189516042</v>
      </c>
      <c r="CP281" s="43">
        <f t="shared" si="315"/>
        <v>29756.478206976913</v>
      </c>
      <c r="CQ281" s="56">
        <f t="shared" si="316"/>
        <v>-3467.1289825391286</v>
      </c>
      <c r="CR281" s="78">
        <f t="shared" si="295"/>
        <v>437726.89865227172</v>
      </c>
      <c r="CS281" s="5">
        <f t="shared" si="295"/>
        <v>393457.15023085347</v>
      </c>
      <c r="CT281" s="56">
        <f t="shared" si="317"/>
        <v>-44269.748421418248</v>
      </c>
      <c r="CU281" s="87">
        <f t="shared" si="318"/>
        <v>525272.27838272601</v>
      </c>
      <c r="CV281" s="70">
        <f t="shared" si="319"/>
        <v>472148.58027702413</v>
      </c>
      <c r="CW281" s="37">
        <f t="shared" si="320"/>
        <v>-53123.698105701886</v>
      </c>
      <c r="CX281" s="42">
        <f>'[1]побудинковий звіт'!CX281+'[2]побудинковий звіт'!CX281-'[3]побудинковий звіт'!CX281</f>
        <v>11275.20161727388</v>
      </c>
      <c r="CY281" s="42">
        <f>'[1]побудинковий звіт'!CY281+'[2]побудинковий звіт'!CY281-'[3]побудинковий звіт'!CY281</f>
        <v>64398.899722975926</v>
      </c>
      <c r="CZ281" s="56">
        <f t="shared" si="321"/>
        <v>53123.698105702046</v>
      </c>
      <c r="DA281" s="264">
        <f>'[4]побудинковий звіт'!DA281</f>
        <v>59324.954683557895</v>
      </c>
      <c r="DB281" s="2">
        <v>3</v>
      </c>
      <c r="DC281" s="717">
        <f>'[4]побудинковий звіт'!DC281</f>
        <v>58427.87</v>
      </c>
      <c r="DD281" s="717">
        <f>'[4]побудинковий звіт'!DD281</f>
        <v>14503.72</v>
      </c>
      <c r="DE281" s="717">
        <f>'[4]побудинковий звіт'!DE281</f>
        <v>14421.440000000002</v>
      </c>
      <c r="DF281" s="717">
        <f>'[4]побудинковий звіт'!DF281</f>
        <v>13797.859999999999</v>
      </c>
      <c r="DG281" s="787">
        <v>-14458.324605910806</v>
      </c>
      <c r="DH281" s="761">
        <f t="shared" si="290"/>
        <v>6438569.7599999979</v>
      </c>
      <c r="DI281" s="784"/>
      <c r="DJ281" s="5"/>
      <c r="DK281" s="317">
        <f>VLOOKUP($A281,ціни!$A$4:$G$401,5)</f>
        <v>5.5386908077964438</v>
      </c>
      <c r="DL281" s="317">
        <f>VLOOKUP($A281,ціни!$A$4:$G$401,6)</f>
        <v>6.7255476956885545</v>
      </c>
      <c r="DM281" s="317">
        <f>VLOOKUP($A281,ціни!$A$4:$G$401,7)</f>
        <v>4.5745983957241814</v>
      </c>
      <c r="DN281" s="30">
        <f>DK281*G281+(F281-G281)*DL281</f>
        <v>18308.991153208764</v>
      </c>
      <c r="DO281" s="30">
        <f>DM281*H281</f>
        <v>705.86053246024119</v>
      </c>
      <c r="DP281" s="316">
        <f t="shared" si="278"/>
        <v>19014.851685669004</v>
      </c>
      <c r="DQ281" s="104"/>
      <c r="DR281" s="30">
        <f>VLOOKUP(A281,'ДЗ нас '!$A$1:$C$359,2)</f>
        <v>44017.19</v>
      </c>
      <c r="DS281" s="748">
        <f>VLOOKUP(A281,'ДЗ нежит'!$A$1:$D$153,4,0)</f>
        <v>705.8599999999999</v>
      </c>
      <c r="DT281" s="30">
        <f t="shared" si="279"/>
        <v>44723.05</v>
      </c>
      <c r="DU281" s="257">
        <f>VLOOKUP(A281,'новий кошторис с 01.06'!$A$4:$AI$399,35)*1.2</f>
        <v>45085.80325013509</v>
      </c>
      <c r="DV281" s="30">
        <f t="shared" si="280"/>
        <v>-362.753250135087</v>
      </c>
      <c r="DW281" s="930">
        <f>'[5]побудинковий звіт'!DW281+'[6]побудинковий звіт'!DW281</f>
        <v>276</v>
      </c>
      <c r="DY281" s="5">
        <f t="shared" si="286"/>
        <v>180352.26521307317</v>
      </c>
      <c r="DZ281" s="5">
        <f t="shared" si="287"/>
        <v>127657.2</v>
      </c>
      <c r="EA281" s="752">
        <f t="shared" si="291"/>
        <v>28219.300000000003</v>
      </c>
      <c r="EC281" s="592">
        <f t="shared" si="288"/>
        <v>1667301.1199999996</v>
      </c>
      <c r="EE281" s="758">
        <v>40933</v>
      </c>
      <c r="EF281" s="738">
        <f t="shared" si="289"/>
        <v>26474.675394089194</v>
      </c>
      <c r="EH281" s="813">
        <v>79599.628382698153</v>
      </c>
    </row>
    <row r="282" spans="1:138" x14ac:dyDescent="0.3">
      <c r="A282" s="328">
        <v>150000820</v>
      </c>
      <c r="B282" s="44" t="s">
        <v>735</v>
      </c>
      <c r="C282" s="45" t="s">
        <v>394</v>
      </c>
      <c r="D282" s="45" t="s">
        <v>394</v>
      </c>
      <c r="E282" s="40">
        <f t="shared" si="292"/>
        <v>4446.8</v>
      </c>
      <c r="F282" s="490">
        <v>4396.8</v>
      </c>
      <c r="G282" s="30">
        <v>406.76</v>
      </c>
      <c r="H282" s="30">
        <v>50</v>
      </c>
      <c r="I282" s="42">
        <f>'[1]побудинковий звіт'!I282+'[2]побудинковий звіт'!I282-'[3]побудинковий звіт'!I282</f>
        <v>14447.582047866894</v>
      </c>
      <c r="J282" s="42">
        <f>'[1]побудинковий звіт'!J282+'[2]побудинковий звіт'!J282-'[3]побудинковий звіт'!J282</f>
        <v>13213.385852608937</v>
      </c>
      <c r="K282" s="56">
        <f t="shared" si="296"/>
        <v>-1234.1961952579568</v>
      </c>
      <c r="L282" s="42">
        <f>'[1]побудинковий звіт'!L282+'[2]побудинковий звіт'!L282-'[3]побудинковий звіт'!L282</f>
        <v>2751.2452411223985</v>
      </c>
      <c r="M282" s="42">
        <f>'[1]побудинковий звіт'!M282+'[2]побудинковий звіт'!M282-'[3]побудинковий звіт'!M282</f>
        <v>2694.2425242183908</v>
      </c>
      <c r="N282" s="56">
        <f t="shared" si="297"/>
        <v>-57.002716904007684</v>
      </c>
      <c r="O282" s="42">
        <f>'[1]побудинковий звіт'!O282+'[2]побудинковий звіт'!O282-'[3]побудинковий звіт'!O282</f>
        <v>5501.04</v>
      </c>
      <c r="P282" s="42">
        <f>'[1]побудинковий звіт'!P282+'[2]побудинковий звіт'!P282-'[3]побудинковий звіт'!P282</f>
        <v>5502.3599999999988</v>
      </c>
      <c r="Q282" s="56">
        <f t="shared" si="298"/>
        <v>1.3199999999987995</v>
      </c>
      <c r="R282" s="42">
        <f>'[1]побудинковий звіт'!R282+'[2]побудинковий звіт'!R282-'[3]побудинковий звіт'!R282</f>
        <v>1495.6800000000003</v>
      </c>
      <c r="S282" s="42">
        <f>'[1]побудинковий звіт'!S282+'[2]побудинковий звіт'!S282-'[3]побудинковий звіт'!S282</f>
        <v>1496.0400000000002</v>
      </c>
      <c r="T282" s="56">
        <f t="shared" si="299"/>
        <v>0.35999999999989996</v>
      </c>
      <c r="U282" s="42">
        <f>'[1]побудинковий звіт'!U282+'[2]побудинковий звіт'!U282-'[3]побудинковий звіт'!U282</f>
        <v>780.05784393801946</v>
      </c>
      <c r="V282" s="42">
        <f>'[1]побудинковий звіт'!V282+'[2]побудинковий звіт'!V282-'[3]побудинковий звіт'!V282</f>
        <v>529.67087313499223</v>
      </c>
      <c r="W282" s="56">
        <f t="shared" si="300"/>
        <v>-250.38697080302722</v>
      </c>
      <c r="X282" s="42">
        <f>'[1]побудинковий звіт'!X282+'[2]побудинковий звіт'!X282-'[3]побудинковий звіт'!X282</f>
        <v>6259.6654386403425</v>
      </c>
      <c r="Y282" s="42">
        <f>'[1]побудинковий звіт'!Y282+'[2]побудинковий звіт'!Y282-'[3]побудинковий звіт'!Y282</f>
        <v>5553.1545898289241</v>
      </c>
      <c r="Z282" s="56">
        <f t="shared" si="301"/>
        <v>-706.51084881141833</v>
      </c>
      <c r="AA282" s="42">
        <f>'[1]побудинковий звіт'!AA282+'[2]побудинковий звіт'!AA282-'[3]побудинковий звіт'!AA282</f>
        <v>0</v>
      </c>
      <c r="AB282" s="42">
        <f>'[1]побудинковий звіт'!AB282+'[2]побудинковий звіт'!AB282-'[3]побудинковий звіт'!AB282</f>
        <v>0</v>
      </c>
      <c r="AC282" s="56">
        <f t="shared" si="302"/>
        <v>0</v>
      </c>
      <c r="AD282" s="42">
        <f>'[1]побудинковий звіт'!AD282+'[2]побудинковий звіт'!AD282-'[3]побудинковий звіт'!AD282</f>
        <v>17909.876234924373</v>
      </c>
      <c r="AE282" s="42">
        <f>'[1]побудинковий звіт'!AE282+'[2]побудинковий звіт'!AE282-'[3]побудинковий звіт'!AE282</f>
        <v>16507.413628025082</v>
      </c>
      <c r="AF282" s="37">
        <f t="shared" si="303"/>
        <v>-1402.4626068992911</v>
      </c>
      <c r="AG282" s="87">
        <f t="shared" si="293"/>
        <v>49145.146806492026</v>
      </c>
      <c r="AH282" s="57">
        <f t="shared" si="293"/>
        <v>45496.267467816331</v>
      </c>
      <c r="AI282" s="56">
        <f t="shared" si="304"/>
        <v>-3648.8793386756952</v>
      </c>
      <c r="AJ282" s="42">
        <f>'[1]побудинковий звіт'!AJ282+'[2]побудинковий звіт'!AJ282-'[3]побудинковий звіт'!AJ282</f>
        <v>41478.570579091407</v>
      </c>
      <c r="AK282" s="42">
        <f>'[1]побудинковий звіт'!AK282+'[2]побудинковий звіт'!AK282-'[3]побудинковий звіт'!AK282</f>
        <v>41113.627085179396</v>
      </c>
      <c r="AL282" s="56">
        <f t="shared" si="305"/>
        <v>-364.94349391201104</v>
      </c>
      <c r="AM282" s="42">
        <f>'[1]побудинковий звіт'!AM282+'[2]побудинковий звіт'!AM282-'[3]побудинковий звіт'!AM282</f>
        <v>0</v>
      </c>
      <c r="AN282" s="42">
        <f>'[1]побудинковий звіт'!AN282+'[2]побудинковий звіт'!AN282-'[3]побудинковий звіт'!AN282</f>
        <v>0</v>
      </c>
      <c r="AO282" s="56">
        <f t="shared" si="306"/>
        <v>0</v>
      </c>
      <c r="AP282" s="42">
        <f>'[1]побудинковий звіт'!AP282+'[2]побудинковий звіт'!AP282-'[3]побудинковий звіт'!AP282</f>
        <v>3361.9126322724574</v>
      </c>
      <c r="AQ282" s="42">
        <f>'[1]побудинковий звіт'!AQ282+'[2]побудинковий звіт'!AQ282-'[3]побудинковий звіт'!AQ282</f>
        <v>3289.3622090541612</v>
      </c>
      <c r="AR282" s="56">
        <f t="shared" si="307"/>
        <v>-72.550423218296146</v>
      </c>
      <c r="AS282" s="42">
        <f>'[1]побудинковий звіт'!AS282+'[2]побудинковий звіт'!AS282-'[3]побудинковий звіт'!AS282</f>
        <v>93113.88</v>
      </c>
      <c r="AT282" s="42">
        <f>'[1]побудинковий звіт'!AT282+'[2]побудинковий звіт'!AT282-'[3]побудинковий звіт'!AT282</f>
        <v>81835</v>
      </c>
      <c r="AU282" s="58">
        <f t="shared" si="322"/>
        <v>-11278.880000000005</v>
      </c>
      <c r="AV282" s="42">
        <f>'[1]побудинковий звіт'!AV282+'[2]побудинковий звіт'!AV282-'[3]побудинковий звіт'!AV282</f>
        <v>1081.6800050073205</v>
      </c>
      <c r="AW282" s="42">
        <f>'[1]побудинковий звіт'!AW282+'[2]побудинковий звіт'!AW282-'[3]побудинковий звіт'!AW282</f>
        <v>0</v>
      </c>
      <c r="AX282" s="59">
        <f t="shared" si="323"/>
        <v>-1081.6800050073205</v>
      </c>
      <c r="AY282" s="42">
        <f>'[1]побудинковий звіт'!AY282+'[2]побудинковий звіт'!AY282-'[3]побудинковий звіт'!AY282</f>
        <v>1818.9168533652814</v>
      </c>
      <c r="AZ282" s="42">
        <f>'[1]побудинковий звіт'!AZ282+'[2]побудинковий звіт'!AZ282-'[3]побудинковий звіт'!AZ282</f>
        <v>3603</v>
      </c>
      <c r="BA282" s="37">
        <f t="shared" si="324"/>
        <v>1784.0831466347186</v>
      </c>
      <c r="BB282" s="42">
        <f>'[1]побудинковий звіт'!BB282+'[2]побудинковий звіт'!BB282-'[3]побудинковий звіт'!BB282</f>
        <v>2250.7642963954763</v>
      </c>
      <c r="BC282" s="42">
        <f>'[1]побудинковий звіт'!BC282+'[2]побудинковий звіт'!BC282-'[3]побудинковий звіт'!BC282</f>
        <v>43382</v>
      </c>
      <c r="BD282" s="59">
        <f t="shared" si="325"/>
        <v>41131.235703604521</v>
      </c>
      <c r="BE282" s="42">
        <f>'[1]побудинковий звіт'!BE282+'[2]побудинковий звіт'!BE282-'[3]побудинковий звіт'!BE282</f>
        <v>890.42151739741553</v>
      </c>
      <c r="BF282" s="42">
        <f>'[1]побудинковий звіт'!BF282+'[2]побудинковий звіт'!BF282-'[3]побудинковий звіт'!BF282</f>
        <v>1485</v>
      </c>
      <c r="BG282" s="39">
        <f t="shared" si="326"/>
        <v>594.57848260258447</v>
      </c>
      <c r="BH282" s="42">
        <f>'[1]побудинковий звіт'!BH282+'[2]побудинковий звіт'!BH282-'[3]побудинковий звіт'!BH282</f>
        <v>395.76741189229665</v>
      </c>
      <c r="BI282" s="42">
        <f>'[1]побудинковий звіт'!BI282+'[2]побудинковий звіт'!BI282-'[3]побудинковий звіт'!BI282</f>
        <v>9773</v>
      </c>
      <c r="BJ282" s="59">
        <f t="shared" si="327"/>
        <v>9377.2325881077031</v>
      </c>
      <c r="BK282" s="42">
        <f>'[1]побудинковий звіт'!BK282+'[2]побудинковий звіт'!BK282-'[3]побудинковий звіт'!BK282</f>
        <v>430.16392829767398</v>
      </c>
      <c r="BL282" s="42">
        <f>'[1]побудинковий звіт'!BL282+'[2]побудинковий звіт'!BL282-'[3]побудинковий звіт'!BL282</f>
        <v>5294</v>
      </c>
      <c r="BM282" s="39">
        <f t="shared" si="328"/>
        <v>4863.8360717023261</v>
      </c>
      <c r="BN282" s="42">
        <f>'[1]побудинковий звіт'!BN282+'[2]побудинковий звіт'!BN282-'[3]побудинковий звіт'!BN282</f>
        <v>0</v>
      </c>
      <c r="BO282" s="42">
        <f>'[1]побудинковий звіт'!BO282+'[2]побудинковий звіт'!BO282-'[3]побудинковий звіт'!BO282</f>
        <v>0</v>
      </c>
      <c r="BP282" s="59">
        <f t="shared" si="329"/>
        <v>0</v>
      </c>
      <c r="BQ282" s="87">
        <f t="shared" si="282"/>
        <v>6867.7140123554636</v>
      </c>
      <c r="BR282" s="43">
        <f t="shared" si="331"/>
        <v>63537</v>
      </c>
      <c r="BS282" s="59">
        <f t="shared" si="330"/>
        <v>56669.285987644536</v>
      </c>
      <c r="BT282" s="42">
        <f>'[1]побудинковий звіт'!BT282+'[2]побудинковий звіт'!BT282-'[3]побудинковий звіт'!BT282</f>
        <v>46308.600000000006</v>
      </c>
      <c r="BU282" s="42">
        <f>'[1]побудинковий звіт'!BU282+'[2]побудинковий звіт'!BU282-'[3]побудинковий звіт'!BU282</f>
        <v>51431.846557106524</v>
      </c>
      <c r="BV282" s="56">
        <f t="shared" si="308"/>
        <v>5123.2465571065186</v>
      </c>
      <c r="BW282" s="42">
        <f>'[1]побудинковий звіт'!BW282+'[2]побудинковий звіт'!BW282-'[3]побудинковий звіт'!BW282</f>
        <v>35141.279999999992</v>
      </c>
      <c r="BX282" s="42">
        <f>'[1]побудинковий звіт'!BX282+'[2]побудинковий звіт'!BX282-'[3]побудинковий звіт'!BX282</f>
        <v>35462.891777909914</v>
      </c>
      <c r="BY282" s="56">
        <f t="shared" si="309"/>
        <v>321.61177790992224</v>
      </c>
      <c r="BZ282" s="42">
        <f>'[1]побудинковий звіт'!BZ282+'[2]побудинковий звіт'!BZ282-'[3]побудинковий звіт'!BZ282</f>
        <v>10979.280000000002</v>
      </c>
      <c r="CA282" s="42">
        <f>'[1]побудинковий звіт'!CA282+'[2]побудинковий звіт'!CA282-'[3]побудинковий звіт'!CA282</f>
        <v>11912.430307574978</v>
      </c>
      <c r="CB282" s="56">
        <f t="shared" si="310"/>
        <v>933.15030757497516</v>
      </c>
      <c r="CC282" s="42">
        <f>'[1]побудинковий звіт'!CC282+'[2]побудинковий звіт'!CC282-'[3]побудинковий звіт'!CC282</f>
        <v>1323.5964232443011</v>
      </c>
      <c r="CD282" s="42">
        <f>'[1]побудинковий звіт'!CD282+'[2]побудинковий звіт'!CD282-'[3]побудинковий звіт'!CD282</f>
        <v>1311.9550184940426</v>
      </c>
      <c r="CE282" s="56">
        <f t="shared" si="311"/>
        <v>-11.641404750258516</v>
      </c>
      <c r="CF282" s="42">
        <f>'[1]побудинковий звіт'!CF282+'[2]побудинковий звіт'!CF282-'[3]побудинковий звіт'!CF282</f>
        <v>162.94274149787793</v>
      </c>
      <c r="CG282" s="42">
        <f>'[1]побудинковий звіт'!CG282+'[2]побудинковий звіт'!CG282-'[3]побудинковий звіт'!CG282</f>
        <v>0</v>
      </c>
      <c r="CH282" s="56">
        <f t="shared" si="312"/>
        <v>-162.94274149787793</v>
      </c>
      <c r="CI282" s="42">
        <f>'[1]побудинковий звіт'!CI282+'[2]побудинковий звіт'!CI282-'[3]побудинковий звіт'!CI282</f>
        <v>27739.372312598738</v>
      </c>
      <c r="CJ282" s="42">
        <f>'[1]побудинковий звіт'!CJ282+'[2]побудинковий звіт'!CJ282-'[3]побудинковий звіт'!CJ282</f>
        <v>20769.443108616273</v>
      </c>
      <c r="CK282" s="56">
        <f t="shared" si="313"/>
        <v>-6969.929203982465</v>
      </c>
      <c r="CL282" s="42">
        <f>'[1]побудинковий звіт'!CL282+'[2]побудинковий звіт'!CL282-'[3]побудинковий звіт'!CL282</f>
        <v>9096.7172361153771</v>
      </c>
      <c r="CM282" s="42">
        <f>'[1]побудинковий звіт'!CM282+'[2]побудинковий звіт'!CM282-'[3]побудинковий звіт'!CM282</f>
        <v>11249.815336866784</v>
      </c>
      <c r="CN282" s="56">
        <f t="shared" si="314"/>
        <v>2153.0981007514074</v>
      </c>
      <c r="CO282" s="42">
        <f t="shared" si="294"/>
        <v>36836.089548714117</v>
      </c>
      <c r="CP282" s="43">
        <f t="shared" si="315"/>
        <v>32019.258445483058</v>
      </c>
      <c r="CQ282" s="56">
        <f t="shared" si="316"/>
        <v>-4816.8311032310594</v>
      </c>
      <c r="CR282" s="78">
        <f t="shared" si="295"/>
        <v>324719.01274366764</v>
      </c>
      <c r="CS282" s="5">
        <f t="shared" si="295"/>
        <v>367409.63886861835</v>
      </c>
      <c r="CT282" s="56">
        <f t="shared" si="317"/>
        <v>42690.626124950708</v>
      </c>
      <c r="CU282" s="87">
        <f t="shared" si="318"/>
        <v>389662.81529240118</v>
      </c>
      <c r="CV282" s="70">
        <f t="shared" si="319"/>
        <v>440891.56664234202</v>
      </c>
      <c r="CW282" s="37">
        <f t="shared" si="320"/>
        <v>51228.751349940838</v>
      </c>
      <c r="CX282" s="42">
        <f>'[1]побудинковий звіт'!CX282+'[2]побудинковий звіт'!CX282-'[3]побудинковий звіт'!CX282</f>
        <v>5857.1847075988844</v>
      </c>
      <c r="CY282" s="42">
        <f>'[1]побудинковий звіт'!CY282+'[2]побудинковий звіт'!CY282-'[3]побудинковий звіт'!CY282</f>
        <v>-45371.566642342063</v>
      </c>
      <c r="CZ282" s="56">
        <f t="shared" si="321"/>
        <v>-51228.751349940947</v>
      </c>
      <c r="DA282" s="264">
        <f>'[4]побудинковий звіт'!DA282</f>
        <v>-40432.775942755601</v>
      </c>
      <c r="DB282" s="2">
        <v>3</v>
      </c>
      <c r="DC282" s="717">
        <f>'[4]побудинковий звіт'!DC282</f>
        <v>38193.64</v>
      </c>
      <c r="DD282" s="717">
        <f>'[4]побудинковий звіт'!DD282</f>
        <v>-0.12</v>
      </c>
      <c r="DE282" s="717">
        <f>'[4]побудинковий звіт'!DE282</f>
        <v>5515.3499999999985</v>
      </c>
      <c r="DF282" s="717">
        <f>'[4]побудинковий звіт'!DF282</f>
        <v>-283.24</v>
      </c>
      <c r="DG282" s="787">
        <v>-42845.231504675932</v>
      </c>
      <c r="DH282" s="761">
        <f t="shared" si="290"/>
        <v>4746240.0000000009</v>
      </c>
      <c r="DI282" s="784"/>
      <c r="DJ282" s="5"/>
      <c r="DK282" s="317">
        <f>VLOOKUP($A282,ціни!$A$4:$G$401,5)</f>
        <v>6.6549573341133863</v>
      </c>
      <c r="DL282" s="317">
        <f>VLOOKUP($A282,ціни!$A$4:$G$401,6)</f>
        <v>8.03051213994625</v>
      </c>
      <c r="DM282" s="317">
        <f>VLOOKUP($A282,ціни!$A$4:$G$401,7)</f>
        <v>5.6622874178296785</v>
      </c>
      <c r="DN282" s="30">
        <f>DK282*G282+(F282-G282)*DL282</f>
        <v>34749.035104095099</v>
      </c>
      <c r="DO282" s="30">
        <f>DM282*H282</f>
        <v>283.11437089148393</v>
      </c>
      <c r="DP282" s="316">
        <f t="shared" si="278"/>
        <v>35032.149474986581</v>
      </c>
      <c r="DQ282" s="104"/>
      <c r="DR282" s="30">
        <f>VLOOKUP(A282,'ДЗ нас '!$A$1:$C$359,2)</f>
        <v>32678.29</v>
      </c>
      <c r="DS282" s="748">
        <f>VLOOKUP(A282,'ДЗ нежит'!$A$1:$D$153,4,0)</f>
        <v>283.12</v>
      </c>
      <c r="DT282" s="30">
        <f t="shared" si="279"/>
        <v>32961.410000000003</v>
      </c>
      <c r="DU282" s="257">
        <f>VLOOKUP(A282,'новий кошторис с 01.06'!$A$4:$AI$399,35)*1.2</f>
        <v>33056.327659725473</v>
      </c>
      <c r="DV282" s="30">
        <f t="shared" si="280"/>
        <v>-94.917659725470003</v>
      </c>
      <c r="DW282" s="930">
        <f>'[5]побудинковий звіт'!DW282+'[6]побудинковий звіт'!DW282</f>
        <v>202</v>
      </c>
      <c r="DY282" s="5">
        <f t="shared" si="286"/>
        <v>119977.91281482654</v>
      </c>
      <c r="DZ282" s="5">
        <f t="shared" si="287"/>
        <v>174446.4</v>
      </c>
      <c r="EA282" s="752">
        <f t="shared" si="291"/>
        <v>5232.1099999999988</v>
      </c>
      <c r="EC282" s="592">
        <f t="shared" si="288"/>
        <v>1117366.56</v>
      </c>
      <c r="EE282" s="758">
        <v>39983</v>
      </c>
      <c r="EF282" s="738">
        <f t="shared" si="289"/>
        <v>-2862.2315046759322</v>
      </c>
      <c r="EH282" s="813">
        <v>-110709.32275638785</v>
      </c>
    </row>
    <row r="283" spans="1:138" x14ac:dyDescent="0.3">
      <c r="A283" s="328">
        <v>150000799</v>
      </c>
      <c r="B283" s="44" t="s">
        <v>736</v>
      </c>
      <c r="C283" s="45" t="s">
        <v>292</v>
      </c>
      <c r="D283" s="45" t="s">
        <v>292</v>
      </c>
      <c r="E283" s="40">
        <f t="shared" si="292"/>
        <v>5056.3</v>
      </c>
      <c r="F283" s="490">
        <v>4752.1000000000004</v>
      </c>
      <c r="G283" s="30"/>
      <c r="H283" s="30">
        <v>304.2</v>
      </c>
      <c r="I283" s="42">
        <f>'[1]побудинковий звіт'!I283+'[2]побудинковий звіт'!I283-'[3]побудинковий звіт'!I283</f>
        <v>6681.5613634031233</v>
      </c>
      <c r="J283" s="42">
        <f>'[1]побудинковий звіт'!J283+'[2]побудинковий звіт'!J283-'[3]побудинковий звіт'!J283</f>
        <v>6661.0747419744766</v>
      </c>
      <c r="K283" s="56">
        <f t="shared" si="296"/>
        <v>-20.486621428646686</v>
      </c>
      <c r="L283" s="42">
        <f>'[1]побудинковий звіт'!L283+'[2]побудинковий звіт'!L283-'[3]побудинковий звіт'!L283</f>
        <v>1264.6587694881073</v>
      </c>
      <c r="M283" s="42">
        <f>'[1]побудинковий звіт'!M283+'[2]побудинковий звіт'!M283-'[3]побудинковий звіт'!M283</f>
        <v>1275.9873338169587</v>
      </c>
      <c r="N283" s="56">
        <f t="shared" si="297"/>
        <v>11.328564328851371</v>
      </c>
      <c r="O283" s="42">
        <f>'[1]побудинковий звіт'!O283+'[2]побудинковий звіт'!O283-'[3]побудинковий звіт'!O283</f>
        <v>2763.48</v>
      </c>
      <c r="P283" s="42">
        <f>'[1]побудинковий звіт'!P283+'[2]побудинковий звіт'!P283-'[3]побудинковий звіт'!P283</f>
        <v>2172.1166317204302</v>
      </c>
      <c r="Q283" s="56">
        <f t="shared" si="298"/>
        <v>-591.36336827956984</v>
      </c>
      <c r="R283" s="42">
        <f>'[1]побудинковий звіт'!R283+'[2]побудинковий звіт'!R283-'[3]побудинковий звіт'!R283</f>
        <v>0</v>
      </c>
      <c r="S283" s="42">
        <f>'[1]побудинковий звіт'!S283+'[2]побудинковий звіт'!S283-'[3]побудинковий звіт'!S283</f>
        <v>0</v>
      </c>
      <c r="T283" s="56">
        <f t="shared" si="299"/>
        <v>0</v>
      </c>
      <c r="U283" s="42">
        <f>'[1]побудинковий звіт'!U283+'[2]побудинковий звіт'!U283-'[3]побудинковий звіт'!U283</f>
        <v>0</v>
      </c>
      <c r="V283" s="42">
        <f>'[1]побудинковий звіт'!V283+'[2]побудинковий звіт'!V283-'[3]побудинковий звіт'!V283</f>
        <v>0</v>
      </c>
      <c r="W283" s="56">
        <f t="shared" si="300"/>
        <v>0</v>
      </c>
      <c r="X283" s="42">
        <f>'[1]побудинковий звіт'!X283+'[2]побудинковий звіт'!X283-'[3]побудинковий звіт'!X283</f>
        <v>3655.6266636660862</v>
      </c>
      <c r="Y283" s="42">
        <f>'[1]побудинковий звіт'!Y283+'[2]побудинковий звіт'!Y283-'[3]побудинковий звіт'!Y283</f>
        <v>2877.341230092059</v>
      </c>
      <c r="Z283" s="56">
        <f t="shared" si="301"/>
        <v>-778.28543357402714</v>
      </c>
      <c r="AA283" s="42">
        <f>'[1]побудинковий звіт'!AA283+'[2]побудинковий звіт'!AA283-'[3]побудинковий звіт'!AA283</f>
        <v>0</v>
      </c>
      <c r="AB283" s="42">
        <f>'[1]побудинковий звіт'!AB283+'[2]побудинковий звіт'!AB283-'[3]побудинковий звіт'!AB283</f>
        <v>0</v>
      </c>
      <c r="AC283" s="56">
        <f t="shared" si="302"/>
        <v>0</v>
      </c>
      <c r="AD283" s="42">
        <f>'[1]побудинковий звіт'!AD283+'[2]побудинковий звіт'!AD283-'[3]побудинковий звіт'!AD283</f>
        <v>8836.0058633661156</v>
      </c>
      <c r="AE283" s="42">
        <f>'[1]побудинковий звіт'!AE283+'[2]побудинковий звіт'!AE283-'[3]побудинковий звіт'!AE283</f>
        <v>8144.0877476200658</v>
      </c>
      <c r="AF283" s="37">
        <f t="shared" si="303"/>
        <v>-691.91811574604981</v>
      </c>
      <c r="AG283" s="87">
        <f t="shared" si="293"/>
        <v>23201.332659923431</v>
      </c>
      <c r="AH283" s="57">
        <f t="shared" si="293"/>
        <v>21130.607685223989</v>
      </c>
      <c r="AI283" s="56">
        <f t="shared" si="304"/>
        <v>-2070.7249746994421</v>
      </c>
      <c r="AJ283" s="42">
        <f>'[1]побудинковий звіт'!AJ283+'[2]побудинковий звіт'!AJ283-'[3]побудинковий звіт'!AJ283</f>
        <v>0</v>
      </c>
      <c r="AK283" s="42">
        <f>'[1]побудинковий звіт'!AK283+'[2]побудинковий звіт'!AK283-'[3]побудинковий звіт'!AK283</f>
        <v>0</v>
      </c>
      <c r="AL283" s="56">
        <f t="shared" si="305"/>
        <v>0</v>
      </c>
      <c r="AM283" s="42">
        <f>'[1]побудинковий звіт'!AM283+'[2]побудинковий звіт'!AM283-'[3]побудинковий звіт'!AM283</f>
        <v>0</v>
      </c>
      <c r="AN283" s="42">
        <f>'[1]побудинковий звіт'!AN283+'[2]побудинковий звіт'!AN283-'[3]побудинковий звіт'!AN283</f>
        <v>0</v>
      </c>
      <c r="AO283" s="56">
        <f t="shared" si="306"/>
        <v>0</v>
      </c>
      <c r="AP283" s="42">
        <f>'[1]побудинковий звіт'!AP283+'[2]побудинковий звіт'!AP283-'[3]побудинковий звіт'!AP283</f>
        <v>5113.8952716257081</v>
      </c>
      <c r="AQ283" s="42">
        <f>'[1]побудинковий звіт'!AQ283+'[2]побудинковий звіт'!AQ283-'[3]побудинковий звіт'!AQ283</f>
        <v>4786.6280004242635</v>
      </c>
      <c r="AR283" s="56">
        <f t="shared" si="307"/>
        <v>-327.2672712014446</v>
      </c>
      <c r="AS283" s="42">
        <f>'[1]побудинковий звіт'!AS283+'[2]побудинковий звіт'!AS283-'[3]побудинковий звіт'!AS283</f>
        <v>16975.272975328025</v>
      </c>
      <c r="AT283" s="42">
        <f>'[1]побудинковий звіт'!AT283+'[2]побудинковий звіт'!AT283-'[3]побудинковий звіт'!AT283</f>
        <v>908</v>
      </c>
      <c r="AU283" s="58">
        <f t="shared" si="322"/>
        <v>-16067.272975328025</v>
      </c>
      <c r="AV283" s="42">
        <f>'[1]побудинковий звіт'!AV283+'[2]побудинковий звіт'!AV283-'[3]побудинковий звіт'!AV283</f>
        <v>1151.9342551156299</v>
      </c>
      <c r="AW283" s="42">
        <f>'[1]побудинковий звіт'!AW283+'[2]побудинковий звіт'!AW283-'[3]побудинковий звіт'!AW283</f>
        <v>0</v>
      </c>
      <c r="AX283" s="59">
        <f t="shared" si="323"/>
        <v>-1151.9342551156299</v>
      </c>
      <c r="AY283" s="42">
        <f>'[1]побудинковий звіт'!AY283+'[2]побудинковий звіт'!AY283-'[3]побудинковий звіт'!AY283</f>
        <v>1629.9409837160069</v>
      </c>
      <c r="AZ283" s="42">
        <f>'[1]побудинковий звіт'!AZ283+'[2]побудинковий звіт'!AZ283-'[3]побудинковий звіт'!AZ283</f>
        <v>0</v>
      </c>
      <c r="BA283" s="37">
        <f t="shared" si="324"/>
        <v>-1629.9409837160069</v>
      </c>
      <c r="BB283" s="42">
        <f>'[1]побудинковий звіт'!BB283+'[2]побудинковий звіт'!BB283-'[3]побудинковий звіт'!BB283</f>
        <v>1606.6710917432124</v>
      </c>
      <c r="BC283" s="42">
        <f>'[1]побудинковий звіт'!BC283+'[2]побудинковий звіт'!BC283-'[3]побудинковий звіт'!BC283</f>
        <v>3287.7889527771467</v>
      </c>
      <c r="BD283" s="59">
        <f t="shared" si="325"/>
        <v>1681.1178610339343</v>
      </c>
      <c r="BE283" s="42">
        <f>'[1]побудинковий звіт'!BE283+'[2]побудинковий звіт'!BE283-'[3]побудинковий звіт'!BE283</f>
        <v>0</v>
      </c>
      <c r="BF283" s="42">
        <f>'[1]побудинковий звіт'!BF283+'[2]побудинковий звіт'!BF283-'[3]побудинковий звіт'!BF283</f>
        <v>0</v>
      </c>
      <c r="BG283" s="39">
        <f t="shared" si="326"/>
        <v>0</v>
      </c>
      <c r="BH283" s="42">
        <f>'[1]побудинковий звіт'!BH283+'[2]побудинковий звіт'!BH283-'[3]побудинковий звіт'!BH283</f>
        <v>0</v>
      </c>
      <c r="BI283" s="42">
        <f>'[1]побудинковий звіт'!BI283+'[2]побудинковий звіт'!BI283-'[3]побудинковий звіт'!BI283</f>
        <v>0</v>
      </c>
      <c r="BJ283" s="59">
        <f t="shared" si="327"/>
        <v>0</v>
      </c>
      <c r="BK283" s="42">
        <f>'[1]побудинковий звіт'!BK283+'[2]побудинковий звіт'!BK283-'[3]побудинковий звіт'!BK283</f>
        <v>475.15199954789966</v>
      </c>
      <c r="BL283" s="42">
        <f>'[1]побудинковий звіт'!BL283+'[2]побудинковий звіт'!BL283-'[3]побудинковий звіт'!BL283</f>
        <v>133.007111349609</v>
      </c>
      <c r="BM283" s="39">
        <f t="shared" si="328"/>
        <v>-342.14488819829069</v>
      </c>
      <c r="BN283" s="42">
        <f>'[1]побудинковий звіт'!BN283+'[2]побудинковий звіт'!BN283-'[3]побудинковий звіт'!BN283</f>
        <v>0</v>
      </c>
      <c r="BO283" s="42">
        <f>'[1]побудинковий звіт'!BO283+'[2]побудинковий звіт'!BO283-'[3]побудинковий звіт'!BO283</f>
        <v>0</v>
      </c>
      <c r="BP283" s="59">
        <f t="shared" si="329"/>
        <v>0</v>
      </c>
      <c r="BQ283" s="87">
        <f t="shared" si="282"/>
        <v>4863.6983301227483</v>
      </c>
      <c r="BR283" s="43">
        <f t="shared" si="331"/>
        <v>3420.7960641267559</v>
      </c>
      <c r="BS283" s="59">
        <f t="shared" si="330"/>
        <v>-1442.9022659959924</v>
      </c>
      <c r="BT283" s="42">
        <f>'[1]побудинковий звіт'!BT283+'[2]побудинковий звіт'!BT283-'[3]побудинковий звіт'!BT283</f>
        <v>6602.9642841710465</v>
      </c>
      <c r="BU283" s="42">
        <f>'[1]побудинковий звіт'!BU283+'[2]побудинковий звіт'!BU283-'[3]побудинковий звіт'!BU283</f>
        <v>10649.24738591491</v>
      </c>
      <c r="BV283" s="56">
        <f t="shared" si="308"/>
        <v>4046.2831017438639</v>
      </c>
      <c r="BW283" s="42">
        <f>'[1]побудинковий звіт'!BW283+'[2]побудинковий звіт'!BW283-'[3]побудинковий звіт'!BW283</f>
        <v>10302.622135061249</v>
      </c>
      <c r="BX283" s="42">
        <f>'[1]побудинковий звіт'!BX283+'[2]побудинковий звіт'!BX283-'[3]побудинковий звіт'!BX283</f>
        <v>13013.2599494156</v>
      </c>
      <c r="BY283" s="56">
        <f t="shared" si="309"/>
        <v>2710.6378143543516</v>
      </c>
      <c r="BZ283" s="42">
        <f>'[1]побудинковий звіт'!BZ283+'[2]побудинковий звіт'!BZ283-'[3]побудинковий звіт'!BZ283</f>
        <v>4252.6093879154441</v>
      </c>
      <c r="CA283" s="42">
        <f>'[1]побудинковий звіт'!CA283+'[2]побудинковий звіт'!CA283-'[3]побудинковий звіт'!CA283</f>
        <v>5282.0022928654125</v>
      </c>
      <c r="CB283" s="56">
        <f t="shared" si="310"/>
        <v>1029.3929049499684</v>
      </c>
      <c r="CC283" s="42">
        <f>'[1]побудинковий звіт'!CC283+'[2]побудинковий звіт'!CC283-'[3]побудинковий звіт'!CC283</f>
        <v>737.68440655482391</v>
      </c>
      <c r="CD283" s="42">
        <f>'[1]побудинковий звіт'!CD283+'[2]побудинковий звіт'!CD283-'[3]побудинковий звіт'!CD283</f>
        <v>731.19626364067994</v>
      </c>
      <c r="CE283" s="56">
        <f t="shared" si="311"/>
        <v>-6.4881429141439639</v>
      </c>
      <c r="CF283" s="42">
        <f>'[1]побудинковий звіт'!CF283+'[2]побудинковий звіт'!CF283-'[3]побудинковий звіт'!CF283</f>
        <v>90.813421261483995</v>
      </c>
      <c r="CG283" s="42">
        <f>'[1]побудинковий звіт'!CG283+'[2]побудинковий звіт'!CG283-'[3]побудинковий звіт'!CG283</f>
        <v>0</v>
      </c>
      <c r="CH283" s="56">
        <f t="shared" si="312"/>
        <v>-90.813421261483995</v>
      </c>
      <c r="CI283" s="42">
        <f>'[1]побудинковий звіт'!CI283+'[2]побудинковий звіт'!CI283-'[3]побудинковий звіт'!CI283</f>
        <v>2901.2164024647814</v>
      </c>
      <c r="CJ283" s="42">
        <f>'[1]побудинковий звіт'!CJ283+'[2]побудинковий звіт'!CJ283-'[3]побудинковий звіт'!CJ283</f>
        <v>2814.1975845034699</v>
      </c>
      <c r="CK283" s="56">
        <f t="shared" si="313"/>
        <v>-87.01881796131147</v>
      </c>
      <c r="CL283" s="42">
        <f>'[1]побудинковий звіт'!CL283+'[2]побудинковий звіт'!CL283-'[3]побудинковий звіт'!CL283</f>
        <v>0</v>
      </c>
      <c r="CM283" s="42">
        <f>'[1]побудинковий звіт'!CM283+'[2]побудинковий звіт'!CM283-'[3]побудинковий звіт'!CM283</f>
        <v>0</v>
      </c>
      <c r="CN283" s="56">
        <f t="shared" si="314"/>
        <v>0</v>
      </c>
      <c r="CO283" s="42">
        <f t="shared" si="294"/>
        <v>2901.2164024647814</v>
      </c>
      <c r="CP283" s="43">
        <f t="shared" si="315"/>
        <v>2814.1975845034699</v>
      </c>
      <c r="CQ283" s="56">
        <f t="shared" si="316"/>
        <v>-87.01881796131147</v>
      </c>
      <c r="CR283" s="78">
        <f t="shared" si="295"/>
        <v>75042.109274428731</v>
      </c>
      <c r="CS283" s="5">
        <f t="shared" si="295"/>
        <v>62735.935226115085</v>
      </c>
      <c r="CT283" s="56">
        <f t="shared" si="317"/>
        <v>-12306.174048313645</v>
      </c>
      <c r="CU283" s="87">
        <f t="shared" si="318"/>
        <v>90050.531129314477</v>
      </c>
      <c r="CV283" s="70">
        <f t="shared" si="319"/>
        <v>75283.122271338099</v>
      </c>
      <c r="CW283" s="37">
        <f t="shared" si="320"/>
        <v>-14767.408857976377</v>
      </c>
      <c r="CX283" s="42">
        <f>'[1]побудинковий звіт'!CX283+'[2]побудинковий звіт'!CX283-'[3]побудинковий звіт'!CX283</f>
        <v>1801.9088706855218</v>
      </c>
      <c r="CY283" s="42">
        <f>'[1]побудинковий звіт'!CY283+'[2]побудинковий звіт'!CY283-'[3]побудинковий звіт'!CY283</f>
        <v>16569.317728661899</v>
      </c>
      <c r="CZ283" s="56">
        <f t="shared" si="321"/>
        <v>14767.408857976377</v>
      </c>
      <c r="DA283" s="264">
        <f>'[4]побудинковий звіт'!DA283</f>
        <v>-21860.001255864656</v>
      </c>
      <c r="DB283" s="2">
        <v>2</v>
      </c>
      <c r="DC283" s="717">
        <f>'[4]побудинковий звіт'!DC283</f>
        <v>23152.94</v>
      </c>
      <c r="DD283" s="717">
        <f>'[4]побудинковий звіт'!DD283</f>
        <v>972.07</v>
      </c>
      <c r="DE283" s="717">
        <f>'[4]побудинковий звіт'!DE283</f>
        <v>16470.64</v>
      </c>
      <c r="DF283" s="717">
        <f>'[4]побудинковий звіт'!DF283</f>
        <v>0</v>
      </c>
      <c r="DG283" s="787">
        <v>1691.3426617015211</v>
      </c>
      <c r="DH283" s="761">
        <f t="shared" si="290"/>
        <v>1102229.28</v>
      </c>
      <c r="DI283" s="784"/>
      <c r="DJ283" s="5"/>
      <c r="DK283" s="317">
        <f>VLOOKUP($A283,ціни!$A$4:$G$401,5)</f>
        <v>3.7917691659095452</v>
      </c>
      <c r="DL283" s="317"/>
      <c r="DM283" s="317">
        <f>VLOOKUP($A283,ціни!$A$4:$G$401,7)</f>
        <v>3.1954646446723847</v>
      </c>
      <c r="DN283" s="30">
        <f t="shared" ref="DN283:DN322" si="332">F283*DK283</f>
        <v>18018.866253318753</v>
      </c>
      <c r="DO283" s="30">
        <f t="shared" ref="DO283:DO290" si="333">H283*DM283</f>
        <v>972.06034490933939</v>
      </c>
      <c r="DP283" s="316">
        <f t="shared" si="278"/>
        <v>18990.926598228092</v>
      </c>
      <c r="DQ283" s="104"/>
      <c r="DR283" s="30">
        <f>VLOOKUP(A283,'ДЗ нас '!$A$1:$C$359,2)</f>
        <v>6682.3</v>
      </c>
      <c r="DS283" s="748">
        <f>VLOOKUP(A283,'ДЗ нежит'!$A$1:$D$153,4,0)</f>
        <v>972.07</v>
      </c>
      <c r="DT283" s="30">
        <f t="shared" si="279"/>
        <v>7654.37</v>
      </c>
      <c r="DU283" s="257">
        <f>VLOOKUP(A283,'новий кошторис с 01.06'!$A$4:$AI$399,35)*1.2</f>
        <v>7684.3119897015022</v>
      </c>
      <c r="DV283" s="30">
        <f t="shared" si="280"/>
        <v>-29.94198970150228</v>
      </c>
      <c r="DW283" s="930">
        <f>'[5]побудинковий звіт'!DW283+'[6]побудинковий звіт'!DW283</f>
        <v>204</v>
      </c>
      <c r="DY283" s="5">
        <f t="shared" si="286"/>
        <v>26206.765566540929</v>
      </c>
      <c r="DZ283" s="5">
        <f t="shared" si="287"/>
        <v>5194.5552769521073</v>
      </c>
      <c r="EA283" s="752">
        <f t="shared" si="291"/>
        <v>16470.64</v>
      </c>
      <c r="EC283" s="592">
        <f t="shared" si="288"/>
        <v>203703.27570393629</v>
      </c>
      <c r="EE283" s="758">
        <v>5734</v>
      </c>
      <c r="EF283" s="738">
        <f t="shared" si="289"/>
        <v>7425.3426617015211</v>
      </c>
      <c r="EH283" s="813">
        <v>-8515.5468923725639</v>
      </c>
    </row>
    <row r="284" spans="1:138" x14ac:dyDescent="0.3">
      <c r="A284" s="328">
        <v>150000830</v>
      </c>
      <c r="B284" s="44" t="s">
        <v>737</v>
      </c>
      <c r="C284" s="45" t="s">
        <v>293</v>
      </c>
      <c r="D284" s="45" t="s">
        <v>293</v>
      </c>
      <c r="E284" s="40">
        <f t="shared" si="292"/>
        <v>3260.7000000000003</v>
      </c>
      <c r="F284" s="490">
        <v>1578.7</v>
      </c>
      <c r="G284" s="30"/>
      <c r="H284" s="30">
        <v>1682.0000000000002</v>
      </c>
      <c r="I284" s="42">
        <f>'[1]побудинковий звіт'!I284+'[2]побудинковий звіт'!I284-'[3]побудинковий звіт'!I284</f>
        <v>16598.287152161811</v>
      </c>
      <c r="J284" s="42">
        <f>'[1]побудинковий звіт'!J284+'[2]побудинковий звіт'!J284-'[3]побудинковий звіт'!J284</f>
        <v>15211.242300718837</v>
      </c>
      <c r="K284" s="56">
        <f t="shared" si="296"/>
        <v>-1387.0448514429736</v>
      </c>
      <c r="L284" s="42">
        <f>'[1]побудинковий звіт'!L284+'[2]побудинковий звіт'!L284-'[3]побудинковий звіт'!L284</f>
        <v>3397.7778733269688</v>
      </c>
      <c r="M284" s="42">
        <f>'[1]побудинковий звіт'!M284+'[2]побудинковий звіт'!M284-'[3]побудинковий звіт'!M284</f>
        <v>3253.4651851791832</v>
      </c>
      <c r="N284" s="56">
        <f t="shared" si="297"/>
        <v>-144.31268814778559</v>
      </c>
      <c r="O284" s="42">
        <f>'[1]побудинковий звіт'!O284+'[2]побудинковий звіт'!O284-'[3]побудинковий звіт'!O284</f>
        <v>7011.3599999999988</v>
      </c>
      <c r="P284" s="42">
        <f>'[1]побудинковий звіт'!P284+'[2]побудинковий звіт'!P284-'[3]побудинковий звіт'!P284</f>
        <v>7010.52</v>
      </c>
      <c r="Q284" s="56">
        <f t="shared" si="298"/>
        <v>-0.83999999999832653</v>
      </c>
      <c r="R284" s="42">
        <f>'[1]побудинковий звіт'!R284+'[2]побудинковий звіт'!R284-'[3]побудинковий звіт'!R284</f>
        <v>0</v>
      </c>
      <c r="S284" s="42">
        <f>'[1]побудинковий звіт'!S284+'[2]побудинковий звіт'!S284-'[3]побудинковий звіт'!S284</f>
        <v>0</v>
      </c>
      <c r="T284" s="56">
        <f t="shared" si="299"/>
        <v>0</v>
      </c>
      <c r="U284" s="42">
        <f>'[1]побудинковий звіт'!U284+'[2]побудинковий звіт'!U284-'[3]побудинковий звіт'!U284</f>
        <v>1294.4711018415646</v>
      </c>
      <c r="V284" s="42">
        <f>'[1]побудинковий звіт'!V284+'[2]побудинковий звіт'!V284-'[3]побудинковий звіт'!V284</f>
        <v>878.96842656000217</v>
      </c>
      <c r="W284" s="56">
        <f t="shared" si="300"/>
        <v>-415.50267528156246</v>
      </c>
      <c r="X284" s="42">
        <f>'[1]побудинковий звіт'!X284+'[2]побудинковий звіт'!X284-'[3]побудинковий звіт'!X284</f>
        <v>13474.599422090063</v>
      </c>
      <c r="Y284" s="42">
        <f>'[1]побудинковий звіт'!Y284+'[2]побудинковий звіт'!Y284-'[3]побудинковий звіт'!Y284</f>
        <v>11946.997825039161</v>
      </c>
      <c r="Z284" s="56">
        <f t="shared" si="301"/>
        <v>-1527.6015970509015</v>
      </c>
      <c r="AA284" s="42">
        <f>'[1]побудинковий звіт'!AA284+'[2]побудинковий звіт'!AA284-'[3]побудинковий звіт'!AA284</f>
        <v>0</v>
      </c>
      <c r="AB284" s="42">
        <f>'[1]побудинковий звіт'!AB284+'[2]побудинковий звіт'!AB284-'[3]побудинковий звіт'!AB284</f>
        <v>0</v>
      </c>
      <c r="AC284" s="56">
        <f t="shared" si="302"/>
        <v>0</v>
      </c>
      <c r="AD284" s="42">
        <f>'[1]побудинковий звіт'!AD284+'[2]побудинковий звіт'!AD284-'[3]побудинковий звіт'!AD284</f>
        <v>25489.514518889155</v>
      </c>
      <c r="AE284" s="42">
        <f>'[1]побудинковий звіт'!AE284+'[2]побудинковий звіт'!AE284-'[3]побудинковий звіт'!AE284</f>
        <v>24147.139450512375</v>
      </c>
      <c r="AF284" s="37">
        <f t="shared" si="303"/>
        <v>-1342.3750683767794</v>
      </c>
      <c r="AG284" s="87">
        <f t="shared" si="293"/>
        <v>67266.010068309566</v>
      </c>
      <c r="AH284" s="57">
        <f t="shared" si="293"/>
        <v>62448.333188009557</v>
      </c>
      <c r="AI284" s="56">
        <f t="shared" si="304"/>
        <v>-4817.6768803000086</v>
      </c>
      <c r="AJ284" s="42">
        <f>'[1]побудинковий звіт'!AJ284+'[2]побудинковий звіт'!AJ284-'[3]побудинковий звіт'!AJ284</f>
        <v>0</v>
      </c>
      <c r="AK284" s="42">
        <f>'[1]побудинковий звіт'!AK284+'[2]побудинковий звіт'!AK284-'[3]побудинковий звіт'!AK284</f>
        <v>0</v>
      </c>
      <c r="AL284" s="56">
        <f t="shared" si="305"/>
        <v>0</v>
      </c>
      <c r="AM284" s="42">
        <f>'[1]побудинковий звіт'!AM284+'[2]побудинковий звіт'!AM284-'[3]побудинковий звіт'!AM284</f>
        <v>0</v>
      </c>
      <c r="AN284" s="42">
        <f>'[1]побудинковий звіт'!AN284+'[2]побудинковий звіт'!AN284-'[3]побудинковий звіт'!AN284</f>
        <v>0</v>
      </c>
      <c r="AO284" s="56">
        <f t="shared" si="306"/>
        <v>0</v>
      </c>
      <c r="AP284" s="42">
        <f>'[1]побудинковий звіт'!AP284+'[2]побудинковий звіт'!AP284-'[3]побудинковий звіт'!AP284</f>
        <v>13352.94876480046</v>
      </c>
      <c r="AQ284" s="42">
        <f>'[1]побудинковий звіт'!AQ284+'[2]побудинковий звіт'!AQ284-'[3]побудинковий звіт'!AQ284</f>
        <v>12848.446139005886</v>
      </c>
      <c r="AR284" s="56">
        <f t="shared" si="307"/>
        <v>-504.50262579457376</v>
      </c>
      <c r="AS284" s="42">
        <f>'[1]побудинковий звіт'!AS284+'[2]побудинковий звіт'!AS284-'[3]побудинковий звіт'!AS284</f>
        <v>71191.786975089912</v>
      </c>
      <c r="AT284" s="42">
        <f>'[1]побудинковий звіт'!AT284+'[2]побудинковий звіт'!AT284-'[3]побудинковий звіт'!AT284</f>
        <v>18071</v>
      </c>
      <c r="AU284" s="58">
        <f t="shared" si="322"/>
        <v>-53120.786975089912</v>
      </c>
      <c r="AV284" s="42">
        <f>'[1]побудинковий звіт'!AV284+'[2]побудинковий звіт'!AV284-'[3]побудинковий звіт'!AV284</f>
        <v>2740.8123502456219</v>
      </c>
      <c r="AW284" s="42">
        <f>'[1]побудинковий звіт'!AW284+'[2]побудинковий звіт'!AW284-'[3]побудинковий звіт'!AW284</f>
        <v>5950.1174201706708</v>
      </c>
      <c r="AX284" s="59">
        <f t="shared" si="323"/>
        <v>3209.3050699250489</v>
      </c>
      <c r="AY284" s="42">
        <f>'[1]побудинковий звіт'!AY284+'[2]побудинковий звіт'!AY284-'[3]побудинковий звіт'!AY284</f>
        <v>4379.3929454117269</v>
      </c>
      <c r="AZ284" s="42">
        <f>'[1]побудинковий звіт'!AZ284+'[2]побудинковий звіт'!AZ284-'[3]побудинковий звіт'!AZ284</f>
        <v>3344</v>
      </c>
      <c r="BA284" s="37">
        <f t="shared" si="324"/>
        <v>-1035.3929454117269</v>
      </c>
      <c r="BB284" s="42">
        <f>'[1]побудинковий звіт'!BB284+'[2]побудинковий звіт'!BB284-'[3]побудинковий звіт'!BB284</f>
        <v>2589.3638818952413</v>
      </c>
      <c r="BC284" s="42">
        <f>'[1]побудинковий звіт'!BC284+'[2]побудинковий звіт'!BC284-'[3]побудинковий звіт'!BC284</f>
        <v>1520</v>
      </c>
      <c r="BD284" s="59">
        <f t="shared" si="325"/>
        <v>-1069.3638818952413</v>
      </c>
      <c r="BE284" s="42">
        <f>'[1]побудинковий звіт'!BE284+'[2]побудинковий звіт'!BE284-'[3]побудинковий звіт'!BE284</f>
        <v>0</v>
      </c>
      <c r="BF284" s="42">
        <f>'[1]побудинковий звіт'!BF284+'[2]побудинковий звіт'!BF284-'[3]побудинковий звіт'!BF284</f>
        <v>0</v>
      </c>
      <c r="BG284" s="39">
        <f t="shared" si="326"/>
        <v>0</v>
      </c>
      <c r="BH284" s="42">
        <f>'[1]побудинковий звіт'!BH284+'[2]побудинковий звіт'!BH284-'[3]побудинковий звіт'!BH284</f>
        <v>1313.1883369600605</v>
      </c>
      <c r="BI284" s="42">
        <f>'[1]побудинковий звіт'!BI284+'[2]побудинковий звіт'!BI284-'[3]побудинковий звіт'!BI284</f>
        <v>0</v>
      </c>
      <c r="BJ284" s="59">
        <f t="shared" si="327"/>
        <v>-1313.1883369600605</v>
      </c>
      <c r="BK284" s="42">
        <f>'[1]побудинковий звіт'!BK284+'[2]побудинковий звіт'!BK284-'[3]побудинковий звіт'!BK284</f>
        <v>1993.1246172078954</v>
      </c>
      <c r="BL284" s="42">
        <f>'[1]побудинковий звіт'!BL284+'[2]побудинковий звіт'!BL284-'[3]побудинковий звіт'!BL284</f>
        <v>4136</v>
      </c>
      <c r="BM284" s="39">
        <f t="shared" si="328"/>
        <v>2142.8753827921046</v>
      </c>
      <c r="BN284" s="42">
        <f>'[1]побудинковий звіт'!BN284+'[2]побудинковий звіт'!BN284-'[3]побудинковий звіт'!BN284</f>
        <v>0</v>
      </c>
      <c r="BO284" s="42">
        <f>'[1]побудинковий звіт'!BO284+'[2]побудинковий звіт'!BO284-'[3]побудинковий звіт'!BO284</f>
        <v>0</v>
      </c>
      <c r="BP284" s="59">
        <f t="shared" si="329"/>
        <v>0</v>
      </c>
      <c r="BQ284" s="87">
        <f t="shared" si="282"/>
        <v>13015.882131720546</v>
      </c>
      <c r="BR284" s="43">
        <f t="shared" si="331"/>
        <v>14950.117420170671</v>
      </c>
      <c r="BS284" s="59">
        <f t="shared" si="330"/>
        <v>1934.2352884501252</v>
      </c>
      <c r="BT284" s="42">
        <f>'[1]побудинковий звіт'!BT284+'[2]побудинковий звіт'!BT284-'[3]побудинковий звіт'!BT284</f>
        <v>43008.647389873026</v>
      </c>
      <c r="BU284" s="42">
        <f>'[1]побудинковий звіт'!BU284+'[2]побудинковий звіт'!BU284-'[3]побудинковий звіт'!BU284</f>
        <v>50898.650308625918</v>
      </c>
      <c r="BV284" s="56">
        <f t="shared" si="308"/>
        <v>7890.0029187528926</v>
      </c>
      <c r="BW284" s="42">
        <f>'[1]побудинковий звіт'!BW284+'[2]побудинковий звіт'!BW284-'[3]побудинковий звіт'!BW284</f>
        <v>26322.685603861773</v>
      </c>
      <c r="BX284" s="42">
        <f>'[1]побудинковий звіт'!BX284+'[2]побудинковий звіт'!BX284-'[3]побудинковий звіт'!BX284</f>
        <v>29350.127593718717</v>
      </c>
      <c r="BY284" s="56">
        <f t="shared" si="309"/>
        <v>3027.4419898569431</v>
      </c>
      <c r="BZ284" s="42">
        <f>'[1]побудинковий звіт'!BZ284+'[2]побудинковий звіт'!BZ284-'[3]побудинковий звіт'!BZ284</f>
        <v>9971.4497592776079</v>
      </c>
      <c r="CA284" s="42">
        <f>'[1]побудинковий звіт'!CA284+'[2]побудинковий звіт'!CA284-'[3]побудинковий звіт'!CA284</f>
        <v>12381.202628334366</v>
      </c>
      <c r="CB284" s="56">
        <f t="shared" si="310"/>
        <v>2409.7528690567578</v>
      </c>
      <c r="CC284" s="42">
        <f>'[1]побудинковий звіт'!CC284+'[2]побудинковий звіт'!CC284-'[3]побудинковий звіт'!CC284</f>
        <v>1073.5837655203775</v>
      </c>
      <c r="CD284" s="42">
        <f>'[1]побудинковий звіт'!CD284+'[2]побудинковий звіт'!CD284-'[3]побудинковий звіт'!CD284</f>
        <v>1064.1412927785016</v>
      </c>
      <c r="CE284" s="56">
        <f t="shared" si="311"/>
        <v>-9.4424727418759176</v>
      </c>
      <c r="CF284" s="42">
        <f>'[1]побудинковий звіт'!CF284+'[2]побудинковий звіт'!CF284-'[3]побудинковий звіт'!CF284</f>
        <v>132.16466810383434</v>
      </c>
      <c r="CG284" s="42">
        <f>'[1]побудинковий звіт'!CG284+'[2]побудинковий звіт'!CG284-'[3]побудинковий звіт'!CG284</f>
        <v>0</v>
      </c>
      <c r="CH284" s="56">
        <f t="shared" si="312"/>
        <v>-132.16466810383434</v>
      </c>
      <c r="CI284" s="42">
        <f>'[1]побудинковий звіт'!CI284+'[2]побудинковий звіт'!CI284-'[3]побудинковий звіт'!CI284</f>
        <v>1104.333985454336</v>
      </c>
      <c r="CJ284" s="42">
        <f>'[1]побудинковий звіт'!CJ284+'[2]побудинковий звіт'!CJ284-'[3]побудинковий звіт'!CJ284</f>
        <v>1048.8610772831405</v>
      </c>
      <c r="CK284" s="56">
        <f t="shared" si="313"/>
        <v>-55.472908171195513</v>
      </c>
      <c r="CL284" s="42">
        <f>'[1]побудинковий звіт'!CL284+'[2]побудинковий звіт'!CL284-'[3]побудинковий звіт'!CL284</f>
        <v>0</v>
      </c>
      <c r="CM284" s="42">
        <f>'[1]побудинковий звіт'!CM284+'[2]побудинковий звіт'!CM284-'[3]побудинковий звіт'!CM284</f>
        <v>0</v>
      </c>
      <c r="CN284" s="56">
        <f t="shared" si="314"/>
        <v>0</v>
      </c>
      <c r="CO284" s="42">
        <f t="shared" si="294"/>
        <v>1104.333985454336</v>
      </c>
      <c r="CP284" s="43">
        <f t="shared" si="315"/>
        <v>1048.8610772831405</v>
      </c>
      <c r="CQ284" s="56">
        <f t="shared" si="316"/>
        <v>-55.472908171195513</v>
      </c>
      <c r="CR284" s="78">
        <f t="shared" si="295"/>
        <v>246439.49311201141</v>
      </c>
      <c r="CS284" s="5">
        <f t="shared" si="295"/>
        <v>203060.87964792675</v>
      </c>
      <c r="CT284" s="56">
        <f t="shared" si="317"/>
        <v>-43378.613464084658</v>
      </c>
      <c r="CU284" s="87">
        <f t="shared" si="318"/>
        <v>295727.39173441369</v>
      </c>
      <c r="CV284" s="70">
        <f t="shared" si="319"/>
        <v>243673.05557751207</v>
      </c>
      <c r="CW284" s="37">
        <f t="shared" si="320"/>
        <v>-52054.336156901612</v>
      </c>
      <c r="CX284" s="42">
        <f>'[1]побудинковий звіт'!CX284+'[2]побудинковий звіт'!CX284-'[3]побудинковий звіт'!CX284</f>
        <v>19383.118265586309</v>
      </c>
      <c r="CY284" s="42">
        <f>'[1]побудинковий звіт'!CY284+'[2]побудинковий звіт'!CY284-'[3]побудинковий звіт'!CY284</f>
        <v>71437.454422487877</v>
      </c>
      <c r="CZ284" s="56">
        <f t="shared" si="321"/>
        <v>52054.336156901569</v>
      </c>
      <c r="DA284" s="264">
        <f>'[4]побудинковий звіт'!DA284</f>
        <v>-104193.17944057002</v>
      </c>
      <c r="DB284" s="2">
        <v>3</v>
      </c>
      <c r="DC284" s="717">
        <f>'[4]побудинковий звіт'!DC284</f>
        <v>33637.589999999997</v>
      </c>
      <c r="DD284" s="717">
        <f>'[4]побудинковий звіт'!DD284</f>
        <v>186643.72</v>
      </c>
      <c r="DE284" s="717">
        <f>'[4]побудинковий звіт'!DE284</f>
        <v>13851.039999999997</v>
      </c>
      <c r="DF284" s="717">
        <f>'[4]побудинковий звіт'!DF284</f>
        <v>180184.67</v>
      </c>
      <c r="DG284" s="787">
        <v>-74652.365750803496</v>
      </c>
      <c r="DH284" s="761">
        <f t="shared" si="290"/>
        <v>3781326.12</v>
      </c>
      <c r="DI284" s="784"/>
      <c r="DJ284" s="5"/>
      <c r="DK284" s="317">
        <f>VLOOKUP($A284,ціни!$A$4:$G$401,5)</f>
        <v>4.4507393775632353</v>
      </c>
      <c r="DL284" s="317"/>
      <c r="DM284" s="317">
        <f>VLOOKUP($A284,ціни!$A$4:$G$401,7)</f>
        <v>3.8401268147631495</v>
      </c>
      <c r="DN284" s="30">
        <f t="shared" si="332"/>
        <v>7026.3822553590799</v>
      </c>
      <c r="DO284" s="30">
        <f t="shared" si="333"/>
        <v>6459.0933024316182</v>
      </c>
      <c r="DP284" s="316">
        <f t="shared" si="278"/>
        <v>13485.475557790698</v>
      </c>
      <c r="DQ284" s="104"/>
      <c r="DR284" s="30">
        <f>VLOOKUP(A284,'ДЗ нас '!$A$1:$C$359,2)</f>
        <v>19786.55</v>
      </c>
      <c r="DS284" s="748">
        <f>VLOOKUP(A284,'ДЗ нежит'!$A$1:$D$153,4,0)</f>
        <v>6459.05</v>
      </c>
      <c r="DT284" s="30">
        <f t="shared" si="279"/>
        <v>26245.599999999999</v>
      </c>
      <c r="DU284" s="257">
        <f>VLOOKUP(A284,'новий кошторис с 01.06'!$A$4:$AI$399,35)*1.2</f>
        <v>25826.858878138792</v>
      </c>
      <c r="DV284" s="30">
        <f t="shared" si="280"/>
        <v>418.74112186120692</v>
      </c>
      <c r="DW284" s="930">
        <f>'[5]побудинковий звіт'!DW284+'[6]побудинковий звіт'!DW284</f>
        <v>302</v>
      </c>
      <c r="DY284" s="5">
        <f t="shared" si="286"/>
        <v>101049.20292817254</v>
      </c>
      <c r="DZ284" s="5">
        <f t="shared" si="287"/>
        <v>39625.340904204808</v>
      </c>
      <c r="EA284" s="752">
        <f t="shared" si="291"/>
        <v>194035.71000000002</v>
      </c>
      <c r="EC284" s="592">
        <f t="shared" si="288"/>
        <v>854301.44370107888</v>
      </c>
      <c r="EE284" s="758">
        <v>26098</v>
      </c>
      <c r="EF284" s="738">
        <f t="shared" si="289"/>
        <v>-48554.365750803496</v>
      </c>
      <c r="EH284" s="813">
        <v>-70921.341357590994</v>
      </c>
    </row>
    <row r="285" spans="1:138" x14ac:dyDescent="0.3">
      <c r="A285" s="328">
        <v>150000800</v>
      </c>
      <c r="B285" s="44" t="s">
        <v>738</v>
      </c>
      <c r="C285" s="45" t="s">
        <v>226</v>
      </c>
      <c r="D285" s="45" t="s">
        <v>226</v>
      </c>
      <c r="E285" s="40">
        <f t="shared" si="292"/>
        <v>525.20000000000005</v>
      </c>
      <c r="F285" s="490">
        <v>525.20000000000005</v>
      </c>
      <c r="G285" s="30"/>
      <c r="H285" s="30">
        <v>0</v>
      </c>
      <c r="I285" s="42">
        <f>'[1]побудинковий звіт'!I285+'[2]побудинковий звіт'!I285-'[3]побудинковий звіт'!I285</f>
        <v>4673.4706286176142</v>
      </c>
      <c r="J285" s="42">
        <f>'[1]побудинковий звіт'!J285+'[2]побудинковий звіт'!J285-'[3]побудинковий звіт'!J285</f>
        <v>4660.9650531748866</v>
      </c>
      <c r="K285" s="56">
        <f t="shared" si="296"/>
        <v>-12.505575442727604</v>
      </c>
      <c r="L285" s="42">
        <f>'[1]побудинковий звіт'!L285+'[2]побудинковий звіт'!L285-'[3]побудинковий звіт'!L285</f>
        <v>714.88796625585871</v>
      </c>
      <c r="M285" s="42">
        <f>'[1]побудинковий звіт'!M285+'[2]побудинковий звіт'!M285-'[3]побудинковий звіт'!M285</f>
        <v>721.28811382821073</v>
      </c>
      <c r="N285" s="56">
        <f t="shared" si="297"/>
        <v>6.4001475723520116</v>
      </c>
      <c r="O285" s="42">
        <f>'[1]побудинковий звіт'!O285+'[2]побудинковий звіт'!O285-'[3]побудинковий звіт'!O285</f>
        <v>2073.2400000000002</v>
      </c>
      <c r="P285" s="42">
        <f>'[1]побудинковий звіт'!P285+'[2]побудинковий звіт'!P285-'[3]побудинковий звіт'!P285</f>
        <v>1629.5802967741936</v>
      </c>
      <c r="Q285" s="56">
        <f t="shared" si="298"/>
        <v>-443.65970322580665</v>
      </c>
      <c r="R285" s="42">
        <f>'[1]побудинковий звіт'!R285+'[2]побудинковий звіт'!R285-'[3]побудинковий звіт'!R285</f>
        <v>0</v>
      </c>
      <c r="S285" s="42">
        <f>'[1]побудинковий звіт'!S285+'[2]побудинковий звіт'!S285-'[3]побудинковий звіт'!S285</f>
        <v>0</v>
      </c>
      <c r="T285" s="56">
        <f t="shared" si="299"/>
        <v>0</v>
      </c>
      <c r="U285" s="42">
        <f>'[1]побудинковий звіт'!U285+'[2]побудинковий звіт'!U285-'[3]побудинковий звіт'!U285</f>
        <v>0</v>
      </c>
      <c r="V285" s="42">
        <f>'[1]побудинковий звіт'!V285+'[2]побудинковий звіт'!V285-'[3]побудинковий звіт'!V285</f>
        <v>0</v>
      </c>
      <c r="W285" s="56">
        <f t="shared" si="300"/>
        <v>0</v>
      </c>
      <c r="X285" s="42">
        <f>'[1]побудинковий звіт'!X285+'[2]побудинковий звіт'!X285-'[3]побудинковий звіт'!X285</f>
        <v>2969.7558275587112</v>
      </c>
      <c r="Y285" s="42">
        <f>'[1]побудинковий звіт'!Y285+'[2]побудинковий звіт'!Y285-'[3]побудинковий звіт'!Y285</f>
        <v>4515.0955358036408</v>
      </c>
      <c r="Z285" s="56">
        <f t="shared" si="301"/>
        <v>1545.3397082449296</v>
      </c>
      <c r="AA285" s="42">
        <f>'[1]побудинковий звіт'!AA285+'[2]побудинковий звіт'!AA285-'[3]побудинковий звіт'!AA285</f>
        <v>0</v>
      </c>
      <c r="AB285" s="42">
        <f>'[1]побудинковий звіт'!AB285+'[2]побудинковий звіт'!AB285-'[3]побудинковий звіт'!AB285</f>
        <v>0</v>
      </c>
      <c r="AC285" s="56">
        <f t="shared" si="302"/>
        <v>0</v>
      </c>
      <c r="AD285" s="42">
        <f>'[1]побудинковий звіт'!AD285+'[2]побудинковий звіт'!AD285-'[3]побудинковий звіт'!AD285</f>
        <v>6211.9280514388047</v>
      </c>
      <c r="AE285" s="42">
        <f>'[1]побудинковий звіт'!AE285+'[2]побудинковий звіт'!AE285-'[3]побудинковий звіт'!AE285</f>
        <v>5725.424373447272</v>
      </c>
      <c r="AF285" s="37">
        <f t="shared" si="303"/>
        <v>-486.50367799153264</v>
      </c>
      <c r="AG285" s="87">
        <f t="shared" si="293"/>
        <v>16643.28247387099</v>
      </c>
      <c r="AH285" s="57">
        <f t="shared" si="293"/>
        <v>17252.353373028203</v>
      </c>
      <c r="AI285" s="56">
        <f t="shared" si="304"/>
        <v>609.07089915721372</v>
      </c>
      <c r="AJ285" s="42">
        <f>'[1]побудинковий звіт'!AJ285+'[2]побудинковий звіт'!AJ285-'[3]побудинковий звіт'!AJ285</f>
        <v>0</v>
      </c>
      <c r="AK285" s="42">
        <f>'[1]побудинковий звіт'!AK285+'[2]побудинковий звіт'!AK285-'[3]побудинковий звіт'!AK285</f>
        <v>0</v>
      </c>
      <c r="AL285" s="56">
        <f t="shared" si="305"/>
        <v>0</v>
      </c>
      <c r="AM285" s="42">
        <f>'[1]побудинковий звіт'!AM285+'[2]побудинковий звіт'!AM285-'[3]побудинковий звіт'!AM285</f>
        <v>0</v>
      </c>
      <c r="AN285" s="42">
        <f>'[1]побудинковий звіт'!AN285+'[2]побудинковий звіт'!AN285-'[3]побудинковий звіт'!AN285</f>
        <v>0</v>
      </c>
      <c r="AO285" s="56">
        <f t="shared" si="306"/>
        <v>0</v>
      </c>
      <c r="AP285" s="42">
        <f>'[1]побудинковий звіт'!AP285+'[2]побудинковий звіт'!AP285-'[3]побудинковий звіт'!AP285</f>
        <v>4545.6846858895187</v>
      </c>
      <c r="AQ285" s="42">
        <f>'[1]побудинковий звіт'!AQ285+'[2]побудинковий звіт'!AQ285-'[3]побудинковий звіт'!AQ285</f>
        <v>4407.1351529984504</v>
      </c>
      <c r="AR285" s="56">
        <f t="shared" si="307"/>
        <v>-138.54953289106834</v>
      </c>
      <c r="AS285" s="42">
        <f>'[1]побудинковий звіт'!AS285+'[2]побудинковий звіт'!AS285-'[3]побудинковий звіт'!AS285</f>
        <v>16402.124844244358</v>
      </c>
      <c r="AT285" s="42">
        <f>'[1]побудинковий звіт'!AT285+'[2]побудинковий звіт'!AT285-'[3]побудинковий звіт'!AT285</f>
        <v>353</v>
      </c>
      <c r="AU285" s="58">
        <f t="shared" si="322"/>
        <v>-16049.124844244358</v>
      </c>
      <c r="AV285" s="42">
        <f>'[1]побудинковий звіт'!AV285+'[2]побудинковий звіт'!AV285-'[3]побудинковий звіт'!AV285</f>
        <v>747.42372480879703</v>
      </c>
      <c r="AW285" s="42">
        <f>'[1]побудинковий звіт'!AW285+'[2]побудинковий звіт'!AW285-'[3]побудинковий звіт'!AW285</f>
        <v>473</v>
      </c>
      <c r="AX285" s="59">
        <f t="shared" si="323"/>
        <v>-274.42372480879703</v>
      </c>
      <c r="AY285" s="42">
        <f>'[1]побудинковий звіт'!AY285+'[2]побудинковий звіт'!AY285-'[3]побудинковий звіт'!AY285</f>
        <v>921.68889404320203</v>
      </c>
      <c r="AZ285" s="42">
        <f>'[1]побудинковий звіт'!AZ285+'[2]побудинковий звіт'!AZ285-'[3]побудинковий звіт'!AZ285</f>
        <v>0</v>
      </c>
      <c r="BA285" s="37">
        <f t="shared" si="324"/>
        <v>-921.68889404320203</v>
      </c>
      <c r="BB285" s="42">
        <f>'[1]побудинковий звіт'!BB285+'[2]побудинковий звіт'!BB285-'[3]побудинковий звіт'!BB285</f>
        <v>1034.5376849620941</v>
      </c>
      <c r="BC285" s="42">
        <f>'[1]побудинковий звіт'!BC285+'[2]побудинковий звіт'!BC285-'[3]побудинковий звіт'!BC285</f>
        <v>0</v>
      </c>
      <c r="BD285" s="59">
        <f t="shared" si="325"/>
        <v>-1034.5376849620941</v>
      </c>
      <c r="BE285" s="42">
        <f>'[1]побудинковий звіт'!BE285+'[2]побудинковий звіт'!BE285-'[3]побудинковий звіт'!BE285</f>
        <v>0</v>
      </c>
      <c r="BF285" s="42">
        <f>'[1]побудинковий звіт'!BF285+'[2]побудинковий звіт'!BF285-'[3]побудинковий звіт'!BF285</f>
        <v>0</v>
      </c>
      <c r="BG285" s="39">
        <f t="shared" si="326"/>
        <v>0</v>
      </c>
      <c r="BH285" s="42">
        <f>'[1]побудинковий звіт'!BH285+'[2]побудинковий звіт'!BH285-'[3]побудинковий звіт'!BH285</f>
        <v>0</v>
      </c>
      <c r="BI285" s="42">
        <f>'[1]побудинковий звіт'!BI285+'[2]побудинковий звіт'!BI285-'[3]побудинковий звіт'!BI285</f>
        <v>0</v>
      </c>
      <c r="BJ285" s="59">
        <f t="shared" si="327"/>
        <v>0</v>
      </c>
      <c r="BK285" s="42">
        <f>'[1]побудинковий звіт'!BK285+'[2]побудинковий звіт'!BK285-'[3]побудинковий звіт'!BK285</f>
        <v>360.33684092152436</v>
      </c>
      <c r="BL285" s="42">
        <f>'[1]побудинковий звіт'!BL285+'[2]побудинковий звіт'!BL285-'[3]побудинковий звіт'!BL285</f>
        <v>0</v>
      </c>
      <c r="BM285" s="39">
        <f t="shared" si="328"/>
        <v>-360.33684092152436</v>
      </c>
      <c r="BN285" s="42">
        <f>'[1]побудинковий звіт'!BN285+'[2]побудинковий звіт'!BN285-'[3]побудинковий звіт'!BN285</f>
        <v>0</v>
      </c>
      <c r="BO285" s="42">
        <f>'[1]побудинковий звіт'!BO285+'[2]побудинковий звіт'!BO285-'[3]побудинковий звіт'!BO285</f>
        <v>0</v>
      </c>
      <c r="BP285" s="59">
        <f t="shared" si="329"/>
        <v>0</v>
      </c>
      <c r="BQ285" s="87">
        <f t="shared" si="282"/>
        <v>3063.9871447356177</v>
      </c>
      <c r="BR285" s="43">
        <f t="shared" si="331"/>
        <v>473</v>
      </c>
      <c r="BS285" s="59">
        <f t="shared" si="330"/>
        <v>-2590.9871447356177</v>
      </c>
      <c r="BT285" s="42">
        <f>'[1]побудинковий звіт'!BT285+'[2]побудинковий звіт'!BT285-'[3]побудинковий звіт'!BT285</f>
        <v>9461.8111332516692</v>
      </c>
      <c r="BU285" s="42">
        <f>'[1]побудинковий звіт'!BU285+'[2]побудинковий звіт'!BU285-'[3]побудинковий звіт'!BU285</f>
        <v>14028.699110250958</v>
      </c>
      <c r="BV285" s="56">
        <f t="shared" si="308"/>
        <v>4566.8879769992891</v>
      </c>
      <c r="BW285" s="42">
        <f>'[1]побудинковий звіт'!BW285+'[2]побудинковий звіт'!BW285-'[3]побудинковий звіт'!BW285</f>
        <v>9563.0509340207736</v>
      </c>
      <c r="BX285" s="42">
        <f>'[1]побудинковий звіт'!BX285+'[2]побудинковий звіт'!BX285-'[3]побудинковий звіт'!BX285</f>
        <v>9698.5495777178767</v>
      </c>
      <c r="BY285" s="56">
        <f t="shared" si="309"/>
        <v>135.49864369710303</v>
      </c>
      <c r="BZ285" s="42">
        <f>'[1]побудинковий звіт'!BZ285+'[2]побудинковий звіт'!BZ285-'[3]побудинковий звіт'!BZ285</f>
        <v>4788.5879134735414</v>
      </c>
      <c r="CA285" s="42">
        <f>'[1]побудинковий звіт'!CA285+'[2]побудинковий звіт'!CA285-'[3]побудинковий звіт'!CA285</f>
        <v>3141.5883676150293</v>
      </c>
      <c r="CB285" s="56">
        <f t="shared" si="310"/>
        <v>-1646.9995458585122</v>
      </c>
      <c r="CC285" s="42">
        <f>'[1]побудинковий звіт'!CC285+'[2]побудинковий звіт'!CC285-'[3]побудинковий звіт'!CC285</f>
        <v>1448.6027521062626</v>
      </c>
      <c r="CD285" s="42">
        <f>'[1]побудинковий звіт'!CD285+'[2]побудинковий звіт'!CD285-'[3]побудинковий звіт'!CD285</f>
        <v>1435.8618813518137</v>
      </c>
      <c r="CE285" s="56">
        <f t="shared" si="311"/>
        <v>-12.740870754448906</v>
      </c>
      <c r="CF285" s="42">
        <f>'[1]побудинковий звіт'!CF285+'[2]побудинковий звіт'!CF285-'[3]побудинковий звіт'!CF285</f>
        <v>178.33177819489978</v>
      </c>
      <c r="CG285" s="42">
        <f>'[1]побудинковий звіт'!CG285+'[2]побудинковий звіт'!CG285-'[3]побудинковий звіт'!CG285</f>
        <v>0</v>
      </c>
      <c r="CH285" s="56">
        <f t="shared" si="312"/>
        <v>-178.33177819489978</v>
      </c>
      <c r="CI285" s="42">
        <f>'[1]побудинковий звіт'!CI285+'[2]побудинковий звіт'!CI285-'[3]побудинковий звіт'!CI285</f>
        <v>3125.8267045910875</v>
      </c>
      <c r="CJ285" s="42">
        <f>'[1]побудинковий звіт'!CJ285+'[2]побудинковий звіт'!CJ285-'[3]побудинковий звіт'!CJ285</f>
        <v>2478.2989774280013</v>
      </c>
      <c r="CK285" s="56">
        <f t="shared" si="313"/>
        <v>-647.52772716308618</v>
      </c>
      <c r="CL285" s="42">
        <f>'[1]побудинковий звіт'!CL285+'[2]побудинковий звіт'!CL285-'[3]побудинковий звіт'!CL285</f>
        <v>0</v>
      </c>
      <c r="CM285" s="42">
        <f>'[1]побудинковий звіт'!CM285+'[2]побудинковий звіт'!CM285-'[3]побудинковий звіт'!CM285</f>
        <v>0</v>
      </c>
      <c r="CN285" s="56">
        <f t="shared" si="314"/>
        <v>0</v>
      </c>
      <c r="CO285" s="42">
        <f t="shared" si="294"/>
        <v>3125.8267045910875</v>
      </c>
      <c r="CP285" s="43">
        <f t="shared" si="315"/>
        <v>2478.2989774280013</v>
      </c>
      <c r="CQ285" s="56">
        <f t="shared" si="316"/>
        <v>-647.52772716308618</v>
      </c>
      <c r="CR285" s="78">
        <f t="shared" si="295"/>
        <v>69221.290364378729</v>
      </c>
      <c r="CS285" s="5">
        <f t="shared" si="295"/>
        <v>53268.486440390319</v>
      </c>
      <c r="CT285" s="56">
        <f t="shared" si="317"/>
        <v>-15952.803923988409</v>
      </c>
      <c r="CU285" s="87">
        <f t="shared" si="318"/>
        <v>83065.548437254474</v>
      </c>
      <c r="CV285" s="70">
        <f t="shared" si="319"/>
        <v>63922.183728468379</v>
      </c>
      <c r="CW285" s="37">
        <f t="shared" si="320"/>
        <v>-19143.364708786095</v>
      </c>
      <c r="CX285" s="42">
        <f>'[1]побудинковий звіт'!CX285+'[2]побудинковий звіт'!CX285-'[3]побудинковий звіт'!CX285</f>
        <v>1235.1715627455524</v>
      </c>
      <c r="CY285" s="42">
        <f>'[1]побудинковий звіт'!CY285+'[2]побудинковий звіт'!CY285-'[3]побудинковий звіт'!CY285</f>
        <v>20378.536271531615</v>
      </c>
      <c r="CZ285" s="56">
        <f t="shared" si="321"/>
        <v>19143.364708786063</v>
      </c>
      <c r="DA285" s="264">
        <f>'[4]побудинковий звіт'!DA285</f>
        <v>-59346.233788135687</v>
      </c>
      <c r="DB285" s="2">
        <v>2</v>
      </c>
      <c r="DC285" s="717">
        <f>'[4]побудинковий звіт'!DC285</f>
        <v>12523.22</v>
      </c>
      <c r="DD285" s="717">
        <f>'[4]побудинковий звіт'!DD285</f>
        <v>0</v>
      </c>
      <c r="DE285" s="717">
        <f>'[4]побудинковий звіт'!DE285</f>
        <v>5498.1599999999989</v>
      </c>
      <c r="DF285" s="717">
        <f>'[4]побудинковий звіт'!DF285</f>
        <v>0</v>
      </c>
      <c r="DG285" s="787">
        <v>-40354.737610434298</v>
      </c>
      <c r="DH285" s="761">
        <f t="shared" si="290"/>
        <v>1011608.6400000004</v>
      </c>
      <c r="DI285" s="784"/>
      <c r="DJ285" s="5"/>
      <c r="DK285" s="317">
        <f>VLOOKUP($A285,ціни!$A$4:$G$401,5)</f>
        <v>4.8361515500994212</v>
      </c>
      <c r="DL285" s="317"/>
      <c r="DM285" s="317">
        <f>VLOOKUP($A285,ціни!$A$4:$G$401,7)</f>
        <v>4.1680281540345065</v>
      </c>
      <c r="DN285" s="30">
        <f t="shared" si="332"/>
        <v>2539.9467941122161</v>
      </c>
      <c r="DO285" s="30">
        <f t="shared" si="333"/>
        <v>0</v>
      </c>
      <c r="DP285" s="316">
        <f t="shared" si="278"/>
        <v>2539.9467941122161</v>
      </c>
      <c r="DQ285" s="104"/>
      <c r="DR285" s="30">
        <f>VLOOKUP(A285,'ДЗ нас '!$A$1:$C$359,2)</f>
        <v>7025.06</v>
      </c>
      <c r="DS285" s="748"/>
      <c r="DT285" s="30">
        <f t="shared" si="279"/>
        <v>7025.06</v>
      </c>
      <c r="DU285" s="257">
        <f>VLOOKUP(A285,'новий кошторис с 01.06'!$A$4:$AI$399,35)*1.2</f>
        <v>7046.727359093753</v>
      </c>
      <c r="DV285" s="30">
        <f t="shared" si="280"/>
        <v>-21.667359093752566</v>
      </c>
      <c r="DW285" s="930">
        <f>'[5]побудинковий звіт'!DW285+'[6]побудинковий звіт'!DW285</f>
        <v>236</v>
      </c>
      <c r="DY285" s="5">
        <f t="shared" si="286"/>
        <v>23359.334386775969</v>
      </c>
      <c r="DZ285" s="5">
        <f t="shared" si="287"/>
        <v>991.19999999999993</v>
      </c>
      <c r="EA285" s="752">
        <f t="shared" si="291"/>
        <v>5498.1599999999989</v>
      </c>
      <c r="EC285" s="592">
        <f t="shared" si="288"/>
        <v>196825.49813093228</v>
      </c>
      <c r="EE285" s="758">
        <v>39510</v>
      </c>
      <c r="EF285" s="738">
        <f t="shared" si="289"/>
        <v>-844.7376104342984</v>
      </c>
      <c r="EH285" s="813">
        <v>-43786.629159161886</v>
      </c>
    </row>
    <row r="286" spans="1:138" x14ac:dyDescent="0.3">
      <c r="A286" s="328">
        <v>150000801</v>
      </c>
      <c r="B286" s="44" t="s">
        <v>739</v>
      </c>
      <c r="C286" s="45" t="s">
        <v>294</v>
      </c>
      <c r="D286" s="45" t="s">
        <v>294</v>
      </c>
      <c r="E286" s="40">
        <f t="shared" si="292"/>
        <v>573.79999999999995</v>
      </c>
      <c r="F286" s="490">
        <v>128.19999999999999</v>
      </c>
      <c r="G286" s="30"/>
      <c r="H286" s="30">
        <v>445.6</v>
      </c>
      <c r="I286" s="42">
        <f>'[1]побудинковий звіт'!I286+'[2]побудинковий звіт'!I286-'[3]побудинковий звіт'!I286</f>
        <v>14611.936795662728</v>
      </c>
      <c r="J286" s="42">
        <f>'[1]побудинковий звіт'!J286+'[2]побудинковий звіт'!J286-'[3]побудинковий звіт'!J286</f>
        <v>14591.842882747611</v>
      </c>
      <c r="K286" s="56">
        <f t="shared" si="296"/>
        <v>-20.093912915117471</v>
      </c>
      <c r="L286" s="42">
        <f>'[1]побудинковий звіт'!L286+'[2]побудинковий звіт'!L286-'[3]побудинковий звіт'!L286</f>
        <v>2850.960198255535</v>
      </c>
      <c r="M286" s="42">
        <f>'[1]побудинковий звіт'!M286+'[2]побудинковий звіт'!M286-'[3]побудинковий звіт'!M286</f>
        <v>2876.494609575665</v>
      </c>
      <c r="N286" s="56">
        <f t="shared" si="297"/>
        <v>25.534411320129948</v>
      </c>
      <c r="O286" s="42">
        <f>'[1]побудинковий звіт'!O286+'[2]побудинковий звіт'!O286-'[3]побудинковий звіт'!O286</f>
        <v>5529.6000000000013</v>
      </c>
      <c r="P286" s="42">
        <f>'[1]побудинковий звіт'!P286+'[2]побудинковий звіт'!P286-'[3]побудинковий звіт'!P286</f>
        <v>4346.5794029569915</v>
      </c>
      <c r="Q286" s="56">
        <f t="shared" si="298"/>
        <v>-1183.0205970430097</v>
      </c>
      <c r="R286" s="42">
        <f>'[1]побудинковий звіт'!R286+'[2]побудинковий звіт'!R286-'[3]побудинковий звіт'!R286</f>
        <v>0</v>
      </c>
      <c r="S286" s="42">
        <f>'[1]побудинковий звіт'!S286+'[2]побудинковий звіт'!S286-'[3]побудинковий звіт'!S286</f>
        <v>0</v>
      </c>
      <c r="T286" s="56">
        <f t="shared" si="299"/>
        <v>0</v>
      </c>
      <c r="U286" s="42">
        <f>'[1]побудинковий звіт'!U286+'[2]побудинковий звіт'!U286-'[3]побудинковий звіт'!U286</f>
        <v>0</v>
      </c>
      <c r="V286" s="42">
        <f>'[1]побудинковий звіт'!V286+'[2]побудинковий звіт'!V286-'[3]побудинковий звіт'!V286</f>
        <v>0</v>
      </c>
      <c r="W286" s="56">
        <f t="shared" si="300"/>
        <v>0</v>
      </c>
      <c r="X286" s="42">
        <f>'[1]побудинковий звіт'!X286+'[2]побудинковий звіт'!X286-'[3]побудинковий звіт'!X286</f>
        <v>10397.130250358758</v>
      </c>
      <c r="Y286" s="42">
        <f>'[1]побудинковий звіт'!Y286+'[2]побудинковий звіт'!Y286-'[3]побудинковий звіт'!Y286</f>
        <v>8143.3075307607214</v>
      </c>
      <c r="Z286" s="56">
        <f t="shared" si="301"/>
        <v>-2253.8227195980362</v>
      </c>
      <c r="AA286" s="42">
        <f>'[1]побудинковий звіт'!AA286+'[2]побудинковий звіт'!AA286-'[3]побудинковий звіт'!AA286</f>
        <v>0</v>
      </c>
      <c r="AB286" s="42">
        <f>'[1]побудинковий звіт'!AB286+'[2]побудинковий звіт'!AB286-'[3]побудинковий звіт'!AB286</f>
        <v>0</v>
      </c>
      <c r="AC286" s="56">
        <f t="shared" si="302"/>
        <v>0</v>
      </c>
      <c r="AD286" s="42">
        <f>'[1]побудинковий звіт'!AD286+'[2]побудинковий звіт'!AD286-'[3]побудинковий звіт'!AD286</f>
        <v>18010.272759324002</v>
      </c>
      <c r="AE286" s="42">
        <f>'[1]побудинковий звіт'!AE286+'[2]побудинковий звіт'!AE286-'[3]побудинковий звіт'!AE286</f>
        <v>16598.863391944586</v>
      </c>
      <c r="AF286" s="37">
        <f t="shared" si="303"/>
        <v>-1411.4093673794159</v>
      </c>
      <c r="AG286" s="87">
        <f t="shared" si="293"/>
        <v>51399.900003601026</v>
      </c>
      <c r="AH286" s="57">
        <f t="shared" si="293"/>
        <v>46557.087817985579</v>
      </c>
      <c r="AI286" s="56">
        <f t="shared" si="304"/>
        <v>-4842.8121856154467</v>
      </c>
      <c r="AJ286" s="42">
        <f>'[1]побудинковий звіт'!AJ286+'[2]побудинковий звіт'!AJ286-'[3]побудинковий звіт'!AJ286</f>
        <v>0</v>
      </c>
      <c r="AK286" s="42">
        <f>'[1]побудинковий звіт'!AK286+'[2]побудинковий звіт'!AK286-'[3]побудинковий звіт'!AK286</f>
        <v>0</v>
      </c>
      <c r="AL286" s="56">
        <f t="shared" si="305"/>
        <v>0</v>
      </c>
      <c r="AM286" s="42">
        <f>'[1]побудинковий звіт'!AM286+'[2]побудинковий звіт'!AM286-'[3]побудинковий звіт'!AM286</f>
        <v>0</v>
      </c>
      <c r="AN286" s="42">
        <f>'[1]побудинковий звіт'!AN286+'[2]побудинковий звіт'!AN286-'[3]побудинковий звіт'!AN286</f>
        <v>0</v>
      </c>
      <c r="AO286" s="56">
        <f t="shared" si="306"/>
        <v>0</v>
      </c>
      <c r="AP286" s="42">
        <f>'[1]побудинковий звіт'!AP286+'[2]побудинковий звіт'!AP286-'[3]побудинковий звіт'!AP286</f>
        <v>12784.738179064276</v>
      </c>
      <c r="AQ286" s="42">
        <f>'[1]побудинковий звіт'!AQ286+'[2]побудинковий звіт'!AQ286-'[3]побудинковий звіт'!AQ286</f>
        <v>11139.708178463774</v>
      </c>
      <c r="AR286" s="56">
        <f t="shared" si="307"/>
        <v>-1645.0300006005018</v>
      </c>
      <c r="AS286" s="42">
        <f>'[1]побудинковий звіт'!AS286+'[2]побудинковий звіт'!AS286-'[3]побудинковий звіт'!AS286</f>
        <v>52938.477699839095</v>
      </c>
      <c r="AT286" s="42">
        <f>'[1]побудинковий звіт'!AT286+'[2]побудинковий звіт'!AT286-'[3]побудинковий звіт'!AT286</f>
        <v>14169.119955944774</v>
      </c>
      <c r="AU286" s="58">
        <f t="shared" si="322"/>
        <v>-38769.357743894318</v>
      </c>
      <c r="AV286" s="42">
        <f>'[1]побудинковий звіт'!AV286+'[2]побудинковий звіт'!AV286-'[3]побудинковий звіт'!AV286</f>
        <v>2341.2061018613631</v>
      </c>
      <c r="AW286" s="42">
        <f>'[1]побудинковий звіт'!AW286+'[2]побудинковий звіт'!AW286-'[3]побудинковий звіт'!AW286</f>
        <v>599</v>
      </c>
      <c r="AX286" s="59">
        <f t="shared" si="323"/>
        <v>-1742.2061018613631</v>
      </c>
      <c r="AY286" s="42">
        <f>'[1]побудинковий звіт'!AY286+'[2]побудинковий звіт'!AY286-'[3]побудинковий звіт'!AY286</f>
        <v>3674.5787054017651</v>
      </c>
      <c r="AZ286" s="42">
        <f>'[1]побудинковий звіт'!AZ286+'[2]побудинковий звіт'!AZ286-'[3]побудинковий звіт'!AZ286</f>
        <v>0</v>
      </c>
      <c r="BA286" s="37">
        <f t="shared" si="324"/>
        <v>-3674.5787054017651</v>
      </c>
      <c r="BB286" s="42">
        <f>'[1]побудинковий звіт'!BB286+'[2]побудинковий звіт'!BB286-'[3]побудинковий звіт'!BB286</f>
        <v>2991.2679034611992</v>
      </c>
      <c r="BC286" s="42">
        <f>'[1]побудинковий звіт'!BC286+'[2]побудинковий звіт'!BC286-'[3]побудинковий звіт'!BC286</f>
        <v>0</v>
      </c>
      <c r="BD286" s="59">
        <f t="shared" si="325"/>
        <v>-2991.2679034611992</v>
      </c>
      <c r="BE286" s="42">
        <f>'[1]побудинковий звіт'!BE286+'[2]побудинковий звіт'!BE286-'[3]побудинковий звіт'!BE286</f>
        <v>0</v>
      </c>
      <c r="BF286" s="42">
        <f>'[1]побудинковий звіт'!BF286+'[2]побудинковий звіт'!BF286-'[3]побудинковий звіт'!BF286</f>
        <v>0</v>
      </c>
      <c r="BG286" s="39">
        <f t="shared" si="326"/>
        <v>0</v>
      </c>
      <c r="BH286" s="42">
        <f>'[1]побудинковий звіт'!BH286+'[2]побудинковий звіт'!BH286-'[3]побудинковий звіт'!BH286</f>
        <v>0</v>
      </c>
      <c r="BI286" s="42">
        <f>'[1]побудинковий звіт'!BI286+'[2]побудинковий звіт'!BI286-'[3]побудинковий звіт'!BI286</f>
        <v>0</v>
      </c>
      <c r="BJ286" s="59">
        <f t="shared" si="327"/>
        <v>0</v>
      </c>
      <c r="BK286" s="42">
        <f>'[1]побудинковий звіт'!BK286+'[2]побудинковий звіт'!BK286-'[3]побудинковий звіт'!BK286</f>
        <v>1457.3789296653183</v>
      </c>
      <c r="BL286" s="42">
        <f>'[1]побудинковий звіт'!BL286+'[2]побудинковий звіт'!BL286-'[3]побудинковий звіт'!BL286</f>
        <v>373</v>
      </c>
      <c r="BM286" s="39">
        <f t="shared" si="328"/>
        <v>-1084.3789296653183</v>
      </c>
      <c r="BN286" s="42">
        <f>'[1]побудинковий звіт'!BN286+'[2]побудинковий звіт'!BN286-'[3]побудинковий звіт'!BN286</f>
        <v>0</v>
      </c>
      <c r="BO286" s="42">
        <f>'[1]побудинковий звіт'!BO286+'[2]побудинковий звіт'!BO286-'[3]побудинковий звіт'!BO286</f>
        <v>0</v>
      </c>
      <c r="BP286" s="59">
        <f t="shared" si="329"/>
        <v>0</v>
      </c>
      <c r="BQ286" s="87">
        <f t="shared" si="282"/>
        <v>10464.431640389645</v>
      </c>
      <c r="BR286" s="43">
        <f t="shared" si="331"/>
        <v>972</v>
      </c>
      <c r="BS286" s="59">
        <f t="shared" si="330"/>
        <v>-9492.4316403896446</v>
      </c>
      <c r="BT286" s="42">
        <f>'[1]побудинковий звіт'!BT286+'[2]побудинковий звіт'!BT286-'[3]побудинковий звіт'!BT286</f>
        <v>32677.938481910693</v>
      </c>
      <c r="BU286" s="42">
        <f>'[1]побудинковий звіт'!BU286+'[2]побудинковий звіт'!BU286-'[3]побудинковий звіт'!BU286</f>
        <v>46521.037452734286</v>
      </c>
      <c r="BV286" s="56">
        <f t="shared" si="308"/>
        <v>13843.098970823594</v>
      </c>
      <c r="BW286" s="42">
        <f>'[1]побудинковий звіт'!BW286+'[2]побудинковий звіт'!BW286-'[3]побудинковий звіт'!BW286</f>
        <v>21392.850124463959</v>
      </c>
      <c r="BX286" s="42">
        <f>'[1]побудинковий звіт'!BX286+'[2]побудинковий звіт'!BX286-'[3]побудинковий звіт'!BX286</f>
        <v>21822.721068323433</v>
      </c>
      <c r="BY286" s="56">
        <f t="shared" si="309"/>
        <v>429.87094385947421</v>
      </c>
      <c r="BZ286" s="42">
        <f>'[1]побудинковий звіт'!BZ286+'[2]побудинковий звіт'!BZ286-'[3]побудинковий звіт'!BZ286</f>
        <v>13578.644046536219</v>
      </c>
      <c r="CA286" s="42">
        <f>'[1]побудинковий звіт'!CA286+'[2]побудинковий звіт'!CA286-'[3]побудинковий звіт'!CA286</f>
        <v>13015.284156261216</v>
      </c>
      <c r="CB286" s="56">
        <f t="shared" si="310"/>
        <v>-563.35989027500364</v>
      </c>
      <c r="CC286" s="42">
        <f>'[1]побудинковий звіт'!CC286+'[2]побудинковий звіт'!CC286-'[3]побудинковий звіт'!CC286</f>
        <v>772.68617863617317</v>
      </c>
      <c r="CD286" s="42">
        <f>'[1]побудинковий звіт'!CD286+'[2]побудинковий звіт'!CD286-'[3]побудинковий звіт'!CD286</f>
        <v>765.89018524085566</v>
      </c>
      <c r="CE286" s="56">
        <f t="shared" si="311"/>
        <v>-6.7959933953175096</v>
      </c>
      <c r="CF286" s="42">
        <f>'[1]побудинковий звіт'!CF286+'[2]побудинковий звіт'!CF286-'[3]побудинковий звіт'!CF286</f>
        <v>95.122351536650115</v>
      </c>
      <c r="CG286" s="42">
        <f>'[1]побудинковий звіт'!CG286+'[2]побудинковий звіт'!CG286-'[3]побудинковий звіт'!CG286</f>
        <v>0</v>
      </c>
      <c r="CH286" s="56">
        <f t="shared" si="312"/>
        <v>-95.122351536650115</v>
      </c>
      <c r="CI286" s="42">
        <f>'[1]побудинковий звіт'!CI286+'[2]побудинковий звіт'!CI286-'[3]побудинковий звіт'!CI286</f>
        <v>4155.2905893366542</v>
      </c>
      <c r="CJ286" s="42">
        <f>'[1]побудинковий звіт'!CJ286+'[2]побудинковий звіт'!CJ286-'[3]побудинковий звіт'!CJ286</f>
        <v>2844.7575200110823</v>
      </c>
      <c r="CK286" s="56">
        <f t="shared" si="313"/>
        <v>-1310.5330693255719</v>
      </c>
      <c r="CL286" s="42">
        <f>'[1]побудинковий звіт'!CL286+'[2]побудинковий звіт'!CL286-'[3]побудинковий звіт'!CL286</f>
        <v>0</v>
      </c>
      <c r="CM286" s="42">
        <f>'[1]побудинковий звіт'!CM286+'[2]побудинковий звіт'!CM286-'[3]побудинковий звіт'!CM286</f>
        <v>0</v>
      </c>
      <c r="CN286" s="56">
        <f t="shared" si="314"/>
        <v>0</v>
      </c>
      <c r="CO286" s="42">
        <f t="shared" si="294"/>
        <v>4155.2905893366542</v>
      </c>
      <c r="CP286" s="43">
        <f t="shared" si="315"/>
        <v>2844.7575200110823</v>
      </c>
      <c r="CQ286" s="56">
        <f t="shared" si="316"/>
        <v>-1310.5330693255719</v>
      </c>
      <c r="CR286" s="78">
        <f t="shared" si="295"/>
        <v>200260.07929531438</v>
      </c>
      <c r="CS286" s="5">
        <f t="shared" si="295"/>
        <v>157807.60633496501</v>
      </c>
      <c r="CT286" s="56">
        <f t="shared" si="317"/>
        <v>-42452.472960349376</v>
      </c>
      <c r="CU286" s="87">
        <f t="shared" si="318"/>
        <v>240312.09515437725</v>
      </c>
      <c r="CV286" s="70">
        <f t="shared" si="319"/>
        <v>189369.127601958</v>
      </c>
      <c r="CW286" s="37">
        <f t="shared" si="320"/>
        <v>-50942.967552419257</v>
      </c>
      <c r="CX286" s="42">
        <f>'[1]побудинковий звіт'!CX286+'[2]побудинковий звіт'!CX286-'[3]побудинковий звіт'!CX286</f>
        <v>6.9848456227773568</v>
      </c>
      <c r="CY286" s="42">
        <f>'[1]побудинковий звіт'!CY286+'[2]побудинковий звіт'!CY286-'[3]побудинковий звіт'!CY286</f>
        <v>50949.952398042013</v>
      </c>
      <c r="CZ286" s="56">
        <f t="shared" si="321"/>
        <v>50942.967552419235</v>
      </c>
      <c r="DA286" s="264">
        <f>'[4]побудинковий звіт'!DA286</f>
        <v>84710.488938872179</v>
      </c>
      <c r="DB286" s="2">
        <v>2</v>
      </c>
      <c r="DC286" s="717">
        <f>'[4]побудинковий звіт'!DC286</f>
        <v>59654.54</v>
      </c>
      <c r="DD286" s="717">
        <f>'[4]побудинковий звіт'!DD286</f>
        <v>24914.45</v>
      </c>
      <c r="DE286" s="717">
        <f>'[4]побудинковий звіт'!DE286</f>
        <v>41520.240000000005</v>
      </c>
      <c r="DF286" s="717">
        <f>'[4]побудинковий звіт'!DF286</f>
        <v>23022.16</v>
      </c>
      <c r="DG286" s="787">
        <v>149469.92573048221</v>
      </c>
      <c r="DH286" s="761">
        <f t="shared" si="290"/>
        <v>2883828.96</v>
      </c>
      <c r="DI286" s="784"/>
      <c r="DJ286" s="5"/>
      <c r="DK286" s="317">
        <f>VLOOKUP($A286,ціни!$A$4:$G$401,5)</f>
        <v>4.8145216258326915</v>
      </c>
      <c r="DL286" s="317"/>
      <c r="DM286" s="317">
        <f>VLOOKUP($A286,ціни!$A$4:$G$401,7)</f>
        <v>4.2464994781914625</v>
      </c>
      <c r="DN286" s="30">
        <f t="shared" si="332"/>
        <v>617.22167243175102</v>
      </c>
      <c r="DO286" s="30">
        <f t="shared" si="333"/>
        <v>1892.2401674821158</v>
      </c>
      <c r="DP286" s="316">
        <f t="shared" si="278"/>
        <v>2509.4618399138667</v>
      </c>
      <c r="DQ286" s="104"/>
      <c r="DR286" s="30">
        <f>VLOOKUP(A286,'ДЗ нас '!$A$1:$C$359,2)</f>
        <v>18134.3</v>
      </c>
      <c r="DS286" s="748">
        <f>VLOOKUP(A286,'ДЗ нежит'!$A$1:$D$153,4,0)</f>
        <v>1892.29</v>
      </c>
      <c r="DT286" s="30">
        <f t="shared" si="279"/>
        <v>20026.59</v>
      </c>
      <c r="DU286" s="257">
        <f>VLOOKUP(A286,'новий кошторис с 01.06'!$A$4:$AI$399,35)*1.2</f>
        <v>20026.007929531435</v>
      </c>
      <c r="DV286" s="30">
        <f t="shared" si="280"/>
        <v>0.58207046856477973</v>
      </c>
      <c r="DW286" s="930">
        <f>'[5]побудинковий звіт'!DW286+'[6]побудинковий звіт'!DW286</f>
        <v>236</v>
      </c>
      <c r="DY286" s="5">
        <f t="shared" si="286"/>
        <v>76083.491208274485</v>
      </c>
      <c r="DZ286" s="5">
        <f t="shared" si="287"/>
        <v>18169.34394713373</v>
      </c>
      <c r="EA286" s="752">
        <f t="shared" si="291"/>
        <v>64542.400000000009</v>
      </c>
      <c r="EC286" s="592">
        <f t="shared" si="288"/>
        <v>635261.73239806911</v>
      </c>
      <c r="EE286" s="758">
        <v>-71650</v>
      </c>
      <c r="EF286" s="738">
        <f t="shared" si="289"/>
        <v>77819.925730482209</v>
      </c>
      <c r="EH286" s="813">
        <v>125056.10046782269</v>
      </c>
    </row>
    <row r="287" spans="1:138" x14ac:dyDescent="0.3">
      <c r="A287" s="328">
        <v>150000802</v>
      </c>
      <c r="B287" s="44" t="s">
        <v>740</v>
      </c>
      <c r="C287" s="45" t="s">
        <v>295</v>
      </c>
      <c r="D287" s="45" t="s">
        <v>295</v>
      </c>
      <c r="E287" s="40">
        <f t="shared" si="292"/>
        <v>4216.5600000000004</v>
      </c>
      <c r="F287" s="490">
        <v>4216.5600000000004</v>
      </c>
      <c r="G287" s="30"/>
      <c r="H287" s="30">
        <v>0</v>
      </c>
      <c r="I287" s="42">
        <f>'[1]побудинковий звіт'!I287+'[2]побудинковий звіт'!I287-'[3]побудинковий звіт'!I287</f>
        <v>12057.035431527025</v>
      </c>
      <c r="J287" s="42">
        <f>'[1]побудинковий звіт'!J287+'[2]побудинковий звіт'!J287-'[3]побудинковий звіт'!J287</f>
        <v>12021.830435169015</v>
      </c>
      <c r="K287" s="56">
        <f t="shared" si="296"/>
        <v>-35.204996358010249</v>
      </c>
      <c r="L287" s="42">
        <f>'[1]побудинковий звіт'!L287+'[2]побудинковий звіт'!L287-'[3]побудинковий звіт'!L287</f>
        <v>2283.1352684857343</v>
      </c>
      <c r="M287" s="42">
        <f>'[1]побудинковий звіт'!M287+'[2]побудинковий звіт'!M287-'[3]побудинковий звіт'!M287</f>
        <v>2328.2540588241923</v>
      </c>
      <c r="N287" s="56">
        <f t="shared" si="297"/>
        <v>45.118790338457984</v>
      </c>
      <c r="O287" s="42">
        <f>'[1]побудинковий звіт'!O287+'[2]побудинковий звіт'!O287-'[3]побудинковий звіт'!O287</f>
        <v>4158.1200000000008</v>
      </c>
      <c r="P287" s="42">
        <f>'[1]побудинковий звіт'!P287+'[2]побудинковий звіт'!P287-'[3]побудинковий звіт'!P287</f>
        <v>3268.186929301075</v>
      </c>
      <c r="Q287" s="56">
        <f t="shared" si="298"/>
        <v>-889.9330706989258</v>
      </c>
      <c r="R287" s="42">
        <f>'[1]побудинковий звіт'!R287+'[2]побудинковий звіт'!R287-'[3]побудинковий звіт'!R287</f>
        <v>0</v>
      </c>
      <c r="S287" s="42">
        <f>'[1]побудинковий звіт'!S287+'[2]побудинковий звіт'!S287-'[3]побудинковий звіт'!S287</f>
        <v>0</v>
      </c>
      <c r="T287" s="56">
        <f t="shared" si="299"/>
        <v>0</v>
      </c>
      <c r="U287" s="42">
        <f>'[1]побудинковий звіт'!U287+'[2]побудинковий звіт'!U287-'[3]побудинковий звіт'!U287</f>
        <v>0</v>
      </c>
      <c r="V287" s="42">
        <f>'[1]побудинковий звіт'!V287+'[2]побудинковий звіт'!V287-'[3]побудинковий звіт'!V287</f>
        <v>0</v>
      </c>
      <c r="W287" s="56">
        <f t="shared" si="300"/>
        <v>0</v>
      </c>
      <c r="X287" s="42">
        <f>'[1]побудинковий звіт'!X287+'[2]побудинковий звіт'!X287-'[3]побудинковий звіт'!X287</f>
        <v>7451.4887004477005</v>
      </c>
      <c r="Y287" s="42">
        <f>'[1]побудинковий звіт'!Y287+'[2]побудинковий звіт'!Y287-'[3]побудинковий звіт'!Y287</f>
        <v>5754.8544741850837</v>
      </c>
      <c r="Z287" s="56">
        <f t="shared" si="301"/>
        <v>-1696.6342262626167</v>
      </c>
      <c r="AA287" s="42">
        <f>'[1]побудинковий звіт'!AA287+'[2]побудинковий звіт'!AA287-'[3]побудинковий звіт'!AA287</f>
        <v>0</v>
      </c>
      <c r="AB287" s="42">
        <f>'[1]побудинковий звіт'!AB287+'[2]побудинковий звіт'!AB287-'[3]побудинковий звіт'!AB287</f>
        <v>0</v>
      </c>
      <c r="AC287" s="56">
        <f t="shared" si="302"/>
        <v>0</v>
      </c>
      <c r="AD287" s="42">
        <f>'[1]побудинковий звіт'!AD287+'[2]побудинковий звіт'!AD287-'[3]побудинковий звіт'!AD287</f>
        <v>13698.053899772416</v>
      </c>
      <c r="AE287" s="42">
        <f>'[1]побудинковий звіт'!AE287+'[2]побудинковий звіт'!AE287-'[3]побудинковий звіт'!AE287</f>
        <v>12625.37086971634</v>
      </c>
      <c r="AF287" s="37">
        <f t="shared" si="303"/>
        <v>-1072.6830300560759</v>
      </c>
      <c r="AG287" s="87">
        <f t="shared" si="293"/>
        <v>39647.833300232873</v>
      </c>
      <c r="AH287" s="57">
        <f t="shared" si="293"/>
        <v>35998.496767195706</v>
      </c>
      <c r="AI287" s="56">
        <f t="shared" si="304"/>
        <v>-3649.3365330371671</v>
      </c>
      <c r="AJ287" s="42">
        <f>'[1]побудинковий звіт'!AJ287+'[2]побудинковий звіт'!AJ287-'[3]побудинковий звіт'!AJ287</f>
        <v>0</v>
      </c>
      <c r="AK287" s="42">
        <f>'[1]побудинковий звіт'!AK287+'[2]побудинковий звіт'!AK287-'[3]побудинковий звіт'!AK287</f>
        <v>0</v>
      </c>
      <c r="AL287" s="56">
        <f t="shared" si="305"/>
        <v>0</v>
      </c>
      <c r="AM287" s="42">
        <f>'[1]побудинковий звіт'!AM287+'[2]побудинковий звіт'!AM287-'[3]побудинковий звіт'!AM287</f>
        <v>0</v>
      </c>
      <c r="AN287" s="42">
        <f>'[1]побудинковий звіт'!AN287+'[2]побудинковий звіт'!AN287-'[3]побудинковий звіт'!AN287</f>
        <v>0</v>
      </c>
      <c r="AO287" s="56">
        <f t="shared" si="306"/>
        <v>0</v>
      </c>
      <c r="AP287" s="42">
        <f>'[1]побудинковий звіт'!AP287+'[2]побудинковий звіт'!AP287-'[3]побудинковий звіт'!AP287</f>
        <v>11364.211714723799</v>
      </c>
      <c r="AQ287" s="42">
        <f>'[1]побудинковий звіт'!AQ287+'[2]побудинковий звіт'!AQ287-'[3]побудинковий звіт'!AQ287</f>
        <v>11597.145015439417</v>
      </c>
      <c r="AR287" s="56">
        <f t="shared" si="307"/>
        <v>232.93330071561832</v>
      </c>
      <c r="AS287" s="42">
        <f>'[1]побудинковий звіт'!AS287+'[2]побудинковий звіт'!AS287-'[3]побудинковий звіт'!AS287</f>
        <v>40007.32320234392</v>
      </c>
      <c r="AT287" s="42">
        <f>'[1]побудинковий звіт'!AT287+'[2]побудинковий звіт'!AT287-'[3]побудинковий звіт'!AT287</f>
        <v>72214</v>
      </c>
      <c r="AU287" s="58">
        <f t="shared" si="322"/>
        <v>32206.67679765608</v>
      </c>
      <c r="AV287" s="42">
        <f>'[1]побудинковий звіт'!AV287+'[2]побудинковий звіт'!AV287-'[3]побудинковий звіт'!AV287</f>
        <v>1907.0719946496622</v>
      </c>
      <c r="AW287" s="42">
        <f>'[1]побудинковий звіт'!AW287+'[2]побудинковий звіт'!AW287-'[3]побудинковий звіт'!AW287</f>
        <v>0</v>
      </c>
      <c r="AX287" s="59">
        <f t="shared" si="323"/>
        <v>-1907.0719946496622</v>
      </c>
      <c r="AY287" s="42">
        <f>'[1]побудинковий звіт'!AY287+'[2]побудинковий звіт'!AY287-'[3]побудинковий звіт'!AY287</f>
        <v>2942.5534028547149</v>
      </c>
      <c r="AZ287" s="42">
        <f>'[1]побудинковий звіт'!AZ287+'[2]побудинковий звіт'!AZ287-'[3]побудинковий звіт'!AZ287</f>
        <v>1841</v>
      </c>
      <c r="BA287" s="37">
        <f t="shared" si="324"/>
        <v>-1101.5534028547149</v>
      </c>
      <c r="BB287" s="42">
        <f>'[1]побудинковий звіт'!BB287+'[2]побудинковий звіт'!BB287-'[3]побудинковий звіт'!BB287</f>
        <v>2612.1491099034452</v>
      </c>
      <c r="BC287" s="42">
        <f>'[1]побудинковий звіт'!BC287+'[2]побудинковий звіт'!BC287-'[3]побудинковий звіт'!BC287</f>
        <v>0</v>
      </c>
      <c r="BD287" s="59">
        <f t="shared" si="325"/>
        <v>-2612.1491099034452</v>
      </c>
      <c r="BE287" s="42">
        <f>'[1]побудинковий звіт'!BE287+'[2]побудинковий звіт'!BE287-'[3]побудинковий звіт'!BE287</f>
        <v>0</v>
      </c>
      <c r="BF287" s="42">
        <f>'[1]побудинковий звіт'!BF287+'[2]побудинковий звіт'!BF287-'[3]побудинковий звіт'!BF287</f>
        <v>0</v>
      </c>
      <c r="BG287" s="39">
        <f t="shared" si="326"/>
        <v>0</v>
      </c>
      <c r="BH287" s="42">
        <f>'[1]побудинковий звіт'!BH287+'[2]побудинковий звіт'!BH287-'[3]побудинковий звіт'!BH287</f>
        <v>0</v>
      </c>
      <c r="BI287" s="42">
        <f>'[1]побудинковий звіт'!BI287+'[2]побудинковий звіт'!BI287-'[3]побудинковий звіт'!BI287</f>
        <v>0</v>
      </c>
      <c r="BJ287" s="59">
        <f t="shared" si="327"/>
        <v>0</v>
      </c>
      <c r="BK287" s="42">
        <f>'[1]побудинковий звіт'!BK287+'[2]побудинковий звіт'!BK287-'[3]побудинковий звіт'!BK287</f>
        <v>1046.5116144968702</v>
      </c>
      <c r="BL287" s="42">
        <f>'[1]побудинковий звіт'!BL287+'[2]побудинковий звіт'!BL287-'[3]побудинковий звіт'!BL287</f>
        <v>1255</v>
      </c>
      <c r="BM287" s="39">
        <f t="shared" si="328"/>
        <v>208.48838550312985</v>
      </c>
      <c r="BN287" s="42">
        <f>'[1]побудинковий звіт'!BN287+'[2]побудинковий звіт'!BN287-'[3]побудинковий звіт'!BN287</f>
        <v>0</v>
      </c>
      <c r="BO287" s="42">
        <f>'[1]побудинковий звіт'!BO287+'[2]побудинковий звіт'!BO287-'[3]побудинковий звіт'!BO287</f>
        <v>0</v>
      </c>
      <c r="BP287" s="59">
        <f t="shared" si="329"/>
        <v>0</v>
      </c>
      <c r="BQ287" s="87">
        <f t="shared" si="282"/>
        <v>8508.2861219046936</v>
      </c>
      <c r="BR287" s="43">
        <f t="shared" si="331"/>
        <v>3096</v>
      </c>
      <c r="BS287" s="59">
        <f t="shared" si="330"/>
        <v>-5412.2861219046936</v>
      </c>
      <c r="BT287" s="42">
        <f>'[1]побудинковий звіт'!BT287+'[2]побудинковий звіт'!BT287-'[3]побудинковий звіт'!BT287</f>
        <v>32993.52131265615</v>
      </c>
      <c r="BU287" s="42">
        <f>'[1]побудинковий звіт'!BU287+'[2]побудинковий звіт'!BU287-'[3]побудинковий звіт'!BU287</f>
        <v>47921.440982829001</v>
      </c>
      <c r="BV287" s="56">
        <f t="shared" si="308"/>
        <v>14927.919670172851</v>
      </c>
      <c r="BW287" s="42">
        <f>'[1]побудинковий звіт'!BW287+'[2]побудинковий звіт'!BW287-'[3]побудинковий звіт'!BW287</f>
        <v>17500.470577010863</v>
      </c>
      <c r="BX287" s="42">
        <f>'[1]побудинковий звіт'!BX287+'[2]побудинковий звіт'!BX287-'[3]побудинковий звіт'!BX287</f>
        <v>16993.597110648847</v>
      </c>
      <c r="BY287" s="56">
        <f t="shared" si="309"/>
        <v>-506.87346636201619</v>
      </c>
      <c r="BZ287" s="42">
        <f>'[1]побудинковий звіт'!BZ287+'[2]побудинковий звіт'!BZ287-'[3]побудинковий звіт'!BZ287</f>
        <v>10232.030848843373</v>
      </c>
      <c r="CA287" s="42">
        <f>'[1]побудинковий звіт'!CA287+'[2]побудинковий звіт'!CA287-'[3]побудинковий звіт'!CA287</f>
        <v>10234.629453925023</v>
      </c>
      <c r="CB287" s="56">
        <f t="shared" si="310"/>
        <v>2.598605081650021</v>
      </c>
      <c r="CC287" s="42">
        <f>'[1]побудинковий звіт'!CC287+'[2]побудинковий звіт'!CC287-'[3]побудинковий звіт'!CC287</f>
        <v>2079.5170471860461</v>
      </c>
      <c r="CD287" s="42">
        <f>'[1]побудинковий звіт'!CD287+'[2]побудинковий звіт'!CD287-'[3]побудинковий звіт'!CD287</f>
        <v>2061.2271068339733</v>
      </c>
      <c r="CE287" s="56">
        <f t="shared" si="311"/>
        <v>-18.28994035207279</v>
      </c>
      <c r="CF287" s="42">
        <f>'[1]побудинковий звіт'!CF287+'[2]побудинковий звіт'!CF287-'[3]побудинковий звіт'!CF287</f>
        <v>256.0011516422216</v>
      </c>
      <c r="CG287" s="42">
        <f>'[1]побудинковий звіт'!CG287+'[2]побудинковий звіт'!CG287-'[3]побудинковий звіт'!CG287</f>
        <v>0</v>
      </c>
      <c r="CH287" s="56">
        <f t="shared" si="312"/>
        <v>-256.0011516422216</v>
      </c>
      <c r="CI287" s="42">
        <f>'[1]побудинковий звіт'!CI287+'[2]побудинковий звіт'!CI287-'[3]побудинковий звіт'!CI287</f>
        <v>2807.6287765788211</v>
      </c>
      <c r="CJ287" s="42">
        <f>'[1]побудинковий звіт'!CJ287+'[2]побудинковий звіт'!CJ287-'[3]побудинковий звіт'!CJ287</f>
        <v>1770.5862407033194</v>
      </c>
      <c r="CK287" s="56">
        <f t="shared" si="313"/>
        <v>-1037.0425358755017</v>
      </c>
      <c r="CL287" s="42">
        <f>'[1]побудинковий звіт'!CL287+'[2]побудинковий звіт'!CL287-'[3]побудинковий звіт'!CL287</f>
        <v>0</v>
      </c>
      <c r="CM287" s="42">
        <f>'[1]побудинковий звіт'!CM287+'[2]побудинковий звіт'!CM287-'[3]побудинковий звіт'!CM287</f>
        <v>0</v>
      </c>
      <c r="CN287" s="56">
        <f t="shared" si="314"/>
        <v>0</v>
      </c>
      <c r="CO287" s="42">
        <f t="shared" si="294"/>
        <v>2807.6287765788211</v>
      </c>
      <c r="CP287" s="43">
        <f t="shared" si="315"/>
        <v>1770.5862407033194</v>
      </c>
      <c r="CQ287" s="56">
        <f t="shared" si="316"/>
        <v>-1037.0425358755017</v>
      </c>
      <c r="CR287" s="78">
        <f t="shared" si="295"/>
        <v>165396.82405312272</v>
      </c>
      <c r="CS287" s="5">
        <f t="shared" si="295"/>
        <v>201887.12267757527</v>
      </c>
      <c r="CT287" s="56">
        <f t="shared" si="317"/>
        <v>36490.298624452553</v>
      </c>
      <c r="CU287" s="87">
        <f t="shared" si="318"/>
        <v>198476.18886374726</v>
      </c>
      <c r="CV287" s="70">
        <f t="shared" si="319"/>
        <v>242264.54721309032</v>
      </c>
      <c r="CW287" s="37">
        <f t="shared" si="320"/>
        <v>43788.358349343063</v>
      </c>
      <c r="CX287" s="42">
        <f>'[1]побудинковий звіт'!CX287+'[2]побудинковий звіт'!CX287-'[3]побудинковий звіт'!CX287</f>
        <v>-7.8288637472869596</v>
      </c>
      <c r="CY287" s="42">
        <f>'[1]побудинковий звіт'!CY287+'[2]побудинковий звіт'!CY287-'[3]побудинковий звіт'!CY287</f>
        <v>-43796.187213090343</v>
      </c>
      <c r="CZ287" s="56">
        <f t="shared" si="321"/>
        <v>-43788.358349343056</v>
      </c>
      <c r="DA287" s="264">
        <f>'[4]побудинковий звіт'!DA287</f>
        <v>-299.51420156293898</v>
      </c>
      <c r="DB287" s="2">
        <v>2</v>
      </c>
      <c r="DC287" s="717">
        <f>'[4]побудинковий звіт'!DC287</f>
        <v>40356.78</v>
      </c>
      <c r="DD287" s="717">
        <f>'[4]побудинковий звіт'!DD287</f>
        <v>0</v>
      </c>
      <c r="DE287" s="717">
        <f>'[4]побудинковий звіт'!DE287</f>
        <v>23817.75</v>
      </c>
      <c r="DF287" s="717">
        <f>'[4]побудинковий звіт'!DF287</f>
        <v>0</v>
      </c>
      <c r="DG287" s="787">
        <v>-31536.086974287115</v>
      </c>
      <c r="DH287" s="761">
        <f t="shared" si="290"/>
        <v>2381620.3199999998</v>
      </c>
      <c r="DI287" s="784"/>
      <c r="DJ287" s="5"/>
      <c r="DK287" s="317">
        <f>VLOOKUP($A287,ціни!$A$4:$G$401,5)</f>
        <v>5.1628425537870744</v>
      </c>
      <c r="DL287" s="317"/>
      <c r="DM287" s="317">
        <f>VLOOKUP($A287,ціни!$A$4:$G$401,7)</f>
        <v>4.6165674077947267</v>
      </c>
      <c r="DN287" s="30">
        <f t="shared" si="332"/>
        <v>21769.43539859643</v>
      </c>
      <c r="DO287" s="30">
        <f t="shared" si="333"/>
        <v>0</v>
      </c>
      <c r="DP287" s="316">
        <f t="shared" si="278"/>
        <v>21769.43539859643</v>
      </c>
      <c r="DQ287" s="104"/>
      <c r="DR287" s="30">
        <f>VLOOKUP(A287,'ДЗ нас '!$A$1:$C$359,2)</f>
        <v>16539.03</v>
      </c>
      <c r="DS287" s="748"/>
      <c r="DT287" s="30">
        <f t="shared" si="279"/>
        <v>16539.03</v>
      </c>
      <c r="DU287" s="257">
        <f>VLOOKUP(A287,'новий кошторис с 01.06'!$A$4:$AI$399,35)*1.2</f>
        <v>16539.682405312273</v>
      </c>
      <c r="DV287" s="30">
        <f t="shared" si="280"/>
        <v>-0.6524053122739133</v>
      </c>
      <c r="DW287" s="930">
        <f>'[5]побудинковий звіт'!DW287+'[6]побудинковий звіт'!DW287</f>
        <v>236</v>
      </c>
      <c r="DY287" s="5">
        <f t="shared" si="286"/>
        <v>58218.731189098333</v>
      </c>
      <c r="DZ287" s="5">
        <f t="shared" si="287"/>
        <v>90372</v>
      </c>
      <c r="EA287" s="752">
        <f t="shared" si="291"/>
        <v>23817.75</v>
      </c>
      <c r="EC287" s="592">
        <f t="shared" si="288"/>
        <v>480087.87842812703</v>
      </c>
      <c r="EE287" s="758">
        <v>24295</v>
      </c>
      <c r="EF287" s="738">
        <f t="shared" si="289"/>
        <v>-7241.0869742871146</v>
      </c>
      <c r="EH287" s="813">
        <v>12187.165646685666</v>
      </c>
    </row>
    <row r="288" spans="1:138" x14ac:dyDescent="0.3">
      <c r="A288" s="328">
        <v>150000803</v>
      </c>
      <c r="B288" s="44" t="s">
        <v>741</v>
      </c>
      <c r="C288" s="45" t="s">
        <v>227</v>
      </c>
      <c r="D288" s="45" t="s">
        <v>227</v>
      </c>
      <c r="E288" s="40">
        <f t="shared" si="292"/>
        <v>423.5</v>
      </c>
      <c r="F288" s="490">
        <v>172.4</v>
      </c>
      <c r="G288" s="30"/>
      <c r="H288" s="30">
        <v>251.1</v>
      </c>
      <c r="I288" s="42">
        <f>'[1]побудинковий звіт'!I288+'[2]побудинковий звіт'!I288-'[3]побудинковий звіт'!I288</f>
        <v>4996.7560822214327</v>
      </c>
      <c r="J288" s="42">
        <f>'[1]побудинковий звіт'!J288+'[2]побудинковий звіт'!J288-'[3]побудинковий звіт'!J288</f>
        <v>4997.639278350639</v>
      </c>
      <c r="K288" s="56">
        <f t="shared" si="296"/>
        <v>0.88319612920622603</v>
      </c>
      <c r="L288" s="42">
        <f>'[1]побудинковий звіт'!L288+'[2]побудинковий звіт'!L288-'[3]побудинковий звіт'!L288</f>
        <v>889.75883367083907</v>
      </c>
      <c r="M288" s="42">
        <f>'[1]побудинковий звіт'!M288+'[2]побудинковий звіт'!M288-'[3]побудинковий звіт'!M288</f>
        <v>897.72903902377016</v>
      </c>
      <c r="N288" s="56">
        <f t="shared" si="297"/>
        <v>7.9702053529310888</v>
      </c>
      <c r="O288" s="42">
        <f>'[1]побудинковий звіт'!O288+'[2]побудинковий звіт'!O288-'[3]побудинковий звіт'!O288</f>
        <v>2313.7199999999998</v>
      </c>
      <c r="P288" s="42">
        <f>'[1]побудинковий звіт'!P288+'[2]побудинковий звіт'!P288-'[3]побудинковий звіт'!P288</f>
        <v>1818.6346067204304</v>
      </c>
      <c r="Q288" s="56">
        <f t="shared" si="298"/>
        <v>-495.08539327956942</v>
      </c>
      <c r="R288" s="42">
        <f>'[1]побудинковий звіт'!R288+'[2]побудинковий звіт'!R288-'[3]побудинковий звіт'!R288</f>
        <v>0</v>
      </c>
      <c r="S288" s="42">
        <f>'[1]побудинковий звіт'!S288+'[2]побудинковий звіт'!S288-'[3]побудинковий звіт'!S288</f>
        <v>0</v>
      </c>
      <c r="T288" s="56">
        <f t="shared" si="299"/>
        <v>0</v>
      </c>
      <c r="U288" s="42">
        <f>'[1]побудинковий звіт'!U288+'[2]побудинковий звіт'!U288-'[3]побудинковий звіт'!U288</f>
        <v>0</v>
      </c>
      <c r="V288" s="42">
        <f>'[1]побудинковий звіт'!V288+'[2]побудинковий звіт'!V288-'[3]побудинковий звіт'!V288</f>
        <v>0</v>
      </c>
      <c r="W288" s="56">
        <f t="shared" si="300"/>
        <v>0</v>
      </c>
      <c r="X288" s="42">
        <f>'[1]побудинковий звіт'!X288+'[2]побудинковий звіт'!X288-'[3]побудинковий звіт'!X288</f>
        <v>2820.0983189582298</v>
      </c>
      <c r="Y288" s="42">
        <f>'[1]побудинковий звіт'!Y288+'[2]побудинковий звіт'!Y288-'[3]побудинковий звіт'!Y288</f>
        <v>2076.5717663847458</v>
      </c>
      <c r="Z288" s="56">
        <f t="shared" si="301"/>
        <v>-743.52655257348397</v>
      </c>
      <c r="AA288" s="42">
        <f>'[1]побудинковий звіт'!AA288+'[2]побудинковий звіт'!AA288-'[3]побудинковий звіт'!AA288</f>
        <v>0</v>
      </c>
      <c r="AB288" s="42">
        <f>'[1]побудинковий звіт'!AB288+'[2]побудинковий звіт'!AB288-'[3]побудинковий звіт'!AB288</f>
        <v>0</v>
      </c>
      <c r="AC288" s="56">
        <f t="shared" si="302"/>
        <v>0</v>
      </c>
      <c r="AD288" s="42">
        <f>'[1]побудинковий звіт'!AD288+'[2]побудинковий звіт'!AD288-'[3]побудинковий звіт'!AD288</f>
        <v>6872.1164401655096</v>
      </c>
      <c r="AE288" s="42">
        <f>'[1]побудинковий звіт'!AE288+'[2]побудинковий звіт'!AE288-'[3]побудинковий звіт'!AE288</f>
        <v>6159.7915071522693</v>
      </c>
      <c r="AF288" s="37">
        <f t="shared" si="303"/>
        <v>-712.3249330132403</v>
      </c>
      <c r="AG288" s="87">
        <f t="shared" si="293"/>
        <v>17892.449675016011</v>
      </c>
      <c r="AH288" s="57">
        <f t="shared" si="293"/>
        <v>15950.366197631854</v>
      </c>
      <c r="AI288" s="56">
        <f t="shared" si="304"/>
        <v>-1942.0834773841561</v>
      </c>
      <c r="AJ288" s="42">
        <f>'[1]побудинковий звіт'!AJ288+'[2]побудинковий звіт'!AJ288-'[3]побудинковий звіт'!AJ288</f>
        <v>0</v>
      </c>
      <c r="AK288" s="42">
        <f>'[1]побудинковий звіт'!AK288+'[2]побудинковий звіт'!AK288-'[3]побудинковий звіт'!AK288</f>
        <v>0</v>
      </c>
      <c r="AL288" s="56">
        <f t="shared" si="305"/>
        <v>0</v>
      </c>
      <c r="AM288" s="42">
        <f>'[1]побудинковий звіт'!AM288+'[2]побудинковий звіт'!AM288-'[3]побудинковий звіт'!AM288</f>
        <v>0</v>
      </c>
      <c r="AN288" s="42">
        <f>'[1]побудинковий звіт'!AN288+'[2]побудинковий звіт'!AN288-'[3]побудинковий звіт'!AN288</f>
        <v>0</v>
      </c>
      <c r="AO288" s="56">
        <f t="shared" si="306"/>
        <v>0</v>
      </c>
      <c r="AP288" s="42">
        <f>'[1]побудинковий звіт'!AP288+'[2]побудинковий звіт'!AP288-'[3]побудинковий звіт'!AP288</f>
        <v>3835.4214537192825</v>
      </c>
      <c r="AQ288" s="42">
        <f>'[1]побудинковий звіт'!AQ288+'[2]побудинковий звіт'!AQ288-'[3]побудинковий звіт'!AQ288</f>
        <v>2837.4587313913908</v>
      </c>
      <c r="AR288" s="56">
        <f t="shared" si="307"/>
        <v>-997.9627223278917</v>
      </c>
      <c r="AS288" s="42">
        <f>'[1]побудинковий звіт'!AS288+'[2]побудинковий звіт'!AS288-'[3]побудинковий звіт'!AS288</f>
        <v>13899.280212255169</v>
      </c>
      <c r="AT288" s="42">
        <f>'[1]побудинковий звіт'!AT288+'[2]побудинковий звіт'!AT288-'[3]побудинковий звіт'!AT288</f>
        <v>3759</v>
      </c>
      <c r="AU288" s="58">
        <f t="shared" si="322"/>
        <v>-10140.280212255169</v>
      </c>
      <c r="AV288" s="42">
        <f>'[1]побудинковий звіт'!AV288+'[2]побудинковий звіт'!AV288-'[3]побудинковий звіт'!AV288</f>
        <v>827.30919472547509</v>
      </c>
      <c r="AW288" s="42">
        <f>'[1]побудинковий звіт'!AW288+'[2]побудинковий звіт'!AW288-'[3]побудинковий звіт'!AW288</f>
        <v>0</v>
      </c>
      <c r="AX288" s="59">
        <f t="shared" si="323"/>
        <v>-827.30919472547509</v>
      </c>
      <c r="AY288" s="42">
        <f>'[1]побудинковий звіт'!AY288+'[2]побудинковий звіт'!AY288-'[3]побудинковий звіт'!AY288</f>
        <v>1146.7215503729049</v>
      </c>
      <c r="AZ288" s="42">
        <f>'[1]побудинковий звіт'!AZ288+'[2]побудинковий звіт'!AZ288-'[3]побудинковий звіт'!AZ288</f>
        <v>0</v>
      </c>
      <c r="BA288" s="37">
        <f t="shared" si="324"/>
        <v>-1146.7215503729049</v>
      </c>
      <c r="BB288" s="42">
        <f>'[1]побудинковий звіт'!BB288+'[2]побудинковий звіт'!BB288-'[3]побудинковий звіт'!BB288</f>
        <v>988.71379778245796</v>
      </c>
      <c r="BC288" s="42">
        <f>'[1]побудинковий звіт'!BC288+'[2]побудинковий звіт'!BC288-'[3]побудинковий звіт'!BC288</f>
        <v>474</v>
      </c>
      <c r="BD288" s="59">
        <f t="shared" si="325"/>
        <v>-514.71379778245796</v>
      </c>
      <c r="BE288" s="42">
        <f>'[1]побудинковий звіт'!BE288+'[2]побудинковий звіт'!BE288-'[3]побудинковий звіт'!BE288</f>
        <v>0</v>
      </c>
      <c r="BF288" s="42">
        <f>'[1]побудинковий звіт'!BF288+'[2]побудинковий звіт'!BF288-'[3]побудинковий звіт'!BF288</f>
        <v>0</v>
      </c>
      <c r="BG288" s="39">
        <f t="shared" si="326"/>
        <v>0</v>
      </c>
      <c r="BH288" s="42">
        <f>'[1]побудинковий звіт'!BH288+'[2]побудинковий звіт'!BH288-'[3]побудинковий звіт'!BH288</f>
        <v>0</v>
      </c>
      <c r="BI288" s="42">
        <f>'[1]побудинковий звіт'!BI288+'[2]побудинковий звіт'!BI288-'[3]побудинковий звіт'!BI288</f>
        <v>0</v>
      </c>
      <c r="BJ288" s="59">
        <f t="shared" si="327"/>
        <v>0</v>
      </c>
      <c r="BK288" s="42">
        <f>'[1]побудинковий звіт'!BK288+'[2]побудинковий звіт'!BK288-'[3]побудинковий звіт'!BK288</f>
        <v>337.73115767901049</v>
      </c>
      <c r="BL288" s="42">
        <f>'[1]побудинковий звіт'!BL288+'[2]побудинковий звіт'!BL288-'[3]побудинковий звіт'!BL288</f>
        <v>0</v>
      </c>
      <c r="BM288" s="39">
        <f t="shared" si="328"/>
        <v>-337.73115767901049</v>
      </c>
      <c r="BN288" s="42">
        <f>'[1]побудинковий звіт'!BN288+'[2]побудинковий звіт'!BN288-'[3]побудинковий звіт'!BN288</f>
        <v>0</v>
      </c>
      <c r="BO288" s="42">
        <f>'[1]побудинковий звіт'!BO288+'[2]побудинковий звіт'!BO288-'[3]побудинковий звіт'!BO288</f>
        <v>0</v>
      </c>
      <c r="BP288" s="59">
        <f t="shared" si="329"/>
        <v>0</v>
      </c>
      <c r="BQ288" s="87">
        <f t="shared" si="282"/>
        <v>3300.4757005598485</v>
      </c>
      <c r="BR288" s="43">
        <f t="shared" si="331"/>
        <v>474</v>
      </c>
      <c r="BS288" s="59">
        <f t="shared" si="330"/>
        <v>-2826.4757005598485</v>
      </c>
      <c r="BT288" s="42">
        <f>'[1]побудинковий звіт'!BT288+'[2]побудинковий звіт'!BT288-'[3]побудинковий звіт'!BT288</f>
        <v>5458.4353602773681</v>
      </c>
      <c r="BU288" s="42">
        <f>'[1]побудинковий звіт'!BU288+'[2]побудинковий звіт'!BU288-'[3]побудинковий звіт'!BU288</f>
        <v>8347.7827987076344</v>
      </c>
      <c r="BV288" s="56">
        <f t="shared" si="308"/>
        <v>2889.3474384302663</v>
      </c>
      <c r="BW288" s="42">
        <f>'[1]побудинковий звіт'!BW288+'[2]побудинковий звіт'!BW288-'[3]побудинковий звіт'!BW288</f>
        <v>11200.812834820792</v>
      </c>
      <c r="BX288" s="42">
        <f>'[1]побудинковий звіт'!BX288+'[2]побудинковий звіт'!BX288-'[3]побудинковий звіт'!BX288</f>
        <v>11228.580100533631</v>
      </c>
      <c r="BY288" s="56">
        <f t="shared" si="309"/>
        <v>27.767265712838707</v>
      </c>
      <c r="BZ288" s="42">
        <f>'[1]побудинковий звіт'!BZ288+'[2]побудинковий звіт'!BZ288-'[3]побудинковий звіт'!BZ288</f>
        <v>3484.5376654696947</v>
      </c>
      <c r="CA288" s="42">
        <f>'[1]побудинковий звіт'!CA288+'[2]побудинковий звіт'!CA288-'[3]побудинковий звіт'!CA288</f>
        <v>2079.2820178567772</v>
      </c>
      <c r="CB288" s="56">
        <f t="shared" si="310"/>
        <v>-1405.2556476129175</v>
      </c>
      <c r="CC288" s="42">
        <f>'[1]побудинковий звіт'!CC288+'[2]побудинковий звіт'!CC288-'[3]побудинковий звіт'!CC288</f>
        <v>1469.7802948781714</v>
      </c>
      <c r="CD288" s="42">
        <f>'[1]побудинковий звіт'!CD288+'[2]побудинковий звіт'!CD288-'[3]побудинковий звіт'!CD288</f>
        <v>1456.8531616477183</v>
      </c>
      <c r="CE288" s="56">
        <f t="shared" si="311"/>
        <v>-12.927133230453137</v>
      </c>
      <c r="CF288" s="42">
        <f>'[1]побудинковий звіт'!CF288+'[2]побудинковий звіт'!CF288-'[3]побудинковий звіт'!CF288</f>
        <v>180.93886205886577</v>
      </c>
      <c r="CG288" s="42">
        <f>'[1]побудинковий звіт'!CG288+'[2]побудинковий звіт'!CG288-'[3]побудинковий звіт'!CG288</f>
        <v>0</v>
      </c>
      <c r="CH288" s="56">
        <f t="shared" si="312"/>
        <v>-180.93886205886577</v>
      </c>
      <c r="CI288" s="42">
        <f>'[1]побудинковий звіт'!CI288+'[2]побудинковий звіт'!CI288-'[3]побудинковий звіт'!CI288</f>
        <v>842.28863297364626</v>
      </c>
      <c r="CJ288" s="42">
        <f>'[1]побудинковий звіт'!CJ288+'[2]побудинковий звіт'!CJ288-'[3]побудинковий звіт'!CJ288</f>
        <v>1066.0885337547916</v>
      </c>
      <c r="CK288" s="56">
        <f t="shared" si="313"/>
        <v>223.79990078114531</v>
      </c>
      <c r="CL288" s="42">
        <f>'[1]побудинковий звіт'!CL288+'[2]побудинковий звіт'!CL288-'[3]побудинковий звіт'!CL288</f>
        <v>0</v>
      </c>
      <c r="CM288" s="42">
        <f>'[1]побудинковий звіт'!CM288+'[2]побудинковий звіт'!CM288-'[3]побудинковий звіт'!CM288</f>
        <v>0</v>
      </c>
      <c r="CN288" s="56">
        <f t="shared" si="314"/>
        <v>0</v>
      </c>
      <c r="CO288" s="42">
        <f t="shared" si="294"/>
        <v>842.28863297364626</v>
      </c>
      <c r="CP288" s="43">
        <f t="shared" si="315"/>
        <v>1066.0885337547916</v>
      </c>
      <c r="CQ288" s="56">
        <f t="shared" si="316"/>
        <v>223.79990078114531</v>
      </c>
      <c r="CR288" s="78">
        <f t="shared" si="295"/>
        <v>61564.420692028842</v>
      </c>
      <c r="CS288" s="5">
        <f t="shared" si="295"/>
        <v>47199.411541523805</v>
      </c>
      <c r="CT288" s="56">
        <f t="shared" si="317"/>
        <v>-14365.009150505037</v>
      </c>
      <c r="CU288" s="87">
        <f t="shared" si="318"/>
        <v>73877.304830434601</v>
      </c>
      <c r="CV288" s="70">
        <f t="shared" si="319"/>
        <v>56639.293849828566</v>
      </c>
      <c r="CW288" s="37">
        <f t="shared" si="320"/>
        <v>-17238.010980606035</v>
      </c>
      <c r="CX288" s="42">
        <f>'[1]побудинковий звіт'!CX288+'[2]побудинковий звіт'!CX288-'[3]побудинковий звіт'!CX288</f>
        <v>143.61516956539708</v>
      </c>
      <c r="CY288" s="42">
        <f>'[1]побудинковий звіт'!CY288+'[2]побудинковий звіт'!CY288-'[3]побудинковий звіт'!CY288</f>
        <v>17381.626150171447</v>
      </c>
      <c r="CZ288" s="56">
        <f t="shared" si="321"/>
        <v>17238.01098060605</v>
      </c>
      <c r="DA288" s="264">
        <f>'[4]побудинковий звіт'!DA288</f>
        <v>35844.612257369852</v>
      </c>
      <c r="DB288" s="2">
        <v>2</v>
      </c>
      <c r="DC288" s="717">
        <f>'[4]побудинковий звіт'!DC288</f>
        <v>34335.94</v>
      </c>
      <c r="DD288" s="717">
        <f>'[4]побудинковий звіт'!DD288</f>
        <v>2237.71</v>
      </c>
      <c r="DE288" s="717">
        <f>'[4]побудинковий звіт'!DE288</f>
        <v>28974.06</v>
      </c>
      <c r="DF288" s="717">
        <f>'[4]побудинковий звіт'!DF288</f>
        <v>1431.18</v>
      </c>
      <c r="DG288" s="787">
        <v>61854.275329544442</v>
      </c>
      <c r="DH288" s="761">
        <f t="shared" si="290"/>
        <v>888251.04</v>
      </c>
      <c r="DI288" s="784"/>
      <c r="DJ288" s="5"/>
      <c r="DK288" s="317">
        <f>VLOOKUP($A288,ціни!$A$4:$G$401,5)</f>
        <v>4.0870949915294226</v>
      </c>
      <c r="DL288" s="317"/>
      <c r="DM288" s="317">
        <f>VLOOKUP($A288,ціни!$A$4:$G$401,7)</f>
        <v>3.2119647868117376</v>
      </c>
      <c r="DN288" s="30">
        <f t="shared" si="332"/>
        <v>704.61517653967246</v>
      </c>
      <c r="DO288" s="30">
        <f t="shared" si="333"/>
        <v>806.52435796842724</v>
      </c>
      <c r="DP288" s="316">
        <f t="shared" si="278"/>
        <v>1511.1395345080996</v>
      </c>
      <c r="DQ288" s="104"/>
      <c r="DR288" s="30">
        <f>VLOOKUP(A288,'ДЗ нас '!$A$1:$C$359,2)</f>
        <v>5361.88</v>
      </c>
      <c r="DS288" s="748">
        <f>VLOOKUP(A288,'ДЗ нежит'!$A$1:$D$153,4,0)</f>
        <v>806.53</v>
      </c>
      <c r="DT288" s="30">
        <f t="shared" si="279"/>
        <v>6168.41</v>
      </c>
      <c r="DU288" s="257">
        <f>VLOOKUP(A288,'новий кошторис с 01.06'!$A$4:$AI$399,35)*1.2</f>
        <v>6341.1353312789697</v>
      </c>
      <c r="DV288" s="30">
        <f t="shared" si="280"/>
        <v>-172.72533127896986</v>
      </c>
      <c r="DW288" s="930">
        <f>'[5]побудинковий звіт'!DW288+'[6]побудинковий звіт'!DW288</f>
        <v>204</v>
      </c>
      <c r="DY288" s="5">
        <f t="shared" si="286"/>
        <v>20639.70709537802</v>
      </c>
      <c r="DZ288" s="5">
        <f t="shared" si="287"/>
        <v>5079.5999999999995</v>
      </c>
      <c r="EA288" s="752">
        <f t="shared" si="291"/>
        <v>30405.24</v>
      </c>
      <c r="EC288" s="592">
        <f t="shared" si="288"/>
        <v>166791.36254706205</v>
      </c>
      <c r="EE288" s="758">
        <v>-7880</v>
      </c>
      <c r="EF288" s="738">
        <f t="shared" si="289"/>
        <v>53974.275329544442</v>
      </c>
      <c r="EH288" s="813">
        <v>49462.816871492338</v>
      </c>
    </row>
    <row r="289" spans="1:138" x14ac:dyDescent="0.3">
      <c r="A289" s="328">
        <v>150000805</v>
      </c>
      <c r="B289" s="44" t="s">
        <v>742</v>
      </c>
      <c r="C289" s="45" t="s">
        <v>296</v>
      </c>
      <c r="D289" s="45" t="s">
        <v>296</v>
      </c>
      <c r="E289" s="40">
        <f t="shared" si="292"/>
        <v>1050.9000000000001</v>
      </c>
      <c r="F289" s="490">
        <v>261.2</v>
      </c>
      <c r="G289" s="30"/>
      <c r="H289" s="30">
        <v>789.7</v>
      </c>
      <c r="I289" s="42">
        <f>'[1]побудинковий звіт'!I289+'[2]побудинковий звіт'!I289-'[3]побудинковий звіт'!I289</f>
        <v>11569.897967399103</v>
      </c>
      <c r="J289" s="42">
        <f>'[1]побудинковий звіт'!J289+'[2]побудинковий звіт'!J289-'[3]побудинковий звіт'!J289</f>
        <v>10568.487822388093</v>
      </c>
      <c r="K289" s="56">
        <f t="shared" si="296"/>
        <v>-1001.4101450110102</v>
      </c>
      <c r="L289" s="42">
        <f>'[1]побудинковий звіт'!L289+'[2]побудинковий звіт'!L289-'[3]побудинковий звіт'!L289</f>
        <v>2297.6322112874664</v>
      </c>
      <c r="M289" s="42">
        <f>'[1]побудинковий звіт'!M289+'[2]побудинковий звіт'!M289-'[3]побудинковий звіт'!M289</f>
        <v>2200.0485206754643</v>
      </c>
      <c r="N289" s="56">
        <f t="shared" si="297"/>
        <v>-97.583690612002101</v>
      </c>
      <c r="O289" s="42">
        <f>'[1]побудинковий звіт'!O289+'[2]побудинковий звіт'!O289-'[3]побудинковий звіт'!O289</f>
        <v>5182.68</v>
      </c>
      <c r="P289" s="42">
        <f>'[1]побудинковий звіт'!P289+'[2]побудинковий звіт'!P289-'[3]побудинковий звіт'!P289</f>
        <v>5183.2799999999988</v>
      </c>
      <c r="Q289" s="56">
        <f t="shared" si="298"/>
        <v>0.59999999999854481</v>
      </c>
      <c r="R289" s="42">
        <f>'[1]побудинковий звіт'!R289+'[2]побудинковий звіт'!R289-'[3]побудинковий звіт'!R289</f>
        <v>0</v>
      </c>
      <c r="S289" s="42">
        <f>'[1]побудинковий звіт'!S289+'[2]побудинковий звіт'!S289-'[3]побудинковий звіт'!S289</f>
        <v>0</v>
      </c>
      <c r="T289" s="56">
        <f t="shared" si="299"/>
        <v>0</v>
      </c>
      <c r="U289" s="42">
        <f>'[1]побудинковий звіт'!U289+'[2]побудинковий звіт'!U289-'[3]побудинковий звіт'!U289</f>
        <v>0</v>
      </c>
      <c r="V289" s="42">
        <f>'[1]побудинковий звіт'!V289+'[2]побудинковий звіт'!V289-'[3]побудинковий звіт'!V289</f>
        <v>0</v>
      </c>
      <c r="W289" s="56">
        <f t="shared" si="300"/>
        <v>0</v>
      </c>
      <c r="X289" s="42">
        <f>'[1]побудинковий звіт'!X289+'[2]побудинковий звіт'!X289-'[3]побудинковий звіт'!X289</f>
        <v>7985.5610440075125</v>
      </c>
      <c r="Y289" s="42">
        <f>'[1]побудинковий звіт'!Y289+'[2]побудинковий звіт'!Y289-'[3]побудинковий звіт'!Y289</f>
        <v>6713.644042097043</v>
      </c>
      <c r="Z289" s="56">
        <f t="shared" si="301"/>
        <v>-1271.9170019104695</v>
      </c>
      <c r="AA289" s="42">
        <f>'[1]побудинковий звіт'!AA289+'[2]побудинковий звіт'!AA289-'[3]побудинковий звіт'!AA289</f>
        <v>0</v>
      </c>
      <c r="AB289" s="42">
        <f>'[1]побудинковий звіт'!AB289+'[2]побудинковий звіт'!AB289-'[3]побудинковий звіт'!AB289</f>
        <v>0</v>
      </c>
      <c r="AC289" s="56">
        <f t="shared" si="302"/>
        <v>0</v>
      </c>
      <c r="AD289" s="42">
        <f>'[1]побудинковий звіт'!AD289+'[2]побудинковий звіт'!AD289-'[3]побудинковий звіт'!AD289</f>
        <v>15863.078438294939</v>
      </c>
      <c r="AE289" s="42">
        <f>'[1]побудинковий звіт'!AE289+'[2]побудинковий звіт'!AE289-'[3]побудинковий звіт'!AE289</f>
        <v>14622.850568534557</v>
      </c>
      <c r="AF289" s="37">
        <f t="shared" si="303"/>
        <v>-1240.2278697603815</v>
      </c>
      <c r="AG289" s="87">
        <f t="shared" si="293"/>
        <v>42898.849660989014</v>
      </c>
      <c r="AH289" s="57">
        <f t="shared" si="293"/>
        <v>39288.310953695152</v>
      </c>
      <c r="AI289" s="56">
        <f t="shared" si="304"/>
        <v>-3610.5387072938611</v>
      </c>
      <c r="AJ289" s="42">
        <f>'[1]побудинковий звіт'!AJ289+'[2]побудинковий звіт'!AJ289-'[3]побудинковий звіт'!AJ289</f>
        <v>0</v>
      </c>
      <c r="AK289" s="42">
        <f>'[1]побудинковий звіт'!AK289+'[2]побудинковий звіт'!AK289-'[3]побудинковий звіт'!AK289</f>
        <v>0</v>
      </c>
      <c r="AL289" s="56">
        <f t="shared" si="305"/>
        <v>0</v>
      </c>
      <c r="AM289" s="42">
        <f>'[1]побудинковий звіт'!AM289+'[2]побудинковий звіт'!AM289-'[3]побудинковий звіт'!AM289</f>
        <v>0</v>
      </c>
      <c r="AN289" s="42">
        <f>'[1]побудинковий звіт'!AN289+'[2]побудинковий звіт'!AN289-'[3]побудинковий звіт'!AN289</f>
        <v>0</v>
      </c>
      <c r="AO289" s="56">
        <f t="shared" si="306"/>
        <v>0</v>
      </c>
      <c r="AP289" s="42">
        <f>'[1]побудинковий звіт'!AP289+'[2]побудинковий звіт'!AP289-'[3]побудинковий звіт'!AP289</f>
        <v>9375.474664647134</v>
      </c>
      <c r="AQ289" s="42">
        <f>'[1]побудинковий звіт'!AQ289+'[2]побудинковий звіт'!AQ289-'[3]побудинковий звіт'!AQ289</f>
        <v>8865.7465174598692</v>
      </c>
      <c r="AR289" s="56">
        <f t="shared" si="307"/>
        <v>-509.72814718726477</v>
      </c>
      <c r="AS289" s="42">
        <f>'[1]побудинковий звіт'!AS289+'[2]побудинковий звіт'!AS289-'[3]побудинковий звіт'!AS289</f>
        <v>39541.125883720124</v>
      </c>
      <c r="AT289" s="42">
        <f>'[1]побудинковий звіт'!AT289+'[2]побудинковий звіт'!AT289-'[3]побудинковий звіт'!AT289</f>
        <v>199845.38533150603</v>
      </c>
      <c r="AU289" s="58">
        <f t="shared" si="322"/>
        <v>160304.25944778591</v>
      </c>
      <c r="AV289" s="42">
        <f>'[1]побудинковий звіт'!AV289+'[2]побудинковий звіт'!AV289-'[3]побудинковий звіт'!AV289</f>
        <v>1893.6166085164346</v>
      </c>
      <c r="AW289" s="42">
        <f>'[1]побудинковий звіт'!AW289+'[2]побудинковий звіт'!AW289-'[3]побудинковий звіт'!AW289</f>
        <v>0</v>
      </c>
      <c r="AX289" s="59">
        <f t="shared" si="323"/>
        <v>-1893.6166085164346</v>
      </c>
      <c r="AY289" s="42">
        <f>'[1]побудинковий звіт'!AY289+'[2]побудинковий звіт'!AY289-'[3]побудинковий звіт'!AY289</f>
        <v>2961.3152184736136</v>
      </c>
      <c r="AZ289" s="42">
        <f>'[1]побудинковий звіт'!AZ289+'[2]побудинковий звіт'!AZ289-'[3]побудинковий звіт'!AZ289</f>
        <v>0</v>
      </c>
      <c r="BA289" s="37">
        <f t="shared" si="324"/>
        <v>-2961.3152184736136</v>
      </c>
      <c r="BB289" s="42">
        <f>'[1]побудинковий звіт'!BB289+'[2]побудинковий звіт'!BB289-'[3]побудинковий звіт'!BB289</f>
        <v>1971.0598078944429</v>
      </c>
      <c r="BC289" s="42">
        <f>'[1]побудинковий звіт'!BC289+'[2]побудинковий звіт'!BC289-'[3]побудинковий звіт'!BC289</f>
        <v>0</v>
      </c>
      <c r="BD289" s="59">
        <f t="shared" si="325"/>
        <v>-1971.0598078944429</v>
      </c>
      <c r="BE289" s="42">
        <f>'[1]побудинковий звіт'!BE289+'[2]побудинковий звіт'!BE289-'[3]побудинковий звіт'!BE289</f>
        <v>0</v>
      </c>
      <c r="BF289" s="42">
        <f>'[1]побудинковий звіт'!BF289+'[2]побудинковий звіт'!BF289-'[3]побудинковий звіт'!BF289</f>
        <v>0</v>
      </c>
      <c r="BG289" s="39">
        <f t="shared" si="326"/>
        <v>0</v>
      </c>
      <c r="BH289" s="42">
        <f>'[1]побудинковий звіт'!BH289+'[2]побудинковий звіт'!BH289-'[3]побудинковий звіт'!BH289</f>
        <v>0</v>
      </c>
      <c r="BI289" s="42">
        <f>'[1]побудинковий звіт'!BI289+'[2]побудинковий звіт'!BI289-'[3]побудинковий звіт'!BI289</f>
        <v>0</v>
      </c>
      <c r="BJ289" s="59">
        <f t="shared" si="327"/>
        <v>0</v>
      </c>
      <c r="BK289" s="42">
        <f>'[1]побудинковий звіт'!BK289+'[2]побудинковий звіт'!BK289-'[3]побудинковий звіт'!BK289</f>
        <v>1381.5350366937619</v>
      </c>
      <c r="BL289" s="42">
        <f>'[1]побудинковий звіт'!BL289+'[2]побудинковий звіт'!BL289-'[3]побудинковий звіт'!BL289</f>
        <v>810</v>
      </c>
      <c r="BM289" s="39">
        <f t="shared" si="328"/>
        <v>-571.53503669376187</v>
      </c>
      <c r="BN289" s="42">
        <f>'[1]побудинковий звіт'!BN289+'[2]побудинковий звіт'!BN289-'[3]побудинковий звіт'!BN289</f>
        <v>0</v>
      </c>
      <c r="BO289" s="42">
        <f>'[1]побудинковий звіт'!BO289+'[2]побудинковий звіт'!BO289-'[3]побудинковий звіт'!BO289</f>
        <v>0</v>
      </c>
      <c r="BP289" s="59">
        <f t="shared" si="329"/>
        <v>0</v>
      </c>
      <c r="BQ289" s="87">
        <f t="shared" si="282"/>
        <v>8207.5266715782527</v>
      </c>
      <c r="BR289" s="43">
        <f t="shared" si="331"/>
        <v>810</v>
      </c>
      <c r="BS289" s="59">
        <f t="shared" si="330"/>
        <v>-7397.5266715782527</v>
      </c>
      <c r="BT289" s="42">
        <f>'[1]побудинковий звіт'!BT289+'[2]побудинковий звіт'!BT289-'[3]побудинковий звіт'!BT289</f>
        <v>25915.124694134065</v>
      </c>
      <c r="BU289" s="42">
        <f>'[1]побудинковий звіт'!BU289+'[2]побудинковий звіт'!BU289-'[3]побудинковий звіт'!BU289</f>
        <v>34001.670861299346</v>
      </c>
      <c r="BV289" s="56">
        <f t="shared" si="308"/>
        <v>8086.5461671652811</v>
      </c>
      <c r="BW289" s="42">
        <f>'[1]побудинковий звіт'!BW289+'[2]побудинковий звіт'!BW289-'[3]побудинковий звіт'!BW289</f>
        <v>17167.235405899824</v>
      </c>
      <c r="BX289" s="42">
        <f>'[1]побудинковий звіт'!BX289+'[2]побудинковий звіт'!BX289-'[3]побудинковий звіт'!BX289</f>
        <v>19279.640322103034</v>
      </c>
      <c r="BY289" s="56">
        <f t="shared" si="309"/>
        <v>2112.4049162032097</v>
      </c>
      <c r="BZ289" s="42">
        <f>'[1]побудинковий звіт'!BZ289+'[2]побудинковий звіт'!BZ289-'[3]побудинковий звіт'!BZ289</f>
        <v>5316.0295169149249</v>
      </c>
      <c r="CA289" s="42">
        <f>'[1]побудинковий звіт'!CA289+'[2]побудинковий звіт'!CA289-'[3]побудинковий звіт'!CA289</f>
        <v>7109.8073066179641</v>
      </c>
      <c r="CB289" s="56">
        <f t="shared" si="310"/>
        <v>1793.7777897030392</v>
      </c>
      <c r="CC289" s="42">
        <f>'[1]побудинковий звіт'!CC289+'[2]побудинковий звіт'!CC289-'[3]побудинковий звіт'!CC289</f>
        <v>1248.151427119376</v>
      </c>
      <c r="CD289" s="42">
        <f>'[1]побудинковий звіт'!CD289+'[2]побудинковий звіт'!CD289-'[3]побудинковий звіт'!CD289</f>
        <v>1237.1735824398825</v>
      </c>
      <c r="CE289" s="56">
        <f t="shared" si="311"/>
        <v>-10.977844679493501</v>
      </c>
      <c r="CF289" s="42">
        <f>'[1]побудинковий звіт'!CF289+'[2]побудинковий звіт'!CF289-'[3]побудинковий звіт'!CF289</f>
        <v>153.65500523249895</v>
      </c>
      <c r="CG289" s="42">
        <f>'[1]побудинковий звіт'!CG289+'[2]побудинковий звіт'!CG289-'[3]побудинковий звіт'!CG289</f>
        <v>0</v>
      </c>
      <c r="CH289" s="56">
        <f t="shared" si="312"/>
        <v>-153.65500523249895</v>
      </c>
      <c r="CI289" s="42">
        <f>'[1]побудинковий звіт'!CI289+'[2]побудинковий звіт'!CI289-'[3]побудинковий звіт'!CI289</f>
        <v>3144.5442297682785</v>
      </c>
      <c r="CJ289" s="42">
        <f>'[1]побудинковий звіт'!CJ289+'[2]побудинковий звіт'!CJ289-'[3]побудинковий звіт'!CJ289</f>
        <v>1898.1344723932561</v>
      </c>
      <c r="CK289" s="56">
        <f t="shared" si="313"/>
        <v>-1246.4097573750223</v>
      </c>
      <c r="CL289" s="42">
        <f>'[1]побудинковий звіт'!CL289+'[2]побудинковий звіт'!CL289-'[3]побудинковий звіт'!CL289</f>
        <v>0</v>
      </c>
      <c r="CM289" s="42">
        <f>'[1]побудинковий звіт'!CM289+'[2]побудинковий звіт'!CM289-'[3]побудинковий звіт'!CM289</f>
        <v>0</v>
      </c>
      <c r="CN289" s="56">
        <f t="shared" si="314"/>
        <v>0</v>
      </c>
      <c r="CO289" s="42">
        <f t="shared" si="294"/>
        <v>3144.5442297682785</v>
      </c>
      <c r="CP289" s="43">
        <f t="shared" si="315"/>
        <v>1898.1344723932561</v>
      </c>
      <c r="CQ289" s="56">
        <f t="shared" si="316"/>
        <v>-1246.4097573750223</v>
      </c>
      <c r="CR289" s="78">
        <f t="shared" si="295"/>
        <v>152967.71716000346</v>
      </c>
      <c r="CS289" s="5">
        <f t="shared" si="295"/>
        <v>312335.86934751453</v>
      </c>
      <c r="CT289" s="56">
        <f t="shared" si="317"/>
        <v>159368.15218751106</v>
      </c>
      <c r="CU289" s="87">
        <f t="shared" si="318"/>
        <v>183561.26059200414</v>
      </c>
      <c r="CV289" s="70">
        <f t="shared" si="319"/>
        <v>374803.04321701743</v>
      </c>
      <c r="CW289" s="37">
        <f t="shared" si="320"/>
        <v>191241.78262501329</v>
      </c>
      <c r="CX289" s="42">
        <f>'[1]побудинковий звіт'!CX289+'[2]побудинковий звіт'!CX289-'[3]побудинковий звіт'!CX289</f>
        <v>9194.5594079957809</v>
      </c>
      <c r="CY289" s="42">
        <f>'[1]побудинковий звіт'!CY289+'[2]побудинковий звіт'!CY289-'[3]побудинковий звіт'!CY289</f>
        <v>-182047.2232170174</v>
      </c>
      <c r="CZ289" s="56">
        <f t="shared" si="321"/>
        <v>-191241.78262501318</v>
      </c>
      <c r="DA289" s="264">
        <f>'[4]побудинковий звіт'!DA289</f>
        <v>142339.17552695348</v>
      </c>
      <c r="DB289" s="2">
        <v>3</v>
      </c>
      <c r="DC289" s="717">
        <f>'[4]побудинковий звіт'!DC289</f>
        <v>31414.37</v>
      </c>
      <c r="DD289" s="717">
        <f>'[4]побудинковий звіт'!DD289</f>
        <v>2105.87</v>
      </c>
      <c r="DE289" s="717">
        <f>'[4]побудинковий звіт'!DE289</f>
        <v>18386.48</v>
      </c>
      <c r="DF289" s="717">
        <f>'[4]побудинковий звіт'!DF289</f>
        <v>-929.18000000000029</v>
      </c>
      <c r="DG289" s="787">
        <v>-33526.914433825237</v>
      </c>
      <c r="DH289" s="761">
        <f t="shared" si="290"/>
        <v>2313069.8399999989</v>
      </c>
      <c r="DI289" s="784"/>
      <c r="DJ289" s="5"/>
      <c r="DK289" s="317">
        <f>VLOOKUP($A289,ціни!$A$4:$G$401,5)</f>
        <v>4.4606305881309396</v>
      </c>
      <c r="DL289" s="317"/>
      <c r="DM289" s="317">
        <f>VLOOKUP($A289,ціни!$A$4:$G$401,7)</f>
        <v>3.8434720195423342</v>
      </c>
      <c r="DN289" s="30">
        <f t="shared" si="332"/>
        <v>1165.1167096198014</v>
      </c>
      <c r="DO289" s="30">
        <f t="shared" si="333"/>
        <v>3035.1898538325813</v>
      </c>
      <c r="DP289" s="316">
        <f t="shared" si="278"/>
        <v>4200.3065634523828</v>
      </c>
      <c r="DQ289" s="104"/>
      <c r="DR289" s="30">
        <f>VLOOKUP(A289,'ДЗ нас '!$A$1:$C$359,2)</f>
        <v>13027.89</v>
      </c>
      <c r="DS289" s="748">
        <f>VLOOKUP(A289,'ДЗ нежит'!$A$1:$D$153,4,0)</f>
        <v>3035.05</v>
      </c>
      <c r="DT289" s="30">
        <f t="shared" si="279"/>
        <v>16062.939999999999</v>
      </c>
      <c r="DU289" s="257">
        <f>VLOOKUP(A289,'новий кошторис с 01.06'!$A$4:$AI$399,35)*1.2</f>
        <v>16214.578018960372</v>
      </c>
      <c r="DV289" s="30">
        <f t="shared" si="280"/>
        <v>-151.6380189603733</v>
      </c>
      <c r="DW289" s="930">
        <f>'[5]побудинковий звіт'!DW289+'[6]побудинковий звіт'!DW289</f>
        <v>202</v>
      </c>
      <c r="DY289" s="5">
        <f t="shared" si="286"/>
        <v>57298.383066358052</v>
      </c>
      <c r="DZ289" s="5">
        <f t="shared" si="287"/>
        <v>240786.46239780722</v>
      </c>
      <c r="EA289" s="752">
        <f t="shared" si="291"/>
        <v>17457.3</v>
      </c>
      <c r="EC289" s="592">
        <f t="shared" si="288"/>
        <v>474493.51060464152</v>
      </c>
      <c r="EE289" s="758">
        <v>-31910</v>
      </c>
      <c r="EF289" s="738">
        <f t="shared" si="289"/>
        <v>-65436.914433825237</v>
      </c>
      <c r="EH289" s="813">
        <v>-52510.359010934291</v>
      </c>
    </row>
    <row r="290" spans="1:138" ht="15" customHeight="1" x14ac:dyDescent="0.3">
      <c r="A290" s="328">
        <v>150000806</v>
      </c>
      <c r="B290" s="44" t="s">
        <v>743</v>
      </c>
      <c r="C290" s="45" t="s">
        <v>228</v>
      </c>
      <c r="D290" s="45" t="s">
        <v>228</v>
      </c>
      <c r="E290" s="40">
        <f t="shared" si="292"/>
        <v>990</v>
      </c>
      <c r="F290" s="490">
        <v>252.8</v>
      </c>
      <c r="G290" s="30"/>
      <c r="H290" s="30">
        <v>737.2</v>
      </c>
      <c r="I290" s="42">
        <f>'[1]побудинковий звіт'!I290+'[2]побудинковий звіт'!I290-'[3]побудинковий звіт'!I290</f>
        <v>8302.5151554574222</v>
      </c>
      <c r="J290" s="42">
        <f>'[1]побудинковий звіт'!J290+'[2]побудинковий звіт'!J290-'[3]побудинковий звіт'!J290</f>
        <v>8258.4501758667502</v>
      </c>
      <c r="K290" s="56">
        <f t="shared" si="296"/>
        <v>-44.06497959067201</v>
      </c>
      <c r="L290" s="42">
        <f>'[1]побудинковий звіт'!L290+'[2]побудинковий звіт'!L290-'[3]побудинковий звіт'!L290</f>
        <v>1710.5783736152587</v>
      </c>
      <c r="M290" s="42">
        <f>'[1]побудинковий звіт'!M290+'[2]побудинковий звіт'!M290-'[3]побудинковий звіт'!M290</f>
        <v>1725.8967657453995</v>
      </c>
      <c r="N290" s="56">
        <f t="shared" si="297"/>
        <v>15.318392130140865</v>
      </c>
      <c r="O290" s="42">
        <f>'[1]побудинковий звіт'!O290+'[2]побудинковий звіт'!O290-'[3]побудинковий звіт'!O290</f>
        <v>3259.8</v>
      </c>
      <c r="P290" s="42">
        <f>'[1]побудинковий звіт'!P290+'[2]побудинковий звіт'!P290-'[3]побудинковий звіт'!P290</f>
        <v>2562.4062045698929</v>
      </c>
      <c r="Q290" s="56">
        <f t="shared" si="298"/>
        <v>-697.39379543010728</v>
      </c>
      <c r="R290" s="42">
        <f>'[1]побудинковий звіт'!R290+'[2]побудинковий звіт'!R290-'[3]побудинковий звіт'!R290</f>
        <v>0</v>
      </c>
      <c r="S290" s="42">
        <f>'[1]побудинковий звіт'!S290+'[2]побудинковий звіт'!S290-'[3]побудинковий звіт'!S290</f>
        <v>0</v>
      </c>
      <c r="T290" s="56">
        <f t="shared" si="299"/>
        <v>0</v>
      </c>
      <c r="U290" s="42">
        <f>'[1]побудинковий звіт'!U290+'[2]побудинковий звіт'!U290-'[3]побудинковий звіт'!U290</f>
        <v>0</v>
      </c>
      <c r="V290" s="42">
        <f>'[1]побудинковий звіт'!V290+'[2]побудинковий звіт'!V290-'[3]побудинковий звіт'!V290</f>
        <v>0</v>
      </c>
      <c r="W290" s="56">
        <f t="shared" si="300"/>
        <v>0</v>
      </c>
      <c r="X290" s="42">
        <f>'[1]побудинковий звіт'!X290+'[2]побудинковий звіт'!X290-'[3]побудинковий звіт'!X290</f>
        <v>7437.2124830322373</v>
      </c>
      <c r="Y290" s="42">
        <f>'[1]побудинковий звіт'!Y290+'[2]побудинковий звіт'!Y290-'[3]побудинковий звіт'!Y290</f>
        <v>5770.4473117562356</v>
      </c>
      <c r="Z290" s="56">
        <f t="shared" si="301"/>
        <v>-1666.7651712760016</v>
      </c>
      <c r="AA290" s="42">
        <f>'[1]побудинковий звіт'!AA290+'[2]побудинковий звіт'!AA290-'[3]побудинковий звіт'!AA290</f>
        <v>0</v>
      </c>
      <c r="AB290" s="42">
        <f>'[1]побудинковий звіт'!AB290+'[2]побудинковий звіт'!AB290-'[3]побудинковий звіт'!AB290</f>
        <v>0</v>
      </c>
      <c r="AC290" s="56">
        <f t="shared" si="302"/>
        <v>0</v>
      </c>
      <c r="AD290" s="42">
        <f>'[1]побудинковий звіт'!AD290+'[2]побудинковий звіт'!AD290-'[3]побудинковий звіт'!AD290</f>
        <v>11613.158444182132</v>
      </c>
      <c r="AE290" s="42">
        <f>'[1]побудинковий звіт'!AE290+'[2]побудинковий звіт'!AE290-'[3]побудинковий звіт'!AE290</f>
        <v>10842.494174329699</v>
      </c>
      <c r="AF290" s="37">
        <f t="shared" si="303"/>
        <v>-770.66426985243379</v>
      </c>
      <c r="AG290" s="87">
        <f t="shared" si="293"/>
        <v>32323.264456287048</v>
      </c>
      <c r="AH290" s="57">
        <f t="shared" si="293"/>
        <v>29159.694632267976</v>
      </c>
      <c r="AI290" s="56">
        <f t="shared" si="304"/>
        <v>-3163.5698240190723</v>
      </c>
      <c r="AJ290" s="42">
        <f>'[1]побудинковий звіт'!AJ290+'[2]побудинковий звіт'!AJ290-'[3]побудинковий звіт'!AJ290</f>
        <v>0</v>
      </c>
      <c r="AK290" s="42">
        <f>'[1]побудинковий звіт'!AK290+'[2]побудинковий звіт'!AK290-'[3]побудинковий звіт'!AK290</f>
        <v>0</v>
      </c>
      <c r="AL290" s="56">
        <f t="shared" si="305"/>
        <v>0</v>
      </c>
      <c r="AM290" s="42">
        <f>'[1]побудинковий звіт'!AM290+'[2]побудинковий звіт'!AM290-'[3]побудинковий звіт'!AM290</f>
        <v>0</v>
      </c>
      <c r="AN290" s="42">
        <f>'[1]побудинковий звіт'!AN290+'[2]побудинковий звіт'!AN290-'[3]побудинковий звіт'!AN290</f>
        <v>0</v>
      </c>
      <c r="AO290" s="56">
        <f t="shared" si="306"/>
        <v>0</v>
      </c>
      <c r="AP290" s="42">
        <f>'[1]побудинковий звіт'!AP290+'[2]побудинковий звіт'!AP290-'[3]побудинковий звіт'!AP290</f>
        <v>4687.737332323567</v>
      </c>
      <c r="AQ290" s="42">
        <f>'[1]побудинковий звіт'!AQ290+'[2]побудинковий звіт'!AQ290-'[3]побудинковий звіт'!AQ290</f>
        <v>4119.7175341428319</v>
      </c>
      <c r="AR290" s="56">
        <f t="shared" si="307"/>
        <v>-568.01979818073505</v>
      </c>
      <c r="AS290" s="42">
        <f>'[1]побудинковий звіт'!AS290+'[2]побудинковий звіт'!AS290-'[3]побудинковий звіт'!AS290</f>
        <v>30225.812647105879</v>
      </c>
      <c r="AT290" s="42">
        <f>'[1]побудинковий звіт'!AT290+'[2]побудинковий звіт'!AT290-'[3]побудинковий звіт'!AT290</f>
        <v>118215</v>
      </c>
      <c r="AU290" s="58">
        <f t="shared" si="322"/>
        <v>87989.187352894121</v>
      </c>
      <c r="AV290" s="42">
        <f>'[1]побудинковий звіт'!AV290+'[2]побудинковий звіт'!AV290-'[3]побудинковий звіт'!AV290</f>
        <v>1493.0900498192123</v>
      </c>
      <c r="AW290" s="42">
        <f>'[1]побудинковий звіт'!AW290+'[2]побудинковий звіт'!AW290-'[3]побудинковий звіт'!AW290</f>
        <v>0</v>
      </c>
      <c r="AX290" s="59">
        <f t="shared" si="323"/>
        <v>-1493.0900498192123</v>
      </c>
      <c r="AY290" s="42">
        <f>'[1]побудинковий звіт'!AY290+'[2]побудинковий звіт'!AY290-'[3]побудинковий звіт'!AY290</f>
        <v>2204.8753064949697</v>
      </c>
      <c r="AZ290" s="42">
        <f>'[1]побудинковий звіт'!AZ290+'[2]побудинковий звіт'!AZ290-'[3]побудинковий звіт'!AZ290</f>
        <v>0</v>
      </c>
      <c r="BA290" s="37">
        <f t="shared" si="324"/>
        <v>-2204.8753064949697</v>
      </c>
      <c r="BB290" s="42">
        <f>'[1]побудинковий звіт'!BB290+'[2]побудинковий звіт'!BB290-'[3]побудинковий звіт'!BB290</f>
        <v>1427.3557587604225</v>
      </c>
      <c r="BC290" s="42">
        <f>'[1]побудинковий звіт'!BC290+'[2]побудинковий звіт'!BC290-'[3]побудинковий звіт'!BC290</f>
        <v>0</v>
      </c>
      <c r="BD290" s="59">
        <f t="shared" si="325"/>
        <v>-1427.3557587604225</v>
      </c>
      <c r="BE290" s="42">
        <f>'[1]побудинковий звіт'!BE290+'[2]побудинковий звіт'!BE290-'[3]побудинковий звіт'!BE290</f>
        <v>0</v>
      </c>
      <c r="BF290" s="42">
        <f>'[1]побудинковий звіт'!BF290+'[2]побудинковий звіт'!BF290-'[3]побудинковий звіт'!BF290</f>
        <v>0</v>
      </c>
      <c r="BG290" s="39">
        <f t="shared" si="326"/>
        <v>0</v>
      </c>
      <c r="BH290" s="42">
        <f>'[1]побудинковий звіт'!BH290+'[2]побудинковий звіт'!BH290-'[3]побудинковий звіт'!BH290</f>
        <v>0</v>
      </c>
      <c r="BI290" s="42">
        <f>'[1]побудинковий звіт'!BI290+'[2]побудинковий звіт'!BI290-'[3]побудинковий звіт'!BI290</f>
        <v>0</v>
      </c>
      <c r="BJ290" s="59">
        <f t="shared" si="327"/>
        <v>0</v>
      </c>
      <c r="BK290" s="42">
        <f>'[1]побудинковий звіт'!BK290+'[2]побудинковий звіт'!BK290-'[3]побудинковий звіт'!BK290</f>
        <v>1019.5484978935849</v>
      </c>
      <c r="BL290" s="42">
        <f>'[1]побудинковий звіт'!BL290+'[2]побудинковий звіт'!BL290-'[3]побудинковий звіт'!BL290</f>
        <v>633</v>
      </c>
      <c r="BM290" s="39">
        <f t="shared" si="328"/>
        <v>-386.54849789358491</v>
      </c>
      <c r="BN290" s="42">
        <f>'[1]побудинковий звіт'!BN290+'[2]побудинковий звіт'!BN290-'[3]побудинковий звіт'!BN290</f>
        <v>0</v>
      </c>
      <c r="BO290" s="42">
        <f>'[1]побудинковий звіт'!BO290+'[2]побудинковий звіт'!BO290-'[3]побудинковий звіт'!BO290</f>
        <v>3845</v>
      </c>
      <c r="BP290" s="59">
        <f t="shared" si="329"/>
        <v>3845</v>
      </c>
      <c r="BQ290" s="87">
        <f t="shared" si="282"/>
        <v>6144.8696129681894</v>
      </c>
      <c r="BR290" s="43">
        <f t="shared" si="331"/>
        <v>4478</v>
      </c>
      <c r="BS290" s="59">
        <f t="shared" si="330"/>
        <v>-1666.8696129681894</v>
      </c>
      <c r="BT290" s="42">
        <f>'[1]побудинковий звіт'!BT290+'[2]побудинковий звіт'!BT290-'[3]побудинковий звіт'!BT290</f>
        <v>19737.881047330633</v>
      </c>
      <c r="BU290" s="42">
        <f>'[1]побудинковий звіт'!BU290+'[2]побудинковий звіт'!BU290-'[3]побудинковий звіт'!BU290</f>
        <v>27534.171175561984</v>
      </c>
      <c r="BV290" s="56">
        <f t="shared" si="308"/>
        <v>7796.2901282313505</v>
      </c>
      <c r="BW290" s="42">
        <f>'[1]побудинковий звіт'!BW290+'[2]побудинковий звіт'!BW290-'[3]побудинковий звіт'!BW290</f>
        <v>14839.013655426494</v>
      </c>
      <c r="BX290" s="42">
        <f>'[1]побудинковий звіт'!BX290+'[2]побудинковий звіт'!BX290-'[3]побудинковий звіт'!BX290</f>
        <v>15239.866567210804</v>
      </c>
      <c r="BY290" s="56">
        <f t="shared" si="309"/>
        <v>400.85291178430998</v>
      </c>
      <c r="BZ290" s="42">
        <f>'[1]побудинковий звіт'!BZ290+'[2]побудинковий звіт'!BZ290-'[3]побудинковий звіт'!BZ290</f>
        <v>10682.472024274603</v>
      </c>
      <c r="CA290" s="42">
        <f>'[1]побудинковий звіт'!CA290+'[2]побудинковий звіт'!CA290-'[3]побудинковий звіт'!CA290</f>
        <v>6839.7494200141682</v>
      </c>
      <c r="CB290" s="56">
        <f t="shared" si="310"/>
        <v>-3842.7226042604343</v>
      </c>
      <c r="CC290" s="42">
        <f>'[1]побудинковий звіт'!CC290+'[2]побудинковий звіт'!CC290-'[3]побудинковий звіт'!CC290</f>
        <v>1763.9128333769047</v>
      </c>
      <c r="CD290" s="42">
        <f>'[1]побудинковий звіт'!CD290+'[2]побудинковий звіт'!CD290-'[3]побудинковий звіт'!CD290</f>
        <v>1748.3987213130611</v>
      </c>
      <c r="CE290" s="56">
        <f t="shared" si="311"/>
        <v>-15.51411206384364</v>
      </c>
      <c r="CF290" s="42">
        <f>'[1]побудинковий звіт'!CF290+'[2]побудинковий звіт'!CF290-'[3]побудинковий звіт'!CF290</f>
        <v>217.14836016950539</v>
      </c>
      <c r="CG290" s="42">
        <f>'[1]побудинковий звіт'!CG290+'[2]побудинковий звіт'!CG290-'[3]побудинковий звіт'!CG290</f>
        <v>0</v>
      </c>
      <c r="CH290" s="56">
        <f t="shared" si="312"/>
        <v>-217.14836016950539</v>
      </c>
      <c r="CI290" s="42">
        <f>'[1]побудинковий звіт'!CI290+'[2]побудинковий звіт'!CI290-'[3]побудинковий звіт'!CI290</f>
        <v>4398.6184166401517</v>
      </c>
      <c r="CJ290" s="42">
        <f>'[1]побудинковий звіт'!CJ290+'[2]побудинковий звіт'!CJ290-'[3]побудинковий звіт'!CJ290</f>
        <v>1888.2506447584915</v>
      </c>
      <c r="CK290" s="56">
        <f t="shared" si="313"/>
        <v>-2510.3677718816602</v>
      </c>
      <c r="CL290" s="42">
        <f>'[1]побудинковий звіт'!CL290+'[2]побудинковий звіт'!CL290-'[3]побудинковий звіт'!CL290</f>
        <v>0</v>
      </c>
      <c r="CM290" s="42">
        <f>'[1]побудинковий звіт'!CM290+'[2]побудинковий звіт'!CM290-'[3]побудинковий звіт'!CM290</f>
        <v>0</v>
      </c>
      <c r="CN290" s="56">
        <f t="shared" si="314"/>
        <v>0</v>
      </c>
      <c r="CO290" s="42">
        <f t="shared" si="294"/>
        <v>4398.6184166401517</v>
      </c>
      <c r="CP290" s="43">
        <f t="shared" si="315"/>
        <v>1888.2506447584915</v>
      </c>
      <c r="CQ290" s="56">
        <f t="shared" si="316"/>
        <v>-2510.3677718816602</v>
      </c>
      <c r="CR290" s="78">
        <f t="shared" si="295"/>
        <v>125020.73038590296</v>
      </c>
      <c r="CS290" s="5">
        <f t="shared" si="295"/>
        <v>209222.84869526935</v>
      </c>
      <c r="CT290" s="56">
        <f t="shared" si="317"/>
        <v>84202.118309366386</v>
      </c>
      <c r="CU290" s="87">
        <f t="shared" si="318"/>
        <v>150024.87646308355</v>
      </c>
      <c r="CV290" s="70">
        <f t="shared" si="319"/>
        <v>251067.41843432322</v>
      </c>
      <c r="CW290" s="37">
        <f t="shared" si="320"/>
        <v>101042.54197123967</v>
      </c>
      <c r="CX290" s="42">
        <f>'[1]побудинковий звіт'!CX290+'[2]побудинковий звіт'!CX290-'[3]побудинковий звіт'!CX290</f>
        <v>5140.6835369164546</v>
      </c>
      <c r="CY290" s="42">
        <f>'[1]побудинковий звіт'!CY290+'[2]побудинковий звіт'!CY290-'[3]побудинковий звіт'!CY290</f>
        <v>-95901.858434323149</v>
      </c>
      <c r="CZ290" s="56">
        <f t="shared" si="321"/>
        <v>-101042.54197123961</v>
      </c>
      <c r="DA290" s="264">
        <f>'[4]побудинковий звіт'!DA290</f>
        <v>112674.83791887749</v>
      </c>
      <c r="DB290" s="2">
        <v>2</v>
      </c>
      <c r="DC290" s="717">
        <f>'[4]побудинковий звіт'!DC290</f>
        <v>36850.17</v>
      </c>
      <c r="DD290" s="717">
        <f>'[4]побудинковий звіт'!DD290</f>
        <v>3887</v>
      </c>
      <c r="DE290" s="717">
        <f>'[4]побудинковий звіт'!DE290</f>
        <v>26981.799999999996</v>
      </c>
      <c r="DF290" s="717">
        <f>'[4]побудинковий звіт'!DF290</f>
        <v>827.52</v>
      </c>
      <c r="DG290" s="787">
        <v>-37952.338371283899</v>
      </c>
      <c r="DH290" s="761">
        <f t="shared" si="290"/>
        <v>1861986.72</v>
      </c>
      <c r="DI290" s="784"/>
      <c r="DJ290" s="5"/>
      <c r="DK290" s="317">
        <f>VLOOKUP($A290,ціни!$A$4:$G$401,5)</f>
        <v>4.903809189333252</v>
      </c>
      <c r="DL290" s="317"/>
      <c r="DM290" s="317">
        <f>VLOOKUP($A290,ціни!$A$4:$G$401,7)</f>
        <v>4.1500698164682417</v>
      </c>
      <c r="DN290" s="30">
        <f t="shared" si="332"/>
        <v>1239.6829630634461</v>
      </c>
      <c r="DO290" s="30">
        <f t="shared" si="333"/>
        <v>3059.431468700388</v>
      </c>
      <c r="DP290" s="316">
        <f t="shared" si="278"/>
        <v>4299.1144317638336</v>
      </c>
      <c r="DQ290" s="104"/>
      <c r="DR290" s="30">
        <f>VLOOKUP(A290,'ДЗ нас '!$A$1:$C$359,2)</f>
        <v>9868.3700000000008</v>
      </c>
      <c r="DS290" s="748">
        <f>VLOOKUP(A290,'ДЗ нежит'!$A$1:$D$153,4,0)</f>
        <v>3059.48</v>
      </c>
      <c r="DT290" s="30">
        <f t="shared" si="279"/>
        <v>12927.85</v>
      </c>
      <c r="DU290" s="257">
        <f>VLOOKUP(A290,'новий кошторис с 01.06'!$A$4:$AI$399,35)*1.2</f>
        <v>12847.130254455389</v>
      </c>
      <c r="DV290" s="30">
        <f t="shared" si="280"/>
        <v>80.719745544611214</v>
      </c>
      <c r="DW290" s="930">
        <f>'[5]побудинковий звіт'!DW290+'[6]побудинковий звіт'!DW290</f>
        <v>236</v>
      </c>
      <c r="DY290" s="5">
        <f t="shared" si="286"/>
        <v>43644.818712088883</v>
      </c>
      <c r="DZ290" s="5">
        <f t="shared" si="287"/>
        <v>147231.6</v>
      </c>
      <c r="EA290" s="752">
        <f t="shared" si="291"/>
        <v>27809.319999999996</v>
      </c>
      <c r="EC290" s="592">
        <f t="shared" si="288"/>
        <v>362709.75176527054</v>
      </c>
      <c r="EE290" s="758">
        <v>9575</v>
      </c>
      <c r="EF290" s="738">
        <f t="shared" si="289"/>
        <v>-28377.338371283899</v>
      </c>
      <c r="EH290" s="813">
        <v>5501.0860621234096</v>
      </c>
    </row>
    <row r="291" spans="1:138" x14ac:dyDescent="0.3">
      <c r="A291" s="328">
        <v>150000807</v>
      </c>
      <c r="B291" s="44" t="s">
        <v>744</v>
      </c>
      <c r="C291" s="45" t="s">
        <v>187</v>
      </c>
      <c r="D291" s="45" t="s">
        <v>187</v>
      </c>
      <c r="E291" s="40">
        <f t="shared" si="292"/>
        <v>1101.8</v>
      </c>
      <c r="F291" s="490">
        <v>996.3</v>
      </c>
      <c r="G291" s="30"/>
      <c r="H291" s="30">
        <v>105.5</v>
      </c>
      <c r="I291" s="42">
        <f>'[1]побудинковий звіт'!I291+'[2]побудинковий звіт'!I291-'[3]побудинковий звіт'!I291</f>
        <v>1937.2978454247802</v>
      </c>
      <c r="J291" s="42">
        <f>'[1]побудинковий звіт'!J291+'[2]побудинковий звіт'!J291-'[3]побудинковий звіт'!J291</f>
        <v>1739.5938447522381</v>
      </c>
      <c r="K291" s="56">
        <f t="shared" si="296"/>
        <v>-197.70400067254218</v>
      </c>
      <c r="L291" s="42">
        <f>'[1]побудинковий звіт'!L291+'[2]побудинковий звіт'!L291-'[3]побудинковий звіт'!L291</f>
        <v>334.3612552850916</v>
      </c>
      <c r="M291" s="42">
        <f>'[1]побудинковий звіт'!M291+'[2]побудинковий звіт'!M291-'[3]побудинковий звіт'!M291</f>
        <v>320.16160056191563</v>
      </c>
      <c r="N291" s="56">
        <f t="shared" si="297"/>
        <v>-14.199654723175968</v>
      </c>
      <c r="O291" s="42">
        <f>'[1]побудинковий звіт'!O291+'[2]побудинковий звіт'!O291-'[3]побудинковий звіт'!O291</f>
        <v>0</v>
      </c>
      <c r="P291" s="42">
        <f>'[1]побудинковий звіт'!P291+'[2]побудинковий звіт'!P291-'[3]побудинковий звіт'!P291</f>
        <v>0</v>
      </c>
      <c r="Q291" s="56">
        <f t="shared" si="298"/>
        <v>0</v>
      </c>
      <c r="R291" s="42">
        <f>'[1]побудинковий звіт'!R291+'[2]побудинковий звіт'!R291-'[3]побудинковий звіт'!R291</f>
        <v>0</v>
      </c>
      <c r="S291" s="42">
        <f>'[1]побудинковий звіт'!S291+'[2]побудинковий звіт'!S291-'[3]побудинковий звіт'!S291</f>
        <v>0</v>
      </c>
      <c r="T291" s="56">
        <f t="shared" si="299"/>
        <v>0</v>
      </c>
      <c r="U291" s="42">
        <f>'[1]побудинковий звіт'!U291+'[2]побудинковий звіт'!U291-'[3]побудинковий звіт'!U291</f>
        <v>0</v>
      </c>
      <c r="V291" s="42">
        <f>'[1]побудинковий звіт'!V291+'[2]побудинковий звіт'!V291-'[3]побудинковий звіт'!V291</f>
        <v>0</v>
      </c>
      <c r="W291" s="56">
        <f t="shared" si="300"/>
        <v>0</v>
      </c>
      <c r="X291" s="42">
        <f>'[1]побудинковий звіт'!X291+'[2]побудинковий звіт'!X291-'[3]побудинковий звіт'!X291</f>
        <v>378.20546734311733</v>
      </c>
      <c r="Y291" s="42">
        <f>'[1]побудинковий звіт'!Y291+'[2]побудинковий звіт'!Y291-'[3]побудинковий звіт'!Y291</f>
        <v>318.24181312239756</v>
      </c>
      <c r="Z291" s="56">
        <f t="shared" si="301"/>
        <v>-59.963654220719775</v>
      </c>
      <c r="AA291" s="42">
        <f>'[1]побудинковий звіт'!AA291+'[2]побудинковий звіт'!AA291-'[3]побудинковий звіт'!AA291</f>
        <v>0</v>
      </c>
      <c r="AB291" s="42">
        <f>'[1]побудинковий звіт'!AB291+'[2]побудинковий звіт'!AB291-'[3]побудинковий звіт'!AB291</f>
        <v>0</v>
      </c>
      <c r="AC291" s="56">
        <f t="shared" si="302"/>
        <v>0</v>
      </c>
      <c r="AD291" s="42">
        <f>'[1]побудинковий звіт'!AD291+'[2]побудинковий звіт'!AD291-'[3]побудинковий звіт'!AD291</f>
        <v>1285.7425420344505</v>
      </c>
      <c r="AE291" s="42">
        <f>'[1]побудинковий звіт'!AE291+'[2]побудинковий звіт'!AE291-'[3]побудинковий звіт'!AE291</f>
        <v>1182.7758898933739</v>
      </c>
      <c r="AF291" s="37">
        <f t="shared" si="303"/>
        <v>-102.96665214107657</v>
      </c>
      <c r="AG291" s="87">
        <f t="shared" si="293"/>
        <v>3935.6071100874397</v>
      </c>
      <c r="AH291" s="57">
        <f t="shared" si="293"/>
        <v>3560.7731483299253</v>
      </c>
      <c r="AI291" s="56">
        <f t="shared" si="304"/>
        <v>-374.83396175751432</v>
      </c>
      <c r="AJ291" s="42">
        <f>'[1]побудинковий звіт'!AJ291+'[2]побудинковий звіт'!AJ291-'[3]побудинковий звіт'!AJ291</f>
        <v>0</v>
      </c>
      <c r="AK291" s="42">
        <f>'[1]побудинковий звіт'!AK291+'[2]побудинковий звіт'!AK291-'[3]побудинковий звіт'!AK291</f>
        <v>0</v>
      </c>
      <c r="AL291" s="56">
        <f t="shared" si="305"/>
        <v>0</v>
      </c>
      <c r="AM291" s="42">
        <f>'[1]побудинковий звіт'!AM291+'[2]побудинковий звіт'!AM291-'[3]побудинковий звіт'!AM291</f>
        <v>0</v>
      </c>
      <c r="AN291" s="42">
        <f>'[1]побудинковий звіт'!AN291+'[2]побудинковий звіт'!AN291-'[3]побудинковий звіт'!AN291</f>
        <v>0</v>
      </c>
      <c r="AO291" s="56">
        <f t="shared" si="306"/>
        <v>0</v>
      </c>
      <c r="AP291" s="42">
        <f>'[1]побудинковий звіт'!AP291+'[2]побудинковий звіт'!AP291-'[3]побудинковий звіт'!AP291</f>
        <v>947.01764289364985</v>
      </c>
      <c r="AQ291" s="42">
        <f>'[1]побудинковий звіт'!AQ291+'[2]побудинковий звіт'!AQ291-'[3]побудинковий звіт'!AQ291</f>
        <v>280.28737885440523</v>
      </c>
      <c r="AR291" s="56">
        <f t="shared" si="307"/>
        <v>-666.73026403924462</v>
      </c>
      <c r="AS291" s="42">
        <f>'[1]побудинковий звіт'!AS291+'[2]побудинковий звіт'!AS291-'[3]побудинковий звіт'!AS291</f>
        <v>3510.0269344658295</v>
      </c>
      <c r="AT291" s="42">
        <f>'[1]побудинковий звіт'!AT291+'[2]побудинковий звіт'!AT291-'[3]побудинковий звіт'!AT291</f>
        <v>1054</v>
      </c>
      <c r="AU291" s="58">
        <f t="shared" si="322"/>
        <v>-2456.0269344658295</v>
      </c>
      <c r="AV291" s="42">
        <f>'[1]побудинковий звіт'!AV291+'[2]побудинковий звіт'!AV291-'[3]побудинковий звіт'!AV291</f>
        <v>374.52482092463612</v>
      </c>
      <c r="AW291" s="42">
        <f>'[1]побудинковий звіт'!AW291+'[2]побудинковий звіт'!AW291-'[3]побудинковий звіт'!AW291</f>
        <v>0</v>
      </c>
      <c r="AX291" s="59">
        <f t="shared" si="323"/>
        <v>-374.52482092463612</v>
      </c>
      <c r="AY291" s="42">
        <f>'[1]побудинковий звіт'!AY291+'[2]побудинковий звіт'!AY291-'[3]побудинковий звіт'!AY291</f>
        <v>430.95285496097796</v>
      </c>
      <c r="AZ291" s="42">
        <f>'[1]побудинковий звіт'!AZ291+'[2]побудинковий звіт'!AZ291-'[3]побудинковий звіт'!AZ291</f>
        <v>0</v>
      </c>
      <c r="BA291" s="37">
        <f t="shared" si="324"/>
        <v>-430.95285496097796</v>
      </c>
      <c r="BB291" s="42">
        <f>'[1]побудинковий звіт'!BB291+'[2]побудинковий звіт'!BB291-'[3]побудинковий звіт'!BB291</f>
        <v>0</v>
      </c>
      <c r="BC291" s="42">
        <f>'[1]побудинковий звіт'!BC291+'[2]побудинковий звіт'!BC291-'[3]побудинковий звіт'!BC291</f>
        <v>0</v>
      </c>
      <c r="BD291" s="59">
        <f t="shared" si="325"/>
        <v>0</v>
      </c>
      <c r="BE291" s="42">
        <f>'[1]побудинковий звіт'!BE291+'[2]побудинковий звіт'!BE291-'[3]побудинковий звіт'!BE291</f>
        <v>0</v>
      </c>
      <c r="BF291" s="42">
        <f>'[1]побудинковий звіт'!BF291+'[2]побудинковий звіт'!BF291-'[3]побудинковий звіт'!BF291</f>
        <v>0</v>
      </c>
      <c r="BG291" s="39">
        <f t="shared" si="326"/>
        <v>0</v>
      </c>
      <c r="BH291" s="42">
        <f>'[1]побудинковий звіт'!BH291+'[2]побудинковий звіт'!BH291-'[3]побудинковий звіт'!BH291</f>
        <v>0</v>
      </c>
      <c r="BI291" s="42">
        <f>'[1]побудинковий звіт'!BI291+'[2]побудинковий звіт'!BI291-'[3]побудинковий звіт'!BI291</f>
        <v>0</v>
      </c>
      <c r="BJ291" s="59">
        <f t="shared" si="327"/>
        <v>0</v>
      </c>
      <c r="BK291" s="42">
        <f>'[1]побудинковий звіт'!BK291+'[2]побудинковий звіт'!BK291-'[3]побудинковий звіт'!BK291</f>
        <v>59.168610702023372</v>
      </c>
      <c r="BL291" s="42">
        <f>'[1]побудинковий звіт'!BL291+'[2]побудинковий звіт'!BL291-'[3]побудинковий звіт'!BL291</f>
        <v>0</v>
      </c>
      <c r="BM291" s="39">
        <f t="shared" si="328"/>
        <v>-59.168610702023372</v>
      </c>
      <c r="BN291" s="42">
        <f>'[1]побудинковий звіт'!BN291+'[2]побудинковий звіт'!BN291-'[3]побудинковий звіт'!BN291</f>
        <v>0</v>
      </c>
      <c r="BO291" s="42">
        <f>'[1]побудинковий звіт'!BO291+'[2]побудинковий звіт'!BO291-'[3]побудинковий звіт'!BO291</f>
        <v>0</v>
      </c>
      <c r="BP291" s="59">
        <f t="shared" si="329"/>
        <v>0</v>
      </c>
      <c r="BQ291" s="87">
        <f t="shared" si="282"/>
        <v>864.64628658763741</v>
      </c>
      <c r="BR291" s="43">
        <f t="shared" si="331"/>
        <v>0</v>
      </c>
      <c r="BS291" s="59">
        <f t="shared" si="330"/>
        <v>-864.64628658763741</v>
      </c>
      <c r="BT291" s="42">
        <f>'[1]побудинковий звіт'!BT291+'[2]побудинковий звіт'!BT291-'[3]побудинковий звіт'!BT291</f>
        <v>3789.4555103094526</v>
      </c>
      <c r="BU291" s="42">
        <f>'[1]побудинковий звіт'!BU291+'[2]побудинковий звіт'!BU291-'[3]побудинковий звіт'!BU291</f>
        <v>4039.8169433877961</v>
      </c>
      <c r="BV291" s="56">
        <f t="shared" si="308"/>
        <v>250.36143307834345</v>
      </c>
      <c r="BW291" s="42">
        <f>'[1]побудинковий звіт'!BW291+'[2]побудинковий звіт'!BW291-'[3]побудинковий звіт'!BW291</f>
        <v>2193.4912133478815</v>
      </c>
      <c r="BX291" s="42">
        <f>'[1]побудинковий звіт'!BX291+'[2]побудинковий звіт'!BX291-'[3]побудинковий звіт'!BX291</f>
        <v>2580.8179420191077</v>
      </c>
      <c r="BY291" s="56">
        <f t="shared" si="309"/>
        <v>387.32672867122619</v>
      </c>
      <c r="BZ291" s="42">
        <f>'[1]побудинковий звіт'!BZ291+'[2]побудинковий звіт'!BZ291-'[3]побудинковий звіт'!BZ291</f>
        <v>377.74604452568258</v>
      </c>
      <c r="CA291" s="42">
        <f>'[1]побудинковий звіт'!CA291+'[2]побудинковий звіт'!CA291-'[3]побудинковий звіт'!CA291</f>
        <v>1328.8255780922923</v>
      </c>
      <c r="CB291" s="56">
        <f t="shared" si="310"/>
        <v>951.07953356660971</v>
      </c>
      <c r="CC291" s="42">
        <f>'[1]побудинковий звіт'!CC291+'[2]побудинковий звіт'!CC291-'[3]побудинковий звіт'!CC291</f>
        <v>0</v>
      </c>
      <c r="CD291" s="42">
        <f>'[1]побудинковий звіт'!CD291+'[2]побудинковий звіт'!CD291-'[3]побудинковий звіт'!CD291</f>
        <v>0</v>
      </c>
      <c r="CE291" s="56">
        <f t="shared" si="311"/>
        <v>0</v>
      </c>
      <c r="CF291" s="42">
        <f>'[1]побудинковий звіт'!CF291+'[2]побудинковий звіт'!CF291-'[3]побудинковий звіт'!CF291</f>
        <v>0</v>
      </c>
      <c r="CG291" s="42">
        <f>'[1]побудинковий звіт'!CG291+'[2]побудинковий звіт'!CG291-'[3]побудинковий звіт'!CG291</f>
        <v>0</v>
      </c>
      <c r="CH291" s="56">
        <f t="shared" si="312"/>
        <v>0</v>
      </c>
      <c r="CI291" s="42">
        <f>'[1]побудинковий звіт'!CI291+'[2]побудинковий звіт'!CI291-'[3]побудинковий звіт'!CI291</f>
        <v>0</v>
      </c>
      <c r="CJ291" s="42">
        <f>'[1]побудинковий звіт'!CJ291+'[2]побудинковий звіт'!CJ291-'[3]побудинковий звіт'!CJ291</f>
        <v>0</v>
      </c>
      <c r="CK291" s="56">
        <f t="shared" si="313"/>
        <v>0</v>
      </c>
      <c r="CL291" s="42">
        <f>'[1]побудинковий звіт'!CL291+'[2]побудинковий звіт'!CL291-'[3]побудинковий звіт'!CL291</f>
        <v>0</v>
      </c>
      <c r="CM291" s="42">
        <f>'[1]побудинковий звіт'!CM291+'[2]побудинковий звіт'!CM291-'[3]побудинковий звіт'!CM291</f>
        <v>0</v>
      </c>
      <c r="CN291" s="56">
        <f t="shared" si="314"/>
        <v>0</v>
      </c>
      <c r="CO291" s="42">
        <f t="shared" si="294"/>
        <v>0</v>
      </c>
      <c r="CP291" s="43">
        <f t="shared" si="315"/>
        <v>0</v>
      </c>
      <c r="CQ291" s="56">
        <f t="shared" si="316"/>
        <v>0</v>
      </c>
      <c r="CR291" s="78">
        <f t="shared" si="295"/>
        <v>15617.990742217575</v>
      </c>
      <c r="CS291" s="5">
        <f t="shared" si="295"/>
        <v>12844.520990683526</v>
      </c>
      <c r="CT291" s="56">
        <f t="shared" si="317"/>
        <v>-2773.4697515340486</v>
      </c>
      <c r="CU291" s="87">
        <f t="shared" si="318"/>
        <v>18741.588890661089</v>
      </c>
      <c r="CV291" s="70">
        <f t="shared" si="319"/>
        <v>15413.425188820231</v>
      </c>
      <c r="CW291" s="37">
        <f t="shared" si="320"/>
        <v>-3328.1637018408583</v>
      </c>
      <c r="CX291" s="42">
        <f>'[1]побудинковий звіт'!CX291+'[2]побудинковий звіт'!CX291-'[3]побудинковий звіт'!CX291</f>
        <v>435.67110933891286</v>
      </c>
      <c r="CY291" s="42">
        <f>'[1]побудинковий звіт'!CY291+'[2]побудинковий звіт'!CY291-'[3]побудинковий звіт'!CY291</f>
        <v>3763.8348111797704</v>
      </c>
      <c r="CZ291" s="56">
        <f t="shared" si="321"/>
        <v>3328.1637018408574</v>
      </c>
      <c r="DA291" s="264">
        <f>'[4]побудинковий звіт'!DA291</f>
        <v>-19622.229050857815</v>
      </c>
      <c r="DB291" s="2">
        <v>3</v>
      </c>
      <c r="DC291" s="717">
        <f>'[4]побудинковий звіт'!DC291</f>
        <v>8660.99</v>
      </c>
      <c r="DD291" s="717">
        <f>'[4]побудинковий звіт'!DD291</f>
        <v>482.77</v>
      </c>
      <c r="DE291" s="717">
        <f>'[4]побудинковий звіт'!DE291</f>
        <v>7546.57</v>
      </c>
      <c r="DF291" s="717">
        <f>'[4]побудинковий звіт'!DF291</f>
        <v>0</v>
      </c>
      <c r="DG291" s="787">
        <v>-13156.756559816407</v>
      </c>
      <c r="DH291" s="761">
        <f t="shared" si="290"/>
        <v>230127.12000000002</v>
      </c>
      <c r="DI291" s="784"/>
      <c r="DJ291" s="5"/>
      <c r="DK291" s="317">
        <f>VLOOKUP($A291,ціни!$A$4:$G$401,5)</f>
        <v>5.732574189327484</v>
      </c>
      <c r="DL291" s="317"/>
      <c r="DM291" s="317">
        <f>VLOOKUP($A291,ціни!$A$4:$G$401,7)</f>
        <v>4.5760266102731739</v>
      </c>
      <c r="DN291" s="30">
        <f t="shared" si="332"/>
        <v>5711.3636648269721</v>
      </c>
      <c r="DO291" s="30">
        <v>432.34</v>
      </c>
      <c r="DP291" s="316">
        <f t="shared" si="278"/>
        <v>6143.7036648269723</v>
      </c>
      <c r="DQ291" s="104"/>
      <c r="DR291" s="30">
        <f>VLOOKUP(A291,'ДЗ нас '!$A$1:$C$359,2)</f>
        <v>1115.56</v>
      </c>
      <c r="DS291" s="748">
        <f>VLOOKUP(A291,'ДЗ нежит'!$A$1:$D$153,4,0)</f>
        <v>482.77</v>
      </c>
      <c r="DT291" s="30">
        <f t="shared" si="279"/>
        <v>1598.33</v>
      </c>
      <c r="DU291" s="257">
        <f>VLOOKUP(A291,'новий кошторис с 01.06'!$A$4:$AI$399,35)*1.2</f>
        <v>1608.6530464484099</v>
      </c>
      <c r="DV291" s="30">
        <f t="shared" si="280"/>
        <v>-10.323046448409968</v>
      </c>
      <c r="DW291" s="930">
        <f>'[5]побудинковий звіт'!DW291+'[6]побудинковий звіт'!DW291</f>
        <v>0</v>
      </c>
      <c r="DY291" s="5">
        <f t="shared" si="286"/>
        <v>5249.60786526416</v>
      </c>
      <c r="DZ291" s="5">
        <f t="shared" si="287"/>
        <v>1264.8</v>
      </c>
      <c r="EA291" s="752">
        <f t="shared" si="291"/>
        <v>7546.57</v>
      </c>
      <c r="EC291" s="592">
        <f t="shared" si="288"/>
        <v>42120.323213589953</v>
      </c>
      <c r="EE291" s="758">
        <v>10015</v>
      </c>
      <c r="EF291" s="738">
        <f t="shared" si="289"/>
        <v>-3141.7565598164074</v>
      </c>
      <c r="EH291" s="813">
        <v>-17403.272562748196</v>
      </c>
    </row>
    <row r="292" spans="1:138" x14ac:dyDescent="0.3">
      <c r="A292" s="328">
        <v>150000808</v>
      </c>
      <c r="B292" s="44" t="s">
        <v>745</v>
      </c>
      <c r="C292" s="45" t="s">
        <v>297</v>
      </c>
      <c r="D292" s="45" t="s">
        <v>297</v>
      </c>
      <c r="E292" s="40">
        <f t="shared" si="292"/>
        <v>6781.15</v>
      </c>
      <c r="F292" s="490">
        <v>6584.95</v>
      </c>
      <c r="G292" s="30"/>
      <c r="H292" s="30">
        <v>196.2</v>
      </c>
      <c r="I292" s="42">
        <f>'[1]побудинковий звіт'!I292+'[2]побудинковий звіт'!I292-'[3]побудинковий звіт'!I292</f>
        <v>6167.5010965697556</v>
      </c>
      <c r="J292" s="42">
        <f>'[1]побудинковий звіт'!J292+'[2]побудинковий звіт'!J292-'[3]побудинковий звіт'!J292</f>
        <v>6164.5118232761224</v>
      </c>
      <c r="K292" s="56">
        <f t="shared" si="296"/>
        <v>-2.9892732936332322</v>
      </c>
      <c r="L292" s="42">
        <f>'[1]побудинковий звіт'!L292+'[2]побудинковий звіт'!L292-'[3]побудинковий звіт'!L292</f>
        <v>1166.4230722268235</v>
      </c>
      <c r="M292" s="42">
        <f>'[1]побудинковий звіт'!M292+'[2]побудинковий звіт'!M292-'[3]побудинковий звіт'!M292</f>
        <v>1186.7833678166567</v>
      </c>
      <c r="N292" s="56">
        <f t="shared" si="297"/>
        <v>20.360295589833186</v>
      </c>
      <c r="O292" s="42">
        <f>'[1]побудинковий звіт'!O292+'[2]побудинковий звіт'!O292-'[3]побудинковий звіт'!O292</f>
        <v>2738.7599999999998</v>
      </c>
      <c r="P292" s="42">
        <f>'[1]побудинковий звіт'!P292+'[2]побудинковий звіт'!P292-'[3]побудинковий звіт'!P292</f>
        <v>2152.7592403225808</v>
      </c>
      <c r="Q292" s="56">
        <f t="shared" si="298"/>
        <v>-586.00075967741896</v>
      </c>
      <c r="R292" s="42">
        <f>'[1]побудинковий звіт'!R292+'[2]побудинковий звіт'!R292-'[3]побудинковий звіт'!R292</f>
        <v>0</v>
      </c>
      <c r="S292" s="42">
        <f>'[1]побудинковий звіт'!S292+'[2]побудинковий звіт'!S292-'[3]побудинковий звіт'!S292</f>
        <v>0</v>
      </c>
      <c r="T292" s="56">
        <f t="shared" si="299"/>
        <v>0</v>
      </c>
      <c r="U292" s="42">
        <f>'[1]побудинковий звіт'!U292+'[2]побудинковий звіт'!U292-'[3]побудинковий звіт'!U292</f>
        <v>0</v>
      </c>
      <c r="V292" s="42">
        <f>'[1]побудинковий звіт'!V292+'[2]побудинковий звіт'!V292-'[3]побудинковий звіт'!V292</f>
        <v>0</v>
      </c>
      <c r="W292" s="56">
        <f t="shared" si="300"/>
        <v>0</v>
      </c>
      <c r="X292" s="42">
        <f>'[1]побудинковий звіт'!X292+'[2]побудинковий звіт'!X292-'[3]побудинковий звіт'!X292</f>
        <v>3277.3761483208355</v>
      </c>
      <c r="Y292" s="42">
        <f>'[1]побудинковий звіт'!Y292+'[2]побудинковий звіт'!Y292-'[3]побудинковий звіт'!Y292</f>
        <v>4613.4224948143165</v>
      </c>
      <c r="Z292" s="56">
        <f t="shared" si="301"/>
        <v>1336.046346493481</v>
      </c>
      <c r="AA292" s="42">
        <f>'[1]побудинковий звіт'!AA292+'[2]побудинковий звіт'!AA292-'[3]побудинковий звіт'!AA292</f>
        <v>0</v>
      </c>
      <c r="AB292" s="42">
        <f>'[1]побудинковий звіт'!AB292+'[2]побудинковий звіт'!AB292-'[3]побудинковий звіт'!AB292</f>
        <v>0</v>
      </c>
      <c r="AC292" s="56">
        <f t="shared" si="302"/>
        <v>0</v>
      </c>
      <c r="AD292" s="42">
        <f>'[1]побудинковий звіт'!AD292+'[2]побудинковий звіт'!AD292-'[3]побудинковий звіт'!AD292</f>
        <v>8341.2921549744096</v>
      </c>
      <c r="AE292" s="42">
        <f>'[1]побудинковий звіт'!AE292+'[2]побудинковий звіт'!AE292-'[3]побудинковий звіт'!AE292</f>
        <v>7688.1134178839702</v>
      </c>
      <c r="AF292" s="37">
        <f t="shared" si="303"/>
        <v>-653.17873709043943</v>
      </c>
      <c r="AG292" s="87">
        <f t="shared" si="293"/>
        <v>21691.352472091825</v>
      </c>
      <c r="AH292" s="57">
        <f t="shared" si="293"/>
        <v>21805.590344113647</v>
      </c>
      <c r="AI292" s="56">
        <f t="shared" si="304"/>
        <v>114.23787202182211</v>
      </c>
      <c r="AJ292" s="42">
        <f>'[1]побудинковий звіт'!AJ292+'[2]побудинковий звіт'!AJ292-'[3]побудинковий звіт'!AJ292</f>
        <v>0</v>
      </c>
      <c r="AK292" s="42">
        <f>'[1]побудинковий звіт'!AK292+'[2]побудинковий звіт'!AK292-'[3]побудинковий звіт'!AK292</f>
        <v>0</v>
      </c>
      <c r="AL292" s="56">
        <f t="shared" si="305"/>
        <v>0</v>
      </c>
      <c r="AM292" s="42">
        <f>'[1]побудинковий звіт'!AM292+'[2]побудинковий звіт'!AM292-'[3]побудинковий звіт'!AM292</f>
        <v>0</v>
      </c>
      <c r="AN292" s="42">
        <f>'[1]побудинковий звіт'!AN292+'[2]побудинковий звіт'!AN292-'[3]побудинковий звіт'!AN292</f>
        <v>0</v>
      </c>
      <c r="AO292" s="56">
        <f t="shared" si="306"/>
        <v>0</v>
      </c>
      <c r="AP292" s="42">
        <f>'[1]побудинковий звіт'!AP292+'[2]побудинковий звіт'!AP292-'[3]побудинковий звіт'!AP292</f>
        <v>5398.0005644938037</v>
      </c>
      <c r="AQ292" s="42">
        <f>'[1]побудинковий звіт'!AQ292+'[2]побудинковий звіт'!AQ292-'[3]побудинковий звіт'!AQ292</f>
        <v>4970.2861266255277</v>
      </c>
      <c r="AR292" s="56">
        <f t="shared" si="307"/>
        <v>-427.71443786827604</v>
      </c>
      <c r="AS292" s="42">
        <f>'[1]побудинковий звіт'!AS292+'[2]побудинковий звіт'!AS292-'[3]побудинковий звіт'!AS292</f>
        <v>13631.973140803359</v>
      </c>
      <c r="AT292" s="42">
        <f>'[1]побудинковий звіт'!AT292+'[2]побудинковий звіт'!AT292-'[3]побудинковий звіт'!AT292</f>
        <v>4220</v>
      </c>
      <c r="AU292" s="58">
        <f t="shared" si="322"/>
        <v>-9411.9731408033585</v>
      </c>
      <c r="AV292" s="42">
        <f>'[1]побудинковий звіт'!AV292+'[2]побудинковий звіт'!AV292-'[3]побудинковий звіт'!AV292</f>
        <v>1018.7425463430262</v>
      </c>
      <c r="AW292" s="42">
        <f>'[1]побудинковий звіт'!AW292+'[2]побудинковий звіт'!AW292-'[3]побудинковий звіт'!AW292</f>
        <v>0</v>
      </c>
      <c r="AX292" s="59">
        <f t="shared" si="323"/>
        <v>-1018.7425463430262</v>
      </c>
      <c r="AY292" s="42">
        <f>'[1]побудинковий звіт'!AY292+'[2]побудинковий звіт'!AY292-'[3]побудинковий звіт'!AY292</f>
        <v>1503.4989161478395</v>
      </c>
      <c r="AZ292" s="42">
        <f>'[1]побудинковий звіт'!AZ292+'[2]побудинковий звіт'!AZ292-'[3]побудинковий звіт'!AZ292</f>
        <v>0</v>
      </c>
      <c r="BA292" s="37">
        <f t="shared" si="324"/>
        <v>-1503.4989161478395</v>
      </c>
      <c r="BB292" s="42">
        <f>'[1]побудинковий звіт'!BB292+'[2]побудинковий звіт'!BB292-'[3]побудинковий звіт'!BB292</f>
        <v>1493.2565303283902</v>
      </c>
      <c r="BC292" s="42">
        <f>'[1]побудинковий звіт'!BC292+'[2]побудинковий звіт'!BC292-'[3]побудинковий звіт'!BC292</f>
        <v>0</v>
      </c>
      <c r="BD292" s="59">
        <f t="shared" si="325"/>
        <v>-1493.2565303283902</v>
      </c>
      <c r="BE292" s="42">
        <f>'[1]побудинковий звіт'!BE292+'[2]побудинковий звіт'!BE292-'[3]побудинковий звіт'!BE292</f>
        <v>0</v>
      </c>
      <c r="BF292" s="42">
        <f>'[1]побудинковий звіт'!BF292+'[2]побудинковий звіт'!BF292-'[3]побудинковий звіт'!BF292</f>
        <v>0</v>
      </c>
      <c r="BG292" s="39">
        <f t="shared" si="326"/>
        <v>0</v>
      </c>
      <c r="BH292" s="42">
        <f>'[1]побудинковий звіт'!BH292+'[2]побудинковий звіт'!BH292-'[3]побудинковий звіт'!BH292</f>
        <v>0</v>
      </c>
      <c r="BI292" s="42">
        <f>'[1]побудинковий звіт'!BI292+'[2]побудинковий звіт'!BI292-'[3]побудинковий звіт'!BI292</f>
        <v>0</v>
      </c>
      <c r="BJ292" s="59">
        <f t="shared" si="327"/>
        <v>0</v>
      </c>
      <c r="BK292" s="42">
        <f>'[1]побудинковий звіт'!BK292+'[2]побудинковий звіт'!BK292-'[3]побудинковий звіт'!BK292</f>
        <v>418.16601925182806</v>
      </c>
      <c r="BL292" s="42">
        <f>'[1]побудинковий звіт'!BL292+'[2]побудинковий звіт'!BL292-'[3]побудинковий звіт'!BL292</f>
        <v>263</v>
      </c>
      <c r="BM292" s="39">
        <f t="shared" si="328"/>
        <v>-155.16601925182806</v>
      </c>
      <c r="BN292" s="42">
        <f>'[1]побудинковий звіт'!BN292+'[2]побудинковий звіт'!BN292-'[3]побудинковий звіт'!BN292</f>
        <v>0</v>
      </c>
      <c r="BO292" s="42">
        <f>'[1]побудинковий звіт'!BO292+'[2]побудинковий звіт'!BO292-'[3]побудинковий звіт'!BO292</f>
        <v>0</v>
      </c>
      <c r="BP292" s="59">
        <f t="shared" si="329"/>
        <v>0</v>
      </c>
      <c r="BQ292" s="87">
        <f t="shared" si="282"/>
        <v>4433.6640120710845</v>
      </c>
      <c r="BR292" s="43">
        <f t="shared" si="331"/>
        <v>263</v>
      </c>
      <c r="BS292" s="59">
        <f t="shared" si="330"/>
        <v>-4170.6640120710845</v>
      </c>
      <c r="BT292" s="42">
        <f>'[1]побудинковий звіт'!BT292+'[2]побудинковий звіт'!BT292-'[3]побудинковий звіт'!BT292</f>
        <v>21019.683030942371</v>
      </c>
      <c r="BU292" s="42">
        <f>'[1]побудинковий звіт'!BU292+'[2]побудинковий звіт'!BU292-'[3]побудинковий звіт'!BU292</f>
        <v>26963.596125518856</v>
      </c>
      <c r="BV292" s="56">
        <f t="shared" si="308"/>
        <v>5943.9130945764846</v>
      </c>
      <c r="BW292" s="42">
        <f>'[1]побудинковий звіт'!BW292+'[2]побудинковий звіт'!BW292-'[3]побудинковий звіт'!BW292</f>
        <v>9054.9231062835479</v>
      </c>
      <c r="BX292" s="42">
        <f>'[1]побудинковий звіт'!BX292+'[2]побудинковий звіт'!BX292-'[3]побудинковий звіт'!BX292</f>
        <v>9319.1103240249213</v>
      </c>
      <c r="BY292" s="56">
        <f t="shared" si="309"/>
        <v>264.18721774137339</v>
      </c>
      <c r="BZ292" s="42">
        <f>'[1]побудинковий звіт'!BZ292+'[2]побудинковий звіт'!BZ292-'[3]побудинковий звіт'!BZ292</f>
        <v>6791.3433789069441</v>
      </c>
      <c r="CA292" s="42">
        <f>'[1]побудинковий звіт'!CA292+'[2]побудинковий звіт'!CA292-'[3]побудинковий звіт'!CA292</f>
        <v>6138.1112623700683</v>
      </c>
      <c r="CB292" s="56">
        <f t="shared" si="310"/>
        <v>-653.23211653687576</v>
      </c>
      <c r="CC292" s="42">
        <f>'[1]побудинковий звіт'!CC292+'[2]побудинковий звіт'!CC292-'[3]побудинковий звіт'!CC292</f>
        <v>832.39508395141581</v>
      </c>
      <c r="CD292" s="42">
        <f>'[1]побудинковий звіт'!CD292+'[2]побудинковий звіт'!CD292-'[3]побудинковий звіт'!CD292</f>
        <v>825.07393385292028</v>
      </c>
      <c r="CE292" s="56">
        <f t="shared" si="311"/>
        <v>-7.3211500984955364</v>
      </c>
      <c r="CF292" s="42">
        <f>'[1]побудинковий звіт'!CF292+'[2]побудинковий звіт'!CF292-'[3]побудинковий звіт'!CF292</f>
        <v>102.47287965310991</v>
      </c>
      <c r="CG292" s="42">
        <f>'[1]побудинковий звіт'!CG292+'[2]побудинковий звіт'!CG292-'[3]побудинковий звіт'!CG292</f>
        <v>0</v>
      </c>
      <c r="CH292" s="56">
        <f t="shared" si="312"/>
        <v>-102.47287965310991</v>
      </c>
      <c r="CI292" s="42">
        <f>'[1]побудинковий звіт'!CI292+'[2]побудинковий звіт'!CI292-'[3]побудинковий звіт'!CI292</f>
        <v>7093.9420421558216</v>
      </c>
      <c r="CJ292" s="42">
        <f>'[1]побудинковий звіт'!CJ292+'[2]побудинковий звіт'!CJ292-'[3]побудинковий звіт'!CJ292</f>
        <v>2368.4657105587667</v>
      </c>
      <c r="CK292" s="56">
        <f t="shared" si="313"/>
        <v>-4725.4763315970549</v>
      </c>
      <c r="CL292" s="42">
        <f>'[1]побудинковий звіт'!CL292+'[2]побудинковий звіт'!CL292-'[3]побудинковий звіт'!CL292</f>
        <v>0</v>
      </c>
      <c r="CM292" s="42">
        <f>'[1]побудинковий звіт'!CM292+'[2]побудинковий звіт'!CM292-'[3]побудинковий звіт'!CM292</f>
        <v>0</v>
      </c>
      <c r="CN292" s="56">
        <f t="shared" si="314"/>
        <v>0</v>
      </c>
      <c r="CO292" s="42">
        <f t="shared" si="294"/>
        <v>7093.9420421558216</v>
      </c>
      <c r="CP292" s="43">
        <f t="shared" si="315"/>
        <v>2368.4657105587667</v>
      </c>
      <c r="CQ292" s="56">
        <f t="shared" si="316"/>
        <v>-4725.4763315970549</v>
      </c>
      <c r="CR292" s="78">
        <f t="shared" si="295"/>
        <v>90049.749711353274</v>
      </c>
      <c r="CS292" s="5">
        <f t="shared" si="295"/>
        <v>76873.233827064701</v>
      </c>
      <c r="CT292" s="56">
        <f t="shared" si="317"/>
        <v>-13176.515884288572</v>
      </c>
      <c r="CU292" s="87">
        <f t="shared" si="318"/>
        <v>108059.69965362393</v>
      </c>
      <c r="CV292" s="70">
        <f t="shared" si="319"/>
        <v>92247.880592477639</v>
      </c>
      <c r="CW292" s="37">
        <f t="shared" si="320"/>
        <v>-15811.819061146292</v>
      </c>
      <c r="CX292" s="42">
        <f>'[1]побудинковий звіт'!CX292+'[2]побудинковий звіт'!CX292-'[3]побудинковий звіт'!CX292</f>
        <v>2161.1403463760507</v>
      </c>
      <c r="CY292" s="42">
        <f>'[1]побудинковий звіт'!CY292+'[2]побудинковий звіт'!CY292-'[3]побудинковий звіт'!CY292</f>
        <v>17972.95940752235</v>
      </c>
      <c r="CZ292" s="56">
        <f t="shared" si="321"/>
        <v>15811.8190611463</v>
      </c>
      <c r="DA292" s="264">
        <f>'[4]побудинковий звіт'!DA292</f>
        <v>-9147.1497244479779</v>
      </c>
      <c r="DB292" s="2">
        <v>2</v>
      </c>
      <c r="DC292" s="717">
        <f>'[4]побудинковий звіт'!DC292</f>
        <v>16864.64</v>
      </c>
      <c r="DD292" s="717">
        <f>'[4]побудинковий звіт'!DD292</f>
        <v>830.89</v>
      </c>
      <c r="DE292" s="717">
        <f>'[4]побудинковий звіт'!DE292</f>
        <v>8510.4599999999991</v>
      </c>
      <c r="DF292" s="717">
        <f>'[4]побудинковий звіт'!DF292</f>
        <v>0</v>
      </c>
      <c r="DG292" s="787">
        <v>12663.564467620803</v>
      </c>
      <c r="DH292" s="761">
        <f t="shared" si="290"/>
        <v>1322650.0799999998</v>
      </c>
      <c r="DI292" s="784"/>
      <c r="DJ292" s="5"/>
      <c r="DK292" s="317">
        <f>VLOOKUP($A292,ціни!$A$4:$G$401,5)</f>
        <v>4.7613040774596502</v>
      </c>
      <c r="DL292" s="317"/>
      <c r="DM292" s="317">
        <f>VLOOKUP($A292,ціни!$A$4:$G$401,7)</f>
        <v>4.2349150675195375</v>
      </c>
      <c r="DN292" s="30">
        <f t="shared" si="332"/>
        <v>31352.949284867922</v>
      </c>
      <c r="DO292" s="30">
        <f t="shared" ref="DO292:DO322" si="334">H292*DM292</f>
        <v>830.89033624733327</v>
      </c>
      <c r="DP292" s="316">
        <f t="shared" si="278"/>
        <v>32183.839621115254</v>
      </c>
      <c r="DQ292" s="104"/>
      <c r="DR292" s="30">
        <f>VLOOKUP(A292,'ДЗ нас '!$A$1:$C$359,2)</f>
        <v>8354.18</v>
      </c>
      <c r="DS292" s="748">
        <f>VLOOKUP(A292,'ДЗ нежит'!$A$1:$D$153,4,0)</f>
        <v>830.89</v>
      </c>
      <c r="DT292" s="30">
        <f t="shared" si="279"/>
        <v>9185.07</v>
      </c>
      <c r="DU292" s="257">
        <f>VLOOKUP(A292,'новий кошторис с 01.06'!$A$4:$AI$399,35)*1.2</f>
        <v>9221.0943704425754</v>
      </c>
      <c r="DV292" s="30">
        <f t="shared" si="280"/>
        <v>-36.024370442575673</v>
      </c>
      <c r="DW292" s="930">
        <f>'[5]побудинковий звіт'!DW292+'[6]побудинковий звіт'!DW292</f>
        <v>236</v>
      </c>
      <c r="DY292" s="5">
        <f t="shared" si="286"/>
        <v>21678.764583449331</v>
      </c>
      <c r="DZ292" s="5">
        <f t="shared" si="287"/>
        <v>5379.5999999999995</v>
      </c>
      <c r="EA292" s="752">
        <f t="shared" si="291"/>
        <v>8510.4599999999991</v>
      </c>
      <c r="EC292" s="592">
        <f t="shared" si="288"/>
        <v>163583.67768964032</v>
      </c>
      <c r="EE292" s="758">
        <v>-32162</v>
      </c>
      <c r="EF292" s="738">
        <f t="shared" si="289"/>
        <v>-19498.435532379197</v>
      </c>
      <c r="EH292" s="813">
        <v>2997.051260575905</v>
      </c>
    </row>
    <row r="293" spans="1:138" x14ac:dyDescent="0.3">
      <c r="A293" s="328">
        <v>150000827</v>
      </c>
      <c r="B293" s="44" t="s">
        <v>746</v>
      </c>
      <c r="C293" s="45" t="s">
        <v>298</v>
      </c>
      <c r="D293" s="45" t="s">
        <v>298</v>
      </c>
      <c r="E293" s="40">
        <f t="shared" si="292"/>
        <v>4965.33</v>
      </c>
      <c r="F293" s="490">
        <v>4138.63</v>
      </c>
      <c r="G293" s="30"/>
      <c r="H293" s="30">
        <v>826.7</v>
      </c>
      <c r="I293" s="42">
        <f>'[1]побудинковий звіт'!I293+'[2]побудинковий звіт'!I293-'[3]побудинковий звіт'!I293</f>
        <v>14611.936795662728</v>
      </c>
      <c r="J293" s="42">
        <f>'[1]побудинковий звіт'!J293+'[2]побудинковий звіт'!J293-'[3]побудинковий звіт'!J293</f>
        <v>14604.822287554916</v>
      </c>
      <c r="K293" s="56">
        <f t="shared" si="296"/>
        <v>-7.1145081078120711</v>
      </c>
      <c r="L293" s="42">
        <f>'[1]побудинковий звіт'!L293+'[2]побудинковий звіт'!L293-'[3]побудинковий звіт'!L293</f>
        <v>2854.2153542038536</v>
      </c>
      <c r="M293" s="42">
        <f>'[1]побудинковий звіт'!M293+'[2]побудинковий звіт'!M293-'[3]побудинковий звіт'!M293</f>
        <v>2892.1703374967724</v>
      </c>
      <c r="N293" s="56">
        <f t="shared" si="297"/>
        <v>37.954983292918769</v>
      </c>
      <c r="O293" s="42">
        <f>'[1]побудинковий звіт'!O293+'[2]побудинковий звіт'!O293-'[3]побудинковий звіт'!O293</f>
        <v>5765.04</v>
      </c>
      <c r="P293" s="42">
        <f>'[1]побудинковий звіт'!P293+'[2]побудинковий звіт'!P293-'[3]побудинковий звіт'!P293</f>
        <v>4531.513646236559</v>
      </c>
      <c r="Q293" s="56">
        <f t="shared" si="298"/>
        <v>-1233.526353763441</v>
      </c>
      <c r="R293" s="42">
        <f>'[1]побудинковий звіт'!R293+'[2]побудинковий звіт'!R293-'[3]побудинковий звіт'!R293</f>
        <v>0</v>
      </c>
      <c r="S293" s="42">
        <f>'[1]побудинковий звіт'!S293+'[2]побудинковий звіт'!S293-'[3]побудинковий звіт'!S293</f>
        <v>0</v>
      </c>
      <c r="T293" s="56">
        <f t="shared" si="299"/>
        <v>0</v>
      </c>
      <c r="U293" s="42">
        <f>'[1]побудинковий звіт'!U293+'[2]побудинковий звіт'!U293-'[3]побудинковий звіт'!U293</f>
        <v>0</v>
      </c>
      <c r="V293" s="42">
        <f>'[1]побудинковий звіт'!V293+'[2]побудинковий звіт'!V293-'[3]побудинковий звіт'!V293</f>
        <v>0</v>
      </c>
      <c r="W293" s="56">
        <f t="shared" si="300"/>
        <v>0</v>
      </c>
      <c r="X293" s="42">
        <f>'[1]побудинковий звіт'!X293+'[2]побудинковий звіт'!X293-'[3]побудинковий звіт'!X293</f>
        <v>10124.033222615551</v>
      </c>
      <c r="Y293" s="42">
        <f>'[1]побудинковий звіт'!Y293+'[2]побудинковий звіт'!Y293-'[3]побудинковий звіт'!Y293</f>
        <v>8061.2017984065114</v>
      </c>
      <c r="Z293" s="56">
        <f t="shared" si="301"/>
        <v>-2062.8314242090401</v>
      </c>
      <c r="AA293" s="42">
        <f>'[1]побудинковий звіт'!AA293+'[2]побудинковий звіт'!AA293-'[3]побудинковий звіт'!AA293</f>
        <v>0</v>
      </c>
      <c r="AB293" s="42">
        <f>'[1]побудинковий звіт'!AB293+'[2]побудинковий звіт'!AB293-'[3]побудинковий звіт'!AB293</f>
        <v>0</v>
      </c>
      <c r="AC293" s="56">
        <f t="shared" si="302"/>
        <v>0</v>
      </c>
      <c r="AD293" s="42">
        <f>'[1]побудинковий звіт'!AD293+'[2]побудинковий звіт'!AD293-'[3]побудинковий звіт'!AD293</f>
        <v>18902.168458835029</v>
      </c>
      <c r="AE293" s="42">
        <f>'[1]побудинковий звіт'!AE293+'[2]побудинковий звіт'!AE293-'[3]побудинковий звіт'!AE293</f>
        <v>17932.389564471909</v>
      </c>
      <c r="AF293" s="37">
        <f t="shared" si="303"/>
        <v>-969.77889436312034</v>
      </c>
      <c r="AG293" s="87">
        <f t="shared" si="293"/>
        <v>52257.393831317167</v>
      </c>
      <c r="AH293" s="57">
        <f t="shared" si="293"/>
        <v>48022.097634166668</v>
      </c>
      <c r="AI293" s="56">
        <f t="shared" si="304"/>
        <v>-4235.2961971504992</v>
      </c>
      <c r="AJ293" s="42">
        <f>'[1]побудинковий звіт'!AJ293+'[2]побудинковий звіт'!AJ293-'[3]побудинковий звіт'!AJ293</f>
        <v>0</v>
      </c>
      <c r="AK293" s="42">
        <f>'[1]побудинковий звіт'!AK293+'[2]побудинковий звіт'!AK293-'[3]побудинковий звіт'!AK293</f>
        <v>0</v>
      </c>
      <c r="AL293" s="56">
        <f t="shared" si="305"/>
        <v>0</v>
      </c>
      <c r="AM293" s="42">
        <f>'[1]побудинковий звіт'!AM293+'[2]побудинковий звіт'!AM293-'[3]побудинковий звіт'!AM293</f>
        <v>0</v>
      </c>
      <c r="AN293" s="42">
        <f>'[1]побудинковий звіт'!AN293+'[2]побудинковий звіт'!AN293-'[3]побудинковий звіт'!AN293</f>
        <v>0</v>
      </c>
      <c r="AO293" s="56">
        <f t="shared" si="306"/>
        <v>0</v>
      </c>
      <c r="AP293" s="42">
        <f>'[1]побудинковий звіт'!AP293+'[2]побудинковий звіт'!AP293-'[3]побудинковий звіт'!AP293</f>
        <v>12642.685532630223</v>
      </c>
      <c r="AQ293" s="42">
        <f>'[1]побудинковий звіт'!AQ293+'[2]побудинковий звіт'!AQ293-'[3]побудинковий звіт'!AQ293</f>
        <v>11798.169694006105</v>
      </c>
      <c r="AR293" s="56">
        <f t="shared" si="307"/>
        <v>-844.51583862411826</v>
      </c>
      <c r="AS293" s="42">
        <f>'[1]побудинковий звіт'!AS293+'[2]побудинковий звіт'!AS293-'[3]побудинковий звіт'!AS293</f>
        <v>47618.331938384217</v>
      </c>
      <c r="AT293" s="42">
        <f>'[1]побудинковий звіт'!AT293+'[2]побудинковий звіт'!AT293-'[3]побудинковий звіт'!AT293</f>
        <v>16524</v>
      </c>
      <c r="AU293" s="58">
        <f t="shared" si="322"/>
        <v>-31094.331938384217</v>
      </c>
      <c r="AV293" s="42">
        <f>'[1]побудинковий звіт'!AV293+'[2]побудинковий звіт'!AV293-'[3]побудинковий звіт'!AV293</f>
        <v>2341.2061018613631</v>
      </c>
      <c r="AW293" s="42">
        <f>'[1]побудинковий звіт'!AW293+'[2]побудинковий звіт'!AW293-'[3]побудинковий звіт'!AW293</f>
        <v>6509</v>
      </c>
      <c r="AX293" s="59">
        <f t="shared" si="323"/>
        <v>4167.7938981386369</v>
      </c>
      <c r="AY293" s="42">
        <f>'[1]побудинковий звіт'!AY293+'[2]побудинковий звіт'!AY293-'[3]побудинковий звіт'!AY293</f>
        <v>3678.6579516219567</v>
      </c>
      <c r="AZ293" s="42">
        <f>'[1]побудинковий звіт'!AZ293+'[2]побудинковий звіт'!AZ293-'[3]побудинковий звіт'!AZ293</f>
        <v>0</v>
      </c>
      <c r="BA293" s="37">
        <f t="shared" si="324"/>
        <v>-3678.6579516219567</v>
      </c>
      <c r="BB293" s="42">
        <f>'[1]побудинковий звіт'!BB293+'[2]побудинковий звіт'!BB293-'[3]побудинковий звіт'!BB293</f>
        <v>2795.7458479114321</v>
      </c>
      <c r="BC293" s="42">
        <f>'[1]побудинковий звіт'!BC293+'[2]побудинковий звіт'!BC293-'[3]побудинковий звіт'!BC293</f>
        <v>0</v>
      </c>
      <c r="BD293" s="59">
        <f t="shared" si="325"/>
        <v>-2795.7458479114321</v>
      </c>
      <c r="BE293" s="42">
        <f>'[1]побудинковий звіт'!BE293+'[2]побудинковий звіт'!BE293-'[3]побудинковий звіт'!BE293</f>
        <v>0</v>
      </c>
      <c r="BF293" s="42">
        <f>'[1]побудинковий звіт'!BF293+'[2]побудинковий звіт'!BF293-'[3]побудинковий звіт'!BF293</f>
        <v>0</v>
      </c>
      <c r="BG293" s="39">
        <f t="shared" si="326"/>
        <v>0</v>
      </c>
      <c r="BH293" s="42">
        <f>'[1]побудинковий звіт'!BH293+'[2]побудинковий звіт'!BH293-'[3]побудинковий звіт'!BH293</f>
        <v>0</v>
      </c>
      <c r="BI293" s="42">
        <f>'[1]побудинковий звіт'!BI293+'[2]побудинковий звіт'!BI293-'[3]побудинковий звіт'!BI293</f>
        <v>2018.4685484033084</v>
      </c>
      <c r="BJ293" s="59">
        <f t="shared" si="327"/>
        <v>2018.4685484033084</v>
      </c>
      <c r="BK293" s="42">
        <f>'[1]побудинковий звіт'!BK293+'[2]побудинковий звіт'!BK293-'[3]побудинковий звіт'!BK293</f>
        <v>1457.3787839677098</v>
      </c>
      <c r="BL293" s="42">
        <f>'[1]побудинковий звіт'!BL293+'[2]побудинковий звіт'!BL293-'[3]побудинковий звіт'!BL293</f>
        <v>433</v>
      </c>
      <c r="BM293" s="39">
        <f t="shared" si="328"/>
        <v>-1024.3787839677098</v>
      </c>
      <c r="BN293" s="42">
        <f>'[1]побудинковий звіт'!BN293+'[2]побудинковий звіт'!BN293-'[3]побудинковий звіт'!BN293</f>
        <v>0</v>
      </c>
      <c r="BO293" s="42">
        <f>'[1]побудинковий звіт'!BO293+'[2]побудинковий звіт'!BO293-'[3]побудинковий звіт'!BO293</f>
        <v>0</v>
      </c>
      <c r="BP293" s="59">
        <f t="shared" si="329"/>
        <v>0</v>
      </c>
      <c r="BQ293" s="87">
        <f t="shared" si="282"/>
        <v>10272.988685362461</v>
      </c>
      <c r="BR293" s="43">
        <f t="shared" si="331"/>
        <v>8960.4685484033089</v>
      </c>
      <c r="BS293" s="59">
        <f t="shared" si="330"/>
        <v>-1312.5201369591523</v>
      </c>
      <c r="BT293" s="42">
        <f>'[1]побудинковий звіт'!BT293+'[2]побудинковий звіт'!BT293-'[3]побудинковий звіт'!BT293</f>
        <v>29372.262760323363</v>
      </c>
      <c r="BU293" s="42">
        <f>'[1]побудинковий звіт'!BU293+'[2]побудинковий звіт'!BU293-'[3]побудинковий звіт'!BU293</f>
        <v>44679.911712991838</v>
      </c>
      <c r="BV293" s="56">
        <f t="shared" si="308"/>
        <v>15307.648952668475</v>
      </c>
      <c r="BW293" s="42">
        <f>'[1]побудинковий звіт'!BW293+'[2]побудинковий звіт'!BW293-'[3]побудинковий звіт'!BW293</f>
        <v>21560.532085653518</v>
      </c>
      <c r="BX293" s="42">
        <f>'[1]побудинковий звіт'!BX293+'[2]побудинковий звіт'!BX293-'[3]побудинковий звіт'!BX293</f>
        <v>22209.640352545346</v>
      </c>
      <c r="BY293" s="56">
        <f t="shared" si="309"/>
        <v>649.10826689182795</v>
      </c>
      <c r="BZ293" s="42">
        <f>'[1]побудинковий звіт'!BZ293+'[2]побудинковий звіт'!BZ293-'[3]побудинковий звіт'!BZ293</f>
        <v>12517.198044741966</v>
      </c>
      <c r="CA293" s="42">
        <f>'[1]побудинковий звіт'!CA293+'[2]побудинковий звіт'!CA293-'[3]побудинковий звіт'!CA293</f>
        <v>12284.743312108238</v>
      </c>
      <c r="CB293" s="56">
        <f t="shared" si="310"/>
        <v>-232.45473263372878</v>
      </c>
      <c r="CC293" s="42">
        <f>'[1]побудинковий звіт'!CC293+'[2]побудинковий звіт'!CC293-'[3]побудинковий звіт'!CC293</f>
        <v>2027.4555878717706</v>
      </c>
      <c r="CD293" s="42">
        <f>'[1]побудинковий звіт'!CD293+'[2]побудинковий звіт'!CD293-'[3]побудинковий звіт'!CD293</f>
        <v>2009.6235427732081</v>
      </c>
      <c r="CE293" s="56">
        <f t="shared" si="311"/>
        <v>-17.832045098562503</v>
      </c>
      <c r="CF293" s="42">
        <f>'[1]побудинковий звіт'!CF293+'[2]побудинковий звіт'!CF293-'[3]побудинковий звіт'!CF293</f>
        <v>249.5920704766385</v>
      </c>
      <c r="CG293" s="42">
        <f>'[1]побудинковий звіт'!CG293+'[2]побудинковий звіт'!CG293-'[3]побудинковий звіт'!CG293</f>
        <v>0</v>
      </c>
      <c r="CH293" s="56">
        <f t="shared" si="312"/>
        <v>-249.5920704766385</v>
      </c>
      <c r="CI293" s="42">
        <f>'[1]побудинковий звіт'!CI293+'[2]побудинковий звіт'!CI293-'[3]побудинковий звіт'!CI293</f>
        <v>5877.3029056383302</v>
      </c>
      <c r="CJ293" s="42">
        <f>'[1]побудинковий звіт'!CJ293+'[2]побудинковий звіт'!CJ293-'[3]побудинковий звіт'!CJ293</f>
        <v>2841.8476425745762</v>
      </c>
      <c r="CK293" s="56">
        <f t="shared" si="313"/>
        <v>-3035.455263063754</v>
      </c>
      <c r="CL293" s="42">
        <f>'[1]побудинковий звіт'!CL293+'[2]побудинковий звіт'!CL293-'[3]побудинковий звіт'!CL293</f>
        <v>0</v>
      </c>
      <c r="CM293" s="42">
        <f>'[1]побудинковий звіт'!CM293+'[2]побудинковий звіт'!CM293-'[3]побудинковий звіт'!CM293</f>
        <v>0</v>
      </c>
      <c r="CN293" s="56">
        <f t="shared" si="314"/>
        <v>0</v>
      </c>
      <c r="CO293" s="42">
        <f t="shared" si="294"/>
        <v>5877.3029056383302</v>
      </c>
      <c r="CP293" s="43">
        <f t="shared" si="315"/>
        <v>2841.8476425745762</v>
      </c>
      <c r="CQ293" s="56">
        <f t="shared" si="316"/>
        <v>-3035.455263063754</v>
      </c>
      <c r="CR293" s="78">
        <f t="shared" si="295"/>
        <v>194395.74344239966</v>
      </c>
      <c r="CS293" s="5">
        <f t="shared" si="295"/>
        <v>169330.5024395693</v>
      </c>
      <c r="CT293" s="56">
        <f t="shared" si="317"/>
        <v>-25065.241002830357</v>
      </c>
      <c r="CU293" s="87">
        <f t="shared" si="318"/>
        <v>233274.8921308796</v>
      </c>
      <c r="CV293" s="70">
        <f t="shared" si="319"/>
        <v>203196.60292748315</v>
      </c>
      <c r="CW293" s="37">
        <f t="shared" si="320"/>
        <v>-30078.289203396445</v>
      </c>
      <c r="CX293" s="42">
        <f>'[1]побудинковий звіт'!CX293+'[2]побудинковий звіт'!CX293-'[3]побудинковий звіт'!CX293</f>
        <v>15819.42786912038</v>
      </c>
      <c r="CY293" s="42">
        <f>'[1]побудинковий звіт'!CY293+'[2]побудинковий звіт'!CY293-'[3]побудинковий звіт'!CY293</f>
        <v>45897.717072516891</v>
      </c>
      <c r="CZ293" s="56">
        <f t="shared" si="321"/>
        <v>30078.289203396511</v>
      </c>
      <c r="DA293" s="264">
        <f>'[4]побудинковий звіт'!DA293</f>
        <v>-37660.402993743941</v>
      </c>
      <c r="DB293" s="2">
        <v>2</v>
      </c>
      <c r="DC293" s="717">
        <f>'[4]побудинковий звіт'!DC293</f>
        <v>82642.92</v>
      </c>
      <c r="DD293" s="717">
        <f>'[4]побудинковий звіт'!DD293</f>
        <v>42272.219999999994</v>
      </c>
      <c r="DE293" s="717">
        <f>'[4]побудинковий звіт'!DE293</f>
        <v>65278.85</v>
      </c>
      <c r="DF293" s="717">
        <f>'[4]побудинковий звіт'!DF293</f>
        <v>38878.429999999993</v>
      </c>
      <c r="DG293" s="787">
        <v>4142.5400790908607</v>
      </c>
      <c r="DH293" s="761">
        <f t="shared" si="290"/>
        <v>2989131.84</v>
      </c>
      <c r="DI293" s="784"/>
      <c r="DJ293" s="5"/>
      <c r="DK293" s="317">
        <f>VLOOKUP($A293,ціни!$A$4:$G$401,5)</f>
        <v>4.7125515217207568</v>
      </c>
      <c r="DL293" s="317"/>
      <c r="DM293" s="317">
        <f>VLOOKUP($A293,ціни!$A$4:$G$401,7)</f>
        <v>4.1051637053992236</v>
      </c>
      <c r="DN293" s="30">
        <f t="shared" si="332"/>
        <v>19503.507104339176</v>
      </c>
      <c r="DO293" s="30">
        <f t="shared" si="334"/>
        <v>3393.7388352535381</v>
      </c>
      <c r="DP293" s="316">
        <f t="shared" si="278"/>
        <v>22897.245939592714</v>
      </c>
      <c r="DQ293" s="104"/>
      <c r="DR293" s="30">
        <f>VLOOKUP(A293,'ДЗ нас '!$A$1:$C$359,2)</f>
        <v>17364.07</v>
      </c>
      <c r="DS293" s="748">
        <f>VLOOKUP(A293,'ДЗ нежит'!$A$1:$D$153,4,0)</f>
        <v>3393.7899999999995</v>
      </c>
      <c r="DT293" s="30">
        <f t="shared" si="279"/>
        <v>20757.86</v>
      </c>
      <c r="DU293" s="257">
        <f>VLOOKUP(A293,'новий кошторис с 01.06'!$A$4:$AI$399,35)*1.2</f>
        <v>20605.948804894368</v>
      </c>
      <c r="DV293" s="30">
        <f t="shared" si="280"/>
        <v>151.91119510563294</v>
      </c>
      <c r="DW293" s="930">
        <f>'[5]побудинковий звіт'!DW293+'[6]побудинковий звіт'!DW293</f>
        <v>236</v>
      </c>
      <c r="DY293" s="5">
        <f t="shared" si="286"/>
        <v>69469.58474849601</v>
      </c>
      <c r="DZ293" s="5">
        <f t="shared" si="287"/>
        <v>30581.362258083973</v>
      </c>
      <c r="EA293" s="752">
        <f t="shared" si="291"/>
        <v>104157.28</v>
      </c>
      <c r="EC293" s="592">
        <f t="shared" si="288"/>
        <v>571419.98326061061</v>
      </c>
      <c r="EE293" s="758">
        <v>29295</v>
      </c>
      <c r="EF293" s="738">
        <f t="shared" si="289"/>
        <v>33437.540079090861</v>
      </c>
      <c r="EH293" s="813">
        <v>-16782.40518385305</v>
      </c>
    </row>
    <row r="294" spans="1:138" x14ac:dyDescent="0.3">
      <c r="A294" s="328">
        <v>150000809</v>
      </c>
      <c r="B294" s="44" t="s">
        <v>747</v>
      </c>
      <c r="C294" s="45" t="s">
        <v>299</v>
      </c>
      <c r="D294" s="45" t="s">
        <v>299</v>
      </c>
      <c r="E294" s="40">
        <f t="shared" si="292"/>
        <v>2200.8000000000002</v>
      </c>
      <c r="F294" s="490">
        <v>1762.3</v>
      </c>
      <c r="G294" s="30"/>
      <c r="H294" s="30">
        <v>438.5</v>
      </c>
      <c r="I294" s="42">
        <f>'[1]побудинковий звіт'!I294+'[2]побудинковий звіт'!I294-'[3]побудинковий звіт'!I294</f>
        <v>8348.2416425228384</v>
      </c>
      <c r="J294" s="42">
        <f>'[1]побудинковий звіт'!J294+'[2]побудинковий звіт'!J294-'[3]побудинковий звіт'!J294</f>
        <v>8453.4859989056713</v>
      </c>
      <c r="K294" s="56">
        <f t="shared" si="296"/>
        <v>105.24435638283285</v>
      </c>
      <c r="L294" s="42">
        <f>'[1]побудинковий звіт'!L294+'[2]побудинковий звіт'!L294-'[3]побудинковий звіт'!L294</f>
        <v>1537.4745796865539</v>
      </c>
      <c r="M294" s="42">
        <f>'[1]побудинковий звіт'!M294+'[2]побудинковий звіт'!M294-'[3]побудинковий звіт'!M294</f>
        <v>1629.4633411464445</v>
      </c>
      <c r="N294" s="56">
        <f t="shared" si="297"/>
        <v>91.988761459890611</v>
      </c>
      <c r="O294" s="42">
        <f>'[1]побудинковий звіт'!O294+'[2]побудинковий звіт'!O294-'[3]побудинковий звіт'!O294</f>
        <v>3489.48</v>
      </c>
      <c r="P294" s="42">
        <f>'[1]побудинковий звіт'!P294+'[2]побудинковий звіт'!P294-'[3]побудинковий звіт'!P294</f>
        <v>3490.4399999999996</v>
      </c>
      <c r="Q294" s="56">
        <f t="shared" si="298"/>
        <v>0.95999999999958163</v>
      </c>
      <c r="R294" s="42">
        <f>'[1]побудинковий звіт'!R294+'[2]побудинковий звіт'!R294-'[3]побудинковий звіт'!R294</f>
        <v>0</v>
      </c>
      <c r="S294" s="42">
        <f>'[1]побудинковий звіт'!S294+'[2]побудинковий звіт'!S294-'[3]побудинковий звіт'!S294</f>
        <v>0</v>
      </c>
      <c r="T294" s="56">
        <f t="shared" si="299"/>
        <v>0</v>
      </c>
      <c r="U294" s="42">
        <f>'[1]побудинковий звіт'!U294+'[2]побудинковий звіт'!U294-'[3]побудинковий звіт'!U294</f>
        <v>0</v>
      </c>
      <c r="V294" s="42">
        <f>'[1]побудинковий звіт'!V294+'[2]побудинковий звіт'!V294-'[3]побудинковий звіт'!V294</f>
        <v>0</v>
      </c>
      <c r="W294" s="56">
        <f t="shared" si="300"/>
        <v>0</v>
      </c>
      <c r="X294" s="42">
        <f>'[1]побудинковий звіт'!X294+'[2]побудинковий звіт'!X294-'[3]побудинковий звіт'!X294</f>
        <v>4806.9480188412608</v>
      </c>
      <c r="Y294" s="42">
        <f>'[1]побудинковий звіт'!Y294+'[2]побудинковий звіт'!Y294-'[3]побудинковий звіт'!Y294</f>
        <v>5846.8115926349237</v>
      </c>
      <c r="Z294" s="56">
        <f t="shared" si="301"/>
        <v>1039.8635737936629</v>
      </c>
      <c r="AA294" s="42">
        <f>'[1]побудинковий звіт'!AA294+'[2]побудинковий звіт'!AA294-'[3]побудинковий звіт'!AA294</f>
        <v>0</v>
      </c>
      <c r="AB294" s="42">
        <f>'[1]побудинковий звіт'!AB294+'[2]побудинковий звіт'!AB294-'[3]побудинковий звіт'!AB294</f>
        <v>0</v>
      </c>
      <c r="AC294" s="56">
        <f t="shared" si="302"/>
        <v>0</v>
      </c>
      <c r="AD294" s="42">
        <f>'[1]побудинковий звіт'!AD294+'[2]побудинковий звіт'!AD294-'[3]побудинковий звіт'!AD294</f>
        <v>10874.038205352483</v>
      </c>
      <c r="AE294" s="42">
        <f>'[1]побудинковий звіт'!AE294+'[2]побудинковий звіт'!AE294-'[3]побудинковий звіт'!AE294</f>
        <v>10033.496173565005</v>
      </c>
      <c r="AF294" s="37">
        <f t="shared" si="303"/>
        <v>-840.54203178747775</v>
      </c>
      <c r="AG294" s="87">
        <f t="shared" si="293"/>
        <v>29056.182446403138</v>
      </c>
      <c r="AH294" s="57">
        <f t="shared" si="293"/>
        <v>29453.697106252046</v>
      </c>
      <c r="AI294" s="56">
        <f t="shared" si="304"/>
        <v>397.5146598489082</v>
      </c>
      <c r="AJ294" s="42">
        <f>'[1]побудинковий звіт'!AJ294+'[2]побудинковий звіт'!AJ294-'[3]побудинковий звіт'!AJ294</f>
        <v>0</v>
      </c>
      <c r="AK294" s="42">
        <f>'[1]побудинковий звіт'!AK294+'[2]побудинковий звіт'!AK294-'[3]побудинковий звіт'!AK294</f>
        <v>0</v>
      </c>
      <c r="AL294" s="56">
        <f t="shared" si="305"/>
        <v>0</v>
      </c>
      <c r="AM294" s="42">
        <f>'[1]побудинковий звіт'!AM294+'[2]побудинковий звіт'!AM294-'[3]побудинковий звіт'!AM294</f>
        <v>0</v>
      </c>
      <c r="AN294" s="42">
        <f>'[1]побудинковий звіт'!AN294+'[2]побудинковий звіт'!AN294-'[3]побудинковий звіт'!AN294</f>
        <v>0</v>
      </c>
      <c r="AO294" s="56">
        <f t="shared" si="306"/>
        <v>0</v>
      </c>
      <c r="AP294" s="42">
        <f>'[1]побудинковий звіт'!AP294+'[2]побудинковий звіт'!AP294-'[3]побудинковий звіт'!AP294</f>
        <v>6534.4217359661843</v>
      </c>
      <c r="AQ294" s="42">
        <f>'[1]побудинковий звіт'!AQ294+'[2]побудинковий звіт'!AQ294-'[3]побудинковий звіт'!AQ294</f>
        <v>6006.0150336503775</v>
      </c>
      <c r="AR294" s="56">
        <f t="shared" si="307"/>
        <v>-528.4067023158068</v>
      </c>
      <c r="AS294" s="42">
        <f>'[1]побудинковий звіт'!AS294+'[2]побудинковий звіт'!AS294-'[3]побудинковий звіт'!AS294</f>
        <v>36876.090533898852</v>
      </c>
      <c r="AT294" s="42">
        <f>'[1]побудинковий звіт'!AT294+'[2]побудинковий звіт'!AT294-'[3]побудинковий звіт'!AT294</f>
        <v>7395</v>
      </c>
      <c r="AU294" s="58">
        <f t="shared" si="322"/>
        <v>-29481.090533898852</v>
      </c>
      <c r="AV294" s="42">
        <f>'[1]побудинковий звіт'!AV294+'[2]побудинковий звіт'!AV294-'[3]побудинковий звіт'!AV294</f>
        <v>1405.9648922256026</v>
      </c>
      <c r="AW294" s="42">
        <f>'[1]побудинковий звіт'!AW294+'[2]побудинковий звіт'!AW294-'[3]побудинковий звіт'!AW294</f>
        <v>0</v>
      </c>
      <c r="AX294" s="59">
        <f t="shared" si="323"/>
        <v>-1405.9648922256026</v>
      </c>
      <c r="AY294" s="42">
        <f>'[1]побудинковий звіт'!AY294+'[2]побудинковий звіт'!AY294-'[3]побудинковий звіт'!AY294</f>
        <v>1981.4161977577769</v>
      </c>
      <c r="AZ294" s="42">
        <f>'[1]побудинковий звіт'!AZ294+'[2]побудинковий звіт'!AZ294-'[3]побудинковий звіт'!AZ294</f>
        <v>3061</v>
      </c>
      <c r="BA294" s="37">
        <f t="shared" si="324"/>
        <v>1079.5838022422231</v>
      </c>
      <c r="BB294" s="42">
        <f>'[1]побудинковий звіт'!BB294+'[2]побудинковий звіт'!BB294-'[3]побудинковий звіт'!BB294</f>
        <v>1767.8746577982552</v>
      </c>
      <c r="BC294" s="42">
        <f>'[1]побудинковий звіт'!BC294+'[2]побудинковий звіт'!BC294-'[3]побудинковий звіт'!BC294</f>
        <v>0</v>
      </c>
      <c r="BD294" s="59">
        <f t="shared" si="325"/>
        <v>-1767.8746577982552</v>
      </c>
      <c r="BE294" s="42">
        <f>'[1]побудинковий звіт'!BE294+'[2]побудинковий звіт'!BE294-'[3]побудинковий звіт'!BE294</f>
        <v>0</v>
      </c>
      <c r="BF294" s="42">
        <f>'[1]побудинковий звіт'!BF294+'[2]побудинковий звіт'!BF294-'[3]побудинковий звіт'!BF294</f>
        <v>0</v>
      </c>
      <c r="BG294" s="39">
        <f t="shared" si="326"/>
        <v>0</v>
      </c>
      <c r="BH294" s="42">
        <f>'[1]побудинковий звіт'!BH294+'[2]побудинковий звіт'!BH294-'[3]побудинковий звіт'!BH294</f>
        <v>0</v>
      </c>
      <c r="BI294" s="42">
        <f>'[1]побудинковий звіт'!BI294+'[2]побудинковий звіт'!BI294-'[3]побудинковий звіт'!BI294</f>
        <v>0</v>
      </c>
      <c r="BJ294" s="59">
        <f t="shared" si="327"/>
        <v>0</v>
      </c>
      <c r="BK294" s="42">
        <f>'[1]побудинковий звіт'!BK294+'[2]побудинковий звіт'!BK294-'[3]побудинковий звіт'!BK294</f>
        <v>664.47614255436054</v>
      </c>
      <c r="BL294" s="42">
        <f>'[1]побудинковий звіт'!BL294+'[2]побудинковий звіт'!BL294-'[3]побудинковий звіт'!BL294</f>
        <v>0</v>
      </c>
      <c r="BM294" s="39">
        <f t="shared" si="328"/>
        <v>-664.47614255436054</v>
      </c>
      <c r="BN294" s="42">
        <f>'[1]побудинковий звіт'!BN294+'[2]побудинковий звіт'!BN294-'[3]побудинковий звіт'!BN294</f>
        <v>0</v>
      </c>
      <c r="BO294" s="42">
        <f>'[1]побудинковий звіт'!BO294+'[2]побудинковий звіт'!BO294-'[3]побудинковий звіт'!BO294</f>
        <v>0</v>
      </c>
      <c r="BP294" s="59">
        <f t="shared" si="329"/>
        <v>0</v>
      </c>
      <c r="BQ294" s="87">
        <f t="shared" si="282"/>
        <v>5819.7318903359956</v>
      </c>
      <c r="BR294" s="43">
        <f t="shared" si="331"/>
        <v>3061</v>
      </c>
      <c r="BS294" s="59">
        <f t="shared" si="330"/>
        <v>-2758.7318903359956</v>
      </c>
      <c r="BT294" s="42">
        <f>'[1]побудинковий звіт'!BT294+'[2]побудинковий звіт'!BT294-'[3]побудинковий звіт'!BT294</f>
        <v>19137.180098445679</v>
      </c>
      <c r="BU294" s="42">
        <f>'[1]побудинковий звіт'!BU294+'[2]побудинковий звіт'!BU294-'[3]побудинковий звіт'!BU294</f>
        <v>28645.388282371521</v>
      </c>
      <c r="BV294" s="56">
        <f t="shared" si="308"/>
        <v>9508.2081839258426</v>
      </c>
      <c r="BW294" s="42">
        <f>'[1]побудинковий звіт'!BW294+'[2]побудинковий звіт'!BW294-'[3]побудинковий звіт'!BW294</f>
        <v>9592.8196947864708</v>
      </c>
      <c r="BX294" s="42">
        <f>'[1]побудинковий звіт'!BX294+'[2]побудинковий звіт'!BX294-'[3]побудинковий звіт'!BX294</f>
        <v>9955.6227540307718</v>
      </c>
      <c r="BY294" s="56">
        <f t="shared" si="309"/>
        <v>362.80305924430104</v>
      </c>
      <c r="BZ294" s="42">
        <f>'[1]побудинковий звіт'!BZ294+'[2]побудинковий звіт'!BZ294-'[3]побудинковий звіт'!BZ294</f>
        <v>10872.783609701426</v>
      </c>
      <c r="CA294" s="42">
        <f>'[1]побудинковий звіт'!CA294+'[2]побудинковий звіт'!CA294-'[3]побудинковий звіт'!CA294</f>
        <v>6545.0064036665926</v>
      </c>
      <c r="CB294" s="56">
        <f t="shared" si="310"/>
        <v>-4327.7772060348334</v>
      </c>
      <c r="CC294" s="42">
        <f>'[1]побудинковий звіт'!CC294+'[2]побудинковий звіт'!CC294-'[3]побудинковий звіт'!CC294</f>
        <v>0</v>
      </c>
      <c r="CD294" s="42">
        <f>'[1]побудинковий звіт'!CD294+'[2]побудинковий звіт'!CD294-'[3]побудинковий звіт'!CD294</f>
        <v>0</v>
      </c>
      <c r="CE294" s="56">
        <f t="shared" si="311"/>
        <v>0</v>
      </c>
      <c r="CF294" s="42">
        <f>'[1]побудинковий звіт'!CF294+'[2]побудинковий звіт'!CF294-'[3]побудинковий звіт'!CF294</f>
        <v>0</v>
      </c>
      <c r="CG294" s="42">
        <f>'[1]побудинковий звіт'!CG294+'[2]побудинковий звіт'!CG294-'[3]побудинковий звіт'!CG294</f>
        <v>0</v>
      </c>
      <c r="CH294" s="56">
        <f t="shared" si="312"/>
        <v>0</v>
      </c>
      <c r="CI294" s="42">
        <f>'[1]побудинковий звіт'!CI294+'[2]побудинковий звіт'!CI294-'[3]побудинковий звіт'!CI294</f>
        <v>6214.2183588277876</v>
      </c>
      <c r="CJ294" s="42">
        <f>'[1]побудинковий звіт'!CJ294+'[2]побудинковий звіт'!CJ294-'[3]побудинковий звіт'!CJ294</f>
        <v>3334.5462018336557</v>
      </c>
      <c r="CK294" s="56">
        <f t="shared" si="313"/>
        <v>-2879.6721569941319</v>
      </c>
      <c r="CL294" s="42">
        <f>'[1]побудинковий звіт'!CL294+'[2]побудинковий звіт'!CL294-'[3]побудинковий звіт'!CL294</f>
        <v>0</v>
      </c>
      <c r="CM294" s="42">
        <f>'[1]побудинковий звіт'!CM294+'[2]побудинковий звіт'!CM294-'[3]побудинковий звіт'!CM294</f>
        <v>0</v>
      </c>
      <c r="CN294" s="56">
        <f t="shared" si="314"/>
        <v>0</v>
      </c>
      <c r="CO294" s="42">
        <f t="shared" si="294"/>
        <v>6214.2183588277876</v>
      </c>
      <c r="CP294" s="43">
        <f t="shared" si="315"/>
        <v>3334.5462018336557</v>
      </c>
      <c r="CQ294" s="56">
        <f t="shared" si="316"/>
        <v>-2879.6721569941319</v>
      </c>
      <c r="CR294" s="78">
        <f t="shared" si="295"/>
        <v>124103.42836836552</v>
      </c>
      <c r="CS294" s="5">
        <f t="shared" si="295"/>
        <v>94396.275781804958</v>
      </c>
      <c r="CT294" s="56">
        <f t="shared" si="317"/>
        <v>-29707.152586560565</v>
      </c>
      <c r="CU294" s="87">
        <f t="shared" si="318"/>
        <v>148924.11404203862</v>
      </c>
      <c r="CV294" s="70">
        <f t="shared" si="319"/>
        <v>113275.53093816595</v>
      </c>
      <c r="CW294" s="37">
        <f t="shared" si="320"/>
        <v>-35648.583103872676</v>
      </c>
      <c r="CX294" s="42">
        <f>'[1]побудинковий звіт'!CX294+'[2]побудинковий звіт'!CX294-'[3]побудинковий звіт'!CX294</f>
        <v>6768.8659579613523</v>
      </c>
      <c r="CY294" s="42">
        <f>'[1]побудинковий звіт'!CY294+'[2]побудинковий звіт'!CY294-'[3]побудинковий звіт'!CY294</f>
        <v>42417.449061834035</v>
      </c>
      <c r="CZ294" s="56">
        <f t="shared" si="321"/>
        <v>35648.583103872683</v>
      </c>
      <c r="DA294" s="264">
        <f>'[4]побудинковий звіт'!DA294</f>
        <v>-59447.297171977931</v>
      </c>
      <c r="DB294" s="2">
        <v>2</v>
      </c>
      <c r="DC294" s="717">
        <f>'[4]побудинковий звіт'!DC294</f>
        <v>27571.85</v>
      </c>
      <c r="DD294" s="717">
        <f>'[4]побудинковий звіт'!DD294</f>
        <v>543.67999999999995</v>
      </c>
      <c r="DE294" s="717">
        <f>'[4]побудинковий звіт'!DE294</f>
        <v>16634.509999999998</v>
      </c>
      <c r="DF294" s="717">
        <f>'[4]побудинковий звіт'!DF294</f>
        <v>-1493.94</v>
      </c>
      <c r="DG294" s="787">
        <v>-46193.167761577293</v>
      </c>
      <c r="DH294" s="761">
        <f t="shared" si="290"/>
        <v>1868315.7599999998</v>
      </c>
      <c r="DI294" s="784"/>
      <c r="DJ294" s="5"/>
      <c r="DK294" s="317">
        <f>VLOOKUP($A294,ціни!$A$4:$G$401,5)</f>
        <v>5.1171917827416857</v>
      </c>
      <c r="DL294" s="317"/>
      <c r="DM294" s="317">
        <f>VLOOKUP($A294,ціни!$A$4:$G$401,7)</f>
        <v>4.6468125290441584</v>
      </c>
      <c r="DN294" s="30">
        <f t="shared" si="332"/>
        <v>9018.0270787256723</v>
      </c>
      <c r="DO294" s="30">
        <f t="shared" si="334"/>
        <v>2037.6272939858634</v>
      </c>
      <c r="DP294" s="316">
        <f t="shared" si="278"/>
        <v>11055.654372711535</v>
      </c>
      <c r="DQ294" s="104"/>
      <c r="DR294" s="30">
        <f>VLOOKUP(A294,'ДЗ нас '!$A$1:$C$359,2)</f>
        <v>10937.34</v>
      </c>
      <c r="DS294" s="748">
        <f>VLOOKUP(A294,'ДЗ нежит'!$A$1:$D$153,4,0)</f>
        <v>2037.62</v>
      </c>
      <c r="DT294" s="30">
        <f t="shared" si="279"/>
        <v>12974.96</v>
      </c>
      <c r="DU294" s="257">
        <f>VLOOKUP(A294,'новий кошторис с 01.06'!$A$4:$AI$399,35)*1.2</f>
        <v>12886.900001771077</v>
      </c>
      <c r="DV294" s="30">
        <f t="shared" si="280"/>
        <v>88.059998228922268</v>
      </c>
      <c r="DW294" s="930">
        <f>'[5]побудинковий звіт'!DW294+'[6]побудинковий звіт'!DW294</f>
        <v>236</v>
      </c>
      <c r="DY294" s="5">
        <f t="shared" si="286"/>
        <v>51234.986909081817</v>
      </c>
      <c r="DZ294" s="5">
        <f t="shared" si="287"/>
        <v>12547.199999999999</v>
      </c>
      <c r="EA294" s="752">
        <f t="shared" si="291"/>
        <v>15140.569999999998</v>
      </c>
      <c r="EC294" s="592">
        <f t="shared" si="288"/>
        <v>442513.08640678623</v>
      </c>
      <c r="EE294" s="758">
        <v>62102</v>
      </c>
      <c r="EF294" s="738">
        <f t="shared" si="289"/>
        <v>15908.832238422707</v>
      </c>
      <c r="EH294" s="813">
        <v>-26931.414497108664</v>
      </c>
    </row>
    <row r="295" spans="1:138" x14ac:dyDescent="0.3">
      <c r="A295" s="328">
        <v>150000810</v>
      </c>
      <c r="B295" s="44" t="s">
        <v>748</v>
      </c>
      <c r="C295" s="45" t="s">
        <v>300</v>
      </c>
      <c r="D295" s="45" t="s">
        <v>300</v>
      </c>
      <c r="E295" s="40">
        <f t="shared" si="292"/>
        <v>4893.4000000000005</v>
      </c>
      <c r="F295" s="490">
        <v>4445.1000000000004</v>
      </c>
      <c r="G295" s="30"/>
      <c r="H295" s="30">
        <v>448.3</v>
      </c>
      <c r="I295" s="42">
        <f>'[1]побудинковий звіт'!I295+'[2]побудинковий звіт'!I295-'[3]побудинковий звіт'!I295</f>
        <v>10053.210238036485</v>
      </c>
      <c r="J295" s="42">
        <f>'[1]побудинковий звіт'!J295+'[2]побудинковий звіт'!J295-'[3]побудинковий звіт'!J295</f>
        <v>10063.885741205388</v>
      </c>
      <c r="K295" s="56">
        <f t="shared" si="296"/>
        <v>10.675503168902651</v>
      </c>
      <c r="L295" s="42">
        <f>'[1]побудинковий звіт'!L295+'[2]побудинковий звіт'!L295-'[3]побудинковий звіт'!L295</f>
        <v>1976.2910896517483</v>
      </c>
      <c r="M295" s="42">
        <f>'[1]побудинковий звіт'!M295+'[2]побудинковий звіт'!M295-'[3]побудинковий звіт'!M295</f>
        <v>2058.1231356268959</v>
      </c>
      <c r="N295" s="56">
        <f t="shared" si="297"/>
        <v>81.832045975147594</v>
      </c>
      <c r="O295" s="42">
        <f>'[1]побудинковий звіт'!O295+'[2]побудинковий звіт'!O295-'[3]побудинковий звіт'!O295</f>
        <v>3651</v>
      </c>
      <c r="P295" s="42">
        <f>'[1]побудинковий звіт'!P295+'[2]побудинковий звіт'!P295-'[3]побудинковий звіт'!P295</f>
        <v>3649.9199999999996</v>
      </c>
      <c r="Q295" s="56">
        <f t="shared" si="298"/>
        <v>-1.080000000000382</v>
      </c>
      <c r="R295" s="42">
        <f>'[1]побудинковий звіт'!R295+'[2]побудинковий звіт'!R295-'[3]побудинковий звіт'!R295</f>
        <v>0</v>
      </c>
      <c r="S295" s="42">
        <f>'[1]побудинковий звіт'!S295+'[2]побудинковий звіт'!S295-'[3]побудинковий звіт'!S295</f>
        <v>0</v>
      </c>
      <c r="T295" s="56">
        <f t="shared" si="299"/>
        <v>0</v>
      </c>
      <c r="U295" s="42">
        <f>'[1]побудинковий звіт'!U295+'[2]побудинковий звіт'!U295-'[3]побудинковий звіт'!U295</f>
        <v>0</v>
      </c>
      <c r="V295" s="42">
        <f>'[1]побудинковий звіт'!V295+'[2]побудинковий звіт'!V295-'[3]побудинковий звіт'!V295</f>
        <v>0</v>
      </c>
      <c r="W295" s="56">
        <f t="shared" si="300"/>
        <v>0</v>
      </c>
      <c r="X295" s="42">
        <f>'[1]побудинковий звіт'!X295+'[2]побудинковий звіт'!X295-'[3]побудинковий звіт'!X295</f>
        <v>6453.6273520491541</v>
      </c>
      <c r="Y295" s="42">
        <f>'[1]побудинковий звіт'!Y295+'[2]побудинковий звіт'!Y295-'[3]побудинковий звіт'!Y295</f>
        <v>7347.324902576278</v>
      </c>
      <c r="Z295" s="56">
        <f t="shared" si="301"/>
        <v>893.69755052712389</v>
      </c>
      <c r="AA295" s="42">
        <f>'[1]побудинковий звіт'!AA295+'[2]побудинковий звіт'!AA295-'[3]побудинковий звіт'!AA295</f>
        <v>0</v>
      </c>
      <c r="AB295" s="42">
        <f>'[1]побудинковий звіт'!AB295+'[2]побудинковий звіт'!AB295-'[3]побудинковий звіт'!AB295</f>
        <v>0</v>
      </c>
      <c r="AC295" s="56">
        <f t="shared" si="302"/>
        <v>0</v>
      </c>
      <c r="AD295" s="42">
        <f>'[1]побудинковий звіт'!AD295+'[2]побудинковий звіт'!AD295-'[3]побудинковий звіт'!AD295</f>
        <v>12822.1925685109</v>
      </c>
      <c r="AE295" s="42">
        <f>'[1]побудинковий звіт'!AE295+'[2]побудинковий звіт'!AE295-'[3]побудинковий звіт'!AE295</f>
        <v>11825.347473176744</v>
      </c>
      <c r="AF295" s="37">
        <f t="shared" si="303"/>
        <v>-996.84509533415621</v>
      </c>
      <c r="AG295" s="87">
        <f t="shared" si="293"/>
        <v>34956.321248248285</v>
      </c>
      <c r="AH295" s="57">
        <f t="shared" si="293"/>
        <v>34944.601252585308</v>
      </c>
      <c r="AI295" s="56">
        <f t="shared" si="304"/>
        <v>-11.719995662977453</v>
      </c>
      <c r="AJ295" s="42">
        <f>'[1]побудинковий звіт'!AJ295+'[2]побудинковий звіт'!AJ295-'[3]побудинковий звіт'!AJ295</f>
        <v>0</v>
      </c>
      <c r="AK295" s="42">
        <f>'[1]побудинковий звіт'!AK295+'[2]побудинковий звіт'!AK295-'[3]побудинковий звіт'!AK295</f>
        <v>0</v>
      </c>
      <c r="AL295" s="56">
        <f t="shared" si="305"/>
        <v>0</v>
      </c>
      <c r="AM295" s="42">
        <f>'[1]побудинковий звіт'!AM295+'[2]побудинковий звіт'!AM295-'[3]побудинковий звіт'!AM295</f>
        <v>0</v>
      </c>
      <c r="AN295" s="42">
        <f>'[1]побудинковий звіт'!AN295+'[2]побудинковий звіт'!AN295-'[3]побудинковий звіт'!AN295</f>
        <v>0</v>
      </c>
      <c r="AO295" s="56">
        <f t="shared" si="306"/>
        <v>0</v>
      </c>
      <c r="AP295" s="42">
        <f>'[1]побудинковий звіт'!AP295+'[2]побудинковий звіт'!AP295-'[3]побудинковий звіт'!AP295</f>
        <v>9091.3693717790375</v>
      </c>
      <c r="AQ295" s="42">
        <f>'[1]побудинковий звіт'!AQ295+'[2]побудинковий звіт'!AQ295-'[3]побудинковий звіт'!AQ295</f>
        <v>8021.8096195505004</v>
      </c>
      <c r="AR295" s="56">
        <f t="shared" si="307"/>
        <v>-1069.559752228537</v>
      </c>
      <c r="AS295" s="42">
        <f>'[1]побудинковий звіт'!AS295+'[2]побудинковий звіт'!AS295-'[3]побудинковий звіт'!AS295</f>
        <v>33861.412797721299</v>
      </c>
      <c r="AT295" s="42">
        <f>'[1]побудинковий звіт'!AT295+'[2]побудинковий звіт'!AT295-'[3]побудинковий звіт'!AT295</f>
        <v>1901.1186163609987</v>
      </c>
      <c r="AU295" s="58">
        <f t="shared" si="322"/>
        <v>-31960.294181360299</v>
      </c>
      <c r="AV295" s="42">
        <f>'[1]побудинковий звіт'!AV295+'[2]побудинковий звіт'!AV295-'[3]побудинковий звіт'!AV295</f>
        <v>1611.6447012401443</v>
      </c>
      <c r="AW295" s="42">
        <f>'[1]побудинковий звіт'!AW295+'[2]побудинковий звіт'!AW295-'[3]побудинковий звіт'!AW295</f>
        <v>0</v>
      </c>
      <c r="AX295" s="59">
        <f t="shared" si="323"/>
        <v>-1611.6447012401443</v>
      </c>
      <c r="AY295" s="42">
        <f>'[1]побудинковий звіт'!AY295+'[2]побудинковий звіт'!AY295-'[3]побудинковий звіт'!AY295</f>
        <v>2547.2603672051073</v>
      </c>
      <c r="AZ295" s="42">
        <f>'[1]побудинковий звіт'!AZ295+'[2]побудинковий звіт'!AZ295-'[3]побудинковий звіт'!AZ295</f>
        <v>0</v>
      </c>
      <c r="BA295" s="37">
        <f t="shared" si="324"/>
        <v>-2547.2603672051073</v>
      </c>
      <c r="BB295" s="42">
        <f>'[1]побудинковий звіт'!BB295+'[2]побудинковий звіт'!BB295-'[3]побудинковий звіт'!BB295</f>
        <v>1679.1683726037834</v>
      </c>
      <c r="BC295" s="42">
        <f>'[1]побудинковий звіт'!BC295+'[2]побудинковий звіт'!BC295-'[3]побудинковий звіт'!BC295</f>
        <v>0</v>
      </c>
      <c r="BD295" s="59">
        <f t="shared" si="325"/>
        <v>-1679.1683726037834</v>
      </c>
      <c r="BE295" s="42">
        <f>'[1]побудинковий звіт'!BE295+'[2]побудинковий звіт'!BE295-'[3]побудинковий звіт'!BE295</f>
        <v>0</v>
      </c>
      <c r="BF295" s="42">
        <f>'[1]побудинковий звіт'!BF295+'[2]побудинковий звіт'!BF295-'[3]побудинковий звіт'!BF295</f>
        <v>0</v>
      </c>
      <c r="BG295" s="39">
        <f t="shared" si="326"/>
        <v>0</v>
      </c>
      <c r="BH295" s="42">
        <f>'[1]побудинковий звіт'!BH295+'[2]побудинковий звіт'!BH295-'[3]побудинковий звіт'!BH295</f>
        <v>0</v>
      </c>
      <c r="BI295" s="42">
        <f>'[1]побудинковий звіт'!BI295+'[2]побудинковий звіт'!BI295-'[3]побудинковий звіт'!BI295</f>
        <v>0</v>
      </c>
      <c r="BJ295" s="59">
        <f t="shared" si="327"/>
        <v>0</v>
      </c>
      <c r="BK295" s="42">
        <f>'[1]побудинковий звіт'!BK295+'[2]побудинковий звіт'!BK295-'[3]побудинковий звіт'!BK295</f>
        <v>917.10405527719467</v>
      </c>
      <c r="BL295" s="42">
        <f>'[1]побудинковий звіт'!BL295+'[2]побудинковий звіт'!BL295-'[3]побудинковий звіт'!BL295</f>
        <v>460</v>
      </c>
      <c r="BM295" s="39">
        <f t="shared" si="328"/>
        <v>-457.10405527719467</v>
      </c>
      <c r="BN295" s="42">
        <f>'[1]побудинковий звіт'!BN295+'[2]побудинковий звіт'!BN295-'[3]побудинковий звіт'!BN295</f>
        <v>0</v>
      </c>
      <c r="BO295" s="42">
        <f>'[1]побудинковий звіт'!BO295+'[2]побудинковий звіт'!BO295-'[3]побудинковий звіт'!BO295</f>
        <v>0</v>
      </c>
      <c r="BP295" s="59">
        <f t="shared" si="329"/>
        <v>0</v>
      </c>
      <c r="BQ295" s="87">
        <f t="shared" si="282"/>
        <v>6755.1774963262296</v>
      </c>
      <c r="BR295" s="43">
        <f t="shared" si="331"/>
        <v>460</v>
      </c>
      <c r="BS295" s="59">
        <f t="shared" si="330"/>
        <v>-6295.1774963262296</v>
      </c>
      <c r="BT295" s="42">
        <f>'[1]побудинковий звіт'!BT295+'[2]побудинковий звіт'!BT295-'[3]побудинковий звіт'!BT295</f>
        <v>21246.601775871335</v>
      </c>
      <c r="BU295" s="42">
        <f>'[1]побудинковий звіт'!BU295+'[2]побудинковий звіт'!BU295-'[3]побудинковий звіт'!BU295</f>
        <v>38837.418311367139</v>
      </c>
      <c r="BV295" s="56">
        <f t="shared" si="308"/>
        <v>17590.816535495804</v>
      </c>
      <c r="BW295" s="42">
        <f>'[1]побудинковий звіт'!BW295+'[2]побудинковий звіт'!BW295-'[3]побудинковий звіт'!BW295</f>
        <v>12591.043234585934</v>
      </c>
      <c r="BX295" s="42">
        <f>'[1]побудинковий звіт'!BX295+'[2]побудинковий звіт'!BX295-'[3]побудинковий звіт'!BX295</f>
        <v>12924.444695289852</v>
      </c>
      <c r="BY295" s="56">
        <f t="shared" si="309"/>
        <v>333.40146070391893</v>
      </c>
      <c r="BZ295" s="42">
        <f>'[1]побудинковий звіт'!BZ295+'[2]побудинковий звіт'!BZ295-'[3]побудинковий звіт'!BZ295</f>
        <v>10602.142970375095</v>
      </c>
      <c r="CA295" s="42">
        <f>'[1]побудинковий звіт'!CA295+'[2]побудинковий звіт'!CA295-'[3]побудинковий звіт'!CA295</f>
        <v>9822.8237324542788</v>
      </c>
      <c r="CB295" s="56">
        <f t="shared" si="310"/>
        <v>-779.31923792081579</v>
      </c>
      <c r="CC295" s="42">
        <f>'[1]побудинковий звіт'!CC295+'[2]побудинковий звіт'!CC295-'[3]побудинковий звіт'!CC295</f>
        <v>0</v>
      </c>
      <c r="CD295" s="42">
        <f>'[1]побудинковий звіт'!CD295+'[2]побудинковий звіт'!CD295-'[3]побудинковий звіт'!CD295</f>
        <v>0</v>
      </c>
      <c r="CE295" s="56">
        <f t="shared" si="311"/>
        <v>0</v>
      </c>
      <c r="CF295" s="42">
        <f>'[1]побудинковий звіт'!CF295+'[2]побудинковий звіт'!CF295-'[3]побудинковий звіт'!CF295</f>
        <v>0</v>
      </c>
      <c r="CG295" s="42">
        <f>'[1]побудинковий звіт'!CG295+'[2]побудинковий звіт'!CG295-'[3]побудинковий звіт'!CG295</f>
        <v>0</v>
      </c>
      <c r="CH295" s="56">
        <f t="shared" si="312"/>
        <v>0</v>
      </c>
      <c r="CI295" s="42">
        <f>'[1]побудинковий звіт'!CI295+'[2]побудинковий звіт'!CI295-'[3]побудинковий звіт'!CI295</f>
        <v>3911.9627620331557</v>
      </c>
      <c r="CJ295" s="42">
        <f>'[1]побудинковий звіт'!CJ295+'[2]побудинковий звіт'!CJ295-'[3]побудинковий звіт'!CJ295</f>
        <v>2826.7790315874568</v>
      </c>
      <c r="CK295" s="56">
        <f t="shared" si="313"/>
        <v>-1085.183730445699</v>
      </c>
      <c r="CL295" s="42">
        <f>'[1]побудинковий звіт'!CL295+'[2]побудинковий звіт'!CL295-'[3]побудинковий звіт'!CL295</f>
        <v>0</v>
      </c>
      <c r="CM295" s="42">
        <f>'[1]побудинковий звіт'!CM295+'[2]побудинковий звіт'!CM295-'[3]побудинковий звіт'!CM295</f>
        <v>0</v>
      </c>
      <c r="CN295" s="56">
        <f t="shared" si="314"/>
        <v>0</v>
      </c>
      <c r="CO295" s="42">
        <f t="shared" si="294"/>
        <v>3911.9627620331557</v>
      </c>
      <c r="CP295" s="43">
        <f t="shared" si="315"/>
        <v>2826.7790315874568</v>
      </c>
      <c r="CQ295" s="56">
        <f t="shared" si="316"/>
        <v>-1085.183730445699</v>
      </c>
      <c r="CR295" s="78">
        <f t="shared" si="295"/>
        <v>133016.03165694035</v>
      </c>
      <c r="CS295" s="5">
        <f t="shared" si="295"/>
        <v>109738.99525919552</v>
      </c>
      <c r="CT295" s="56">
        <f t="shared" si="317"/>
        <v>-23277.036397744829</v>
      </c>
      <c r="CU295" s="87">
        <f t="shared" si="318"/>
        <v>159619.23798832842</v>
      </c>
      <c r="CV295" s="70">
        <f t="shared" si="319"/>
        <v>131686.79431103461</v>
      </c>
      <c r="CW295" s="37">
        <f t="shared" si="320"/>
        <v>-27932.443677293806</v>
      </c>
      <c r="CX295" s="42">
        <f>'[1]побудинковий звіт'!CX295+'[2]побудинковий звіт'!CX295-'[3]побудинковий звіт'!CX295</f>
        <v>7285.6720116715551</v>
      </c>
      <c r="CY295" s="42">
        <f>'[1]побудинковий звіт'!CY295+'[2]побудинковий звіт'!CY295-'[3]побудинковий звіт'!CY295</f>
        <v>35218.115688965379</v>
      </c>
      <c r="CZ295" s="56">
        <f t="shared" si="321"/>
        <v>27932.443677293824</v>
      </c>
      <c r="DA295" s="264">
        <f>'[4]побудинковий звіт'!DA295</f>
        <v>-45483.822627628739</v>
      </c>
      <c r="DB295" s="2">
        <v>2</v>
      </c>
      <c r="DC295" s="717">
        <f>'[4]побудинковий звіт'!DC295</f>
        <v>50775.6</v>
      </c>
      <c r="DD295" s="717">
        <f>'[4]побудинковий звіт'!DD295</f>
        <v>1881.29</v>
      </c>
      <c r="DE295" s="717">
        <f>'[4]побудинковий звіт'!DE295</f>
        <v>38746.93</v>
      </c>
      <c r="DF295" s="717">
        <f>'[4]побудинковий звіт'!DF295</f>
        <v>0</v>
      </c>
      <c r="DG295" s="787">
        <v>-1686.037702712405</v>
      </c>
      <c r="DH295" s="761">
        <f t="shared" si="290"/>
        <v>2002858.9199999997</v>
      </c>
      <c r="DI295" s="784"/>
      <c r="DJ295" s="5"/>
      <c r="DK295" s="317">
        <f>VLOOKUP($A295,ціни!$A$4:$G$401,5)</f>
        <v>4.712047123641339</v>
      </c>
      <c r="DL295" s="317"/>
      <c r="DM295" s="317">
        <f>VLOOKUP($A295,ціни!$A$4:$G$401,7)</f>
        <v>4.1965383325561358</v>
      </c>
      <c r="DN295" s="30">
        <f t="shared" si="332"/>
        <v>20945.520669298119</v>
      </c>
      <c r="DO295" s="30">
        <f t="shared" si="334"/>
        <v>1881.3081344849159</v>
      </c>
      <c r="DP295" s="316">
        <f t="shared" ref="DP295:DP357" si="335">DN295+DO295</f>
        <v>22826.828803783035</v>
      </c>
      <c r="DQ295" s="104"/>
      <c r="DR295" s="30">
        <f>VLOOKUP(A295,'ДЗ нас '!$A$1:$C$359,2)</f>
        <v>12024.99</v>
      </c>
      <c r="DS295" s="748">
        <f>VLOOKUP(A295,'ДЗ нежит'!$A$1:$D$153,4,0)</f>
        <v>1881.29</v>
      </c>
      <c r="DT295" s="30">
        <f t="shared" ref="DT295:DT357" si="336">DR295+DS295</f>
        <v>13906.279999999999</v>
      </c>
      <c r="DU295" s="257">
        <f>VLOOKUP(A295,'новий кошторис с 01.06'!$A$4:$AI$399,35)*1.2</f>
        <v>14019.889736641517</v>
      </c>
      <c r="DV295" s="30">
        <f t="shared" ref="DV295:DV357" si="337">DT295-DU295</f>
        <v>-113.60973664151788</v>
      </c>
      <c r="DW295" s="930">
        <f>'[5]побудинковий звіт'!DW295+'[6]побудинковий звіт'!DW295</f>
        <v>236</v>
      </c>
      <c r="DY295" s="5">
        <f t="shared" si="286"/>
        <v>48739.908352857034</v>
      </c>
      <c r="DZ295" s="5">
        <f t="shared" si="287"/>
        <v>2833.3423396331982</v>
      </c>
      <c r="EA295" s="752">
        <f t="shared" si="291"/>
        <v>38746.93</v>
      </c>
      <c r="EC295" s="592">
        <f t="shared" si="288"/>
        <v>406336.95357265556</v>
      </c>
      <c r="EE295" s="758">
        <v>37754</v>
      </c>
      <c r="EF295" s="738">
        <f t="shared" si="289"/>
        <v>36067.962297287595</v>
      </c>
      <c r="EH295" s="813">
        <v>-24594.647770305506</v>
      </c>
    </row>
    <row r="296" spans="1:138" x14ac:dyDescent="0.3">
      <c r="A296" s="328">
        <v>150000811</v>
      </c>
      <c r="B296" s="44" t="s">
        <v>749</v>
      </c>
      <c r="C296" s="45" t="s">
        <v>301</v>
      </c>
      <c r="D296" s="45" t="s">
        <v>301</v>
      </c>
      <c r="E296" s="40">
        <f t="shared" si="292"/>
        <v>1507</v>
      </c>
      <c r="F296" s="490">
        <v>1452.8</v>
      </c>
      <c r="G296" s="30"/>
      <c r="H296" s="30">
        <v>54.2</v>
      </c>
      <c r="I296" s="42">
        <f>'[1]побудинковий звіт'!I296+'[2]побудинковий звіт'!I296-'[3]побудинковий звіт'!I296</f>
        <v>9167.8211414411962</v>
      </c>
      <c r="J296" s="42">
        <f>'[1]побудинковий звіт'!J296+'[2]побудинковий звіт'!J296-'[3]побудинковий звіт'!J296</f>
        <v>9149.4885996383928</v>
      </c>
      <c r="K296" s="56">
        <f t="shared" si="296"/>
        <v>-18.332541802803462</v>
      </c>
      <c r="L296" s="42">
        <f>'[1]побудинковий звіт'!L296+'[2]побудинковий звіт'!L296-'[3]побудинковий звіт'!L296</f>
        <v>1547.8328297968294</v>
      </c>
      <c r="M296" s="42">
        <f>'[1]побудинковий звіт'!M296+'[2]побудинковий звіт'!M296-'[3]побудинковий звіт'!M296</f>
        <v>1561.6962431437782</v>
      </c>
      <c r="N296" s="56">
        <f t="shared" si="297"/>
        <v>13.863413346948846</v>
      </c>
      <c r="O296" s="42">
        <f>'[1]побудинковий звіт'!O296+'[2]побудинковий звіт'!O296-'[3]побудинковий звіт'!O296</f>
        <v>3550.9199999999996</v>
      </c>
      <c r="P296" s="42">
        <f>'[1]побудинковий звіт'!P296+'[2]побудинковий звіт'!P296-'[3]побудинковий звіт'!P296</f>
        <v>3551.2799999999997</v>
      </c>
      <c r="Q296" s="56">
        <f t="shared" si="298"/>
        <v>0.36000000000012733</v>
      </c>
      <c r="R296" s="42">
        <f>'[1]побудинковий звіт'!R296+'[2]побудинковий звіт'!R296-'[3]побудинковий звіт'!R296</f>
        <v>0</v>
      </c>
      <c r="S296" s="42">
        <f>'[1]побудинковий звіт'!S296+'[2]побудинковий звіт'!S296-'[3]побудинковий звіт'!S296</f>
        <v>0</v>
      </c>
      <c r="T296" s="56">
        <f t="shared" si="299"/>
        <v>0</v>
      </c>
      <c r="U296" s="42">
        <f>'[1]побудинковий звіт'!U296+'[2]побудинковий звіт'!U296-'[3]побудинковий звіт'!U296</f>
        <v>0</v>
      </c>
      <c r="V296" s="42">
        <f>'[1]побудинковий звіт'!V296+'[2]побудинковий звіт'!V296-'[3]побудинковий звіт'!V296</f>
        <v>0</v>
      </c>
      <c r="W296" s="56">
        <f t="shared" si="300"/>
        <v>0</v>
      </c>
      <c r="X296" s="42">
        <f>'[1]побудинковий звіт'!X296+'[2]побудинковий звіт'!X296-'[3]побудинковий звіт'!X296</f>
        <v>5192.9153978461336</v>
      </c>
      <c r="Y296" s="42">
        <f>'[1]побудинковий звіт'!Y296+'[2]побудинковий звіт'!Y296-'[3]побудинковий звіт'!Y296</f>
        <v>3965.9588771650133</v>
      </c>
      <c r="Z296" s="56">
        <f t="shared" si="301"/>
        <v>-1226.9565206811203</v>
      </c>
      <c r="AA296" s="42">
        <f>'[1]побудинковий звіт'!AA296+'[2]побудинковий звіт'!AA296-'[3]побудинковий звіт'!AA296</f>
        <v>0</v>
      </c>
      <c r="AB296" s="42">
        <f>'[1]побудинковий звіт'!AB296+'[2]побудинковий звіт'!AB296-'[3]побудинковий звіт'!AB296</f>
        <v>0</v>
      </c>
      <c r="AC296" s="56">
        <f t="shared" si="302"/>
        <v>0</v>
      </c>
      <c r="AD296" s="42">
        <f>'[1]побудинковий звіт'!AD296+'[2]побудинковий звіт'!AD296-'[3]побудинковий звіт'!AD296</f>
        <v>11134.26531246328</v>
      </c>
      <c r="AE296" s="42">
        <f>'[1]побудинковий звіт'!AE296+'[2]побудинковий звіт'!AE296-'[3]побудинковий звіт'!AE296</f>
        <v>10310.458439546872</v>
      </c>
      <c r="AF296" s="37">
        <f t="shared" si="303"/>
        <v>-823.80687291640788</v>
      </c>
      <c r="AG296" s="87">
        <f t="shared" si="293"/>
        <v>30593.754681547442</v>
      </c>
      <c r="AH296" s="57">
        <f t="shared" si="293"/>
        <v>28538.882159494053</v>
      </c>
      <c r="AI296" s="56">
        <f t="shared" si="304"/>
        <v>-2054.8725220533888</v>
      </c>
      <c r="AJ296" s="42">
        <f>'[1]побудинковий звіт'!AJ296+'[2]побудинковий звіт'!AJ296-'[3]побудинковий звіт'!AJ296</f>
        <v>0</v>
      </c>
      <c r="AK296" s="42">
        <f>'[1]побудинковий звіт'!AK296+'[2]побудинковий звіт'!AK296-'[3]побудинковий звіт'!AK296</f>
        <v>0</v>
      </c>
      <c r="AL296" s="56">
        <f t="shared" si="305"/>
        <v>0</v>
      </c>
      <c r="AM296" s="42">
        <f>'[1]побудинковий звіт'!AM296+'[2]побудинковий звіт'!AM296-'[3]побудинковий звіт'!AM296</f>
        <v>0</v>
      </c>
      <c r="AN296" s="42">
        <f>'[1]побудинковий звіт'!AN296+'[2]побудинковий звіт'!AN296-'[3]побудинковий звіт'!AN296</f>
        <v>0</v>
      </c>
      <c r="AO296" s="56">
        <f t="shared" si="306"/>
        <v>0</v>
      </c>
      <c r="AP296" s="42">
        <f>'[1]побудинковий звіт'!AP296+'[2]побудинковий звіт'!AP296-'[3]побудинковий звіт'!AP296</f>
        <v>8381.1061396087989</v>
      </c>
      <c r="AQ296" s="42">
        <f>'[1]побудинковий звіт'!AQ296+'[2]побудинковий звіт'!AQ296-'[3]побудинковий звіт'!AQ296</f>
        <v>6601.7300243817999</v>
      </c>
      <c r="AR296" s="56">
        <f t="shared" si="307"/>
        <v>-1779.376115226999</v>
      </c>
      <c r="AS296" s="42">
        <f>'[1]побудинковий звіт'!AS296+'[2]побудинковий звіт'!AS296-'[3]побудинковий звіт'!AS296</f>
        <v>38721.135783042286</v>
      </c>
      <c r="AT296" s="42">
        <f>'[1]побудинковий звіт'!AT296+'[2]побудинковий звіт'!AT296-'[3]побудинковий звіт'!AT296</f>
        <v>1912.0367049895558</v>
      </c>
      <c r="AU296" s="58">
        <f t="shared" si="322"/>
        <v>-36809.099078052728</v>
      </c>
      <c r="AV296" s="42">
        <f>'[1]побудинковий звіт'!AV296+'[2]побудинковий звіт'!AV296-'[3]побудинковий звіт'!AV296</f>
        <v>1465.5743256567923</v>
      </c>
      <c r="AW296" s="42">
        <f>'[1]побудинковий звіт'!AW296+'[2]побудинковий звіт'!AW296-'[3]побудинковий звіт'!AW296</f>
        <v>0</v>
      </c>
      <c r="AX296" s="59">
        <f t="shared" si="323"/>
        <v>-1465.5743256567923</v>
      </c>
      <c r="AY296" s="42">
        <f>'[1]побудинковий звіт'!AY296+'[2]побудинковий звіт'!AY296-'[3]побудинковий звіт'!AY296</f>
        <v>1994.8763517874106</v>
      </c>
      <c r="AZ296" s="42">
        <f>'[1]побудинковий звіт'!AZ296+'[2]побудинковий звіт'!AZ296-'[3]побудинковий звіт'!AZ296</f>
        <v>0</v>
      </c>
      <c r="BA296" s="37">
        <f t="shared" si="324"/>
        <v>-1994.8763517874106</v>
      </c>
      <c r="BB296" s="42">
        <f>'[1]побудинковий звіт'!BB296+'[2]побудинковий звіт'!BB296-'[3]побудинковий звіт'!BB296</f>
        <v>1973.147644759455</v>
      </c>
      <c r="BC296" s="42">
        <f>'[1]побудинковий звіт'!BC296+'[2]побудинковий звіт'!BC296-'[3]побудинковий звіт'!BC296</f>
        <v>0</v>
      </c>
      <c r="BD296" s="59">
        <f t="shared" si="325"/>
        <v>-1973.147644759455</v>
      </c>
      <c r="BE296" s="42">
        <f>'[1]побудинковий звіт'!BE296+'[2]побудинковий звіт'!BE296-'[3]побудинковий звіт'!BE296</f>
        <v>0</v>
      </c>
      <c r="BF296" s="42">
        <f>'[1]побудинковий звіт'!BF296+'[2]побудинковий звіт'!BF296-'[3]побудинковий звіт'!BF296</f>
        <v>0</v>
      </c>
      <c r="BG296" s="39">
        <f t="shared" si="326"/>
        <v>0</v>
      </c>
      <c r="BH296" s="42">
        <f>'[1]побудинковий звіт'!BH296+'[2]побудинковий звіт'!BH296-'[3]побудинковий звіт'!BH296</f>
        <v>0</v>
      </c>
      <c r="BI296" s="42">
        <f>'[1]побудинковий звіт'!BI296+'[2]побудинковий звіт'!BI296-'[3]побудинковий звіт'!BI296</f>
        <v>0</v>
      </c>
      <c r="BJ296" s="59">
        <f t="shared" si="327"/>
        <v>0</v>
      </c>
      <c r="BK296" s="42">
        <f>'[1]побудинковий звіт'!BK296+'[2]побудинковий звіт'!BK296-'[3]побудинковий звіт'!BK296</f>
        <v>706.39549299709142</v>
      </c>
      <c r="BL296" s="42">
        <f>'[1]побудинковий звіт'!BL296+'[2]побудинковий звіт'!BL296-'[3]побудинковий звіт'!BL296</f>
        <v>5868</v>
      </c>
      <c r="BM296" s="39">
        <f t="shared" si="328"/>
        <v>5161.6045070029086</v>
      </c>
      <c r="BN296" s="42">
        <f>'[1]побудинковий звіт'!BN296+'[2]побудинковий звіт'!BN296-'[3]побудинковий звіт'!BN296</f>
        <v>0</v>
      </c>
      <c r="BO296" s="42">
        <f>'[1]побудинковий звіт'!BO296+'[2]побудинковий звіт'!BO296-'[3]побудинковий звіт'!BO296</f>
        <v>0</v>
      </c>
      <c r="BP296" s="59">
        <f t="shared" si="329"/>
        <v>0</v>
      </c>
      <c r="BQ296" s="87">
        <f t="shared" si="282"/>
        <v>6139.9938152007489</v>
      </c>
      <c r="BR296" s="43">
        <f t="shared" si="331"/>
        <v>5868</v>
      </c>
      <c r="BS296" s="59">
        <f t="shared" si="330"/>
        <v>-271.99381520074894</v>
      </c>
      <c r="BT296" s="42">
        <f>'[1]побудинковий звіт'!BT296+'[2]побудинковий звіт'!BT296-'[3]побудинковий звіт'!BT296</f>
        <v>30183.919909133645</v>
      </c>
      <c r="BU296" s="42">
        <f>'[1]побудинковий звіт'!BU296+'[2]побудинковий звіт'!BU296-'[3]побудинковий звіт'!BU296</f>
        <v>46127.244724516306</v>
      </c>
      <c r="BV296" s="56">
        <f t="shared" si="308"/>
        <v>15943.324815382661</v>
      </c>
      <c r="BW296" s="42">
        <f>'[1]побудинковий звіт'!BW296+'[2]побудинковий звіт'!BW296-'[3]побудинковий звіт'!BW296</f>
        <v>13855.835959290611</v>
      </c>
      <c r="BX296" s="42">
        <f>'[1]побудинковий звіт'!BX296+'[2]побудинковий звіт'!BX296-'[3]побудинковий звіт'!BX296</f>
        <v>13758.888907003675</v>
      </c>
      <c r="BY296" s="56">
        <f t="shared" si="309"/>
        <v>-96.947052286936014</v>
      </c>
      <c r="BZ296" s="42">
        <f>'[1]побудинковий звіт'!BZ296+'[2]побудинковий звіт'!BZ296-'[3]побудинковий звіт'!BZ296</f>
        <v>14712.239222807422</v>
      </c>
      <c r="CA296" s="42">
        <f>'[1]побудинковий звіт'!CA296+'[2]побудинковий звіт'!CA296-'[3]побудинковий звіт'!CA296</f>
        <v>10149.579151501141</v>
      </c>
      <c r="CB296" s="56">
        <f t="shared" si="310"/>
        <v>-4562.6600713062817</v>
      </c>
      <c r="CC296" s="42">
        <f>'[1]побудинковий звіт'!CC296+'[2]побудинковий звіт'!CC296-'[3]побудинковий звіт'!CC296</f>
        <v>1363.8925810186274</v>
      </c>
      <c r="CD296" s="42">
        <f>'[1]побудинковий звіт'!CD296+'[2]побудинковий звіт'!CD296-'[3]побудинковий звіт'!CD296</f>
        <v>1351.8967601681948</v>
      </c>
      <c r="CE296" s="56">
        <f t="shared" si="311"/>
        <v>-11.995820850432665</v>
      </c>
      <c r="CF296" s="42">
        <f>'[1]побудинковий звіт'!CF296+'[2]побудинковий звіт'!CF296-'[3]побудинковий звіт'!CF296</f>
        <v>167.90344273903565</v>
      </c>
      <c r="CG296" s="42">
        <f>'[1]побудинковий звіт'!CG296+'[2]побудинковий звіт'!CG296-'[3]побудинковий звіт'!CG296</f>
        <v>0</v>
      </c>
      <c r="CH296" s="56">
        <f t="shared" si="312"/>
        <v>-167.90344273903565</v>
      </c>
      <c r="CI296" s="42">
        <f>'[1]побудинковий звіт'!CI296+'[2]побудинковий звіт'!CI296-'[3]побудинковий звіт'!CI296</f>
        <v>2770.1937262244364</v>
      </c>
      <c r="CJ296" s="42">
        <f>'[1]побудинковий звіт'!CJ296+'[2]побудинковий звіт'!CJ296-'[3]побудинковий звіт'!CJ296</f>
        <v>2071.9759517610687</v>
      </c>
      <c r="CK296" s="56">
        <f t="shared" si="313"/>
        <v>-698.21777446336773</v>
      </c>
      <c r="CL296" s="42">
        <f>'[1]побудинковий звіт'!CL296+'[2]побудинковий звіт'!CL296-'[3]побудинковий звіт'!CL296</f>
        <v>0</v>
      </c>
      <c r="CM296" s="42">
        <f>'[1]побудинковий звіт'!CM296+'[2]побудинковий звіт'!CM296-'[3]побудинковий звіт'!CM296</f>
        <v>0</v>
      </c>
      <c r="CN296" s="56">
        <f t="shared" si="314"/>
        <v>0</v>
      </c>
      <c r="CO296" s="42">
        <f t="shared" si="294"/>
        <v>2770.1937262244364</v>
      </c>
      <c r="CP296" s="43">
        <f t="shared" si="315"/>
        <v>2071.9759517610687</v>
      </c>
      <c r="CQ296" s="56">
        <f t="shared" si="316"/>
        <v>-698.21777446336773</v>
      </c>
      <c r="CR296" s="78">
        <f t="shared" si="295"/>
        <v>146889.97526061308</v>
      </c>
      <c r="CS296" s="5">
        <f t="shared" si="295"/>
        <v>116380.2343838158</v>
      </c>
      <c r="CT296" s="56">
        <f t="shared" si="317"/>
        <v>-30509.740876797281</v>
      </c>
      <c r="CU296" s="87">
        <f t="shared" si="318"/>
        <v>176267.97031273568</v>
      </c>
      <c r="CV296" s="70">
        <f t="shared" si="319"/>
        <v>139656.28126057895</v>
      </c>
      <c r="CW296" s="37">
        <f t="shared" si="320"/>
        <v>-36611.689052156726</v>
      </c>
      <c r="CX296" s="42">
        <f>'[1]побудинковий звіт'!CX296+'[2]побудинковий звіт'!CX296-'[3]побудинковий звіт'!CX296</f>
        <v>2616.2696872643282</v>
      </c>
      <c r="CY296" s="42">
        <f>'[1]побудинковий звіт'!CY296+'[2]побудинковий звіт'!CY296-'[3]побудинковий звіт'!CY296</f>
        <v>39227.958739421061</v>
      </c>
      <c r="CZ296" s="56">
        <f t="shared" si="321"/>
        <v>36611.689052156733</v>
      </c>
      <c r="DA296" s="264">
        <f>'[4]побудинковий звіт'!DA296</f>
        <v>25605.52143517782</v>
      </c>
      <c r="DB296" s="2">
        <v>2</v>
      </c>
      <c r="DC296" s="717">
        <f>'[4]побудинковий звіт'!DC296</f>
        <v>44772.72</v>
      </c>
      <c r="DD296" s="717">
        <f>'[4]побудинковий звіт'!DD296</f>
        <v>16019.7</v>
      </c>
      <c r="DE296" s="717">
        <f>'[4]побудинковий звіт'!DE296</f>
        <v>30145.370000000003</v>
      </c>
      <c r="DF296" s="717">
        <f>'[4]побудинковий звіт'!DF296</f>
        <v>15740.03</v>
      </c>
      <c r="DG296" s="787">
        <v>79768.687443127972</v>
      </c>
      <c r="DH296" s="761">
        <f t="shared" si="290"/>
        <v>2146610.88</v>
      </c>
      <c r="DI296" s="784"/>
      <c r="DJ296" s="5"/>
      <c r="DK296" s="317">
        <f>VLOOKUP($A296,ціни!$A$4:$G$401,5)</f>
        <v>5.7061555803966506</v>
      </c>
      <c r="DL296" s="317"/>
      <c r="DM296" s="317">
        <f>VLOOKUP($A296,ціни!$A$4:$G$401,7)</f>
        <v>5.1599262939453032</v>
      </c>
      <c r="DN296" s="30">
        <f t="shared" si="332"/>
        <v>8289.9028272002543</v>
      </c>
      <c r="DO296" s="30">
        <f t="shared" si="334"/>
        <v>279.66800513183546</v>
      </c>
      <c r="DP296" s="316">
        <f t="shared" si="335"/>
        <v>8569.5708323320905</v>
      </c>
      <c r="DQ296" s="104"/>
      <c r="DR296" s="30">
        <f>VLOOKUP(A296,'ДЗ нас '!$A$1:$C$359,2)</f>
        <v>14627.35</v>
      </c>
      <c r="DS296" s="748">
        <f>VLOOKUP(A296,'ДЗ нежит'!$A$1:$D$153,4,0)</f>
        <v>279.67</v>
      </c>
      <c r="DT296" s="30">
        <f t="shared" si="336"/>
        <v>14907.02</v>
      </c>
      <c r="DU296" s="257">
        <f>VLOOKUP(A296,'новий кошторис с 01.06'!$A$4:$AI$399,35)*1.2</f>
        <v>14865.265496374042</v>
      </c>
      <c r="DV296" s="30">
        <f t="shared" si="337"/>
        <v>41.754503625958023</v>
      </c>
      <c r="DW296" s="930">
        <f>'[5]побудинковий звіт'!DW296+'[6]побудинковий звіт'!DW296</f>
        <v>236</v>
      </c>
      <c r="DY296" s="5">
        <f t="shared" si="286"/>
        <v>53833.355517891636</v>
      </c>
      <c r="DZ296" s="5">
        <f t="shared" si="287"/>
        <v>9336.0440459874662</v>
      </c>
      <c r="EA296" s="752">
        <f t="shared" si="291"/>
        <v>45885.4</v>
      </c>
      <c r="EC296" s="592">
        <f t="shared" si="288"/>
        <v>464653.6293965074</v>
      </c>
      <c r="EE296" s="758">
        <v>-11339</v>
      </c>
      <c r="EF296" s="738">
        <f t="shared" si="289"/>
        <v>68429.687443127972</v>
      </c>
      <c r="EH296" s="813">
        <v>49228.494024589956</v>
      </c>
    </row>
    <row r="297" spans="1:138" x14ac:dyDescent="0.3">
      <c r="A297" s="328">
        <v>150000812</v>
      </c>
      <c r="B297" s="44" t="s">
        <v>750</v>
      </c>
      <c r="C297" s="45" t="s">
        <v>302</v>
      </c>
      <c r="D297" s="45" t="s">
        <v>302</v>
      </c>
      <c r="E297" s="40">
        <f t="shared" si="292"/>
        <v>4422.7</v>
      </c>
      <c r="F297" s="490">
        <v>3766.2</v>
      </c>
      <c r="G297" s="30"/>
      <c r="H297" s="30">
        <v>656.5</v>
      </c>
      <c r="I297" s="42">
        <f>'[1]побудинковий звіт'!I297+'[2]побудинковий звіт'!I297-'[3]побудинковий звіт'!I297</f>
        <v>5979.6044053708447</v>
      </c>
      <c r="J297" s="42">
        <f>'[1]побудинковий звіт'!J297+'[2]побудинковий звіт'!J297-'[3]побудинковий звіт'!J297</f>
        <v>6043.3753519536904</v>
      </c>
      <c r="K297" s="56">
        <f t="shared" si="296"/>
        <v>63.770946582845681</v>
      </c>
      <c r="L297" s="42">
        <f>'[1]побудинковий звіт'!L297+'[2]побудинковий звіт'!L297-'[3]побудинковий звіт'!L297</f>
        <v>1163.1679162785056</v>
      </c>
      <c r="M297" s="42">
        <f>'[1]побудинковий звіт'!M297+'[2]побудинковий звіт'!M297-'[3]побудинковий звіт'!M297</f>
        <v>1173.5859169944933</v>
      </c>
      <c r="N297" s="56">
        <f t="shared" si="297"/>
        <v>10.418000715987773</v>
      </c>
      <c r="O297" s="42">
        <f>'[1]побудинковий звіт'!O297+'[2]побудинковий звіт'!O297-'[3]побудинковий звіт'!O297</f>
        <v>4172.04</v>
      </c>
      <c r="P297" s="42">
        <f>'[1]побудинковий звіт'!P297+'[2]побудинковий звіт'!P297-'[3]побудинковий звіт'!P297</f>
        <v>4171.5600000000004</v>
      </c>
      <c r="Q297" s="56">
        <f t="shared" si="298"/>
        <v>-0.47999999999956344</v>
      </c>
      <c r="R297" s="42">
        <f>'[1]побудинковий звіт'!R297+'[2]побудинковий звіт'!R297-'[3]побудинковий звіт'!R297</f>
        <v>0</v>
      </c>
      <c r="S297" s="42">
        <f>'[1]побудинковий звіт'!S297+'[2]побудинковий звіт'!S297-'[3]побудинковий звіт'!S297</f>
        <v>0</v>
      </c>
      <c r="T297" s="56">
        <f t="shared" si="299"/>
        <v>0</v>
      </c>
      <c r="U297" s="42">
        <f>'[1]побудинковий звіт'!U297+'[2]побудинковий звіт'!U297-'[3]побудинковий звіт'!U297</f>
        <v>0</v>
      </c>
      <c r="V297" s="42">
        <f>'[1]побудинковий звіт'!V297+'[2]побудинковий звіт'!V297-'[3]побудинковий звіт'!V297</f>
        <v>0</v>
      </c>
      <c r="W297" s="56">
        <f t="shared" si="300"/>
        <v>0</v>
      </c>
      <c r="X297" s="42">
        <f>'[1]побудинковий звіт'!X297+'[2]побудинковий звіт'!X297-'[3]побудинковий звіт'!X297</f>
        <v>4987.4155590041328</v>
      </c>
      <c r="Y297" s="42">
        <f>'[1]побудинковий звіт'!Y297+'[2]побудинковий звіт'!Y297-'[3]побудинковий звіт'!Y297</f>
        <v>8002.2364980481898</v>
      </c>
      <c r="Z297" s="56">
        <f t="shared" si="301"/>
        <v>3014.820939044057</v>
      </c>
      <c r="AA297" s="42">
        <f>'[1]побудинковий звіт'!AA297+'[2]побудинковий звіт'!AA297-'[3]побудинковий звіт'!AA297</f>
        <v>0</v>
      </c>
      <c r="AB297" s="42">
        <f>'[1]побудинковий звіт'!AB297+'[2]побудинковий звіт'!AB297-'[3]побудинковий звіт'!AB297</f>
        <v>0</v>
      </c>
      <c r="AC297" s="56">
        <f t="shared" si="302"/>
        <v>0</v>
      </c>
      <c r="AD297" s="42">
        <f>'[1]побудинковий звіт'!AD297+'[2]побудинковий звіт'!AD297-'[3]побудинковий звіт'!AD297</f>
        <v>11890.659910687074</v>
      </c>
      <c r="AE297" s="42">
        <f>'[1]побудинковий звіт'!AE297+'[2]побудинковий звіт'!AE297-'[3]побудинковий звіт'!AE297</f>
        <v>11633.114533286145</v>
      </c>
      <c r="AF297" s="37">
        <f t="shared" si="303"/>
        <v>-257.54537740092928</v>
      </c>
      <c r="AG297" s="87">
        <f t="shared" si="293"/>
        <v>28192.887791340559</v>
      </c>
      <c r="AH297" s="57">
        <f t="shared" si="293"/>
        <v>31023.872300282521</v>
      </c>
      <c r="AI297" s="56">
        <f t="shared" si="304"/>
        <v>2830.9845089419614</v>
      </c>
      <c r="AJ297" s="42">
        <f>'[1]побудинковий звіт'!AJ297+'[2]побудинковий звіт'!AJ297-'[3]побудинковий звіт'!AJ297</f>
        <v>0</v>
      </c>
      <c r="AK297" s="42">
        <f>'[1]побудинковий звіт'!AK297+'[2]побудинковий звіт'!AK297-'[3]побудинковий звіт'!AK297</f>
        <v>0</v>
      </c>
      <c r="AL297" s="56">
        <f t="shared" si="305"/>
        <v>0</v>
      </c>
      <c r="AM297" s="42">
        <f>'[1]побудинковий звіт'!AM297+'[2]побудинковий звіт'!AM297-'[3]побудинковий звіт'!AM297</f>
        <v>0</v>
      </c>
      <c r="AN297" s="42">
        <f>'[1]побудинковий звіт'!AN297+'[2]побудинковий звіт'!AN297-'[3]побудинковий звіт'!AN297</f>
        <v>0</v>
      </c>
      <c r="AO297" s="56">
        <f t="shared" si="306"/>
        <v>0</v>
      </c>
      <c r="AP297" s="42">
        <f>'[1]побудинковий звіт'!AP297+'[2]побудинковий звіт'!AP297-'[3]побудинковий звіт'!AP297</f>
        <v>1231.1229357617449</v>
      </c>
      <c r="AQ297" s="42">
        <f>'[1]побудинковий звіт'!AQ297+'[2]побудинковий звіт'!AQ297-'[3]побудинковий звіт'!AQ297</f>
        <v>1165.5425482200017</v>
      </c>
      <c r="AR297" s="56">
        <f t="shared" si="307"/>
        <v>-65.580387541743221</v>
      </c>
      <c r="AS297" s="42">
        <f>'[1]побудинковий звіт'!AS297+'[2]побудинковий звіт'!AS297-'[3]побудинковий звіт'!AS297</f>
        <v>27254.670527671093</v>
      </c>
      <c r="AT297" s="42">
        <f>'[1]побудинковий звіт'!AT297+'[2]побудинковий звіт'!AT297-'[3]побудинковий звіт'!AT297</f>
        <v>695</v>
      </c>
      <c r="AU297" s="58">
        <f t="shared" si="322"/>
        <v>-26559.670527671093</v>
      </c>
      <c r="AV297" s="42">
        <f>'[1]побудинковий звіт'!AV297+'[2]побудинковий звіт'!AV297-'[3]побудинковий звіт'!AV297</f>
        <v>1079.5151822299279</v>
      </c>
      <c r="AW297" s="42">
        <f>'[1]побудинковий звіт'!AW297+'[2]побудинковий звіт'!AW297-'[3]побудинковий звіт'!AW297</f>
        <v>0</v>
      </c>
      <c r="AX297" s="59">
        <f t="shared" si="323"/>
        <v>-1079.5151822299279</v>
      </c>
      <c r="AY297" s="42">
        <f>'[1]побудинковий звіт'!AY297+'[2]побудинковий звіт'!AY297-'[3]побудинковий звіт'!AY297</f>
        <v>1499.1289154498384</v>
      </c>
      <c r="AZ297" s="42">
        <f>'[1]побудинковий звіт'!AZ297+'[2]побудинковий звіт'!AZ297-'[3]побудинковий звіт'!AZ297</f>
        <v>982</v>
      </c>
      <c r="BA297" s="37">
        <f t="shared" si="324"/>
        <v>-517.12891544983836</v>
      </c>
      <c r="BB297" s="42">
        <f>'[1]побудинковий звіт'!BB297+'[2]побудинковий звіт'!BB297-'[3]побудинковий звіт'!BB297</f>
        <v>1922.5956799134424</v>
      </c>
      <c r="BC297" s="42">
        <f>'[1]побудинковий звіт'!BC297+'[2]побудинковий звіт'!BC297-'[3]побудинковий звіт'!BC297</f>
        <v>0</v>
      </c>
      <c r="BD297" s="59">
        <f t="shared" si="325"/>
        <v>-1922.5956799134424</v>
      </c>
      <c r="BE297" s="42">
        <f>'[1]побудинковий звіт'!BE297+'[2]побудинковий звіт'!BE297-'[3]побудинковий звіт'!BE297</f>
        <v>0</v>
      </c>
      <c r="BF297" s="42">
        <f>'[1]побудинковий звіт'!BF297+'[2]побудинковий звіт'!BF297-'[3]побудинковий звіт'!BF297</f>
        <v>0</v>
      </c>
      <c r="BG297" s="39">
        <f t="shared" si="326"/>
        <v>0</v>
      </c>
      <c r="BH297" s="42">
        <f>'[1]побудинковий звіт'!BH297+'[2]побудинковий звіт'!BH297-'[3]побудинковий звіт'!BH297</f>
        <v>0</v>
      </c>
      <c r="BI297" s="42">
        <f>'[1]побудинковий звіт'!BI297+'[2]побудинковий звіт'!BI297-'[3]побудинковий звіт'!BI297</f>
        <v>0</v>
      </c>
      <c r="BJ297" s="59">
        <f t="shared" si="327"/>
        <v>0</v>
      </c>
      <c r="BK297" s="42">
        <f>'[1]побудинковий звіт'!BK297+'[2]побудинковий звіт'!BK297-'[3]побудинковий звіт'!BK297</f>
        <v>691.70062561757595</v>
      </c>
      <c r="BL297" s="42">
        <f>'[1]побудинковий звіт'!BL297+'[2]побудинковий звіт'!BL297-'[3]побудинковий звіт'!BL297</f>
        <v>789</v>
      </c>
      <c r="BM297" s="39">
        <f t="shared" si="328"/>
        <v>97.299374382424048</v>
      </c>
      <c r="BN297" s="42">
        <f>'[1]побудинковий звіт'!BN297+'[2]побудинковий звіт'!BN297-'[3]побудинковий звіт'!BN297</f>
        <v>0</v>
      </c>
      <c r="BO297" s="42">
        <f>'[1]побудинковий звіт'!BO297+'[2]побудинковий звіт'!BO297-'[3]побудинковий звіт'!BO297</f>
        <v>0</v>
      </c>
      <c r="BP297" s="59">
        <f t="shared" si="329"/>
        <v>0</v>
      </c>
      <c r="BQ297" s="87">
        <f t="shared" si="282"/>
        <v>5192.940403210785</v>
      </c>
      <c r="BR297" s="43">
        <f t="shared" si="331"/>
        <v>1771</v>
      </c>
      <c r="BS297" s="59">
        <f t="shared" si="330"/>
        <v>-3421.940403210785</v>
      </c>
      <c r="BT297" s="42">
        <f>'[1]побудинковий звіт'!BT297+'[2]побудинковий звіт'!BT297-'[3]побудинковий звіт'!BT297</f>
        <v>32369.471354068555</v>
      </c>
      <c r="BU297" s="42">
        <f>'[1]побудинковий звіт'!BU297+'[2]побудинковий звіт'!BU297-'[3]побудинковий звіт'!BU297</f>
        <v>46260.443088315827</v>
      </c>
      <c r="BV297" s="56">
        <f t="shared" si="308"/>
        <v>13890.971734247272</v>
      </c>
      <c r="BW297" s="42">
        <f>'[1]побудинковий звіт'!BW297+'[2]побудинковий звіт'!BW297-'[3]побудинковий звіт'!BW297</f>
        <v>11976.364337756902</v>
      </c>
      <c r="BX297" s="42">
        <f>'[1]побудинковий звіт'!BX297+'[2]побудинковий звіт'!BX297-'[3]побудинковий звіт'!BX297</f>
        <v>13367.738150858324</v>
      </c>
      <c r="BY297" s="56">
        <f t="shared" si="309"/>
        <v>1391.3738131014215</v>
      </c>
      <c r="BZ297" s="42">
        <f>'[1]побудинковий звіт'!BZ297+'[2]побудинковий звіт'!BZ297-'[3]побудинковий звіт'!BZ297</f>
        <v>16574.550136830159</v>
      </c>
      <c r="CA297" s="42">
        <f>'[1]побудинковий звіт'!CA297+'[2]побудинковий звіт'!CA297-'[3]побудинковий звіт'!CA297</f>
        <v>11044.051267294595</v>
      </c>
      <c r="CB297" s="56">
        <f t="shared" si="310"/>
        <v>-5530.4988695355642</v>
      </c>
      <c r="CC297" s="42">
        <f>'[1]побудинковий звіт'!CC297+'[2]побудинковий звіт'!CC297-'[3]побудинковий звіт'!CC297</f>
        <v>0</v>
      </c>
      <c r="CD297" s="42">
        <f>'[1]побудинковий звіт'!CD297+'[2]побудинковий звіт'!CD297-'[3]побудинковий звіт'!CD297</f>
        <v>0</v>
      </c>
      <c r="CE297" s="56">
        <f t="shared" si="311"/>
        <v>0</v>
      </c>
      <c r="CF297" s="42">
        <f>'[1]побудинковий звіт'!CF297+'[2]побудинковий звіт'!CF297-'[3]побудинковий звіт'!CF297</f>
        <v>0</v>
      </c>
      <c r="CG297" s="42">
        <f>'[1]побудинковий звіт'!CG297+'[2]побудинковий звіт'!CG297-'[3]побудинковий звіт'!CG297</f>
        <v>0</v>
      </c>
      <c r="CH297" s="56">
        <f t="shared" si="312"/>
        <v>0</v>
      </c>
      <c r="CI297" s="42">
        <f>'[1]побудинковий звіт'!CI297+'[2]побудинковий звіт'!CI297-'[3]побудинковий звіт'!CI297</f>
        <v>5839.8678552839447</v>
      </c>
      <c r="CJ297" s="42">
        <f>'[1]побудинковий звіт'!CJ297+'[2]побудинковий звіт'!CJ297-'[3]побудинковий звіт'!CJ297</f>
        <v>4052.7189460219515</v>
      </c>
      <c r="CK297" s="56">
        <f t="shared" si="313"/>
        <v>-1787.1489092619931</v>
      </c>
      <c r="CL297" s="42">
        <f>'[1]побудинковий звіт'!CL297+'[2]побудинковий звіт'!CL297-'[3]побудинковий звіт'!CL297</f>
        <v>0</v>
      </c>
      <c r="CM297" s="42">
        <f>'[1]побудинковий звіт'!CM297+'[2]побудинковий звіт'!CM297-'[3]побудинковий звіт'!CM297</f>
        <v>0</v>
      </c>
      <c r="CN297" s="56">
        <f t="shared" si="314"/>
        <v>0</v>
      </c>
      <c r="CO297" s="42">
        <f t="shared" si="294"/>
        <v>5839.8678552839447</v>
      </c>
      <c r="CP297" s="43">
        <f t="shared" si="315"/>
        <v>4052.7189460219515</v>
      </c>
      <c r="CQ297" s="56">
        <f t="shared" si="316"/>
        <v>-1787.1489092619931</v>
      </c>
      <c r="CR297" s="78">
        <f t="shared" si="295"/>
        <v>128631.87534192375</v>
      </c>
      <c r="CS297" s="5">
        <f t="shared" si="295"/>
        <v>109380.36630099322</v>
      </c>
      <c r="CT297" s="56">
        <f t="shared" si="317"/>
        <v>-19251.509040930527</v>
      </c>
      <c r="CU297" s="87">
        <f t="shared" si="318"/>
        <v>154358.25041030848</v>
      </c>
      <c r="CV297" s="70">
        <f t="shared" si="319"/>
        <v>131256.43956119186</v>
      </c>
      <c r="CW297" s="37">
        <f t="shared" si="320"/>
        <v>-23101.81084911662</v>
      </c>
      <c r="CX297" s="42">
        <f>'[1]побудинковий звіт'!CX297+'[2]побудинковий звіт'!CX297-'[3]побудинковий звіт'!CX297</f>
        <v>8613.2695896915102</v>
      </c>
      <c r="CY297" s="42">
        <f>'[1]побудинковий звіт'!CY297+'[2]побудинковий звіт'!CY297-'[3]побудинковий звіт'!CY297</f>
        <v>31715.080438808116</v>
      </c>
      <c r="CZ297" s="56">
        <f t="shared" si="321"/>
        <v>23101.810849116606</v>
      </c>
      <c r="DA297" s="264">
        <f>'[4]побудинковий звіт'!DA297</f>
        <v>16699.675938753018</v>
      </c>
      <c r="DB297" s="2">
        <v>2</v>
      </c>
      <c r="DC297" s="717">
        <f>'[4]побудинковий звіт'!DC297</f>
        <v>66000.08</v>
      </c>
      <c r="DD297" s="717">
        <f>'[4]побудинковий звіт'!DD297</f>
        <v>7004.7000000000007</v>
      </c>
      <c r="DE297" s="717">
        <f>'[4]побудинковий звіт'!DE297</f>
        <v>55173.08</v>
      </c>
      <c r="DF297" s="717">
        <f>'[4]побудинковий звіт'!DF297</f>
        <v>4250.7400000000007</v>
      </c>
      <c r="DG297" s="787">
        <v>48582.251231609902</v>
      </c>
      <c r="DH297" s="761">
        <f t="shared" si="290"/>
        <v>1955658.2399999998</v>
      </c>
      <c r="DI297" s="784"/>
      <c r="DJ297" s="5"/>
      <c r="DK297" s="317">
        <f>VLOOKUP($A297,ціни!$A$4:$G$401,5)</f>
        <v>4.716661081670888</v>
      </c>
      <c r="DL297" s="317"/>
      <c r="DM297" s="317">
        <f>VLOOKUP($A297,ціни!$A$4:$G$401,7)</f>
        <v>4.1948833472676768</v>
      </c>
      <c r="DN297" s="30">
        <f t="shared" si="332"/>
        <v>17763.888965788898</v>
      </c>
      <c r="DO297" s="30">
        <f t="shared" si="334"/>
        <v>2753.9409174812299</v>
      </c>
      <c r="DP297" s="316">
        <f t="shared" si="335"/>
        <v>20517.829883270126</v>
      </c>
      <c r="DQ297" s="104"/>
      <c r="DR297" s="30">
        <f>VLOOKUP(A297,'ДЗ нас '!$A$1:$C$359,2)</f>
        <v>10827</v>
      </c>
      <c r="DS297" s="748">
        <f>VLOOKUP(A297,'ДЗ нежит'!$A$1:$D$153,4,0)</f>
        <v>2753.96</v>
      </c>
      <c r="DT297" s="30">
        <f t="shared" si="336"/>
        <v>13580.96</v>
      </c>
      <c r="DU297" s="257">
        <f>VLOOKUP(A297,'новий кошторис с 01.06'!$A$4:$AI$399,35)*1.2</f>
        <v>12863.187534192373</v>
      </c>
      <c r="DV297" s="30">
        <f t="shared" si="337"/>
        <v>717.77246580762585</v>
      </c>
      <c r="DW297" s="930">
        <f>'[5]побудинковий звіт'!DW297+'[6]побудинковий звіт'!DW297</f>
        <v>236</v>
      </c>
      <c r="DY297" s="5">
        <f t="shared" si="286"/>
        <v>38937.133117058249</v>
      </c>
      <c r="DZ297" s="5">
        <f t="shared" si="287"/>
        <v>2959.2</v>
      </c>
      <c r="EA297" s="752">
        <f t="shared" si="291"/>
        <v>59423.82</v>
      </c>
      <c r="EC297" s="592">
        <f t="shared" si="288"/>
        <v>327056.04633205314</v>
      </c>
      <c r="EE297" s="758">
        <v>-39756</v>
      </c>
      <c r="EF297" s="738">
        <f t="shared" si="289"/>
        <v>8826.2512316099019</v>
      </c>
      <c r="EH297" s="813">
        <v>36330.082442815517</v>
      </c>
    </row>
    <row r="298" spans="1:138" x14ac:dyDescent="0.3">
      <c r="A298" s="328">
        <v>150000828</v>
      </c>
      <c r="B298" s="44" t="s">
        <v>751</v>
      </c>
      <c r="C298" s="45" t="s">
        <v>303</v>
      </c>
      <c r="D298" s="45" t="s">
        <v>303</v>
      </c>
      <c r="E298" s="40">
        <f t="shared" si="292"/>
        <v>3203.6</v>
      </c>
      <c r="F298" s="490">
        <v>3203.6</v>
      </c>
      <c r="G298" s="30"/>
      <c r="H298" s="30">
        <v>0</v>
      </c>
      <c r="I298" s="42">
        <f>'[1]побудинковий звіт'!I298+'[2]побудинковий звіт'!I298-'[3]побудинковий звіт'!I298</f>
        <v>9167.8211414411962</v>
      </c>
      <c r="J298" s="42">
        <f>'[1]побудинковий звіт'!J298+'[2]побудинковий звіт'!J298-'[3]побудинковий звіт'!J298</f>
        <v>9149.1833529073883</v>
      </c>
      <c r="K298" s="56">
        <f t="shared" si="296"/>
        <v>-18.637788533807907</v>
      </c>
      <c r="L298" s="42">
        <f>'[1]побудинковий звіт'!L298+'[2]побудинковий звіт'!L298-'[3]побудинковий звіт'!L298</f>
        <v>1547.8328297968294</v>
      </c>
      <c r="M298" s="42">
        <f>'[1]побудинковий звіт'!M298+'[2]побудинковий звіт'!M298-'[3]побудинковий звіт'!M298</f>
        <v>1569.6290958975237</v>
      </c>
      <c r="N298" s="56">
        <f t="shared" si="297"/>
        <v>21.796266100694311</v>
      </c>
      <c r="O298" s="42">
        <f>'[1]побудинковий звіт'!O298+'[2]побудинковий звіт'!O298-'[3]побудинковий звіт'!O298</f>
        <v>3546.6000000000008</v>
      </c>
      <c r="P298" s="42">
        <f>'[1]побудинковий звіт'!P298+'[2]побудинковий звіт'!P298-'[3]побудинковий звіт'!P298</f>
        <v>3545.5199999999995</v>
      </c>
      <c r="Q298" s="56">
        <f t="shared" si="298"/>
        <v>-1.0800000000012915</v>
      </c>
      <c r="R298" s="42">
        <f>'[1]побудинковий звіт'!R298+'[2]побудинковий звіт'!R298-'[3]побудинковий звіт'!R298</f>
        <v>0</v>
      </c>
      <c r="S298" s="42">
        <f>'[1]побудинковий звіт'!S298+'[2]побудинковий звіт'!S298-'[3]побудинковий звіт'!S298</f>
        <v>0</v>
      </c>
      <c r="T298" s="56">
        <f t="shared" si="299"/>
        <v>0</v>
      </c>
      <c r="U298" s="42">
        <f>'[1]побудинковий звіт'!U298+'[2]побудинковий звіт'!U298-'[3]побудинковий звіт'!U298</f>
        <v>0</v>
      </c>
      <c r="V298" s="42">
        <f>'[1]побудинковий звіт'!V298+'[2]побудинковий звіт'!V298-'[3]побудинковий звіт'!V298</f>
        <v>0</v>
      </c>
      <c r="W298" s="56">
        <f t="shared" si="300"/>
        <v>0</v>
      </c>
      <c r="X298" s="42">
        <f>'[1]побудинковий звіт'!X298+'[2]побудинковий звіт'!X298-'[3]побудинковий звіт'!X298</f>
        <v>5111.2148237847105</v>
      </c>
      <c r="Y298" s="42">
        <f>'[1]побудинковий звіт'!Y298+'[2]побудинковий звіт'!Y298-'[3]побудинковий звіт'!Y298</f>
        <v>6294.9142904284508</v>
      </c>
      <c r="Z298" s="56">
        <f t="shared" si="301"/>
        <v>1183.6994666437404</v>
      </c>
      <c r="AA298" s="42">
        <f>'[1]побудинковий звіт'!AA298+'[2]побудинковий звіт'!AA298-'[3]побудинковий звіт'!AA298</f>
        <v>0</v>
      </c>
      <c r="AB298" s="42">
        <f>'[1]побудинковий звіт'!AB298+'[2]побудинковий звіт'!AB298-'[3]побудинковий звіт'!AB298</f>
        <v>0</v>
      </c>
      <c r="AC298" s="56">
        <f t="shared" si="302"/>
        <v>0</v>
      </c>
      <c r="AD298" s="42">
        <f>'[1]побудинковий звіт'!AD298+'[2]побудинковий звіт'!AD298-'[3]побудинковий звіт'!AD298</f>
        <v>11098.006261061711</v>
      </c>
      <c r="AE298" s="42">
        <f>'[1]побудинковий звіт'!AE298+'[2]побудинковий звіт'!AE298-'[3]побудинковий звіт'!AE298</f>
        <v>10228.924280036781</v>
      </c>
      <c r="AF298" s="37">
        <f t="shared" si="303"/>
        <v>-869.08198102493043</v>
      </c>
      <c r="AG298" s="87">
        <f t="shared" si="293"/>
        <v>30471.475056084448</v>
      </c>
      <c r="AH298" s="57">
        <f t="shared" si="293"/>
        <v>30788.171019270143</v>
      </c>
      <c r="AI298" s="56">
        <f t="shared" si="304"/>
        <v>316.69596318569529</v>
      </c>
      <c r="AJ298" s="42">
        <f>'[1]побудинковий звіт'!AJ298+'[2]побудинковий звіт'!AJ298-'[3]побудинковий звіт'!AJ298</f>
        <v>0</v>
      </c>
      <c r="AK298" s="42">
        <f>'[1]побудинковий звіт'!AK298+'[2]побудинковий звіт'!AK298-'[3]побудинковий звіт'!AK298</f>
        <v>0</v>
      </c>
      <c r="AL298" s="56">
        <f t="shared" si="305"/>
        <v>0</v>
      </c>
      <c r="AM298" s="42">
        <f>'[1]побудинковий звіт'!AM298+'[2]побудинковий звіт'!AM298-'[3]побудинковий звіт'!AM298</f>
        <v>0</v>
      </c>
      <c r="AN298" s="42">
        <f>'[1]побудинковий звіт'!AN298+'[2]побудинковий звіт'!AN298-'[3]побудинковий звіт'!AN298</f>
        <v>0</v>
      </c>
      <c r="AO298" s="56">
        <f t="shared" si="306"/>
        <v>0</v>
      </c>
      <c r="AP298" s="42">
        <f>'[1]побудинковий звіт'!AP298+'[2]побудинковий звіт'!AP298-'[3]побудинковий звіт'!AP298</f>
        <v>8523.1587860428499</v>
      </c>
      <c r="AQ298" s="42">
        <f>'[1]побудинковий звіт'!AQ298+'[2]побудинковий звіт'!AQ298-'[3]побудинковий звіт'!AQ298</f>
        <v>5829.6266206381752</v>
      </c>
      <c r="AR298" s="56">
        <f t="shared" si="307"/>
        <v>-2693.5321654046747</v>
      </c>
      <c r="AS298" s="42">
        <f>'[1]побудинковий звіт'!AS298+'[2]побудинковий звіт'!AS298-'[3]побудинковий звіт'!AS298</f>
        <v>39862.949284951093</v>
      </c>
      <c r="AT298" s="42">
        <f>'[1]побудинковий звіт'!AT298+'[2]побудинковий звіт'!AT298-'[3]побудинковий звіт'!AT298</f>
        <v>15530</v>
      </c>
      <c r="AU298" s="58">
        <f t="shared" si="322"/>
        <v>-24332.949284951093</v>
      </c>
      <c r="AV298" s="42">
        <f>'[1]побудинковий звіт'!AV298+'[2]побудинковий звіт'!AV298-'[3]побудинковий звіт'!AV298</f>
        <v>1465.5743256567923</v>
      </c>
      <c r="AW298" s="42">
        <f>'[1]побудинковий звіт'!AW298+'[2]побудинковий звіт'!AW298-'[3]побудинковий звіт'!AW298</f>
        <v>476</v>
      </c>
      <c r="AX298" s="59">
        <f t="shared" si="323"/>
        <v>-989.57432565679233</v>
      </c>
      <c r="AY298" s="42">
        <f>'[1]побудинковий звіт'!AY298+'[2]побудинковий звіт'!AY298-'[3]побудинковий звіт'!AY298</f>
        <v>1994.8763517874106</v>
      </c>
      <c r="AZ298" s="42">
        <f>'[1]побудинковий звіт'!AZ298+'[2]побудинковий звіт'!AZ298-'[3]побудинковий звіт'!AZ298</f>
        <v>1482</v>
      </c>
      <c r="BA298" s="37">
        <f t="shared" si="324"/>
        <v>-512.87635178741061</v>
      </c>
      <c r="BB298" s="42">
        <f>'[1]побудинковий звіт'!BB298+'[2]побудинковий звіт'!BB298-'[3]побудинковий звіт'!BB298</f>
        <v>1971.3242466643442</v>
      </c>
      <c r="BC298" s="42">
        <f>'[1]побудинковий звіт'!BC298+'[2]побудинковий звіт'!BC298-'[3]побудинковий звіт'!BC298</f>
        <v>0</v>
      </c>
      <c r="BD298" s="59">
        <f t="shared" si="325"/>
        <v>-1971.3242466643442</v>
      </c>
      <c r="BE298" s="42">
        <f>'[1]побудинковий звіт'!BE298+'[2]побудинковий звіт'!BE298-'[3]побудинковий звіт'!BE298</f>
        <v>0</v>
      </c>
      <c r="BF298" s="42">
        <f>'[1]побудинковий звіт'!BF298+'[2]побудинковий звіт'!BF298-'[3]побудинковий звіт'!BF298</f>
        <v>0</v>
      </c>
      <c r="BG298" s="39">
        <f t="shared" si="326"/>
        <v>0</v>
      </c>
      <c r="BH298" s="42">
        <f>'[1]побудинковий звіт'!BH298+'[2]побудинковий звіт'!BH298-'[3]побудинковий звіт'!BH298</f>
        <v>0</v>
      </c>
      <c r="BI298" s="42">
        <f>'[1]побудинковий звіт'!BI298+'[2]побудинковий звіт'!BI298-'[3]побудинковий звіт'!BI298</f>
        <v>0</v>
      </c>
      <c r="BJ298" s="59">
        <f t="shared" si="327"/>
        <v>0</v>
      </c>
      <c r="BK298" s="42">
        <f>'[1]побудинковий звіт'!BK298+'[2]побудинковий звіт'!BK298-'[3]побудинковий звіт'!BK298</f>
        <v>706.39559549727301</v>
      </c>
      <c r="BL298" s="42">
        <f>'[1]побудинковий звіт'!BL298+'[2]побудинковий звіт'!BL298-'[3]побудинковий звіт'!BL298</f>
        <v>7220</v>
      </c>
      <c r="BM298" s="39">
        <f t="shared" si="328"/>
        <v>6513.6044045027265</v>
      </c>
      <c r="BN298" s="42">
        <f>'[1]побудинковий звіт'!BN298+'[2]побудинковий звіт'!BN298-'[3]побудинковий звіт'!BN298</f>
        <v>0</v>
      </c>
      <c r="BO298" s="42">
        <f>'[1]побудинковий звіт'!BO298+'[2]побудинковий звіт'!BO298-'[3]побудинковий звіт'!BO298</f>
        <v>0</v>
      </c>
      <c r="BP298" s="59">
        <f t="shared" si="329"/>
        <v>0</v>
      </c>
      <c r="BQ298" s="87">
        <f t="shared" si="282"/>
        <v>6138.170519605821</v>
      </c>
      <c r="BR298" s="43">
        <f t="shared" si="331"/>
        <v>9178</v>
      </c>
      <c r="BS298" s="59">
        <f t="shared" si="330"/>
        <v>3039.829480394179</v>
      </c>
      <c r="BT298" s="42">
        <f>'[1]побудинковий звіт'!BT298+'[2]побудинковий звіт'!BT298-'[3]побудинковий звіт'!BT298</f>
        <v>24082.416805923476</v>
      </c>
      <c r="BU298" s="42">
        <f>'[1]побудинковий звіт'!BU298+'[2]побудинковий звіт'!BU298-'[3]побудинковий звіт'!BU298</f>
        <v>35173.82394129131</v>
      </c>
      <c r="BV298" s="56">
        <f t="shared" si="308"/>
        <v>11091.407135367834</v>
      </c>
      <c r="BW298" s="42">
        <f>'[1]побудинковий звіт'!BW298+'[2]побудинковий звіт'!BW298-'[3]побудинковий звіт'!BW298</f>
        <v>14133.751067740457</v>
      </c>
      <c r="BX298" s="42">
        <f>'[1]побудинковий звіт'!BX298+'[2]побудинковий звіт'!BX298-'[3]побудинковий звіт'!BX298</f>
        <v>14807.314879221896</v>
      </c>
      <c r="BY298" s="56">
        <f t="shared" si="309"/>
        <v>673.56381148143919</v>
      </c>
      <c r="BZ298" s="42">
        <f>'[1]побудинковий звіт'!BZ298+'[2]побудинковий звіт'!BZ298-'[3]побудинковий звіт'!BZ298</f>
        <v>12770.313340273506</v>
      </c>
      <c r="CA298" s="42">
        <f>'[1]побудинковий звіт'!CA298+'[2]побудинковий звіт'!CA298-'[3]побудинковий звіт'!CA298</f>
        <v>7306.5210629839294</v>
      </c>
      <c r="CB298" s="56">
        <f t="shared" si="310"/>
        <v>-5463.7922772895763</v>
      </c>
      <c r="CC298" s="42">
        <f>'[1]побудинковий звіт'!CC298+'[2]побудинковий звіт'!CC298-'[3]побудинковий звіт'!CC298</f>
        <v>1646.7892565467093</v>
      </c>
      <c r="CD298" s="42">
        <f>'[1]побудинковий звіт'!CD298+'[2]побудинковий звіт'!CD298-'[3]побудинковий звіт'!CD298</f>
        <v>1632.3052794543212</v>
      </c>
      <c r="CE298" s="56">
        <f t="shared" si="311"/>
        <v>-14.483977092388159</v>
      </c>
      <c r="CF298" s="42">
        <f>'[1]побудинковий звіт'!CF298+'[2]побудинковий звіт'!CF298-'[3]побудинковий звіт'!CF298</f>
        <v>202.72973802184876</v>
      </c>
      <c r="CG298" s="42">
        <f>'[1]побудинковий звіт'!CG298+'[2]побудинковий звіт'!CG298-'[3]побудинковий звіт'!CG298</f>
        <v>0</v>
      </c>
      <c r="CH298" s="56">
        <f t="shared" si="312"/>
        <v>-202.72973802184876</v>
      </c>
      <c r="CI298" s="42">
        <f>'[1]побудинковий звіт'!CI298+'[2]побудинковий звіт'!CI298-'[3]побудинковий звіт'!CI298</f>
        <v>4473.4885173489201</v>
      </c>
      <c r="CJ298" s="42">
        <f>'[1]побудинковий звіт'!CJ298+'[2]побудинковий звіт'!CJ298-'[3]побудинковий звіт'!CJ298</f>
        <v>1949.8920695867969</v>
      </c>
      <c r="CK298" s="56">
        <f t="shared" si="313"/>
        <v>-2523.5964477621233</v>
      </c>
      <c r="CL298" s="42">
        <f>'[1]побудинковий звіт'!CL298+'[2]побудинковий звіт'!CL298-'[3]побудинковий звіт'!CL298</f>
        <v>0</v>
      </c>
      <c r="CM298" s="42">
        <f>'[1]побудинковий звіт'!CM298+'[2]побудинковий звіт'!CM298-'[3]побудинковий звіт'!CM298</f>
        <v>0</v>
      </c>
      <c r="CN298" s="56">
        <f t="shared" si="314"/>
        <v>0</v>
      </c>
      <c r="CO298" s="42">
        <f t="shared" si="294"/>
        <v>4473.4885173489201</v>
      </c>
      <c r="CP298" s="43">
        <f t="shared" si="315"/>
        <v>1949.8920695867969</v>
      </c>
      <c r="CQ298" s="56">
        <f t="shared" si="316"/>
        <v>-2523.5964477621233</v>
      </c>
      <c r="CR298" s="78">
        <f t="shared" si="295"/>
        <v>142305.24237253913</v>
      </c>
      <c r="CS298" s="5">
        <f t="shared" si="295"/>
        <v>122195.65487244658</v>
      </c>
      <c r="CT298" s="56">
        <f t="shared" si="317"/>
        <v>-20109.587500092544</v>
      </c>
      <c r="CU298" s="87">
        <f t="shared" si="318"/>
        <v>170766.29084704694</v>
      </c>
      <c r="CV298" s="70">
        <f t="shared" si="319"/>
        <v>146634.78584693591</v>
      </c>
      <c r="CW298" s="37">
        <f t="shared" si="320"/>
        <v>-24131.505000111036</v>
      </c>
      <c r="CX298" s="42">
        <f>'[1]побудинковий звіт'!CX298+'[2]побудинковий звіт'!CX298-'[3]побудинковий звіт'!CX298</f>
        <v>3409.1491529530176</v>
      </c>
      <c r="CY298" s="42">
        <f>'[1]побудинковий звіт'!CY298+'[2]побудинковий звіт'!CY298-'[3]побудинковий звіт'!CY298</f>
        <v>27540.654153064126</v>
      </c>
      <c r="CZ298" s="56">
        <f t="shared" si="321"/>
        <v>24131.505000111109</v>
      </c>
      <c r="DA298" s="264">
        <f>'[4]побудинковий звіт'!DA298</f>
        <v>-64047.302291752501</v>
      </c>
      <c r="DB298" s="2">
        <v>2</v>
      </c>
      <c r="DC298" s="717">
        <f>'[4]побудинковий звіт'!DC298</f>
        <v>47441.78</v>
      </c>
      <c r="DD298" s="717">
        <f>'[4]побудинковий звіт'!DD298</f>
        <v>0</v>
      </c>
      <c r="DE298" s="717">
        <f>'[4]побудинковий звіт'!DE298</f>
        <v>32927.159999999996</v>
      </c>
      <c r="DF298" s="717">
        <f>'[4]побудинковий звіт'!DF298</f>
        <v>0</v>
      </c>
      <c r="DG298" s="787">
        <v>-13136.11107513227</v>
      </c>
      <c r="DH298" s="761">
        <f t="shared" si="290"/>
        <v>2090105.2799999993</v>
      </c>
      <c r="DI298" s="784"/>
      <c r="DJ298" s="5"/>
      <c r="DK298" s="317">
        <f>VLOOKUP($A298,ціни!$A$4:$G$401,5)</f>
        <v>5.5923802251568073</v>
      </c>
      <c r="DL298" s="317"/>
      <c r="DM298" s="317">
        <f>VLOOKUP($A298,ціни!$A$4:$G$401,7)</f>
        <v>5.0369452414504492</v>
      </c>
      <c r="DN298" s="30">
        <f t="shared" si="332"/>
        <v>17915.749289312349</v>
      </c>
      <c r="DO298" s="30">
        <f t="shared" si="334"/>
        <v>0</v>
      </c>
      <c r="DP298" s="316">
        <f t="shared" si="335"/>
        <v>17915.749289312349</v>
      </c>
      <c r="DQ298" s="104"/>
      <c r="DR298" s="30">
        <f>VLOOKUP(A298,'ДЗ нас '!$A$1:$C$359,2)</f>
        <v>14514.62</v>
      </c>
      <c r="DS298" s="748"/>
      <c r="DT298" s="30">
        <f t="shared" si="336"/>
        <v>14514.62</v>
      </c>
      <c r="DU298" s="257">
        <f>VLOOKUP(A298,'новий кошторис с 01.06'!$A$4:$AI$399,35)*1.2</f>
        <v>14572.056818948011</v>
      </c>
      <c r="DV298" s="30">
        <f t="shared" si="337"/>
        <v>-57.436818948010114</v>
      </c>
      <c r="DW298" s="930">
        <f>'[5]побудинковий звіт'!DW298+'[6]побудинковий звіт'!DW298</f>
        <v>204</v>
      </c>
      <c r="DY298" s="5">
        <f t="shared" si="286"/>
        <v>55201.3437654683</v>
      </c>
      <c r="DZ298" s="5">
        <f t="shared" si="287"/>
        <v>29649.599999999999</v>
      </c>
      <c r="EA298" s="752">
        <f t="shared" si="291"/>
        <v>32927.159999999996</v>
      </c>
      <c r="EC298" s="592">
        <f t="shared" si="288"/>
        <v>478355.39141941315</v>
      </c>
      <c r="EE298" s="758">
        <v>-11472</v>
      </c>
      <c r="EF298" s="738">
        <f t="shared" si="289"/>
        <v>-24608.11107513227</v>
      </c>
      <c r="EH298" s="813">
        <v>-49752.839421503428</v>
      </c>
    </row>
    <row r="299" spans="1:138" x14ac:dyDescent="0.3">
      <c r="A299" s="328">
        <v>150000813</v>
      </c>
      <c r="B299" s="44" t="s">
        <v>752</v>
      </c>
      <c r="C299" s="45" t="s">
        <v>188</v>
      </c>
      <c r="D299" s="45" t="s">
        <v>188</v>
      </c>
      <c r="E299" s="40">
        <f t="shared" si="292"/>
        <v>1311.9</v>
      </c>
      <c r="F299" s="490">
        <v>1311.9</v>
      </c>
      <c r="G299" s="30"/>
      <c r="H299" s="30">
        <v>0</v>
      </c>
      <c r="I299" s="42">
        <f>'[1]побудинковий звіт'!I299+'[2]побудинковий звіт'!I299-'[3]побудинковий звіт'!I299</f>
        <v>983.04867320109759</v>
      </c>
      <c r="J299" s="42">
        <f>'[1]побудинковий звіт'!J299+'[2]побудинковий звіт'!J299-'[3]побудинковий звіт'!J299</f>
        <v>904.00051355144717</v>
      </c>
      <c r="K299" s="56">
        <f t="shared" si="296"/>
        <v>-79.048159649650415</v>
      </c>
      <c r="L299" s="42">
        <f>'[1]побудинковий звіт'!L299+'[2]побудинковий звіт'!L299-'[3]побудинковий звіт'!L299</f>
        <v>341.4648395909478</v>
      </c>
      <c r="M299" s="42">
        <f>'[1]побудинковий звіт'!M299+'[2]побудинковий звіт'!M299-'[3]побудинковий звіт'!M299</f>
        <v>326.96149296323051</v>
      </c>
      <c r="N299" s="56">
        <f t="shared" si="297"/>
        <v>-14.503346627717292</v>
      </c>
      <c r="O299" s="42">
        <f>'[1]побудинковий звіт'!O299+'[2]побудинковий звіт'!O299-'[3]побудинковий звіт'!O299</f>
        <v>0</v>
      </c>
      <c r="P299" s="42">
        <f>'[1]побудинковий звіт'!P299+'[2]побудинковий звіт'!P299-'[3]побудинковий звіт'!P299</f>
        <v>0</v>
      </c>
      <c r="Q299" s="56">
        <f t="shared" si="298"/>
        <v>0</v>
      </c>
      <c r="R299" s="42">
        <f>'[1]побудинковий звіт'!R299+'[2]побудинковий звіт'!R299-'[3]побудинковий звіт'!R299</f>
        <v>0</v>
      </c>
      <c r="S299" s="42">
        <f>'[1]побудинковий звіт'!S299+'[2]побудинковий звіт'!S299-'[3]побудинковий звіт'!S299</f>
        <v>0</v>
      </c>
      <c r="T299" s="56">
        <f t="shared" si="299"/>
        <v>0</v>
      </c>
      <c r="U299" s="42">
        <f>'[1]побудинковий звіт'!U299+'[2]побудинковий звіт'!U299-'[3]побудинковий звіт'!U299</f>
        <v>0</v>
      </c>
      <c r="V299" s="42">
        <f>'[1]побудинковий звіт'!V299+'[2]побудинковий звіт'!V299-'[3]побудинковий звіт'!V299</f>
        <v>0</v>
      </c>
      <c r="W299" s="56">
        <f t="shared" si="300"/>
        <v>0</v>
      </c>
      <c r="X299" s="42">
        <f>'[1]побудинковий звіт'!X299+'[2]побудинковий звіт'!X299-'[3]побудинковий звіт'!X299</f>
        <v>570.04441949578143</v>
      </c>
      <c r="Y299" s="42">
        <f>'[1]побудинковий звіт'!Y299+'[2]побудинковий звіт'!Y299-'[3]побудинковий звіт'!Y299</f>
        <v>480.73758478703684</v>
      </c>
      <c r="Z299" s="56">
        <f t="shared" si="301"/>
        <v>-89.306834708744589</v>
      </c>
      <c r="AA299" s="42">
        <f>'[1]побудинковий звіт'!AA299+'[2]побудинковий звіт'!AA299-'[3]побудинковий звіт'!AA299</f>
        <v>0</v>
      </c>
      <c r="AB299" s="42">
        <f>'[1]побудинковий звіт'!AB299+'[2]побудинковий звіт'!AB299-'[3]побудинковий звіт'!AB299</f>
        <v>0</v>
      </c>
      <c r="AC299" s="56">
        <f t="shared" si="302"/>
        <v>0</v>
      </c>
      <c r="AD299" s="42">
        <f>'[1]побудинковий звіт'!AD299+'[2]побудинковий звіт'!AD299-'[3]побудинковий звіт'!AD299</f>
        <v>1596.1679113450623</v>
      </c>
      <c r="AE299" s="42">
        <f>'[1]побудинковий звіт'!AE299+'[2]побудинковий звіт'!AE299-'[3]побудинковий звіт'!AE299</f>
        <v>1471.6215021898115</v>
      </c>
      <c r="AF299" s="37">
        <f t="shared" si="303"/>
        <v>-124.54640915525079</v>
      </c>
      <c r="AG299" s="87">
        <f t="shared" si="293"/>
        <v>3490.7258436328889</v>
      </c>
      <c r="AH299" s="57">
        <f t="shared" si="293"/>
        <v>3183.321093491526</v>
      </c>
      <c r="AI299" s="56">
        <f t="shared" si="304"/>
        <v>-307.40475014136291</v>
      </c>
      <c r="AJ299" s="42">
        <f>'[1]побудинковий звіт'!AJ299+'[2]побудинковий звіт'!AJ299-'[3]побудинковий звіт'!AJ299</f>
        <v>0</v>
      </c>
      <c r="AK299" s="42">
        <f>'[1]побудинковий звіт'!AK299+'[2]побудинковий звіт'!AK299-'[3]побудинковий звіт'!AK299</f>
        <v>0</v>
      </c>
      <c r="AL299" s="56">
        <f t="shared" si="305"/>
        <v>0</v>
      </c>
      <c r="AM299" s="42">
        <f>'[1]побудинковий звіт'!AM299+'[2]побудинковий звіт'!AM299-'[3]побудинковий звіт'!AM299</f>
        <v>0</v>
      </c>
      <c r="AN299" s="42">
        <f>'[1]побудинковий звіт'!AN299+'[2]побудинковий звіт'!AN299-'[3]побудинковий звіт'!AN299</f>
        <v>0</v>
      </c>
      <c r="AO299" s="56">
        <f t="shared" si="306"/>
        <v>0</v>
      </c>
      <c r="AP299" s="42">
        <f>'[1]побудинковий звіт'!AP299+'[2]побудинковий звіт'!AP299-'[3]побудинковий звіт'!AP299</f>
        <v>378.80705715745984</v>
      </c>
      <c r="AQ299" s="42">
        <f>'[1]побудинковий звіт'!AQ299+'[2]побудинковий звіт'!AQ299-'[3]побудинковий звіт'!AQ299</f>
        <v>921.9582317325461</v>
      </c>
      <c r="AR299" s="56">
        <f t="shared" si="307"/>
        <v>543.15117457508632</v>
      </c>
      <c r="AS299" s="42">
        <f>'[1]побудинковий звіт'!AS299+'[2]побудинковий звіт'!AS299-'[3]побудинковий звіт'!AS299</f>
        <v>4728.1104098047344</v>
      </c>
      <c r="AT299" s="42">
        <f>'[1]побудинковий звіт'!AT299+'[2]побудинковий звіт'!AT299-'[3]побудинковий звіт'!AT299</f>
        <v>173</v>
      </c>
      <c r="AU299" s="58">
        <f t="shared" si="322"/>
        <v>-4555.1104098047344</v>
      </c>
      <c r="AV299" s="42">
        <f>'[1]побудинковий звіт'!AV299+'[2]побудинковий звіт'!AV299-'[3]побудинковий звіт'!AV299</f>
        <v>368.74084918649328</v>
      </c>
      <c r="AW299" s="42">
        <f>'[1]побудинковий звіт'!AW299+'[2]побудинковий звіт'!AW299-'[3]побудинковий звіт'!AW299</f>
        <v>0</v>
      </c>
      <c r="AX299" s="59">
        <f t="shared" si="323"/>
        <v>-368.74084918649328</v>
      </c>
      <c r="AY299" s="42">
        <f>'[1]побудинковий звіт'!AY299+'[2]побудинковий звіт'!AY299-'[3]побудинковий звіт'!AY299</f>
        <v>440.04300829261012</v>
      </c>
      <c r="AZ299" s="42">
        <f>'[1]побудинковий звіт'!AZ299+'[2]побудинковий звіт'!AZ299-'[3]побудинковий звіт'!AZ299</f>
        <v>0</v>
      </c>
      <c r="BA299" s="37">
        <f t="shared" si="324"/>
        <v>-440.04300829261012</v>
      </c>
      <c r="BB299" s="42">
        <f>'[1]побудинковий звіт'!BB299+'[2]побудинковий звіт'!BB299-'[3]побудинковий звіт'!BB299</f>
        <v>0</v>
      </c>
      <c r="BC299" s="42">
        <f>'[1]побудинковий звіт'!BC299+'[2]побудинковий звіт'!BC299-'[3]побудинковий звіт'!BC299</f>
        <v>0</v>
      </c>
      <c r="BD299" s="59">
        <f t="shared" si="325"/>
        <v>0</v>
      </c>
      <c r="BE299" s="42">
        <f>'[1]побудинковий звіт'!BE299+'[2]побудинковий звіт'!BE299-'[3]побудинковий звіт'!BE299</f>
        <v>0</v>
      </c>
      <c r="BF299" s="42">
        <f>'[1]побудинковий звіт'!BF299+'[2]побудинковий звіт'!BF299-'[3]побудинковий звіт'!BF299</f>
        <v>0</v>
      </c>
      <c r="BG299" s="39">
        <f t="shared" si="326"/>
        <v>0</v>
      </c>
      <c r="BH299" s="42">
        <f>'[1]побудинковий звіт'!BH299+'[2]побудинковий звіт'!BH299-'[3]побудинковий звіт'!BH299</f>
        <v>0</v>
      </c>
      <c r="BI299" s="42">
        <f>'[1]побудинковий звіт'!BI299+'[2]побудинковий звіт'!BI299-'[3]побудинковий звіт'!BI299</f>
        <v>0</v>
      </c>
      <c r="BJ299" s="59">
        <f t="shared" si="327"/>
        <v>0</v>
      </c>
      <c r="BK299" s="42">
        <f>'[1]побудинковий звіт'!BK299+'[2]побудинковий звіт'!BK299-'[3]побудинковий звіт'!BK299</f>
        <v>138.33972898124702</v>
      </c>
      <c r="BL299" s="42">
        <f>'[1]побудинковий звіт'!BL299+'[2]побудинковий звіт'!BL299-'[3]побудинковий звіт'!BL299</f>
        <v>0</v>
      </c>
      <c r="BM299" s="39">
        <f t="shared" si="328"/>
        <v>-138.33972898124702</v>
      </c>
      <c r="BN299" s="42">
        <f>'[1]побудинковий звіт'!BN299+'[2]побудинковий звіт'!BN299-'[3]побудинковий звіт'!BN299</f>
        <v>0</v>
      </c>
      <c r="BO299" s="42">
        <f>'[1]побудинковий звіт'!BO299+'[2]побудинковий звіт'!BO299-'[3]побудинковий звіт'!BO299</f>
        <v>0</v>
      </c>
      <c r="BP299" s="59">
        <f t="shared" si="329"/>
        <v>0</v>
      </c>
      <c r="BQ299" s="87">
        <f t="shared" si="282"/>
        <v>947.12358646035045</v>
      </c>
      <c r="BR299" s="43">
        <f t="shared" si="331"/>
        <v>0</v>
      </c>
      <c r="BS299" s="59">
        <f t="shared" si="330"/>
        <v>-947.12358646035045</v>
      </c>
      <c r="BT299" s="42">
        <f>'[1]побудинковий звіт'!BT299+'[2]побудинковий звіт'!BT299-'[3]побудинковий звіт'!BT299</f>
        <v>3159.8946551968456</v>
      </c>
      <c r="BU299" s="42">
        <f>'[1]побудинковий звіт'!BU299+'[2]побудинковий звіт'!BU299-'[3]побудинковий звіт'!BU299</f>
        <v>9664.5461655771142</v>
      </c>
      <c r="BV299" s="56">
        <f t="shared" si="308"/>
        <v>6504.6515103802685</v>
      </c>
      <c r="BW299" s="42">
        <f>'[1]побудинковий звіт'!BW299+'[2]побудинковий звіт'!BW299-'[3]побудинковий звіт'!BW299</f>
        <v>2545.0646486686865</v>
      </c>
      <c r="BX299" s="42">
        <f>'[1]побудинковий звіт'!BX299+'[2]побудинковий звіт'!BX299-'[3]побудинковий звіт'!BX299</f>
        <v>3138.0098579127525</v>
      </c>
      <c r="BY299" s="56">
        <f t="shared" si="309"/>
        <v>592.94520924406606</v>
      </c>
      <c r="BZ299" s="42">
        <f>'[1]побудинковий звіт'!BZ299+'[2]побудинковий звіт'!BZ299-'[3]побудинковий звіт'!BZ299</f>
        <v>1373.4167530200398</v>
      </c>
      <c r="CA299" s="42">
        <f>'[1]побудинковий звіт'!CA299+'[2]побудинковий звіт'!CA299-'[3]побудинковий звіт'!CA299</f>
        <v>1196.7654088550032</v>
      </c>
      <c r="CB299" s="56">
        <f t="shared" si="310"/>
        <v>-176.65134416503656</v>
      </c>
      <c r="CC299" s="42">
        <f>'[1]побудинковий звіт'!CC299+'[2]побудинковий звіт'!CC299-'[3]побудинковий звіт'!CC299</f>
        <v>0</v>
      </c>
      <c r="CD299" s="42">
        <f>'[1]побудинковий звіт'!CD299+'[2]побудинковий звіт'!CD299-'[3]побудинковий звіт'!CD299</f>
        <v>0</v>
      </c>
      <c r="CE299" s="56">
        <f t="shared" si="311"/>
        <v>0</v>
      </c>
      <c r="CF299" s="42">
        <f>'[1]побудинковий звіт'!CF299+'[2]побудинковий звіт'!CF299-'[3]побудинковий звіт'!CF299</f>
        <v>0</v>
      </c>
      <c r="CG299" s="42">
        <f>'[1]побудинковий звіт'!CG299+'[2]побудинковий звіт'!CG299-'[3]побудинковий звіт'!CG299</f>
        <v>0</v>
      </c>
      <c r="CH299" s="56">
        <f t="shared" si="312"/>
        <v>0</v>
      </c>
      <c r="CI299" s="42">
        <f>'[1]побудинковий звіт'!CI299+'[2]побудинковий звіт'!CI299-'[3]побудинковий звіт'!CI299</f>
        <v>935.87625885960688</v>
      </c>
      <c r="CJ299" s="42">
        <f>'[1]побудинковий звіт'!CJ299+'[2]побудинковий звіт'!CJ299-'[3]побудинковий звіт'!CJ299</f>
        <v>139.44173807697234</v>
      </c>
      <c r="CK299" s="56">
        <f t="shared" si="313"/>
        <v>-796.43452078263454</v>
      </c>
      <c r="CL299" s="42">
        <f>'[1]побудинковий звіт'!CL299+'[2]побудинковий звіт'!CL299-'[3]побудинковий звіт'!CL299</f>
        <v>0</v>
      </c>
      <c r="CM299" s="42">
        <f>'[1]побудинковий звіт'!CM299+'[2]побудинковий звіт'!CM299-'[3]побудинковий звіт'!CM299</f>
        <v>0</v>
      </c>
      <c r="CN299" s="56">
        <f t="shared" si="314"/>
        <v>0</v>
      </c>
      <c r="CO299" s="42">
        <f t="shared" si="294"/>
        <v>935.87625885960688</v>
      </c>
      <c r="CP299" s="43">
        <f t="shared" si="315"/>
        <v>139.44173807697234</v>
      </c>
      <c r="CQ299" s="56">
        <f t="shared" si="316"/>
        <v>-796.43452078263454</v>
      </c>
      <c r="CR299" s="78">
        <f t="shared" si="295"/>
        <v>17559.019212800613</v>
      </c>
      <c r="CS299" s="5">
        <f t="shared" si="295"/>
        <v>18417.042495645917</v>
      </c>
      <c r="CT299" s="56">
        <f t="shared" si="317"/>
        <v>858.02328284530449</v>
      </c>
      <c r="CU299" s="87">
        <f t="shared" si="318"/>
        <v>21070.823055360735</v>
      </c>
      <c r="CV299" s="70">
        <f t="shared" si="319"/>
        <v>22100.450994775099</v>
      </c>
      <c r="CW299" s="37">
        <f t="shared" si="320"/>
        <v>1029.6279394143639</v>
      </c>
      <c r="CX299" s="42">
        <f>'[1]побудинковий звіт'!CX299+'[2]побудинковий звіт'!CX299-'[3]побудинковий звіт'!CX299</f>
        <v>389.37694463926482</v>
      </c>
      <c r="CY299" s="42">
        <f>'[1]побудинковий звіт'!CY299+'[2]побудинковий звіт'!CY299-'[3]побудинковий звіт'!CY299</f>
        <v>-640.2509947750973</v>
      </c>
      <c r="CZ299" s="56">
        <f t="shared" si="321"/>
        <v>-1029.6279394143621</v>
      </c>
      <c r="DA299" s="264">
        <f>'[4]побудинковий звіт'!DA299</f>
        <v>33599.976994759025</v>
      </c>
      <c r="DB299" s="2">
        <v>3</v>
      </c>
      <c r="DC299" s="717">
        <f>'[4]побудинковий звіт'!DC299</f>
        <v>7547.53</v>
      </c>
      <c r="DD299" s="717">
        <f>'[4]побудинковий звіт'!DD299</f>
        <v>0</v>
      </c>
      <c r="DE299" s="717">
        <f>'[4]побудинковий звіт'!DE299</f>
        <v>5759.54</v>
      </c>
      <c r="DF299" s="717">
        <f>'[4]побудинковий звіт'!DF299</f>
        <v>0</v>
      </c>
      <c r="DG299" s="787">
        <v>-7938.8290392756098</v>
      </c>
      <c r="DH299" s="761">
        <f t="shared" si="290"/>
        <v>257522.40000000002</v>
      </c>
      <c r="DI299" s="784"/>
      <c r="DJ299" s="5"/>
      <c r="DK299" s="317">
        <f>VLOOKUP($A299,ціни!$A$4:$G$401,5)</f>
        <v>4.7742846238930143</v>
      </c>
      <c r="DL299" s="317"/>
      <c r="DM299" s="317">
        <f>VLOOKUP($A299,ціни!$A$4:$G$401,7)</f>
        <v>4.0822833867114667</v>
      </c>
      <c r="DN299" s="30">
        <f t="shared" si="332"/>
        <v>6263.3839980852463</v>
      </c>
      <c r="DO299" s="30">
        <f t="shared" si="334"/>
        <v>0</v>
      </c>
      <c r="DP299" s="316">
        <f t="shared" si="335"/>
        <v>6263.3839980852463</v>
      </c>
      <c r="DQ299" s="104"/>
      <c r="DR299" s="30">
        <f>VLOOKUP(A299,'ДЗ нас '!$A$1:$C$359,2)</f>
        <v>1787.99</v>
      </c>
      <c r="DS299" s="748"/>
      <c r="DT299" s="30">
        <f t="shared" si="336"/>
        <v>1787.99</v>
      </c>
      <c r="DU299" s="257">
        <f>VLOOKUP(A299,'новий кошторис с 01.06'!$A$4:$AI$399,35)*1.2</f>
        <v>1787.5081558631025</v>
      </c>
      <c r="DV299" s="30">
        <f t="shared" si="337"/>
        <v>0.48184413689750727</v>
      </c>
      <c r="DW299" s="930">
        <f>'[5]побудинковий звіт'!DW299+'[6]побудинковий звіт'!DW299</f>
        <v>0</v>
      </c>
      <c r="DY299" s="5">
        <f t="shared" si="286"/>
        <v>6810.2807955181015</v>
      </c>
      <c r="DZ299" s="5">
        <f t="shared" si="287"/>
        <v>207.6</v>
      </c>
      <c r="EA299" s="752">
        <f t="shared" si="291"/>
        <v>5759.54</v>
      </c>
      <c r="EC299" s="592">
        <f t="shared" si="288"/>
        <v>56737.324917656813</v>
      </c>
      <c r="EE299" s="758">
        <v>1155</v>
      </c>
      <c r="EF299" s="738">
        <f t="shared" si="289"/>
        <v>-6783.8290392756098</v>
      </c>
      <c r="EH299" s="813">
        <v>30742.156936915409</v>
      </c>
    </row>
    <row r="300" spans="1:138" x14ac:dyDescent="0.3">
      <c r="A300" s="328">
        <v>150000814</v>
      </c>
      <c r="B300" s="44" t="s">
        <v>753</v>
      </c>
      <c r="C300" s="45" t="s">
        <v>304</v>
      </c>
      <c r="D300" s="45" t="s">
        <v>304</v>
      </c>
      <c r="E300" s="40">
        <f t="shared" si="292"/>
        <v>3970.54</v>
      </c>
      <c r="F300" s="490">
        <v>2920.74</v>
      </c>
      <c r="G300" s="30"/>
      <c r="H300" s="30">
        <v>1049.8</v>
      </c>
      <c r="I300" s="42">
        <f>'[1]побудинковий звіт'!I300+'[2]побудинковий звіт'!I300-'[3]побудинковий звіт'!I300</f>
        <v>10599.207212682422</v>
      </c>
      <c r="J300" s="42">
        <f>'[1]побудинковий звіт'!J300+'[2]побудинковий звіт'!J300-'[3]побудинковий звіт'!J300</f>
        <v>10602.458117257756</v>
      </c>
      <c r="K300" s="56">
        <f t="shared" si="296"/>
        <v>3.2509045753340615</v>
      </c>
      <c r="L300" s="42">
        <f>'[1]побудинковий звіт'!L300+'[2]побудинковий звіт'!L300-'[3]побудинковий звіт'!L300</f>
        <v>2199.9892962915023</v>
      </c>
      <c r="M300" s="42">
        <f>'[1]побудинковий звіт'!M300+'[2]побудинковий звіт'!M300-'[3]побудинковий звіт'!M300</f>
        <v>2224.649239354248</v>
      </c>
      <c r="N300" s="56">
        <f t="shared" si="297"/>
        <v>24.659943062745697</v>
      </c>
      <c r="O300" s="42">
        <f>'[1]побудинковий звіт'!O300+'[2]побудинковий звіт'!O300-'[3]побудинковий звіт'!O300</f>
        <v>3832.4399999999996</v>
      </c>
      <c r="P300" s="42">
        <f>'[1]побудинковий звіт'!P300+'[2]побудинковий звіт'!P300-'[3]побудинковий звіт'!P300</f>
        <v>3833.6400000000017</v>
      </c>
      <c r="Q300" s="56">
        <f t="shared" si="298"/>
        <v>1.2000000000020918</v>
      </c>
      <c r="R300" s="42">
        <f>'[1]побудинковий звіт'!R300+'[2]побудинковий звіт'!R300-'[3]побудинковий звіт'!R300</f>
        <v>0</v>
      </c>
      <c r="S300" s="42">
        <f>'[1]побудинковий звіт'!S300+'[2]побудинковий звіт'!S300-'[3]побудинковий звіт'!S300</f>
        <v>0</v>
      </c>
      <c r="T300" s="56">
        <f t="shared" si="299"/>
        <v>0</v>
      </c>
      <c r="U300" s="42">
        <f>'[1]побудинковий звіт'!U300+'[2]побудинковий звіт'!U300-'[3]побудинковий звіт'!U300</f>
        <v>0</v>
      </c>
      <c r="V300" s="42">
        <f>'[1]побудинковий звіт'!V300+'[2]побудинковий звіт'!V300-'[3]побудинковий звіт'!V300</f>
        <v>0</v>
      </c>
      <c r="W300" s="56">
        <f t="shared" si="300"/>
        <v>0</v>
      </c>
      <c r="X300" s="42">
        <f>'[1]побудинковий звіт'!X300+'[2]побудинковий звіт'!X300-'[3]побудинковий звіт'!X300</f>
        <v>6626.1586153783146</v>
      </c>
      <c r="Y300" s="42">
        <f>'[1]побудинковий звіт'!Y300+'[2]побудинковий звіт'!Y300-'[3]побудинковий звіт'!Y300</f>
        <v>7492.1100200863511</v>
      </c>
      <c r="Z300" s="56">
        <f t="shared" si="301"/>
        <v>865.95140470803653</v>
      </c>
      <c r="AA300" s="42">
        <f>'[1]побудинковий звіт'!AA300+'[2]побудинковий звіт'!AA300-'[3]побудинковий звіт'!AA300</f>
        <v>0</v>
      </c>
      <c r="AB300" s="42">
        <f>'[1]побудинковий звіт'!AB300+'[2]побудинковий звіт'!AB300-'[3]побудинковий звіт'!AB300</f>
        <v>0</v>
      </c>
      <c r="AC300" s="56">
        <f t="shared" si="302"/>
        <v>0</v>
      </c>
      <c r="AD300" s="42">
        <f>'[1]побудинковий звіт'!AD300+'[2]побудинковий звіт'!AD300-'[3]побудинковий звіт'!AD300</f>
        <v>13832.315009915015</v>
      </c>
      <c r="AE300" s="42">
        <f>'[1]побудинковий звіт'!AE300+'[2]побудинковий звіт'!AE300-'[3]побудинковий звіт'!AE300</f>
        <v>14223.482743738481</v>
      </c>
      <c r="AF300" s="37">
        <f t="shared" si="303"/>
        <v>391.16773382346582</v>
      </c>
      <c r="AG300" s="87">
        <f t="shared" si="293"/>
        <v>37090.110134267248</v>
      </c>
      <c r="AH300" s="57">
        <f t="shared" si="293"/>
        <v>38376.340120436842</v>
      </c>
      <c r="AI300" s="56">
        <f t="shared" si="304"/>
        <v>1286.2299861695938</v>
      </c>
      <c r="AJ300" s="42">
        <f>'[1]побудинковий звіт'!AJ300+'[2]побудинковий звіт'!AJ300-'[3]побудинковий звіт'!AJ300</f>
        <v>0</v>
      </c>
      <c r="AK300" s="42">
        <f>'[1]побудинковий звіт'!AK300+'[2]побудинковий звіт'!AK300-'[3]побудинковий звіт'!AK300</f>
        <v>0</v>
      </c>
      <c r="AL300" s="56">
        <f t="shared" si="305"/>
        <v>0</v>
      </c>
      <c r="AM300" s="42">
        <f>'[1]побудинковий звіт'!AM300+'[2]побудинковий звіт'!AM300-'[3]побудинковий звіт'!AM300</f>
        <v>0</v>
      </c>
      <c r="AN300" s="42">
        <f>'[1]побудинковий звіт'!AN300+'[2]побудинковий звіт'!AN300-'[3]побудинковий звіт'!AN300</f>
        <v>0</v>
      </c>
      <c r="AO300" s="56">
        <f t="shared" si="306"/>
        <v>0</v>
      </c>
      <c r="AP300" s="42">
        <f>'[1]побудинковий звіт'!AP300+'[2]побудинковий звіт'!AP300-'[3]побудинковий звіт'!AP300</f>
        <v>9091.3693717790375</v>
      </c>
      <c r="AQ300" s="42">
        <f>'[1]побудинковий звіт'!AQ300+'[2]побудинковий звіт'!AQ300-'[3]побудинковий звіт'!AQ300</f>
        <v>8292.4975491025507</v>
      </c>
      <c r="AR300" s="56">
        <f t="shared" si="307"/>
        <v>-798.87182267648677</v>
      </c>
      <c r="AS300" s="42">
        <f>'[1]побудинковий звіт'!AS300+'[2]побудинковий звіт'!AS300-'[3]побудинковий звіт'!AS300</f>
        <v>31047.439778521315</v>
      </c>
      <c r="AT300" s="42">
        <f>'[1]побудинковий звіт'!AT300+'[2]побудинковий звіт'!AT300-'[3]побудинковий звіт'!AT300</f>
        <v>23048.066517245294</v>
      </c>
      <c r="AU300" s="58">
        <f t="shared" si="322"/>
        <v>-7999.3732612760214</v>
      </c>
      <c r="AV300" s="42">
        <f>'[1]побудинковий звіт'!AV300+'[2]побудинковий звіт'!AV300-'[3]побудинковий звіт'!AV300</f>
        <v>1732.6398645043732</v>
      </c>
      <c r="AW300" s="42">
        <f>'[1]побудинковий звіт'!AW300+'[2]побудинковий звіт'!AW300-'[3]побудинковий звіт'!AW300</f>
        <v>14775</v>
      </c>
      <c r="AX300" s="59">
        <f t="shared" si="323"/>
        <v>13042.360135495626</v>
      </c>
      <c r="AY300" s="42">
        <f>'[1]побудинковий звіт'!AY300+'[2]побудинковий звіт'!AY300-'[3]побудинковий звіт'!AY300</f>
        <v>2835.5140573188933</v>
      </c>
      <c r="AZ300" s="42">
        <f>'[1]побудинковий звіт'!AZ300+'[2]побудинковий звіт'!AZ300-'[3]побудинковий звіт'!AZ300</f>
        <v>2195</v>
      </c>
      <c r="BA300" s="37">
        <f t="shared" si="324"/>
        <v>-640.51405731889326</v>
      </c>
      <c r="BB300" s="42">
        <f>'[1]побудинковий звіт'!BB300+'[2]побудинковий звіт'!BB300-'[3]побудинковий звіт'!BB300</f>
        <v>1892.4630568844098</v>
      </c>
      <c r="BC300" s="42">
        <f>'[1]побудинковий звіт'!BC300+'[2]побудинковий звіт'!BC300-'[3]побудинковий звіт'!BC300</f>
        <v>0</v>
      </c>
      <c r="BD300" s="59">
        <f t="shared" si="325"/>
        <v>-1892.4630568844098</v>
      </c>
      <c r="BE300" s="42">
        <f>'[1]побудинковий звіт'!BE300+'[2]побудинковий звіт'!BE300-'[3]побудинковий звіт'!BE300</f>
        <v>0</v>
      </c>
      <c r="BF300" s="42">
        <f>'[1]побудинковий звіт'!BF300+'[2]побудинковий звіт'!BF300-'[3]побудинковий звіт'!BF300</f>
        <v>0</v>
      </c>
      <c r="BG300" s="39">
        <f t="shared" si="326"/>
        <v>0</v>
      </c>
      <c r="BH300" s="42">
        <f>'[1]побудинковий звіт'!BH300+'[2]побудинковий звіт'!BH300-'[3]побудинковий звіт'!BH300</f>
        <v>0</v>
      </c>
      <c r="BI300" s="42">
        <f>'[1]побудинковий звіт'!BI300+'[2]побудинковий звіт'!BI300-'[3]побудинковий звіт'!BI300</f>
        <v>0</v>
      </c>
      <c r="BJ300" s="59">
        <f t="shared" si="327"/>
        <v>0</v>
      </c>
      <c r="BK300" s="42">
        <f>'[1]побудинковий звіт'!BK300+'[2]побудинковий звіт'!BK300-'[3]побудинковий звіт'!BK300</f>
        <v>938.15733420702065</v>
      </c>
      <c r="BL300" s="42">
        <f>'[1]побудинковий звіт'!BL300+'[2]побудинковий звіт'!BL300-'[3]побудинковий звіт'!BL300</f>
        <v>97</v>
      </c>
      <c r="BM300" s="39">
        <f t="shared" si="328"/>
        <v>-841.15733420702065</v>
      </c>
      <c r="BN300" s="42">
        <f>'[1]побудинковий звіт'!BN300+'[2]побудинковий звіт'!BN300-'[3]побудинковий звіт'!BN300</f>
        <v>0</v>
      </c>
      <c r="BO300" s="42">
        <f>'[1]побудинковий звіт'!BO300+'[2]побудинковий звіт'!BO300-'[3]побудинковий звіт'!BO300</f>
        <v>0</v>
      </c>
      <c r="BP300" s="59">
        <f t="shared" si="329"/>
        <v>0</v>
      </c>
      <c r="BQ300" s="87">
        <f t="shared" si="282"/>
        <v>7398.7743129146966</v>
      </c>
      <c r="BR300" s="43">
        <f t="shared" si="331"/>
        <v>17067</v>
      </c>
      <c r="BS300" s="59">
        <f t="shared" si="330"/>
        <v>9668.2256870853034</v>
      </c>
      <c r="BT300" s="42">
        <f>'[1]побудинковий звіт'!BT300+'[2]побудинковий звіт'!BT300-'[3]побудинковий звіт'!BT300</f>
        <v>35162.874384559014</v>
      </c>
      <c r="BU300" s="42">
        <f>'[1]побудинковий звіт'!BU300+'[2]побудинковий звіт'!BU300-'[3]побудинковий звіт'!BU300</f>
        <v>45505.829620868288</v>
      </c>
      <c r="BV300" s="56">
        <f t="shared" si="308"/>
        <v>10342.955236309273</v>
      </c>
      <c r="BW300" s="42">
        <f>'[1]побудинковий звіт'!BW300+'[2]побудинковий звіт'!BW300-'[3]побудинковий звіт'!BW300</f>
        <v>13016.752984547116</v>
      </c>
      <c r="BX300" s="42">
        <f>'[1]побудинковий звіт'!BX300+'[2]побудинковий звіт'!BX300-'[3]побудинковий звіт'!BX300</f>
        <v>14790.948278025866</v>
      </c>
      <c r="BY300" s="56">
        <f t="shared" si="309"/>
        <v>1774.1952934787496</v>
      </c>
      <c r="BZ300" s="42">
        <f>'[1]побудинковий звіт'!BZ300+'[2]побудинковий звіт'!BZ300-'[3]побудинковий звіт'!BZ300</f>
        <v>13743.796365174276</v>
      </c>
      <c r="CA300" s="42">
        <f>'[1]побудинковий звіт'!CA300+'[2]побудинковий звіт'!CA300-'[3]побудинковий звіт'!CA300</f>
        <v>11017.316071038005</v>
      </c>
      <c r="CB300" s="56">
        <f t="shared" si="310"/>
        <v>-2726.4802941362705</v>
      </c>
      <c r="CC300" s="42">
        <f>'[1]побудинковий звіт'!CC300+'[2]побудинковий звіт'!CC300-'[3]побудинковий звіт'!CC300</f>
        <v>36.766567312341706</v>
      </c>
      <c r="CD300" s="42">
        <f>'[1]побудинковий звіт'!CD300+'[2]побудинковий звіт'!CD300-'[3]побудинковий звіт'!CD300</f>
        <v>36.443194958167851</v>
      </c>
      <c r="CE300" s="56">
        <f t="shared" si="311"/>
        <v>-0.32337235417385557</v>
      </c>
      <c r="CF300" s="42">
        <f>'[1]побудинковий звіт'!CF300+'[2]побудинковий звіт'!CF300-'[3]побудинковий звіт'!CF300</f>
        <v>4.5261872638299447</v>
      </c>
      <c r="CG300" s="42">
        <f>'[1]побудинковий звіт'!CG300+'[2]побудинковий звіт'!CG300-'[3]побудинковий звіт'!CG300</f>
        <v>0</v>
      </c>
      <c r="CH300" s="56">
        <f t="shared" si="312"/>
        <v>-4.5261872638299447</v>
      </c>
      <c r="CI300" s="42">
        <f>'[1]побудинковий звіт'!CI300+'[2]побудинковий звіт'!CI300-'[3]побудинковий звіт'!CI300</f>
        <v>6139.3482581190201</v>
      </c>
      <c r="CJ300" s="42">
        <f>'[1]побудинковий звіт'!CJ300+'[2]побудинковий звіт'!CJ300-'[3]побудинковий звіт'!CJ300</f>
        <v>3341.5328589528344</v>
      </c>
      <c r="CK300" s="56">
        <f t="shared" si="313"/>
        <v>-2797.8153991661857</v>
      </c>
      <c r="CL300" s="42">
        <f>'[1]побудинковий звіт'!CL300+'[2]побудинковий звіт'!CL300-'[3]побудинковий звіт'!CL300</f>
        <v>0</v>
      </c>
      <c r="CM300" s="42">
        <f>'[1]побудинковий звіт'!CM300+'[2]побудинковий звіт'!CM300-'[3]побудинковий звіт'!CM300</f>
        <v>0</v>
      </c>
      <c r="CN300" s="56">
        <f t="shared" si="314"/>
        <v>0</v>
      </c>
      <c r="CO300" s="42">
        <f t="shared" si="294"/>
        <v>6139.3482581190201</v>
      </c>
      <c r="CP300" s="43">
        <f t="shared" si="315"/>
        <v>3341.5328589528344</v>
      </c>
      <c r="CQ300" s="56">
        <f t="shared" si="316"/>
        <v>-2797.8153991661857</v>
      </c>
      <c r="CR300" s="78">
        <f t="shared" si="295"/>
        <v>152731.75834445789</v>
      </c>
      <c r="CS300" s="5">
        <f t="shared" si="295"/>
        <v>161475.97421062787</v>
      </c>
      <c r="CT300" s="56">
        <f t="shared" si="317"/>
        <v>8744.2158661699796</v>
      </c>
      <c r="CU300" s="87">
        <f t="shared" si="318"/>
        <v>183278.11001334948</v>
      </c>
      <c r="CV300" s="70">
        <f t="shared" si="319"/>
        <v>193771.16905275345</v>
      </c>
      <c r="CW300" s="37">
        <f t="shared" si="320"/>
        <v>10493.059039403975</v>
      </c>
      <c r="CX300" s="42">
        <f>'[1]побудинковий звіт'!CX300+'[2]побудинковий звіт'!CX300-'[3]побудинковий звіт'!CX300</f>
        <v>19390.009986650519</v>
      </c>
      <c r="CY300" s="42">
        <f>'[1]побудинковий звіт'!CY300+'[2]побудинковий звіт'!CY300-'[3]побудинковий звіт'!CY300</f>
        <v>8896.9509472466161</v>
      </c>
      <c r="CZ300" s="56">
        <f t="shared" si="321"/>
        <v>-10493.059039403903</v>
      </c>
      <c r="DA300" s="264">
        <f>'[4]побудинковий звіт'!DA300</f>
        <v>23193.56885789282</v>
      </c>
      <c r="DB300" s="2">
        <v>2</v>
      </c>
      <c r="DC300" s="717">
        <f>'[4]побудинковий звіт'!DC300</f>
        <v>41038.959999999999</v>
      </c>
      <c r="DD300" s="717">
        <f>'[4]побудинковий звіт'!DD300</f>
        <v>3796.6499999999996</v>
      </c>
      <c r="DE300" s="717">
        <f>'[4]побудинковий звіт'!DE300</f>
        <v>28683.93</v>
      </c>
      <c r="DF300" s="717">
        <f>'[4]побудинковий звіт'!DF300</f>
        <v>-737.32999999999993</v>
      </c>
      <c r="DG300" s="787">
        <v>43400.176049859903</v>
      </c>
      <c r="DH300" s="761">
        <f t="shared" si="290"/>
        <v>2432017.44</v>
      </c>
      <c r="DI300" s="784"/>
      <c r="DJ300" s="5"/>
      <c r="DK300" s="317">
        <f>VLOOKUP($A300,ціни!$A$4:$G$401,5)</f>
        <v>4.8274624107530091</v>
      </c>
      <c r="DL300" s="317"/>
      <c r="DM300" s="317">
        <f>VLOOKUP($A300,ціни!$A$4:$G$401,7)</f>
        <v>4.3188564253450021</v>
      </c>
      <c r="DN300" s="30">
        <f t="shared" si="332"/>
        <v>14099.762561582742</v>
      </c>
      <c r="DO300" s="30">
        <f t="shared" si="334"/>
        <v>4533.9354753271828</v>
      </c>
      <c r="DP300" s="316">
        <f t="shared" si="335"/>
        <v>18633.698036909926</v>
      </c>
      <c r="DQ300" s="104"/>
      <c r="DR300" s="30">
        <f>VLOOKUP(A300,'ДЗ нас '!$A$1:$C$359,2)</f>
        <v>12355.03</v>
      </c>
      <c r="DS300" s="748">
        <f>VLOOKUP(A300,'ДЗ нежит'!$A$1:$D$153,4,0)</f>
        <v>4533.9799999999996</v>
      </c>
      <c r="DT300" s="30">
        <f t="shared" si="336"/>
        <v>16889.010000000002</v>
      </c>
      <c r="DU300" s="257">
        <f>VLOOKUP(A300,'новий кошторис с 01.06'!$A$4:$AI$399,35)*1.2</f>
        <v>15273.175834445792</v>
      </c>
      <c r="DV300" s="30">
        <f t="shared" si="337"/>
        <v>1615.8341655542099</v>
      </c>
      <c r="DW300" s="930">
        <f>'[5]побудинковий звіт'!DW300+'[6]побудинковий звіт'!DW300</f>
        <v>236</v>
      </c>
      <c r="DY300" s="5">
        <f t="shared" si="286"/>
        <v>46135.456909723216</v>
      </c>
      <c r="DZ300" s="5">
        <f t="shared" si="287"/>
        <v>48138.079820694351</v>
      </c>
      <c r="EA300" s="752">
        <f t="shared" si="291"/>
        <v>27946.6</v>
      </c>
      <c r="EC300" s="592">
        <f t="shared" si="288"/>
        <v>372569.27734225581</v>
      </c>
      <c r="EE300" s="758">
        <v>-16220</v>
      </c>
      <c r="EF300" s="738">
        <f t="shared" si="289"/>
        <v>27180.176049859903</v>
      </c>
      <c r="EH300" s="813">
        <v>22107.536417903841</v>
      </c>
    </row>
    <row r="301" spans="1:138" x14ac:dyDescent="0.3">
      <c r="A301" s="328">
        <v>150000816</v>
      </c>
      <c r="B301" s="44" t="s">
        <v>754</v>
      </c>
      <c r="C301" s="45" t="s">
        <v>229</v>
      </c>
      <c r="D301" s="45" t="s">
        <v>229</v>
      </c>
      <c r="E301" s="40">
        <f t="shared" si="292"/>
        <v>2609.3000000000002</v>
      </c>
      <c r="F301" s="490">
        <v>2014</v>
      </c>
      <c r="G301" s="30"/>
      <c r="H301" s="30">
        <v>595.29999999999995</v>
      </c>
      <c r="I301" s="42">
        <f>'[1]побудинковий звіт'!I301+'[2]побудинковий звіт'!I301-'[3]побудинковий звіт'!I301</f>
        <v>9301.5837003672586</v>
      </c>
      <c r="J301" s="42">
        <f>'[1]побудинковий звіт'!J301+'[2]побудинковий звіт'!J301-'[3]побудинковий звіт'!J301</f>
        <v>9269.6066870211798</v>
      </c>
      <c r="K301" s="56">
        <f t="shared" si="296"/>
        <v>-31.97701334607882</v>
      </c>
      <c r="L301" s="42">
        <f>'[1]побудинковий звіт'!L301+'[2]побудинковий звіт'!L301-'[3]побудинковий звіт'!L301</f>
        <v>1503.446701194913</v>
      </c>
      <c r="M301" s="42">
        <f>'[1]побудинковий звіт'!M301+'[2]побудинковий звіт'!M301-'[3]побудинковий звіт'!M301</f>
        <v>1516.9142824342457</v>
      </c>
      <c r="N301" s="56">
        <f t="shared" si="297"/>
        <v>13.467581239332731</v>
      </c>
      <c r="O301" s="42">
        <f>'[1]побудинковий звіт'!O301+'[2]побудинковий звіт'!O301-'[3]побудинковий звіт'!O301</f>
        <v>3449.28</v>
      </c>
      <c r="P301" s="42">
        <f>'[1]побудинковий звіт'!P301+'[2]побудинковий звіт'!P301-'[3]побудинковий звіт'!P301</f>
        <v>3448.2</v>
      </c>
      <c r="Q301" s="56">
        <f t="shared" si="298"/>
        <v>-1.080000000000382</v>
      </c>
      <c r="R301" s="42">
        <f>'[1]побудинковий звіт'!R301+'[2]побудинковий звіт'!R301-'[3]побудинковий звіт'!R301</f>
        <v>890.6400000000001</v>
      </c>
      <c r="S301" s="42">
        <f>'[1]побудинковий звіт'!S301+'[2]побудинковий звіт'!S301-'[3]побудинковий звіт'!S301</f>
        <v>890.76</v>
      </c>
      <c r="T301" s="56">
        <f t="shared" si="299"/>
        <v>0.11999999999989086</v>
      </c>
      <c r="U301" s="42">
        <f>'[1]побудинковий звіт'!U301+'[2]побудинковий звіт'!U301-'[3]побудинковий звіт'!U301</f>
        <v>0</v>
      </c>
      <c r="V301" s="42">
        <f>'[1]побудинковий звіт'!V301+'[2]побудинковий звіт'!V301-'[3]побудинковий звіт'!V301</f>
        <v>0</v>
      </c>
      <c r="W301" s="56">
        <f t="shared" si="300"/>
        <v>0</v>
      </c>
      <c r="X301" s="42">
        <f>'[1]побудинковий звіт'!X301+'[2]побудинковий звіт'!X301-'[3]побудинковий звіт'!X301</f>
        <v>5890.0165967236089</v>
      </c>
      <c r="Y301" s="42">
        <f>'[1]побудинковий звіт'!Y301+'[2]побудинковий звіт'!Y301-'[3]побудинковий звіт'!Y301</f>
        <v>6505.5780775057583</v>
      </c>
      <c r="Z301" s="56">
        <f t="shared" si="301"/>
        <v>615.56148078214937</v>
      </c>
      <c r="AA301" s="42">
        <f>'[1]побудинковий звіт'!AA301+'[2]побудинковий звіт'!AA301-'[3]побудинковий звіт'!AA301</f>
        <v>0</v>
      </c>
      <c r="AB301" s="42">
        <f>'[1]побудинковий звіт'!AB301+'[2]побудинковий звіт'!AB301-'[3]побудинковий звіт'!AB301</f>
        <v>0</v>
      </c>
      <c r="AC301" s="56">
        <f t="shared" si="302"/>
        <v>0</v>
      </c>
      <c r="AD301" s="42">
        <f>'[1]побудинковий звіт'!AD301+'[2]побудинковий звіт'!AD301-'[3]побудинковий звіт'!AD301</f>
        <v>10639.722637332903</v>
      </c>
      <c r="AE301" s="42">
        <f>'[1]побудинковий звіт'!AE301+'[2]побудинковий звіт'!AE301-'[3]побудинковий звіт'!AE301</f>
        <v>10608.908456363464</v>
      </c>
      <c r="AF301" s="37">
        <f t="shared" si="303"/>
        <v>-30.814180969438894</v>
      </c>
      <c r="AG301" s="87">
        <f t="shared" si="293"/>
        <v>31674.689635618684</v>
      </c>
      <c r="AH301" s="57">
        <f t="shared" si="293"/>
        <v>32239.967503324649</v>
      </c>
      <c r="AI301" s="56">
        <f t="shared" si="304"/>
        <v>565.27786770596504</v>
      </c>
      <c r="AJ301" s="42">
        <f>'[1]побудинковий звіт'!AJ301+'[2]побудинковий звіт'!AJ301-'[3]побудинковий звіт'!AJ301</f>
        <v>0</v>
      </c>
      <c r="AK301" s="42">
        <f>'[1]побудинковий звіт'!AK301+'[2]побудинковий звіт'!AK301-'[3]побудинковий звіт'!AK301</f>
        <v>0</v>
      </c>
      <c r="AL301" s="56">
        <f t="shared" si="305"/>
        <v>0</v>
      </c>
      <c r="AM301" s="42">
        <f>'[1]побудинковий звіт'!AM301+'[2]побудинковий звіт'!AM301-'[3]побудинковий звіт'!AM301</f>
        <v>0</v>
      </c>
      <c r="AN301" s="42">
        <f>'[1]побудинковий звіт'!AN301+'[2]побудинковий звіт'!AN301-'[3]побудинковий звіт'!AN301</f>
        <v>0</v>
      </c>
      <c r="AO301" s="56">
        <f t="shared" si="306"/>
        <v>0</v>
      </c>
      <c r="AP301" s="42">
        <f>'[1]побудинковий звіт'!AP301+'[2]побудинковий звіт'!AP301-'[3]побудинковий звіт'!AP301</f>
        <v>2509.5967536681719</v>
      </c>
      <c r="AQ301" s="42">
        <f>'[1]побудинковий звіт'!AQ301+'[2]побудинковий звіт'!AQ301-'[3]побудинковий звіт'!AQ301</f>
        <v>2390.0541109601036</v>
      </c>
      <c r="AR301" s="56">
        <f t="shared" si="307"/>
        <v>-119.54264270806834</v>
      </c>
      <c r="AS301" s="42">
        <f>'[1]побудинковий звіт'!AS301+'[2]побудинковий звіт'!AS301-'[3]побудинковий звіт'!AS301</f>
        <v>24640.952173556252</v>
      </c>
      <c r="AT301" s="42">
        <f>'[1]побудинковий звіт'!AT301+'[2]побудинковий звіт'!AT301-'[3]побудинковий звіт'!AT301</f>
        <v>989.3555057484341</v>
      </c>
      <c r="AU301" s="58">
        <f t="shared" si="322"/>
        <v>-23651.596667807818</v>
      </c>
      <c r="AV301" s="42">
        <f>'[1]побудинковий звіт'!AV301+'[2]побудинковий звіт'!AV301-'[3]побудинковий звіт'!AV301</f>
        <v>1507.1604035991036</v>
      </c>
      <c r="AW301" s="42">
        <f>'[1]побудинковий звіт'!AW301+'[2]побудинковий звіт'!AW301-'[3]побудинковий звіт'!AW301</f>
        <v>0</v>
      </c>
      <c r="AX301" s="59">
        <f t="shared" si="323"/>
        <v>-1507.1604035991036</v>
      </c>
      <c r="AY301" s="42">
        <f>'[1]побудинковий звіт'!AY301+'[2]побудинковий звіт'!AY301-'[3]побудинковий звіт'!AY301</f>
        <v>1937.5983761499381</v>
      </c>
      <c r="AZ301" s="42">
        <f>'[1]побудинковий звіт'!AZ301+'[2]побудинковий звіт'!AZ301-'[3]побудинковий звіт'!AZ301</f>
        <v>0</v>
      </c>
      <c r="BA301" s="37">
        <f t="shared" si="324"/>
        <v>-1937.5983761499381</v>
      </c>
      <c r="BB301" s="42">
        <f>'[1]побудинковий звіт'!BB301+'[2]побудинковий звіт'!BB301-'[3]побудинковий звіт'!BB301</f>
        <v>1857.5122851610063</v>
      </c>
      <c r="BC301" s="42">
        <f>'[1]побудинковий звіт'!BC301+'[2]побудинковий звіт'!BC301-'[3]побудинковий звіт'!BC301</f>
        <v>0</v>
      </c>
      <c r="BD301" s="59">
        <f t="shared" si="325"/>
        <v>-1857.5122851610063</v>
      </c>
      <c r="BE301" s="42">
        <f>'[1]побудинковий звіт'!BE301+'[2]побудинковий звіт'!BE301-'[3]побудинковий звіт'!BE301</f>
        <v>859.0038253429741</v>
      </c>
      <c r="BF301" s="42">
        <f>'[1]побудинковий звіт'!BF301+'[2]побудинковий звіт'!BF301-'[3]побудинковий звіт'!BF301</f>
        <v>0</v>
      </c>
      <c r="BG301" s="39">
        <f t="shared" si="326"/>
        <v>-859.0038253429741</v>
      </c>
      <c r="BH301" s="42">
        <f>'[1]побудинковий звіт'!BH301+'[2]побудинковий звіт'!BH301-'[3]побудинковий звіт'!BH301</f>
        <v>0</v>
      </c>
      <c r="BI301" s="42">
        <f>'[1]побудинковий звіт'!BI301+'[2]побудинковий звіт'!BI301-'[3]побудинковий звіт'!BI301</f>
        <v>484.86276349576929</v>
      </c>
      <c r="BJ301" s="59">
        <f t="shared" si="327"/>
        <v>484.86276349576929</v>
      </c>
      <c r="BK301" s="42">
        <f>'[1]побудинковий звіт'!BK301+'[2]побудинковий звіт'!BK301-'[3]побудинковий звіт'!BK301</f>
        <v>802.30821170871957</v>
      </c>
      <c r="BL301" s="42">
        <f>'[1]побудинковий звіт'!BL301+'[2]побудинковий звіт'!BL301-'[3]побудинковий звіт'!BL301</f>
        <v>127</v>
      </c>
      <c r="BM301" s="39">
        <f t="shared" si="328"/>
        <v>-675.30821170871957</v>
      </c>
      <c r="BN301" s="42">
        <f>'[1]побудинковий звіт'!BN301+'[2]побудинковий звіт'!BN301-'[3]побудинковий звіт'!BN301</f>
        <v>0</v>
      </c>
      <c r="BO301" s="42">
        <f>'[1]побудинковий звіт'!BO301+'[2]побудинковий звіт'!BO301-'[3]побудинковий звіт'!BO301</f>
        <v>0</v>
      </c>
      <c r="BP301" s="59">
        <f t="shared" si="329"/>
        <v>0</v>
      </c>
      <c r="BQ301" s="87">
        <f t="shared" si="282"/>
        <v>6963.5831019617417</v>
      </c>
      <c r="BR301" s="43">
        <f t="shared" si="331"/>
        <v>611.86276349576929</v>
      </c>
      <c r="BS301" s="59">
        <f t="shared" si="330"/>
        <v>-6351.7203384659724</v>
      </c>
      <c r="BT301" s="42">
        <f>'[1]побудинковий звіт'!BT301+'[2]побудинковий звіт'!BT301-'[3]побудинковий звіт'!BT301</f>
        <v>31534.15689325054</v>
      </c>
      <c r="BU301" s="42">
        <f>'[1]побудинковий звіт'!BU301+'[2]побудинковий звіт'!BU301-'[3]побудинковий звіт'!BU301</f>
        <v>48420.214586574293</v>
      </c>
      <c r="BV301" s="56">
        <f t="shared" si="308"/>
        <v>16886.057693323753</v>
      </c>
      <c r="BW301" s="42">
        <f>'[1]побудинковий звіт'!BW301+'[2]побудинковий звіт'!BW301-'[3]побудинковий звіт'!BW301</f>
        <v>14101.440988423417</v>
      </c>
      <c r="BX301" s="42">
        <f>'[1]побудинковий звіт'!BX301+'[2]побудинковий звіт'!BX301-'[3]побудинковий звіт'!BX301</f>
        <v>15484.350121664525</v>
      </c>
      <c r="BY301" s="56">
        <f t="shared" si="309"/>
        <v>1382.9091332411081</v>
      </c>
      <c r="BZ301" s="42">
        <f>'[1]побудинковий звіт'!BZ301+'[2]побудинковий звіт'!BZ301-'[3]побудинковий звіт'!BZ301</f>
        <v>17568.792674547876</v>
      </c>
      <c r="CA301" s="42">
        <f>'[1]побудинковий звіт'!CA301+'[2]побудинковий звіт'!CA301-'[3]побудинковий звіт'!CA301</f>
        <v>10373.453251045867</v>
      </c>
      <c r="CB301" s="56">
        <f t="shared" si="310"/>
        <v>-7195.3394235020096</v>
      </c>
      <c r="CC301" s="42">
        <f>'[1]побудинковий звіт'!CC301+'[2]побудинковий звіт'!CC301-'[3]побудинковий звіт'!CC301</f>
        <v>0</v>
      </c>
      <c r="CD301" s="42">
        <f>'[1]побудинковий звіт'!CD301+'[2]побудинковий звіт'!CD301-'[3]побудинковий звіт'!CD301</f>
        <v>0</v>
      </c>
      <c r="CE301" s="56">
        <f t="shared" si="311"/>
        <v>0</v>
      </c>
      <c r="CF301" s="42">
        <f>'[1]побудинковий звіт'!CF301+'[2]побудинковий звіт'!CF301-'[3]побудинковий звіт'!CF301</f>
        <v>0</v>
      </c>
      <c r="CG301" s="42">
        <f>'[1]побудинковий звіт'!CG301+'[2]побудинковий звіт'!CG301-'[3]побудинковий звіт'!CG301</f>
        <v>0</v>
      </c>
      <c r="CH301" s="56">
        <f t="shared" si="312"/>
        <v>0</v>
      </c>
      <c r="CI301" s="42">
        <f>'[1]побудинковий звіт'!CI301+'[2]побудинковий звіт'!CI301-'[3]побудинковий звіт'!CI301</f>
        <v>2489.4308485665547</v>
      </c>
      <c r="CJ301" s="42">
        <f>'[1]побудинковий звіт'!CJ301+'[2]побудинковий звіт'!CJ301-'[3]побудинковий звіт'!CJ301</f>
        <v>1913.904192136627</v>
      </c>
      <c r="CK301" s="56">
        <f t="shared" si="313"/>
        <v>-575.5266564299277</v>
      </c>
      <c r="CL301" s="42">
        <f>'[1]побудинковий звіт'!CL301+'[2]побудинковий звіт'!CL301-'[3]побудинковий звіт'!CL301</f>
        <v>0</v>
      </c>
      <c r="CM301" s="42">
        <f>'[1]побудинковий звіт'!CM301+'[2]побудинковий звіт'!CM301-'[3]побудинковий звіт'!CM301</f>
        <v>0</v>
      </c>
      <c r="CN301" s="56">
        <f t="shared" si="314"/>
        <v>0</v>
      </c>
      <c r="CO301" s="42">
        <f t="shared" si="294"/>
        <v>2489.4308485665547</v>
      </c>
      <c r="CP301" s="43">
        <f t="shared" si="315"/>
        <v>1913.904192136627</v>
      </c>
      <c r="CQ301" s="56">
        <f t="shared" si="316"/>
        <v>-575.5266564299277</v>
      </c>
      <c r="CR301" s="78">
        <f t="shared" si="295"/>
        <v>131482.64306959324</v>
      </c>
      <c r="CS301" s="5">
        <f t="shared" si="295"/>
        <v>112423.16203495026</v>
      </c>
      <c r="CT301" s="56">
        <f t="shared" si="317"/>
        <v>-19059.481034642973</v>
      </c>
      <c r="CU301" s="87">
        <f t="shared" si="318"/>
        <v>157779.17168351187</v>
      </c>
      <c r="CV301" s="70">
        <f t="shared" si="319"/>
        <v>134907.79444194032</v>
      </c>
      <c r="CW301" s="37">
        <f t="shared" si="320"/>
        <v>-22871.37724157155</v>
      </c>
      <c r="CX301" s="42">
        <f>'[1]побудинковий звіт'!CX301+'[2]побудинковий звіт'!CX301-'[3]побудинковий звіт'!CX301</f>
        <v>13136.468316488113</v>
      </c>
      <c r="CY301" s="42">
        <f>'[1]побудинковий звіт'!CY301+'[2]побудинковий звіт'!CY301-'[3]побудинковий звіт'!CY301</f>
        <v>36007.845558059686</v>
      </c>
      <c r="CZ301" s="56">
        <f t="shared" si="321"/>
        <v>22871.377241571572</v>
      </c>
      <c r="DA301" s="264">
        <f>'[4]побудинковий звіт'!DA301</f>
        <v>55557.054624563505</v>
      </c>
      <c r="DB301" s="2">
        <v>2</v>
      </c>
      <c r="DC301" s="717">
        <f>'[4]побудинковий звіт'!DC301</f>
        <v>15617.69</v>
      </c>
      <c r="DD301" s="717">
        <f>'[4]побудинковий звіт'!DD301</f>
        <v>40317.109999999993</v>
      </c>
      <c r="DE301" s="717">
        <f>'[4]побудинковий звіт'!DE301</f>
        <v>4253.130000000001</v>
      </c>
      <c r="DF301" s="717">
        <f>'[4]побудинковий звіт'!DF301</f>
        <v>37438.699999999997</v>
      </c>
      <c r="DG301" s="787">
        <v>86624.789309778891</v>
      </c>
      <c r="DH301" s="761">
        <f t="shared" si="290"/>
        <v>2050987.6799999997</v>
      </c>
      <c r="DI301" s="784"/>
      <c r="DJ301" s="5"/>
      <c r="DK301" s="317">
        <f>VLOOKUP($A301,ціни!$A$4:$G$401,5)</f>
        <v>5.5233537686495229</v>
      </c>
      <c r="DL301" s="317"/>
      <c r="DM301" s="317">
        <f>VLOOKUP($A301,ціни!$A$4:$G$401,7)</f>
        <v>4.8351805674947572</v>
      </c>
      <c r="DN301" s="30">
        <f t="shared" si="332"/>
        <v>11124.034490060139</v>
      </c>
      <c r="DO301" s="30">
        <f t="shared" si="334"/>
        <v>2878.3829918296287</v>
      </c>
      <c r="DP301" s="316">
        <f t="shared" si="335"/>
        <v>14002.417481889768</v>
      </c>
      <c r="DQ301" s="104"/>
      <c r="DR301" s="30">
        <f>VLOOKUP(A301,'ДЗ нас '!$A$1:$C$359,2)</f>
        <v>11364.56</v>
      </c>
      <c r="DS301" s="748">
        <f>VLOOKUP(A301,'ДЗ нежит'!$A$1:$D$153,4,0)</f>
        <v>2878.41</v>
      </c>
      <c r="DT301" s="30">
        <f t="shared" si="336"/>
        <v>14242.97</v>
      </c>
      <c r="DU301" s="257">
        <f>VLOOKUP(A301,'новий кошторис с 01.06'!$A$4:$AI$399,35)*1.2</f>
        <v>13542.712236168103</v>
      </c>
      <c r="DV301" s="30">
        <f t="shared" si="337"/>
        <v>700.25776383189623</v>
      </c>
      <c r="DW301" s="930">
        <f>'[5]побудинковий звіт'!DW301+'[6]побудинковий звіт'!DW301</f>
        <v>236</v>
      </c>
      <c r="DY301" s="5">
        <f t="shared" si="286"/>
        <v>37925.44233062159</v>
      </c>
      <c r="DZ301" s="5">
        <f t="shared" si="287"/>
        <v>1921.4619230930439</v>
      </c>
      <c r="EA301" s="752">
        <f t="shared" si="291"/>
        <v>41691.83</v>
      </c>
      <c r="EC301" s="592">
        <f t="shared" si="288"/>
        <v>295691.426082675</v>
      </c>
      <c r="EE301" s="758">
        <v>-51902</v>
      </c>
      <c r="EF301" s="738">
        <f t="shared" si="289"/>
        <v>34722.789309778891</v>
      </c>
      <c r="EH301" s="813">
        <v>68716.889594625129</v>
      </c>
    </row>
    <row r="302" spans="1:138" x14ac:dyDescent="0.3">
      <c r="A302" s="328">
        <v>150000829</v>
      </c>
      <c r="B302" s="44" t="s">
        <v>755</v>
      </c>
      <c r="C302" s="45" t="s">
        <v>230</v>
      </c>
      <c r="D302" s="45" t="s">
        <v>230</v>
      </c>
      <c r="E302" s="40">
        <f t="shared" si="292"/>
        <v>194.4</v>
      </c>
      <c r="F302" s="490">
        <v>194.4</v>
      </c>
      <c r="G302" s="30"/>
      <c r="H302" s="30">
        <v>0</v>
      </c>
      <c r="I302" s="42">
        <f>'[1]побудинковий звіт'!I302+'[2]побудинковий звіт'!I302-'[3]побудинковий звіт'!I302</f>
        <v>9717.7945867555864</v>
      </c>
      <c r="J302" s="42">
        <f>'[1]побудинковий звіт'!J302+'[2]побудинковий звіт'!J302-'[3]побудинковий звіт'!J302</f>
        <v>9689.5266449999144</v>
      </c>
      <c r="K302" s="56">
        <f t="shared" si="296"/>
        <v>-28.267941755671927</v>
      </c>
      <c r="L302" s="42">
        <f>'[1]побудинковий звіт'!L302+'[2]побудинковий звіт'!L302-'[3]побудинковий звіт'!L302</f>
        <v>1509.0734763484122</v>
      </c>
      <c r="M302" s="42">
        <f>'[1]побудинковий звіт'!M302+'[2]побудинковий звіт'!M302-'[3]побудинковий звіт'!M302</f>
        <v>1522.58666412412</v>
      </c>
      <c r="N302" s="56">
        <f t="shared" si="297"/>
        <v>13.51318777570782</v>
      </c>
      <c r="O302" s="42">
        <f>'[1]побудинковий звіт'!O302+'[2]побудинковий звіт'!O302-'[3]побудинковий звіт'!O302</f>
        <v>3807.96</v>
      </c>
      <c r="P302" s="42">
        <f>'[1]побудинковий звіт'!P302+'[2]побудинковий звіт'!P302-'[3]побудинковий звіт'!P302</f>
        <v>3809.04</v>
      </c>
      <c r="Q302" s="56">
        <f t="shared" si="298"/>
        <v>1.0799999999999272</v>
      </c>
      <c r="R302" s="42">
        <f>'[1]побудинковий звіт'!R302+'[2]побудинковий звіт'!R302-'[3]побудинковий звіт'!R302</f>
        <v>0</v>
      </c>
      <c r="S302" s="42">
        <f>'[1]побудинковий звіт'!S302+'[2]побудинковий звіт'!S302-'[3]побудинковий звіт'!S302</f>
        <v>0</v>
      </c>
      <c r="T302" s="56">
        <f t="shared" si="299"/>
        <v>0</v>
      </c>
      <c r="U302" s="42">
        <f>'[1]побудинковий звіт'!U302+'[2]побудинковий звіт'!U302-'[3]побудинковий звіт'!U302</f>
        <v>0</v>
      </c>
      <c r="V302" s="42">
        <f>'[1]побудинковий звіт'!V302+'[2]побудинковий звіт'!V302-'[3]побудинковий звіт'!V302</f>
        <v>0</v>
      </c>
      <c r="W302" s="56">
        <f t="shared" si="300"/>
        <v>0</v>
      </c>
      <c r="X302" s="42">
        <f>'[1]побудинковий звіт'!X302+'[2]побудинковий звіт'!X302-'[3]побудинковий звіт'!X302</f>
        <v>5874.4722520955074</v>
      </c>
      <c r="Y302" s="42">
        <f>'[1]побудинковий звіт'!Y302+'[2]побудинковий звіт'!Y302-'[3]побудинковий звіт'!Y302</f>
        <v>8788.9586545858729</v>
      </c>
      <c r="Z302" s="56">
        <f t="shared" si="301"/>
        <v>2914.4864024903654</v>
      </c>
      <c r="AA302" s="42">
        <f>'[1]побудинковий звіт'!AA302+'[2]побудинковий звіт'!AA302-'[3]побудинковий звіт'!AA302</f>
        <v>0</v>
      </c>
      <c r="AB302" s="42">
        <f>'[1]побудинковий звіт'!AB302+'[2]побудинковий звіт'!AB302-'[3]побудинковий звіт'!AB302</f>
        <v>0</v>
      </c>
      <c r="AC302" s="56">
        <f t="shared" si="302"/>
        <v>0</v>
      </c>
      <c r="AD302" s="42">
        <f>'[1]побудинковий звіт'!AD302+'[2]побудинковий звіт'!AD302-'[3]побудинковий звіт'!AD302</f>
        <v>11036.776353506226</v>
      </c>
      <c r="AE302" s="42">
        <f>'[1]побудинковий звіт'!AE302+'[2]побудинковий звіт'!AE302-'[3]побудинковий звіт'!AE302</f>
        <v>10172.489082095371</v>
      </c>
      <c r="AF302" s="37">
        <f t="shared" si="303"/>
        <v>-864.28727141085437</v>
      </c>
      <c r="AG302" s="87">
        <f t="shared" si="293"/>
        <v>31946.076668705733</v>
      </c>
      <c r="AH302" s="57">
        <f t="shared" si="293"/>
        <v>33982.601045805277</v>
      </c>
      <c r="AI302" s="56">
        <f t="shared" si="304"/>
        <v>2036.5243770995439</v>
      </c>
      <c r="AJ302" s="42">
        <f>'[1]побудинковий звіт'!AJ302+'[2]побудинковий звіт'!AJ302-'[3]побудинковий звіт'!AJ302</f>
        <v>0</v>
      </c>
      <c r="AK302" s="42">
        <f>'[1]побудинковий звіт'!AK302+'[2]побудинковий звіт'!AK302-'[3]побудинковий звіт'!AK302</f>
        <v>0</v>
      </c>
      <c r="AL302" s="56">
        <f t="shared" si="305"/>
        <v>0</v>
      </c>
      <c r="AM302" s="42">
        <f>'[1]побудинковий звіт'!AM302+'[2]побудинковий звіт'!AM302-'[3]побудинковий звіт'!AM302</f>
        <v>0</v>
      </c>
      <c r="AN302" s="42">
        <f>'[1]побудинковий звіт'!AN302+'[2]побудинковий звіт'!AN302-'[3]побудинковий звіт'!AN302</f>
        <v>0</v>
      </c>
      <c r="AO302" s="56">
        <f t="shared" si="306"/>
        <v>0</v>
      </c>
      <c r="AP302" s="42">
        <f>'[1]побудинковий звіт'!AP302+'[2]побудинковий звіт'!AP302-'[3]побудинковий звіт'!AP302</f>
        <v>9091.3693717790375</v>
      </c>
      <c r="AQ302" s="42">
        <f>'[1]побудинковий звіт'!AQ302+'[2]побудинковий звіт'!AQ302-'[3]побудинковий звіт'!AQ302</f>
        <v>8361.8026611493133</v>
      </c>
      <c r="AR302" s="56">
        <f t="shared" si="307"/>
        <v>-729.56671062972418</v>
      </c>
      <c r="AS302" s="42">
        <f>'[1]побудинковий звіт'!AS302+'[2]побудинковий звіт'!AS302-'[3]побудинковий звіт'!AS302</f>
        <v>28346.26243663465</v>
      </c>
      <c r="AT302" s="42">
        <f>'[1]побудинковий звіт'!AT302+'[2]побудинковий звіт'!AT302-'[3]побудинковий звіт'!AT302</f>
        <v>1854.8738582432115</v>
      </c>
      <c r="AU302" s="58">
        <f t="shared" si="322"/>
        <v>-26491.388578391437</v>
      </c>
      <c r="AV302" s="42">
        <f>'[1]побудинковий звіт'!AV302+'[2]побудинковий звіт'!AV302-'[3]побудинковий звіт'!AV302</f>
        <v>1534.1877248073981</v>
      </c>
      <c r="AW302" s="42">
        <f>'[1]побудинковий звіт'!AW302+'[2]побудинковий звіт'!AW302-'[3]побудинковий звіт'!AW302</f>
        <v>1043.3356188650919</v>
      </c>
      <c r="AX302" s="59">
        <f t="shared" si="323"/>
        <v>-490.85210594230625</v>
      </c>
      <c r="AY302" s="42">
        <f>'[1]побудинковий звіт'!AY302+'[2]побудинковий звіт'!AY302-'[3]побудинковий звіт'!AY302</f>
        <v>1945.1149818890603</v>
      </c>
      <c r="AZ302" s="42">
        <f>'[1]побудинковий звіт'!AZ302+'[2]побудинковий звіт'!AZ302-'[3]побудинковий звіт'!AZ302</f>
        <v>0</v>
      </c>
      <c r="BA302" s="37">
        <f t="shared" si="324"/>
        <v>-1945.1149818890603</v>
      </c>
      <c r="BB302" s="42">
        <f>'[1]побудинковий звіт'!BB302+'[2]побудинковий звіт'!BB302-'[3]побудинковий звіт'!BB302</f>
        <v>1718.865701107155</v>
      </c>
      <c r="BC302" s="42">
        <f>'[1]побудинковий звіт'!BC302+'[2]побудинковий звіт'!BC302-'[3]побудинковий звіт'!BC302</f>
        <v>0</v>
      </c>
      <c r="BD302" s="59">
        <f t="shared" si="325"/>
        <v>-1718.865701107155</v>
      </c>
      <c r="BE302" s="42">
        <f>'[1]побудинковий звіт'!BE302+'[2]побудинковий звіт'!BE302-'[3]побудинковий звіт'!BE302</f>
        <v>0</v>
      </c>
      <c r="BF302" s="42">
        <f>'[1]побудинковий звіт'!BF302+'[2]побудинковий звіт'!BF302-'[3]побудинковий звіт'!BF302</f>
        <v>0</v>
      </c>
      <c r="BG302" s="39">
        <f t="shared" si="326"/>
        <v>0</v>
      </c>
      <c r="BH302" s="42">
        <f>'[1]побудинковий звіт'!BH302+'[2]побудинковий звіт'!BH302-'[3]побудинковий звіт'!BH302</f>
        <v>0</v>
      </c>
      <c r="BI302" s="42">
        <f>'[1]побудинковий звіт'!BI302+'[2]побудинковий звіт'!BI302-'[3]побудинковий звіт'!BI302</f>
        <v>643.70454333245698</v>
      </c>
      <c r="BJ302" s="59">
        <f t="shared" si="327"/>
        <v>643.70454333245698</v>
      </c>
      <c r="BK302" s="42">
        <f>'[1]побудинковий звіт'!BK302+'[2]побудинковий звіт'!BK302-'[3]побудинковий звіт'!BK302</f>
        <v>804.47265151148963</v>
      </c>
      <c r="BL302" s="42">
        <f>'[1]побудинковий звіт'!BL302+'[2]побудинковий звіт'!BL302-'[3]побудинковий звіт'!BL302</f>
        <v>9340.9114363486951</v>
      </c>
      <c r="BM302" s="39">
        <f t="shared" si="328"/>
        <v>8536.4387848372062</v>
      </c>
      <c r="BN302" s="42">
        <f>'[1]побудинковий звіт'!BN302+'[2]побудинковий звіт'!BN302-'[3]побудинковий звіт'!BN302</f>
        <v>0</v>
      </c>
      <c r="BO302" s="42">
        <f>'[1]побудинковий звіт'!BO302+'[2]побудинковий звіт'!BO302-'[3]побудинковий звіт'!BO302</f>
        <v>0</v>
      </c>
      <c r="BP302" s="59">
        <f t="shared" si="329"/>
        <v>0</v>
      </c>
      <c r="BQ302" s="87">
        <f t="shared" si="282"/>
        <v>6002.641059315104</v>
      </c>
      <c r="BR302" s="43">
        <f t="shared" si="331"/>
        <v>11027.951598546244</v>
      </c>
      <c r="BS302" s="59">
        <f t="shared" si="330"/>
        <v>5025.31053923114</v>
      </c>
      <c r="BT302" s="42">
        <f>'[1]побудинковий звіт'!BT302+'[2]побудинковий звіт'!BT302-'[3]побудинковий звіт'!BT302</f>
        <v>32029.899910783748</v>
      </c>
      <c r="BU302" s="42">
        <f>'[1]побудинковий звіт'!BU302+'[2]побудинковий звіт'!BU302-'[3]побудинковий звіт'!BU302</f>
        <v>40324.630267283981</v>
      </c>
      <c r="BV302" s="56">
        <f t="shared" si="308"/>
        <v>8294.730356500233</v>
      </c>
      <c r="BW302" s="42">
        <f>'[1]побудинковий звіт'!BW302+'[2]побудинковий звіт'!BW302-'[3]побудинковий звіт'!BW302</f>
        <v>13721.790799714241</v>
      </c>
      <c r="BX302" s="42">
        <f>'[1]побудинковий звіт'!BX302+'[2]побудинковий звіт'!BX302-'[3]побудинковий звіт'!BX302</f>
        <v>15409.021206213158</v>
      </c>
      <c r="BY302" s="56">
        <f t="shared" si="309"/>
        <v>1687.2304064989166</v>
      </c>
      <c r="BZ302" s="42">
        <f>'[1]побудинковий звіт'!BZ302+'[2]побудинковий звіт'!BZ302-'[3]побудинковий звіт'!BZ302</f>
        <v>10871.523567884524</v>
      </c>
      <c r="CA302" s="42">
        <f>'[1]побудинковий звіт'!CA302+'[2]побудинковий звіт'!CA302-'[3]побудинковий звіт'!CA302</f>
        <v>12189.498482709241</v>
      </c>
      <c r="CB302" s="56">
        <f t="shared" si="310"/>
        <v>1317.9749148247174</v>
      </c>
      <c r="CC302" s="42">
        <f>'[1]побудинковий звіт'!CC302+'[2]побудинковий звіт'!CC302-'[3]побудинковий звіт'!CC302</f>
        <v>0</v>
      </c>
      <c r="CD302" s="42">
        <f>'[1]побудинковий звіт'!CD302+'[2]побудинковий звіт'!CD302-'[3]побудинковий звіт'!CD302</f>
        <v>0</v>
      </c>
      <c r="CE302" s="56">
        <f t="shared" si="311"/>
        <v>0</v>
      </c>
      <c r="CF302" s="42">
        <f>'[1]побудинковий звіт'!CF302+'[2]побудинковий звіт'!CF302-'[3]побудинковий звіт'!CF302</f>
        <v>0</v>
      </c>
      <c r="CG302" s="42">
        <f>'[1]побудинковий звіт'!CG302+'[2]побудинковий звіт'!CG302-'[3]побудинковий звіт'!CG302</f>
        <v>0</v>
      </c>
      <c r="CH302" s="56">
        <f t="shared" si="312"/>
        <v>0</v>
      </c>
      <c r="CI302" s="42">
        <f>'[1]побудинковий звіт'!CI302+'[2]побудинковий звіт'!CI302-'[3]побудинковий звіт'!CI302</f>
        <v>4436.0534669945355</v>
      </c>
      <c r="CJ302" s="42">
        <f>'[1]побудинковий звіт'!CJ302+'[2]побудинковий звіт'!CJ302-'[3]побудинковий звіт'!CJ302</f>
        <v>2706.517822218404</v>
      </c>
      <c r="CK302" s="56">
        <f t="shared" si="313"/>
        <v>-1729.5356447761314</v>
      </c>
      <c r="CL302" s="42">
        <f>'[1]побудинковий звіт'!CL302+'[2]побудинковий звіт'!CL302-'[3]побудинковий звіт'!CL302</f>
        <v>0</v>
      </c>
      <c r="CM302" s="42">
        <f>'[1]побудинковий звіт'!CM302+'[2]побудинковий звіт'!CM302-'[3]побудинковий звіт'!CM302</f>
        <v>0</v>
      </c>
      <c r="CN302" s="56">
        <f t="shared" si="314"/>
        <v>0</v>
      </c>
      <c r="CO302" s="42">
        <f t="shared" si="294"/>
        <v>4436.0534669945355</v>
      </c>
      <c r="CP302" s="43">
        <f t="shared" si="315"/>
        <v>2706.517822218404</v>
      </c>
      <c r="CQ302" s="56">
        <f t="shared" si="316"/>
        <v>-1729.5356447761314</v>
      </c>
      <c r="CR302" s="78">
        <f t="shared" si="295"/>
        <v>136445.6172818116</v>
      </c>
      <c r="CS302" s="5">
        <f t="shared" si="295"/>
        <v>125856.89694216882</v>
      </c>
      <c r="CT302" s="56">
        <f t="shared" si="317"/>
        <v>-10588.720339642779</v>
      </c>
      <c r="CU302" s="87">
        <f t="shared" si="318"/>
        <v>163734.74073817392</v>
      </c>
      <c r="CV302" s="70">
        <f t="shared" si="319"/>
        <v>151028.27633060259</v>
      </c>
      <c r="CW302" s="37">
        <f t="shared" si="320"/>
        <v>-12706.46440757133</v>
      </c>
      <c r="CX302" s="42">
        <f>'[1]побудинковий звіт'!CX302+'[2]побудинковий звіт'!CX302-'[3]побудинковий звіт'!CX302</f>
        <v>2471.4992618261276</v>
      </c>
      <c r="CY302" s="42">
        <f>'[1]побудинковий звіт'!CY302+'[2]побудинковий звіт'!CY302-'[3]побудинковий звіт'!CY302</f>
        <v>15177.963669397395</v>
      </c>
      <c r="CZ302" s="56">
        <f t="shared" si="321"/>
        <v>12706.464407571268</v>
      </c>
      <c r="DA302" s="264">
        <f>'[4]побудинковий звіт'!DA302</f>
        <v>-56003.331122989395</v>
      </c>
      <c r="DB302" s="2">
        <v>2</v>
      </c>
      <c r="DC302" s="717">
        <f>'[4]побудинковий звіт'!DC302</f>
        <v>47035.31</v>
      </c>
      <c r="DD302" s="717">
        <f>'[4]побудинковий звіт'!DD302</f>
        <v>0</v>
      </c>
      <c r="DE302" s="717">
        <f>'[4]побудинковий звіт'!DE302</f>
        <v>33179.149999999994</v>
      </c>
      <c r="DF302" s="717">
        <f>'[4]побудинковий звіт'!DF302</f>
        <v>0</v>
      </c>
      <c r="DG302" s="787">
        <v>-33867.595447996689</v>
      </c>
      <c r="DH302" s="761">
        <f t="shared" si="290"/>
        <v>1994474.8800000006</v>
      </c>
      <c r="DI302" s="784"/>
      <c r="DJ302" s="5"/>
      <c r="DK302" s="317">
        <f>VLOOKUP($A302,ціни!$A$4:$G$401,5)</f>
        <v>5.3654231187447206</v>
      </c>
      <c r="DL302" s="317"/>
      <c r="DM302" s="317">
        <f>VLOOKUP($A302,ціни!$A$4:$G$401,7)</f>
        <v>4.8258439438760563</v>
      </c>
      <c r="DN302" s="30">
        <f t="shared" si="332"/>
        <v>1043.0382542839736</v>
      </c>
      <c r="DO302" s="30">
        <f t="shared" si="334"/>
        <v>0</v>
      </c>
      <c r="DP302" s="316">
        <f t="shared" si="335"/>
        <v>1043.0382542839736</v>
      </c>
      <c r="DQ302" s="104"/>
      <c r="DR302" s="30">
        <f>VLOOKUP(A302,'ДЗ нас '!$A$1:$C$359,2)</f>
        <v>13856.16</v>
      </c>
      <c r="DS302" s="748"/>
      <c r="DT302" s="30">
        <f t="shared" si="336"/>
        <v>13856.16</v>
      </c>
      <c r="DU302" s="257">
        <f>VLOOKUP(A302,'новий кошторис с 01.06'!$A$4:$AI$399,35)*1.2</f>
        <v>13890.163839288418</v>
      </c>
      <c r="DV302" s="30">
        <f t="shared" si="337"/>
        <v>-34.003839288418021</v>
      </c>
      <c r="DW302" s="930">
        <f>'[5]побудинковий звіт'!DW302+'[6]побудинковий звіт'!DW302</f>
        <v>236</v>
      </c>
      <c r="DY302" s="5">
        <f t="shared" si="286"/>
        <v>41218.6841951397</v>
      </c>
      <c r="DZ302" s="5">
        <f t="shared" si="287"/>
        <v>15459.390548147345</v>
      </c>
      <c r="EA302" s="752">
        <f t="shared" si="291"/>
        <v>33179.149999999994</v>
      </c>
      <c r="EC302" s="592">
        <f t="shared" si="288"/>
        <v>340155.14923961577</v>
      </c>
      <c r="EE302" s="758">
        <v>66594</v>
      </c>
      <c r="EF302" s="738">
        <f t="shared" si="289"/>
        <v>32726.404552003311</v>
      </c>
      <c r="EH302" s="813">
        <v>-48150.527000843103</v>
      </c>
    </row>
    <row r="303" spans="1:138" x14ac:dyDescent="0.3">
      <c r="A303" s="328">
        <v>150000797</v>
      </c>
      <c r="B303" s="44" t="s">
        <v>756</v>
      </c>
      <c r="C303" s="45" t="s">
        <v>231</v>
      </c>
      <c r="D303" s="45" t="s">
        <v>231</v>
      </c>
      <c r="E303" s="40">
        <f t="shared" si="292"/>
        <v>3358.5</v>
      </c>
      <c r="F303" s="490">
        <v>1754.6</v>
      </c>
      <c r="G303" s="30"/>
      <c r="H303" s="30">
        <v>1603.9</v>
      </c>
      <c r="I303" s="42">
        <f>'[1]побудинковий звіт'!I303+'[2]побудинковий звіт'!I303-'[3]побудинковий звіт'!I303</f>
        <v>17403.700479700427</v>
      </c>
      <c r="J303" s="42">
        <f>'[1]побудинковий звіт'!J303+'[2]побудинковий звіт'!J303-'[3]побудинковий звіт'!J303</f>
        <v>17301.988078468359</v>
      </c>
      <c r="K303" s="56">
        <f t="shared" si="296"/>
        <v>-101.71240123206735</v>
      </c>
      <c r="L303" s="42">
        <f>'[1]побудинковий звіт'!L303+'[2]побудинковий звіт'!L303-'[3]побудинковий звіт'!L303</f>
        <v>3699.2973047949599</v>
      </c>
      <c r="M303" s="42">
        <f>'[1]побудинковий звіт'!M303+'[2]побудинковий звіт'!M303-'[3]побудинковий звіт'!M303</f>
        <v>3740.3600046909496</v>
      </c>
      <c r="N303" s="56">
        <f t="shared" si="297"/>
        <v>41.062699895989681</v>
      </c>
      <c r="O303" s="42">
        <f>'[1]побудинковий звіт'!O303+'[2]побудинковий звіт'!O303-'[3]побудинковий звіт'!O303</f>
        <v>5923.7999999999993</v>
      </c>
      <c r="P303" s="42">
        <f>'[1]побудинковий звіт'!P303+'[2]побудинковий звіт'!P303-'[3]побудинковий звіт'!P303</f>
        <v>4656.1152362903222</v>
      </c>
      <c r="Q303" s="56">
        <f t="shared" si="298"/>
        <v>-1267.6847637096771</v>
      </c>
      <c r="R303" s="42">
        <f>'[1]побудинковий звіт'!R303+'[2]побудинковий звіт'!R303-'[3]побудинковий звіт'!R303</f>
        <v>0</v>
      </c>
      <c r="S303" s="42">
        <f>'[1]побудинковий звіт'!S303+'[2]побудинковий звіт'!S303-'[3]побудинковий звіт'!S303</f>
        <v>0</v>
      </c>
      <c r="T303" s="56">
        <f t="shared" si="299"/>
        <v>0</v>
      </c>
      <c r="U303" s="42">
        <f>'[1]побудинковий звіт'!U303+'[2]побудинковий звіт'!U303-'[3]побудинковий звіт'!U303</f>
        <v>0</v>
      </c>
      <c r="V303" s="42">
        <f>'[1]побудинковий звіт'!V303+'[2]побудинковий звіт'!V303-'[3]побудинковий звіт'!V303</f>
        <v>0</v>
      </c>
      <c r="W303" s="56">
        <f t="shared" si="300"/>
        <v>0</v>
      </c>
      <c r="X303" s="42">
        <f>'[1]побудинковий звіт'!X303+'[2]побудинковий звіт'!X303-'[3]побудинковий звіт'!X303</f>
        <v>20360.371703417663</v>
      </c>
      <c r="Y303" s="42">
        <f>'[1]побудинковий звіт'!Y303+'[2]побудинковий звіт'!Y303-'[3]побудинковий звіт'!Y303</f>
        <v>16478.87814290369</v>
      </c>
      <c r="Z303" s="56">
        <f t="shared" si="301"/>
        <v>-3881.4935605139726</v>
      </c>
      <c r="AA303" s="42">
        <f>'[1]побудинковий звіт'!AA303+'[2]побудинковий звіт'!AA303-'[3]побудинковий звіт'!AA303</f>
        <v>0</v>
      </c>
      <c r="AB303" s="42">
        <f>'[1]побудинковий звіт'!AB303+'[2]побудинковий звіт'!AB303-'[3]побудинковий звіт'!AB303</f>
        <v>0</v>
      </c>
      <c r="AC303" s="56">
        <f t="shared" si="302"/>
        <v>0</v>
      </c>
      <c r="AD303" s="42">
        <f>'[1]побудинковий звіт'!AD303+'[2]побудинковий звіт'!AD303-'[3]побудинковий звіт'!AD303</f>
        <v>21208.551987845287</v>
      </c>
      <c r="AE303" s="42">
        <f>'[1]побудинковий звіт'!AE303+'[2]побудинковий звіт'!AE303-'[3]побудинковий звіт'!AE303</f>
        <v>22057.891700338849</v>
      </c>
      <c r="AF303" s="37">
        <f t="shared" si="303"/>
        <v>849.33971249356182</v>
      </c>
      <c r="AG303" s="87">
        <f t="shared" si="293"/>
        <v>68595.721475758342</v>
      </c>
      <c r="AH303" s="57">
        <f t="shared" si="293"/>
        <v>64235.233162692166</v>
      </c>
      <c r="AI303" s="56">
        <f t="shared" si="304"/>
        <v>-4360.4883130661765</v>
      </c>
      <c r="AJ303" s="42">
        <f>'[1]побудинковий звіт'!AJ303+'[2]побудинковий звіт'!AJ303-'[3]побудинковий звіт'!AJ303</f>
        <v>0</v>
      </c>
      <c r="AK303" s="42">
        <f>'[1]побудинковий звіт'!AK303+'[2]побудинковий звіт'!AK303-'[3]побудинковий звіт'!AK303</f>
        <v>0</v>
      </c>
      <c r="AL303" s="56">
        <f t="shared" si="305"/>
        <v>0</v>
      </c>
      <c r="AM303" s="42">
        <f>'[1]побудинковий звіт'!AM303+'[2]побудинковий звіт'!AM303-'[3]побудинковий звіт'!AM303</f>
        <v>0</v>
      </c>
      <c r="AN303" s="42">
        <f>'[1]побудинковий звіт'!AN303+'[2]побудинковий звіт'!AN303-'[3]побудинковий звіт'!AN303</f>
        <v>0</v>
      </c>
      <c r="AO303" s="56">
        <f t="shared" si="306"/>
        <v>0</v>
      </c>
      <c r="AP303" s="42">
        <f>'[1]побудинковий звіт'!AP303+'[2]побудинковий звіт'!AP303-'[3]побудинковий звіт'!AP303</f>
        <v>10511.895836119515</v>
      </c>
      <c r="AQ303" s="42">
        <f>'[1]побудинковий звіт'!AQ303+'[2]побудинковий звіт'!AQ303-'[3]побудинковий звіт'!AQ303</f>
        <v>9709.9068759372931</v>
      </c>
      <c r="AR303" s="56">
        <f t="shared" si="307"/>
        <v>-801.98896018222149</v>
      </c>
      <c r="AS303" s="42">
        <f>'[1]побудинковий звіт'!AS303+'[2]побудинковий звіт'!AS303-'[3]побудинковий звіт'!AS303</f>
        <v>85381.227256183731</v>
      </c>
      <c r="AT303" s="42">
        <f>'[1]побудинковий звіт'!AT303+'[2]побудинковий звіт'!AT303-'[3]побудинковий звіт'!AT303</f>
        <v>13500.655317975108</v>
      </c>
      <c r="AU303" s="58">
        <f t="shared" si="322"/>
        <v>-71880.571938208624</v>
      </c>
      <c r="AV303" s="42">
        <f>'[1]побудинковий звіт'!AV303+'[2]побудинковий звіт'!AV303-'[3]побудинковий звіт'!AV303</f>
        <v>3061.1019280008609</v>
      </c>
      <c r="AW303" s="42">
        <f>'[1]побудинковий звіт'!AW303+'[2]побудинковий звіт'!AW303-'[3]побудинковий звіт'!AW303</f>
        <v>1812</v>
      </c>
      <c r="AX303" s="59">
        <f t="shared" si="323"/>
        <v>-1249.1019280008609</v>
      </c>
      <c r="AY303" s="42">
        <f>'[1]побудинковий звіт'!AY303+'[2]побудинковий звіт'!AY303-'[3]побудинковий звіт'!AY303</f>
        <v>4768.1015263573827</v>
      </c>
      <c r="AZ303" s="42">
        <f>'[1]побудинковий звіт'!AZ303+'[2]побудинковий звіт'!AZ303-'[3]побудинковий звіт'!AZ303</f>
        <v>0</v>
      </c>
      <c r="BA303" s="37">
        <f t="shared" si="324"/>
        <v>-4768.1015263573827</v>
      </c>
      <c r="BB303" s="42">
        <f>'[1]побудинковий звіт'!BB303+'[2]побудинковий звіт'!BB303-'[3]побудинковий звіт'!BB303</f>
        <v>2942.034581402625</v>
      </c>
      <c r="BC303" s="42">
        <f>'[1]побудинковий звіт'!BC303+'[2]побудинковий звіт'!BC303-'[3]побудинковий звіт'!BC303</f>
        <v>9955.8904162413819</v>
      </c>
      <c r="BD303" s="59">
        <f t="shared" si="325"/>
        <v>7013.8558348387569</v>
      </c>
      <c r="BE303" s="42">
        <f>'[1]побудинковий звіт'!BE303+'[2]побудинковий звіт'!BE303-'[3]побудинковий звіт'!BE303</f>
        <v>0</v>
      </c>
      <c r="BF303" s="42">
        <f>'[1]побудинковий звіт'!BF303+'[2]побудинковий звіт'!BF303-'[3]побудинковий звіт'!BF303</f>
        <v>0</v>
      </c>
      <c r="BG303" s="39">
        <f t="shared" si="326"/>
        <v>0</v>
      </c>
      <c r="BH303" s="42">
        <f>'[1]побудинковий звіт'!BH303+'[2]побудинковий звіт'!BH303-'[3]побудинковий звіт'!BH303</f>
        <v>0</v>
      </c>
      <c r="BI303" s="42">
        <f>'[1]побудинковий звіт'!BI303+'[2]побудинковий звіт'!BI303-'[3]побудинковий звіт'!BI303</f>
        <v>0</v>
      </c>
      <c r="BJ303" s="59">
        <f t="shared" si="327"/>
        <v>0</v>
      </c>
      <c r="BK303" s="42">
        <f>'[1]побудинковий звіт'!BK303+'[2]побудинковий звіт'!BK303-'[3]побудинковий звіт'!BK303</f>
        <v>3022.758050626006</v>
      </c>
      <c r="BL303" s="42">
        <f>'[1]побудинковий звіт'!BL303+'[2]побудинковий звіт'!BL303-'[3]побудинковий звіт'!BL303</f>
        <v>5447.0489151035745</v>
      </c>
      <c r="BM303" s="39">
        <f t="shared" si="328"/>
        <v>2424.2908644775684</v>
      </c>
      <c r="BN303" s="42">
        <f>'[1]побудинковий звіт'!BN303+'[2]побудинковий звіт'!BN303-'[3]побудинковий звіт'!BN303</f>
        <v>0</v>
      </c>
      <c r="BO303" s="42">
        <f>'[1]побудинковий звіт'!BO303+'[2]побудинковий звіт'!BO303-'[3]побудинковий звіт'!BO303</f>
        <v>0</v>
      </c>
      <c r="BP303" s="59">
        <f t="shared" si="329"/>
        <v>0</v>
      </c>
      <c r="BQ303" s="87">
        <f t="shared" si="282"/>
        <v>13793.996086386873</v>
      </c>
      <c r="BR303" s="43">
        <f t="shared" si="331"/>
        <v>17214.939331344955</v>
      </c>
      <c r="BS303" s="59">
        <f t="shared" si="330"/>
        <v>3420.9432449580818</v>
      </c>
      <c r="BT303" s="42">
        <f>'[1]побудинковий звіт'!BT303+'[2]побудинковий звіт'!BT303-'[3]побудинковий звіт'!BT303</f>
        <v>24684.162750077139</v>
      </c>
      <c r="BU303" s="42">
        <f>'[1]побудинковий звіт'!BU303+'[2]побудинковий звіт'!BU303-'[3]побудинковий звіт'!BU303</f>
        <v>48192.531477478413</v>
      </c>
      <c r="BV303" s="56">
        <f t="shared" si="308"/>
        <v>23508.368727401274</v>
      </c>
      <c r="BW303" s="42">
        <f>'[1]побудинковий звіт'!BW303+'[2]побудинковий звіт'!BW303-'[3]побудинковий звіт'!BW303</f>
        <v>46817.711769225993</v>
      </c>
      <c r="BX303" s="42">
        <f>'[1]побудинковий звіт'!BX303+'[2]побудинковий звіт'!BX303-'[3]побудинковий звіт'!BX303</f>
        <v>55353.037901272728</v>
      </c>
      <c r="BY303" s="56">
        <f t="shared" si="309"/>
        <v>8535.3261320467354</v>
      </c>
      <c r="BZ303" s="42">
        <f>'[1]побудинковий звіт'!BZ303+'[2]побудинковий звіт'!BZ303-'[3]побудинковий звіт'!BZ303</f>
        <v>12053.011650966662</v>
      </c>
      <c r="CA303" s="42">
        <f>'[1]побудинковий звіт'!CA303+'[2]побудинковий звіт'!CA303-'[3]побудинковий звіт'!CA303</f>
        <v>12111.509031784968</v>
      </c>
      <c r="CB303" s="56">
        <f t="shared" si="310"/>
        <v>58.497380818305828</v>
      </c>
      <c r="CC303" s="42">
        <f>'[1]побудинковий звіт'!CC303+'[2]побудинковий звіт'!CC303-'[3]побудинковий звіт'!CC303</f>
        <v>823.57110779645416</v>
      </c>
      <c r="CD303" s="42">
        <f>'[1]побудинковий звіт'!CD303+'[2]побудинковий звіт'!CD303-'[3]побудинковий звіт'!CD303</f>
        <v>816.32756706295993</v>
      </c>
      <c r="CE303" s="56">
        <f t="shared" si="311"/>
        <v>-7.2435407334942283</v>
      </c>
      <c r="CF303" s="42">
        <f>'[1]побудинковий звіт'!CF303+'[2]побудинковий звіт'!CF303-'[3]побудинковий звіт'!CF303</f>
        <v>101.38659470979073</v>
      </c>
      <c r="CG303" s="42">
        <f>'[1]побудинковий звіт'!CG303+'[2]побудинковий звіт'!CG303-'[3]побудинковий звіт'!CG303</f>
        <v>0</v>
      </c>
      <c r="CH303" s="56">
        <f t="shared" si="312"/>
        <v>-101.38659470979073</v>
      </c>
      <c r="CI303" s="42">
        <f>'[1]побудинковий звіт'!CI303+'[2]побудинковий звіт'!CI303-'[3]побудинковий звіт'!CI303</f>
        <v>4623.2287187664579</v>
      </c>
      <c r="CJ303" s="42">
        <f>'[1]побудинковий звіт'!CJ303+'[2]побудинковий звіт'!CJ303-'[3]побудинковий звіт'!CJ303</f>
        <v>3871.9720546227518</v>
      </c>
      <c r="CK303" s="56">
        <f t="shared" si="313"/>
        <v>-751.25666414370608</v>
      </c>
      <c r="CL303" s="42">
        <f>'[1]побудинковий звіт'!CL303+'[2]побудинковий звіт'!CL303-'[3]побудинковий звіт'!CL303</f>
        <v>0</v>
      </c>
      <c r="CM303" s="42">
        <f>'[1]побудинковий звіт'!CM303+'[2]побудинковий звіт'!CM303-'[3]побудинковий звіт'!CM303</f>
        <v>0</v>
      </c>
      <c r="CN303" s="56">
        <f t="shared" si="314"/>
        <v>0</v>
      </c>
      <c r="CO303" s="42">
        <f t="shared" si="294"/>
        <v>4623.2287187664579</v>
      </c>
      <c r="CP303" s="43">
        <f t="shared" si="315"/>
        <v>3871.9720546227518</v>
      </c>
      <c r="CQ303" s="56">
        <f t="shared" si="316"/>
        <v>-751.25666414370608</v>
      </c>
      <c r="CR303" s="78">
        <f t="shared" si="295"/>
        <v>267385.91324599093</v>
      </c>
      <c r="CS303" s="5">
        <f t="shared" si="295"/>
        <v>225006.11272017134</v>
      </c>
      <c r="CT303" s="56">
        <f t="shared" si="317"/>
        <v>-42379.800525819592</v>
      </c>
      <c r="CU303" s="87">
        <f t="shared" si="318"/>
        <v>320863.09589518909</v>
      </c>
      <c r="CV303" s="70">
        <f t="shared" si="319"/>
        <v>270007.33526420558</v>
      </c>
      <c r="CW303" s="37">
        <f t="shared" si="320"/>
        <v>-50855.76063098351</v>
      </c>
      <c r="CX303" s="42">
        <f>'[1]побудинковий звіт'!CX303+'[2]побудинковий звіт'!CX303-'[3]побудинковий звіт'!CX303</f>
        <v>39404.684104810898</v>
      </c>
      <c r="CY303" s="42">
        <f>'[1]побудинковий звіт'!CY303+'[2]побудинковий звіт'!CY303-'[3]побудинковий звіт'!CY303</f>
        <v>90260.444735794415</v>
      </c>
      <c r="CZ303" s="56">
        <f t="shared" si="321"/>
        <v>50855.760630983517</v>
      </c>
      <c r="DA303" s="264">
        <f>'[4]побудинковий звіт'!DA303</f>
        <v>-44793.061483315149</v>
      </c>
      <c r="DB303" s="2">
        <v>2</v>
      </c>
      <c r="DC303" s="717">
        <f>'[4]побудинковий звіт'!DC303</f>
        <v>97779.72</v>
      </c>
      <c r="DD303" s="717">
        <f>'[4]побудинковий звіт'!DD303</f>
        <v>52462.29</v>
      </c>
      <c r="DE303" s="717">
        <f>'[4]побудинковий звіт'!DE303</f>
        <v>74994.39</v>
      </c>
      <c r="DF303" s="717">
        <f>'[4]побудинковий звіт'!DF303</f>
        <v>45222.93</v>
      </c>
      <c r="DG303" s="787">
        <v>-118137.9118830855</v>
      </c>
      <c r="DH303" s="761">
        <f t="shared" si="290"/>
        <v>4323213.3599999994</v>
      </c>
      <c r="DI303" s="784"/>
      <c r="DJ303" s="5"/>
      <c r="DK303" s="317">
        <f>VLOOKUP($A303,ціни!$A$4:$G$401,5)</f>
        <v>5.7036347198296253</v>
      </c>
      <c r="DL303" s="317"/>
      <c r="DM303" s="317">
        <f>VLOOKUP($A303,ціни!$A$4:$G$401,7)</f>
        <v>4.5135526400458943</v>
      </c>
      <c r="DN303" s="30">
        <f t="shared" si="332"/>
        <v>10007.59747941306</v>
      </c>
      <c r="DO303" s="30">
        <f t="shared" si="334"/>
        <v>7239.2870793696102</v>
      </c>
      <c r="DP303" s="316">
        <f t="shared" si="335"/>
        <v>17246.884558782669</v>
      </c>
      <c r="DQ303" s="104"/>
      <c r="DR303" s="30">
        <f>VLOOKUP(A303,'ДЗ нас '!$A$1:$C$359,2)</f>
        <v>22785.33</v>
      </c>
      <c r="DS303" s="748">
        <f>VLOOKUP(A303,'ДЗ нежит'!$A$1:$D$153,4,0)</f>
        <v>7239.3600000000015</v>
      </c>
      <c r="DT303" s="30">
        <f t="shared" si="336"/>
        <v>30024.690000000002</v>
      </c>
      <c r="DU303" s="257">
        <f>VLOOKUP(A303,'новий кошторис с 01.06'!$A$4:$AI$399,35)*1.2</f>
        <v>29796.969968441877</v>
      </c>
      <c r="DV303" s="30">
        <f t="shared" si="337"/>
        <v>227.7200315581249</v>
      </c>
      <c r="DW303" s="930">
        <f>'[5]побудинковий звіт'!DW303+'[6]побудинковий звіт'!DW303</f>
        <v>236</v>
      </c>
      <c r="DY303" s="5">
        <f t="shared" si="286"/>
        <v>119010.26801108473</v>
      </c>
      <c r="DZ303" s="5">
        <f t="shared" si="287"/>
        <v>36858.71357918407</v>
      </c>
      <c r="EA303" s="752">
        <f t="shared" si="291"/>
        <v>120217.32</v>
      </c>
      <c r="EC303" s="592">
        <f t="shared" si="288"/>
        <v>1024574.7270742047</v>
      </c>
      <c r="EE303" s="758">
        <v>91157</v>
      </c>
      <c r="EF303" s="738">
        <f t="shared" si="289"/>
        <v>-26980.9118830855</v>
      </c>
      <c r="EH303" s="813">
        <v>-14384.474989482478</v>
      </c>
    </row>
    <row r="304" spans="1:138" x14ac:dyDescent="0.3">
      <c r="A304" s="328">
        <v>150000709</v>
      </c>
      <c r="B304" s="44" t="s">
        <v>757</v>
      </c>
      <c r="C304" s="45" t="s">
        <v>142</v>
      </c>
      <c r="D304" s="45" t="s">
        <v>142</v>
      </c>
      <c r="E304" s="40">
        <f t="shared" si="292"/>
        <v>3727.2</v>
      </c>
      <c r="F304" s="490">
        <v>3727.2</v>
      </c>
      <c r="G304" s="30"/>
      <c r="H304" s="30">
        <v>0</v>
      </c>
      <c r="I304" s="42">
        <f>'[1]побудинковий звіт'!I304+'[2]побудинковий звіт'!I304-'[3]побудинковий звіт'!I304</f>
        <v>0</v>
      </c>
      <c r="J304" s="42">
        <f>'[1]побудинковий звіт'!J304+'[2]побудинковий звіт'!J304-'[3]побудинковий звіт'!J304</f>
        <v>0</v>
      </c>
      <c r="K304" s="56">
        <f t="shared" si="296"/>
        <v>0</v>
      </c>
      <c r="L304" s="42">
        <f>'[1]побудинковий звіт'!L304+'[2]побудинковий звіт'!L304-'[3]побудинковий звіт'!L304</f>
        <v>0</v>
      </c>
      <c r="M304" s="42">
        <f>'[1]побудинковий звіт'!M304+'[2]побудинковий звіт'!M304-'[3]побудинковий звіт'!M304</f>
        <v>0</v>
      </c>
      <c r="N304" s="56">
        <f t="shared" si="297"/>
        <v>0</v>
      </c>
      <c r="O304" s="42">
        <f>'[1]побудинковий звіт'!O304+'[2]побудинковий звіт'!O304-'[3]побудинковий звіт'!O304</f>
        <v>0</v>
      </c>
      <c r="P304" s="42">
        <f>'[1]побудинковий звіт'!P304+'[2]побудинковий звіт'!P304-'[3]побудинковий звіт'!P304</f>
        <v>0</v>
      </c>
      <c r="Q304" s="56">
        <f t="shared" si="298"/>
        <v>0</v>
      </c>
      <c r="R304" s="42">
        <f>'[1]побудинковий звіт'!R304+'[2]побудинковий звіт'!R304-'[3]побудинковий звіт'!R304</f>
        <v>0</v>
      </c>
      <c r="S304" s="42">
        <f>'[1]побудинковий звіт'!S304+'[2]побудинковий звіт'!S304-'[3]побудинковий звіт'!S304</f>
        <v>0</v>
      </c>
      <c r="T304" s="56">
        <f t="shared" si="299"/>
        <v>0</v>
      </c>
      <c r="U304" s="42">
        <f>'[1]побудинковий звіт'!U304+'[2]побудинковий звіт'!U304-'[3]побудинковий звіт'!U304</f>
        <v>0</v>
      </c>
      <c r="V304" s="42">
        <f>'[1]побудинковий звіт'!V304+'[2]побудинковий звіт'!V304-'[3]побудинковий звіт'!V304</f>
        <v>0</v>
      </c>
      <c r="W304" s="56">
        <f t="shared" si="300"/>
        <v>0</v>
      </c>
      <c r="X304" s="42">
        <f>'[1]побудинковий звіт'!X304+'[2]побудинковий звіт'!X304-'[3]побудинковий звіт'!X304</f>
        <v>0</v>
      </c>
      <c r="Y304" s="42">
        <f>'[1]побудинковий звіт'!Y304+'[2]побудинковий звіт'!Y304-'[3]побудинковий звіт'!Y304</f>
        <v>0</v>
      </c>
      <c r="Z304" s="56">
        <f t="shared" si="301"/>
        <v>0</v>
      </c>
      <c r="AA304" s="42">
        <f>'[1]побудинковий звіт'!AA304+'[2]побудинковий звіт'!AA304-'[3]побудинковий звіт'!AA304</f>
        <v>0</v>
      </c>
      <c r="AB304" s="42">
        <f>'[1]побудинковий звіт'!AB304+'[2]побудинковий звіт'!AB304-'[3]побудинковий звіт'!AB304</f>
        <v>0</v>
      </c>
      <c r="AC304" s="56">
        <f t="shared" si="302"/>
        <v>0</v>
      </c>
      <c r="AD304" s="42">
        <f>'[1]побудинковий звіт'!AD304+'[2]побудинковий звіт'!AD304-'[3]побудинковий звіт'!AD304</f>
        <v>0</v>
      </c>
      <c r="AE304" s="42">
        <f>'[1]побудинковий звіт'!AE304+'[2]побудинковий звіт'!AE304-'[3]побудинковий звіт'!AE304</f>
        <v>133.95659969287689</v>
      </c>
      <c r="AF304" s="37">
        <f t="shared" si="303"/>
        <v>133.95659969287689</v>
      </c>
      <c r="AG304" s="87">
        <f t="shared" si="293"/>
        <v>0</v>
      </c>
      <c r="AH304" s="57">
        <f t="shared" si="293"/>
        <v>133.95659969287689</v>
      </c>
      <c r="AI304" s="56">
        <f t="shared" si="304"/>
        <v>133.95659969287689</v>
      </c>
      <c r="AJ304" s="42">
        <f>'[1]побудинковий звіт'!AJ304+'[2]побудинковий звіт'!AJ304-'[3]побудинковий звіт'!AJ304</f>
        <v>0</v>
      </c>
      <c r="AK304" s="42">
        <f>'[1]побудинковий звіт'!AK304+'[2]побудинковий звіт'!AK304-'[3]побудинковий звіт'!AK304</f>
        <v>0</v>
      </c>
      <c r="AL304" s="56">
        <f t="shared" si="305"/>
        <v>0</v>
      </c>
      <c r="AM304" s="42">
        <f>'[1]побудинковий звіт'!AM304+'[2]побудинковий звіт'!AM304-'[3]побудинковий звіт'!AM304</f>
        <v>0</v>
      </c>
      <c r="AN304" s="42">
        <f>'[1]побудинковий звіт'!AN304+'[2]побудинковий звіт'!AN304-'[3]побудинковий звіт'!AN304</f>
        <v>0</v>
      </c>
      <c r="AO304" s="56">
        <f t="shared" si="306"/>
        <v>0</v>
      </c>
      <c r="AP304" s="42">
        <f>'[1]побудинковий звіт'!AP304+'[2]побудинковий звіт'!AP304-'[3]побудинковий звіт'!AP304</f>
        <v>378.80705715745984</v>
      </c>
      <c r="AQ304" s="42">
        <f>'[1]побудинковий звіт'!AQ304+'[2]побудинковий звіт'!AQ304-'[3]побудинковий звіт'!AQ304</f>
        <v>186.85825256960351</v>
      </c>
      <c r="AR304" s="56">
        <f t="shared" si="307"/>
        <v>-191.94880458785633</v>
      </c>
      <c r="AS304" s="42">
        <f>'[1]побудинковий звіт'!AS304+'[2]побудинковий звіт'!AS304-'[3]побудинковий звіт'!AS304</f>
        <v>2430.2958936730929</v>
      </c>
      <c r="AT304" s="42">
        <f>'[1]побудинковий звіт'!AT304+'[2]побудинковий звіт'!AT304-'[3]побудинковий звіт'!AT304</f>
        <v>860</v>
      </c>
      <c r="AU304" s="58">
        <f t="shared" si="322"/>
        <v>-1570.2958936730929</v>
      </c>
      <c r="AV304" s="42">
        <f>'[1]побудинковий звіт'!AV304+'[2]побудинковий звіт'!AV304-'[3]побудинковий звіт'!AV304</f>
        <v>0</v>
      </c>
      <c r="AW304" s="42">
        <f>'[1]побудинковий звіт'!AW304+'[2]побудинковий звіт'!AW304-'[3]побудинковий звіт'!AW304</f>
        <v>0</v>
      </c>
      <c r="AX304" s="59">
        <f t="shared" si="323"/>
        <v>0</v>
      </c>
      <c r="AY304" s="42">
        <f>'[1]побудинковий звіт'!AY304+'[2]побудинковий звіт'!AY304-'[3]побудинковий звіт'!AY304</f>
        <v>0</v>
      </c>
      <c r="AZ304" s="42">
        <f>'[1]побудинковий звіт'!AZ304+'[2]побудинковий звіт'!AZ304-'[3]побудинковий звіт'!AZ304</f>
        <v>0</v>
      </c>
      <c r="BA304" s="37">
        <f t="shared" si="324"/>
        <v>0</v>
      </c>
      <c r="BB304" s="42">
        <f>'[1]побудинковий звіт'!BB304+'[2]побудинковий звіт'!BB304-'[3]побудинковий звіт'!BB304</f>
        <v>0</v>
      </c>
      <c r="BC304" s="42">
        <f>'[1]побудинковий звіт'!BC304+'[2]побудинковий звіт'!BC304-'[3]побудинковий звіт'!BC304</f>
        <v>0</v>
      </c>
      <c r="BD304" s="59">
        <f t="shared" si="325"/>
        <v>0</v>
      </c>
      <c r="BE304" s="42">
        <f>'[1]побудинковий звіт'!BE304+'[2]побудинковий звіт'!BE304-'[3]побудинковий звіт'!BE304</f>
        <v>0</v>
      </c>
      <c r="BF304" s="42">
        <f>'[1]побудинковий звіт'!BF304+'[2]побудинковий звіт'!BF304-'[3]побудинковий звіт'!BF304</f>
        <v>0</v>
      </c>
      <c r="BG304" s="39">
        <f t="shared" si="326"/>
        <v>0</v>
      </c>
      <c r="BH304" s="42">
        <f>'[1]побудинковий звіт'!BH304+'[2]побудинковий звіт'!BH304-'[3]побудинковий звіт'!BH304</f>
        <v>0</v>
      </c>
      <c r="BI304" s="42">
        <f>'[1]побудинковий звіт'!BI304+'[2]побудинковий звіт'!BI304-'[3]побудинковий звіт'!BI304</f>
        <v>0</v>
      </c>
      <c r="BJ304" s="59">
        <f t="shared" si="327"/>
        <v>0</v>
      </c>
      <c r="BK304" s="42">
        <f>'[1]побудинковий звіт'!BK304+'[2]побудинковий звіт'!BK304-'[3]побудинковий звіт'!BK304</f>
        <v>0</v>
      </c>
      <c r="BL304" s="42">
        <f>'[1]побудинковий звіт'!BL304+'[2]побудинковий звіт'!BL304-'[3]побудинковий звіт'!BL304</f>
        <v>0</v>
      </c>
      <c r="BM304" s="39">
        <f t="shared" si="328"/>
        <v>0</v>
      </c>
      <c r="BN304" s="42">
        <f>'[1]побудинковий звіт'!BN304+'[2]побудинковий звіт'!BN304-'[3]побудинковий звіт'!BN304</f>
        <v>0</v>
      </c>
      <c r="BO304" s="42">
        <f>'[1]побудинковий звіт'!BO304+'[2]побудинковий звіт'!BO304-'[3]побудинковий звіт'!BO304</f>
        <v>0</v>
      </c>
      <c r="BP304" s="59">
        <f t="shared" si="329"/>
        <v>0</v>
      </c>
      <c r="BQ304" s="87">
        <f t="shared" si="282"/>
        <v>0</v>
      </c>
      <c r="BR304" s="43">
        <f t="shared" si="331"/>
        <v>0</v>
      </c>
      <c r="BS304" s="59">
        <f t="shared" si="330"/>
        <v>0</v>
      </c>
      <c r="BT304" s="42">
        <f>'[1]побудинковий звіт'!BT304+'[2]побудинковий звіт'!BT304-'[3]побудинковий звіт'!BT304</f>
        <v>191.41608603358003</v>
      </c>
      <c r="BU304" s="42">
        <f>'[1]побудинковий звіт'!BU304+'[2]побудинковий звіт'!BU304-'[3]побудинковий звіт'!BU304</f>
        <v>285.92538805739144</v>
      </c>
      <c r="BV304" s="56">
        <f t="shared" si="308"/>
        <v>94.509302023811415</v>
      </c>
      <c r="BW304" s="42">
        <f>'[1]побудинковий звіт'!BW304+'[2]побудинковий звіт'!BW304-'[3]побудинковий звіт'!BW304</f>
        <v>0</v>
      </c>
      <c r="BX304" s="42">
        <f>'[1]побудинковий звіт'!BX304+'[2]побудинковий звіт'!BX304-'[3]побудинковий звіт'!BX304</f>
        <v>6.4781252236647404</v>
      </c>
      <c r="BY304" s="56">
        <f t="shared" si="309"/>
        <v>6.4781252236647404</v>
      </c>
      <c r="BZ304" s="42">
        <f>'[1]побудинковий звіт'!BZ304+'[2]побудинковий звіт'!BZ304-'[3]побудинковий звіт'!BZ304</f>
        <v>0</v>
      </c>
      <c r="CA304" s="42">
        <f>'[1]побудинковий звіт'!CA304+'[2]побудинковий звіт'!CA304-'[3]побудинковий звіт'!CA304</f>
        <v>68.92077825937352</v>
      </c>
      <c r="CB304" s="56">
        <f t="shared" si="310"/>
        <v>68.92077825937352</v>
      </c>
      <c r="CC304" s="42">
        <f>'[1]побудинковий звіт'!CC304+'[2]побудинковий звіт'!CC304-'[3]побудинковий звіт'!CC304</f>
        <v>0</v>
      </c>
      <c r="CD304" s="42">
        <f>'[1]побудинковий звіт'!CD304+'[2]побудинковий звіт'!CD304-'[3]побудинковий звіт'!CD304</f>
        <v>0</v>
      </c>
      <c r="CE304" s="56">
        <f t="shared" si="311"/>
        <v>0</v>
      </c>
      <c r="CF304" s="42">
        <f>'[1]побудинковий звіт'!CF304+'[2]побудинковий звіт'!CF304-'[3]побудинковий звіт'!CF304</f>
        <v>0</v>
      </c>
      <c r="CG304" s="42">
        <f>'[1]побудинковий звіт'!CG304+'[2]побудинковий звіт'!CG304-'[3]побудинковий звіт'!CG304</f>
        <v>0</v>
      </c>
      <c r="CH304" s="56">
        <f t="shared" si="312"/>
        <v>0</v>
      </c>
      <c r="CI304" s="42">
        <f>'[1]побудинковий звіт'!CI304+'[2]побудинковий звіт'!CI304-'[3]побудинковий звіт'!CI304</f>
        <v>0</v>
      </c>
      <c r="CJ304" s="42">
        <f>'[1]побудинковий звіт'!CJ304+'[2]побудинковий звіт'!CJ304-'[3]побудинковий звіт'!CJ304</f>
        <v>0</v>
      </c>
      <c r="CK304" s="56">
        <f t="shared" si="313"/>
        <v>0</v>
      </c>
      <c r="CL304" s="42">
        <f>'[1]побудинковий звіт'!CL304+'[2]побудинковий звіт'!CL304-'[3]побудинковий звіт'!CL304</f>
        <v>0</v>
      </c>
      <c r="CM304" s="42">
        <f>'[1]побудинковий звіт'!CM304+'[2]побудинковий звіт'!CM304-'[3]побудинковий звіт'!CM304</f>
        <v>0</v>
      </c>
      <c r="CN304" s="56">
        <f t="shared" si="314"/>
        <v>0</v>
      </c>
      <c r="CO304" s="42">
        <f t="shared" si="294"/>
        <v>0</v>
      </c>
      <c r="CP304" s="43">
        <f t="shared" si="315"/>
        <v>0</v>
      </c>
      <c r="CQ304" s="56">
        <f t="shared" si="316"/>
        <v>0</v>
      </c>
      <c r="CR304" s="78">
        <f t="shared" si="295"/>
        <v>3000.5190368641329</v>
      </c>
      <c r="CS304" s="5">
        <f t="shared" si="295"/>
        <v>1542.1391438029102</v>
      </c>
      <c r="CT304" s="56">
        <f t="shared" si="317"/>
        <v>-1458.3798930612227</v>
      </c>
      <c r="CU304" s="87">
        <f t="shared" si="318"/>
        <v>3600.6228442369593</v>
      </c>
      <c r="CV304" s="70">
        <f t="shared" si="319"/>
        <v>1850.5669725634921</v>
      </c>
      <c r="CW304" s="37">
        <f t="shared" si="320"/>
        <v>-1750.0558716734672</v>
      </c>
      <c r="CX304" s="42">
        <f>'[1]побудинковий звіт'!CX304+'[2]побудинковий звіт'!CX304-'[3]побудинковий звіт'!CX304</f>
        <v>90.097155763040291</v>
      </c>
      <c r="CY304" s="42">
        <f>'[1]побудинковий звіт'!CY304+'[2]побудинковий звіт'!CY304-'[3]побудинковий звіт'!CY304</f>
        <v>1840.1530274365075</v>
      </c>
      <c r="CZ304" s="56">
        <f t="shared" si="321"/>
        <v>1750.0558716734672</v>
      </c>
      <c r="DA304" s="264">
        <f>'[4]побудинковий звіт'!DA304</f>
        <v>-4992.1998373138413</v>
      </c>
      <c r="DB304" s="2">
        <v>3</v>
      </c>
      <c r="DC304" s="717">
        <f>'[4]побудинковий звіт'!DC304</f>
        <v>307.56</v>
      </c>
      <c r="DD304" s="717">
        <f>'[4]побудинковий звіт'!DD304</f>
        <v>0</v>
      </c>
      <c r="DE304" s="717">
        <f>'[4]побудинковий звіт'!DE304</f>
        <v>0</v>
      </c>
      <c r="DF304" s="717">
        <f>'[4]побудинковий звіт'!DF304</f>
        <v>0</v>
      </c>
      <c r="DG304" s="787">
        <v>-4204.3344799862643</v>
      </c>
      <c r="DH304" s="761">
        <f t="shared" si="290"/>
        <v>44288.639999999992</v>
      </c>
      <c r="DI304" s="784"/>
      <c r="DJ304" s="5"/>
      <c r="DK304" s="317">
        <f>VLOOKUP($A304,ціни!$A$4:$G$401,5)</f>
        <v>1.5293545563330364</v>
      </c>
      <c r="DL304" s="317"/>
      <c r="DM304" s="317">
        <f>VLOOKUP($A304,ціни!$A$4:$G$401,7)</f>
        <v>1.5293545563330364</v>
      </c>
      <c r="DN304" s="30">
        <f t="shared" si="332"/>
        <v>5700.2103023644931</v>
      </c>
      <c r="DO304" s="30">
        <f t="shared" si="334"/>
        <v>0</v>
      </c>
      <c r="DP304" s="316">
        <f t="shared" si="335"/>
        <v>5700.2103023644931</v>
      </c>
      <c r="DQ304" s="104"/>
      <c r="DR304" s="30">
        <f>VLOOKUP(A304,'ДЗ нас '!$A$1:$C$359,2)</f>
        <v>307.56</v>
      </c>
      <c r="DS304" s="748"/>
      <c r="DT304" s="30">
        <f t="shared" si="336"/>
        <v>307.56</v>
      </c>
      <c r="DU304" s="257">
        <f>VLOOKUP(A304,'новий кошторис с 01.06'!$A$4:$AI$399,35)*1.2</f>
        <v>309.0534607970057</v>
      </c>
      <c r="DV304" s="30">
        <f t="shared" si="337"/>
        <v>-1.4934607970056959</v>
      </c>
      <c r="DW304" s="930">
        <f>'[5]побудинковий звіт'!DW304+'[6]побудинковий звіт'!DW304</f>
        <v>0</v>
      </c>
      <c r="DY304" s="5">
        <f t="shared" si="286"/>
        <v>2916.3550724077113</v>
      </c>
      <c r="DZ304" s="5">
        <f t="shared" si="287"/>
        <v>1032</v>
      </c>
      <c r="EA304" s="752">
        <f t="shared" si="291"/>
        <v>0</v>
      </c>
      <c r="EC304" s="592">
        <f t="shared" si="288"/>
        <v>29163.550724077115</v>
      </c>
      <c r="EE304" s="758">
        <v>-1611</v>
      </c>
      <c r="EF304" s="738">
        <f t="shared" si="289"/>
        <v>-5815.3344799862643</v>
      </c>
      <c r="EH304" s="813">
        <v>-3608.5675937846877</v>
      </c>
    </row>
    <row r="305" spans="1:138" x14ac:dyDescent="0.3">
      <c r="A305" s="328">
        <v>150000706</v>
      </c>
      <c r="B305" s="44" t="s">
        <v>758</v>
      </c>
      <c r="C305" s="45" t="s">
        <v>143</v>
      </c>
      <c r="D305" s="45" t="s">
        <v>143</v>
      </c>
      <c r="E305" s="40">
        <f t="shared" si="292"/>
        <v>2104.64</v>
      </c>
      <c r="F305" s="490">
        <v>2104.64</v>
      </c>
      <c r="G305" s="30"/>
      <c r="H305" s="30">
        <v>0</v>
      </c>
      <c r="I305" s="42">
        <f>'[1]побудинковий звіт'!I305+'[2]побудинковий звіт'!I305-'[3]побудинковий звіт'!I305</f>
        <v>0</v>
      </c>
      <c r="J305" s="42">
        <f>'[1]побудинковий звіт'!J305+'[2]побудинковий звіт'!J305-'[3]побудинковий звіт'!J305</f>
        <v>0</v>
      </c>
      <c r="K305" s="56">
        <f t="shared" si="296"/>
        <v>0</v>
      </c>
      <c r="L305" s="42">
        <f>'[1]побудинковий звіт'!L305+'[2]побудинковий звіт'!L305-'[3]побудинковий звіт'!L305</f>
        <v>0</v>
      </c>
      <c r="M305" s="42">
        <f>'[1]побудинковий звіт'!M305+'[2]побудинковий звіт'!M305-'[3]побудинковий звіт'!M305</f>
        <v>0</v>
      </c>
      <c r="N305" s="56">
        <f t="shared" si="297"/>
        <v>0</v>
      </c>
      <c r="O305" s="42">
        <f>'[1]побудинковий звіт'!O305+'[2]побудинковий звіт'!O305-'[3]побудинковий звіт'!O305</f>
        <v>0</v>
      </c>
      <c r="P305" s="42">
        <f>'[1]побудинковий звіт'!P305+'[2]побудинковий звіт'!P305-'[3]побудинковий звіт'!P305</f>
        <v>0</v>
      </c>
      <c r="Q305" s="56">
        <f t="shared" si="298"/>
        <v>0</v>
      </c>
      <c r="R305" s="42">
        <f>'[1]побудинковий звіт'!R305+'[2]побудинковий звіт'!R305-'[3]побудинковий звіт'!R305</f>
        <v>0</v>
      </c>
      <c r="S305" s="42">
        <f>'[1]побудинковий звіт'!S305+'[2]побудинковий звіт'!S305-'[3]побудинковий звіт'!S305</f>
        <v>0</v>
      </c>
      <c r="T305" s="56">
        <f t="shared" si="299"/>
        <v>0</v>
      </c>
      <c r="U305" s="42">
        <f>'[1]побудинковий звіт'!U305+'[2]побудинковий звіт'!U305-'[3]побудинковий звіт'!U305</f>
        <v>0</v>
      </c>
      <c r="V305" s="42">
        <f>'[1]побудинковий звіт'!V305+'[2]побудинковий звіт'!V305-'[3]побудинковий звіт'!V305</f>
        <v>0</v>
      </c>
      <c r="W305" s="56">
        <f t="shared" si="300"/>
        <v>0</v>
      </c>
      <c r="X305" s="42">
        <f>'[1]побудинковий звіт'!X305+'[2]побудинковий звіт'!X305-'[3]побудинковий звіт'!X305</f>
        <v>0</v>
      </c>
      <c r="Y305" s="42">
        <f>'[1]побудинковий звіт'!Y305+'[2]побудинковий звіт'!Y305-'[3]побудинковий звіт'!Y305</f>
        <v>0</v>
      </c>
      <c r="Z305" s="56">
        <f t="shared" si="301"/>
        <v>0</v>
      </c>
      <c r="AA305" s="42">
        <f>'[1]побудинковий звіт'!AA305+'[2]побудинковий звіт'!AA305-'[3]побудинковий звіт'!AA305</f>
        <v>0</v>
      </c>
      <c r="AB305" s="42">
        <f>'[1]побудинковий звіт'!AB305+'[2]побудинковий звіт'!AB305-'[3]побудинковий звіт'!AB305</f>
        <v>0</v>
      </c>
      <c r="AC305" s="56">
        <f t="shared" si="302"/>
        <v>0</v>
      </c>
      <c r="AD305" s="42">
        <f>'[1]побудинковий звіт'!AD305+'[2]побудинковий звіт'!AD305-'[3]побудинковий звіт'!AD305</f>
        <v>0</v>
      </c>
      <c r="AE305" s="42">
        <f>'[1]побудинковий звіт'!AE305+'[2]побудинковий звіт'!AE305-'[3]побудинковий звіт'!AE305</f>
        <v>162.08015831561812</v>
      </c>
      <c r="AF305" s="37">
        <f t="shared" si="303"/>
        <v>162.08015831561812</v>
      </c>
      <c r="AG305" s="87">
        <f t="shared" si="293"/>
        <v>0</v>
      </c>
      <c r="AH305" s="57">
        <f t="shared" si="293"/>
        <v>162.08015831561812</v>
      </c>
      <c r="AI305" s="56">
        <f t="shared" si="304"/>
        <v>162.08015831561812</v>
      </c>
      <c r="AJ305" s="42">
        <f>'[1]побудинковий звіт'!AJ305+'[2]побудинковий звіт'!AJ305-'[3]побудинковий звіт'!AJ305</f>
        <v>0</v>
      </c>
      <c r="AK305" s="42">
        <f>'[1]побудинковий звіт'!AK305+'[2]побудинковий звіт'!AK305-'[3]побудинковий звіт'!AK305</f>
        <v>0</v>
      </c>
      <c r="AL305" s="56">
        <f t="shared" si="305"/>
        <v>0</v>
      </c>
      <c r="AM305" s="42">
        <f>'[1]побудинковий звіт'!AM305+'[2]побудинковий звіт'!AM305-'[3]побудинковий звіт'!AM305</f>
        <v>0</v>
      </c>
      <c r="AN305" s="42">
        <f>'[1]побудинковий звіт'!AN305+'[2]побудинковий звіт'!AN305-'[3]побудинковий звіт'!AN305</f>
        <v>0</v>
      </c>
      <c r="AO305" s="56">
        <f t="shared" si="306"/>
        <v>0</v>
      </c>
      <c r="AP305" s="42">
        <f>'[1]побудинковий звіт'!AP305+'[2]побудинковий звіт'!AP305-'[3]побудинковий звіт'!AP305</f>
        <v>568.21058573618984</v>
      </c>
      <c r="AQ305" s="42">
        <f>'[1]побудинковий звіт'!AQ305+'[2]побудинковий звіт'!AQ305-'[3]побудинковий звіт'!AQ305</f>
        <v>280.28737885440523</v>
      </c>
      <c r="AR305" s="56">
        <f t="shared" si="307"/>
        <v>-287.92320688178461</v>
      </c>
      <c r="AS305" s="42">
        <f>'[1]побудинковий звіт'!AS305+'[2]побудинковий звіт'!AS305-'[3]побудинковий звіт'!AS305</f>
        <v>2957.2018922620732</v>
      </c>
      <c r="AT305" s="42">
        <f>'[1]побудинковий звіт'!AT305+'[2]побудинковий звіт'!AT305-'[3]побудинковий звіт'!AT305</f>
        <v>537</v>
      </c>
      <c r="AU305" s="58">
        <f t="shared" si="322"/>
        <v>-2420.2018922620732</v>
      </c>
      <c r="AV305" s="42">
        <f>'[1]побудинковий звіт'!AV305+'[2]побудинковий звіт'!AV305-'[3]побудинковий звіт'!AV305</f>
        <v>0</v>
      </c>
      <c r="AW305" s="42">
        <f>'[1]побудинковий звіт'!AW305+'[2]побудинковий звіт'!AW305-'[3]побудинковий звіт'!AW305</f>
        <v>0</v>
      </c>
      <c r="AX305" s="59">
        <f t="shared" si="323"/>
        <v>0</v>
      </c>
      <c r="AY305" s="42">
        <f>'[1]побудинковий звіт'!AY305+'[2]побудинковий звіт'!AY305-'[3]побудинковий звіт'!AY305</f>
        <v>0</v>
      </c>
      <c r="AZ305" s="42">
        <f>'[1]побудинковий звіт'!AZ305+'[2]побудинковий звіт'!AZ305-'[3]побудинковий звіт'!AZ305</f>
        <v>0</v>
      </c>
      <c r="BA305" s="37">
        <f t="shared" si="324"/>
        <v>0</v>
      </c>
      <c r="BB305" s="42">
        <f>'[1]побудинковий звіт'!BB305+'[2]побудинковий звіт'!BB305-'[3]побудинковий звіт'!BB305</f>
        <v>0</v>
      </c>
      <c r="BC305" s="42">
        <f>'[1]побудинковий звіт'!BC305+'[2]побудинковий звіт'!BC305-'[3]побудинковий звіт'!BC305</f>
        <v>0</v>
      </c>
      <c r="BD305" s="59">
        <f t="shared" si="325"/>
        <v>0</v>
      </c>
      <c r="BE305" s="42">
        <f>'[1]побудинковий звіт'!BE305+'[2]побудинковий звіт'!BE305-'[3]побудинковий звіт'!BE305</f>
        <v>0</v>
      </c>
      <c r="BF305" s="42">
        <f>'[1]побудинковий звіт'!BF305+'[2]побудинковий звіт'!BF305-'[3]побудинковий звіт'!BF305</f>
        <v>0</v>
      </c>
      <c r="BG305" s="39">
        <f t="shared" si="326"/>
        <v>0</v>
      </c>
      <c r="BH305" s="42">
        <f>'[1]побудинковий звіт'!BH305+'[2]побудинковий звіт'!BH305-'[3]побудинковий звіт'!BH305</f>
        <v>0</v>
      </c>
      <c r="BI305" s="42">
        <f>'[1]побудинковий звіт'!BI305+'[2]побудинковий звіт'!BI305-'[3]побудинковий звіт'!BI305</f>
        <v>0</v>
      </c>
      <c r="BJ305" s="59">
        <f t="shared" si="327"/>
        <v>0</v>
      </c>
      <c r="BK305" s="42">
        <f>'[1]побудинковий звіт'!BK305+'[2]побудинковий звіт'!BK305-'[3]побудинковий звіт'!BK305</f>
        <v>0</v>
      </c>
      <c r="BL305" s="42">
        <f>'[1]побудинковий звіт'!BL305+'[2]побудинковий звіт'!BL305-'[3]побудинковий звіт'!BL305</f>
        <v>0</v>
      </c>
      <c r="BM305" s="39">
        <f t="shared" si="328"/>
        <v>0</v>
      </c>
      <c r="BN305" s="42">
        <f>'[1]побудинковий звіт'!BN305+'[2]побудинковий звіт'!BN305-'[3]побудинковий звіт'!BN305</f>
        <v>0</v>
      </c>
      <c r="BO305" s="42">
        <f>'[1]побудинковий звіт'!BO305+'[2]побудинковий звіт'!BO305-'[3]побудинковий звіт'!BO305</f>
        <v>0</v>
      </c>
      <c r="BP305" s="59">
        <f t="shared" si="329"/>
        <v>0</v>
      </c>
      <c r="BQ305" s="87">
        <f t="shared" si="282"/>
        <v>0</v>
      </c>
      <c r="BR305" s="43">
        <f t="shared" si="331"/>
        <v>0</v>
      </c>
      <c r="BS305" s="59">
        <f t="shared" si="330"/>
        <v>0</v>
      </c>
      <c r="BT305" s="42">
        <f>'[1]побудинковий звіт'!BT305+'[2]побудинковий звіт'!BT305-'[3]побудинковий звіт'!BT305</f>
        <v>119.63505377098757</v>
      </c>
      <c r="BU305" s="42">
        <f>'[1]побудинковий звіт'!BU305+'[2]побудинковий звіт'!BU305-'[3]побудинковий звіт'!BU305</f>
        <v>314.54045841459288</v>
      </c>
      <c r="BV305" s="56">
        <f t="shared" si="308"/>
        <v>194.90540464360532</v>
      </c>
      <c r="BW305" s="42">
        <f>'[1]побудинковий звіт'!BW305+'[2]побудинковий звіт'!BW305-'[3]побудинковий звіт'!BW305</f>
        <v>0</v>
      </c>
      <c r="BX305" s="42">
        <f>'[1]побудинковий звіт'!BX305+'[2]побудинковий звіт'!BX305-'[3]побудинковий звіт'!BX305</f>
        <v>7.8381771726608873</v>
      </c>
      <c r="BY305" s="56">
        <f t="shared" si="309"/>
        <v>7.8381771726608873</v>
      </c>
      <c r="BZ305" s="42">
        <f>'[1]побудинковий звіт'!BZ305+'[2]побудинковий звіт'!BZ305-'[3]побудинковий звіт'!BZ305</f>
        <v>0</v>
      </c>
      <c r="CA305" s="42">
        <f>'[1]побудинковий звіт'!CA305+'[2]побудинковий звіт'!CA305-'[3]побудинковий звіт'!CA305</f>
        <v>75.818287194708745</v>
      </c>
      <c r="CB305" s="56">
        <f t="shared" si="310"/>
        <v>75.818287194708745</v>
      </c>
      <c r="CC305" s="42">
        <f>'[1]побудинковий звіт'!CC305+'[2]побудинковий звіт'!CC305-'[3]побудинковий звіт'!CC305</f>
        <v>0</v>
      </c>
      <c r="CD305" s="42">
        <f>'[1]побудинковий звіт'!CD305+'[2]побудинковий звіт'!CD305-'[3]побудинковий звіт'!CD305</f>
        <v>0</v>
      </c>
      <c r="CE305" s="56">
        <f t="shared" si="311"/>
        <v>0</v>
      </c>
      <c r="CF305" s="42">
        <f>'[1]побудинковий звіт'!CF305+'[2]побудинковий звіт'!CF305-'[3]побудинковий звіт'!CF305</f>
        <v>0</v>
      </c>
      <c r="CG305" s="42">
        <f>'[1]побудинковий звіт'!CG305+'[2]побудинковий звіт'!CG305-'[3]побудинковий звіт'!CG305</f>
        <v>0</v>
      </c>
      <c r="CH305" s="56">
        <f t="shared" si="312"/>
        <v>0</v>
      </c>
      <c r="CI305" s="42">
        <f>'[1]побудинковий звіт'!CI305+'[2]побудинковий звіт'!CI305-'[3]побудинковий звіт'!CI305</f>
        <v>0</v>
      </c>
      <c r="CJ305" s="42">
        <f>'[1]побудинковий звіт'!CJ305+'[2]побудинковий звіт'!CJ305-'[3]побудинковий звіт'!CJ305</f>
        <v>0</v>
      </c>
      <c r="CK305" s="56">
        <f t="shared" si="313"/>
        <v>0</v>
      </c>
      <c r="CL305" s="42">
        <f>'[1]побудинковий звіт'!CL305+'[2]побудинковий звіт'!CL305-'[3]побудинковий звіт'!CL305</f>
        <v>0</v>
      </c>
      <c r="CM305" s="42">
        <f>'[1]побудинковий звіт'!CM305+'[2]побудинковий звіт'!CM305-'[3]побудинковий звіт'!CM305</f>
        <v>0</v>
      </c>
      <c r="CN305" s="56">
        <f t="shared" si="314"/>
        <v>0</v>
      </c>
      <c r="CO305" s="42">
        <f t="shared" si="294"/>
        <v>0</v>
      </c>
      <c r="CP305" s="43">
        <f t="shared" si="315"/>
        <v>0</v>
      </c>
      <c r="CQ305" s="56">
        <f t="shared" si="316"/>
        <v>0</v>
      </c>
      <c r="CR305" s="78">
        <f t="shared" si="295"/>
        <v>3645.0475317692508</v>
      </c>
      <c r="CS305" s="5">
        <f t="shared" si="295"/>
        <v>1377.5644599519858</v>
      </c>
      <c r="CT305" s="56">
        <f t="shared" si="317"/>
        <v>-2267.4830718172652</v>
      </c>
      <c r="CU305" s="87">
        <f t="shared" si="318"/>
        <v>4374.0570381231009</v>
      </c>
      <c r="CV305" s="70">
        <f t="shared" si="319"/>
        <v>1653.0773519423828</v>
      </c>
      <c r="CW305" s="37">
        <f t="shared" si="320"/>
        <v>-2720.9796861807181</v>
      </c>
      <c r="CX305" s="42">
        <f>'[1]побудинковий звіт'!CX305+'[2]побудинковий звіт'!CX305-'[3]побудинковий звіт'!CX305</f>
        <v>109.3829618768998</v>
      </c>
      <c r="CY305" s="42">
        <f>'[1]побудинковий звіт'!CY305+'[2]побудинковий звіт'!CY305-'[3]побудинковий звіт'!CY305</f>
        <v>2830.3626480576172</v>
      </c>
      <c r="CZ305" s="56">
        <f t="shared" si="321"/>
        <v>2720.9796861807172</v>
      </c>
      <c r="DA305" s="264">
        <f>'[4]побудинковий звіт'!DA305</f>
        <v>-8312.0700811298921</v>
      </c>
      <c r="DB305" s="2">
        <v>3</v>
      </c>
      <c r="DC305" s="717">
        <f>'[4]побудинковий звіт'!DC305</f>
        <v>896.79</v>
      </c>
      <c r="DD305" s="717">
        <f>'[4]побудинковий звіт'!DD305</f>
        <v>0</v>
      </c>
      <c r="DE305" s="717">
        <f>'[4]побудинковий звіт'!DE305</f>
        <v>523.16999999999996</v>
      </c>
      <c r="DF305" s="717">
        <f>'[4]побудинковий звіт'!DF305</f>
        <v>0</v>
      </c>
      <c r="DG305" s="787">
        <v>-4437.2755959188898</v>
      </c>
      <c r="DH305" s="761">
        <f t="shared" si="290"/>
        <v>53801.280000000006</v>
      </c>
      <c r="DI305" s="784"/>
      <c r="DJ305" s="5"/>
      <c r="DK305" s="317">
        <f>VLOOKUP($A305,ціни!$A$4:$G$401,5)</f>
        <v>1.5354979944367424</v>
      </c>
      <c r="DL305" s="317"/>
      <c r="DM305" s="317">
        <f>VLOOKUP($A305,ціни!$A$4:$G$401,7)</f>
        <v>1.5354979944367424</v>
      </c>
      <c r="DN305" s="30">
        <f t="shared" si="332"/>
        <v>3231.6704990113453</v>
      </c>
      <c r="DO305" s="30">
        <f t="shared" si="334"/>
        <v>0</v>
      </c>
      <c r="DP305" s="316">
        <f t="shared" si="335"/>
        <v>3231.6704990113453</v>
      </c>
      <c r="DQ305" s="104"/>
      <c r="DR305" s="30">
        <f>VLOOKUP(A305,'ДЗ нас '!$A$1:$C$359,2)</f>
        <v>373.62</v>
      </c>
      <c r="DS305" s="748"/>
      <c r="DT305" s="30">
        <f t="shared" si="336"/>
        <v>373.62</v>
      </c>
      <c r="DU305" s="257">
        <f>VLOOKUP(A305,'новий кошторис с 01.06'!$A$4:$AI$399,35)*1.2</f>
        <v>375.43989577223277</v>
      </c>
      <c r="DV305" s="30">
        <f t="shared" si="337"/>
        <v>-1.8198957722327691</v>
      </c>
      <c r="DW305" s="930">
        <f>'[5]побудинковий звіт'!DW305+'[6]побудинковий звіт'!DW305</f>
        <v>0</v>
      </c>
      <c r="DY305" s="5">
        <f t="shared" si="286"/>
        <v>3548.6422707144879</v>
      </c>
      <c r="DZ305" s="5">
        <f t="shared" si="287"/>
        <v>644.4</v>
      </c>
      <c r="EA305" s="752">
        <f t="shared" si="291"/>
        <v>523.16999999999996</v>
      </c>
      <c r="EC305" s="592">
        <f t="shared" si="288"/>
        <v>35486.422707144877</v>
      </c>
      <c r="EE305" s="758">
        <v>3631</v>
      </c>
      <c r="EF305" s="738">
        <f t="shared" si="289"/>
        <v>-806.27559591888985</v>
      </c>
      <c r="EH305" s="813">
        <v>-6045.2662182104214</v>
      </c>
    </row>
    <row r="306" spans="1:138" x14ac:dyDescent="0.3">
      <c r="A306" s="328">
        <v>150000707</v>
      </c>
      <c r="B306" s="44" t="s">
        <v>759</v>
      </c>
      <c r="C306" s="45" t="s">
        <v>144</v>
      </c>
      <c r="D306" s="45" t="s">
        <v>144</v>
      </c>
      <c r="E306" s="40">
        <f t="shared" si="292"/>
        <v>2552.36</v>
      </c>
      <c r="F306" s="490">
        <v>2552.36</v>
      </c>
      <c r="G306" s="30"/>
      <c r="H306" s="30">
        <v>0</v>
      </c>
      <c r="I306" s="42">
        <f>'[1]побудинковий звіт'!I306+'[2]побудинковий звіт'!I306-'[3]побудинковий звіт'!I306</f>
        <v>0</v>
      </c>
      <c r="J306" s="42">
        <f>'[1]побудинковий звіт'!J306+'[2]побудинковий звіт'!J306-'[3]побудинковий звіт'!J306</f>
        <v>0</v>
      </c>
      <c r="K306" s="56">
        <f t="shared" si="296"/>
        <v>0</v>
      </c>
      <c r="L306" s="42">
        <f>'[1]побудинковий звіт'!L306+'[2]побудинковий звіт'!L306-'[3]побудинковий звіт'!L306</f>
        <v>0</v>
      </c>
      <c r="M306" s="42">
        <f>'[1]побудинковий звіт'!M306+'[2]побудинковий звіт'!M306-'[3]побудинковий звіт'!M306</f>
        <v>0</v>
      </c>
      <c r="N306" s="56">
        <f t="shared" si="297"/>
        <v>0</v>
      </c>
      <c r="O306" s="42">
        <f>'[1]побудинковий звіт'!O306+'[2]побудинковий звіт'!O306-'[3]побудинковий звіт'!O306</f>
        <v>0</v>
      </c>
      <c r="P306" s="42">
        <f>'[1]побудинковий звіт'!P306+'[2]побудинковий звіт'!P306-'[3]побудинковий звіт'!P306</f>
        <v>0</v>
      </c>
      <c r="Q306" s="56">
        <f t="shared" si="298"/>
        <v>0</v>
      </c>
      <c r="R306" s="42">
        <f>'[1]побудинковий звіт'!R306+'[2]побудинковий звіт'!R306-'[3]побудинковий звіт'!R306</f>
        <v>0</v>
      </c>
      <c r="S306" s="42">
        <f>'[1]побудинковий звіт'!S306+'[2]побудинковий звіт'!S306-'[3]побудинковий звіт'!S306</f>
        <v>0</v>
      </c>
      <c r="T306" s="56">
        <f t="shared" si="299"/>
        <v>0</v>
      </c>
      <c r="U306" s="42">
        <f>'[1]побудинковий звіт'!U306+'[2]побудинковий звіт'!U306-'[3]побудинковий звіт'!U306</f>
        <v>0</v>
      </c>
      <c r="V306" s="42">
        <f>'[1]побудинковий звіт'!V306+'[2]побудинковий звіт'!V306-'[3]побудинковий звіт'!V306</f>
        <v>0</v>
      </c>
      <c r="W306" s="56">
        <f t="shared" si="300"/>
        <v>0</v>
      </c>
      <c r="X306" s="42">
        <f>'[1]побудинковий звіт'!X306+'[2]побудинковий звіт'!X306-'[3]побудинковий звіт'!X306</f>
        <v>0</v>
      </c>
      <c r="Y306" s="42">
        <f>'[1]побудинковий звіт'!Y306+'[2]побудинковий звіт'!Y306-'[3]побудинковий звіт'!Y306</f>
        <v>0</v>
      </c>
      <c r="Z306" s="56">
        <f t="shared" si="301"/>
        <v>0</v>
      </c>
      <c r="AA306" s="42">
        <f>'[1]побудинковий звіт'!AA306+'[2]побудинковий звіт'!AA306-'[3]побудинковий звіт'!AA306</f>
        <v>0</v>
      </c>
      <c r="AB306" s="42">
        <f>'[1]побудинковий звіт'!AB306+'[2]побудинковий звіт'!AB306-'[3]побудинковий звіт'!AB306</f>
        <v>0</v>
      </c>
      <c r="AC306" s="56">
        <f t="shared" si="302"/>
        <v>0</v>
      </c>
      <c r="AD306" s="42">
        <f>'[1]побудинковий звіт'!AD306+'[2]побудинковий звіт'!AD306-'[3]побудинковий звіт'!AD306</f>
        <v>0</v>
      </c>
      <c r="AE306" s="42">
        <f>'[1]побудинковий звіт'!AE306+'[2]побудинковий звіт'!AE306-'[3]побудинковий звіт'!AE306</f>
        <v>217.22151745324294</v>
      </c>
      <c r="AF306" s="37">
        <f t="shared" si="303"/>
        <v>217.22151745324294</v>
      </c>
      <c r="AG306" s="87">
        <f t="shared" si="293"/>
        <v>0</v>
      </c>
      <c r="AH306" s="57">
        <f t="shared" si="293"/>
        <v>217.22151745324294</v>
      </c>
      <c r="AI306" s="56">
        <f t="shared" si="304"/>
        <v>217.22151745324294</v>
      </c>
      <c r="AJ306" s="42">
        <f>'[1]побудинковий звіт'!AJ306+'[2]побудинковий звіт'!AJ306-'[3]побудинковий звіт'!AJ306</f>
        <v>0</v>
      </c>
      <c r="AK306" s="42">
        <f>'[1]побудинковий звіт'!AK306+'[2]побудинковий звіт'!AK306-'[3]побудинковий звіт'!AK306</f>
        <v>0</v>
      </c>
      <c r="AL306" s="56">
        <f t="shared" si="305"/>
        <v>0</v>
      </c>
      <c r="AM306" s="42">
        <f>'[1]побудинковий звіт'!AM306+'[2]побудинковий звіт'!AM306-'[3]побудинковий звіт'!AM306</f>
        <v>0</v>
      </c>
      <c r="AN306" s="42">
        <f>'[1]побудинковий звіт'!AN306+'[2]побудинковий звіт'!AN306-'[3]побудинковий звіт'!AN306</f>
        <v>0</v>
      </c>
      <c r="AO306" s="56">
        <f t="shared" si="306"/>
        <v>0</v>
      </c>
      <c r="AP306" s="42">
        <f>'[1]побудинковий звіт'!AP306+'[2]побудинковий звіт'!AP306-'[3]побудинковий звіт'!AP306</f>
        <v>473.50882144682492</v>
      </c>
      <c r="AQ306" s="42">
        <f>'[1]побудинковий звіт'!AQ306+'[2]побудинковий звіт'!AQ306-'[3]побудинковий звіт'!AQ306</f>
        <v>140.14368942720262</v>
      </c>
      <c r="AR306" s="56">
        <f t="shared" si="307"/>
        <v>-333.36513201962231</v>
      </c>
      <c r="AS306" s="42">
        <f>'[1]побудинковий звіт'!AS306+'[2]побудинковий звіт'!AS306-'[3]побудинковий звіт'!AS306</f>
        <v>3848.7759752988832</v>
      </c>
      <c r="AT306" s="42">
        <f>'[1]побудинковий звіт'!AT306+'[2]побудинковий звіт'!AT306-'[3]побудинковий звіт'!AT306</f>
        <v>0</v>
      </c>
      <c r="AU306" s="58">
        <f t="shared" si="322"/>
        <v>-3848.7759752988832</v>
      </c>
      <c r="AV306" s="42">
        <f>'[1]побудинковий звіт'!AV306+'[2]побудинковий звіт'!AV306-'[3]побудинковий звіт'!AV306</f>
        <v>0</v>
      </c>
      <c r="AW306" s="42">
        <f>'[1]побудинковий звіт'!AW306+'[2]побудинковий звіт'!AW306-'[3]побудинковий звіт'!AW306</f>
        <v>0</v>
      </c>
      <c r="AX306" s="59">
        <f t="shared" si="323"/>
        <v>0</v>
      </c>
      <c r="AY306" s="42">
        <f>'[1]побудинковий звіт'!AY306+'[2]побудинковий звіт'!AY306-'[3]побудинковий звіт'!AY306</f>
        <v>0</v>
      </c>
      <c r="AZ306" s="42">
        <f>'[1]побудинковий звіт'!AZ306+'[2]побудинковий звіт'!AZ306-'[3]побудинковий звіт'!AZ306</f>
        <v>0</v>
      </c>
      <c r="BA306" s="37">
        <f t="shared" si="324"/>
        <v>0</v>
      </c>
      <c r="BB306" s="42">
        <f>'[1]побудинковий звіт'!BB306+'[2]побудинковий звіт'!BB306-'[3]побудинковий звіт'!BB306</f>
        <v>0</v>
      </c>
      <c r="BC306" s="42">
        <f>'[1]побудинковий звіт'!BC306+'[2]побудинковий звіт'!BC306-'[3]побудинковий звіт'!BC306</f>
        <v>0</v>
      </c>
      <c r="BD306" s="59">
        <f t="shared" si="325"/>
        <v>0</v>
      </c>
      <c r="BE306" s="42">
        <f>'[1]побудинковий звіт'!BE306+'[2]побудинковий звіт'!BE306-'[3]побудинковий звіт'!BE306</f>
        <v>0</v>
      </c>
      <c r="BF306" s="42">
        <f>'[1]побудинковий звіт'!BF306+'[2]побудинковий звіт'!BF306-'[3]побудинковий звіт'!BF306</f>
        <v>0</v>
      </c>
      <c r="BG306" s="39">
        <f t="shared" si="326"/>
        <v>0</v>
      </c>
      <c r="BH306" s="42">
        <f>'[1]побудинковий звіт'!BH306+'[2]побудинковий звіт'!BH306-'[3]побудинковий звіт'!BH306</f>
        <v>0</v>
      </c>
      <c r="BI306" s="42">
        <f>'[1]побудинковий звіт'!BI306+'[2]побудинковий звіт'!BI306-'[3]побудинковий звіт'!BI306</f>
        <v>0</v>
      </c>
      <c r="BJ306" s="59">
        <f t="shared" si="327"/>
        <v>0</v>
      </c>
      <c r="BK306" s="42">
        <f>'[1]побудинковий звіт'!BK306+'[2]побудинковий звіт'!BK306-'[3]побудинковий звіт'!BK306</f>
        <v>0</v>
      </c>
      <c r="BL306" s="42">
        <f>'[1]побудинковий звіт'!BL306+'[2]побудинковий звіт'!BL306-'[3]побудинковий звіт'!BL306</f>
        <v>0</v>
      </c>
      <c r="BM306" s="39">
        <f t="shared" si="328"/>
        <v>0</v>
      </c>
      <c r="BN306" s="42">
        <f>'[1]побудинковий звіт'!BN306+'[2]побудинковий звіт'!BN306-'[3]побудинковий звіт'!BN306</f>
        <v>0</v>
      </c>
      <c r="BO306" s="42">
        <f>'[1]побудинковий звіт'!BO306+'[2]побудинковий звіт'!BO306-'[3]побудинковий звіт'!BO306</f>
        <v>0</v>
      </c>
      <c r="BP306" s="59">
        <f t="shared" si="329"/>
        <v>0</v>
      </c>
      <c r="BQ306" s="87">
        <f t="shared" si="282"/>
        <v>0</v>
      </c>
      <c r="BR306" s="43">
        <f t="shared" si="331"/>
        <v>0</v>
      </c>
      <c r="BS306" s="59">
        <f t="shared" si="330"/>
        <v>0</v>
      </c>
      <c r="BT306" s="42">
        <f>'[1]побудинковий звіт'!BT306+'[2]побудинковий звіт'!BT306-'[3]побудинковий звіт'!BT306</f>
        <v>526.39423659234524</v>
      </c>
      <c r="BU306" s="42">
        <f>'[1]побудинковий звіт'!BU306+'[2]побудинковий звіт'!BU306-'[3]побудинковий звіт'!BU306</f>
        <v>686.31105754358873</v>
      </c>
      <c r="BV306" s="56">
        <f t="shared" si="308"/>
        <v>159.91682095124349</v>
      </c>
      <c r="BW306" s="42">
        <f>'[1]побудинковий звіт'!BW306+'[2]побудинковий звіт'!BW306-'[3]побудинковий звіт'!BW306</f>
        <v>0</v>
      </c>
      <c r="BX306" s="42">
        <f>'[1]побудинковий звіт'!BX306+'[2]побудинковий звіт'!BX306-'[3]побудинковий звіт'!BX306</f>
        <v>10.504806740114727</v>
      </c>
      <c r="BY306" s="56">
        <f t="shared" si="309"/>
        <v>10.504806740114727</v>
      </c>
      <c r="BZ306" s="42">
        <f>'[1]побудинковий звіт'!BZ306+'[2]побудинковий звіт'!BZ306-'[3]побудинковий звіт'!BZ306</f>
        <v>0</v>
      </c>
      <c r="CA306" s="42">
        <f>'[1]побудинковий звіт'!CA306+'[2]побудинковий звіт'!CA306-'[3]побудинковий звіт'!CA306</f>
        <v>165.43159226008805</v>
      </c>
      <c r="CB306" s="56">
        <f t="shared" si="310"/>
        <v>165.43159226008805</v>
      </c>
      <c r="CC306" s="42">
        <f>'[1]побудинковий звіт'!CC306+'[2]побудинковий звіт'!CC306-'[3]побудинковий звіт'!CC306</f>
        <v>0</v>
      </c>
      <c r="CD306" s="42">
        <f>'[1]побудинковий звіт'!CD306+'[2]побудинковий звіт'!CD306-'[3]побудинковий звіт'!CD306</f>
        <v>0</v>
      </c>
      <c r="CE306" s="56">
        <f t="shared" si="311"/>
        <v>0</v>
      </c>
      <c r="CF306" s="42">
        <f>'[1]побудинковий звіт'!CF306+'[2]побудинковий звіт'!CF306-'[3]побудинковий звіт'!CF306</f>
        <v>0</v>
      </c>
      <c r="CG306" s="42">
        <f>'[1]побудинковий звіт'!CG306+'[2]побудинковий звіт'!CG306-'[3]побудинковий звіт'!CG306</f>
        <v>0</v>
      </c>
      <c r="CH306" s="56">
        <f t="shared" si="312"/>
        <v>0</v>
      </c>
      <c r="CI306" s="42">
        <f>'[1]побудинковий звіт'!CI306+'[2]побудинковий звіт'!CI306-'[3]побудинковий звіт'!CI306</f>
        <v>0</v>
      </c>
      <c r="CJ306" s="42">
        <f>'[1]побудинковий звіт'!CJ306+'[2]побудинковий звіт'!CJ306-'[3]побудинковий звіт'!CJ306</f>
        <v>0</v>
      </c>
      <c r="CK306" s="56">
        <f t="shared" si="313"/>
        <v>0</v>
      </c>
      <c r="CL306" s="42">
        <f>'[1]побудинковий звіт'!CL306+'[2]побудинковий звіт'!CL306-'[3]побудинковий звіт'!CL306</f>
        <v>0</v>
      </c>
      <c r="CM306" s="42">
        <f>'[1]побудинковий звіт'!CM306+'[2]побудинковий звіт'!CM306-'[3]побудинковий звіт'!CM306</f>
        <v>0</v>
      </c>
      <c r="CN306" s="56">
        <f t="shared" si="314"/>
        <v>0</v>
      </c>
      <c r="CO306" s="42">
        <f t="shared" si="294"/>
        <v>0</v>
      </c>
      <c r="CP306" s="43">
        <f t="shared" si="315"/>
        <v>0</v>
      </c>
      <c r="CQ306" s="56">
        <f t="shared" si="316"/>
        <v>0</v>
      </c>
      <c r="CR306" s="78">
        <f t="shared" si="295"/>
        <v>4848.6790333380532</v>
      </c>
      <c r="CS306" s="5">
        <f t="shared" si="295"/>
        <v>1219.6126634242371</v>
      </c>
      <c r="CT306" s="56">
        <f t="shared" si="317"/>
        <v>-3629.0663699138158</v>
      </c>
      <c r="CU306" s="87">
        <f t="shared" si="318"/>
        <v>5818.4148400056638</v>
      </c>
      <c r="CV306" s="70">
        <f t="shared" si="319"/>
        <v>1463.5351961090844</v>
      </c>
      <c r="CW306" s="37">
        <f t="shared" si="320"/>
        <v>-4354.8796438965792</v>
      </c>
      <c r="CX306" s="42">
        <f>'[1]побудинковий звіт'!CX306+'[2]побудинковий звіт'!CX306-'[3]побудинковий звіт'!CX306</f>
        <v>130.22515999433637</v>
      </c>
      <c r="CY306" s="42">
        <f>'[1]побудинковий звіт'!CY306+'[2]побудинковий звіт'!CY306-'[3]побудинковий звіт'!CY306</f>
        <v>4485.1048038909157</v>
      </c>
      <c r="CZ306" s="56">
        <f t="shared" si="321"/>
        <v>4354.8796438965792</v>
      </c>
      <c r="DA306" s="264">
        <f>'[4]побудинковий звіт'!DA306</f>
        <v>-12133.739764388083</v>
      </c>
      <c r="DB306" s="2">
        <v>3</v>
      </c>
      <c r="DC306" s="717">
        <f>'[4]побудинковий звіт'!DC306</f>
        <v>733.5</v>
      </c>
      <c r="DD306" s="717">
        <f>'[4]побудинковий звіт'!DD306</f>
        <v>0</v>
      </c>
      <c r="DE306" s="717">
        <f>'[4]побудинковий звіт'!DE306</f>
        <v>238.2</v>
      </c>
      <c r="DF306" s="717">
        <f>'[4]побудинковий звіт'!DF306</f>
        <v>0</v>
      </c>
      <c r="DG306" s="787">
        <v>-6660.7869535530126</v>
      </c>
      <c r="DH306" s="761">
        <f t="shared" si="290"/>
        <v>71383.680000000008</v>
      </c>
      <c r="DI306" s="784"/>
      <c r="DJ306" s="5"/>
      <c r="DK306" s="317">
        <f>VLOOKUP($A306,ціни!$A$4:$G$401,5)</f>
        <v>1.5240404811933463</v>
      </c>
      <c r="DL306" s="317"/>
      <c r="DM306" s="317">
        <f>VLOOKUP($A306,ціни!$A$4:$G$401,7)</f>
        <v>1.5240404811933463</v>
      </c>
      <c r="DN306" s="30">
        <f t="shared" si="332"/>
        <v>3889.8999625786496</v>
      </c>
      <c r="DO306" s="30">
        <f t="shared" si="334"/>
        <v>0</v>
      </c>
      <c r="DP306" s="316">
        <f t="shared" si="335"/>
        <v>3889.8999625786496</v>
      </c>
      <c r="DQ306" s="104"/>
      <c r="DR306" s="30">
        <f>VLOOKUP(A306,'ДЗ нас '!$A$1:$C$359,2)</f>
        <v>495.3</v>
      </c>
      <c r="DS306" s="748"/>
      <c r="DT306" s="30">
        <f t="shared" si="336"/>
        <v>495.3</v>
      </c>
      <c r="DU306" s="257">
        <f>VLOOKUP(A306,'новий кошторис с 01.06'!$A$4:$AI$399,35)*1.2</f>
        <v>499.41394043381945</v>
      </c>
      <c r="DV306" s="30">
        <f t="shared" si="337"/>
        <v>-4.1139404338194367</v>
      </c>
      <c r="DW306" s="930">
        <f>'[5]побудинковий звіт'!DW306+'[6]побудинковий звіт'!DW306</f>
        <v>0</v>
      </c>
      <c r="DY306" s="5">
        <f t="shared" si="286"/>
        <v>4618.5311703586594</v>
      </c>
      <c r="DZ306" s="5">
        <f t="shared" si="287"/>
        <v>0</v>
      </c>
      <c r="EA306" s="752">
        <f t="shared" si="291"/>
        <v>238.2</v>
      </c>
      <c r="EC306" s="592">
        <f t="shared" si="288"/>
        <v>46185.311703586602</v>
      </c>
      <c r="EE306" s="758">
        <v>-2806</v>
      </c>
      <c r="EF306" s="738">
        <f t="shared" si="289"/>
        <v>-9466.7869535530117</v>
      </c>
      <c r="EH306" s="813">
        <v>-8313.6228676968531</v>
      </c>
    </row>
    <row r="307" spans="1:138" x14ac:dyDescent="0.3">
      <c r="A307" s="328">
        <v>150000708</v>
      </c>
      <c r="B307" s="44" t="s">
        <v>760</v>
      </c>
      <c r="C307" s="45" t="s">
        <v>145</v>
      </c>
      <c r="D307" s="45" t="s">
        <v>145</v>
      </c>
      <c r="E307" s="40">
        <f t="shared" si="292"/>
        <v>2562</v>
      </c>
      <c r="F307" s="490">
        <v>2562</v>
      </c>
      <c r="G307" s="30"/>
      <c r="H307" s="30">
        <v>0</v>
      </c>
      <c r="I307" s="42">
        <f>'[1]побудинковий звіт'!I307+'[2]побудинковий звіт'!I307-'[3]побудинковий звіт'!I307</f>
        <v>0</v>
      </c>
      <c r="J307" s="42">
        <f>'[1]побудинковий звіт'!J307+'[2]побудинковий звіт'!J307-'[3]побудинковий звіт'!J307</f>
        <v>0</v>
      </c>
      <c r="K307" s="56">
        <f t="shared" si="296"/>
        <v>0</v>
      </c>
      <c r="L307" s="42">
        <f>'[1]побудинковий звіт'!L307+'[2]побудинковий звіт'!L307-'[3]побудинковий звіт'!L307</f>
        <v>0</v>
      </c>
      <c r="M307" s="42">
        <f>'[1]побудинковий звіт'!M307+'[2]побудинковий звіт'!M307-'[3]побудинковий звіт'!M307</f>
        <v>0</v>
      </c>
      <c r="N307" s="56">
        <f t="shared" si="297"/>
        <v>0</v>
      </c>
      <c r="O307" s="42">
        <f>'[1]побудинковий звіт'!O307+'[2]побудинковий звіт'!O307-'[3]побудинковий звіт'!O307</f>
        <v>0</v>
      </c>
      <c r="P307" s="42">
        <f>'[1]побудинковий звіт'!P307+'[2]побудинковий звіт'!P307-'[3]побудинковий звіт'!P307</f>
        <v>0</v>
      </c>
      <c r="Q307" s="56">
        <f t="shared" si="298"/>
        <v>0</v>
      </c>
      <c r="R307" s="42">
        <f>'[1]побудинковий звіт'!R307+'[2]побудинковий звіт'!R307-'[3]побудинковий звіт'!R307</f>
        <v>0</v>
      </c>
      <c r="S307" s="42">
        <f>'[1]побудинковий звіт'!S307+'[2]побудинковий звіт'!S307-'[3]побудинковий звіт'!S307</f>
        <v>0</v>
      </c>
      <c r="T307" s="56">
        <f t="shared" si="299"/>
        <v>0</v>
      </c>
      <c r="U307" s="42">
        <f>'[1]побудинковий звіт'!U307+'[2]побудинковий звіт'!U307-'[3]побудинковий звіт'!U307</f>
        <v>0</v>
      </c>
      <c r="V307" s="42">
        <f>'[1]побудинковий звіт'!V307+'[2]побудинковий звіт'!V307-'[3]побудинковий звіт'!V307</f>
        <v>0</v>
      </c>
      <c r="W307" s="56">
        <f t="shared" si="300"/>
        <v>0</v>
      </c>
      <c r="X307" s="42">
        <f>'[1]побудинковий звіт'!X307+'[2]побудинковий звіт'!X307-'[3]побудинковий звіт'!X307</f>
        <v>0</v>
      </c>
      <c r="Y307" s="42">
        <f>'[1]побудинковий звіт'!Y307+'[2]побудинковий звіт'!Y307-'[3]побудинковий звіт'!Y307</f>
        <v>0</v>
      </c>
      <c r="Z307" s="56">
        <f t="shared" si="301"/>
        <v>0</v>
      </c>
      <c r="AA307" s="42">
        <f>'[1]побудинковий звіт'!AA307+'[2]побудинковий звіт'!AA307-'[3]побудинковий звіт'!AA307</f>
        <v>0</v>
      </c>
      <c r="AB307" s="42">
        <f>'[1]побудинковий звіт'!AB307+'[2]побудинковий звіт'!AB307-'[3]побудинковий звіт'!AB307</f>
        <v>0</v>
      </c>
      <c r="AC307" s="56">
        <f t="shared" si="302"/>
        <v>0</v>
      </c>
      <c r="AD307" s="42">
        <f>'[1]побудинковий звіт'!AD307+'[2]побудинковий звіт'!AD307-'[3]побудинковий звіт'!AD307</f>
        <v>0</v>
      </c>
      <c r="AE307" s="42">
        <f>'[1]побудинковий звіт'!AE307+'[2]побудинковий звіт'!AE307-'[3]побудинковий звіт'!AE307</f>
        <v>160.80120917881891</v>
      </c>
      <c r="AF307" s="37">
        <f t="shared" si="303"/>
        <v>160.80120917881891</v>
      </c>
      <c r="AG307" s="87">
        <f t="shared" si="293"/>
        <v>0</v>
      </c>
      <c r="AH307" s="57">
        <f t="shared" si="293"/>
        <v>160.80120917881891</v>
      </c>
      <c r="AI307" s="56">
        <f t="shared" si="304"/>
        <v>160.80120917881891</v>
      </c>
      <c r="AJ307" s="42">
        <f>'[1]побудинковий звіт'!AJ307+'[2]побудинковий звіт'!AJ307-'[3]побудинковий звіт'!AJ307</f>
        <v>0</v>
      </c>
      <c r="AK307" s="42">
        <f>'[1]побудинковий звіт'!AK307+'[2]побудинковий звіт'!AK307-'[3]побудинковий звіт'!AK307</f>
        <v>0</v>
      </c>
      <c r="AL307" s="56">
        <f t="shared" si="305"/>
        <v>0</v>
      </c>
      <c r="AM307" s="42">
        <f>'[1]побудинковий звіт'!AM307+'[2]побудинковий звіт'!AM307-'[3]побудинковий звіт'!AM307</f>
        <v>0</v>
      </c>
      <c r="AN307" s="42">
        <f>'[1]побудинковий звіт'!AN307+'[2]побудинковий звіт'!AN307-'[3]побудинковий звіт'!AN307</f>
        <v>0</v>
      </c>
      <c r="AO307" s="56">
        <f t="shared" si="306"/>
        <v>0</v>
      </c>
      <c r="AP307" s="42">
        <f>'[1]побудинковий звіт'!AP307+'[2]побудинковий звіт'!AP307-'[3]побудинковий звіт'!AP307</f>
        <v>520.85970359150735</v>
      </c>
      <c r="AQ307" s="42">
        <f>'[1]побудинковий звіт'!AQ307+'[2]побудинковий звіт'!AQ307-'[3]побудинковий звіт'!AQ307</f>
        <v>140.14368942720262</v>
      </c>
      <c r="AR307" s="56">
        <f t="shared" si="307"/>
        <v>-380.71601416430474</v>
      </c>
      <c r="AS307" s="42">
        <f>'[1]побудинковий звіт'!AS307+'[2]побудинковий звіт'!AS307-'[3]побудинковий звіт'!AS307</f>
        <v>2932.2265221325019</v>
      </c>
      <c r="AT307" s="42">
        <f>'[1]побудинковий звіт'!AT307+'[2]побудинковий звіт'!AT307-'[3]побудинковий звіт'!AT307</f>
        <v>581</v>
      </c>
      <c r="AU307" s="58">
        <f t="shared" si="322"/>
        <v>-2351.2265221325019</v>
      </c>
      <c r="AV307" s="42">
        <f>'[1]побудинковий звіт'!AV307+'[2]побудинковий звіт'!AV307-'[3]побудинковий звіт'!AV307</f>
        <v>0</v>
      </c>
      <c r="AW307" s="42">
        <f>'[1]побудинковий звіт'!AW307+'[2]побудинковий звіт'!AW307-'[3]побудинковий звіт'!AW307</f>
        <v>0</v>
      </c>
      <c r="AX307" s="59">
        <f t="shared" si="323"/>
        <v>0</v>
      </c>
      <c r="AY307" s="42">
        <f>'[1]побудинковий звіт'!AY307+'[2]побудинковий звіт'!AY307-'[3]побудинковий звіт'!AY307</f>
        <v>0</v>
      </c>
      <c r="AZ307" s="42">
        <f>'[1]побудинковий звіт'!AZ307+'[2]побудинковий звіт'!AZ307-'[3]побудинковий звіт'!AZ307</f>
        <v>0</v>
      </c>
      <c r="BA307" s="37">
        <f t="shared" si="324"/>
        <v>0</v>
      </c>
      <c r="BB307" s="42">
        <f>'[1]побудинковий звіт'!BB307+'[2]побудинковий звіт'!BB307-'[3]побудинковий звіт'!BB307</f>
        <v>0</v>
      </c>
      <c r="BC307" s="42">
        <f>'[1]побудинковий звіт'!BC307+'[2]побудинковий звіт'!BC307-'[3]побудинковий звіт'!BC307</f>
        <v>0</v>
      </c>
      <c r="BD307" s="59">
        <f t="shared" si="325"/>
        <v>0</v>
      </c>
      <c r="BE307" s="42">
        <f>'[1]побудинковий звіт'!BE307+'[2]побудинковий звіт'!BE307-'[3]побудинковий звіт'!BE307</f>
        <v>0</v>
      </c>
      <c r="BF307" s="42">
        <f>'[1]побудинковий звіт'!BF307+'[2]побудинковий звіт'!BF307-'[3]побудинковий звіт'!BF307</f>
        <v>0</v>
      </c>
      <c r="BG307" s="39">
        <f t="shared" si="326"/>
        <v>0</v>
      </c>
      <c r="BH307" s="42">
        <f>'[1]побудинковий звіт'!BH307+'[2]побудинковий звіт'!BH307-'[3]побудинковий звіт'!BH307</f>
        <v>0</v>
      </c>
      <c r="BI307" s="42">
        <f>'[1]побудинковий звіт'!BI307+'[2]побудинковий звіт'!BI307-'[3]побудинковий звіт'!BI307</f>
        <v>0</v>
      </c>
      <c r="BJ307" s="59">
        <f t="shared" si="327"/>
        <v>0</v>
      </c>
      <c r="BK307" s="42">
        <f>'[1]побудинковий звіт'!BK307+'[2]побудинковий звіт'!BK307-'[3]побудинковий звіт'!BK307</f>
        <v>0</v>
      </c>
      <c r="BL307" s="42">
        <f>'[1]побудинковий звіт'!BL307+'[2]побудинковий звіт'!BL307-'[3]побудинковий звіт'!BL307</f>
        <v>0</v>
      </c>
      <c r="BM307" s="39">
        <f t="shared" si="328"/>
        <v>0</v>
      </c>
      <c r="BN307" s="42">
        <f>'[1]побудинковий звіт'!BN307+'[2]побудинковий звіт'!BN307-'[3]побудинковий звіт'!BN307</f>
        <v>0</v>
      </c>
      <c r="BO307" s="42">
        <f>'[1]побудинковий звіт'!BO307+'[2]побудинковий звіт'!BO307-'[3]побудинковий звіт'!BO307</f>
        <v>0</v>
      </c>
      <c r="BP307" s="59">
        <f t="shared" si="329"/>
        <v>0</v>
      </c>
      <c r="BQ307" s="87">
        <f t="shared" si="282"/>
        <v>0</v>
      </c>
      <c r="BR307" s="43">
        <f t="shared" si="331"/>
        <v>0</v>
      </c>
      <c r="BS307" s="59">
        <f t="shared" si="330"/>
        <v>0</v>
      </c>
      <c r="BT307" s="42">
        <f>'[1]побудинковий звіт'!BT307+'[2]побудинковий звіт'!BT307-'[3]побудинковий звіт'!BT307</f>
        <v>119.63505377098757</v>
      </c>
      <c r="BU307" s="42">
        <f>'[1]побудинковий звіт'!BU307+'[2]побудинковий звіт'!BU307-'[3]побудинковий звіт'!BU307</f>
        <v>314.54045841459288</v>
      </c>
      <c r="BV307" s="56">
        <f t="shared" si="308"/>
        <v>194.90540464360532</v>
      </c>
      <c r="BW307" s="42">
        <f>'[1]побудинковий звіт'!BW307+'[2]побудинковий звіт'!BW307-'[3]побудинковий звіт'!BW307</f>
        <v>0</v>
      </c>
      <c r="BX307" s="42">
        <f>'[1]побудинковий звіт'!BX307+'[2]побудинковий звіт'!BX307-'[3]побудинковий звіт'!BX307</f>
        <v>7.7763273445682159</v>
      </c>
      <c r="BY307" s="56">
        <f t="shared" si="309"/>
        <v>7.7763273445682159</v>
      </c>
      <c r="BZ307" s="42">
        <f>'[1]побудинковий звіт'!BZ307+'[2]побудинковий звіт'!BZ307-'[3]побудинковий звіт'!BZ307</f>
        <v>0</v>
      </c>
      <c r="CA307" s="42">
        <f>'[1]побудинковий звіт'!CA307+'[2]побудинковий звіт'!CA307-'[3]побудинковий звіт'!CA307</f>
        <v>75.818287194708745</v>
      </c>
      <c r="CB307" s="56">
        <f t="shared" si="310"/>
        <v>75.818287194708745</v>
      </c>
      <c r="CC307" s="42">
        <f>'[1]побудинковий звіт'!CC307+'[2]побудинковий звіт'!CC307-'[3]побудинковий звіт'!CC307</f>
        <v>0</v>
      </c>
      <c r="CD307" s="42">
        <f>'[1]побудинковий звіт'!CD307+'[2]побудинковий звіт'!CD307-'[3]побудинковий звіт'!CD307</f>
        <v>0</v>
      </c>
      <c r="CE307" s="56">
        <f t="shared" si="311"/>
        <v>0</v>
      </c>
      <c r="CF307" s="42">
        <f>'[1]побудинковий звіт'!CF307+'[2]побудинковий звіт'!CF307-'[3]побудинковий звіт'!CF307</f>
        <v>0</v>
      </c>
      <c r="CG307" s="42">
        <f>'[1]побудинковий звіт'!CG307+'[2]побудинковий звіт'!CG307-'[3]побудинковий звіт'!CG307</f>
        <v>0</v>
      </c>
      <c r="CH307" s="56">
        <f t="shared" si="312"/>
        <v>0</v>
      </c>
      <c r="CI307" s="42">
        <f>'[1]побудинковий звіт'!CI307+'[2]побудинковий звіт'!CI307-'[3]побудинковий звіт'!CI307</f>
        <v>0</v>
      </c>
      <c r="CJ307" s="42">
        <f>'[1]побудинковий звіт'!CJ307+'[2]побудинковий звіт'!CJ307-'[3]побудинковий звіт'!CJ307</f>
        <v>0</v>
      </c>
      <c r="CK307" s="56">
        <f t="shared" si="313"/>
        <v>0</v>
      </c>
      <c r="CL307" s="42">
        <f>'[1]побудинковий звіт'!CL307+'[2]побудинковий звіт'!CL307-'[3]побудинковий звіт'!CL307</f>
        <v>0</v>
      </c>
      <c r="CM307" s="42">
        <f>'[1]побудинковий звіт'!CM307+'[2]побудинковий звіт'!CM307-'[3]побудинковий звіт'!CM307</f>
        <v>0</v>
      </c>
      <c r="CN307" s="56">
        <f t="shared" si="314"/>
        <v>0</v>
      </c>
      <c r="CO307" s="42">
        <f t="shared" si="294"/>
        <v>0</v>
      </c>
      <c r="CP307" s="43">
        <f t="shared" si="315"/>
        <v>0</v>
      </c>
      <c r="CQ307" s="56">
        <f t="shared" si="316"/>
        <v>0</v>
      </c>
      <c r="CR307" s="78">
        <f t="shared" si="295"/>
        <v>3572.7212794949969</v>
      </c>
      <c r="CS307" s="5">
        <f t="shared" si="295"/>
        <v>1280.0799715598914</v>
      </c>
      <c r="CT307" s="56">
        <f t="shared" si="317"/>
        <v>-2292.6413079351055</v>
      </c>
      <c r="CU307" s="87">
        <f t="shared" si="318"/>
        <v>4287.2655353939963</v>
      </c>
      <c r="CV307" s="70">
        <f t="shared" si="319"/>
        <v>1536.0959658718696</v>
      </c>
      <c r="CW307" s="37">
        <f t="shared" si="320"/>
        <v>-2751.1695695221269</v>
      </c>
      <c r="CX307" s="42">
        <f>'[1]побудинковий звіт'!CX307+'[2]побудинковий звіт'!CX307-'[3]побудинковий звіт'!CX307</f>
        <v>107.13446460600358</v>
      </c>
      <c r="CY307" s="42">
        <f>'[1]побудинковий звіт'!CY307+'[2]побудинковий звіт'!CY307-'[3]побудинковий звіт'!CY307</f>
        <v>2858.3040341281303</v>
      </c>
      <c r="CZ307" s="56">
        <f t="shared" si="321"/>
        <v>2751.1695695221269</v>
      </c>
      <c r="DA307" s="264">
        <f>'[4]побудинковий звіт'!DA307</f>
        <v>-8758.0707935106002</v>
      </c>
      <c r="DB307" s="2">
        <v>3</v>
      </c>
      <c r="DC307" s="717">
        <f>'[4]побудинковий звіт'!DC307</f>
        <v>893.21</v>
      </c>
      <c r="DD307" s="717">
        <f>'[4]побудинковий звіт'!DD307</f>
        <v>0</v>
      </c>
      <c r="DE307" s="717">
        <f>'[4]побудинковий звіт'!DE307</f>
        <v>527.01</v>
      </c>
      <c r="DF307" s="717">
        <f>'[4]побудинковий звіт'!DF307</f>
        <v>0</v>
      </c>
      <c r="DG307" s="787">
        <v>-4873.4108605811325</v>
      </c>
      <c r="DH307" s="761">
        <f t="shared" si="290"/>
        <v>52732.799999999996</v>
      </c>
      <c r="DI307" s="784"/>
      <c r="DJ307" s="5"/>
      <c r="DK307" s="317">
        <f>VLOOKUP($A307,ціни!$A$4:$G$401,5)</f>
        <v>1.5170005432818441</v>
      </c>
      <c r="DL307" s="317"/>
      <c r="DM307" s="317">
        <f>VLOOKUP($A307,ціни!$A$4:$G$401,7)</f>
        <v>1.5170005432818441</v>
      </c>
      <c r="DN307" s="30">
        <f t="shared" si="332"/>
        <v>3886.5553918880846</v>
      </c>
      <c r="DO307" s="30">
        <f t="shared" si="334"/>
        <v>0</v>
      </c>
      <c r="DP307" s="316">
        <f t="shared" si="335"/>
        <v>3886.5553918880846</v>
      </c>
      <c r="DQ307" s="104"/>
      <c r="DR307" s="30">
        <f>VLOOKUP(A307,'ДЗ нас '!$A$1:$C$359,2)</f>
        <v>366.2</v>
      </c>
      <c r="DS307" s="748"/>
      <c r="DT307" s="30">
        <f t="shared" si="336"/>
        <v>366.2</v>
      </c>
      <c r="DU307" s="257">
        <f>VLOOKUP(A307,'новий кошторис с 01.06'!$A$4:$AI$399,35)*1.2</f>
        <v>367.99029178798469</v>
      </c>
      <c r="DV307" s="30">
        <f t="shared" si="337"/>
        <v>-1.7902917879846996</v>
      </c>
      <c r="DW307" s="930">
        <f>'[5]побудинковий звіт'!DW307+'[6]побудинковий звіт'!DW307</f>
        <v>0</v>
      </c>
      <c r="DY307" s="5">
        <f t="shared" si="286"/>
        <v>3518.6718265590021</v>
      </c>
      <c r="DZ307" s="5">
        <f t="shared" si="287"/>
        <v>697.19999999999993</v>
      </c>
      <c r="EA307" s="752">
        <f t="shared" si="291"/>
        <v>527.01</v>
      </c>
      <c r="EC307" s="592">
        <f t="shared" si="288"/>
        <v>35186.718265590025</v>
      </c>
      <c r="EE307" s="758">
        <v>-216</v>
      </c>
      <c r="EF307" s="738">
        <f t="shared" si="289"/>
        <v>-5089.4108605811325</v>
      </c>
      <c r="EH307" s="813">
        <v>-6448.1557698691859</v>
      </c>
    </row>
    <row r="308" spans="1:138" x14ac:dyDescent="0.3">
      <c r="A308" s="328">
        <v>150000591</v>
      </c>
      <c r="B308" s="44" t="s">
        <v>761</v>
      </c>
      <c r="C308" s="45" t="s">
        <v>191</v>
      </c>
      <c r="D308" s="45" t="s">
        <v>191</v>
      </c>
      <c r="E308" s="40">
        <f t="shared" si="292"/>
        <v>2295.3000000000002</v>
      </c>
      <c r="F308" s="490">
        <v>2295.3000000000002</v>
      </c>
      <c r="G308" s="30"/>
      <c r="H308" s="30">
        <v>0</v>
      </c>
      <c r="I308" s="42">
        <f>'[1]побудинковий звіт'!I308+'[2]побудинковий звіт'!I308-'[3]побудинковий звіт'!I308</f>
        <v>948.30193137987158</v>
      </c>
      <c r="J308" s="42">
        <f>'[1]побудинковий звіт'!J308+'[2]побудинковий звіт'!J308-'[3]побудинковий звіт'!J308</f>
        <v>849.7096204423741</v>
      </c>
      <c r="K308" s="56">
        <f t="shared" si="296"/>
        <v>-98.592310937497473</v>
      </c>
      <c r="L308" s="42">
        <f>'[1]побудинковий звіт'!L308+'[2]побудинковий звіт'!L308-'[3]побудинковий звіт'!L308</f>
        <v>163.62908056156726</v>
      </c>
      <c r="M308" s="42">
        <f>'[1]побудинковий звіт'!M308+'[2]побудинковий звіт'!M308-'[3]побудинковий звіт'!M308</f>
        <v>156.68085408030029</v>
      </c>
      <c r="N308" s="56">
        <f t="shared" si="297"/>
        <v>-6.9482264812669712</v>
      </c>
      <c r="O308" s="42">
        <f>'[1]побудинковий звіт'!O308+'[2]побудинковий звіт'!O308-'[3]побудинковий звіт'!O308</f>
        <v>247.67999999999992</v>
      </c>
      <c r="P308" s="42">
        <f>'[1]побудинковий звіт'!P308+'[2]побудинковий звіт'!P308-'[3]побудинковий звіт'!P308</f>
        <v>247.67999999999992</v>
      </c>
      <c r="Q308" s="56">
        <f t="shared" si="298"/>
        <v>0</v>
      </c>
      <c r="R308" s="42">
        <f>'[1]побудинковий звіт'!R308+'[2]побудинковий звіт'!R308-'[3]побудинковий звіт'!R308</f>
        <v>74.64</v>
      </c>
      <c r="S308" s="42">
        <f>'[1]побудинковий звіт'!S308+'[2]побудинковий звіт'!S308-'[3]побудинковий звіт'!S308</f>
        <v>74.64</v>
      </c>
      <c r="T308" s="56">
        <f t="shared" si="299"/>
        <v>0</v>
      </c>
      <c r="U308" s="42">
        <f>'[1]побудинковий звіт'!U308+'[2]побудинковий звіт'!U308-'[3]побудинковий звіт'!U308</f>
        <v>0</v>
      </c>
      <c r="V308" s="42">
        <f>'[1]побудинковий звіт'!V308+'[2]побудинковий звіт'!V308-'[3]побудинковий звіт'!V308</f>
        <v>0</v>
      </c>
      <c r="W308" s="56">
        <f t="shared" si="300"/>
        <v>0</v>
      </c>
      <c r="X308" s="42">
        <f>'[1]побудинковий звіт'!X308+'[2]побудинковий звіт'!X308-'[3]побудинковий звіт'!X308</f>
        <v>478.03660508653621</v>
      </c>
      <c r="Y308" s="42">
        <f>'[1]побудинковий звіт'!Y308+'[2]побудинковий звіт'!Y308-'[3]побудинковий звіт'!Y308</f>
        <v>338.69654652101042</v>
      </c>
      <c r="Z308" s="56">
        <f t="shared" si="301"/>
        <v>-139.34005856552579</v>
      </c>
      <c r="AA308" s="42">
        <f>'[1]побудинковий звіт'!AA308+'[2]побудинковий звіт'!AA308-'[3]побудинковий звіт'!AA308</f>
        <v>0</v>
      </c>
      <c r="AB308" s="42">
        <f>'[1]побудинковий звіт'!AB308+'[2]побудинковий звіт'!AB308-'[3]побудинковий звіт'!AB308</f>
        <v>0</v>
      </c>
      <c r="AC308" s="56">
        <f t="shared" si="302"/>
        <v>0</v>
      </c>
      <c r="AD308" s="42">
        <f>'[1]побудинковий звіт'!AD308+'[2]побудинковий звіт'!AD308-'[3]побудинковий звіт'!AD308</f>
        <v>634.53339952747729</v>
      </c>
      <c r="AE308" s="42">
        <f>'[1]побудинковий звіт'!AE308+'[2]побудинковий звіт'!AE308-'[3]побудинковий звіт'!AE308</f>
        <v>584.84520771682446</v>
      </c>
      <c r="AF308" s="37">
        <f t="shared" si="303"/>
        <v>-49.688191810652825</v>
      </c>
      <c r="AG308" s="87">
        <f t="shared" si="293"/>
        <v>2546.8210165554519</v>
      </c>
      <c r="AH308" s="57">
        <f t="shared" si="293"/>
        <v>2252.2522287605093</v>
      </c>
      <c r="AI308" s="56">
        <f t="shared" si="304"/>
        <v>-294.56878779494264</v>
      </c>
      <c r="AJ308" s="42">
        <f>'[1]побудинковий звіт'!AJ308+'[2]побудинковий звіт'!AJ308-'[3]побудинковий звіт'!AJ308</f>
        <v>0</v>
      </c>
      <c r="AK308" s="42">
        <f>'[1]побудинковий звіт'!AK308+'[2]побудинковий звіт'!AK308-'[3]побудинковий звіт'!AK308</f>
        <v>0</v>
      </c>
      <c r="AL308" s="56">
        <f t="shared" si="305"/>
        <v>0</v>
      </c>
      <c r="AM308" s="42">
        <f>'[1]побудинковий звіт'!AM308+'[2]побудинковий звіт'!AM308-'[3]побудинковий звіт'!AM308</f>
        <v>0</v>
      </c>
      <c r="AN308" s="42">
        <f>'[1]побудинковий звіт'!AN308+'[2]побудинковий звіт'!AN308-'[3]побудинковий звіт'!AN308</f>
        <v>0</v>
      </c>
      <c r="AO308" s="56">
        <f t="shared" si="306"/>
        <v>0</v>
      </c>
      <c r="AP308" s="42">
        <f>'[1]побудинковий звіт'!AP308+'[2]побудинковий звіт'!AP308-'[3]побудинковий звіт'!AP308</f>
        <v>189.40352857872992</v>
      </c>
      <c r="AQ308" s="42">
        <f>'[1]побудинковий звіт'!AQ308+'[2]побудинковий звіт'!AQ308-'[3]побудинковий звіт'!AQ308</f>
        <v>140.30961905365103</v>
      </c>
      <c r="AR308" s="56">
        <f t="shared" si="307"/>
        <v>-49.093909525078885</v>
      </c>
      <c r="AS308" s="42">
        <f>'[1]побудинковий звіт'!AS308+'[2]побудинковий звіт'!AS308-'[3]побудинковий звіт'!AS308</f>
        <v>3464.4124204057975</v>
      </c>
      <c r="AT308" s="42">
        <f>'[1]побудинковий звіт'!AT308+'[2]побудинковий звіт'!AT308-'[3]побудинковий звіт'!AT308</f>
        <v>10486.43</v>
      </c>
      <c r="AU308" s="58">
        <f t="shared" si="322"/>
        <v>7022.0175795942032</v>
      </c>
      <c r="AV308" s="42">
        <f>'[1]побудинковий звіт'!AV308+'[2]побудинковий звіт'!AV308-'[3]побудинковий звіт'!AV308</f>
        <v>207.00823328023128</v>
      </c>
      <c r="AW308" s="42">
        <f>'[1]побудинковий звіт'!AW308+'[2]побудинковий звіт'!AW308-'[3]побудинковий звіт'!AW308</f>
        <v>0</v>
      </c>
      <c r="AX308" s="59">
        <f t="shared" si="323"/>
        <v>-207.00823328023128</v>
      </c>
      <c r="AY308" s="42">
        <f>'[1]побудинковий звіт'!AY308+'[2]побудинковий звіт'!AY308-'[3]побудинковий звіт'!AY308</f>
        <v>210.64035126490597</v>
      </c>
      <c r="AZ308" s="42">
        <f>'[1]побудинковий звіт'!AZ308+'[2]побудинковий звіт'!AZ308-'[3]побудинковий звіт'!AZ308</f>
        <v>0</v>
      </c>
      <c r="BA308" s="37">
        <f t="shared" si="324"/>
        <v>-210.64035126490597</v>
      </c>
      <c r="BB308" s="42">
        <f>'[1]побудинковий звіт'!BB308+'[2]побудинковий звіт'!BB308-'[3]побудинковий звіт'!BB308</f>
        <v>68.781696635810889</v>
      </c>
      <c r="BC308" s="42">
        <f>'[1]побудинковий звіт'!BC308+'[2]побудинковий звіт'!BC308-'[3]побудинковий звіт'!BC308</f>
        <v>0</v>
      </c>
      <c r="BD308" s="59">
        <f t="shared" si="325"/>
        <v>-68.781696635810889</v>
      </c>
      <c r="BE308" s="42">
        <f>'[1]побудинковий звіт'!BE308+'[2]побудинковий звіт'!BE308-'[3]побудинковий звіт'!BE308</f>
        <v>107.74096686304495</v>
      </c>
      <c r="BF308" s="42">
        <f>'[1]побудинковий звіт'!BF308+'[2]побудинковий звіт'!BF308-'[3]побудинковий звіт'!BF308</f>
        <v>0</v>
      </c>
      <c r="BG308" s="39">
        <f t="shared" si="326"/>
        <v>-107.74096686304495</v>
      </c>
      <c r="BH308" s="42">
        <f>'[1]побудинковий звіт'!BH308+'[2]побудинковий звіт'!BH308-'[3]побудинковий звіт'!BH308</f>
        <v>0</v>
      </c>
      <c r="BI308" s="42">
        <f>'[1]побудинковий звіт'!BI308+'[2]побудинковий звіт'!BI308-'[3]побудинковий звіт'!BI308</f>
        <v>0</v>
      </c>
      <c r="BJ308" s="59">
        <f t="shared" si="327"/>
        <v>0</v>
      </c>
      <c r="BK308" s="42">
        <f>'[1]побудинковий звіт'!BK308+'[2]побудинковий звіт'!BK308-'[3]побудинковий звіт'!BK308</f>
        <v>59.168522736971724</v>
      </c>
      <c r="BL308" s="42">
        <f>'[1]побудинковий звіт'!BL308+'[2]побудинковий звіт'!BL308-'[3]побудинковий звіт'!BL308</f>
        <v>0</v>
      </c>
      <c r="BM308" s="39">
        <f t="shared" si="328"/>
        <v>-59.168522736971724</v>
      </c>
      <c r="BN308" s="42">
        <f>'[1]побудинковий звіт'!BN308+'[2]побудинковий звіт'!BN308-'[3]побудинковий звіт'!BN308</f>
        <v>0</v>
      </c>
      <c r="BO308" s="42">
        <f>'[1]побудинковий звіт'!BO308+'[2]побудинковий звіт'!BO308-'[3]побудинковий звіт'!BO308</f>
        <v>0</v>
      </c>
      <c r="BP308" s="59">
        <f t="shared" si="329"/>
        <v>0</v>
      </c>
      <c r="BQ308" s="87">
        <f t="shared" ref="BQ308:BQ367" si="338">AV308+AY308+BB308+BE308+BH308+BK308+BN308</f>
        <v>653.33977078096473</v>
      </c>
      <c r="BR308" s="43">
        <f t="shared" ref="BR308:BR336" si="339">AW308+AZ308+BC308+BF308+BI308+BL308+BO308</f>
        <v>0</v>
      </c>
      <c r="BS308" s="59">
        <f t="shared" si="330"/>
        <v>-653.33977078096473</v>
      </c>
      <c r="BT308" s="42">
        <f>'[1]побудинковий звіт'!BT308+'[2]побудинковий звіт'!BT308-'[3]побудинковий звіт'!BT308</f>
        <v>0</v>
      </c>
      <c r="BU308" s="42">
        <f>'[1]побудинковий звіт'!BU308+'[2]побудинковий звіт'!BU308-'[3]побудинковий звіт'!BU308</f>
        <v>12.169513394308666</v>
      </c>
      <c r="BV308" s="56">
        <f t="shared" si="308"/>
        <v>12.169513394308666</v>
      </c>
      <c r="BW308" s="42">
        <f>'[1]побудинковий звіт'!BW308+'[2]побудинковий звіт'!BW308-'[3]побудинковий звіт'!BW308</f>
        <v>181.82725512829609</v>
      </c>
      <c r="BX308" s="42">
        <f>'[1]побудинковий звіт'!BX308+'[2]побудинковий звіт'!BX308-'[3]побудинковий звіт'!BX308</f>
        <v>688.41266840274068</v>
      </c>
      <c r="BY308" s="56">
        <f t="shared" si="309"/>
        <v>506.58541327444459</v>
      </c>
      <c r="BZ308" s="42">
        <f>'[1]побудинковий звіт'!BZ308+'[2]побудинковий звіт'!BZ308-'[3]побудинковий звіт'!BZ308</f>
        <v>0</v>
      </c>
      <c r="CA308" s="42">
        <f>'[1]побудинковий звіт'!CA308+'[2]побудинковий звіт'!CA308-'[3]побудинковий звіт'!CA308</f>
        <v>1.9242707749234265</v>
      </c>
      <c r="CB308" s="56">
        <f t="shared" si="310"/>
        <v>1.9242707749234265</v>
      </c>
      <c r="CC308" s="42">
        <f>'[1]побудинковий звіт'!CC308+'[2]побудинковий звіт'!CC308-'[3]побудинковий звіт'!CC308</f>
        <v>0</v>
      </c>
      <c r="CD308" s="42">
        <f>'[1]побудинковий звіт'!CD308+'[2]побудинковий звіт'!CD308-'[3]побудинковий звіт'!CD308</f>
        <v>0</v>
      </c>
      <c r="CE308" s="56">
        <f t="shared" si="311"/>
        <v>0</v>
      </c>
      <c r="CF308" s="42">
        <f>'[1]побудинковий звіт'!CF308+'[2]побудинковий звіт'!CF308-'[3]побудинковий звіт'!CF308</f>
        <v>0</v>
      </c>
      <c r="CG308" s="42">
        <f>'[1]побудинковий звіт'!CG308+'[2]побудинковий звіт'!CG308-'[3]побудинковий звіт'!CG308</f>
        <v>0</v>
      </c>
      <c r="CH308" s="56">
        <f t="shared" si="312"/>
        <v>0</v>
      </c>
      <c r="CI308" s="42">
        <f>'[1]побудинковий звіт'!CI308+'[2]побудинковий звіт'!CI308-'[3]побудинковий звіт'!CI308</f>
        <v>112.30515106315281</v>
      </c>
      <c r="CJ308" s="42">
        <f>'[1]побудинковий звіт'!CJ308+'[2]побудинковий звіт'!CJ308-'[3]побудинковий звіт'!CJ308</f>
        <v>24.183665191598934</v>
      </c>
      <c r="CK308" s="56">
        <f t="shared" si="313"/>
        <v>-88.121485871553872</v>
      </c>
      <c r="CL308" s="42">
        <f>'[1]побудинковий звіт'!CL308+'[2]побудинковий звіт'!CL308-'[3]побудинковий звіт'!CL308</f>
        <v>0</v>
      </c>
      <c r="CM308" s="42">
        <f>'[1]побудинковий звіт'!CM308+'[2]побудинковий звіт'!CM308-'[3]побудинковий звіт'!CM308</f>
        <v>0</v>
      </c>
      <c r="CN308" s="56">
        <f t="shared" si="314"/>
        <v>0</v>
      </c>
      <c r="CO308" s="42">
        <f t="shared" si="294"/>
        <v>112.30515106315281</v>
      </c>
      <c r="CP308" s="43">
        <f t="shared" si="315"/>
        <v>24.183665191598934</v>
      </c>
      <c r="CQ308" s="56">
        <f t="shared" si="316"/>
        <v>-88.121485871553872</v>
      </c>
      <c r="CR308" s="78">
        <f t="shared" si="295"/>
        <v>7148.1091425123932</v>
      </c>
      <c r="CS308" s="5">
        <f t="shared" si="295"/>
        <v>13605.681965577733</v>
      </c>
      <c r="CT308" s="56">
        <f t="shared" si="317"/>
        <v>6457.5728230653394</v>
      </c>
      <c r="CU308" s="87">
        <f t="shared" si="318"/>
        <v>8577.7309710148711</v>
      </c>
      <c r="CV308" s="70">
        <f t="shared" si="319"/>
        <v>16326.818358693279</v>
      </c>
      <c r="CW308" s="37">
        <f t="shared" si="320"/>
        <v>7749.087387678408</v>
      </c>
      <c r="CX308" s="42">
        <f>'[1]побудинковий звіт'!CX308+'[2]побудинковий звіт'!CX308-'[3]побудинковий звіт'!CX308</f>
        <v>14.609028985128361</v>
      </c>
      <c r="CY308" s="42">
        <f>'[1]побудинковий звіт'!CY308+'[2]побудинковий звіт'!CY308-'[3]побудинковий звіт'!CY308</f>
        <v>-7734.4783586932726</v>
      </c>
      <c r="CZ308" s="56">
        <f t="shared" si="321"/>
        <v>-7749.0873876784008</v>
      </c>
      <c r="DA308" s="264">
        <f>'[4]побудинковий звіт'!DA308</f>
        <v>10585.966720954957</v>
      </c>
      <c r="DB308" s="2">
        <v>3</v>
      </c>
      <c r="DC308" s="717">
        <f>'[4]побудинковий звіт'!DC308</f>
        <v>1075.6099999999999</v>
      </c>
      <c r="DD308" s="717">
        <f>'[4]побудинковий звіт'!DD308</f>
        <v>0</v>
      </c>
      <c r="DE308" s="717">
        <f>'[4]побудинковий звіт'!DE308</f>
        <v>359.33999999999992</v>
      </c>
      <c r="DF308" s="717">
        <f>'[4]побудинковий звіт'!DF308</f>
        <v>0</v>
      </c>
      <c r="DG308" s="787">
        <v>-7664.8247824959126</v>
      </c>
      <c r="DH308" s="761">
        <f t="shared" si="290"/>
        <v>103108.08</v>
      </c>
      <c r="DI308" s="784"/>
      <c r="DJ308" s="5"/>
      <c r="DK308" s="317">
        <f>VLOOKUP($A308,ціни!$A$4:$G$401,5)</f>
        <v>4.8167851364638761</v>
      </c>
      <c r="DL308" s="317"/>
      <c r="DM308" s="317">
        <f>VLOOKUP($A308,ціни!$A$4:$G$401,7)</f>
        <v>4.6942600319299839</v>
      </c>
      <c r="DN308" s="30">
        <f t="shared" si="332"/>
        <v>11055.966923725535</v>
      </c>
      <c r="DO308" s="30">
        <f t="shared" si="334"/>
        <v>0</v>
      </c>
      <c r="DP308" s="316">
        <f t="shared" si="335"/>
        <v>11055.966923725535</v>
      </c>
      <c r="DQ308" s="104"/>
      <c r="DR308" s="30">
        <f>VLOOKUP(A308,'ДЗ нас '!$A$1:$C$359,2)</f>
        <v>716.27</v>
      </c>
      <c r="DS308" s="748"/>
      <c r="DT308" s="30">
        <f t="shared" si="336"/>
        <v>716.27</v>
      </c>
      <c r="DU308" s="257">
        <f>VLOOKUP(A308,'новий кошторис с 01.06'!$A$4:$AI$399,35)*1.2</f>
        <v>714.8109142512393</v>
      </c>
      <c r="DV308" s="30">
        <f t="shared" si="337"/>
        <v>1.4590857487606854</v>
      </c>
      <c r="DW308" s="930">
        <f>'[5]побудинковий звіт'!DW308+'[6]побудинковий звіт'!DW308</f>
        <v>204</v>
      </c>
      <c r="DY308" s="5">
        <f t="shared" si="286"/>
        <v>4941.3026294241145</v>
      </c>
      <c r="DZ308" s="5">
        <f t="shared" si="287"/>
        <v>12583.716</v>
      </c>
      <c r="EA308" s="752">
        <f t="shared" si="291"/>
        <v>359.33999999999992</v>
      </c>
      <c r="EC308" s="592">
        <f t="shared" si="288"/>
        <v>41572.949044869572</v>
      </c>
      <c r="EE308" s="758">
        <v>-5279</v>
      </c>
      <c r="EF308" s="738">
        <f t="shared" si="289"/>
        <v>-12943.824782495913</v>
      </c>
      <c r="EH308" s="813">
        <v>-8308.8158906428453</v>
      </c>
    </row>
    <row r="309" spans="1:138" x14ac:dyDescent="0.3">
      <c r="A309" s="328">
        <v>150000861</v>
      </c>
      <c r="B309" s="44" t="s">
        <v>762</v>
      </c>
      <c r="C309" s="45" t="s">
        <v>232</v>
      </c>
      <c r="D309" s="45" t="s">
        <v>232</v>
      </c>
      <c r="E309" s="40">
        <f t="shared" si="292"/>
        <v>3212.3199999999997</v>
      </c>
      <c r="F309" s="490">
        <v>2595.52</v>
      </c>
      <c r="G309" s="30"/>
      <c r="H309" s="30">
        <v>616.79999999999995</v>
      </c>
      <c r="I309" s="42">
        <f>'[1]побудинковий звіт'!I309+'[2]побудинковий звіт'!I309-'[3]побудинковий звіт'!I309</f>
        <v>12026.004378248759</v>
      </c>
      <c r="J309" s="42">
        <f>'[1]побудинковий звіт'!J309+'[2]побудинковий звіт'!J309-'[3]побудинковий звіт'!J309</f>
        <v>11945.740244197088</v>
      </c>
      <c r="K309" s="56">
        <f t="shared" si="296"/>
        <v>-80.264134051671135</v>
      </c>
      <c r="L309" s="42">
        <f>'[1]побудинковий звіт'!L309+'[2]побудинковий звіт'!L309-'[3]побудинковий звіт'!L309</f>
        <v>2442.0323839466259</v>
      </c>
      <c r="M309" s="42">
        <f>'[1]побудинковий звіт'!M309+'[2]побудинковий звіт'!M309-'[3]побудинковий звіт'!M309</f>
        <v>2573.6300896500502</v>
      </c>
      <c r="N309" s="56">
        <f t="shared" si="297"/>
        <v>131.59770570342425</v>
      </c>
      <c r="O309" s="42">
        <f>'[1]побудинковий звіт'!O309+'[2]побудинковий звіт'!O309-'[3]побудинковий звіт'!O309</f>
        <v>4603.4399999999996</v>
      </c>
      <c r="P309" s="42">
        <f>'[1]побудинковий звіт'!P309+'[2]побудинковий звіт'!P309-'[3]побудинковий звіт'!P309</f>
        <v>3618.3282873655917</v>
      </c>
      <c r="Q309" s="56">
        <f t="shared" si="298"/>
        <v>-985.11171263440792</v>
      </c>
      <c r="R309" s="42">
        <f>'[1]побудинковий звіт'!R309+'[2]побудинковий звіт'!R309-'[3]побудинковий звіт'!R309</f>
        <v>0</v>
      </c>
      <c r="S309" s="42">
        <f>'[1]побудинковий звіт'!S309+'[2]побудинковий звіт'!S309-'[3]побудинковий звіт'!S309</f>
        <v>0</v>
      </c>
      <c r="T309" s="56">
        <f t="shared" si="299"/>
        <v>0</v>
      </c>
      <c r="U309" s="42">
        <f>'[1]побудинковий звіт'!U309+'[2]побудинковий звіт'!U309-'[3]побудинковий звіт'!U309</f>
        <v>0</v>
      </c>
      <c r="V309" s="42">
        <f>'[1]побудинковий звіт'!V309+'[2]побудинковий звіт'!V309-'[3]побудинковий звіт'!V309</f>
        <v>0</v>
      </c>
      <c r="W309" s="56">
        <f t="shared" si="300"/>
        <v>0</v>
      </c>
      <c r="X309" s="42">
        <f>'[1]побудинковий звіт'!X309+'[2]побудинковий звіт'!X309-'[3]побудинковий звіт'!X309</f>
        <v>11046.880108241552</v>
      </c>
      <c r="Y309" s="42">
        <f>'[1]побудинковий звіт'!Y309+'[2]побудинковий звіт'!Y309-'[3]побудинковий звіт'!Y309</f>
        <v>8960.1969618211606</v>
      </c>
      <c r="Z309" s="56">
        <f t="shared" si="301"/>
        <v>-2086.6831464203915</v>
      </c>
      <c r="AA309" s="42">
        <f>'[1]побудинковий звіт'!AA309+'[2]побудинковий звіт'!AA309-'[3]побудинковий звіт'!AA309</f>
        <v>0</v>
      </c>
      <c r="AB309" s="42">
        <f>'[1]побудинковий звіт'!AB309+'[2]побудинковий звіт'!AB309-'[3]побудинковий звіт'!AB309</f>
        <v>0</v>
      </c>
      <c r="AC309" s="56">
        <f t="shared" si="302"/>
        <v>0</v>
      </c>
      <c r="AD309" s="42">
        <f>'[1]побудинковий звіт'!AD309+'[2]побудинковий звіт'!AD309-'[3]побудинковий звіт'!AD309</f>
        <v>14543.813377040171</v>
      </c>
      <c r="AE309" s="42">
        <f>'[1]побудинковий звіт'!AE309+'[2]побудинковий звіт'!AE309-'[3]побудинковий звіт'!AE309</f>
        <v>13435.933287205013</v>
      </c>
      <c r="AF309" s="37">
        <f t="shared" si="303"/>
        <v>-1107.8800898351583</v>
      </c>
      <c r="AG309" s="87">
        <f t="shared" si="293"/>
        <v>44662.170247477108</v>
      </c>
      <c r="AH309" s="57">
        <f t="shared" si="293"/>
        <v>40533.828870238904</v>
      </c>
      <c r="AI309" s="56">
        <f t="shared" si="304"/>
        <v>-4128.3413772382046</v>
      </c>
      <c r="AJ309" s="42">
        <f>'[1]побудинковий звіт'!AJ309+'[2]побудинковий звіт'!AJ309-'[3]побудинковий звіт'!AJ309</f>
        <v>0</v>
      </c>
      <c r="AK309" s="42">
        <f>'[1]побудинковий звіт'!AK309+'[2]побудинковий звіт'!AK309-'[3]побудинковий звіт'!AK309</f>
        <v>0</v>
      </c>
      <c r="AL309" s="56">
        <f t="shared" si="305"/>
        <v>0</v>
      </c>
      <c r="AM309" s="42">
        <f>'[1]побудинковий звіт'!AM309+'[2]побудинковий звіт'!AM309-'[3]побудинковий звіт'!AM309</f>
        <v>0</v>
      </c>
      <c r="AN309" s="42">
        <f>'[1]побудинковий звіт'!AN309+'[2]побудинковий звіт'!AN309-'[3]побудинковий звіт'!AN309</f>
        <v>0</v>
      </c>
      <c r="AO309" s="56">
        <f t="shared" si="306"/>
        <v>0</v>
      </c>
      <c r="AP309" s="42">
        <f>'[1]побудинковий звіт'!AP309+'[2]побудинковий звіт'!AP309-'[3]побудинковий звіт'!AP309</f>
        <v>4261.5793930214249</v>
      </c>
      <c r="AQ309" s="42">
        <f>'[1]побудинковий звіт'!AQ309+'[2]побудинковий звіт'!AQ309-'[3]побудинковий звіт'!AQ309</f>
        <v>6125.4189295784527</v>
      </c>
      <c r="AR309" s="56">
        <f t="shared" si="307"/>
        <v>1863.8395365570277</v>
      </c>
      <c r="AS309" s="42">
        <f>'[1]побудинковий звіт'!AS309+'[2]побудинковий звіт'!AS309-'[3]побудинковий звіт'!AS309</f>
        <v>39064.712832016616</v>
      </c>
      <c r="AT309" s="42">
        <f>'[1]побудинковий звіт'!AT309+'[2]побудинковий звіт'!AT309-'[3]побудинковий звіт'!AT309</f>
        <v>11619.000000000002</v>
      </c>
      <c r="AU309" s="58">
        <f t="shared" si="322"/>
        <v>-27445.712832016616</v>
      </c>
      <c r="AV309" s="42">
        <f>'[1]побудинковий звіт'!AV309+'[2]побудинковий звіт'!AV309-'[3]побудинковий звіт'!AV309</f>
        <v>2173.1652836344169</v>
      </c>
      <c r="AW309" s="42">
        <f>'[1]побудинковий звіт'!AW309+'[2]побудинковий звіт'!AW309-'[3]побудинковий звіт'!AW309</f>
        <v>0</v>
      </c>
      <c r="AX309" s="59">
        <f t="shared" si="323"/>
        <v>-2173.1652836344169</v>
      </c>
      <c r="AY309" s="42">
        <f>'[1]побудинковий звіт'!AY309+'[2]побудинковий звіт'!AY309-'[3]побудинковий звіт'!AY309</f>
        <v>3147.5414504508271</v>
      </c>
      <c r="AZ309" s="42">
        <f>'[1]побудинковий звіт'!AZ309+'[2]побудинковий звіт'!AZ309-'[3]побудинковий звіт'!AZ309</f>
        <v>0</v>
      </c>
      <c r="BA309" s="37">
        <f t="shared" si="324"/>
        <v>-3147.5414504508271</v>
      </c>
      <c r="BB309" s="42">
        <f>'[1]побудинковий звіт'!BB309+'[2]побудинковий звіт'!BB309-'[3]побудинковий звіт'!BB309</f>
        <v>2282.7850430841886</v>
      </c>
      <c r="BC309" s="42">
        <f>'[1]побудинковий звіт'!BC309+'[2]побудинковий звіт'!BC309-'[3]побудинковий звіт'!BC309</f>
        <v>0</v>
      </c>
      <c r="BD309" s="59">
        <f t="shared" si="325"/>
        <v>-2282.7850430841886</v>
      </c>
      <c r="BE309" s="42">
        <f>'[1]побудинковий звіт'!BE309+'[2]побудинковий звіт'!BE309-'[3]побудинковий звіт'!BE309</f>
        <v>0</v>
      </c>
      <c r="BF309" s="42">
        <f>'[1]побудинковий звіт'!BF309+'[2]побудинковий звіт'!BF309-'[3]побудинковий звіт'!BF309</f>
        <v>0</v>
      </c>
      <c r="BG309" s="39">
        <f t="shared" si="326"/>
        <v>0</v>
      </c>
      <c r="BH309" s="42">
        <f>'[1]побудинковий звіт'!BH309+'[2]побудинковий звіт'!BH309-'[3]побудинковий звіт'!BH309</f>
        <v>0</v>
      </c>
      <c r="BI309" s="42">
        <f>'[1]побудинковий звіт'!BI309+'[2]побудинковий звіт'!BI309-'[3]побудинковий звіт'!BI309</f>
        <v>955.92363551270068</v>
      </c>
      <c r="BJ309" s="59">
        <f t="shared" si="327"/>
        <v>955.92363551270068</v>
      </c>
      <c r="BK309" s="42">
        <f>'[1]побудинковий звіт'!BK309+'[2]побудинковий звіт'!BK309-'[3]побудинковий звіт'!BK309</f>
        <v>1602.0621898523902</v>
      </c>
      <c r="BL309" s="42">
        <f>'[1]побудинковий звіт'!BL309+'[2]побудинковий звіт'!BL309-'[3]побудинковий звіт'!BL309</f>
        <v>100</v>
      </c>
      <c r="BM309" s="39">
        <f t="shared" si="328"/>
        <v>-1502.0621898523902</v>
      </c>
      <c r="BN309" s="42">
        <f>'[1]побудинковий звіт'!BN309+'[2]побудинковий звіт'!BN309-'[3]побудинковий звіт'!BN309</f>
        <v>0</v>
      </c>
      <c r="BO309" s="42">
        <f>'[1]побудинковий звіт'!BO309+'[2]побудинковий звіт'!BO309-'[3]побудинковий звіт'!BO309</f>
        <v>0</v>
      </c>
      <c r="BP309" s="59">
        <f t="shared" si="329"/>
        <v>0</v>
      </c>
      <c r="BQ309" s="87">
        <f t="shared" si="338"/>
        <v>9205.5539670218222</v>
      </c>
      <c r="BR309" s="43">
        <f t="shared" si="339"/>
        <v>1055.9236355127007</v>
      </c>
      <c r="BS309" s="59">
        <f t="shared" si="330"/>
        <v>-8149.6303315091218</v>
      </c>
      <c r="BT309" s="42">
        <f>'[1]побудинковий звіт'!BT309+'[2]побудинковий звіт'!BT309-'[3]побудинковий звіт'!BT309</f>
        <v>36064.913864536189</v>
      </c>
      <c r="BU309" s="42">
        <f>'[1]побудинковий звіт'!BU309+'[2]побудинковий звіт'!BU309-'[3]побудинковий звіт'!BU309</f>
        <v>50320.142786051292</v>
      </c>
      <c r="BV309" s="56">
        <f t="shared" si="308"/>
        <v>14255.228921515103</v>
      </c>
      <c r="BW309" s="42">
        <f>'[1]побудинковий звіт'!BW309+'[2]побудинковий звіт'!BW309-'[3]побудинковий звіт'!BW309</f>
        <v>26440.898816706944</v>
      </c>
      <c r="BX309" s="42">
        <f>'[1]побудинковий звіт'!BX309+'[2]побудинковий звіт'!BX309-'[3]побудинковий звіт'!BX309</f>
        <v>32533.592108864763</v>
      </c>
      <c r="BY309" s="56">
        <f t="shared" si="309"/>
        <v>6092.6932921578191</v>
      </c>
      <c r="BZ309" s="42">
        <f>'[1]побудинковий звіт'!BZ309+'[2]побудинковий звіт'!BZ309-'[3]побудинковий звіт'!BZ309</f>
        <v>14917.461611528026</v>
      </c>
      <c r="CA309" s="42">
        <f>'[1]побудинковий звіт'!CA309+'[2]побудинковий звіт'!CA309-'[3]побудинковий звіт'!CA309</f>
        <v>13493.166493940076</v>
      </c>
      <c r="CB309" s="56">
        <f t="shared" si="310"/>
        <v>-1424.2951175879498</v>
      </c>
      <c r="CC309" s="42">
        <f>'[1]побудинковий звіт'!CC309+'[2]побудинковий звіт'!CC309-'[3]побудинковий звіт'!CC309</f>
        <v>2169.3157111897103</v>
      </c>
      <c r="CD309" s="42">
        <f>'[1]побудинковий звіт'!CD309+'[2]побудинковий звіт'!CD309-'[3]побудинковий звіт'!CD309</f>
        <v>2150.2359661998034</v>
      </c>
      <c r="CE309" s="56">
        <f t="shared" si="311"/>
        <v>-19.079744989906885</v>
      </c>
      <c r="CF309" s="42">
        <f>'[1]побудинковий звіт'!CF309+'[2]побудинковий звіт'!CF309-'[3]побудинковий звіт'!CF309</f>
        <v>267.05591141539986</v>
      </c>
      <c r="CG309" s="42">
        <f>'[1]побудинковий звіт'!CG309+'[2]побудинковий звіт'!CG309-'[3]побудинковий звіт'!CG309</f>
        <v>0</v>
      </c>
      <c r="CH309" s="56">
        <f t="shared" si="312"/>
        <v>-267.05591141539986</v>
      </c>
      <c r="CI309" s="42">
        <f>'[1]побудинковий звіт'!CI309+'[2]побудинковий звіт'!CI309-'[3]побудинковий звіт'!CI309</f>
        <v>6925.4843155610906</v>
      </c>
      <c r="CJ309" s="42">
        <f>'[1]побудинковий звіт'!CJ309+'[2]побудинковий звіт'!CJ309-'[3]побудинковий звіт'!CJ309</f>
        <v>3660.5503518600249</v>
      </c>
      <c r="CK309" s="56">
        <f t="shared" si="313"/>
        <v>-3264.9339637010657</v>
      </c>
      <c r="CL309" s="42">
        <f>'[1]побудинковий звіт'!CL309+'[2]побудинковий звіт'!CL309-'[3]побудинковий звіт'!CL309</f>
        <v>0</v>
      </c>
      <c r="CM309" s="42">
        <f>'[1]побудинковий звіт'!CM309+'[2]побудинковий звіт'!CM309-'[3]побудинковий звіт'!CM309</f>
        <v>0</v>
      </c>
      <c r="CN309" s="56">
        <f t="shared" si="314"/>
        <v>0</v>
      </c>
      <c r="CO309" s="42">
        <f t="shared" si="294"/>
        <v>6925.4843155610906</v>
      </c>
      <c r="CP309" s="43">
        <f t="shared" si="315"/>
        <v>3660.5503518600249</v>
      </c>
      <c r="CQ309" s="56">
        <f t="shared" si="316"/>
        <v>-3264.9339637010657</v>
      </c>
      <c r="CR309" s="78">
        <f t="shared" si="295"/>
        <v>183979.14667047435</v>
      </c>
      <c r="CS309" s="5">
        <f t="shared" si="295"/>
        <v>161491.85914224604</v>
      </c>
      <c r="CT309" s="56">
        <f t="shared" si="317"/>
        <v>-22487.287528228306</v>
      </c>
      <c r="CU309" s="87">
        <f t="shared" si="318"/>
        <v>220774.97600456921</v>
      </c>
      <c r="CV309" s="70">
        <f t="shared" si="319"/>
        <v>193790.23097069524</v>
      </c>
      <c r="CW309" s="37">
        <f t="shared" si="320"/>
        <v>-26984.745033873973</v>
      </c>
      <c r="CX309" s="42">
        <f>'[1]побудинковий звіт'!CX309+'[2]побудинковий звіт'!CX309-'[3]побудинковий звіт'!CX309</f>
        <v>7888.1639954307648</v>
      </c>
      <c r="CY309" s="42">
        <f>'[1]побудинковий звіт'!CY309+'[2]побудинковий звіт'!CY309-'[3]побудинковий звіт'!CY309</f>
        <v>34872.909029304778</v>
      </c>
      <c r="CZ309" s="56">
        <f t="shared" si="321"/>
        <v>26984.745033874013</v>
      </c>
      <c r="DA309" s="264">
        <f>'[4]побудинковий звіт'!DA309</f>
        <v>-12878.214470680688</v>
      </c>
      <c r="DB309" s="2">
        <v>2</v>
      </c>
      <c r="DC309" s="717">
        <f>'[4]побудинковий звіт'!DC309</f>
        <v>59421.05</v>
      </c>
      <c r="DD309" s="717">
        <f>'[4]побудинковий звіт'!DD309</f>
        <v>47154.73</v>
      </c>
      <c r="DE309" s="717">
        <f>'[4]побудинковий звіт'!DE309</f>
        <v>43497.740000000005</v>
      </c>
      <c r="DF309" s="717">
        <f>'[4]побудинковий звіт'!DF309</f>
        <v>43737.54</v>
      </c>
      <c r="DG309" s="787">
        <v>15010.714205542812</v>
      </c>
      <c r="DH309" s="761">
        <f t="shared" si="290"/>
        <v>2743957.6799999997</v>
      </c>
      <c r="DI309" s="784"/>
      <c r="DJ309" s="5"/>
      <c r="DK309" s="317">
        <f>VLOOKUP($A309,ціни!$A$4:$G$401,5)</f>
        <v>5.7206388233162944</v>
      </c>
      <c r="DL309" s="317"/>
      <c r="DM309" s="317">
        <f>VLOOKUP($A309,ціни!$A$4:$G$401,7)</f>
        <v>4.7473600296969378</v>
      </c>
      <c r="DN309" s="30">
        <f t="shared" si="332"/>
        <v>14848.032478693909</v>
      </c>
      <c r="DO309" s="30">
        <f t="shared" si="334"/>
        <v>2928.171666317071</v>
      </c>
      <c r="DP309" s="316">
        <f t="shared" si="335"/>
        <v>17776.204145010979</v>
      </c>
      <c r="DQ309" s="104"/>
      <c r="DR309" s="30">
        <f>VLOOKUP(A309,'ДЗ нас '!$A$1:$C$359,2)</f>
        <v>15923.31</v>
      </c>
      <c r="DS309" s="748">
        <f>VLOOKUP(A309,'ДЗ нежит'!$A$1:$D$153,4,0)</f>
        <v>3417.1899999999996</v>
      </c>
      <c r="DT309" s="30">
        <f t="shared" si="336"/>
        <v>19340.5</v>
      </c>
      <c r="DU309" s="257">
        <f>VLOOKUP(A309,'новий кошторис с 01.06'!$A$4:$AI$399,35)*1.2</f>
        <v>18949.852107058858</v>
      </c>
      <c r="DV309" s="30">
        <f t="shared" si="337"/>
        <v>390.64789294114235</v>
      </c>
      <c r="DW309" s="930">
        <f>'[5]побудинковий звіт'!DW309+'[6]побудинковий звіт'!DW309</f>
        <v>236</v>
      </c>
      <c r="DY309" s="5">
        <f t="shared" si="286"/>
        <v>57924.320158846123</v>
      </c>
      <c r="DZ309" s="5">
        <f t="shared" si="287"/>
        <v>15209.908362615242</v>
      </c>
      <c r="EA309" s="752">
        <f t="shared" si="291"/>
        <v>87235.28</v>
      </c>
      <c r="EC309" s="592">
        <f t="shared" si="288"/>
        <v>468776.55398419942</v>
      </c>
      <c r="EE309" s="758">
        <v>7756</v>
      </c>
      <c r="EF309" s="738">
        <f t="shared" si="289"/>
        <v>22766.714205542812</v>
      </c>
      <c r="EH309" s="813">
        <v>8292.6902464492287</v>
      </c>
    </row>
    <row r="310" spans="1:138" x14ac:dyDescent="0.3">
      <c r="A310" s="328">
        <v>150000872</v>
      </c>
      <c r="B310" s="44" t="s">
        <v>763</v>
      </c>
      <c r="C310" s="45" t="s">
        <v>233</v>
      </c>
      <c r="D310" s="45" t="s">
        <v>233</v>
      </c>
      <c r="E310" s="40">
        <f t="shared" si="292"/>
        <v>506.8</v>
      </c>
      <c r="F310" s="490">
        <v>373.3</v>
      </c>
      <c r="G310" s="30"/>
      <c r="H310" s="30">
        <v>133.5</v>
      </c>
      <c r="I310" s="42">
        <f>'[1]побудинковий звіт'!I310+'[2]побудинковий звіт'!I310-'[3]побудинковий звіт'!I310</f>
        <v>7675.7089439292158</v>
      </c>
      <c r="J310" s="42">
        <f>'[1]побудинковий звіт'!J310+'[2]побудинковий звіт'!J310-'[3]побудинковий звіт'!J310</f>
        <v>7592.9456986729201</v>
      </c>
      <c r="K310" s="56">
        <f t="shared" si="296"/>
        <v>-82.763245256295704</v>
      </c>
      <c r="L310" s="42">
        <f>'[1]побудинковий звіт'!L310+'[2]побудинковий звіт'!L310-'[3]побудинковий звіт'!L310</f>
        <v>1868.8831969547289</v>
      </c>
      <c r="M310" s="42">
        <f>'[1]побудинковий звіт'!M310+'[2]побудинковий звіт'!M310-'[3]побудинковий звіт'!M310</f>
        <v>1885.619092276067</v>
      </c>
      <c r="N310" s="56">
        <f t="shared" si="297"/>
        <v>16.735895321338148</v>
      </c>
      <c r="O310" s="42">
        <f>'[1]побудинковий звіт'!O310+'[2]побудинковий звіт'!O310-'[3]побудинковий звіт'!O310</f>
        <v>1672.5600000000004</v>
      </c>
      <c r="P310" s="42">
        <f>'[1]побудинковий звіт'!P310+'[2]побудинковий звіт'!P310-'[3]побудинковий звіт'!P310</f>
        <v>1314.6891293817202</v>
      </c>
      <c r="Q310" s="56">
        <f t="shared" si="298"/>
        <v>-357.87087061828015</v>
      </c>
      <c r="R310" s="42">
        <f>'[1]побудинковий звіт'!R310+'[2]побудинковий звіт'!R310-'[3]побудинковий звіт'!R310</f>
        <v>407.6400000000001</v>
      </c>
      <c r="S310" s="42">
        <f>'[1]побудинковий звіт'!S310+'[2]побудинковий звіт'!S310-'[3]побудинковий звіт'!S310</f>
        <v>320.42256201612906</v>
      </c>
      <c r="T310" s="56">
        <f t="shared" si="299"/>
        <v>-87.217437983871037</v>
      </c>
      <c r="U310" s="42">
        <f>'[1]побудинковий звіт'!U310+'[2]побудинковий звіт'!U310-'[3]побудинковий звіт'!U310</f>
        <v>0</v>
      </c>
      <c r="V310" s="42">
        <f>'[1]побудинковий звіт'!V310+'[2]побудинковий звіт'!V310-'[3]побудинковий звіт'!V310</f>
        <v>0</v>
      </c>
      <c r="W310" s="56">
        <f t="shared" si="300"/>
        <v>0</v>
      </c>
      <c r="X310" s="42">
        <f>'[1]побудинковий звіт'!X310+'[2]побудинковий звіт'!X310-'[3]побудинковий звіт'!X310</f>
        <v>2958.1811648159219</v>
      </c>
      <c r="Y310" s="42">
        <f>'[1]побудинковий звіт'!Y310+'[2]побудинковий звіт'!Y310-'[3]побудинковий звіт'!Y310</f>
        <v>2164.8493008161677</v>
      </c>
      <c r="Z310" s="56">
        <f t="shared" si="301"/>
        <v>-793.3318639997542</v>
      </c>
      <c r="AA310" s="42">
        <f>'[1]побудинковий звіт'!AA310+'[2]побудинковий звіт'!AA310-'[3]побудинковий звіт'!AA310</f>
        <v>0</v>
      </c>
      <c r="AB310" s="42">
        <f>'[1]побудинковий звіт'!AB310+'[2]побудинковий звіт'!AB310-'[3]побудинковий звіт'!AB310</f>
        <v>0</v>
      </c>
      <c r="AC310" s="56">
        <f t="shared" si="302"/>
        <v>0</v>
      </c>
      <c r="AD310" s="42">
        <f>'[1]побудинковий звіт'!AD310+'[2]побудинковий звіт'!AD310-'[3]побудинковий звіт'!AD310</f>
        <v>5175.4664877901523</v>
      </c>
      <c r="AE310" s="42">
        <f>'[1]побудинковий звіт'!AE310+'[2]побудинковий звіт'!AE310-'[3]побудинковий звіт'!AE310</f>
        <v>4901.3295804355112</v>
      </c>
      <c r="AF310" s="37">
        <f t="shared" si="303"/>
        <v>-274.13690735464115</v>
      </c>
      <c r="AG310" s="87">
        <f t="shared" si="293"/>
        <v>19758.439793490019</v>
      </c>
      <c r="AH310" s="57">
        <f t="shared" si="293"/>
        <v>18179.855363598515</v>
      </c>
      <c r="AI310" s="56">
        <f t="shared" si="304"/>
        <v>-1578.5844298915035</v>
      </c>
      <c r="AJ310" s="42">
        <f>'[1]побудинковий звіт'!AJ310+'[2]побудинковий звіт'!AJ310-'[3]побудинковий звіт'!AJ310</f>
        <v>0</v>
      </c>
      <c r="AK310" s="42">
        <f>'[1]побудинковий звіт'!AK310+'[2]побудинковий звіт'!AK310-'[3]побудинковий звіт'!AK310</f>
        <v>0</v>
      </c>
      <c r="AL310" s="56">
        <f t="shared" si="305"/>
        <v>0</v>
      </c>
      <c r="AM310" s="42">
        <f>'[1]побудинковий звіт'!AM310+'[2]побудинковий звіт'!AM310-'[3]побудинковий звіт'!AM310</f>
        <v>0</v>
      </c>
      <c r="AN310" s="42">
        <f>'[1]побудинковий звіт'!AN310+'[2]побудинковий звіт'!AN310-'[3]побудинковий звіт'!AN310</f>
        <v>0</v>
      </c>
      <c r="AO310" s="56">
        <f t="shared" si="306"/>
        <v>0</v>
      </c>
      <c r="AP310" s="42">
        <f>'[1]побудинковий звіт'!AP310+'[2]побудинковий звіт'!AP310-'[3]побудинковий звіт'!AP310</f>
        <v>994.36852503833211</v>
      </c>
      <c r="AQ310" s="42">
        <f>'[1]побудинковий звіт'!AQ310+'[2]побудинковий звіт'!AQ310-'[3]побудинковий звіт'!AQ310</f>
        <v>943.35067113050854</v>
      </c>
      <c r="AR310" s="56">
        <f t="shared" si="307"/>
        <v>-51.017853907823564</v>
      </c>
      <c r="AS310" s="42">
        <f>'[1]побудинковий звіт'!AS310+'[2]побудинковий звіт'!AS310-'[3]побудинковий звіт'!AS310</f>
        <v>12546.043901389839</v>
      </c>
      <c r="AT310" s="42">
        <f>'[1]побудинковий звіт'!AT310+'[2]побудинковий звіт'!AT310-'[3]побудинковий звіт'!AT310</f>
        <v>1476</v>
      </c>
      <c r="AU310" s="58">
        <f t="shared" si="322"/>
        <v>-11070.043901389839</v>
      </c>
      <c r="AV310" s="42">
        <f>'[1]побудинковий звіт'!AV310+'[2]побудинковий звіт'!AV310-'[3]побудинковий звіт'!AV310</f>
        <v>1457.8072437572296</v>
      </c>
      <c r="AW310" s="42">
        <f>'[1]побудинковий звіт'!AW310+'[2]побудинковий звіт'!AW310-'[3]побудинковий звіт'!AW310</f>
        <v>0</v>
      </c>
      <c r="AX310" s="59">
        <f t="shared" si="323"/>
        <v>-1457.8072437572296</v>
      </c>
      <c r="AY310" s="42">
        <f>'[1]побудинковий звіт'!AY310+'[2]побудинковий звіт'!AY310-'[3]побудинковий звіт'!AY310</f>
        <v>2408.9312030559172</v>
      </c>
      <c r="AZ310" s="42">
        <f>'[1]побудинковий звіт'!AZ310+'[2]побудинковий звіт'!AZ310-'[3]побудинковий звіт'!AZ310</f>
        <v>0</v>
      </c>
      <c r="BA310" s="37">
        <f t="shared" si="324"/>
        <v>-2408.9312030559172</v>
      </c>
      <c r="BB310" s="42">
        <f>'[1]побудинковий звіт'!BB310+'[2]побудинковий звіт'!BB310-'[3]побудинковий звіт'!BB310</f>
        <v>972.61814393057512</v>
      </c>
      <c r="BC310" s="42">
        <f>'[1]побудинковий звіт'!BC310+'[2]побудинковий звіт'!BC310-'[3]побудинковий звіт'!BC310</f>
        <v>0</v>
      </c>
      <c r="BD310" s="59">
        <f t="shared" si="325"/>
        <v>-972.61814393057512</v>
      </c>
      <c r="BE310" s="42">
        <f>'[1]побудинковий звіт'!BE310+'[2]побудинковий звіт'!BE310-'[3]побудинковий звіт'!BE310</f>
        <v>435.69922948434851</v>
      </c>
      <c r="BF310" s="42">
        <f>'[1]побудинковий звіт'!BF310+'[2]побудинковий звіт'!BF310-'[3]побудинковий звіт'!BF310</f>
        <v>0</v>
      </c>
      <c r="BG310" s="39">
        <f t="shared" si="326"/>
        <v>-435.69922948434851</v>
      </c>
      <c r="BH310" s="42">
        <f>'[1]побудинковий звіт'!BH310+'[2]побудинковий звіт'!BH310-'[3]побудинковий звіт'!BH310</f>
        <v>0</v>
      </c>
      <c r="BI310" s="42">
        <f>'[1]побудинковий звіт'!BI310+'[2]побудинковий звіт'!BI310-'[3]побудинковий звіт'!BI310</f>
        <v>0</v>
      </c>
      <c r="BJ310" s="59">
        <f t="shared" si="327"/>
        <v>0</v>
      </c>
      <c r="BK310" s="42">
        <f>'[1]побудинковий звіт'!BK310+'[2]побудинковий звіт'!BK310-'[3]побудинковий звіт'!BK310</f>
        <v>341.97962820739428</v>
      </c>
      <c r="BL310" s="42">
        <f>'[1]побудинковий звіт'!BL310+'[2]побудинковий звіт'!BL310-'[3]побудинковий звіт'!BL310</f>
        <v>4337</v>
      </c>
      <c r="BM310" s="39">
        <f t="shared" si="328"/>
        <v>3995.0203717926056</v>
      </c>
      <c r="BN310" s="42">
        <f>'[1]побудинковий звіт'!BN310+'[2]побудинковий звіт'!BN310-'[3]побудинковий звіт'!BN310</f>
        <v>0</v>
      </c>
      <c r="BO310" s="42">
        <f>'[1]побудинковий звіт'!BO310+'[2]побудинковий звіт'!BO310-'[3]побудинковий звіт'!BO310</f>
        <v>0</v>
      </c>
      <c r="BP310" s="59">
        <f t="shared" si="329"/>
        <v>0</v>
      </c>
      <c r="BQ310" s="87">
        <f t="shared" si="338"/>
        <v>5617.0354484354648</v>
      </c>
      <c r="BR310" s="43">
        <f t="shared" si="339"/>
        <v>4337</v>
      </c>
      <c r="BS310" s="59">
        <f t="shared" si="330"/>
        <v>-1280.0354484354648</v>
      </c>
      <c r="BT310" s="42">
        <f>'[1]побудинковий звіт'!BT310+'[2]побудинковий звіт'!BT310-'[3]побудинковий звіт'!BT310</f>
        <v>18727.564110620187</v>
      </c>
      <c r="BU310" s="42">
        <f>'[1]побудинковий звіт'!BU310+'[2]побудинковий звіт'!BU310-'[3]побудинковий звіт'!BU310</f>
        <v>27099.196989489152</v>
      </c>
      <c r="BV310" s="56">
        <f t="shared" si="308"/>
        <v>8371.6328788689643</v>
      </c>
      <c r="BW310" s="42">
        <f>'[1]побудинковий звіт'!BW310+'[2]побудинковий звіт'!BW310-'[3]побудинковий звіт'!BW310</f>
        <v>7995.0390941254927</v>
      </c>
      <c r="BX310" s="42">
        <f>'[1]побудинковий звіт'!BX310+'[2]побудинковий звіт'!BX310-'[3]побудинковий звіт'!BX310</f>
        <v>8190.09627345648</v>
      </c>
      <c r="BY310" s="56">
        <f t="shared" si="309"/>
        <v>195.05717933098731</v>
      </c>
      <c r="BZ310" s="42">
        <f>'[1]побудинковий звіт'!BZ310+'[2]побудинковий звіт'!BZ310-'[3]побудинковий звіт'!BZ310</f>
        <v>5363.4709241644887</v>
      </c>
      <c r="CA310" s="42">
        <f>'[1]побудинковий звіт'!CA310+'[2]побудинковий звіт'!CA310-'[3]побудинковий звіт'!CA310</f>
        <v>5359.7723014518187</v>
      </c>
      <c r="CB310" s="56">
        <f t="shared" si="310"/>
        <v>-3.6986227126699305</v>
      </c>
      <c r="CC310" s="42">
        <f>'[1]побудинковий звіт'!CC310+'[2]побудинковий звіт'!CC310-'[3]побудинковий звіт'!CC310</f>
        <v>916.81112250055253</v>
      </c>
      <c r="CD310" s="42">
        <f>'[1]побудинковий звіт'!CD310+'[2]побудинковий звіт'!CD310-'[3]побудинковий звіт'!CD310</f>
        <v>908.74750947687369</v>
      </c>
      <c r="CE310" s="56">
        <f t="shared" si="311"/>
        <v>-8.0636130236788404</v>
      </c>
      <c r="CF310" s="42">
        <f>'[1]побудинковий звіт'!CF310+'[2]побудинковий звіт'!CF310-'[3]побудинковий звіт'!CF310</f>
        <v>112.86500561086355</v>
      </c>
      <c r="CG310" s="42">
        <f>'[1]побудинковий звіт'!CG310+'[2]побудинковий звіт'!CG310-'[3]побудинковий звіт'!CG310</f>
        <v>0</v>
      </c>
      <c r="CH310" s="56">
        <f t="shared" si="312"/>
        <v>-112.86500561086355</v>
      </c>
      <c r="CI310" s="42">
        <f>'[1]побудинковий звіт'!CI310+'[2]побудинковий звіт'!CI310-'[3]побудинковий звіт'!CI310</f>
        <v>1366.3793379350261</v>
      </c>
      <c r="CJ310" s="42">
        <f>'[1]побудинковий звіт'!CJ310+'[2]побудинковий звіт'!CJ310-'[3]побудинковий звіт'!CJ310</f>
        <v>861.63178656844514</v>
      </c>
      <c r="CK310" s="56">
        <f t="shared" si="313"/>
        <v>-504.74755136658098</v>
      </c>
      <c r="CL310" s="42">
        <f>'[1]побудинковий звіт'!CL310+'[2]побудинковий звіт'!CL310-'[3]побудинковий звіт'!CL310</f>
        <v>0</v>
      </c>
      <c r="CM310" s="42">
        <f>'[1]побудинковий звіт'!CM310+'[2]побудинковий звіт'!CM310-'[3]побудинковий звіт'!CM310</f>
        <v>0</v>
      </c>
      <c r="CN310" s="56">
        <f t="shared" si="314"/>
        <v>0</v>
      </c>
      <c r="CO310" s="42">
        <f t="shared" si="294"/>
        <v>1366.3793379350261</v>
      </c>
      <c r="CP310" s="43">
        <f t="shared" si="315"/>
        <v>861.63178656844514</v>
      </c>
      <c r="CQ310" s="56">
        <f t="shared" si="316"/>
        <v>-504.74755136658098</v>
      </c>
      <c r="CR310" s="78">
        <f t="shared" si="295"/>
        <v>73398.017263310263</v>
      </c>
      <c r="CS310" s="5">
        <f t="shared" si="295"/>
        <v>67355.650895171784</v>
      </c>
      <c r="CT310" s="56">
        <f t="shared" si="317"/>
        <v>-6042.3663681384787</v>
      </c>
      <c r="CU310" s="87">
        <f t="shared" si="318"/>
        <v>88077.620715972313</v>
      </c>
      <c r="CV310" s="70">
        <f t="shared" si="319"/>
        <v>80826.781074206141</v>
      </c>
      <c r="CW310" s="37">
        <f t="shared" si="320"/>
        <v>-7250.8396417661716</v>
      </c>
      <c r="CX310" s="42">
        <f>'[1]побудинковий звіт'!CX310+'[2]побудинковий звіт'!CX310-'[3]побудинковий звіт'!CX310</f>
        <v>1826.4992840276827</v>
      </c>
      <c r="CY310" s="42">
        <f>'[1]побудинковий звіт'!CY310+'[2]побудинковий звіт'!CY310-'[3]побудинковий звіт'!CY310</f>
        <v>9077.3389257938397</v>
      </c>
      <c r="CZ310" s="56">
        <f t="shared" si="321"/>
        <v>7250.839641766157</v>
      </c>
      <c r="DA310" s="264">
        <f>'[4]побудинковий звіт'!DA310</f>
        <v>-9269.9528957294915</v>
      </c>
      <c r="DB310" s="2">
        <v>2</v>
      </c>
      <c r="DC310" s="717">
        <f>'[4]побудинковий звіт'!DC310</f>
        <v>19800.91</v>
      </c>
      <c r="DD310" s="717">
        <f>'[4]побудинковий звіт'!DD310</f>
        <v>417.06</v>
      </c>
      <c r="DE310" s="717">
        <f>'[4]побудинковий звіт'!DE310</f>
        <v>13048.3</v>
      </c>
      <c r="DF310" s="717">
        <f>'[4]побудинковий звіт'!DF310</f>
        <v>-322.33999999999997</v>
      </c>
      <c r="DG310" s="787">
        <v>-4433.0280179964029</v>
      </c>
      <c r="DH310" s="761">
        <f t="shared" si="290"/>
        <v>1078849.44</v>
      </c>
      <c r="DI310" s="784"/>
      <c r="DJ310" s="5"/>
      <c r="DK310" s="317">
        <f>VLOOKUP($A310,ціни!$A$4:$G$401,5)</f>
        <v>6.2745301597153826</v>
      </c>
      <c r="DL310" s="317"/>
      <c r="DM310" s="317">
        <f>VLOOKUP($A310,ціни!$A$4:$G$401,7)</f>
        <v>5.5385040171360194</v>
      </c>
      <c r="DN310" s="30">
        <f t="shared" si="332"/>
        <v>2342.2821086217523</v>
      </c>
      <c r="DO310" s="30">
        <f t="shared" si="334"/>
        <v>739.39028628765857</v>
      </c>
      <c r="DP310" s="316">
        <f t="shared" si="335"/>
        <v>3081.6723949094107</v>
      </c>
      <c r="DQ310" s="104"/>
      <c r="DR310" s="30">
        <f>VLOOKUP(A310,'ДЗ нас '!$A$1:$C$359,2)</f>
        <v>6752.61</v>
      </c>
      <c r="DS310" s="748">
        <f>VLOOKUP(A310,'ДЗ нежит'!$A$1:$D$153,4,0)</f>
        <v>739.4</v>
      </c>
      <c r="DT310" s="30">
        <f t="shared" si="336"/>
        <v>7492.0099999999993</v>
      </c>
      <c r="DU310" s="257">
        <f>VLOOKUP(A310,'новий кошторис с 01.06'!$A$4:$AI$399,35)*1.2</f>
        <v>7559.9957781209578</v>
      </c>
      <c r="DV310" s="30">
        <f t="shared" si="337"/>
        <v>-67.985778120958457</v>
      </c>
      <c r="DW310" s="930">
        <f>'[5]побудинковий звіт'!DW310+'[6]побудинковий звіт'!DW310</f>
        <v>204</v>
      </c>
      <c r="DY310" s="5">
        <f t="shared" si="286"/>
        <v>21795.695219790363</v>
      </c>
      <c r="DZ310" s="5">
        <f t="shared" si="287"/>
        <v>6975.5999999999995</v>
      </c>
      <c r="EA310" s="752">
        <f t="shared" si="291"/>
        <v>12725.96</v>
      </c>
      <c r="EC310" s="592">
        <f t="shared" si="288"/>
        <v>150552.52681667806</v>
      </c>
      <c r="EE310" s="758">
        <v>-4339</v>
      </c>
      <c r="EF310" s="738">
        <f t="shared" si="289"/>
        <v>-8772.0280179964029</v>
      </c>
      <c r="EH310" s="813">
        <v>-3840.4887488085751</v>
      </c>
    </row>
    <row r="311" spans="1:138" x14ac:dyDescent="0.3">
      <c r="A311" s="328">
        <v>150000862</v>
      </c>
      <c r="B311" s="44" t="s">
        <v>764</v>
      </c>
      <c r="C311" s="45" t="s">
        <v>234</v>
      </c>
      <c r="D311" s="45" t="s">
        <v>234</v>
      </c>
      <c r="E311" s="40">
        <f t="shared" si="292"/>
        <v>3259.9</v>
      </c>
      <c r="F311" s="490">
        <v>2559.3000000000002</v>
      </c>
      <c r="G311" s="30"/>
      <c r="H311" s="30">
        <v>700.6</v>
      </c>
      <c r="I311" s="42">
        <f>'[1]побудинковий звіт'!I311+'[2]побудинковий звіт'!I311-'[3]побудинковий звіт'!I311</f>
        <v>14287.504651554107</v>
      </c>
      <c r="J311" s="42">
        <f>'[1]побудинковий звіт'!J311+'[2]побудинковий звіт'!J311-'[3]побудинковий звіт'!J311</f>
        <v>14234.990933108646</v>
      </c>
      <c r="K311" s="56">
        <f t="shared" si="296"/>
        <v>-52.513718445461564</v>
      </c>
      <c r="L311" s="42">
        <f>'[1]побудинковий звіт'!L311+'[2]побудинковий звіт'!L311-'[3]побудинковий звіт'!L311</f>
        <v>2865.4571410572662</v>
      </c>
      <c r="M311" s="42">
        <f>'[1]побудинковий звіт'!M311+'[2]побудинковий звіт'!M311-'[3]побудинковий звіт'!M311</f>
        <v>2891.1233834074465</v>
      </c>
      <c r="N311" s="56">
        <f t="shared" si="297"/>
        <v>25.666242350180255</v>
      </c>
      <c r="O311" s="42">
        <f>'[1]побудинковий звіт'!O311+'[2]побудинковий звіт'!O311-'[3]побудинковий звіт'!O311</f>
        <v>5438.2799999999988</v>
      </c>
      <c r="P311" s="42">
        <f>'[1]побудинковий звіт'!P311+'[2]побудинковий звіт'!P311-'[3]побудинковий звіт'!P311</f>
        <v>4274.6936209677424</v>
      </c>
      <c r="Q311" s="56">
        <f t="shared" si="298"/>
        <v>-1163.5863790322564</v>
      </c>
      <c r="R311" s="42">
        <f>'[1]побудинковий звіт'!R311+'[2]побудинковий звіт'!R311-'[3]побудинковий звіт'!R311</f>
        <v>0</v>
      </c>
      <c r="S311" s="42">
        <f>'[1]побудинковий звіт'!S311+'[2]побудинковий звіт'!S311-'[3]побудинковий звіт'!S311</f>
        <v>0</v>
      </c>
      <c r="T311" s="56">
        <f t="shared" si="299"/>
        <v>0</v>
      </c>
      <c r="U311" s="42">
        <f>'[1]побудинковий звіт'!U311+'[2]побудинковий звіт'!U311-'[3]побудинковий звіт'!U311</f>
        <v>0</v>
      </c>
      <c r="V311" s="42">
        <f>'[1]побудинковий звіт'!V311+'[2]побудинковий звіт'!V311-'[3]побудинковий звіт'!V311</f>
        <v>0</v>
      </c>
      <c r="W311" s="56">
        <f t="shared" si="300"/>
        <v>0</v>
      </c>
      <c r="X311" s="42">
        <f>'[1]побудинковий звіт'!X311+'[2]побудинковий звіт'!X311-'[3]побудинковий звіт'!X311</f>
        <v>14032.225965713786</v>
      </c>
      <c r="Y311" s="42">
        <f>'[1]побудинковий звіт'!Y311+'[2]побудинковий звіт'!Y311-'[3]побудинковий звіт'!Y311</f>
        <v>11208.92561989806</v>
      </c>
      <c r="Z311" s="56">
        <f t="shared" si="301"/>
        <v>-2823.3003458157254</v>
      </c>
      <c r="AA311" s="42">
        <f>'[1]побудинковий звіт'!AA311+'[2]побудинковий звіт'!AA311-'[3]побудинковий звіт'!AA311</f>
        <v>0</v>
      </c>
      <c r="AB311" s="42">
        <f>'[1]побудинковий звіт'!AB311+'[2]побудинковий звіт'!AB311-'[3]побудинковий звіт'!AB311</f>
        <v>0</v>
      </c>
      <c r="AC311" s="56">
        <f t="shared" si="302"/>
        <v>0</v>
      </c>
      <c r="AD311" s="42">
        <f>'[1]побудинковий звіт'!AD311+'[2]побудинковий звіт'!AD311-'[3]побудинковий звіт'!AD311</f>
        <v>19181.807841106576</v>
      </c>
      <c r="AE311" s="42">
        <f>'[1]побудинковий звіт'!AE311+'[2]побудинковий звіт'!AE311-'[3]побудинковий звіт'!AE311</f>
        <v>16568.485470382962</v>
      </c>
      <c r="AF311" s="37">
        <f t="shared" si="303"/>
        <v>-2613.3223707236139</v>
      </c>
      <c r="AG311" s="87">
        <f t="shared" si="293"/>
        <v>55805.275599431727</v>
      </c>
      <c r="AH311" s="57">
        <f t="shared" si="293"/>
        <v>49178.219027764855</v>
      </c>
      <c r="AI311" s="56">
        <f t="shared" si="304"/>
        <v>-6627.0565716668716</v>
      </c>
      <c r="AJ311" s="42">
        <f>'[1]побудинковий звіт'!AJ311+'[2]побудинковий звіт'!AJ311-'[3]побудинковий звіт'!AJ311</f>
        <v>0</v>
      </c>
      <c r="AK311" s="42">
        <f>'[1]побудинковий звіт'!AK311+'[2]побудинковий звіт'!AK311-'[3]побудинковий звіт'!AK311</f>
        <v>0</v>
      </c>
      <c r="AL311" s="56">
        <f t="shared" si="305"/>
        <v>0</v>
      </c>
      <c r="AM311" s="42">
        <f>'[1]побудинковий звіт'!AM311+'[2]побудинковий звіт'!AM311-'[3]побудинковий звіт'!AM311</f>
        <v>0</v>
      </c>
      <c r="AN311" s="42">
        <f>'[1]побудинковий звіт'!AN311+'[2]побудинковий звіт'!AN311-'[3]побудинковий звіт'!AN311</f>
        <v>0</v>
      </c>
      <c r="AO311" s="56">
        <f t="shared" si="306"/>
        <v>0</v>
      </c>
      <c r="AP311" s="42">
        <f>'[1]побудинковий звіт'!AP311+'[2]побудинковий звіт'!AP311-'[3]побудинковий звіт'!AP311</f>
        <v>8949.3167253449919</v>
      </c>
      <c r="AQ311" s="42">
        <f>'[1]побудинковий звіт'!AQ311+'[2]побудинковий звіт'!AQ311-'[3]побудинковий звіт'!AQ311</f>
        <v>7169.6335998675877</v>
      </c>
      <c r="AR311" s="56">
        <f t="shared" si="307"/>
        <v>-1779.6831254774042</v>
      </c>
      <c r="AS311" s="42">
        <f>'[1]побудинковий звіт'!AS311+'[2]побудинковий звіт'!AS311-'[3]побудинковий звіт'!AS311</f>
        <v>43062.724006882003</v>
      </c>
      <c r="AT311" s="42">
        <f>'[1]побудинковий звіт'!AT311+'[2]побудинковий звіт'!AT311-'[3]побудинковий звіт'!AT311</f>
        <v>8804.6553179751081</v>
      </c>
      <c r="AU311" s="58">
        <f t="shared" si="322"/>
        <v>-34258.068688906897</v>
      </c>
      <c r="AV311" s="42">
        <f>'[1]побудинковий звіт'!AV311+'[2]побудинковий звіт'!AV311-'[3]побудинковий звіт'!AV311</f>
        <v>2579.5611341037534</v>
      </c>
      <c r="AW311" s="42">
        <f>'[1]побудинковий звіт'!AW311+'[2]побудинковий звіт'!AW311-'[3]побудинковий звіт'!AW311</f>
        <v>3867</v>
      </c>
      <c r="AX311" s="59">
        <f t="shared" si="323"/>
        <v>1287.4388658962466</v>
      </c>
      <c r="AY311" s="42">
        <f>'[1]побудинковий звіт'!AY311+'[2]побудинковий звіт'!AY311-'[3]побудинковий звіт'!AY311</f>
        <v>3693.0497665428493</v>
      </c>
      <c r="AZ311" s="42">
        <f>'[1]побудинковий звіт'!AZ311+'[2]побудинковий звіт'!AZ311-'[3]побудинковий звіт'!AZ311</f>
        <v>1382</v>
      </c>
      <c r="BA311" s="37">
        <f t="shared" si="324"/>
        <v>-2311.0497665428493</v>
      </c>
      <c r="BB311" s="42">
        <f>'[1]побудинковий звіт'!BB311+'[2]побудинковий звіт'!BB311-'[3]побудинковий звіт'!BB311</f>
        <v>2522.8422228112031</v>
      </c>
      <c r="BC311" s="42">
        <f>'[1]побудинковий звіт'!BC311+'[2]побудинковий звіт'!BC311-'[3]побудинковий звіт'!BC311</f>
        <v>1989</v>
      </c>
      <c r="BD311" s="59">
        <f t="shared" si="325"/>
        <v>-533.8422228112031</v>
      </c>
      <c r="BE311" s="42">
        <f>'[1]побудинковий звіт'!BE311+'[2]побудинковий звіт'!BE311-'[3]побудинковий звіт'!BE311</f>
        <v>0</v>
      </c>
      <c r="BF311" s="42">
        <f>'[1]побудинковий звіт'!BF311+'[2]побудинковий звіт'!BF311-'[3]побудинковий звіт'!BF311</f>
        <v>0</v>
      </c>
      <c r="BG311" s="39">
        <f t="shared" si="326"/>
        <v>0</v>
      </c>
      <c r="BH311" s="42">
        <f>'[1]побудинковий звіт'!BH311+'[2]побудинковий звіт'!BH311-'[3]побудинковий звіт'!BH311</f>
        <v>0</v>
      </c>
      <c r="BI311" s="42">
        <f>'[1]побудинковий звіт'!BI311+'[2]побудинковий звіт'!BI311-'[3]побудинковий звіт'!BI311</f>
        <v>0</v>
      </c>
      <c r="BJ311" s="59">
        <f t="shared" si="327"/>
        <v>0</v>
      </c>
      <c r="BK311" s="42">
        <f>'[1]побудинковий звіт'!BK311+'[2]побудинковий звіт'!BK311-'[3]побудинковий звіт'!BK311</f>
        <v>0</v>
      </c>
      <c r="BL311" s="42">
        <f>'[1]побудинковий звіт'!BL311+'[2]побудинковий звіт'!BL311-'[3]побудинковий звіт'!BL311</f>
        <v>2898</v>
      </c>
      <c r="BM311" s="39">
        <f t="shared" si="328"/>
        <v>2898</v>
      </c>
      <c r="BN311" s="42">
        <f>'[1]побудинковий звіт'!BN311+'[2]побудинковий звіт'!BN311-'[3]побудинковий звіт'!BN311</f>
        <v>0</v>
      </c>
      <c r="BO311" s="42">
        <f>'[1]побудинковий звіт'!BO311+'[2]побудинковий звіт'!BO311-'[3]побудинковий звіт'!BO311</f>
        <v>0</v>
      </c>
      <c r="BP311" s="59">
        <f t="shared" si="329"/>
        <v>0</v>
      </c>
      <c r="BQ311" s="87">
        <f t="shared" si="338"/>
        <v>8795.4531234578062</v>
      </c>
      <c r="BR311" s="43">
        <f t="shared" si="339"/>
        <v>10136</v>
      </c>
      <c r="BS311" s="59">
        <f t="shared" si="330"/>
        <v>1340.5468765421938</v>
      </c>
      <c r="BT311" s="42">
        <f>'[1]побудинковий звіт'!BT311+'[2]побудинковий звіт'!BT311-'[3]побудинковий звіт'!BT311</f>
        <v>75124.436615371393</v>
      </c>
      <c r="BU311" s="42">
        <f>'[1]побудинковий звіт'!BU311+'[2]побудинковий звіт'!BU311-'[3]побудинковий звіт'!BU311</f>
        <v>85531.908514227587</v>
      </c>
      <c r="BV311" s="56">
        <f t="shared" si="308"/>
        <v>10407.471898856194</v>
      </c>
      <c r="BW311" s="42">
        <f>'[1]побудинковий звіт'!BW311+'[2]побудинковий звіт'!BW311-'[3]побудинковий звіт'!BW311</f>
        <v>30325.663828000237</v>
      </c>
      <c r="BX311" s="42">
        <f>'[1]побудинковий звіт'!BX311+'[2]побудинковий звіт'!BX311-'[3]побудинковий звіт'!BX311</f>
        <v>38456.825499736682</v>
      </c>
      <c r="BY311" s="56">
        <f t="shared" si="309"/>
        <v>8131.161671736445</v>
      </c>
      <c r="BZ311" s="42">
        <f>'[1]побудинковий звіт'!BZ311+'[2]побудинковий звіт'!BZ311-'[3]побудинковий звіт'!BZ311</f>
        <v>15846.333127073613</v>
      </c>
      <c r="CA311" s="42">
        <f>'[1]побудинковий звіт'!CA311+'[2]побудинковий звіт'!CA311-'[3]побудинковий звіт'!CA311</f>
        <v>23042.228411940963</v>
      </c>
      <c r="CB311" s="56">
        <f t="shared" si="310"/>
        <v>7195.8952848673507</v>
      </c>
      <c r="CC311" s="42">
        <f>'[1]побудинковий звіт'!CC311+'[2]побудинковий звіт'!CC311-'[3]побудинковий звіт'!CC311</f>
        <v>1169.1768405324658</v>
      </c>
      <c r="CD311" s="42">
        <f>'[1]побудинковий звіт'!CD311+'[2]побудинковий звіт'!CD311-'[3]побудинковий звіт'!CD311</f>
        <v>1158.8935996697378</v>
      </c>
      <c r="CE311" s="56">
        <f t="shared" si="311"/>
        <v>-10.283240862728007</v>
      </c>
      <c r="CF311" s="42">
        <f>'[1]побудинковий звіт'!CF311+'[2]побудинковий звіт'!CF311-'[3]побудинковий звіт'!CF311</f>
        <v>143.93275498979219</v>
      </c>
      <c r="CG311" s="42">
        <f>'[1]побудинковий звіт'!CG311+'[2]побудинковий звіт'!CG311-'[3]побудинковий звіт'!CG311</f>
        <v>1364.4765505177534</v>
      </c>
      <c r="CH311" s="56">
        <f t="shared" si="312"/>
        <v>1220.5437955279613</v>
      </c>
      <c r="CI311" s="42">
        <f>'[1]побудинковий звіт'!CI311+'[2]побудинковий звіт'!CI311-'[3]побудинковий звіт'!CI311</f>
        <v>2077.6452946683271</v>
      </c>
      <c r="CJ311" s="42">
        <f>'[1]побудинковий звіт'!CJ311+'[2]побудинковий звіт'!CJ311-'[3]побудинковий звіт'!CJ311</f>
        <v>8227.9656227499181</v>
      </c>
      <c r="CK311" s="56">
        <f t="shared" si="313"/>
        <v>6150.3203280815906</v>
      </c>
      <c r="CL311" s="42">
        <f>'[1]побудинковий звіт'!CL311+'[2]побудинковий звіт'!CL311-'[3]побудинковий звіт'!CL311</f>
        <v>0</v>
      </c>
      <c r="CM311" s="42">
        <f>'[1]побудинковий звіт'!CM311+'[2]побудинковий звіт'!CM311-'[3]побудинковий звіт'!CM311</f>
        <v>0</v>
      </c>
      <c r="CN311" s="56">
        <f t="shared" si="314"/>
        <v>0</v>
      </c>
      <c r="CO311" s="42">
        <f t="shared" si="294"/>
        <v>2077.6452946683271</v>
      </c>
      <c r="CP311" s="43">
        <f t="shared" si="315"/>
        <v>8227.9656227499181</v>
      </c>
      <c r="CQ311" s="56">
        <f t="shared" si="316"/>
        <v>6150.3203280815906</v>
      </c>
      <c r="CR311" s="78">
        <f t="shared" si="295"/>
        <v>241299.95791575237</v>
      </c>
      <c r="CS311" s="5">
        <f t="shared" si="295"/>
        <v>233070.80614445018</v>
      </c>
      <c r="CT311" s="56">
        <f t="shared" si="317"/>
        <v>-8229.1517713021894</v>
      </c>
      <c r="CU311" s="87">
        <f t="shared" si="318"/>
        <v>289559.94949890283</v>
      </c>
      <c r="CV311" s="70">
        <f t="shared" si="319"/>
        <v>279684.96737334022</v>
      </c>
      <c r="CW311" s="37">
        <f t="shared" si="320"/>
        <v>-9874.9821255626157</v>
      </c>
      <c r="CX311" s="42">
        <f>'[1]побудинковий звіт'!CX311+'[2]побудинковий звіт'!CX311-'[3]побудинковий звіт'!CX311</f>
        <v>-1946.2294989027832</v>
      </c>
      <c r="CY311" s="42">
        <f>'[1]побудинковий звіт'!CY311+'[2]побудинковий звіт'!CY311-'[3]побудинковий звіт'!CY311</f>
        <v>7928.7526266597579</v>
      </c>
      <c r="CZ311" s="56">
        <f t="shared" si="321"/>
        <v>9874.9821255625411</v>
      </c>
      <c r="DA311" s="264">
        <f>'[4]побудинковий звіт'!DA311</f>
        <v>-77425.670733235471</v>
      </c>
      <c r="DB311" s="2">
        <v>2</v>
      </c>
      <c r="DC311" s="717">
        <f>'[4]побудинковий звіт'!DC311</f>
        <v>85093.75</v>
      </c>
      <c r="DD311" s="717">
        <f>'[4]побудинковий звіт'!DD311</f>
        <v>4938.88</v>
      </c>
      <c r="DE311" s="717">
        <f>'[4]побудинковий звіт'!DE311</f>
        <v>65017.83</v>
      </c>
      <c r="DF311" s="717">
        <f>'[4]побудинковий звіт'!DF311</f>
        <v>1366.0099999999998</v>
      </c>
      <c r="DG311" s="787">
        <v>-101973.58922443865</v>
      </c>
      <c r="DH311" s="761">
        <f t="shared" si="290"/>
        <v>3451364.6400000006</v>
      </c>
      <c r="DI311" s="784"/>
      <c r="DJ311" s="5"/>
      <c r="DK311" s="317">
        <f>VLOOKUP($A311,ціни!$A$4:$G$401,5)</f>
        <v>5.7042060920261077</v>
      </c>
      <c r="DL311" s="317"/>
      <c r="DM311" s="317">
        <f>VLOOKUP($A311,ціни!$A$4:$G$401,7)</f>
        <v>4.820415314860254</v>
      </c>
      <c r="DN311" s="30">
        <f t="shared" si="332"/>
        <v>14598.774651322419</v>
      </c>
      <c r="DO311" s="30">
        <f t="shared" si="334"/>
        <v>3377.1829695910942</v>
      </c>
      <c r="DP311" s="316">
        <f t="shared" si="335"/>
        <v>17975.957620913512</v>
      </c>
      <c r="DQ311" s="104"/>
      <c r="DR311" s="30">
        <f>VLOOKUP(A311,'ДЗ нас '!$A$1:$C$359,2)</f>
        <v>20075.919999999998</v>
      </c>
      <c r="DS311" s="748">
        <f>VLOOKUP(A311,'ДЗ нежит'!$A$1:$D$153,4,0)</f>
        <v>3572.8700000000003</v>
      </c>
      <c r="DT311" s="30">
        <f t="shared" si="336"/>
        <v>23648.789999999997</v>
      </c>
      <c r="DU311" s="257">
        <f>VLOOKUP(A311,'новий кошторис с 01.06'!$A$4:$AI$399,35)*1.2</f>
        <v>24853.895665322492</v>
      </c>
      <c r="DV311" s="30">
        <f t="shared" si="337"/>
        <v>-1205.105665322495</v>
      </c>
      <c r="DW311" s="930">
        <f>'[5]побудинковий звіт'!DW311+'[6]побудинковий звіт'!DW311</f>
        <v>236</v>
      </c>
      <c r="DY311" s="5">
        <f t="shared" si="286"/>
        <v>62229.812556407771</v>
      </c>
      <c r="DZ311" s="5">
        <f t="shared" si="287"/>
        <v>22728.786381570128</v>
      </c>
      <c r="EA311" s="752">
        <f t="shared" si="291"/>
        <v>66383.839999999997</v>
      </c>
      <c r="EC311" s="592">
        <f t="shared" si="288"/>
        <v>516752.68808258406</v>
      </c>
      <c r="EE311" s="758">
        <v>333039</v>
      </c>
      <c r="EF311" s="738">
        <f t="shared" si="289"/>
        <v>231065.41077556135</v>
      </c>
      <c r="EH311" s="813">
        <v>-69444.187036199044</v>
      </c>
    </row>
    <row r="312" spans="1:138" x14ac:dyDescent="0.3">
      <c r="A312" s="328">
        <v>150000863</v>
      </c>
      <c r="B312" s="44" t="s">
        <v>765</v>
      </c>
      <c r="C312" s="45" t="s">
        <v>235</v>
      </c>
      <c r="D312" s="45" t="s">
        <v>235</v>
      </c>
      <c r="E312" s="40">
        <f t="shared" si="292"/>
        <v>3099.54</v>
      </c>
      <c r="F312" s="490">
        <v>2100.34</v>
      </c>
      <c r="G312" s="30"/>
      <c r="H312" s="30">
        <v>999.19999999999993</v>
      </c>
      <c r="I312" s="42">
        <f>'[1]побудинковий звіт'!I312+'[2]побудинковий звіт'!I312-'[3]побудинковий звіт'!I312</f>
        <v>10877.550523694379</v>
      </c>
      <c r="J312" s="42">
        <f>'[1]побудинковий звіт'!J312+'[2]побудинковий звіт'!J312-'[3]побудинковий звіт'!J312</f>
        <v>10825.261987441572</v>
      </c>
      <c r="K312" s="56">
        <f t="shared" si="296"/>
        <v>-52.288536252806807</v>
      </c>
      <c r="L312" s="42">
        <f>'[1]побудинковий звіт'!L312+'[2]побудинковий звіт'!L312-'[3]побудинковий звіт'!L312</f>
        <v>2298.2249935527861</v>
      </c>
      <c r="M312" s="42">
        <f>'[1]побудинковий звіт'!M312+'[2]побудинковий звіт'!M312-'[3]побудинковий звіт'!M312</f>
        <v>2347.4458176728658</v>
      </c>
      <c r="N312" s="56">
        <f t="shared" si="297"/>
        <v>49.220824120079669</v>
      </c>
      <c r="O312" s="42">
        <f>'[1]побудинковий звіт'!O312+'[2]побудинковий звіт'!O312-'[3]побудинковий звіт'!O312</f>
        <v>4090.0800000000004</v>
      </c>
      <c r="P312" s="42">
        <f>'[1]побудинковий звіт'!P312+'[2]побудинковий звіт'!P312-'[3]побудинковий звіт'!P312</f>
        <v>3214.7485510752686</v>
      </c>
      <c r="Q312" s="56">
        <f t="shared" si="298"/>
        <v>-875.33144892473183</v>
      </c>
      <c r="R312" s="42">
        <f>'[1]побудинковий звіт'!R312+'[2]побудинковий звіт'!R312-'[3]побудинковий звіт'!R312</f>
        <v>1177.56</v>
      </c>
      <c r="S312" s="42">
        <f>'[1]побудинковий звіт'!S312+'[2]побудинковий звіт'!S312-'[3]побудинковий звіт'!S312</f>
        <v>925.38415725806453</v>
      </c>
      <c r="T312" s="56">
        <f t="shared" si="299"/>
        <v>-252.17584274193541</v>
      </c>
      <c r="U312" s="42">
        <f>'[1]побудинковий звіт'!U312+'[2]побудинковий звіт'!U312-'[3]побудинковий звіт'!U312</f>
        <v>0</v>
      </c>
      <c r="V312" s="42">
        <f>'[1]побудинковий звіт'!V312+'[2]побудинковий звіт'!V312-'[3]побудинковий звіт'!V312</f>
        <v>0</v>
      </c>
      <c r="W312" s="56">
        <f t="shared" si="300"/>
        <v>0</v>
      </c>
      <c r="X312" s="42">
        <f>'[1]побудинковий звіт'!X312+'[2]побудинковий звіт'!X312-'[3]побудинковий звіт'!X312</f>
        <v>10315.53625451643</v>
      </c>
      <c r="Y312" s="42">
        <f>'[1]побудинковий звіт'!Y312+'[2]побудинковий звіт'!Y312-'[3]побудинковий звіт'!Y312</f>
        <v>8046.6663847711861</v>
      </c>
      <c r="Z312" s="56">
        <f t="shared" si="301"/>
        <v>-2268.8698697452437</v>
      </c>
      <c r="AA312" s="42">
        <f>'[1]побудинковий звіт'!AA312+'[2]побудинковий звіт'!AA312-'[3]побудинковий звіт'!AA312</f>
        <v>0</v>
      </c>
      <c r="AB312" s="42">
        <f>'[1]побудинковий звіт'!AB312+'[2]побудинковий звіт'!AB312-'[3]побудинковий звіт'!AB312</f>
        <v>0</v>
      </c>
      <c r="AC312" s="56">
        <f t="shared" si="302"/>
        <v>0</v>
      </c>
      <c r="AD312" s="42">
        <f>'[1]побудинковий звіт'!AD312+'[2]побудинковий звіт'!AD312-'[3]побудинковий звіт'!AD312</f>
        <v>14208.16060168365</v>
      </c>
      <c r="AE312" s="42">
        <f>'[1]побудинковий звіт'!AE312+'[2]побудинковий звіт'!AE312-'[3]побудинковий звіт'!AE312</f>
        <v>12917.826877800802</v>
      </c>
      <c r="AF312" s="37">
        <f t="shared" si="303"/>
        <v>-1290.3337238828481</v>
      </c>
      <c r="AG312" s="87">
        <f t="shared" si="293"/>
        <v>42967.112373447249</v>
      </c>
      <c r="AH312" s="57">
        <f t="shared" si="293"/>
        <v>38277.333776019761</v>
      </c>
      <c r="AI312" s="56">
        <f t="shared" si="304"/>
        <v>-4689.7785974274884</v>
      </c>
      <c r="AJ312" s="42">
        <f>'[1]побудинковий звіт'!AJ312+'[2]побудинковий звіт'!AJ312-'[3]побудинковий звіт'!AJ312</f>
        <v>0</v>
      </c>
      <c r="AK312" s="42">
        <f>'[1]побудинковий звіт'!AK312+'[2]побудинковий звіт'!AK312-'[3]побудинковий звіт'!AK312</f>
        <v>0</v>
      </c>
      <c r="AL312" s="56">
        <f t="shared" si="305"/>
        <v>0</v>
      </c>
      <c r="AM312" s="42">
        <f>'[1]побудинковий звіт'!AM312+'[2]побудинковий звіт'!AM312-'[3]побудинковий звіт'!AM312</f>
        <v>0</v>
      </c>
      <c r="AN312" s="42">
        <f>'[1]побудинковий звіт'!AN312+'[2]побудинковий звіт'!AN312-'[3]побудинковий звіт'!AN312</f>
        <v>0</v>
      </c>
      <c r="AO312" s="56">
        <f t="shared" si="306"/>
        <v>0</v>
      </c>
      <c r="AP312" s="42">
        <f>'[1]побудинковий звіт'!AP312+'[2]побудинковий звіт'!AP312-'[3]побудинковий звіт'!AP312</f>
        <v>1846.6844036426169</v>
      </c>
      <c r="AQ312" s="42">
        <f>'[1]побудинковий звіт'!AQ312+'[2]побудинковий звіт'!AQ312-'[3]побудинковий звіт'!AQ312</f>
        <v>1500.1199998799402</v>
      </c>
      <c r="AR312" s="56">
        <f t="shared" si="307"/>
        <v>-346.56440376267665</v>
      </c>
      <c r="AS312" s="42">
        <f>'[1]побудинковий звіт'!AS312+'[2]побудинковий звіт'!AS312-'[3]побудинковий звіт'!AS312</f>
        <v>39971.423198093136</v>
      </c>
      <c r="AT312" s="42">
        <f>'[1]побудинковий звіт'!AT312+'[2]побудинковий звіт'!AT312-'[3]побудинковий звіт'!AT312</f>
        <v>34200.777528742168</v>
      </c>
      <c r="AU312" s="58">
        <f t="shared" si="322"/>
        <v>-5770.6456693509681</v>
      </c>
      <c r="AV312" s="42">
        <f>'[1]побудинковий звіт'!AV312+'[2]побудинковий звіт'!AV312-'[3]побудинковий звіт'!AV312</f>
        <v>2001.9872785339096</v>
      </c>
      <c r="AW312" s="42">
        <f>'[1]побудинковий звіт'!AW312+'[2]побудинковий звіт'!AW312-'[3]побудинковий звіт'!AW312</f>
        <v>3247</v>
      </c>
      <c r="AX312" s="59">
        <f t="shared" si="323"/>
        <v>1245.0127214660904</v>
      </c>
      <c r="AY312" s="42">
        <f>'[1]побудинковий звіт'!AY312+'[2]побудинковий звіт'!AY312-'[3]побудинковий звіт'!AY312</f>
        <v>2961.9566150309606</v>
      </c>
      <c r="AZ312" s="42">
        <f>'[1]побудинковий звіт'!AZ312+'[2]побудинковий звіт'!AZ312-'[3]побудинковий звіт'!AZ312</f>
        <v>0</v>
      </c>
      <c r="BA312" s="37">
        <f t="shared" si="324"/>
        <v>-2961.9566150309606</v>
      </c>
      <c r="BB312" s="42">
        <f>'[1]побудинковий звіт'!BB312+'[2]побудинковий звіт'!BB312-'[3]побудинковий звіт'!BB312</f>
        <v>2435.6050820057662</v>
      </c>
      <c r="BC312" s="42">
        <f>'[1]побудинковий звіт'!BC312+'[2]побудинковий звіт'!BC312-'[3]побудинковий звіт'!BC312</f>
        <v>2158</v>
      </c>
      <c r="BD312" s="59">
        <f t="shared" si="325"/>
        <v>-277.60508200576623</v>
      </c>
      <c r="BE312" s="42">
        <f>'[1]побудинковий звіт'!BE312+'[2]побудинковий звіт'!BE312-'[3]побудинковий звіт'!BE312</f>
        <v>1197.4818654364203</v>
      </c>
      <c r="BF312" s="42">
        <f>'[1]побудинковий звіт'!BF312+'[2]побудинковий звіт'!BF312-'[3]побудинковий звіт'!BF312</f>
        <v>0</v>
      </c>
      <c r="BG312" s="39">
        <f t="shared" si="326"/>
        <v>-1197.4818654364203</v>
      </c>
      <c r="BH312" s="42">
        <f>'[1]побудинковий звіт'!BH312+'[2]побудинковий звіт'!BH312-'[3]побудинковий звіт'!BH312</f>
        <v>0</v>
      </c>
      <c r="BI312" s="42">
        <f>'[1]побудинковий звіт'!BI312+'[2]побудинковий звіт'!BI312-'[3]побудинковий звіт'!BI312</f>
        <v>3172</v>
      </c>
      <c r="BJ312" s="59">
        <f t="shared" si="327"/>
        <v>3172</v>
      </c>
      <c r="BK312" s="42">
        <f>'[1]побудинковий звіт'!BK312+'[2]побудинковий звіт'!BK312-'[3]побудинковий звіт'!BK312</f>
        <v>1442.4827038778769</v>
      </c>
      <c r="BL312" s="42">
        <f>'[1]побудинковий звіт'!BL312+'[2]побудинковий звіт'!BL312-'[3]побудинковий звіт'!BL312</f>
        <v>0</v>
      </c>
      <c r="BM312" s="39">
        <f t="shared" si="328"/>
        <v>-1442.4827038778769</v>
      </c>
      <c r="BN312" s="42">
        <f>'[1]побудинковий звіт'!BN312+'[2]побудинковий звіт'!BN312-'[3]побудинковий звіт'!BN312</f>
        <v>0</v>
      </c>
      <c r="BO312" s="42">
        <f>'[1]побудинковий звіт'!BO312+'[2]побудинковий звіт'!BO312-'[3]побудинковий звіт'!BO312</f>
        <v>0</v>
      </c>
      <c r="BP312" s="59">
        <f t="shared" si="329"/>
        <v>0</v>
      </c>
      <c r="BQ312" s="87">
        <f t="shared" si="338"/>
        <v>10039.513544884934</v>
      </c>
      <c r="BR312" s="43">
        <f t="shared" si="339"/>
        <v>8577</v>
      </c>
      <c r="BS312" s="59">
        <f t="shared" si="330"/>
        <v>-1462.5135448849342</v>
      </c>
      <c r="BT312" s="42">
        <f>'[1]побудинковий звіт'!BT312+'[2]побудинковий звіт'!BT312-'[3]побудинковий звіт'!BT312</f>
        <v>48969.183789418508</v>
      </c>
      <c r="BU312" s="42">
        <f>'[1]побудинковий звіт'!BU312+'[2]побудинковий звіт'!BU312-'[3]побудинковий звіт'!BU312</f>
        <v>61620.348560415019</v>
      </c>
      <c r="BV312" s="56">
        <f t="shared" si="308"/>
        <v>12651.164770996511</v>
      </c>
      <c r="BW312" s="42">
        <f>'[1]побудинковий звіт'!BW312+'[2]побудинковий звіт'!BW312-'[3]побудинковий звіт'!BW312</f>
        <v>28069.284323628563</v>
      </c>
      <c r="BX312" s="42">
        <f>'[1]побудинковий звіт'!BX312+'[2]побудинковий звіт'!BX312-'[3]побудинковий звіт'!BX312</f>
        <v>33108.226660480308</v>
      </c>
      <c r="BY312" s="56">
        <f t="shared" si="309"/>
        <v>5038.9423368517455</v>
      </c>
      <c r="BZ312" s="42">
        <f>'[1]побудинковий звіт'!BZ312+'[2]побудинковий звіт'!BZ312-'[3]побудинковий звіт'!BZ312</f>
        <v>22812.48410325143</v>
      </c>
      <c r="CA312" s="42">
        <f>'[1]побудинковий звіт'!CA312+'[2]побудинковий звіт'!CA312-'[3]побудинковий звіт'!CA312</f>
        <v>14301.250941396676</v>
      </c>
      <c r="CB312" s="56">
        <f t="shared" si="310"/>
        <v>-8511.2331618547541</v>
      </c>
      <c r="CC312" s="42">
        <f>'[1]побудинковий звіт'!CC312+'[2]побудинковий звіт'!CC312-'[3]побудинковий звіт'!CC312</f>
        <v>1088.2903924453146</v>
      </c>
      <c r="CD312" s="42">
        <f>'[1]побудинковий звіт'!CD312+'[2]побудинковий звіт'!CD312-'[3]побудинковий звіт'!CD312</f>
        <v>1078.7185707617687</v>
      </c>
      <c r="CE312" s="56">
        <f t="shared" si="311"/>
        <v>-9.5718216835459771</v>
      </c>
      <c r="CF312" s="42">
        <f>'[1]побудинковий звіт'!CF312+'[2]побудинковий звіт'!CF312-'[3]побудинковий звіт'!CF312</f>
        <v>133.97514300936638</v>
      </c>
      <c r="CG312" s="42">
        <f>'[1]побудинковий звіт'!CG312+'[2]побудинковий звіт'!CG312-'[3]побудинковий звіт'!CG312</f>
        <v>0</v>
      </c>
      <c r="CH312" s="56">
        <f t="shared" si="312"/>
        <v>-133.97514300936638</v>
      </c>
      <c r="CI312" s="42">
        <f>'[1]побудинковий звіт'!CI312+'[2]побудинковий звіт'!CI312-'[3]побудинковий звіт'!CI312</f>
        <v>5540.3874524488729</v>
      </c>
      <c r="CJ312" s="42">
        <f>'[1]побудинковий звіт'!CJ312+'[2]побудинковий звіт'!CJ312-'[3]побудинковий звіт'!CJ312</f>
        <v>3187.7856959126593</v>
      </c>
      <c r="CK312" s="56">
        <f t="shared" si="313"/>
        <v>-2352.6017565362135</v>
      </c>
      <c r="CL312" s="42">
        <f>'[1]побудинковий звіт'!CL312+'[2]побудинковий звіт'!CL312-'[3]побудинковий звіт'!CL312</f>
        <v>0</v>
      </c>
      <c r="CM312" s="42">
        <f>'[1]побудинковий звіт'!CM312+'[2]побудинковий звіт'!CM312-'[3]побудинковий звіт'!CM312</f>
        <v>0</v>
      </c>
      <c r="CN312" s="56">
        <f t="shared" si="314"/>
        <v>0</v>
      </c>
      <c r="CO312" s="42">
        <f t="shared" si="294"/>
        <v>5540.3874524488729</v>
      </c>
      <c r="CP312" s="43">
        <f t="shared" si="315"/>
        <v>3187.7856959126593</v>
      </c>
      <c r="CQ312" s="56">
        <f t="shared" si="316"/>
        <v>-2352.6017565362135</v>
      </c>
      <c r="CR312" s="78">
        <f t="shared" si="295"/>
        <v>201438.33872426997</v>
      </c>
      <c r="CS312" s="5">
        <f t="shared" si="295"/>
        <v>195851.56173360834</v>
      </c>
      <c r="CT312" s="56">
        <f t="shared" si="317"/>
        <v>-5586.7769906616304</v>
      </c>
      <c r="CU312" s="87">
        <f t="shared" si="318"/>
        <v>241726.00646912394</v>
      </c>
      <c r="CV312" s="70">
        <f t="shared" si="319"/>
        <v>235021.87408032999</v>
      </c>
      <c r="CW312" s="37">
        <f t="shared" si="320"/>
        <v>-6704.1323887939507</v>
      </c>
      <c r="CX312" s="42">
        <f>'[1]побудинковий звіт'!CX312+'[2]побудинковий звіт'!CX312-'[3]побудинковий звіт'!CX312</f>
        <v>850.04353087600248</v>
      </c>
      <c r="CY312" s="42">
        <f>'[1]побудинковий звіт'!CY312+'[2]побудинковий звіт'!CY312-'[3]побудинковий звіт'!CY312</f>
        <v>7554.1759196700459</v>
      </c>
      <c r="CZ312" s="56">
        <f t="shared" si="321"/>
        <v>6704.1323887940434</v>
      </c>
      <c r="DA312" s="264">
        <f>'[4]побудинковий звіт'!DA312</f>
        <v>56998.311400624589</v>
      </c>
      <c r="DB312" s="2">
        <v>2</v>
      </c>
      <c r="DC312" s="717">
        <f>'[4]побудинковий звіт'!DC312</f>
        <v>72715.520000000004</v>
      </c>
      <c r="DD312" s="717">
        <f>'[4]побудинковий звіт'!DD312</f>
        <v>35054.81</v>
      </c>
      <c r="DE312" s="717">
        <f>'[4]побудинковий звіт'!DE312</f>
        <v>57796.310000000005</v>
      </c>
      <c r="DF312" s="717">
        <f>'[4]побудинковий звіт'!DF312</f>
        <v>29753.789999999997</v>
      </c>
      <c r="DG312" s="787">
        <v>-34222.616846693098</v>
      </c>
      <c r="DH312" s="761">
        <f t="shared" si="290"/>
        <v>2910912.5999999992</v>
      </c>
      <c r="DI312" s="784"/>
      <c r="DJ312" s="5"/>
      <c r="DK312" s="317">
        <f>VLOOKUP($A312,ціни!$A$4:$G$401,5)</f>
        <v>6.5461162390413481</v>
      </c>
      <c r="DL312" s="317"/>
      <c r="DM312" s="317">
        <f>VLOOKUP($A312,ціни!$A$4:$G$401,7)</f>
        <v>5.2956631321030141</v>
      </c>
      <c r="DN312" s="30">
        <f t="shared" si="332"/>
        <v>13749.069781508106</v>
      </c>
      <c r="DO312" s="30">
        <f t="shared" si="334"/>
        <v>5291.4266015973317</v>
      </c>
      <c r="DP312" s="316">
        <f t="shared" si="335"/>
        <v>19040.496383105437</v>
      </c>
      <c r="DQ312" s="104"/>
      <c r="DR312" s="30">
        <f>VLOOKUP(A312,'ДЗ нас '!$A$1:$C$359,2)</f>
        <v>14919.21</v>
      </c>
      <c r="DS312" s="748">
        <f>VLOOKUP(A312,'ДЗ нежит'!$A$1:$D$153,4,0)</f>
        <v>5301.0200000000013</v>
      </c>
      <c r="DT312" s="30">
        <f t="shared" si="336"/>
        <v>20220.23</v>
      </c>
      <c r="DU312" s="257">
        <f>VLOOKUP(A312,'новий кошторис с 01.06'!$A$4:$AI$399,35)*1.2</f>
        <v>20506.422882130686</v>
      </c>
      <c r="DV312" s="30">
        <f t="shared" si="337"/>
        <v>-286.19288213068648</v>
      </c>
      <c r="DW312" s="930">
        <f>'[5]побудинковий звіт'!DW312+'[6]побудинковий звіт'!DW312</f>
        <v>236</v>
      </c>
      <c r="DY312" s="5">
        <f t="shared" si="286"/>
        <v>60013.124091573678</v>
      </c>
      <c r="DZ312" s="5">
        <f t="shared" si="287"/>
        <v>51333.333034490599</v>
      </c>
      <c r="EA312" s="752">
        <f t="shared" si="291"/>
        <v>87550.1</v>
      </c>
      <c r="EC312" s="592">
        <f t="shared" si="288"/>
        <v>479657.07837711764</v>
      </c>
      <c r="EE312" s="758">
        <v>6866</v>
      </c>
      <c r="EF312" s="738">
        <f t="shared" si="289"/>
        <v>-27356.616846693098</v>
      </c>
      <c r="EH312" s="813">
        <v>58777.477228876043</v>
      </c>
    </row>
    <row r="313" spans="1:138" x14ac:dyDescent="0.3">
      <c r="A313" s="328">
        <v>150000864</v>
      </c>
      <c r="B313" s="44" t="s">
        <v>766</v>
      </c>
      <c r="C313" s="45" t="s">
        <v>200</v>
      </c>
      <c r="D313" s="45" t="s">
        <v>200</v>
      </c>
      <c r="E313" s="40">
        <f t="shared" si="292"/>
        <v>3545.5</v>
      </c>
      <c r="F313" s="490">
        <v>2581.1999999999998</v>
      </c>
      <c r="G313" s="30"/>
      <c r="H313" s="30">
        <v>964.30000000000007</v>
      </c>
      <c r="I313" s="42">
        <f>'[1]побудинковий звіт'!I313+'[2]побудинковий звіт'!I313-'[3]побудинковий звіт'!I313</f>
        <v>10748.182953153366</v>
      </c>
      <c r="J313" s="42">
        <f>'[1]побудинковий звіт'!J313+'[2]побудинковий звіт'!J313-'[3]побудинковий звіт'!J313</f>
        <v>10724.46794329118</v>
      </c>
      <c r="K313" s="56">
        <f t="shared" si="296"/>
        <v>-23.71500986218598</v>
      </c>
      <c r="L313" s="42">
        <f>'[1]побудинковий звіт'!L313+'[2]побудинковий звіт'!L313-'[3]побудинковий звіт'!L313</f>
        <v>1997.298344350115</v>
      </c>
      <c r="M313" s="42">
        <f>'[1]побудинковий звіт'!M313+'[2]побудинковий звіт'!M313-'[3]побудинковий звіт'!M313</f>
        <v>2086.8234171351742</v>
      </c>
      <c r="N313" s="56">
        <f t="shared" si="297"/>
        <v>89.525072785059137</v>
      </c>
      <c r="O313" s="42">
        <f>'[1]побудинковий звіт'!O313+'[2]побудинковий звіт'!O313-'[3]побудинковий звіт'!O313</f>
        <v>4606.5600000000004</v>
      </c>
      <c r="P313" s="42">
        <f>'[1]побудинковий звіт'!P313+'[2]побудинковий звіт'!P313-'[3]побудинковий звіт'!P313</f>
        <v>3620.9486286559136</v>
      </c>
      <c r="Q313" s="56">
        <f t="shared" si="298"/>
        <v>-985.61137134408682</v>
      </c>
      <c r="R313" s="42">
        <f>'[1]побудинковий звіт'!R313+'[2]побудинковий звіт'!R313-'[3]побудинковий звіт'!R313</f>
        <v>0</v>
      </c>
      <c r="S313" s="42">
        <f>'[1]побудинковий звіт'!S313+'[2]побудинковий звіт'!S313-'[3]побудинковий звіт'!S313</f>
        <v>0</v>
      </c>
      <c r="T313" s="56">
        <f t="shared" si="299"/>
        <v>0</v>
      </c>
      <c r="U313" s="42">
        <f>'[1]побудинковий звіт'!U313+'[2]побудинковий звіт'!U313-'[3]побудинковий звіт'!U313</f>
        <v>0</v>
      </c>
      <c r="V313" s="42">
        <f>'[1]побудинковий звіт'!V313+'[2]побудинковий звіт'!V313-'[3]побудинковий звіт'!V313</f>
        <v>0</v>
      </c>
      <c r="W313" s="56">
        <f t="shared" si="300"/>
        <v>0</v>
      </c>
      <c r="X313" s="42">
        <f>'[1]побудинковий звіт'!X313+'[2]побудинковий звіт'!X313-'[3]побудинковий звіт'!X313</f>
        <v>13639.5098176957</v>
      </c>
      <c r="Y313" s="42">
        <f>'[1]побудинковий звіт'!Y313+'[2]побудинковий звіт'!Y313-'[3]побудинковий звіт'!Y313</f>
        <v>10727.707151216275</v>
      </c>
      <c r="Z313" s="56">
        <f t="shared" si="301"/>
        <v>-2911.8026664794252</v>
      </c>
      <c r="AA313" s="42">
        <f>'[1]побудинковий звіт'!AA313+'[2]побудинковий звіт'!AA313-'[3]побудинковий звіт'!AA313</f>
        <v>0</v>
      </c>
      <c r="AB313" s="42">
        <f>'[1]побудинковий звіт'!AB313+'[2]побудинковий звіт'!AB313-'[3]побудинковий звіт'!AB313</f>
        <v>0</v>
      </c>
      <c r="AC313" s="56">
        <f t="shared" si="302"/>
        <v>0</v>
      </c>
      <c r="AD313" s="42">
        <f>'[1]побудинковий звіт'!AD313+'[2]побудинковий звіт'!AD313-'[3]побудинковий звіт'!AD313</f>
        <v>16988.135231311589</v>
      </c>
      <c r="AE313" s="42">
        <f>'[1]побудинковий звіт'!AE313+'[2]побудинковий звіт'!AE313-'[3]побудинковий звіт'!AE313</f>
        <v>15707.831784170939</v>
      </c>
      <c r="AF313" s="37">
        <f t="shared" si="303"/>
        <v>-1280.30344714065</v>
      </c>
      <c r="AG313" s="87">
        <f t="shared" si="293"/>
        <v>47979.686346510774</v>
      </c>
      <c r="AH313" s="57">
        <f t="shared" si="293"/>
        <v>42867.778924469487</v>
      </c>
      <c r="AI313" s="56">
        <f t="shared" si="304"/>
        <v>-5111.9074220412876</v>
      </c>
      <c r="AJ313" s="42">
        <f>'[1]побудинковий звіт'!AJ313+'[2]побудинковий звіт'!AJ313-'[3]побудинковий звіт'!AJ313</f>
        <v>0</v>
      </c>
      <c r="AK313" s="42">
        <f>'[1]побудинковий звіт'!AK313+'[2]побудинковий звіт'!AK313-'[3]побудинковий звіт'!AK313</f>
        <v>0</v>
      </c>
      <c r="AL313" s="56">
        <f t="shared" si="305"/>
        <v>0</v>
      </c>
      <c r="AM313" s="42">
        <f>'[1]побудинковий звіт'!AM313+'[2]побудинковий звіт'!AM313-'[3]побудинковий звіт'!AM313</f>
        <v>0</v>
      </c>
      <c r="AN313" s="42">
        <f>'[1]побудинковий звіт'!AN313+'[2]побудинковий звіт'!AN313-'[3]побудинковий звіт'!AN313</f>
        <v>0</v>
      </c>
      <c r="AO313" s="56">
        <f t="shared" si="306"/>
        <v>0</v>
      </c>
      <c r="AP313" s="42">
        <f>'[1]побудинковий звіт'!AP313+'[2]побудинковий звіт'!AP313-'[3]побудинковий звіт'!AP313</f>
        <v>7386.7376145704675</v>
      </c>
      <c r="AQ313" s="42">
        <f>'[1]побудинковий звіт'!AQ313+'[2]побудинковий звіт'!AQ313-'[3]побудинковий звіт'!AQ313</f>
        <v>6756.3318915477676</v>
      </c>
      <c r="AR313" s="56">
        <f t="shared" si="307"/>
        <v>-630.40572302269993</v>
      </c>
      <c r="AS313" s="42">
        <f>'[1]побудинковий звіт'!AS313+'[2]побудинковий звіт'!AS313-'[3]побудинковий звіт'!AS313</f>
        <v>44437.123719192976</v>
      </c>
      <c r="AT313" s="42">
        <f>'[1]побудинковий звіт'!AT313+'[2]побудинковий звіт'!AT313-'[3]побудинковий звіт'!AT313</f>
        <v>54105.76311061257</v>
      </c>
      <c r="AU313" s="58">
        <f t="shared" si="322"/>
        <v>9668.6393914195942</v>
      </c>
      <c r="AV313" s="42">
        <f>'[1]побудинковий звіт'!AV313+'[2]побудинковий звіт'!AV313-'[3]побудинковий звіт'!AV313</f>
        <v>1856.4158400493002</v>
      </c>
      <c r="AW313" s="42">
        <f>'[1]побудинковий звіт'!AW313+'[2]побудинковий звіт'!AW313-'[3]побудинковий звіт'!AW313</f>
        <v>1248</v>
      </c>
      <c r="AX313" s="59">
        <f t="shared" si="323"/>
        <v>-608.41584004930019</v>
      </c>
      <c r="AY313" s="42">
        <f>'[1]побудинковий звіт'!AY313+'[2]побудинковий звіт'!AY313-'[3]побудинковий звіт'!AY313</f>
        <v>2574.1806752643743</v>
      </c>
      <c r="AZ313" s="42">
        <f>'[1]побудинковий звіт'!AZ313+'[2]побудинковий звіт'!AZ313-'[3]побудинковий звіт'!AZ313</f>
        <v>4504.1659052734631</v>
      </c>
      <c r="BA313" s="37">
        <f t="shared" si="324"/>
        <v>1929.9852300090888</v>
      </c>
      <c r="BB313" s="42">
        <f>'[1]побудинковий звіт'!BB313+'[2]побудинковий звіт'!BB313-'[3]побудинковий звіт'!BB313</f>
        <v>3241.1822673533707</v>
      </c>
      <c r="BC313" s="42">
        <f>'[1]побудинковий звіт'!BC313+'[2]побудинковий звіт'!BC313-'[3]побудинковий звіт'!BC313</f>
        <v>0</v>
      </c>
      <c r="BD313" s="59">
        <f t="shared" si="325"/>
        <v>-3241.1822673533707</v>
      </c>
      <c r="BE313" s="42">
        <f>'[1]побудинковий звіт'!BE313+'[2]побудинковий звіт'!BE313-'[3]побудинковий звіт'!BE313</f>
        <v>0</v>
      </c>
      <c r="BF313" s="42">
        <f>'[1]побудинковий звіт'!BF313+'[2]побудинковий звіт'!BF313-'[3]побудинковий звіт'!BF313</f>
        <v>0</v>
      </c>
      <c r="BG313" s="39">
        <f t="shared" si="326"/>
        <v>0</v>
      </c>
      <c r="BH313" s="42">
        <f>'[1]побудинковий звіт'!BH313+'[2]побудинковий звіт'!BH313-'[3]побудинковий звіт'!BH313</f>
        <v>0</v>
      </c>
      <c r="BI313" s="42">
        <f>'[1]побудинковий звіт'!BI313+'[2]побудинковий звіт'!BI313-'[3]побудинковий звіт'!BI313</f>
        <v>0</v>
      </c>
      <c r="BJ313" s="59">
        <f t="shared" si="327"/>
        <v>0</v>
      </c>
      <c r="BK313" s="42">
        <f>'[1]побудинковий звіт'!BK313+'[2]побудинковий звіт'!BK313-'[3]побудинковий звіт'!BK313</f>
        <v>1902.4777559307925</v>
      </c>
      <c r="BL313" s="42">
        <f>'[1]побудинковий звіт'!BL313+'[2]побудинковий звіт'!BL313-'[3]побудинковий звіт'!BL313</f>
        <v>0</v>
      </c>
      <c r="BM313" s="39">
        <f t="shared" si="328"/>
        <v>-1902.4777559307925</v>
      </c>
      <c r="BN313" s="42">
        <f>'[1]побудинковий звіт'!BN313+'[2]побудинковий звіт'!BN313-'[3]побудинковий звіт'!BN313</f>
        <v>0</v>
      </c>
      <c r="BO313" s="42">
        <f>'[1]побудинковий звіт'!BO313+'[2]побудинковий звіт'!BO313-'[3]побудинковий звіт'!BO313</f>
        <v>0</v>
      </c>
      <c r="BP313" s="59">
        <f t="shared" si="329"/>
        <v>0</v>
      </c>
      <c r="BQ313" s="87">
        <f t="shared" si="338"/>
        <v>9574.2565385978378</v>
      </c>
      <c r="BR313" s="43">
        <f t="shared" si="339"/>
        <v>5752.1659052734631</v>
      </c>
      <c r="BS313" s="59">
        <f t="shared" si="330"/>
        <v>-3822.0906333243747</v>
      </c>
      <c r="BT313" s="42">
        <f>'[1]побудинковий звіт'!BT313+'[2]побудинковий звіт'!BT313-'[3]побудинковий звіт'!BT313</f>
        <v>50567.445380225399</v>
      </c>
      <c r="BU313" s="42">
        <f>'[1]побудинковий звіт'!BU313+'[2]побудинковий звіт'!BU313-'[3]побудинковий звіт'!BU313</f>
        <v>67025.864101123138</v>
      </c>
      <c r="BV313" s="56">
        <f t="shared" si="308"/>
        <v>16458.418720897738</v>
      </c>
      <c r="BW313" s="42">
        <f>'[1]побудинковий звіт'!BW313+'[2]побудинковий звіт'!BW313-'[3]побудинковий звіт'!BW313</f>
        <v>39555.183312102949</v>
      </c>
      <c r="BX313" s="42">
        <f>'[1]побудинковий звіт'!BX313+'[2]побудинковий звіт'!BX313-'[3]побудинковий звіт'!BX313</f>
        <v>48097.825517814053</v>
      </c>
      <c r="BY313" s="56">
        <f t="shared" si="309"/>
        <v>8542.6422057111049</v>
      </c>
      <c r="BZ313" s="42">
        <f>'[1]побудинковий звіт'!BZ313+'[2]побудинковий звіт'!BZ313-'[3]побудинковий звіт'!BZ313</f>
        <v>19869.773672862982</v>
      </c>
      <c r="CA313" s="42">
        <f>'[1]побудинковий звіт'!CA313+'[2]побудинковий звіт'!CA313-'[3]побудинковий звіт'!CA313</f>
        <v>15630.487198938532</v>
      </c>
      <c r="CB313" s="56">
        <f t="shared" si="310"/>
        <v>-4239.2864739244505</v>
      </c>
      <c r="CC313" s="42">
        <f>'[1]побудинковий звіт'!CC313+'[2]побудинковий звіт'!CC313-'[3]побудинковий звіт'!CC313</f>
        <v>823.57110779645416</v>
      </c>
      <c r="CD313" s="42">
        <f>'[1]побудинковий звіт'!CD313+'[2]побудинковий звіт'!CD313-'[3]побудинковий звіт'!CD313</f>
        <v>816.32756706295993</v>
      </c>
      <c r="CE313" s="56">
        <f t="shared" si="311"/>
        <v>-7.2435407334942283</v>
      </c>
      <c r="CF313" s="42">
        <f>'[1]побудинковий звіт'!CF313+'[2]побудинковий звіт'!CF313-'[3]побудинковий звіт'!CF313</f>
        <v>101.38659470979073</v>
      </c>
      <c r="CG313" s="42">
        <f>'[1]побудинковий звіт'!CG313+'[2]побудинковий звіт'!CG313-'[3]побудинковий звіт'!CG313</f>
        <v>0</v>
      </c>
      <c r="CH313" s="56">
        <f t="shared" si="312"/>
        <v>-101.38659470979073</v>
      </c>
      <c r="CI313" s="42">
        <f>'[1]побудинковий звіт'!CI313+'[2]побудинковий звіт'!CI313-'[3]побудинковий звіт'!CI313</f>
        <v>2938.6514528191651</v>
      </c>
      <c r="CJ313" s="42">
        <f>'[1]побудинковий звіт'!CJ313+'[2]побудинковий звіт'!CJ313-'[3]побудинковий звіт'!CJ313</f>
        <v>5067.0278158602914</v>
      </c>
      <c r="CK313" s="56">
        <f t="shared" si="313"/>
        <v>2128.3763630411263</v>
      </c>
      <c r="CL313" s="42">
        <f>'[1]побудинковий звіт'!CL313+'[2]побудинковий звіт'!CL313-'[3]побудинковий звіт'!CL313</f>
        <v>0</v>
      </c>
      <c r="CM313" s="42">
        <f>'[1]побудинковий звіт'!CM313+'[2]побудинковий звіт'!CM313-'[3]побудинковий звіт'!CM313</f>
        <v>0</v>
      </c>
      <c r="CN313" s="56">
        <f t="shared" si="314"/>
        <v>0</v>
      </c>
      <c r="CO313" s="42">
        <f t="shared" si="294"/>
        <v>2938.6514528191651</v>
      </c>
      <c r="CP313" s="43">
        <f t="shared" si="315"/>
        <v>5067.0278158602914</v>
      </c>
      <c r="CQ313" s="56">
        <f t="shared" si="316"/>
        <v>2128.3763630411263</v>
      </c>
      <c r="CR313" s="78">
        <f t="shared" si="295"/>
        <v>223233.81573938884</v>
      </c>
      <c r="CS313" s="5">
        <f t="shared" si="295"/>
        <v>246119.57203270224</v>
      </c>
      <c r="CT313" s="56">
        <f t="shared" si="317"/>
        <v>22885.756293313403</v>
      </c>
      <c r="CU313" s="87">
        <f t="shared" si="318"/>
        <v>267880.57888726657</v>
      </c>
      <c r="CV313" s="70">
        <f t="shared" si="319"/>
        <v>295343.48643924267</v>
      </c>
      <c r="CW313" s="37">
        <f t="shared" si="320"/>
        <v>27462.907551976095</v>
      </c>
      <c r="CX313" s="42">
        <f>'[1]побудинковий звіт'!CX313+'[2]побудинковий звіт'!CX313-'[3]побудинковий звіт'!CX313</f>
        <v>6384.4611127334065</v>
      </c>
      <c r="CY313" s="42">
        <f>'[1]побудинковий звіт'!CY313+'[2]побудинковий звіт'!CY313-'[3]побудинковий звіт'!CY313</f>
        <v>-21078.446439242703</v>
      </c>
      <c r="CZ313" s="56">
        <f t="shared" si="321"/>
        <v>-27462.90755197611</v>
      </c>
      <c r="DA313" s="264">
        <f>'[4]побудинковий звіт'!DA313</f>
        <v>92214.786178120383</v>
      </c>
      <c r="DB313" s="2">
        <v>2</v>
      </c>
      <c r="DC313" s="717">
        <f>'[4]побудинковий звіт'!DC313</f>
        <v>103092.72</v>
      </c>
      <c r="DD313" s="717">
        <f>'[4]побудинковий звіт'!DD313</f>
        <v>53759.549999999996</v>
      </c>
      <c r="DE313" s="717">
        <f>'[4]побудинковий звіт'!DE313</f>
        <v>84806.8</v>
      </c>
      <c r="DF313" s="717">
        <f>'[4]побудинковий звіт'!DF313</f>
        <v>49190.049999999996</v>
      </c>
      <c r="DG313" s="787">
        <v>10786.656235379167</v>
      </c>
      <c r="DH313" s="761">
        <f t="shared" si="290"/>
        <v>3291180.4799999995</v>
      </c>
      <c r="DI313" s="784"/>
      <c r="DJ313" s="5"/>
      <c r="DK313" s="317">
        <f>VLOOKUP($A313,ціни!$A$4:$G$401,5)</f>
        <v>6.0799727871404237</v>
      </c>
      <c r="DL313" s="317"/>
      <c r="DM313" s="317">
        <f>VLOOKUP($A313,ціни!$A$4:$G$401,7)</f>
        <v>4.7386799655169565</v>
      </c>
      <c r="DN313" s="30">
        <f t="shared" si="332"/>
        <v>15693.62575816686</v>
      </c>
      <c r="DO313" s="30">
        <f t="shared" si="334"/>
        <v>4569.5090907480017</v>
      </c>
      <c r="DP313" s="316">
        <f t="shared" si="335"/>
        <v>20263.134848914862</v>
      </c>
      <c r="DQ313" s="104"/>
      <c r="DR313" s="30">
        <f>VLOOKUP(A313,'ДЗ нас '!$A$1:$C$359,2)</f>
        <v>18285.919999999998</v>
      </c>
      <c r="DS313" s="748">
        <f>VLOOKUP(A313,'ДЗ нежит'!$A$1:$D$153,4,0)</f>
        <v>4569.5</v>
      </c>
      <c r="DT313" s="30">
        <f t="shared" si="336"/>
        <v>22855.42</v>
      </c>
      <c r="DU313" s="257">
        <f>VLOOKUP(A313,'новий кошторис с 01.06'!$A$4:$AI$399,35)*1.2</f>
        <v>22993.08302115705</v>
      </c>
      <c r="DV313" s="30">
        <f t="shared" si="337"/>
        <v>-137.66302115705184</v>
      </c>
      <c r="DW313" s="930">
        <f>'[5]побудинковий звіт'!DW313+'[6]побудинковий звіт'!DW313</f>
        <v>236</v>
      </c>
      <c r="DY313" s="5">
        <f t="shared" si="286"/>
        <v>64813.656309348975</v>
      </c>
      <c r="DZ313" s="5">
        <f t="shared" si="287"/>
        <v>71829.514819063232</v>
      </c>
      <c r="EA313" s="752">
        <f t="shared" si="291"/>
        <v>133996.85</v>
      </c>
      <c r="EC313" s="592">
        <f t="shared" si="288"/>
        <v>533245.48463031568</v>
      </c>
      <c r="EE313" s="758">
        <v>14898</v>
      </c>
      <c r="EF313" s="738">
        <f t="shared" si="289"/>
        <v>25684.656235379167</v>
      </c>
      <c r="EH313" s="813">
        <v>61676.804260267869</v>
      </c>
    </row>
    <row r="314" spans="1:138" x14ac:dyDescent="0.3">
      <c r="A314" s="328">
        <v>150000865</v>
      </c>
      <c r="B314" s="44" t="s">
        <v>767</v>
      </c>
      <c r="C314" s="45" t="s">
        <v>305</v>
      </c>
      <c r="D314" s="45" t="s">
        <v>305</v>
      </c>
      <c r="E314" s="40">
        <f t="shared" si="292"/>
        <v>6544.4</v>
      </c>
      <c r="F314" s="490">
        <v>3993</v>
      </c>
      <c r="G314" s="30"/>
      <c r="H314" s="30">
        <v>2551.4</v>
      </c>
      <c r="I314" s="42">
        <f>'[1]побудинковий звіт'!I314+'[2]побудинковий звіт'!I314-'[3]побудинковий звіт'!I314</f>
        <v>27749.003639911134</v>
      </c>
      <c r="J314" s="42">
        <f>'[1]побудинковий звіт'!J314+'[2]побудинковий звіт'!J314-'[3]побудинковий звіт'!J314</f>
        <v>27783.331758233231</v>
      </c>
      <c r="K314" s="56">
        <f t="shared" si="296"/>
        <v>34.328118322096998</v>
      </c>
      <c r="L314" s="42">
        <f>'[1]побудинковий звіт'!L314+'[2]побудинковий звіт'!L314-'[3]побудинковий звіт'!L314</f>
        <v>5722.9276512094393</v>
      </c>
      <c r="M314" s="42">
        <f>'[1]побудинковий звіт'!M314+'[2]побудинковий звіт'!M314-'[3]побудинковий звіт'!M314</f>
        <v>5784.099454257308</v>
      </c>
      <c r="N314" s="56">
        <f t="shared" si="297"/>
        <v>61.171803047868707</v>
      </c>
      <c r="O314" s="42">
        <f>'[1]побудинковий звіт'!O314+'[2]побудинковий звіт'!O314-'[3]побудинковий звіт'!O314</f>
        <v>12421.08</v>
      </c>
      <c r="P314" s="42">
        <f>'[1]побудинковий звіт'!P314+'[2]побудинковий звіт'!P314-'[3]побудинковий звіт'!P314</f>
        <v>9762.6757103225827</v>
      </c>
      <c r="Q314" s="56">
        <f t="shared" si="298"/>
        <v>-2658.4042896774172</v>
      </c>
      <c r="R314" s="42">
        <f>'[1]побудинковий звіт'!R314+'[2]побудинковий звіт'!R314-'[3]побудинковий звіт'!R314</f>
        <v>0</v>
      </c>
      <c r="S314" s="42">
        <f>'[1]побудинковий звіт'!S314+'[2]побудинковий звіт'!S314-'[3]побудинковий звіт'!S314</f>
        <v>0</v>
      </c>
      <c r="T314" s="56">
        <f t="shared" si="299"/>
        <v>0</v>
      </c>
      <c r="U314" s="42">
        <f>'[1]побудинковий звіт'!U314+'[2]побудинковий звіт'!U314-'[3]побудинковий звіт'!U314</f>
        <v>0</v>
      </c>
      <c r="V314" s="42">
        <f>'[1]побудинковий звіт'!V314+'[2]побудинковий звіт'!V314-'[3]побудинковий звіт'!V314</f>
        <v>0</v>
      </c>
      <c r="W314" s="56">
        <f t="shared" si="300"/>
        <v>0</v>
      </c>
      <c r="X314" s="42">
        <f>'[1]побудинковий звіт'!X314+'[2]побудинковий звіт'!X314-'[3]побудинковий звіт'!X314</f>
        <v>30842.814962177585</v>
      </c>
      <c r="Y314" s="42">
        <f>'[1]побудинковий звіт'!Y314+'[2]побудинковий звіт'!Y314-'[3]побудинковий звіт'!Y314</f>
        <v>24654.855247580559</v>
      </c>
      <c r="Z314" s="56">
        <f t="shared" si="301"/>
        <v>-6187.9597145970256</v>
      </c>
      <c r="AA314" s="42">
        <f>'[1]побудинковий звіт'!AA314+'[2]побудинковий звіт'!AA314-'[3]побудинковий звіт'!AA314</f>
        <v>0</v>
      </c>
      <c r="AB314" s="42">
        <f>'[1]побудинковий звіт'!AB314+'[2]побудинковий звіт'!AB314-'[3]побудинковий звіт'!AB314</f>
        <v>0</v>
      </c>
      <c r="AC314" s="56">
        <f t="shared" si="302"/>
        <v>0</v>
      </c>
      <c r="AD314" s="42">
        <f>'[1]побудинковий звіт'!AD314+'[2]побудинковий звіт'!AD314-'[3]побудинковий звіт'!AD314</f>
        <v>38901.94287224354</v>
      </c>
      <c r="AE314" s="42">
        <f>'[1]побудинковий звіт'!AE314+'[2]побудинковий звіт'!AE314-'[3]побудинковий звіт'!AE314</f>
        <v>36008.959897799738</v>
      </c>
      <c r="AF314" s="37">
        <f t="shared" si="303"/>
        <v>-2892.982974443803</v>
      </c>
      <c r="AG314" s="87">
        <f t="shared" si="293"/>
        <v>115637.7691255417</v>
      </c>
      <c r="AH314" s="57">
        <f t="shared" si="293"/>
        <v>103993.92206819342</v>
      </c>
      <c r="AI314" s="56">
        <f t="shared" si="304"/>
        <v>-11643.847057348277</v>
      </c>
      <c r="AJ314" s="42">
        <f>'[1]побудинковий звіт'!AJ314+'[2]побудинковий звіт'!AJ314-'[3]побудинковий звіт'!AJ314</f>
        <v>0</v>
      </c>
      <c r="AK314" s="42">
        <f>'[1]побудинковий звіт'!AK314+'[2]побудинковий звіт'!AK314-'[3]побудинковий звіт'!AK314</f>
        <v>0</v>
      </c>
      <c r="AL314" s="56">
        <f t="shared" si="305"/>
        <v>0</v>
      </c>
      <c r="AM314" s="42">
        <f>'[1]побудинковий звіт'!AM314+'[2]побудинковий звіт'!AM314-'[3]побудинковий звіт'!AM314</f>
        <v>0</v>
      </c>
      <c r="AN314" s="42">
        <f>'[1]побудинковий звіт'!AN314+'[2]побудинковий звіт'!AN314-'[3]побудинковий звіт'!AN314</f>
        <v>0</v>
      </c>
      <c r="AO314" s="56">
        <f t="shared" si="306"/>
        <v>0</v>
      </c>
      <c r="AP314" s="42">
        <f>'[1]побудинковий звіт'!AP314+'[2]побудинковий звіт'!AP314-'[3]побудинковий звіт'!AP314</f>
        <v>22870.476075881641</v>
      </c>
      <c r="AQ314" s="42">
        <f>'[1]побудинковий звіт'!AQ314+'[2]побудинковий звіт'!AQ314-'[3]побудинковий звіт'!AQ314</f>
        <v>21110.905656297204</v>
      </c>
      <c r="AR314" s="56">
        <f t="shared" si="307"/>
        <v>-1759.5704195844373</v>
      </c>
      <c r="AS314" s="42">
        <f>'[1]побудинковий звіт'!AS314+'[2]побудинковий звіт'!AS314-'[3]побудинковий звіт'!AS314</f>
        <v>106927.42150655383</v>
      </c>
      <c r="AT314" s="42">
        <f>'[1]побудинковий звіт'!AT314+'[2]побудинковий звіт'!AT314-'[3]побудинковий звіт'!AT314</f>
        <v>26836</v>
      </c>
      <c r="AU314" s="58">
        <f t="shared" si="322"/>
        <v>-80091.42150655383</v>
      </c>
      <c r="AV314" s="42">
        <f>'[1]побудинковий звіт'!AV314+'[2]побудинковий звіт'!AV314-'[3]побудинковий звіт'!AV314</f>
        <v>4607.0534736612744</v>
      </c>
      <c r="AW314" s="42">
        <f>'[1]побудинковий звіт'!AW314+'[2]побудинковий звіт'!AW314-'[3]побудинковий звіт'!AW314</f>
        <v>0</v>
      </c>
      <c r="AX314" s="59">
        <f t="shared" si="323"/>
        <v>-4607.0534736612744</v>
      </c>
      <c r="AY314" s="42">
        <f>'[1]побудинковий звіт'!AY314+'[2]побудинковий звіт'!AY314-'[3]побудинковий звіт'!AY314</f>
        <v>7376.0777188627999</v>
      </c>
      <c r="AZ314" s="42">
        <f>'[1]побудинковий звіт'!AZ314+'[2]побудинковий звіт'!AZ314-'[3]побудинковий звіт'!AZ314</f>
        <v>0</v>
      </c>
      <c r="BA314" s="37">
        <f t="shared" si="324"/>
        <v>-7376.0777188627999</v>
      </c>
      <c r="BB314" s="42">
        <f>'[1]побудинковий звіт'!BB314+'[2]побудинковий звіт'!BB314-'[3]побудинковий звіт'!BB314</f>
        <v>6446.9516973452592</v>
      </c>
      <c r="BC314" s="42">
        <f>'[1]побудинковий звіт'!BC314+'[2]побудинковий звіт'!BC314-'[3]побудинковий звіт'!BC314</f>
        <v>958.61266605821459</v>
      </c>
      <c r="BD314" s="59">
        <f t="shared" si="325"/>
        <v>-5488.3390312870442</v>
      </c>
      <c r="BE314" s="42">
        <f>'[1]побудинковий звіт'!BE314+'[2]побудинковий звіт'!BE314-'[3]побудинковий звіт'!BE314</f>
        <v>0</v>
      </c>
      <c r="BF314" s="42">
        <f>'[1]побудинковий звіт'!BF314+'[2]побудинковий звіт'!BF314-'[3]побудинковий звіт'!BF314</f>
        <v>0</v>
      </c>
      <c r="BG314" s="39">
        <f t="shared" si="326"/>
        <v>0</v>
      </c>
      <c r="BH314" s="42">
        <f>'[1]побудинковий звіт'!BH314+'[2]побудинковий звіт'!BH314-'[3]побудинковий звіт'!BH314</f>
        <v>0</v>
      </c>
      <c r="BI314" s="42">
        <f>'[1]побудинковий звіт'!BI314+'[2]побудинковий звіт'!BI314-'[3]побудинковий звіт'!BI314</f>
        <v>0</v>
      </c>
      <c r="BJ314" s="59">
        <f t="shared" si="327"/>
        <v>0</v>
      </c>
      <c r="BK314" s="42">
        <f>'[1]побудинковий звіт'!BK314+'[2]побудинковий звіт'!BK314-'[3]побудинковий звіт'!BK314</f>
        <v>4458.098803733501</v>
      </c>
      <c r="BL314" s="42">
        <f>'[1]побудинковий звіт'!BL314+'[2]побудинковий звіт'!BL314-'[3]побудинковий звіт'!BL314</f>
        <v>1323.8068336262759</v>
      </c>
      <c r="BM314" s="39">
        <f t="shared" si="328"/>
        <v>-3134.2919701072251</v>
      </c>
      <c r="BN314" s="42">
        <f>'[1]побудинковий звіт'!BN314+'[2]побудинковий звіт'!BN314-'[3]побудинковий звіт'!BN314</f>
        <v>0</v>
      </c>
      <c r="BO314" s="42">
        <f>'[1]побудинковий звіт'!BO314+'[2]побудинковий звіт'!BO314-'[3]побудинковий звіт'!BO314</f>
        <v>497</v>
      </c>
      <c r="BP314" s="59">
        <f t="shared" si="329"/>
        <v>497</v>
      </c>
      <c r="BQ314" s="87">
        <f t="shared" si="338"/>
        <v>22888.181693602834</v>
      </c>
      <c r="BR314" s="43">
        <f t="shared" si="339"/>
        <v>2779.4194996844903</v>
      </c>
      <c r="BS314" s="59">
        <f t="shared" si="330"/>
        <v>-20108.762193918345</v>
      </c>
      <c r="BT314" s="42">
        <f>'[1]побудинковий звіт'!BT314+'[2]побудинковий звіт'!BT314-'[3]побудинковий звіт'!BT314</f>
        <v>78616.250428590924</v>
      </c>
      <c r="BU314" s="42">
        <f>'[1]побудинковий звіт'!BU314+'[2]побудинковий звіт'!BU314-'[3]побудинковий звіт'!BU314</f>
        <v>103743.03863977913</v>
      </c>
      <c r="BV314" s="56">
        <f t="shared" si="308"/>
        <v>25126.788211188206</v>
      </c>
      <c r="BW314" s="42">
        <f>'[1]побудинковий звіт'!BW314+'[2]побудинковий звіт'!BW314-'[3]побудинковий звіт'!BW314</f>
        <v>54502.533873578286</v>
      </c>
      <c r="BX314" s="42">
        <f>'[1]побудинковий звіт'!BX314+'[2]побудинковий звіт'!BX314-'[3]побудинковий звіт'!BX314</f>
        <v>55632.877645811532</v>
      </c>
      <c r="BY314" s="56">
        <f t="shared" si="309"/>
        <v>1130.3437722332455</v>
      </c>
      <c r="BZ314" s="42">
        <f>'[1]побудинковий звіт'!BZ314+'[2]побудинковий звіт'!BZ314-'[3]побудинковий звіт'!BZ314</f>
        <v>25351.312551110135</v>
      </c>
      <c r="CA314" s="42">
        <f>'[1]побудинковий звіт'!CA314+'[2]побудинковий звіт'!CA314-'[3]побудинковий звіт'!CA314</f>
        <v>25850.337589865907</v>
      </c>
      <c r="CB314" s="56">
        <f t="shared" si="310"/>
        <v>499.02503875577167</v>
      </c>
      <c r="CC314" s="42">
        <f>'[1]побудинковий звіт'!CC314+'[2]побудинковий звіт'!CC314-'[3]побудинковий звіт'!CC314</f>
        <v>908.86954396108672</v>
      </c>
      <c r="CD314" s="42">
        <f>'[1]побудинковий звіт'!CD314+'[2]побудинковий звіт'!CD314-'[3]побудинковий звіт'!CD314</f>
        <v>900.87577936590947</v>
      </c>
      <c r="CE314" s="56">
        <f t="shared" si="311"/>
        <v>-7.9937645951772538</v>
      </c>
      <c r="CF314" s="42">
        <f>'[1]побудинковий звіт'!CF314+'[2]побудинковий звіт'!CF314-'[3]побудинковий звіт'!CF314</f>
        <v>111.88734916187623</v>
      </c>
      <c r="CG314" s="42">
        <f>'[1]побудинковий звіт'!CG314+'[2]побудинковий звіт'!CG314-'[3]побудинковий звіт'!CG314</f>
        <v>0</v>
      </c>
      <c r="CH314" s="56">
        <f t="shared" si="312"/>
        <v>-111.88734916187623</v>
      </c>
      <c r="CI314" s="42">
        <f>'[1]побудинковий звіт'!CI314+'[2]побудинковий звіт'!CI314-'[3]побудинковий звіт'!CI314</f>
        <v>14655.822213741443</v>
      </c>
      <c r="CJ314" s="42">
        <f>'[1]побудинковий звіт'!CJ314+'[2]побудинковий звіт'!CJ314-'[3]побудинковий звіт'!CJ314</f>
        <v>6868.2653310643027</v>
      </c>
      <c r="CK314" s="56">
        <f t="shared" si="313"/>
        <v>-7787.5568826771405</v>
      </c>
      <c r="CL314" s="42">
        <f>'[1]побудинковий звіт'!CL314+'[2]побудинковий звіт'!CL314-'[3]побудинковий звіт'!CL314</f>
        <v>0</v>
      </c>
      <c r="CM314" s="42">
        <f>'[1]побудинковий звіт'!CM314+'[2]побудинковий звіт'!CM314-'[3]побудинковий звіт'!CM314</f>
        <v>0</v>
      </c>
      <c r="CN314" s="56">
        <f t="shared" si="314"/>
        <v>0</v>
      </c>
      <c r="CO314" s="42">
        <f t="shared" si="294"/>
        <v>14655.822213741443</v>
      </c>
      <c r="CP314" s="43">
        <f t="shared" si="315"/>
        <v>6868.2653310643027</v>
      </c>
      <c r="CQ314" s="56">
        <f t="shared" si="316"/>
        <v>-7787.5568826771405</v>
      </c>
      <c r="CR314" s="78">
        <f t="shared" si="295"/>
        <v>442470.52436172374</v>
      </c>
      <c r="CS314" s="5">
        <f t="shared" si="295"/>
        <v>347715.64221006189</v>
      </c>
      <c r="CT314" s="56">
        <f t="shared" si="317"/>
        <v>-94754.882151661848</v>
      </c>
      <c r="CU314" s="87">
        <f t="shared" si="318"/>
        <v>530964.62923406844</v>
      </c>
      <c r="CV314" s="70">
        <f t="shared" si="319"/>
        <v>417258.77065207425</v>
      </c>
      <c r="CW314" s="37">
        <f t="shared" si="320"/>
        <v>-113705.85858199419</v>
      </c>
      <c r="CX314" s="42">
        <f>'[1]побудинковий звіт'!CX314+'[2]побудинковий звіт'!CX314-'[3]побудинковий звіт'!CX314</f>
        <v>14249.250765931414</v>
      </c>
      <c r="CY314" s="42">
        <f>'[1]побудинковий звіт'!CY314+'[2]побудинковий звіт'!CY314-'[3]побудинковий звіт'!CY314</f>
        <v>127955.10934792573</v>
      </c>
      <c r="CZ314" s="56">
        <f t="shared" si="321"/>
        <v>113705.85858199431</v>
      </c>
      <c r="DA314" s="264">
        <f>'[4]побудинковий звіт'!DA314</f>
        <v>127590.19871138106</v>
      </c>
      <c r="DB314" s="2">
        <v>2</v>
      </c>
      <c r="DC314" s="717">
        <f>'[4]побудинковий звіт'!DC314</f>
        <v>145868.92000000001</v>
      </c>
      <c r="DD314" s="717">
        <f>'[4]побудинковий звіт'!DD314</f>
        <v>18399.099999999999</v>
      </c>
      <c r="DE314" s="717">
        <f>'[4]побудинковий звіт'!DE314</f>
        <v>111564.64000000001</v>
      </c>
      <c r="DF314" s="717">
        <f>'[4]побудинковий звіт'!DF314</f>
        <v>7268.8899999999994</v>
      </c>
      <c r="DG314" s="787">
        <v>-27980.901646318613</v>
      </c>
      <c r="DH314" s="761">
        <f t="shared" si="290"/>
        <v>6542566.5599999987</v>
      </c>
      <c r="DI314" s="784"/>
      <c r="DJ314" s="5"/>
      <c r="DK314" s="317">
        <f>VLOOKUP($A314,ціни!$A$4:$G$401,5)</f>
        <v>5.2089896575112862</v>
      </c>
      <c r="DL314" s="317"/>
      <c r="DM314" s="317">
        <f>VLOOKUP($A314,ціни!$A$4:$G$401,7)</f>
        <v>4.3623531756012008</v>
      </c>
      <c r="DN314" s="30">
        <f t="shared" si="332"/>
        <v>20799.495702442564</v>
      </c>
      <c r="DO314" s="30">
        <f t="shared" si="334"/>
        <v>11130.107892228903</v>
      </c>
      <c r="DP314" s="316">
        <f t="shared" si="335"/>
        <v>31929.603594671469</v>
      </c>
      <c r="DQ314" s="104"/>
      <c r="DR314" s="30">
        <f>VLOOKUP(A314,'ДЗ нас '!$A$1:$C$359,2)</f>
        <v>34304.28</v>
      </c>
      <c r="DS314" s="748">
        <f>VLOOKUP(A314,'ДЗ нежит'!$A$1:$D$153,4,0)</f>
        <v>11130.21</v>
      </c>
      <c r="DT314" s="30">
        <f t="shared" si="336"/>
        <v>45434.49</v>
      </c>
      <c r="DU314" s="257">
        <f>VLOOKUP(A314,'новий кошторис с 01.06'!$A$4:$AI$399,35)*1.2</f>
        <v>45468.271083410742</v>
      </c>
      <c r="DV314" s="30">
        <f t="shared" si="337"/>
        <v>-33.781083410744031</v>
      </c>
      <c r="DW314" s="930">
        <f>'[5]побудинковий звіт'!DW314+'[6]побудинковий звіт'!DW314</f>
        <v>470</v>
      </c>
      <c r="DY314" s="5">
        <f t="shared" si="286"/>
        <v>155778.723840188</v>
      </c>
      <c r="DZ314" s="5">
        <f t="shared" si="287"/>
        <v>35538.503399621382</v>
      </c>
      <c r="EA314" s="752">
        <f t="shared" si="291"/>
        <v>118833.53000000001</v>
      </c>
      <c r="EC314" s="592">
        <f t="shared" si="288"/>
        <v>1283129.058078646</v>
      </c>
      <c r="EE314" s="758">
        <v>91369</v>
      </c>
      <c r="EF314" s="738">
        <f t="shared" si="289"/>
        <v>63388.098353681387</v>
      </c>
      <c r="EH314" s="813">
        <v>224570.27647561417</v>
      </c>
    </row>
    <row r="315" spans="1:138" x14ac:dyDescent="0.3">
      <c r="A315" s="328">
        <v>150000873</v>
      </c>
      <c r="B315" s="44" t="s">
        <v>768</v>
      </c>
      <c r="C315" s="45" t="s">
        <v>306</v>
      </c>
      <c r="D315" s="45" t="s">
        <v>306</v>
      </c>
      <c r="E315" s="40">
        <f t="shared" si="292"/>
        <v>341.7</v>
      </c>
      <c r="F315" s="490">
        <v>201.1</v>
      </c>
      <c r="G315" s="30"/>
      <c r="H315" s="30">
        <v>140.6</v>
      </c>
      <c r="I315" s="42">
        <f>'[1]побудинковий звіт'!I315+'[2]побудинковий звіт'!I315-'[3]побудинковий звіт'!I315</f>
        <v>9071.3163002271285</v>
      </c>
      <c r="J315" s="42">
        <f>'[1]побудинковий звіт'!J315+'[2]побудинковий звіт'!J315-'[3]побудинковий звіт'!J315</f>
        <v>9054.3474233261186</v>
      </c>
      <c r="K315" s="56">
        <f t="shared" si="296"/>
        <v>-16.968876901009935</v>
      </c>
      <c r="L315" s="42">
        <f>'[1]побудинковий звіт'!L315+'[2]побудинковий звіт'!L315-'[3]побудинковий звіт'!L315</f>
        <v>1727.144907834667</v>
      </c>
      <c r="M315" s="42">
        <f>'[1]побудинковий звіт'!M315+'[2]побудинковий звіт'!M315-'[3]побудинковий звіт'!M315</f>
        <v>1742.6153644102915</v>
      </c>
      <c r="N315" s="56">
        <f t="shared" si="297"/>
        <v>15.470456575624439</v>
      </c>
      <c r="O315" s="42">
        <f>'[1]побудинковий звіт'!O315+'[2]побудинковий звіт'!O315-'[3]побудинковий звіт'!O315</f>
        <v>3524.1599999999994</v>
      </c>
      <c r="P315" s="42">
        <f>'[1]побудинковий звіт'!P315+'[2]побудинковий звіт'!P315-'[3]побудинковий звіт'!P315</f>
        <v>2770.233297150538</v>
      </c>
      <c r="Q315" s="56">
        <f t="shared" si="298"/>
        <v>-753.92670284946144</v>
      </c>
      <c r="R315" s="42">
        <f>'[1]побудинковий звіт'!R315+'[2]побудинковий звіт'!R315-'[3]побудинковий звіт'!R315</f>
        <v>0</v>
      </c>
      <c r="S315" s="42">
        <f>'[1]побудинковий звіт'!S315+'[2]побудинковий звіт'!S315-'[3]побудинковий звіт'!S315</f>
        <v>0</v>
      </c>
      <c r="T315" s="56">
        <f t="shared" si="299"/>
        <v>0</v>
      </c>
      <c r="U315" s="42">
        <f>'[1]побудинковий звіт'!U315+'[2]побудинковий звіт'!U315-'[3]побудинковий звіт'!U315</f>
        <v>0</v>
      </c>
      <c r="V315" s="42">
        <f>'[1]побудинковий звіт'!V315+'[2]побудинковий звіт'!V315-'[3]побудинковий звіт'!V315</f>
        <v>0</v>
      </c>
      <c r="W315" s="56">
        <f t="shared" si="300"/>
        <v>0</v>
      </c>
      <c r="X315" s="42">
        <f>'[1]побудинковий звіт'!X315+'[2]побудинковий звіт'!X315-'[3]побудинковий звіт'!X315</f>
        <v>5292.8102146223391</v>
      </c>
      <c r="Y315" s="42">
        <f>'[1]побудинковий звіт'!Y315+'[2]побудинковий звіт'!Y315-'[3]побудинковий звіт'!Y315</f>
        <v>4015.4616058498636</v>
      </c>
      <c r="Z315" s="56">
        <f t="shared" si="301"/>
        <v>-1277.3486087724755</v>
      </c>
      <c r="AA315" s="42">
        <f>'[1]побудинковий звіт'!AA315+'[2]побудинковий звіт'!AA315-'[3]побудинковий звіт'!AA315</f>
        <v>0</v>
      </c>
      <c r="AB315" s="42">
        <f>'[1]побудинковий звіт'!AB315+'[2]побудинковий звіт'!AB315-'[3]побудинковий звіт'!AB315</f>
        <v>0</v>
      </c>
      <c r="AC315" s="56">
        <f t="shared" si="302"/>
        <v>0</v>
      </c>
      <c r="AD315" s="42">
        <f>'[1]побудинковий звіт'!AD315+'[2]побудинковий звіт'!AD315-'[3]побудинковий звіт'!AD315</f>
        <v>11157.611352634574</v>
      </c>
      <c r="AE315" s="42">
        <f>'[1]побудинковий звіт'!AE315+'[2]побудинковий звіт'!AE315-'[3]побудинковий звіт'!AE315</f>
        <v>10283.916563033512</v>
      </c>
      <c r="AF315" s="37">
        <f t="shared" si="303"/>
        <v>-873.69478960106244</v>
      </c>
      <c r="AG315" s="87">
        <f t="shared" si="293"/>
        <v>30773.04277531871</v>
      </c>
      <c r="AH315" s="57">
        <f t="shared" si="293"/>
        <v>27866.574253770326</v>
      </c>
      <c r="AI315" s="56">
        <f t="shared" si="304"/>
        <v>-2906.4685215483842</v>
      </c>
      <c r="AJ315" s="42">
        <f>'[1]побудинковий звіт'!AJ315+'[2]побудинковий звіт'!AJ315-'[3]побудинковий звіт'!AJ315</f>
        <v>0</v>
      </c>
      <c r="AK315" s="42">
        <f>'[1]побудинковий звіт'!AK315+'[2]побудинковий звіт'!AK315-'[3]побудинковий звіт'!AK315</f>
        <v>0</v>
      </c>
      <c r="AL315" s="56">
        <f t="shared" si="305"/>
        <v>0</v>
      </c>
      <c r="AM315" s="42">
        <f>'[1]побудинковий звіт'!AM315+'[2]побудинковий звіт'!AM315-'[3]побудинковий звіт'!AM315</f>
        <v>0</v>
      </c>
      <c r="AN315" s="42">
        <f>'[1]побудинковий звіт'!AN315+'[2]побудинковий звіт'!AN315-'[3]побудинковий звіт'!AN315</f>
        <v>0</v>
      </c>
      <c r="AO315" s="56">
        <f t="shared" si="306"/>
        <v>0</v>
      </c>
      <c r="AP315" s="42">
        <f>'[1]побудинковий звіт'!AP315+'[2]побудинковий звіт'!AP315-'[3]побудинковий звіт'!AP315</f>
        <v>8239.0534931747534</v>
      </c>
      <c r="AQ315" s="42">
        <f>'[1]побудинковий звіт'!AQ315+'[2]побудинковий звіт'!AQ315-'[3]побудинковий звіт'!AQ315</f>
        <v>7485.3380580185603</v>
      </c>
      <c r="AR315" s="56">
        <f t="shared" si="307"/>
        <v>-753.71543515619305</v>
      </c>
      <c r="AS315" s="42">
        <f>'[1]побудинковий звіт'!AS315+'[2]побудинковий звіт'!AS315-'[3]побудинковий звіт'!AS315</f>
        <v>27992.411614330915</v>
      </c>
      <c r="AT315" s="42">
        <f>'[1]побудинковий звіт'!AT315+'[2]побудинковий звіт'!AT315-'[3]побудинковий звіт'!AT315</f>
        <v>85</v>
      </c>
      <c r="AU315" s="58">
        <f t="shared" si="322"/>
        <v>-27907.411614330915</v>
      </c>
      <c r="AV315" s="42">
        <f>'[1]побудинковий звіт'!AV315+'[2]побудинковий звіт'!AV315-'[3]побудинковий звіт'!AV315</f>
        <v>1462.8832484301468</v>
      </c>
      <c r="AW315" s="42">
        <f>'[1]побудинковий звіт'!AW315+'[2]побудинковий звіт'!AW315-'[3]побудинковий звіт'!AW315</f>
        <v>0</v>
      </c>
      <c r="AX315" s="59">
        <f t="shared" si="323"/>
        <v>-1462.8832484301468</v>
      </c>
      <c r="AY315" s="42">
        <f>'[1]побудинковий звіт'!AY315+'[2]побудинковий звіт'!AY315-'[3]побудинковий звіт'!AY315</f>
        <v>2225.8525564076244</v>
      </c>
      <c r="AZ315" s="42">
        <f>'[1]побудинковий звіт'!AZ315+'[2]побудинковий звіт'!AZ315-'[3]побудинковий звіт'!AZ315</f>
        <v>0</v>
      </c>
      <c r="BA315" s="37">
        <f t="shared" si="324"/>
        <v>-2225.8525564076244</v>
      </c>
      <c r="BB315" s="42">
        <f>'[1]побудинковий звіт'!BB315+'[2]побудинковий звіт'!BB315-'[3]побудинковий звіт'!BB315</f>
        <v>1882.0036634758555</v>
      </c>
      <c r="BC315" s="42">
        <f>'[1]побудинковий звіт'!BC315+'[2]побудинковий звіт'!BC315-'[3]побудинковий звіт'!BC315</f>
        <v>0</v>
      </c>
      <c r="BD315" s="59">
        <f t="shared" si="325"/>
        <v>-1882.0036634758555</v>
      </c>
      <c r="BE315" s="42">
        <f>'[1]побудинковий звіт'!BE315+'[2]побудинковий звіт'!BE315-'[3]побудинковий звіт'!BE315</f>
        <v>0</v>
      </c>
      <c r="BF315" s="42">
        <f>'[1]побудинковий звіт'!BF315+'[2]побудинковий звіт'!BF315-'[3]побудинковий звіт'!BF315</f>
        <v>0</v>
      </c>
      <c r="BG315" s="39">
        <f t="shared" si="326"/>
        <v>0</v>
      </c>
      <c r="BH315" s="42">
        <f>'[1]побудинковий звіт'!BH315+'[2]побудинковий звіт'!BH315-'[3]побудинковий звіт'!BH315</f>
        <v>0</v>
      </c>
      <c r="BI315" s="42">
        <f>'[1]побудинковий звіт'!BI315+'[2]побудинковий звіт'!BI315-'[3]побудинковий звіт'!BI315</f>
        <v>0</v>
      </c>
      <c r="BJ315" s="59">
        <f t="shared" si="327"/>
        <v>0</v>
      </c>
      <c r="BK315" s="42">
        <f>'[1]побудинковий звіт'!BK315+'[2]побудинковий звіт'!BK315-'[3]побудинковий звіт'!BK315</f>
        <v>709.27539010590624</v>
      </c>
      <c r="BL315" s="42">
        <f>'[1]побудинковий звіт'!BL315+'[2]побудинковий звіт'!BL315-'[3]побудинковий звіт'!BL315</f>
        <v>1273</v>
      </c>
      <c r="BM315" s="39">
        <f t="shared" si="328"/>
        <v>563.72460989409376</v>
      </c>
      <c r="BN315" s="42">
        <f>'[1]побудинковий звіт'!BN315+'[2]побудинковий звіт'!BN315-'[3]побудинковий звіт'!BN315</f>
        <v>0</v>
      </c>
      <c r="BO315" s="42">
        <f>'[1]побудинковий звіт'!BO315+'[2]побудинковий звіт'!BO315-'[3]побудинковий звіт'!BO315</f>
        <v>0</v>
      </c>
      <c r="BP315" s="59">
        <f t="shared" si="329"/>
        <v>0</v>
      </c>
      <c r="BQ315" s="87">
        <f t="shared" si="338"/>
        <v>6280.0148584195322</v>
      </c>
      <c r="BR315" s="43">
        <f t="shared" si="339"/>
        <v>1273</v>
      </c>
      <c r="BS315" s="59">
        <f t="shared" si="330"/>
        <v>-5007.0148584195322</v>
      </c>
      <c r="BT315" s="42">
        <f>'[1]побудинковий звіт'!BT315+'[2]побудинковий звіт'!BT315-'[3]побудинковий звіт'!BT315</f>
        <v>34851.962423806748</v>
      </c>
      <c r="BU315" s="42">
        <f>'[1]побудинковий звіт'!BU315+'[2]побудинковий звіт'!BU315-'[3]побудинковий звіт'!BU315</f>
        <v>42530.625576458435</v>
      </c>
      <c r="BV315" s="56">
        <f t="shared" si="308"/>
        <v>7678.6631526516867</v>
      </c>
      <c r="BW315" s="42">
        <f>'[1]побудинковий звіт'!BW315+'[2]побудинковий звіт'!BW315-'[3]побудинковий звіт'!BW315</f>
        <v>13191.986615649006</v>
      </c>
      <c r="BX315" s="42">
        <f>'[1]побудинковий звіт'!BX315+'[2]побудинковий звіт'!BX315-'[3]побудинковий звіт'!BX315</f>
        <v>13831.888635469228</v>
      </c>
      <c r="BY315" s="56">
        <f t="shared" si="309"/>
        <v>639.90201982022154</v>
      </c>
      <c r="BZ315" s="42">
        <f>'[1]побудинковий звіт'!BZ315+'[2]побудинковий звіт'!BZ315-'[3]побудинковий звіт'!BZ315</f>
        <v>8638.2919900745383</v>
      </c>
      <c r="CA315" s="42">
        <f>'[1]побудинковий звіт'!CA315+'[2]побудинковий звіт'!CA315-'[3]побудинковий звіт'!CA315</f>
        <v>8242.6794076855713</v>
      </c>
      <c r="CB315" s="56">
        <f t="shared" si="310"/>
        <v>-395.61258238896698</v>
      </c>
      <c r="CC315" s="42">
        <f>'[1]побудинковий звіт'!CC315+'[2]побудинковий звіт'!CC315-'[3]побудинковий звіт'!CC315</f>
        <v>682.38748931706186</v>
      </c>
      <c r="CD315" s="42">
        <f>'[1]побудинковий звіт'!CD315+'[2]побудинковий звіт'!CD315-'[3]побудинковий звіт'!CD315</f>
        <v>676.38569842359539</v>
      </c>
      <c r="CE315" s="56">
        <f t="shared" si="311"/>
        <v>-6.0017908934664774</v>
      </c>
      <c r="CF315" s="42">
        <f>'[1]побудинковий звіт'!CF315+'[2]побудинковий звіт'!CF315-'[3]побудинковий звіт'!CF315</f>
        <v>84.006035616683747</v>
      </c>
      <c r="CG315" s="42">
        <f>'[1]побудинковий звіт'!CG315+'[2]побудинковий звіт'!CG315-'[3]побудинковий звіт'!CG315</f>
        <v>0</v>
      </c>
      <c r="CH315" s="56">
        <f t="shared" si="312"/>
        <v>-84.006035616683747</v>
      </c>
      <c r="CI315" s="42">
        <f>'[1]побудинковий звіт'!CI315+'[2]побудинковий звіт'!CI315-'[3]побудинковий звіт'!CI315</f>
        <v>6420.1111357769023</v>
      </c>
      <c r="CJ315" s="42">
        <f>'[1]побудинковий звіт'!CJ315+'[2]побудинковий звіт'!CJ315-'[3]побудинковий звіт'!CJ315</f>
        <v>4213.6624511337232</v>
      </c>
      <c r="CK315" s="56">
        <f t="shared" si="313"/>
        <v>-2206.4486846431791</v>
      </c>
      <c r="CL315" s="42">
        <f>'[1]побудинковий звіт'!CL315+'[2]побудинковий звіт'!CL315-'[3]побудинковий звіт'!CL315</f>
        <v>0</v>
      </c>
      <c r="CM315" s="42">
        <f>'[1]побудинковий звіт'!CM315+'[2]побудинковий звіт'!CM315-'[3]побудинковий звіт'!CM315</f>
        <v>0</v>
      </c>
      <c r="CN315" s="56">
        <f t="shared" si="314"/>
        <v>0</v>
      </c>
      <c r="CO315" s="42">
        <f t="shared" si="294"/>
        <v>6420.1111357769023</v>
      </c>
      <c r="CP315" s="43">
        <f t="shared" si="315"/>
        <v>4213.6624511337232</v>
      </c>
      <c r="CQ315" s="56">
        <f t="shared" si="316"/>
        <v>-2206.4486846431791</v>
      </c>
      <c r="CR315" s="78">
        <f t="shared" si="295"/>
        <v>137153.26843148482</v>
      </c>
      <c r="CS315" s="5">
        <f t="shared" si="295"/>
        <v>106205.15408095943</v>
      </c>
      <c r="CT315" s="56">
        <f t="shared" si="317"/>
        <v>-30948.114350525386</v>
      </c>
      <c r="CU315" s="87">
        <f t="shared" si="318"/>
        <v>164583.92211778177</v>
      </c>
      <c r="CV315" s="70">
        <f t="shared" si="319"/>
        <v>127446.18489715131</v>
      </c>
      <c r="CW315" s="37">
        <f t="shared" si="320"/>
        <v>-37137.737220630457</v>
      </c>
      <c r="CX315" s="42">
        <f>'[1]побудинковий звіт'!CX315+'[2]побудинковий звіт'!CX315-'[3]побудинковий звіт'!CX315</f>
        <v>3256.8978822181452</v>
      </c>
      <c r="CY315" s="42">
        <f>'[1]побудинковий звіт'!CY315+'[2]побудинковий звіт'!CY315-'[3]побудинковий звіт'!CY315</f>
        <v>40394.635102848682</v>
      </c>
      <c r="CZ315" s="56">
        <f t="shared" si="321"/>
        <v>37137.737220630537</v>
      </c>
      <c r="DA315" s="264">
        <f>'[4]побудинковий звіт'!DA315</f>
        <v>47443.626239387464</v>
      </c>
      <c r="DB315" s="2">
        <v>2</v>
      </c>
      <c r="DC315" s="717">
        <f>'[4]побудинковий звіт'!DC315</f>
        <v>16189.69</v>
      </c>
      <c r="DD315" s="717">
        <f>'[4]побудинковий звіт'!DD315</f>
        <v>4993.41</v>
      </c>
      <c r="DE315" s="717">
        <f>'[4]побудинковий звіт'!DE315</f>
        <v>2887.4700000000012</v>
      </c>
      <c r="DF315" s="717">
        <f>'[4]побудинковий звіт'!DF315</f>
        <v>4312.13</v>
      </c>
      <c r="DG315" s="787">
        <v>51283.973818567873</v>
      </c>
      <c r="DH315" s="761">
        <f t="shared" si="290"/>
        <v>2014089.8399999989</v>
      </c>
      <c r="DI315" s="784"/>
      <c r="DJ315" s="5"/>
      <c r="DK315" s="317">
        <f>VLOOKUP($A315,ціни!$A$4:$G$401,5)</f>
        <v>5.3904882433774226</v>
      </c>
      <c r="DL315" s="317"/>
      <c r="DM315" s="317">
        <f>VLOOKUP($A315,ціни!$A$4:$G$401,7)</f>
        <v>4.8454663973447607</v>
      </c>
      <c r="DN315" s="30">
        <f t="shared" si="332"/>
        <v>1084.0271857431997</v>
      </c>
      <c r="DO315" s="30">
        <f t="shared" si="334"/>
        <v>681.27257546667329</v>
      </c>
      <c r="DP315" s="316">
        <f t="shared" si="335"/>
        <v>1765.2997612098729</v>
      </c>
      <c r="DQ315" s="104"/>
      <c r="DR315" s="30">
        <f>VLOOKUP(A315,'ДЗ нас '!$A$1:$C$359,2)</f>
        <v>13302.22</v>
      </c>
      <c r="DS315" s="748">
        <f>VLOOKUP(A315,'ДЗ нежит'!$A$1:$D$153,4,0)</f>
        <v>681.28</v>
      </c>
      <c r="DT315" s="30">
        <f t="shared" si="336"/>
        <v>13983.5</v>
      </c>
      <c r="DU315" s="257">
        <f>VLOOKUP(A315,'новий кошторис с 01.06'!$A$4:$AI$399,35)*1.2</f>
        <v>14044.494687384053</v>
      </c>
      <c r="DV315" s="30">
        <f t="shared" si="337"/>
        <v>-60.994687384052668</v>
      </c>
      <c r="DW315" s="930">
        <f>'[5]побудинковий звіт'!DW315+'[6]побудинковий звіт'!DW315</f>
        <v>236</v>
      </c>
      <c r="DY315" s="5">
        <f t="shared" si="286"/>
        <v>41126.911767300538</v>
      </c>
      <c r="DZ315" s="5">
        <f t="shared" si="287"/>
        <v>1629.6</v>
      </c>
      <c r="EA315" s="752">
        <f t="shared" si="291"/>
        <v>7199.6000000000013</v>
      </c>
      <c r="EC315" s="592">
        <f t="shared" si="288"/>
        <v>335908.93937197095</v>
      </c>
      <c r="EE315" s="758">
        <v>-30388</v>
      </c>
      <c r="EF315" s="738">
        <f t="shared" si="289"/>
        <v>20895.973818567873</v>
      </c>
      <c r="EH315" s="813">
        <v>80694.894715823772</v>
      </c>
    </row>
    <row r="316" spans="1:138" x14ac:dyDescent="0.3">
      <c r="A316" s="328">
        <v>150000874</v>
      </c>
      <c r="B316" s="44" t="s">
        <v>769</v>
      </c>
      <c r="C316" s="45" t="s">
        <v>307</v>
      </c>
      <c r="D316" s="45" t="s">
        <v>307</v>
      </c>
      <c r="E316" s="40">
        <f t="shared" si="292"/>
        <v>772.72</v>
      </c>
      <c r="F316" s="490">
        <v>243.32</v>
      </c>
      <c r="G316" s="30"/>
      <c r="H316" s="30">
        <v>529.4</v>
      </c>
      <c r="I316" s="42">
        <f>'[1]побудинковий звіт'!I316+'[2]побудинковий звіт'!I316-'[3]побудинковий звіт'!I316</f>
        <v>8206.4462167745805</v>
      </c>
      <c r="J316" s="42">
        <f>'[1]побудинковий звіт'!J316+'[2]побудинковий звіт'!J316-'[3]побудинковий звіт'!J316</f>
        <v>8177.4000929405192</v>
      </c>
      <c r="K316" s="56">
        <f t="shared" si="296"/>
        <v>-29.046123834061291</v>
      </c>
      <c r="L316" s="42">
        <f>'[1]побудинковий звіт'!L316+'[2]побудинковий звіт'!L316-'[3]побудинковий звіт'!L316</f>
        <v>1727.144907834667</v>
      </c>
      <c r="M316" s="42">
        <f>'[1]побудинковий звіт'!M316+'[2]побудинковий звіт'!M316-'[3]побудинковий звіт'!M316</f>
        <v>1757.4855249654879</v>
      </c>
      <c r="N316" s="56">
        <f t="shared" si="297"/>
        <v>30.340617130820874</v>
      </c>
      <c r="O316" s="42">
        <f>'[1]побудинковий звіт'!O316+'[2]побудинковий звіт'!O316-'[3]побудинковий звіт'!O316</f>
        <v>3195.3599999999988</v>
      </c>
      <c r="P316" s="42">
        <f>'[1]побудинковий звіт'!P316+'[2]побудинковий звіт'!P316-'[3]побудинковий звіт'!P316</f>
        <v>2511.588053225807</v>
      </c>
      <c r="Q316" s="56">
        <f t="shared" si="298"/>
        <v>-683.77194677419175</v>
      </c>
      <c r="R316" s="42">
        <f>'[1]побудинковий звіт'!R316+'[2]побудинковий звіт'!R316-'[3]побудинковий звіт'!R316</f>
        <v>723.4799999999999</v>
      </c>
      <c r="S316" s="42">
        <f>'[1]побудинковий звіт'!S316+'[2]побудинковий звіт'!S316-'[3]побудинковий звіт'!S316</f>
        <v>568.5044532258064</v>
      </c>
      <c r="T316" s="56">
        <f t="shared" si="299"/>
        <v>-154.9755467741935</v>
      </c>
      <c r="U316" s="42">
        <f>'[1]побудинковий звіт'!U316+'[2]побудинковий звіт'!U316-'[3]побудинковий звіт'!U316</f>
        <v>531.87068102458227</v>
      </c>
      <c r="V316" s="42">
        <f>'[1]побудинковий звіт'!V316+'[2]побудинковий звіт'!V316-'[3]побудинковий звіт'!V316</f>
        <v>1418.8845055666725</v>
      </c>
      <c r="W316" s="56">
        <f t="shared" si="300"/>
        <v>887.01382454209022</v>
      </c>
      <c r="X316" s="42">
        <f>'[1]побудинковий звіт'!X316+'[2]побудинковий звіт'!X316-'[3]побудинковий звіт'!X316</f>
        <v>5456.2142638286823</v>
      </c>
      <c r="Y316" s="42">
        <f>'[1]побудинковий звіт'!Y316+'[2]побудинковий звіт'!Y316-'[3]побудинковий звіт'!Y316</f>
        <v>4091.9187271298715</v>
      </c>
      <c r="Z316" s="56">
        <f t="shared" si="301"/>
        <v>-1364.2955366988108</v>
      </c>
      <c r="AA316" s="42">
        <f>'[1]побудинковий звіт'!AA316+'[2]побудинковий звіт'!AA316-'[3]побудинковий звіт'!AA316</f>
        <v>0</v>
      </c>
      <c r="AB316" s="42">
        <f>'[1]побудинковий звіт'!AB316+'[2]побудинковий звіт'!AB316-'[3]побудинковий звіт'!AB316</f>
        <v>0</v>
      </c>
      <c r="AC316" s="56">
        <f t="shared" si="302"/>
        <v>0</v>
      </c>
      <c r="AD316" s="42">
        <f>'[1]побудинковий звіт'!AD316+'[2]побудинковий звіт'!AD316-'[3]побудинковий звіт'!AD316</f>
        <v>11199.6855349213</v>
      </c>
      <c r="AE316" s="42">
        <f>'[1]побудинковий звіт'!AE316+'[2]побудинковий звіт'!AE316-'[3]побудинковий звіт'!AE316</f>
        <v>9987.2959932343401</v>
      </c>
      <c r="AF316" s="37">
        <f t="shared" si="303"/>
        <v>-1212.38954168696</v>
      </c>
      <c r="AG316" s="87">
        <f t="shared" si="293"/>
        <v>31040.201604383808</v>
      </c>
      <c r="AH316" s="57">
        <f t="shared" si="293"/>
        <v>28513.077350288506</v>
      </c>
      <c r="AI316" s="56">
        <f t="shared" si="304"/>
        <v>-2527.1242540953026</v>
      </c>
      <c r="AJ316" s="42">
        <f>'[1]побудинковий звіт'!AJ316+'[2]побудинковий звіт'!AJ316-'[3]побудинковий звіт'!AJ316</f>
        <v>0</v>
      </c>
      <c r="AK316" s="42">
        <f>'[1]побудинковий звіт'!AK316+'[2]побудинковий звіт'!AK316-'[3]побудинковий звіт'!AK316</f>
        <v>0</v>
      </c>
      <c r="AL316" s="56">
        <f t="shared" si="305"/>
        <v>0</v>
      </c>
      <c r="AM316" s="42">
        <f>'[1]побудинковий звіт'!AM316+'[2]побудинковий звіт'!AM316-'[3]побудинковий звіт'!AM316</f>
        <v>0</v>
      </c>
      <c r="AN316" s="42">
        <f>'[1]побудинковий звіт'!AN316+'[2]побудинковий звіт'!AN316-'[3]побудинковий звіт'!AN316</f>
        <v>0</v>
      </c>
      <c r="AO316" s="56">
        <f t="shared" si="306"/>
        <v>0</v>
      </c>
      <c r="AP316" s="42">
        <f>'[1]побудинковий звіт'!AP316+'[2]побудинковий звіт'!AP316-'[3]побудинковий звіт'!AP316</f>
        <v>1894.0352857872997</v>
      </c>
      <c r="AQ316" s="42">
        <f>'[1]побудинковий звіт'!AQ316+'[2]побудинковий звіт'!AQ316-'[3]побудинковий звіт'!AQ316</f>
        <v>1852.1558525389692</v>
      </c>
      <c r="AR316" s="56">
        <f t="shared" si="307"/>
        <v>-41.879433248330542</v>
      </c>
      <c r="AS316" s="42">
        <f>'[1]побудинковий звіт'!AS316+'[2]побудинковий звіт'!AS316-'[3]побудинковий звіт'!AS316</f>
        <v>29617.768520036108</v>
      </c>
      <c r="AT316" s="42">
        <f>'[1]побудинковий звіт'!AT316+'[2]побудинковий звіт'!AT316-'[3]побудинковий звіт'!AT316</f>
        <v>16650</v>
      </c>
      <c r="AU316" s="58">
        <f t="shared" si="322"/>
        <v>-12967.768520036108</v>
      </c>
      <c r="AV316" s="42">
        <f>'[1]побудинковий звіт'!AV316+'[2]побудинковий звіт'!AV316-'[3]побудинковий звіт'!AV316</f>
        <v>1411.2959241761789</v>
      </c>
      <c r="AW316" s="42">
        <f>'[1]побудинковий звіт'!AW316+'[2]побудинковий звіт'!AW316-'[3]побудинковий звіт'!AW316</f>
        <v>1191</v>
      </c>
      <c r="AX316" s="59">
        <f t="shared" si="323"/>
        <v>-220.29592417617891</v>
      </c>
      <c r="AY316" s="42">
        <f>'[1]побудинковий звіт'!AY316+'[2]побудинковий звіт'!AY316-'[3]побудинковий звіт'!AY316</f>
        <v>2225.8525564076244</v>
      </c>
      <c r="AZ316" s="42">
        <f>'[1]побудинковий звіт'!AZ316+'[2]побудинковий звіт'!AZ316-'[3]побудинковий звіт'!AZ316</f>
        <v>846</v>
      </c>
      <c r="BA316" s="37">
        <f t="shared" si="324"/>
        <v>-1379.8525564076244</v>
      </c>
      <c r="BB316" s="42">
        <f>'[1]побудинковий звіт'!BB316+'[2]побудинковий звіт'!BB316-'[3]побудинковий звіт'!BB316</f>
        <v>1679.2866323541082</v>
      </c>
      <c r="BC316" s="42">
        <f>'[1]побудинковий звіт'!BC316+'[2]побудинковий звіт'!BC316-'[3]побудинковий звіт'!BC316</f>
        <v>0</v>
      </c>
      <c r="BD316" s="59">
        <f t="shared" si="325"/>
        <v>-1679.2866323541082</v>
      </c>
      <c r="BE316" s="42">
        <f>'[1]побудинковий звіт'!BE316+'[2]побудинковий звіт'!BE316-'[3]побудинковий звіт'!BE316</f>
        <v>788.47384890198884</v>
      </c>
      <c r="BF316" s="42">
        <f>'[1]побудинковий звіт'!BF316+'[2]побудинковий звіт'!BF316-'[3]побудинковий звіт'!BF316</f>
        <v>0</v>
      </c>
      <c r="BG316" s="39">
        <f t="shared" si="326"/>
        <v>-788.47384890198884</v>
      </c>
      <c r="BH316" s="42">
        <f>'[1]побудинковий звіт'!BH316+'[2]побудинковий звіт'!BH316-'[3]побудинковий звіт'!BH316</f>
        <v>539.76213107435467</v>
      </c>
      <c r="BI316" s="42">
        <f>'[1]побудинковий звіт'!BI316+'[2]побудинковий звіт'!BI316-'[3]побудинковий звіт'!BI316</f>
        <v>0</v>
      </c>
      <c r="BJ316" s="59">
        <f t="shared" si="327"/>
        <v>-539.76213107435467</v>
      </c>
      <c r="BK316" s="42">
        <f>'[1]побудинковий звіт'!BK316+'[2]побудинковий звіт'!BK316-'[3]побудинковий звіт'!BK316</f>
        <v>709.27546737042348</v>
      </c>
      <c r="BL316" s="42">
        <f>'[1]побудинковий звіт'!BL316+'[2]побудинковий звіт'!BL316-'[3]побудинковий звіт'!BL316</f>
        <v>450</v>
      </c>
      <c r="BM316" s="39">
        <f t="shared" si="328"/>
        <v>-259.27546737042348</v>
      </c>
      <c r="BN316" s="42">
        <f>'[1]побудинковий звіт'!BN316+'[2]побудинковий звіт'!BN316-'[3]побудинковий звіт'!BN316</f>
        <v>0</v>
      </c>
      <c r="BO316" s="42">
        <f>'[1]побудинковий звіт'!BO316+'[2]побудинковий звіт'!BO316-'[3]побудинковий звіт'!BO316</f>
        <v>0</v>
      </c>
      <c r="BP316" s="59">
        <f t="shared" si="329"/>
        <v>0</v>
      </c>
      <c r="BQ316" s="87">
        <f t="shared" si="338"/>
        <v>7353.9465602846794</v>
      </c>
      <c r="BR316" s="43">
        <f t="shared" si="339"/>
        <v>2487</v>
      </c>
      <c r="BS316" s="59">
        <f t="shared" si="330"/>
        <v>-4866.9465602846794</v>
      </c>
      <c r="BT316" s="42">
        <f>'[1]побудинковий звіт'!BT316+'[2]побудинковий звіт'!BT316-'[3]побудинковий звіт'!BT316</f>
        <v>47293.049967837709</v>
      </c>
      <c r="BU316" s="42">
        <f>'[1]побудинковий звіт'!BU316+'[2]побудинковий звіт'!BU316-'[3]побудинковий звіт'!BU316</f>
        <v>58836.264744948989</v>
      </c>
      <c r="BV316" s="56">
        <f t="shared" si="308"/>
        <v>11543.21477711128</v>
      </c>
      <c r="BW316" s="42">
        <f>'[1]побудинковий звіт'!BW316+'[2]побудинковий звіт'!BW316-'[3]побудинковий звіт'!BW316</f>
        <v>17837.301537490104</v>
      </c>
      <c r="BX316" s="42">
        <f>'[1]побудинковий звіт'!BX316+'[2]побудинковий звіт'!BX316-'[3]побудинковий звіт'!BX316</f>
        <v>18312.03744739831</v>
      </c>
      <c r="BY316" s="56">
        <f t="shared" si="309"/>
        <v>474.73590990820594</v>
      </c>
      <c r="BZ316" s="42">
        <f>'[1]побудинковий звіт'!BZ316+'[2]побудинковий звіт'!BZ316-'[3]побудинковий звіт'!BZ316</f>
        <v>13233.785648660485</v>
      </c>
      <c r="CA316" s="42">
        <f>'[1]побудинковий звіт'!CA316+'[2]побудинковий звіт'!CA316-'[3]побудинковий звіт'!CA316</f>
        <v>11255.1982363938</v>
      </c>
      <c r="CB316" s="56">
        <f t="shared" si="310"/>
        <v>-1978.5874122666846</v>
      </c>
      <c r="CC316" s="42">
        <f>'[1]побудинковий звіт'!CC316+'[2]побудинковий звіт'!CC316-'[3]побудинковий звіт'!CC316</f>
        <v>352.95904619848022</v>
      </c>
      <c r="CD316" s="42">
        <f>'[1]побудинковий звіт'!CD316+'[2]побудинковий звіт'!CD316-'[3]побудинковий звіт'!CD316</f>
        <v>349.85467159841141</v>
      </c>
      <c r="CE316" s="56">
        <f t="shared" si="311"/>
        <v>-3.1043746000688088</v>
      </c>
      <c r="CF316" s="42">
        <f>'[1]побудинковий звіт'!CF316+'[2]побудинковий звіт'!CF316-'[3]побудинковий звіт'!CF316</f>
        <v>43.451397732767447</v>
      </c>
      <c r="CG316" s="42">
        <f>'[1]побудинковий звіт'!CG316+'[2]побудинковий звіт'!CG316-'[3]побудинковий звіт'!CG316</f>
        <v>0</v>
      </c>
      <c r="CH316" s="56">
        <f t="shared" si="312"/>
        <v>-43.451397732767447</v>
      </c>
      <c r="CI316" s="42">
        <f>'[1]побудинковий звіт'!CI316+'[2]побудинковий звіт'!CI316-'[3]побудинковий звіт'!CI316</f>
        <v>4866.5565460699554</v>
      </c>
      <c r="CJ316" s="42">
        <f>'[1]побудинковий звіт'!CJ316+'[2]побудинковий звіт'!CJ316-'[3]побудинковий звіт'!CJ316</f>
        <v>3258.7108033681734</v>
      </c>
      <c r="CK316" s="56">
        <f t="shared" si="313"/>
        <v>-1607.845742701782</v>
      </c>
      <c r="CL316" s="42">
        <f>'[1]побудинковий звіт'!CL316+'[2]побудинковий звіт'!CL316-'[3]побудинковий звіт'!CL316</f>
        <v>0</v>
      </c>
      <c r="CM316" s="42">
        <f>'[1]побудинковий звіт'!CM316+'[2]побудинковий звіт'!CM316-'[3]побудинковий звіт'!CM316</f>
        <v>0</v>
      </c>
      <c r="CN316" s="56">
        <f t="shared" si="314"/>
        <v>0</v>
      </c>
      <c r="CO316" s="42">
        <f t="shared" si="294"/>
        <v>4866.5565460699554</v>
      </c>
      <c r="CP316" s="43">
        <f t="shared" si="315"/>
        <v>3258.7108033681734</v>
      </c>
      <c r="CQ316" s="56">
        <f t="shared" si="316"/>
        <v>-1607.845742701782</v>
      </c>
      <c r="CR316" s="78">
        <f t="shared" si="295"/>
        <v>153533.05611448138</v>
      </c>
      <c r="CS316" s="5">
        <f t="shared" si="295"/>
        <v>141514.29910653515</v>
      </c>
      <c r="CT316" s="56">
        <f t="shared" si="317"/>
        <v>-12018.757007946231</v>
      </c>
      <c r="CU316" s="87">
        <f t="shared" si="318"/>
        <v>184239.66733737764</v>
      </c>
      <c r="CV316" s="70">
        <f t="shared" si="319"/>
        <v>169817.15892784219</v>
      </c>
      <c r="CW316" s="37">
        <f t="shared" si="320"/>
        <v>-14422.508409535454</v>
      </c>
      <c r="CX316" s="42">
        <f>'[1]побудинковий звіт'!CX316+'[2]побудинковий звіт'!CX316-'[3]побудинковий звіт'!CX316</f>
        <v>-1712.9473373776709</v>
      </c>
      <c r="CY316" s="42">
        <f>'[1]побудинковий звіт'!CY316+'[2]побудинковий звіт'!CY316-'[3]побудинковий звіт'!CY316</f>
        <v>12709.561072157821</v>
      </c>
      <c r="CZ316" s="56">
        <f t="shared" si="321"/>
        <v>14422.508409535492</v>
      </c>
      <c r="DA316" s="264">
        <f>'[4]побудинковий звіт'!DA316</f>
        <v>130788.28113161575</v>
      </c>
      <c r="DB316" s="2">
        <v>2</v>
      </c>
      <c r="DC316" s="717">
        <f>'[4]побудинковий звіт'!DC316</f>
        <v>39640.17</v>
      </c>
      <c r="DD316" s="717">
        <f>'[4]побудинковий звіт'!DD316</f>
        <v>626.70000000000005</v>
      </c>
      <c r="DE316" s="717">
        <f>'[4]побудинковий звіт'!DE316</f>
        <v>27227.07</v>
      </c>
      <c r="DF316" s="717">
        <f>'[4]побудинковий звіт'!DF316</f>
        <v>-2170.7600000000002</v>
      </c>
      <c r="DG316" s="787">
        <v>37529.32248703076</v>
      </c>
      <c r="DH316" s="761">
        <f t="shared" si="290"/>
        <v>2190320.6399999997</v>
      </c>
      <c r="DI316" s="784"/>
      <c r="DJ316" s="5"/>
      <c r="DK316" s="317">
        <f>VLOOKUP($A316,ціни!$A$4:$G$401,5)</f>
        <v>6.1917479549284433</v>
      </c>
      <c r="DL316" s="317"/>
      <c r="DM316" s="317">
        <f>VLOOKUP($A316,ціни!$A$4:$G$401,7)</f>
        <v>5.2842236348845537</v>
      </c>
      <c r="DN316" s="30">
        <f t="shared" si="332"/>
        <v>1506.5761123931889</v>
      </c>
      <c r="DO316" s="30">
        <f t="shared" si="334"/>
        <v>2797.4679923078825</v>
      </c>
      <c r="DP316" s="316">
        <f t="shared" si="335"/>
        <v>4304.0441047010718</v>
      </c>
      <c r="DQ316" s="104"/>
      <c r="DR316" s="30">
        <f>VLOOKUP(A316,'ДЗ нас '!$A$1:$C$359,2)</f>
        <v>12413.1</v>
      </c>
      <c r="DS316" s="748">
        <f>VLOOKUP(A316,'ДЗ нежит'!$A$1:$D$153,4,0)</f>
        <v>3146.2200000000003</v>
      </c>
      <c r="DT316" s="30">
        <f t="shared" si="336"/>
        <v>15559.32</v>
      </c>
      <c r="DU316" s="257">
        <f>VLOOKUP(A316,'новий кошторис с 01.06'!$A$4:$AI$399,35)*1.2</f>
        <v>15721.784946122894</v>
      </c>
      <c r="DV316" s="30">
        <f t="shared" si="337"/>
        <v>-162.46494612289462</v>
      </c>
      <c r="DW316" s="930">
        <f>'[5]побудинковий звіт'!DW316+'[6]побудинковий звіт'!DW316</f>
        <v>236</v>
      </c>
      <c r="DY316" s="5">
        <f t="shared" si="286"/>
        <v>44366.05809638495</v>
      </c>
      <c r="DZ316" s="5">
        <f t="shared" si="287"/>
        <v>22964.399999999998</v>
      </c>
      <c r="EA316" s="752">
        <f t="shared" si="291"/>
        <v>25056.309999999998</v>
      </c>
      <c r="EC316" s="592">
        <f t="shared" si="288"/>
        <v>355413.22224043333</v>
      </c>
      <c r="EE316" s="758">
        <v>883</v>
      </c>
      <c r="EF316" s="738">
        <f t="shared" si="289"/>
        <v>38412.32248703076</v>
      </c>
      <c r="EH316" s="813">
        <v>136751.61286864188</v>
      </c>
    </row>
    <row r="317" spans="1:138" x14ac:dyDescent="0.3">
      <c r="A317" s="328">
        <v>150000866</v>
      </c>
      <c r="B317" s="44" t="s">
        <v>770</v>
      </c>
      <c r="C317" s="45" t="s">
        <v>308</v>
      </c>
      <c r="D317" s="45" t="s">
        <v>308</v>
      </c>
      <c r="E317" s="40">
        <f t="shared" si="292"/>
        <v>1517.8000000000002</v>
      </c>
      <c r="F317" s="490">
        <v>326.10000000000002</v>
      </c>
      <c r="G317" s="30"/>
      <c r="H317" s="30">
        <v>1191.7</v>
      </c>
      <c r="I317" s="42">
        <f>'[1]побудинковий звіт'!I317+'[2]побудинковий звіт'!I317-'[3]побудинковий звіт'!I317</f>
        <v>17739.145151751738</v>
      </c>
      <c r="J317" s="42">
        <f>'[1]побудинковий звіт'!J317+'[2]побудинковий звіт'!J317-'[3]побудинковий звіт'!J317</f>
        <v>14984.291291792972</v>
      </c>
      <c r="K317" s="56">
        <f t="shared" si="296"/>
        <v>-2754.8538599587664</v>
      </c>
      <c r="L317" s="42">
        <f>'[1]побудинковий звіт'!L317+'[2]побудинковий звіт'!L317-'[3]побудинковий звіт'!L317</f>
        <v>3424.7031478005524</v>
      </c>
      <c r="M317" s="42">
        <f>'[1]побудинковий звіт'!M317+'[2]побудинковий звіт'!M317-'[3]побудинковий звіт'!M317</f>
        <v>3187.2216180590567</v>
      </c>
      <c r="N317" s="56">
        <f t="shared" si="297"/>
        <v>-237.48152974149571</v>
      </c>
      <c r="O317" s="42">
        <f>'[1]побудинковий звіт'!O317+'[2]побудинковий звіт'!O317-'[3]побудинковий звіт'!O317</f>
        <v>7628.4</v>
      </c>
      <c r="P317" s="42">
        <f>'[1]побудинковий звіт'!P317+'[2]побудинковий звіт'!P317-'[3]побудинковий звіт'!P317</f>
        <v>5995.7846120698923</v>
      </c>
      <c r="Q317" s="56">
        <f t="shared" si="298"/>
        <v>-1632.6153879301073</v>
      </c>
      <c r="R317" s="42">
        <f>'[1]побудинковий звіт'!R317+'[2]побудинковий звіт'!R317-'[3]побудинковий звіт'!R317</f>
        <v>0</v>
      </c>
      <c r="S317" s="42">
        <f>'[1]побудинковий звіт'!S317+'[2]побудинковий звіт'!S317-'[3]побудинковий звіт'!S317</f>
        <v>0</v>
      </c>
      <c r="T317" s="56">
        <f t="shared" si="299"/>
        <v>0</v>
      </c>
      <c r="U317" s="42">
        <f>'[1]побудинковий звіт'!U317+'[2]побудинковий звіт'!U317-'[3]побудинковий звіт'!U317</f>
        <v>0</v>
      </c>
      <c r="V317" s="42">
        <f>'[1]побудинковий звіт'!V317+'[2]побудинковий звіт'!V317-'[3]побудинковий звіт'!V317</f>
        <v>18.246158780325992</v>
      </c>
      <c r="W317" s="56">
        <f t="shared" si="300"/>
        <v>18.246158780325992</v>
      </c>
      <c r="X317" s="42">
        <f>'[1]побудинковий звіт'!X317+'[2]побудинковий звіт'!X317-'[3]побудинковий звіт'!X317</f>
        <v>14197.455239699815</v>
      </c>
      <c r="Y317" s="42">
        <f>'[1]побудинковий звіт'!Y317+'[2]побудинковий звіт'!Y317-'[3]побудинковий звіт'!Y317</f>
        <v>10040.237184741303</v>
      </c>
      <c r="Z317" s="56">
        <f t="shared" si="301"/>
        <v>-4157.2180549585119</v>
      </c>
      <c r="AA317" s="42">
        <f>'[1]побудинковий звіт'!AA317+'[2]побудинковий звіт'!AA317-'[3]побудинковий звіт'!AA317</f>
        <v>0</v>
      </c>
      <c r="AB317" s="42">
        <f>'[1]побудинковий звіт'!AB317+'[2]побудинковий звіт'!AB317-'[3]побудинковий звіт'!AB317</f>
        <v>0</v>
      </c>
      <c r="AC317" s="56">
        <f t="shared" si="302"/>
        <v>0</v>
      </c>
      <c r="AD317" s="42">
        <f>'[1]побудинковий звіт'!AD317+'[2]побудинковий звіт'!AD317-'[3]побудинковий звіт'!AD317</f>
        <v>21492.467201650026</v>
      </c>
      <c r="AE317" s="42">
        <f>'[1]побудинковий звіт'!AE317+'[2]побудинковий звіт'!AE317-'[3]побудинковий звіт'!AE317</f>
        <v>19809.682526908255</v>
      </c>
      <c r="AF317" s="37">
        <f t="shared" si="303"/>
        <v>-1682.7846747417716</v>
      </c>
      <c r="AG317" s="87">
        <f t="shared" si="293"/>
        <v>64482.170740902133</v>
      </c>
      <c r="AH317" s="57">
        <f t="shared" si="293"/>
        <v>54035.463392351805</v>
      </c>
      <c r="AI317" s="56">
        <f t="shared" si="304"/>
        <v>-10446.707348550328</v>
      </c>
      <c r="AJ317" s="42">
        <f>'[1]побудинковий звіт'!AJ317+'[2]побудинковий звіт'!AJ317-'[3]побудинковий звіт'!AJ317</f>
        <v>0</v>
      </c>
      <c r="AK317" s="42">
        <f>'[1]побудинковий звіт'!AK317+'[2]побудинковий звіт'!AK317-'[3]побудинковий звіт'!AK317</f>
        <v>0</v>
      </c>
      <c r="AL317" s="56">
        <f t="shared" si="305"/>
        <v>0</v>
      </c>
      <c r="AM317" s="42">
        <f>'[1]побудинковий звіт'!AM317+'[2]побудинковий звіт'!AM317-'[3]побудинковий звіт'!AM317</f>
        <v>0</v>
      </c>
      <c r="AN317" s="42">
        <f>'[1]побудинковий звіт'!AN317+'[2]побудинковий звіт'!AN317-'[3]побудинковий звіт'!AN317</f>
        <v>0</v>
      </c>
      <c r="AO317" s="56">
        <f t="shared" si="306"/>
        <v>0</v>
      </c>
      <c r="AP317" s="42">
        <f>'[1]побудинковий звіт'!AP317+'[2]побудинковий звіт'!AP317-'[3]побудинковий звіт'!AP317</f>
        <v>13068.843471932369</v>
      </c>
      <c r="AQ317" s="42">
        <f>'[1]побудинковий звіт'!AQ317+'[2]побудинковий звіт'!AQ317-'[3]побудинковий звіт'!AQ317</f>
        <v>18280.222955342913</v>
      </c>
      <c r="AR317" s="56">
        <f t="shared" si="307"/>
        <v>5211.3794834105447</v>
      </c>
      <c r="AS317" s="42">
        <f>'[1]побудинковий звіт'!AS317+'[2]побудинковий звіт'!AS317-'[3]побудинковий звіт'!AS317</f>
        <v>55400.15817332032</v>
      </c>
      <c r="AT317" s="42">
        <f>'[1]побудинковий звіт'!AT317+'[2]побудинковий звіт'!AT317-'[3]побудинковий звіт'!AT317</f>
        <v>30100</v>
      </c>
      <c r="AU317" s="58">
        <f t="shared" si="322"/>
        <v>-25300.15817332032</v>
      </c>
      <c r="AV317" s="42">
        <f>'[1]побудинковий звіт'!AV317+'[2]побудинковий звіт'!AV317-'[3]побудинковий звіт'!AV317</f>
        <v>3221.9314909501445</v>
      </c>
      <c r="AW317" s="42">
        <f>'[1]побудинковий звіт'!AW317+'[2]побудинковий звіт'!AW317-'[3]побудинковий звіт'!AW317</f>
        <v>6354.3891914070591</v>
      </c>
      <c r="AX317" s="59">
        <f t="shared" si="323"/>
        <v>3132.4577004569146</v>
      </c>
      <c r="AY317" s="42">
        <f>'[1]побудинковий звіт'!AY317+'[2]побудинковий звіт'!AY317-'[3]побудинковий звіт'!AY317</f>
        <v>4413.8298592101164</v>
      </c>
      <c r="AZ317" s="42">
        <f>'[1]побудинковий звіт'!AZ317+'[2]побудинковий звіт'!AZ317-'[3]побудинковий звіт'!AZ317</f>
        <v>0</v>
      </c>
      <c r="BA317" s="37">
        <f t="shared" si="324"/>
        <v>-4413.8298592101164</v>
      </c>
      <c r="BB317" s="42">
        <f>'[1]побудинковий звіт'!BB317+'[2]побудинковий звіт'!BB317-'[3]побудинковий звіт'!BB317</f>
        <v>2993.2513453773249</v>
      </c>
      <c r="BC317" s="42">
        <f>'[1]побудинковий звіт'!BC317+'[2]побудинковий звіт'!BC317-'[3]побудинковий звіт'!BC317</f>
        <v>823.6264687756086</v>
      </c>
      <c r="BD317" s="59">
        <f t="shared" si="325"/>
        <v>-2169.6248766017161</v>
      </c>
      <c r="BE317" s="42">
        <f>'[1]побудинковий звіт'!BE317+'[2]побудинковий звіт'!BE317-'[3]побудинковий звіт'!BE317</f>
        <v>0</v>
      </c>
      <c r="BF317" s="42">
        <f>'[1]побудинковий звіт'!BF317+'[2]побудинковий звіт'!BF317-'[3]побудинковий звіт'!BF317</f>
        <v>0</v>
      </c>
      <c r="BG317" s="39">
        <f t="shared" si="326"/>
        <v>0</v>
      </c>
      <c r="BH317" s="42">
        <f>'[1]побудинковий звіт'!BH317+'[2]побудинковий звіт'!BH317-'[3]побудинковий звіт'!BH317</f>
        <v>0</v>
      </c>
      <c r="BI317" s="42">
        <f>'[1]побудинковий звіт'!BI317+'[2]побудинковий звіт'!BI317-'[3]побудинковий звіт'!BI317</f>
        <v>3458</v>
      </c>
      <c r="BJ317" s="59">
        <f t="shared" si="327"/>
        <v>3458</v>
      </c>
      <c r="BK317" s="42">
        <f>'[1]побудинковий звіт'!BK317+'[2]побудинковий звіт'!BK317-'[3]побудинковий звіт'!BK317</f>
        <v>1928.0563177133367</v>
      </c>
      <c r="BL317" s="42">
        <f>'[1]побудинковий звіт'!BL317+'[2]побудинковий звіт'!BL317-'[3]побудинковий звіт'!BL317</f>
        <v>8253</v>
      </c>
      <c r="BM317" s="39">
        <f t="shared" si="328"/>
        <v>6324.9436822866628</v>
      </c>
      <c r="BN317" s="42">
        <f>'[1]побудинковий звіт'!BN317+'[2]побудинковий звіт'!BN317-'[3]побудинковий звіт'!BN317</f>
        <v>1426.1243835230766</v>
      </c>
      <c r="BO317" s="42">
        <f>'[1]побудинковий звіт'!BO317+'[2]побудинковий звіт'!BO317-'[3]побудинковий звіт'!BO317</f>
        <v>0</v>
      </c>
      <c r="BP317" s="59">
        <f t="shared" si="329"/>
        <v>-1426.1243835230766</v>
      </c>
      <c r="BQ317" s="87">
        <f t="shared" si="338"/>
        <v>13983.193396773999</v>
      </c>
      <c r="BR317" s="43">
        <f t="shared" si="339"/>
        <v>18889.015660182667</v>
      </c>
      <c r="BS317" s="59">
        <f t="shared" si="330"/>
        <v>4905.8222634086687</v>
      </c>
      <c r="BT317" s="42">
        <f>'[1]побудинковий звіт'!BT317+'[2]побудинковий звіт'!BT317-'[3]побудинковий звіт'!BT317</f>
        <v>43323.696336898523</v>
      </c>
      <c r="BU317" s="42">
        <f>'[1]побудинковий звіт'!BU317+'[2]побудинковий звіт'!BU317-'[3]побудинковий звіт'!BU317</f>
        <v>56577.993704791515</v>
      </c>
      <c r="BV317" s="56">
        <f t="shared" si="308"/>
        <v>13254.297367892992</v>
      </c>
      <c r="BW317" s="42">
        <f>'[1]побудинковий звіт'!BW317+'[2]побудинковий звіт'!BW317-'[3]побудинковий звіт'!BW317</f>
        <v>24442.098295916083</v>
      </c>
      <c r="BX317" s="42">
        <f>'[1]побудинковий звіт'!BX317+'[2]побудинковий звіт'!BX317-'[3]побудинковий звіт'!BX317</f>
        <v>18869.90189992472</v>
      </c>
      <c r="BY317" s="56">
        <f t="shared" si="309"/>
        <v>-5572.1963959913628</v>
      </c>
      <c r="BZ317" s="42">
        <f>'[1]побудинковий звіт'!BZ317+'[2]побудинковий звіт'!BZ317-'[3]побудинковий звіт'!BZ317</f>
        <v>21013.239485160346</v>
      </c>
      <c r="CA317" s="42">
        <f>'[1]побудинковий звіт'!CA317+'[2]побудинковий звіт'!CA317-'[3]побудинковий звіт'!CA317</f>
        <v>12808.236445716506</v>
      </c>
      <c r="CB317" s="56">
        <f t="shared" si="310"/>
        <v>-8205.00303944384</v>
      </c>
      <c r="CC317" s="42">
        <f>'[1]побудинковий звіт'!CC317+'[2]побудинковий звіт'!CC317-'[3]побудинковий звіт'!CC317</f>
        <v>94.122412319594744</v>
      </c>
      <c r="CD317" s="42">
        <f>'[1]побудинковий звіт'!CD317+'[2]побудинковий звіт'!CD317-'[3]побудинковий звіт'!CD317</f>
        <v>93.294579092909714</v>
      </c>
      <c r="CE317" s="56">
        <f t="shared" si="311"/>
        <v>-0.8278332266850299</v>
      </c>
      <c r="CF317" s="42">
        <f>'[1]побудинковий звіт'!CF317+'[2]побудинковий звіт'!CF317-'[3]побудинковий звіт'!CF317</f>
        <v>11.587039395404654</v>
      </c>
      <c r="CG317" s="42">
        <f>'[1]побудинковий звіт'!CG317+'[2]побудинковий звіт'!CG317-'[3]побудинковий звіт'!CG317</f>
        <v>0</v>
      </c>
      <c r="CH317" s="56">
        <f t="shared" si="312"/>
        <v>-11.587039395404654</v>
      </c>
      <c r="CI317" s="42">
        <f>'[1]побудинковий звіт'!CI317+'[2]побудинковий звіт'!CI317-'[3]побудинковий звіт'!CI317</f>
        <v>11717.170760922276</v>
      </c>
      <c r="CJ317" s="42">
        <f>'[1]побудинковий звіт'!CJ317+'[2]побудинковий звіт'!CJ317-'[3]побудинковий звіт'!CJ317</f>
        <v>3689.4972384011394</v>
      </c>
      <c r="CK317" s="56">
        <f t="shared" si="313"/>
        <v>-8027.673522521136</v>
      </c>
      <c r="CL317" s="42">
        <f>'[1]побудинковий звіт'!CL317+'[2]побудинковий звіт'!CL317-'[3]побудинковий звіт'!CL317</f>
        <v>0</v>
      </c>
      <c r="CM317" s="42">
        <f>'[1]побудинковий звіт'!CM317+'[2]побудинковий звіт'!CM317-'[3]побудинковий звіт'!CM317</f>
        <v>0</v>
      </c>
      <c r="CN317" s="56">
        <f t="shared" si="314"/>
        <v>0</v>
      </c>
      <c r="CO317" s="42">
        <f t="shared" si="294"/>
        <v>11717.170760922276</v>
      </c>
      <c r="CP317" s="43">
        <f t="shared" si="315"/>
        <v>3689.4972384011394</v>
      </c>
      <c r="CQ317" s="56">
        <f t="shared" si="316"/>
        <v>-8027.673522521136</v>
      </c>
      <c r="CR317" s="78">
        <f t="shared" si="295"/>
        <v>247536.28011354103</v>
      </c>
      <c r="CS317" s="5">
        <f t="shared" si="295"/>
        <v>213343.62587580417</v>
      </c>
      <c r="CT317" s="56">
        <f t="shared" si="317"/>
        <v>-34192.654237736861</v>
      </c>
      <c r="CU317" s="87">
        <f t="shared" si="318"/>
        <v>297043.5361362492</v>
      </c>
      <c r="CV317" s="70">
        <f t="shared" si="319"/>
        <v>256012.35105096499</v>
      </c>
      <c r="CW317" s="37">
        <f t="shared" si="320"/>
        <v>-41031.185085284204</v>
      </c>
      <c r="CX317" s="42">
        <f>'[1]побудинковий звіт'!CX317+'[2]побудинковий звіт'!CX317-'[3]побудинковий звіт'!CX317</f>
        <v>5971.6538637506746</v>
      </c>
      <c r="CY317" s="42">
        <f>'[1]побудинковий звіт'!CY317+'[2]побудинковий звіт'!CY317-'[3]побудинковий звіт'!CY317</f>
        <v>47002.838949034987</v>
      </c>
      <c r="CZ317" s="56">
        <f t="shared" si="321"/>
        <v>41031.185085284313</v>
      </c>
      <c r="DA317" s="264">
        <f>'[4]побудинковий звіт'!DA317</f>
        <v>-26173.35525080323</v>
      </c>
      <c r="DB317" s="2">
        <v>1</v>
      </c>
      <c r="DC317" s="717">
        <f>'[4]побудинковий звіт'!DC317</f>
        <v>89730.23</v>
      </c>
      <c r="DD317" s="717">
        <f>'[4]побудинковий звіт'!DD317</f>
        <v>3546.06</v>
      </c>
      <c r="DE317" s="717">
        <f>'[4]побудинковий звіт'!DE317</f>
        <v>69873.989999999991</v>
      </c>
      <c r="DF317" s="717">
        <f>'[4]побудинковий звіт'!DF317</f>
        <v>-1848.8800000000006</v>
      </c>
      <c r="DG317" s="787">
        <v>-8551.5727795786224</v>
      </c>
      <c r="DH317" s="761">
        <f t="shared" si="290"/>
        <v>3636182.2799999984</v>
      </c>
      <c r="DI317" s="784"/>
      <c r="DJ317" s="5"/>
      <c r="DK317" s="317">
        <f>VLOOKUP($A317,ціни!$A$4:$G$401,5)</f>
        <v>5.1772511448632956</v>
      </c>
      <c r="DL317" s="317"/>
      <c r="DM317" s="317">
        <f>VLOOKUP($A317,ціни!$A$4:$G$401,7)</f>
        <v>4.527127533153835</v>
      </c>
      <c r="DN317" s="30">
        <f t="shared" si="332"/>
        <v>1688.3015983399209</v>
      </c>
      <c r="DO317" s="30">
        <f t="shared" si="334"/>
        <v>5394.977881259425</v>
      </c>
      <c r="DP317" s="316">
        <f t="shared" si="335"/>
        <v>7083.2794795993459</v>
      </c>
      <c r="DQ317" s="104"/>
      <c r="DR317" s="30">
        <f>VLOOKUP(A317,'ДЗ нас '!$A$1:$C$359,2)</f>
        <v>19856.080000000002</v>
      </c>
      <c r="DS317" s="748">
        <f>VLOOKUP(A317,'ДЗ нежит'!$A$1:$D$153,4,0)</f>
        <v>5394.9400000000005</v>
      </c>
      <c r="DT317" s="30">
        <f t="shared" si="336"/>
        <v>25251.020000000004</v>
      </c>
      <c r="DU317" s="257">
        <f>VLOOKUP(A317,'новий кошторис с 01.06'!$A$4:$AI$399,35)*1.2</f>
        <v>25347.715083626608</v>
      </c>
      <c r="DV317" s="30">
        <f t="shared" si="337"/>
        <v>-96.695083626604173</v>
      </c>
      <c r="DW317" s="930">
        <f>'[5]побудинковий звіт'!DW317+'[6]побудинковий звіт'!DW317</f>
        <v>204</v>
      </c>
      <c r="DY317" s="5">
        <f t="shared" si="286"/>
        <v>83260.021884113186</v>
      </c>
      <c r="DZ317" s="5">
        <f t="shared" si="287"/>
        <v>58786.818792219201</v>
      </c>
      <c r="EA317" s="752">
        <f t="shared" si="291"/>
        <v>68025.109999999986</v>
      </c>
      <c r="EC317" s="592">
        <f t="shared" si="288"/>
        <v>664801.89807984384</v>
      </c>
      <c r="EE317" s="758">
        <v>-2700</v>
      </c>
      <c r="EF317" s="738">
        <f t="shared" si="289"/>
        <v>-11251.572779578622</v>
      </c>
      <c r="EH317" s="813">
        <v>-249.10537684600968</v>
      </c>
    </row>
    <row r="318" spans="1:138" x14ac:dyDescent="0.3">
      <c r="A318" s="328">
        <v>150000867</v>
      </c>
      <c r="B318" s="44" t="s">
        <v>771</v>
      </c>
      <c r="C318" s="45" t="s">
        <v>309</v>
      </c>
      <c r="D318" s="45" t="s">
        <v>309</v>
      </c>
      <c r="E318" s="40">
        <f t="shared" si="292"/>
        <v>792.9</v>
      </c>
      <c r="F318" s="490">
        <v>241.4</v>
      </c>
      <c r="G318" s="30"/>
      <c r="H318" s="30">
        <v>551.5</v>
      </c>
      <c r="I318" s="42">
        <f>'[1]побудинковий звіт'!I318+'[2]побудинковий звіт'!I318-'[3]побудинковий звіт'!I318</f>
        <v>8741.8362571723101</v>
      </c>
      <c r="J318" s="42">
        <f>'[1]побудинковий звіт'!J318+'[2]побудинковий звіт'!J318-'[3]побудинковий звіт'!J318</f>
        <v>7422.6186902627851</v>
      </c>
      <c r="K318" s="56">
        <f t="shared" si="296"/>
        <v>-1319.217566909525</v>
      </c>
      <c r="L318" s="42">
        <f>'[1]побудинковий звіт'!L318+'[2]побудинковий звіт'!L318-'[3]побудинковий звіт'!L318</f>
        <v>1756.440821225633</v>
      </c>
      <c r="M318" s="42">
        <f>'[1]побудинковий звіт'!M318+'[2]побудинковий звіт'!M318-'[3]побудинковий звіт'!M318</f>
        <v>1672.4117987622908</v>
      </c>
      <c r="N318" s="56">
        <f t="shared" si="297"/>
        <v>-84.029022463342244</v>
      </c>
      <c r="O318" s="42">
        <f>'[1]побудинковий звіт'!O318+'[2]побудинковий звіт'!O318-'[3]побудинковий звіт'!O318</f>
        <v>4660.9199999999992</v>
      </c>
      <c r="P318" s="42">
        <f>'[1]побудинковий звіт'!P318+'[2]побудинковий звіт'!P318-'[3]побудинковий звіт'!P318</f>
        <v>3663.5270408333336</v>
      </c>
      <c r="Q318" s="56">
        <f t="shared" si="298"/>
        <v>-997.39295916666561</v>
      </c>
      <c r="R318" s="42">
        <f>'[1]побудинковий звіт'!R318+'[2]побудинковий звіт'!R318-'[3]побудинковий звіт'!R318</f>
        <v>0</v>
      </c>
      <c r="S318" s="42">
        <f>'[1]побудинковий звіт'!S318+'[2]побудинковий звіт'!S318-'[3]побудинковий звіт'!S318</f>
        <v>0</v>
      </c>
      <c r="T318" s="56">
        <f t="shared" si="299"/>
        <v>0</v>
      </c>
      <c r="U318" s="42">
        <f>'[1]побудинковий звіт'!U318+'[2]побудинковий звіт'!U318-'[3]побудинковий звіт'!U318</f>
        <v>0</v>
      </c>
      <c r="V318" s="42">
        <f>'[1]побудинковий звіт'!V318+'[2]побудинковий звіт'!V318-'[3]побудинковий звіт'!V318</f>
        <v>18.246158780325992</v>
      </c>
      <c r="W318" s="56">
        <f t="shared" si="300"/>
        <v>18.246158780325992</v>
      </c>
      <c r="X318" s="42">
        <f>'[1]побудинковий звіт'!X318+'[2]побудинковий звіт'!X318-'[3]побудинковий звіт'!X318</f>
        <v>5638.3949738002302</v>
      </c>
      <c r="Y318" s="42">
        <f>'[1]побудинковий звіт'!Y318+'[2]побудинковий звіт'!Y318-'[3]побудинковий звіт'!Y318</f>
        <v>6011.5487380693339</v>
      </c>
      <c r="Z318" s="56">
        <f t="shared" si="301"/>
        <v>373.1537642691037</v>
      </c>
      <c r="AA318" s="42">
        <f>'[1]побудинковий звіт'!AA318+'[2]побудинковий звіт'!AA318-'[3]побудинковий звіт'!AA318</f>
        <v>0</v>
      </c>
      <c r="AB318" s="42">
        <f>'[1]побудинковий звіт'!AB318+'[2]побудинковий звіт'!AB318-'[3]побудинковий звіт'!AB318</f>
        <v>0</v>
      </c>
      <c r="AC318" s="56">
        <f t="shared" si="302"/>
        <v>0</v>
      </c>
      <c r="AD318" s="42">
        <f>'[1]побудинковий звіт'!AD318+'[2]побудинковий звіт'!AD318-'[3]побудинковий звіт'!AD318</f>
        <v>12145.542228381368</v>
      </c>
      <c r="AE318" s="42">
        <f>'[1]побудинковий звіт'!AE318+'[2]побудинковий звіт'!AE318-'[3]побудинковий звіт'!AE318</f>
        <v>11194.147617773451</v>
      </c>
      <c r="AF318" s="37">
        <f t="shared" si="303"/>
        <v>-951.39461060791655</v>
      </c>
      <c r="AG318" s="87">
        <f t="shared" si="293"/>
        <v>32943.134280579543</v>
      </c>
      <c r="AH318" s="57">
        <f t="shared" si="293"/>
        <v>29982.50004448152</v>
      </c>
      <c r="AI318" s="56">
        <f t="shared" si="304"/>
        <v>-2960.6342360980234</v>
      </c>
      <c r="AJ318" s="42">
        <f>'[1]побудинковий звіт'!AJ318+'[2]побудинковий звіт'!AJ318-'[3]побудинковий звіт'!AJ318</f>
        <v>0</v>
      </c>
      <c r="AK318" s="42">
        <f>'[1]побудинковий звіт'!AK318+'[2]побудинковий звіт'!AK318-'[3]побудинковий звіт'!AK318</f>
        <v>0</v>
      </c>
      <c r="AL318" s="56">
        <f t="shared" si="305"/>
        <v>0</v>
      </c>
      <c r="AM318" s="42">
        <f>'[1]побудинковий звіт'!AM318+'[2]побудинковий звіт'!AM318-'[3]побудинковий звіт'!AM318</f>
        <v>0</v>
      </c>
      <c r="AN318" s="42">
        <f>'[1]побудинковий звіт'!AN318+'[2]побудинковий звіт'!AN318-'[3]побудинковий звіт'!AN318</f>
        <v>0</v>
      </c>
      <c r="AO318" s="56">
        <f t="shared" si="306"/>
        <v>0</v>
      </c>
      <c r="AP318" s="42">
        <f>'[1]побудинковий звіт'!AP318+'[2]побудинковий звіт'!AP318-'[3]побудинковий звіт'!AP318</f>
        <v>6960.5796752683264</v>
      </c>
      <c r="AQ318" s="42">
        <f>'[1]побудинковий звіт'!AQ318+'[2]побудинковий звіт'!AQ318-'[3]побудинковий звіт'!AQ318</f>
        <v>9528.3767130155538</v>
      </c>
      <c r="AR318" s="56">
        <f t="shared" si="307"/>
        <v>2567.7970377472275</v>
      </c>
      <c r="AS318" s="42">
        <f>'[1]побудинковий звіт'!AS318+'[2]побудинковий звіт'!AS318-'[3]побудинковий звіт'!AS318</f>
        <v>22652.867651855457</v>
      </c>
      <c r="AT318" s="42">
        <f>'[1]побудинковий звіт'!AT318+'[2]побудинковий звіт'!AT318-'[3]побудинковий звіт'!AT318</f>
        <v>81086</v>
      </c>
      <c r="AU318" s="58">
        <f t="shared" si="322"/>
        <v>58433.132348144543</v>
      </c>
      <c r="AV318" s="42">
        <f>'[1]побудинковий звіт'!AV318+'[2]побудинковий звіт'!AV318-'[3]побудинковий звіт'!AV318</f>
        <v>1564.4845581632455</v>
      </c>
      <c r="AW318" s="42">
        <f>'[1]побудинковий звіт'!AW318+'[2]побудинковий звіт'!AW318-'[3]побудинковий звіт'!AW318</f>
        <v>559</v>
      </c>
      <c r="AX318" s="59">
        <f t="shared" si="323"/>
        <v>-1005.4845581632455</v>
      </c>
      <c r="AY318" s="42">
        <f>'[1]побудинковий звіт'!AY318+'[2]побудинковий звіт'!AY318-'[3]побудинковий звіт'!AY318</f>
        <v>2264.0175842027684</v>
      </c>
      <c r="AZ318" s="42">
        <f>'[1]побудинковий звіт'!AZ318+'[2]побудинковий звіт'!AZ318-'[3]побудинковий звіт'!AZ318</f>
        <v>3256</v>
      </c>
      <c r="BA318" s="37">
        <f t="shared" si="324"/>
        <v>991.98241579723162</v>
      </c>
      <c r="BB318" s="42">
        <f>'[1]побудинковий звіт'!BB318+'[2]побудинковий звіт'!BB318-'[3]побудинковий звіт'!BB318</f>
        <v>1718.8148244414319</v>
      </c>
      <c r="BC318" s="42">
        <f>'[1]побудинковий звіт'!BC318+'[2]побудинковий звіт'!BC318-'[3]побудинковий звіт'!BC318</f>
        <v>0</v>
      </c>
      <c r="BD318" s="59">
        <f t="shared" si="325"/>
        <v>-1718.8148244414319</v>
      </c>
      <c r="BE318" s="42">
        <f>'[1]побудинковий звіт'!BE318+'[2]побудинковий звіт'!BE318-'[3]побудинковий звіт'!BE318</f>
        <v>0</v>
      </c>
      <c r="BF318" s="42">
        <f>'[1]побудинковий звіт'!BF318+'[2]побудинковий звіт'!BF318-'[3]побудинковий звіт'!BF318</f>
        <v>0</v>
      </c>
      <c r="BG318" s="39">
        <f t="shared" si="326"/>
        <v>0</v>
      </c>
      <c r="BH318" s="42">
        <f>'[1]побудинковий звіт'!BH318+'[2]побудинковий звіт'!BH318-'[3]побудинковий звіт'!BH318</f>
        <v>0</v>
      </c>
      <c r="BI318" s="42">
        <f>'[1]побудинковий звіт'!BI318+'[2]побудинковий звіт'!BI318-'[3]побудинковий звіт'!BI318</f>
        <v>500</v>
      </c>
      <c r="BJ318" s="59">
        <f t="shared" si="327"/>
        <v>500</v>
      </c>
      <c r="BK318" s="42">
        <f>'[1]побудинковий звіт'!BK318+'[2]побудинковий звіт'!BK318-'[3]побудинковий звіт'!BK318</f>
        <v>736.91220825665243</v>
      </c>
      <c r="BL318" s="42">
        <f>'[1]побудинковий звіт'!BL318+'[2]побудинковий звіт'!BL318-'[3]побудинковий звіт'!BL318</f>
        <v>0</v>
      </c>
      <c r="BM318" s="39">
        <f t="shared" si="328"/>
        <v>-736.91220825665243</v>
      </c>
      <c r="BN318" s="42">
        <f>'[1]побудинковий звіт'!BN318+'[2]побудинковий звіт'!BN318-'[3]побудинковий звіт'!BN318</f>
        <v>716.05861632167455</v>
      </c>
      <c r="BO318" s="42">
        <f>'[1]побудинковий звіт'!BO318+'[2]побудинковий звіт'!BO318-'[3]побудинковий звіт'!BO318</f>
        <v>3381</v>
      </c>
      <c r="BP318" s="59">
        <f t="shared" si="329"/>
        <v>2664.9413836783256</v>
      </c>
      <c r="BQ318" s="87">
        <f t="shared" si="338"/>
        <v>7000.2877913857737</v>
      </c>
      <c r="BR318" s="43">
        <f t="shared" si="339"/>
        <v>7696</v>
      </c>
      <c r="BS318" s="59">
        <f t="shared" si="330"/>
        <v>695.71220861422626</v>
      </c>
      <c r="BT318" s="42">
        <f>'[1]побудинковий звіт'!BT318+'[2]побудинковий звіт'!BT318-'[3]побудинковий звіт'!BT318</f>
        <v>15797.366218826955</v>
      </c>
      <c r="BU318" s="42">
        <f>'[1]побудинковий звіт'!BU318+'[2]побудинковий звіт'!BU318-'[3]побудинковий звіт'!BU318</f>
        <v>25644.172274369084</v>
      </c>
      <c r="BV318" s="56">
        <f t="shared" si="308"/>
        <v>9846.8060555421289</v>
      </c>
      <c r="BW318" s="42">
        <f>'[1]побудинковий звіт'!BW318+'[2]побудинковий звіт'!BW318-'[3]побудинковий звіт'!BW318</f>
        <v>13523.085065784042</v>
      </c>
      <c r="BX318" s="42">
        <f>'[1]побудинковий звіт'!BX318+'[2]побудинковий звіт'!BX318-'[3]побудинковий звіт'!BX318</f>
        <v>12682.235900168118</v>
      </c>
      <c r="BY318" s="56">
        <f t="shared" si="309"/>
        <v>-840.84916561592399</v>
      </c>
      <c r="BZ318" s="42">
        <f>'[1]побудинковий звіт'!BZ318+'[2]побудинковий звіт'!BZ318-'[3]побудинковий звіт'!BZ318</f>
        <v>10734.670228190153</v>
      </c>
      <c r="CA318" s="42">
        <f>'[1]побудинковий звіт'!CA318+'[2]побудинковий звіт'!CA318-'[3]побудинковий звіт'!CA318</f>
        <v>5224.5818362046493</v>
      </c>
      <c r="CB318" s="56">
        <f t="shared" si="310"/>
        <v>-5510.0883919855032</v>
      </c>
      <c r="CC318" s="42">
        <f>'[1]побудинковий звіт'!CC318+'[2]побудинковий звіт'!CC318-'[3]побудинковий звіт'!CC318</f>
        <v>691.21146547202397</v>
      </c>
      <c r="CD318" s="42">
        <f>'[1]побудинковий звіт'!CD318+'[2]побудинковий звіт'!CD318-'[3]побудинковий звіт'!CD318</f>
        <v>685.13206521355573</v>
      </c>
      <c r="CE318" s="56">
        <f t="shared" si="311"/>
        <v>-6.0794002584682403</v>
      </c>
      <c r="CF318" s="42">
        <f>'[1]побудинковий звіт'!CF318+'[2]побудинковий звіт'!CF318-'[3]побудинковий звіт'!CF318</f>
        <v>85.092320560002932</v>
      </c>
      <c r="CG318" s="42">
        <f>'[1]побудинковий звіт'!CG318+'[2]побудинковий звіт'!CG318-'[3]побудинковий звіт'!CG318</f>
        <v>0</v>
      </c>
      <c r="CH318" s="56">
        <f t="shared" si="312"/>
        <v>-85.092320560002932</v>
      </c>
      <c r="CI318" s="42">
        <f>'[1]побудинковий звіт'!CI318+'[2]побудинковий звіт'!CI318-'[3]побудинковий звіт'!CI318</f>
        <v>3425.3071074261607</v>
      </c>
      <c r="CJ318" s="42">
        <f>'[1]побудинковий звіт'!CJ318+'[2]побудинковий звіт'!CJ318-'[3]побудинковий звіт'!CJ318</f>
        <v>1382.0039944786008</v>
      </c>
      <c r="CK318" s="56">
        <f t="shared" si="313"/>
        <v>-2043.3031129475598</v>
      </c>
      <c r="CL318" s="42">
        <f>'[1]побудинковий звіт'!CL318+'[2]побудинковий звіт'!CL318-'[3]побудинковий звіт'!CL318</f>
        <v>0</v>
      </c>
      <c r="CM318" s="42">
        <f>'[1]побудинковий звіт'!CM318+'[2]побудинковий звіт'!CM318-'[3]побудинковий звіт'!CM318</f>
        <v>0</v>
      </c>
      <c r="CN318" s="56">
        <f t="shared" si="314"/>
        <v>0</v>
      </c>
      <c r="CO318" s="42">
        <f t="shared" si="294"/>
        <v>3425.3071074261607</v>
      </c>
      <c r="CP318" s="43">
        <f t="shared" si="315"/>
        <v>1382.0039944786008</v>
      </c>
      <c r="CQ318" s="56">
        <f t="shared" si="316"/>
        <v>-2043.3031129475598</v>
      </c>
      <c r="CR318" s="78">
        <f t="shared" si="295"/>
        <v>113813.60180534841</v>
      </c>
      <c r="CS318" s="5">
        <f t="shared" si="295"/>
        <v>173911.00282793108</v>
      </c>
      <c r="CT318" s="56">
        <f t="shared" si="317"/>
        <v>60097.401022582664</v>
      </c>
      <c r="CU318" s="87">
        <f t="shared" si="318"/>
        <v>136576.3221664181</v>
      </c>
      <c r="CV318" s="70">
        <f t="shared" si="319"/>
        <v>208693.20339351729</v>
      </c>
      <c r="CW318" s="37">
        <f t="shared" si="320"/>
        <v>72116.881227099191</v>
      </c>
      <c r="CX318" s="42">
        <f>'[1]побудинковий звіт'!CX318+'[2]побудинковий звіт'!CX318-'[3]побудинковий звіт'!CX318</f>
        <v>6781.0778335818759</v>
      </c>
      <c r="CY318" s="42">
        <f>'[1]побудинковий звіт'!CY318+'[2]побудинковий звіт'!CY318-'[3]побудинковий звіт'!CY318</f>
        <v>-65335.803393517286</v>
      </c>
      <c r="CZ318" s="56">
        <f t="shared" si="321"/>
        <v>-72116.881227099162</v>
      </c>
      <c r="DA318" s="264">
        <f>'[4]побудинковий звіт'!DA318</f>
        <v>19874.003764369205</v>
      </c>
      <c r="DB318" s="2">
        <v>1</v>
      </c>
      <c r="DC318" s="717">
        <f>'[4]побудинковий звіт'!DC318</f>
        <v>21926.29</v>
      </c>
      <c r="DD318" s="717">
        <f>'[4]побудинковий звіт'!DD318</f>
        <v>4748.2199999999993</v>
      </c>
      <c r="DE318" s="717">
        <f>'[4]побудинковий звіт'!DE318</f>
        <v>12024.410000000002</v>
      </c>
      <c r="DF318" s="717">
        <f>'[4]побудинковий звіт'!DF318</f>
        <v>2703.6499999999996</v>
      </c>
      <c r="DG318" s="787">
        <v>-45754.760406753398</v>
      </c>
      <c r="DH318" s="761">
        <f t="shared" si="290"/>
        <v>1720288.7999999996</v>
      </c>
      <c r="DI318" s="784"/>
      <c r="DJ318" s="5"/>
      <c r="DK318" s="317">
        <f>VLOOKUP($A318,ціни!$A$4:$G$401,5)</f>
        <v>4.3275805873427178</v>
      </c>
      <c r="DL318" s="317"/>
      <c r="DM318" s="317">
        <f>VLOOKUP($A318,ціни!$A$4:$G$401,7)</f>
        <v>3.7072582943394874</v>
      </c>
      <c r="DN318" s="30">
        <f t="shared" si="332"/>
        <v>1044.6779537845321</v>
      </c>
      <c r="DO318" s="30">
        <f t="shared" si="334"/>
        <v>2044.5529493282272</v>
      </c>
      <c r="DP318" s="316">
        <f t="shared" si="335"/>
        <v>3089.2309031127593</v>
      </c>
      <c r="DQ318" s="104"/>
      <c r="DR318" s="30">
        <f>VLOOKUP(A318,'ДЗ нас '!$A$1:$C$359,2)</f>
        <v>9901.8799999999992</v>
      </c>
      <c r="DS318" s="748">
        <f>VLOOKUP(A318,'ДЗ нежит'!$A$1:$D$153,4,0)</f>
        <v>2044.57</v>
      </c>
      <c r="DT318" s="30">
        <f t="shared" si="336"/>
        <v>11946.449999999999</v>
      </c>
      <c r="DU318" s="257">
        <f>VLOOKUP(A318,'новий кошторис с 01.06'!$A$4:$AI$399,35)*1.2</f>
        <v>12064.241791366936</v>
      </c>
      <c r="DV318" s="30">
        <f t="shared" si="337"/>
        <v>-117.7917913669371</v>
      </c>
      <c r="DW318" s="930">
        <f>'[5]побудинковий звіт'!DW318+'[6]побудинковий звіт'!DW318</f>
        <v>204</v>
      </c>
      <c r="DY318" s="5">
        <f t="shared" si="286"/>
        <v>35583.786531889476</v>
      </c>
      <c r="DZ318" s="5">
        <f t="shared" si="287"/>
        <v>106538.4</v>
      </c>
      <c r="EA318" s="752">
        <f t="shared" si="291"/>
        <v>14728.060000000001</v>
      </c>
      <c r="EC318" s="592">
        <f t="shared" si="288"/>
        <v>271834.41182226548</v>
      </c>
      <c r="EE318" s="758">
        <v>-13973</v>
      </c>
      <c r="EF318" s="738">
        <f t="shared" si="289"/>
        <v>-59727.760406753398</v>
      </c>
      <c r="EH318" s="813">
        <v>-56197.793056898168</v>
      </c>
    </row>
    <row r="319" spans="1:138" x14ac:dyDescent="0.3">
      <c r="A319" s="328">
        <v>150000868</v>
      </c>
      <c r="B319" s="44" t="s">
        <v>772</v>
      </c>
      <c r="C319" s="45" t="s">
        <v>310</v>
      </c>
      <c r="D319" s="45" t="s">
        <v>310</v>
      </c>
      <c r="E319" s="40">
        <f t="shared" si="292"/>
        <v>833.8</v>
      </c>
      <c r="F319" s="490">
        <v>148.4</v>
      </c>
      <c r="G319" s="30"/>
      <c r="H319" s="30">
        <v>685.4</v>
      </c>
      <c r="I319" s="42">
        <f>'[1]побудинковий звіт'!I319+'[2]побудинковий звіт'!I319-'[3]побудинковий звіт'!I319</f>
        <v>11192.281308598291</v>
      </c>
      <c r="J319" s="42">
        <f>'[1]побудинковий звіт'!J319+'[2]побудинковий звіт'!J319-'[3]побудинковий звіт'!J319</f>
        <v>9461.978666943558</v>
      </c>
      <c r="K319" s="56">
        <f t="shared" si="296"/>
        <v>-1730.3026416547327</v>
      </c>
      <c r="L319" s="42">
        <f>'[1]побудинковий звіт'!L319+'[2]побудинковий звіт'!L319-'[3]побудинковий звіт'!L319</f>
        <v>2292.9007363306891</v>
      </c>
      <c r="M319" s="42">
        <f>'[1]побудинковий звіт'!M319+'[2]побудинковий звіт'!M319-'[3]побудинковий звіт'!M319</f>
        <v>2137.776877068146</v>
      </c>
      <c r="N319" s="56">
        <f t="shared" si="297"/>
        <v>-155.12385926254319</v>
      </c>
      <c r="O319" s="42">
        <f>'[1]побудинковий звіт'!O319+'[2]побудинковий звіт'!O319-'[3]побудинковий звіт'!O319</f>
        <v>5228.8799999999992</v>
      </c>
      <c r="P319" s="42">
        <f>'[1]побудинковий звіт'!P319+'[2]побудинковий звіт'!P319-'[3]побудинковий звіт'!P319</f>
        <v>4109.8686665591395</v>
      </c>
      <c r="Q319" s="56">
        <f t="shared" si="298"/>
        <v>-1119.0113334408597</v>
      </c>
      <c r="R319" s="42">
        <f>'[1]побудинковий звіт'!R319+'[2]побудинковий звіт'!R319-'[3]побудинковий звіт'!R319</f>
        <v>0</v>
      </c>
      <c r="S319" s="42">
        <f>'[1]побудинковий звіт'!S319+'[2]побудинковий звіт'!S319-'[3]побудинковий звіт'!S319</f>
        <v>0</v>
      </c>
      <c r="T319" s="56">
        <f t="shared" si="299"/>
        <v>0</v>
      </c>
      <c r="U319" s="42">
        <f>'[1]побудинковий звіт'!U319+'[2]побудинковий звіт'!U319-'[3]побудинковий звіт'!U319</f>
        <v>0</v>
      </c>
      <c r="V319" s="42">
        <f>'[1]побудинковий звіт'!V319+'[2]побудинковий звіт'!V319-'[3]побудинковий звіт'!V319</f>
        <v>0</v>
      </c>
      <c r="W319" s="56">
        <f t="shared" si="300"/>
        <v>0</v>
      </c>
      <c r="X319" s="42">
        <f>'[1]побудинковий звіт'!X319+'[2]побудинковий звіт'!X319-'[3]побудинковий звіт'!X319</f>
        <v>7567.5008022023412</v>
      </c>
      <c r="Y319" s="42">
        <f>'[1]побудинковий звіт'!Y319+'[2]побудинковий звіт'!Y319-'[3]побудинковий звіт'!Y319</f>
        <v>7527.278114768098</v>
      </c>
      <c r="Z319" s="56">
        <f t="shared" si="301"/>
        <v>-40.222687434243198</v>
      </c>
      <c r="AA319" s="42">
        <f>'[1]побудинковий звіт'!AA319+'[2]побудинковий звіт'!AA319-'[3]побудинковий звіт'!AA319</f>
        <v>0</v>
      </c>
      <c r="AB319" s="42">
        <f>'[1]побудинковий звіт'!AB319+'[2]побудинковий звіт'!AB319-'[3]побудинковий звіт'!AB319</f>
        <v>0</v>
      </c>
      <c r="AC319" s="56">
        <f t="shared" si="302"/>
        <v>0</v>
      </c>
      <c r="AD319" s="42">
        <f>'[1]побудинковий звіт'!AD319+'[2]побудинковий звіт'!AD319-'[3]побудинковий звіт'!AD319</f>
        <v>14090.489717889879</v>
      </c>
      <c r="AE319" s="42">
        <f>'[1]побудинковий звіт'!AE319+'[2]побудинковий звіт'!AE319-'[3]побудинковий звіт'!AE319</f>
        <v>12987.090016040707</v>
      </c>
      <c r="AF319" s="37">
        <f t="shared" si="303"/>
        <v>-1103.3997018491718</v>
      </c>
      <c r="AG319" s="87">
        <f t="shared" si="293"/>
        <v>40372.052565021193</v>
      </c>
      <c r="AH319" s="57">
        <f t="shared" si="293"/>
        <v>36223.99234137965</v>
      </c>
      <c r="AI319" s="56">
        <f t="shared" si="304"/>
        <v>-4148.0602236415434</v>
      </c>
      <c r="AJ319" s="42">
        <f>'[1]побудинковий звіт'!AJ319+'[2]побудинковий звіт'!AJ319-'[3]побудинковий звіт'!AJ319</f>
        <v>0</v>
      </c>
      <c r="AK319" s="42">
        <f>'[1]побудинковий звіт'!AK319+'[2]побудинковий звіт'!AK319-'[3]побудинковий звіт'!AK319</f>
        <v>0</v>
      </c>
      <c r="AL319" s="56">
        <f t="shared" si="305"/>
        <v>0</v>
      </c>
      <c r="AM319" s="42">
        <f>'[1]побудинковий звіт'!AM319+'[2]побудинковий звіт'!AM319-'[3]побудинковий звіт'!AM319</f>
        <v>0</v>
      </c>
      <c r="AN319" s="42">
        <f>'[1]побудинковий звіт'!AN319+'[2]побудинковий звіт'!AN319-'[3]побудинковий звіт'!AN319</f>
        <v>0</v>
      </c>
      <c r="AO319" s="56">
        <f t="shared" si="306"/>
        <v>0</v>
      </c>
      <c r="AP319" s="42">
        <f>'[1]побудинковий звіт'!AP319+'[2]побудинковий звіт'!AP319-'[3]побудинковий звіт'!AP319</f>
        <v>9091.3693717790375</v>
      </c>
      <c r="AQ319" s="42">
        <f>'[1]побудинковий звіт'!AQ319+'[2]побудинковий звіт'!AQ319-'[3]побудинковий звіт'!AQ319</f>
        <v>8871.6459711848929</v>
      </c>
      <c r="AR319" s="56">
        <f t="shared" si="307"/>
        <v>-219.72340059414455</v>
      </c>
      <c r="AS319" s="42">
        <f>'[1]побудинковий звіт'!AS319+'[2]побудинковий звіт'!AS319-'[3]побудинковий звіт'!AS319</f>
        <v>28303.212566894807</v>
      </c>
      <c r="AT319" s="42">
        <f>'[1]побудинковий звіт'!AT319+'[2]побудинковий звіт'!AT319-'[3]побудинковий звіт'!AT319</f>
        <v>56111.856491871309</v>
      </c>
      <c r="AU319" s="58">
        <f t="shared" si="322"/>
        <v>27808.643924976503</v>
      </c>
      <c r="AV319" s="42">
        <f>'[1]побудинковий звіт'!AV319+'[2]побудинковий звіт'!AV319-'[3]побудинковий звіт'!AV319</f>
        <v>1956.4068735127162</v>
      </c>
      <c r="AW319" s="42">
        <f>'[1]побудинковий звіт'!AW319+'[2]побудинковий звіт'!AW319-'[3]побудинковий звіт'!AW319</f>
        <v>0</v>
      </c>
      <c r="AX319" s="59">
        <f t="shared" si="323"/>
        <v>-1956.4068735127162</v>
      </c>
      <c r="AY319" s="42">
        <f>'[1]побудинковий звіт'!AY319+'[2]побудинковий звіт'!AY319-'[3]побудинковий звіт'!AY319</f>
        <v>2955.3721603270023</v>
      </c>
      <c r="AZ319" s="42">
        <f>'[1]побудинковий звіт'!AZ319+'[2]побудинковий звіт'!AZ319-'[3]побудинковий звіт'!AZ319</f>
        <v>0</v>
      </c>
      <c r="BA319" s="37">
        <f t="shared" si="324"/>
        <v>-2955.3721603270023</v>
      </c>
      <c r="BB319" s="42">
        <f>'[1]побудинковий звіт'!BB319+'[2]побудинковий звіт'!BB319-'[3]побудинковий звіт'!BB319</f>
        <v>1801.2445972308549</v>
      </c>
      <c r="BC319" s="42">
        <f>'[1]побудинковий звіт'!BC319+'[2]побудинковий звіт'!BC319-'[3]побудинковий звіт'!BC319</f>
        <v>0</v>
      </c>
      <c r="BD319" s="59">
        <f t="shared" si="325"/>
        <v>-1801.2445972308549</v>
      </c>
      <c r="BE319" s="42">
        <f>'[1]побудинковий звіт'!BE319+'[2]побудинковий звіт'!BE319-'[3]побудинковий звіт'!BE319</f>
        <v>0</v>
      </c>
      <c r="BF319" s="42">
        <f>'[1]побудинковий звіт'!BF319+'[2]побудинковий звіт'!BF319-'[3]побудинковий звіт'!BF319</f>
        <v>0</v>
      </c>
      <c r="BG319" s="39">
        <f t="shared" si="326"/>
        <v>0</v>
      </c>
      <c r="BH319" s="42">
        <f>'[1]побудинковий звіт'!BH319+'[2]побудинковий звіт'!BH319-'[3]побудинковий звіт'!BH319</f>
        <v>0</v>
      </c>
      <c r="BI319" s="42">
        <f>'[1]побудинковий звіт'!BI319+'[2]побудинковий звіт'!BI319-'[3]побудинковий звіт'!BI319</f>
        <v>373</v>
      </c>
      <c r="BJ319" s="59">
        <f t="shared" si="327"/>
        <v>373</v>
      </c>
      <c r="BK319" s="42">
        <f>'[1]побудинковий звіт'!BK319+'[2]побудинковий звіт'!BK319-'[3]побудинковий звіт'!BK319</f>
        <v>1059.1218128437079</v>
      </c>
      <c r="BL319" s="42">
        <f>'[1]побудинковий звіт'!BL319+'[2]побудинковий звіт'!BL319-'[3]побудинковий звіт'!BL319</f>
        <v>2814.3297111025036</v>
      </c>
      <c r="BM319" s="39">
        <f t="shared" si="328"/>
        <v>1755.2078982587957</v>
      </c>
      <c r="BN319" s="42">
        <f>'[1]побудинковий звіт'!BN319+'[2]побудинковий звіт'!BN319-'[3]побудинковий звіт'!BN319</f>
        <v>642.34724546734287</v>
      </c>
      <c r="BO319" s="42">
        <f>'[1]побудинковий звіт'!BO319+'[2]побудинковий звіт'!BO319-'[3]побудинковий звіт'!BO319</f>
        <v>0</v>
      </c>
      <c r="BP319" s="59">
        <f t="shared" si="329"/>
        <v>-642.34724546734287</v>
      </c>
      <c r="BQ319" s="87">
        <f t="shared" si="338"/>
        <v>8414.4926893816246</v>
      </c>
      <c r="BR319" s="43">
        <f t="shared" si="339"/>
        <v>3187.3297111025036</v>
      </c>
      <c r="BS319" s="59">
        <f t="shared" si="330"/>
        <v>-5227.1629782791206</v>
      </c>
      <c r="BT319" s="42">
        <f>'[1]побудинковий звіт'!BT319+'[2]побудинковий звіт'!BT319-'[3]побудинковий звіт'!BT319</f>
        <v>38840.379677347344</v>
      </c>
      <c r="BU319" s="42">
        <f>'[1]побудинковий звіт'!BU319+'[2]побудинковий звіт'!BU319-'[3]побудинковий звіт'!BU319</f>
        <v>64247.696589486237</v>
      </c>
      <c r="BV319" s="56">
        <f t="shared" si="308"/>
        <v>25407.316912138893</v>
      </c>
      <c r="BW319" s="42">
        <f>'[1]побудинковий звіт'!BW319+'[2]побудинковий звіт'!BW319-'[3]побудинковий звіт'!BW319</f>
        <v>15822.277566476756</v>
      </c>
      <c r="BX319" s="42">
        <f>'[1]побудинковий звіт'!BX319+'[2]побудинковий звіт'!BX319-'[3]побудинковий звіт'!BX319</f>
        <v>15922.458087528317</v>
      </c>
      <c r="BY319" s="56">
        <f t="shared" si="309"/>
        <v>100.1805210515613</v>
      </c>
      <c r="BZ319" s="42">
        <f>'[1]побудинковий звіт'!BZ319+'[2]побудинковий звіт'!BZ319-'[3]побудинковий звіт'!BZ319</f>
        <v>25417.539343971403</v>
      </c>
      <c r="CA319" s="42">
        <f>'[1]побудинковий звіт'!CA319+'[2]побудинковий звіт'!CA319-'[3]побудинковий звіт'!CA319</f>
        <v>15701.817940403904</v>
      </c>
      <c r="CB319" s="56">
        <f t="shared" si="310"/>
        <v>-9715.7214035674988</v>
      </c>
      <c r="CC319" s="42">
        <f>'[1]побудинковий звіт'!CC319+'[2]побудинковий звіт'!CC319-'[3]побудинковий звіт'!CC319</f>
        <v>1180.0597444569189</v>
      </c>
      <c r="CD319" s="42">
        <f>'[1]побудинковий звіт'!CD319+'[2]побудинковий звіт'!CD319-'[3]побудинковий звіт'!CD319</f>
        <v>1169.6807853773557</v>
      </c>
      <c r="CE319" s="56">
        <f t="shared" si="311"/>
        <v>-10.378959079563174</v>
      </c>
      <c r="CF319" s="42">
        <f>'[1]побудинковий звіт'!CF319+'[2]побудинковий звіт'!CF319-'[3]побудинковий звіт'!CF319</f>
        <v>145.2725064198859</v>
      </c>
      <c r="CG319" s="42">
        <f>'[1]побудинковий звіт'!CG319+'[2]побудинковий звіт'!CG319-'[3]побудинковий звіт'!CG319</f>
        <v>0</v>
      </c>
      <c r="CH319" s="56">
        <f t="shared" si="312"/>
        <v>-145.2725064198859</v>
      </c>
      <c r="CI319" s="42">
        <f>'[1]побудинковий звіт'!CI319+'[2]побудинковий звіт'!CI319-'[3]побудинковий звіт'!CI319</f>
        <v>8647.4966318627648</v>
      </c>
      <c r="CJ319" s="42">
        <f>'[1]побудинковий звіт'!CJ319+'[2]побудинковий звіт'!CJ319-'[3]побудинковий звіт'!CJ319</f>
        <v>6310.6992843644484</v>
      </c>
      <c r="CK319" s="56">
        <f t="shared" si="313"/>
        <v>-2336.7973474983164</v>
      </c>
      <c r="CL319" s="42">
        <f>'[1]побудинковий звіт'!CL319+'[2]побудинковий звіт'!CL319-'[3]побудинковий звіт'!CL319</f>
        <v>0</v>
      </c>
      <c r="CM319" s="42">
        <f>'[1]побудинковий звіт'!CM319+'[2]побудинковий звіт'!CM319-'[3]побудинковий звіт'!CM319</f>
        <v>0</v>
      </c>
      <c r="CN319" s="56">
        <f t="shared" si="314"/>
        <v>0</v>
      </c>
      <c r="CO319" s="42">
        <f t="shared" si="294"/>
        <v>8647.4966318627648</v>
      </c>
      <c r="CP319" s="43">
        <f t="shared" si="315"/>
        <v>6310.6992843644484</v>
      </c>
      <c r="CQ319" s="56">
        <f t="shared" si="316"/>
        <v>-2336.7973474983164</v>
      </c>
      <c r="CR319" s="78">
        <f t="shared" si="295"/>
        <v>176234.15266361178</v>
      </c>
      <c r="CS319" s="5">
        <f t="shared" si="295"/>
        <v>207747.17720269863</v>
      </c>
      <c r="CT319" s="56">
        <f t="shared" si="317"/>
        <v>31513.024539086851</v>
      </c>
      <c r="CU319" s="87">
        <f t="shared" si="318"/>
        <v>211480.98319633413</v>
      </c>
      <c r="CV319" s="70">
        <f t="shared" si="319"/>
        <v>249296.61264323833</v>
      </c>
      <c r="CW319" s="37">
        <f t="shared" si="320"/>
        <v>37815.629446904204</v>
      </c>
      <c r="CX319" s="42">
        <f>'[1]побудинковий звіт'!CX319+'[2]побудинковий звіт'!CX319-'[3]побудинковий звіт'!CX319</f>
        <v>-3.6631963340914808</v>
      </c>
      <c r="CY319" s="42">
        <f>'[1]побудинковий звіт'!CY319+'[2]побудинковий звіт'!CY319-'[3]побудинковий звіт'!CY319</f>
        <v>-37819.292643238325</v>
      </c>
      <c r="CZ319" s="56">
        <f t="shared" si="321"/>
        <v>-37815.629446904233</v>
      </c>
      <c r="DA319" s="264">
        <f>'[4]побудинковий звіт'!DA319</f>
        <v>5467.4541307349864</v>
      </c>
      <c r="DB319" s="2">
        <v>1</v>
      </c>
      <c r="DC319" s="717">
        <f>'[4]побудинковий звіт'!DC319</f>
        <v>30676.31</v>
      </c>
      <c r="DD319" s="717">
        <f>'[4]побудинковий звіт'!DD319</f>
        <v>0</v>
      </c>
      <c r="DE319" s="717">
        <f>'[4]побудинковий звіт'!DE319</f>
        <v>16389.590000000004</v>
      </c>
      <c r="DF319" s="717">
        <f>'[4]побудинковий звіт'!DF319</f>
        <v>-3336.3900000000003</v>
      </c>
      <c r="DG319" s="787">
        <v>-21475.743571173924</v>
      </c>
      <c r="DH319" s="761">
        <f t="shared" si="290"/>
        <v>2537727.8400000003</v>
      </c>
      <c r="DI319" s="784"/>
      <c r="DJ319" s="5"/>
      <c r="DK319" s="317">
        <f>VLOOKUP($A319,ціни!$A$4:$G$401,5)</f>
        <v>5.4740029818249178</v>
      </c>
      <c r="DL319" s="317"/>
      <c r="DM319" s="317">
        <f>VLOOKUP($A319,ціни!$A$4:$G$401,7)</f>
        <v>4.8677808051616198</v>
      </c>
      <c r="DN319" s="30">
        <f t="shared" si="332"/>
        <v>812.34204250281789</v>
      </c>
      <c r="DO319" s="30">
        <f t="shared" si="334"/>
        <v>3336.3769638577742</v>
      </c>
      <c r="DP319" s="316">
        <f t="shared" si="335"/>
        <v>4148.7190063605922</v>
      </c>
      <c r="DQ319" s="104"/>
      <c r="DR319" s="30">
        <f>VLOOKUP(A319,'ДЗ нас '!$A$1:$C$359,2)</f>
        <v>14286.72</v>
      </c>
      <c r="DS319" s="748">
        <f>VLOOKUP(A319,'ДЗ нежит'!$A$1:$D$153,4,0)</f>
        <v>3336.3900000000003</v>
      </c>
      <c r="DT319" s="30">
        <f t="shared" si="336"/>
        <v>17623.11</v>
      </c>
      <c r="DU319" s="257">
        <f>VLOOKUP(A319,'новий кошторис с 01.06'!$A$4:$AI$399,35)*1.2</f>
        <v>17623.415266361175</v>
      </c>
      <c r="DV319" s="30">
        <f t="shared" si="337"/>
        <v>-0.30526636117429007</v>
      </c>
      <c r="DW319" s="930">
        <f>'[5]побудинковий звіт'!DW319+'[6]побудинковий звіт'!DW319</f>
        <v>236</v>
      </c>
      <c r="DY319" s="5">
        <f t="shared" si="286"/>
        <v>44061.246307531714</v>
      </c>
      <c r="DZ319" s="5">
        <f t="shared" si="287"/>
        <v>71159.023443568571</v>
      </c>
      <c r="EA319" s="752">
        <f t="shared" si="291"/>
        <v>13053.200000000004</v>
      </c>
      <c r="EC319" s="592">
        <f t="shared" si="288"/>
        <v>339638.55080273771</v>
      </c>
      <c r="EE319" s="758">
        <v>-2701</v>
      </c>
      <c r="EF319" s="738">
        <f t="shared" si="289"/>
        <v>-24176.743571173924</v>
      </c>
      <c r="EH319" s="813">
        <v>19154.097831392399</v>
      </c>
    </row>
    <row r="320" spans="1:138" x14ac:dyDescent="0.3">
      <c r="A320" s="328">
        <v>150000869</v>
      </c>
      <c r="B320" s="44" t="s">
        <v>773</v>
      </c>
      <c r="C320" s="45" t="s">
        <v>311</v>
      </c>
      <c r="D320" s="45" t="s">
        <v>311</v>
      </c>
      <c r="E320" s="40">
        <f t="shared" si="292"/>
        <v>3984.7</v>
      </c>
      <c r="F320" s="490">
        <v>2784.6</v>
      </c>
      <c r="G320" s="30"/>
      <c r="H320" s="30">
        <v>1200.0999999999999</v>
      </c>
      <c r="I320" s="42">
        <f>'[1]побудинковий звіт'!I320+'[2]побудинковий звіт'!I320-'[3]побудинковий звіт'!I320</f>
        <v>18170.507677565616</v>
      </c>
      <c r="J320" s="42">
        <f>'[1]побудинковий звіт'!J320+'[2]побудинковий звіт'!J320-'[3]побудинковий звіт'!J320</f>
        <v>15391.433755038304</v>
      </c>
      <c r="K320" s="56">
        <f t="shared" si="296"/>
        <v>-2779.0739225273119</v>
      </c>
      <c r="L320" s="42">
        <f>'[1]побудинковий звіт'!L320+'[2]побудинковий звіт'!L320-'[3]побудинковий звіт'!L320</f>
        <v>4097.0014675747325</v>
      </c>
      <c r="M320" s="42">
        <f>'[1]побудинковий звіт'!M320+'[2]побудинковий звіт'!M320-'[3]побудинковий звіт'!M320</f>
        <v>3738.3300520903745</v>
      </c>
      <c r="N320" s="56">
        <f t="shared" si="297"/>
        <v>-358.67141548435802</v>
      </c>
      <c r="O320" s="42">
        <f>'[1]побудинковий звіт'!O320+'[2]побудинковий звіт'!O320-'[3]побудинковий звіт'!O320</f>
        <v>7888.92</v>
      </c>
      <c r="P320" s="42">
        <f>'[1]побудинковий звіт'!P320+'[2]побудинковий звіт'!P320-'[3]побудинковий звіт'!P320</f>
        <v>6200.7984168279554</v>
      </c>
      <c r="Q320" s="56">
        <f t="shared" si="298"/>
        <v>-1688.1215831720447</v>
      </c>
      <c r="R320" s="42">
        <f>'[1]побудинковий звіт'!R320+'[2]побудинковий звіт'!R320-'[3]побудинковий звіт'!R320</f>
        <v>1789.9200000000003</v>
      </c>
      <c r="S320" s="42">
        <f>'[1]побудинковий звіт'!S320+'[2]побудинковий звіт'!S320-'[3]побудинковий звіт'!S320</f>
        <v>1407.2187190322579</v>
      </c>
      <c r="T320" s="56">
        <f t="shared" si="299"/>
        <v>-382.70128096774238</v>
      </c>
      <c r="U320" s="42">
        <f>'[1]побудинковий звіт'!U320+'[2]побудинковий звіт'!U320-'[3]побудинковий звіт'!U320</f>
        <v>1241.2255887572035</v>
      </c>
      <c r="V320" s="42">
        <f>'[1]побудинковий звіт'!V320+'[2]побудинковий звіт'!V320-'[3]побудинковий звіт'!V320</f>
        <v>512.06651346224976</v>
      </c>
      <c r="W320" s="56">
        <f t="shared" si="300"/>
        <v>-729.15907529495371</v>
      </c>
      <c r="X320" s="42">
        <f>'[1]побудинковий звіт'!X320+'[2]побудинковий звіт'!X320-'[3]побудинковий звіт'!X320</f>
        <v>17855.41348975318</v>
      </c>
      <c r="Y320" s="42">
        <f>'[1]побудинковий звіт'!Y320+'[2]побудинковий звіт'!Y320-'[3]побудинковий звіт'!Y320</f>
        <v>15236.798831249627</v>
      </c>
      <c r="Z320" s="56">
        <f t="shared" si="301"/>
        <v>-2618.6146585035531</v>
      </c>
      <c r="AA320" s="42">
        <f>'[1]побудинковий звіт'!AA320+'[2]побудинковий звіт'!AA320-'[3]побудинковий звіт'!AA320</f>
        <v>0</v>
      </c>
      <c r="AB320" s="42">
        <f>'[1]побудинковий звіт'!AB320+'[2]побудинковий звіт'!AB320-'[3]побудинковий звіт'!AB320</f>
        <v>0</v>
      </c>
      <c r="AC320" s="56">
        <f t="shared" si="302"/>
        <v>0</v>
      </c>
      <c r="AD320" s="42">
        <f>'[1]побудинковий звіт'!AD320+'[2]побудинковий звіт'!AD320-'[3]побудинковий звіт'!AD320</f>
        <v>24633.877870779703</v>
      </c>
      <c r="AE320" s="42">
        <f>'[1]побудинковий звіт'!AE320+'[2]побудинковий звіт'!AE320-'[3]побудинковий звіт'!AE320</f>
        <v>22869.130003999468</v>
      </c>
      <c r="AF320" s="37">
        <f t="shared" si="303"/>
        <v>-1764.7478667802352</v>
      </c>
      <c r="AG320" s="87">
        <f t="shared" si="293"/>
        <v>75676.866094430443</v>
      </c>
      <c r="AH320" s="57">
        <f t="shared" si="293"/>
        <v>65355.77629170024</v>
      </c>
      <c r="AI320" s="56">
        <f t="shared" si="304"/>
        <v>-10321.089802730203</v>
      </c>
      <c r="AJ320" s="42">
        <f>'[1]побудинковий звіт'!AJ320+'[2]побудинковий звіт'!AJ320-'[3]побудинковий звіт'!AJ320</f>
        <v>0</v>
      </c>
      <c r="AK320" s="42">
        <f>'[1]побудинковий звіт'!AK320+'[2]побудинковий звіт'!AK320-'[3]побудинковий звіт'!AK320</f>
        <v>0</v>
      </c>
      <c r="AL320" s="56">
        <f t="shared" si="305"/>
        <v>0</v>
      </c>
      <c r="AM320" s="42">
        <f>'[1]побудинковий звіт'!AM320+'[2]побудинковий звіт'!AM320-'[3]побудинковий звіт'!AM320</f>
        <v>0</v>
      </c>
      <c r="AN320" s="42">
        <f>'[1]побудинковий звіт'!AN320+'[2]побудинковий звіт'!AN320-'[3]побудинковий звіт'!AN320</f>
        <v>0</v>
      </c>
      <c r="AO320" s="56">
        <f t="shared" si="306"/>
        <v>0</v>
      </c>
      <c r="AP320" s="42">
        <f>'[1]побудинковий звіт'!AP320+'[2]побудинковий звіт'!AP320-'[3]побудинковий звіт'!AP320</f>
        <v>4024.8249822980115</v>
      </c>
      <c r="AQ320" s="42">
        <f>'[1]побудинковий звіт'!AQ320+'[2]побудинковий звіт'!AQ320-'[3]побудинковий звіт'!AQ320</f>
        <v>3965.4231039521583</v>
      </c>
      <c r="AR320" s="56">
        <f t="shared" si="307"/>
        <v>-59.40187834585322</v>
      </c>
      <c r="AS320" s="42">
        <f>'[1]побудинковий звіт'!AS320+'[2]побудинковий звіт'!AS320-'[3]побудинковий звіт'!AS320</f>
        <v>80888.298194232746</v>
      </c>
      <c r="AT320" s="42">
        <f>'[1]побудинковий звіт'!AT320+'[2]побудинковий звіт'!AT320-'[3]побудинковий звіт'!AT320</f>
        <v>187460</v>
      </c>
      <c r="AU320" s="58">
        <f t="shared" si="322"/>
        <v>106571.70180576725</v>
      </c>
      <c r="AV320" s="42">
        <f>'[1]побудинковий звіт'!AV320+'[2]побудинковий звіт'!AV320-'[3]побудинковий звіт'!AV320</f>
        <v>3252.5407145402869</v>
      </c>
      <c r="AW320" s="42">
        <f>'[1]побудинковий звіт'!AW320+'[2]побудинковий звіт'!AW320-'[3]побудинковий звіт'!AW320</f>
        <v>685</v>
      </c>
      <c r="AX320" s="59">
        <f t="shared" si="323"/>
        <v>-2567.5407145402869</v>
      </c>
      <c r="AY320" s="42">
        <f>'[1]побудинковий звіт'!AY320+'[2]побудинковий звіт'!AY320-'[3]побудинковий звіт'!AY320</f>
        <v>5103.6454218171393</v>
      </c>
      <c r="AZ320" s="42">
        <f>'[1]побудинковий звіт'!AZ320+'[2]побудинковий звіт'!AZ320-'[3]побудинковий звіт'!AZ320</f>
        <v>1567</v>
      </c>
      <c r="BA320" s="37">
        <f t="shared" si="324"/>
        <v>-3536.6454218171393</v>
      </c>
      <c r="BB320" s="42">
        <f>'[1]побудинковий звіт'!BB320+'[2]побудинковий звіт'!BB320-'[3]побудинковий звіт'!BB320</f>
        <v>2938.8569816829331</v>
      </c>
      <c r="BC320" s="42">
        <f>'[1]побудинковий звіт'!BC320+'[2]побудинковий звіт'!BC320-'[3]побудинковий звіт'!BC320</f>
        <v>0</v>
      </c>
      <c r="BD320" s="59">
        <f t="shared" si="325"/>
        <v>-2938.8569816829331</v>
      </c>
      <c r="BE320" s="42">
        <f>'[1]побудинковий звіт'!BE320+'[2]побудинковий звіт'!BE320-'[3]побудинковий звіт'!BE320</f>
        <v>1626.3997111552867</v>
      </c>
      <c r="BF320" s="42">
        <f>'[1]побудинковий звіт'!BF320+'[2]побудинковий звіт'!BF320-'[3]побудинковий звіт'!BF320</f>
        <v>1779</v>
      </c>
      <c r="BG320" s="39">
        <f t="shared" si="326"/>
        <v>152.6002888447133</v>
      </c>
      <c r="BH320" s="42">
        <f>'[1]побудинковий звіт'!BH320+'[2]побудинковий звіт'!BH320-'[3]побудинковий звіт'!BH320</f>
        <v>1259.1537278851117</v>
      </c>
      <c r="BI320" s="42">
        <f>'[1]побудинковий звіт'!BI320+'[2]побудинковий звіт'!BI320-'[3]побудинковий звіт'!BI320</f>
        <v>0</v>
      </c>
      <c r="BJ320" s="59">
        <f t="shared" si="327"/>
        <v>-1259.1537278851117</v>
      </c>
      <c r="BK320" s="42">
        <f>'[1]побудинковий звіт'!BK320+'[2]побудинковий звіт'!BK320-'[3]побудинковий звіт'!BK320</f>
        <v>2563.2115873070479</v>
      </c>
      <c r="BL320" s="42">
        <f>'[1]побудинковий звіт'!BL320+'[2]побудинковий звіт'!BL320-'[3]побудинковий звіт'!BL320</f>
        <v>6902.0384114211838</v>
      </c>
      <c r="BM320" s="39">
        <f t="shared" si="328"/>
        <v>4338.8268241141359</v>
      </c>
      <c r="BN320" s="42">
        <f>'[1]побудинковий звіт'!BN320+'[2]побудинковий звіт'!BN320-'[3]побудинковий звіт'!BN320</f>
        <v>1392.4189594078643</v>
      </c>
      <c r="BO320" s="42">
        <f>'[1]побудинковий звіт'!BO320+'[2]побудинковий звіт'!BO320-'[3]побудинковий звіт'!BO320</f>
        <v>0</v>
      </c>
      <c r="BP320" s="59">
        <f t="shared" si="329"/>
        <v>-1392.4189594078643</v>
      </c>
      <c r="BQ320" s="87">
        <f t="shared" si="338"/>
        <v>18136.227103795671</v>
      </c>
      <c r="BR320" s="43">
        <f t="shared" si="339"/>
        <v>10933.038411421185</v>
      </c>
      <c r="BS320" s="59">
        <f t="shared" si="330"/>
        <v>-7203.188692374486</v>
      </c>
      <c r="BT320" s="42">
        <f>'[1]побудинковий звіт'!BT320+'[2]побудинковий звіт'!BT320-'[3]побудинковий звіт'!BT320</f>
        <v>39989.082565605982</v>
      </c>
      <c r="BU320" s="42">
        <f>'[1]побудинковий звіт'!BU320+'[2]побудинковий звіт'!BU320-'[3]побудинковий звіт'!BU320</f>
        <v>62019.459108259485</v>
      </c>
      <c r="BV320" s="56">
        <f t="shared" si="308"/>
        <v>22030.376542653503</v>
      </c>
      <c r="BW320" s="42">
        <f>'[1]побудинковий звіт'!BW320+'[2]побудинковий звіт'!BW320-'[3]побудинковий звіт'!BW320</f>
        <v>33906.564393333982</v>
      </c>
      <c r="BX320" s="42">
        <f>'[1]побудинковий звіт'!BX320+'[2]побудинковий звіт'!BX320-'[3]побудинковий звіт'!BX320</f>
        <v>35330.697901731502</v>
      </c>
      <c r="BY320" s="56">
        <f t="shared" si="309"/>
        <v>1424.1335083975209</v>
      </c>
      <c r="BZ320" s="42">
        <f>'[1]побудинковий звіт'!BZ320+'[2]побудинковий звіт'!BZ320-'[3]побудинковий звіт'!BZ320</f>
        <v>23018.966533788935</v>
      </c>
      <c r="CA320" s="42">
        <f>'[1]побудинковий звіт'!CA320+'[2]побудинковий звіт'!CA320-'[3]побудинковий звіт'!CA320</f>
        <v>15513.099897665979</v>
      </c>
      <c r="CB320" s="56">
        <f t="shared" si="310"/>
        <v>-7505.8666361229552</v>
      </c>
      <c r="CC320" s="42">
        <f>'[1]побудинковий звіт'!CC320+'[2]побудинковий звіт'!CC320-'[3]побудинковий звіт'!CC320</f>
        <v>2590.1311340198481</v>
      </c>
      <c r="CD320" s="42">
        <f>'[1]побудинковий звіт'!CD320+'[2]побудинковий звіт'!CD320-'[3]побудинковий звіт'!CD320</f>
        <v>2567.3501984130098</v>
      </c>
      <c r="CE320" s="56">
        <f t="shared" si="311"/>
        <v>-22.780935606838284</v>
      </c>
      <c r="CF320" s="42">
        <f>'[1]побудинковий звіт'!CF320+'[2]побудинковий звіт'!CF320-'[3]побудинковий звіт'!CF320</f>
        <v>318.86084036229192</v>
      </c>
      <c r="CG320" s="42">
        <f>'[1]побудинковий звіт'!CG320+'[2]побудинковий звіт'!CG320-'[3]побудинковий звіт'!CG320</f>
        <v>0</v>
      </c>
      <c r="CH320" s="56">
        <f t="shared" si="312"/>
        <v>-318.86084036229192</v>
      </c>
      <c r="CI320" s="42">
        <f>'[1]побудинковий звіт'!CI320+'[2]побудинковий звіт'!CI320-'[3]побудинковий звіт'!CI320</f>
        <v>14637.104688564246</v>
      </c>
      <c r="CJ320" s="42">
        <f>'[1]побудинковий звіт'!CJ320+'[2]побудинковий звіт'!CJ320-'[3]побудинковий звіт'!CJ320</f>
        <v>10314.763306983043</v>
      </c>
      <c r="CK320" s="56">
        <f t="shared" si="313"/>
        <v>-4322.3413815812037</v>
      </c>
      <c r="CL320" s="42">
        <f>'[1]побудинковий звіт'!CL320+'[2]побудинковий звіт'!CL320-'[3]побудинковий звіт'!CL320</f>
        <v>0</v>
      </c>
      <c r="CM320" s="42">
        <f>'[1]побудинковий звіт'!CM320+'[2]побудинковий звіт'!CM320-'[3]побудинковий звіт'!CM320</f>
        <v>0</v>
      </c>
      <c r="CN320" s="56">
        <f t="shared" si="314"/>
        <v>0</v>
      </c>
      <c r="CO320" s="42">
        <f t="shared" si="294"/>
        <v>14637.104688564246</v>
      </c>
      <c r="CP320" s="43">
        <f t="shared" si="315"/>
        <v>10314.763306983043</v>
      </c>
      <c r="CQ320" s="56">
        <f t="shared" si="316"/>
        <v>-4322.3413815812037</v>
      </c>
      <c r="CR320" s="78">
        <f t="shared" si="295"/>
        <v>293186.92653043219</v>
      </c>
      <c r="CS320" s="5">
        <f t="shared" si="295"/>
        <v>393459.60822012654</v>
      </c>
      <c r="CT320" s="56">
        <f t="shared" si="317"/>
        <v>100272.68168969435</v>
      </c>
      <c r="CU320" s="87">
        <f t="shared" si="318"/>
        <v>351824.31183651864</v>
      </c>
      <c r="CV320" s="70">
        <f t="shared" si="319"/>
        <v>472151.52986415185</v>
      </c>
      <c r="CW320" s="37">
        <f t="shared" si="320"/>
        <v>120327.21802763321</v>
      </c>
      <c r="CX320" s="42">
        <f>'[1]побудинковий звіт'!CX320+'[2]побудинковий звіт'!CX320-'[3]побудинковий звіт'!CX320</f>
        <v>19871.848163481482</v>
      </c>
      <c r="CY320" s="42">
        <f>'[1]побудинковий звіт'!CY320+'[2]побудинковий звіт'!CY320-'[3]побудинковий звіт'!CY320</f>
        <v>-100455.3698641519</v>
      </c>
      <c r="CZ320" s="56">
        <f t="shared" si="321"/>
        <v>-120327.21802763338</v>
      </c>
      <c r="DA320" s="264">
        <f>'[4]побудинковий звіт'!DA320</f>
        <v>72152.66358146217</v>
      </c>
      <c r="DB320" s="2">
        <v>1</v>
      </c>
      <c r="DC320" s="717">
        <f>'[4]побудинковий звіт'!DC320</f>
        <v>52756.14</v>
      </c>
      <c r="DD320" s="717">
        <f>'[4]побудинковий звіт'!DD320</f>
        <v>12121.589999999998</v>
      </c>
      <c r="DE320" s="717">
        <f>'[4]побудинковий звіт'!DE320</f>
        <v>27452.55</v>
      </c>
      <c r="DF320" s="717">
        <f>'[4]побудинковий звіт'!DF320</f>
        <v>6450.4999999999982</v>
      </c>
      <c r="DG320" s="787">
        <v>253.59828801278491</v>
      </c>
      <c r="DH320" s="761">
        <f t="shared" si="290"/>
        <v>4460353.9200000018</v>
      </c>
      <c r="DI320" s="784"/>
      <c r="DJ320" s="5"/>
      <c r="DK320" s="317">
        <f>VLOOKUP($A320,ціни!$A$4:$G$401,5)</f>
        <v>5.4989569093650967</v>
      </c>
      <c r="DL320" s="317"/>
      <c r="DM320" s="317">
        <f>VLOOKUP($A320,ціни!$A$4:$G$401,7)</f>
        <v>4.7254886619596475</v>
      </c>
      <c r="DN320" s="30">
        <f t="shared" si="332"/>
        <v>15312.395409818047</v>
      </c>
      <c r="DO320" s="30">
        <f t="shared" si="334"/>
        <v>5671.0589432177721</v>
      </c>
      <c r="DP320" s="316">
        <f t="shared" si="335"/>
        <v>20983.454353035821</v>
      </c>
      <c r="DQ320" s="104"/>
      <c r="DR320" s="30">
        <f>VLOOKUP(A320,'ДЗ нас '!$A$1:$C$359,2)</f>
        <v>25303.59</v>
      </c>
      <c r="DS320" s="748">
        <f>VLOOKUP(A320,'ДЗ нежит'!$A$1:$D$153,4,0)</f>
        <v>5671.09</v>
      </c>
      <c r="DT320" s="30">
        <f t="shared" si="336"/>
        <v>30974.68</v>
      </c>
      <c r="DU320" s="257">
        <f>VLOOKUP(A320,'новий кошторис с 01.06'!$A$4:$AI$399,35)*1.2</f>
        <v>31077.8142122258</v>
      </c>
      <c r="DV320" s="30">
        <f t="shared" si="337"/>
        <v>-103.13421222579927</v>
      </c>
      <c r="DW320" s="930">
        <f>'[5]побудинковий звіт'!DW320+'[6]побудинковий звіт'!DW320</f>
        <v>302</v>
      </c>
      <c r="DY320" s="5">
        <f t="shared" si="286"/>
        <v>118829.43035763409</v>
      </c>
      <c r="DZ320" s="5">
        <f t="shared" si="287"/>
        <v>238071.64609370541</v>
      </c>
      <c r="EA320" s="752">
        <f t="shared" si="291"/>
        <v>33903.049999999996</v>
      </c>
      <c r="EC320" s="592">
        <f t="shared" si="288"/>
        <v>970659.57833079295</v>
      </c>
      <c r="EE320" s="758">
        <v>-17169</v>
      </c>
      <c r="EF320" s="738">
        <f t="shared" si="289"/>
        <v>-16915.401711987215</v>
      </c>
      <c r="EH320" s="813">
        <v>-27388.749982139569</v>
      </c>
    </row>
    <row r="321" spans="1:138" x14ac:dyDescent="0.3">
      <c r="A321" s="328">
        <v>150000875</v>
      </c>
      <c r="B321" s="44" t="s">
        <v>774</v>
      </c>
      <c r="C321" s="45" t="s">
        <v>312</v>
      </c>
      <c r="D321" s="45" t="s">
        <v>312</v>
      </c>
      <c r="E321" s="40">
        <f t="shared" si="292"/>
        <v>1113.4000000000001</v>
      </c>
      <c r="F321" s="490">
        <v>1113.4000000000001</v>
      </c>
      <c r="G321" s="30"/>
      <c r="H321" s="30">
        <v>0</v>
      </c>
      <c r="I321" s="42">
        <f>'[1]побудинковий звіт'!I321+'[2]побудинковий звіт'!I321-'[3]побудинковий звіт'!I321</f>
        <v>12867.870894705018</v>
      </c>
      <c r="J321" s="42">
        <f>'[1]побудинковий звіт'!J321+'[2]побудинковий звіт'!J321-'[3]побудинковий звіт'!J321</f>
        <v>10845.377965775797</v>
      </c>
      <c r="K321" s="56">
        <f t="shared" si="296"/>
        <v>-2022.4929289292213</v>
      </c>
      <c r="L321" s="42">
        <f>'[1]побудинковий звіт'!L321+'[2]побудинковий звіт'!L321-'[3]побудинковий звіт'!L321</f>
        <v>2577.5516057917689</v>
      </c>
      <c r="M321" s="42">
        <f>'[1]побудинковий звіт'!M321+'[2]побудинковий звіт'!M321-'[3]побудинковий звіт'!M321</f>
        <v>2370.5581650769832</v>
      </c>
      <c r="N321" s="56">
        <f t="shared" si="297"/>
        <v>-206.99344071478572</v>
      </c>
      <c r="O321" s="42">
        <f>'[1]побудинковий звіт'!O321+'[2]побудинковий звіт'!O321-'[3]побудинковий звіт'!O321</f>
        <v>4938.6000000000013</v>
      </c>
      <c r="P321" s="42">
        <f>'[1]побудинковий звіт'!P321+'[2]побудинковий звіт'!P321-'[3]побудинковий звіт'!P321</f>
        <v>3881.798932795698</v>
      </c>
      <c r="Q321" s="56">
        <f t="shared" si="298"/>
        <v>-1056.8010672043033</v>
      </c>
      <c r="R321" s="42">
        <f>'[1]побудинковий звіт'!R321+'[2]побудинковий звіт'!R321-'[3]побудинковий звіт'!R321</f>
        <v>0</v>
      </c>
      <c r="S321" s="42">
        <f>'[1]побудинковий звіт'!S321+'[2]побудинковий звіт'!S321-'[3]побудинковий звіт'!S321</f>
        <v>0</v>
      </c>
      <c r="T321" s="56">
        <f t="shared" si="299"/>
        <v>0</v>
      </c>
      <c r="U321" s="42">
        <f>'[1]побудинковий звіт'!U321+'[2]побудинковий звіт'!U321-'[3]побудинковий звіт'!U321</f>
        <v>0</v>
      </c>
      <c r="V321" s="42">
        <f>'[1]побудинковий звіт'!V321+'[2]побудинковий звіт'!V321-'[3]побудинковий звіт'!V321</f>
        <v>0</v>
      </c>
      <c r="W321" s="56">
        <f t="shared" si="300"/>
        <v>0</v>
      </c>
      <c r="X321" s="42">
        <f>'[1]побудинковий звіт'!X321+'[2]побудинковий звіт'!X321-'[3]побудинковий звіт'!X321</f>
        <v>7483.2875172838267</v>
      </c>
      <c r="Y321" s="42">
        <f>'[1]побудинковий звіт'!Y321+'[2]побудинковий звіт'!Y321-'[3]побудинковий звіт'!Y321</f>
        <v>5373.9705946287168</v>
      </c>
      <c r="Z321" s="56">
        <f t="shared" si="301"/>
        <v>-2109.3169226551099</v>
      </c>
      <c r="AA321" s="42">
        <f>'[1]побудинковий звіт'!AA321+'[2]побудинковий звіт'!AA321-'[3]побудинковий звіт'!AA321</f>
        <v>0</v>
      </c>
      <c r="AB321" s="42">
        <f>'[1]побудинковий звіт'!AB321+'[2]побудинковий звіт'!AB321-'[3]побудинковий звіт'!AB321</f>
        <v>0</v>
      </c>
      <c r="AC321" s="56">
        <f t="shared" si="302"/>
        <v>0</v>
      </c>
      <c r="AD321" s="42">
        <f>'[1]побудинковий звіт'!AD321+'[2]побудинковий звіт'!AD321-'[3]побудинковий звіт'!AD321</f>
        <v>13640.330174074159</v>
      </c>
      <c r="AE321" s="42">
        <f>'[1]побудинковий звіт'!AE321+'[2]побудинковий звіт'!AE321-'[3]побудинковий звіт'!AE321</f>
        <v>12572.201463190306</v>
      </c>
      <c r="AF321" s="37">
        <f t="shared" si="303"/>
        <v>-1068.1287108838533</v>
      </c>
      <c r="AG321" s="87">
        <f t="shared" si="293"/>
        <v>41507.640191854771</v>
      </c>
      <c r="AH321" s="57">
        <f t="shared" si="293"/>
        <v>35043.907121467499</v>
      </c>
      <c r="AI321" s="56">
        <f t="shared" si="304"/>
        <v>-6463.7330703872722</v>
      </c>
      <c r="AJ321" s="42">
        <f>'[1]побудинковий звіт'!AJ321+'[2]побудинковий звіт'!AJ321-'[3]побудинковий звіт'!AJ321</f>
        <v>0</v>
      </c>
      <c r="AK321" s="42">
        <f>'[1]побудинковий звіт'!AK321+'[2]побудинковий звіт'!AK321-'[3]побудинковий звіт'!AK321</f>
        <v>0</v>
      </c>
      <c r="AL321" s="56">
        <f t="shared" si="305"/>
        <v>0</v>
      </c>
      <c r="AM321" s="42">
        <f>'[1]побудинковий звіт'!AM321+'[2]побудинковий звіт'!AM321-'[3]побудинковий звіт'!AM321</f>
        <v>0</v>
      </c>
      <c r="AN321" s="42">
        <f>'[1]побудинковий звіт'!AN321+'[2]побудинковий звіт'!AN321-'[3]побудинковий звіт'!AN321</f>
        <v>0</v>
      </c>
      <c r="AO321" s="56">
        <f t="shared" si="306"/>
        <v>0</v>
      </c>
      <c r="AP321" s="42">
        <f>'[1]побудинковий звіт'!AP321+'[2]побудинковий звіт'!AP321-'[3]побудинковий звіт'!AP321</f>
        <v>9943.6852503833234</v>
      </c>
      <c r="AQ321" s="42">
        <f>'[1]побудинковий звіт'!AQ321+'[2]побудинковий звіт'!AQ321-'[3]побудинковий звіт'!AQ321</f>
        <v>9785.3383927155846</v>
      </c>
      <c r="AR321" s="56">
        <f t="shared" si="307"/>
        <v>-158.34685766773873</v>
      </c>
      <c r="AS321" s="42">
        <f>'[1]побудинковий звіт'!AS321+'[2]побудинковий звіт'!AS321-'[3]побудинковий звіт'!AS321</f>
        <v>35703.925922525443</v>
      </c>
      <c r="AT321" s="42">
        <f>'[1]побудинковий звіт'!AT321+'[2]побудинковий звіт'!AT321-'[3]побудинковий звіт'!AT321</f>
        <v>8559</v>
      </c>
      <c r="AU321" s="58">
        <f t="shared" si="322"/>
        <v>-27144.925922525443</v>
      </c>
      <c r="AV321" s="42">
        <f>'[1]побудинковий звіт'!AV321+'[2]побудинковий звіт'!AV321-'[3]побудинковий звіт'!AV321</f>
        <v>2136.3301969187974</v>
      </c>
      <c r="AW321" s="42">
        <f>'[1]побудинковий звіт'!AW321+'[2]побудинковий звіт'!AW321-'[3]побудинковий звіт'!AW321</f>
        <v>408</v>
      </c>
      <c r="AX321" s="59">
        <f t="shared" si="323"/>
        <v>-1728.3301969187974</v>
      </c>
      <c r="AY321" s="42">
        <f>'[1]побудинковий звіт'!AY321+'[2]побудинковий звіт'!AY321-'[3]побудинковий звіт'!AY321</f>
        <v>3322.1713403248259</v>
      </c>
      <c r="AZ321" s="42">
        <f>'[1]побудинковий звіт'!AZ321+'[2]побудинковий звіт'!AZ321-'[3]побудинковий звіт'!AZ321</f>
        <v>8180</v>
      </c>
      <c r="BA321" s="37">
        <f t="shared" si="324"/>
        <v>4857.8286596751741</v>
      </c>
      <c r="BB321" s="42">
        <f>'[1]побудинковий звіт'!BB321+'[2]побудинковий звіт'!BB321-'[3]побудинковий звіт'!BB321</f>
        <v>1901.6462389546689</v>
      </c>
      <c r="BC321" s="42">
        <f>'[1]побудинковий звіт'!BC321+'[2]побудинковий звіт'!BC321-'[3]побудинковий звіт'!BC321</f>
        <v>0</v>
      </c>
      <c r="BD321" s="59">
        <f t="shared" si="325"/>
        <v>-1901.6462389546689</v>
      </c>
      <c r="BE321" s="42">
        <f>'[1]побудинковий звіт'!BE321+'[2]побудинковий звіт'!BE321-'[3]побудинковий звіт'!BE321</f>
        <v>0</v>
      </c>
      <c r="BF321" s="42">
        <f>'[1]побудинковий звіт'!BF321+'[2]побудинковий звіт'!BF321-'[3]побудинковий звіт'!BF321</f>
        <v>0</v>
      </c>
      <c r="BG321" s="39">
        <f t="shared" si="326"/>
        <v>0</v>
      </c>
      <c r="BH321" s="42">
        <f>'[1]побудинковий звіт'!BH321+'[2]побудинковий звіт'!BH321-'[3]побудинковий звіт'!BH321</f>
        <v>0</v>
      </c>
      <c r="BI321" s="42">
        <f>'[1]побудинковий звіт'!BI321+'[2]побудинковий звіт'!BI321-'[3]побудинковий звіт'!BI321</f>
        <v>0</v>
      </c>
      <c r="BJ321" s="59">
        <f t="shared" si="327"/>
        <v>0</v>
      </c>
      <c r="BK321" s="42">
        <f>'[1]побудинковий звіт'!BK321+'[2]побудинковий звіт'!BK321-'[3]побудинковий звіт'!BK321</f>
        <v>1046.5116147666126</v>
      </c>
      <c r="BL321" s="42">
        <f>'[1]побудинковий звіт'!BL321+'[2]побудинковий звіт'!BL321-'[3]побудинковий звіт'!BL321</f>
        <v>2747.1782810695913</v>
      </c>
      <c r="BM321" s="39">
        <f t="shared" si="328"/>
        <v>1700.6666663029787</v>
      </c>
      <c r="BN321" s="42">
        <f>'[1]побудинковий звіт'!BN321+'[2]побудинковий звіт'!BN321-'[3]побудинковий звіт'!BN321</f>
        <v>1205.3153536334314</v>
      </c>
      <c r="BO321" s="42">
        <f>'[1]побудинковий звіт'!BO321+'[2]побудинковий звіт'!BO321-'[3]побудинковий звіт'!BO321</f>
        <v>0</v>
      </c>
      <c r="BP321" s="59">
        <f t="shared" si="329"/>
        <v>-1205.3153536334314</v>
      </c>
      <c r="BQ321" s="87">
        <f t="shared" si="338"/>
        <v>9611.9747445983357</v>
      </c>
      <c r="BR321" s="43">
        <f t="shared" si="339"/>
        <v>11335.178281069591</v>
      </c>
      <c r="BS321" s="59">
        <f t="shared" si="330"/>
        <v>1723.2035364712556</v>
      </c>
      <c r="BT321" s="42">
        <f>'[1]побудинковий звіт'!BT321+'[2]побудинковий звіт'!BT321-'[3]побудинковий звіт'!BT321</f>
        <v>26185.239122697705</v>
      </c>
      <c r="BU321" s="42">
        <f>'[1]побудинковий звіт'!BU321+'[2]побудинковий звіт'!BU321-'[3]побудинковий звіт'!BU321</f>
        <v>37702.362684973166</v>
      </c>
      <c r="BV321" s="56">
        <f t="shared" si="308"/>
        <v>11517.123562275461</v>
      </c>
      <c r="BW321" s="42">
        <f>'[1]побудинковий звіт'!BW321+'[2]побудинковий звіт'!BW321-'[3]побудинковий звіт'!BW321</f>
        <v>17138.005175897935</v>
      </c>
      <c r="BX321" s="42">
        <f>'[1]побудинковий звіт'!BX321+'[2]побудинковий звіт'!BX321-'[3]побудинковий звіт'!BX321</f>
        <v>16714.376380250364</v>
      </c>
      <c r="BY321" s="56">
        <f t="shared" si="309"/>
        <v>-423.62879564757168</v>
      </c>
      <c r="BZ321" s="42">
        <f>'[1]побудинковий звіт'!BZ321+'[2]побудинковий звіт'!BZ321-'[3]побудинковий звіт'!BZ321</f>
        <v>11765.654210101062</v>
      </c>
      <c r="CA321" s="42">
        <f>'[1]побудинковий звіт'!CA321+'[2]побудинковий звіт'!CA321-'[3]побудинковий звіт'!CA321</f>
        <v>7101.8400060285876</v>
      </c>
      <c r="CB321" s="56">
        <f t="shared" si="310"/>
        <v>-4663.8142040724742</v>
      </c>
      <c r="CC321" s="42">
        <f>'[1]побудинковий звіт'!CC321+'[2]побудинковий звіт'!CC321-'[3]побудинковий звіт'!CC321</f>
        <v>867.69098857126426</v>
      </c>
      <c r="CD321" s="42">
        <f>'[1]побудинковий звіт'!CD321+'[2]побудинковий звіт'!CD321-'[3]побудинковий звіт'!CD321</f>
        <v>860.05940101276133</v>
      </c>
      <c r="CE321" s="56">
        <f t="shared" si="311"/>
        <v>-7.6315875585029289</v>
      </c>
      <c r="CF321" s="42">
        <f>'[1]побудинковий звіт'!CF321+'[2]побудинковий звіт'!CF321-'[3]побудинковий звіт'!CF321</f>
        <v>106.81801942638666</v>
      </c>
      <c r="CG321" s="42">
        <f>'[1]побудинковий звіт'!CG321+'[2]побудинковий звіт'!CG321-'[3]побудинковий звіт'!CG321</f>
        <v>0</v>
      </c>
      <c r="CH321" s="56">
        <f t="shared" si="312"/>
        <v>-106.81801942638666</v>
      </c>
      <c r="CI321" s="42">
        <f>'[1]побудинковий звіт'!CI321+'[2]побудинковий звіт'!CI321-'[3]побудинковий звіт'!CI321</f>
        <v>5858.5853804611379</v>
      </c>
      <c r="CJ321" s="42">
        <f>'[1]побудинковий звіт'!CJ321+'[2]побудинковий звіт'!CJ321-'[3]побудинковий звіт'!CJ321</f>
        <v>3827.428983041867</v>
      </c>
      <c r="CK321" s="56">
        <f t="shared" si="313"/>
        <v>-2031.1563974192709</v>
      </c>
      <c r="CL321" s="42">
        <f>'[1]побудинковий звіт'!CL321+'[2]побудинковий звіт'!CL321-'[3]побудинковий звіт'!CL321</f>
        <v>0</v>
      </c>
      <c r="CM321" s="42">
        <f>'[1]побудинковий звіт'!CM321+'[2]побудинковий звіт'!CM321-'[3]побудинковий звіт'!CM321</f>
        <v>0</v>
      </c>
      <c r="CN321" s="56">
        <f t="shared" si="314"/>
        <v>0</v>
      </c>
      <c r="CO321" s="42">
        <f t="shared" si="294"/>
        <v>5858.5853804611379</v>
      </c>
      <c r="CP321" s="43">
        <f t="shared" si="315"/>
        <v>3827.428983041867</v>
      </c>
      <c r="CQ321" s="56">
        <f t="shared" si="316"/>
        <v>-2031.1563974192709</v>
      </c>
      <c r="CR321" s="78">
        <f t="shared" si="295"/>
        <v>158689.21900651735</v>
      </c>
      <c r="CS321" s="5">
        <f t="shared" si="295"/>
        <v>130929.49125055944</v>
      </c>
      <c r="CT321" s="56">
        <f t="shared" si="317"/>
        <v>-27759.727755957909</v>
      </c>
      <c r="CU321" s="87">
        <f t="shared" si="318"/>
        <v>190427.06280782082</v>
      </c>
      <c r="CV321" s="70">
        <f t="shared" si="319"/>
        <v>157115.38950067133</v>
      </c>
      <c r="CW321" s="37">
        <f t="shared" si="320"/>
        <v>-33311.673307149496</v>
      </c>
      <c r="CX321" s="42">
        <f>'[1]побудинковий звіт'!CX321+'[2]побудинковий звіт'!CX321-'[3]побудинковий звіт'!CX321</f>
        <v>3873.6971921791501</v>
      </c>
      <c r="CY321" s="42">
        <f>'[1]побудинковий звіт'!CY321+'[2]побудинковий звіт'!CY321-'[3]побудинковий звіт'!CY321</f>
        <v>37185.370499328703</v>
      </c>
      <c r="CZ321" s="56">
        <f t="shared" si="321"/>
        <v>33311.673307149555</v>
      </c>
      <c r="DA321" s="264">
        <f>'[4]побудинковий звіт'!DA321</f>
        <v>-7770.0347366048154</v>
      </c>
      <c r="DB321" s="2">
        <v>1</v>
      </c>
      <c r="DC321" s="717">
        <f>'[4]побудинковий звіт'!DC321</f>
        <v>38049.25</v>
      </c>
      <c r="DD321" s="717">
        <f>'[4]побудинковий звіт'!DD321</f>
        <v>0</v>
      </c>
      <c r="DE321" s="717">
        <f>'[4]побудинковий звіт'!DE321</f>
        <v>21856.400000000001</v>
      </c>
      <c r="DF321" s="717">
        <f>'[4]побудинковий звіт'!DF321</f>
        <v>0</v>
      </c>
      <c r="DG321" s="787">
        <v>-43482.446078907116</v>
      </c>
      <c r="DH321" s="761">
        <f t="shared" si="290"/>
        <v>2331609.1199999996</v>
      </c>
      <c r="DI321" s="784"/>
      <c r="DJ321" s="5"/>
      <c r="DK321" s="317">
        <f>VLOOKUP($A321,ціни!$A$4:$G$401,5)</f>
        <v>5.0739162843374102</v>
      </c>
      <c r="DL321" s="317"/>
      <c r="DM321" s="317">
        <f>VLOOKUP($A321,ціни!$A$4:$G$401,7)</f>
        <v>4.5259470896596294</v>
      </c>
      <c r="DN321" s="30">
        <f t="shared" si="332"/>
        <v>5649.2983909812729</v>
      </c>
      <c r="DO321" s="30">
        <f t="shared" si="334"/>
        <v>0</v>
      </c>
      <c r="DP321" s="316">
        <f t="shared" si="335"/>
        <v>5649.2983909812729</v>
      </c>
      <c r="DQ321" s="104"/>
      <c r="DR321" s="30">
        <f>VLOOKUP(A321,'ДЗ нас '!$A$1:$C$359,2)</f>
        <v>16192.85</v>
      </c>
      <c r="DS321" s="748"/>
      <c r="DT321" s="30">
        <f t="shared" si="336"/>
        <v>16192.85</v>
      </c>
      <c r="DU321" s="257">
        <f>VLOOKUP(A321,'новий кошторис с 01.06'!$A$4:$AI$399,35)*1.2</f>
        <v>16249.77602626738</v>
      </c>
      <c r="DV321" s="30">
        <f t="shared" si="337"/>
        <v>-56.926026267379711</v>
      </c>
      <c r="DW321" s="930">
        <f>'[5]побудинковий звіт'!DW321+'[6]побудинковий звіт'!DW321</f>
        <v>202</v>
      </c>
      <c r="DY321" s="5">
        <f t="shared" ref="DY321:DY367" si="340">(AS321+BQ321)*1.2</f>
        <v>54379.080800548538</v>
      </c>
      <c r="DZ321" s="5">
        <f t="shared" ref="DZ321:DZ367" si="341">(AT321+BR321)*1.2</f>
        <v>23873.013937283507</v>
      </c>
      <c r="EA321" s="752">
        <f t="shared" si="291"/>
        <v>21856.400000000001</v>
      </c>
      <c r="EC321" s="592">
        <f t="shared" ref="EC321:EC367" si="342">AS321*12</f>
        <v>428447.11107030534</v>
      </c>
      <c r="EE321" s="758">
        <v>59741</v>
      </c>
      <c r="EF321" s="738">
        <f t="shared" ref="EF321:EF367" si="343">EE321+DG321</f>
        <v>16258.553921092884</v>
      </c>
      <c r="EH321" s="813">
        <v>15230.244711017724</v>
      </c>
    </row>
    <row r="322" spans="1:138" x14ac:dyDescent="0.3">
      <c r="A322" s="328">
        <v>150000871</v>
      </c>
      <c r="B322" s="44" t="s">
        <v>775</v>
      </c>
      <c r="C322" s="45" t="s">
        <v>140</v>
      </c>
      <c r="D322" s="45" t="s">
        <v>140</v>
      </c>
      <c r="E322" s="40">
        <f t="shared" si="292"/>
        <v>3517.1</v>
      </c>
      <c r="F322" s="490">
        <v>3517.1</v>
      </c>
      <c r="G322" s="30"/>
      <c r="H322" s="30">
        <v>0</v>
      </c>
      <c r="I322" s="42">
        <f>'[1]побудинковий звіт'!I322+'[2]побудинковий звіт'!I322-'[3]побудинковий звіт'!I322</f>
        <v>0</v>
      </c>
      <c r="J322" s="42">
        <f>'[1]побудинковий звіт'!J322+'[2]побудинковий звіт'!J322-'[3]побудинковий звіт'!J322</f>
        <v>0</v>
      </c>
      <c r="K322" s="56">
        <f t="shared" si="296"/>
        <v>0</v>
      </c>
      <c r="L322" s="42">
        <f>'[1]побудинковий звіт'!L322+'[2]побудинковий звіт'!L322-'[3]побудинковий звіт'!L322</f>
        <v>0</v>
      </c>
      <c r="M322" s="42">
        <f>'[1]побудинковий звіт'!M322+'[2]побудинковий звіт'!M322-'[3]побудинковий звіт'!M322</f>
        <v>0</v>
      </c>
      <c r="N322" s="56">
        <f t="shared" si="297"/>
        <v>0</v>
      </c>
      <c r="O322" s="42">
        <f>'[1]побудинковий звіт'!O322+'[2]побудинковий звіт'!O322-'[3]побудинковий звіт'!O322</f>
        <v>0</v>
      </c>
      <c r="P322" s="42">
        <f>'[1]побудинковий звіт'!P322+'[2]побудинковий звіт'!P322-'[3]побудинковий звіт'!P322</f>
        <v>0</v>
      </c>
      <c r="Q322" s="56">
        <f t="shared" si="298"/>
        <v>0</v>
      </c>
      <c r="R322" s="42">
        <f>'[1]побудинковий звіт'!R322+'[2]побудинковий звіт'!R322-'[3]побудинковий звіт'!R322</f>
        <v>0</v>
      </c>
      <c r="S322" s="42">
        <f>'[1]побудинковий звіт'!S322+'[2]побудинковий звіт'!S322-'[3]побудинковий звіт'!S322</f>
        <v>0</v>
      </c>
      <c r="T322" s="56">
        <f t="shared" si="299"/>
        <v>0</v>
      </c>
      <c r="U322" s="42">
        <f>'[1]побудинковий звіт'!U322+'[2]побудинковий звіт'!U322-'[3]побудинковий звіт'!U322</f>
        <v>0</v>
      </c>
      <c r="V322" s="42">
        <f>'[1]побудинковий звіт'!V322+'[2]побудинковий звіт'!V322-'[3]побудинковий звіт'!V322</f>
        <v>0</v>
      </c>
      <c r="W322" s="56">
        <f t="shared" si="300"/>
        <v>0</v>
      </c>
      <c r="X322" s="42">
        <f>'[1]побудинковий звіт'!X322+'[2]побудинковий звіт'!X322-'[3]побудинковий звіт'!X322</f>
        <v>0</v>
      </c>
      <c r="Y322" s="42">
        <f>'[1]побудинковий звіт'!Y322+'[2]побудинковий звіт'!Y322-'[3]побудинковий звіт'!Y322</f>
        <v>0</v>
      </c>
      <c r="Z322" s="56">
        <f t="shared" si="301"/>
        <v>0</v>
      </c>
      <c r="AA322" s="42">
        <f>'[1]побудинковий звіт'!AA322+'[2]побудинковий звіт'!AA322-'[3]побудинковий звіт'!AA322</f>
        <v>0</v>
      </c>
      <c r="AB322" s="42">
        <f>'[1]побудинковий звіт'!AB322+'[2]побудинковий звіт'!AB322-'[3]побудинковий звіт'!AB322</f>
        <v>0</v>
      </c>
      <c r="AC322" s="56">
        <f t="shared" si="302"/>
        <v>0</v>
      </c>
      <c r="AD322" s="42">
        <f>'[1]побудинковий звіт'!AD322+'[2]побудинковий звіт'!AD322-'[3]побудинковий звіт'!AD322</f>
        <v>0</v>
      </c>
      <c r="AE322" s="42">
        <f>'[1]побудинковий звіт'!AE322+'[2]побудинковий звіт'!AE322-'[3]побудинковий звіт'!AE322</f>
        <v>101.64981160185485</v>
      </c>
      <c r="AF322" s="37">
        <f t="shared" si="303"/>
        <v>101.64981160185485</v>
      </c>
      <c r="AG322" s="87">
        <f t="shared" si="293"/>
        <v>0</v>
      </c>
      <c r="AH322" s="57">
        <f t="shared" si="293"/>
        <v>101.64981160185485</v>
      </c>
      <c r="AI322" s="56">
        <f t="shared" si="304"/>
        <v>101.64981160185485</v>
      </c>
      <c r="AJ322" s="42">
        <f>'[1]побудинковий звіт'!AJ322+'[2]побудинковий звіт'!AJ322-'[3]побудинковий звіт'!AJ322</f>
        <v>0</v>
      </c>
      <c r="AK322" s="42">
        <f>'[1]побудинковий звіт'!AK322+'[2]побудинковий звіт'!AK322-'[3]побудинковий звіт'!AK322</f>
        <v>0</v>
      </c>
      <c r="AL322" s="56">
        <f t="shared" si="305"/>
        <v>0</v>
      </c>
      <c r="AM322" s="42">
        <f>'[1]побудинковий звіт'!AM322+'[2]побудинковий звіт'!AM322-'[3]побудинковий звіт'!AM322</f>
        <v>0</v>
      </c>
      <c r="AN322" s="42">
        <f>'[1]побудинковий звіт'!AN322+'[2]побудинковий звіт'!AN322-'[3]побудинковий звіт'!AN322</f>
        <v>0</v>
      </c>
      <c r="AO322" s="56">
        <f t="shared" si="306"/>
        <v>0</v>
      </c>
      <c r="AP322" s="42">
        <f>'[1]побудинковий звіт'!AP322+'[2]побудинковий звіт'!AP322-'[3]побудинковий звіт'!AP322</f>
        <v>284.10529286809492</v>
      </c>
      <c r="AQ322" s="42">
        <f>'[1]побудинковий звіт'!AQ322+'[2]побудинковий звіт'!AQ322-'[3]побудинковий звіт'!AQ322</f>
        <v>95.761445792828511</v>
      </c>
      <c r="AR322" s="56">
        <f t="shared" si="307"/>
        <v>-188.34384707526641</v>
      </c>
      <c r="AS322" s="42">
        <f>'[1]побудинковий звіт'!AS322+'[2]побудинковий звіт'!AS322-'[3]побудинковий звіт'!AS322</f>
        <v>2230.0267930443974</v>
      </c>
      <c r="AT322" s="42">
        <f>'[1]побудинковий звіт'!AT322+'[2]побудинковий звіт'!AT322-'[3]побудинковий звіт'!AT322</f>
        <v>0</v>
      </c>
      <c r="AU322" s="58">
        <f t="shared" si="322"/>
        <v>-2230.0267930443974</v>
      </c>
      <c r="AV322" s="42">
        <f>'[1]побудинковий звіт'!AV322+'[2]побудинковий звіт'!AV322-'[3]побудинковий звіт'!AV322</f>
        <v>0</v>
      </c>
      <c r="AW322" s="42">
        <f>'[1]побудинковий звіт'!AW322+'[2]побудинковий звіт'!AW322-'[3]побудинковий звіт'!AW322</f>
        <v>0</v>
      </c>
      <c r="AX322" s="59">
        <f t="shared" si="323"/>
        <v>0</v>
      </c>
      <c r="AY322" s="42">
        <f>'[1]побудинковий звіт'!AY322+'[2]побудинковий звіт'!AY322-'[3]побудинковий звіт'!AY322</f>
        <v>0</v>
      </c>
      <c r="AZ322" s="42">
        <f>'[1]побудинковий звіт'!AZ322+'[2]побудинковий звіт'!AZ322-'[3]побудинковий звіт'!AZ322</f>
        <v>0</v>
      </c>
      <c r="BA322" s="37">
        <f t="shared" si="324"/>
        <v>0</v>
      </c>
      <c r="BB322" s="42">
        <f>'[1]побудинковий звіт'!BB322+'[2]побудинковий звіт'!BB322-'[3]побудинковий звіт'!BB322</f>
        <v>0</v>
      </c>
      <c r="BC322" s="42">
        <f>'[1]побудинковий звіт'!BC322+'[2]побудинковий звіт'!BC322-'[3]побудинковий звіт'!BC322</f>
        <v>0</v>
      </c>
      <c r="BD322" s="59">
        <f t="shared" si="325"/>
        <v>0</v>
      </c>
      <c r="BE322" s="42">
        <f>'[1]побудинковий звіт'!BE322+'[2]побудинковий звіт'!BE322-'[3]побудинковий звіт'!BE322</f>
        <v>0</v>
      </c>
      <c r="BF322" s="42">
        <f>'[1]побудинковий звіт'!BF322+'[2]побудинковий звіт'!BF322-'[3]побудинковий звіт'!BF322</f>
        <v>0</v>
      </c>
      <c r="BG322" s="39">
        <f t="shared" si="326"/>
        <v>0</v>
      </c>
      <c r="BH322" s="42">
        <f>'[1]побудинковий звіт'!BH322+'[2]побудинковий звіт'!BH322-'[3]побудинковий звіт'!BH322</f>
        <v>0</v>
      </c>
      <c r="BI322" s="42">
        <f>'[1]побудинковий звіт'!BI322+'[2]побудинковий звіт'!BI322-'[3]побудинковий звіт'!BI322</f>
        <v>0</v>
      </c>
      <c r="BJ322" s="59">
        <f t="shared" si="327"/>
        <v>0</v>
      </c>
      <c r="BK322" s="42">
        <f>'[1]побудинковий звіт'!BK322+'[2]побудинковий звіт'!BK322-'[3]побудинковий звіт'!BK322</f>
        <v>0</v>
      </c>
      <c r="BL322" s="42">
        <f>'[1]побудинковий звіт'!BL322+'[2]побудинковий звіт'!BL322-'[3]побудинковий звіт'!BL322</f>
        <v>0</v>
      </c>
      <c r="BM322" s="39">
        <f t="shared" si="328"/>
        <v>0</v>
      </c>
      <c r="BN322" s="42">
        <f>'[1]побудинковий звіт'!BN322+'[2]побудинковий звіт'!BN322-'[3]побудинковий звіт'!BN322</f>
        <v>0</v>
      </c>
      <c r="BO322" s="42">
        <f>'[1]побудинковий звіт'!BO322+'[2]побудинковий звіт'!BO322-'[3]побудинковий звіт'!BO322</f>
        <v>0</v>
      </c>
      <c r="BP322" s="59">
        <f t="shared" si="329"/>
        <v>0</v>
      </c>
      <c r="BQ322" s="87">
        <f t="shared" si="338"/>
        <v>0</v>
      </c>
      <c r="BR322" s="43">
        <f t="shared" si="339"/>
        <v>0</v>
      </c>
      <c r="BS322" s="59">
        <f t="shared" si="330"/>
        <v>0</v>
      </c>
      <c r="BT322" s="42">
        <f>'[1]побудинковий звіт'!BT322+'[2]побудинковий звіт'!BT322-'[3]побудинковий звіт'!BT322</f>
        <v>0</v>
      </c>
      <c r="BU322" s="42">
        <f>'[1]побудинковий звіт'!BU322+'[2]побудинковий звіт'!BU322-'[3]побудинковий звіт'!BU322</f>
        <v>0</v>
      </c>
      <c r="BV322" s="56">
        <f t="shared" si="308"/>
        <v>0</v>
      </c>
      <c r="BW322" s="42">
        <f>'[1]побудинковий звіт'!BW322+'[2]побудинковий звіт'!BW322-'[3]побудинковий звіт'!BW322</f>
        <v>0</v>
      </c>
      <c r="BX322" s="42">
        <f>'[1]побудинковий звіт'!BX322+'[2]побудинковий звіт'!BX322-'[3]побудинковий звіт'!BX322</f>
        <v>4.9157727952821446</v>
      </c>
      <c r="BY322" s="56">
        <f t="shared" si="309"/>
        <v>4.9157727952821446</v>
      </c>
      <c r="BZ322" s="42">
        <f>'[1]побудинковий звіт'!BZ322+'[2]побудинковий звіт'!BZ322-'[3]побудинковий звіт'!BZ322</f>
        <v>0</v>
      </c>
      <c r="CA322" s="42">
        <f>'[1]побудинковий звіт'!CA322+'[2]побудинковий звіт'!CA322-'[3]побудинковий звіт'!CA322</f>
        <v>0</v>
      </c>
      <c r="CB322" s="56">
        <f t="shared" si="310"/>
        <v>0</v>
      </c>
      <c r="CC322" s="42">
        <f>'[1]побудинковий звіт'!CC322+'[2]побудинковий звіт'!CC322-'[3]побудинковий звіт'!CC322</f>
        <v>0</v>
      </c>
      <c r="CD322" s="42">
        <f>'[1]побудинковий звіт'!CD322+'[2]побудинковий звіт'!CD322-'[3]побудинковий звіт'!CD322</f>
        <v>0</v>
      </c>
      <c r="CE322" s="56">
        <f t="shared" si="311"/>
        <v>0</v>
      </c>
      <c r="CF322" s="42">
        <f>'[1]побудинковий звіт'!CF322+'[2]побудинковий звіт'!CF322-'[3]побудинковий звіт'!CF322</f>
        <v>0</v>
      </c>
      <c r="CG322" s="42">
        <f>'[1]побудинковий звіт'!CG322+'[2]побудинковий звіт'!CG322-'[3]побудинковий звіт'!CG322</f>
        <v>0</v>
      </c>
      <c r="CH322" s="56">
        <f t="shared" si="312"/>
        <v>0</v>
      </c>
      <c r="CI322" s="42">
        <f>'[1]побудинковий звіт'!CI322+'[2]побудинковий звіт'!CI322-'[3]побудинковий звіт'!CI322</f>
        <v>0</v>
      </c>
      <c r="CJ322" s="42">
        <f>'[1]побудинковий звіт'!CJ322+'[2]побудинковий звіт'!CJ322-'[3]побудинковий звіт'!CJ322</f>
        <v>0</v>
      </c>
      <c r="CK322" s="56">
        <f t="shared" si="313"/>
        <v>0</v>
      </c>
      <c r="CL322" s="42">
        <f>'[1]побудинковий звіт'!CL322+'[2]побудинковий звіт'!CL322-'[3]побудинковий звіт'!CL322</f>
        <v>0</v>
      </c>
      <c r="CM322" s="42">
        <f>'[1]побудинковий звіт'!CM322+'[2]побудинковий звіт'!CM322-'[3]побудинковий звіт'!CM322</f>
        <v>0</v>
      </c>
      <c r="CN322" s="56">
        <f t="shared" si="314"/>
        <v>0</v>
      </c>
      <c r="CO322" s="42">
        <f t="shared" si="294"/>
        <v>0</v>
      </c>
      <c r="CP322" s="43">
        <f t="shared" si="315"/>
        <v>0</v>
      </c>
      <c r="CQ322" s="56">
        <f t="shared" si="316"/>
        <v>0</v>
      </c>
      <c r="CR322" s="78">
        <f t="shared" si="295"/>
        <v>2514.1320859124926</v>
      </c>
      <c r="CS322" s="5">
        <f t="shared" si="295"/>
        <v>202.32703018996551</v>
      </c>
      <c r="CT322" s="56">
        <f t="shared" si="317"/>
        <v>-2311.805055722527</v>
      </c>
      <c r="CU322" s="87">
        <f t="shared" si="318"/>
        <v>3016.9585030949911</v>
      </c>
      <c r="CV322" s="70">
        <f t="shared" si="319"/>
        <v>242.7924362279586</v>
      </c>
      <c r="CW322" s="37">
        <f t="shared" si="320"/>
        <v>-2774.1660668670324</v>
      </c>
      <c r="CX322" s="42">
        <f>'[1]побудинковий звіт'!CX322+'[2]побудинковий звіт'!CX322-'[3]побудинковий звіт'!CX322</f>
        <v>75.321496905009894</v>
      </c>
      <c r="CY322" s="42">
        <f>'[1]побудинковий звіт'!CY322+'[2]побудинковий звіт'!CY322-'[3]побудинковий звіт'!CY322</f>
        <v>2849.4875637720411</v>
      </c>
      <c r="CZ322" s="56">
        <f t="shared" si="321"/>
        <v>2774.1660668670311</v>
      </c>
      <c r="DA322" s="264">
        <f>'[4]побудинковий звіт'!DA322</f>
        <v>-7168.7863620074813</v>
      </c>
      <c r="DB322" s="2">
        <v>2</v>
      </c>
      <c r="DC322" s="717">
        <f>'[4]побудинковий звіт'!DC322</f>
        <v>174.19</v>
      </c>
      <c r="DD322" s="717">
        <f>'[4]побудинковий звіт'!DD322</f>
        <v>0</v>
      </c>
      <c r="DE322" s="717">
        <f>'[4]побудинковий звіт'!DE322</f>
        <v>-83.5</v>
      </c>
      <c r="DF322" s="717">
        <f>'[4]побудинковий звіт'!DF322</f>
        <v>0</v>
      </c>
      <c r="DG322" s="787">
        <v>-3219.5141914928699</v>
      </c>
      <c r="DH322" s="761">
        <f t="shared" ref="DH322:DH367" si="344">(CU322+CX322)*12</f>
        <v>37107.360000000015</v>
      </c>
      <c r="DI322" s="784"/>
      <c r="DJ322" s="5"/>
      <c r="DK322" s="317">
        <f>VLOOKUP($A322,ціни!$A$4:$G$401,5)</f>
        <v>1.6887191271692688</v>
      </c>
      <c r="DL322" s="317"/>
      <c r="DM322" s="317">
        <f>VLOOKUP($A322,ціни!$A$4:$G$401,7)</f>
        <v>1.6887191271692688</v>
      </c>
      <c r="DN322" s="30">
        <f t="shared" si="332"/>
        <v>5939.394042167035</v>
      </c>
      <c r="DO322" s="30">
        <f t="shared" si="334"/>
        <v>0</v>
      </c>
      <c r="DP322" s="316">
        <f t="shared" si="335"/>
        <v>5939.394042167035</v>
      </c>
      <c r="DQ322" s="104"/>
      <c r="DR322" s="30">
        <f>VLOOKUP(A322,'ДЗ нас '!$A$1:$C$359,2)</f>
        <v>257.69</v>
      </c>
      <c r="DS322" s="748"/>
      <c r="DT322" s="30">
        <f t="shared" si="336"/>
        <v>257.69</v>
      </c>
      <c r="DU322" s="257">
        <f>VLOOKUP(A322,'новий кошторис с 01.06'!$A$4:$AI$399,35)*1.2</f>
        <v>258.95560484898664</v>
      </c>
      <c r="DV322" s="30">
        <f t="shared" si="337"/>
        <v>-1.2656048489866407</v>
      </c>
      <c r="DW322" s="930">
        <f>'[5]побудинковий звіт'!DW322+'[6]побудинковий звіт'!DW322</f>
        <v>0</v>
      </c>
      <c r="DY322" s="5">
        <f t="shared" si="340"/>
        <v>2676.0321516532767</v>
      </c>
      <c r="DZ322" s="5">
        <f t="shared" si="341"/>
        <v>0</v>
      </c>
      <c r="EA322" s="752">
        <f t="shared" ref="EA322:EA367" si="345">DE322+DF322</f>
        <v>-83.5</v>
      </c>
      <c r="EC322" s="592">
        <f t="shared" si="342"/>
        <v>26760.321516532771</v>
      </c>
      <c r="EE322" s="758">
        <v>-665</v>
      </c>
      <c r="EF322" s="738">
        <f t="shared" si="343"/>
        <v>-3884.5141914928699</v>
      </c>
      <c r="EH322" s="813">
        <v>-4774.7330190204666</v>
      </c>
    </row>
    <row r="323" spans="1:138" x14ac:dyDescent="0.3">
      <c r="A323" s="328">
        <v>150000886</v>
      </c>
      <c r="B323" s="44" t="s">
        <v>776</v>
      </c>
      <c r="C323" s="45" t="s">
        <v>396</v>
      </c>
      <c r="D323" s="45" t="s">
        <v>396</v>
      </c>
      <c r="E323" s="40">
        <f t="shared" si="292"/>
        <v>2278.4</v>
      </c>
      <c r="F323" s="490">
        <v>2278.4</v>
      </c>
      <c r="G323" s="30">
        <v>0</v>
      </c>
      <c r="H323" s="30">
        <v>0</v>
      </c>
      <c r="I323" s="42">
        <f>'[1]побудинковий звіт'!I323+'[2]побудинковий звіт'!I323-'[3]побудинковий звіт'!I323</f>
        <v>6848.5487103924706</v>
      </c>
      <c r="J323" s="42">
        <f>'[1]побудинковий звіт'!J323+'[2]побудинковий звіт'!J323-'[3]побудинковий звіт'!J323</f>
        <v>6857.6143327303944</v>
      </c>
      <c r="K323" s="56">
        <f t="shared" si="296"/>
        <v>9.0656223379237417</v>
      </c>
      <c r="L323" s="42">
        <f>'[1]побудинковий звіт'!L323+'[2]побудинковий звіт'!L323-'[3]побудинковий звіт'!L323</f>
        <v>995.10252653307373</v>
      </c>
      <c r="M323" s="42">
        <f>'[1]побудинковий звіт'!M323+'[2]побудинковий звіт'!M323-'[3]побудинковий звіт'!M323</f>
        <v>1004.0115591077287</v>
      </c>
      <c r="N323" s="56">
        <f t="shared" si="297"/>
        <v>8.9090325746549297</v>
      </c>
      <c r="O323" s="42">
        <f>'[1]побудинковий звіт'!O323+'[2]побудинковий звіт'!O323-'[3]побудинковий звіт'!O323</f>
        <v>2886.48</v>
      </c>
      <c r="P323" s="42">
        <f>'[1]побудинковий звіт'!P323+'[2]побудинковий звіт'!P323-'[3]побудинковий звіт'!P323</f>
        <v>2268.8192290053762</v>
      </c>
      <c r="Q323" s="56">
        <f t="shared" si="298"/>
        <v>-617.66077099462382</v>
      </c>
      <c r="R323" s="42">
        <f>'[1]побудинковий звіт'!R323+'[2]побудинковий звіт'!R323-'[3]побудинковий звіт'!R323</f>
        <v>730.56000000000006</v>
      </c>
      <c r="S323" s="42">
        <f>'[1]побудинковий звіт'!S323+'[2]побудинковий звіт'!S323-'[3]побудинковий звіт'!S323</f>
        <v>574.11017774193556</v>
      </c>
      <c r="T323" s="56">
        <f t="shared" si="299"/>
        <v>-156.4498222580645</v>
      </c>
      <c r="U323" s="42">
        <f>'[1]побудинковий звіт'!U323+'[2]побудинковий звіт'!U323-'[3]побудинковий звіт'!U323</f>
        <v>390.17454427986797</v>
      </c>
      <c r="V323" s="42">
        <f>'[1]побудинковий звіт'!V323+'[2]побудинковий звіт'!V323-'[3]побудинковий звіт'!V323</f>
        <v>1040.8835722149281</v>
      </c>
      <c r="W323" s="56">
        <f t="shared" si="300"/>
        <v>650.70902793506013</v>
      </c>
      <c r="X323" s="42">
        <f>'[1]побудинковий звіт'!X323+'[2]побудинковий звіт'!X323-'[3]побудинковий звіт'!X323</f>
        <v>4026.9231051092593</v>
      </c>
      <c r="Y323" s="42">
        <f>'[1]побудинковий звіт'!Y323+'[2]побудинковий звіт'!Y323-'[3]побудинковий звіт'!Y323</f>
        <v>2884.9757517394792</v>
      </c>
      <c r="Z323" s="56">
        <f t="shared" si="301"/>
        <v>-1141.9473533697801</v>
      </c>
      <c r="AA323" s="42">
        <f>'[1]побудинковий звіт'!AA323+'[2]побудинковий звіт'!AA323-'[3]побудинковий звіт'!AA323</f>
        <v>0</v>
      </c>
      <c r="AB323" s="42">
        <f>'[1]побудинковий звіт'!AB323+'[2]побудинковий звіт'!AB323-'[3]побудинковий звіт'!AB323</f>
        <v>0</v>
      </c>
      <c r="AC323" s="56">
        <f t="shared" si="302"/>
        <v>0</v>
      </c>
      <c r="AD323" s="42">
        <f>'[1]побудинковий звіт'!AD323+'[2]побудинковий звіт'!AD323-'[3]побудинковий звіт'!AD323</f>
        <v>9121.503134838149</v>
      </c>
      <c r="AE323" s="42">
        <f>'[1]побудинковий звіт'!AE323+'[2]побудинковий звіт'!AE323-'[3]побудинковий звіт'!AE323</f>
        <v>8407.7411853219328</v>
      </c>
      <c r="AF323" s="37">
        <f t="shared" si="303"/>
        <v>-713.76194951621619</v>
      </c>
      <c r="AG323" s="87">
        <f t="shared" si="293"/>
        <v>24999.292021152818</v>
      </c>
      <c r="AH323" s="57">
        <f t="shared" si="293"/>
        <v>23038.155807861775</v>
      </c>
      <c r="AI323" s="56">
        <f t="shared" si="304"/>
        <v>-1961.1362132910435</v>
      </c>
      <c r="AJ323" s="42">
        <f>'[1]побудинковий звіт'!AJ323+'[2]побудинковий звіт'!AJ323-'[3]побудинковий звіт'!AJ323</f>
        <v>28804.533191789385</v>
      </c>
      <c r="AK323" s="42">
        <f>'[1]побудинковий звіт'!AK323+'[2]побудинковий звіт'!AK323-'[3]побудинковий звіт'!AK323</f>
        <v>28551.178936404576</v>
      </c>
      <c r="AL323" s="56">
        <f t="shared" si="305"/>
        <v>-253.35425538480922</v>
      </c>
      <c r="AM323" s="42">
        <f>'[1]побудинковий звіт'!AM323+'[2]побудинковий звіт'!AM323-'[3]побудинковий звіт'!AM323</f>
        <v>0</v>
      </c>
      <c r="AN323" s="42">
        <f>'[1]побудинковий звіт'!AN323+'[2]побудинковий звіт'!AN323-'[3]побудинковий звіт'!AN323</f>
        <v>0</v>
      </c>
      <c r="AO323" s="56">
        <f t="shared" si="306"/>
        <v>0</v>
      </c>
      <c r="AP323" s="42">
        <f>'[1]побудинковий звіт'!AP323+'[2]побудинковий звіт'!AP323-'[3]побудинковий звіт'!AP323</f>
        <v>2272.8423429447594</v>
      </c>
      <c r="AQ323" s="42">
        <f>'[1]побудинковий звіт'!AQ323+'[2]побудинковий звіт'!AQ323-'[3]побудинковий звіт'!AQ323</f>
        <v>4072.8897314321302</v>
      </c>
      <c r="AR323" s="56">
        <f t="shared" si="307"/>
        <v>1800.0473884873709</v>
      </c>
      <c r="AS323" s="42">
        <f>'[1]побудинковий звіт'!AS323+'[2]побудинковий звіт'!AS323-'[3]побудинковий звіт'!AS323</f>
        <v>31516.637539694566</v>
      </c>
      <c r="AT323" s="42">
        <f>'[1]побудинковий звіт'!AT323+'[2]побудинковий звіт'!AT323-'[3]побудинковий звіт'!AT323</f>
        <v>19964.89449593929</v>
      </c>
      <c r="AU323" s="58">
        <f t="shared" si="322"/>
        <v>-11551.743043755276</v>
      </c>
      <c r="AV323" s="42">
        <f>'[1]побудинковий звіт'!AV323+'[2]побудинковий звіт'!AV323-'[3]побудинковий звіт'!AV323</f>
        <v>432.87177683302195</v>
      </c>
      <c r="AW323" s="42">
        <f>'[1]побудинковий звіт'!AW323+'[2]побудинковий звіт'!AW323-'[3]побудинковий звіт'!AW323</f>
        <v>0</v>
      </c>
      <c r="AX323" s="59">
        <f t="shared" si="323"/>
        <v>-432.87177683302195</v>
      </c>
      <c r="AY323" s="42">
        <f>'[1]побудинковий звіт'!AY323+'[2]побудинковий звіт'!AY323-'[3]побудинковий звіт'!AY323</f>
        <v>509.23686020386782</v>
      </c>
      <c r="AZ323" s="42">
        <f>'[1]побудинковий звіт'!AZ323+'[2]побудинковий звіт'!AZ323-'[3]побудинковий звіт'!AZ323</f>
        <v>0</v>
      </c>
      <c r="BA323" s="37">
        <f t="shared" si="324"/>
        <v>-509.23686020386782</v>
      </c>
      <c r="BB323" s="42">
        <f>'[1]побудинковий звіт'!BB323+'[2]побудинковий звіт'!BB323-'[3]побудинковий звіт'!BB323</f>
        <v>656.9664998190334</v>
      </c>
      <c r="BC323" s="42">
        <f>'[1]побудинковий звіт'!BC323+'[2]побудинковий звіт'!BC323-'[3]побудинковий звіт'!BC323</f>
        <v>4391</v>
      </c>
      <c r="BD323" s="59">
        <f t="shared" si="325"/>
        <v>3734.0335001809667</v>
      </c>
      <c r="BE323" s="42">
        <f>'[1]побудинковий звіт'!BE323+'[2]побудинковий звіт'!BE323-'[3]побудинковий звіт'!BE323</f>
        <v>346.11677269454282</v>
      </c>
      <c r="BF323" s="42">
        <f>'[1]побудинковий звіт'!BF323+'[2]побудинковий звіт'!BF323-'[3]побудинковий звіт'!BF323</f>
        <v>0</v>
      </c>
      <c r="BG323" s="39">
        <f t="shared" si="326"/>
        <v>-346.11677269454282</v>
      </c>
      <c r="BH323" s="42">
        <f>'[1]побудинковий звіт'!BH323+'[2]побудинковий звіт'!BH323-'[3]побудинковий звіт'!BH323</f>
        <v>158.30696475691875</v>
      </c>
      <c r="BI323" s="42">
        <f>'[1]побудинковий звіт'!BI323+'[2]побудинковий звіт'!BI323-'[3]побудинковий звіт'!BI323</f>
        <v>0</v>
      </c>
      <c r="BJ323" s="59">
        <f t="shared" si="327"/>
        <v>-158.30696475691875</v>
      </c>
      <c r="BK323" s="42">
        <f>'[1]побудинковий звіт'!BK323+'[2]побудинковий звіт'!BK323-'[3]побудинковий звіт'!BK323</f>
        <v>318.64338832935732</v>
      </c>
      <c r="BL323" s="42">
        <f>'[1]побудинковий звіт'!BL323+'[2]побудинковий звіт'!BL323-'[3]побудинковий звіт'!BL323</f>
        <v>143</v>
      </c>
      <c r="BM323" s="39">
        <f t="shared" si="328"/>
        <v>-175.64338832935732</v>
      </c>
      <c r="BN323" s="42">
        <f>'[1]побудинковий звіт'!BN323+'[2]побудинковий звіт'!BN323-'[3]побудинковий звіт'!BN323</f>
        <v>0</v>
      </c>
      <c r="BO323" s="42">
        <f>'[1]побудинковий звіт'!BO323+'[2]побудинковий звіт'!BO323-'[3]побудинковий звіт'!BO323</f>
        <v>0</v>
      </c>
      <c r="BP323" s="59">
        <f t="shared" si="329"/>
        <v>0</v>
      </c>
      <c r="BQ323" s="87">
        <f t="shared" si="338"/>
        <v>2422.1422626367421</v>
      </c>
      <c r="BR323" s="43">
        <f t="shared" si="339"/>
        <v>4534</v>
      </c>
      <c r="BS323" s="59">
        <f t="shared" si="330"/>
        <v>2111.8577373632579</v>
      </c>
      <c r="BT323" s="42">
        <f>'[1]побудинковий звіт'!BT323+'[2]побудинковий звіт'!BT323-'[3]побудинковий звіт'!BT323</f>
        <v>42270.553804429939</v>
      </c>
      <c r="BU323" s="42">
        <f>'[1]побудинковий звіт'!BU323+'[2]побудинковий звіт'!BU323-'[3]побудинковий звіт'!BU323</f>
        <v>42583.987732532267</v>
      </c>
      <c r="BV323" s="56">
        <f t="shared" si="308"/>
        <v>313.43392810232763</v>
      </c>
      <c r="BW323" s="42">
        <f>'[1]побудинковий звіт'!BW323+'[2]побудинковий звіт'!BW323-'[3]побудинковий звіт'!BW323</f>
        <v>19306.819854607755</v>
      </c>
      <c r="BX323" s="42">
        <f>'[1]побудинковий звіт'!BX323+'[2]побудинковий звіт'!BX323-'[3]побудинковий звіт'!BX323</f>
        <v>21702.914505156867</v>
      </c>
      <c r="BY323" s="56">
        <f t="shared" si="309"/>
        <v>2396.094650549112</v>
      </c>
      <c r="BZ323" s="42">
        <f>'[1]побудинковий звіт'!BZ323+'[2]побудинковий звіт'!BZ323-'[3]побудинковий звіт'!BZ323</f>
        <v>5323.4008540819432</v>
      </c>
      <c r="CA323" s="42">
        <f>'[1]побудинковий звіт'!CA323+'[2]побудинковий звіт'!CA323-'[3]побудинковий звіт'!CA323</f>
        <v>10758.912813248142</v>
      </c>
      <c r="CB323" s="56">
        <f t="shared" si="310"/>
        <v>5435.5119591661987</v>
      </c>
      <c r="CC323" s="42">
        <f>'[1]побудинковий звіт'!CC323+'[2]побудинковий звіт'!CC323-'[3]побудинковий звіт'!CC323</f>
        <v>147.06626924936683</v>
      </c>
      <c r="CD323" s="42">
        <f>'[1]побудинковий звіт'!CD323+'[2]побудинковий звіт'!CD323-'[3]побудинковий звіт'!CD323</f>
        <v>145.7727798326714</v>
      </c>
      <c r="CE323" s="56">
        <f t="shared" si="311"/>
        <v>-1.2934894166954223</v>
      </c>
      <c r="CF323" s="42">
        <f>'[1]побудинковий звіт'!CF323+'[2]побудинковий звіт'!CF323-'[3]побудинковий звіт'!CF323</f>
        <v>18.104749055319779</v>
      </c>
      <c r="CG323" s="42">
        <f>'[1]побудинковий звіт'!CG323+'[2]побудинковий звіт'!CG323-'[3]побудинковий звіт'!CG323</f>
        <v>0</v>
      </c>
      <c r="CH323" s="56">
        <f t="shared" si="312"/>
        <v>-18.104749055319779</v>
      </c>
      <c r="CI323" s="42">
        <f>'[1]побудинковий звіт'!CI323+'[2]побудинковий звіт'!CI323-'[3]побудинковий звіт'!CI323</f>
        <v>9527.2203151907979</v>
      </c>
      <c r="CJ323" s="42">
        <f>'[1]побудинковий звіт'!CJ323+'[2]побудинковий звіт'!CJ323-'[3]побудинковий звіт'!CJ323</f>
        <v>5903.5124449337327</v>
      </c>
      <c r="CK323" s="56">
        <f t="shared" si="313"/>
        <v>-3623.7078702570652</v>
      </c>
      <c r="CL323" s="42">
        <f>'[1]побудинковий звіт'!CL323+'[2]побудинковий звіт'!CL323-'[3]побудинковий звіт'!CL323</f>
        <v>1984.0576687823657</v>
      </c>
      <c r="CM323" s="42">
        <f>'[1]побудинковий звіт'!CM323+'[2]побудинковий звіт'!CM323-'[3]побудинковий звіт'!CM323</f>
        <v>4448.8726649718747</v>
      </c>
      <c r="CN323" s="56">
        <f t="shared" si="314"/>
        <v>2464.8149961895087</v>
      </c>
      <c r="CO323" s="42">
        <f t="shared" si="294"/>
        <v>11511.277983973163</v>
      </c>
      <c r="CP323" s="43">
        <f t="shared" si="315"/>
        <v>10352.385109905608</v>
      </c>
      <c r="CQ323" s="56">
        <f t="shared" si="316"/>
        <v>-1158.8928740675547</v>
      </c>
      <c r="CR323" s="78">
        <f t="shared" si="295"/>
        <v>168592.67087361572</v>
      </c>
      <c r="CS323" s="5">
        <f t="shared" si="295"/>
        <v>165705.09191231334</v>
      </c>
      <c r="CT323" s="56">
        <f t="shared" si="317"/>
        <v>-2887.5789613023808</v>
      </c>
      <c r="CU323" s="87">
        <f t="shared" si="318"/>
        <v>202311.20504833886</v>
      </c>
      <c r="CV323" s="70">
        <f t="shared" si="319"/>
        <v>198846.11029477601</v>
      </c>
      <c r="CW323" s="37">
        <f t="shared" si="320"/>
        <v>-3465.0947535628511</v>
      </c>
      <c r="CX323" s="42">
        <f>'[1]побудинковий звіт'!CX323+'[2]побудинковий звіт'!CX323-'[3]побудинковий звіт'!CX323</f>
        <v>3179.9149516610778</v>
      </c>
      <c r="CY323" s="42">
        <f>'[1]побудинковий звіт'!CY323+'[2]побудинковий звіт'!CY323-'[3]побудинковий звіт'!CY323</f>
        <v>6645.0097052239871</v>
      </c>
      <c r="CZ323" s="56">
        <f t="shared" si="321"/>
        <v>3465.0947535629093</v>
      </c>
      <c r="DA323" s="264">
        <f>'[4]побудинковий звіт'!DA323</f>
        <v>105121.15850828406</v>
      </c>
      <c r="DB323" s="2">
        <v>2</v>
      </c>
      <c r="DC323" s="717">
        <f>'[4]побудинковий звіт'!DC323</f>
        <v>106617.43</v>
      </c>
      <c r="DD323" s="717">
        <f>'[4]побудинковий звіт'!DD323</f>
        <v>0</v>
      </c>
      <c r="DE323" s="717">
        <f>'[4]побудинковий звіт'!DE323</f>
        <v>89493.17</v>
      </c>
      <c r="DF323" s="717">
        <f>'[4]побудинковий звіт'!DF323</f>
        <v>0</v>
      </c>
      <c r="DG323" s="787">
        <v>105031.27148318349</v>
      </c>
      <c r="DH323" s="761">
        <f t="shared" si="344"/>
        <v>2465893.4399999995</v>
      </c>
      <c r="DI323" s="784"/>
      <c r="DJ323" s="5"/>
      <c r="DK323" s="317">
        <f>VLOOKUP($A323,ціни!$A$4:$G$401,5)</f>
        <v>6.5566543950479614</v>
      </c>
      <c r="DL323" s="317">
        <f>VLOOKUP($A323,ціни!$A$4:$G$401,6)</f>
        <v>8.0215613090101101</v>
      </c>
      <c r="DM323" s="317">
        <f>VLOOKUP($A323,ціни!$A$4:$G$401,7)</f>
        <v>5.6380448354316508</v>
      </c>
      <c r="DN323" s="30">
        <f>DK323*G323+(F323-G323)*DL323</f>
        <v>18276.325286448635</v>
      </c>
      <c r="DO323" s="30">
        <f>DM323*H323</f>
        <v>0</v>
      </c>
      <c r="DP323" s="316">
        <f t="shared" si="335"/>
        <v>18276.325286448635</v>
      </c>
      <c r="DQ323" s="104"/>
      <c r="DR323" s="30">
        <f>VLOOKUP(A323,'ДЗ нас '!$A$1:$C$359,2)</f>
        <v>17124.259999999998</v>
      </c>
      <c r="DS323" s="748"/>
      <c r="DT323" s="30">
        <f t="shared" si="336"/>
        <v>17124.259999999998</v>
      </c>
      <c r="DU323" s="257">
        <f>VLOOKUP(A323,'новий кошторис с 01.06'!$A$4:$AI$399,35)*1.2</f>
        <v>17162.733894934085</v>
      </c>
      <c r="DV323" s="30">
        <f t="shared" si="337"/>
        <v>-38.473894934086275</v>
      </c>
      <c r="DW323" s="930">
        <f>'[5]побудинковий звіт'!DW323+'[6]побудинковий звіт'!DW323</f>
        <v>204</v>
      </c>
      <c r="DY323" s="5">
        <f t="shared" si="340"/>
        <v>40726.535762797568</v>
      </c>
      <c r="DZ323" s="5">
        <f t="shared" si="341"/>
        <v>29398.673395127149</v>
      </c>
      <c r="EA323" s="752">
        <f t="shared" si="345"/>
        <v>89493.17</v>
      </c>
      <c r="EC323" s="592">
        <f t="shared" si="342"/>
        <v>378199.65047633479</v>
      </c>
      <c r="EE323" s="758">
        <v>-14494</v>
      </c>
      <c r="EF323" s="738">
        <f t="shared" si="343"/>
        <v>90537.271483183489</v>
      </c>
      <c r="EH323" s="813">
        <v>117676.0960183195</v>
      </c>
    </row>
    <row r="324" spans="1:138" x14ac:dyDescent="0.3">
      <c r="A324" s="328">
        <v>150000887</v>
      </c>
      <c r="B324" s="44" t="s">
        <v>777</v>
      </c>
      <c r="C324" s="45" t="s">
        <v>397</v>
      </c>
      <c r="D324" s="45" t="s">
        <v>397</v>
      </c>
      <c r="E324" s="40">
        <f t="shared" si="292"/>
        <v>3022.76</v>
      </c>
      <c r="F324" s="490">
        <v>3022.76</v>
      </c>
      <c r="G324" s="30">
        <v>653.79999999999995</v>
      </c>
      <c r="H324" s="30">
        <v>0</v>
      </c>
      <c r="I324" s="42">
        <f>'[1]побудинковий звіт'!I324+'[2]побудинковий звіт'!I324-'[3]побудинковий звіт'!I324</f>
        <v>23350.05547961294</v>
      </c>
      <c r="J324" s="42">
        <f>'[1]побудинковий звіт'!J324+'[2]побудинковий звіт'!J324-'[3]побудинковий звіт'!J324</f>
        <v>23346.141241829348</v>
      </c>
      <c r="K324" s="56">
        <f t="shared" si="296"/>
        <v>-3.914237783592398</v>
      </c>
      <c r="L324" s="42">
        <f>'[1]побудинковий звіт'!L324+'[2]побудинковий звіт'!L324-'[3]побудинковий звіт'!L324</f>
        <v>3601.0630779653739</v>
      </c>
      <c r="M324" s="42">
        <f>'[1]побудинковий звіт'!M324+'[2]побудинковий звіт'!M324-'[3]побудинковий звіт'!M324</f>
        <v>3657.1083038280085</v>
      </c>
      <c r="N324" s="56">
        <f t="shared" si="297"/>
        <v>56.045225862634652</v>
      </c>
      <c r="O324" s="42">
        <f>'[1]побудинковий звіт'!O324+'[2]побудинковий звіт'!O324-'[3]побудинковий звіт'!O324</f>
        <v>9552.1200000000008</v>
      </c>
      <c r="P324" s="42">
        <f>'[1]побудинковий звіт'!P324+'[2]побудинковий звіт'!P324-'[3]побудинковий звіт'!P324</f>
        <v>7508.5830933333327</v>
      </c>
      <c r="Q324" s="56">
        <f t="shared" si="298"/>
        <v>-2043.5369066666681</v>
      </c>
      <c r="R324" s="42">
        <f>'[1]побудинковий звіт'!R324+'[2]побудинковий звіт'!R324-'[3]побудинковий звіт'!R324</f>
        <v>2026.6799999999992</v>
      </c>
      <c r="S324" s="42">
        <f>'[1]побудинковий звіт'!S324+'[2]побудинковий звіт'!S324-'[3]побудинковий звіт'!S324</f>
        <v>1593.3448038709676</v>
      </c>
      <c r="T324" s="56">
        <f t="shared" si="299"/>
        <v>-433.3351961290316</v>
      </c>
      <c r="U324" s="42">
        <f>'[1]побудинковий звіт'!U324+'[2]побудинковий звіт'!U324-'[3]побудинковий звіт'!U324</f>
        <v>1170.2323882178873</v>
      </c>
      <c r="V324" s="42">
        <f>'[1]побудинковий звіт'!V324+'[2]побудинковий звіт'!V324-'[3]побудинковий звіт'!V324</f>
        <v>3121.8615706461383</v>
      </c>
      <c r="W324" s="56">
        <f t="shared" si="300"/>
        <v>1951.6291824282509</v>
      </c>
      <c r="X324" s="42">
        <f>'[1]побудинковий звіт'!X324+'[2]побудинковий звіт'!X324-'[3]побудинковий звіт'!X324</f>
        <v>10352.567174297759</v>
      </c>
      <c r="Y324" s="42">
        <f>'[1]побудинковий звіт'!Y324+'[2]побудинковий звіт'!Y324-'[3]побудинковий звіт'!Y324</f>
        <v>7996.0692898025136</v>
      </c>
      <c r="Z324" s="56">
        <f t="shared" si="301"/>
        <v>-2356.4978844952457</v>
      </c>
      <c r="AA324" s="42">
        <f>'[1]побудинковий звіт'!AA324+'[2]побудинковий звіт'!AA324-'[3]побудинковий звіт'!AA324</f>
        <v>0</v>
      </c>
      <c r="AB324" s="42">
        <f>'[1]побудинковий звіт'!AB324+'[2]побудинковий звіт'!AB324-'[3]побудинковий звіт'!AB324</f>
        <v>0</v>
      </c>
      <c r="AC324" s="56">
        <f t="shared" si="302"/>
        <v>0</v>
      </c>
      <c r="AD324" s="42">
        <f>'[1]побудинковий звіт'!AD324+'[2]побудинковий звіт'!AD324-'[3]побудинковий звіт'!AD324</f>
        <v>27453.53221703575</v>
      </c>
      <c r="AE324" s="42">
        <f>'[1]побудинковий звіт'!AE324+'[2]побудинковий звіт'!AE324-'[3]побудинковий звіт'!AE324</f>
        <v>25303.464440816479</v>
      </c>
      <c r="AF324" s="37">
        <f t="shared" si="303"/>
        <v>-2150.0677762192718</v>
      </c>
      <c r="AG324" s="87">
        <f t="shared" si="293"/>
        <v>77506.250337129706</v>
      </c>
      <c r="AH324" s="57">
        <f t="shared" si="293"/>
        <v>72526.572744126781</v>
      </c>
      <c r="AI324" s="56">
        <f t="shared" si="304"/>
        <v>-4979.6775930029253</v>
      </c>
      <c r="AJ324" s="42">
        <f>'[1]побудинковий звіт'!AJ324+'[2]побудинковий звіт'!AJ324-'[3]побудинковий звіт'!AJ324</f>
        <v>86413.599575368164</v>
      </c>
      <c r="AK324" s="42">
        <f>'[1]побудинковий звіт'!AK324+'[2]побудинковий звіт'!AK324-'[3]побудинковий звіт'!AK324</f>
        <v>85345.788883353467</v>
      </c>
      <c r="AL324" s="56">
        <f t="shared" si="305"/>
        <v>-1067.8106920146965</v>
      </c>
      <c r="AM324" s="42">
        <f>'[1]побудинковий звіт'!AM324+'[2]побудинковий звіт'!AM324-'[3]побудинковий звіт'!AM324</f>
        <v>0</v>
      </c>
      <c r="AN324" s="42">
        <f>'[1]побудинковий звіт'!AN324+'[2]побудинковий звіт'!AN324-'[3]побудинковий звіт'!AN324</f>
        <v>0</v>
      </c>
      <c r="AO324" s="56">
        <f t="shared" si="306"/>
        <v>0</v>
      </c>
      <c r="AP324" s="42">
        <f>'[1]побудинковий звіт'!AP324+'[2]побудинковий звіт'!AP324-'[3]побудинковий звіт'!AP324</f>
        <v>5113.8952716257081</v>
      </c>
      <c r="AQ324" s="42">
        <f>'[1]побудинковий звіт'!AQ324+'[2]побудинковий звіт'!AQ324-'[3]побудинковий звіт'!AQ324</f>
        <v>4929.2805866418748</v>
      </c>
      <c r="AR324" s="56">
        <f t="shared" si="307"/>
        <v>-184.61468498383329</v>
      </c>
      <c r="AS324" s="42">
        <f>'[1]побудинковий звіт'!AS324+'[2]побудинковий звіт'!AS324-'[3]побудинковий звіт'!AS324</f>
        <v>95085.172004512322</v>
      </c>
      <c r="AT324" s="42">
        <f>'[1]побудинковий звіт'!AT324+'[2]побудинковий звіт'!AT324-'[3]побудинковий звіт'!AT324</f>
        <v>25101.028183344544</v>
      </c>
      <c r="AU324" s="58">
        <f t="shared" si="322"/>
        <v>-69984.143821167774</v>
      </c>
      <c r="AV324" s="42">
        <f>'[1]побудинковий звіт'!AV324+'[2]побудинковий звіт'!AV324-'[3]побудинковий звіт'!AV324</f>
        <v>729.48044401535981</v>
      </c>
      <c r="AW324" s="42">
        <f>'[1]побудинковий звіт'!AW324+'[2]побудинковий звіт'!AW324-'[3]побудинковий звіт'!AW324</f>
        <v>2688.047755889952</v>
      </c>
      <c r="AX324" s="59">
        <f t="shared" si="323"/>
        <v>1958.5673118745922</v>
      </c>
      <c r="AY324" s="42">
        <f>'[1]побудинковий звіт'!AY324+'[2]побудинковий звіт'!AY324-'[3]побудинковий звіт'!AY324</f>
        <v>955.80629180820529</v>
      </c>
      <c r="AZ324" s="42">
        <f>'[1]побудинковий звіт'!AZ324+'[2]побудинковий звіт'!AZ324-'[3]побудинковий звіт'!AZ324</f>
        <v>4416</v>
      </c>
      <c r="BA324" s="37">
        <f t="shared" si="324"/>
        <v>3460.1937081917949</v>
      </c>
      <c r="BB324" s="42">
        <f>'[1]побудинковий звіт'!BB324+'[2]побудинковий звіт'!BB324-'[3]побудинковий звіт'!BB324</f>
        <v>934.82827505759963</v>
      </c>
      <c r="BC324" s="42">
        <f>'[1]побудинковий звіт'!BC324+'[2]побудинковий звіт'!BC324-'[3]побудинковий звіт'!BC324</f>
        <v>0</v>
      </c>
      <c r="BD324" s="59">
        <f t="shared" si="325"/>
        <v>-934.82827505759963</v>
      </c>
      <c r="BE324" s="42">
        <f>'[1]побудинковий звіт'!BE324+'[2]побудинковий звіт'!BE324-'[3]побудинковий звіт'!BE324</f>
        <v>395.01264682016847</v>
      </c>
      <c r="BF324" s="42">
        <f>'[1]побудинковий звіт'!BF324+'[2]побудинковий звіт'!BF324-'[3]побудинковий звіт'!BF324</f>
        <v>0</v>
      </c>
      <c r="BG324" s="39">
        <f t="shared" si="326"/>
        <v>-395.01264682016847</v>
      </c>
      <c r="BH324" s="42">
        <f>'[1]побудинковий звіт'!BH324+'[2]побудинковий звіт'!BH324-'[3]побудинковий звіт'!BH324</f>
        <v>237.46034910659819</v>
      </c>
      <c r="BI324" s="42">
        <f>'[1]побудинковий звіт'!BI324+'[2]побудинковий звіт'!BI324-'[3]побудинковий звіт'!BI324</f>
        <v>0</v>
      </c>
      <c r="BJ324" s="59">
        <f t="shared" si="327"/>
        <v>-237.46034910659819</v>
      </c>
      <c r="BK324" s="42">
        <f>'[1]побудинковий звіт'!BK324+'[2]побудинковий звіт'!BK324-'[3]побудинковий звіт'!BK324</f>
        <v>555.86113931838338</v>
      </c>
      <c r="BL324" s="42">
        <f>'[1]побудинковий звіт'!BL324+'[2]побудинковий звіт'!BL324-'[3]побудинковий звіт'!BL324</f>
        <v>3051</v>
      </c>
      <c r="BM324" s="39">
        <f t="shared" si="328"/>
        <v>2495.1388606816167</v>
      </c>
      <c r="BN324" s="42">
        <f>'[1]побудинковий звіт'!BN324+'[2]побудинковий звіт'!BN324-'[3]побудинковий звіт'!BN324</f>
        <v>0</v>
      </c>
      <c r="BO324" s="42">
        <f>'[1]побудинковий звіт'!BO324+'[2]побудинковий звіт'!BO324-'[3]побудинковий звіт'!BO324</f>
        <v>0</v>
      </c>
      <c r="BP324" s="59">
        <f t="shared" si="329"/>
        <v>0</v>
      </c>
      <c r="BQ324" s="87">
        <f t="shared" si="338"/>
        <v>3808.4491461263146</v>
      </c>
      <c r="BR324" s="43">
        <f t="shared" si="339"/>
        <v>10155.047755889951</v>
      </c>
      <c r="BS324" s="59">
        <f t="shared" si="330"/>
        <v>6346.598609763636</v>
      </c>
      <c r="BT324" s="42">
        <f>'[1]побудинковий звіт'!BT324+'[2]побудинковий звіт'!BT324-'[3]побудинковий звіт'!BT324</f>
        <v>66816.524533540316</v>
      </c>
      <c r="BU324" s="42">
        <f>'[1]побудинковий звіт'!BU324+'[2]побудинковий звіт'!BU324-'[3]побудинковий звіт'!BU324</f>
        <v>74913.729972162328</v>
      </c>
      <c r="BV324" s="56">
        <f t="shared" si="308"/>
        <v>8097.2054386220116</v>
      </c>
      <c r="BW324" s="42">
        <f>'[1]побудинковий звіт'!BW324+'[2]побудинковий звіт'!BW324-'[3]побудинковий звіт'!BW324</f>
        <v>52199.057926026348</v>
      </c>
      <c r="BX324" s="42">
        <f>'[1]побудинковий звіт'!BX324+'[2]побудинковий звіт'!BX324-'[3]побудинковий звіт'!BX324</f>
        <v>58449.498591992902</v>
      </c>
      <c r="BY324" s="56">
        <f t="shared" si="309"/>
        <v>6250.4406659665547</v>
      </c>
      <c r="BZ324" s="42">
        <f>'[1]побудинковий звіт'!BZ324+'[2]побудинковий звіт'!BZ324-'[3]побудинковий звіт'!BZ324</f>
        <v>15944.234753201526</v>
      </c>
      <c r="CA324" s="42">
        <f>'[1]побудинковий звіт'!CA324+'[2]побудинковий звіт'!CA324-'[3]побудинковий звіт'!CA324</f>
        <v>20318.081228904346</v>
      </c>
      <c r="CB324" s="56">
        <f t="shared" si="310"/>
        <v>4373.8464757028196</v>
      </c>
      <c r="CC324" s="42">
        <f>'[1]побудинковий звіт'!CC324+'[2]побудинковий звіт'!CC324-'[3]побудинковий звіт'!CC324</f>
        <v>1032.4052101305549</v>
      </c>
      <c r="CD324" s="42">
        <f>'[1]побудинковий звіт'!CD324+'[2]побудинковий звіт'!CD324-'[3]побудинковий звіт'!CD324</f>
        <v>1023.3249144253534</v>
      </c>
      <c r="CE324" s="56">
        <f t="shared" si="311"/>
        <v>-9.080295705201479</v>
      </c>
      <c r="CF324" s="42">
        <f>'[1]побудинковий звіт'!CF324+'[2]побудинковий звіт'!CF324-'[3]побудинковий звіт'!CF324</f>
        <v>127.09533836834484</v>
      </c>
      <c r="CG324" s="42">
        <f>'[1]побудинковий звіт'!CG324+'[2]побудинковий звіт'!CG324-'[3]побудинковий звіт'!CG324</f>
        <v>0</v>
      </c>
      <c r="CH324" s="56">
        <f t="shared" si="312"/>
        <v>-127.09533836834484</v>
      </c>
      <c r="CI324" s="42">
        <f>'[1]побудинковий звіт'!CI324+'[2]побудинковий звіт'!CI324-'[3]побудинковий звіт'!CI324</f>
        <v>10575.401725113557</v>
      </c>
      <c r="CJ324" s="42">
        <f>'[1]побудинковий звіт'!CJ324+'[2]побудинковий звіт'!CJ324-'[3]побудинковий звіт'!CJ324</f>
        <v>6151.3341770614134</v>
      </c>
      <c r="CK324" s="56">
        <f t="shared" si="313"/>
        <v>-4424.067548052144</v>
      </c>
      <c r="CL324" s="42">
        <f>'[1]побудинковий звіт'!CL324+'[2]побудинковий звіт'!CL324-'[3]побудинковий звіт'!CL324</f>
        <v>14824.279940336168</v>
      </c>
      <c r="CM324" s="42">
        <f>'[1]побудинковий звіт'!CM324+'[2]побудинковий звіт'!CM324-'[3]побудинковий звіт'!CM324</f>
        <v>14763.881151117101</v>
      </c>
      <c r="CN324" s="56">
        <f t="shared" si="314"/>
        <v>-60.398789219067112</v>
      </c>
      <c r="CO324" s="42">
        <f t="shared" si="294"/>
        <v>25399.681665449723</v>
      </c>
      <c r="CP324" s="43">
        <f t="shared" si="315"/>
        <v>20915.215328178514</v>
      </c>
      <c r="CQ324" s="56">
        <f t="shared" si="316"/>
        <v>-4484.4663372712093</v>
      </c>
      <c r="CR324" s="78">
        <f t="shared" si="295"/>
        <v>429446.36576147901</v>
      </c>
      <c r="CS324" s="5">
        <f t="shared" si="295"/>
        <v>373677.56818902004</v>
      </c>
      <c r="CT324" s="56">
        <f t="shared" si="317"/>
        <v>-55768.797572458978</v>
      </c>
      <c r="CU324" s="87">
        <f t="shared" si="318"/>
        <v>515335.6389137748</v>
      </c>
      <c r="CV324" s="70">
        <f t="shared" si="319"/>
        <v>448413.08182682405</v>
      </c>
      <c r="CW324" s="37">
        <f t="shared" si="320"/>
        <v>-66922.55708695075</v>
      </c>
      <c r="CX324" s="42">
        <f>'[1]побудинковий звіт'!CX324+'[2]побудинковий звіт'!CX324-'[3]побудинковий звіт'!CX324</f>
        <v>12018.401086225145</v>
      </c>
      <c r="CY324" s="42">
        <f>'[1]побудинковий звіт'!CY324+'[2]побудинковий звіт'!CY324-'[3]побудинковий звіт'!CY324</f>
        <v>78940.958173175939</v>
      </c>
      <c r="CZ324" s="56">
        <f t="shared" si="321"/>
        <v>66922.557086950794</v>
      </c>
      <c r="DA324" s="264">
        <f>'[4]побудинковий звіт'!DA324</f>
        <v>12416.295913641312</v>
      </c>
      <c r="DB324" s="2">
        <v>2</v>
      </c>
      <c r="DC324" s="717">
        <f>'[4]побудинковий звіт'!DC324</f>
        <v>142182.21</v>
      </c>
      <c r="DD324" s="717">
        <f>'[4]побудинковий звіт'!DD324</f>
        <v>0</v>
      </c>
      <c r="DE324" s="717">
        <f>'[4]побудинковий звіт'!DE324</f>
        <v>98236.04</v>
      </c>
      <c r="DF324" s="717">
        <f>'[4]побудинковий звіт'!DF324</f>
        <v>0</v>
      </c>
      <c r="DG324" s="787">
        <v>106513.95623329584</v>
      </c>
      <c r="DH324" s="761">
        <f t="shared" si="344"/>
        <v>6328248.4799999986</v>
      </c>
      <c r="DI324" s="784"/>
      <c r="DJ324" s="5"/>
      <c r="DK324" s="317">
        <f>VLOOKUP($A324,ціни!$A$4:$G$401,5)</f>
        <v>5.2395745962922504</v>
      </c>
      <c r="DL324" s="317">
        <f>VLOOKUP($A324,ціни!$A$4:$G$401,6)</f>
        <v>7.0389830495256023</v>
      </c>
      <c r="DM324" s="317">
        <f>VLOOKUP($A324,ціни!$A$4:$G$401,7)</f>
        <v>4.40626019608266</v>
      </c>
      <c r="DN324" s="30">
        <f>DK324*G324+(F324-G324)*DL324</f>
        <v>20100.703156060044</v>
      </c>
      <c r="DO324" s="30">
        <f>DM324*H324</f>
        <v>0</v>
      </c>
      <c r="DP324" s="316">
        <f t="shared" si="335"/>
        <v>20100.703156060044</v>
      </c>
      <c r="DQ324" s="104"/>
      <c r="DR324" s="30">
        <f>VLOOKUP(A324,'ДЗ нас '!$A$1:$C$359,2)</f>
        <v>43946.17</v>
      </c>
      <c r="DS324" s="748"/>
      <c r="DT324" s="30">
        <f t="shared" si="336"/>
        <v>43946.17</v>
      </c>
      <c r="DU324" s="257">
        <f>VLOOKUP(A324,'новий кошторис с 01.06'!$A$4:$AI$399,35)*1.2</f>
        <v>44232.975673432338</v>
      </c>
      <c r="DV324" s="30">
        <f t="shared" si="337"/>
        <v>-286.80567343233997</v>
      </c>
      <c r="DW324" s="930">
        <f>'[5]побудинковий звіт'!DW324+'[6]побудинковий звіт'!DW324</f>
        <v>276</v>
      </c>
      <c r="DY324" s="5">
        <f t="shared" si="340"/>
        <v>118672.34538076635</v>
      </c>
      <c r="DZ324" s="5">
        <f t="shared" si="341"/>
        <v>42307.291127081386</v>
      </c>
      <c r="EA324" s="752">
        <f t="shared" si="345"/>
        <v>98236.04</v>
      </c>
      <c r="EC324" s="592">
        <f t="shared" si="342"/>
        <v>1141022.0640541478</v>
      </c>
      <c r="EE324" s="758">
        <v>15177</v>
      </c>
      <c r="EF324" s="738">
        <f t="shared" si="343"/>
        <v>121690.95623329584</v>
      </c>
      <c r="EH324" s="813">
        <v>76259.272594517941</v>
      </c>
    </row>
    <row r="325" spans="1:138" x14ac:dyDescent="0.3">
      <c r="A325" s="328">
        <v>150000888</v>
      </c>
      <c r="B325" s="44" t="s">
        <v>778</v>
      </c>
      <c r="C325" s="45" t="s">
        <v>313</v>
      </c>
      <c r="D325" s="45" t="s">
        <v>313</v>
      </c>
      <c r="E325" s="40">
        <f t="shared" si="292"/>
        <v>7373.17</v>
      </c>
      <c r="F325" s="490">
        <v>6585.6</v>
      </c>
      <c r="G325" s="30"/>
      <c r="H325" s="30">
        <v>787.56999999999994</v>
      </c>
      <c r="I325" s="42">
        <f>'[1]побудинковий звіт'!I325+'[2]побудинковий звіт'!I325-'[3]побудинковий звіт'!I325</f>
        <v>11134.256695023521</v>
      </c>
      <c r="J325" s="42">
        <f>'[1]побудинковий звіт'!J325+'[2]побудинковий звіт'!J325-'[3]побудинковий звіт'!J325</f>
        <v>11123.425608092202</v>
      </c>
      <c r="K325" s="56">
        <f t="shared" si="296"/>
        <v>-10.831086931319078</v>
      </c>
      <c r="L325" s="42">
        <f>'[1]побудинковий звіт'!L325+'[2]побудинковий звіт'!L325-'[3]побудинковий звіт'!L325</f>
        <v>2283.1352684857343</v>
      </c>
      <c r="M325" s="42">
        <f>'[1]побудинковий звіт'!M325+'[2]побудинковий звіт'!M325-'[3]побудинковий звіт'!M325</f>
        <v>2331.5856598983078</v>
      </c>
      <c r="N325" s="56">
        <f t="shared" si="297"/>
        <v>48.450391412573481</v>
      </c>
      <c r="O325" s="42">
        <f>'[1]побудинковий звіт'!O325+'[2]побудинковий звіт'!O325-'[3]побудинковий звіт'!O325</f>
        <v>4590.72</v>
      </c>
      <c r="P325" s="42">
        <f>'[1]побудинковий звіт'!P325+'[2]побудинковий звіт'!P325-'[3]побудинковий звіт'!P325</f>
        <v>3608.2944838709682</v>
      </c>
      <c r="Q325" s="56">
        <f t="shared" si="298"/>
        <v>-982.42551612903208</v>
      </c>
      <c r="R325" s="42">
        <f>'[1]побудинковий звіт'!R325+'[2]побудинковий звіт'!R325-'[3]побудинковий звіт'!R325</f>
        <v>0</v>
      </c>
      <c r="S325" s="42">
        <f>'[1]побудинковий звіт'!S325+'[2]побудинковий звіт'!S325-'[3]побудинковий звіт'!S325</f>
        <v>0</v>
      </c>
      <c r="T325" s="56">
        <f t="shared" si="299"/>
        <v>0</v>
      </c>
      <c r="U325" s="42">
        <f>'[1]побудинковий звіт'!U325+'[2]побудинковий звіт'!U325-'[3]побудинковий звіт'!U325</f>
        <v>0</v>
      </c>
      <c r="V325" s="42">
        <f>'[1]побудинковий звіт'!V325+'[2]побудинковий звіт'!V325-'[3]побудинковий звіт'!V325</f>
        <v>0</v>
      </c>
      <c r="W325" s="56">
        <f t="shared" si="300"/>
        <v>0</v>
      </c>
      <c r="X325" s="42">
        <f>'[1]побудинковий звіт'!X325+'[2]побудинковий звіт'!X325-'[3]побудинковий звіт'!X325</f>
        <v>7587.5615074685948</v>
      </c>
      <c r="Y325" s="42">
        <f>'[1]побудинковий звіт'!Y325+'[2]побудинковий звіт'!Y325-'[3]побудинковий звіт'!Y325</f>
        <v>5815.6996393885229</v>
      </c>
      <c r="Z325" s="56">
        <f t="shared" si="301"/>
        <v>-1771.8618680800719</v>
      </c>
      <c r="AA325" s="42">
        <f>'[1]побудинковий звіт'!AA325+'[2]побудинковий звіт'!AA325-'[3]побудинковий звіт'!AA325</f>
        <v>0</v>
      </c>
      <c r="AB325" s="42">
        <f>'[1]побудинковий звіт'!AB325+'[2]побудинковий звіт'!AB325-'[3]побудинковий звіт'!AB325</f>
        <v>0</v>
      </c>
      <c r="AC325" s="56">
        <f t="shared" si="302"/>
        <v>0</v>
      </c>
      <c r="AD325" s="42">
        <f>'[1]побудинковий звіт'!AD325+'[2]побудинковий звіт'!AD325-'[3]побудинковий звіт'!AD325</f>
        <v>14429.050058688972</v>
      </c>
      <c r="AE325" s="42">
        <f>'[1]побудинковий звіт'!AE325+'[2]побудинковий звіт'!AE325-'[3]побудинковий звіт'!AE325</f>
        <v>13299.159327175788</v>
      </c>
      <c r="AF325" s="37">
        <f t="shared" si="303"/>
        <v>-1129.8907315131837</v>
      </c>
      <c r="AG325" s="87">
        <f t="shared" si="293"/>
        <v>40024.723529666822</v>
      </c>
      <c r="AH325" s="57">
        <f t="shared" si="293"/>
        <v>36178.164718425789</v>
      </c>
      <c r="AI325" s="56">
        <f t="shared" si="304"/>
        <v>-3846.5588112410333</v>
      </c>
      <c r="AJ325" s="42">
        <f>'[1]побудинковий звіт'!AJ325+'[2]побудинковий звіт'!AJ325-'[3]побудинковий звіт'!AJ325</f>
        <v>0</v>
      </c>
      <c r="AK325" s="42">
        <f>'[1]побудинковий звіт'!AK325+'[2]побудинковий звіт'!AK325-'[3]побудинковий звіт'!AK325</f>
        <v>0</v>
      </c>
      <c r="AL325" s="56">
        <f t="shared" si="305"/>
        <v>0</v>
      </c>
      <c r="AM325" s="42">
        <f>'[1]побудинковий звіт'!AM325+'[2]побудинковий звіт'!AM325-'[3]побудинковий звіт'!AM325</f>
        <v>0</v>
      </c>
      <c r="AN325" s="42">
        <f>'[1]побудинковий звіт'!AN325+'[2]побудинковий звіт'!AN325-'[3]побудинковий звіт'!AN325</f>
        <v>0</v>
      </c>
      <c r="AO325" s="56">
        <f t="shared" si="306"/>
        <v>0</v>
      </c>
      <c r="AP325" s="42">
        <f>'[1]побудинковий звіт'!AP325+'[2]побудинковий звіт'!AP325-'[3]побудинковий звіт'!AP325</f>
        <v>9091.3693717790375</v>
      </c>
      <c r="AQ325" s="42">
        <f>'[1]побудинковий звіт'!AQ325+'[2]побудинковий звіт'!AQ325-'[3]побудинковий звіт'!AQ325</f>
        <v>8472.540497424272</v>
      </c>
      <c r="AR325" s="56">
        <f t="shared" si="307"/>
        <v>-618.8288743547655</v>
      </c>
      <c r="AS325" s="42">
        <f>'[1]побудинковий звіт'!AS325+'[2]побудинковий звіт'!AS325-'[3]побудинковий звіт'!AS325</f>
        <v>32472.682989833163</v>
      </c>
      <c r="AT325" s="42">
        <f>'[1]побудинковий звіт'!AT325+'[2]побудинковий звіт'!AT325-'[3]побудинковий звіт'!AT325</f>
        <v>5703</v>
      </c>
      <c r="AU325" s="58">
        <f t="shared" si="322"/>
        <v>-26769.682989833163</v>
      </c>
      <c r="AV325" s="42">
        <f>'[1]побудинковий звіт'!AV325+'[2]побудинковий звіт'!AV325-'[3]побудинковий звіт'!AV325</f>
        <v>1851.7936589363612</v>
      </c>
      <c r="AW325" s="42">
        <f>'[1]побудинковий звіт'!AW325+'[2]побудинковий звіт'!AW325-'[3]побудинковий звіт'!AW325</f>
        <v>0</v>
      </c>
      <c r="AX325" s="59">
        <f t="shared" si="323"/>
        <v>-1851.7936589363612</v>
      </c>
      <c r="AY325" s="42">
        <f>'[1]побудинковий звіт'!AY325+'[2]побудинковий звіт'!AY325-'[3]побудинковий звіт'!AY325</f>
        <v>2942.5534028547149</v>
      </c>
      <c r="AZ325" s="42">
        <f>'[1]побудинковий звіт'!AZ325+'[2]побудинковий звіт'!AZ325-'[3]побудинковий звіт'!AZ325</f>
        <v>0</v>
      </c>
      <c r="BA325" s="37">
        <f t="shared" si="324"/>
        <v>-2942.5534028547149</v>
      </c>
      <c r="BB325" s="42">
        <f>'[1]побудинковий звіт'!BB325+'[2]побудинковий звіт'!BB325-'[3]побудинковий звіт'!BB325</f>
        <v>2353.4759721805249</v>
      </c>
      <c r="BC325" s="42">
        <f>'[1]побудинковий звіт'!BC325+'[2]побудинковий звіт'!BC325-'[3]побудинковий звіт'!BC325</f>
        <v>1263</v>
      </c>
      <c r="BD325" s="59">
        <f t="shared" si="325"/>
        <v>-1090.4759721805249</v>
      </c>
      <c r="BE325" s="42">
        <f>'[1]побудинковий звіт'!BE325+'[2]побудинковий звіт'!BE325-'[3]побудинковий звіт'!BE325</f>
        <v>0</v>
      </c>
      <c r="BF325" s="42">
        <f>'[1]побудинковий звіт'!BF325+'[2]побудинковий звіт'!BF325-'[3]побудинковий звіт'!BF325</f>
        <v>0</v>
      </c>
      <c r="BG325" s="39">
        <f t="shared" si="326"/>
        <v>0</v>
      </c>
      <c r="BH325" s="42">
        <f>'[1]побудинковий звіт'!BH325+'[2]побудинковий звіт'!BH325-'[3]побудинковий звіт'!BH325</f>
        <v>0</v>
      </c>
      <c r="BI325" s="42">
        <f>'[1]побудинковий звіт'!BI325+'[2]побудинковий звіт'!BI325-'[3]побудинковий звіт'!BI325</f>
        <v>493</v>
      </c>
      <c r="BJ325" s="59">
        <f t="shared" si="327"/>
        <v>493</v>
      </c>
      <c r="BK325" s="42">
        <f>'[1]побудинковий звіт'!BK325+'[2]побудинковий звіт'!BK325-'[3]побудинковий звіт'!BK325</f>
        <v>1046.5116410375374</v>
      </c>
      <c r="BL325" s="42">
        <f>'[1]побудинковий звіт'!BL325+'[2]побудинковий звіт'!BL325-'[3]побудинковий звіт'!BL325</f>
        <v>0</v>
      </c>
      <c r="BM325" s="39">
        <f t="shared" si="328"/>
        <v>-1046.5116410375374</v>
      </c>
      <c r="BN325" s="42">
        <f>'[1]побудинковий звіт'!BN325+'[2]побудинковий звіт'!BN325-'[3]побудинковий звіт'!BN325</f>
        <v>0</v>
      </c>
      <c r="BO325" s="42">
        <f>'[1]побудинковий звіт'!BO325+'[2]побудинковий звіт'!BO325-'[3]побудинковий звіт'!BO325</f>
        <v>0</v>
      </c>
      <c r="BP325" s="59">
        <f t="shared" si="329"/>
        <v>0</v>
      </c>
      <c r="BQ325" s="87">
        <f t="shared" si="338"/>
        <v>8194.3346750091387</v>
      </c>
      <c r="BR325" s="43">
        <f t="shared" si="339"/>
        <v>1756</v>
      </c>
      <c r="BS325" s="59">
        <f t="shared" si="330"/>
        <v>-6438.3346750091387</v>
      </c>
      <c r="BT325" s="42">
        <f>'[1]побудинковий звіт'!BT325+'[2]побудинковий звіт'!BT325-'[3]побудинковий звіт'!BT325</f>
        <v>34379.645641709729</v>
      </c>
      <c r="BU325" s="42">
        <f>'[1]побудинковий звіт'!BU325+'[2]побудинковий звіт'!BU325-'[3]побудинковий звіт'!BU325</f>
        <v>47069.247843427191</v>
      </c>
      <c r="BV325" s="56">
        <f t="shared" si="308"/>
        <v>12689.602201717462</v>
      </c>
      <c r="BW325" s="42">
        <f>'[1]побудинковий звіт'!BW325+'[2]побудинковий звіт'!BW325-'[3]побудинковий звіт'!BW325</f>
        <v>23714.87253357892</v>
      </c>
      <c r="BX325" s="42">
        <f>'[1]побудинковий звіт'!BX325+'[2]побудинковий звіт'!BX325-'[3]побудинковий звіт'!BX325</f>
        <v>26044.895598435462</v>
      </c>
      <c r="BY325" s="56">
        <f t="shared" si="309"/>
        <v>2330.0230648565412</v>
      </c>
      <c r="BZ325" s="42">
        <f>'[1]побудинковий звіт'!BZ325+'[2]побудинковий звіт'!BZ325-'[3]побудинковий звіт'!BZ325</f>
        <v>14217.685266015984</v>
      </c>
      <c r="CA325" s="42">
        <f>'[1]побудинковий звіт'!CA325+'[2]побудинковий звіт'!CA325-'[3]побудинковий звіт'!CA325</f>
        <v>11131.745450889062</v>
      </c>
      <c r="CB325" s="56">
        <f t="shared" si="310"/>
        <v>-3085.9398151269215</v>
      </c>
      <c r="CC325" s="42">
        <f>'[1]побудинковий звіт'!CC325+'[2]побудинковий звіт'!CC325-'[3]побудинковий звіт'!CC325</f>
        <v>782.39255240663147</v>
      </c>
      <c r="CD325" s="42">
        <f>'[1]побудинковий звіт'!CD325+'[2]побудинковий звіт'!CD325-'[3]побудинковий звіт'!CD325</f>
        <v>775.51118870981202</v>
      </c>
      <c r="CE325" s="56">
        <f t="shared" si="311"/>
        <v>-6.8813636968194487</v>
      </c>
      <c r="CF325" s="42">
        <f>'[1]побудинковий звіт'!CF325+'[2]побудинковий звіт'!CF325-'[3]побудинковий звіт'!CF325</f>
        <v>96.31726497430121</v>
      </c>
      <c r="CG325" s="42">
        <f>'[1]побудинковий звіт'!CG325+'[2]побудинковий звіт'!CG325-'[3]побудинковий звіт'!CG325</f>
        <v>0</v>
      </c>
      <c r="CH325" s="56">
        <f t="shared" si="312"/>
        <v>-96.31726497430121</v>
      </c>
      <c r="CI325" s="42">
        <f>'[1]побудинковий звіт'!CI325+'[2]побудинковий звіт'!CI325-'[3]побудинковий звіт'!CI325</f>
        <v>6607.2863875488219</v>
      </c>
      <c r="CJ325" s="42">
        <f>'[1]побудинковий звіт'!CJ325+'[2]побудинковий звіт'!CJ325-'[3]побудинковий звіт'!CJ325</f>
        <v>2846.8709262174293</v>
      </c>
      <c r="CK325" s="56">
        <f t="shared" si="313"/>
        <v>-3760.4154613313926</v>
      </c>
      <c r="CL325" s="42">
        <f>'[1]побудинковий звіт'!CL325+'[2]побудинковий звіт'!CL325-'[3]побудинковий звіт'!CL325</f>
        <v>0</v>
      </c>
      <c r="CM325" s="42">
        <f>'[1]побудинковий звіт'!CM325+'[2]побудинковий звіт'!CM325-'[3]побудинковий звіт'!CM325</f>
        <v>0</v>
      </c>
      <c r="CN325" s="56">
        <f t="shared" si="314"/>
        <v>0</v>
      </c>
      <c r="CO325" s="42">
        <f t="shared" si="294"/>
        <v>6607.2863875488219</v>
      </c>
      <c r="CP325" s="43">
        <f t="shared" si="315"/>
        <v>2846.8709262174293</v>
      </c>
      <c r="CQ325" s="56">
        <f t="shared" si="316"/>
        <v>-3760.4154613313926</v>
      </c>
      <c r="CR325" s="78">
        <f t="shared" si="295"/>
        <v>169581.31021252254</v>
      </c>
      <c r="CS325" s="5">
        <f t="shared" si="295"/>
        <v>139977.97622352903</v>
      </c>
      <c r="CT325" s="56">
        <f t="shared" si="317"/>
        <v>-29603.333988993516</v>
      </c>
      <c r="CU325" s="87">
        <f t="shared" si="318"/>
        <v>203497.57225502704</v>
      </c>
      <c r="CV325" s="70">
        <f t="shared" si="319"/>
        <v>167973.57146823482</v>
      </c>
      <c r="CW325" s="37">
        <f t="shared" si="320"/>
        <v>-35524.000786792225</v>
      </c>
      <c r="CX325" s="42">
        <f>'[1]побудинковий звіт'!CX325+'[2]побудинковий звіт'!CX325-'[3]побудинковий звіт'!CX325</f>
        <v>4070.0277449729329</v>
      </c>
      <c r="CY325" s="42">
        <f>'[1]побудинковий звіт'!CY325+'[2]побудинковий звіт'!CY325-'[3]побудинковий звіт'!CY325</f>
        <v>39594.028531765172</v>
      </c>
      <c r="CZ325" s="56">
        <f t="shared" si="321"/>
        <v>35524.00078679224</v>
      </c>
      <c r="DA325" s="264">
        <f>'[4]побудинковий звіт'!DA325</f>
        <v>-19264.386299297919</v>
      </c>
      <c r="DB325" s="2">
        <v>2</v>
      </c>
      <c r="DC325" s="717">
        <f>'[4]побудинковий звіт'!DC325</f>
        <v>40610.959999999999</v>
      </c>
      <c r="DD325" s="717">
        <f>'[4]побудинковий звіт'!DD325</f>
        <v>17721.990000000002</v>
      </c>
      <c r="DE325" s="717">
        <f>'[4]побудинковий звіт'!DE325</f>
        <v>26786.080000000002</v>
      </c>
      <c r="DF325" s="717">
        <f>'[4]побудинковий звіт'!DF325</f>
        <v>14249.570000000002</v>
      </c>
      <c r="DG325" s="787">
        <v>38204.589844673814</v>
      </c>
      <c r="DH325" s="761">
        <f t="shared" si="344"/>
        <v>2490811.1999999997</v>
      </c>
      <c r="DI325" s="784"/>
      <c r="DJ325" s="5"/>
      <c r="DK325" s="317">
        <f>VLOOKUP($A325,ціни!$A$4:$G$401,5)</f>
        <v>5.344014140206613</v>
      </c>
      <c r="DL325" s="317"/>
      <c r="DM325" s="317">
        <f>VLOOKUP($A325,ціни!$A$4:$G$401,7)</f>
        <v>4.4089826950038677</v>
      </c>
      <c r="DN325" s="30">
        <f>F325*DK325</f>
        <v>35193.539521744671</v>
      </c>
      <c r="DO325" s="30">
        <f>H325*DM325</f>
        <v>3472.3825011041959</v>
      </c>
      <c r="DP325" s="316">
        <f t="shared" si="335"/>
        <v>38665.92202284887</v>
      </c>
      <c r="DQ325" s="104"/>
      <c r="DR325" s="30">
        <f>VLOOKUP(A325,'ДЗ нас '!$A$1:$C$359,2)</f>
        <v>13824.88</v>
      </c>
      <c r="DS325" s="748">
        <f>VLOOKUP(A325,'ДЗ нежит'!$A$1:$D$153,4,0)</f>
        <v>3472.4199999999996</v>
      </c>
      <c r="DT325" s="30">
        <f t="shared" si="336"/>
        <v>17297.3</v>
      </c>
      <c r="DU325" s="257">
        <f>VLOOKUP(A325,'новий кошторис с 01.06'!$A$4:$AI$399,35)*1.2</f>
        <v>17365.126165762307</v>
      </c>
      <c r="DV325" s="30">
        <f t="shared" si="337"/>
        <v>-67.826165762307937</v>
      </c>
      <c r="DW325" s="930">
        <f>'[5]побудинковий звіт'!DW325+'[6]побудинковий звіт'!DW325</f>
        <v>236</v>
      </c>
      <c r="DY325" s="5">
        <f t="shared" si="340"/>
        <v>48800.421197810756</v>
      </c>
      <c r="DZ325" s="5">
        <f t="shared" si="341"/>
        <v>8950.7999999999993</v>
      </c>
      <c r="EA325" s="752">
        <f t="shared" si="345"/>
        <v>41035.65</v>
      </c>
      <c r="EC325" s="592">
        <f t="shared" si="342"/>
        <v>389672.19587799796</v>
      </c>
      <c r="EE325" s="758">
        <v>37796</v>
      </c>
      <c r="EF325" s="738">
        <f t="shared" si="343"/>
        <v>76000.589844673814</v>
      </c>
      <c r="EH325" s="813">
        <v>17817.52020772278</v>
      </c>
    </row>
    <row r="326" spans="1:138" x14ac:dyDescent="0.3">
      <c r="A326" s="328">
        <v>150000889</v>
      </c>
      <c r="B326" s="44" t="s">
        <v>779</v>
      </c>
      <c r="C326" s="45" t="s">
        <v>427</v>
      </c>
      <c r="D326" s="45" t="s">
        <v>427</v>
      </c>
      <c r="E326" s="40">
        <f t="shared" si="292"/>
        <v>3324.06</v>
      </c>
      <c r="F326" s="490">
        <v>2468.86</v>
      </c>
      <c r="G326" s="30">
        <v>0</v>
      </c>
      <c r="H326" s="30">
        <v>855.19999999999993</v>
      </c>
      <c r="I326" s="42">
        <f>'[1]побудинковий звіт'!I326+'[2]побудинковий звіт'!I326-'[3]побудинковий звіт'!I326</f>
        <v>22136.816144382086</v>
      </c>
      <c r="J326" s="42">
        <f>'[1]побудинковий звіт'!J326+'[2]побудинковий звіт'!J326-'[3]побудинковий звіт'!J326</f>
        <v>22114.387673459991</v>
      </c>
      <c r="K326" s="56">
        <f t="shared" si="296"/>
        <v>-22.428470922095585</v>
      </c>
      <c r="L326" s="42">
        <f>'[1]побудинковий звіт'!L326+'[2]побудинковий звіт'!L326-'[3]побудинковий звіт'!L326</f>
        <v>3525.0167689258024</v>
      </c>
      <c r="M326" s="42">
        <f>'[1]побудинковий звіт'!M326+'[2]побудинковий звіт'!M326-'[3]побудинковий звіт'!M326</f>
        <v>3568.9751200137698</v>
      </c>
      <c r="N326" s="56">
        <f t="shared" si="297"/>
        <v>43.958351087967458</v>
      </c>
      <c r="O326" s="42">
        <f>'[1]побудинковий звіт'!O326+'[2]побудинковий звіт'!O326-'[3]побудинковий звіт'!O326</f>
        <v>6826.56</v>
      </c>
      <c r="P326" s="42">
        <f>'[1]побудинковий звіт'!P326+'[2]побудинковий звіт'!P326-'[3]побудинковий звіт'!P326</f>
        <v>5365.6265283870971</v>
      </c>
      <c r="Q326" s="56">
        <f t="shared" si="298"/>
        <v>-1460.9334716129033</v>
      </c>
      <c r="R326" s="42">
        <f>'[1]побудинковий звіт'!R326+'[2]побудинковий звіт'!R326-'[3]побудинковий звіт'!R326</f>
        <v>1583.88</v>
      </c>
      <c r="S326" s="42">
        <f>'[1]побудинковий звіт'!S326+'[2]побудинковий звіт'!S326-'[3]побудинковий звіт'!S326</f>
        <v>1244.8236372043011</v>
      </c>
      <c r="T326" s="56">
        <f t="shared" si="299"/>
        <v>-339.05636279569899</v>
      </c>
      <c r="U326" s="42">
        <f>'[1]побудинковий звіт'!U326+'[2]побудинковий звіт'!U326-'[3]побудинковий звіт'!U326</f>
        <v>886.54788981894308</v>
      </c>
      <c r="V326" s="42">
        <f>'[1]побудинковий звіт'!V326+'[2]побудинковий звіт'!V326-'[3]побудинковий звіт'!V326</f>
        <v>2365.0705579440023</v>
      </c>
      <c r="W326" s="56">
        <f t="shared" si="300"/>
        <v>1478.5226681250592</v>
      </c>
      <c r="X326" s="42">
        <f>'[1]побудинковий звіт'!X326+'[2]побудинковий звіт'!X326-'[3]побудинковий звіт'!X326</f>
        <v>6688.2601892845187</v>
      </c>
      <c r="Y326" s="42">
        <f>'[1]побудинковий звіт'!Y326+'[2]побудинковий звіт'!Y326-'[3]побудинковий звіт'!Y326</f>
        <v>4839.8871215484824</v>
      </c>
      <c r="Z326" s="56">
        <f t="shared" si="301"/>
        <v>-1848.3730677360363</v>
      </c>
      <c r="AA326" s="42">
        <f>'[1]побудинковий звіт'!AA326+'[2]побудинковий звіт'!AA326-'[3]побудинковий звіт'!AA326</f>
        <v>0</v>
      </c>
      <c r="AB326" s="42">
        <f>'[1]побудинковий звіт'!AB326+'[2]побудинковий звіт'!AB326-'[3]побудинковий звіт'!AB326</f>
        <v>0</v>
      </c>
      <c r="AC326" s="56">
        <f t="shared" si="302"/>
        <v>0</v>
      </c>
      <c r="AD326" s="42">
        <f>'[1]побудинковий звіт'!AD326+'[2]побудинковий звіт'!AD326-'[3]побудинковий звіт'!AD326</f>
        <v>22474.540188196333</v>
      </c>
      <c r="AE326" s="42">
        <f>'[1]побудинковий звіт'!AE326+'[2]побудинковий звіт'!AE326-'[3]побудинковий звіт'!AE326</f>
        <v>20745.182289173368</v>
      </c>
      <c r="AF326" s="37">
        <f t="shared" si="303"/>
        <v>-1729.3578990229653</v>
      </c>
      <c r="AG326" s="87">
        <f t="shared" ref="AG326:AH367" si="346">I326+L326+O326+R326+U326+X326+AA326+AD326</f>
        <v>64121.621180607683</v>
      </c>
      <c r="AH326" s="57">
        <f t="shared" si="346"/>
        <v>60243.952927731014</v>
      </c>
      <c r="AI326" s="56">
        <f t="shared" si="304"/>
        <v>-3877.6682528766687</v>
      </c>
      <c r="AJ326" s="42">
        <f>'[1]побудинковий звіт'!AJ326+'[2]побудинковий звіт'!AJ326-'[3]побудинковий звіт'!AJ326</f>
        <v>46910.262688904157</v>
      </c>
      <c r="AK326" s="42">
        <f>'[1]побудинковий звіт'!AK326+'[2]побудинковий звіт'!AK326-'[3]побудинковий звіт'!AK326</f>
        <v>46497.667389356735</v>
      </c>
      <c r="AL326" s="56">
        <f t="shared" si="305"/>
        <v>-412.59529954742175</v>
      </c>
      <c r="AM326" s="42">
        <f>'[1]побудинковий звіт'!AM326+'[2]побудинковий звіт'!AM326-'[3]побудинковий звіт'!AM326</f>
        <v>0</v>
      </c>
      <c r="AN326" s="42">
        <f>'[1]побудинковий звіт'!AN326+'[2]побудинковий звіт'!AN326-'[3]побудинковий звіт'!AN326</f>
        <v>0</v>
      </c>
      <c r="AO326" s="56">
        <f t="shared" si="306"/>
        <v>0</v>
      </c>
      <c r="AP326" s="42">
        <f>'[1]побудинковий звіт'!AP326+'[2]побудинковий звіт'!AP326-'[3]побудинковий звіт'!AP326</f>
        <v>4261.5793930214249</v>
      </c>
      <c r="AQ326" s="42">
        <f>'[1]побудинковий звіт'!AQ326+'[2]побудинковий звіт'!AQ326-'[3]побудинковий звіт'!AQ326</f>
        <v>3568.370779780163</v>
      </c>
      <c r="AR326" s="56">
        <f t="shared" si="307"/>
        <v>-693.2086132412619</v>
      </c>
      <c r="AS326" s="42">
        <f>'[1]побудинковий звіт'!AS326+'[2]побудинковий звіт'!AS326-'[3]побудинковий звіт'!AS326</f>
        <v>76640.18548070328</v>
      </c>
      <c r="AT326" s="42">
        <f>'[1]побудинковий звіт'!AT326+'[2]побудинковий звіт'!AT326-'[3]побудинковий звіт'!AT326</f>
        <v>16186.000000000002</v>
      </c>
      <c r="AU326" s="58">
        <f t="shared" si="322"/>
        <v>-60454.18548070328</v>
      </c>
      <c r="AV326" s="42">
        <f>'[1]побудинковий звіт'!AV326+'[2]побудинковий звіт'!AV326-'[3]побудинковий звіт'!AV326</f>
        <v>1796.4188438354781</v>
      </c>
      <c r="AW326" s="42">
        <f>'[1]побудинковий звіт'!AW326+'[2]побудинковий звіт'!AW326-'[3]побудинковий звіт'!AW326</f>
        <v>2357</v>
      </c>
      <c r="AX326" s="59">
        <f t="shared" si="323"/>
        <v>560.58115616452187</v>
      </c>
      <c r="AY326" s="42">
        <f>'[1]побудинковий звіт'!AY326+'[2]побудинковий звіт'!AY326-'[3]побудинковий звіт'!AY326</f>
        <v>2293.3372546358951</v>
      </c>
      <c r="AZ326" s="42">
        <f>'[1]побудинковий звіт'!AZ326+'[2]побудинковий звіт'!AZ326-'[3]побудинковий звіт'!AZ326</f>
        <v>1717</v>
      </c>
      <c r="BA326" s="37">
        <f t="shared" si="324"/>
        <v>-576.33725463589508</v>
      </c>
      <c r="BB326" s="42">
        <f>'[1]побудинковий звіт'!BB326+'[2]побудинковий звіт'!BB326-'[3]побудинковий звіт'!BB326</f>
        <v>2359.0374521045601</v>
      </c>
      <c r="BC326" s="42">
        <f>'[1]побудинковий звіт'!BC326+'[2]побудинковий звіт'!BC326-'[3]побудинковий звіт'!BC326</f>
        <v>0</v>
      </c>
      <c r="BD326" s="59">
        <f t="shared" si="325"/>
        <v>-2359.0374521045601</v>
      </c>
      <c r="BE326" s="42">
        <f>'[1]побудинковий звіт'!BE326+'[2]побудинковий звіт'!BE326-'[3]побудинковий звіт'!BE326</f>
        <v>907.54292594961828</v>
      </c>
      <c r="BF326" s="42">
        <f>'[1]побудинковий звіт'!BF326+'[2]побудинковий звіт'!BF326-'[3]побудинковий звіт'!BF326</f>
        <v>0</v>
      </c>
      <c r="BG326" s="39">
        <f t="shared" si="326"/>
        <v>-907.54292594961828</v>
      </c>
      <c r="BH326" s="42">
        <f>'[1]побудинковий звіт'!BH326+'[2]побудинковий звіт'!BH326-'[3]побудинковий звіт'!BH326</f>
        <v>449.65615358443745</v>
      </c>
      <c r="BI326" s="42">
        <f>'[1]побудинковий звіт'!BI326+'[2]побудинковий звіт'!BI326-'[3]побудинковий звіт'!BI326</f>
        <v>0</v>
      </c>
      <c r="BJ326" s="59">
        <f t="shared" si="327"/>
        <v>-449.65615358443745</v>
      </c>
      <c r="BK326" s="42">
        <f>'[1]побудинковий звіт'!BK326+'[2]побудинковий звіт'!BK326-'[3]побудинковий звіт'!BK326</f>
        <v>1932.4458299031035</v>
      </c>
      <c r="BL326" s="42">
        <f>'[1]побудинковий звіт'!BL326+'[2]побудинковий звіт'!BL326-'[3]побудинковий звіт'!BL326</f>
        <v>6796</v>
      </c>
      <c r="BM326" s="39">
        <f t="shared" si="328"/>
        <v>4863.554170096897</v>
      </c>
      <c r="BN326" s="42">
        <f>'[1]побудинковий звіт'!BN326+'[2]побудинковий звіт'!BN326-'[3]побудинковий звіт'!BN326</f>
        <v>0</v>
      </c>
      <c r="BO326" s="42">
        <f>'[1]побудинковий звіт'!BO326+'[2]побудинковий звіт'!BO326-'[3]побудинковий звіт'!BO326</f>
        <v>0</v>
      </c>
      <c r="BP326" s="59">
        <f t="shared" si="329"/>
        <v>0</v>
      </c>
      <c r="BQ326" s="87">
        <f t="shared" si="338"/>
        <v>9738.4384600130925</v>
      </c>
      <c r="BR326" s="43">
        <f t="shared" si="339"/>
        <v>10870</v>
      </c>
      <c r="BS326" s="59">
        <f t="shared" si="330"/>
        <v>1131.5615399869075</v>
      </c>
      <c r="BT326" s="42">
        <f>'[1]побудинковий звіт'!BT326+'[2]побудинковий звіт'!BT326-'[3]побудинковий звіт'!BT326</f>
        <v>52050.056293242218</v>
      </c>
      <c r="BU326" s="42">
        <f>'[1]побудинковий звіт'!BU326+'[2]побудинковий звіт'!BU326-'[3]побудинковий звіт'!BU326</f>
        <v>50931.418240972642</v>
      </c>
      <c r="BV326" s="56">
        <f t="shared" si="308"/>
        <v>-1118.6380522695763</v>
      </c>
      <c r="BW326" s="42">
        <f>'[1]побудинковий звіт'!BW326+'[2]побудинковий звіт'!BW326-'[3]побудинковий звіт'!BW326</f>
        <v>62854.568702418837</v>
      </c>
      <c r="BX326" s="42">
        <f>'[1]побудинковий звіт'!BX326+'[2]побудинковий звіт'!BX326-'[3]побудинковий звіт'!BX326</f>
        <v>67311.269154231923</v>
      </c>
      <c r="BY326" s="56">
        <f t="shared" si="309"/>
        <v>4456.7004518130852</v>
      </c>
      <c r="BZ326" s="42">
        <f>'[1]побудинковий звіт'!BZ326+'[2]побудинковий звіт'!BZ326-'[3]побудинковий звіт'!BZ326</f>
        <v>5271.4652359933407</v>
      </c>
      <c r="CA326" s="42">
        <f>'[1]побудинковий звіт'!CA326+'[2]побудинковий звіт'!CA326-'[3]побудинковий звіт'!CA326</f>
        <v>15389.807980901369</v>
      </c>
      <c r="CB326" s="56">
        <f t="shared" si="310"/>
        <v>10118.342744908028</v>
      </c>
      <c r="CC326" s="42">
        <f>'[1]побудинковий звіт'!CC326+'[2]побудинковий звіт'!CC326-'[3]побудинковий звіт'!CC326</f>
        <v>811.80580625650452</v>
      </c>
      <c r="CD326" s="42">
        <f>'[1]побудинковий звіт'!CD326+'[2]побудинковий звіт'!CD326-'[3]побудинковий звіт'!CD326</f>
        <v>804.66574467634621</v>
      </c>
      <c r="CE326" s="56">
        <f t="shared" si="311"/>
        <v>-7.1400615801583172</v>
      </c>
      <c r="CF326" s="42">
        <f>'[1]побудинковий звіт'!CF326+'[2]побудинковий звіт'!CF326-'[3]побудинковий звіт'!CF326</f>
        <v>99.93821478536519</v>
      </c>
      <c r="CG326" s="42">
        <f>'[1]побудинковий звіт'!CG326+'[2]побудинковий звіт'!CG326-'[3]побудинковий звіт'!CG326</f>
        <v>0</v>
      </c>
      <c r="CH326" s="56">
        <f t="shared" si="312"/>
        <v>-99.93821478536519</v>
      </c>
      <c r="CI326" s="42">
        <f>'[1]побудинковий звіт'!CI326+'[2]побудинковий звіт'!CI326-'[3]побудинковий звіт'!CI326</f>
        <v>15105.042817994048</v>
      </c>
      <c r="CJ326" s="42">
        <f>'[1]побудинковий звіт'!CJ326+'[2]побудинковий звіт'!CJ326-'[3]побудинковий звіт'!CJ326</f>
        <v>17289.467956119348</v>
      </c>
      <c r="CK326" s="56">
        <f t="shared" si="313"/>
        <v>2184.4251381252998</v>
      </c>
      <c r="CL326" s="42">
        <f>'[1]побудинковий звіт'!CL326+'[2]побудинковий звіт'!CL326-'[3]побудинковий звіт'!CL326</f>
        <v>35525.862786310681</v>
      </c>
      <c r="CM326" s="42">
        <f>'[1]побудинковий звіт'!CM326+'[2]побудинковий звіт'!CM326-'[3]побудинковий звіт'!CM326</f>
        <v>28806.677248257583</v>
      </c>
      <c r="CN326" s="56">
        <f t="shared" si="314"/>
        <v>-6719.1855380530978</v>
      </c>
      <c r="CO326" s="42">
        <f t="shared" ref="CO326:CO367" si="347">CI326+CL326</f>
        <v>50630.905604304731</v>
      </c>
      <c r="CP326" s="43">
        <f t="shared" si="315"/>
        <v>46096.145204376931</v>
      </c>
      <c r="CQ326" s="56">
        <f t="shared" si="316"/>
        <v>-4534.7603999277999</v>
      </c>
      <c r="CR326" s="78">
        <f t="shared" ref="CR326:CS367" si="348">AG326+AJ326+AM326+AP326+AS326+BQ326+BT326+BW326+BZ326+CC326+CF326+CO326</f>
        <v>373390.82706025062</v>
      </c>
      <c r="CS326" s="5">
        <f t="shared" si="348"/>
        <v>317899.29742202716</v>
      </c>
      <c r="CT326" s="56">
        <f t="shared" si="317"/>
        <v>-55491.529638223466</v>
      </c>
      <c r="CU326" s="87">
        <f t="shared" si="318"/>
        <v>448068.99247230071</v>
      </c>
      <c r="CV326" s="70">
        <f t="shared" si="319"/>
        <v>381479.15690643259</v>
      </c>
      <c r="CW326" s="37">
        <f t="shared" si="320"/>
        <v>-66589.835565868125</v>
      </c>
      <c r="CX326" s="42">
        <f>'[1]побудинковий звіт'!CX326+'[2]побудинковий звіт'!CX326-'[3]побудинковий звіт'!CX326</f>
        <v>11907.357527699336</v>
      </c>
      <c r="CY326" s="42">
        <f>'[1]побудинковий звіт'!CY326+'[2]побудинковий звіт'!CY326-'[3]побудинковий звіт'!CY326</f>
        <v>78497.193093567505</v>
      </c>
      <c r="CZ326" s="56">
        <f t="shared" si="321"/>
        <v>66589.835565868168</v>
      </c>
      <c r="DA326" s="264">
        <f>'[4]побудинковий звіт'!DA326</f>
        <v>-147823.08651345116</v>
      </c>
      <c r="DB326" s="2">
        <v>2</v>
      </c>
      <c r="DC326" s="717">
        <f>'[4]побудинковий звіт'!DC326</f>
        <v>72521.570000000007</v>
      </c>
      <c r="DD326" s="717">
        <f>'[4]побудинковий звіт'!DD326</f>
        <v>0</v>
      </c>
      <c r="DE326" s="717">
        <f>'[4]побудинковий звіт'!DE326</f>
        <v>37969.380000000005</v>
      </c>
      <c r="DF326" s="717">
        <f>'[4]побудинковий звіт'!DF326</f>
        <v>-3804.01</v>
      </c>
      <c r="DG326" s="787">
        <v>-34265.17088770587</v>
      </c>
      <c r="DH326" s="761">
        <f t="shared" si="344"/>
        <v>5519716.2000000002</v>
      </c>
      <c r="DI326" s="784"/>
      <c r="DJ326" s="5"/>
      <c r="DK326" s="317">
        <f>VLOOKUP($A326,ціни!$A$4:$G$401,5)</f>
        <v>5.9076034224481102</v>
      </c>
      <c r="DL326" s="317">
        <f>VLOOKUP($A326,ціни!$A$4:$G$401,6)</f>
        <v>7.8217347072966099</v>
      </c>
      <c r="DM326" s="317">
        <f>VLOOKUP($A326,ціни!$A$4:$G$401,7)</f>
        <v>4.4481474417672597</v>
      </c>
      <c r="DN326" s="30">
        <f>DK326*G326+(F326-G326)*DL326</f>
        <v>19310.767949456309</v>
      </c>
      <c r="DO326" s="30">
        <f>DM326*H326</f>
        <v>3804.0556921993602</v>
      </c>
      <c r="DP326" s="316">
        <f t="shared" si="335"/>
        <v>23114.823641655668</v>
      </c>
      <c r="DQ326" s="104"/>
      <c r="DR326" s="30">
        <f>VLOOKUP(A326,'ДЗ нас '!$A$1:$C$359,2)</f>
        <v>34552.19</v>
      </c>
      <c r="DS326" s="748">
        <f>VLOOKUP(A326,'ДЗ нежит'!$A$1:$D$153,4,0)</f>
        <v>3804.01</v>
      </c>
      <c r="DT326" s="30">
        <f t="shared" si="336"/>
        <v>38356.200000000004</v>
      </c>
      <c r="DU326" s="257">
        <f>VLOOKUP(A326,'новий кошторис с 01.06'!$A$4:$AI$399,35)*1.2</f>
        <v>38459.25518720581</v>
      </c>
      <c r="DV326" s="30">
        <f t="shared" si="337"/>
        <v>-103.05518720580585</v>
      </c>
      <c r="DW326" s="930">
        <f>'[5]побудинковий звіт'!DW326+'[6]побудинковий звіт'!DW326</f>
        <v>236</v>
      </c>
      <c r="DY326" s="5">
        <f t="shared" si="340"/>
        <v>103654.34872885964</v>
      </c>
      <c r="DZ326" s="5">
        <f t="shared" si="341"/>
        <v>32467.199999999997</v>
      </c>
      <c r="EA326" s="752">
        <f t="shared" si="345"/>
        <v>34165.370000000003</v>
      </c>
      <c r="EC326" s="515">
        <f t="shared" si="342"/>
        <v>919682.22576843936</v>
      </c>
      <c r="EE326" s="758">
        <v>72107</v>
      </c>
      <c r="EF326" s="738">
        <f t="shared" si="343"/>
        <v>37841.82911229413</v>
      </c>
      <c r="EH326" s="813">
        <v>-92817.58467616266</v>
      </c>
    </row>
    <row r="327" spans="1:138" x14ac:dyDescent="0.3">
      <c r="A327" s="328">
        <v>150000890</v>
      </c>
      <c r="B327" s="44" t="s">
        <v>780</v>
      </c>
      <c r="C327" s="45" t="s">
        <v>398</v>
      </c>
      <c r="D327" s="45" t="s">
        <v>398</v>
      </c>
      <c r="E327" s="40">
        <f t="shared" si="292"/>
        <v>2164.9</v>
      </c>
      <c r="F327" s="490">
        <v>2004.8</v>
      </c>
      <c r="G327" s="30">
        <v>801.12</v>
      </c>
      <c r="H327" s="30">
        <v>160.1</v>
      </c>
      <c r="I327" s="42">
        <f>'[1]побудинковий звіт'!I327+'[2]побудинковий звіт'!I327-'[3]побудинковий звіт'!I327</f>
        <v>20698.653542308275</v>
      </c>
      <c r="J327" s="42">
        <f>'[1]побудинковий звіт'!J327+'[2]побудинковий звіт'!J327-'[3]побудинковий звіт'!J327</f>
        <v>20847.423795615985</v>
      </c>
      <c r="K327" s="56">
        <f t="shared" ref="K327:K367" si="349">J327-I327</f>
        <v>148.77025330770994</v>
      </c>
      <c r="L327" s="42">
        <f>'[1]побудинковий звіт'!L327+'[2]побудинковий звіт'!L327-'[3]побудинковий звіт'!L327</f>
        <v>4080.1206519703364</v>
      </c>
      <c r="M327" s="42">
        <f>'[1]побудинковий звіт'!M327+'[2]побудинковий звіт'!M327-'[3]побудинковий звіт'!M327</f>
        <v>4185.6134968627493</v>
      </c>
      <c r="N327" s="56">
        <f t="shared" ref="N327:N367" si="350">M327-L327</f>
        <v>105.4928448924129</v>
      </c>
      <c r="O327" s="42">
        <f>'[1]побудинковий звіт'!O327+'[2]побудинковий звіт'!O327-'[3]побудинковий звіт'!O327</f>
        <v>12537.360000000002</v>
      </c>
      <c r="P327" s="42">
        <f>'[1]побудинковий звіт'!P327+'[2]побудинковий звіт'!P327-'[3]побудинковий звіт'!P327</f>
        <v>9854.1927850537613</v>
      </c>
      <c r="Q327" s="56">
        <f t="shared" ref="Q327:Q367" si="351">P327-O327</f>
        <v>-2683.1672149462411</v>
      </c>
      <c r="R327" s="42">
        <f>'[1]побудинковий звіт'!R327+'[2]побудинковий звіт'!R327-'[3]побудинковий звіт'!R327</f>
        <v>2953.8000000000006</v>
      </c>
      <c r="S327" s="42">
        <f>'[1]побудинковий звіт'!S327+'[2]побудинковий звіт'!S327-'[3]побудинковий звіт'!S327</f>
        <v>2321.8438459677423</v>
      </c>
      <c r="T327" s="56">
        <f t="shared" ref="T327:T367" si="352">S327-R327</f>
        <v>-631.95615403225838</v>
      </c>
      <c r="U327" s="42">
        <f>'[1]побудинковий звіт'!U327+'[2]побудинковий звіт'!U327-'[3]побудинковий звіт'!U327</f>
        <v>1560.4064423538555</v>
      </c>
      <c r="V327" s="42">
        <f>'[1]побудинковий звіт'!V327+'[2]побудинковий звіт'!V327-'[3]побудинковий звіт'!V327</f>
        <v>4333.4749483195965</v>
      </c>
      <c r="W327" s="56">
        <f t="shared" ref="W327:W367" si="353">V327-U327</f>
        <v>2773.0685059657408</v>
      </c>
      <c r="X327" s="42">
        <f>'[1]побудинковий звіт'!X327+'[2]побудинковий звіт'!X327-'[3]побудинковий звіт'!X327</f>
        <v>14719.156725206989</v>
      </c>
      <c r="Y327" s="42">
        <f>'[1]побудинковий звіт'!Y327+'[2]побудинковий звіт'!Y327-'[3]побудинковий звіт'!Y327</f>
        <v>11372.087505599568</v>
      </c>
      <c r="Z327" s="56">
        <f t="shared" ref="Z327:Z367" si="354">Y327-X327</f>
        <v>-3347.0692196074215</v>
      </c>
      <c r="AA327" s="42">
        <f>'[1]побудинковий звіт'!AA327+'[2]побудинковий звіт'!AA327-'[3]побудинковий звіт'!AA327</f>
        <v>0</v>
      </c>
      <c r="AB327" s="42">
        <f>'[1]побудинковий звіт'!AB327+'[2]побудинковий звіт'!AB327-'[3]побудинковий звіт'!AB327</f>
        <v>0</v>
      </c>
      <c r="AC327" s="56">
        <f t="shared" ref="AC327:AC367" si="355">AB327-AA327</f>
        <v>0</v>
      </c>
      <c r="AD327" s="42">
        <f>'[1]побудинковий звіт'!AD327+'[2]побудинковий звіт'!AD327-'[3]побудинковий звіт'!AD327</f>
        <v>36129.493706114044</v>
      </c>
      <c r="AE327" s="42">
        <f>'[1]побудинковий звіт'!AE327+'[2]побудинковий звіт'!AE327-'[3]побудинковий звіт'!AE327</f>
        <v>33530.555445250313</v>
      </c>
      <c r="AF327" s="37">
        <f t="shared" ref="AF327:AF367" si="356">AE327-AD327</f>
        <v>-2598.9382608637316</v>
      </c>
      <c r="AG327" s="87">
        <f t="shared" si="346"/>
        <v>92678.99106795351</v>
      </c>
      <c r="AH327" s="57">
        <f t="shared" si="346"/>
        <v>86445.191822669716</v>
      </c>
      <c r="AI327" s="56">
        <f t="shared" ref="AI327:AI367" si="357">AH327-AG327</f>
        <v>-6233.7992452837934</v>
      </c>
      <c r="AJ327" s="42">
        <f>'[1]побудинковий звіт'!AJ327+'[2]побудинковий звіт'!AJ327-'[3]побудинковий звіт'!AJ327</f>
        <v>71325.536226641983</v>
      </c>
      <c r="AK327" s="42">
        <f>'[1]побудинковий звіт'!AK327+'[2]побудинковий звіт'!AK327-'[3]побудинковий звіт'!AK327</f>
        <v>70698.180385488886</v>
      </c>
      <c r="AL327" s="56">
        <f t="shared" ref="AL327:AL367" si="358">AK327-AJ327</f>
        <v>-627.35584115309757</v>
      </c>
      <c r="AM327" s="42">
        <f>'[1]побудинковий звіт'!AM327+'[2]побудинковий звіт'!AM327-'[3]побудинковий звіт'!AM327</f>
        <v>0</v>
      </c>
      <c r="AN327" s="42">
        <f>'[1]побудинковий звіт'!AN327+'[2]побудинковий звіт'!AN327-'[3]побудинковий звіт'!AN327</f>
        <v>5996.8007233979479</v>
      </c>
      <c r="AO327" s="56">
        <f t="shared" ref="AO327:AO367" si="359">AN327-AM327</f>
        <v>5996.8007233979479</v>
      </c>
      <c r="AP327" s="42">
        <f>'[1]побудинковий звіт'!AP327+'[2]побудинковий звіт'!AP327-'[3]побудинковий звіт'!AP327</f>
        <v>6723.8252645449147</v>
      </c>
      <c r="AQ327" s="42">
        <f>'[1]побудинковий звіт'!AQ327+'[2]побудинковий звіт'!AQ327-'[3]побудинковий звіт'!AQ327</f>
        <v>6509.2043369132552</v>
      </c>
      <c r="AR327" s="56">
        <f t="shared" ref="AR327:AR367" si="360">AQ327-AP327</f>
        <v>-214.62092763165947</v>
      </c>
      <c r="AS327" s="42">
        <f>'[1]побудинковий звіт'!AS327+'[2]побудинковий звіт'!AS327-'[3]побудинковий звіт'!AS327</f>
        <v>115536.98906538062</v>
      </c>
      <c r="AT327" s="42">
        <f>'[1]побудинковий звіт'!AT327+'[2]побудинковий звіт'!AT327-'[3]побудинковий звіт'!AT327</f>
        <v>36656</v>
      </c>
      <c r="AU327" s="58">
        <f t="shared" si="322"/>
        <v>-78880.989065380621</v>
      </c>
      <c r="AV327" s="42">
        <f>'[1]побудинковий звіт'!AV327+'[2]побудинковий звіт'!AV327-'[3]побудинковий звіт'!AV327</f>
        <v>1715.7508332818975</v>
      </c>
      <c r="AW327" s="42">
        <f>'[1]побудинковий звіт'!AW327+'[2]побудинковий звіт'!AW327-'[3]побудинковий звіт'!AW327</f>
        <v>1276.5141234430641</v>
      </c>
      <c r="AX327" s="59">
        <f t="shared" si="323"/>
        <v>-439.23670983883335</v>
      </c>
      <c r="AY327" s="42">
        <f>'[1]побудинковий звіт'!AY327+'[2]побудинковий звіт'!AY327-'[3]побудинковий звіт'!AY327</f>
        <v>2721.1559648707762</v>
      </c>
      <c r="AZ327" s="42">
        <f>'[1]побудинковий звіт'!AZ327+'[2]побудинковий звіт'!AZ327-'[3]побудинковий звіт'!AZ327</f>
        <v>12110.220821574068</v>
      </c>
      <c r="BA327" s="37">
        <f t="shared" si="324"/>
        <v>9389.0648567032913</v>
      </c>
      <c r="BB327" s="42">
        <f>'[1]побудинковий звіт'!BB327+'[2]побудинковий звіт'!BB327-'[3]побудинковий звіт'!BB327</f>
        <v>3053.4925117328212</v>
      </c>
      <c r="BC327" s="42">
        <f>'[1]побудинковий звіт'!BC327+'[2]побудинковий звіт'!BC327-'[3]побудинковий звіт'!BC327</f>
        <v>4173</v>
      </c>
      <c r="BD327" s="59">
        <f t="shared" si="325"/>
        <v>1119.5074882671788</v>
      </c>
      <c r="BE327" s="42">
        <f>'[1]побудинковий звіт'!BE327+'[2]побудинковий звіт'!BE327-'[3]побудинковий звіт'!BE327</f>
        <v>1615.264638505975</v>
      </c>
      <c r="BF327" s="42">
        <f>'[1]побудинковий звіт'!BF327+'[2]побудинковий звіт'!BF327-'[3]побудинковий звіт'!BF327</f>
        <v>0</v>
      </c>
      <c r="BG327" s="39">
        <f t="shared" si="326"/>
        <v>-1615.264638505975</v>
      </c>
      <c r="BH327" s="42">
        <f>'[1]побудинковий звіт'!BH327+'[2]побудинковий звіт'!BH327-'[3]побудинковий звіт'!BH327</f>
        <v>791.53457871264402</v>
      </c>
      <c r="BI327" s="42">
        <f>'[1]побудинковий звіт'!BI327+'[2]побудинковий звіт'!BI327-'[3]побудинковий звіт'!BI327</f>
        <v>0</v>
      </c>
      <c r="BJ327" s="59">
        <f t="shared" si="327"/>
        <v>-791.53457871264402</v>
      </c>
      <c r="BK327" s="42">
        <f>'[1]побудинковий звіт'!BK327+'[2]побудинковий звіт'!BK327-'[3]побудинковий звіт'!BK327</f>
        <v>2203.4840808411795</v>
      </c>
      <c r="BL327" s="42">
        <f>'[1]побудинковий звіт'!BL327+'[2]побудинковий звіт'!BL327-'[3]побудинковий звіт'!BL327</f>
        <v>1378.007111349609</v>
      </c>
      <c r="BM327" s="39">
        <f t="shared" si="328"/>
        <v>-825.47696949157057</v>
      </c>
      <c r="BN327" s="42">
        <f>'[1]побудинковий звіт'!BN327+'[2]побудинковий звіт'!BN327-'[3]побудинковий звіт'!BN327</f>
        <v>0</v>
      </c>
      <c r="BO327" s="42">
        <f>'[1]побудинковий звіт'!BO327+'[2]побудинковий звіт'!BO327-'[3]побудинковий звіт'!BO327</f>
        <v>0</v>
      </c>
      <c r="BP327" s="59">
        <f t="shared" si="329"/>
        <v>0</v>
      </c>
      <c r="BQ327" s="87">
        <f t="shared" si="338"/>
        <v>12100.682607945293</v>
      </c>
      <c r="BR327" s="43">
        <f t="shared" si="339"/>
        <v>18937.74205636674</v>
      </c>
      <c r="BS327" s="59">
        <f t="shared" si="330"/>
        <v>6837.0594484214471</v>
      </c>
      <c r="BT327" s="42">
        <f>'[1]побудинковий звіт'!BT327+'[2]побудинковий звіт'!BT327-'[3]побудинковий звіт'!BT327</f>
        <v>141219.73044890192</v>
      </c>
      <c r="BU327" s="42">
        <f>'[1]побудинковий звіт'!BU327+'[2]побудинковий звіт'!BU327-'[3]побудинковий звіт'!BU327</f>
        <v>160301.73386079835</v>
      </c>
      <c r="BV327" s="56">
        <f t="shared" ref="BV327:BV367" si="361">BU327-BT327</f>
        <v>19082.00341189644</v>
      </c>
      <c r="BW327" s="42">
        <f>'[1]побудинковий звіт'!BW327+'[2]побудинковий звіт'!BW327-'[3]побудинковий звіт'!BW327</f>
        <v>79532.024558684119</v>
      </c>
      <c r="BX327" s="42">
        <f>'[1]побудинковий звіт'!BX327+'[2]побудинковий звіт'!BX327-'[3]побудинковий звіт'!BX327</f>
        <v>88191.419408969305</v>
      </c>
      <c r="BY327" s="56">
        <f t="shared" ref="BY327:BY367" si="362">BX327-BW327</f>
        <v>8659.3948502851854</v>
      </c>
      <c r="BZ327" s="42">
        <f>'[1]побудинковий звіт'!BZ327+'[2]побудинковий звіт'!BZ327-'[3]побудинковий звіт'!BZ327</f>
        <v>12355.483543278973</v>
      </c>
      <c r="CA327" s="42">
        <f>'[1]побудинковий звіт'!CA327+'[2]побудинковий звіт'!CA327-'[3]побудинковий звіт'!CA327</f>
        <v>36968.278548549977</v>
      </c>
      <c r="CB327" s="56">
        <f t="shared" ref="CB327:CB367" si="363">CA327-BZ327</f>
        <v>24612.795005271004</v>
      </c>
      <c r="CC327" s="42">
        <f>'[1]побудинковий звіт'!CC327+'[2]побудинковий звіт'!CC327-'[3]побудинковий звіт'!CC327</f>
        <v>1800.0911356122494</v>
      </c>
      <c r="CD327" s="42">
        <f>'[1]побудинковий звіт'!CD327+'[2]побудинковий звіт'!CD327-'[3]побудинковий звіт'!CD327</f>
        <v>1784.2588251518982</v>
      </c>
      <c r="CE327" s="56">
        <f t="shared" ref="CE327:CE367" si="364">CD327-CC327</f>
        <v>-15.832310460351209</v>
      </c>
      <c r="CF327" s="42">
        <f>'[1]побудинковий звіт'!CF327+'[2]побудинковий звіт'!CF327-'[3]побудинковий звіт'!CF327</f>
        <v>221.60212843711409</v>
      </c>
      <c r="CG327" s="42">
        <f>'[1]побудинковий звіт'!CG327+'[2]побудинковий звіт'!CG327-'[3]побудинковий звіт'!CG327</f>
        <v>2747.9154789647573</v>
      </c>
      <c r="CH327" s="56">
        <f t="shared" ref="CH327:CH367" si="365">CG327-CF327</f>
        <v>2526.3133505276433</v>
      </c>
      <c r="CI327" s="42">
        <f>'[1]побудинковий звіт'!CI327+'[2]побудинковий звіт'!CI327-'[3]побудинковий звіт'!CI327</f>
        <v>12690.482070136264</v>
      </c>
      <c r="CJ327" s="42">
        <f>'[1]побудинковий звіт'!CJ327+'[2]побудинковий звіт'!CJ327-'[3]побудинковий звіт'!CJ327</f>
        <v>3900.495243854697</v>
      </c>
      <c r="CK327" s="56">
        <f t="shared" ref="CK327:CK367" si="366">CJ327-CI327</f>
        <v>-8789.9868262815671</v>
      </c>
      <c r="CL327" s="42">
        <f>'[1]побудинковий звіт'!CL327+'[2]побудинковий звіт'!CL327-'[3]побудинковий звіт'!CL327</f>
        <v>16246.811853802774</v>
      </c>
      <c r="CM327" s="42">
        <f>'[1]побудинковий звіт'!CM327+'[2]побудинковий звіт'!CM327-'[3]побудинковий звіт'!CM327</f>
        <v>18121.733424049591</v>
      </c>
      <c r="CN327" s="56">
        <f t="shared" ref="CN327:CN367" si="367">CM327-CL327</f>
        <v>1874.9215702468173</v>
      </c>
      <c r="CO327" s="42">
        <f t="shared" si="347"/>
        <v>28937.29392393904</v>
      </c>
      <c r="CP327" s="43">
        <f t="shared" ref="CP327:CP367" si="368">CJ327+CM327</f>
        <v>22022.228667904288</v>
      </c>
      <c r="CQ327" s="56">
        <f t="shared" ref="CQ327:CQ367" si="369">CP327-CO327</f>
        <v>-6915.0652560347517</v>
      </c>
      <c r="CR327" s="78">
        <f t="shared" si="348"/>
        <v>562432.24997131969</v>
      </c>
      <c r="CS327" s="5">
        <f t="shared" si="348"/>
        <v>537258.95411517506</v>
      </c>
      <c r="CT327" s="56">
        <f t="shared" ref="CT327:CT367" si="370">CS327-CR327</f>
        <v>-25173.295856144628</v>
      </c>
      <c r="CU327" s="87">
        <f t="shared" ref="CU327:CU367" si="371">CR327*1.2</f>
        <v>674918.69996558363</v>
      </c>
      <c r="CV327" s="70">
        <f t="shared" ref="CV327:CV367" si="372">CS327*1.2</f>
        <v>644710.74493821</v>
      </c>
      <c r="CW327" s="37">
        <f t="shared" ref="CW327:CW367" si="373">CV327-CU327</f>
        <v>-30207.955027373624</v>
      </c>
      <c r="CX327" s="42">
        <f>'[1]побудинковий звіт'!CX327+'[2]побудинковий звіт'!CX327-'[3]побудинковий звіт'!CX327</f>
        <v>16334.370034416272</v>
      </c>
      <c r="CY327" s="42">
        <f>'[1]побудинковий звіт'!CY327+'[2]побудинковий звіт'!CY327-'[3]побудинковий звіт'!CY327</f>
        <v>46542.325061789867</v>
      </c>
      <c r="CZ327" s="56">
        <f t="shared" ref="CZ327:CZ368" si="374">CY327-CX327</f>
        <v>30207.955027373595</v>
      </c>
      <c r="DA327" s="264">
        <f>'[4]побудинковий звіт'!DA327</f>
        <v>94425.308227262052</v>
      </c>
      <c r="DB327" s="2">
        <v>2</v>
      </c>
      <c r="DC327" s="717">
        <f>'[4]побудинковий звіт'!DC327</f>
        <v>148044.29999999999</v>
      </c>
      <c r="DD327" s="717">
        <f>'[4]побудинковий звіт'!DD327</f>
        <v>10412.160000000002</v>
      </c>
      <c r="DE327" s="717">
        <f>'[4]побудинковий звіт'!DE327</f>
        <v>91432.31</v>
      </c>
      <c r="DF327" s="717">
        <f>'[4]побудинковий звіт'!DF327</f>
        <v>9394.5200000000023</v>
      </c>
      <c r="DG327" s="787">
        <v>-69225.241211770335</v>
      </c>
      <c r="DH327" s="761">
        <f t="shared" si="344"/>
        <v>8295036.8399999999</v>
      </c>
      <c r="DI327" s="784"/>
      <c r="DJ327" s="5"/>
      <c r="DK327" s="317">
        <f>VLOOKUP($A327,ціни!$A$4:$G$401,5)</f>
        <v>5.7748612903465926</v>
      </c>
      <c r="DL327" s="317">
        <f>VLOOKUP($A327,ціни!$A$4:$G$401,6)</f>
        <v>6.967979940489295</v>
      </c>
      <c r="DM327" s="317">
        <f>VLOOKUP($A327,ціни!$A$4:$G$401,7)</f>
        <v>4.7955675854231004</v>
      </c>
      <c r="DN327" s="30">
        <f>DK327*G327+(F327-G327)*DL327</f>
        <v>13013.574971690616</v>
      </c>
      <c r="DO327" s="30">
        <v>491.34</v>
      </c>
      <c r="DP327" s="316">
        <f t="shared" si="335"/>
        <v>13504.914971690616</v>
      </c>
      <c r="DQ327" s="104"/>
      <c r="DR327" s="30">
        <f>VLOOKUP(A327,'ДЗ нас '!$A$1:$C$359,2)</f>
        <v>56611.99</v>
      </c>
      <c r="DS327" s="748">
        <f>VLOOKUP(A327,'ДЗ нежит'!$A$1:$D$153,4,0)</f>
        <v>1017.64</v>
      </c>
      <c r="DT327" s="30">
        <f t="shared" si="336"/>
        <v>57629.63</v>
      </c>
      <c r="DU327" s="257">
        <f>VLOOKUP(A327,'новий кошторис с 01.06'!$A$4:$AI$399,35)*1.2</f>
        <v>57930.521747045925</v>
      </c>
      <c r="DV327" s="30">
        <f t="shared" si="337"/>
        <v>-300.89174704592733</v>
      </c>
      <c r="DW327" s="930">
        <f>'[5]побудинковий звіт'!DW327+'[6]побудинковий звіт'!DW327</f>
        <v>332</v>
      </c>
      <c r="DY327" s="5">
        <f t="shared" si="340"/>
        <v>153165.20600799107</v>
      </c>
      <c r="DZ327" s="5">
        <f t="shared" si="341"/>
        <v>66712.490467640091</v>
      </c>
      <c r="EA327" s="752">
        <f t="shared" si="345"/>
        <v>100826.83</v>
      </c>
      <c r="EC327" s="592">
        <f t="shared" si="342"/>
        <v>1386443.8687845673</v>
      </c>
      <c r="EE327" s="758">
        <v>18490</v>
      </c>
      <c r="EF327" s="738">
        <f t="shared" si="343"/>
        <v>-50735.241211770335</v>
      </c>
      <c r="EH327" s="813">
        <v>122792.85295810649</v>
      </c>
    </row>
    <row r="328" spans="1:138" x14ac:dyDescent="0.3">
      <c r="A328" s="328">
        <v>150000891</v>
      </c>
      <c r="B328" s="44" t="s">
        <v>781</v>
      </c>
      <c r="C328" s="45" t="s">
        <v>189</v>
      </c>
      <c r="D328" s="45" t="s">
        <v>189</v>
      </c>
      <c r="E328" s="40">
        <f t="shared" si="292"/>
        <v>3896.6000000000004</v>
      </c>
      <c r="F328" s="490">
        <v>3834.8</v>
      </c>
      <c r="G328" s="30"/>
      <c r="H328" s="30">
        <v>61.8</v>
      </c>
      <c r="I328" s="42">
        <f>'[1]побудинковий звіт'!I328+'[2]побудинковий звіт'!I328-'[3]побудинковий звіт'!I328</f>
        <v>949.86496079474375</v>
      </c>
      <c r="J328" s="42">
        <f>'[1]побудинковий звіт'!J328+'[2]побудинковий звіт'!J328-'[3]побудинковий звіт'!J328</f>
        <v>984.23063897535042</v>
      </c>
      <c r="K328" s="56">
        <f t="shared" si="349"/>
        <v>34.365678180606665</v>
      </c>
      <c r="L328" s="42">
        <f>'[1]побудинковий звіт'!L328+'[2]побудинковий звіт'!L328-'[3]побудинковий звіт'!L328</f>
        <v>306.25090642476692</v>
      </c>
      <c r="M328" s="42">
        <f>'[1]побудинковий звіт'!M328+'[2]побудинковий звіт'!M328-'[3]побудинковий звіт'!M328</f>
        <v>308.99552889577728</v>
      </c>
      <c r="N328" s="56">
        <f t="shared" si="350"/>
        <v>2.7446224710103593</v>
      </c>
      <c r="O328" s="42">
        <f>'[1]побудинковий звіт'!O328+'[2]побудинковий звіт'!O328-'[3]побудинковий звіт'!O328</f>
        <v>0</v>
      </c>
      <c r="P328" s="42">
        <f>'[1]побудинковий звіт'!P328+'[2]побудинковий звіт'!P328-'[3]побудинковий звіт'!P328</f>
        <v>0</v>
      </c>
      <c r="Q328" s="56">
        <f t="shared" si="351"/>
        <v>0</v>
      </c>
      <c r="R328" s="42">
        <f>'[1]побудинковий звіт'!R328+'[2]побудинковий звіт'!R328-'[3]побудинковий звіт'!R328</f>
        <v>0</v>
      </c>
      <c r="S328" s="42">
        <f>'[1]побудинковий звіт'!S328+'[2]побудинковий звіт'!S328-'[3]побудинковий звіт'!S328</f>
        <v>0</v>
      </c>
      <c r="T328" s="56">
        <f t="shared" si="352"/>
        <v>0</v>
      </c>
      <c r="U328" s="42">
        <f>'[1]побудинковий звіт'!U328+'[2]побудинковий звіт'!U328-'[3]побудинковий звіт'!U328</f>
        <v>0</v>
      </c>
      <c r="V328" s="42">
        <f>'[1]побудинковий звіт'!V328+'[2]побудинковий звіт'!V328-'[3]побудинковий звіт'!V328</f>
        <v>0</v>
      </c>
      <c r="W328" s="56">
        <f t="shared" si="353"/>
        <v>0</v>
      </c>
      <c r="X328" s="42">
        <f>'[1]побудинковий звіт'!X328+'[2]побудинковий звіт'!X328-'[3]побудинковий звіт'!X328</f>
        <v>29.052098881275093</v>
      </c>
      <c r="Y328" s="42">
        <f>'[1]побудинковий звіт'!Y328+'[2]побудинковий звіт'!Y328-'[3]побудинковий звіт'!Y328</f>
        <v>41.145181357207377</v>
      </c>
      <c r="Z328" s="56">
        <f t="shared" si="354"/>
        <v>12.093082475932285</v>
      </c>
      <c r="AA328" s="42">
        <f>'[1]побудинковий звіт'!AA328+'[2]побудинковий звіт'!AA328-'[3]побудинковий звіт'!AA328</f>
        <v>0</v>
      </c>
      <c r="AB328" s="42">
        <f>'[1]побудинковий звіт'!AB328+'[2]побудинковий звіт'!AB328-'[3]побудинковий звіт'!AB328</f>
        <v>0</v>
      </c>
      <c r="AC328" s="56">
        <f t="shared" si="355"/>
        <v>0</v>
      </c>
      <c r="AD328" s="42">
        <f>'[1]побудинковий звіт'!AD328+'[2]побудинковий звіт'!AD328-'[3]побудинковий звіт'!AD328</f>
        <v>1258.2061869606159</v>
      </c>
      <c r="AE328" s="42">
        <f>'[1]побудинковий звіт'!AE328+'[2]побудинковий звіт'!AE328-'[3]побудинковий звіт'!AE328</f>
        <v>1159.680261608846</v>
      </c>
      <c r="AF328" s="37">
        <f t="shared" si="356"/>
        <v>-98.525925351769956</v>
      </c>
      <c r="AG328" s="87">
        <f t="shared" si="346"/>
        <v>2543.3741530614016</v>
      </c>
      <c r="AH328" s="57">
        <f t="shared" si="346"/>
        <v>2494.0516108371812</v>
      </c>
      <c r="AI328" s="56">
        <f t="shared" si="357"/>
        <v>-49.322542224220342</v>
      </c>
      <c r="AJ328" s="42">
        <f>'[1]побудинковий звіт'!AJ328+'[2]побудинковий звіт'!AJ328-'[3]побудинковий звіт'!AJ328</f>
        <v>0</v>
      </c>
      <c r="AK328" s="42">
        <f>'[1]побудинковий звіт'!AK328+'[2]побудинковий звіт'!AK328-'[3]побудинковий звіт'!AK328</f>
        <v>0</v>
      </c>
      <c r="AL328" s="56">
        <f t="shared" si="358"/>
        <v>0</v>
      </c>
      <c r="AM328" s="42">
        <f>'[1]побудинковий звіт'!AM328+'[2]побудинковий звіт'!AM328-'[3]побудинковий звіт'!AM328</f>
        <v>0</v>
      </c>
      <c r="AN328" s="42">
        <f>'[1]побудинковий звіт'!AN328+'[2]побудинковий звіт'!AN328-'[3]побудинковий звіт'!AN328</f>
        <v>0</v>
      </c>
      <c r="AO328" s="56">
        <f t="shared" si="359"/>
        <v>0</v>
      </c>
      <c r="AP328" s="42">
        <f>'[1]побудинковий звіт'!AP328+'[2]побудинковий звіт'!AP328-'[3]побудинковий звіт'!AP328</f>
        <v>568.21058573618984</v>
      </c>
      <c r="AQ328" s="42">
        <f>'[1]побудинковий звіт'!AQ328+'[2]побудинковий звіт'!AQ328-'[3]побудинковий звіт'!AQ328</f>
        <v>233.57281571200437</v>
      </c>
      <c r="AR328" s="56">
        <f t="shared" si="360"/>
        <v>-334.63777002418544</v>
      </c>
      <c r="AS328" s="42">
        <f>'[1]побудинковий звіт'!AS328+'[2]побудинковий звіт'!AS328-'[3]побудинковий звіт'!AS328</f>
        <v>2080.3470427563648</v>
      </c>
      <c r="AT328" s="42">
        <f>'[1]побудинковий звіт'!AT328+'[2]побудинковий звіт'!AT328-'[3]побудинковий звіт'!AT328</f>
        <v>0</v>
      </c>
      <c r="AU328" s="58">
        <f t="shared" ref="AU328:AU367" si="375">AT328-AS328</f>
        <v>-2080.3470427563648</v>
      </c>
      <c r="AV328" s="42">
        <f>'[1]побудинковий звіт'!AV328+'[2]побудинковий звіт'!AV328-'[3]побудинковий звіт'!AV328</f>
        <v>213.51233637407825</v>
      </c>
      <c r="AW328" s="42">
        <f>'[1]побудинковий звіт'!AW328+'[2]побудинковий звіт'!AW328-'[3]побудинковий звіт'!AW328</f>
        <v>0</v>
      </c>
      <c r="AX328" s="59">
        <f t="shared" ref="AX328:AX367" si="376">AW328-AV328</f>
        <v>-213.51233637407825</v>
      </c>
      <c r="AY328" s="42">
        <f>'[1]побудинковий звіт'!AY328+'[2]побудинковий звіт'!AY328-'[3]побудинковий звіт'!AY328</f>
        <v>394.65163909226169</v>
      </c>
      <c r="AZ328" s="42">
        <f>'[1]побудинковий звіт'!AZ328+'[2]побудинковий звіт'!AZ328-'[3]побудинковий звіт'!AZ328</f>
        <v>0</v>
      </c>
      <c r="BA328" s="37">
        <f t="shared" ref="BA328:BA367" si="377">AZ328-AY328</f>
        <v>-394.65163909226169</v>
      </c>
      <c r="BB328" s="42">
        <f>'[1]побудинковий звіт'!BB328+'[2]побудинковий звіт'!BB328-'[3]побудинковий звіт'!BB328</f>
        <v>0</v>
      </c>
      <c r="BC328" s="42">
        <f>'[1]побудинковий звіт'!BC328+'[2]побудинковий звіт'!BC328-'[3]побудинковий звіт'!BC328</f>
        <v>0</v>
      </c>
      <c r="BD328" s="59">
        <f t="shared" ref="BD328:BD367" si="378">BC328-BB328</f>
        <v>0</v>
      </c>
      <c r="BE328" s="42">
        <f>'[1]побудинковий звіт'!BE328+'[2]побудинковий звіт'!BE328-'[3]побудинковий звіт'!BE328</f>
        <v>0</v>
      </c>
      <c r="BF328" s="42">
        <f>'[1]побудинковий звіт'!BF328+'[2]побудинковий звіт'!BF328-'[3]побудинковий звіт'!BF328</f>
        <v>0</v>
      </c>
      <c r="BG328" s="39">
        <f t="shared" ref="BG328:BG367" si="379">BF328-BE328</f>
        <v>0</v>
      </c>
      <c r="BH328" s="42">
        <f>'[1]побудинковий звіт'!BH328+'[2]побудинковий звіт'!BH328-'[3]побудинковий звіт'!BH328</f>
        <v>0</v>
      </c>
      <c r="BI328" s="42">
        <f>'[1]побудинковий звіт'!BI328+'[2]побудинковий звіт'!BI328-'[3]побудинковий звіт'!BI328</f>
        <v>0</v>
      </c>
      <c r="BJ328" s="59">
        <f t="shared" ref="BJ328:BJ367" si="380">BI328-BH328</f>
        <v>0</v>
      </c>
      <c r="BK328" s="42">
        <f>'[1]побудинковий звіт'!BK328+'[2]побудинковий звіт'!BK328-'[3]побудинковий звіт'!BK328</f>
        <v>0</v>
      </c>
      <c r="BL328" s="42">
        <f>'[1]побудинковий звіт'!BL328+'[2]побудинковий звіт'!BL328-'[3]побудинковий звіт'!BL328</f>
        <v>0</v>
      </c>
      <c r="BM328" s="39">
        <f t="shared" ref="BM328:BM366" si="381">BL328-BK328</f>
        <v>0</v>
      </c>
      <c r="BN328" s="42">
        <f>'[1]побудинковий звіт'!BN328+'[2]побудинковий звіт'!BN328-'[3]побудинковий звіт'!BN328</f>
        <v>0</v>
      </c>
      <c r="BO328" s="42">
        <f>'[1]побудинковий звіт'!BO328+'[2]побудинковий звіт'!BO328-'[3]побудинковий звіт'!BO328</f>
        <v>0</v>
      </c>
      <c r="BP328" s="59">
        <f t="shared" ref="BP328:BP367" si="382">BO328-BN328</f>
        <v>0</v>
      </c>
      <c r="BQ328" s="87">
        <f t="shared" si="338"/>
        <v>608.16397546633993</v>
      </c>
      <c r="BR328" s="43">
        <f t="shared" si="339"/>
        <v>0</v>
      </c>
      <c r="BS328" s="59">
        <f t="shared" ref="BS328:BS367" si="383">BR328-BQ328</f>
        <v>-608.16397546633993</v>
      </c>
      <c r="BT328" s="42">
        <f>'[1]побудинковий звіт'!BT328+'[2]побудинковий звіт'!BT328-'[3]побудинковий звіт'!BT328</f>
        <v>2028.7352096325501</v>
      </c>
      <c r="BU328" s="42">
        <f>'[1]побудинковий звіт'!BU328+'[2]побудинковий звіт'!BU328-'[3]побудинковий звіт'!BU328</f>
        <v>3941.8700272953411</v>
      </c>
      <c r="BV328" s="56">
        <f t="shared" si="361"/>
        <v>1913.134817662791</v>
      </c>
      <c r="BW328" s="42">
        <f>'[1]побудинковий звіт'!BW328+'[2]побудинковий звіт'!BW328-'[3]побудинковий звіт'!BW328</f>
        <v>86.584407203950491</v>
      </c>
      <c r="BX328" s="42">
        <f>'[1]побудинковий звіт'!BX328+'[2]побудинковий звіт'!BX328-'[3]побудинковий звіт'!BX328</f>
        <v>447.27646297542765</v>
      </c>
      <c r="BY328" s="56">
        <f t="shared" si="362"/>
        <v>360.69205577147716</v>
      </c>
      <c r="BZ328" s="42">
        <f>'[1]побудинковий звіт'!BZ328+'[2]побудинковий звіт'!BZ328-'[3]побудинковий звіт'!BZ328</f>
        <v>1625.0094209077208</v>
      </c>
      <c r="CA328" s="42">
        <f>'[1]побудинковий звіт'!CA328+'[2]побудинковий звіт'!CA328-'[3]побудинковий звіт'!CA328</f>
        <v>852.11586543338001</v>
      </c>
      <c r="CB328" s="56">
        <f t="shared" si="363"/>
        <v>-772.89355547434081</v>
      </c>
      <c r="CC328" s="42">
        <f>'[1]побудинковий звіт'!CC328+'[2]побудинковий звіт'!CC328-'[3]побудинковий звіт'!CC328</f>
        <v>0</v>
      </c>
      <c r="CD328" s="42">
        <f>'[1]побудинковий звіт'!CD328+'[2]побудинковий звіт'!CD328-'[3]побудинковий звіт'!CD328</f>
        <v>0</v>
      </c>
      <c r="CE328" s="56">
        <f t="shared" si="364"/>
        <v>0</v>
      </c>
      <c r="CF328" s="42">
        <f>'[1]побудинковий звіт'!CF328+'[2]побудинковий звіт'!CF328-'[3]побудинковий звіт'!CF328</f>
        <v>0</v>
      </c>
      <c r="CG328" s="42">
        <f>'[1]побудинковий звіт'!CG328+'[2]побудинковий звіт'!CG328-'[3]побудинковий звіт'!CG328</f>
        <v>0</v>
      </c>
      <c r="CH328" s="56">
        <f t="shared" si="365"/>
        <v>0</v>
      </c>
      <c r="CI328" s="42">
        <f>'[1]побудинковий звіт'!CI328+'[2]побудинковий звіт'!CI328-'[3]побудинковий звіт'!CI328</f>
        <v>0</v>
      </c>
      <c r="CJ328" s="42">
        <f>'[1]побудинковий звіт'!CJ328+'[2]побудинковий звіт'!CJ328-'[3]побудинковий звіт'!CJ328</f>
        <v>0</v>
      </c>
      <c r="CK328" s="56">
        <f t="shared" si="366"/>
        <v>0</v>
      </c>
      <c r="CL328" s="42">
        <f>'[1]побудинковий звіт'!CL328+'[2]побудинковий звіт'!CL328-'[3]побудинковий звіт'!CL328</f>
        <v>0</v>
      </c>
      <c r="CM328" s="42">
        <f>'[1]побудинковий звіт'!CM328+'[2]побудинковий звіт'!CM328-'[3]побудинковий звіт'!CM328</f>
        <v>0</v>
      </c>
      <c r="CN328" s="56">
        <f t="shared" si="367"/>
        <v>0</v>
      </c>
      <c r="CO328" s="42">
        <f t="shared" si="347"/>
        <v>0</v>
      </c>
      <c r="CP328" s="43">
        <f t="shared" si="368"/>
        <v>0</v>
      </c>
      <c r="CQ328" s="56">
        <f t="shared" si="369"/>
        <v>0</v>
      </c>
      <c r="CR328" s="78">
        <f t="shared" si="348"/>
        <v>9540.4247947645181</v>
      </c>
      <c r="CS328" s="5">
        <f t="shared" si="348"/>
        <v>7968.8867822533348</v>
      </c>
      <c r="CT328" s="56">
        <f t="shared" si="370"/>
        <v>-1571.5380125111833</v>
      </c>
      <c r="CU328" s="87">
        <f t="shared" si="371"/>
        <v>11448.509753717421</v>
      </c>
      <c r="CV328" s="70">
        <f t="shared" si="372"/>
        <v>9562.6641387040017</v>
      </c>
      <c r="CW328" s="37">
        <f t="shared" si="373"/>
        <v>-1885.8456150134189</v>
      </c>
      <c r="CX328" s="42">
        <f>'[1]побудинковий звіт'!CX328+'[2]побудинковий звіт'!CX328-'[3]побудинковий звіт'!CX328</f>
        <v>310.47024628257964</v>
      </c>
      <c r="CY328" s="42">
        <f>'[1]побудинковий звіт'!CY328+'[2]побудинковий звіт'!CY328-'[3]побудинковий звіт'!CY328</f>
        <v>2196.3158612959992</v>
      </c>
      <c r="CZ328" s="56">
        <f t="shared" si="374"/>
        <v>1885.8456150134195</v>
      </c>
      <c r="DA328" s="264">
        <f>'[4]побудинковий звіт'!DA328</f>
        <v>-15696.449210292718</v>
      </c>
      <c r="DB328" s="2">
        <v>2</v>
      </c>
      <c r="DC328" s="717">
        <f>'[4]побудинковий звіт'!DC328</f>
        <v>18065.02</v>
      </c>
      <c r="DD328" s="717">
        <f>'[4]побудинковий звіт'!DD328</f>
        <v>230.06</v>
      </c>
      <c r="DE328" s="717">
        <f>'[4]побудинковий звіт'!DE328</f>
        <v>17228.8</v>
      </c>
      <c r="DF328" s="717">
        <f>'[4]побудинковий звіт'!DF328</f>
        <v>28.539999999999992</v>
      </c>
      <c r="DG328" s="787">
        <v>-12799.204957785485</v>
      </c>
      <c r="DH328" s="761">
        <f t="shared" si="344"/>
        <v>141107.76</v>
      </c>
      <c r="DI328" s="784"/>
      <c r="DJ328" s="5"/>
      <c r="DK328" s="317">
        <f>VLOOKUP($A328,ціни!$A$4:$G$401,5)</f>
        <v>3.2987477403459833</v>
      </c>
      <c r="DL328" s="317"/>
      <c r="DM328" s="317">
        <f>VLOOKUP($A328,ціни!$A$4:$G$401,7)</f>
        <v>3.2609420218085963</v>
      </c>
      <c r="DN328" s="30">
        <f>F328*DK328</f>
        <v>12650.037834678777</v>
      </c>
      <c r="DO328" s="30">
        <f>H328*DM328</f>
        <v>201.52621694777125</v>
      </c>
      <c r="DP328" s="316">
        <f t="shared" si="335"/>
        <v>12851.564051626548</v>
      </c>
      <c r="DQ328" s="104"/>
      <c r="DR328" s="30">
        <f>VLOOKUP(A328,'ДЗ нас '!$A$1:$C$359,2)</f>
        <v>836.22</v>
      </c>
      <c r="DS328" s="748">
        <f>VLOOKUP(A328,'ДЗ нежит'!$A$1:$D$153,4,0)</f>
        <v>201.52</v>
      </c>
      <c r="DT328" s="30">
        <f t="shared" si="336"/>
        <v>1037.74</v>
      </c>
      <c r="DU328" s="257">
        <f>VLOOKUP(A328,'новий кошторис с 01.06'!$A$4:$AI$399,35)*1.2</f>
        <v>971.21524410702796</v>
      </c>
      <c r="DV328" s="30">
        <f t="shared" si="337"/>
        <v>66.524755892972053</v>
      </c>
      <c r="DW328" s="930">
        <f>'[5]побудинковий звіт'!DW328+'[6]побудинковий звіт'!DW328</f>
        <v>0</v>
      </c>
      <c r="DY328" s="5">
        <f t="shared" si="340"/>
        <v>3226.2132218672455</v>
      </c>
      <c r="DZ328" s="5">
        <f t="shared" si="341"/>
        <v>0</v>
      </c>
      <c r="EA328" s="752">
        <f t="shared" si="345"/>
        <v>17257.34</v>
      </c>
      <c r="EC328" s="592">
        <f t="shared" si="342"/>
        <v>24964.164513076379</v>
      </c>
      <c r="EE328" s="758">
        <v>3014</v>
      </c>
      <c r="EF328" s="738">
        <f t="shared" si="343"/>
        <v>-9785.204957785485</v>
      </c>
      <c r="EH328" s="813">
        <v>-14186.517347225748</v>
      </c>
    </row>
    <row r="329" spans="1:138" x14ac:dyDescent="0.3">
      <c r="A329" s="328">
        <v>150001561</v>
      </c>
      <c r="B329" s="44" t="s">
        <v>782</v>
      </c>
      <c r="C329" s="45" t="s">
        <v>399</v>
      </c>
      <c r="D329" s="45" t="s">
        <v>399</v>
      </c>
      <c r="E329" s="40">
        <f t="shared" ref="E329:E367" si="384">F329+H329</f>
        <v>2289.0100000000002</v>
      </c>
      <c r="F329" s="490">
        <v>2289.0100000000002</v>
      </c>
      <c r="G329" s="30">
        <v>191</v>
      </c>
      <c r="H329" s="30">
        <v>0</v>
      </c>
      <c r="I329" s="42">
        <f>'[1]побудинковий звіт'!I329+'[2]побудинковий звіт'!I329-'[3]побудинковий звіт'!I329</f>
        <v>19569.915101881736</v>
      </c>
      <c r="J329" s="42">
        <f>'[1]побудинковий звіт'!J329+'[2]побудинковий звіт'!J329-'[3]побудинковий звіт'!J329</f>
        <v>19495.273367272577</v>
      </c>
      <c r="K329" s="56">
        <f t="shared" si="349"/>
        <v>-74.641734609158448</v>
      </c>
      <c r="L329" s="42">
        <f>'[1]побудинковий звіт'!L329+'[2]побудинковий звіт'!L329-'[3]побудинковий звіт'!L329</f>
        <v>3100.6991623379367</v>
      </c>
      <c r="M329" s="42">
        <f>'[1]побудинковий звіт'!M329+'[2]побудинковий звіт'!M329-'[3]побудинковий звіт'!M329</f>
        <v>3128.4677751679719</v>
      </c>
      <c r="N329" s="56">
        <f t="shared" si="350"/>
        <v>27.768612830035181</v>
      </c>
      <c r="O329" s="42">
        <f>'[1]побудинковий звіт'!O329+'[2]побудинковий звіт'!O329-'[3]побудинковий звіт'!O329</f>
        <v>0</v>
      </c>
      <c r="P329" s="42">
        <f>'[1]побудинковий звіт'!P329+'[2]побудинковий звіт'!P329-'[3]побудинковий звіт'!P329</f>
        <v>0</v>
      </c>
      <c r="Q329" s="56">
        <f t="shared" si="351"/>
        <v>0</v>
      </c>
      <c r="R329" s="42">
        <f>'[1]побудинковий звіт'!R329+'[2]побудинковий звіт'!R329-'[3]побудинковий звіт'!R329</f>
        <v>0</v>
      </c>
      <c r="S329" s="42">
        <f>'[1]побудинковий звіт'!S329+'[2]побудинковий звіт'!S329-'[3]побудинковий звіт'!S329</f>
        <v>0</v>
      </c>
      <c r="T329" s="56">
        <f t="shared" si="352"/>
        <v>0</v>
      </c>
      <c r="U329" s="42">
        <f>'[1]побудинковий звіт'!U329+'[2]побудинковий звіт'!U329-'[3]побудинковий звіт'!U329</f>
        <v>265.93583065619049</v>
      </c>
      <c r="V329" s="42">
        <f>'[1]побудинковий звіт'!V329+'[2]побудинковий звіт'!V329-'[3]побудинковий звіт'!V329</f>
        <v>709.44225278333624</v>
      </c>
      <c r="W329" s="56">
        <f t="shared" si="353"/>
        <v>443.50642212714575</v>
      </c>
      <c r="X329" s="42">
        <f>'[1]побудинковий звіт'!X329+'[2]побудинковий звіт'!X329-'[3]побудинковий звіт'!X329</f>
        <v>7218.0153656303655</v>
      </c>
      <c r="Y329" s="42">
        <f>'[1]побудинковий звіт'!Y329+'[2]побудинковий звіт'!Y329-'[3]побудинковий звіт'!Y329</f>
        <v>5929.15097399765</v>
      </c>
      <c r="Z329" s="56">
        <f t="shared" si="354"/>
        <v>-1288.8643916327155</v>
      </c>
      <c r="AA329" s="42">
        <f>'[1]побудинковий звіт'!AA329+'[2]побудинковий звіт'!AA329-'[3]побудинковий звіт'!AA329</f>
        <v>0</v>
      </c>
      <c r="AB329" s="42">
        <f>'[1]побудинковий звіт'!AB329+'[2]побудинковий звіт'!AB329-'[3]побудинковий звіт'!AB329</f>
        <v>0</v>
      </c>
      <c r="AC329" s="56">
        <f t="shared" si="355"/>
        <v>0</v>
      </c>
      <c r="AD329" s="42">
        <f>'[1]побудинковий звіт'!AD329+'[2]побудинковий звіт'!AD329-'[3]побудинковий звіт'!AD329</f>
        <v>15036.38916966527</v>
      </c>
      <c r="AE329" s="42">
        <f>'[1]побудинковий звіт'!AE329+'[2]побудинковий звіт'!AE329-'[3]побудинковий звіт'!AE329</f>
        <v>13858.939740276181</v>
      </c>
      <c r="AF329" s="37">
        <f t="shared" si="356"/>
        <v>-1177.4494293890893</v>
      </c>
      <c r="AG329" s="87">
        <f t="shared" si="346"/>
        <v>45190.954630171502</v>
      </c>
      <c r="AH329" s="57">
        <f t="shared" si="346"/>
        <v>43121.274109497717</v>
      </c>
      <c r="AI329" s="56">
        <f t="shared" si="357"/>
        <v>-2069.6805206737845</v>
      </c>
      <c r="AJ329" s="42">
        <f>'[1]побудинковий звіт'!AJ329+'[2]побудинковий звіт'!AJ329-'[3]побудинковий звіт'!AJ329</f>
        <v>11262.602292333329</v>
      </c>
      <c r="AK329" s="42">
        <f>'[1]побудинковий звіт'!AK329+'[2]побудинковий звіт'!AK329-'[3]побудинковий звіт'!AK329</f>
        <v>11163.539060554165</v>
      </c>
      <c r="AL329" s="56">
        <f t="shared" si="358"/>
        <v>-99.063231779164198</v>
      </c>
      <c r="AM329" s="42">
        <f>'[1]побудинковий звіт'!AM329+'[2]побудинковий звіт'!AM329-'[3]побудинковий звіт'!AM329</f>
        <v>1671.2076051064405</v>
      </c>
      <c r="AN329" s="42">
        <f>'[1]побудинковий звіт'!AN329+'[2]побудинковий звіт'!AN329-'[3]побудинковий звіт'!AN329</f>
        <v>1656.5088617349029</v>
      </c>
      <c r="AO329" s="56">
        <f t="shared" si="359"/>
        <v>-14.698743371537603</v>
      </c>
      <c r="AP329" s="42">
        <f>'[1]побудинковий звіт'!AP329+'[2]побудинковий звіт'!AP329-'[3]побудинковий звіт'!AP329</f>
        <v>4687.737332323567</v>
      </c>
      <c r="AQ329" s="42">
        <f>'[1]побудинковий звіт'!AQ329+'[2]побудинковий звіт'!AQ329-'[3]побудинковий звіт'!AQ329</f>
        <v>8050.0617369970023</v>
      </c>
      <c r="AR329" s="56">
        <f t="shared" si="360"/>
        <v>3362.3244046734353</v>
      </c>
      <c r="AS329" s="42">
        <f>'[1]побудинковий звіт'!AS329+'[2]побудинковий звіт'!AS329-'[3]побудинковий звіт'!AS329</f>
        <v>39920.534742815093</v>
      </c>
      <c r="AT329" s="42">
        <f>'[1]побудинковий звіт'!AT329+'[2]побудинковий звіт'!AT329-'[3]побудинковий звіт'!AT329</f>
        <v>42203</v>
      </c>
      <c r="AU329" s="58">
        <f t="shared" si="375"/>
        <v>2282.4652571849074</v>
      </c>
      <c r="AV329" s="42">
        <f>'[1]побудинковий звіт'!AV329+'[2]побудинковий звіт'!AV329-'[3]побудинковий звіт'!AV329</f>
        <v>1540.5238514849541</v>
      </c>
      <c r="AW329" s="42">
        <f>'[1]побудинковий звіт'!AW329+'[2]побудинковий звіт'!AW329-'[3]побудинковий звіт'!AW329</f>
        <v>0</v>
      </c>
      <c r="AX329" s="59">
        <f t="shared" si="376"/>
        <v>-1540.5238514849541</v>
      </c>
      <c r="AY329" s="42">
        <f>'[1]побудинковий звіт'!AY329+'[2]побудинковий звіт'!AY329-'[3]побудинковий звіт'!AY329</f>
        <v>1998.3139563783011</v>
      </c>
      <c r="AZ329" s="42">
        <f>'[1]побудинковий звіт'!AZ329+'[2]побудинковий звіт'!AZ329-'[3]побудинковий звіт'!AZ329</f>
        <v>0</v>
      </c>
      <c r="BA329" s="37">
        <f t="shared" si="377"/>
        <v>-1998.3139563783011</v>
      </c>
      <c r="BB329" s="42">
        <f>'[1]побудинковий звіт'!BB329+'[2]побудинковий звіт'!BB329-'[3]побудинковий звіт'!BB329</f>
        <v>0</v>
      </c>
      <c r="BC329" s="42">
        <f>'[1]побудинковий звіт'!BC329+'[2]побудинковий звіт'!BC329-'[3]побудинковий звіт'!BC329</f>
        <v>0</v>
      </c>
      <c r="BD329" s="59">
        <f t="shared" si="378"/>
        <v>0</v>
      </c>
      <c r="BE329" s="42">
        <f>'[1]побудинковий звіт'!BE329+'[2]побудинковий звіт'!BE329-'[3]побудинковий звіт'!BE329</f>
        <v>0</v>
      </c>
      <c r="BF329" s="42">
        <f>'[1]побудинковий звіт'!BF329+'[2]побудинковий звіт'!BF329-'[3]побудинковий звіт'!BF329</f>
        <v>0</v>
      </c>
      <c r="BG329" s="39">
        <f t="shared" si="379"/>
        <v>0</v>
      </c>
      <c r="BH329" s="42">
        <f>'[1]побудинковий звіт'!BH329+'[2]побудинковий звіт'!BH329-'[3]побудинковий звіт'!BH329</f>
        <v>134.94041023261386</v>
      </c>
      <c r="BI329" s="42">
        <f>'[1]побудинковий звіт'!BI329+'[2]побудинковий звіт'!BI329-'[3]побудинковий звіт'!BI329</f>
        <v>1065.4917767572531</v>
      </c>
      <c r="BJ329" s="59">
        <f t="shared" si="380"/>
        <v>930.55136652463921</v>
      </c>
      <c r="BK329" s="42">
        <f>'[1]побудинковий звіт'!BK329+'[2]побудинковий звіт'!BK329-'[3]побудинковий звіт'!BK329</f>
        <v>464.21379665170264</v>
      </c>
      <c r="BL329" s="42">
        <f>'[1]побудинковий звіт'!BL329+'[2]побудинковий звіт'!BL329-'[3]побудинковий звіт'!BL329</f>
        <v>25339.515330597278</v>
      </c>
      <c r="BM329" s="39">
        <f t="shared" si="381"/>
        <v>24875.301533945574</v>
      </c>
      <c r="BN329" s="42">
        <f>'[1]побудинковий звіт'!BN329+'[2]побудинковий звіт'!BN329-'[3]побудинковий звіт'!BN329</f>
        <v>0</v>
      </c>
      <c r="BO329" s="42">
        <f>'[1]побудинковий звіт'!BO329+'[2]побудинковий звіт'!BO329-'[3]побудинковий звіт'!BO329</f>
        <v>0</v>
      </c>
      <c r="BP329" s="59">
        <f t="shared" si="382"/>
        <v>0</v>
      </c>
      <c r="BQ329" s="87">
        <f t="shared" si="338"/>
        <v>4137.9920147475714</v>
      </c>
      <c r="BR329" s="43">
        <f t="shared" si="339"/>
        <v>26405.00710735453</v>
      </c>
      <c r="BS329" s="59">
        <f t="shared" si="383"/>
        <v>22267.015092606958</v>
      </c>
      <c r="BT329" s="42">
        <f>'[1]побудинковий звіт'!BT329+'[2]побудинковий звіт'!BT329-'[3]побудинковий звіт'!BT329</f>
        <v>18989.787469130857</v>
      </c>
      <c r="BU329" s="42">
        <f>'[1]побудинковий звіт'!BU329+'[2]побудинковий звіт'!BU329-'[3]побудинковий звіт'!BU329</f>
        <v>30317.530736305933</v>
      </c>
      <c r="BV329" s="56">
        <f t="shared" si="361"/>
        <v>11327.743267175076</v>
      </c>
      <c r="BW329" s="42">
        <f>'[1]побудинковий звіт'!BW329+'[2]побудинковий звіт'!BW329-'[3]побудинковий звіт'!BW329</f>
        <v>30970.590298323008</v>
      </c>
      <c r="BX329" s="42">
        <f>'[1]побудинковий звіт'!BX329+'[2]побудинковий звіт'!BX329-'[3]побудинковий звіт'!BX329</f>
        <v>33349.930327708542</v>
      </c>
      <c r="BY329" s="56">
        <f t="shared" si="362"/>
        <v>2379.3400293855339</v>
      </c>
      <c r="BZ329" s="42">
        <f>'[1]побудинковий звіт'!BZ329+'[2]побудинковий звіт'!BZ329-'[3]побудинковий звіт'!BZ329</f>
        <v>13694.286373852277</v>
      </c>
      <c r="CA329" s="42">
        <f>'[1]побудинковий звіт'!CA329+'[2]побудинковий звіт'!CA329-'[3]побудинковий звіт'!CA329</f>
        <v>7602.2025508545939</v>
      </c>
      <c r="CB329" s="56">
        <f t="shared" si="363"/>
        <v>-6092.0838229976835</v>
      </c>
      <c r="CC329" s="42">
        <f>'[1]побудинковий звіт'!CC329+'[2]побудинковий звіт'!CC329-'[3]побудинковий звіт'!CC329</f>
        <v>100.29919562806818</v>
      </c>
      <c r="CD329" s="42">
        <f>'[1]побудинковий звіт'!CD329+'[2]побудинковий звіт'!CD329-'[3]побудинковий звіт'!CD329</f>
        <v>99.417035845881912</v>
      </c>
      <c r="CE329" s="56">
        <f t="shared" si="364"/>
        <v>-0.8821597821862639</v>
      </c>
      <c r="CF329" s="42">
        <f>'[1]побудинковий звіт'!CF329+'[2]побудинковий звіт'!CF329-'[3]побудинковий звіт'!CF329</f>
        <v>12.347438855728086</v>
      </c>
      <c r="CG329" s="42">
        <f>'[1]побудинковий звіт'!CG329+'[2]побудинковий звіт'!CG329-'[3]побудинковий звіт'!CG329</f>
        <v>0</v>
      </c>
      <c r="CH329" s="56">
        <f t="shared" si="365"/>
        <v>-12.347438855728086</v>
      </c>
      <c r="CI329" s="42">
        <f>'[1]побудинковий звіт'!CI329+'[2]побудинковий звіт'!CI329-'[3]побудинковий звіт'!CI329</f>
        <v>2657.8885751612829</v>
      </c>
      <c r="CJ329" s="42">
        <f>'[1]побудинковий звіт'!CJ329+'[2]побудинковий звіт'!CJ329-'[3]побудинковий звіт'!CJ329</f>
        <v>2290.8368862309467</v>
      </c>
      <c r="CK329" s="56">
        <f t="shared" si="366"/>
        <v>-367.05168893033624</v>
      </c>
      <c r="CL329" s="42">
        <f>'[1]побудинковий звіт'!CL329+'[2]побудинковий звіт'!CL329-'[3]побудинковий звіт'!CL329</f>
        <v>7674.1853226487747</v>
      </c>
      <c r="CM329" s="42">
        <f>'[1]побудинковий звіт'!CM329+'[2]побудинковий звіт'!CM329-'[3]побудинковий звіт'!CM329</f>
        <v>7033.905772860975</v>
      </c>
      <c r="CN329" s="56">
        <f t="shared" si="367"/>
        <v>-640.27954978779962</v>
      </c>
      <c r="CO329" s="42">
        <f t="shared" si="347"/>
        <v>10332.073897810058</v>
      </c>
      <c r="CP329" s="43">
        <f t="shared" si="368"/>
        <v>9324.7426590919222</v>
      </c>
      <c r="CQ329" s="56">
        <f t="shared" si="369"/>
        <v>-1007.3312387181359</v>
      </c>
      <c r="CR329" s="78">
        <f t="shared" si="348"/>
        <v>180970.41329109753</v>
      </c>
      <c r="CS329" s="5">
        <f t="shared" si="348"/>
        <v>213293.21418594519</v>
      </c>
      <c r="CT329" s="56">
        <f t="shared" si="370"/>
        <v>32322.800894847664</v>
      </c>
      <c r="CU329" s="87">
        <f t="shared" si="371"/>
        <v>217164.49594931703</v>
      </c>
      <c r="CV329" s="70">
        <f t="shared" si="372"/>
        <v>255951.85702313422</v>
      </c>
      <c r="CW329" s="37">
        <f t="shared" si="373"/>
        <v>38787.361073817185</v>
      </c>
      <c r="CX329" s="42">
        <f>'[1]побудинковий звіт'!CX329+'[2]побудинковий звіт'!CX329-'[3]побудинковий звіт'!CX329</f>
        <v>3487.754050683041</v>
      </c>
      <c r="CY329" s="42">
        <f>'[1]побудинковий звіт'!CY329+'[2]побудинковий звіт'!CY329-'[3]побудинковий звіт'!CY329</f>
        <v>-35299.607023134231</v>
      </c>
      <c r="CZ329" s="56">
        <f t="shared" si="374"/>
        <v>-38787.361073817272</v>
      </c>
      <c r="DA329" s="264">
        <f>'[4]побудинковий звіт'!DA329</f>
        <v>-106345.99236770382</v>
      </c>
      <c r="DB329" s="2">
        <v>2</v>
      </c>
      <c r="DC329" s="717">
        <f>'[4]побудинковий звіт'!DC329</f>
        <v>63314.8</v>
      </c>
      <c r="DD329" s="717">
        <f>'[4]побудинковий звіт'!DD329</f>
        <v>0</v>
      </c>
      <c r="DE329" s="717">
        <f>'[4]побудинковий звіт'!DE329</f>
        <v>44715.06</v>
      </c>
      <c r="DF329" s="717">
        <f>'[4]побудинковий звіт'!DF329</f>
        <v>0</v>
      </c>
      <c r="DG329" s="787">
        <v>-122108.53280215821</v>
      </c>
      <c r="DH329" s="761">
        <f t="shared" si="344"/>
        <v>2647827.0000000009</v>
      </c>
      <c r="DI329" s="784"/>
      <c r="DJ329" s="5"/>
      <c r="DK329" s="317">
        <f>VLOOKUP($A329,ціни!$A$4:$G$401,5)</f>
        <v>4.6285575368843217</v>
      </c>
      <c r="DL329" s="317">
        <f>VLOOKUP($A329,ціни!$A$4:$G$401,6)</f>
        <v>5.2575302079328505</v>
      </c>
      <c r="DM329" s="317">
        <f>VLOOKUP($A329,ціни!$A$4:$G$401,7)</f>
        <v>3.7346500935356937</v>
      </c>
      <c r="DN329" s="30">
        <f>DK329*G329+(F329-G329)*DL329</f>
        <v>11914.405441090106</v>
      </c>
      <c r="DO329" s="30">
        <f>DM329*H329</f>
        <v>0</v>
      </c>
      <c r="DP329" s="316">
        <f t="shared" si="335"/>
        <v>11914.405441090106</v>
      </c>
      <c r="DQ329" s="104"/>
      <c r="DR329" s="30">
        <f>VLOOKUP(A329,'ДЗ нас '!$A$1:$C$359,2)</f>
        <v>18599.740000000002</v>
      </c>
      <c r="DS329" s="748"/>
      <c r="DT329" s="30">
        <f t="shared" si="336"/>
        <v>18599.740000000002</v>
      </c>
      <c r="DU329" s="257">
        <f>VLOOKUP(A329,'новий кошторис с 01.06'!$A$4:$AI$399,35)*1.2</f>
        <v>18422.788073033724</v>
      </c>
      <c r="DV329" s="30">
        <f t="shared" si="337"/>
        <v>176.95192696627782</v>
      </c>
      <c r="DW329" s="930">
        <f>'[5]побудинковий звіт'!DW329+'[6]побудинковий звіт'!DW329</f>
        <v>204</v>
      </c>
      <c r="DY329" s="5">
        <f t="shared" si="340"/>
        <v>52870.232109075194</v>
      </c>
      <c r="DZ329" s="5">
        <f t="shared" si="341"/>
        <v>82329.608528825425</v>
      </c>
      <c r="EA329" s="752">
        <f t="shared" si="345"/>
        <v>44715.06</v>
      </c>
      <c r="EC329" s="592">
        <f t="shared" si="342"/>
        <v>479046.41691378108</v>
      </c>
      <c r="EE329" s="758">
        <v>-2493</v>
      </c>
      <c r="EF329" s="738">
        <f t="shared" si="343"/>
        <v>-124601.53280215821</v>
      </c>
      <c r="EH329" s="813">
        <v>-141923.47729852295</v>
      </c>
    </row>
    <row r="330" spans="1:138" x14ac:dyDescent="0.3">
      <c r="A330" s="328">
        <v>150000892</v>
      </c>
      <c r="B330" s="44" t="s">
        <v>783</v>
      </c>
      <c r="C330" s="45" t="s">
        <v>400</v>
      </c>
      <c r="D330" s="45" t="s">
        <v>400</v>
      </c>
      <c r="E330" s="40">
        <f t="shared" si="384"/>
        <v>2609.98</v>
      </c>
      <c r="F330" s="490">
        <v>2609.98</v>
      </c>
      <c r="G330" s="30">
        <v>391.15</v>
      </c>
      <c r="H330" s="30">
        <v>0</v>
      </c>
      <c r="I330" s="42">
        <f>'[1]побудинковий звіт'!I330+'[2]побудинковий звіт'!I330-'[3]побудинковий звіт'!I330</f>
        <v>16688.859023244317</v>
      </c>
      <c r="J330" s="42">
        <f>'[1]побудинковий звіт'!J330+'[2]побудинковий звіт'!J330-'[3]побудинковий звіт'!J330</f>
        <v>15225.013352747927</v>
      </c>
      <c r="K330" s="56">
        <f t="shared" si="349"/>
        <v>-1463.8456704963901</v>
      </c>
      <c r="L330" s="42">
        <f>'[1]побудинковий звіт'!L330+'[2]побудинковий звіт'!L330-'[3]побудинковий звіт'!L330</f>
        <v>2723.1348922620737</v>
      </c>
      <c r="M330" s="42">
        <f>'[1]побудинковий звіт'!M330+'[2]побудинковий звіт'!M330-'[3]побудинковий звіт'!M330</f>
        <v>2607.4754070542558</v>
      </c>
      <c r="N330" s="56">
        <f t="shared" si="350"/>
        <v>-115.65948520781785</v>
      </c>
      <c r="O330" s="42">
        <f>'[1]побудинковий звіт'!O330+'[2]побудинковий звіт'!O330-'[3]побудинковий звіт'!O330</f>
        <v>5394.7200000000012</v>
      </c>
      <c r="P330" s="42">
        <f>'[1]побудинковий звіт'!P330+'[2]побудинковий звіт'!P330-'[3]побудинковий звіт'!P330</f>
        <v>5395.9199999999992</v>
      </c>
      <c r="Q330" s="56">
        <f t="shared" si="351"/>
        <v>1.1999999999979991</v>
      </c>
      <c r="R330" s="42">
        <f>'[1]побудинковий звіт'!R330+'[2]побудинковий звіт'!R330-'[3]побудинковий звіт'!R330</f>
        <v>1334.8799999999999</v>
      </c>
      <c r="S330" s="42">
        <f>'[1]побудинковий звіт'!S330+'[2]побудинковий звіт'!S330-'[3]побудинковий звіт'!S330</f>
        <v>1333.44</v>
      </c>
      <c r="T330" s="56">
        <f t="shared" si="352"/>
        <v>-1.4399999999998272</v>
      </c>
      <c r="U330" s="42">
        <f>'[1]побудинковий звіт'!U330+'[2]побудинковий звіт'!U330-'[3]побудинковий звіт'!U330</f>
        <v>780.05784393801946</v>
      </c>
      <c r="V330" s="42">
        <f>'[1]побудинковий звіт'!V330+'[2]побудинковий звіт'!V330-'[3]побудинковий звіт'!V330</f>
        <v>529.67087313499223</v>
      </c>
      <c r="W330" s="56">
        <f t="shared" si="353"/>
        <v>-250.38697080302722</v>
      </c>
      <c r="X330" s="42">
        <f>'[1]побудинковий звіт'!X330+'[2]побудинковий звіт'!X330-'[3]побудинковий звіт'!X330</f>
        <v>5848.6386851058187</v>
      </c>
      <c r="Y330" s="42">
        <f>'[1]побудинковий звіт'!Y330+'[2]побудинковий звіт'!Y330-'[3]побудинковий звіт'!Y330</f>
        <v>5597.1957686194828</v>
      </c>
      <c r="Z330" s="56">
        <f t="shared" si="354"/>
        <v>-251.44291648633589</v>
      </c>
      <c r="AA330" s="42">
        <f>'[1]побудинковий звіт'!AA330+'[2]побудинковий звіт'!AA330-'[3]побудинковий звіт'!AA330</f>
        <v>0</v>
      </c>
      <c r="AB330" s="42">
        <f>'[1]побудинковий звіт'!AB330+'[2]побудинковий звіт'!AB330-'[3]побудинковий звіт'!AB330</f>
        <v>0</v>
      </c>
      <c r="AC330" s="56">
        <f t="shared" si="355"/>
        <v>0</v>
      </c>
      <c r="AD330" s="42">
        <f>'[1]побудинковий звіт'!AD330+'[2]побудинковий звіт'!AD330-'[3]побудинковий звіт'!AD330</f>
        <v>17761.3766057762</v>
      </c>
      <c r="AE330" s="42">
        <f>'[1]побудинковий звіт'!AE330+'[2]побудинковий звіт'!AE330-'[3]побудинковий звіт'!AE330</f>
        <v>16370.542508995393</v>
      </c>
      <c r="AF330" s="37">
        <f t="shared" si="356"/>
        <v>-1390.8340967808072</v>
      </c>
      <c r="AG330" s="87">
        <f t="shared" si="346"/>
        <v>50531.667050326432</v>
      </c>
      <c r="AH330" s="57">
        <f t="shared" si="346"/>
        <v>47059.257910552049</v>
      </c>
      <c r="AI330" s="56">
        <f t="shared" si="357"/>
        <v>-3472.4091397743832</v>
      </c>
      <c r="AJ330" s="42">
        <f>'[1]побудинковий звіт'!AJ330+'[2]побудинковий звіт'!AJ330-'[3]побудинковий звіт'!AJ330</f>
        <v>57609.066383578771</v>
      </c>
      <c r="AK330" s="42">
        <f>'[1]побудинковий звіт'!AK330+'[2]побудинковий звіт'!AK330-'[3]побудинковий звіт'!AK330</f>
        <v>56867.359195362587</v>
      </c>
      <c r="AL330" s="56">
        <f t="shared" si="358"/>
        <v>-741.70718821618357</v>
      </c>
      <c r="AM330" s="42">
        <f>'[1]побудинковий звіт'!AM330+'[2]побудинковий звіт'!AM330-'[3]побудинковий звіт'!AM330</f>
        <v>0</v>
      </c>
      <c r="AN330" s="42">
        <f>'[1]побудинковий звіт'!AN330+'[2]побудинковий звіт'!AN330-'[3]побудинковий звіт'!AN330</f>
        <v>0</v>
      </c>
      <c r="AO330" s="56">
        <f t="shared" si="359"/>
        <v>0</v>
      </c>
      <c r="AP330" s="42">
        <f>'[1]побудинковий звіт'!AP330+'[2]побудинковий звіт'!AP330-'[3]побудинковий звіт'!AP330</f>
        <v>3361.9126322724574</v>
      </c>
      <c r="AQ330" s="42">
        <f>'[1]побудинковий звіт'!AQ330+'[2]побудинковий звіт'!AQ330-'[3]побудинковий звіт'!AQ330</f>
        <v>3248.0050240414694</v>
      </c>
      <c r="AR330" s="56">
        <f t="shared" si="360"/>
        <v>-113.90760823098799</v>
      </c>
      <c r="AS330" s="42">
        <f>'[1]побудинковий звіт'!AS330+'[2]побудинковий звіт'!AS330-'[3]побудинковий звіт'!AS330</f>
        <v>64286.113883039434</v>
      </c>
      <c r="AT330" s="42">
        <f>'[1]побудинковий звіт'!AT330+'[2]побудинковий звіт'!AT330-'[3]побудинковий звіт'!AT330</f>
        <v>21773.401708379537</v>
      </c>
      <c r="AU330" s="58">
        <f t="shared" si="375"/>
        <v>-42512.7121746599</v>
      </c>
      <c r="AV330" s="42">
        <f>'[1]побудинковий звіт'!AV330+'[2]побудинковий звіт'!AV330-'[3]побудинковий звіт'!AV330</f>
        <v>1347.0946604824205</v>
      </c>
      <c r="AW330" s="42">
        <f>'[1]побудинковий звіт'!AW330+'[2]побудинковий звіт'!AW330-'[3]побудинковий звіт'!AW330</f>
        <v>0</v>
      </c>
      <c r="AX330" s="59">
        <f t="shared" si="376"/>
        <v>-1347.0946604824205</v>
      </c>
      <c r="AY330" s="42">
        <f>'[1]побудинковий звіт'!AY330+'[2]побудинковий звіт'!AY330-'[3]побудинковий звіт'!AY330</f>
        <v>1800.7662454309241</v>
      </c>
      <c r="AZ330" s="42">
        <f>'[1]побудинковий звіт'!AZ330+'[2]побудинковий звіт'!AZ330-'[3]побудинковий звіт'!AZ330</f>
        <v>22422</v>
      </c>
      <c r="BA330" s="37">
        <f t="shared" si="377"/>
        <v>20621.233754569075</v>
      </c>
      <c r="BB330" s="42">
        <f>'[1]побудинковий звіт'!BB330+'[2]побудинковий звіт'!BB330-'[3]побудинковий звіт'!BB330</f>
        <v>2257.6615520544465</v>
      </c>
      <c r="BC330" s="42">
        <f>'[1]побудинковий звіт'!BC330+'[2]побудинковий звіт'!BC330-'[3]побудинковий звіт'!BC330</f>
        <v>766</v>
      </c>
      <c r="BD330" s="59">
        <f t="shared" si="378"/>
        <v>-1491.6615520544465</v>
      </c>
      <c r="BE330" s="42">
        <f>'[1]побудинковий звіт'!BE330+'[2]побудинковий звіт'!BE330-'[3]побудинковий звіт'!BE330</f>
        <v>750.79405270754</v>
      </c>
      <c r="BF330" s="42">
        <f>'[1]побудинковий звіт'!BF330+'[2]побудинковий звіт'!BF330-'[3]побудинковий звіт'!BF330</f>
        <v>0</v>
      </c>
      <c r="BG330" s="39">
        <f t="shared" si="379"/>
        <v>-750.79405270754</v>
      </c>
      <c r="BH330" s="42">
        <f>'[1]побудинковий звіт'!BH330+'[2]побудинковий звіт'!BH330-'[3]побудинковий звіт'!BH330</f>
        <v>395.76741189229665</v>
      </c>
      <c r="BI330" s="42">
        <f>'[1]побудинковий звіт'!BI330+'[2]побудинковий звіт'!BI330-'[3]побудинковий звіт'!BI330</f>
        <v>0</v>
      </c>
      <c r="BJ330" s="59">
        <f t="shared" si="380"/>
        <v>-395.76741189229665</v>
      </c>
      <c r="BK330" s="42">
        <f>'[1]побудинковий звіт'!BK330+'[2]побудинковий звіт'!BK330-'[3]побудинковий звіт'!BK330</f>
        <v>754.9767330279999</v>
      </c>
      <c r="BL330" s="42">
        <f>'[1]побудинковий звіт'!BL330+'[2]побудинковий звіт'!BL330-'[3]побудинковий звіт'!BL330</f>
        <v>0</v>
      </c>
      <c r="BM330" s="39">
        <f t="shared" si="381"/>
        <v>-754.9767330279999</v>
      </c>
      <c r="BN330" s="42">
        <f>'[1]побудинковий звіт'!BN330+'[2]побудинковий звіт'!BN330-'[3]побудинковий звіт'!BN330</f>
        <v>0</v>
      </c>
      <c r="BO330" s="42">
        <f>'[1]побудинковий звіт'!BO330+'[2]побудинковий звіт'!BO330-'[3]побудинковий звіт'!BO330</f>
        <v>0</v>
      </c>
      <c r="BP330" s="59">
        <f t="shared" si="382"/>
        <v>0</v>
      </c>
      <c r="BQ330" s="87">
        <f t="shared" si="338"/>
        <v>7307.0606555956274</v>
      </c>
      <c r="BR330" s="43">
        <f t="shared" si="339"/>
        <v>23188</v>
      </c>
      <c r="BS330" s="59">
        <f t="shared" si="383"/>
        <v>15880.939344404373</v>
      </c>
      <c r="BT330" s="42">
        <f>'[1]побудинковий звіт'!BT330+'[2]побудинковий звіт'!BT330-'[3]побудинковий звіт'!BT330</f>
        <v>59037.363636104317</v>
      </c>
      <c r="BU330" s="42">
        <f>'[1]побудинковий звіт'!BU330+'[2]побудинковий звіт'!BU330-'[3]побудинковий звіт'!BU330</f>
        <v>61605.361467955168</v>
      </c>
      <c r="BV330" s="56">
        <f t="shared" si="361"/>
        <v>2567.9978318508511</v>
      </c>
      <c r="BW330" s="42">
        <f>'[1]побудинковий звіт'!BW330+'[2]побудинковий звіт'!BW330-'[3]побудинковий звіт'!BW330</f>
        <v>39715.59195901698</v>
      </c>
      <c r="BX330" s="42">
        <f>'[1]побудинковий звіт'!BX330+'[2]побудинковий звіт'!BX330-'[3]побудинковий звіт'!BX330</f>
        <v>40692.745468801004</v>
      </c>
      <c r="BY330" s="56">
        <f t="shared" si="362"/>
        <v>977.15350978402421</v>
      </c>
      <c r="BZ330" s="42">
        <f>'[1]побудинковий звіт'!BZ330+'[2]побудинковий звіт'!BZ330-'[3]побудинковий звіт'!BZ330</f>
        <v>5182.1477604157435</v>
      </c>
      <c r="CA330" s="42">
        <f>'[1]побудинковий звіт'!CA330+'[2]побудинковий звіт'!CA330-'[3]побудинковий звіт'!CA330</f>
        <v>13011.015585681274</v>
      </c>
      <c r="CB330" s="56">
        <f t="shared" si="363"/>
        <v>7828.8678252655309</v>
      </c>
      <c r="CC330" s="42">
        <f>'[1]побудинковий звіт'!CC330+'[2]побудинковий звіт'!CC330-'[3]побудинковий звіт'!CC330</f>
        <v>1428.6899792498987</v>
      </c>
      <c r="CD330" s="42">
        <f>'[1]побудинковий звіт'!CD330+'[2]побудинковий звіт'!CD330-'[3]побудинковий звіт'!CD330</f>
        <v>1416.1242469624701</v>
      </c>
      <c r="CE330" s="56">
        <f t="shared" si="364"/>
        <v>-12.565732287428546</v>
      </c>
      <c r="CF330" s="42">
        <f>'[1]побудинковий звіт'!CF330+'[2]побудинковий звіт'!CF330-'[3]побудинковий звіт'!CF330</f>
        <v>175.88039517280956</v>
      </c>
      <c r="CG330" s="42">
        <f>'[1]побудинковий звіт'!CG330+'[2]побудинковий звіт'!CG330-'[3]побудинковий звіт'!CG330</f>
        <v>0</v>
      </c>
      <c r="CH330" s="56">
        <f t="shared" si="365"/>
        <v>-175.88039517280956</v>
      </c>
      <c r="CI330" s="42">
        <f>'[1]побудинковий звіт'!CI330+'[2]побудинковий звіт'!CI330-'[3]побудинковий звіт'!CI330</f>
        <v>10893.599653125822</v>
      </c>
      <c r="CJ330" s="42">
        <f>'[1]побудинковий звіт'!CJ330+'[2]побудинковий звіт'!CJ330-'[3]побудинковий звіт'!CJ330</f>
        <v>8364.0709340140638</v>
      </c>
      <c r="CK330" s="56">
        <f t="shared" si="366"/>
        <v>-2529.5287191117586</v>
      </c>
      <c r="CL330" s="42">
        <f>'[1]побудинковий звіт'!CL330+'[2]побудинковий звіт'!CL330-'[3]побудинковий звіт'!CL330</f>
        <v>7075.2245169786274</v>
      </c>
      <c r="CM330" s="42">
        <f>'[1]побудинковий звіт'!CM330+'[2]побудинковий звіт'!CM330-'[3]побудинковий звіт'!CM330</f>
        <v>8153.0989808695067</v>
      </c>
      <c r="CN330" s="56">
        <f t="shared" si="367"/>
        <v>1077.8744638908793</v>
      </c>
      <c r="CO330" s="42">
        <f t="shared" si="347"/>
        <v>17968.82417010445</v>
      </c>
      <c r="CP330" s="43">
        <f t="shared" si="368"/>
        <v>16517.169914883569</v>
      </c>
      <c r="CQ330" s="56">
        <f t="shared" si="369"/>
        <v>-1451.6542552208812</v>
      </c>
      <c r="CR330" s="78">
        <f t="shared" si="348"/>
        <v>306604.31850487692</v>
      </c>
      <c r="CS330" s="5">
        <f t="shared" si="348"/>
        <v>285378.44052261912</v>
      </c>
      <c r="CT330" s="56">
        <f t="shared" si="370"/>
        <v>-21225.877982257807</v>
      </c>
      <c r="CU330" s="87">
        <f t="shared" si="371"/>
        <v>367925.1822058523</v>
      </c>
      <c r="CV330" s="70">
        <f t="shared" si="372"/>
        <v>342454.12862714293</v>
      </c>
      <c r="CW330" s="37">
        <f t="shared" si="373"/>
        <v>-25471.053578709369</v>
      </c>
      <c r="CX330" s="42">
        <f>'[1]побудинковий звіт'!CX330+'[2]побудинковий звіт'!CX330-'[3]побудинковий звіт'!CX330</f>
        <v>3706.8077941477568</v>
      </c>
      <c r="CY330" s="42">
        <f>'[1]побудинковий звіт'!CY330+'[2]побудинковий звіт'!CY330-'[3]побудинковий звіт'!CY330</f>
        <v>29177.861372857049</v>
      </c>
      <c r="CZ330" s="56">
        <f t="shared" si="374"/>
        <v>25471.053578709292</v>
      </c>
      <c r="DA330" s="264">
        <f>'[4]побудинковий звіт'!DA330</f>
        <v>47692.282939842378</v>
      </c>
      <c r="DB330" s="2">
        <v>3</v>
      </c>
      <c r="DC330" s="717">
        <f>'[4]побудинковий звіт'!DC330</f>
        <v>74259.77</v>
      </c>
      <c r="DD330" s="717">
        <f>'[4]побудинковий звіт'!DD330</f>
        <v>0</v>
      </c>
      <c r="DE330" s="717">
        <f>'[4]побудинковий звіт'!DE330</f>
        <v>43264.560000000005</v>
      </c>
      <c r="DF330" s="717">
        <f>'[4]побудинковий звіт'!DF330</f>
        <v>0</v>
      </c>
      <c r="DG330" s="787">
        <v>79334.129765573191</v>
      </c>
      <c r="DH330" s="761">
        <f t="shared" si="344"/>
        <v>4459583.8800000008</v>
      </c>
      <c r="DI330" s="784"/>
      <c r="DJ330" s="5"/>
      <c r="DK330" s="317">
        <f>VLOOKUP($A330,ціни!$A$4:$G$401,5)</f>
        <v>5.8821644209143864</v>
      </c>
      <c r="DL330" s="317">
        <f>VLOOKUP($A330,ціни!$A$4:$G$401,6)</f>
        <v>7.6184247042062072</v>
      </c>
      <c r="DM330" s="317">
        <f>VLOOKUP($A330,ціни!$A$4:$G$401,7)</f>
        <v>4.9164996750464756</v>
      </c>
      <c r="DN330" s="30">
        <f>DK330*G330+(F330-G330)*DL330</f>
        <v>19204.797899674519</v>
      </c>
      <c r="DO330" s="30">
        <f>DM330*H330</f>
        <v>0</v>
      </c>
      <c r="DP330" s="316">
        <f t="shared" si="335"/>
        <v>19204.797899674519</v>
      </c>
      <c r="DQ330" s="104"/>
      <c r="DR330" s="30">
        <f>VLOOKUP(A330,'ДЗ нас '!$A$1:$C$359,2)</f>
        <v>30995.21</v>
      </c>
      <c r="DS330" s="748"/>
      <c r="DT330" s="30">
        <f t="shared" si="336"/>
        <v>30995.21</v>
      </c>
      <c r="DU330" s="257">
        <f>VLOOKUP(A330,'новий кошторис с 01.06'!$A$4:$AI$399,35)*1.2</f>
        <v>31028.357032693541</v>
      </c>
      <c r="DV330" s="30">
        <f t="shared" si="337"/>
        <v>-33.147032693541405</v>
      </c>
      <c r="DW330" s="930">
        <f>'[5]побудинковий звіт'!DW330+'[6]побудинковий звіт'!DW330</f>
        <v>236</v>
      </c>
      <c r="DY330" s="5">
        <f t="shared" si="340"/>
        <v>85911.80944636208</v>
      </c>
      <c r="DZ330" s="5">
        <f t="shared" si="341"/>
        <v>53953.682050055439</v>
      </c>
      <c r="EA330" s="752">
        <f t="shared" si="345"/>
        <v>43264.560000000005</v>
      </c>
      <c r="EC330" s="592">
        <f t="shared" si="342"/>
        <v>771433.36659647315</v>
      </c>
      <c r="EE330" s="758">
        <v>25206</v>
      </c>
      <c r="EF330" s="738">
        <f t="shared" si="343"/>
        <v>104540.12976557319</v>
      </c>
      <c r="EH330" s="813">
        <v>60711.99662033288</v>
      </c>
    </row>
    <row r="331" spans="1:138" x14ac:dyDescent="0.3">
      <c r="A331" s="328">
        <v>150000893</v>
      </c>
      <c r="B331" s="44" t="s">
        <v>784</v>
      </c>
      <c r="C331" s="45" t="s">
        <v>314</v>
      </c>
      <c r="D331" s="45" t="s">
        <v>314</v>
      </c>
      <c r="E331" s="40">
        <f t="shared" si="384"/>
        <v>4602.8900000000003</v>
      </c>
      <c r="F331" s="490">
        <v>4602.8900000000003</v>
      </c>
      <c r="G331" s="30"/>
      <c r="H331" s="30">
        <v>0</v>
      </c>
      <c r="I331" s="42">
        <f>'[1]побудинковий звіт'!I331+'[2]побудинковий звіт'!I331-'[3]побудинковий звіт'!I331</f>
        <v>10560.273266605662</v>
      </c>
      <c r="J331" s="42">
        <f>'[1]побудинковий звіт'!J331+'[2]побудинковий звіт'!J331-'[3]побудинковий звіт'!J331</f>
        <v>9616.4691837000701</v>
      </c>
      <c r="K331" s="56">
        <f t="shared" si="349"/>
        <v>-943.80408290559171</v>
      </c>
      <c r="L331" s="42">
        <f>'[1]побудинковий звіт'!L331+'[2]побудинковий звіт'!L331-'[3]побудинковий звіт'!L331</f>
        <v>1994.6359706671178</v>
      </c>
      <c r="M331" s="42">
        <f>'[1]побудинковий звіт'!M331+'[2]побудинковий звіт'!M331-'[3]побудинковий звіт'!M331</f>
        <v>1909.9197782193564</v>
      </c>
      <c r="N331" s="56">
        <f t="shared" si="350"/>
        <v>-84.716192447761387</v>
      </c>
      <c r="O331" s="42">
        <f>'[1]побудинковий звіт'!O331+'[2]побудинковий звіт'!O331-'[3]побудинковий звіт'!O331</f>
        <v>3989.6400000000017</v>
      </c>
      <c r="P331" s="42">
        <f>'[1]побудинковий звіт'!P331+'[2]побудинковий звіт'!P331-'[3]побудинковий звіт'!P331</f>
        <v>3989.76</v>
      </c>
      <c r="Q331" s="56">
        <f t="shared" si="351"/>
        <v>0.11999999999852662</v>
      </c>
      <c r="R331" s="42">
        <f>'[1]побудинковий звіт'!R331+'[2]побудинковий звіт'!R331-'[3]побудинковий звіт'!R331</f>
        <v>0</v>
      </c>
      <c r="S331" s="42">
        <f>'[1]побудинковий звіт'!S331+'[2]побудинковий звіт'!S331-'[3]побудинковий звіт'!S331</f>
        <v>0</v>
      </c>
      <c r="T331" s="56">
        <f t="shared" si="352"/>
        <v>0</v>
      </c>
      <c r="U331" s="42">
        <f>'[1]побудинковий звіт'!U331+'[2]побудинковий звіт'!U331-'[3]побудинковий звіт'!U331</f>
        <v>709.3549077326212</v>
      </c>
      <c r="V331" s="42">
        <f>'[1]побудинковий звіт'!V331+'[2]побудинковий звіт'!V331-'[3]побудинковий звіт'!V331</f>
        <v>481.66505641930655</v>
      </c>
      <c r="W331" s="56">
        <f t="shared" si="353"/>
        <v>-227.68985131331465</v>
      </c>
      <c r="X331" s="42">
        <f>'[1]побудинковий звіт'!X331+'[2]побудинковий звіт'!X331-'[3]побудинковий звіт'!X331</f>
        <v>7117.2089417404231</v>
      </c>
      <c r="Y331" s="42">
        <f>'[1]побудинковий звіт'!Y331+'[2]побудинковий звіт'!Y331-'[3]побудинковий звіт'!Y331</f>
        <v>8490.0089608332473</v>
      </c>
      <c r="Z331" s="56">
        <f t="shared" si="354"/>
        <v>1372.8000190928242</v>
      </c>
      <c r="AA331" s="42">
        <f>'[1]побудинковий звіт'!AA331+'[2]побудинковий звіт'!AA331-'[3]побудинковий звіт'!AA331</f>
        <v>0</v>
      </c>
      <c r="AB331" s="42">
        <f>'[1]побудинковий звіт'!AB331+'[2]побудинковий звіт'!AB331-'[3]побудинковий звіт'!AB331</f>
        <v>0</v>
      </c>
      <c r="AC331" s="56">
        <f t="shared" si="355"/>
        <v>0</v>
      </c>
      <c r="AD331" s="42">
        <f>'[1]побудинковий звіт'!AD331+'[2]побудинковий звіт'!AD331-'[3]побудинковий звіт'!AD331</f>
        <v>11754.688467931184</v>
      </c>
      <c r="AE331" s="42">
        <f>'[1]побудинковий звіт'!AE331+'[2]побудинковий звіт'!AE331-'[3]побудинковий звіт'!AE331</f>
        <v>10834.218062899743</v>
      </c>
      <c r="AF331" s="37">
        <f t="shared" si="356"/>
        <v>-920.47040503144126</v>
      </c>
      <c r="AG331" s="87">
        <f t="shared" si="346"/>
        <v>36125.801554677011</v>
      </c>
      <c r="AH331" s="57">
        <f t="shared" si="346"/>
        <v>35322.041042071723</v>
      </c>
      <c r="AI331" s="56">
        <f t="shared" si="357"/>
        <v>-803.76051260528766</v>
      </c>
      <c r="AJ331" s="42">
        <f>'[1]побудинковий звіт'!AJ331+'[2]побудинковий звіт'!AJ331-'[3]побудинковий звіт'!AJ331</f>
        <v>0</v>
      </c>
      <c r="AK331" s="42">
        <f>'[1]побудинковий звіт'!AK331+'[2]побудинковий звіт'!AK331-'[3]побудинковий звіт'!AK331</f>
        <v>0</v>
      </c>
      <c r="AL331" s="56">
        <f t="shared" si="358"/>
        <v>0</v>
      </c>
      <c r="AM331" s="42">
        <f>'[1]побудинковий звіт'!AM331+'[2]побудинковий звіт'!AM331-'[3]побудинковий звіт'!AM331</f>
        <v>0</v>
      </c>
      <c r="AN331" s="42">
        <f>'[1]побудинковий звіт'!AN331+'[2]побудинковий звіт'!AN331-'[3]побудинковий звіт'!AN331</f>
        <v>0</v>
      </c>
      <c r="AO331" s="56">
        <f t="shared" si="359"/>
        <v>0</v>
      </c>
      <c r="AP331" s="42">
        <f>'[1]побудинковий звіт'!AP331+'[2]побудинковий звіт'!AP331-'[3]побудинковий звіт'!AP331</f>
        <v>5113.8952716257081</v>
      </c>
      <c r="AQ331" s="42">
        <f>'[1]побудинковий звіт'!AQ331+'[2]побудинковий звіт'!AQ331-'[3]побудинковий звіт'!AQ331</f>
        <v>8092.1519969048295</v>
      </c>
      <c r="AR331" s="56">
        <f t="shared" si="360"/>
        <v>2978.2567252791214</v>
      </c>
      <c r="AS331" s="42">
        <f>'[1]побудинковий звіт'!AS331+'[2]побудинковий звіт'!AS331-'[3]побудинковий звіт'!AS331</f>
        <v>53329.723146108328</v>
      </c>
      <c r="AT331" s="42">
        <f>'[1]побудинковий звіт'!AT331+'[2]побудинковий звіт'!AT331-'[3]побудинковий звіт'!AT331</f>
        <v>121759.50623644372</v>
      </c>
      <c r="AU331" s="58">
        <f t="shared" si="375"/>
        <v>68429.78309033539</v>
      </c>
      <c r="AV331" s="42">
        <f>'[1]побудинковий звіт'!AV331+'[2]побудинковий звіт'!AV331-'[3]побудинковий звіт'!AV331</f>
        <v>1762.5192382403166</v>
      </c>
      <c r="AW331" s="42">
        <f>'[1]побудинковий звіт'!AW331+'[2]побудинковий звіт'!AW331-'[3]побудинковий звіт'!AW331</f>
        <v>0</v>
      </c>
      <c r="AX331" s="59">
        <f t="shared" si="376"/>
        <v>-1762.5192382403166</v>
      </c>
      <c r="AY331" s="42">
        <f>'[1]побудинковий звіт'!AY331+'[2]побудинковий звіт'!AY331-'[3]побудинковий звіт'!AY331</f>
        <v>2570.742825601536</v>
      </c>
      <c r="AZ331" s="42">
        <f>'[1]побудинковий звіт'!AZ331+'[2]побудинковий звіт'!AZ331-'[3]побудинковий звіт'!AZ331</f>
        <v>740</v>
      </c>
      <c r="BA331" s="37">
        <f t="shared" si="377"/>
        <v>-1830.742825601536</v>
      </c>
      <c r="BB331" s="42">
        <f>'[1]побудинковий звіт'!BB331+'[2]побудинковий звіт'!BB331-'[3]побудинковий звіт'!BB331</f>
        <v>1622.6636730312914</v>
      </c>
      <c r="BC331" s="42">
        <f>'[1]побудинковий звіт'!BC331+'[2]побудинковий звіт'!BC331-'[3]побудинковий звіт'!BC331</f>
        <v>0</v>
      </c>
      <c r="BD331" s="59">
        <f t="shared" si="378"/>
        <v>-1622.6636730312914</v>
      </c>
      <c r="BE331" s="42">
        <f>'[1]побудинковий звіт'!BE331+'[2]побудинковий звіт'!BE331-'[3]побудинковий звіт'!BE331</f>
        <v>0</v>
      </c>
      <c r="BF331" s="42">
        <f>'[1]побудинковий звіт'!BF331+'[2]побудинковий звіт'!BF331-'[3]побудинковий звіт'!BF331</f>
        <v>0</v>
      </c>
      <c r="BG331" s="39">
        <f t="shared" si="379"/>
        <v>0</v>
      </c>
      <c r="BH331" s="42">
        <f>'[1]побудинковий звіт'!BH331+'[2]побудинковий звіт'!BH331-'[3]побудинковий звіт'!BH331</f>
        <v>719.6828414324732</v>
      </c>
      <c r="BI331" s="42">
        <f>'[1]побудинковий звіт'!BI331+'[2]побудинковий звіт'!BI331-'[3]побудинковий звіт'!BI331</f>
        <v>0</v>
      </c>
      <c r="BJ331" s="59">
        <f t="shared" si="380"/>
        <v>-719.6828414324732</v>
      </c>
      <c r="BK331" s="42">
        <f>'[1]побудинковий звіт'!BK331+'[2]побудинковий звіт'!BK331-'[3]побудинковий звіт'!BK331</f>
        <v>1096.5140291304153</v>
      </c>
      <c r="BL331" s="42">
        <f>'[1]побудинковий звіт'!BL331+'[2]побудинковий звіт'!BL331-'[3]побудинковий звіт'!BL331</f>
        <v>0</v>
      </c>
      <c r="BM331" s="39">
        <f t="shared" si="381"/>
        <v>-1096.5140291304153</v>
      </c>
      <c r="BN331" s="42">
        <f>'[1]побудинковий звіт'!BN331+'[2]побудинковий звіт'!BN331-'[3]побудинковий звіт'!BN331</f>
        <v>0</v>
      </c>
      <c r="BO331" s="42">
        <f>'[1]побудинковий звіт'!BO331+'[2]побудинковий звіт'!BO331-'[3]побудинковий звіт'!BO331</f>
        <v>0</v>
      </c>
      <c r="BP331" s="59">
        <f t="shared" si="382"/>
        <v>0</v>
      </c>
      <c r="BQ331" s="87">
        <f t="shared" si="338"/>
        <v>7772.122607436032</v>
      </c>
      <c r="BR331" s="43">
        <f t="shared" si="339"/>
        <v>740</v>
      </c>
      <c r="BS331" s="59">
        <f t="shared" si="383"/>
        <v>-7032.122607436032</v>
      </c>
      <c r="BT331" s="42">
        <f>'[1]побудинковий звіт'!BT331+'[2]побудинковий звіт'!BT331-'[3]побудинковий звіт'!BT331</f>
        <v>30878.606239611741</v>
      </c>
      <c r="BU331" s="42">
        <f>'[1]побудинковий звіт'!BU331+'[2]побудинковий звіт'!BU331-'[3]побудинковий звіт'!BU331</f>
        <v>21864.526779339754</v>
      </c>
      <c r="BV331" s="56">
        <f t="shared" si="361"/>
        <v>-9014.079460271987</v>
      </c>
      <c r="BW331" s="42">
        <f>'[1]побудинковий звіт'!BW331+'[2]побудинковий звіт'!BW331-'[3]побудинковий звіт'!BW331</f>
        <v>17895.910733788773</v>
      </c>
      <c r="BX331" s="42">
        <f>'[1]побудинковий звіт'!BX331+'[2]побудинковий звіт'!BX331-'[3]побудинковий звіт'!BX331</f>
        <v>9721.9821356643006</v>
      </c>
      <c r="BY331" s="56">
        <f t="shared" si="362"/>
        <v>-8173.928598124472</v>
      </c>
      <c r="BZ331" s="42">
        <f>'[1]побудинковий звіт'!BZ331+'[2]побудинковий звіт'!BZ331-'[3]побудинковий звіт'!BZ331</f>
        <v>4450.1978536420775</v>
      </c>
      <c r="CA331" s="42">
        <f>'[1]побудинковий звіт'!CA331+'[2]побудинковий звіт'!CA331-'[3]побудинковий звіт'!CA331</f>
        <v>2900.4354966506498</v>
      </c>
      <c r="CB331" s="56">
        <f t="shared" si="363"/>
        <v>-1549.7623569914276</v>
      </c>
      <c r="CC331" s="42">
        <f>'[1]побудинковий звіт'!CC331+'[2]побудинковий звіт'!CC331-'[3]побудинковий звіт'!CC331</f>
        <v>1745.9707485284823</v>
      </c>
      <c r="CD331" s="42">
        <f>'[1]побудинковий звіт'!CD331+'[2]побудинковий звіт'!CD331-'[3]побудинковий звіт'!CD331</f>
        <v>1730.6144421734753</v>
      </c>
      <c r="CE331" s="56">
        <f t="shared" si="364"/>
        <v>-15.356306355007064</v>
      </c>
      <c r="CF331" s="42">
        <f>'[1]побудинковий звіт'!CF331+'[2]побудинковий звіт'!CF331-'[3]побудинковий звіт'!CF331</f>
        <v>214.93958078475637</v>
      </c>
      <c r="CG331" s="42">
        <f>'[1]побудинковий звіт'!CG331+'[2]побудинковий звіт'!CG331-'[3]побудинковий звіт'!CG331</f>
        <v>0</v>
      </c>
      <c r="CH331" s="56">
        <f t="shared" si="365"/>
        <v>-214.93958078475637</v>
      </c>
      <c r="CI331" s="42">
        <f>'[1]побудинковий звіт'!CI331+'[2]побудинковий звіт'!CI331-'[3]побудинковий звіт'!CI331</f>
        <v>3893.245236855962</v>
      </c>
      <c r="CJ331" s="42">
        <f>'[1]побудинковий звіт'!CJ331+'[2]побудинковий звіт'!CJ331-'[3]побудинковий звіт'!CJ331</f>
        <v>2344.1244058967704</v>
      </c>
      <c r="CK331" s="56">
        <f t="shared" si="366"/>
        <v>-1549.1208309591916</v>
      </c>
      <c r="CL331" s="42">
        <f>'[1]побудинковий звіт'!CL331+'[2]побудинковий звіт'!CL331-'[3]побудинковий звіт'!CL331</f>
        <v>0</v>
      </c>
      <c r="CM331" s="42">
        <f>'[1]побудинковий звіт'!CM331+'[2]побудинковий звіт'!CM331-'[3]побудинковий звіт'!CM331</f>
        <v>0</v>
      </c>
      <c r="CN331" s="56">
        <f t="shared" si="367"/>
        <v>0</v>
      </c>
      <c r="CO331" s="42">
        <f t="shared" si="347"/>
        <v>3893.245236855962</v>
      </c>
      <c r="CP331" s="43">
        <f t="shared" si="368"/>
        <v>2344.1244058967704</v>
      </c>
      <c r="CQ331" s="56">
        <f t="shared" si="369"/>
        <v>-1549.1208309591916</v>
      </c>
      <c r="CR331" s="78">
        <f t="shared" si="348"/>
        <v>161420.41297305888</v>
      </c>
      <c r="CS331" s="5">
        <f t="shared" si="348"/>
        <v>204475.38253514521</v>
      </c>
      <c r="CT331" s="56">
        <f t="shared" si="370"/>
        <v>43054.969562086335</v>
      </c>
      <c r="CU331" s="87">
        <f t="shared" si="371"/>
        <v>193704.49556767064</v>
      </c>
      <c r="CV331" s="70">
        <f t="shared" si="372"/>
        <v>245370.45904217425</v>
      </c>
      <c r="CW331" s="37">
        <f t="shared" si="373"/>
        <v>51665.963474503602</v>
      </c>
      <c r="CX331" s="42">
        <f>'[1]побудинковий звіт'!CX331+'[2]побудинковий звіт'!CX331-'[3]побудинковий звіт'!CX331</f>
        <v>9683.9844323293946</v>
      </c>
      <c r="CY331" s="42">
        <f>'[1]побудинковий звіт'!CY331+'[2]побудинковий звіт'!CY331-'[3]побудинковий звіт'!CY331</f>
        <v>-41981.979042174236</v>
      </c>
      <c r="CZ331" s="56">
        <f t="shared" si="374"/>
        <v>-51665.963474503631</v>
      </c>
      <c r="DA331" s="264">
        <f>'[4]побудинковий звіт'!DA331</f>
        <v>-57392.322089609763</v>
      </c>
      <c r="DB331" s="2">
        <v>3</v>
      </c>
      <c r="DC331" s="717">
        <f>'[4]побудинковий звіт'!DC331</f>
        <v>31708.15</v>
      </c>
      <c r="DD331" s="717">
        <f>'[4]побудинковий звіт'!DD331</f>
        <v>0</v>
      </c>
      <c r="DE331" s="717">
        <f>'[4]побудинковий звіт'!DE331</f>
        <v>14759.11</v>
      </c>
      <c r="DF331" s="717">
        <f>'[4]побудинковий звіт'!DF331</f>
        <v>0</v>
      </c>
      <c r="DG331" s="787">
        <v>-51646.934576857893</v>
      </c>
      <c r="DH331" s="761">
        <f t="shared" si="344"/>
        <v>2440661.7600000007</v>
      </c>
      <c r="DI331" s="784"/>
      <c r="DJ331" s="5"/>
      <c r="DK331" s="317">
        <f>VLOOKUP($A331,ціни!$A$4:$G$401,5)</f>
        <v>6.165342607461052</v>
      </c>
      <c r="DL331" s="317"/>
      <c r="DM331" s="317">
        <f>VLOOKUP($A331,ціни!$A$4:$G$401,7)</f>
        <v>5.4818204994810511</v>
      </c>
      <c r="DN331" s="30">
        <f>F331*DK331</f>
        <v>28378.393834456405</v>
      </c>
      <c r="DO331" s="30">
        <f>H331*DM331</f>
        <v>0</v>
      </c>
      <c r="DP331" s="316">
        <f t="shared" si="335"/>
        <v>28378.393834456405</v>
      </c>
      <c r="DQ331" s="104"/>
      <c r="DR331" s="30">
        <f>VLOOKUP(A331,'ДЗ нас '!$A$1:$C$359,2)</f>
        <v>16949.04</v>
      </c>
      <c r="DS331" s="748"/>
      <c r="DT331" s="30">
        <f t="shared" si="336"/>
        <v>16949.04</v>
      </c>
      <c r="DU331" s="257">
        <f>VLOOKUP(A331,'новий кошторис с 01.06'!$A$4:$AI$399,35)*1.2</f>
        <v>17110.563775144237</v>
      </c>
      <c r="DV331" s="30">
        <f t="shared" si="337"/>
        <v>-161.52377514423642</v>
      </c>
      <c r="DW331" s="930">
        <f>'[5]побудинковий звіт'!DW331+'[6]побудинковий звіт'!DW331</f>
        <v>236</v>
      </c>
      <c r="DY331" s="5">
        <f t="shared" si="340"/>
        <v>73322.214904253226</v>
      </c>
      <c r="DZ331" s="5">
        <f t="shared" si="341"/>
        <v>146999.40748373244</v>
      </c>
      <c r="EA331" s="752">
        <f t="shared" si="345"/>
        <v>14759.11</v>
      </c>
      <c r="EC331" s="592">
        <f t="shared" si="342"/>
        <v>639956.67775329994</v>
      </c>
      <c r="EE331" s="758">
        <v>-69345</v>
      </c>
      <c r="EF331" s="738">
        <f t="shared" si="343"/>
        <v>-120991.93457685789</v>
      </c>
      <c r="EH331" s="813">
        <v>-119174.73563750873</v>
      </c>
    </row>
    <row r="332" spans="1:138" x14ac:dyDescent="0.3">
      <c r="A332" s="328">
        <v>150000894</v>
      </c>
      <c r="B332" s="44" t="s">
        <v>785</v>
      </c>
      <c r="C332" s="45" t="s">
        <v>315</v>
      </c>
      <c r="D332" s="45" t="s">
        <v>315</v>
      </c>
      <c r="E332" s="40">
        <f t="shared" si="384"/>
        <v>4014.6</v>
      </c>
      <c r="F332" s="490">
        <v>3190.1</v>
      </c>
      <c r="G332" s="30"/>
      <c r="H332" s="30">
        <v>824.5</v>
      </c>
      <c r="I332" s="42">
        <f>'[1]побудинковий звіт'!I332+'[2]побудинковий звіт'!I332-'[3]побудинковий звіт'!I332</f>
        <v>14720.923099001355</v>
      </c>
      <c r="J332" s="42">
        <f>'[1]побудинковий звіт'!J332+'[2]побудинковий звіт'!J332-'[3]побудинковий звіт'!J332</f>
        <v>13410.485344949582</v>
      </c>
      <c r="K332" s="56">
        <f t="shared" si="349"/>
        <v>-1310.4377540517726</v>
      </c>
      <c r="L332" s="42">
        <f>'[1]побудинковий звіт'!L332+'[2]побудинковий звіт'!L332-'[3]побудинковий звіт'!L332</f>
        <v>3401.9170561623246</v>
      </c>
      <c r="M332" s="42">
        <f>'[1]побудинковий звіт'!M332+'[2]побудинковий звіт'!M332-'[3]побудинковий звіт'!M332</f>
        <v>3257.4317890799502</v>
      </c>
      <c r="N332" s="56">
        <f t="shared" si="350"/>
        <v>-144.48526708237432</v>
      </c>
      <c r="O332" s="42">
        <f>'[1]побудинковий звіт'!O332+'[2]побудинковий звіт'!O332-'[3]побудинковий звіт'!O332</f>
        <v>5622.6000000000013</v>
      </c>
      <c r="P332" s="42">
        <f>'[1]побудинковий звіт'!P332+'[2]побудинковий звіт'!P332-'[3]побудинковий звіт'!P332</f>
        <v>5624.5199999999995</v>
      </c>
      <c r="Q332" s="56">
        <f t="shared" si="351"/>
        <v>1.9199999999982538</v>
      </c>
      <c r="R332" s="42">
        <f>'[1]побудинковий звіт'!R332+'[2]побудинковий звіт'!R332-'[3]побудинковий звіт'!R332</f>
        <v>0</v>
      </c>
      <c r="S332" s="42">
        <f>'[1]побудинковий звіт'!S332+'[2]побудинковий звіт'!S332-'[3]побудинковий звіт'!S332</f>
        <v>0</v>
      </c>
      <c r="T332" s="56">
        <f t="shared" si="352"/>
        <v>0</v>
      </c>
      <c r="U332" s="42">
        <f>'[1]побудинковий звіт'!U332+'[2]побудинковий звіт'!U332-'[3]побудинковий звіт'!U332</f>
        <v>1063.7413620491645</v>
      </c>
      <c r="V332" s="42">
        <f>'[1]побудинковий звіт'!V332+'[2]побудинковий звіт'!V332-'[3]побудинковий звіт'!V332</f>
        <v>722.29672347115343</v>
      </c>
      <c r="W332" s="56">
        <f t="shared" si="353"/>
        <v>-341.44463857801111</v>
      </c>
      <c r="X332" s="42">
        <f>'[1]побудинковий звіт'!X332+'[2]побудинковий звіт'!X332-'[3]побудинковий звіт'!X332</f>
        <v>13059.700475338088</v>
      </c>
      <c r="Y332" s="42">
        <f>'[1]побудинковий звіт'!Y332+'[2]побудинковий звіт'!Y332-'[3]побудинковий звіт'!Y332</f>
        <v>14135.86832102784</v>
      </c>
      <c r="Z332" s="56">
        <f t="shared" si="354"/>
        <v>1076.1678456897516</v>
      </c>
      <c r="AA332" s="42">
        <f>'[1]побудинковий звіт'!AA332+'[2]побудинковий звіт'!AA332-'[3]побудинковий звіт'!AA332</f>
        <v>0</v>
      </c>
      <c r="AB332" s="42">
        <f>'[1]побудинковий звіт'!AB332+'[2]побудинковий звіт'!AB332-'[3]побудинковий звіт'!AB332</f>
        <v>0</v>
      </c>
      <c r="AC332" s="56">
        <f t="shared" si="355"/>
        <v>0</v>
      </c>
      <c r="AD332" s="42">
        <f>'[1]побудинковий звіт'!AD332+'[2]побудинковий звіт'!AD332-'[3]побудинковий звіт'!AD332</f>
        <v>18078.600547224607</v>
      </c>
      <c r="AE332" s="42">
        <f>'[1]побудинковий звіт'!AE332+'[2]побудинковий звіт'!AE332-'[3]побудинковий звіт'!AE332</f>
        <v>17366.040483855708</v>
      </c>
      <c r="AF332" s="37">
        <f t="shared" si="356"/>
        <v>-712.56006336889914</v>
      </c>
      <c r="AG332" s="87">
        <f t="shared" si="346"/>
        <v>55947.482539775534</v>
      </c>
      <c r="AH332" s="57">
        <f t="shared" si="346"/>
        <v>54516.642662384234</v>
      </c>
      <c r="AI332" s="56">
        <f t="shared" si="357"/>
        <v>-1430.8398773912995</v>
      </c>
      <c r="AJ332" s="42">
        <f>'[1]побудинковий звіт'!AJ332+'[2]побудинковий звіт'!AJ332-'[3]побудинковий звіт'!AJ332</f>
        <v>0</v>
      </c>
      <c r="AK332" s="42">
        <f>'[1]побудинковий звіт'!AK332+'[2]побудинковий звіт'!AK332-'[3]побудинковий звіт'!AK332</f>
        <v>0</v>
      </c>
      <c r="AL332" s="56">
        <f t="shared" si="358"/>
        <v>0</v>
      </c>
      <c r="AM332" s="42">
        <f>'[1]побудинковий звіт'!AM332+'[2]побудинковий звіт'!AM332-'[3]побудинковий звіт'!AM332</f>
        <v>0</v>
      </c>
      <c r="AN332" s="42">
        <f>'[1]побудинковий звіт'!AN332+'[2]побудинковий звіт'!AN332-'[3]побудинковий звіт'!AN332</f>
        <v>0</v>
      </c>
      <c r="AO332" s="56">
        <f t="shared" si="359"/>
        <v>0</v>
      </c>
      <c r="AP332" s="42">
        <f>'[1]побудинковий звіт'!AP332+'[2]побудинковий звіт'!AP332-'[3]побудинковий звіт'!AP332</f>
        <v>8523.1587860428499</v>
      </c>
      <c r="AQ332" s="42">
        <f>'[1]побудинковий звіт'!AQ332+'[2]побудинковий звіт'!AQ332-'[3]побудинковий звіт'!AQ332</f>
        <v>9223.0908741790772</v>
      </c>
      <c r="AR332" s="56">
        <f t="shared" si="360"/>
        <v>699.93208813622732</v>
      </c>
      <c r="AS332" s="42">
        <f>'[1]побудинковий звіт'!AS332+'[2]побудинковий звіт'!AS332-'[3]побудинковий звіт'!AS332</f>
        <v>56781.651276453093</v>
      </c>
      <c r="AT332" s="42">
        <f>'[1]побудинковий звіт'!AT332+'[2]побудинковий звіт'!AT332-'[3]побудинковий звіт'!AT332</f>
        <v>171848</v>
      </c>
      <c r="AU332" s="58">
        <f t="shared" si="375"/>
        <v>115066.34872354691</v>
      </c>
      <c r="AV332" s="42">
        <f>'[1]побудинковий звіт'!AV332+'[2]побудинковий звіт'!AV332-'[3]побудинковий звіт'!AV332</f>
        <v>2605.0040886677589</v>
      </c>
      <c r="AW332" s="42">
        <f>'[1]побудинковий звіт'!AW332+'[2]побудинковий звіт'!AW332-'[3]побудинковий звіт'!AW332</f>
        <v>0</v>
      </c>
      <c r="AX332" s="59">
        <f t="shared" si="376"/>
        <v>-2605.0040886677589</v>
      </c>
      <c r="AY332" s="42">
        <f>'[1]побудинковий звіт'!AY332+'[2]побудинковий звіт'!AY332-'[3]побудинковий звіт'!AY332</f>
        <v>4384.4043426670896</v>
      </c>
      <c r="AZ332" s="42">
        <f>'[1]побудинковий звіт'!AZ332+'[2]побудинковий звіт'!AZ332-'[3]побудинковий звіт'!AZ332</f>
        <v>0</v>
      </c>
      <c r="BA332" s="37">
        <f t="shared" si="377"/>
        <v>-4384.4043426670896</v>
      </c>
      <c r="BB332" s="42">
        <f>'[1]побудинковий звіт'!BB332+'[2]побудинковий звіт'!BB332-'[3]побудинковий звіт'!BB332</f>
        <v>2144.0677753435439</v>
      </c>
      <c r="BC332" s="42">
        <f>'[1]побудинковий звіт'!BC332+'[2]побудинковий звіт'!BC332-'[3]побудинковий звіт'!BC332</f>
        <v>0</v>
      </c>
      <c r="BD332" s="59">
        <f t="shared" si="378"/>
        <v>-2144.0677753435439</v>
      </c>
      <c r="BE332" s="42">
        <f>'[1]побудинковий звіт'!BE332+'[2]побудинковий звіт'!BE332-'[3]побудинковий звіт'!BE332</f>
        <v>0</v>
      </c>
      <c r="BF332" s="42">
        <f>'[1]побудинковий звіт'!BF332+'[2]побудинковий звіт'!BF332-'[3]побудинковий звіт'!BF332</f>
        <v>0</v>
      </c>
      <c r="BG332" s="39">
        <f t="shared" si="379"/>
        <v>0</v>
      </c>
      <c r="BH332" s="42">
        <f>'[1]побудинковий звіт'!BH332+'[2]побудинковий звіт'!BH332-'[3]побудинковий звіт'!BH332</f>
        <v>1079.2330175269931</v>
      </c>
      <c r="BI332" s="42">
        <f>'[1]побудинковий звіт'!BI332+'[2]побудинковий звіт'!BI332-'[3]побудинковий звіт'!BI332</f>
        <v>0</v>
      </c>
      <c r="BJ332" s="59">
        <f t="shared" si="380"/>
        <v>-1079.2330175269931</v>
      </c>
      <c r="BK332" s="42">
        <f>'[1]побудинковий звіт'!BK332+'[2]побудинковий звіт'!BK332-'[3]побудинковий звіт'!BK332</f>
        <v>1961.2852925757813</v>
      </c>
      <c r="BL332" s="42">
        <f>'[1]побудинковий звіт'!BL332+'[2]побудинковий звіт'!BL332-'[3]побудинковий звіт'!BL332</f>
        <v>0</v>
      </c>
      <c r="BM332" s="39">
        <f t="shared" si="381"/>
        <v>-1961.2852925757813</v>
      </c>
      <c r="BN332" s="42">
        <f>'[1]побудинковий звіт'!BN332+'[2]побудинковий звіт'!BN332-'[3]побудинковий звіт'!BN332</f>
        <v>0</v>
      </c>
      <c r="BO332" s="42">
        <f>'[1]побудинковий звіт'!BO332+'[2]побудинковий звіт'!BO332-'[3]побудинковий звіт'!BO332</f>
        <v>0</v>
      </c>
      <c r="BP332" s="59">
        <f t="shared" si="382"/>
        <v>0</v>
      </c>
      <c r="BQ332" s="87">
        <f t="shared" si="338"/>
        <v>12173.994516781166</v>
      </c>
      <c r="BR332" s="43">
        <f t="shared" si="339"/>
        <v>0</v>
      </c>
      <c r="BS332" s="59">
        <f t="shared" si="383"/>
        <v>-12173.994516781166</v>
      </c>
      <c r="BT332" s="42">
        <f>'[1]побудинковий звіт'!BT332+'[2]побудинковий звіт'!BT332-'[3]побудинковий звіт'!BT332</f>
        <v>38012.312505550326</v>
      </c>
      <c r="BU332" s="42">
        <f>'[1]побудинковий звіт'!BU332+'[2]побудинковий звіт'!BU332-'[3]побудинковий звіт'!BU332</f>
        <v>43339.173985519934</v>
      </c>
      <c r="BV332" s="56">
        <f t="shared" si="361"/>
        <v>5326.8614799696079</v>
      </c>
      <c r="BW332" s="42">
        <f>'[1]побудинковий звіт'!BW332+'[2]побудинковий звіт'!BW332-'[3]побудинковий звіт'!BW332</f>
        <v>27316.069253584214</v>
      </c>
      <c r="BX332" s="42">
        <f>'[1]побудинковий звіт'!BX332+'[2]побудинковий звіт'!BX332-'[3]побудинковий звіт'!BX332</f>
        <v>26254.679009305044</v>
      </c>
      <c r="BY332" s="56">
        <f t="shared" si="362"/>
        <v>-1061.3902442791696</v>
      </c>
      <c r="BZ332" s="42">
        <f>'[1]побудинковий звіт'!BZ332+'[2]побудинковий звіт'!BZ332-'[3]побудинковий звіт'!BZ332</f>
        <v>5036.4949127777136</v>
      </c>
      <c r="CA332" s="42">
        <f>'[1]побудинковий звіт'!CA332+'[2]побудинковий звіт'!CA332-'[3]побудинковий звіт'!CA332</f>
        <v>8714.4046301047238</v>
      </c>
      <c r="CB332" s="56">
        <f t="shared" si="363"/>
        <v>3677.9097173270102</v>
      </c>
      <c r="CC332" s="42">
        <f>'[1]побудинковий звіт'!CC332+'[2]побудинковий звіт'!CC332-'[3]побудинковий звіт'!CC332</f>
        <v>2405.6806191272922</v>
      </c>
      <c r="CD332" s="42">
        <f>'[1]побудинковий звіт'!CD332+'[2]побудинковий звіт'!CD332-'[3]побудинковий звіт'!CD332</f>
        <v>2384.5219779468725</v>
      </c>
      <c r="CE332" s="56">
        <f t="shared" si="364"/>
        <v>-21.158641180419636</v>
      </c>
      <c r="CF332" s="42">
        <f>'[1]побудинковий звіт'!CF332+'[2]побудинковий звіт'!CF332-'[3]побудинковий звіт'!CF332</f>
        <v>296.15386409710982</v>
      </c>
      <c r="CG332" s="42">
        <f>'[1]побудинковий звіт'!CG332+'[2]побудинковий звіт'!CG332-'[3]побудинковий звіт'!CG332</f>
        <v>0</v>
      </c>
      <c r="CH332" s="56">
        <f t="shared" si="365"/>
        <v>-296.15386409710982</v>
      </c>
      <c r="CI332" s="42">
        <f>'[1]побудинковий звіт'!CI332+'[2]побудинковий звіт'!CI332-'[3]побудинковий звіт'!CI332</f>
        <v>10406.943998518829</v>
      </c>
      <c r="CJ332" s="42">
        <f>'[1]побудинковий звіт'!CJ332+'[2]побудинковий звіт'!CJ332-'[3]побудинковий звіт'!CJ332</f>
        <v>7190.6339347518224</v>
      </c>
      <c r="CK332" s="56">
        <f t="shared" si="366"/>
        <v>-3216.3100637670068</v>
      </c>
      <c r="CL332" s="42">
        <f>'[1]побудинковий звіт'!CL332+'[2]побудинковий звіт'!CL332-'[3]побудинковий звіт'!CL332</f>
        <v>0</v>
      </c>
      <c r="CM332" s="42">
        <f>'[1]побудинковий звіт'!CM332+'[2]побудинковий звіт'!CM332-'[3]побудинковий звіт'!CM332</f>
        <v>0</v>
      </c>
      <c r="CN332" s="56">
        <f t="shared" si="367"/>
        <v>0</v>
      </c>
      <c r="CO332" s="42">
        <f t="shared" si="347"/>
        <v>10406.943998518829</v>
      </c>
      <c r="CP332" s="43">
        <f t="shared" si="368"/>
        <v>7190.6339347518224</v>
      </c>
      <c r="CQ332" s="56">
        <f t="shared" si="369"/>
        <v>-3216.3100637670068</v>
      </c>
      <c r="CR332" s="78">
        <f t="shared" si="348"/>
        <v>216899.94227270814</v>
      </c>
      <c r="CS332" s="5">
        <f t="shared" si="348"/>
        <v>323471.14707419171</v>
      </c>
      <c r="CT332" s="56">
        <f t="shared" si="370"/>
        <v>106571.20480148357</v>
      </c>
      <c r="CU332" s="87">
        <f t="shared" si="371"/>
        <v>260279.93072724977</v>
      </c>
      <c r="CV332" s="70">
        <f t="shared" si="372"/>
        <v>388165.37648903002</v>
      </c>
      <c r="CW332" s="37">
        <f t="shared" si="373"/>
        <v>127885.44576178025</v>
      </c>
      <c r="CX332" s="42">
        <f>'[1]побудинковий звіт'!CX332+'[2]побудинковий звіт'!CX332-'[3]побудинковий звіт'!CX332</f>
        <v>23092.749272750269</v>
      </c>
      <c r="CY332" s="42">
        <f>'[1]побудинковий звіт'!CY332+'[2]побудинковий звіт'!CY332-'[3]побудинковий звіт'!CY332</f>
        <v>-104792.69648903004</v>
      </c>
      <c r="CZ332" s="56">
        <f t="shared" si="374"/>
        <v>-127885.44576178031</v>
      </c>
      <c r="DA332" s="264">
        <f>'[4]побудинковий звіт'!DA332</f>
        <v>78557.032284928224</v>
      </c>
      <c r="DB332" s="2">
        <v>3</v>
      </c>
      <c r="DC332" s="717">
        <f>'[4]побудинковий звіт'!DC332</f>
        <v>59720.7</v>
      </c>
      <c r="DD332" s="717">
        <f>'[4]побудинковий звіт'!DD332</f>
        <v>95868.01999999999</v>
      </c>
      <c r="DE332" s="717">
        <f>'[4]побудинковий звіт'!DE332</f>
        <v>39988.159999999996</v>
      </c>
      <c r="DF332" s="717">
        <f>'[4]побудинковий звіт'!DF332</f>
        <v>91986.169999999984</v>
      </c>
      <c r="DG332" s="787">
        <v>-18247.232318330673</v>
      </c>
      <c r="DH332" s="761">
        <f t="shared" si="344"/>
        <v>3400472.1600000006</v>
      </c>
      <c r="DI332" s="784"/>
      <c r="DJ332" s="5"/>
      <c r="DK332" s="317">
        <f>VLOOKUP($A332,ціни!$A$4:$G$401,5)</f>
        <v>5.5088308451767816</v>
      </c>
      <c r="DL332" s="317"/>
      <c r="DM332" s="317">
        <f>VLOOKUP($A332,ціни!$A$4:$G$401,7)</f>
        <v>4.7081085471236435</v>
      </c>
      <c r="DN332" s="30">
        <f>F332*DK332</f>
        <v>17573.721279198449</v>
      </c>
      <c r="DO332" s="30">
        <f>H332*DM332</f>
        <v>3881.8354971034441</v>
      </c>
      <c r="DP332" s="316">
        <f t="shared" si="335"/>
        <v>21455.556776301892</v>
      </c>
      <c r="DQ332" s="104"/>
      <c r="DR332" s="30">
        <f>VLOOKUP(A332,'ДЗ нас '!$A$1:$C$359,2)</f>
        <v>19732.54</v>
      </c>
      <c r="DS332" s="748">
        <f>VLOOKUP(A332,'ДЗ нежит'!$A$1:$D$153,4,0)</f>
        <v>3881.85</v>
      </c>
      <c r="DT332" s="30">
        <f t="shared" si="336"/>
        <v>23614.39</v>
      </c>
      <c r="DU332" s="257">
        <f>VLOOKUP(A332,'новий кошторис с 01.06'!$A$4:$AI$399,35)*1.2</f>
        <v>22991.393880907057</v>
      </c>
      <c r="DV332" s="30">
        <f t="shared" si="337"/>
        <v>622.99611909294254</v>
      </c>
      <c r="DW332" s="930">
        <f>'[5]побудинковий звіт'!DW332+'[6]побудинковий звіт'!DW332</f>
        <v>302</v>
      </c>
      <c r="DY332" s="5">
        <f t="shared" si="340"/>
        <v>82746.774951881103</v>
      </c>
      <c r="DZ332" s="5">
        <f t="shared" si="341"/>
        <v>206217.60000000001</v>
      </c>
      <c r="EA332" s="752">
        <f t="shared" si="345"/>
        <v>131974.32999999999</v>
      </c>
      <c r="EC332" s="592">
        <f t="shared" si="342"/>
        <v>681379.81531743705</v>
      </c>
      <c r="EE332" s="758">
        <v>-75017</v>
      </c>
      <c r="EF332" s="738">
        <f t="shared" si="343"/>
        <v>-93264.232318330673</v>
      </c>
      <c r="EH332" s="813">
        <v>-60076.900153525312</v>
      </c>
    </row>
    <row r="333" spans="1:138" x14ac:dyDescent="0.3">
      <c r="A333" s="328">
        <v>150000895</v>
      </c>
      <c r="B333" s="44" t="s">
        <v>786</v>
      </c>
      <c r="C333" s="45" t="s">
        <v>316</v>
      </c>
      <c r="D333" s="45" t="s">
        <v>316</v>
      </c>
      <c r="E333" s="40">
        <f t="shared" si="384"/>
        <v>152.6</v>
      </c>
      <c r="F333" s="490">
        <v>152.6</v>
      </c>
      <c r="G333" s="30"/>
      <c r="H333" s="30">
        <v>0</v>
      </c>
      <c r="I333" s="42">
        <f>'[1]побудинковий звіт'!I333+'[2]побудинковий звіт'!I333-'[3]побудинковий звіт'!I333</f>
        <v>10466.363603962474</v>
      </c>
      <c r="J333" s="42">
        <f>'[1]побудинковий звіт'!J333+'[2]побудинковий звіт'!J333-'[3]побудинковий звіт'!J333</f>
        <v>9535.0229588959264</v>
      </c>
      <c r="K333" s="56">
        <f t="shared" si="349"/>
        <v>-931.34064506654795</v>
      </c>
      <c r="L333" s="42">
        <f>'[1]побудинковий звіт'!L333+'[2]побудинковий звіт'!L333-'[3]побудинковий звіт'!L333</f>
        <v>1973.0359337034301</v>
      </c>
      <c r="M333" s="42">
        <f>'[1]побудинковий звіт'!M333+'[2]побудинковий звіт'!M333-'[3]побудинковий звіт'!M333</f>
        <v>1949.0876485742858</v>
      </c>
      <c r="N333" s="56">
        <f t="shared" si="350"/>
        <v>-23.948285129144324</v>
      </c>
      <c r="O333" s="42">
        <f>'[1]побудинковий звіт'!O333+'[2]побудинковий звіт'!O333-'[3]побудинковий звіт'!O333</f>
        <v>3965.04</v>
      </c>
      <c r="P333" s="42">
        <f>'[1]побудинковий звіт'!P333+'[2]побудинковий звіт'!P333-'[3]побудинковий звіт'!P333</f>
        <v>3964.2</v>
      </c>
      <c r="Q333" s="56">
        <f t="shared" si="351"/>
        <v>-0.84000000000014552</v>
      </c>
      <c r="R333" s="42">
        <f>'[1]побудинковий звіт'!R333+'[2]побудинковий звіт'!R333-'[3]побудинковий звіт'!R333</f>
        <v>0</v>
      </c>
      <c r="S333" s="42">
        <f>'[1]побудинковий звіт'!S333+'[2]побудинковий звіт'!S333-'[3]побудинковий звіт'!S333</f>
        <v>0</v>
      </c>
      <c r="T333" s="56">
        <f t="shared" si="352"/>
        <v>0</v>
      </c>
      <c r="U333" s="42">
        <f>'[1]побудинковий звіт'!U333+'[2]побудинковий звіт'!U333-'[3]побудинковий звіт'!U333</f>
        <v>0</v>
      </c>
      <c r="V333" s="42">
        <f>'[1]побудинковий звіт'!V333+'[2]побудинковий звіт'!V333-'[3]побудинковий звіт'!V333</f>
        <v>0</v>
      </c>
      <c r="W333" s="56">
        <f t="shared" si="353"/>
        <v>0</v>
      </c>
      <c r="X333" s="42">
        <f>'[1]побудинковий звіт'!X333+'[2]побудинковий звіт'!X333-'[3]побудинковий звіт'!X333</f>
        <v>6877.0892667905891</v>
      </c>
      <c r="Y333" s="42">
        <f>'[1]побудинковий звіт'!Y333+'[2]побудинковий звіт'!Y333-'[3]побудинковий звіт'!Y333</f>
        <v>8447.2620944611153</v>
      </c>
      <c r="Z333" s="56">
        <f t="shared" si="354"/>
        <v>1570.1728276705262</v>
      </c>
      <c r="AA333" s="42">
        <f>'[1]побудинковий звіт'!AA333+'[2]побудинковий звіт'!AA333-'[3]побудинковий звіт'!AA333</f>
        <v>0</v>
      </c>
      <c r="AB333" s="42">
        <f>'[1]побудинковий звіт'!AB333+'[2]побудинковий звіт'!AB333-'[3]побудинковий звіт'!AB333</f>
        <v>0</v>
      </c>
      <c r="AC333" s="56">
        <f t="shared" si="355"/>
        <v>0</v>
      </c>
      <c r="AD333" s="42">
        <f>'[1]побудинковий звіт'!AD333+'[2]побудинковий звіт'!AD333-'[3]побудинковий звіт'!AD333</f>
        <v>11721.764565125512</v>
      </c>
      <c r="AE333" s="42">
        <f>'[1]побудинковий звіт'!AE333+'[2]побудинковий звіт'!AE333-'[3]побудинковий звіт'!AE333</f>
        <v>10803.940654894404</v>
      </c>
      <c r="AF333" s="37">
        <f t="shared" si="356"/>
        <v>-917.82391023110722</v>
      </c>
      <c r="AG333" s="87">
        <f t="shared" si="346"/>
        <v>35003.29336958201</v>
      </c>
      <c r="AH333" s="57">
        <f t="shared" si="346"/>
        <v>34699.51335682573</v>
      </c>
      <c r="AI333" s="56">
        <f t="shared" si="357"/>
        <v>-303.78001275628048</v>
      </c>
      <c r="AJ333" s="42">
        <f>'[1]побудинковий звіт'!AJ333+'[2]побудинковий звіт'!AJ333-'[3]побудинковий звіт'!AJ333</f>
        <v>0</v>
      </c>
      <c r="AK333" s="42">
        <f>'[1]побудинковий звіт'!AK333+'[2]побудинковий звіт'!AK333-'[3]побудинковий звіт'!AK333</f>
        <v>0</v>
      </c>
      <c r="AL333" s="56">
        <f t="shared" si="358"/>
        <v>0</v>
      </c>
      <c r="AM333" s="42">
        <f>'[1]побудинковий звіт'!AM333+'[2]побудинковий звіт'!AM333-'[3]побудинковий звіт'!AM333</f>
        <v>0</v>
      </c>
      <c r="AN333" s="42">
        <f>'[1]побудинковий звіт'!AN333+'[2]побудинковий звіт'!AN333-'[3]побудинковий звіт'!AN333</f>
        <v>0</v>
      </c>
      <c r="AO333" s="56">
        <f t="shared" si="359"/>
        <v>0</v>
      </c>
      <c r="AP333" s="42">
        <f>'[1]побудинковий звіт'!AP333+'[2]побудинковий звіт'!AP333-'[3]побудинковий звіт'!AP333</f>
        <v>4261.5793930214249</v>
      </c>
      <c r="AQ333" s="42">
        <f>'[1]побудинковий звіт'!AQ333+'[2]побудинковий звіт'!AQ333-'[3]побудинковий звіт'!AQ333</f>
        <v>8161.6653775672548</v>
      </c>
      <c r="AR333" s="56">
        <f t="shared" si="360"/>
        <v>3900.0859845458299</v>
      </c>
      <c r="AS333" s="42">
        <f>'[1]побудинковий звіт'!AS333+'[2]побудинковий звіт'!AS333-'[3]побудинковий звіт'!AS333</f>
        <v>44842.804339079681</v>
      </c>
      <c r="AT333" s="42">
        <f>'[1]побудинковий звіт'!AT333+'[2]побудинковий звіт'!AT333-'[3]побудинковий звіт'!AT333</f>
        <v>96908</v>
      </c>
      <c r="AU333" s="58">
        <f t="shared" si="375"/>
        <v>52065.195660920319</v>
      </c>
      <c r="AV333" s="42">
        <f>'[1]побудинковий звіт'!AV333+'[2]побудинковий звіт'!AV333-'[3]побудинковий звіт'!AV333</f>
        <v>1742.1760128130586</v>
      </c>
      <c r="AW333" s="42">
        <f>'[1]побудинковий звіт'!AW333+'[2]побудинковий звіт'!AW333-'[3]побудинковий звіт'!AW333</f>
        <v>21049</v>
      </c>
      <c r="AX333" s="59">
        <f t="shared" si="376"/>
        <v>19306.823987186941</v>
      </c>
      <c r="AY333" s="42">
        <f>'[1]побудинковий звіт'!AY333+'[2]побудинковий звіт'!AY333-'[3]побудинковий звіт'!AY333</f>
        <v>2542.8903665071061</v>
      </c>
      <c r="AZ333" s="42">
        <f>'[1]побудинковий звіт'!AZ333+'[2]побудинковий звіт'!AZ333-'[3]побудинковий звіт'!AZ333</f>
        <v>7810.5886881801425</v>
      </c>
      <c r="BA333" s="37">
        <f t="shared" si="377"/>
        <v>5267.6983216730368</v>
      </c>
      <c r="BB333" s="42">
        <f>'[1]побудинковий звіт'!BB333+'[2]побудинковий звіт'!BB333-'[3]побудинковий звіт'!BB333</f>
        <v>1570.3866530252556</v>
      </c>
      <c r="BC333" s="42">
        <f>'[1]побудинковий звіт'!BC333+'[2]побудинковий звіт'!BC333-'[3]побудинковий звіт'!BC333</f>
        <v>0</v>
      </c>
      <c r="BD333" s="59">
        <f t="shared" si="378"/>
        <v>-1570.3866530252556</v>
      </c>
      <c r="BE333" s="42">
        <f>'[1]побудинковий звіт'!BE333+'[2]побудинковий звіт'!BE333-'[3]побудинковий звіт'!BE333</f>
        <v>0</v>
      </c>
      <c r="BF333" s="42">
        <f>'[1]побудинковий звіт'!BF333+'[2]побудинковий звіт'!BF333-'[3]побудинковий звіт'!BF333</f>
        <v>0</v>
      </c>
      <c r="BG333" s="39">
        <f t="shared" si="379"/>
        <v>0</v>
      </c>
      <c r="BH333" s="42">
        <f>'[1]побудинковий звіт'!BH333+'[2]побудинковий звіт'!BH333-'[3]побудинковий звіт'!BH333</f>
        <v>0</v>
      </c>
      <c r="BI333" s="42">
        <f>'[1]побудинковий звіт'!BI333+'[2]побудинковий звіт'!BI333-'[3]побудинковий звіт'!BI333</f>
        <v>0</v>
      </c>
      <c r="BJ333" s="59">
        <f t="shared" si="380"/>
        <v>0</v>
      </c>
      <c r="BK333" s="42">
        <f>'[1]побудинковий звіт'!BK333+'[2]побудинковий звіт'!BK333-'[3]побудинковий звіт'!BK333</f>
        <v>1068.4658678571939</v>
      </c>
      <c r="BL333" s="42">
        <f>'[1]побудинковий звіт'!BL333+'[2]побудинковий звіт'!BL333-'[3]побудинковий звіт'!BL333</f>
        <v>2258</v>
      </c>
      <c r="BM333" s="39">
        <f t="shared" si="381"/>
        <v>1189.5341321428061</v>
      </c>
      <c r="BN333" s="42">
        <f>'[1]побудинковий звіт'!BN333+'[2]побудинковий звіт'!BN333-'[3]побудинковий звіт'!BN333</f>
        <v>0</v>
      </c>
      <c r="BO333" s="42">
        <f>'[1]побудинковий звіт'!BO333+'[2]побудинковий звіт'!BO333-'[3]побудинковий звіт'!BO333</f>
        <v>0</v>
      </c>
      <c r="BP333" s="59">
        <f t="shared" si="382"/>
        <v>0</v>
      </c>
      <c r="BQ333" s="87">
        <f t="shared" si="338"/>
        <v>6923.9189002026142</v>
      </c>
      <c r="BR333" s="43">
        <f t="shared" si="339"/>
        <v>31117.588688180142</v>
      </c>
      <c r="BS333" s="59">
        <f t="shared" si="383"/>
        <v>24193.669787977527</v>
      </c>
      <c r="BT333" s="42">
        <f>'[1]побудинковий звіт'!BT333+'[2]побудинковий звіт'!BT333-'[3]побудинковий звіт'!BT333</f>
        <v>27632.676585895613</v>
      </c>
      <c r="BU333" s="42">
        <f>'[1]побудинковий звіт'!BU333+'[2]побудинковий звіт'!BU333-'[3]побудинковий звіт'!BU333</f>
        <v>30679.535307481103</v>
      </c>
      <c r="BV333" s="56">
        <f t="shared" si="361"/>
        <v>3046.8587215854895</v>
      </c>
      <c r="BW333" s="42">
        <f>'[1]побудинковий звіт'!BW333+'[2]побудинковий звіт'!BW333-'[3]побудинковий звіт'!BW333</f>
        <v>17933.510829790193</v>
      </c>
      <c r="BX333" s="42">
        <f>'[1]побудинковий звіт'!BX333+'[2]побудинковий звіт'!BX333-'[3]побудинковий звіт'!BX333</f>
        <v>17180.686801565342</v>
      </c>
      <c r="BY333" s="56">
        <f t="shared" si="362"/>
        <v>-752.82402822485165</v>
      </c>
      <c r="BZ333" s="42">
        <f>'[1]побудинковий звіт'!BZ333+'[2]побудинковий звіт'!BZ333-'[3]побудинковий звіт'!BZ333</f>
        <v>4332.1298995594188</v>
      </c>
      <c r="CA333" s="42">
        <f>'[1]побудинковий звіт'!CA333+'[2]побудинковий звіт'!CA333-'[3]побудинковий звіт'!CA333</f>
        <v>7822.4484426926938</v>
      </c>
      <c r="CB333" s="56">
        <f t="shared" si="363"/>
        <v>3490.3185431332749</v>
      </c>
      <c r="CC333" s="42">
        <f>'[1]побудинковий звіт'!CC333+'[2]побудинковий звіт'!CC333-'[3]побудинковий звіт'!CC333</f>
        <v>1740.0292712508078</v>
      </c>
      <c r="CD333" s="42">
        <f>'[1]побудинковий звіт'!CD333+'[2]побудинковий звіт'!CD333-'[3]побудинковий звіт'!CD333</f>
        <v>1724.7252218682352</v>
      </c>
      <c r="CE333" s="56">
        <f t="shared" si="364"/>
        <v>-15.304049382572657</v>
      </c>
      <c r="CF333" s="42">
        <f>'[1]побудинковий звіт'!CF333+'[2]побудинковий звіт'!CF333-'[3]побудинковий звіт'!CF333</f>
        <v>214.20814892292148</v>
      </c>
      <c r="CG333" s="42">
        <f>'[1]побудинковий звіт'!CG333+'[2]побудинковий звіт'!CG333-'[3]побудинковий звіт'!CG333</f>
        <v>0</v>
      </c>
      <c r="CH333" s="56">
        <f t="shared" si="365"/>
        <v>-214.20814892292148</v>
      </c>
      <c r="CI333" s="42">
        <f>'[1]побудинковий звіт'!CI333+'[2]побудинковий звіт'!CI333-'[3]побудинковий звіт'!CI333</f>
        <v>9040.5646605838028</v>
      </c>
      <c r="CJ333" s="42">
        <f>'[1]побудинковий звіт'!CJ333+'[2]побудинковий звіт'!CJ333-'[3]побудинковий звіт'!CJ333</f>
        <v>2121.5525156489812</v>
      </c>
      <c r="CK333" s="56">
        <f t="shared" si="366"/>
        <v>-6919.0121449348217</v>
      </c>
      <c r="CL333" s="42">
        <f>'[1]побудинковий звіт'!CL333+'[2]побудинковий звіт'!CL333-'[3]побудинковий звіт'!CL333</f>
        <v>0</v>
      </c>
      <c r="CM333" s="42">
        <f>'[1]побудинковий звіт'!CM333+'[2]побудинковий звіт'!CM333-'[3]побудинковий звіт'!CM333</f>
        <v>0</v>
      </c>
      <c r="CN333" s="56">
        <f t="shared" si="367"/>
        <v>0</v>
      </c>
      <c r="CO333" s="42">
        <f t="shared" si="347"/>
        <v>9040.5646605838028</v>
      </c>
      <c r="CP333" s="43">
        <f t="shared" si="368"/>
        <v>2121.5525156489812</v>
      </c>
      <c r="CQ333" s="56">
        <f t="shared" si="369"/>
        <v>-6919.0121449348217</v>
      </c>
      <c r="CR333" s="78">
        <f t="shared" si="348"/>
        <v>151924.71539788847</v>
      </c>
      <c r="CS333" s="5">
        <f t="shared" si="348"/>
        <v>230415.71571182946</v>
      </c>
      <c r="CT333" s="56">
        <f t="shared" si="370"/>
        <v>78491.000313940982</v>
      </c>
      <c r="CU333" s="87">
        <f t="shared" si="371"/>
        <v>182309.65847746618</v>
      </c>
      <c r="CV333" s="70">
        <f t="shared" si="372"/>
        <v>276498.85885419534</v>
      </c>
      <c r="CW333" s="37">
        <f t="shared" si="373"/>
        <v>94189.200376729161</v>
      </c>
      <c r="CX333" s="42">
        <f>'[1]побудинковий звіт'!CX333+'[2]побудинковий звіт'!CX333-'[3]побудинковий звіт'!CX333</f>
        <v>9131.1415225338351</v>
      </c>
      <c r="CY333" s="42">
        <f>'[1]побудинковий звіт'!CY333+'[2]побудинковий звіт'!CY333-'[3]побудинковий звіт'!CY333</f>
        <v>-85058.058854195377</v>
      </c>
      <c r="CZ333" s="56">
        <f t="shared" si="374"/>
        <v>-94189.200376729219</v>
      </c>
      <c r="DA333" s="264">
        <f>'[4]побудинковий звіт'!DA333</f>
        <v>13695.634693575455</v>
      </c>
      <c r="DB333" s="2">
        <v>3</v>
      </c>
      <c r="DC333" s="717">
        <f>'[4]побудинковий звіт'!DC333</f>
        <v>40082.080000000002</v>
      </c>
      <c r="DD333" s="717">
        <f>'[4]побудинковий звіт'!DD333</f>
        <v>0</v>
      </c>
      <c r="DE333" s="717">
        <f>'[4]побудинковий звіт'!DE333</f>
        <v>24128.68</v>
      </c>
      <c r="DF333" s="717">
        <f>'[4]побудинковий звіт'!DF333</f>
        <v>0</v>
      </c>
      <c r="DG333" s="787">
        <v>-60501.847575890191</v>
      </c>
      <c r="DH333" s="761">
        <f t="shared" si="344"/>
        <v>2297289.6</v>
      </c>
      <c r="DI333" s="784"/>
      <c r="DJ333" s="5"/>
      <c r="DK333" s="317">
        <f>VLOOKUP($A333,ціни!$A$4:$G$401,5)</f>
        <v>5.8189593334713248</v>
      </c>
      <c r="DL333" s="317"/>
      <c r="DM333" s="317">
        <f>VLOOKUP($A333,ціни!$A$4:$G$401,7)</f>
        <v>5.1320772158934558</v>
      </c>
      <c r="DN333" s="30">
        <f>F333*DK333</f>
        <v>887.97319428772414</v>
      </c>
      <c r="DO333" s="30">
        <f>H333*DM333</f>
        <v>0</v>
      </c>
      <c r="DP333" s="316">
        <f t="shared" si="335"/>
        <v>887.97319428772414</v>
      </c>
      <c r="DQ333" s="104"/>
      <c r="DR333" s="30">
        <f>VLOOKUP(A333,'ДЗ нас '!$A$1:$C$359,2)</f>
        <v>15953.4</v>
      </c>
      <c r="DS333" s="748"/>
      <c r="DT333" s="30">
        <f t="shared" si="336"/>
        <v>15953.4</v>
      </c>
      <c r="DU333" s="257">
        <f>VLOOKUP(A333,'новий кошторис с 01.06'!$A$4:$AI$399,35)*1.2</f>
        <v>16104.019832176178</v>
      </c>
      <c r="DV333" s="30">
        <f t="shared" si="337"/>
        <v>-150.61983217617853</v>
      </c>
      <c r="DW333" s="930">
        <f>'[5]побудинковий звіт'!DW333+'[6]побудинковий звіт'!DW333</f>
        <v>236</v>
      </c>
      <c r="DY333" s="5">
        <f t="shared" si="340"/>
        <v>62120.06788713875</v>
      </c>
      <c r="DZ333" s="5">
        <f t="shared" si="341"/>
        <v>153630.70642581617</v>
      </c>
      <c r="EA333" s="752">
        <f t="shared" si="345"/>
        <v>24128.68</v>
      </c>
      <c r="EC333" s="592">
        <f t="shared" si="342"/>
        <v>538113.65206895617</v>
      </c>
      <c r="EE333" s="758">
        <v>-3303</v>
      </c>
      <c r="EF333" s="738">
        <f t="shared" si="343"/>
        <v>-63804.847575890191</v>
      </c>
      <c r="EH333" s="813">
        <v>-85813.663074946919</v>
      </c>
    </row>
    <row r="334" spans="1:138" x14ac:dyDescent="0.3">
      <c r="A334" s="328">
        <v>150000922</v>
      </c>
      <c r="B334" s="44" t="s">
        <v>787</v>
      </c>
      <c r="C334" s="45" t="s">
        <v>401</v>
      </c>
      <c r="D334" s="45" t="s">
        <v>401</v>
      </c>
      <c r="E334" s="40">
        <f t="shared" si="384"/>
        <v>2133.27</v>
      </c>
      <c r="F334" s="490">
        <v>2133.27</v>
      </c>
      <c r="G334" s="30">
        <v>410.5</v>
      </c>
      <c r="H334" s="30">
        <v>0</v>
      </c>
      <c r="I334" s="42">
        <f>'[1]побудинковий звіт'!I334+'[2]побудинковий звіт'!I334-'[3]побудинковий звіт'!I334</f>
        <v>16760.465275760496</v>
      </c>
      <c r="J334" s="42">
        <f>'[1]побудинковий звіт'!J334+'[2]побудинковий звіт'!J334-'[3]побудинковий звіт'!J334</f>
        <v>15452.773795476585</v>
      </c>
      <c r="K334" s="56">
        <f t="shared" si="349"/>
        <v>-1307.691480283911</v>
      </c>
      <c r="L334" s="42">
        <f>'[1]побудинковий звіт'!L334+'[2]побудинковий звіт'!L334-'[3]побудинковий звіт'!L334</f>
        <v>2743.2586102173027</v>
      </c>
      <c r="M334" s="42">
        <f>'[1]побудинковий звіт'!M334+'[2]побудинковий звіт'!M334-'[3]побудинковий звіт'!M334</f>
        <v>2626.7417688579817</v>
      </c>
      <c r="N334" s="56">
        <f t="shared" si="350"/>
        <v>-116.51684135932101</v>
      </c>
      <c r="O334" s="42">
        <f>'[1]побудинковий звіт'!O334+'[2]побудинковий звіт'!O334-'[3]побудинковий звіт'!O334</f>
        <v>5508.7200000000012</v>
      </c>
      <c r="P334" s="42">
        <f>'[1]побудинковий звіт'!P334+'[2]побудинковий звіт'!P334-'[3]побудинковий звіт'!P334</f>
        <v>5510.3999999999987</v>
      </c>
      <c r="Q334" s="56">
        <f t="shared" si="351"/>
        <v>1.6799999999975626</v>
      </c>
      <c r="R334" s="42">
        <f>'[1]побудинковий звіт'!R334+'[2]побудинковий звіт'!R334-'[3]побудинковий звіт'!R334</f>
        <v>1372.92</v>
      </c>
      <c r="S334" s="42">
        <f>'[1]побудинковий звіт'!S334+'[2]побудинковий звіт'!S334-'[3]побудинковий звіт'!S334</f>
        <v>1373.2800000000002</v>
      </c>
      <c r="T334" s="56">
        <f t="shared" si="352"/>
        <v>0.36000000000012733</v>
      </c>
      <c r="U334" s="42">
        <f>'[1]побудинковий звіт'!U334+'[2]побудинковий звіт'!U334-'[3]побудинковий звіт'!U334</f>
        <v>780.05784393801946</v>
      </c>
      <c r="V334" s="42">
        <f>'[1]побудинковий звіт'!V334+'[2]побудинковий звіт'!V334-'[3]побудинковий звіт'!V334</f>
        <v>529.67087313499223</v>
      </c>
      <c r="W334" s="56">
        <f t="shared" si="353"/>
        <v>-250.38697080302722</v>
      </c>
      <c r="X334" s="42">
        <f>'[1]побудинковий звіт'!X334+'[2]побудинковий звіт'!X334-'[3]побудинковий звіт'!X334</f>
        <v>5933.7110582707346</v>
      </c>
      <c r="Y334" s="42">
        <f>'[1]побудинковий звіт'!Y334+'[2]побудинковий звіт'!Y334-'[3]побудинковий звіт'!Y334</f>
        <v>8151.8640868778857</v>
      </c>
      <c r="Z334" s="56">
        <f t="shared" si="354"/>
        <v>2218.1530286071511</v>
      </c>
      <c r="AA334" s="42">
        <f>'[1]побудинковий звіт'!AA334+'[2]побудинковий звіт'!AA334-'[3]побудинковий звіт'!AA334</f>
        <v>0</v>
      </c>
      <c r="AB334" s="42">
        <f>'[1]побудинковий звіт'!AB334+'[2]побудинковий звіт'!AB334-'[3]побудинковий звіт'!AB334</f>
        <v>0</v>
      </c>
      <c r="AC334" s="56">
        <f t="shared" si="355"/>
        <v>0</v>
      </c>
      <c r="AD334" s="42">
        <f>'[1]побудинковий звіт'!AD334+'[2]побудинковий звіт'!AD334-'[3]побудинковий звіт'!AD334</f>
        <v>18159.67031309415</v>
      </c>
      <c r="AE334" s="42">
        <f>'[1]побудинковий звіт'!AE334+'[2]побудинковий звіт'!AE334-'[3]побудинковий звіт'!AE334</f>
        <v>16737.158578578397</v>
      </c>
      <c r="AF334" s="37">
        <f t="shared" si="356"/>
        <v>-1422.5117345157523</v>
      </c>
      <c r="AG334" s="87">
        <f t="shared" si="346"/>
        <v>51258.803101280704</v>
      </c>
      <c r="AH334" s="57">
        <f t="shared" si="346"/>
        <v>50381.889102925838</v>
      </c>
      <c r="AI334" s="56">
        <f t="shared" si="357"/>
        <v>-876.91399835486664</v>
      </c>
      <c r="AJ334" s="42">
        <f>'[1]побудинковий звіт'!AJ334+'[2]побудинковий звіт'!AJ334-'[3]побудинковий звіт'!AJ334</f>
        <v>57609.066383578771</v>
      </c>
      <c r="AK334" s="42">
        <f>'[1]побудинковий звіт'!AK334+'[2]побудинковий звіт'!AK334-'[3]побудинковий звіт'!AK334</f>
        <v>57102.239489787506</v>
      </c>
      <c r="AL334" s="56">
        <f t="shared" si="358"/>
        <v>-506.82689379126532</v>
      </c>
      <c r="AM334" s="42">
        <f>'[1]побудинковий звіт'!AM334+'[2]побудинковий звіт'!AM334-'[3]побудинковий звіт'!AM334</f>
        <v>0</v>
      </c>
      <c r="AN334" s="42">
        <f>'[1]побудинковий звіт'!AN334+'[2]побудинковий звіт'!AN334-'[3]побудинковий звіт'!AN334</f>
        <v>0</v>
      </c>
      <c r="AO334" s="56">
        <f t="shared" si="359"/>
        <v>0</v>
      </c>
      <c r="AP334" s="42">
        <f>'[1]побудинковий звіт'!AP334+'[2]побудинковий звіт'!AP334-'[3]побудинковий звіт'!AP334</f>
        <v>3314.5617501277748</v>
      </c>
      <c r="AQ334" s="42">
        <f>'[1]побудинковий звіт'!AQ334+'[2]побудинковий звіт'!AQ334-'[3]побудинковий звіт'!AQ334</f>
        <v>3168.054924233551</v>
      </c>
      <c r="AR334" s="56">
        <f t="shared" si="360"/>
        <v>-146.50682589422377</v>
      </c>
      <c r="AS334" s="42">
        <f>'[1]побудинковий звіт'!AS334+'[2]побудинковий звіт'!AS334-'[3]побудинковий звіт'!AS334</f>
        <v>67617.604504482631</v>
      </c>
      <c r="AT334" s="42">
        <f>'[1]побудинковий звіт'!AT334+'[2]побудинковий звіт'!AT334-'[3]побудинковий звіт'!AT334</f>
        <v>218030</v>
      </c>
      <c r="AU334" s="58">
        <f t="shared" si="375"/>
        <v>150412.39549551735</v>
      </c>
      <c r="AV334" s="42">
        <f>'[1]побудинковий звіт'!AV334+'[2]побудинковий звіт'!AV334-'[3]побудинковий звіт'!AV334</f>
        <v>1359.7023268161711</v>
      </c>
      <c r="AW334" s="42">
        <f>'[1]побудинковий звіт'!AW334+'[2]побудинковий звіт'!AW334-'[3]побудинковий звіт'!AW334</f>
        <v>0</v>
      </c>
      <c r="AX334" s="59">
        <f t="shared" si="376"/>
        <v>-1359.7023268161711</v>
      </c>
      <c r="AY334" s="42">
        <f>'[1]побудинковий звіт'!AY334+'[2]побудинковий звіт'!AY334-'[3]побудинковий звіт'!AY334</f>
        <v>1813.7603239429786</v>
      </c>
      <c r="AZ334" s="42">
        <f>'[1]побудинковий звіт'!AZ334+'[2]побудинковий звіт'!AZ334-'[3]побудинковий звіт'!AZ334</f>
        <v>598</v>
      </c>
      <c r="BA334" s="37">
        <f t="shared" si="377"/>
        <v>-1215.7603239429786</v>
      </c>
      <c r="BB334" s="42">
        <f>'[1]побудинковий звіт'!BB334+'[2]побудинковий звіт'!BB334-'[3]побудинковий звіт'!BB334</f>
        <v>2313.0735438896427</v>
      </c>
      <c r="BC334" s="42">
        <f>'[1]побудинковий звіт'!BC334+'[2]побудинковий звіт'!BC334-'[3]побудинковий звіт'!BC334</f>
        <v>0</v>
      </c>
      <c r="BD334" s="59">
        <f t="shared" si="378"/>
        <v>-2313.0735438896427</v>
      </c>
      <c r="BE334" s="42">
        <f>'[1]побудинковий звіт'!BE334+'[2]побудинковий звіт'!BE334-'[3]побудинковий звіт'!BE334</f>
        <v>769.25055422379694</v>
      </c>
      <c r="BF334" s="42">
        <f>'[1]побудинковий звіт'!BF334+'[2]побудинковий звіт'!BF334-'[3]побудинковий звіт'!BF334</f>
        <v>0</v>
      </c>
      <c r="BG334" s="39">
        <f t="shared" si="379"/>
        <v>-769.25055422379694</v>
      </c>
      <c r="BH334" s="42">
        <f>'[1]побудинковий звіт'!BH334+'[2]побудинковий звіт'!BH334-'[3]побудинковий звіт'!BH334</f>
        <v>395.76741189229665</v>
      </c>
      <c r="BI334" s="42">
        <f>'[1]побудинковий звіт'!BI334+'[2]побудинковий звіт'!BI334-'[3]побудинковий звіт'!BI334</f>
        <v>3724</v>
      </c>
      <c r="BJ334" s="59">
        <f t="shared" si="380"/>
        <v>3328.2325881077031</v>
      </c>
      <c r="BK334" s="42">
        <f>'[1]побудинковий звіт'!BK334+'[2]побудинковий звіт'!BK334-'[3]побудинковий звіт'!BK334</f>
        <v>663.98270230905223</v>
      </c>
      <c r="BL334" s="42">
        <f>'[1]побудинковий звіт'!BL334+'[2]побудинковий звіт'!BL334-'[3]побудинковий звіт'!BL334</f>
        <v>7372</v>
      </c>
      <c r="BM334" s="39">
        <f t="shared" si="381"/>
        <v>6708.017297690948</v>
      </c>
      <c r="BN334" s="42">
        <f>'[1]побудинковий звіт'!BN334+'[2]побудинковий звіт'!BN334-'[3]побудинковий звіт'!BN334</f>
        <v>0</v>
      </c>
      <c r="BO334" s="42">
        <f>'[1]побудинковий звіт'!BO334+'[2]побудинковий звіт'!BO334-'[3]побудинковий звіт'!BO334</f>
        <v>0</v>
      </c>
      <c r="BP334" s="59">
        <f t="shared" si="382"/>
        <v>0</v>
      </c>
      <c r="BQ334" s="87">
        <f t="shared" si="338"/>
        <v>7315.5368630739376</v>
      </c>
      <c r="BR334" s="43">
        <f t="shared" si="339"/>
        <v>11694</v>
      </c>
      <c r="BS334" s="59">
        <f t="shared" si="383"/>
        <v>4378.4631369260624</v>
      </c>
      <c r="BT334" s="42">
        <f>'[1]побудинковий звіт'!BT334+'[2]побудинковий звіт'!BT334-'[3]побудинковий звіт'!BT334</f>
        <v>53611.783582264623</v>
      </c>
      <c r="BU334" s="42">
        <f>'[1]побудинковий звіт'!BU334+'[2]побудинковий звіт'!BU334-'[3]побудинковий звіт'!BU334</f>
        <v>52412.027200861572</v>
      </c>
      <c r="BV334" s="56">
        <f t="shared" si="361"/>
        <v>-1199.7563814030509</v>
      </c>
      <c r="BW334" s="42">
        <f>'[1]побудинковий звіт'!BW334+'[2]побудинковий звіт'!BW334-'[3]побудинковий звіт'!BW334</f>
        <v>38862.86198845577</v>
      </c>
      <c r="BX334" s="42">
        <f>'[1]побудинковий звіт'!BX334+'[2]побудинковий звіт'!BX334-'[3]побудинковий звіт'!BX334</f>
        <v>39866.015814522252</v>
      </c>
      <c r="BY334" s="56">
        <f t="shared" si="362"/>
        <v>1003.153826066482</v>
      </c>
      <c r="BZ334" s="42">
        <f>'[1]побудинковий звіт'!BZ334+'[2]побудинковий звіт'!BZ334-'[3]побудинковий звіт'!BZ334</f>
        <v>5182.1477604157435</v>
      </c>
      <c r="CA334" s="42">
        <f>'[1]побудинковий звіт'!CA334+'[2]побудинковий звіт'!CA334-'[3]побудинковий звіт'!CA334</f>
        <v>11888.219660274208</v>
      </c>
      <c r="CB334" s="56">
        <f t="shared" si="363"/>
        <v>6706.0718998584643</v>
      </c>
      <c r="CC334" s="42">
        <f>'[1]побудинковий звіт'!CC334+'[2]побудинковий звіт'!CC334-'[3]побудинковий звіт'!CC334</f>
        <v>1838.3283656170847</v>
      </c>
      <c r="CD334" s="42">
        <f>'[1]побудинковий звіт'!CD334+'[2]побудинковий звіт'!CD334-'[3]побудинковий звіт'!CD334</f>
        <v>1822.1597479083928</v>
      </c>
      <c r="CE334" s="56">
        <f t="shared" si="364"/>
        <v>-16.168617708691954</v>
      </c>
      <c r="CF334" s="42">
        <f>'[1]побудинковий звіт'!CF334+'[2]побудинковий звіт'!CF334-'[3]побудинковий звіт'!CF334</f>
        <v>226.30936319149711</v>
      </c>
      <c r="CG334" s="42">
        <f>'[1]побудинковий звіт'!CG334+'[2]побудинковий звіт'!CG334-'[3]побудинковий звіт'!CG334</f>
        <v>0</v>
      </c>
      <c r="CH334" s="56">
        <f t="shared" si="365"/>
        <v>-226.30936319149711</v>
      </c>
      <c r="CI334" s="42">
        <f>'[1]побудинковий звіт'!CI334+'[2]побудинковий звіт'!CI334-'[3]побудинковий звіт'!CI334</f>
        <v>15273.500544588784</v>
      </c>
      <c r="CJ334" s="42">
        <f>'[1]побудинковий звіт'!CJ334+'[2]побудинковий звіт'!CJ334-'[3]побудинковий звіт'!CJ334</f>
        <v>15451.193138558658</v>
      </c>
      <c r="CK334" s="56">
        <f t="shared" si="366"/>
        <v>177.692593969874</v>
      </c>
      <c r="CL334" s="42">
        <f>'[1]побудинковий звіт'!CL334+'[2]побудинковий звіт'!CL334-'[3]побудинковий звіт'!CL334</f>
        <v>8535.1914807996127</v>
      </c>
      <c r="CM334" s="42">
        <f>'[1]побудинковий звіт'!CM334+'[2]побудинковий звіт'!CM334-'[3]побудинковий звіт'!CM334</f>
        <v>10731.401285512238</v>
      </c>
      <c r="CN334" s="56">
        <f t="shared" si="367"/>
        <v>2196.2098047126256</v>
      </c>
      <c r="CO334" s="42">
        <f t="shared" si="347"/>
        <v>23808.692025388395</v>
      </c>
      <c r="CP334" s="43">
        <f t="shared" si="368"/>
        <v>26182.594424070896</v>
      </c>
      <c r="CQ334" s="56">
        <f t="shared" si="369"/>
        <v>2373.9023986825014</v>
      </c>
      <c r="CR334" s="78">
        <f t="shared" si="348"/>
        <v>310645.6956878769</v>
      </c>
      <c r="CS334" s="5">
        <f t="shared" si="348"/>
        <v>472547.20036458428</v>
      </c>
      <c r="CT334" s="56">
        <f t="shared" si="370"/>
        <v>161901.50467670738</v>
      </c>
      <c r="CU334" s="87">
        <f t="shared" si="371"/>
        <v>372774.83482545224</v>
      </c>
      <c r="CV334" s="70">
        <f t="shared" si="372"/>
        <v>567056.64043750113</v>
      </c>
      <c r="CW334" s="37">
        <f t="shared" si="373"/>
        <v>194281.80561204889</v>
      </c>
      <c r="CX334" s="42">
        <f>'[1]побудинковий звіт'!CX334+'[2]побудинковий звіт'!CX334-'[3]побудинковий звіт'!CX334</f>
        <v>5456.2951745476748</v>
      </c>
      <c r="CY334" s="42">
        <f>'[1]побудинковий звіт'!CY334+'[2]побудинковий звіт'!CY334-'[3]побудинковий звіт'!CY334</f>
        <v>-188825.51043750107</v>
      </c>
      <c r="CZ334" s="56">
        <f t="shared" si="374"/>
        <v>-194281.80561204875</v>
      </c>
      <c r="DA334" s="264">
        <f>'[4]побудинковий звіт'!DA334</f>
        <v>66621.01429276928</v>
      </c>
      <c r="DB334" s="2">
        <v>3</v>
      </c>
      <c r="DC334" s="717">
        <f>'[4]побудинковий звіт'!DC334</f>
        <v>50742.13</v>
      </c>
      <c r="DD334" s="717">
        <f>'[4]побудинковий звіт'!DD334</f>
        <v>0</v>
      </c>
      <c r="DE334" s="717">
        <f>'[4]побудинковий звіт'!DE334</f>
        <v>19231.219999999998</v>
      </c>
      <c r="DF334" s="717">
        <f>'[4]побудинковий звіт'!DF334</f>
        <v>0</v>
      </c>
      <c r="DG334" s="787">
        <v>-80896.614168663509</v>
      </c>
      <c r="DH334" s="761">
        <f t="shared" si="344"/>
        <v>4538773.5599999987</v>
      </c>
      <c r="DI334" s="784"/>
      <c r="DJ334" s="5"/>
      <c r="DK334" s="317">
        <f>VLOOKUP($A334,ціни!$A$4:$G$401,5)</f>
        <v>5.8433255881341406</v>
      </c>
      <c r="DL334" s="317">
        <f>VLOOKUP($A334,ціни!$A$4:$G$401,6)</f>
        <v>7.593242094691961</v>
      </c>
      <c r="DM334" s="317">
        <f>VLOOKUP($A334,ціни!$A$4:$G$401,7)</f>
        <v>4.9145443183519957</v>
      </c>
      <c r="DN334" s="30">
        <f>DK334*G334+(F334-G334)*DL334</f>
        <v>15480.094837401535</v>
      </c>
      <c r="DO334" s="30">
        <f>DM334*H334</f>
        <v>0</v>
      </c>
      <c r="DP334" s="316">
        <f t="shared" si="335"/>
        <v>15480.094837401535</v>
      </c>
      <c r="DQ334" s="104"/>
      <c r="DR334" s="30">
        <f>VLOOKUP(A334,'ДЗ нас '!$A$1:$C$359,2)</f>
        <v>31510.91</v>
      </c>
      <c r="DS334" s="748"/>
      <c r="DT334" s="30">
        <f t="shared" si="336"/>
        <v>31510.91</v>
      </c>
      <c r="DU334" s="257">
        <f>VLOOKUP(A334,'новий кошторис с 01.06'!$A$4:$AI$399,35)*1.2</f>
        <v>31623.731821025871</v>
      </c>
      <c r="DV334" s="30">
        <f t="shared" si="337"/>
        <v>-112.82182102587103</v>
      </c>
      <c r="DW334" s="930">
        <f>'[5]побудинковий звіт'!DW334+'[6]побудинковий звіт'!DW334</f>
        <v>236</v>
      </c>
      <c r="DY334" s="5">
        <f t="shared" si="340"/>
        <v>89919.769641067876</v>
      </c>
      <c r="DZ334" s="5">
        <f t="shared" si="341"/>
        <v>275668.8</v>
      </c>
      <c r="EA334" s="752">
        <f t="shared" si="345"/>
        <v>19231.219999999998</v>
      </c>
      <c r="EC334" s="592">
        <f t="shared" si="342"/>
        <v>811411.25405379152</v>
      </c>
      <c r="EE334" s="758">
        <v>9175</v>
      </c>
      <c r="EF334" s="738">
        <f t="shared" si="343"/>
        <v>-71721.614168663509</v>
      </c>
      <c r="EH334" s="813">
        <v>-141030.18256281081</v>
      </c>
    </row>
    <row r="335" spans="1:138" x14ac:dyDescent="0.3">
      <c r="A335" s="328">
        <v>150000896</v>
      </c>
      <c r="B335" s="44" t="s">
        <v>788</v>
      </c>
      <c r="C335" s="45" t="s">
        <v>317</v>
      </c>
      <c r="D335" s="45" t="s">
        <v>317</v>
      </c>
      <c r="E335" s="40">
        <f t="shared" si="384"/>
        <v>6420.63</v>
      </c>
      <c r="F335" s="490">
        <v>6420.63</v>
      </c>
      <c r="G335" s="30"/>
      <c r="H335" s="30">
        <v>0</v>
      </c>
      <c r="I335" s="42">
        <f>'[1]побудинковий звіт'!I335+'[2]побудинковий звіт'!I335-'[3]побудинковий звіт'!I335</f>
        <v>10602.033687406496</v>
      </c>
      <c r="J335" s="42">
        <f>'[1]побудинковий звіт'!J335+'[2]побудинковий звіт'!J335-'[3]побудинковий звіт'!J335</f>
        <v>9651.6345552135135</v>
      </c>
      <c r="K335" s="56">
        <f t="shared" si="349"/>
        <v>-950.39913219298251</v>
      </c>
      <c r="L335" s="42">
        <f>'[1]побудинковий звіт'!L335+'[2]побудинковий звіт'!L335-'[3]побудинковий звіт'!L335</f>
        <v>1994.6359706671178</v>
      </c>
      <c r="M335" s="42">
        <f>'[1]побудинковий звіт'!M335+'[2]побудинковий звіт'!M335-'[3]побудинковий звіт'!M335</f>
        <v>1909.9197782193564</v>
      </c>
      <c r="N335" s="56">
        <f t="shared" si="350"/>
        <v>-84.716192447761387</v>
      </c>
      <c r="O335" s="42">
        <f>'[1]побудинковий звіт'!O335+'[2]побудинковий звіт'!O335-'[3]побудинковий звіт'!O335</f>
        <v>4073.6400000000017</v>
      </c>
      <c r="P335" s="42">
        <f>'[1]побудинковий звіт'!P335+'[2]побудинковий звіт'!P335-'[3]побудинковий звіт'!P335</f>
        <v>4073.6400000000017</v>
      </c>
      <c r="Q335" s="56">
        <f t="shared" si="351"/>
        <v>0</v>
      </c>
      <c r="R335" s="42">
        <f>'[1]побудинковий звіт'!R335+'[2]побудинковий звіт'!R335-'[3]побудинковий звіт'!R335</f>
        <v>0</v>
      </c>
      <c r="S335" s="42">
        <f>'[1]побудинковий звіт'!S335+'[2]побудинковий звіт'!S335-'[3]побудинковий звіт'!S335</f>
        <v>0</v>
      </c>
      <c r="T335" s="56">
        <f t="shared" si="352"/>
        <v>0</v>
      </c>
      <c r="U335" s="42">
        <f>'[1]побудинковий звіт'!U335+'[2]побудинковий звіт'!U335-'[3]побудинковий звіт'!U335</f>
        <v>0</v>
      </c>
      <c r="V335" s="42">
        <f>'[1]побудинковий звіт'!V335+'[2]побудинковий звіт'!V335-'[3]побудинковий звіт'!V335</f>
        <v>0</v>
      </c>
      <c r="W335" s="56">
        <f t="shared" si="353"/>
        <v>0</v>
      </c>
      <c r="X335" s="42">
        <f>'[1]побудинковий звіт'!X335+'[2]побудинковий звіт'!X335-'[3]побудинковий звіт'!X335</f>
        <v>7078.7185516227746</v>
      </c>
      <c r="Y335" s="42">
        <f>'[1]побудинковий звіт'!Y335+'[2]побудинковий звіт'!Y335-'[3]побудинковий звіт'!Y335</f>
        <v>6160.9084526003853</v>
      </c>
      <c r="Z335" s="56">
        <f t="shared" si="354"/>
        <v>-917.81009902238929</v>
      </c>
      <c r="AA335" s="42">
        <f>'[1]побудинковий звіт'!AA335+'[2]побудинковий звіт'!AA335-'[3]побудинковий звіт'!AA335</f>
        <v>0</v>
      </c>
      <c r="AB335" s="42">
        <f>'[1]побудинковий звіт'!AB335+'[2]побудинковий звіт'!AB335-'[3]побудинковий звіт'!AB335</f>
        <v>0</v>
      </c>
      <c r="AC335" s="56">
        <f t="shared" si="355"/>
        <v>0</v>
      </c>
      <c r="AD335" s="42">
        <f>'[1]побудинковий звіт'!AD335+'[2]побудинковий звіт'!AD335-'[3]побудинковий звіт'!AD335</f>
        <v>11596.268909625976</v>
      </c>
      <c r="AE335" s="42">
        <f>'[1]побудинковий звіт'!AE335+'[2]побудинковий звіт'!AE335-'[3]побудинковий звіт'!AE335</f>
        <v>10688.135477338183</v>
      </c>
      <c r="AF335" s="37">
        <f t="shared" si="356"/>
        <v>-908.13343228779377</v>
      </c>
      <c r="AG335" s="87">
        <f t="shared" si="346"/>
        <v>35345.297119322371</v>
      </c>
      <c r="AH335" s="57">
        <f t="shared" si="346"/>
        <v>32484.238263371441</v>
      </c>
      <c r="AI335" s="56">
        <f t="shared" si="357"/>
        <v>-2861.0588559509306</v>
      </c>
      <c r="AJ335" s="42">
        <f>'[1]побудинковий звіт'!AJ335+'[2]побудинковий звіт'!AJ335-'[3]побудинковий звіт'!AJ335</f>
        <v>0</v>
      </c>
      <c r="AK335" s="42">
        <f>'[1]побудинковий звіт'!AK335+'[2]побудинковий звіт'!AK335-'[3]побудинковий звіт'!AK335</f>
        <v>0</v>
      </c>
      <c r="AL335" s="56">
        <f t="shared" si="358"/>
        <v>0</v>
      </c>
      <c r="AM335" s="42">
        <f>'[1]побудинковий звіт'!AM335+'[2]побудинковий звіт'!AM335-'[3]побудинковий звіт'!AM335</f>
        <v>0</v>
      </c>
      <c r="AN335" s="42">
        <f>'[1]побудинковий звіт'!AN335+'[2]побудинковий звіт'!AN335-'[3]побудинковий звіт'!AN335</f>
        <v>0</v>
      </c>
      <c r="AO335" s="56">
        <f t="shared" si="359"/>
        <v>0</v>
      </c>
      <c r="AP335" s="42">
        <f>'[1]побудинковий звіт'!AP335+'[2]побудинковий звіт'!AP335-'[3]побудинковий звіт'!AP335</f>
        <v>4261.5793930214249</v>
      </c>
      <c r="AQ335" s="42">
        <f>'[1]побудинковий звіт'!AQ335+'[2]побудинковий звіт'!AQ335-'[3]побудинковий звіт'!AQ335</f>
        <v>11481.17616275084</v>
      </c>
      <c r="AR335" s="56">
        <f t="shared" si="360"/>
        <v>7219.5967697294154</v>
      </c>
      <c r="AS335" s="42">
        <f>'[1]побудинковий звіт'!AS335+'[2]побудинковий звіт'!AS335-'[3]побудинковий звіт'!AS335</f>
        <v>44596.511716667803</v>
      </c>
      <c r="AT335" s="42">
        <f>'[1]побудинковий звіт'!AT335+'[2]побудинковий звіт'!AT335-'[3]побудинковий звіт'!AT335</f>
        <v>8066.8430564891423</v>
      </c>
      <c r="AU335" s="58">
        <f t="shared" si="375"/>
        <v>-36529.668660178664</v>
      </c>
      <c r="AV335" s="42">
        <f>'[1]побудинковий звіт'!AV335+'[2]побудинковий звіт'!AV335-'[3]побудинковий звіт'!AV335</f>
        <v>1772.5636049072607</v>
      </c>
      <c r="AW335" s="42">
        <f>'[1]побудинковий звіт'!AW335+'[2]побудинковий звіт'!AW335-'[3]побудинковий звіт'!AW335</f>
        <v>14755</v>
      </c>
      <c r="AX335" s="59">
        <f t="shared" si="376"/>
        <v>12982.43639509274</v>
      </c>
      <c r="AY335" s="42">
        <f>'[1]побудинковий звіт'!AY335+'[2]побудинковий звіт'!AY335-'[3]побудинковий звіт'!AY335</f>
        <v>2570.742825601536</v>
      </c>
      <c r="AZ335" s="42">
        <f>'[1]побудинковий звіт'!AZ335+'[2]побудинковий звіт'!AZ335-'[3]побудинковий звіт'!AZ335</f>
        <v>3093</v>
      </c>
      <c r="BA335" s="37">
        <f t="shared" si="377"/>
        <v>522.25717439846403</v>
      </c>
      <c r="BB335" s="42">
        <f>'[1]побудинковий звіт'!BB335+'[2]побудинковий звіт'!BB335-'[3]побудинковий звіт'!BB335</f>
        <v>1851.4567615129486</v>
      </c>
      <c r="BC335" s="42">
        <f>'[1]побудинковий звіт'!BC335+'[2]побудинковий звіт'!BC335-'[3]побудинковий звіт'!BC335</f>
        <v>773</v>
      </c>
      <c r="BD335" s="59">
        <f t="shared" si="378"/>
        <v>-1078.4567615129486</v>
      </c>
      <c r="BE335" s="42">
        <f>'[1]побудинковий звіт'!BE335+'[2]побудинковий звіт'!BE335-'[3]побудинковий звіт'!BE335</f>
        <v>0</v>
      </c>
      <c r="BF335" s="42">
        <f>'[1]побудинковий звіт'!BF335+'[2]побудинковий звіт'!BF335-'[3]побудинковий звіт'!BF335</f>
        <v>0</v>
      </c>
      <c r="BG335" s="39">
        <f t="shared" si="379"/>
        <v>0</v>
      </c>
      <c r="BH335" s="42">
        <f>'[1]побудинковий звіт'!BH335+'[2]побудинковий звіт'!BH335-'[3]побудинковий звіт'!BH335</f>
        <v>0</v>
      </c>
      <c r="BI335" s="42">
        <f>'[1]побудинковий звіт'!BI335+'[2]побудинковий звіт'!BI335-'[3]побудинковий звіт'!BI335</f>
        <v>0</v>
      </c>
      <c r="BJ335" s="59">
        <f t="shared" si="380"/>
        <v>0</v>
      </c>
      <c r="BK335" s="42">
        <f>'[1]побудинковий звіт'!BK335+'[2]побудинковий звіт'!BK335-'[3]побудинковий звіт'!BK335</f>
        <v>1293.6349022285513</v>
      </c>
      <c r="BL335" s="42">
        <f>'[1]побудинковий звіт'!BL335+'[2]побудинковий звіт'!BL335-'[3]побудинковий звіт'!BL335</f>
        <v>1505</v>
      </c>
      <c r="BM335" s="39">
        <f t="shared" si="381"/>
        <v>211.36509777144875</v>
      </c>
      <c r="BN335" s="42">
        <f>'[1]побудинковий звіт'!BN335+'[2]побудинковий звіт'!BN335-'[3]побудинковий звіт'!BN335</f>
        <v>0</v>
      </c>
      <c r="BO335" s="42">
        <f>'[1]побудинковий звіт'!BO335+'[2]побудинковий звіт'!BO335-'[3]побудинковий звіт'!BO335</f>
        <v>0</v>
      </c>
      <c r="BP335" s="59">
        <f t="shared" si="382"/>
        <v>0</v>
      </c>
      <c r="BQ335" s="87">
        <f t="shared" si="338"/>
        <v>7488.3980942502958</v>
      </c>
      <c r="BR335" s="43">
        <f t="shared" si="339"/>
        <v>20126</v>
      </c>
      <c r="BS335" s="59">
        <f t="shared" si="383"/>
        <v>12637.601905749703</v>
      </c>
      <c r="BT335" s="42">
        <f>'[1]побудинковий звіт'!BT335+'[2]побудинковий звіт'!BT335-'[3]побудинковий звіт'!BT335</f>
        <v>31178.516270870263</v>
      </c>
      <c r="BU335" s="42">
        <f>'[1]побудинковий звіт'!BU335+'[2]побудинковий звіт'!BU335-'[3]побудинковий звіт'!BU335</f>
        <v>36177.312499419837</v>
      </c>
      <c r="BV335" s="56">
        <f t="shared" si="361"/>
        <v>4998.7962285495742</v>
      </c>
      <c r="BW335" s="42">
        <f>'[1]побудинковий звіт'!BW335+'[2]побудинковий звіт'!BW335-'[3]побудинковий звіт'!BW335</f>
        <v>18103.892940241025</v>
      </c>
      <c r="BX335" s="42">
        <f>'[1]побудинковий звіт'!BX335+'[2]побудинковий звіт'!BX335-'[3]побудинковий звіт'!BX335</f>
        <v>17320.926987471139</v>
      </c>
      <c r="BY335" s="56">
        <f t="shared" si="362"/>
        <v>-782.96595276988592</v>
      </c>
      <c r="BZ335" s="42">
        <f>'[1]побудинковий звіт'!BZ335+'[2]побудинковий звіт'!BZ335-'[3]побудинковий звіт'!BZ335</f>
        <v>5060.0370950554106</v>
      </c>
      <c r="CA335" s="42">
        <f>'[1]побудинковий звіт'!CA335+'[2]побудинковий звіт'!CA335-'[3]побудинковий звіт'!CA335</f>
        <v>8723.9085056299518</v>
      </c>
      <c r="CB335" s="56">
        <f t="shared" si="363"/>
        <v>3663.8714105745412</v>
      </c>
      <c r="CC335" s="42">
        <f>'[1]побудинковий звіт'!CC335+'[2]побудинковий звіт'!CC335-'[3]побудинковий звіт'!CC335</f>
        <v>1741.1175616432536</v>
      </c>
      <c r="CD335" s="42">
        <f>'[1]побудинковий звіт'!CD335+'[2]побудинковий звіт'!CD335-'[3]побудинковий звіт'!CD335</f>
        <v>1725.8039404389972</v>
      </c>
      <c r="CE335" s="56">
        <f t="shared" si="364"/>
        <v>-15.313621204256378</v>
      </c>
      <c r="CF335" s="42">
        <f>'[1]побудинковий звіт'!CF335+'[2]побудинковий звіт'!CF335-'[3]побудинковий звіт'!CF335</f>
        <v>214.3421240659309</v>
      </c>
      <c r="CG335" s="42">
        <f>'[1]побудинковий звіт'!CG335+'[2]побудинковий звіт'!CG335-'[3]побудинковий звіт'!CG335</f>
        <v>0</v>
      </c>
      <c r="CH335" s="56">
        <f t="shared" si="365"/>
        <v>-214.3421240659309</v>
      </c>
      <c r="CI335" s="42">
        <f>'[1]побудинковий звіт'!CI335+'[2]побудинковий звіт'!CI335-'[3]побудинковий звіт'!CI335</f>
        <v>14262.754185020403</v>
      </c>
      <c r="CJ335" s="42">
        <f>'[1]побудинковий звіт'!CJ335+'[2]побудинковий звіт'!CJ335-'[3]побудинковий звіт'!CJ335</f>
        <v>4178.6081230102873</v>
      </c>
      <c r="CK335" s="56">
        <f t="shared" si="366"/>
        <v>-10084.146062010117</v>
      </c>
      <c r="CL335" s="42">
        <f>'[1]побудинковий звіт'!CL335+'[2]побудинковий звіт'!CL335-'[3]побудинковий звіт'!CL335</f>
        <v>0</v>
      </c>
      <c r="CM335" s="42">
        <f>'[1]побудинковий звіт'!CM335+'[2]побудинковий звіт'!CM335-'[3]побудинковий звіт'!CM335</f>
        <v>0</v>
      </c>
      <c r="CN335" s="56">
        <f t="shared" si="367"/>
        <v>0</v>
      </c>
      <c r="CO335" s="42">
        <f t="shared" si="347"/>
        <v>14262.754185020403</v>
      </c>
      <c r="CP335" s="43">
        <f t="shared" si="368"/>
        <v>4178.6081230102873</v>
      </c>
      <c r="CQ335" s="56">
        <f t="shared" si="369"/>
        <v>-10084.146062010117</v>
      </c>
      <c r="CR335" s="78">
        <f t="shared" si="348"/>
        <v>162252.4465001582</v>
      </c>
      <c r="CS335" s="5">
        <f t="shared" si="348"/>
        <v>140284.81753858164</v>
      </c>
      <c r="CT335" s="56">
        <f t="shared" si="370"/>
        <v>-21967.628961576556</v>
      </c>
      <c r="CU335" s="87">
        <f t="shared" si="371"/>
        <v>194702.93580018982</v>
      </c>
      <c r="CV335" s="70">
        <f t="shared" si="372"/>
        <v>168341.78104629795</v>
      </c>
      <c r="CW335" s="37">
        <f t="shared" si="373"/>
        <v>-26361.154753891868</v>
      </c>
      <c r="CX335" s="42">
        <f>'[1]побудинковий звіт'!CX335+'[2]побудинковий звіт'!CX335-'[3]побудинковий звіт'!CX335</f>
        <v>9728.3241998101948</v>
      </c>
      <c r="CY335" s="42">
        <f>'[1]побудинковий звіт'!CY335+'[2]побудинковий звіт'!CY335-'[3]побудинковий звіт'!CY335</f>
        <v>36089.478953702062</v>
      </c>
      <c r="CZ335" s="56">
        <f t="shared" si="374"/>
        <v>26361.154753891868</v>
      </c>
      <c r="DA335" s="264">
        <f>'[4]побудинковий звіт'!DA335</f>
        <v>47393.598795055965</v>
      </c>
      <c r="DB335" s="2">
        <v>3</v>
      </c>
      <c r="DC335" s="717">
        <f>'[4]побудинковий звіт'!DC335</f>
        <v>64997.46</v>
      </c>
      <c r="DD335" s="717">
        <f>'[4]побудинковий звіт'!DD335</f>
        <v>0</v>
      </c>
      <c r="DE335" s="717">
        <f>'[4]побудинковий звіт'!DE335</f>
        <v>47958.38</v>
      </c>
      <c r="DF335" s="717">
        <f>'[4]побудинковий звіт'!DF335</f>
        <v>0</v>
      </c>
      <c r="DG335" s="787">
        <v>83591.975209226483</v>
      </c>
      <c r="DH335" s="761">
        <f t="shared" si="344"/>
        <v>2453175.12</v>
      </c>
      <c r="DI335" s="784"/>
      <c r="DJ335" s="5"/>
      <c r="DK335" s="317">
        <f>VLOOKUP($A335,ціни!$A$4:$G$401,5)</f>
        <v>6.2817820034721361</v>
      </c>
      <c r="DL335" s="317"/>
      <c r="DM335" s="317">
        <f>VLOOKUP($A335,ціни!$A$4:$G$401,7)</f>
        <v>5.580869867366494</v>
      </c>
      <c r="DN335" s="30">
        <f>F335*DK335</f>
        <v>40332.997984953305</v>
      </c>
      <c r="DO335" s="30">
        <f>H335*DM335</f>
        <v>0</v>
      </c>
      <c r="DP335" s="316">
        <f t="shared" si="335"/>
        <v>40332.997984953305</v>
      </c>
      <c r="DQ335" s="104"/>
      <c r="DR335" s="30">
        <f>VLOOKUP(A335,'ДЗ нас '!$A$1:$C$359,2)</f>
        <v>17039.080000000002</v>
      </c>
      <c r="DS335" s="748"/>
      <c r="DT335" s="30">
        <f t="shared" si="336"/>
        <v>17039.080000000002</v>
      </c>
      <c r="DU335" s="257">
        <f>VLOOKUP(A335,'новий кошторис с 01.06'!$A$4:$AI$399,35)*1.2</f>
        <v>17198.759329016768</v>
      </c>
      <c r="DV335" s="30">
        <f t="shared" si="337"/>
        <v>-159.67932901676613</v>
      </c>
      <c r="DW335" s="930">
        <f>'[5]побудинковий звіт'!DW335+'[6]побудинковий звіт'!DW335</f>
        <v>204</v>
      </c>
      <c r="DY335" s="5">
        <f t="shared" si="340"/>
        <v>62501.891773101714</v>
      </c>
      <c r="DZ335" s="5">
        <f t="shared" si="341"/>
        <v>33831.411667786968</v>
      </c>
      <c r="EA335" s="752">
        <f t="shared" si="345"/>
        <v>47958.38</v>
      </c>
      <c r="EC335" s="592">
        <f t="shared" si="342"/>
        <v>535158.14060001366</v>
      </c>
      <c r="EE335" s="758">
        <v>-34770</v>
      </c>
      <c r="EF335" s="738">
        <f t="shared" si="343"/>
        <v>48821.975209226483</v>
      </c>
      <c r="EH335" s="813">
        <v>65748.603627886478</v>
      </c>
    </row>
    <row r="336" spans="1:138" x14ac:dyDescent="0.3">
      <c r="A336" s="328">
        <v>150000898</v>
      </c>
      <c r="B336" s="44" t="s">
        <v>789</v>
      </c>
      <c r="C336" s="45" t="s">
        <v>190</v>
      </c>
      <c r="D336" s="45" t="s">
        <v>190</v>
      </c>
      <c r="E336" s="40">
        <f t="shared" si="384"/>
        <v>2586.9899999999998</v>
      </c>
      <c r="F336" s="490">
        <v>2586.9899999999998</v>
      </c>
      <c r="G336" s="30"/>
      <c r="H336" s="30">
        <v>0</v>
      </c>
      <c r="I336" s="42">
        <f>'[1]побудинковий звіт'!I336+'[2]побудинковий звіт'!I336-'[3]побудинковий звіт'!I336</f>
        <v>1940.3939468588233</v>
      </c>
      <c r="J336" s="42">
        <f>'[1]побудинковий звіт'!J336+'[2]побудинковий звіт'!J336-'[3]побудинковий звіт'!J336</f>
        <v>1767.7533353097751</v>
      </c>
      <c r="K336" s="56">
        <f t="shared" si="349"/>
        <v>-172.64061154904812</v>
      </c>
      <c r="L336" s="42">
        <f>'[1]побудинковий звіт'!L336+'[2]побудинковий звіт'!L336-'[3]побудинковий звіт'!L336</f>
        <v>440.88610138287203</v>
      </c>
      <c r="M336" s="42">
        <f>'[1]побудинковий звіт'!M336+'[2]побудинковий звіт'!M336-'[3]побудинковий звіт'!M336</f>
        <v>422.15998658164091</v>
      </c>
      <c r="N336" s="56">
        <f t="shared" si="350"/>
        <v>-18.72611480123112</v>
      </c>
      <c r="O336" s="42">
        <f>'[1]побудинковий звіт'!O336+'[2]побудинковий звіт'!O336-'[3]побудинковий звіт'!O336</f>
        <v>643.32000000000005</v>
      </c>
      <c r="P336" s="42">
        <f>'[1]побудинковий звіт'!P336+'[2]побудинковий звіт'!P336-'[3]побудинковий звіт'!P336</f>
        <v>643.43999999999994</v>
      </c>
      <c r="Q336" s="56">
        <f t="shared" si="351"/>
        <v>0.11999999999989086</v>
      </c>
      <c r="R336" s="42">
        <f>'[1]побудинковий звіт'!R336+'[2]побудинковий звіт'!R336-'[3]побудинковий звіт'!R336</f>
        <v>0</v>
      </c>
      <c r="S336" s="42">
        <f>'[1]побудинковий звіт'!S336+'[2]побудинковий звіт'!S336-'[3]побудинковий звіт'!S336</f>
        <v>0</v>
      </c>
      <c r="T336" s="56">
        <f t="shared" si="352"/>
        <v>0</v>
      </c>
      <c r="U336" s="42">
        <f>'[1]побудинковий звіт'!U336+'[2]побудинковий звіт'!U336-'[3]побудинковий звіт'!U336</f>
        <v>0</v>
      </c>
      <c r="V336" s="42">
        <f>'[1]побудинковий звіт'!V336+'[2]побудинковий звіт'!V336-'[3]побудинковий звіт'!V336</f>
        <v>0</v>
      </c>
      <c r="W336" s="56">
        <f t="shared" si="353"/>
        <v>0</v>
      </c>
      <c r="X336" s="42">
        <f>'[1]побудинковий звіт'!X336+'[2]побудинковий звіт'!X336-'[3]побудинковий звіт'!X336</f>
        <v>740.16659976359904</v>
      </c>
      <c r="Y336" s="42">
        <f>'[1]побудинковий звіт'!Y336+'[2]побудинковий звіт'!Y336-'[3]побудинковий звіт'!Y336</f>
        <v>589.04314709065648</v>
      </c>
      <c r="Z336" s="56">
        <f t="shared" si="354"/>
        <v>-151.12345267294256</v>
      </c>
      <c r="AA336" s="42">
        <f>'[1]побудинковий звіт'!AA336+'[2]побудинковий звіт'!AA336-'[3]побудинковий звіт'!AA336</f>
        <v>0</v>
      </c>
      <c r="AB336" s="42">
        <f>'[1]побудинковий звіт'!AB336+'[2]побудинковий звіт'!AB336-'[3]побудинковий звіт'!AB336</f>
        <v>0</v>
      </c>
      <c r="AC336" s="56">
        <f t="shared" si="355"/>
        <v>0</v>
      </c>
      <c r="AD336" s="42">
        <f>'[1]побудинковий звіт'!AD336+'[2]побудинковий звіт'!AD336-'[3]побудинковий звіт'!AD336</f>
        <v>2018.6200668256201</v>
      </c>
      <c r="AE336" s="42">
        <f>'[1]побудинковий звіт'!AE336+'[2]побудинковий звіт'!AE336-'[3]побудинковий звіт'!AE336</f>
        <v>1860.5486695627549</v>
      </c>
      <c r="AF336" s="37">
        <f t="shared" si="356"/>
        <v>-158.07139726286528</v>
      </c>
      <c r="AG336" s="87">
        <f t="shared" si="346"/>
        <v>5783.3867148309146</v>
      </c>
      <c r="AH336" s="57">
        <f t="shared" si="346"/>
        <v>5282.9451385448274</v>
      </c>
      <c r="AI336" s="56">
        <f t="shared" si="357"/>
        <v>-500.44157628608718</v>
      </c>
      <c r="AJ336" s="42">
        <f>'[1]побудинковий звіт'!AJ336+'[2]побудинковий звіт'!AJ336-'[3]побудинковий звіт'!AJ336</f>
        <v>0</v>
      </c>
      <c r="AK336" s="42">
        <f>'[1]побудинковий звіт'!AK336+'[2]побудинковий звіт'!AK336-'[3]побудинковий звіт'!AK336</f>
        <v>0</v>
      </c>
      <c r="AL336" s="56">
        <f t="shared" si="358"/>
        <v>0</v>
      </c>
      <c r="AM336" s="42">
        <f>'[1]побудинковий звіт'!AM336+'[2]побудинковий звіт'!AM336-'[3]побудинковий звіт'!AM336</f>
        <v>0</v>
      </c>
      <c r="AN336" s="42">
        <f>'[1]побудинковий звіт'!AN336+'[2]побудинковий звіт'!AN336-'[3]побудинковий звіт'!AN336</f>
        <v>0</v>
      </c>
      <c r="AO336" s="56">
        <f t="shared" si="359"/>
        <v>0</v>
      </c>
      <c r="AP336" s="42">
        <f>'[1]побудинковий звіт'!AP336+'[2]побудинковий звіт'!AP336-'[3]побудинковий звіт'!AP336</f>
        <v>1515.2282286298394</v>
      </c>
      <c r="AQ336" s="42">
        <f>'[1]побудинковий звіт'!AQ336+'[2]побудинковий звіт'!AQ336-'[3]побудинковий звіт'!AQ336</f>
        <v>1612.0633636708626</v>
      </c>
      <c r="AR336" s="56">
        <f t="shared" si="360"/>
        <v>96.83513504102325</v>
      </c>
      <c r="AS336" s="42">
        <f>'[1]побудинковий звіт'!AS336+'[2]побудинковий звіт'!AS336-'[3]побудинковий звіт'!AS336</f>
        <v>7033.5096411578179</v>
      </c>
      <c r="AT336" s="42">
        <f>'[1]побудинковий звіт'!AT336+'[2]побудинковий звіт'!AT336-'[3]побудинковий звіт'!AT336</f>
        <v>25789</v>
      </c>
      <c r="AU336" s="58">
        <f t="shared" si="375"/>
        <v>18755.49035884218</v>
      </c>
      <c r="AV336" s="42">
        <f>'[1]побудинковий звіт'!AV336+'[2]побудинковий звіт'!AV336-'[3]побудинковий звіт'!AV336</f>
        <v>362.57990794235297</v>
      </c>
      <c r="AW336" s="42">
        <f>'[1]побудинковий звіт'!AW336+'[2]побудинковий звіт'!AW336-'[3]побудинковий звіт'!AW336</f>
        <v>0</v>
      </c>
      <c r="AX336" s="59">
        <f t="shared" si="376"/>
        <v>-362.57990794235297</v>
      </c>
      <c r="AY336" s="42">
        <f>'[1]побудинковий звіт'!AY336+'[2]побудинковий звіт'!AY336-'[3]побудинковий звіт'!AY336</f>
        <v>568.34986807500434</v>
      </c>
      <c r="AZ336" s="42">
        <f>'[1]побудинковий звіт'!AZ336+'[2]побудинковий звіт'!AZ336-'[3]побудинковий звіт'!AZ336</f>
        <v>0</v>
      </c>
      <c r="BA336" s="37">
        <f t="shared" si="377"/>
        <v>-568.34986807500434</v>
      </c>
      <c r="BB336" s="42">
        <f>'[1]побудинковий звіт'!BB336+'[2]побудинковий звіт'!BB336-'[3]побудинковий звіт'!BB336</f>
        <v>189.01238177322887</v>
      </c>
      <c r="BC336" s="42">
        <f>'[1]побудинковий звіт'!BC336+'[2]побудинковий звіт'!BC336-'[3]побудинковий звіт'!BC336</f>
        <v>0</v>
      </c>
      <c r="BD336" s="59">
        <f t="shared" si="378"/>
        <v>-189.01238177322887</v>
      </c>
      <c r="BE336" s="42">
        <f>'[1]побудинковий звіт'!BE336+'[2]побудинковий звіт'!BE336-'[3]побудинковий звіт'!BE336</f>
        <v>0</v>
      </c>
      <c r="BF336" s="42">
        <f>'[1]побудинковий звіт'!BF336+'[2]побудинковий звіт'!BF336-'[3]побудинковий звіт'!BF336</f>
        <v>0</v>
      </c>
      <c r="BG336" s="39">
        <f t="shared" si="379"/>
        <v>0</v>
      </c>
      <c r="BH336" s="42">
        <f>'[1]побудинковий звіт'!BH336+'[2]побудинковий звіт'!BH336-'[3]побудинковий звіт'!BH336</f>
        <v>0</v>
      </c>
      <c r="BI336" s="42">
        <f>'[1]побудинковий звіт'!BI336+'[2]побудинковий звіт'!BI336-'[3]побудинковий звіт'!BI336</f>
        <v>0</v>
      </c>
      <c r="BJ336" s="59">
        <f t="shared" si="380"/>
        <v>0</v>
      </c>
      <c r="BK336" s="42">
        <f>'[1]побудинковий звіт'!BK336+'[2]побудинковий звіт'!BK336-'[3]побудинковий звіт'!BK336</f>
        <v>59.168569815476367</v>
      </c>
      <c r="BL336" s="42">
        <f>'[1]побудинковий звіт'!BL336+'[2]побудинковий звіт'!BL336-'[3]побудинковий звіт'!BL336</f>
        <v>1967</v>
      </c>
      <c r="BM336" s="39">
        <f t="shared" si="381"/>
        <v>1907.8314301845237</v>
      </c>
      <c r="BN336" s="42">
        <f>'[1]побудинковий звіт'!BN336+'[2]побудинковий звіт'!BN336-'[3]побудинковий звіт'!BN336</f>
        <v>0</v>
      </c>
      <c r="BO336" s="42">
        <f>'[1]побудинковий звіт'!BO336+'[2]побудинковий звіт'!BO336-'[3]побудинковий звіт'!BO336</f>
        <v>0</v>
      </c>
      <c r="BP336" s="59">
        <f t="shared" si="382"/>
        <v>0</v>
      </c>
      <c r="BQ336" s="87">
        <f t="shared" si="338"/>
        <v>1179.1107276060625</v>
      </c>
      <c r="BR336" s="43">
        <f t="shared" si="339"/>
        <v>1967</v>
      </c>
      <c r="BS336" s="59">
        <f t="shared" si="383"/>
        <v>787.88927239393752</v>
      </c>
      <c r="BT336" s="42">
        <f>'[1]побудинковий звіт'!BT336+'[2]побудинковий звіт'!BT336-'[3]побудинковий звіт'!BT336</f>
        <v>4783.0159378190847</v>
      </c>
      <c r="BU336" s="42">
        <f>'[1]побудинковий звіт'!BU336+'[2]побудинковий звіт'!BU336-'[3]побудинковий звіт'!BU336</f>
        <v>5370.2664008894426</v>
      </c>
      <c r="BV336" s="56">
        <f t="shared" si="361"/>
        <v>587.25046307035791</v>
      </c>
      <c r="BW336" s="42">
        <f>'[1]побудинковий звіт'!BW336+'[2]побудинковий звіт'!BW336-'[3]побудинковий звіт'!BW336</f>
        <v>3689.3640880357734</v>
      </c>
      <c r="BX336" s="42">
        <f>'[1]побудинковий звіт'!BX336+'[2]побудинковий звіт'!BX336-'[3]побудинковий звіт'!BX336</f>
        <v>3578.651547431376</v>
      </c>
      <c r="BY336" s="56">
        <f t="shared" si="362"/>
        <v>-110.71254060439742</v>
      </c>
      <c r="BZ336" s="42">
        <f>'[1]побудинковий звіт'!BZ336+'[2]побудинковий звіт'!BZ336-'[3]побудинковий звіт'!BZ336</f>
        <v>546.94107444141378</v>
      </c>
      <c r="CA336" s="42">
        <f>'[1]побудинковий звіт'!CA336+'[2]побудинковий звіт'!CA336-'[3]побудинковий звіт'!CA336</f>
        <v>1447.0933785767388</v>
      </c>
      <c r="CB336" s="56">
        <f t="shared" si="363"/>
        <v>900.15230413532504</v>
      </c>
      <c r="CC336" s="42">
        <f>'[1]побудинковий звіт'!CC336+'[2]побудинковий звіт'!CC336-'[3]побудинковий звіт'!CC336</f>
        <v>0</v>
      </c>
      <c r="CD336" s="42">
        <f>'[1]побудинковий звіт'!CD336+'[2]побудинковий звіт'!CD336-'[3]побудинковий звіт'!CD336</f>
        <v>0</v>
      </c>
      <c r="CE336" s="56">
        <f t="shared" si="364"/>
        <v>0</v>
      </c>
      <c r="CF336" s="42">
        <f>'[1]побудинковий звіт'!CF336+'[2]побудинковий звіт'!CF336-'[3]побудинковий звіт'!CF336</f>
        <v>0</v>
      </c>
      <c r="CG336" s="42">
        <f>'[1]побудинковий звіт'!CG336+'[2]побудинковий звіт'!CG336-'[3]побудинковий звіт'!CG336</f>
        <v>0</v>
      </c>
      <c r="CH336" s="56">
        <f t="shared" si="365"/>
        <v>0</v>
      </c>
      <c r="CI336" s="42">
        <f>'[1]побудинковий звіт'!CI336+'[2]побудинковий звіт'!CI336-'[3]побудинковий звіт'!CI336</f>
        <v>1291.5092372262573</v>
      </c>
      <c r="CJ336" s="42">
        <f>'[1]побудинковий звіт'!CJ336+'[2]побудинковий звіт'!CJ336-'[3]побудинковий звіт'!CJ336</f>
        <v>703.79528165559987</v>
      </c>
      <c r="CK336" s="56">
        <f t="shared" si="366"/>
        <v>-587.71395557065739</v>
      </c>
      <c r="CL336" s="42">
        <f>'[1]побудинковий звіт'!CL336+'[2]побудинковий звіт'!CL336-'[3]побудинковий звіт'!CL336</f>
        <v>0</v>
      </c>
      <c r="CM336" s="42">
        <f>'[1]побудинковий звіт'!CM336+'[2]побудинковий звіт'!CM336-'[3]побудинковий звіт'!CM336</f>
        <v>0</v>
      </c>
      <c r="CN336" s="56">
        <f t="shared" si="367"/>
        <v>0</v>
      </c>
      <c r="CO336" s="42">
        <f t="shared" si="347"/>
        <v>1291.5092372262573</v>
      </c>
      <c r="CP336" s="43">
        <f t="shared" si="368"/>
        <v>703.79528165559987</v>
      </c>
      <c r="CQ336" s="56">
        <f t="shared" si="369"/>
        <v>-587.71395557065739</v>
      </c>
      <c r="CR336" s="78">
        <f t="shared" si="348"/>
        <v>25822.065649747165</v>
      </c>
      <c r="CS336" s="5">
        <f t="shared" si="348"/>
        <v>45750.815110768846</v>
      </c>
      <c r="CT336" s="56">
        <f t="shared" si="370"/>
        <v>19928.749461021682</v>
      </c>
      <c r="CU336" s="87">
        <f t="shared" si="371"/>
        <v>30986.478779696597</v>
      </c>
      <c r="CV336" s="70">
        <f t="shared" si="372"/>
        <v>54900.978132922617</v>
      </c>
      <c r="CW336" s="37">
        <f t="shared" si="373"/>
        <v>23914.49935322602</v>
      </c>
      <c r="CX336" s="42">
        <f>'[1]побудинковий звіт'!CX336+'[2]побудинковий звіт'!CX336-'[3]побудинковий звіт'!CX336</f>
        <v>4.1220303408408654E-2</v>
      </c>
      <c r="CY336" s="42">
        <f>'[1]побудинковий звіт'!CY336+'[2]побудинковий звіт'!CY336-'[3]побудинковий звіт'!CY336</f>
        <v>-23914.458132922617</v>
      </c>
      <c r="CZ336" s="56">
        <f t="shared" si="374"/>
        <v>-23914.499353226027</v>
      </c>
      <c r="DA336" s="264">
        <f>'[4]побудинковий звіт'!DA336</f>
        <v>988.73740175970306</v>
      </c>
      <c r="DB336" s="2">
        <v>3</v>
      </c>
      <c r="DC336" s="717">
        <f>'[4]побудинковий звіт'!DC336</f>
        <v>2236.5300000000002</v>
      </c>
      <c r="DD336" s="717">
        <f>'[4]побудинковий звіт'!DD336</f>
        <v>0</v>
      </c>
      <c r="DE336" s="717">
        <f>'[4]побудинковий звіт'!DE336</f>
        <v>-345.67999999999984</v>
      </c>
      <c r="DF336" s="717">
        <f>'[4]побудинковий звіт'!DF336</f>
        <v>0</v>
      </c>
      <c r="DG336" s="787">
        <v>-20019.278165131131</v>
      </c>
      <c r="DH336" s="761">
        <f t="shared" si="344"/>
        <v>371838.24000000005</v>
      </c>
      <c r="DI336" s="784"/>
      <c r="DJ336" s="5"/>
      <c r="DK336" s="317">
        <f>VLOOKUP($A336,ціни!$A$4:$G$401,5)</f>
        <v>5.4696178033779219</v>
      </c>
      <c r="DL336" s="317"/>
      <c r="DM336" s="317">
        <f>VLOOKUP($A336,ціни!$A$4:$G$401,7)</f>
        <v>4.6881384371343771</v>
      </c>
      <c r="DN336" s="30">
        <f>F336*DK336</f>
        <v>14149.84656116065</v>
      </c>
      <c r="DO336" s="30">
        <f>H336*DM336</f>
        <v>0</v>
      </c>
      <c r="DP336" s="316">
        <f t="shared" si="335"/>
        <v>14149.84656116065</v>
      </c>
      <c r="DQ336" s="104"/>
      <c r="DR336" s="30">
        <f>VLOOKUP(A336,'ДЗ нас '!$A$1:$C$359,2)</f>
        <v>2582.21</v>
      </c>
      <c r="DS336" s="748"/>
      <c r="DT336" s="30">
        <f t="shared" si="336"/>
        <v>2582.21</v>
      </c>
      <c r="DU336" s="257">
        <f>VLOOKUP(A336,'новий кошторис с 01.06'!$A$4:$AI$399,35)*1.2</f>
        <v>2582.206564974716</v>
      </c>
      <c r="DV336" s="30">
        <f t="shared" si="337"/>
        <v>3.4350252840340545E-3</v>
      </c>
      <c r="DW336" s="930">
        <f>'[5]побудинковий звіт'!DW336+'[6]побудинковий звіт'!DW336</f>
        <v>0</v>
      </c>
      <c r="DY336" s="5">
        <f t="shared" si="340"/>
        <v>9855.1444425166574</v>
      </c>
      <c r="DZ336" s="5">
        <f t="shared" si="341"/>
        <v>33307.199999999997</v>
      </c>
      <c r="EA336" s="752">
        <f t="shared" si="345"/>
        <v>-345.67999999999984</v>
      </c>
      <c r="EC336" s="592">
        <f t="shared" si="342"/>
        <v>84402.115693893807</v>
      </c>
      <c r="EE336" s="758">
        <v>-3912</v>
      </c>
      <c r="EF336" s="738">
        <f t="shared" si="343"/>
        <v>-23931.278165131131</v>
      </c>
      <c r="EH336" s="813">
        <v>-24096.828227311067</v>
      </c>
    </row>
    <row r="337" spans="1:138" x14ac:dyDescent="0.3">
      <c r="A337" s="328">
        <v>150000899</v>
      </c>
      <c r="B337" s="44" t="s">
        <v>790</v>
      </c>
      <c r="C337" s="45" t="s">
        <v>402</v>
      </c>
      <c r="D337" s="45" t="s">
        <v>402</v>
      </c>
      <c r="E337" s="40">
        <f t="shared" si="384"/>
        <v>4414.38</v>
      </c>
      <c r="F337" s="490">
        <v>4414.38</v>
      </c>
      <c r="G337" s="30">
        <v>656.15</v>
      </c>
      <c r="H337" s="30">
        <v>0</v>
      </c>
      <c r="I337" s="42">
        <f>'[1]побудинковий звіт'!I337+'[2]побудинковий звіт'!I337-'[3]побудинковий звіт'!I337</f>
        <v>25557.643661762428</v>
      </c>
      <c r="J337" s="42">
        <f>'[1]побудинковий звіт'!J337+'[2]побудинковий звіт'!J337-'[3]побудинковий звіт'!J337</f>
        <v>23808.25770846958</v>
      </c>
      <c r="K337" s="56">
        <f t="shared" si="349"/>
        <v>-1749.3859532928473</v>
      </c>
      <c r="L337" s="42">
        <f>'[1]побудинковий звіт'!L337+'[2]побудинковий звіт'!L337-'[3]побудинковий звіт'!L337</f>
        <v>4132.1987358483357</v>
      </c>
      <c r="M337" s="42">
        <f>'[1]побудинковий звіт'!M337+'[2]побудинковий звіт'!M337-'[3]побудинковий звіт'!M337</f>
        <v>4016.5382674241064</v>
      </c>
      <c r="N337" s="56">
        <f t="shared" si="350"/>
        <v>-115.66046842422929</v>
      </c>
      <c r="O337" s="42">
        <f>'[1]побудинковий звіт'!O337+'[2]побудинковий звіт'!O337-'[3]побудинковий звіт'!O337</f>
        <v>7999.2000000000016</v>
      </c>
      <c r="P337" s="42">
        <f>'[1]побудинковий звіт'!P337+'[2]побудинковий звіт'!P337-'[3]побудинковий звіт'!P337</f>
        <v>7999.6800000000012</v>
      </c>
      <c r="Q337" s="56">
        <f t="shared" si="351"/>
        <v>0.47999999999956344</v>
      </c>
      <c r="R337" s="42">
        <f>'[1]побудинковий звіт'!R337+'[2]побудинковий звіт'!R337-'[3]побудинковий звіт'!R337</f>
        <v>1958.1600000000003</v>
      </c>
      <c r="S337" s="42">
        <f>'[1]побудинковий звіт'!S337+'[2]побудинковий звіт'!S337-'[3]побудинковий звіт'!S337</f>
        <v>1956.48</v>
      </c>
      <c r="T337" s="56">
        <f t="shared" si="352"/>
        <v>-1.680000000000291</v>
      </c>
      <c r="U337" s="42">
        <f>'[1]побудинковий звіт'!U337+'[2]побудинковий звіт'!U337-'[3]побудинковий звіт'!U337</f>
        <v>1170.2323882178873</v>
      </c>
      <c r="V337" s="42">
        <f>'[1]побудинковий звіт'!V337+'[2]побудинковий звіт'!V337-'[3]побудинковий звіт'!V337</f>
        <v>870.07649506376742</v>
      </c>
      <c r="W337" s="56">
        <f t="shared" si="353"/>
        <v>-300.15589315411989</v>
      </c>
      <c r="X337" s="42">
        <f>'[1]побудинковий звіт'!X337+'[2]побудинковий звіт'!X337-'[3]побудинковий звіт'!X337</f>
        <v>9792.9723616390947</v>
      </c>
      <c r="Y337" s="42">
        <f>'[1]побудинковий звіт'!Y337+'[2]побудинковий звіт'!Y337-'[3]побудинковий звіт'!Y337</f>
        <v>9749.0598396057721</v>
      </c>
      <c r="Z337" s="56">
        <f t="shared" si="354"/>
        <v>-43.912522033322603</v>
      </c>
      <c r="AA337" s="42">
        <f>'[1]побудинковий звіт'!AA337+'[2]побудинковий звіт'!AA337-'[3]побудинковий звіт'!AA337</f>
        <v>0</v>
      </c>
      <c r="AB337" s="42">
        <f>'[1]побудинковий звіт'!AB337+'[2]побудинковий звіт'!AB337-'[3]побудинковий звіт'!AB337</f>
        <v>0</v>
      </c>
      <c r="AC337" s="56">
        <f t="shared" si="355"/>
        <v>0</v>
      </c>
      <c r="AD337" s="42">
        <f>'[1]побудинковий звіт'!AD337+'[2]побудинковий звіт'!AD337-'[3]побудинковий звіт'!AD337</f>
        <v>26561.465484263408</v>
      </c>
      <c r="AE337" s="42">
        <f>'[1]побудинковий звіт'!AE337+'[2]побудинковий звіт'!AE337-'[3]побудинковий звіт'!AE337</f>
        <v>24481.474560467268</v>
      </c>
      <c r="AF337" s="37">
        <f t="shared" si="356"/>
        <v>-2079.9909237961401</v>
      </c>
      <c r="AG337" s="87">
        <f t="shared" si="346"/>
        <v>77171.872631731152</v>
      </c>
      <c r="AH337" s="57">
        <f t="shared" si="346"/>
        <v>72881.566871030489</v>
      </c>
      <c r="AI337" s="56">
        <f t="shared" si="357"/>
        <v>-4290.3057607006631</v>
      </c>
      <c r="AJ337" s="42">
        <f>'[1]побудинковий звіт'!AJ337+'[2]побудинковий звіт'!AJ337-'[3]побудинковий звіт'!AJ337</f>
        <v>86993.575462644279</v>
      </c>
      <c r="AK337" s="42">
        <f>'[1]побудинковий звіт'!AK337+'[2]побудинковий звіт'!AK337-'[3]побудинковий звіт'!AK337</f>
        <v>86228.314543531596</v>
      </c>
      <c r="AL337" s="56">
        <f t="shared" si="358"/>
        <v>-765.26091911268304</v>
      </c>
      <c r="AM337" s="42">
        <f>'[1]побудинковий звіт'!AM337+'[2]побудинковий звіт'!AM337-'[3]побудинковий звіт'!AM337</f>
        <v>0</v>
      </c>
      <c r="AN337" s="42">
        <f>'[1]побудинковий звіт'!AN337+'[2]побудинковий звіт'!AN337-'[3]побудинковий звіт'!AN337</f>
        <v>0</v>
      </c>
      <c r="AO337" s="56">
        <f t="shared" si="359"/>
        <v>0</v>
      </c>
      <c r="AP337" s="42">
        <f>'[1]побудинковий звіт'!AP337+'[2]побудинковий звіт'!AP337-'[3]побудинковий звіт'!AP337</f>
        <v>5303.2988002044376</v>
      </c>
      <c r="AQ337" s="42">
        <f>'[1]побудинковий звіт'!AQ337+'[2]побудинковий звіт'!AQ337-'[3]побудинковий звіт'!AQ337</f>
        <v>5141.6646695649642</v>
      </c>
      <c r="AR337" s="56">
        <f t="shared" si="360"/>
        <v>-161.63413063947337</v>
      </c>
      <c r="AS337" s="42">
        <f>'[1]побудинковий звіт'!AS337+'[2]побудинковий звіт'!AS337-'[3]побудинковий звіт'!AS337</f>
        <v>100343.63630206817</v>
      </c>
      <c r="AT337" s="42">
        <f>'[1]побудинковий звіт'!AT337+'[2]побудинковий звіт'!AT337-'[3]побудинковий звіт'!AT337</f>
        <v>94206</v>
      </c>
      <c r="AU337" s="58">
        <f t="shared" si="375"/>
        <v>-6137.6363020681747</v>
      </c>
      <c r="AV337" s="42">
        <f>'[1]побудинковий звіт'!AV337+'[2]побудинковий звіт'!AV337-'[3]побудинковий звіт'!AV337</f>
        <v>2045.812989492026</v>
      </c>
      <c r="AW337" s="42">
        <f>'[1]побудинковий звіт'!AW337+'[2]побудинковий звіт'!AW337-'[3]побудинковий звіт'!AW337</f>
        <v>6117</v>
      </c>
      <c r="AX337" s="59">
        <f t="shared" si="376"/>
        <v>4071.1870105079743</v>
      </c>
      <c r="AY337" s="42">
        <f>'[1]побудинковий звіт'!AY337+'[2]побудинковий звіт'!AY337-'[3]побудинковий звіт'!AY337</f>
        <v>2731.9007902306498</v>
      </c>
      <c r="AZ337" s="42">
        <f>'[1]побудинковий звіт'!AZ337+'[2]побудинковий звіт'!AZ337-'[3]побудинковий звіт'!AZ337</f>
        <v>955.00000000000011</v>
      </c>
      <c r="BA337" s="37">
        <f t="shared" si="377"/>
        <v>-1776.9007902306498</v>
      </c>
      <c r="BB337" s="42">
        <f>'[1]побудинковий звіт'!BB337+'[2]побудинковий звіт'!BB337-'[3]побудинковий звіт'!BB337</f>
        <v>3335.3079682086477</v>
      </c>
      <c r="BC337" s="42">
        <f>'[1]побудинковий звіт'!BC337+'[2]побудинковий звіт'!BC337-'[3]побудинковий звіт'!BC337</f>
        <v>3058</v>
      </c>
      <c r="BD337" s="59">
        <f t="shared" si="378"/>
        <v>-277.30796820864771</v>
      </c>
      <c r="BE337" s="42">
        <f>'[1]побудинковий звіт'!BE337+'[2]побудинковий звіт'!BE337-'[3]побудинковий звіт'!BE337</f>
        <v>1089.9073491874246</v>
      </c>
      <c r="BF337" s="42">
        <f>'[1]побудинковий звіт'!BF337+'[2]побудинковий звіт'!BF337-'[3]побудинковий звіт'!BF337</f>
        <v>0</v>
      </c>
      <c r="BG337" s="39">
        <f t="shared" si="379"/>
        <v>-1089.9073491874246</v>
      </c>
      <c r="BH337" s="42">
        <f>'[1]побудинковий звіт'!BH337+'[2]побудинковий звіт'!BH337-'[3]побудинковий звіт'!BH337</f>
        <v>593.65087276649558</v>
      </c>
      <c r="BI337" s="42">
        <f>'[1]побудинковий звіт'!BI337+'[2]побудинковий звіт'!BI337-'[3]побудинковий звіт'!BI337</f>
        <v>0</v>
      </c>
      <c r="BJ337" s="59">
        <f t="shared" si="380"/>
        <v>-593.65087276649558</v>
      </c>
      <c r="BK337" s="42">
        <f>'[1]побудинковий звіт'!BK337+'[2]побудинковий звіт'!BK337-'[3]побудинковий звіт'!BK337</f>
        <v>840.98279011434113</v>
      </c>
      <c r="BL337" s="42">
        <f>'[1]побудинковий звіт'!BL337+'[2]побудинковий звіт'!BL337-'[3]побудинковий звіт'!BL337</f>
        <v>16012.277688680177</v>
      </c>
      <c r="BM337" s="39">
        <f t="shared" si="381"/>
        <v>15171.294898565835</v>
      </c>
      <c r="BN337" s="42">
        <f>'[1]побудинковий звіт'!BN337+'[2]побудинковий звіт'!BN337-'[3]побудинковий звіт'!BN337</f>
        <v>0</v>
      </c>
      <c r="BO337" s="42">
        <f>'[1]побудинковий звіт'!BO337+'[2]побудинковий звіт'!BO337-'[3]побудинковий звіт'!BO337</f>
        <v>0</v>
      </c>
      <c r="BP337" s="59">
        <f t="shared" si="382"/>
        <v>0</v>
      </c>
      <c r="BQ337" s="87">
        <f t="shared" si="338"/>
        <v>10637.562759999584</v>
      </c>
      <c r="BR337" s="43">
        <f t="shared" ref="BR337:BR367" si="385">AW337+AZ337+BC337+BF337+BI337+BL337+BO337</f>
        <v>26142.277688680177</v>
      </c>
      <c r="BS337" s="59">
        <f t="shared" si="383"/>
        <v>15504.714928680592</v>
      </c>
      <c r="BT337" s="42">
        <f>'[1]побудинковий звіт'!BT337+'[2]побудинковий звіт'!BT337-'[3]побудинковий звіт'!BT337</f>
        <v>95912.364043766822</v>
      </c>
      <c r="BU337" s="42">
        <f>'[1]побудинковий звіт'!BU337+'[2]побудинковий звіт'!BU337-'[3]побудинковий звіт'!BU337</f>
        <v>83309.549369696309</v>
      </c>
      <c r="BV337" s="56">
        <f t="shared" si="361"/>
        <v>-12602.814674070512</v>
      </c>
      <c r="BW337" s="42">
        <f>'[1]побудинковий звіт'!BW337+'[2]побудинковий звіт'!BW337-'[3]побудинковий звіт'!BW337</f>
        <v>50331.283277959308</v>
      </c>
      <c r="BX337" s="42">
        <f>'[1]побудинковий звіт'!BX337+'[2]побудинковий звіт'!BX337-'[3]побудинковий звіт'!BX337</f>
        <v>50527.127152741916</v>
      </c>
      <c r="BY337" s="56">
        <f t="shared" si="362"/>
        <v>195.8438747826076</v>
      </c>
      <c r="BZ337" s="42">
        <f>'[1]побудинковий звіт'!BZ337+'[2]побудинковий звіт'!BZ337-'[3]побудинковий звіт'!BZ337</f>
        <v>4804.0446731959</v>
      </c>
      <c r="CA337" s="42">
        <f>'[1]побудинковий звіт'!CA337+'[2]побудинковий звіт'!CA337-'[3]побудинковий звіт'!CA337</f>
        <v>23093.031529758202</v>
      </c>
      <c r="CB337" s="56">
        <f t="shared" si="363"/>
        <v>18288.986856562304</v>
      </c>
      <c r="CC337" s="42">
        <f>'[1]побудинковий звіт'!CC337+'[2]побудинковий звіт'!CC337-'[3]побудинковий звіт'!CC337</f>
        <v>1935.392103321667</v>
      </c>
      <c r="CD337" s="42">
        <f>'[1]побудинковий звіт'!CD337+'[2]побудинковий звіт'!CD337-'[3]побудинковий звіт'!CD337</f>
        <v>1918.3697825979559</v>
      </c>
      <c r="CE337" s="56">
        <f t="shared" si="364"/>
        <v>-17.022320723711118</v>
      </c>
      <c r="CF337" s="42">
        <f>'[1]побудинковий звіт'!CF337+'[2]побудинковий звіт'!CF337-'[3]побудинковий звіт'!CF337</f>
        <v>238.25849756800824</v>
      </c>
      <c r="CG337" s="42">
        <f>'[1]побудинковий звіт'!CG337+'[2]побудинковий звіт'!CG337-'[3]побудинковий звіт'!CG337</f>
        <v>0</v>
      </c>
      <c r="CH337" s="56">
        <f t="shared" si="365"/>
        <v>-238.25849756800824</v>
      </c>
      <c r="CI337" s="42">
        <f>'[1]побудинковий звіт'!CI337+'[2]побудинковий звіт'!CI337-'[3]побудинковий звіт'!CI337</f>
        <v>34589.986527451059</v>
      </c>
      <c r="CJ337" s="42">
        <f>'[1]побудинковий звіт'!CJ337+'[2]побудинковий звіт'!CJ337-'[3]побудинковий звіт'!CJ337</f>
        <v>12463.043442112517</v>
      </c>
      <c r="CK337" s="56">
        <f t="shared" si="366"/>
        <v>-22126.943085338542</v>
      </c>
      <c r="CL337" s="42">
        <f>'[1]побудинковий звіт'!CL337+'[2]побудинковий звіт'!CL337-'[3]побудинковий звіт'!CL337</f>
        <v>14880.432515867749</v>
      </c>
      <c r="CM337" s="42">
        <f>'[1]побудинковий звіт'!CM337+'[2]побудинковий звіт'!CM337-'[3]побудинковий звіт'!CM337</f>
        <v>16154.272630810196</v>
      </c>
      <c r="CN337" s="56">
        <f t="shared" si="367"/>
        <v>1273.8401149424462</v>
      </c>
      <c r="CO337" s="42">
        <f t="shared" si="347"/>
        <v>49470.419043318805</v>
      </c>
      <c r="CP337" s="43">
        <f t="shared" si="368"/>
        <v>28617.316072922713</v>
      </c>
      <c r="CQ337" s="56">
        <f t="shared" si="369"/>
        <v>-20853.102970396092</v>
      </c>
      <c r="CR337" s="78">
        <f t="shared" si="348"/>
        <v>483141.70759577816</v>
      </c>
      <c r="CS337" s="5">
        <f t="shared" si="348"/>
        <v>472065.21768052428</v>
      </c>
      <c r="CT337" s="56">
        <f t="shared" si="370"/>
        <v>-11076.489915253886</v>
      </c>
      <c r="CU337" s="87">
        <f t="shared" si="371"/>
        <v>579770.04911493382</v>
      </c>
      <c r="CV337" s="70">
        <f t="shared" si="372"/>
        <v>566478.26121662906</v>
      </c>
      <c r="CW337" s="37">
        <f t="shared" si="373"/>
        <v>-13291.787898304756</v>
      </c>
      <c r="CX337" s="42">
        <f>'[1]побудинковий звіт'!CX337+'[2]побудинковий звіт'!CX337-'[3]побудинковий звіт'!CX337</f>
        <v>8680.910885066347</v>
      </c>
      <c r="CY337" s="42">
        <f>'[1]побудинковий звіт'!CY337+'[2]побудинковий звіт'!CY337-'[3]побудинковий звіт'!CY337</f>
        <v>21972.698783370848</v>
      </c>
      <c r="CZ337" s="56">
        <f t="shared" si="374"/>
        <v>13291.787898304501</v>
      </c>
      <c r="DA337" s="264">
        <f>'[4]побудинковий звіт'!DA337</f>
        <v>-202143.21672722517</v>
      </c>
      <c r="DB337" s="2">
        <v>3</v>
      </c>
      <c r="DC337" s="717">
        <f>'[4]побудинковий звіт'!DC337</f>
        <v>121741.44</v>
      </c>
      <c r="DD337" s="717">
        <f>'[4]побудинковий звіт'!DD337</f>
        <v>0</v>
      </c>
      <c r="DE337" s="717">
        <f>'[4]побудинковий звіт'!DE337</f>
        <v>72703.86</v>
      </c>
      <c r="DF337" s="717">
        <f>'[4]побудинковий звіт'!DF337</f>
        <v>0</v>
      </c>
      <c r="DG337" s="787">
        <v>-155325.77018735255</v>
      </c>
      <c r="DH337" s="761">
        <f t="shared" si="344"/>
        <v>7061411.5200000023</v>
      </c>
      <c r="DI337" s="784"/>
      <c r="DJ337" s="5"/>
      <c r="DK337" s="317">
        <f>VLOOKUP($A337,ціни!$A$4:$G$401,5)</f>
        <v>6.2296637976742595</v>
      </c>
      <c r="DL337" s="317">
        <f>VLOOKUP($A337,ціни!$A$4:$G$401,6)</f>
        <v>8.0908032830489489</v>
      </c>
      <c r="DM337" s="317">
        <f>VLOOKUP($A337,ціни!$A$4:$G$401,7)</f>
        <v>5.4072836861622067</v>
      </c>
      <c r="DN337" s="30">
        <f t="shared" ref="DN337:DN348" si="386">DK337*G337+(F337-G337)*DL337</f>
        <v>34494.693523297014</v>
      </c>
      <c r="DO337" s="30">
        <f t="shared" ref="DO337:DO348" si="387">DM337*H337</f>
        <v>0</v>
      </c>
      <c r="DP337" s="316">
        <f t="shared" si="335"/>
        <v>34494.693523297014</v>
      </c>
      <c r="DQ337" s="104"/>
      <c r="DR337" s="30">
        <f>VLOOKUP(A337,'ДЗ нас '!$A$1:$C$359,2)</f>
        <v>49037.58</v>
      </c>
      <c r="DS337" s="748"/>
      <c r="DT337" s="30">
        <f t="shared" si="336"/>
        <v>49037.58</v>
      </c>
      <c r="DU337" s="257">
        <f>VLOOKUP(A337,'новий кошторис с 01.06'!$A$4:$AI$399,35)*1.2</f>
        <v>49183.825833250208</v>
      </c>
      <c r="DV337" s="30">
        <f t="shared" si="337"/>
        <v>-146.24583325020649</v>
      </c>
      <c r="DW337" s="930">
        <f>'[5]побудинковий звіт'!DW337+'[6]побудинковий звіт'!DW337</f>
        <v>311.2</v>
      </c>
      <c r="DY337" s="5">
        <f t="shared" si="340"/>
        <v>133177.4388744813</v>
      </c>
      <c r="DZ337" s="5">
        <f t="shared" si="341"/>
        <v>144417.93322641621</v>
      </c>
      <c r="EA337" s="752">
        <f t="shared" si="345"/>
        <v>72703.86</v>
      </c>
      <c r="EC337" s="592">
        <f t="shared" si="342"/>
        <v>1204123.635624818</v>
      </c>
      <c r="EE337" s="758">
        <v>147657</v>
      </c>
      <c r="EF337" s="738">
        <f t="shared" si="343"/>
        <v>-7668.7701873525511</v>
      </c>
      <c r="EH337" s="813">
        <v>-185748.50449745543</v>
      </c>
    </row>
    <row r="338" spans="1:138" x14ac:dyDescent="0.3">
      <c r="A338" s="328">
        <v>150000900</v>
      </c>
      <c r="B338" s="44" t="s">
        <v>791</v>
      </c>
      <c r="C338" s="45" t="s">
        <v>425</v>
      </c>
      <c r="D338" s="45" t="s">
        <v>425</v>
      </c>
      <c r="E338" s="40">
        <f t="shared" si="384"/>
        <v>8787.1999999999989</v>
      </c>
      <c r="F338" s="490">
        <v>8324.4</v>
      </c>
      <c r="G338" s="30">
        <v>0</v>
      </c>
      <c r="H338" s="30">
        <v>462.8</v>
      </c>
      <c r="I338" s="42">
        <f>'[1]побудинковий звіт'!I338+'[2]побудинковий звіт'!I338-'[3]побудинковий звіт'!I338</f>
        <v>11398.692405787981</v>
      </c>
      <c r="J338" s="42">
        <f>'[1]побудинковий звіт'!J338+'[2]побудинковий звіт'!J338-'[3]побудинковий звіт'!J338</f>
        <v>10454.32198927506</v>
      </c>
      <c r="K338" s="56">
        <f t="shared" si="349"/>
        <v>-944.3704165129202</v>
      </c>
      <c r="L338" s="42">
        <f>'[1]побудинковий звіт'!L338+'[2]побудинковий звіт'!L338-'[3]побудинковий звіт'!L338</f>
        <v>1470.0395431708582</v>
      </c>
      <c r="M338" s="42">
        <f>'[1]побудинковий звіт'!M338+'[2]побудинковий звіт'!M338-'[3]побудинковий звіт'!M338</f>
        <v>1407.5777270722092</v>
      </c>
      <c r="N338" s="56">
        <f t="shared" si="350"/>
        <v>-62.461816098649024</v>
      </c>
      <c r="O338" s="42">
        <f>'[1]побудинковий звіт'!O338+'[2]побудинковий звіт'!O338-'[3]побудинковий звіт'!O338</f>
        <v>5145.4800000000005</v>
      </c>
      <c r="P338" s="42">
        <f>'[1]побудинковий звіт'!P338+'[2]побудинковий звіт'!P338-'[3]побудинковий звіт'!P338</f>
        <v>5145.96</v>
      </c>
      <c r="Q338" s="56">
        <f t="shared" si="351"/>
        <v>0.47999999999956344</v>
      </c>
      <c r="R338" s="42">
        <f>'[1]побудинковий звіт'!R338+'[2]побудинковий звіт'!R338-'[3]побудинковий звіт'!R338</f>
        <v>1308.5999999999997</v>
      </c>
      <c r="S338" s="42">
        <f>'[1]побудинковий звіт'!S338+'[2]побудинковий звіт'!S338-'[3]побудинковий звіт'!S338</f>
        <v>1307.1600000000003</v>
      </c>
      <c r="T338" s="56">
        <f t="shared" si="352"/>
        <v>-1.4399999999993724</v>
      </c>
      <c r="U338" s="42">
        <f>'[1]побудинковий звіт'!U338+'[2]побудинковий звіт'!U338-'[3]побудинковий звіт'!U338</f>
        <v>797.80651168077293</v>
      </c>
      <c r="V338" s="42">
        <f>'[1]побудинковий звіт'!V338+'[2]побудинковий звіт'!V338-'[3]побудинковий звіт'!V338</f>
        <v>541.72254260336513</v>
      </c>
      <c r="W338" s="56">
        <f t="shared" si="353"/>
        <v>-256.0839690774078</v>
      </c>
      <c r="X338" s="42">
        <f>'[1]побудинковий звіт'!X338+'[2]побудинковий звіт'!X338-'[3]побудинковий звіт'!X338</f>
        <v>5591.3186475954608</v>
      </c>
      <c r="Y338" s="42">
        <f>'[1]побудинковий звіт'!Y338+'[2]побудинковий звіт'!Y338-'[3]побудинковий звіт'!Y338</f>
        <v>5373.0616965432491</v>
      </c>
      <c r="Z338" s="56">
        <f t="shared" si="354"/>
        <v>-218.25695105221166</v>
      </c>
      <c r="AA338" s="42">
        <f>'[1]побудинковий звіт'!AA338+'[2]побудинковий звіт'!AA338-'[3]побудинковий звіт'!AA338</f>
        <v>0</v>
      </c>
      <c r="AB338" s="42">
        <f>'[1]побудинковий звіт'!AB338+'[2]побудинковий звіт'!AB338-'[3]побудинковий звіт'!AB338</f>
        <v>0</v>
      </c>
      <c r="AC338" s="56">
        <f t="shared" si="355"/>
        <v>0</v>
      </c>
      <c r="AD338" s="42">
        <f>'[1]побудинковий звіт'!AD338+'[2]побудинковий звіт'!AD338-'[3]побудинковий звіт'!AD338</f>
        <v>18633.261413711833</v>
      </c>
      <c r="AE338" s="42">
        <f>'[1]побудинковий звіт'!AE338+'[2]побудинковий звіт'!AE338-'[3]побудинковий звіт'!AE338</f>
        <v>17174.152928844032</v>
      </c>
      <c r="AF338" s="37">
        <f t="shared" si="356"/>
        <v>-1459.1084848678001</v>
      </c>
      <c r="AG338" s="87">
        <f t="shared" si="346"/>
        <v>44345.198521946906</v>
      </c>
      <c r="AH338" s="57">
        <f t="shared" si="346"/>
        <v>41403.956884337917</v>
      </c>
      <c r="AI338" s="56">
        <f t="shared" si="357"/>
        <v>-2941.2416376089895</v>
      </c>
      <c r="AJ338" s="42">
        <f>'[1]побудинковий звіт'!AJ338+'[2]побудинковий звіт'!AJ338-'[3]побудинковий звіт'!AJ338</f>
        <v>37841.755437162974</v>
      </c>
      <c r="AK338" s="42">
        <f>'[1]побудинковий звіт'!AK338+'[2]побудинковий звіт'!AK338-'[3]побудинковий звіт'!AK338</f>
        <v>37508.910707447016</v>
      </c>
      <c r="AL338" s="56">
        <f t="shared" si="358"/>
        <v>-332.84472971595824</v>
      </c>
      <c r="AM338" s="42">
        <f>'[1]побудинковий звіт'!AM338+'[2]побудинковий звіт'!AM338-'[3]побудинковий звіт'!AM338</f>
        <v>0</v>
      </c>
      <c r="AN338" s="42">
        <f>'[1]побудинковий звіт'!AN338+'[2]побудинковий звіт'!AN338-'[3]побудинковий звіт'!AN338</f>
        <v>525.45135324598584</v>
      </c>
      <c r="AO338" s="56">
        <f t="shared" si="359"/>
        <v>525.45135324598584</v>
      </c>
      <c r="AP338" s="42">
        <f>'[1]побудинковий звіт'!AP338+'[2]побудинковий звіт'!AP338-'[3]побудинковий звіт'!AP338</f>
        <v>3030.4564572596787</v>
      </c>
      <c r="AQ338" s="42">
        <f>'[1]побудинковий звіт'!AQ338+'[2]побудинковий звіт'!AQ338-'[3]побудинковий звіт'!AQ338</f>
        <v>2980.9213371655696</v>
      </c>
      <c r="AR338" s="56">
        <f t="shared" si="360"/>
        <v>-49.535120094109061</v>
      </c>
      <c r="AS338" s="42">
        <f>'[1]побудинковий звіт'!AS338+'[2]побудинковий звіт'!AS338-'[3]побудинковий звіт'!AS338</f>
        <v>67475.247037002089</v>
      </c>
      <c r="AT338" s="42">
        <f>'[1]побудинковий звіт'!AT338+'[2]побудинковий звіт'!AT338-'[3]побудинковий звіт'!AT338</f>
        <v>4554</v>
      </c>
      <c r="AU338" s="58">
        <f t="shared" si="375"/>
        <v>-62921.247037002089</v>
      </c>
      <c r="AV338" s="42">
        <f>'[1]побудинковий звіт'!AV338+'[2]побудинковий звіт'!AV338-'[3]побудинковий звіт'!AV338</f>
        <v>3366.2912382541444</v>
      </c>
      <c r="AW338" s="42">
        <f>'[1]побудинковий звіт'!AW338+'[2]побудинковий звіт'!AW338-'[3]побудинковий звіт'!AW338</f>
        <v>0</v>
      </c>
      <c r="AX338" s="59">
        <f t="shared" si="376"/>
        <v>-3366.2912382541444</v>
      </c>
      <c r="AY338" s="42">
        <f>'[1]побудинковий звіт'!AY338+'[2]побудинковий звіт'!AY338-'[3]побудинковий звіт'!AY338</f>
        <v>849.08173880708057</v>
      </c>
      <c r="AZ338" s="42">
        <f>'[1]побудинковий звіт'!AZ338+'[2]побудинковий звіт'!AZ338-'[3]побудинковий звіт'!AZ338</f>
        <v>0</v>
      </c>
      <c r="BA338" s="37">
        <f t="shared" si="377"/>
        <v>-849.08173880708057</v>
      </c>
      <c r="BB338" s="42">
        <f>'[1]побудинковий звіт'!BB338+'[2]побудинковий звіт'!BB338-'[3]побудинковий звіт'!BB338</f>
        <v>2139.7907802454893</v>
      </c>
      <c r="BC338" s="42">
        <f>'[1]побудинковий звіт'!BC338+'[2]побудинковий звіт'!BC338-'[3]побудинковий звіт'!BC338</f>
        <v>0</v>
      </c>
      <c r="BD338" s="59">
        <f t="shared" si="378"/>
        <v>-2139.7907802454893</v>
      </c>
      <c r="BE338" s="42">
        <f>'[1]побудинковий звіт'!BE338+'[2]побудинковий звіт'!BE338-'[3]побудинковий звіт'!BE338</f>
        <v>761.39520776621657</v>
      </c>
      <c r="BF338" s="42">
        <f>'[1]побудинковий звіт'!BF338+'[2]побудинковий звіт'!BF338-'[3]побудинковий звіт'!BF338</f>
        <v>944</v>
      </c>
      <c r="BG338" s="39">
        <f t="shared" si="379"/>
        <v>182.60479223378343</v>
      </c>
      <c r="BH338" s="42">
        <f>'[1]побудинковий звіт'!BH338+'[2]побудинковий звіт'!BH338-'[3]побудинковий звіт'!BH338</f>
        <v>404.82147576979139</v>
      </c>
      <c r="BI338" s="42">
        <f>'[1]побудинковий звіт'!BI338+'[2]побудинковий звіт'!BI338-'[3]побудинковий звіт'!BI338</f>
        <v>1372</v>
      </c>
      <c r="BJ338" s="59">
        <f t="shared" si="380"/>
        <v>967.17852423020861</v>
      </c>
      <c r="BK338" s="42">
        <f>'[1]побудинковий звіт'!BK338+'[2]побудинковий звіт'!BK338-'[3]побудинковий звіт'!BK338</f>
        <v>676.92000670106563</v>
      </c>
      <c r="BL338" s="42">
        <f>'[1]побудинковий звіт'!BL338+'[2]побудинковий звіт'!BL338-'[3]побудинковий звіт'!BL338</f>
        <v>5370.3967531453345</v>
      </c>
      <c r="BM338" s="39">
        <f t="shared" si="381"/>
        <v>4693.4767464442684</v>
      </c>
      <c r="BN338" s="42">
        <f>'[1]побудинковий звіт'!BN338+'[2]побудинковий звіт'!BN338-'[3]побудинковий звіт'!BN338</f>
        <v>0</v>
      </c>
      <c r="BO338" s="42">
        <f>'[1]побудинковий звіт'!BO338+'[2]побудинковий звіт'!BO338-'[3]побудинковий звіт'!BO338</f>
        <v>0</v>
      </c>
      <c r="BP338" s="59">
        <f t="shared" si="382"/>
        <v>0</v>
      </c>
      <c r="BQ338" s="87">
        <f t="shared" si="338"/>
        <v>8198.3004475437883</v>
      </c>
      <c r="BR338" s="43">
        <f t="shared" si="385"/>
        <v>7686.3967531453345</v>
      </c>
      <c r="BS338" s="59">
        <f t="shared" si="383"/>
        <v>-511.90369439845381</v>
      </c>
      <c r="BT338" s="42">
        <f>'[1]побудинковий звіт'!BT338+'[2]побудинковий звіт'!BT338-'[3]побудинковий звіт'!BT338</f>
        <v>45446.252879595057</v>
      </c>
      <c r="BU338" s="42">
        <f>'[1]побудинковий звіт'!BU338+'[2]побудинковий звіт'!BU338-'[3]побудинковий звіт'!BU338</f>
        <v>41639.276167463104</v>
      </c>
      <c r="BV338" s="56">
        <f t="shared" si="361"/>
        <v>-3806.9767121319528</v>
      </c>
      <c r="BW338" s="42">
        <f>'[1]побудинковий звіт'!BW338+'[2]побудинковий звіт'!BW338-'[3]побудинковий звіт'!BW338</f>
        <v>31014.746404590936</v>
      </c>
      <c r="BX338" s="42">
        <f>'[1]побудинковий звіт'!BX338+'[2]побудинковий звіт'!BX338-'[3]побудинковий звіт'!BX338</f>
        <v>33599.275986938082</v>
      </c>
      <c r="BY338" s="56">
        <f t="shared" si="362"/>
        <v>2584.5295823471461</v>
      </c>
      <c r="BZ338" s="42">
        <f>'[1]побудинковий звіт'!BZ338+'[2]побудинковий звіт'!BZ338-'[3]побудинковий звіт'!BZ338</f>
        <v>1687.9075878796402</v>
      </c>
      <c r="CA338" s="42">
        <f>'[1]побудинковий звіт'!CA338+'[2]побудинковий звіт'!CA338-'[3]побудинковий звіт'!CA338</f>
        <v>11710.570034318163</v>
      </c>
      <c r="CB338" s="56">
        <f t="shared" si="363"/>
        <v>10022.662446438524</v>
      </c>
      <c r="CC338" s="42">
        <f>'[1]побудинковий звіт'!CC338+'[2]побудинковий звіт'!CC338-'[3]побудинковий звіт'!CC338</f>
        <v>1155.9408763000229</v>
      </c>
      <c r="CD338" s="42">
        <f>'[1]побудинковий звіт'!CD338+'[2]побудинковий звіт'!CD338-'[3]побудинковий звіт'!CD338</f>
        <v>1145.7740494847974</v>
      </c>
      <c r="CE338" s="56">
        <f t="shared" si="364"/>
        <v>-10.166826815225477</v>
      </c>
      <c r="CF338" s="42">
        <f>'[1]побудинковий звіт'!CF338+'[2]побудинковий звіт'!CF338-'[3]побудинковий звіт'!CF338</f>
        <v>142.30332757481344</v>
      </c>
      <c r="CG338" s="42">
        <f>'[1]побудинковий звіт'!CG338+'[2]побудинковий звіт'!CG338-'[3]побудинковий звіт'!CG338</f>
        <v>0</v>
      </c>
      <c r="CH338" s="56">
        <f t="shared" si="365"/>
        <v>-142.30332757481344</v>
      </c>
      <c r="CI338" s="42">
        <f>'[1]побудинковий звіт'!CI338+'[2]побудинковий звіт'!CI338-'[3]побудинковий звіт'!CI338</f>
        <v>14075.578933248484</v>
      </c>
      <c r="CJ338" s="42">
        <f>'[1]побудинковий звіт'!CJ338+'[2]побудинковий звіт'!CJ338-'[3]побудинковий звіт'!CJ338</f>
        <v>12371.434686138251</v>
      </c>
      <c r="CK338" s="56">
        <f t="shared" si="366"/>
        <v>-1704.1442471102328</v>
      </c>
      <c r="CL338" s="42">
        <f>'[1]побудинковий звіт'!CL338+'[2]побудинковий звіт'!CL338-'[3]побудинковий звіт'!CL338</f>
        <v>21113.368399872728</v>
      </c>
      <c r="CM338" s="42">
        <f>'[1]побудинковий звіт'!CM338+'[2]побудинковий звіт'!CM338-'[3]побудинковий звіт'!CM338</f>
        <v>18553.569529147677</v>
      </c>
      <c r="CN338" s="56">
        <f t="shared" si="367"/>
        <v>-2559.7988707250515</v>
      </c>
      <c r="CO338" s="42">
        <f t="shared" si="347"/>
        <v>35188.947333121214</v>
      </c>
      <c r="CP338" s="43">
        <f t="shared" si="368"/>
        <v>30925.004215285928</v>
      </c>
      <c r="CQ338" s="56">
        <f t="shared" si="369"/>
        <v>-4263.9431178352861</v>
      </c>
      <c r="CR338" s="78">
        <f t="shared" si="348"/>
        <v>275527.05630997708</v>
      </c>
      <c r="CS338" s="5">
        <f t="shared" si="348"/>
        <v>213679.53748883193</v>
      </c>
      <c r="CT338" s="56">
        <f t="shared" si="370"/>
        <v>-61847.518821145146</v>
      </c>
      <c r="CU338" s="87">
        <f t="shared" si="371"/>
        <v>330632.46757197246</v>
      </c>
      <c r="CV338" s="70">
        <f t="shared" si="372"/>
        <v>256415.4449865983</v>
      </c>
      <c r="CW338" s="37">
        <f t="shared" si="373"/>
        <v>-74217.022585374158</v>
      </c>
      <c r="CX338" s="42">
        <f>'[1]побудинковий звіт'!CX338+'[2]побудинковий звіт'!CX338-'[3]побудинковий звіт'!CX338</f>
        <v>-1998.3675719725143</v>
      </c>
      <c r="CY338" s="42">
        <f>'[1]побудинковий звіт'!CY338+'[2]побудинковий звіт'!CY338-'[3]побудинковий звіт'!CY338</f>
        <v>72218.655013401687</v>
      </c>
      <c r="CZ338" s="56">
        <f t="shared" si="374"/>
        <v>74217.022585374201</v>
      </c>
      <c r="DA338" s="264">
        <f>'[4]побудинковий звіт'!DA338</f>
        <v>-38181.628685324249</v>
      </c>
      <c r="DB338" s="2">
        <v>3</v>
      </c>
      <c r="DC338" s="717">
        <f>'[4]побудинковий звіт'!DC338</f>
        <v>66304.009999999995</v>
      </c>
      <c r="DD338" s="717">
        <f>'[4]побудинковий звіт'!DD338</f>
        <v>2022.95</v>
      </c>
      <c r="DE338" s="717">
        <f>'[4]побудинковий звіт'!DE338</f>
        <v>40082.409999999996</v>
      </c>
      <c r="DF338" s="717">
        <f>'[4]побудинковий звіт'!DF338</f>
        <v>0</v>
      </c>
      <c r="DG338" s="787">
        <v>77.014510803855956</v>
      </c>
      <c r="DH338" s="761">
        <f t="shared" si="344"/>
        <v>3943609.1999999997</v>
      </c>
      <c r="DI338" s="784"/>
      <c r="DJ338" s="5"/>
      <c r="DK338" s="317">
        <f>VLOOKUP($A338,ціни!$A$4:$G$401,5)</f>
        <v>5.1806639281683786</v>
      </c>
      <c r="DL338" s="317">
        <f>VLOOKUP($A338,ціни!$A$4:$G$401,6)</f>
        <v>6.7321105722838386</v>
      </c>
      <c r="DM338" s="317">
        <f>VLOOKUP($A338,ціни!$A$4:$G$401,7)</f>
        <v>4.364488486649468</v>
      </c>
      <c r="DN338" s="30">
        <f t="shared" si="386"/>
        <v>56040.781247919585</v>
      </c>
      <c r="DO338" s="30">
        <f t="shared" si="387"/>
        <v>2019.8852716213739</v>
      </c>
      <c r="DP338" s="316">
        <f t="shared" si="335"/>
        <v>58060.666519540959</v>
      </c>
      <c r="DQ338" s="104"/>
      <c r="DR338" s="30">
        <f>VLOOKUP(A338,'ДЗ нас '!$A$1:$C$359,2)</f>
        <v>26221.599999999999</v>
      </c>
      <c r="DS338" s="748">
        <f>VLOOKUP(A338,'ДЗ нежит'!$A$1:$D$153,4,0)</f>
        <v>2022.95</v>
      </c>
      <c r="DT338" s="30">
        <f t="shared" si="336"/>
        <v>28244.55</v>
      </c>
      <c r="DU338" s="257">
        <f>VLOOKUP(A338,'новий кошторис с 01.06'!$A$4:$AI$399,35)*1.2</f>
        <v>28379.286799927642</v>
      </c>
      <c r="DV338" s="30">
        <f t="shared" si="337"/>
        <v>-134.73679992764301</v>
      </c>
      <c r="DW338" s="930">
        <f>'[5]побудинковий звіт'!DW338+'[6]побудинковий звіт'!DW338</f>
        <v>253</v>
      </c>
      <c r="DY338" s="5">
        <f t="shared" si="340"/>
        <v>90808.256981455052</v>
      </c>
      <c r="DZ338" s="5">
        <f t="shared" si="341"/>
        <v>14688.476103774401</v>
      </c>
      <c r="EA338" s="752">
        <f t="shared" si="345"/>
        <v>40082.409999999996</v>
      </c>
      <c r="EC338" s="592">
        <f t="shared" si="342"/>
        <v>809702.96444402507</v>
      </c>
      <c r="EE338" s="758">
        <v>-2650</v>
      </c>
      <c r="EF338" s="738">
        <f t="shared" si="343"/>
        <v>-2572.985489196144</v>
      </c>
      <c r="EH338" s="813">
        <v>22203.496364204853</v>
      </c>
    </row>
    <row r="339" spans="1:138" x14ac:dyDescent="0.3">
      <c r="A339" s="328">
        <v>150000901</v>
      </c>
      <c r="B339" s="44" t="s">
        <v>792</v>
      </c>
      <c r="C339" s="45" t="s">
        <v>424</v>
      </c>
      <c r="D339" s="45" t="s">
        <v>424</v>
      </c>
      <c r="E339" s="40">
        <f t="shared" si="384"/>
        <v>2056.3599999999997</v>
      </c>
      <c r="F339" s="490">
        <v>232.46</v>
      </c>
      <c r="G339" s="30">
        <v>0</v>
      </c>
      <c r="H339" s="30">
        <v>1823.8999999999999</v>
      </c>
      <c r="I339" s="42">
        <f>'[1]побудинковий звіт'!I339+'[2]побудинковий звіт'!I339-'[3]побудинковий звіт'!I339</f>
        <v>34450.740750134755</v>
      </c>
      <c r="J339" s="42">
        <f>'[1]побудинковий звіт'!J339+'[2]побудинковий звіт'!J339-'[3]побудинковий звіт'!J339</f>
        <v>31852.515528963359</v>
      </c>
      <c r="K339" s="56">
        <f t="shared" si="349"/>
        <v>-2598.2252211713967</v>
      </c>
      <c r="L339" s="42">
        <f>'[1]побудинковий звіт'!L339+'[2]побудинковий звіт'!L339-'[3]побудинковий звіт'!L339</f>
        <v>5986.8791754864469</v>
      </c>
      <c r="M339" s="42">
        <f>'[1]побудинковий звіт'!M339+'[2]побудинковий звіт'!M339-'[3]побудинковий звіт'!M339</f>
        <v>5792.4434995675474</v>
      </c>
      <c r="N339" s="56">
        <f t="shared" si="350"/>
        <v>-194.43567591889951</v>
      </c>
      <c r="O339" s="42">
        <f>'[1]побудинковий звіт'!O339+'[2]побудинковий звіт'!O339-'[3]побудинковий звіт'!O339</f>
        <v>11681.759999999998</v>
      </c>
      <c r="P339" s="42">
        <f>'[1]побудинковий звіт'!P339+'[2]побудинковий звіт'!P339-'[3]побудинковий звіт'!P339</f>
        <v>11677.679999999998</v>
      </c>
      <c r="Q339" s="56">
        <f t="shared" si="351"/>
        <v>-4.0799999999999272</v>
      </c>
      <c r="R339" s="42">
        <f>'[1]побудинковий звіт'!R339+'[2]побудинковий звіт'!R339-'[3]побудинковий звіт'!R339</f>
        <v>2881.6799999999994</v>
      </c>
      <c r="S339" s="42">
        <f>'[1]побудинковий звіт'!S339+'[2]побудинковий звіт'!S339-'[3]побудинковий звіт'!S339</f>
        <v>2877.2400000000002</v>
      </c>
      <c r="T339" s="56">
        <f t="shared" si="352"/>
        <v>-4.4399999999991451</v>
      </c>
      <c r="U339" s="42">
        <f>'[1]побудинковий звіт'!U339+'[2]побудинковий звіт'!U339-'[3]побудинковий звіт'!U339</f>
        <v>1666.6057337569625</v>
      </c>
      <c r="V339" s="42">
        <f>'[1]побудинковий звіт'!V339+'[2]побудинковий звіт'!V339-'[3]побудинковий звіт'!V339</f>
        <v>1131.6517630802223</v>
      </c>
      <c r="W339" s="56">
        <f t="shared" si="353"/>
        <v>-534.95397067674025</v>
      </c>
      <c r="X339" s="42">
        <f>'[1]побудинковий звіт'!X339+'[2]побудинковий звіт'!X339-'[3]побудинковий звіт'!X339</f>
        <v>14546.520726982812</v>
      </c>
      <c r="Y339" s="42">
        <f>'[1]побудинковий звіт'!Y339+'[2]побудинковий звіт'!Y339-'[3]побудинковий звіт'!Y339</f>
        <v>13872.948897818984</v>
      </c>
      <c r="Z339" s="56">
        <f t="shared" si="354"/>
        <v>-673.57182916382772</v>
      </c>
      <c r="AA339" s="42">
        <f>'[1]побудинковий звіт'!AA339+'[2]побудинковий звіт'!AA339-'[3]побудинковий звіт'!AA339</f>
        <v>0</v>
      </c>
      <c r="AB339" s="42">
        <f>'[1]побудинковий звіт'!AB339+'[2]побудинковий звіт'!AB339-'[3]побудинковий звіт'!AB339</f>
        <v>0</v>
      </c>
      <c r="AC339" s="56">
        <f t="shared" si="355"/>
        <v>0</v>
      </c>
      <c r="AD339" s="42">
        <f>'[1]побудинковий звіт'!AD339+'[2]побудинковий звіт'!AD339-'[3]побудинковий звіт'!AD339</f>
        <v>42568.468411965987</v>
      </c>
      <c r="AE339" s="42">
        <f>'[1]побудинковий звіт'!AE339+'[2]побудинковий звіт'!AE339-'[3]побудинковий звіт'!AE339</f>
        <v>40069.803739647345</v>
      </c>
      <c r="AF339" s="37">
        <f t="shared" si="356"/>
        <v>-2498.6646723186423</v>
      </c>
      <c r="AG339" s="87">
        <f t="shared" si="346"/>
        <v>113782.65479832696</v>
      </c>
      <c r="AH339" s="57">
        <f t="shared" si="346"/>
        <v>107274.28342907745</v>
      </c>
      <c r="AI339" s="56">
        <f t="shared" si="357"/>
        <v>-6508.3713692495076</v>
      </c>
      <c r="AJ339" s="42">
        <f>'[1]побудинковий звіт'!AJ339+'[2]побудинковий звіт'!AJ339-'[3]побудинковий звіт'!AJ339</f>
        <v>82965.029258078925</v>
      </c>
      <c r="AK339" s="42">
        <f>'[1]побудинковий звіт'!AK339+'[2]побудинковий звіт'!AK339-'[3]побудинковий звіт'!AK339</f>
        <v>82235.185897900315</v>
      </c>
      <c r="AL339" s="56">
        <f t="shared" si="358"/>
        <v>-729.84336017860915</v>
      </c>
      <c r="AM339" s="42">
        <f>'[1]побудинковий звіт'!AM339+'[2]побудинковий звіт'!AM339-'[3]побудинковий звіт'!AM339</f>
        <v>0</v>
      </c>
      <c r="AN339" s="42">
        <f>'[1]побудинковий звіт'!AN339+'[2]побудинковий звіт'!AN339-'[3]побудинковий звіт'!AN339</f>
        <v>0</v>
      </c>
      <c r="AO339" s="56">
        <f t="shared" si="359"/>
        <v>0</v>
      </c>
      <c r="AP339" s="42">
        <f>'[1]побудинковий звіт'!AP339+'[2]побудинковий звіт'!AP339-'[3]побудинковий звіт'!AP339</f>
        <v>6250.3164430980878</v>
      </c>
      <c r="AQ339" s="42">
        <f>'[1]побудинковий звіт'!AQ339+'[2]побудинковий звіт'!AQ339-'[3]побудинковий звіт'!AQ339</f>
        <v>6029.1592460039137</v>
      </c>
      <c r="AR339" s="56">
        <f t="shared" si="360"/>
        <v>-221.15719709417408</v>
      </c>
      <c r="AS339" s="42">
        <f>'[1]побудинковий звіт'!AS339+'[2]побудинковий звіт'!AS339-'[3]побудинковий звіт'!AS339</f>
        <v>153431.60187685929</v>
      </c>
      <c r="AT339" s="42">
        <f>'[1]побудинковий звіт'!AT339+'[2]побудинковий звіт'!AT339-'[3]побудинковий звіт'!AT339</f>
        <v>44592</v>
      </c>
      <c r="AU339" s="58">
        <f t="shared" si="375"/>
        <v>-108839.60187685929</v>
      </c>
      <c r="AV339" s="42">
        <f>'[1]побудинковий звіт'!AV339+'[2]побудинковий звіт'!AV339-'[3]побудинковий звіт'!AV339</f>
        <v>2859.8790133263842</v>
      </c>
      <c r="AW339" s="42">
        <f>'[1]побудинковий звіт'!AW339+'[2]побудинковий звіт'!AW339-'[3]побудинковий звіт'!AW339</f>
        <v>6382</v>
      </c>
      <c r="AX339" s="59">
        <f t="shared" si="376"/>
        <v>3522.1209866736158</v>
      </c>
      <c r="AY339" s="42">
        <f>'[1]побудинковий звіт'!AY339+'[2]побудинковий звіт'!AY339-'[3]побудинковий звіт'!AY339</f>
        <v>3950.0361758303247</v>
      </c>
      <c r="AZ339" s="42">
        <f>'[1]побудинковий звіт'!AZ339+'[2]побудинковий звіт'!AZ339-'[3]побудинковий звіт'!AZ339</f>
        <v>2180</v>
      </c>
      <c r="BA339" s="37">
        <f t="shared" si="377"/>
        <v>-1770.0361758303247</v>
      </c>
      <c r="BB339" s="42">
        <f>'[1]побудинковий звіт'!BB339+'[2]побудинковий звіт'!BB339-'[3]побудинковий звіт'!BB339</f>
        <v>4615.6082679616793</v>
      </c>
      <c r="BC339" s="42">
        <f>'[1]побудинковий звіт'!BC339+'[2]побудинковий звіт'!BC339-'[3]побудинковий звіт'!BC339</f>
        <v>625</v>
      </c>
      <c r="BD339" s="59">
        <f t="shared" si="378"/>
        <v>-3990.6082679616793</v>
      </c>
      <c r="BE339" s="42">
        <f>'[1]побудинковий звіт'!BE339+'[2]побудинковий звіт'!BE339-'[3]побудинковий звіт'!BE339</f>
        <v>1547.0429264838394</v>
      </c>
      <c r="BF339" s="42">
        <f>'[1]побудинковий звіт'!BF339+'[2]побудинковий звіт'!BF339-'[3]побудинковий звіт'!BF339</f>
        <v>0</v>
      </c>
      <c r="BG339" s="39">
        <f t="shared" si="379"/>
        <v>-1547.0429264838394</v>
      </c>
      <c r="BH339" s="42">
        <f>'[1]побудинковий звіт'!BH339+'[2]побудинковий звіт'!BH339-'[3]побудинковий звіт'!BH339</f>
        <v>845.42356547673432</v>
      </c>
      <c r="BI339" s="42">
        <f>'[1]побудинковий звіт'!BI339+'[2]побудинковий звіт'!BI339-'[3]побудинковий звіт'!BI339</f>
        <v>0</v>
      </c>
      <c r="BJ339" s="59">
        <f t="shared" si="380"/>
        <v>-845.42356547673432</v>
      </c>
      <c r="BK339" s="42">
        <f>'[1]побудинковий звіт'!BK339+'[2]побудинковий звіт'!BK339-'[3]побудинковий звіт'!BK339</f>
        <v>1048.3069248834015</v>
      </c>
      <c r="BL339" s="42">
        <f>'[1]побудинковий звіт'!BL339+'[2]побудинковий звіт'!BL339-'[3]побудинковий звіт'!BL339</f>
        <v>2949</v>
      </c>
      <c r="BM339" s="39">
        <f t="shared" si="381"/>
        <v>1900.6930751165985</v>
      </c>
      <c r="BN339" s="42">
        <f>'[1]побудинковий звіт'!BN339+'[2]побудинковий звіт'!BN339-'[3]побудинковий звіт'!BN339</f>
        <v>0</v>
      </c>
      <c r="BO339" s="42">
        <f>'[1]побудинковий звіт'!BO339+'[2]побудинковий звіт'!BO339-'[3]побудинковий звіт'!BO339</f>
        <v>0</v>
      </c>
      <c r="BP339" s="59">
        <f t="shared" si="382"/>
        <v>0</v>
      </c>
      <c r="BQ339" s="87">
        <f t="shared" si="338"/>
        <v>14866.296873962365</v>
      </c>
      <c r="BR339" s="43">
        <f t="shared" si="385"/>
        <v>12136</v>
      </c>
      <c r="BS339" s="59">
        <f t="shared" si="383"/>
        <v>-2730.2968739623648</v>
      </c>
      <c r="BT339" s="42">
        <f>'[1]побудинковий звіт'!BT339+'[2]побудинковий звіт'!BT339-'[3]побудинковий звіт'!BT339</f>
        <v>121497.37169752391</v>
      </c>
      <c r="BU339" s="42">
        <f>'[1]побудинковий звіт'!BU339+'[2]побудинковий звіт'!BU339-'[3]побудинковий звіт'!BU339</f>
        <v>115421.65273506906</v>
      </c>
      <c r="BV339" s="56">
        <f t="shared" si="361"/>
        <v>-6075.7189624548482</v>
      </c>
      <c r="BW339" s="42">
        <f>'[1]побудинковий звіт'!BW339+'[2]побудинковий звіт'!BW339-'[3]побудинковий звіт'!BW339</f>
        <v>80646.118287132849</v>
      </c>
      <c r="BX339" s="42">
        <f>'[1]побудинковий звіт'!BX339+'[2]побудинковий звіт'!BX339-'[3]побудинковий звіт'!BX339</f>
        <v>87207.162287640094</v>
      </c>
      <c r="BY339" s="56">
        <f t="shared" si="362"/>
        <v>6561.0440005072451</v>
      </c>
      <c r="BZ339" s="42">
        <f>'[1]побудинковий звіт'!BZ339+'[2]побудинковий звіт'!BZ339-'[3]побудинковий звіт'!BZ339</f>
        <v>4544.3665827528794</v>
      </c>
      <c r="CA339" s="42">
        <f>'[1]побудинковий звіт'!CA339+'[2]побудинковий звіт'!CA339-'[3]побудинковий звіт'!CA339</f>
        <v>28996.04409352945</v>
      </c>
      <c r="CB339" s="56">
        <f t="shared" si="363"/>
        <v>24451.677510776572</v>
      </c>
      <c r="CC339" s="42">
        <f>'[1]побудинковий звіт'!CC339+'[2]побудинковий звіт'!CC339-'[3]побудинковий звіт'!CC339</f>
        <v>2408.3572252276308</v>
      </c>
      <c r="CD339" s="42">
        <f>'[1]побудинковий звіт'!CD339+'[2]побудинковий звіт'!CD339-'[3]побудинковий звіт'!CD339</f>
        <v>2387.1750425398268</v>
      </c>
      <c r="CE339" s="56">
        <f t="shared" si="364"/>
        <v>-21.182182687804016</v>
      </c>
      <c r="CF339" s="42">
        <f>'[1]побудинковий звіт'!CF339+'[2]побудинковий звіт'!CF339-'[3]побудинковий звіт'!CF339</f>
        <v>296.48337052991667</v>
      </c>
      <c r="CG339" s="42">
        <f>'[1]побудинковий звіт'!CG339+'[2]побудинковий звіт'!CG339-'[3]побудинковий звіт'!CG339</f>
        <v>0</v>
      </c>
      <c r="CH339" s="56">
        <f t="shared" si="365"/>
        <v>-296.48337052991667</v>
      </c>
      <c r="CI339" s="42">
        <f>'[1]побудинковий звіт'!CI339+'[2]побудинковий звіт'!CI339-'[3]побудинковий звіт'!CI339</f>
        <v>19222.898356976322</v>
      </c>
      <c r="CJ339" s="42">
        <f>'[1]побудинковий звіт'!CJ339+'[2]побудинковий звіт'!CJ339-'[3]побудинковий звіт'!CJ339</f>
        <v>13556.679379983489</v>
      </c>
      <c r="CK339" s="56">
        <f t="shared" si="366"/>
        <v>-5666.2189769928336</v>
      </c>
      <c r="CL339" s="42">
        <f>'[1]побудинковий звіт'!CL339+'[2]побудинковий звіт'!CL339-'[3]побудинковий звіт'!CL339</f>
        <v>17220.123163016764</v>
      </c>
      <c r="CM339" s="42">
        <f>'[1]побудинковий звіт'!CM339+'[2]побудинковий звіт'!CM339-'[3]побудинковий звіт'!CM339</f>
        <v>21037.423081189903</v>
      </c>
      <c r="CN339" s="56">
        <f t="shared" si="367"/>
        <v>3817.2999181731393</v>
      </c>
      <c r="CO339" s="42">
        <f t="shared" si="347"/>
        <v>36443.021519993083</v>
      </c>
      <c r="CP339" s="43">
        <f t="shared" si="368"/>
        <v>34594.102461173388</v>
      </c>
      <c r="CQ339" s="56">
        <f t="shared" si="369"/>
        <v>-1848.9190588196943</v>
      </c>
      <c r="CR339" s="78">
        <f t="shared" si="348"/>
        <v>617131.61793348601</v>
      </c>
      <c r="CS339" s="5">
        <f t="shared" si="348"/>
        <v>520872.7651929335</v>
      </c>
      <c r="CT339" s="56">
        <f t="shared" si="370"/>
        <v>-96258.852740552509</v>
      </c>
      <c r="CU339" s="87">
        <f t="shared" si="371"/>
        <v>740557.94152018323</v>
      </c>
      <c r="CV339" s="70">
        <f t="shared" si="372"/>
        <v>625047.31823152013</v>
      </c>
      <c r="CW339" s="37">
        <f t="shared" si="373"/>
        <v>-115510.6232886631</v>
      </c>
      <c r="CX339" s="42">
        <f>'[1]побудинковий звіт'!CX339+'[2]побудинковий звіт'!CX339-'[3]побудинковий звіт'!CX339</f>
        <v>2041.9884798168205</v>
      </c>
      <c r="CY339" s="42">
        <f>'[1]побудинковий звіт'!CY339+'[2]побудинковий звіт'!CY339-'[3]побудинковий звіт'!CY339</f>
        <v>117552.61176847984</v>
      </c>
      <c r="CZ339" s="56">
        <f t="shared" si="374"/>
        <v>115510.62328866302</v>
      </c>
      <c r="DA339" s="264">
        <f>'[4]побудинковий звіт'!DA339</f>
        <v>36467.735505969176</v>
      </c>
      <c r="DB339" s="2">
        <v>3</v>
      </c>
      <c r="DC339" s="717">
        <f>'[4]побудинковий звіт'!DC339</f>
        <v>188860.36</v>
      </c>
      <c r="DD339" s="717">
        <f>'[4]побудинковий звіт'!DD339</f>
        <v>128994.1</v>
      </c>
      <c r="DE339" s="717">
        <f>'[4]побудинковий звіт'!DE339</f>
        <v>133888.31999999998</v>
      </c>
      <c r="DF339" s="717">
        <f>'[4]побудинковий звіт'!DF339</f>
        <v>122077.71</v>
      </c>
      <c r="DG339" s="787">
        <v>56523.941999984439</v>
      </c>
      <c r="DH339" s="761">
        <f t="shared" si="344"/>
        <v>8911199.1600000001</v>
      </c>
      <c r="DI339" s="784"/>
      <c r="DJ339" s="5"/>
      <c r="DK339" s="317">
        <f>VLOOKUP($A339,ціни!$A$4:$G$401,5)</f>
        <v>5.374989922114926</v>
      </c>
      <c r="DL339" s="317">
        <f>VLOOKUP($A339,ціни!$A$4:$G$401,6)</f>
        <v>6.5807678963577816</v>
      </c>
      <c r="DM339" s="317">
        <f>VLOOKUP($A339,ціни!$A$4:$G$401,7)</f>
        <v>4.4043739097732315</v>
      </c>
      <c r="DN339" s="30">
        <f t="shared" si="386"/>
        <v>1529.7653051873299</v>
      </c>
      <c r="DO339" s="30">
        <f t="shared" si="387"/>
        <v>8033.137574035396</v>
      </c>
      <c r="DP339" s="316">
        <f t="shared" si="335"/>
        <v>9562.9028792227255</v>
      </c>
      <c r="DQ339" s="104"/>
      <c r="DR339" s="30">
        <f>VLOOKUP(A339,'ДЗ нас '!$A$1:$C$359,2)</f>
        <v>54972.04</v>
      </c>
      <c r="DS339" s="748">
        <f>VLOOKUP(A339,'ДЗ нежит'!$A$1:$D$153,4,0)</f>
        <v>6916.3899999999994</v>
      </c>
      <c r="DT339" s="30">
        <f t="shared" si="336"/>
        <v>61888.43</v>
      </c>
      <c r="DU339" s="257">
        <f>VLOOKUP(A339,'новий кошторис с 01.06'!$A$4:$AI$399,35)*1.2</f>
        <v>62083.440764108673</v>
      </c>
      <c r="DV339" s="30">
        <f t="shared" si="337"/>
        <v>-195.01076410867245</v>
      </c>
      <c r="DW339" s="930">
        <f>'[5]побудинковий звіт'!DW339+'[6]побудинковий звіт'!DW339</f>
        <v>305.60000000000002</v>
      </c>
      <c r="DY339" s="5">
        <f t="shared" si="340"/>
        <v>201957.47850098598</v>
      </c>
      <c r="DZ339" s="5">
        <f t="shared" si="341"/>
        <v>68073.599999999991</v>
      </c>
      <c r="EA339" s="752">
        <f t="shared" si="345"/>
        <v>255966.02999999997</v>
      </c>
      <c r="EC339" s="592">
        <f t="shared" si="342"/>
        <v>1841179.2225223114</v>
      </c>
      <c r="EE339" s="758">
        <v>-111974</v>
      </c>
      <c r="EF339" s="738">
        <f t="shared" si="343"/>
        <v>-55450.058000015561</v>
      </c>
      <c r="EH339" s="813">
        <v>130074.86268615143</v>
      </c>
    </row>
    <row r="340" spans="1:138" x14ac:dyDescent="0.3">
      <c r="A340" s="328">
        <v>150000902</v>
      </c>
      <c r="B340" s="44" t="s">
        <v>793</v>
      </c>
      <c r="C340" s="45" t="s">
        <v>403</v>
      </c>
      <c r="D340" s="45" t="s">
        <v>403</v>
      </c>
      <c r="E340" s="40">
        <f t="shared" si="384"/>
        <v>3516.6</v>
      </c>
      <c r="F340" s="490">
        <v>3516.6</v>
      </c>
      <c r="G340" s="30">
        <v>455.7</v>
      </c>
      <c r="H340" s="30">
        <v>0</v>
      </c>
      <c r="I340" s="42">
        <f>'[1]побудинковий звіт'!I340+'[2]побудинковий звіт'!I340-'[3]побудинковий звіт'!I340</f>
        <v>10822.331302894218</v>
      </c>
      <c r="J340" s="42">
        <f>'[1]побудинковий звіт'!J340+'[2]побудинковий звіт'!J340-'[3]побудинковий звіт'!J340</f>
        <v>9914.3239578403118</v>
      </c>
      <c r="K340" s="56">
        <f t="shared" si="349"/>
        <v>-908.00734505390574</v>
      </c>
      <c r="L340" s="42">
        <f>'[1]побудинковий звіт'!L340+'[2]побудинковий звіт'!L340-'[3]побудинковий звіт'!L340</f>
        <v>2726.3900482103918</v>
      </c>
      <c r="M340" s="42">
        <f>'[1]побудинковий звіт'!M340+'[2]побудинковий звіт'!M340-'[3]побудинковий звіт'!M340</f>
        <v>2610.592024404858</v>
      </c>
      <c r="N340" s="56">
        <f t="shared" si="350"/>
        <v>-115.79802380553383</v>
      </c>
      <c r="O340" s="42">
        <f>'[1]побудинковий звіт'!O340+'[2]побудинковий звіт'!O340-'[3]побудинковий звіт'!O340</f>
        <v>4637.8799999999992</v>
      </c>
      <c r="P340" s="42">
        <f>'[1]побудинковий звіт'!P340+'[2]побудинковий звіт'!P340-'[3]побудинковий звіт'!P340</f>
        <v>4637.76</v>
      </c>
      <c r="Q340" s="56">
        <f t="shared" si="351"/>
        <v>-0.11999999999898137</v>
      </c>
      <c r="R340" s="42">
        <f>'[1]побудинковий звіт'!R340+'[2]побудинковий звіт'!R340-'[3]побудинковий звіт'!R340</f>
        <v>1143.96</v>
      </c>
      <c r="S340" s="42">
        <f>'[1]побудинковий звіт'!S340+'[2]побудинковий звіт'!S340-'[3]побудинковий звіт'!S340</f>
        <v>1142.4000000000003</v>
      </c>
      <c r="T340" s="56">
        <f t="shared" si="352"/>
        <v>-1.5599999999997181</v>
      </c>
      <c r="U340" s="42">
        <f>'[1]побудинковий звіт'!U340+'[2]побудинковий звіт'!U340-'[3]побудинковий звіт'!U340</f>
        <v>780.05784393801946</v>
      </c>
      <c r="V340" s="42">
        <f>'[1]побудинковий звіт'!V340+'[2]побудинковий звіт'!V340-'[3]побудинковий звіт'!V340</f>
        <v>529.67087313499223</v>
      </c>
      <c r="W340" s="56">
        <f t="shared" si="353"/>
        <v>-250.38697080302722</v>
      </c>
      <c r="X340" s="42">
        <f>'[1]побудинковий звіт'!X340+'[2]побудинковий звіт'!X340-'[3]побудинковий звіт'!X340</f>
        <v>9220.0590975250634</v>
      </c>
      <c r="Y340" s="42">
        <f>'[1]побудинковий звіт'!Y340+'[2]побудинковий звіт'!Y340-'[3]побудинковий звіт'!Y340</f>
        <v>10894.815916106207</v>
      </c>
      <c r="Z340" s="56">
        <f t="shared" si="354"/>
        <v>1674.7568185811433</v>
      </c>
      <c r="AA340" s="42">
        <f>'[1]побудинковий звіт'!AA340+'[2]побудинковий звіт'!AA340-'[3]побудинковий звіт'!AA340</f>
        <v>0</v>
      </c>
      <c r="AB340" s="42">
        <f>'[1]побудинковий звіт'!AB340+'[2]побудинковий звіт'!AB340-'[3]побудинковий звіт'!AB340</f>
        <v>0</v>
      </c>
      <c r="AC340" s="56">
        <f t="shared" si="355"/>
        <v>0</v>
      </c>
      <c r="AD340" s="42">
        <f>'[1]побудинковий звіт'!AD340+'[2]побудинковий звіт'!AD340-'[3]побудинковий звіт'!AD340</f>
        <v>15313.035469863569</v>
      </c>
      <c r="AE340" s="42">
        <f>'[1]побудинковий звіт'!AE340+'[2]побудинковий звіт'!AE340-'[3]побудинковий звіт'!AE340</f>
        <v>14113.922792427649</v>
      </c>
      <c r="AF340" s="37">
        <f t="shared" si="356"/>
        <v>-1199.11267743592</v>
      </c>
      <c r="AG340" s="87">
        <f t="shared" si="346"/>
        <v>44643.71376243126</v>
      </c>
      <c r="AH340" s="57">
        <f t="shared" si="346"/>
        <v>43843.485563914022</v>
      </c>
      <c r="AI340" s="56">
        <f t="shared" si="357"/>
        <v>-800.22819851723762</v>
      </c>
      <c r="AJ340" s="42">
        <f>'[1]побудинковий звіт'!AJ340+'[2]побудинковий звіт'!AJ340-'[3]побудинковий звіт'!AJ340</f>
        <v>34455.755132608909</v>
      </c>
      <c r="AK340" s="42">
        <f>'[1]побудинковий звіт'!AK340+'[2]побудинковий звіт'!AK340-'[3]побудинковий звіт'!AK340</f>
        <v>34152.702623313548</v>
      </c>
      <c r="AL340" s="56">
        <f t="shared" si="358"/>
        <v>-303.05250929536123</v>
      </c>
      <c r="AM340" s="42">
        <f>'[1]побудинковий звіт'!AM340+'[2]побудинковий звіт'!AM340-'[3]побудинковий звіт'!AM340</f>
        <v>0</v>
      </c>
      <c r="AN340" s="42">
        <f>'[1]побудинковий звіт'!AN340+'[2]побудинковий звіт'!AN340-'[3]побудинковий звіт'!AN340</f>
        <v>1564.7535825027112</v>
      </c>
      <c r="AO340" s="56">
        <f t="shared" si="359"/>
        <v>1564.7535825027112</v>
      </c>
      <c r="AP340" s="42">
        <f>'[1]побудинковий звіт'!AP340+'[2]побудинковий звіт'!AP340-'[3]побудинковий звіт'!AP340</f>
        <v>3030.4564572596787</v>
      </c>
      <c r="AQ340" s="42">
        <f>'[1]побудинковий звіт'!AQ340+'[2]побудинковий звіт'!AQ340-'[3]побудинковий звіт'!AQ340</f>
        <v>2879.585941068869</v>
      </c>
      <c r="AR340" s="56">
        <f t="shared" si="360"/>
        <v>-150.87051619080967</v>
      </c>
      <c r="AS340" s="42">
        <f>'[1]побудинковий звіт'!AS340+'[2]побудинковий звіт'!AS340-'[3]побудинковий звіт'!AS340</f>
        <v>70977.788290545548</v>
      </c>
      <c r="AT340" s="42">
        <f>'[1]побудинковий звіт'!AT340+'[2]побудинковий звіт'!AT340-'[3]побудинковий звіт'!AT340</f>
        <v>19663</v>
      </c>
      <c r="AU340" s="58">
        <f t="shared" si="375"/>
        <v>-51314.788290545548</v>
      </c>
      <c r="AV340" s="42">
        <f>'[1]побудинковий звіт'!AV340+'[2]побудинковий звіт'!AV340-'[3]побудинковий звіт'!AV340</f>
        <v>873.45748577359427</v>
      </c>
      <c r="AW340" s="42">
        <f>'[1]побудинковий звіт'!AW340+'[2]побудинковий звіт'!AW340-'[3]побудинковий звіт'!AW340</f>
        <v>0</v>
      </c>
      <c r="AX340" s="59">
        <f t="shared" si="376"/>
        <v>-873.45748577359427</v>
      </c>
      <c r="AY340" s="42">
        <f>'[1]побудинковий звіт'!AY340+'[2]побудинковий звіт'!AY340-'[3]побудинковий звіт'!AY340</f>
        <v>1802.8058685410185</v>
      </c>
      <c r="AZ340" s="42">
        <f>'[1]побудинковий звіт'!AZ340+'[2]побудинковий звіт'!AZ340-'[3]побудинковий звіт'!AZ340</f>
        <v>0</v>
      </c>
      <c r="BA340" s="37">
        <f t="shared" si="377"/>
        <v>-1802.8058685410185</v>
      </c>
      <c r="BB340" s="42">
        <f>'[1]побудинковий звіт'!BB340+'[2]побудинковий звіт'!BB340-'[3]побудинковий звіт'!BB340</f>
        <v>1887.9244632684902</v>
      </c>
      <c r="BC340" s="42">
        <f>'[1]побудинковий звіт'!BC340+'[2]побудинковий звіт'!BC340-'[3]побудинковий звіт'!BC340</f>
        <v>396</v>
      </c>
      <c r="BD340" s="59">
        <f t="shared" si="378"/>
        <v>-1491.9244632684902</v>
      </c>
      <c r="BE340" s="42">
        <f>'[1]побудинковий звіт'!BE340+'[2]побудинковий звіт'!BE340-'[3]побудинковий звіт'!BE340</f>
        <v>656.32542044597585</v>
      </c>
      <c r="BF340" s="42">
        <f>'[1]побудинковий звіт'!BF340+'[2]побудинковий звіт'!BF340-'[3]побудинковий звіт'!BF340</f>
        <v>0</v>
      </c>
      <c r="BG340" s="39">
        <f t="shared" si="379"/>
        <v>-656.32542044597585</v>
      </c>
      <c r="BH340" s="42">
        <f>'[1]побудинковий звіт'!BH340+'[2]побудинковий звіт'!BH340-'[3]побудинковий звіт'!BH340</f>
        <v>395.76741189229665</v>
      </c>
      <c r="BI340" s="42">
        <f>'[1]побудинковий звіт'!BI340+'[2]побудинковий звіт'!BI340-'[3]побудинковий звіт'!BI340</f>
        <v>0</v>
      </c>
      <c r="BJ340" s="59">
        <f t="shared" si="380"/>
        <v>-395.76741189229665</v>
      </c>
      <c r="BK340" s="42">
        <f>'[1]побудинковий звіт'!BK340+'[2]побудинковий звіт'!BK340-'[3]побудинковий звіт'!BK340</f>
        <v>1274.5443349308352</v>
      </c>
      <c r="BL340" s="42">
        <f>'[1]побудинковий звіт'!BL340+'[2]побудинковий звіт'!BL340-'[3]побудинковий звіт'!BL340</f>
        <v>0</v>
      </c>
      <c r="BM340" s="39">
        <f t="shared" si="381"/>
        <v>-1274.5443349308352</v>
      </c>
      <c r="BN340" s="42">
        <f>'[1]побудинковий звіт'!BN340+'[2]побудинковий звіт'!BN340-'[3]побудинковий звіт'!BN340</f>
        <v>0</v>
      </c>
      <c r="BO340" s="42">
        <f>'[1]побудинковий звіт'!BO340+'[2]побудинковий звіт'!BO340-'[3]побудинковий звіт'!BO340</f>
        <v>0</v>
      </c>
      <c r="BP340" s="59">
        <f t="shared" si="382"/>
        <v>0</v>
      </c>
      <c r="BQ340" s="87">
        <f t="shared" si="338"/>
        <v>6890.8249848522119</v>
      </c>
      <c r="BR340" s="43">
        <f t="shared" si="385"/>
        <v>396</v>
      </c>
      <c r="BS340" s="59">
        <f t="shared" si="383"/>
        <v>-6494.8249848522119</v>
      </c>
      <c r="BT340" s="42">
        <f>'[1]побудинковий звіт'!BT340+'[2]побудинковий звіт'!BT340-'[3]побудинковий звіт'!BT340</f>
        <v>36205.658267451829</v>
      </c>
      <c r="BU340" s="42">
        <f>'[1]побудинковий звіт'!BU340+'[2]побудинковий звіт'!BU340-'[3]побудинковий звіт'!BU340</f>
        <v>39793.385345384464</v>
      </c>
      <c r="BV340" s="56">
        <f t="shared" si="361"/>
        <v>3587.7270779326354</v>
      </c>
      <c r="BW340" s="42">
        <f>'[1]побудинковий звіт'!BW340+'[2]побудинковий звіт'!BW340-'[3]побудинковий звіт'!BW340</f>
        <v>47592.672240141736</v>
      </c>
      <c r="BX340" s="42">
        <f>'[1]побудинковий звіт'!BX340+'[2]побудинковий звіт'!BX340-'[3]побудинковий звіт'!BX340</f>
        <v>53018.661572580837</v>
      </c>
      <c r="BY340" s="56">
        <f t="shared" si="362"/>
        <v>5425.9893324391014</v>
      </c>
      <c r="BZ340" s="42">
        <f>'[1]побудинковий звіт'!BZ340+'[2]побудинковий звіт'!BZ340-'[3]побудинковий звіт'!BZ340</f>
        <v>3388.225286341612</v>
      </c>
      <c r="CA340" s="42">
        <f>'[1]побудинковий звіт'!CA340+'[2]побудинковий звіт'!CA340-'[3]побудинковий звіт'!CA340</f>
        <v>8813.1557476260459</v>
      </c>
      <c r="CB340" s="56">
        <f t="shared" si="363"/>
        <v>5424.9304612844335</v>
      </c>
      <c r="CC340" s="42">
        <f>'[1]побудинковий звіт'!CC340+'[2]побудинковий звіт'!CC340-'[3]побудинковий звіт'!CC340</f>
        <v>1452.4264751067462</v>
      </c>
      <c r="CD340" s="42">
        <f>'[1]побудинковий звіт'!CD340+'[2]побудинковий звіт'!CD340-'[3]побудинковий звіт'!CD340</f>
        <v>1439.6519736274631</v>
      </c>
      <c r="CE340" s="56">
        <f t="shared" si="364"/>
        <v>-12.774501479283117</v>
      </c>
      <c r="CF340" s="42">
        <f>'[1]побудинковий звіт'!CF340+'[2]побудинковий звіт'!CF340-'[3]побудинковий звіт'!CF340</f>
        <v>178.80250167033807</v>
      </c>
      <c r="CG340" s="42">
        <f>'[1]побудинковий звіт'!CG340+'[2]побудинковий звіт'!CG340-'[3]побудинковий звіт'!CG340</f>
        <v>0</v>
      </c>
      <c r="CH340" s="56">
        <f t="shared" si="365"/>
        <v>-178.80250167033807</v>
      </c>
      <c r="CI340" s="42">
        <f>'[1]побудинковий звіт'!CI340+'[2]побудинковий звіт'!CI340-'[3]побудинковий звіт'!CI340</f>
        <v>4494.0777950438323</v>
      </c>
      <c r="CJ340" s="42">
        <f>'[1]побудинковий звіт'!CJ340+'[2]побудинковий звіт'!CJ340-'[3]побудинковий звіт'!CJ340</f>
        <v>1792.7757631703344</v>
      </c>
      <c r="CK340" s="56">
        <f t="shared" si="366"/>
        <v>-2701.302031873498</v>
      </c>
      <c r="CL340" s="42">
        <f>'[1]побудинковий звіт'!CL340+'[2]побудинковий звіт'!CL340-'[3]побудинковий звіт'!CL340</f>
        <v>5540.3874524488729</v>
      </c>
      <c r="CM340" s="42">
        <f>'[1]побудинковий звіт'!CM340+'[2]побудинковий звіт'!CM340-'[3]побудинковий звіт'!CM340</f>
        <v>5461.1384768616035</v>
      </c>
      <c r="CN340" s="56">
        <f t="shared" si="367"/>
        <v>-79.248975587269342</v>
      </c>
      <c r="CO340" s="42">
        <f t="shared" si="347"/>
        <v>10034.465247492706</v>
      </c>
      <c r="CP340" s="43">
        <f t="shared" si="368"/>
        <v>7253.9142400319379</v>
      </c>
      <c r="CQ340" s="56">
        <f t="shared" si="369"/>
        <v>-2780.5510074607682</v>
      </c>
      <c r="CR340" s="78">
        <f t="shared" si="348"/>
        <v>258850.78864590262</v>
      </c>
      <c r="CS340" s="5">
        <f t="shared" si="348"/>
        <v>212818.29659004987</v>
      </c>
      <c r="CT340" s="56">
        <f t="shared" si="370"/>
        <v>-46032.492055852752</v>
      </c>
      <c r="CU340" s="87">
        <f t="shared" si="371"/>
        <v>310620.94637508312</v>
      </c>
      <c r="CV340" s="70">
        <f t="shared" si="372"/>
        <v>255381.95590805984</v>
      </c>
      <c r="CW340" s="37">
        <f t="shared" si="373"/>
        <v>-55238.990467023279</v>
      </c>
      <c r="CX340" s="42">
        <f>'[1]побудинковий звіт'!CX340+'[2]побудинковий звіт'!CX340-'[3]побудинковий звіт'!CX340</f>
        <v>7764.1336249169035</v>
      </c>
      <c r="CY340" s="42">
        <f>'[1]побудинковий звіт'!CY340+'[2]побудинковий звіт'!CY340-'[3]побудинковий звіт'!CY340</f>
        <v>63003.124091940153</v>
      </c>
      <c r="CZ340" s="56">
        <f t="shared" si="374"/>
        <v>55238.99046702325</v>
      </c>
      <c r="DA340" s="264">
        <f>'[4]побудинковий звіт'!DA340</f>
        <v>-154319.50621881321</v>
      </c>
      <c r="DB340" s="2">
        <v>3</v>
      </c>
      <c r="DC340" s="717">
        <f>'[4]побудинковий звіт'!DC340</f>
        <v>80586.03</v>
      </c>
      <c r="DD340" s="717">
        <f>'[4]побудинковий звіт'!DD340</f>
        <v>0</v>
      </c>
      <c r="DE340" s="717">
        <f>'[4]побудинковий звіт'!DE340</f>
        <v>54053.94</v>
      </c>
      <c r="DF340" s="717">
        <f>'[4]побудинковий звіт'!DF340</f>
        <v>0</v>
      </c>
      <c r="DG340" s="787">
        <v>-105706.56490860891</v>
      </c>
      <c r="DH340" s="761">
        <f t="shared" si="344"/>
        <v>3820620.96</v>
      </c>
      <c r="DI340" s="784"/>
      <c r="DJ340" s="5"/>
      <c r="DK340" s="317">
        <f>VLOOKUP($A340,ціни!$A$4:$G$401,5)</f>
        <v>6.263815729270541</v>
      </c>
      <c r="DL340" s="317">
        <f>VLOOKUP($A340,ціни!$A$4:$G$401,6)</f>
        <v>7.5754373747045127</v>
      </c>
      <c r="DM340" s="317">
        <f>VLOOKUP($A340,ціни!$A$4:$G$401,7)</f>
        <v>4.8720094565163663</v>
      </c>
      <c r="DN340" s="30">
        <f t="shared" si="386"/>
        <v>26042.077088061629</v>
      </c>
      <c r="DO340" s="30">
        <f t="shared" si="387"/>
        <v>0</v>
      </c>
      <c r="DP340" s="316">
        <f t="shared" si="335"/>
        <v>26042.077088061629</v>
      </c>
      <c r="DQ340" s="104"/>
      <c r="DR340" s="30">
        <f>VLOOKUP(A340,'ДЗ нас '!$A$1:$C$359,2)</f>
        <v>26532.09</v>
      </c>
      <c r="DS340" s="748"/>
      <c r="DT340" s="30">
        <f t="shared" si="336"/>
        <v>26532.09</v>
      </c>
      <c r="DU340" s="257">
        <f>VLOOKUP(A340,'новий кошторис с 01.06'!$A$4:$AI$399,35)*1.2</f>
        <v>26661.633290527967</v>
      </c>
      <c r="DV340" s="30">
        <f t="shared" si="337"/>
        <v>-129.54329052796675</v>
      </c>
      <c r="DW340" s="930">
        <f>'[5]побудинковий звіт'!DW340+'[6]побудинковий звіт'!DW340</f>
        <v>202</v>
      </c>
      <c r="DY340" s="5">
        <f t="shared" si="340"/>
        <v>93442.335930477304</v>
      </c>
      <c r="DZ340" s="5">
        <f t="shared" si="341"/>
        <v>24070.799999999999</v>
      </c>
      <c r="EA340" s="752">
        <f t="shared" si="345"/>
        <v>54053.94</v>
      </c>
      <c r="EC340" s="592">
        <f t="shared" si="342"/>
        <v>851733.45948654658</v>
      </c>
      <c r="EE340" s="758">
        <v>228775</v>
      </c>
      <c r="EF340" s="738">
        <f t="shared" si="343"/>
        <v>123068.43509139109</v>
      </c>
      <c r="EH340" s="813">
        <v>-107415.68047357199</v>
      </c>
    </row>
    <row r="341" spans="1:138" x14ac:dyDescent="0.3">
      <c r="A341" s="328">
        <v>150000903</v>
      </c>
      <c r="B341" s="44" t="s">
        <v>794</v>
      </c>
      <c r="C341" s="45" t="s">
        <v>404</v>
      </c>
      <c r="D341" s="45" t="s">
        <v>404</v>
      </c>
      <c r="E341" s="40">
        <f t="shared" si="384"/>
        <v>4153.8999999999996</v>
      </c>
      <c r="F341" s="490">
        <v>4153.8999999999996</v>
      </c>
      <c r="G341" s="30">
        <v>501.2</v>
      </c>
      <c r="H341" s="30">
        <v>0</v>
      </c>
      <c r="I341" s="42">
        <f>'[1]побудинковий звіт'!I341+'[2]побудинковий звіт'!I341-'[3]побудинковий звіт'!I341</f>
        <v>10901.522606441813</v>
      </c>
      <c r="J341" s="42">
        <f>'[1]побудинковий звіт'!J341+'[2]побудинковий звіт'!J341-'[3]побудинковий звіт'!J341</f>
        <v>10512.085593386979</v>
      </c>
      <c r="K341" s="56">
        <f t="shared" si="349"/>
        <v>-389.4370130548341</v>
      </c>
      <c r="L341" s="42">
        <f>'[1]побудинковий звіт'!L341+'[2]побудинковий звіт'!L341-'[3]побудинковий звіт'!L341</f>
        <v>1561.1530306581078</v>
      </c>
      <c r="M341" s="42">
        <f>'[1]побудинковий звіт'!M341+'[2]побудинковий звіт'!M341-'[3]побудинковий звіт'!M341</f>
        <v>1524.275185740405</v>
      </c>
      <c r="N341" s="56">
        <f t="shared" si="350"/>
        <v>-36.87784491770276</v>
      </c>
      <c r="O341" s="42">
        <f>'[1]побудинковий звіт'!O341+'[2]побудинковий звіт'!O341-'[3]побудинковий звіт'!O341</f>
        <v>5338.7999999999993</v>
      </c>
      <c r="P341" s="42">
        <f>'[1]побудинковий звіт'!P341+'[2]побудинковий звіт'!P341-'[3]побудинковий звіт'!P341</f>
        <v>5340.1200000000008</v>
      </c>
      <c r="Q341" s="56">
        <f t="shared" si="351"/>
        <v>1.320000000001528</v>
      </c>
      <c r="R341" s="42">
        <f>'[1]побудинковий звіт'!R341+'[2]побудинковий звіт'!R341-'[3]побудинковий звіт'!R341</f>
        <v>1378.6800000000003</v>
      </c>
      <c r="S341" s="42">
        <f>'[1]побудинковий звіт'!S341+'[2]побудинковий звіт'!S341-'[3]побудинковий звіт'!S341</f>
        <v>1376.76</v>
      </c>
      <c r="T341" s="56">
        <f t="shared" si="352"/>
        <v>-1.9200000000003001</v>
      </c>
      <c r="U341" s="42">
        <f>'[1]побудинковий звіт'!U341+'[2]побудинковий звіт'!U341-'[3]побудинковий звіт'!U341</f>
        <v>780.05784393801946</v>
      </c>
      <c r="V341" s="42">
        <f>'[1]побудинковий звіт'!V341+'[2]побудинковий звіт'!V341-'[3]побудинковий звіт'!V341</f>
        <v>529.67087313499235</v>
      </c>
      <c r="W341" s="56">
        <f t="shared" si="353"/>
        <v>-250.38697080302711</v>
      </c>
      <c r="X341" s="42">
        <f>'[1]побудинковий звіт'!X341+'[2]побудинковий звіт'!X341-'[3]побудинковий звіт'!X341</f>
        <v>9293.6486021166183</v>
      </c>
      <c r="Y341" s="42">
        <f>'[1]побудинковий звіт'!Y341+'[2]побудинковий звіт'!Y341-'[3]побудинковий звіт'!Y341</f>
        <v>8428.2296820137672</v>
      </c>
      <c r="Z341" s="56">
        <f t="shared" si="354"/>
        <v>-865.41892010285119</v>
      </c>
      <c r="AA341" s="42">
        <f>'[1]побудинковий звіт'!AA341+'[2]побудинковий звіт'!AA341-'[3]побудинковий звіт'!AA341</f>
        <v>0</v>
      </c>
      <c r="AB341" s="42">
        <f>'[1]побудинковий звіт'!AB341+'[2]побудинковий звіт'!AB341-'[3]побудинковий звіт'!AB341</f>
        <v>0</v>
      </c>
      <c r="AC341" s="56">
        <f t="shared" si="355"/>
        <v>0</v>
      </c>
      <c r="AD341" s="42">
        <f>'[1]побудинковий звіт'!AD341+'[2]побудинковий звіт'!AD341-'[3]побудинковий звіт'!AD341</f>
        <v>17418.882499966556</v>
      </c>
      <c r="AE341" s="42">
        <f>'[1]побудинковий звіт'!AE341+'[2]побудинковий звіт'!AE341-'[3]побудинковий звіт'!AE341</f>
        <v>16054.867973024257</v>
      </c>
      <c r="AF341" s="37">
        <f t="shared" si="356"/>
        <v>-1364.0145269422992</v>
      </c>
      <c r="AG341" s="87">
        <f t="shared" si="346"/>
        <v>46672.744583121108</v>
      </c>
      <c r="AH341" s="57">
        <f t="shared" si="346"/>
        <v>43766.009307300403</v>
      </c>
      <c r="AI341" s="56">
        <f t="shared" si="357"/>
        <v>-2906.7352758207053</v>
      </c>
      <c r="AJ341" s="42">
        <f>'[1]побудинковий звіт'!AJ341+'[2]побудинковий звіт'!AJ341-'[3]побудинковий звіт'!AJ341</f>
        <v>41478.570579091407</v>
      </c>
      <c r="AK341" s="42">
        <f>'[1]побудинковий звіт'!AK341+'[2]побудинковий звіт'!AK341-'[3]побудинковий звіт'!AK341</f>
        <v>41113.627085179396</v>
      </c>
      <c r="AL341" s="56">
        <f t="shared" si="358"/>
        <v>-364.94349391201104</v>
      </c>
      <c r="AM341" s="42">
        <f>'[1]побудинковий звіт'!AM341+'[2]побудинковий звіт'!AM341-'[3]побудинковий звіт'!AM341</f>
        <v>0</v>
      </c>
      <c r="AN341" s="42">
        <f>'[1]побудинковий звіт'!AN341+'[2]побудинковий звіт'!AN341-'[3]побудинковий звіт'!AN341</f>
        <v>0</v>
      </c>
      <c r="AO341" s="56">
        <f t="shared" si="359"/>
        <v>0</v>
      </c>
      <c r="AP341" s="42">
        <f>'[1]побудинковий звіт'!AP341+'[2]побудинковий звіт'!AP341-'[3]побудинковий звіт'!AP341</f>
        <v>3030.4564572596787</v>
      </c>
      <c r="AQ341" s="42">
        <f>'[1]побудинковий звіт'!AQ341+'[2]побудинковий звіт'!AQ341-'[3]побудинковий звіт'!AQ341</f>
        <v>2927.5254209285731</v>
      </c>
      <c r="AR341" s="56">
        <f t="shared" si="360"/>
        <v>-102.93103633110559</v>
      </c>
      <c r="AS341" s="42">
        <f>'[1]побудинковий звіт'!AS341+'[2]побудинковий звіт'!AS341-'[3]побудинковий звіт'!AS341</f>
        <v>78225.834250542743</v>
      </c>
      <c r="AT341" s="42">
        <f>'[1]побудинковий звіт'!AT341+'[2]побудинковий звіт'!AT341-'[3]побудинковий звіт'!AT341</f>
        <v>161268</v>
      </c>
      <c r="AU341" s="58">
        <f t="shared" si="375"/>
        <v>83042.165749457257</v>
      </c>
      <c r="AV341" s="42">
        <f>'[1]побудинковий звіт'!AV341+'[2]побудинковий звіт'!AV341-'[3]побудинковий звіт'!AV341</f>
        <v>882.19659065611506</v>
      </c>
      <c r="AW341" s="42">
        <f>'[1]побудинковий звіт'!AW341+'[2]побудинковий звіт'!AW341-'[3]побудинковий звіт'!AW341</f>
        <v>3867</v>
      </c>
      <c r="AX341" s="59">
        <f t="shared" si="376"/>
        <v>2984.8034093438851</v>
      </c>
      <c r="AY341" s="42">
        <f>'[1]побудинковий звіт'!AY341+'[2]побудинковий звіт'!AY341-'[3]побудинковий звіт'!AY341</f>
        <v>1051.9885615022647</v>
      </c>
      <c r="AZ341" s="42">
        <f>'[1]побудинковий звіт'!AZ341+'[2]побудинковий звіт'!AZ341-'[3]побудинковий звіт'!AZ341</f>
        <v>1312</v>
      </c>
      <c r="BA341" s="37">
        <f t="shared" si="377"/>
        <v>260.0114384977353</v>
      </c>
      <c r="BB341" s="42">
        <f>'[1]побудинковий звіт'!BB341+'[2]побудинковий звіт'!BB341-'[3]побудинковий звіт'!BB341</f>
        <v>2140.9332461612007</v>
      </c>
      <c r="BC341" s="42">
        <f>'[1]побудинковий звіт'!BC341+'[2]побудинковий звіт'!BC341-'[3]побудинковий звіт'!BC341</f>
        <v>1546</v>
      </c>
      <c r="BD341" s="59">
        <f t="shared" si="378"/>
        <v>-594.93324616120071</v>
      </c>
      <c r="BE341" s="42">
        <f>'[1]побудинковий звіт'!BE341+'[2]побудинковий звіт'!BE341-'[3]побудинковий звіт'!BE341</f>
        <v>792.16419287732231</v>
      </c>
      <c r="BF341" s="42">
        <f>'[1]побудинковий звіт'!BF341+'[2]побудинковий звіт'!BF341-'[3]побудинковий звіт'!BF341</f>
        <v>0</v>
      </c>
      <c r="BG341" s="39">
        <f t="shared" si="379"/>
        <v>-792.16419287732231</v>
      </c>
      <c r="BH341" s="42">
        <f>'[1]побудинковий звіт'!BH341+'[2]побудинковий звіт'!BH341-'[3]побудинковий звіт'!BH341</f>
        <v>395.76741189229665</v>
      </c>
      <c r="BI341" s="42">
        <f>'[1]побудинковий звіт'!BI341+'[2]побудинковий звіт'!BI341-'[3]побудинковий звіт'!BI341</f>
        <v>2176</v>
      </c>
      <c r="BJ341" s="59">
        <f t="shared" si="380"/>
        <v>1780.2325881077034</v>
      </c>
      <c r="BK341" s="42">
        <f>'[1]побудинковий звіт'!BK341+'[2]побудинковий звіт'!BK341-'[3]побудинковий звіт'!BK341</f>
        <v>1085.3744004546863</v>
      </c>
      <c r="BL341" s="42">
        <f>'[1]побудинковий звіт'!BL341+'[2]побудинковий звіт'!BL341-'[3]побудинковий звіт'!BL341</f>
        <v>9540</v>
      </c>
      <c r="BM341" s="39">
        <f t="shared" si="381"/>
        <v>8454.6255995453139</v>
      </c>
      <c r="BN341" s="42">
        <f>'[1]побудинковий звіт'!BN341+'[2]побудинковий звіт'!BN341-'[3]побудинковий звіт'!BN341</f>
        <v>0</v>
      </c>
      <c r="BO341" s="42">
        <f>'[1]побудинковий звіт'!BO341+'[2]побудинковий звіт'!BO341-'[3]побудинковий звіт'!BO341</f>
        <v>0</v>
      </c>
      <c r="BP341" s="59">
        <f t="shared" si="382"/>
        <v>0</v>
      </c>
      <c r="BQ341" s="87">
        <f t="shared" si="338"/>
        <v>6348.424403543886</v>
      </c>
      <c r="BR341" s="43">
        <f t="shared" si="385"/>
        <v>18441</v>
      </c>
      <c r="BS341" s="59">
        <f t="shared" si="383"/>
        <v>12092.575596456114</v>
      </c>
      <c r="BT341" s="42">
        <f>'[1]побудинковий звіт'!BT341+'[2]побудинковий звіт'!BT341-'[3]побудинковий звіт'!BT341</f>
        <v>47446.064018457051</v>
      </c>
      <c r="BU341" s="42">
        <f>'[1]побудинковий звіт'!BU341+'[2]побудинковий звіт'!BU341-'[3]побудинковий звіт'!BU341</f>
        <v>37617.163209152583</v>
      </c>
      <c r="BV341" s="56">
        <f t="shared" si="361"/>
        <v>-9828.9008093044686</v>
      </c>
      <c r="BW341" s="42">
        <f>'[1]побудинковий звіт'!BW341+'[2]побудинковий звіт'!BW341-'[3]побудинковий звіт'!BW341</f>
        <v>44105.207770304114</v>
      </c>
      <c r="BX341" s="42">
        <f>'[1]побудинковий звіт'!BX341+'[2]побудинковий звіт'!BX341-'[3]побудинковий звіт'!BX341</f>
        <v>33681.327140439244</v>
      </c>
      <c r="BY341" s="56">
        <f t="shared" si="362"/>
        <v>-10423.880629864871</v>
      </c>
      <c r="BZ341" s="42">
        <f>'[1]побудинковий звіт'!BZ341+'[2]побудинковий звіт'!BZ341-'[3]побудинковий звіт'!BZ341</f>
        <v>7224.1513062970516</v>
      </c>
      <c r="CA341" s="42">
        <f>'[1]побудинковий звіт'!CA341+'[2]побудинковий звіт'!CA341-'[3]побудинковий звіт'!CA341</f>
        <v>9761.187562934143</v>
      </c>
      <c r="CB341" s="56">
        <f t="shared" si="363"/>
        <v>2537.0362566370914</v>
      </c>
      <c r="CC341" s="42">
        <f>'[1]побудинковий звіт'!CC341+'[2]побудинковий звіт'!CC341-'[3]побудинковий звіт'!CC341</f>
        <v>1696.8506145991944</v>
      </c>
      <c r="CD341" s="42">
        <f>'[1]побудинковий звіт'!CD341+'[2]побудинковий звіт'!CD341-'[3]побудинковий звіт'!CD341</f>
        <v>1681.9263337093632</v>
      </c>
      <c r="CE341" s="56">
        <f t="shared" si="364"/>
        <v>-14.924280889831152</v>
      </c>
      <c r="CF341" s="42">
        <f>'[1]побудинковий звіт'!CF341+'[2]побудинковий звіт'!CF341-'[3]побудинковий звіт'!CF341</f>
        <v>208.89259460027949</v>
      </c>
      <c r="CG341" s="42">
        <f>'[1]побудинковий звіт'!CG341+'[2]побудинковий звіт'!CG341-'[3]побудинковий звіт'!CG341</f>
        <v>0</v>
      </c>
      <c r="CH341" s="56">
        <f t="shared" si="365"/>
        <v>-208.89259460027949</v>
      </c>
      <c r="CI341" s="42">
        <f>'[1]побудинковий звіт'!CI341+'[2]побудинковий звіт'!CI341-'[3]побудинковий звіт'!CI341</f>
        <v>7898.795624775079</v>
      </c>
      <c r="CJ341" s="42">
        <f>'[1]побудинковий звіт'!CJ341+'[2]побудинковий звіт'!CJ341-'[3]побудинковий звіт'!CJ341</f>
        <v>3771.4911355488102</v>
      </c>
      <c r="CK341" s="56">
        <f t="shared" si="366"/>
        <v>-4127.3044892262687</v>
      </c>
      <c r="CL341" s="42">
        <f>'[1]побудинковий звіт'!CL341+'[2]побудинковий звіт'!CL341-'[3]побудинковий звіт'!CL341</f>
        <v>7861.3605744206989</v>
      </c>
      <c r="CM341" s="42">
        <f>'[1]побудинковий звіт'!CM341+'[2]побудинковий звіт'!CM341-'[3]побудинковий звіт'!CM341</f>
        <v>7267.6263958467198</v>
      </c>
      <c r="CN341" s="56">
        <f t="shared" si="367"/>
        <v>-593.73417857397908</v>
      </c>
      <c r="CO341" s="42">
        <f t="shared" si="347"/>
        <v>15760.156199195779</v>
      </c>
      <c r="CP341" s="43">
        <f t="shared" si="368"/>
        <v>11039.11753139553</v>
      </c>
      <c r="CQ341" s="56">
        <f t="shared" si="369"/>
        <v>-4721.0386678002487</v>
      </c>
      <c r="CR341" s="78">
        <f t="shared" si="348"/>
        <v>292197.35277701222</v>
      </c>
      <c r="CS341" s="5">
        <f t="shared" si="348"/>
        <v>361296.88359103922</v>
      </c>
      <c r="CT341" s="56">
        <f t="shared" si="370"/>
        <v>69099.530814027006</v>
      </c>
      <c r="CU341" s="87">
        <f t="shared" si="371"/>
        <v>350636.82333241467</v>
      </c>
      <c r="CV341" s="70">
        <f t="shared" si="372"/>
        <v>433556.26030924707</v>
      </c>
      <c r="CW341" s="37">
        <f t="shared" si="373"/>
        <v>82919.436976832396</v>
      </c>
      <c r="CX341" s="42">
        <f>'[1]побудинковий звіт'!CX341+'[2]побудинковий звіт'!CX341-'[3]побудинковий звіт'!CX341</f>
        <v>3512.6966675852163</v>
      </c>
      <c r="CY341" s="42">
        <f>'[1]побудинковий звіт'!CY341+'[2]побудинковий звіт'!CY341-'[3]побудинковий звіт'!CY341</f>
        <v>-79406.740309247049</v>
      </c>
      <c r="CZ341" s="56">
        <f t="shared" si="374"/>
        <v>-82919.436976832265</v>
      </c>
      <c r="DA341" s="264">
        <f>'[4]побудинковий звіт'!DA341</f>
        <v>-78058.376991354569</v>
      </c>
      <c r="DB341" s="2">
        <v>3</v>
      </c>
      <c r="DC341" s="717">
        <f>'[4]побудинковий звіт'!DC341</f>
        <v>61500.480000000003</v>
      </c>
      <c r="DD341" s="717">
        <f>'[4]побудинковий звіт'!DD341</f>
        <v>0</v>
      </c>
      <c r="DE341" s="717">
        <f>'[4]побудинковий звіт'!DE341</f>
        <v>31988.020000000004</v>
      </c>
      <c r="DF341" s="717">
        <f>'[4]побудинковий звіт'!DF341</f>
        <v>0</v>
      </c>
      <c r="DG341" s="787">
        <v>-91636.838918660535</v>
      </c>
      <c r="DH341" s="761">
        <f t="shared" si="344"/>
        <v>4249794.2399999984</v>
      </c>
      <c r="DI341" s="784"/>
      <c r="DJ341" s="5"/>
      <c r="DK341" s="317">
        <f>VLOOKUP($A341,ціни!$A$4:$G$401,5)</f>
        <v>6.0210613147364924</v>
      </c>
      <c r="DL341" s="317">
        <f>VLOOKUP($A341,ціни!$A$4:$G$401,6)</f>
        <v>7.4159370485171348</v>
      </c>
      <c r="DM341" s="317">
        <f>VLOOKUP($A341,ціни!$A$4:$G$401,7)</f>
        <v>4.902761195731947</v>
      </c>
      <c r="DN341" s="30">
        <f t="shared" si="386"/>
        <v>30105.949188064464</v>
      </c>
      <c r="DO341" s="30">
        <f t="shared" si="387"/>
        <v>0</v>
      </c>
      <c r="DP341" s="316">
        <f t="shared" si="335"/>
        <v>30105.949188064464</v>
      </c>
      <c r="DQ341" s="104"/>
      <c r="DR341" s="30">
        <f>VLOOKUP(A341,'ДЗ нас '!$A$1:$C$359,2)</f>
        <v>29512.46</v>
      </c>
      <c r="DS341" s="748"/>
      <c r="DT341" s="30">
        <f t="shared" si="336"/>
        <v>29512.46</v>
      </c>
      <c r="DU341" s="257">
        <f>VLOOKUP(A341,'новий кошторис с 01.06'!$A$4:$AI$399,35)*1.2</f>
        <v>29570.372101033645</v>
      </c>
      <c r="DV341" s="30">
        <f t="shared" si="337"/>
        <v>-57.91210103364574</v>
      </c>
      <c r="DW341" s="930">
        <f>'[5]побудинковий звіт'!DW341+'[6]побудинковий звіт'!DW341</f>
        <v>202</v>
      </c>
      <c r="DY341" s="5">
        <f t="shared" si="340"/>
        <v>101489.11038490395</v>
      </c>
      <c r="DZ341" s="5">
        <f t="shared" si="341"/>
        <v>215650.8</v>
      </c>
      <c r="EA341" s="752">
        <f t="shared" si="345"/>
        <v>31988.020000000004</v>
      </c>
      <c r="EC341" s="592">
        <f t="shared" si="342"/>
        <v>938710.01100651291</v>
      </c>
      <c r="EE341" s="758">
        <v>51293</v>
      </c>
      <c r="EF341" s="738">
        <f t="shared" si="343"/>
        <v>-40343.838918660535</v>
      </c>
      <c r="EH341" s="813">
        <v>-175245.42900368694</v>
      </c>
    </row>
    <row r="342" spans="1:138" x14ac:dyDescent="0.3">
      <c r="A342" s="328">
        <v>150000904</v>
      </c>
      <c r="B342" s="44" t="s">
        <v>795</v>
      </c>
      <c r="C342" s="45" t="s">
        <v>405</v>
      </c>
      <c r="D342" s="45" t="s">
        <v>405</v>
      </c>
      <c r="E342" s="40">
        <f t="shared" si="384"/>
        <v>2749.1</v>
      </c>
      <c r="F342" s="490">
        <v>2749.1</v>
      </c>
      <c r="G342" s="30">
        <v>446.3</v>
      </c>
      <c r="H342" s="30">
        <v>0</v>
      </c>
      <c r="I342" s="42">
        <f>'[1]побудинковий звіт'!I342+'[2]побудинковий звіт'!I342-'[3]побудинковий звіт'!I342</f>
        <v>16154.018060364875</v>
      </c>
      <c r="J342" s="42">
        <f>'[1]побудинковий звіт'!J342+'[2]побудинковий звіт'!J342-'[3]побудинковий звіт'!J342</f>
        <v>14754.848248269718</v>
      </c>
      <c r="K342" s="56">
        <f t="shared" si="349"/>
        <v>-1399.1698120951569</v>
      </c>
      <c r="L342" s="42">
        <f>'[1]побудинковий звіт'!L342+'[2]побудинковий звіт'!L342-'[3]побудинковий звіт'!L342</f>
        <v>2761.6034912326741</v>
      </c>
      <c r="M342" s="42">
        <f>'[1]побудинковий звіт'!M342+'[2]побудинковий звіт'!M342-'[3]побудинковий звіт'!M342</f>
        <v>2644.3081575613787</v>
      </c>
      <c r="N342" s="56">
        <f t="shared" si="350"/>
        <v>-117.29533367129534</v>
      </c>
      <c r="O342" s="42">
        <f>'[1]побудинковий звіт'!O342+'[2]побудинковий звіт'!O342-'[3]побудинковий звіт'!O342</f>
        <v>5678.04</v>
      </c>
      <c r="P342" s="42">
        <f>'[1]побудинковий звіт'!P342+'[2]побудинковий звіт'!P342-'[3]побудинковий звіт'!P342</f>
        <v>5677.2000000000007</v>
      </c>
      <c r="Q342" s="56">
        <f t="shared" si="351"/>
        <v>-0.83999999999923602</v>
      </c>
      <c r="R342" s="42">
        <f>'[1]побудинковий звіт'!R342+'[2]побудинковий звіт'!R342-'[3]побудинковий звіт'!R342</f>
        <v>1368.8399999999997</v>
      </c>
      <c r="S342" s="42">
        <f>'[1]побудинковий звіт'!S342+'[2]побудинковий звіт'!S342-'[3]побудинковий звіт'!S342</f>
        <v>1368.8399999999997</v>
      </c>
      <c r="T342" s="56">
        <f t="shared" si="352"/>
        <v>0</v>
      </c>
      <c r="U342" s="42">
        <f>'[1]побудинковий звіт'!U342+'[2]побудинковий звіт'!U342-'[3]побудинковий звіт'!U342</f>
        <v>780.05784393801946</v>
      </c>
      <c r="V342" s="42">
        <f>'[1]побудинковий звіт'!V342+'[2]побудинковий звіт'!V342-'[3]побудинковий звіт'!V342</f>
        <v>529.67087313499223</v>
      </c>
      <c r="W342" s="56">
        <f t="shared" si="353"/>
        <v>-250.38697080302722</v>
      </c>
      <c r="X342" s="42">
        <f>'[1]побудинковий звіт'!X342+'[2]побудинковий звіт'!X342-'[3]побудинковий звіт'!X342</f>
        <v>6117.9087078999501</v>
      </c>
      <c r="Y342" s="42">
        <f>'[1]побудинковий звіт'!Y342+'[2]побудинковий звіт'!Y342-'[3]побудинковий звіт'!Y342</f>
        <v>6097.4710973829951</v>
      </c>
      <c r="Z342" s="56">
        <f t="shared" si="354"/>
        <v>-20.437610516954919</v>
      </c>
      <c r="AA342" s="42">
        <f>'[1]побудинковий звіт'!AA342+'[2]побудинковий звіт'!AA342-'[3]побудинковий звіт'!AA342</f>
        <v>0</v>
      </c>
      <c r="AB342" s="42">
        <f>'[1]побудинковий звіт'!AB342+'[2]побудинковий звіт'!AB342-'[3]побудинковий звіт'!AB342</f>
        <v>0</v>
      </c>
      <c r="AC342" s="56">
        <f t="shared" si="355"/>
        <v>0</v>
      </c>
      <c r="AD342" s="42">
        <f>'[1]побудинковий звіт'!AD342+'[2]побудинковий звіт'!AD342-'[3]побудинковий звіт'!AD342</f>
        <v>18759.355685626015</v>
      </c>
      <c r="AE342" s="42">
        <f>'[1]побудинковий звіт'!AE342+'[2]побудинковий звіт'!AE342-'[3]побудинковий звіт'!AE342</f>
        <v>17290.783182780244</v>
      </c>
      <c r="AF342" s="37">
        <f t="shared" si="356"/>
        <v>-1468.5725028457709</v>
      </c>
      <c r="AG342" s="87">
        <f t="shared" si="346"/>
        <v>51619.823789061527</v>
      </c>
      <c r="AH342" s="57">
        <f t="shared" si="346"/>
        <v>48363.121559129329</v>
      </c>
      <c r="AI342" s="56">
        <f t="shared" si="357"/>
        <v>-3256.702229932198</v>
      </c>
      <c r="AJ342" s="42">
        <f>'[1]побудинковий звіт'!AJ342+'[2]побудинковий звіт'!AJ342-'[3]побудинковий звіт'!AJ342</f>
        <v>27268.359161175547</v>
      </c>
      <c r="AK342" s="42">
        <f>'[1]побудинковий звіт'!AK342+'[2]побудинковий звіт'!AK342-'[3]побудинковий звіт'!AK342</f>
        <v>26700.641155569581</v>
      </c>
      <c r="AL342" s="56">
        <f t="shared" si="358"/>
        <v>-567.71800560596603</v>
      </c>
      <c r="AM342" s="42">
        <f>'[1]побудинковий звіт'!AM342+'[2]побудинковий звіт'!AM342-'[3]побудинковий звіт'!AM342</f>
        <v>1578.4221588709306</v>
      </c>
      <c r="AN342" s="42">
        <f>'[1]побудинковий звіт'!AN342+'[2]побудинковий звіт'!AN342-'[3]побудинковий звіт'!AN342</f>
        <v>1564.7535825027112</v>
      </c>
      <c r="AO342" s="56">
        <f t="shared" si="359"/>
        <v>-13.668576368219419</v>
      </c>
      <c r="AP342" s="42">
        <f>'[1]побудинковий звіт'!AP342+'[2]побудинковий звіт'!AP342-'[3]побудинковий звіт'!AP342</f>
        <v>3551.3161608511864</v>
      </c>
      <c r="AQ342" s="42">
        <f>'[1]побудинковий звіт'!AQ342+'[2]побудинковий звіт'!AQ342-'[3]побудинковий звіт'!AQ342</f>
        <v>3374.2901069245854</v>
      </c>
      <c r="AR342" s="56">
        <f t="shared" si="360"/>
        <v>-177.02605392660098</v>
      </c>
      <c r="AS342" s="42">
        <f>'[1]побудинковий звіт'!AS342+'[2]побудинковий звіт'!AS342-'[3]побудинковий звіт'!AS342</f>
        <v>73601.723888411318</v>
      </c>
      <c r="AT342" s="42">
        <f>'[1]побудинковий звіт'!AT342+'[2]побудинковий звіт'!AT342-'[3]побудинковий звіт'!AT342</f>
        <v>137678</v>
      </c>
      <c r="AU342" s="58">
        <f t="shared" si="375"/>
        <v>64076.276111588682</v>
      </c>
      <c r="AV342" s="42">
        <f>'[1]побудинковий звіт'!AV342+'[2]побудинковий звіт'!AV342-'[3]побудинковий звіт'!AV342</f>
        <v>1272.2652768709759</v>
      </c>
      <c r="AW342" s="42">
        <f>'[1]побудинковий звіт'!AW342+'[2]побудинковий звіт'!AW342-'[3]побудинковий звіт'!AW342</f>
        <v>0</v>
      </c>
      <c r="AX342" s="59">
        <f t="shared" si="376"/>
        <v>-1272.2652768709759</v>
      </c>
      <c r="AY342" s="42">
        <f>'[1]побудинковий звіт'!AY342+'[2]побудинковий звіт'!AY342-'[3]побудинковий звіт'!AY342</f>
        <v>1825.6469303801011</v>
      </c>
      <c r="AZ342" s="42">
        <f>'[1]побудинковий звіт'!AZ342+'[2]побудинковий звіт'!AZ342-'[3]побудинковий звіт'!AZ342</f>
        <v>1267</v>
      </c>
      <c r="BA342" s="37">
        <f t="shared" si="377"/>
        <v>-558.64693038010114</v>
      </c>
      <c r="BB342" s="42">
        <f>'[1]побудинковий звіт'!BB342+'[2]побудинковий звіт'!BB342-'[3]побудинковий звіт'!BB342</f>
        <v>2392.783400101333</v>
      </c>
      <c r="BC342" s="42">
        <f>'[1]побудинковий звіт'!BC342+'[2]побудинковий звіт'!BC342-'[3]побудинковий звіт'!BC342</f>
        <v>1986</v>
      </c>
      <c r="BD342" s="59">
        <f t="shared" si="378"/>
        <v>-406.78340010133297</v>
      </c>
      <c r="BE342" s="42">
        <f>'[1]побудинковий звіт'!BE342+'[2]побудинковий звіт'!BE342-'[3]побудинковий звіт'!BE342</f>
        <v>795.6374938276382</v>
      </c>
      <c r="BF342" s="42">
        <f>'[1]побудинковий звіт'!BF342+'[2]побудинковий звіт'!BF342-'[3]побудинковий звіт'!BF342</f>
        <v>0</v>
      </c>
      <c r="BG342" s="39">
        <f t="shared" si="379"/>
        <v>-795.6374938276382</v>
      </c>
      <c r="BH342" s="42">
        <f>'[1]побудинковий звіт'!BH342+'[2]побудинковий звіт'!BH342-'[3]побудинковий звіт'!BH342</f>
        <v>395.76741189229665</v>
      </c>
      <c r="BI342" s="42">
        <f>'[1]побудинковий звіт'!BI342+'[2]побудинковий звіт'!BI342-'[3]побудинковий звіт'!BI342</f>
        <v>0</v>
      </c>
      <c r="BJ342" s="59">
        <f t="shared" si="380"/>
        <v>-395.76741189229665</v>
      </c>
      <c r="BK342" s="42">
        <f>'[1]побудинковий звіт'!BK342+'[2]побудинковий звіт'!BK342-'[3]побудинковий звіт'!BK342</f>
        <v>967.57549578016881</v>
      </c>
      <c r="BL342" s="42">
        <f>'[1]побудинковий звіт'!BL342+'[2]побудинковий звіт'!BL342-'[3]побудинковий звіт'!BL342</f>
        <v>5091</v>
      </c>
      <c r="BM342" s="39">
        <f t="shared" si="381"/>
        <v>4123.4245042198309</v>
      </c>
      <c r="BN342" s="42">
        <f>'[1]побудинковий звіт'!BN342+'[2]побудинковий звіт'!BN342-'[3]побудинковий звіт'!BN342</f>
        <v>0</v>
      </c>
      <c r="BO342" s="42">
        <f>'[1]побудинковий звіт'!BO342+'[2]побудинковий звіт'!BO342-'[3]побудинковий звіт'!BO342</f>
        <v>0</v>
      </c>
      <c r="BP342" s="59">
        <f t="shared" si="382"/>
        <v>0</v>
      </c>
      <c r="BQ342" s="87">
        <f t="shared" si="338"/>
        <v>7649.6760088525152</v>
      </c>
      <c r="BR342" s="43">
        <f t="shared" si="385"/>
        <v>8344</v>
      </c>
      <c r="BS342" s="59">
        <f t="shared" si="383"/>
        <v>694.32399114748478</v>
      </c>
      <c r="BT342" s="42">
        <f>'[1]побудинковий звіт'!BT342+'[2]побудинковий звіт'!BT342-'[3]побудинковий звіт'!BT342</f>
        <v>52887.108579439773</v>
      </c>
      <c r="BU342" s="42">
        <f>'[1]побудинковий звіт'!BU342+'[2]побудинковий звіт'!BU342-'[3]побудинковий звіт'!BU342</f>
        <v>35057.339612704891</v>
      </c>
      <c r="BV342" s="56">
        <f t="shared" si="361"/>
        <v>-17829.768966734882</v>
      </c>
      <c r="BW342" s="42">
        <f>'[1]побудинковий звіт'!BW342+'[2]побудинковий звіт'!BW342-'[3]побудинковий звіт'!BW342</f>
        <v>33464.957300000613</v>
      </c>
      <c r="BX342" s="42">
        <f>'[1]побудинковий звіт'!BX342+'[2]побудинковий звіт'!BX342-'[3]побудинковий звіт'!BX342</f>
        <v>19376.309218012284</v>
      </c>
      <c r="BY342" s="56">
        <f t="shared" si="362"/>
        <v>-14088.648081988329</v>
      </c>
      <c r="BZ342" s="42">
        <f>'[1]побудинковий звіт'!BZ342+'[2]побудинковий звіт'!BZ342-'[3]побудинковий звіт'!BZ342</f>
        <v>6477.8379897464765</v>
      </c>
      <c r="CA342" s="42">
        <f>'[1]побудинковий звіт'!CA342+'[2]побудинковий звіт'!CA342-'[3]побудинковий звіт'!CA342</f>
        <v>5417.8920349142327</v>
      </c>
      <c r="CB342" s="56">
        <f t="shared" si="363"/>
        <v>-1059.9459548322438</v>
      </c>
      <c r="CC342" s="42">
        <f>'[1]побудинковий звіт'!CC342+'[2]побудинковий звіт'!CC342-'[3]побудинковий звіт'!CC342</f>
        <v>1588.3157078931611</v>
      </c>
      <c r="CD342" s="42">
        <f>'[1]побудинковий звіт'!CD342+'[2]побудинковий звіт'!CD342-'[3]побудинковий звіт'!CD342</f>
        <v>1574.3460221928513</v>
      </c>
      <c r="CE342" s="56">
        <f t="shared" si="364"/>
        <v>-13.96968570030981</v>
      </c>
      <c r="CF342" s="42">
        <f>'[1]побудинковий звіт'!CF342+'[2]побудинковий звіт'!CF342-'[3]побудинковий звіт'!CF342</f>
        <v>195.5312897974535</v>
      </c>
      <c r="CG342" s="42">
        <f>'[1]побудинковий звіт'!CG342+'[2]побудинковий звіт'!CG342-'[3]побудинковий звіт'!CG342</f>
        <v>0</v>
      </c>
      <c r="CH342" s="56">
        <f t="shared" si="365"/>
        <v>-195.5312897974535</v>
      </c>
      <c r="CI342" s="42">
        <f>'[1]побудинковий звіт'!CI342+'[2]побудинковий звіт'!CI342-'[3]побудинковий звіт'!CI342</f>
        <v>6588.5688623716323</v>
      </c>
      <c r="CJ342" s="42">
        <f>'[1]побудинковий звіт'!CJ342+'[2]побудинковий звіт'!CJ342-'[3]побудинковий звіт'!CJ342</f>
        <v>8150.8463345880882</v>
      </c>
      <c r="CK342" s="56">
        <f t="shared" si="366"/>
        <v>1562.2774722164559</v>
      </c>
      <c r="CL342" s="42">
        <f>'[1]побудинковий звіт'!CL342+'[2]побудинковий звіт'!CL342-'[3]побудинковий звіт'!CL342</f>
        <v>6214.2183588277885</v>
      </c>
      <c r="CM342" s="42">
        <f>'[1]побудинковий звіт'!CM342+'[2]побудинковий звіт'!CM342-'[3]побудинковий звіт'!CM342</f>
        <v>4481.7335757962928</v>
      </c>
      <c r="CN342" s="56">
        <f t="shared" si="367"/>
        <v>-1732.4847830314957</v>
      </c>
      <c r="CO342" s="42">
        <f t="shared" si="347"/>
        <v>12802.787221199422</v>
      </c>
      <c r="CP342" s="43">
        <f t="shared" si="368"/>
        <v>12632.579910384382</v>
      </c>
      <c r="CQ342" s="56">
        <f t="shared" si="369"/>
        <v>-170.20731081503982</v>
      </c>
      <c r="CR342" s="78">
        <f t="shared" si="348"/>
        <v>272685.8592552999</v>
      </c>
      <c r="CS342" s="5">
        <f t="shared" si="348"/>
        <v>300083.27320233482</v>
      </c>
      <c r="CT342" s="56">
        <f t="shared" si="370"/>
        <v>27397.413947034918</v>
      </c>
      <c r="CU342" s="87">
        <f t="shared" si="371"/>
        <v>327223.03110635985</v>
      </c>
      <c r="CV342" s="70">
        <f t="shared" si="372"/>
        <v>360099.92784280179</v>
      </c>
      <c r="CW342" s="37">
        <f t="shared" si="373"/>
        <v>32876.896736441937</v>
      </c>
      <c r="CX342" s="42">
        <f>'[1]побудинковий звіт'!CX342+'[2]побудинковий звіт'!CX342-'[3]побудинковий звіт'!CX342</f>
        <v>4641.2088936400905</v>
      </c>
      <c r="CY342" s="42">
        <f>'[1]побудинковий звіт'!CY342+'[2]побудинковий звіт'!CY342-'[3]побудинковий звіт'!CY342</f>
        <v>-28235.687842801788</v>
      </c>
      <c r="CZ342" s="56">
        <f t="shared" si="374"/>
        <v>-32876.896736441879</v>
      </c>
      <c r="DA342" s="264">
        <f>'[4]побудинковий звіт'!DA342</f>
        <v>-20980.072952728849</v>
      </c>
      <c r="DB342" s="2">
        <v>3</v>
      </c>
      <c r="DC342" s="717">
        <f>'[4]побудинковий звіт'!DC342</f>
        <v>46507.21</v>
      </c>
      <c r="DD342" s="717">
        <f>'[4]побудинковий звіт'!DD342</f>
        <v>0</v>
      </c>
      <c r="DE342" s="717">
        <f>'[4]побудинковий звіт'!DE342</f>
        <v>19180.829999999998</v>
      </c>
      <c r="DF342" s="717">
        <f>'[4]побудинковий звіт'!DF342</f>
        <v>0</v>
      </c>
      <c r="DG342" s="787">
        <v>38777.349451368907</v>
      </c>
      <c r="DH342" s="761">
        <f t="shared" si="344"/>
        <v>3982370.879999999</v>
      </c>
      <c r="DI342" s="784"/>
      <c r="DJ342" s="5"/>
      <c r="DK342" s="317">
        <f>VLOOKUP($A342,ціни!$A$4:$G$401,5)</f>
        <v>5.4974410792531181</v>
      </c>
      <c r="DL342" s="317">
        <f>VLOOKUP($A342,ціни!$A$4:$G$401,6)</f>
        <v>6.4004330780873575</v>
      </c>
      <c r="DM342" s="317">
        <f>VLOOKUP($A342,ціни!$A$4:$G$401,7)</f>
        <v>4.7058646823917085</v>
      </c>
      <c r="DN342" s="30">
        <f t="shared" si="386"/>
        <v>17192.42524589023</v>
      </c>
      <c r="DO342" s="30">
        <f t="shared" si="387"/>
        <v>0</v>
      </c>
      <c r="DP342" s="316">
        <f t="shared" si="335"/>
        <v>17192.42524589023</v>
      </c>
      <c r="DQ342" s="104"/>
      <c r="DR342" s="30">
        <f>VLOOKUP(A342,'ДЗ нас '!$A$1:$C$359,2)</f>
        <v>27685.26</v>
      </c>
      <c r="DS342" s="748"/>
      <c r="DT342" s="30">
        <f t="shared" si="336"/>
        <v>27685.26</v>
      </c>
      <c r="DU342" s="257">
        <f>VLOOKUP(A342,'новий кошторис с 01.06'!$A$4:$AI$399,35)*1.2</f>
        <v>27759.420472189533</v>
      </c>
      <c r="DV342" s="30">
        <f t="shared" si="337"/>
        <v>-74.16047218953463</v>
      </c>
      <c r="DW342" s="930">
        <f>'[5]побудинковий звіт'!DW342+'[6]побудинковий звіт'!DW342</f>
        <v>202</v>
      </c>
      <c r="DY342" s="5">
        <f t="shared" si="340"/>
        <v>97501.679876716604</v>
      </c>
      <c r="DZ342" s="5">
        <f t="shared" si="341"/>
        <v>175226.4</v>
      </c>
      <c r="EA342" s="752">
        <f t="shared" si="345"/>
        <v>19180.829999999998</v>
      </c>
      <c r="EC342" s="592">
        <f t="shared" si="342"/>
        <v>883220.68666093587</v>
      </c>
      <c r="EE342" s="758">
        <v>-22407</v>
      </c>
      <c r="EF342" s="738">
        <f t="shared" si="343"/>
        <v>16370.349451368907</v>
      </c>
      <c r="EH342" s="813">
        <v>-64288.898872674283</v>
      </c>
    </row>
    <row r="343" spans="1:138" x14ac:dyDescent="0.3">
      <c r="A343" s="328">
        <v>150000905</v>
      </c>
      <c r="B343" s="44" t="s">
        <v>796</v>
      </c>
      <c r="C343" s="45" t="s">
        <v>426</v>
      </c>
      <c r="D343" s="45" t="s">
        <v>426</v>
      </c>
      <c r="E343" s="40">
        <f t="shared" si="384"/>
        <v>3757.8</v>
      </c>
      <c r="F343" s="490">
        <v>3582</v>
      </c>
      <c r="G343" s="30">
        <v>0</v>
      </c>
      <c r="H343" s="30">
        <v>175.8</v>
      </c>
      <c r="I343" s="42">
        <f>'[1]побудинковий звіт'!I343+'[2]побудинковий звіт'!I343-'[3]побудинковий звіт'!I343</f>
        <v>11729.268685975936</v>
      </c>
      <c r="J343" s="42">
        <f>'[1]побудинковий звіт'!J343+'[2]побудинковий звіт'!J343-'[3]побудинковий звіт'!J343</f>
        <v>10840.181246702996</v>
      </c>
      <c r="K343" s="56">
        <f t="shared" si="349"/>
        <v>-889.08743927294017</v>
      </c>
      <c r="L343" s="42">
        <f>'[1]побудинковий звіт'!L343+'[2]побудинковий звіт'!L343-'[3]побудинковий звіт'!L343</f>
        <v>2000.2617655328181</v>
      </c>
      <c r="M343" s="42">
        <f>'[1]побудинковий звіт'!M343+'[2]побудинковий звіт'!M343-'[3]побудинковий звіт'!M343</f>
        <v>1915.3030263703972</v>
      </c>
      <c r="N343" s="56">
        <f t="shared" si="350"/>
        <v>-84.958739162420898</v>
      </c>
      <c r="O343" s="42">
        <f>'[1]побудинковий звіт'!O343+'[2]побудинковий звіт'!O343-'[3]побудинковий звіт'!O343</f>
        <v>6679.6800000000012</v>
      </c>
      <c r="P343" s="42">
        <f>'[1]побудинковий звіт'!P343+'[2]побудинковий звіт'!P343-'[3]побудинковий звіт'!P343</f>
        <v>6680.04</v>
      </c>
      <c r="Q343" s="56">
        <f t="shared" si="351"/>
        <v>0.35999999999876309</v>
      </c>
      <c r="R343" s="42">
        <f>'[1]побудинковий звіт'!R343+'[2]побудинковий звіт'!R343-'[3]побудинковий звіт'!R343</f>
        <v>1551.9599999999998</v>
      </c>
      <c r="S343" s="42">
        <f>'[1]побудинковий звіт'!S343+'[2]побудинковий звіт'!S343-'[3]побудинковий звіт'!S343</f>
        <v>1551.24</v>
      </c>
      <c r="T343" s="56">
        <f t="shared" si="352"/>
        <v>-0.71999999999979991</v>
      </c>
      <c r="U343" s="42">
        <f>'[1]побудинковий звіт'!U343+'[2]побудинковий звіт'!U343-'[3]побудинковий звіт'!U343</f>
        <v>797.80651168077293</v>
      </c>
      <c r="V343" s="42">
        <f>'[1]побудинковий звіт'!V343+'[2]побудинковий звіт'!V343-'[3]побудинковий звіт'!V343</f>
        <v>541.72254260336513</v>
      </c>
      <c r="W343" s="56">
        <f t="shared" si="353"/>
        <v>-256.0839690774078</v>
      </c>
      <c r="X343" s="42">
        <f>'[1]побудинковий звіт'!X343+'[2]побудинковий звіт'!X343-'[3]побудинковий звіт'!X343</f>
        <v>7624.32905712314</v>
      </c>
      <c r="Y343" s="42">
        <f>'[1]побудинковий звіт'!Y343+'[2]побудинковий звіт'!Y343-'[3]побудинковий звіт'!Y343</f>
        <v>6873.7505006415149</v>
      </c>
      <c r="Z343" s="56">
        <f t="shared" si="354"/>
        <v>-750.57855648162513</v>
      </c>
      <c r="AA343" s="42">
        <f>'[1]побудинковий звіт'!AA343+'[2]побудинковий звіт'!AA343-'[3]побудинковий звіт'!AA343</f>
        <v>0</v>
      </c>
      <c r="AB343" s="42">
        <f>'[1]побудинковий звіт'!AB343+'[2]побудинковий звіт'!AB343-'[3]побудинковий звіт'!AB343</f>
        <v>0</v>
      </c>
      <c r="AC343" s="56">
        <f t="shared" si="355"/>
        <v>0</v>
      </c>
      <c r="AD343" s="42">
        <f>'[1]побудинковий звіт'!AD343+'[2]побудинковий звіт'!AD343-'[3]побудинковий звіт'!AD343</f>
        <v>22332.240514771307</v>
      </c>
      <c r="AE343" s="42">
        <f>'[1]побудинковий звіт'!AE343+'[2]побудинковий звіт'!AE343-'[3]побудинковий звіт'!AE343</f>
        <v>20583.03315700758</v>
      </c>
      <c r="AF343" s="37">
        <f t="shared" si="356"/>
        <v>-1749.2073577637275</v>
      </c>
      <c r="AG343" s="87">
        <f t="shared" si="346"/>
        <v>52715.54653508398</v>
      </c>
      <c r="AH343" s="57">
        <f t="shared" si="346"/>
        <v>48985.270473325858</v>
      </c>
      <c r="AI343" s="56">
        <f t="shared" si="357"/>
        <v>-3730.2760617581225</v>
      </c>
      <c r="AJ343" s="42">
        <f>'[1]побудинковий звіт'!AJ343+'[2]побудинковий звіт'!AJ343-'[3]побудинковий звіт'!AJ343</f>
        <v>37504.706287365108</v>
      </c>
      <c r="AK343" s="42">
        <f>'[1]побудинковий звіт'!AK343+'[2]побудинковий звіт'!AK343-'[3]побудинковий звіт'!AK343</f>
        <v>37174.837390662709</v>
      </c>
      <c r="AL343" s="56">
        <f t="shared" si="358"/>
        <v>-329.86889670239907</v>
      </c>
      <c r="AM343" s="42">
        <f>'[1]побудинковий звіт'!AM343+'[2]побудинковий звіт'!AM343-'[3]побудинковий звіт'!AM343</f>
        <v>0</v>
      </c>
      <c r="AN343" s="42">
        <f>'[1]побудинковий звіт'!AN343+'[2]побудинковий звіт'!AN343-'[3]побудинковий звіт'!AN343</f>
        <v>0</v>
      </c>
      <c r="AO343" s="56">
        <f t="shared" si="359"/>
        <v>0</v>
      </c>
      <c r="AP343" s="42">
        <f>'[1]побудинковий звіт'!AP343+'[2]побудинковий звіт'!AP343-'[3]побудинковий звіт'!AP343</f>
        <v>3172.5091036937265</v>
      </c>
      <c r="AQ343" s="42">
        <f>'[1]побудинковий звіт'!AQ343+'[2]побудинковий звіт'!AQ343-'[3]побудинковий звіт'!AQ343</f>
        <v>3120.6520248452057</v>
      </c>
      <c r="AR343" s="56">
        <f t="shared" si="360"/>
        <v>-51.857078848520814</v>
      </c>
      <c r="AS343" s="42">
        <f>'[1]побудинковий звіт'!AS343+'[2]побудинковий звіт'!AS343-'[3]побудинковий звіт'!AS343</f>
        <v>80760.473166265059</v>
      </c>
      <c r="AT343" s="42">
        <f>'[1]побудинковий звіт'!AT343+'[2]побудинковий звіт'!AT343-'[3]побудинковий звіт'!AT343</f>
        <v>17492</v>
      </c>
      <c r="AU343" s="58">
        <f t="shared" si="375"/>
        <v>-63268.473166265059</v>
      </c>
      <c r="AV343" s="42">
        <f>'[1]побудинковий звіт'!AV343+'[2]побудинковий звіт'!AV343-'[3]побудинковий звіт'!AV343</f>
        <v>1100.3676954919524</v>
      </c>
      <c r="AW343" s="42">
        <f>'[1]побудинковий звіт'!AW343+'[2]побудинковий звіт'!AW343-'[3]побудинковий звіт'!AW343</f>
        <v>0</v>
      </c>
      <c r="AX343" s="59">
        <f t="shared" si="376"/>
        <v>-1100.3676954919524</v>
      </c>
      <c r="AY343" s="42">
        <f>'[1]побудинковий звіт'!AY343+'[2]побудинковий звіт'!AY343-'[3]побудинковий звіт'!AY343</f>
        <v>1310.1712145579525</v>
      </c>
      <c r="AZ343" s="42">
        <f>'[1]побудинковий звіт'!AZ343+'[2]побудинковий звіт'!AZ343-'[3]побудинковий звіт'!AZ343</f>
        <v>0</v>
      </c>
      <c r="BA343" s="37">
        <f t="shared" si="377"/>
        <v>-1310.1712145579525</v>
      </c>
      <c r="BB343" s="42">
        <f>'[1]побудинковий звіт'!BB343+'[2]побудинковий звіт'!BB343-'[3]побудинковий звіт'!BB343</f>
        <v>3132.0217920108812</v>
      </c>
      <c r="BC343" s="42">
        <f>'[1]побудинковий звіт'!BC343+'[2]побудинковий звіт'!BC343-'[3]побудинковий звіт'!BC343</f>
        <v>2309</v>
      </c>
      <c r="BD343" s="59">
        <f t="shared" si="378"/>
        <v>-823.0217920108812</v>
      </c>
      <c r="BE343" s="42">
        <f>'[1]побудинковий звіт'!BE343+'[2]побудинковий звіт'!BE343-'[3]побудинковий звіт'!BE343</f>
        <v>867.26268650334418</v>
      </c>
      <c r="BF343" s="42">
        <f>'[1]побудинковий звіт'!BF343+'[2]побудинковий звіт'!BF343-'[3]побудинковий звіт'!BF343</f>
        <v>0</v>
      </c>
      <c r="BG343" s="39">
        <f t="shared" si="379"/>
        <v>-867.26268650334418</v>
      </c>
      <c r="BH343" s="42">
        <f>'[1]побудинковий звіт'!BH343+'[2]побудинковий звіт'!BH343-'[3]побудинковий звіт'!BH343</f>
        <v>404.82147576979139</v>
      </c>
      <c r="BI343" s="42">
        <f>'[1]побудинковий звіт'!BI343+'[2]побудинковий звіт'!BI343-'[3]побудинковий звіт'!BI343</f>
        <v>0</v>
      </c>
      <c r="BJ343" s="59">
        <f t="shared" si="380"/>
        <v>-404.82147576979139</v>
      </c>
      <c r="BK343" s="42">
        <f>'[1]побудинковий звіт'!BK343+'[2]побудинковий звіт'!BK343-'[3]побудинковий звіт'!BK343</f>
        <v>857.52417112585692</v>
      </c>
      <c r="BL343" s="42">
        <f>'[1]побудинковий звіт'!BL343+'[2]побудинковий звіт'!BL343-'[3]побудинковий звіт'!BL343</f>
        <v>4279.0000000000018</v>
      </c>
      <c r="BM343" s="39">
        <f t="shared" si="381"/>
        <v>3421.475828874145</v>
      </c>
      <c r="BN343" s="42">
        <f>'[1]побудинковий звіт'!BN343+'[2]побудинковий звіт'!BN343-'[3]побудинковий звіт'!BN343</f>
        <v>0</v>
      </c>
      <c r="BO343" s="42">
        <f>'[1]побудинковий звіт'!BO343+'[2]побудинковий звіт'!BO343-'[3]побудинковий звіт'!BO343</f>
        <v>0</v>
      </c>
      <c r="BP343" s="59">
        <f t="shared" si="382"/>
        <v>0</v>
      </c>
      <c r="BQ343" s="87">
        <f t="shared" si="338"/>
        <v>7672.1690354597786</v>
      </c>
      <c r="BR343" s="43">
        <f t="shared" si="385"/>
        <v>6588.0000000000018</v>
      </c>
      <c r="BS343" s="59">
        <f t="shared" si="383"/>
        <v>-1084.1690354597768</v>
      </c>
      <c r="BT343" s="42">
        <f>'[1]побудинковий звіт'!BT343+'[2]побудинковий звіт'!BT343-'[3]побудинковий звіт'!BT343</f>
        <v>46655.634032159491</v>
      </c>
      <c r="BU343" s="42">
        <f>'[1]побудинковий звіт'!BU343+'[2]побудинковий звіт'!BU343-'[3]побудинковий звіт'!BU343</f>
        <v>45019.452850468908</v>
      </c>
      <c r="BV343" s="56">
        <f t="shared" si="361"/>
        <v>-1636.1811816905829</v>
      </c>
      <c r="BW343" s="42">
        <f>'[1]побудинковий звіт'!BW343+'[2]побудинковий звіт'!BW343-'[3]побудинковий звіт'!BW343</f>
        <v>53858.211609778606</v>
      </c>
      <c r="BX343" s="42">
        <f>'[1]побудинковий звіт'!BX343+'[2]побудинковий звіт'!BX343-'[3]побудинковий звіт'!BX343</f>
        <v>52986.583821230575</v>
      </c>
      <c r="BY343" s="56">
        <f t="shared" si="362"/>
        <v>-871.62778854803037</v>
      </c>
      <c r="BZ343" s="42">
        <f>'[1]побудинковий звіт'!BZ343+'[2]побудинковий звіт'!BZ343-'[3]побудинковий звіт'!BZ343</f>
        <v>3141.0218592087062</v>
      </c>
      <c r="CA343" s="42">
        <f>'[1]побудинковий звіт'!CA343+'[2]побудинковий звіт'!CA343-'[3]побудинковий звіт'!CA343</f>
        <v>10157.846486619081</v>
      </c>
      <c r="CB343" s="56">
        <f t="shared" si="363"/>
        <v>7016.8246274103749</v>
      </c>
      <c r="CC343" s="42">
        <f>'[1]побудинковий звіт'!CC343+'[2]побудинковий звіт'!CC343-'[3]побудинковий звіт'!CC343</f>
        <v>1266.2405782370479</v>
      </c>
      <c r="CD343" s="42">
        <f>'[1]побудинковий звіт'!CD343+'[2]побудинковий звіт'!CD343-'[3]побудинковий звіт'!CD343</f>
        <v>1255.1036343593009</v>
      </c>
      <c r="CE343" s="56">
        <f t="shared" si="364"/>
        <v>-11.136943877746944</v>
      </c>
      <c r="CF343" s="42">
        <f>'[1]побудинковий звіт'!CF343+'[2]побудинковий звіт'!CF343-'[3]побудинковий звіт'!CF343</f>
        <v>155.88188936630323</v>
      </c>
      <c r="CG343" s="42">
        <f>'[1]побудинковий звіт'!CG343+'[2]побудинковий звіт'!CG343-'[3]побудинковий звіт'!CG343</f>
        <v>0</v>
      </c>
      <c r="CH343" s="56">
        <f t="shared" si="365"/>
        <v>-155.88188936630323</v>
      </c>
      <c r="CI343" s="42">
        <f>'[1]побудинковий звіт'!CI343+'[2]побудинковий звіт'!CI343-'[3]побудинковий звіт'!CI343</f>
        <v>12522.024343541538</v>
      </c>
      <c r="CJ343" s="42">
        <f>'[1]побудинковий звіт'!CJ343+'[2]побудинковий звіт'!CJ343-'[3]побудинковий звіт'!CJ343</f>
        <v>8804.2534613805365</v>
      </c>
      <c r="CK343" s="56">
        <f t="shared" si="366"/>
        <v>-3717.7708821610013</v>
      </c>
      <c r="CL343" s="42">
        <f>'[1]побудинковий звіт'!CL343+'[2]побудинковий звіт'!CL343-'[3]побудинковий звіт'!CL343</f>
        <v>12016.651163757348</v>
      </c>
      <c r="CM343" s="42">
        <f>'[1]побудинковий звіт'!CM343+'[2]побудинковий звіт'!CM343-'[3]побудинковий звіт'!CM343</f>
        <v>11590.575273477989</v>
      </c>
      <c r="CN343" s="56">
        <f t="shared" si="367"/>
        <v>-426.07589027935865</v>
      </c>
      <c r="CO343" s="42">
        <f t="shared" si="347"/>
        <v>24538.675507298885</v>
      </c>
      <c r="CP343" s="43">
        <f t="shared" si="368"/>
        <v>20394.828734858525</v>
      </c>
      <c r="CQ343" s="56">
        <f t="shared" si="369"/>
        <v>-4143.8467724403599</v>
      </c>
      <c r="CR343" s="78">
        <f t="shared" si="348"/>
        <v>311441.06960391667</v>
      </c>
      <c r="CS343" s="5">
        <f t="shared" si="348"/>
        <v>243174.57541637015</v>
      </c>
      <c r="CT343" s="56">
        <f t="shared" si="370"/>
        <v>-68266.494187546516</v>
      </c>
      <c r="CU343" s="87">
        <f t="shared" si="371"/>
        <v>373729.28352469997</v>
      </c>
      <c r="CV343" s="70">
        <f t="shared" si="372"/>
        <v>291809.49049964419</v>
      </c>
      <c r="CW343" s="37">
        <f t="shared" si="373"/>
        <v>-81919.793025055784</v>
      </c>
      <c r="CX343" s="42">
        <f>'[1]побудинковий звіт'!CX343+'[2]побудинковий звіт'!CX343-'[3]побудинковий звіт'!CX343</f>
        <v>9223.9564752999722</v>
      </c>
      <c r="CY343" s="42">
        <f>'[1]побудинковий звіт'!CY343+'[2]побудинковий звіт'!CY343-'[3]побудинковий звіт'!CY343</f>
        <v>91143.749500355785</v>
      </c>
      <c r="CZ343" s="56">
        <f t="shared" si="374"/>
        <v>81919.793025055813</v>
      </c>
      <c r="DA343" s="264">
        <f>'[4]побудинковий звіт'!DA343</f>
        <v>-145160.64296946669</v>
      </c>
      <c r="DB343" s="2">
        <v>3</v>
      </c>
      <c r="DC343" s="717">
        <f>'[4]побудинковий звіт'!DC343</f>
        <v>70797.27</v>
      </c>
      <c r="DD343" s="717">
        <f>'[4]побудинковий звіт'!DD343</f>
        <v>1298.5999999999999</v>
      </c>
      <c r="DE343" s="717">
        <f>'[4]побудинковий звіт'!DE343</f>
        <v>39597.930000000008</v>
      </c>
      <c r="DF343" s="717">
        <f>'[4]побудинковий звіт'!DF343</f>
        <v>585.16999999999996</v>
      </c>
      <c r="DG343" s="787">
        <v>-64753.89736678882</v>
      </c>
      <c r="DH343" s="761">
        <f t="shared" si="344"/>
        <v>4595438.879999999</v>
      </c>
      <c r="DI343" s="784"/>
      <c r="DJ343" s="5"/>
      <c r="DK343" s="317">
        <f>VLOOKUP($A343,ціни!$A$4:$G$401,5)</f>
        <v>5.1778941873449247</v>
      </c>
      <c r="DL343" s="317">
        <f>VLOOKUP($A343,ціни!$A$4:$G$401,6)</f>
        <v>6.1836081891955024</v>
      </c>
      <c r="DM343" s="317">
        <f>VLOOKUP($A343,ціни!$A$4:$G$401,7)</f>
        <v>4.0581384682186332</v>
      </c>
      <c r="DN343" s="30">
        <f t="shared" si="386"/>
        <v>22149.684533698288</v>
      </c>
      <c r="DO343" s="30">
        <f t="shared" si="387"/>
        <v>713.42074271283582</v>
      </c>
      <c r="DP343" s="316">
        <f t="shared" si="335"/>
        <v>22863.105276411123</v>
      </c>
      <c r="DQ343" s="104"/>
      <c r="DR343" s="30">
        <f>VLOOKUP(A343,'ДЗ нас '!$A$1:$C$359,2)</f>
        <v>31199.34</v>
      </c>
      <c r="DS343" s="748">
        <f>VLOOKUP(A343,'ДЗ нежит'!$A$1:$D$153,4,0)</f>
        <v>713.43</v>
      </c>
      <c r="DT343" s="30">
        <f t="shared" si="336"/>
        <v>31912.77</v>
      </c>
      <c r="DU343" s="257">
        <f>VLOOKUP(A343,'новий кошторис с 01.06'!$A$4:$AI$399,35)*1.2</f>
        <v>32078.430169203413</v>
      </c>
      <c r="DV343" s="30">
        <f t="shared" si="337"/>
        <v>-165.66016920341281</v>
      </c>
      <c r="DW343" s="930">
        <f>'[5]побудинковий звіт'!DW343+'[6]побудинковий звіт'!DW343</f>
        <v>204</v>
      </c>
      <c r="DY343" s="5">
        <f t="shared" si="340"/>
        <v>106119.1706420698</v>
      </c>
      <c r="DZ343" s="5">
        <f t="shared" si="341"/>
        <v>28896</v>
      </c>
      <c r="EA343" s="752">
        <f t="shared" si="345"/>
        <v>40183.100000000006</v>
      </c>
      <c r="EC343" s="592">
        <f t="shared" si="342"/>
        <v>969125.67799518071</v>
      </c>
      <c r="EE343" s="758">
        <v>90696</v>
      </c>
      <c r="EF343" s="738">
        <f t="shared" si="343"/>
        <v>25942.10263321118</v>
      </c>
      <c r="EH343" s="813">
        <v>-61120.858878045139</v>
      </c>
    </row>
    <row r="344" spans="1:138" x14ac:dyDescent="0.3">
      <c r="A344" s="328">
        <v>150000906</v>
      </c>
      <c r="B344" s="44" t="s">
        <v>797</v>
      </c>
      <c r="C344" s="45" t="s">
        <v>406</v>
      </c>
      <c r="D344" s="45" t="s">
        <v>406</v>
      </c>
      <c r="E344" s="40">
        <f t="shared" si="384"/>
        <v>2741.4</v>
      </c>
      <c r="F344" s="490">
        <v>2741.4</v>
      </c>
      <c r="G344" s="30">
        <v>436.6</v>
      </c>
      <c r="H344" s="30">
        <v>0</v>
      </c>
      <c r="I344" s="42">
        <f>'[1]побудинковий звіт'!I344+'[2]побудинковий звіт'!I344-'[3]побудинковий звіт'!I344</f>
        <v>10616.892024399451</v>
      </c>
      <c r="J344" s="42">
        <f>'[1]побудинковий звіт'!J344+'[2]побудинковий звіт'!J344-'[3]побудинковий звіт'!J344</f>
        <v>9873.8644005732258</v>
      </c>
      <c r="K344" s="56">
        <f t="shared" si="349"/>
        <v>-743.02762382622495</v>
      </c>
      <c r="L344" s="42">
        <f>'[1]побудинковий звіт'!L344+'[2]побудинковий звіт'!L344-'[3]побудинковий звіт'!L344</f>
        <v>2721.658573253615</v>
      </c>
      <c r="M344" s="42">
        <f>'[1]побудинковий звіт'!M344+'[2]побудинковий звіт'!M344-'[3]побудинковий звіт'!M344</f>
        <v>2641.950936848476</v>
      </c>
      <c r="N344" s="56">
        <f t="shared" si="350"/>
        <v>-79.707636405139056</v>
      </c>
      <c r="O344" s="42">
        <f>'[1]побудинковий звіт'!O344+'[2]побудинковий звіт'!O344-'[3]побудинковий звіт'!O344</f>
        <v>5026.4399999999996</v>
      </c>
      <c r="P344" s="42">
        <f>'[1]побудинковий звіт'!P344+'[2]побудинковий звіт'!P344-'[3]побудинковий звіт'!P344</f>
        <v>5025.84</v>
      </c>
      <c r="Q344" s="56">
        <f t="shared" si="351"/>
        <v>-0.5999999999994543</v>
      </c>
      <c r="R344" s="42">
        <f>'[1]побудинковий звіт'!R344+'[2]побудинковий звіт'!R344-'[3]побудинковий звіт'!R344</f>
        <v>1220.2800000000002</v>
      </c>
      <c r="S344" s="42">
        <f>'[1]побудинковий звіт'!S344+'[2]побудинковий звіт'!S344-'[3]побудинковий звіт'!S344</f>
        <v>1220.04</v>
      </c>
      <c r="T344" s="56">
        <f t="shared" si="352"/>
        <v>-0.24000000000023647</v>
      </c>
      <c r="U344" s="42">
        <f>'[1]побудинковий звіт'!U344+'[2]побудинковий звіт'!U344-'[3]побудинковий звіт'!U344</f>
        <v>780.05784393801946</v>
      </c>
      <c r="V344" s="42">
        <f>'[1]побудинковий звіт'!V344+'[2]побудинковий звіт'!V344-'[3]побудинковий звіт'!V344</f>
        <v>529.67087313499223</v>
      </c>
      <c r="W344" s="56">
        <f t="shared" si="353"/>
        <v>-250.38697080302722</v>
      </c>
      <c r="X344" s="42">
        <f>'[1]побудинковий звіт'!X344+'[2]побудинковий звіт'!X344-'[3]побудинковий звіт'!X344</f>
        <v>9196.9065357224372</v>
      </c>
      <c r="Y344" s="42">
        <f>'[1]побудинковий звіт'!Y344+'[2]побудинковий звіт'!Y344-'[3]побудинковий звіт'!Y344</f>
        <v>8067.8847781206532</v>
      </c>
      <c r="Z344" s="56">
        <f t="shared" si="354"/>
        <v>-1129.021757601784</v>
      </c>
      <c r="AA344" s="42">
        <f>'[1]побудинковий звіт'!AA344+'[2]побудинковий звіт'!AA344-'[3]побудинковий звіт'!AA344</f>
        <v>0</v>
      </c>
      <c r="AB344" s="42">
        <f>'[1]побудинковий звіт'!AB344+'[2]побудинковий звіт'!AB344-'[3]побудинковий звіт'!AB344</f>
        <v>0</v>
      </c>
      <c r="AC344" s="56">
        <f t="shared" si="355"/>
        <v>0</v>
      </c>
      <c r="AD344" s="42">
        <f>'[1]побудинковий звіт'!AD344+'[2]побудинковий звіт'!AD344-'[3]побудинковий звіт'!AD344</f>
        <v>16831.212214042996</v>
      </c>
      <c r="AE344" s="42">
        <f>'[1]побудинковий звіт'!AE344+'[2]побудинковий звіт'!AE344-'[3]побудинковий звіт'!AE344</f>
        <v>15513.496353969345</v>
      </c>
      <c r="AF344" s="37">
        <f t="shared" si="356"/>
        <v>-1317.7158600736511</v>
      </c>
      <c r="AG344" s="87">
        <f t="shared" si="346"/>
        <v>46393.447191356521</v>
      </c>
      <c r="AH344" s="57">
        <f t="shared" si="346"/>
        <v>42872.747342646697</v>
      </c>
      <c r="AI344" s="56">
        <f t="shared" si="357"/>
        <v>-3520.6998487098244</v>
      </c>
      <c r="AJ344" s="42">
        <f>'[1]побудинковий звіт'!AJ344+'[2]побудинковий звіт'!AJ344-'[3]побудинковий звіт'!AJ344</f>
        <v>41478.570579091407</v>
      </c>
      <c r="AK344" s="42">
        <f>'[1]побудинковий звіт'!AK344+'[2]побудинковий звіт'!AK344-'[3]побудинковий звіт'!AK344</f>
        <v>41113.62344518234</v>
      </c>
      <c r="AL344" s="56">
        <f t="shared" si="358"/>
        <v>-364.94713390906691</v>
      </c>
      <c r="AM344" s="42">
        <f>'[1]побудинковий звіт'!AM344+'[2]побудинковий звіт'!AM344-'[3]побудинковий звіт'!AM344</f>
        <v>0</v>
      </c>
      <c r="AN344" s="42">
        <f>'[1]побудинковий звіт'!AN344+'[2]побудинковий звіт'!AN344-'[3]побудинковий звіт'!AN344</f>
        <v>0</v>
      </c>
      <c r="AO344" s="56">
        <f t="shared" si="359"/>
        <v>0</v>
      </c>
      <c r="AP344" s="42">
        <f>'[1]побудинковий звіт'!AP344+'[2]побудинковий звіт'!AP344-'[3]побудинковий звіт'!AP344</f>
        <v>3409.2635144171381</v>
      </c>
      <c r="AQ344" s="42">
        <f>'[1]побудинковий звіт'!AQ344+'[2]побудинковий звіт'!AQ344-'[3]побудинковий звіт'!AQ344</f>
        <v>3261.2087160199749</v>
      </c>
      <c r="AR344" s="56">
        <f t="shared" si="360"/>
        <v>-148.05479839716327</v>
      </c>
      <c r="AS344" s="42">
        <f>'[1]побудинковий звіт'!AS344+'[2]побудинковий звіт'!AS344-'[3]побудинковий звіт'!AS344</f>
        <v>84522.63483610531</v>
      </c>
      <c r="AT344" s="42">
        <f>'[1]побудинковий звіт'!AT344+'[2]побудинковий звіт'!AT344-'[3]побудинковий звіт'!AT344</f>
        <v>96673</v>
      </c>
      <c r="AU344" s="58">
        <f t="shared" si="375"/>
        <v>12150.36516389469</v>
      </c>
      <c r="AV344" s="42">
        <f>'[1]побудинковий звіт'!AV344+'[2]побудинковий звіт'!AV344-'[3]побудинковий звіт'!AV344</f>
        <v>485.26905014436051</v>
      </c>
      <c r="AW344" s="42">
        <f>'[1]побудинковий звіт'!AW344+'[2]побудинковий звіт'!AW344-'[3]побудинковий звіт'!AW344</f>
        <v>0</v>
      </c>
      <c r="AX344" s="59">
        <f t="shared" si="376"/>
        <v>-485.26905014436051</v>
      </c>
      <c r="AY344" s="42">
        <f>'[1]побудинковий звіт'!AY344+'[2]побудинковий звіт'!AY344-'[3]побудинковий звіт'!AY344</f>
        <v>1079.9006036806279</v>
      </c>
      <c r="AZ344" s="42">
        <f>'[1]побудинковий звіт'!AZ344+'[2]побудинковий звіт'!AZ344-'[3]побудинковий звіт'!AZ344</f>
        <v>0</v>
      </c>
      <c r="BA344" s="37">
        <f t="shared" si="377"/>
        <v>-1079.9006036806279</v>
      </c>
      <c r="BB344" s="42">
        <f>'[1]побудинковий звіт'!BB344+'[2]побудинковий звіт'!BB344-'[3]побудинковий звіт'!BB344</f>
        <v>1284.1042070213362</v>
      </c>
      <c r="BC344" s="42">
        <f>'[1]побудинковий звіт'!BC344+'[2]побудинковий звіт'!BC344-'[3]побудинковий звіт'!BC344</f>
        <v>766</v>
      </c>
      <c r="BD344" s="59">
        <f t="shared" si="378"/>
        <v>-518.10420702133615</v>
      </c>
      <c r="BE344" s="42">
        <f>'[1]побудинковий звіт'!BE344+'[2]побудинковий звіт'!BE344-'[3]побудинковий звіт'!BE344</f>
        <v>429.72755535611037</v>
      </c>
      <c r="BF344" s="42">
        <f>'[1]побудинковий звіт'!BF344+'[2]побудинковий звіт'!BF344-'[3]побудинковий звіт'!BF344</f>
        <v>546</v>
      </c>
      <c r="BG344" s="39">
        <f t="shared" si="379"/>
        <v>116.27244464388963</v>
      </c>
      <c r="BH344" s="42">
        <f>'[1]побудинковий звіт'!BH344+'[2]побудинковий звіт'!BH344-'[3]побудинковий звіт'!BH344</f>
        <v>237.46044713537805</v>
      </c>
      <c r="BI344" s="42">
        <f>'[1]побудинковий звіт'!BI344+'[2]побудинковий звіт'!BI344-'[3]побудинковий звіт'!BI344</f>
        <v>0</v>
      </c>
      <c r="BJ344" s="59">
        <f t="shared" si="380"/>
        <v>-237.46044713537805</v>
      </c>
      <c r="BK344" s="42">
        <f>'[1]побудинковий звіт'!BK344+'[2]побудинковий звіт'!BK344-'[3]побудинковий звіт'!BK344</f>
        <v>822.09871507764683</v>
      </c>
      <c r="BL344" s="42">
        <f>'[1]побудинковий звіт'!BL344+'[2]побудинковий звіт'!BL344-'[3]побудинковий звіт'!BL344</f>
        <v>1351</v>
      </c>
      <c r="BM344" s="39">
        <f t="shared" si="381"/>
        <v>528.90128492235317</v>
      </c>
      <c r="BN344" s="42">
        <f>'[1]побудинковий звіт'!BN344+'[2]побудинковий звіт'!BN344-'[3]побудинковий звіт'!BN344</f>
        <v>0</v>
      </c>
      <c r="BO344" s="42">
        <f>'[1]побудинковий звіт'!BO344+'[2]побудинковий звіт'!BO344-'[3]побудинковий звіт'!BO344</f>
        <v>0</v>
      </c>
      <c r="BP344" s="59">
        <f t="shared" si="382"/>
        <v>0</v>
      </c>
      <c r="BQ344" s="87">
        <f t="shared" si="338"/>
        <v>4338.5605784154595</v>
      </c>
      <c r="BR344" s="43">
        <f t="shared" si="385"/>
        <v>2663</v>
      </c>
      <c r="BS344" s="59">
        <f t="shared" si="383"/>
        <v>-1675.5605784154595</v>
      </c>
      <c r="BT344" s="42">
        <f>'[1]побудинковий звіт'!BT344+'[2]побудинковий звіт'!BT344-'[3]побудинковий звіт'!BT344</f>
        <v>43924.741221015902</v>
      </c>
      <c r="BU344" s="42">
        <f>'[1]побудинковий звіт'!BU344+'[2]побудинковий звіт'!BU344-'[3]побудинковий звіт'!BU344</f>
        <v>50992.144378265417</v>
      </c>
      <c r="BV344" s="56">
        <f t="shared" si="361"/>
        <v>7067.4031572495151</v>
      </c>
      <c r="BW344" s="42">
        <f>'[1]побудинковий звіт'!BW344+'[2]побудинковий звіт'!BW344-'[3]побудинковий звіт'!BW344</f>
        <v>43993.615128674828</v>
      </c>
      <c r="BX344" s="42">
        <f>'[1]побудинковий звіт'!BX344+'[2]побудинковий звіт'!BX344-'[3]побудинковий звіт'!BX344</f>
        <v>49077.44715637678</v>
      </c>
      <c r="BY344" s="56">
        <f t="shared" si="362"/>
        <v>5083.832027701952</v>
      </c>
      <c r="BZ344" s="42">
        <f>'[1]побудинковий звіт'!BZ344+'[2]побудинковий звіт'!BZ344-'[3]побудинковий звіт'!BZ344</f>
        <v>6600.253215854028</v>
      </c>
      <c r="CA344" s="42">
        <f>'[1]побудинковий звіт'!CA344+'[2]побудинковий звіт'!CA344-'[3]побудинковий звіт'!CA344</f>
        <v>10315.29417023206</v>
      </c>
      <c r="CB344" s="56">
        <f t="shared" si="363"/>
        <v>3715.0409543780324</v>
      </c>
      <c r="CC344" s="42">
        <f>'[1]побудинковий звіт'!CC344+'[2]побудинковий звіт'!CC344-'[3]побудинковий звіт'!CC344</f>
        <v>1413.600980024913</v>
      </c>
      <c r="CD344" s="42">
        <f>'[1]побудинковий звіт'!CD344+'[2]побудинковий звіт'!CD344-'[3]побудинковий звіт'!CD344</f>
        <v>1401.1679597516379</v>
      </c>
      <c r="CE344" s="56">
        <f t="shared" si="364"/>
        <v>-12.433020273275133</v>
      </c>
      <c r="CF344" s="42">
        <f>'[1]побудинковий звіт'!CF344+'[2]побудинковий звіт'!CF344-'[3]побудинковий звіт'!CF344</f>
        <v>174.02284791973369</v>
      </c>
      <c r="CG344" s="42">
        <f>'[1]побудинковий звіт'!CG344+'[2]побудинковий звіт'!CG344-'[3]побудинковий звіт'!CG344</f>
        <v>0</v>
      </c>
      <c r="CH344" s="56">
        <f t="shared" si="365"/>
        <v>-174.02284791973369</v>
      </c>
      <c r="CI344" s="42">
        <f>'[1]побудинковий звіт'!CI344+'[2]побудинковий звіт'!CI344-'[3]побудинковий звіт'!CI344</f>
        <v>5259.6245747909907</v>
      </c>
      <c r="CJ344" s="42">
        <f>'[1]побудинковий звіт'!CJ344+'[2]побудинковий звіт'!CJ344-'[3]побудинковий звіт'!CJ344</f>
        <v>1964.9779850044088</v>
      </c>
      <c r="CK344" s="56">
        <f t="shared" si="366"/>
        <v>-3294.6465897865819</v>
      </c>
      <c r="CL344" s="42">
        <f>'[1]побудинковий звіт'!CL344+'[2]побудинковий звіт'!CL344-'[3]побудинковий звіт'!CL344</f>
        <v>6326.5235098909388</v>
      </c>
      <c r="CM344" s="42">
        <f>'[1]побудинковий звіт'!CM344+'[2]побудинковий звіт'!CM344-'[3]побудинковий звіт'!CM344</f>
        <v>5838.4899958290325</v>
      </c>
      <c r="CN344" s="56">
        <f t="shared" si="367"/>
        <v>-488.03351406190632</v>
      </c>
      <c r="CO344" s="42">
        <f t="shared" si="347"/>
        <v>11586.148084681929</v>
      </c>
      <c r="CP344" s="43">
        <f t="shared" si="368"/>
        <v>7803.4679808334413</v>
      </c>
      <c r="CQ344" s="56">
        <f t="shared" si="369"/>
        <v>-3782.6801038484873</v>
      </c>
      <c r="CR344" s="78">
        <f t="shared" si="348"/>
        <v>287834.85817755718</v>
      </c>
      <c r="CS344" s="5">
        <f t="shared" si="348"/>
        <v>306173.10114930838</v>
      </c>
      <c r="CT344" s="56">
        <f t="shared" si="370"/>
        <v>18338.242971751199</v>
      </c>
      <c r="CU344" s="87">
        <f t="shared" si="371"/>
        <v>345401.82981306862</v>
      </c>
      <c r="CV344" s="70">
        <f t="shared" si="372"/>
        <v>367407.72137917002</v>
      </c>
      <c r="CW344" s="37">
        <f t="shared" si="373"/>
        <v>22005.891566101403</v>
      </c>
      <c r="CX344" s="42">
        <f>'[1]побудинковий звіт'!CX344+'[2]побудинковий звіт'!CX344-'[3]побудинковий звіт'!CX344</f>
        <v>5217.5301869314499</v>
      </c>
      <c r="CY344" s="42">
        <f>'[1]побудинковий звіт'!CY344+'[2]побудинковий звіт'!CY344-'[3]побудинковий звіт'!CY344</f>
        <v>-16788.361379170005</v>
      </c>
      <c r="CZ344" s="56">
        <f t="shared" si="374"/>
        <v>-22005.891566101454</v>
      </c>
      <c r="DA344" s="264">
        <f>'[4]побудинковий звіт'!DA344</f>
        <v>40162.492904018225</v>
      </c>
      <c r="DB344" s="2">
        <v>3</v>
      </c>
      <c r="DC344" s="717">
        <f>'[4]побудинковий звіт'!DC344</f>
        <v>41114.379999999997</v>
      </c>
      <c r="DD344" s="717">
        <f>'[4]побудинковий звіт'!DD344</f>
        <v>0</v>
      </c>
      <c r="DE344" s="717">
        <f>'[4]побудинковий звіт'!DE344</f>
        <v>11896.099999999999</v>
      </c>
      <c r="DF344" s="717">
        <f>'[4]побудинковий звіт'!DF344</f>
        <v>0</v>
      </c>
      <c r="DG344" s="787">
        <v>55113.339395980351</v>
      </c>
      <c r="DH344" s="761">
        <f t="shared" si="344"/>
        <v>4207432.32</v>
      </c>
      <c r="DI344" s="784"/>
      <c r="DJ344" s="5"/>
      <c r="DK344" s="317">
        <f>VLOOKUP($A344,ціни!$A$4:$G$401,5)</f>
        <v>6.1892263626777879</v>
      </c>
      <c r="DL344" s="317">
        <f>VLOOKUP($A344,ціни!$A$4:$G$401,6)</f>
        <v>7.5756691616216321</v>
      </c>
      <c r="DM344" s="317">
        <f>VLOOKUP($A344,ціни!$A$4:$G$401,7)</f>
        <v>5.0288090620344281</v>
      </c>
      <c r="DN344" s="30">
        <f t="shared" si="386"/>
        <v>20162.618513650661</v>
      </c>
      <c r="DO344" s="30">
        <f t="shared" si="387"/>
        <v>0</v>
      </c>
      <c r="DP344" s="316">
        <f t="shared" si="335"/>
        <v>20162.618513650661</v>
      </c>
      <c r="DQ344" s="104"/>
      <c r="DR344" s="30">
        <f>VLOOKUP(A344,'ДЗ нас '!$A$1:$C$359,2)</f>
        <v>29218.28</v>
      </c>
      <c r="DS344" s="748"/>
      <c r="DT344" s="30">
        <f t="shared" si="336"/>
        <v>29218.28</v>
      </c>
      <c r="DU344" s="257">
        <f>VLOOKUP(A344,'новий кошторис с 01.06'!$A$4:$AI$399,35)*1.2</f>
        <v>29301.590598475315</v>
      </c>
      <c r="DV344" s="30">
        <f t="shared" si="337"/>
        <v>-83.31059847531651</v>
      </c>
      <c r="DW344" s="930">
        <f>'[5]побудинковий звіт'!DW344+'[6]побудинковий звіт'!DW344</f>
        <v>202</v>
      </c>
      <c r="DY344" s="5">
        <f t="shared" si="340"/>
        <v>106633.43449742493</v>
      </c>
      <c r="DZ344" s="5">
        <f t="shared" si="341"/>
        <v>119203.2</v>
      </c>
      <c r="EA344" s="752">
        <f t="shared" si="345"/>
        <v>11896.099999999999</v>
      </c>
      <c r="EC344" s="592">
        <f t="shared" si="342"/>
        <v>1014271.6180332637</v>
      </c>
      <c r="EE344" s="758">
        <v>-46390</v>
      </c>
      <c r="EF344" s="738">
        <f t="shared" si="343"/>
        <v>8723.3393959803507</v>
      </c>
      <c r="EH344" s="813">
        <v>7286.150284875439</v>
      </c>
    </row>
    <row r="345" spans="1:138" x14ac:dyDescent="0.3">
      <c r="A345" s="328">
        <v>150000907</v>
      </c>
      <c r="B345" s="44" t="s">
        <v>798</v>
      </c>
      <c r="C345" s="45" t="s">
        <v>407</v>
      </c>
      <c r="D345" s="45" t="s">
        <v>407</v>
      </c>
      <c r="E345" s="40">
        <f t="shared" si="384"/>
        <v>4247.05</v>
      </c>
      <c r="F345" s="490">
        <v>4247.05</v>
      </c>
      <c r="G345" s="30">
        <v>689.99</v>
      </c>
      <c r="H345" s="30">
        <v>0</v>
      </c>
      <c r="I345" s="42">
        <f>'[1]побудинковий звіт'!I345+'[2]побудинковий звіт'!I345-'[3]побудинковий звіт'!I345</f>
        <v>25374.437549592709</v>
      </c>
      <c r="J345" s="42">
        <f>'[1]побудинковий звіт'!J345+'[2]побудинковий звіт'!J345-'[3]побудинковий звіт'!J345</f>
        <v>23261.406010938175</v>
      </c>
      <c r="K345" s="56">
        <f t="shared" si="349"/>
        <v>-2113.0315386545335</v>
      </c>
      <c r="L345" s="42">
        <f>'[1]побудинковий звіт'!L345+'[2]побудинковий звіт'!L345-'[3]побудинковий звіт'!L345</f>
        <v>4139.5920943442088</v>
      </c>
      <c r="M345" s="42">
        <f>'[1]побудинковий звіт'!M345+'[2]побудинковий звіт'!M345-'[3]побудинковий звіт'!M345</f>
        <v>3999.6627863110416</v>
      </c>
      <c r="N345" s="56">
        <f t="shared" si="350"/>
        <v>-139.92930803316722</v>
      </c>
      <c r="O345" s="42">
        <f>'[1]побудинковий звіт'!O345+'[2]побудинковий звіт'!O345-'[3]побудинковий звіт'!O345</f>
        <v>8214.48</v>
      </c>
      <c r="P345" s="42">
        <f>'[1]побудинковий звіт'!P345+'[2]побудинковий звіт'!P345-'[3]побудинковий звіт'!P345</f>
        <v>8213.1600000000017</v>
      </c>
      <c r="Q345" s="56">
        <f t="shared" si="351"/>
        <v>-1.31999999999789</v>
      </c>
      <c r="R345" s="42">
        <f>'[1]побудинковий звіт'!R345+'[2]побудинковий звіт'!R345-'[3]побудинковий звіт'!R345</f>
        <v>1934.88</v>
      </c>
      <c r="S345" s="42">
        <f>'[1]побудинковий звіт'!S345+'[2]побудинковий звіт'!S345-'[3]побудинковий звіт'!S345</f>
        <v>1936.5600000000006</v>
      </c>
      <c r="T345" s="56">
        <f t="shared" si="352"/>
        <v>1.6800000000005184</v>
      </c>
      <c r="U345" s="42">
        <f>'[1]побудинковий звіт'!U345+'[2]побудинковий звіт'!U345-'[3]побудинковий звіт'!U345</f>
        <v>1170.2323882178873</v>
      </c>
      <c r="V345" s="42">
        <f>'[1]побудинковий звіт'!V345+'[2]побудинковий звіт'!V345-'[3]побудинковий звіт'!V345</f>
        <v>794.60674028139147</v>
      </c>
      <c r="W345" s="56">
        <f t="shared" si="353"/>
        <v>-375.62564793649585</v>
      </c>
      <c r="X345" s="42">
        <f>'[1]побудинковий звіт'!X345+'[2]побудинковий звіт'!X345-'[3]побудинковий звіт'!X345</f>
        <v>9846.7953099173737</v>
      </c>
      <c r="Y345" s="42">
        <f>'[1]побудинковий звіт'!Y345+'[2]побудинковий звіт'!Y345-'[3]побудинковий звіт'!Y345</f>
        <v>11101.848889202438</v>
      </c>
      <c r="Z345" s="56">
        <f t="shared" si="354"/>
        <v>1255.0535792850642</v>
      </c>
      <c r="AA345" s="42">
        <f>'[1]побудинковий звіт'!AA345+'[2]побудинковий звіт'!AA345-'[3]побудинковий звіт'!AA345</f>
        <v>0</v>
      </c>
      <c r="AB345" s="42">
        <f>'[1]побудинковий звіт'!AB345+'[2]побудинковий звіт'!AB345-'[3]побудинковий звіт'!AB345</f>
        <v>0</v>
      </c>
      <c r="AC345" s="56">
        <f t="shared" si="355"/>
        <v>0</v>
      </c>
      <c r="AD345" s="42">
        <f>'[1]побудинковий звіт'!AD345+'[2]побудинковий звіт'!AD345-'[3]побудинковий звіт'!AD345</f>
        <v>26970.833595252356</v>
      </c>
      <c r="AE345" s="42">
        <f>'[1]побудинковий звіт'!AE345+'[2]побудинковий звіт'!AE345-'[3]побудинковий звіт'!AE345</f>
        <v>24858.796671650045</v>
      </c>
      <c r="AF345" s="37">
        <f t="shared" si="356"/>
        <v>-2112.0369236023107</v>
      </c>
      <c r="AG345" s="87">
        <f t="shared" si="346"/>
        <v>77651.250937324541</v>
      </c>
      <c r="AH345" s="57">
        <f t="shared" si="346"/>
        <v>74166.041098383095</v>
      </c>
      <c r="AI345" s="56">
        <f t="shared" si="357"/>
        <v>-3485.2098389414459</v>
      </c>
      <c r="AJ345" s="42">
        <f>'[1]побудинковий звіт'!AJ345+'[2]побудинковий звіт'!AJ345-'[3]побудинковий звіт'!AJ345</f>
        <v>86413.599575368164</v>
      </c>
      <c r="AK345" s="42">
        <f>'[1]побудинковий звіт'!AK345+'[2]побудинковий звіт'!AK345-'[3]побудинковий звіт'!AK345</f>
        <v>85653.418540111015</v>
      </c>
      <c r="AL345" s="56">
        <f t="shared" si="358"/>
        <v>-760.18103525714832</v>
      </c>
      <c r="AM345" s="42">
        <f>'[1]побудинковий звіт'!AM345+'[2]побудинковий звіт'!AM345-'[3]побудинковий звіт'!AM345</f>
        <v>0</v>
      </c>
      <c r="AN345" s="42">
        <f>'[1]побудинковий звіт'!AN345+'[2]побудинковий звіт'!AN345-'[3]побудинковий звіт'!AN345</f>
        <v>0</v>
      </c>
      <c r="AO345" s="56">
        <f t="shared" si="359"/>
        <v>0</v>
      </c>
      <c r="AP345" s="42">
        <f>'[1]побудинковий звіт'!AP345+'[2]побудинковий звіт'!AP345-'[3]побудинковий звіт'!AP345</f>
        <v>5113.8952716257081</v>
      </c>
      <c r="AQ345" s="42">
        <f>'[1]побудинковий звіт'!AQ345+'[2]побудинковий звіт'!AQ345-'[3]побудинковий звіт'!AQ345</f>
        <v>4829.8890651018082</v>
      </c>
      <c r="AR345" s="56">
        <f t="shared" si="360"/>
        <v>-284.00620652389989</v>
      </c>
      <c r="AS345" s="42">
        <f>'[1]побудинковий звіт'!AS345+'[2]побудинковий звіт'!AS345-'[3]побудинковий звіт'!AS345</f>
        <v>119790.64123548624</v>
      </c>
      <c r="AT345" s="42">
        <f>'[1]побудинковий звіт'!AT345+'[2]побудинковий звіт'!AT345-'[3]побудинковий звіт'!AT345</f>
        <v>104705.25628876312</v>
      </c>
      <c r="AU345" s="58">
        <f t="shared" si="375"/>
        <v>-15085.384946723119</v>
      </c>
      <c r="AV345" s="42">
        <f>'[1]побудинковий звіт'!AV345+'[2]побудинковий звіт'!AV345-'[3]побудинковий звіт'!AV345</f>
        <v>2044.0764602940471</v>
      </c>
      <c r="AW345" s="42">
        <f>'[1]побудинковий звіт'!AW345+'[2]побудинковий звіт'!AW345-'[3]побудинковий звіт'!AW345</f>
        <v>0</v>
      </c>
      <c r="AX345" s="59">
        <f t="shared" si="376"/>
        <v>-2044.0764602940471</v>
      </c>
      <c r="AY345" s="42">
        <f>'[1]побудинковий звіт'!AY345+'[2]побудинковий звіт'!AY345-'[3]побудинковий звіт'!AY345</f>
        <v>2736.4458668964667</v>
      </c>
      <c r="AZ345" s="42">
        <f>'[1]побудинковий звіт'!AZ345+'[2]побудинковий звіт'!AZ345-'[3]побудинковий звіт'!AZ345</f>
        <v>0</v>
      </c>
      <c r="BA345" s="37">
        <f t="shared" si="377"/>
        <v>-2736.4458668964667</v>
      </c>
      <c r="BB345" s="42">
        <f>'[1]побудинковий звіт'!BB345+'[2]побудинковий звіт'!BB345-'[3]побудинковий звіт'!BB345</f>
        <v>6902.7085316133061</v>
      </c>
      <c r="BC345" s="42">
        <f>'[1]побудинковий звіт'!BC345+'[2]побудинковий звіт'!BC345-'[3]побудинковий звіт'!BC345</f>
        <v>2075</v>
      </c>
      <c r="BD345" s="59">
        <f t="shared" si="378"/>
        <v>-4827.7085316133061</v>
      </c>
      <c r="BE345" s="42">
        <f>'[1]побудинковий звіт'!BE345+'[2]побудинковий звіт'!BE345-'[3]побудинковий звіт'!BE345</f>
        <v>2191.6728433297608</v>
      </c>
      <c r="BF345" s="42">
        <f>'[1]побудинковий звіт'!BF345+'[2]побудинковий звіт'!BF345-'[3]побудинковий звіт'!BF345</f>
        <v>3859</v>
      </c>
      <c r="BG345" s="39">
        <f t="shared" si="379"/>
        <v>1667.3271566702392</v>
      </c>
      <c r="BH345" s="42">
        <f>'[1]побудинковий звіт'!BH345+'[2]побудинковий звіт'!BH345-'[3]побудинковий звіт'!BH345</f>
        <v>593.65087276649558</v>
      </c>
      <c r="BI345" s="42">
        <f>'[1]побудинковий звіт'!BI345+'[2]побудинковий звіт'!BI345-'[3]побудинковий звіт'!BI345</f>
        <v>0</v>
      </c>
      <c r="BJ345" s="59">
        <f t="shared" si="380"/>
        <v>-593.65087276649558</v>
      </c>
      <c r="BK345" s="42">
        <f>'[1]побудинковий звіт'!BK345+'[2]побудинковий звіт'!BK345-'[3]побудинковий звіт'!BK345</f>
        <v>2362.2684840502652</v>
      </c>
      <c r="BL345" s="42">
        <f>'[1]побудинковий звіт'!BL345+'[2]побудинковий звіт'!BL345-'[3]побудинковий звіт'!BL345</f>
        <v>2344.3281330271284</v>
      </c>
      <c r="BM345" s="39">
        <f t="shared" si="381"/>
        <v>-17.940351023136827</v>
      </c>
      <c r="BN345" s="42">
        <f>'[1]побудинковий звіт'!BN345+'[2]побудинковий звіт'!BN345-'[3]побудинковий звіт'!BN345</f>
        <v>0</v>
      </c>
      <c r="BO345" s="42">
        <f>'[1]побудинковий звіт'!BO345+'[2]побудинковий звіт'!BO345-'[3]побудинковий звіт'!BO345</f>
        <v>0</v>
      </c>
      <c r="BP345" s="59">
        <f t="shared" si="382"/>
        <v>0</v>
      </c>
      <c r="BQ345" s="87">
        <f t="shared" si="338"/>
        <v>16830.823058950344</v>
      </c>
      <c r="BR345" s="43">
        <f t="shared" si="385"/>
        <v>8278.3281330271275</v>
      </c>
      <c r="BS345" s="59">
        <f t="shared" si="383"/>
        <v>-8552.4949259232162</v>
      </c>
      <c r="BT345" s="42">
        <f>'[1]побудинковий звіт'!BT345+'[2]побудинковий звіт'!BT345-'[3]побудинковий звіт'!BT345</f>
        <v>38204.291416470434</v>
      </c>
      <c r="BU345" s="42">
        <f>'[1]побудинковий звіт'!BU345+'[2]побудинковий звіт'!BU345-'[3]побудинковий звіт'!BU345</f>
        <v>58917.74841835491</v>
      </c>
      <c r="BV345" s="56">
        <f t="shared" si="361"/>
        <v>20713.457001884475</v>
      </c>
      <c r="BW345" s="42">
        <f>'[1]побудинковий звіт'!BW345+'[2]побудинковий звіт'!BW345-'[3]побудинковий звіт'!BW345</f>
        <v>36018.253720044253</v>
      </c>
      <c r="BX345" s="42">
        <f>'[1]побудинковий звіт'!BX345+'[2]побудинковий звіт'!BX345-'[3]побудинковий звіт'!BX345</f>
        <v>37833.641642100163</v>
      </c>
      <c r="BY345" s="56">
        <f t="shared" si="362"/>
        <v>1815.3879220559102</v>
      </c>
      <c r="BZ345" s="42">
        <f>'[1]побудинковий звіт'!BZ345+'[2]побудинковий звіт'!BZ345-'[3]побудинковий звіт'!BZ345</f>
        <v>8688.1590240906935</v>
      </c>
      <c r="CA345" s="42">
        <f>'[1]побудинковий звіт'!CA345+'[2]побудинковий звіт'!CA345-'[3]побудинковий звіт'!CA345</f>
        <v>15009.395036783302</v>
      </c>
      <c r="CB345" s="56">
        <f t="shared" si="363"/>
        <v>6321.2360126926087</v>
      </c>
      <c r="CC345" s="42">
        <f>'[1]побудинковий звіт'!CC345+'[2]побудинковий звіт'!CC345-'[3]побудинковий звіт'!CC345</f>
        <v>2316.2937406775263</v>
      </c>
      <c r="CD345" s="42">
        <f>'[1]побудинковий звіт'!CD345+'[2]побудинковий звіт'!CD345-'[3]побудинковий звіт'!CD345</f>
        <v>2295.9212823645748</v>
      </c>
      <c r="CE345" s="56">
        <f t="shared" si="364"/>
        <v>-20.372458312951494</v>
      </c>
      <c r="CF345" s="42">
        <f>'[1]побудинковий звіт'!CF345+'[2]побудинковий звіт'!CF345-'[3]побудинковий звіт'!CF345</f>
        <v>285.14979762128644</v>
      </c>
      <c r="CG345" s="42">
        <f>'[1]побудинковий звіт'!CG345+'[2]побудинковий звіт'!CG345-'[3]побудинковий звіт'!CG345</f>
        <v>1099.1661915859029</v>
      </c>
      <c r="CH345" s="56">
        <f t="shared" si="365"/>
        <v>814.01639396461644</v>
      </c>
      <c r="CI345" s="42">
        <f>'[1]побудинковий звіт'!CI345+'[2]побудинковий звіт'!CI345-'[3]побудинковий звіт'!CI345</f>
        <v>29817.017607267077</v>
      </c>
      <c r="CJ345" s="42">
        <f>'[1]побудинковий звіт'!CJ345+'[2]побудинковий звіт'!CJ345-'[3]побудинковий звіт'!CJ345</f>
        <v>19521.683156564388</v>
      </c>
      <c r="CK345" s="56">
        <f t="shared" si="366"/>
        <v>-10295.334450702689</v>
      </c>
      <c r="CL345" s="42">
        <f>'[1]побудинковий звіт'!CL345+'[2]побудинковий звіт'!CL345-'[3]побудинковий звіт'!CL345</f>
        <v>11567.430559504737</v>
      </c>
      <c r="CM345" s="42">
        <f>'[1]побудинковий звіт'!CM345+'[2]побудинковий звіт'!CM345-'[3]побудинковий звіт'!CM345</f>
        <v>14167.503894098849</v>
      </c>
      <c r="CN345" s="56">
        <f t="shared" si="367"/>
        <v>2600.0733345941117</v>
      </c>
      <c r="CO345" s="42">
        <f t="shared" si="347"/>
        <v>41384.448166771814</v>
      </c>
      <c r="CP345" s="43">
        <f t="shared" si="368"/>
        <v>33689.18705066324</v>
      </c>
      <c r="CQ345" s="56">
        <f t="shared" si="369"/>
        <v>-7695.2611161085733</v>
      </c>
      <c r="CR345" s="78">
        <f t="shared" si="348"/>
        <v>432696.80594443105</v>
      </c>
      <c r="CS345" s="5">
        <f t="shared" si="348"/>
        <v>426477.99274723826</v>
      </c>
      <c r="CT345" s="56">
        <f t="shared" si="370"/>
        <v>-6218.8131971927942</v>
      </c>
      <c r="CU345" s="87">
        <f t="shared" si="371"/>
        <v>519236.16713331721</v>
      </c>
      <c r="CV345" s="70">
        <f t="shared" si="372"/>
        <v>511773.59129668586</v>
      </c>
      <c r="CW345" s="37">
        <f t="shared" si="373"/>
        <v>-7462.575836631353</v>
      </c>
      <c r="CX345" s="42">
        <f>'[1]побудинковий звіт'!CX345+'[2]побудинковий звіт'!CX345-'[3]побудинковий звіт'!CX345</f>
        <v>7775.2428666828127</v>
      </c>
      <c r="CY345" s="42">
        <f>'[1]побудинковий звіт'!CY345+'[2]побудинковий звіт'!CY345-'[3]побудинковий звіт'!CY345</f>
        <v>15237.81870331406</v>
      </c>
      <c r="CZ345" s="56">
        <f t="shared" si="374"/>
        <v>7462.5758366312475</v>
      </c>
      <c r="DA345" s="264">
        <f>'[4]побудинковий звіт'!DA345</f>
        <v>-1222.0602073735463</v>
      </c>
      <c r="DB345" s="2">
        <v>3</v>
      </c>
      <c r="DC345" s="717">
        <f>'[4]побудинковий звіт'!DC345</f>
        <v>50625.01</v>
      </c>
      <c r="DD345" s="717">
        <f>'[4]побудинковий звіт'!DD345</f>
        <v>0</v>
      </c>
      <c r="DE345" s="717">
        <f>'[4]побудинковий звіт'!DE345</f>
        <v>6706.6300000000047</v>
      </c>
      <c r="DF345" s="717">
        <f>'[4]побудинковий звіт'!DF345</f>
        <v>0</v>
      </c>
      <c r="DG345" s="787">
        <v>-8178.6311680877116</v>
      </c>
      <c r="DH345" s="761">
        <f t="shared" si="344"/>
        <v>6324136.9199999999</v>
      </c>
      <c r="DI345" s="784"/>
      <c r="DJ345" s="5"/>
      <c r="DK345" s="317">
        <f>VLOOKUP($A345,ціни!$A$4:$G$401,5)</f>
        <v>5.3860259371296442</v>
      </c>
      <c r="DL345" s="317">
        <f>VLOOKUP($A345,ціни!$A$4:$G$401,6)</f>
        <v>7.1563209055226125</v>
      </c>
      <c r="DM345" s="317">
        <f>VLOOKUP($A345,ціни!$A$4:$G$401,7)</f>
        <v>4.8064439073401326</v>
      </c>
      <c r="DN345" s="30">
        <f t="shared" si="386"/>
        <v>29171.766876558351</v>
      </c>
      <c r="DO345" s="30">
        <f t="shared" si="387"/>
        <v>0</v>
      </c>
      <c r="DP345" s="316">
        <f t="shared" si="335"/>
        <v>29171.766876558351</v>
      </c>
      <c r="DQ345" s="104"/>
      <c r="DR345" s="30">
        <f>VLOOKUP(A345,'ДЗ нас '!$A$1:$C$359,2)</f>
        <v>43929.11</v>
      </c>
      <c r="DS345" s="748"/>
      <c r="DT345" s="30">
        <f t="shared" si="336"/>
        <v>43929.11</v>
      </c>
      <c r="DU345" s="257">
        <f>VLOOKUP(A345,'новий кошторис с 01.06'!$A$4:$AI$399,35)*1.2</f>
        <v>44048.534845143069</v>
      </c>
      <c r="DV345" s="30">
        <f t="shared" si="337"/>
        <v>-119.42484514306852</v>
      </c>
      <c r="DW345" s="930">
        <f>'[5]побудинковий звіт'!DW345+'[6]побудинковий звіт'!DW345</f>
        <v>311.2</v>
      </c>
      <c r="DY345" s="5">
        <f t="shared" si="340"/>
        <v>163945.75715332391</v>
      </c>
      <c r="DZ345" s="5">
        <f t="shared" si="341"/>
        <v>135580.30130614829</v>
      </c>
      <c r="EA345" s="752">
        <f t="shared" si="345"/>
        <v>6706.6300000000047</v>
      </c>
      <c r="EC345" s="592">
        <f t="shared" si="342"/>
        <v>1437487.6948258348</v>
      </c>
      <c r="EE345" s="758">
        <v>54762</v>
      </c>
      <c r="EF345" s="738">
        <f t="shared" si="343"/>
        <v>46583.368831912288</v>
      </c>
      <c r="EH345" s="813">
        <v>-18992.483769719922</v>
      </c>
    </row>
    <row r="346" spans="1:138" x14ac:dyDescent="0.3">
      <c r="A346" s="328">
        <v>150000908</v>
      </c>
      <c r="B346" s="44" t="s">
        <v>799</v>
      </c>
      <c r="C346" s="45" t="s">
        <v>408</v>
      </c>
      <c r="D346" s="45" t="s">
        <v>408</v>
      </c>
      <c r="E346" s="40">
        <f t="shared" si="384"/>
        <v>2756.25</v>
      </c>
      <c r="F346" s="490">
        <v>2712.05</v>
      </c>
      <c r="G346" s="30">
        <v>653.29</v>
      </c>
      <c r="H346" s="30">
        <v>44.2</v>
      </c>
      <c r="I346" s="42">
        <f>'[1]побудинковий звіт'!I346+'[2]побудинковий звіт'!I346-'[3]побудинковий звіт'!I346</f>
        <v>25312.016068750316</v>
      </c>
      <c r="J346" s="42">
        <f>'[1]побудинковий звіт'!J346+'[2]побудинковий звіт'!J346-'[3]побудинковий звіт'!J346</f>
        <v>23204.067627549925</v>
      </c>
      <c r="K346" s="56">
        <f t="shared" si="349"/>
        <v>-2107.9484412003912</v>
      </c>
      <c r="L346" s="42">
        <f>'[1]побудинковий звіт'!L346+'[2]побудинковий звіт'!L346-'[3]побудинковий звіт'!L346</f>
        <v>4147.8812431807082</v>
      </c>
      <c r="M346" s="42">
        <f>'[1]побудинковий звіт'!M346+'[2]побудинковий звіт'!M346-'[3]побудинковий звіт'!M346</f>
        <v>4007.5959941125748</v>
      </c>
      <c r="N346" s="56">
        <f t="shared" si="350"/>
        <v>-140.28524906813345</v>
      </c>
      <c r="O346" s="42">
        <f>'[1]побудинковий звіт'!O346+'[2]побудинковий звіт'!O346-'[3]побудинковий звіт'!O346</f>
        <v>8234.2800000000025</v>
      </c>
      <c r="P346" s="42">
        <f>'[1]побудинковий звіт'!P346+'[2]побудинковий звіт'!P346-'[3]побудинковий звіт'!P346</f>
        <v>8237.1600000000017</v>
      </c>
      <c r="Q346" s="56">
        <f t="shared" si="351"/>
        <v>2.8799999999991996</v>
      </c>
      <c r="R346" s="42">
        <f>'[1]побудинковий звіт'!R346+'[2]побудинковий звіт'!R346-'[3]побудинковий звіт'!R346</f>
        <v>1933.9200000000003</v>
      </c>
      <c r="S346" s="42">
        <f>'[1]побудинковий звіт'!S346+'[2]побудинковий звіт'!S346-'[3]побудинковий звіт'!S346</f>
        <v>1932.9599999999998</v>
      </c>
      <c r="T346" s="56">
        <f t="shared" si="352"/>
        <v>-0.96000000000049113</v>
      </c>
      <c r="U346" s="42">
        <f>'[1]побудинковий звіт'!U346+'[2]побудинковий звіт'!U346-'[3]побудинковий звіт'!U346</f>
        <v>1170.2323882178873</v>
      </c>
      <c r="V346" s="42">
        <f>'[1]побудинковий звіт'!V346+'[2]побудинковий звіт'!V346-'[3]побудинковий звіт'!V346</f>
        <v>794.60674028139147</v>
      </c>
      <c r="W346" s="56">
        <f t="shared" si="353"/>
        <v>-375.62564793649585</v>
      </c>
      <c r="X346" s="42">
        <f>'[1]побудинковий звіт'!X346+'[2]побудинковий звіт'!X346-'[3]побудинковий звіт'!X346</f>
        <v>9914.2902635317732</v>
      </c>
      <c r="Y346" s="42">
        <f>'[1]побудинковий звіт'!Y346+'[2]побудинковий звіт'!Y346-'[3]побудинковий звіт'!Y346</f>
        <v>8674.1014008655693</v>
      </c>
      <c r="Z346" s="56">
        <f t="shared" si="354"/>
        <v>-1240.1888626662039</v>
      </c>
      <c r="AA346" s="42">
        <f>'[1]побудинковий звіт'!AA346+'[2]побудинковий звіт'!AA346-'[3]побудинковий звіт'!AA346</f>
        <v>0</v>
      </c>
      <c r="AB346" s="42">
        <f>'[1]побудинковий звіт'!AB346+'[2]побудинковий звіт'!AB346-'[3]побудинковий звіт'!AB346</f>
        <v>0</v>
      </c>
      <c r="AC346" s="56">
        <f t="shared" si="355"/>
        <v>0</v>
      </c>
      <c r="AD346" s="42">
        <f>'[1]побудинковий звіт'!AD346+'[2]побудинковий звіт'!AD346-'[3]побудинковий звіт'!AD346</f>
        <v>27043.437214686153</v>
      </c>
      <c r="AE346" s="42">
        <f>'[1]побудинковий звіт'!AE346+'[2]побудинковий звіт'!AE346-'[3]побудинковий звіт'!AE346</f>
        <v>24925.755944412089</v>
      </c>
      <c r="AF346" s="37">
        <f t="shared" si="356"/>
        <v>-2117.6812702740644</v>
      </c>
      <c r="AG346" s="87">
        <f t="shared" si="346"/>
        <v>77756.057178366842</v>
      </c>
      <c r="AH346" s="57">
        <f t="shared" si="346"/>
        <v>71776.247707221555</v>
      </c>
      <c r="AI346" s="56">
        <f t="shared" si="357"/>
        <v>-5979.8094711452868</v>
      </c>
      <c r="AJ346" s="42">
        <f>'[1]побудинковий звіт'!AJ346+'[2]побудинковий звіт'!AJ346-'[3]побудинковий звіт'!AJ346</f>
        <v>86413.599575368164</v>
      </c>
      <c r="AK346" s="42">
        <f>'[1]побудинковий звіт'!AK346+'[2]побудинковий звіт'!AK346-'[3]побудинковий звіт'!AK346</f>
        <v>85653.424042449013</v>
      </c>
      <c r="AL346" s="56">
        <f t="shared" si="358"/>
        <v>-760.17553291915101</v>
      </c>
      <c r="AM346" s="42">
        <f>'[1]побудинковий звіт'!AM346+'[2]побудинковий звіт'!AM346-'[3]побудинковий звіт'!AM346</f>
        <v>0</v>
      </c>
      <c r="AN346" s="42">
        <f>'[1]побудинковий звіт'!AN346+'[2]побудинковий звіт'!AN346-'[3]побудинковий звіт'!AN346</f>
        <v>1949.6076497684207</v>
      </c>
      <c r="AO346" s="56">
        <f t="shared" si="359"/>
        <v>1949.6076497684207</v>
      </c>
      <c r="AP346" s="42">
        <f>'[1]побудинковий звіт'!AP346+'[2]побудинковий звіт'!AP346-'[3]побудинковий звіт'!AP346</f>
        <v>5019.1935073363438</v>
      </c>
      <c r="AQ346" s="42">
        <f>'[1]побудинковий звіт'!AQ346+'[2]побудинковий звіт'!AQ346-'[3]побудинковий звіт'!AQ346</f>
        <v>4736.4671618577213</v>
      </c>
      <c r="AR346" s="56">
        <f t="shared" si="360"/>
        <v>-282.72634547862253</v>
      </c>
      <c r="AS346" s="42">
        <f>'[1]побудинковий звіт'!AS346+'[2]побудинковий звіт'!AS346-'[3]побудинковий звіт'!AS346</f>
        <v>117867.25457260704</v>
      </c>
      <c r="AT346" s="42">
        <f>'[1]побудинковий звіт'!AT346+'[2]побудинковий звіт'!AT346-'[3]побудинковий звіт'!AT346</f>
        <v>33419.3827536018</v>
      </c>
      <c r="AU346" s="58">
        <f t="shared" si="375"/>
        <v>-84447.871819005231</v>
      </c>
      <c r="AV346" s="42">
        <f>'[1]побудинковий звіт'!AV346+'[2]побудинковий звіт'!AV346-'[3]побудинковий звіт'!AV346</f>
        <v>2046.6116167010289</v>
      </c>
      <c r="AW346" s="42">
        <f>'[1]побудинковий звіт'!AW346+'[2]побудинковий звіт'!AW346-'[3]побудинковий звіт'!AW346</f>
        <v>0</v>
      </c>
      <c r="AX346" s="59">
        <f t="shared" si="376"/>
        <v>-2046.6116167010289</v>
      </c>
      <c r="AY346" s="42">
        <f>'[1]побудинковий звіт'!AY346+'[2]побудинковий звіт'!AY346-'[3]побудинковий звіт'!AY346</f>
        <v>2741.9230945974464</v>
      </c>
      <c r="AZ346" s="42">
        <f>'[1]побудинковий звіт'!AZ346+'[2]побудинковий звіт'!AZ346-'[3]побудинковий звіт'!AZ346</f>
        <v>0</v>
      </c>
      <c r="BA346" s="37">
        <f t="shared" si="377"/>
        <v>-2741.9230945974464</v>
      </c>
      <c r="BB346" s="42">
        <f>'[1]побудинковий звіт'!BB346+'[2]побудинковий звіт'!BB346-'[3]побудинковий звіт'!BB346</f>
        <v>6713.6697995061731</v>
      </c>
      <c r="BC346" s="42">
        <f>'[1]побудинковий звіт'!BC346+'[2]побудинковий звіт'!BC346-'[3]побудинковий звіт'!BC346</f>
        <v>634</v>
      </c>
      <c r="BD346" s="59">
        <f t="shared" si="378"/>
        <v>-6079.6697995061731</v>
      </c>
      <c r="BE346" s="42">
        <f>'[1]побудинковий звіт'!BE346+'[2]побудинковий звіт'!BE346-'[3]побудинковий звіт'!BE346</f>
        <v>2192.0995414858194</v>
      </c>
      <c r="BF346" s="42">
        <f>'[1]побудинковий звіт'!BF346+'[2]побудинковий звіт'!BF346-'[3]побудинковий звіт'!BF346</f>
        <v>2080</v>
      </c>
      <c r="BG346" s="39">
        <f t="shared" si="379"/>
        <v>-112.09954148581937</v>
      </c>
      <c r="BH346" s="42">
        <f>'[1]побудинковий звіт'!BH346+'[2]побудинковий звіт'!BH346-'[3]побудинковий звіт'!BH346</f>
        <v>593.65087276649558</v>
      </c>
      <c r="BI346" s="42">
        <f>'[1]побудинковий звіт'!BI346+'[2]побудинковий звіт'!BI346-'[3]побудинковий звіт'!BI346</f>
        <v>0</v>
      </c>
      <c r="BJ346" s="59">
        <f t="shared" si="380"/>
        <v>-593.65087276649558</v>
      </c>
      <c r="BK346" s="42">
        <f>'[1]побудинковий звіт'!BK346+'[2]побудинковий звіт'!BK346-'[3]побудинковий звіт'!BK346</f>
        <v>2372.6484981695335</v>
      </c>
      <c r="BL346" s="42">
        <f>'[1]побудинковий звіт'!BL346+'[2]побудинковий звіт'!BL346-'[3]побудинковий звіт'!BL346</f>
        <v>5221</v>
      </c>
      <c r="BM346" s="39">
        <f t="shared" si="381"/>
        <v>2848.3515018304665</v>
      </c>
      <c r="BN346" s="42">
        <f>'[1]побудинковий звіт'!BN346+'[2]побудинковий звіт'!BN346-'[3]побудинковий звіт'!BN346</f>
        <v>0</v>
      </c>
      <c r="BO346" s="42">
        <f>'[1]побудинковий звіт'!BO346+'[2]побудинковий звіт'!BO346-'[3]побудинковий звіт'!BO346</f>
        <v>0</v>
      </c>
      <c r="BP346" s="59">
        <f t="shared" si="382"/>
        <v>0</v>
      </c>
      <c r="BQ346" s="87">
        <f t="shared" si="338"/>
        <v>16660.603423226494</v>
      </c>
      <c r="BR346" s="43">
        <f t="shared" si="385"/>
        <v>7935</v>
      </c>
      <c r="BS346" s="59">
        <f t="shared" si="383"/>
        <v>-8725.6034232264938</v>
      </c>
      <c r="BT346" s="42">
        <f>'[1]побудинковий звіт'!BT346+'[2]побудинковий звіт'!BT346-'[3]побудинковий звіт'!BT346</f>
        <v>38834.236141667985</v>
      </c>
      <c r="BU346" s="42">
        <f>'[1]побудинковий звіт'!BU346+'[2]побудинковий звіт'!BU346-'[3]побудинковий звіт'!BU346</f>
        <v>54962.456990370127</v>
      </c>
      <c r="BV346" s="56">
        <f t="shared" si="361"/>
        <v>16128.220848702142</v>
      </c>
      <c r="BW346" s="42">
        <f>'[1]побудинковий звіт'!BW346+'[2]побудинковий звіт'!BW346-'[3]побудинковий звіт'!BW346</f>
        <v>39601.062759245571</v>
      </c>
      <c r="BX346" s="42">
        <f>'[1]побудинковий звіт'!BX346+'[2]побудинковий звіт'!BX346-'[3]побудинковий звіт'!BX346</f>
        <v>42304.374476382181</v>
      </c>
      <c r="BY346" s="56">
        <f t="shared" si="362"/>
        <v>2703.3117171366102</v>
      </c>
      <c r="BZ346" s="42">
        <f>'[1]побудинковий звіт'!BZ346+'[2]побудинковий звіт'!BZ346-'[3]побудинковий звіт'!BZ346</f>
        <v>8664.6168418129982</v>
      </c>
      <c r="CA346" s="42">
        <f>'[1]побудинковий звіт'!CA346+'[2]побудинковий звіт'!CA346-'[3]побудинковий звіт'!CA346</f>
        <v>13546.638534648246</v>
      </c>
      <c r="CB346" s="56">
        <f t="shared" si="363"/>
        <v>4882.0216928352474</v>
      </c>
      <c r="CC346" s="42">
        <f>'[1]побудинковий звіт'!CC346+'[2]побудинковий звіт'!CC346-'[3]побудинковий звіт'!CC346</f>
        <v>2453.0653710794381</v>
      </c>
      <c r="CD346" s="42">
        <f>'[1]побудинковий звіт'!CD346+'[2]побудинковий звіт'!CD346-'[3]побудинковий звіт'!CD346</f>
        <v>2431.489967608959</v>
      </c>
      <c r="CE346" s="56">
        <f t="shared" si="364"/>
        <v>-21.575403470479159</v>
      </c>
      <c r="CF346" s="42">
        <f>'[1]побудинковий звіт'!CF346+'[2]побудинковий звіт'!CF346-'[3]побудинковий звіт'!CF346</f>
        <v>301.9872142427339</v>
      </c>
      <c r="CG346" s="42">
        <f>'[1]побудинковий звіт'!CG346+'[2]побудинковий звіт'!CG346-'[3]побудинковий звіт'!CG346</f>
        <v>1106.5811888584151</v>
      </c>
      <c r="CH346" s="56">
        <f t="shared" si="365"/>
        <v>804.59397461568119</v>
      </c>
      <c r="CI346" s="42">
        <f>'[1]побудинковий звіт'!CI346+'[2]побудинковий звіт'!CI346-'[3]побудинковий звіт'!CI346</f>
        <v>19316.485982862283</v>
      </c>
      <c r="CJ346" s="42">
        <f>'[1]побудинковий звіт'!CJ346+'[2]побудинковий звіт'!CJ346-'[3]побудинковий звіт'!CJ346</f>
        <v>9795.5481836774452</v>
      </c>
      <c r="CK346" s="56">
        <f t="shared" si="366"/>
        <v>-9520.9377991848378</v>
      </c>
      <c r="CL346" s="42">
        <f>'[1]побудинковий звіт'!CL346+'[2]побудинковий звіт'!CL346-'[3]побудинковий звіт'!CL346</f>
        <v>10893.599653125822</v>
      </c>
      <c r="CM346" s="42">
        <f>'[1]побудинковий звіт'!CM346+'[2]побудинковий звіт'!CM346-'[3]побудинковий звіт'!CM346</f>
        <v>13261.520718413762</v>
      </c>
      <c r="CN346" s="56">
        <f t="shared" si="367"/>
        <v>2367.9210652879392</v>
      </c>
      <c r="CO346" s="42">
        <f t="shared" si="347"/>
        <v>30210.085635988107</v>
      </c>
      <c r="CP346" s="43">
        <f t="shared" si="368"/>
        <v>23057.068902091207</v>
      </c>
      <c r="CQ346" s="56">
        <f t="shared" si="369"/>
        <v>-7153.0167338969004</v>
      </c>
      <c r="CR346" s="78">
        <f t="shared" si="348"/>
        <v>423781.76222094178</v>
      </c>
      <c r="CS346" s="5">
        <f t="shared" si="348"/>
        <v>342878.73937485757</v>
      </c>
      <c r="CT346" s="56">
        <f t="shared" si="370"/>
        <v>-80903.022846084205</v>
      </c>
      <c r="CU346" s="87">
        <f t="shared" si="371"/>
        <v>508538.1146651301</v>
      </c>
      <c r="CV346" s="70">
        <f t="shared" si="372"/>
        <v>411454.48724982905</v>
      </c>
      <c r="CW346" s="37">
        <f t="shared" si="373"/>
        <v>-97083.627415301045</v>
      </c>
      <c r="CX346" s="42">
        <f>'[1]побудинковий звіт'!CX346+'[2]побудинковий звіт'!CX346-'[3]побудинковий звіт'!CX346</f>
        <v>7625.6853348698351</v>
      </c>
      <c r="CY346" s="42">
        <f>'[1]побудинковий звіт'!CY346+'[2]побудинковий звіт'!CY346-'[3]побудинковий звіт'!CY346</f>
        <v>104709.31275017084</v>
      </c>
      <c r="CZ346" s="56">
        <f t="shared" si="374"/>
        <v>97083.627415301002</v>
      </c>
      <c r="DA346" s="264">
        <f>'[4]побудинковий звіт'!DA346</f>
        <v>92148.967531340837</v>
      </c>
      <c r="DB346" s="2">
        <v>3</v>
      </c>
      <c r="DC346" s="717">
        <f>'[4]побудинковий звіт'!DC346</f>
        <v>79524.56</v>
      </c>
      <c r="DD346" s="717">
        <f>'[4]побудинковий звіт'!DD346</f>
        <v>0</v>
      </c>
      <c r="DE346" s="717">
        <f>'[4]побудинковий звіт'!DE346</f>
        <v>36714.39</v>
      </c>
      <c r="DF346" s="717">
        <f>'[4]побудинковий звіт'!DF346</f>
        <v>-203.48</v>
      </c>
      <c r="DG346" s="787">
        <v>-60486.519906925038</v>
      </c>
      <c r="DH346" s="761">
        <f t="shared" si="344"/>
        <v>6193965.5999999996</v>
      </c>
      <c r="DI346" s="784"/>
      <c r="DJ346" s="5"/>
      <c r="DK346" s="317">
        <f>VLOOKUP($A346,ціни!$A$4:$G$401,5)</f>
        <v>5.2437824865425959</v>
      </c>
      <c r="DL346" s="317">
        <f>VLOOKUP($A346,ціни!$A$4:$G$401,6)</f>
        <v>6.9989410142182269</v>
      </c>
      <c r="DM346" s="317">
        <f>VLOOKUP($A346,ціни!$A$4:$G$401,7)</f>
        <v>4.6037864559490425</v>
      </c>
      <c r="DN346" s="30">
        <f t="shared" si="386"/>
        <v>17834.85046306533</v>
      </c>
      <c r="DO346" s="30">
        <f t="shared" si="387"/>
        <v>203.48736135294769</v>
      </c>
      <c r="DP346" s="316">
        <f t="shared" si="335"/>
        <v>18038.337824418279</v>
      </c>
      <c r="DQ346" s="104"/>
      <c r="DR346" s="30">
        <f>VLOOKUP(A346,'ДЗ нас '!$A$1:$C$359,2)</f>
        <v>42810.17</v>
      </c>
      <c r="DS346" s="748">
        <f>VLOOKUP(A346,'ДЗ нежит'!$A$1:$D$153,4,0)</f>
        <v>203.48</v>
      </c>
      <c r="DT346" s="30">
        <f t="shared" si="336"/>
        <v>43013.65</v>
      </c>
      <c r="DU346" s="257">
        <f>VLOOKUP(A346,'новий кошторис с 01.06'!$A$4:$AI$399,35)*1.2</f>
        <v>43140.983394091862</v>
      </c>
      <c r="DV346" s="30">
        <f t="shared" si="337"/>
        <v>-127.3333940918601</v>
      </c>
      <c r="DW346" s="930">
        <f>'[5]побудинковий звіт'!DW346+'[6]побудинковий звіт'!DW346</f>
        <v>298</v>
      </c>
      <c r="DY346" s="5">
        <f t="shared" si="340"/>
        <v>161433.42959500023</v>
      </c>
      <c r="DZ346" s="5">
        <f t="shared" si="341"/>
        <v>49625.259304322157</v>
      </c>
      <c r="EA346" s="752">
        <f t="shared" si="345"/>
        <v>36510.909999999996</v>
      </c>
      <c r="EC346" s="592">
        <f t="shared" si="342"/>
        <v>1414407.0548712844</v>
      </c>
      <c r="EE346" s="758">
        <f>75394-904</f>
        <v>74490</v>
      </c>
      <c r="EF346" s="738">
        <f t="shared" si="343"/>
        <v>14003.480093074962</v>
      </c>
      <c r="EH346" s="813">
        <v>166753.84911948023</v>
      </c>
    </row>
    <row r="347" spans="1:138" x14ac:dyDescent="0.3">
      <c r="A347" s="328">
        <v>150000909</v>
      </c>
      <c r="B347" s="44" t="s">
        <v>800</v>
      </c>
      <c r="C347" s="45" t="s">
        <v>409</v>
      </c>
      <c r="D347" s="45" t="s">
        <v>409</v>
      </c>
      <c r="E347" s="40">
        <f t="shared" si="384"/>
        <v>472.1</v>
      </c>
      <c r="F347" s="490">
        <v>472.1</v>
      </c>
      <c r="G347" s="30">
        <v>691.97</v>
      </c>
      <c r="H347" s="30">
        <v>0</v>
      </c>
      <c r="I347" s="42">
        <f>'[1]побудинковий звіт'!I347+'[2]побудинковий звіт'!I347-'[3]побудинковий звіт'!I347</f>
        <v>25281.123134828973</v>
      </c>
      <c r="J347" s="42">
        <f>'[1]побудинковий звіт'!J347+'[2]побудинковий звіт'!J347-'[3]побудинковий звіт'!J347</f>
        <v>23181.655830305557</v>
      </c>
      <c r="K347" s="56">
        <f t="shared" si="349"/>
        <v>-2099.4673045234158</v>
      </c>
      <c r="L347" s="42">
        <f>'[1]побудинковий звіт'!L347+'[2]побудинковий звіт'!L347-'[3]побудинковий звіт'!L347</f>
        <v>4125.0951515424777</v>
      </c>
      <c r="M347" s="42">
        <f>'[1]побудинковий звіт'!M347+'[2]побудинковий звіт'!M347-'[3]побудинковий звіт'!M347</f>
        <v>3985.779672658356</v>
      </c>
      <c r="N347" s="56">
        <f t="shared" si="350"/>
        <v>-139.3154788841216</v>
      </c>
      <c r="O347" s="42">
        <f>'[1]побудинковий звіт'!O347+'[2]побудинковий звіт'!O347-'[3]побудинковий звіт'!O347</f>
        <v>8256.48</v>
      </c>
      <c r="P347" s="42">
        <f>'[1]побудинковий звіт'!P347+'[2]побудинковий звіт'!P347-'[3]побудинковий звіт'!P347</f>
        <v>8255.1600000000017</v>
      </c>
      <c r="Q347" s="56">
        <f t="shared" si="351"/>
        <v>-1.31999999999789</v>
      </c>
      <c r="R347" s="42">
        <f>'[1]побудинковий звіт'!R347+'[2]побудинковий звіт'!R347-'[3]побудинковий звіт'!R347</f>
        <v>1998</v>
      </c>
      <c r="S347" s="42">
        <f>'[1]побудинковий звіт'!S347+'[2]побудинковий звіт'!S347-'[3]побудинковий звіт'!S347</f>
        <v>1995.7199999999998</v>
      </c>
      <c r="T347" s="56">
        <f t="shared" si="352"/>
        <v>-2.2800000000002001</v>
      </c>
      <c r="U347" s="42">
        <f>'[1]побудинковий звіт'!U347+'[2]побудинковий звіт'!U347-'[3]побудинковий звіт'!U347</f>
        <v>1170.2323882178873</v>
      </c>
      <c r="V347" s="42">
        <f>'[1]побудинковий звіт'!V347+'[2]побудинковий звіт'!V347-'[3]побудинковий звіт'!V347</f>
        <v>794.60674028139147</v>
      </c>
      <c r="W347" s="56">
        <f t="shared" si="353"/>
        <v>-375.62564793649585</v>
      </c>
      <c r="X347" s="42">
        <f>'[1]побудинковий звіт'!X347+'[2]побудинковий звіт'!X347-'[3]побудинковий звіт'!X347</f>
        <v>9728.5361645948105</v>
      </c>
      <c r="Y347" s="42">
        <f>'[1]побудинковий звіт'!Y347+'[2]побудинковий звіт'!Y347-'[3]побудинковий звіт'!Y347</f>
        <v>8502.3784200267091</v>
      </c>
      <c r="Z347" s="56">
        <f t="shared" si="354"/>
        <v>-1226.1577445681014</v>
      </c>
      <c r="AA347" s="42">
        <f>'[1]побудинковий звіт'!AA347+'[2]побудинковий звіт'!AA347-'[3]побудинковий звіт'!AA347</f>
        <v>0</v>
      </c>
      <c r="AB347" s="42">
        <f>'[1]побудинковий звіт'!AB347+'[2]побудинковий звіт'!AB347-'[3]побудинковий звіт'!AB347</f>
        <v>0</v>
      </c>
      <c r="AC347" s="56">
        <f t="shared" si="355"/>
        <v>0</v>
      </c>
      <c r="AD347" s="42">
        <f>'[1]побудинковий звіт'!AD347+'[2]побудинковий звіт'!AD347-'[3]побудинковий звіт'!AD347</f>
        <v>27088.205170838799</v>
      </c>
      <c r="AE347" s="42">
        <f>'[1]побудинковий звіт'!AE347+'[2]побудинковий звіт'!AE347-'[3]побудинковий звіт'!AE347</f>
        <v>24966.953354189303</v>
      </c>
      <c r="AF347" s="37">
        <f t="shared" si="356"/>
        <v>-2121.2518166494956</v>
      </c>
      <c r="AG347" s="87">
        <f t="shared" si="346"/>
        <v>77647.672010022958</v>
      </c>
      <c r="AH347" s="57">
        <f t="shared" si="346"/>
        <v>71682.254017461324</v>
      </c>
      <c r="AI347" s="56">
        <f t="shared" si="357"/>
        <v>-5965.4179925616336</v>
      </c>
      <c r="AJ347" s="42">
        <f>'[1]побудинковий звіт'!AJ347+'[2]побудинковий звіт'!AJ347-'[3]побудинковий звіт'!AJ347</f>
        <v>51730.560208464776</v>
      </c>
      <c r="AK347" s="42">
        <f>'[1]побудинковий звіт'!AK347+'[2]побудинковий звіт'!AK347-'[3]побудинковий звіт'!AK347</f>
        <v>51275.553252548802</v>
      </c>
      <c r="AL347" s="56">
        <f t="shared" si="358"/>
        <v>-455.00695591597469</v>
      </c>
      <c r="AM347" s="42">
        <f>'[1]побудинковий звіт'!AM347+'[2]побудинковий звіт'!AM347-'[3]побудинковий звіт'!AM347</f>
        <v>0</v>
      </c>
      <c r="AN347" s="42">
        <f>'[1]побудинковий звіт'!AN347+'[2]побудинковий звіт'!AN347-'[3]побудинковий звіт'!AN347</f>
        <v>0</v>
      </c>
      <c r="AO347" s="56">
        <f t="shared" si="359"/>
        <v>0</v>
      </c>
      <c r="AP347" s="42">
        <f>'[1]побудинковий звіт'!AP347+'[2]побудинковий звіт'!AP347-'[3]побудинковий звіт'!AP347</f>
        <v>5113.8952716257081</v>
      </c>
      <c r="AQ347" s="42">
        <f>'[1]побудинковий звіт'!AQ347+'[2]побудинковий звіт'!AQ347-'[3]побудинковий звіт'!AQ347</f>
        <v>4982.4314280075369</v>
      </c>
      <c r="AR347" s="56">
        <f t="shared" si="360"/>
        <v>-131.46384361817127</v>
      </c>
      <c r="AS347" s="42">
        <f>'[1]побудинковий звіт'!AS347+'[2]побудинковий звіт'!AS347-'[3]побудинковий звіт'!AS347</f>
        <v>117368.21422997452</v>
      </c>
      <c r="AT347" s="42">
        <f>'[1]побудинковий звіт'!AT347+'[2]побудинковий звіт'!AT347-'[3]побудинковий звіт'!AT347</f>
        <v>33386.600640955243</v>
      </c>
      <c r="AU347" s="58">
        <f t="shared" si="375"/>
        <v>-83981.613589019282</v>
      </c>
      <c r="AV347" s="42">
        <f>'[1]побудинковий звіт'!AV347+'[2]побудинковий звіт'!AV347-'[3]побудинковий звіт'!AV347</f>
        <v>2033.6873449741875</v>
      </c>
      <c r="AW347" s="42">
        <f>'[1]побудинковий звіт'!AW347+'[2]побудинковий звіт'!AW347-'[3]побудинковий звіт'!AW347</f>
        <v>0</v>
      </c>
      <c r="AX347" s="59">
        <f t="shared" si="376"/>
        <v>-2033.6873449741875</v>
      </c>
      <c r="AY347" s="42">
        <f>'[1]побудинковий звіт'!AY347+'[2]побудинковий звіт'!AY347-'[3]побудинковий звіт'!AY347</f>
        <v>2727.2100912539804</v>
      </c>
      <c r="AZ347" s="42">
        <f>'[1]побудинковий звіт'!AZ347+'[2]побудинковий звіт'!AZ347-'[3]побудинковий звіт'!AZ347</f>
        <v>3696</v>
      </c>
      <c r="BA347" s="37">
        <f t="shared" si="377"/>
        <v>968.78990874601959</v>
      </c>
      <c r="BB347" s="42">
        <f>'[1]побудинковий звіт'!BB347+'[2]побудинковий звіт'!BB347-'[3]побудинковий звіт'!BB347</f>
        <v>6943.484518507028</v>
      </c>
      <c r="BC347" s="42">
        <f>'[1]побудинковий звіт'!BC347+'[2]побудинковий звіт'!BC347-'[3]побудинковий звіт'!BC347</f>
        <v>9625</v>
      </c>
      <c r="BD347" s="59">
        <f t="shared" si="378"/>
        <v>2681.515481492972</v>
      </c>
      <c r="BE347" s="42">
        <f>'[1]побудинковий звіт'!BE347+'[2]побудинковий звіт'!BE347-'[3]побудинковий звіт'!BE347</f>
        <v>2210.136569664422</v>
      </c>
      <c r="BF347" s="42">
        <f>'[1]побудинковий звіт'!BF347+'[2]побудинковий звіт'!BF347-'[3]побудинковий звіт'!BF347</f>
        <v>0</v>
      </c>
      <c r="BG347" s="39">
        <f t="shared" si="379"/>
        <v>-2210.136569664422</v>
      </c>
      <c r="BH347" s="42">
        <f>'[1]побудинковий звіт'!BH347+'[2]побудинковий звіт'!BH347-'[3]побудинковий звіт'!BH347</f>
        <v>593.65087276649558</v>
      </c>
      <c r="BI347" s="42">
        <f>'[1]побудинковий звіт'!BI347+'[2]побудинковий звіт'!BI347-'[3]побудинковий звіт'!BI347</f>
        <v>0</v>
      </c>
      <c r="BJ347" s="59">
        <f t="shared" si="380"/>
        <v>-593.65087276649558</v>
      </c>
      <c r="BK347" s="42">
        <f>'[1]побудинковий звіт'!BK347+'[2]побудинковий звіт'!BK347-'[3]побудинковий звіт'!BK347</f>
        <v>2344.6002256413972</v>
      </c>
      <c r="BL347" s="42">
        <f>'[1]побудинковий звіт'!BL347+'[2]побудинковий звіт'!BL347-'[3]побудинковий звіт'!BL347</f>
        <v>2139</v>
      </c>
      <c r="BM347" s="39">
        <f t="shared" si="381"/>
        <v>-205.60022564139717</v>
      </c>
      <c r="BN347" s="42">
        <f>'[1]побудинковий звіт'!BN347+'[2]побудинковий звіт'!BN347-'[3]побудинковий звіт'!BN347</f>
        <v>0</v>
      </c>
      <c r="BO347" s="42">
        <f>'[1]побудинковий звіт'!BO347+'[2]побудинковий звіт'!BO347-'[3]побудинковий звіт'!BO347</f>
        <v>0</v>
      </c>
      <c r="BP347" s="59">
        <f t="shared" si="382"/>
        <v>0</v>
      </c>
      <c r="BQ347" s="87">
        <f t="shared" si="338"/>
        <v>16852.769622807511</v>
      </c>
      <c r="BR347" s="43">
        <f t="shared" si="385"/>
        <v>15460</v>
      </c>
      <c r="BS347" s="59">
        <f t="shared" si="383"/>
        <v>-1392.769622807511</v>
      </c>
      <c r="BT347" s="42">
        <f>'[1]побудинковий звіт'!BT347+'[2]побудинковий звіт'!BT347-'[3]побудинковий звіт'!BT347</f>
        <v>40252.155290175171</v>
      </c>
      <c r="BU347" s="42">
        <f>'[1]побудинковий звіт'!BU347+'[2]побудинковий звіт'!BU347-'[3]побудинковий звіт'!BU347</f>
        <v>51813.275186845669</v>
      </c>
      <c r="BV347" s="56">
        <f t="shared" si="361"/>
        <v>11561.119896670498</v>
      </c>
      <c r="BW347" s="42">
        <f>'[1]побудинковий звіт'!BW347+'[2]побудинковий звіт'!BW347-'[3]побудинковий звіт'!BW347</f>
        <v>40994.208532711084</v>
      </c>
      <c r="BX347" s="42">
        <f>'[1]побудинковий звіт'!BX347+'[2]побудинковий звіт'!BX347-'[3]побудинковий звіт'!BX347</f>
        <v>44381.384239284314</v>
      </c>
      <c r="BY347" s="56">
        <f t="shared" si="362"/>
        <v>3387.1757065732309</v>
      </c>
      <c r="BZ347" s="42">
        <f>'[1]побудинковий звіт'!BZ347+'[2]побудинковий звіт'!BZ347-'[3]побудинковий звіт'!BZ347</f>
        <v>9727.228428556944</v>
      </c>
      <c r="CA347" s="42">
        <f>'[1]побудинковий звіт'!CA347+'[2]побудинковий звіт'!CA347-'[3]побудинковий звіт'!CA347</f>
        <v>13302.497775598045</v>
      </c>
      <c r="CB347" s="56">
        <f t="shared" si="363"/>
        <v>3575.2693470411014</v>
      </c>
      <c r="CC347" s="42">
        <f>'[1]побудинковий звіт'!CC347+'[2]побудинковий звіт'!CC347-'[3]побудинковий звіт'!CC347</f>
        <v>2452.4771060024405</v>
      </c>
      <c r="CD347" s="42">
        <f>'[1]побудинковий звіт'!CD347+'[2]побудинковий звіт'!CD347-'[3]побудинковий звіт'!CD347</f>
        <v>2430.9068764896283</v>
      </c>
      <c r="CE347" s="56">
        <f t="shared" si="364"/>
        <v>-21.570229512812148</v>
      </c>
      <c r="CF347" s="42">
        <f>'[1]побудинковий звіт'!CF347+'[2]побудинковий звіт'!CF347-'[3]побудинковий звіт'!CF347</f>
        <v>301.9147952465126</v>
      </c>
      <c r="CG347" s="42">
        <f>'[1]побудинковий звіт'!CG347+'[2]побудинковий звіт'!CG347-'[3]побудинковий звіт'!CG347</f>
        <v>0</v>
      </c>
      <c r="CH347" s="56">
        <f t="shared" si="365"/>
        <v>-301.9147952465126</v>
      </c>
      <c r="CI347" s="42">
        <f>'[1]побудинковий звіт'!CI347+'[2]побудинковий звіт'!CI347-'[3]побудинковий звіт'!CI347</f>
        <v>14356.341810906368</v>
      </c>
      <c r="CJ347" s="42">
        <f>'[1]побудинковий звіт'!CJ347+'[2]побудинковий звіт'!CJ347-'[3]побудинковий звіт'!CJ347</f>
        <v>14091.176598979036</v>
      </c>
      <c r="CK347" s="56">
        <f t="shared" si="366"/>
        <v>-265.16521192733126</v>
      </c>
      <c r="CL347" s="42">
        <f>'[1]побудинковий звіт'!CL347+'[2]побудинковий звіт'!CL347-'[3]побудинковий звіт'!CL347</f>
        <v>21506.436428593763</v>
      </c>
      <c r="CM347" s="42">
        <f>'[1]побудинковий звіт'!CM347+'[2]побудинковий звіт'!CM347-'[3]побудинковий звіт'!CM347</f>
        <v>21140.016662262569</v>
      </c>
      <c r="CN347" s="56">
        <f t="shared" si="367"/>
        <v>-366.41976633119339</v>
      </c>
      <c r="CO347" s="42">
        <f t="shared" si="347"/>
        <v>35862.778239500127</v>
      </c>
      <c r="CP347" s="43">
        <f t="shared" si="368"/>
        <v>35231.193261241606</v>
      </c>
      <c r="CQ347" s="56">
        <f t="shared" si="369"/>
        <v>-631.58497825852101</v>
      </c>
      <c r="CR347" s="78">
        <f t="shared" si="348"/>
        <v>398303.87373508775</v>
      </c>
      <c r="CS347" s="5">
        <f t="shared" si="348"/>
        <v>323946.09667843214</v>
      </c>
      <c r="CT347" s="56">
        <f t="shared" si="370"/>
        <v>-74357.777056655614</v>
      </c>
      <c r="CU347" s="87">
        <f t="shared" si="371"/>
        <v>477964.64848210529</v>
      </c>
      <c r="CV347" s="70">
        <f t="shared" si="372"/>
        <v>388735.31601411855</v>
      </c>
      <c r="CW347" s="37">
        <f t="shared" si="373"/>
        <v>-89229.332467986736</v>
      </c>
      <c r="CX347" s="42">
        <f>'[1]побудинковий звіт'!CX347+'[2]побудинковий звіт'!CX347-'[3]побудинковий звіт'!CX347</f>
        <v>7233.8715178947677</v>
      </c>
      <c r="CY347" s="42">
        <f>'[1]побудинковий звіт'!CY347+'[2]побудинковий звіт'!CY347-'[3]побудинковий звіт'!CY347</f>
        <v>96463.203985881381</v>
      </c>
      <c r="CZ347" s="56">
        <f t="shared" si="374"/>
        <v>89229.33246798662</v>
      </c>
      <c r="DA347" s="264">
        <f>'[4]побудинковий звіт'!DA347</f>
        <v>-25964.798169893031</v>
      </c>
      <c r="DB347" s="2">
        <v>3</v>
      </c>
      <c r="DC347" s="717">
        <f>'[4]побудинковий звіт'!DC347</f>
        <v>122125.56</v>
      </c>
      <c r="DD347" s="717">
        <f>'[4]побудинковий звіт'!DD347</f>
        <v>0</v>
      </c>
      <c r="DE347" s="717">
        <f>'[4]побудинковий звіт'!DE347</f>
        <v>81688</v>
      </c>
      <c r="DF347" s="717">
        <f>'[4]побудинковий звіт'!DF347</f>
        <v>0</v>
      </c>
      <c r="DG347" s="787">
        <v>10758.305046991212</v>
      </c>
      <c r="DH347" s="761">
        <f t="shared" si="344"/>
        <v>5822382.2400000012</v>
      </c>
      <c r="DI347" s="784"/>
      <c r="DJ347" s="5"/>
      <c r="DK347" s="317">
        <f>VLOOKUP($A347,ціни!$A$4:$G$401,5)</f>
        <v>5.2080976301342128</v>
      </c>
      <c r="DL347" s="317">
        <f>VLOOKUP($A347,ціни!$A$4:$G$401,6)</f>
        <v>6.5253518145646332</v>
      </c>
      <c r="DM347" s="317">
        <f>VLOOKUP($A347,ціни!$A$4:$G$401,7)</f>
        <v>4.551304042874766</v>
      </c>
      <c r="DN347" s="30">
        <f t="shared" si="386"/>
        <v>2169.1182136556454</v>
      </c>
      <c r="DO347" s="30">
        <f t="shared" si="387"/>
        <v>0</v>
      </c>
      <c r="DP347" s="316">
        <f t="shared" si="335"/>
        <v>2169.1182136556454</v>
      </c>
      <c r="DQ347" s="104"/>
      <c r="DR347" s="30">
        <f>VLOOKUP(A347,'ДЗ нас '!$A$1:$C$359,2)</f>
        <v>40437.56</v>
      </c>
      <c r="DS347" s="748"/>
      <c r="DT347" s="30">
        <f t="shared" si="336"/>
        <v>40437.56</v>
      </c>
      <c r="DU347" s="257">
        <f>VLOOKUP(A347,'новий кошторис с 01.06'!$A$4:$AI$399,35)*1.2</f>
        <v>40547.334346231924</v>
      </c>
      <c r="DV347" s="30">
        <f t="shared" si="337"/>
        <v>-109.77434623192676</v>
      </c>
      <c r="DW347" s="930">
        <f>'[5]побудинковий звіт'!DW347+'[6]побудинковий звіт'!DW347</f>
        <v>232</v>
      </c>
      <c r="DY347" s="5">
        <f t="shared" si="340"/>
        <v>161065.18062333841</v>
      </c>
      <c r="DZ347" s="5">
        <f t="shared" si="341"/>
        <v>58615.920769146287</v>
      </c>
      <c r="EA347" s="752">
        <f t="shared" si="345"/>
        <v>81688</v>
      </c>
      <c r="EC347" s="592">
        <f t="shared" si="342"/>
        <v>1408418.5707596941</v>
      </c>
      <c r="EE347" s="758">
        <v>-22231</v>
      </c>
      <c r="EF347" s="738">
        <f t="shared" si="343"/>
        <v>-11472.694953008788</v>
      </c>
      <c r="EH347" s="813">
        <v>45540.932300624503</v>
      </c>
    </row>
    <row r="348" spans="1:138" x14ac:dyDescent="0.3">
      <c r="A348" s="328">
        <v>150000910</v>
      </c>
      <c r="B348" s="44" t="s">
        <v>801</v>
      </c>
      <c r="C348" s="45" t="s">
        <v>410</v>
      </c>
      <c r="D348" s="45" t="s">
        <v>410</v>
      </c>
      <c r="E348" s="40">
        <f t="shared" si="384"/>
        <v>6327.1</v>
      </c>
      <c r="F348" s="490">
        <v>6212</v>
      </c>
      <c r="G348" s="30">
        <v>576.05999999999995</v>
      </c>
      <c r="H348" s="30">
        <v>115.1</v>
      </c>
      <c r="I348" s="42">
        <f>'[1]побудинковий звіт'!I348+'[2]побудинковий звіт'!I348-'[3]побудинковий звіт'!I348</f>
        <v>25165.885377107097</v>
      </c>
      <c r="J348" s="42">
        <f>'[1]побудинковий звіт'!J348+'[2]побудинковий звіт'!J348-'[3]побудинковий звіт'!J348</f>
        <v>23359.207338559507</v>
      </c>
      <c r="K348" s="56">
        <f t="shared" si="349"/>
        <v>-1806.6780385475904</v>
      </c>
      <c r="L348" s="42">
        <f>'[1]побудинковий звіт'!L348+'[2]побудинковий звіт'!L348-'[3]побудинковий звіт'!L348</f>
        <v>4132.1987358483357</v>
      </c>
      <c r="M348" s="42">
        <f>'[1]побудинковий звіт'!M348+'[2]побудинковий звіт'!M348-'[3]побудинковий звіт'!M348</f>
        <v>3992.5795650596719</v>
      </c>
      <c r="N348" s="56">
        <f t="shared" si="350"/>
        <v>-139.61917078866372</v>
      </c>
      <c r="O348" s="42">
        <f>'[1]побудинковий звіт'!O348+'[2]побудинковий звіт'!O348-'[3]побудинковий звіт'!O348</f>
        <v>8256.48</v>
      </c>
      <c r="P348" s="42">
        <f>'[1]побудинковий звіт'!P348+'[2]побудинковий звіт'!P348-'[3]побудинковий звіт'!P348</f>
        <v>8257.7999999999975</v>
      </c>
      <c r="Q348" s="56">
        <f t="shared" si="351"/>
        <v>1.31999999999789</v>
      </c>
      <c r="R348" s="42">
        <f>'[1]побудинковий звіт'!R348+'[2]побудинковий звіт'!R348-'[3]побудинковий звіт'!R348</f>
        <v>1947.8399999999997</v>
      </c>
      <c r="S348" s="42">
        <f>'[1]побудинковий звіт'!S348+'[2]побудинковий звіт'!S348-'[3]побудинковий звіт'!S348</f>
        <v>1948.5600000000006</v>
      </c>
      <c r="T348" s="56">
        <f t="shared" si="352"/>
        <v>0.72000000000093678</v>
      </c>
      <c r="U348" s="42">
        <f>'[1]побудинковий звіт'!U348+'[2]побудинковий звіт'!U348-'[3]побудинковий звіт'!U348</f>
        <v>1170.2323882178873</v>
      </c>
      <c r="V348" s="42">
        <f>'[1]побудинковий звіт'!V348+'[2]побудинковий звіт'!V348-'[3]побудинковий звіт'!V348</f>
        <v>794.60674028139147</v>
      </c>
      <c r="W348" s="56">
        <f t="shared" si="353"/>
        <v>-375.62564793649585</v>
      </c>
      <c r="X348" s="42">
        <f>'[1]побудинковий звіт'!X348+'[2]побудинковий звіт'!X348-'[3]побудинковий звіт'!X348</f>
        <v>9787.5191660890323</v>
      </c>
      <c r="Y348" s="42">
        <f>'[1]побудинковий звіт'!Y348+'[2]побудинковий звіт'!Y348-'[3]побудинковий звіт'!Y348</f>
        <v>8612.3048173075113</v>
      </c>
      <c r="Z348" s="56">
        <f t="shared" si="354"/>
        <v>-1175.214348781521</v>
      </c>
      <c r="AA348" s="42">
        <f>'[1]побудинковий звіт'!AA348+'[2]побудинковий звіт'!AA348-'[3]побудинковий звіт'!AA348</f>
        <v>0</v>
      </c>
      <c r="AB348" s="42">
        <f>'[1]побудинковий звіт'!AB348+'[2]побудинковий звіт'!AB348-'[3]побудинковий звіт'!AB348</f>
        <v>0</v>
      </c>
      <c r="AC348" s="56">
        <f t="shared" si="355"/>
        <v>0</v>
      </c>
      <c r="AD348" s="42">
        <f>'[1]побудинковий звіт'!AD348+'[2]побудинковий звіт'!AD348-'[3]побудинковий звіт'!AD348</f>
        <v>27140.199282282567</v>
      </c>
      <c r="AE348" s="42">
        <f>'[1]побудинковий звіт'!AE348+'[2]побудинковий звіт'!AE348-'[3]побудинковий звіт'!AE348</f>
        <v>25014.940897583459</v>
      </c>
      <c r="AF348" s="37">
        <f t="shared" si="356"/>
        <v>-2125.2583846991074</v>
      </c>
      <c r="AG348" s="87">
        <f t="shared" si="346"/>
        <v>77600.354949544912</v>
      </c>
      <c r="AH348" s="57">
        <f t="shared" si="346"/>
        <v>71979.999358791538</v>
      </c>
      <c r="AI348" s="56">
        <f t="shared" si="357"/>
        <v>-5620.3555907533737</v>
      </c>
      <c r="AJ348" s="42">
        <f>'[1]побудинковий звіт'!AJ348+'[2]побудинковий звіт'!AJ348-'[3]побудинковий звіт'!AJ348</f>
        <v>51730.560208464776</v>
      </c>
      <c r="AK348" s="42">
        <f>'[1]побудинковий звіт'!AK348+'[2]побудинковий звіт'!AK348-'[3]побудинковий звіт'!AK348</f>
        <v>51275.553252548802</v>
      </c>
      <c r="AL348" s="56">
        <f t="shared" si="358"/>
        <v>-455.00695591597469</v>
      </c>
      <c r="AM348" s="42">
        <f>'[1]побудинковий звіт'!AM348+'[2]побудинковий звіт'!AM348-'[3]побудинковий звіт'!AM348</f>
        <v>0</v>
      </c>
      <c r="AN348" s="42">
        <f>'[1]побудинковий звіт'!AN348+'[2]побудинковий звіт'!AN348-'[3]побудинковий звіт'!AN348</f>
        <v>3260.5101770817423</v>
      </c>
      <c r="AO348" s="56">
        <f t="shared" si="359"/>
        <v>3260.5101770817423</v>
      </c>
      <c r="AP348" s="42">
        <f>'[1]побудинковий звіт'!AP348+'[2]побудинковий звіт'!AP348-'[3]побудинковий звіт'!AP348</f>
        <v>5019.1935073363438</v>
      </c>
      <c r="AQ348" s="42">
        <f>'[1]побудинковий звіт'!AQ348+'[2]побудинковий звіт'!AQ348-'[3]побудинковий звіт'!AQ348</f>
        <v>4839.983912528277</v>
      </c>
      <c r="AR348" s="56">
        <f t="shared" si="360"/>
        <v>-179.20959480806687</v>
      </c>
      <c r="AS348" s="42">
        <f>'[1]побудинковий звіт'!AS348+'[2]побудинковий звіт'!AS348-'[3]побудинковий звіт'!AS348</f>
        <v>117781.48222047184</v>
      </c>
      <c r="AT348" s="42">
        <f>'[1]побудинковий звіт'!AT348+'[2]побудинковий звіт'!AT348-'[3]побудинковий звіт'!AT348</f>
        <v>141016.32802257477</v>
      </c>
      <c r="AU348" s="58">
        <f t="shared" si="375"/>
        <v>23234.845802102936</v>
      </c>
      <c r="AV348" s="42">
        <f>'[1]побудинковий звіт'!AV348+'[2]побудинковий звіт'!AV348-'[3]побудинковий звіт'!AV348</f>
        <v>2030.2870879926727</v>
      </c>
      <c r="AW348" s="42">
        <f>'[1]побудинковий звіт'!AW348+'[2]побудинковий звіт'!AW348-'[3]побудинковий звіт'!AW348</f>
        <v>2079</v>
      </c>
      <c r="AX348" s="59">
        <f t="shared" si="376"/>
        <v>48.712912007327304</v>
      </c>
      <c r="AY348" s="42">
        <f>'[1]побудинковий звіт'!AY348+'[2]побудинковий звіт'!AY348-'[3]побудинковий звіт'!AY348</f>
        <v>2731.9007902306498</v>
      </c>
      <c r="AZ348" s="42">
        <f>'[1]побудинковий звіт'!AZ348+'[2]побудинковий звіт'!AZ348-'[3]побудинковий звіт'!AZ348</f>
        <v>8869</v>
      </c>
      <c r="BA348" s="37">
        <f t="shared" si="377"/>
        <v>6137.0992097693506</v>
      </c>
      <c r="BB348" s="42">
        <f>'[1]побудинковий звіт'!BB348+'[2]побудинковий звіт'!BB348-'[3]побудинковий звіт'!BB348</f>
        <v>6943.484518507028</v>
      </c>
      <c r="BC348" s="42">
        <f>'[1]побудинковий звіт'!BC348+'[2]побудинковий звіт'!BC348-'[3]побудинковий звіт'!BC348</f>
        <v>6672</v>
      </c>
      <c r="BD348" s="59">
        <f t="shared" si="378"/>
        <v>-271.48451850702804</v>
      </c>
      <c r="BE348" s="42">
        <f>'[1]побудинковий звіт'!BE348+'[2]побудинковий звіт'!BE348-'[3]побудинковий звіт'!BE348</f>
        <v>2204.1407716309268</v>
      </c>
      <c r="BF348" s="42">
        <f>'[1]побудинковий звіт'!BF348+'[2]побудинковий звіт'!BF348-'[3]побудинковий звіт'!BF348</f>
        <v>0</v>
      </c>
      <c r="BG348" s="39">
        <f t="shared" si="379"/>
        <v>-2204.1407716309268</v>
      </c>
      <c r="BH348" s="42">
        <f>'[1]побудинковий звіт'!BH348+'[2]побудинковий звіт'!BH348-'[3]побудинковий звіт'!BH348</f>
        <v>593.65087276649558</v>
      </c>
      <c r="BI348" s="42">
        <f>'[1]побудинковий звіт'!BI348+'[2]побудинковий звіт'!BI348-'[3]побудинковий звіт'!BI348</f>
        <v>0</v>
      </c>
      <c r="BJ348" s="59">
        <f t="shared" si="380"/>
        <v>-593.65087276649558</v>
      </c>
      <c r="BK348" s="42">
        <f>'[1]побудинковий звіт'!BK348+'[2]побудинковий звіт'!BK348-'[3]побудинковий звіт'!BK348</f>
        <v>2353.4276713693712</v>
      </c>
      <c r="BL348" s="42">
        <f>'[1]побудинковий звіт'!BL348+'[2]побудинковий звіт'!BL348-'[3]побудинковий звіт'!BL348</f>
        <v>5607</v>
      </c>
      <c r="BM348" s="39">
        <f t="shared" si="381"/>
        <v>3253.5723286306288</v>
      </c>
      <c r="BN348" s="42">
        <f>'[1]побудинковий звіт'!BN348+'[2]побудинковий звіт'!BN348-'[3]побудинковий звіт'!BN348</f>
        <v>0</v>
      </c>
      <c r="BO348" s="42">
        <f>'[1]побудинковий звіт'!BO348+'[2]побудинковий звіт'!BO348-'[3]побудинковий звіт'!BO348</f>
        <v>6462</v>
      </c>
      <c r="BP348" s="59">
        <f t="shared" si="382"/>
        <v>6462</v>
      </c>
      <c r="BQ348" s="87">
        <f t="shared" si="338"/>
        <v>16856.891712497145</v>
      </c>
      <c r="BR348" s="43">
        <f t="shared" si="385"/>
        <v>29689</v>
      </c>
      <c r="BS348" s="59">
        <f t="shared" si="383"/>
        <v>12832.108287502855</v>
      </c>
      <c r="BT348" s="42">
        <f>'[1]побудинковий звіт'!BT348+'[2]побудинковий звіт'!BT348-'[3]побудинковий звіт'!BT348</f>
        <v>39915.019414996699</v>
      </c>
      <c r="BU348" s="42">
        <f>'[1]побудинковий звіт'!BU348+'[2]побудинковий звіт'!BU348-'[3]побудинковий звіт'!BU348</f>
        <v>52864.181224202832</v>
      </c>
      <c r="BV348" s="56">
        <f t="shared" si="361"/>
        <v>12949.161809206133</v>
      </c>
      <c r="BW348" s="42">
        <f>'[1]побудинковий звіт'!BW348+'[2]побудинковий звіт'!BW348-'[3]побудинковий звіт'!BW348</f>
        <v>35403.871397600429</v>
      </c>
      <c r="BX348" s="42">
        <f>'[1]побудинковий звіт'!BX348+'[2]побудинковий звіт'!BX348-'[3]побудинковий звіт'!BX348</f>
        <v>38486.881220661788</v>
      </c>
      <c r="BY348" s="56">
        <f t="shared" si="362"/>
        <v>3083.0098230613585</v>
      </c>
      <c r="BZ348" s="42">
        <f>'[1]побудинковий звіт'!BZ348+'[2]побудинковий звіт'!BZ348-'[3]побудинковий звіт'!BZ348</f>
        <v>9963.3643367222685</v>
      </c>
      <c r="CA348" s="42">
        <f>'[1]побудинковий звіт'!CA348+'[2]побудинковий звіт'!CA348-'[3]побудинковий звіт'!CA348</f>
        <v>13169.677707260917</v>
      </c>
      <c r="CB348" s="56">
        <f t="shared" si="363"/>
        <v>3206.3133705386481</v>
      </c>
      <c r="CC348" s="42">
        <f>'[1]побудинковий звіт'!CC348+'[2]побудинковий звіт'!CC348-'[3]побудинковий звіт'!CC348</f>
        <v>2280.9978360576797</v>
      </c>
      <c r="CD348" s="42">
        <f>'[1]побудинковий звіт'!CD348+'[2]побудинковий звіт'!CD348-'[3]побудинковий звіт'!CD348</f>
        <v>2260.9358152047339</v>
      </c>
      <c r="CE348" s="56">
        <f t="shared" si="364"/>
        <v>-20.062020852945807</v>
      </c>
      <c r="CF348" s="42">
        <f>'[1]побудинковий звіт'!CF348+'[2]побудинковий звіт'!CF348-'[3]побудинковий звіт'!CF348</f>
        <v>280.8046578480097</v>
      </c>
      <c r="CG348" s="42">
        <f>'[1]побудинковий звіт'!CG348+'[2]побудинковий звіт'!CG348-'[3]побудинковий звіт'!CG348</f>
        <v>0</v>
      </c>
      <c r="CH348" s="56">
        <f t="shared" si="365"/>
        <v>-280.8046578480097</v>
      </c>
      <c r="CI348" s="42">
        <f>'[1]побудинковий звіт'!CI348+'[2]побудинковий звіт'!CI348-'[3]побудинковий звіт'!CI348</f>
        <v>23378.188946312981</v>
      </c>
      <c r="CJ348" s="42">
        <f>'[1]побудинковий звіт'!CJ348+'[2]побудинковий звіт'!CJ348-'[3]побудинковий звіт'!CJ348</f>
        <v>28467.454275979333</v>
      </c>
      <c r="CK348" s="56">
        <f t="shared" si="366"/>
        <v>5089.265329666352</v>
      </c>
      <c r="CL348" s="42">
        <f>'[1]побудинковий звіт'!CL348+'[2]побудинковий звіт'!CL348-'[3]побудинковий звіт'!CL348</f>
        <v>11848.193437162623</v>
      </c>
      <c r="CM348" s="42">
        <f>'[1]побудинковий звіт'!CM348+'[2]побудинковий звіт'!CM348-'[3]побудинковий звіт'!CM348</f>
        <v>14155.678289663108</v>
      </c>
      <c r="CN348" s="56">
        <f t="shared" si="367"/>
        <v>2307.4848525004854</v>
      </c>
      <c r="CO348" s="42">
        <f t="shared" si="347"/>
        <v>35226.382383475604</v>
      </c>
      <c r="CP348" s="43">
        <f t="shared" si="368"/>
        <v>42623.132565642445</v>
      </c>
      <c r="CQ348" s="56">
        <f t="shared" si="369"/>
        <v>7396.7501821668411</v>
      </c>
      <c r="CR348" s="78">
        <f t="shared" si="348"/>
        <v>392058.92262501572</v>
      </c>
      <c r="CS348" s="5">
        <f t="shared" si="348"/>
        <v>451466.18325649796</v>
      </c>
      <c r="CT348" s="56">
        <f t="shared" si="370"/>
        <v>59407.260631482233</v>
      </c>
      <c r="CU348" s="87">
        <f t="shared" si="371"/>
        <v>470470.70715001883</v>
      </c>
      <c r="CV348" s="70">
        <f t="shared" si="372"/>
        <v>541759.41990779748</v>
      </c>
      <c r="CW348" s="37">
        <f t="shared" si="373"/>
        <v>71288.712757778645</v>
      </c>
      <c r="CX348" s="42">
        <f>'[1]побудинковий звіт'!CX348+'[2]побудинковий звіт'!CX348-'[3]побудинковий звіт'!CX348</f>
        <v>7059.9328499811818</v>
      </c>
      <c r="CY348" s="42">
        <f>'[1]побудинковий звіт'!CY348+'[2]побудинковий звіт'!CY348-'[3]побудинковий звіт'!CY348</f>
        <v>-64228.779907797398</v>
      </c>
      <c r="CZ348" s="56">
        <f t="shared" si="374"/>
        <v>-71288.712757778587</v>
      </c>
      <c r="DA348" s="264">
        <f>'[4]побудинковий звіт'!DA348</f>
        <v>32800.226787958614</v>
      </c>
      <c r="DB348" s="2">
        <v>3</v>
      </c>
      <c r="DC348" s="717">
        <f>'[4]побудинковий звіт'!DC348</f>
        <v>90669.77</v>
      </c>
      <c r="DD348" s="717">
        <f>'[4]побудинковий звіт'!DD348</f>
        <v>0</v>
      </c>
      <c r="DE348" s="717">
        <f>'[4]побудинковий звіт'!DE348</f>
        <v>51414.97</v>
      </c>
      <c r="DF348" s="717">
        <f>'[4]побудинковий звіт'!DF348</f>
        <v>-539.41999999999996</v>
      </c>
      <c r="DG348" s="787">
        <v>15834.641803115141</v>
      </c>
      <c r="DH348" s="761">
        <f t="shared" si="344"/>
        <v>5730367.6799999997</v>
      </c>
      <c r="DI348" s="784"/>
      <c r="DJ348" s="5"/>
      <c r="DK348" s="317">
        <f>VLOOKUP($A348,ціни!$A$4:$G$401,5)</f>
        <v>5.2631576008344529</v>
      </c>
      <c r="DL348" s="317">
        <f>VLOOKUP($A348,ціни!$A$4:$G$401,6)</f>
        <v>6.404074630678072</v>
      </c>
      <c r="DM348" s="317">
        <f>VLOOKUP($A348,ціни!$A$4:$G$401,7)</f>
        <v>4.6865611955464042</v>
      </c>
      <c r="DN348" s="30">
        <f t="shared" si="386"/>
        <v>39124.874941560469</v>
      </c>
      <c r="DO348" s="30">
        <f t="shared" si="387"/>
        <v>539.42319360739111</v>
      </c>
      <c r="DP348" s="316">
        <f t="shared" si="335"/>
        <v>39664.298135167861</v>
      </c>
      <c r="DQ348" s="104"/>
      <c r="DR348" s="30">
        <f>VLOOKUP(A348,'ДЗ нас '!$A$1:$C$359,2)</f>
        <v>39254.160000000003</v>
      </c>
      <c r="DS348" s="748">
        <f>VLOOKUP(A348,'ДЗ нежит'!$A$1:$D$153,4,0)</f>
        <v>539.41999999999996</v>
      </c>
      <c r="DT348" s="30">
        <f t="shared" si="336"/>
        <v>39793.58</v>
      </c>
      <c r="DU348" s="257">
        <f>VLOOKUP(A348,'новий кошторис с 01.06'!$A$4:$AI$399,35)*1.2</f>
        <v>39911.598323226593</v>
      </c>
      <c r="DV348" s="30">
        <f t="shared" si="337"/>
        <v>-118.01832322659175</v>
      </c>
      <c r="DW348" s="930">
        <f>'[5]побудинковий звіт'!DW348+'[6]побудинковий звіт'!DW348</f>
        <v>232</v>
      </c>
      <c r="DY348" s="5">
        <f t="shared" si="340"/>
        <v>161566.04871956276</v>
      </c>
      <c r="DZ348" s="5">
        <f t="shared" si="341"/>
        <v>204846.39362708971</v>
      </c>
      <c r="EA348" s="752">
        <f t="shared" si="345"/>
        <v>50875.55</v>
      </c>
      <c r="EC348" s="592">
        <f t="shared" si="342"/>
        <v>1413377.786645662</v>
      </c>
      <c r="EE348" s="758">
        <v>44811</v>
      </c>
      <c r="EF348" s="738">
        <f t="shared" si="343"/>
        <v>60645.641803115141</v>
      </c>
      <c r="EH348" s="813">
        <v>-61725.675027022167</v>
      </c>
    </row>
    <row r="349" spans="1:138" x14ac:dyDescent="0.3">
      <c r="A349" s="328">
        <v>150000911</v>
      </c>
      <c r="B349" s="44" t="s">
        <v>802</v>
      </c>
      <c r="C349" s="45" t="s">
        <v>318</v>
      </c>
      <c r="D349" s="45" t="s">
        <v>318</v>
      </c>
      <c r="E349" s="40">
        <f t="shared" si="384"/>
        <v>3895.01</v>
      </c>
      <c r="F349" s="490">
        <v>3895.01</v>
      </c>
      <c r="G349" s="30"/>
      <c r="H349" s="30">
        <v>0</v>
      </c>
      <c r="I349" s="42">
        <f>'[1]побудинковий звіт'!I349+'[2]побудинковий звіт'!I349-'[3]побудинковий звіт'!I349</f>
        <v>20256.851710837651</v>
      </c>
      <c r="J349" s="42">
        <f>'[1]побудинковий звіт'!J349+'[2]побудинковий звіт'!J349-'[3]побудинковий звіт'!J349</f>
        <v>18620.704222642205</v>
      </c>
      <c r="K349" s="56">
        <f t="shared" si="349"/>
        <v>-1636.1474881954455</v>
      </c>
      <c r="L349" s="42">
        <f>'[1]побудинковий звіт'!L349+'[2]побудинковий звіт'!L349-'[3]побудинковий звіт'!L349</f>
        <v>4020.0456441653564</v>
      </c>
      <c r="M349" s="42">
        <f>'[1]побудинковий звіт'!M349+'[2]побудинковий звіт'!M349-'[3]побудинковий звіт'!M349</f>
        <v>3926.7031947060068</v>
      </c>
      <c r="N349" s="56">
        <f t="shared" si="350"/>
        <v>-93.342449459349609</v>
      </c>
      <c r="O349" s="42">
        <f>'[1]побудинковий звіт'!O349+'[2]побудинковий звіт'!O349-'[3]побудинковий звіт'!O349</f>
        <v>8752.7999999999975</v>
      </c>
      <c r="P349" s="42">
        <f>'[1]побудинковий звіт'!P349+'[2]побудинковий звіт'!P349-'[3]побудинковий звіт'!P349</f>
        <v>8755.08</v>
      </c>
      <c r="Q349" s="56">
        <f t="shared" si="351"/>
        <v>2.2800000000024738</v>
      </c>
      <c r="R349" s="42">
        <f>'[1]побудинковий звіт'!R349+'[2]побудинковий звіт'!R349-'[3]побудинковий звіт'!R349</f>
        <v>0</v>
      </c>
      <c r="S349" s="42">
        <f>'[1]побудинковий звіт'!S349+'[2]побудинковий звіт'!S349-'[3]побудинковий звіт'!S349</f>
        <v>0</v>
      </c>
      <c r="T349" s="56">
        <f t="shared" si="352"/>
        <v>0</v>
      </c>
      <c r="U349" s="42">
        <f>'[1]побудинковий звіт'!U349+'[2]побудинковий звіт'!U349-'[3]побудинковий звіт'!U349</f>
        <v>2003.5352550963678</v>
      </c>
      <c r="V349" s="42">
        <f>'[1]побудинковий звіт'!V349+'[2]побудинковий звіт'!V349-'[3]побудинковий звіт'!V349</f>
        <v>1360.4326218215028</v>
      </c>
      <c r="W349" s="56">
        <f t="shared" si="353"/>
        <v>-643.10263327486496</v>
      </c>
      <c r="X349" s="42">
        <f>'[1]побудинковий звіт'!X349+'[2]побудинковий звіт'!X349-'[3]побудинковий звіт'!X349</f>
        <v>19236.150720431728</v>
      </c>
      <c r="Y349" s="42">
        <f>'[1]побудинковий звіт'!Y349+'[2]побудинковий звіт'!Y349-'[3]побудинковий звіт'!Y349</f>
        <v>17213.136219010114</v>
      </c>
      <c r="Z349" s="56">
        <f t="shared" si="354"/>
        <v>-2023.0145014216141</v>
      </c>
      <c r="AA349" s="42">
        <f>'[1]побудинковий звіт'!AA349+'[2]побудинковий звіт'!AA349-'[3]побудинковий звіт'!AA349</f>
        <v>0</v>
      </c>
      <c r="AB349" s="42">
        <f>'[1]побудинковий звіт'!AB349+'[2]побудинковий звіт'!AB349-'[3]побудинковий звіт'!AB349</f>
        <v>0</v>
      </c>
      <c r="AC349" s="56">
        <f t="shared" si="355"/>
        <v>0</v>
      </c>
      <c r="AD349" s="42">
        <f>'[1]побудинковий звіт'!AD349+'[2]побудинковий звіт'!AD349-'[3]побудинковий звіт'!AD349</f>
        <v>25073.818177231053</v>
      </c>
      <c r="AE349" s="42">
        <f>'[1]побудинковий звіт'!AE349+'[2]побудинковий звіт'!AE349-'[3]побудинковий звіт'!AE349</f>
        <v>23110.712866746711</v>
      </c>
      <c r="AF349" s="37">
        <f t="shared" si="356"/>
        <v>-1963.1053104843413</v>
      </c>
      <c r="AG349" s="87">
        <f t="shared" si="346"/>
        <v>79343.201507762147</v>
      </c>
      <c r="AH349" s="57">
        <f t="shared" si="346"/>
        <v>72986.769124926534</v>
      </c>
      <c r="AI349" s="56">
        <f t="shared" si="357"/>
        <v>-6356.4323828356137</v>
      </c>
      <c r="AJ349" s="42">
        <f>'[1]побудинковий звіт'!AJ349+'[2]побудинковий звіт'!AJ349-'[3]побудинковий звіт'!AJ349</f>
        <v>0</v>
      </c>
      <c r="AK349" s="42">
        <f>'[1]побудинковий звіт'!AK349+'[2]побудинковий звіт'!AK349-'[3]побудинковий звіт'!AK349</f>
        <v>0</v>
      </c>
      <c r="AL349" s="56">
        <f t="shared" si="358"/>
        <v>0</v>
      </c>
      <c r="AM349" s="42">
        <f>'[1]побудинковий звіт'!AM349+'[2]побудинковий звіт'!AM349-'[3]побудинковий звіт'!AM349</f>
        <v>0</v>
      </c>
      <c r="AN349" s="42">
        <f>'[1]побудинковий звіт'!AN349+'[2]побудинковий звіт'!AN349-'[3]побудинковий звіт'!AN349</f>
        <v>0</v>
      </c>
      <c r="AO349" s="56">
        <f t="shared" si="359"/>
        <v>0</v>
      </c>
      <c r="AP349" s="42">
        <f>'[1]побудинковий звіт'!AP349+'[2]побудинковий звіт'!AP349-'[3]побудинковий звіт'!AP349</f>
        <v>10156.764220034396</v>
      </c>
      <c r="AQ349" s="42">
        <f>'[1]побудинковий звіт'!AQ349+'[2]побудинковий звіт'!AQ349-'[3]побудинковий звіт'!AQ349</f>
        <v>16318.539076880254</v>
      </c>
      <c r="AR349" s="56">
        <f t="shared" si="360"/>
        <v>6161.7748568458574</v>
      </c>
      <c r="AS349" s="42">
        <f>'[1]побудинковий звіт'!AS349+'[2]побудинковий звіт'!AS349-'[3]побудинковий звіт'!AS349</f>
        <v>94471.276353353634</v>
      </c>
      <c r="AT349" s="42">
        <f>'[1]побудинковий звіт'!AT349+'[2]побудинковий звіт'!AT349-'[3]побудинковий звіт'!AT349</f>
        <v>109686.8928670281</v>
      </c>
      <c r="AU349" s="58">
        <f t="shared" si="375"/>
        <v>15215.616513674468</v>
      </c>
      <c r="AV349" s="42">
        <f>'[1]побудинковий звіт'!AV349+'[2]побудинковий звіт'!AV349-'[3]побудинковий звіт'!AV349</f>
        <v>3313.2970745495372</v>
      </c>
      <c r="AW349" s="42">
        <f>'[1]побудинковий звіт'!AW349+'[2]побудинковий звіт'!AW349-'[3]побудинковий звіт'!AW349</f>
        <v>0</v>
      </c>
      <c r="AX349" s="59">
        <f t="shared" si="376"/>
        <v>-3313.2970745495372</v>
      </c>
      <c r="AY349" s="42">
        <f>'[1]побудинковий звіт'!AY349+'[2]побудинковий звіт'!AY349-'[3]побудинковий звіт'!AY349</f>
        <v>5181.2242265907335</v>
      </c>
      <c r="AZ349" s="42">
        <f>'[1]побудинковий звіт'!AZ349+'[2]побудинковий звіт'!AZ349-'[3]побудинковий звіт'!AZ349</f>
        <v>1101</v>
      </c>
      <c r="BA349" s="37">
        <f t="shared" si="377"/>
        <v>-4080.2242265907335</v>
      </c>
      <c r="BB349" s="42">
        <f>'[1]побудинковий звіт'!BB349+'[2]побудинковий звіт'!BB349-'[3]побудинковий звіт'!BB349</f>
        <v>3298.4582542339149</v>
      </c>
      <c r="BC349" s="42">
        <f>'[1]побудинковий звіт'!BC349+'[2]побудинковий звіт'!BC349-'[3]побудинковий звіт'!BC349</f>
        <v>8815.35461268172</v>
      </c>
      <c r="BD349" s="59">
        <f t="shared" si="378"/>
        <v>5516.8963584478051</v>
      </c>
      <c r="BE349" s="42">
        <f>'[1]побудинковий звіт'!BE349+'[2]побудинковий звіт'!BE349-'[3]побудинковий звіт'!BE349</f>
        <v>0</v>
      </c>
      <c r="BF349" s="42">
        <f>'[1]побудинковий звіт'!BF349+'[2]побудинковий звіт'!BF349-'[3]побудинковий звіт'!BF349</f>
        <v>0</v>
      </c>
      <c r="BG349" s="39">
        <f t="shared" si="379"/>
        <v>0</v>
      </c>
      <c r="BH349" s="42">
        <f>'[1]побудинковий звіт'!BH349+'[2]побудинковий звіт'!BH349-'[3]побудинковий звіт'!BH349</f>
        <v>2032.8706882486335</v>
      </c>
      <c r="BI349" s="42">
        <f>'[1]побудинковий звіт'!BI349+'[2]побудинковий звіт'!BI349-'[3]побудинковий звіт'!BI349</f>
        <v>0</v>
      </c>
      <c r="BJ349" s="59">
        <f t="shared" si="380"/>
        <v>-2032.8706882486335</v>
      </c>
      <c r="BK349" s="42">
        <f>'[1]побудинковий звіт'!BK349+'[2]побудинковий звіт'!BK349-'[3]побудинковий звіт'!BK349</f>
        <v>3000.3150390429578</v>
      </c>
      <c r="BL349" s="42">
        <f>'[1]побудинковий звіт'!BL349+'[2]побудинковий звіт'!BL349-'[3]побудинковий звіт'!BL349</f>
        <v>532</v>
      </c>
      <c r="BM349" s="39">
        <f t="shared" si="381"/>
        <v>-2468.3150390429578</v>
      </c>
      <c r="BN349" s="42">
        <f>'[1]побудинковий звіт'!BN349+'[2]побудинковий звіт'!BN349-'[3]побудинковий звіт'!BN349</f>
        <v>0</v>
      </c>
      <c r="BO349" s="42">
        <f>'[1]побудинковий звіт'!BO349+'[2]побудинковий звіт'!BO349-'[3]побудинковий звіт'!BO349</f>
        <v>0</v>
      </c>
      <c r="BP349" s="59">
        <f t="shared" si="382"/>
        <v>0</v>
      </c>
      <c r="BQ349" s="87">
        <f t="shared" si="338"/>
        <v>16826.165282665777</v>
      </c>
      <c r="BR349" s="43">
        <f t="shared" si="385"/>
        <v>10448.35461268172</v>
      </c>
      <c r="BS349" s="59">
        <f t="shared" si="383"/>
        <v>-6377.8106699840573</v>
      </c>
      <c r="BT349" s="42">
        <f>'[1]побудинковий звіт'!BT349+'[2]побудинковий звіт'!BT349-'[3]побудинковий звіт'!BT349</f>
        <v>52172.925994354562</v>
      </c>
      <c r="BU349" s="42">
        <f>'[1]побудинковий звіт'!BU349+'[2]побудинковий звіт'!BU349-'[3]побудинковий звіт'!BU349</f>
        <v>64258.289418213375</v>
      </c>
      <c r="BV349" s="56">
        <f t="shared" si="361"/>
        <v>12085.363423858813</v>
      </c>
      <c r="BW349" s="42">
        <f>'[1]побудинковий звіт'!BW349+'[2]побудинковий звіт'!BW349-'[3]побудинковий звіт'!BW349</f>
        <v>35977.393763388609</v>
      </c>
      <c r="BX349" s="42">
        <f>'[1]побудинковий звіт'!BX349+'[2]побудинковий звіт'!BX349-'[3]побудинковий звіт'!BX349</f>
        <v>34801.982017378177</v>
      </c>
      <c r="BY349" s="56">
        <f t="shared" si="362"/>
        <v>-1175.4117460104317</v>
      </c>
      <c r="BZ349" s="42">
        <f>'[1]побудинковий звіт'!BZ349+'[2]побудинковий звіт'!BZ349-'[3]побудинковий звіт'!BZ349</f>
        <v>7712.3448292905314</v>
      </c>
      <c r="CA349" s="42">
        <f>'[1]побудинковий звіт'!CA349+'[2]побудинковий звіт'!CA349-'[3]побудинковий звіт'!CA349</f>
        <v>11013.390164332031</v>
      </c>
      <c r="CB349" s="56">
        <f t="shared" si="363"/>
        <v>3301.0453350415</v>
      </c>
      <c r="CC349" s="42">
        <f>'[1]побудинковий звіт'!CC349+'[2]побудинковий звіт'!CC349-'[3]побудинковий звіт'!CC349</f>
        <v>2616.8971950232331</v>
      </c>
      <c r="CD349" s="42">
        <f>'[1]побудинковий звіт'!CD349+'[2]побудинковий звіт'!CD349-'[3]побудинковий звіт'!CD349</f>
        <v>2593.8808443425555</v>
      </c>
      <c r="CE349" s="56">
        <f t="shared" si="364"/>
        <v>-23.016350680677533</v>
      </c>
      <c r="CF349" s="42">
        <f>'[1]побудинковий звіт'!CF349+'[2]побудинковий звіт'!CF349-'[3]побудинковий звіт'!CF349</f>
        <v>322.1559046903601</v>
      </c>
      <c r="CG349" s="42">
        <f>'[1]побудинковий звіт'!CG349+'[2]побудинковий звіт'!CG349-'[3]побудинковий звіт'!CG349</f>
        <v>0</v>
      </c>
      <c r="CH349" s="56">
        <f t="shared" si="365"/>
        <v>-322.1559046903601</v>
      </c>
      <c r="CI349" s="42">
        <f>'[1]побудинковий звіт'!CI349+'[2]побудинковий звіт'!CI349-'[3]побудинковий звіт'!CI349</f>
        <v>12933.809897439765</v>
      </c>
      <c r="CJ349" s="42">
        <f>'[1]побудинковий звіт'!CJ349+'[2]побудинковий звіт'!CJ349-'[3]побудинковий звіт'!CJ349</f>
        <v>4112.2519170086543</v>
      </c>
      <c r="CK349" s="56">
        <f t="shared" si="366"/>
        <v>-8821.557980431111</v>
      </c>
      <c r="CL349" s="42">
        <f>'[1]побудинковий звіт'!CL349+'[2]побудинковий звіт'!CL349-'[3]побудинковий звіт'!CL349</f>
        <v>0</v>
      </c>
      <c r="CM349" s="42">
        <f>'[1]побудинковий звіт'!CM349+'[2]побудинковий звіт'!CM349-'[3]побудинковий звіт'!CM349</f>
        <v>0</v>
      </c>
      <c r="CN349" s="56">
        <f t="shared" si="367"/>
        <v>0</v>
      </c>
      <c r="CO349" s="42">
        <f t="shared" si="347"/>
        <v>12933.809897439765</v>
      </c>
      <c r="CP349" s="43">
        <f t="shared" si="368"/>
        <v>4112.2519170086543</v>
      </c>
      <c r="CQ349" s="56">
        <f t="shared" si="369"/>
        <v>-8821.557980431111</v>
      </c>
      <c r="CR349" s="78">
        <f t="shared" si="348"/>
        <v>312532.93494800309</v>
      </c>
      <c r="CS349" s="5">
        <f t="shared" si="348"/>
        <v>326220.35004279146</v>
      </c>
      <c r="CT349" s="56">
        <f t="shared" si="370"/>
        <v>13687.415094788361</v>
      </c>
      <c r="CU349" s="87">
        <f t="shared" si="371"/>
        <v>375039.52193760371</v>
      </c>
      <c r="CV349" s="70">
        <f t="shared" si="372"/>
        <v>391464.42005134973</v>
      </c>
      <c r="CW349" s="37">
        <f t="shared" si="373"/>
        <v>16424.898113746021</v>
      </c>
      <c r="CX349" s="42">
        <f>'[1]побудинковий звіт'!CX349+'[2]побудинковий звіт'!CX349-'[3]побудинковий звіт'!CX349</f>
        <v>17692.398062396416</v>
      </c>
      <c r="CY349" s="42">
        <f>'[1]побудинковий звіт'!CY349+'[2]побудинковий звіт'!CY349-'[3]побудинковий звіт'!CY349</f>
        <v>1267.4999486503584</v>
      </c>
      <c r="CZ349" s="56">
        <f t="shared" si="374"/>
        <v>-16424.898113746058</v>
      </c>
      <c r="DA349" s="264">
        <f>'[4]побудинковий звіт'!DA349</f>
        <v>37566.00484701094</v>
      </c>
      <c r="DB349" s="2">
        <v>3</v>
      </c>
      <c r="DC349" s="717">
        <f>'[4]побудинковий звіт'!DC349</f>
        <v>80086.350000000006</v>
      </c>
      <c r="DD349" s="717">
        <f>'[4]побудинковий звіт'!DD349</f>
        <v>0</v>
      </c>
      <c r="DE349" s="717">
        <f>'[4]побудинковий звіт'!DE349</f>
        <v>47358.69</v>
      </c>
      <c r="DF349" s="717">
        <f>'[4]побудинковий звіт'!DF349</f>
        <v>0</v>
      </c>
      <c r="DG349" s="787">
        <v>34500.365588630782</v>
      </c>
      <c r="DH349" s="761">
        <f t="shared" si="344"/>
        <v>4712783.0400000019</v>
      </c>
      <c r="DI349" s="784"/>
      <c r="DJ349" s="5"/>
      <c r="DK349" s="317">
        <f>VLOOKUP($A349,ціни!$A$4:$G$401,5)</f>
        <v>5.580107755872346</v>
      </c>
      <c r="DL349" s="317"/>
      <c r="DM349" s="317">
        <f>VLOOKUP($A349,ціни!$A$4:$G$401,7)</f>
        <v>4.9377507063391226</v>
      </c>
      <c r="DN349" s="30">
        <f t="shared" ref="DN349:DN362" si="388">F349*DK349</f>
        <v>21734.575510200346</v>
      </c>
      <c r="DO349" s="30">
        <f t="shared" ref="DO349:DO362" si="389">H349*DM349</f>
        <v>0</v>
      </c>
      <c r="DP349" s="316">
        <f t="shared" si="335"/>
        <v>21734.575510200346</v>
      </c>
      <c r="DQ349" s="104"/>
      <c r="DR349" s="30">
        <f>VLOOKUP(A349,'ДЗ нас '!$A$1:$C$359,2)</f>
        <v>32727.66</v>
      </c>
      <c r="DS349" s="748"/>
      <c r="DT349" s="30">
        <f t="shared" si="336"/>
        <v>32727.66</v>
      </c>
      <c r="DU349" s="257">
        <f>VLOOKUP(A349,'новий кошторис с 01.06'!$A$4:$AI$399,35)*1.2</f>
        <v>33015.979247907038</v>
      </c>
      <c r="DV349" s="30">
        <f t="shared" si="337"/>
        <v>-288.31924790703852</v>
      </c>
      <c r="DW349" s="930">
        <f>'[5]побудинковий звіт'!DW349+'[6]побудинковий звіт'!DW349</f>
        <v>305.60000000000002</v>
      </c>
      <c r="DY349" s="5">
        <f t="shared" si="340"/>
        <v>133556.92996322329</v>
      </c>
      <c r="DZ349" s="5">
        <f t="shared" si="341"/>
        <v>144162.29697565179</v>
      </c>
      <c r="EA349" s="752">
        <f t="shared" si="345"/>
        <v>47358.69</v>
      </c>
      <c r="EC349" s="592">
        <f t="shared" si="342"/>
        <v>1133655.3162402436</v>
      </c>
      <c r="EE349" s="758">
        <v>-53443</v>
      </c>
      <c r="EF349" s="738">
        <f t="shared" si="343"/>
        <v>-18942.634411369218</v>
      </c>
      <c r="EH349" s="813">
        <v>1851.2654784140686</v>
      </c>
    </row>
    <row r="350" spans="1:138" x14ac:dyDescent="0.3">
      <c r="A350" s="328">
        <v>150000912</v>
      </c>
      <c r="B350" s="44" t="s">
        <v>803</v>
      </c>
      <c r="C350" s="45" t="s">
        <v>319</v>
      </c>
      <c r="D350" s="45" t="s">
        <v>319</v>
      </c>
      <c r="E350" s="40">
        <f t="shared" si="384"/>
        <v>8350.2999999999993</v>
      </c>
      <c r="F350" s="490">
        <v>8350.2999999999993</v>
      </c>
      <c r="G350" s="30"/>
      <c r="H350" s="30">
        <v>0</v>
      </c>
      <c r="I350" s="42">
        <f>'[1]побудинковий звіт'!I350+'[2]побудинковий звіт'!I350-'[3]побудинковий звіт'!I350</f>
        <v>15911.278140835861</v>
      </c>
      <c r="J350" s="42">
        <f>'[1]побудинковий звіт'!J350+'[2]побудинковий звіт'!J350-'[3]побудинковий звіт'!J350</f>
        <v>14667.728079383454</v>
      </c>
      <c r="K350" s="56">
        <f t="shared" si="349"/>
        <v>-1243.5500614524062</v>
      </c>
      <c r="L350" s="42">
        <f>'[1]побудинковий звіт'!L350+'[2]побудинковий звіт'!L350-'[3]побудинковий звіт'!L350</f>
        <v>3018.4372170307424</v>
      </c>
      <c r="M350" s="42">
        <f>'[1]побудинковий звіт'!M350+'[2]побудинковий звіт'!M350-'[3]побудинковий звіт'!M350</f>
        <v>2967.6350372705338</v>
      </c>
      <c r="N350" s="56">
        <f t="shared" si="350"/>
        <v>-50.802179760208674</v>
      </c>
      <c r="O350" s="42">
        <f>'[1]побудинковий звіт'!O350+'[2]побудинковий звіт'!O350-'[3]побудинковий звіт'!O350</f>
        <v>6267.96</v>
      </c>
      <c r="P350" s="42">
        <f>'[1]побудинковий звіт'!P350+'[2]побудинковий звіт'!P350-'[3]побудинковий звіт'!P350</f>
        <v>6267.8399999999992</v>
      </c>
      <c r="Q350" s="56">
        <f t="shared" si="351"/>
        <v>-0.12000000000080036</v>
      </c>
      <c r="R350" s="42">
        <f>'[1]побудинковий звіт'!R350+'[2]побудинковий звіт'!R350-'[3]побудинковий звіт'!R350</f>
        <v>0</v>
      </c>
      <c r="S350" s="42">
        <f>'[1]побудинковий звіт'!S350+'[2]побудинковий звіт'!S350-'[3]побудинковий звіт'!S350</f>
        <v>0</v>
      </c>
      <c r="T350" s="56">
        <f t="shared" si="352"/>
        <v>0</v>
      </c>
      <c r="U350" s="42">
        <f>'[1]побудинковий звіт'!U350+'[2]побудинковий звіт'!U350-'[3]побудинковий звіт'!U350</f>
        <v>957.54158050215835</v>
      </c>
      <c r="V350" s="42">
        <f>'[1]побудинковий звіт'!V350+'[2]побудинковий звіт'!V350-'[3]побудинковий звіт'!V350</f>
        <v>650.18756781872185</v>
      </c>
      <c r="W350" s="56">
        <f t="shared" si="353"/>
        <v>-307.35401268343651</v>
      </c>
      <c r="X350" s="42">
        <f>'[1]побудинковий звіт'!X350+'[2]побудинковий звіт'!X350-'[3]побудинковий звіт'!X350</f>
        <v>12409.101421501944</v>
      </c>
      <c r="Y350" s="42">
        <f>'[1]побудинковий звіт'!Y350+'[2]побудинковий звіт'!Y350-'[3]побудинковий звіт'!Y350</f>
        <v>11089.251819195288</v>
      </c>
      <c r="Z350" s="56">
        <f t="shared" si="354"/>
        <v>-1319.8496023066564</v>
      </c>
      <c r="AA350" s="42">
        <f>'[1]побудинковий звіт'!AA350+'[2]побудинковий звіт'!AA350-'[3]побудинковий звіт'!AA350</f>
        <v>0</v>
      </c>
      <c r="AB350" s="42">
        <f>'[1]побудинковий звіт'!AB350+'[2]побудинковий звіт'!AB350-'[3]побудинковий звіт'!AB350</f>
        <v>0</v>
      </c>
      <c r="AC350" s="56">
        <f t="shared" si="355"/>
        <v>0</v>
      </c>
      <c r="AD350" s="42">
        <f>'[1]побудинковий звіт'!AD350+'[2]побудинковий звіт'!AD350-'[3]побудинковий звіт'!AD350</f>
        <v>19102.362891219647</v>
      </c>
      <c r="AE350" s="42">
        <f>'[1]побудинковий звіт'!AE350+'[2]побудинковий звіт'!AE350-'[3]побудинковий звіт'!AE350</f>
        <v>17606.349801216304</v>
      </c>
      <c r="AF350" s="37">
        <f t="shared" si="356"/>
        <v>-1496.0130900033437</v>
      </c>
      <c r="AG350" s="87">
        <f t="shared" si="346"/>
        <v>57666.681251090355</v>
      </c>
      <c r="AH350" s="57">
        <f t="shared" si="346"/>
        <v>53248.992304884305</v>
      </c>
      <c r="AI350" s="56">
        <f t="shared" si="357"/>
        <v>-4417.6889462060499</v>
      </c>
      <c r="AJ350" s="42">
        <f>'[1]побудинковий звіт'!AJ350+'[2]побудинковий звіт'!AJ350-'[3]побудинковий звіт'!AJ350</f>
        <v>0</v>
      </c>
      <c r="AK350" s="42">
        <f>'[1]побудинковий звіт'!AK350+'[2]побудинковий звіт'!AK350-'[3]побудинковий звіт'!AK350</f>
        <v>0</v>
      </c>
      <c r="AL350" s="56">
        <f t="shared" si="358"/>
        <v>0</v>
      </c>
      <c r="AM350" s="42">
        <f>'[1]побудинковий звіт'!AM350+'[2]побудинковий звіт'!AM350-'[3]побудинковий звіт'!AM350</f>
        <v>0</v>
      </c>
      <c r="AN350" s="42">
        <f>'[1]побудинковий звіт'!AN350+'[2]побудинковий звіт'!AN350-'[3]побудинковий звіт'!AN350</f>
        <v>0</v>
      </c>
      <c r="AO350" s="56">
        <f t="shared" si="359"/>
        <v>0</v>
      </c>
      <c r="AP350" s="42">
        <f>'[1]побудинковий звіт'!AP350+'[2]побудинковий звіт'!AP350-'[3]побудинковий звіт'!AP350</f>
        <v>7670.8429074385649</v>
      </c>
      <c r="AQ350" s="42">
        <f>'[1]побудинковий звіт'!AQ350+'[2]побудинковий звіт'!AQ350-'[3]побудинковий звіт'!AQ350</f>
        <v>12383.177960853585</v>
      </c>
      <c r="AR350" s="56">
        <f t="shared" si="360"/>
        <v>4712.3350534150204</v>
      </c>
      <c r="AS350" s="42">
        <f>'[1]побудинковий звіт'!AS350+'[2]побудинковий звіт'!AS350-'[3]побудинковий звіт'!AS350</f>
        <v>76686.304701939313</v>
      </c>
      <c r="AT350" s="42">
        <f>'[1]побудинковий звіт'!AT350+'[2]побудинковий звіт'!AT350-'[3]побудинковий звіт'!AT350</f>
        <v>24811.474122109434</v>
      </c>
      <c r="AU350" s="58">
        <f t="shared" si="375"/>
        <v>-51874.830579829882</v>
      </c>
      <c r="AV350" s="42">
        <f>'[1]побудинковий звіт'!AV350+'[2]побудинковий звіт'!AV350-'[3]побудинковий звіт'!AV350</f>
        <v>2644.7093072454318</v>
      </c>
      <c r="AW350" s="42">
        <f>'[1]побудинковий звіт'!AW350+'[2]побудинковий звіт'!AW350-'[3]побудинковий звіт'!AW350</f>
        <v>7491</v>
      </c>
      <c r="AX350" s="59">
        <f t="shared" si="376"/>
        <v>4846.2906927545682</v>
      </c>
      <c r="AY350" s="42">
        <f>'[1]побудинковий звіт'!AY350+'[2]побудинковий звіт'!AY350-'[3]побудинковий звіт'!AY350</f>
        <v>3890.2304539220268</v>
      </c>
      <c r="AZ350" s="42">
        <f>'[1]побудинковий звіт'!AZ350+'[2]побудинковий звіт'!AZ350-'[3]побудинковий звіт'!AZ350</f>
        <v>4644</v>
      </c>
      <c r="BA350" s="37">
        <f t="shared" si="377"/>
        <v>753.76954607797325</v>
      </c>
      <c r="BB350" s="42">
        <f>'[1]побудинковий звіт'!BB350+'[2]побудинковий звіт'!BB350-'[3]побудинковий звіт'!BB350</f>
        <v>2614.4027370529166</v>
      </c>
      <c r="BC350" s="42">
        <f>'[1]побудинковий звіт'!BC350+'[2]побудинковий звіт'!BC350-'[3]побудинковий звіт'!BC350</f>
        <v>7338</v>
      </c>
      <c r="BD350" s="59">
        <f t="shared" si="378"/>
        <v>4723.5972629470834</v>
      </c>
      <c r="BE350" s="42">
        <f>'[1]побудинковий звіт'!BE350+'[2]побудинковий звіт'!BE350-'[3]побудинковий звіт'!BE350</f>
        <v>0</v>
      </c>
      <c r="BF350" s="42">
        <f>'[1]побудинковий звіт'!BF350+'[2]побудинковий звіт'!BF350-'[3]побудинковий звіт'!BF350</f>
        <v>0</v>
      </c>
      <c r="BG350" s="39">
        <f t="shared" si="379"/>
        <v>0</v>
      </c>
      <c r="BH350" s="42">
        <f>'[1]побудинковий звіт'!BH350+'[2]побудинковий звіт'!BH350-'[3]побудинковий звіт'!BH350</f>
        <v>971.4550439988127</v>
      </c>
      <c r="BI350" s="42">
        <f>'[1]побудинковий звіт'!BI350+'[2]побудинковий звіт'!BI350-'[3]побудинковий звіт'!BI350</f>
        <v>0</v>
      </c>
      <c r="BJ350" s="59">
        <f t="shared" si="380"/>
        <v>-971.4550439988127</v>
      </c>
      <c r="BK350" s="42">
        <f>'[1]побудинковий звіт'!BK350+'[2]побудинковий звіт'!BK350-'[3]побудинковий звіт'!BK350</f>
        <v>1940.3738462764074</v>
      </c>
      <c r="BL350" s="42">
        <f>'[1]побудинковий звіт'!BL350+'[2]побудинковий звіт'!BL350-'[3]побудинковий звіт'!BL350</f>
        <v>1720</v>
      </c>
      <c r="BM350" s="39">
        <f t="shared" si="381"/>
        <v>-220.37384627640745</v>
      </c>
      <c r="BN350" s="42">
        <f>'[1]побудинковий звіт'!BN350+'[2]побудинковий звіт'!BN350-'[3]побудинковий звіт'!BN350</f>
        <v>0</v>
      </c>
      <c r="BO350" s="42">
        <f>'[1]побудинковий звіт'!BO350+'[2]побудинковий звіт'!BO350-'[3]побудинковий звіт'!BO350</f>
        <v>0</v>
      </c>
      <c r="BP350" s="59">
        <f t="shared" si="382"/>
        <v>0</v>
      </c>
      <c r="BQ350" s="87">
        <f t="shared" si="338"/>
        <v>12061.171388495595</v>
      </c>
      <c r="BR350" s="43">
        <f t="shared" si="385"/>
        <v>21193</v>
      </c>
      <c r="BS350" s="59">
        <f t="shared" si="383"/>
        <v>9131.8286115044048</v>
      </c>
      <c r="BT350" s="42">
        <f>'[1]побудинковий звіт'!BT350+'[2]побудинковий звіт'!BT350-'[3]побудинковий звіт'!BT350</f>
        <v>46034.72862603009</v>
      </c>
      <c r="BU350" s="42">
        <f>'[1]побудинковий звіт'!BU350+'[2]побудинковий звіт'!BU350-'[3]побудинковий звіт'!BU350</f>
        <v>59083.336844970014</v>
      </c>
      <c r="BV350" s="56">
        <f t="shared" si="361"/>
        <v>13048.608218939924</v>
      </c>
      <c r="BW350" s="42">
        <f>'[1]побудинковий звіт'!BW350+'[2]побудинковий звіт'!BW350-'[3]побудинковий звіт'!BW350</f>
        <v>26241.167613477595</v>
      </c>
      <c r="BX350" s="42">
        <f>'[1]побудинковий звіт'!BX350+'[2]побудинковий звіт'!BX350-'[3]побудинковий звіт'!BX350</f>
        <v>25366.607814370131</v>
      </c>
      <c r="BY350" s="56">
        <f t="shared" si="362"/>
        <v>-874.55979910746464</v>
      </c>
      <c r="BZ350" s="42">
        <f>'[1]побудинковий звіт'!BZ350+'[2]побудинковий звіт'!BZ350-'[3]побудинковий звіт'!BZ350</f>
        <v>7232.3446330987117</v>
      </c>
      <c r="CA350" s="42">
        <f>'[1]побудинковий звіт'!CA350+'[2]побудинковий звіт'!CA350-'[3]побудинковий звіт'!CA350</f>
        <v>11070.841407794222</v>
      </c>
      <c r="CB350" s="56">
        <f t="shared" si="363"/>
        <v>3838.4967746955099</v>
      </c>
      <c r="CC350" s="42">
        <f>'[1]побудинковий звіт'!CC350+'[2]побудинковий звіт'!CC350-'[3]побудинковий звіт'!CC350</f>
        <v>2463.0658773883952</v>
      </c>
      <c r="CD350" s="42">
        <f>'[1]побудинковий звіт'!CD350+'[2]побудинковий звіт'!CD350-'[3]побудинковий звіт'!CD350</f>
        <v>2441.4025166375804</v>
      </c>
      <c r="CE350" s="56">
        <f t="shared" si="364"/>
        <v>-21.663360750814718</v>
      </c>
      <c r="CF350" s="42">
        <f>'[1]побудинковий звіт'!CF350+'[2]побудинковий звіт'!CF350-'[3]побудинковий звіт'!CF350</f>
        <v>303.21833717849563</v>
      </c>
      <c r="CG350" s="42">
        <f>'[1]побудинковий звіт'!CG350+'[2]побудинковий звіт'!CG350-'[3]побудинковий звіт'!CG350</f>
        <v>0</v>
      </c>
      <c r="CH350" s="56">
        <f t="shared" si="365"/>
        <v>-303.21833717849563</v>
      </c>
      <c r="CI350" s="42">
        <f>'[1]побудинковий звіт'!CI350+'[2]побудинковий звіт'!CI350-'[3]побудинковий звіт'!CI350</f>
        <v>8984.4120850522231</v>
      </c>
      <c r="CJ350" s="42">
        <f>'[1]побудинковий звіт'!CJ350+'[2]побудинковий звіт'!CJ350-'[3]побудинковий звіт'!CJ350</f>
        <v>5613.0003069779177</v>
      </c>
      <c r="CK350" s="56">
        <f t="shared" si="366"/>
        <v>-3371.4117780743054</v>
      </c>
      <c r="CL350" s="42">
        <f>'[1]побудинковий звіт'!CL350+'[2]побудинковий звіт'!CL350-'[3]побудинковий звіт'!CL350</f>
        <v>0</v>
      </c>
      <c r="CM350" s="42">
        <f>'[1]побудинковий звіт'!CM350+'[2]побудинковий звіт'!CM350-'[3]побудинковий звіт'!CM350</f>
        <v>0</v>
      </c>
      <c r="CN350" s="56">
        <f t="shared" si="367"/>
        <v>0</v>
      </c>
      <c r="CO350" s="42">
        <f t="shared" si="347"/>
        <v>8984.4120850522231</v>
      </c>
      <c r="CP350" s="43">
        <f t="shared" si="368"/>
        <v>5613.0003069779177</v>
      </c>
      <c r="CQ350" s="56">
        <f t="shared" si="369"/>
        <v>-3371.4117780743054</v>
      </c>
      <c r="CR350" s="78">
        <f t="shared" si="348"/>
        <v>245343.93742118936</v>
      </c>
      <c r="CS350" s="5">
        <f t="shared" si="348"/>
        <v>215211.83327859719</v>
      </c>
      <c r="CT350" s="56">
        <f t="shared" si="370"/>
        <v>-30132.104142592172</v>
      </c>
      <c r="CU350" s="87">
        <f t="shared" si="371"/>
        <v>294412.7249054272</v>
      </c>
      <c r="CV350" s="70">
        <f t="shared" si="372"/>
        <v>258254.19993431662</v>
      </c>
      <c r="CW350" s="37">
        <f t="shared" si="373"/>
        <v>-36158.524971110572</v>
      </c>
      <c r="CX350" s="42">
        <f>'[1]побудинковий звіт'!CX350+'[2]побудинковий звіт'!CX350-'[3]побудинковий звіт'!CX350</f>
        <v>14685.195094572802</v>
      </c>
      <c r="CY350" s="42">
        <f>'[1]побудинковий звіт'!CY350+'[2]побудинковий звіт'!CY350-'[3]побудинковий звіт'!CY350</f>
        <v>50843.720065683388</v>
      </c>
      <c r="CZ350" s="56">
        <f t="shared" si="374"/>
        <v>36158.524971110586</v>
      </c>
      <c r="DA350" s="264">
        <f>'[4]побудинковий звіт'!DA350</f>
        <v>41215.246821285444</v>
      </c>
      <c r="DB350" s="2">
        <v>3</v>
      </c>
      <c r="DC350" s="717">
        <f>'[4]побудинковий звіт'!DC350</f>
        <v>62873.95</v>
      </c>
      <c r="DD350" s="717">
        <f>'[4]побудинковий звіт'!DD350</f>
        <v>0</v>
      </c>
      <c r="DE350" s="717">
        <f>'[4]побудинковий звіт'!DE350</f>
        <v>37115.789999999994</v>
      </c>
      <c r="DF350" s="717">
        <f>'[4]побудинковий звіт'!DF350</f>
        <v>0</v>
      </c>
      <c r="DG350" s="787">
        <v>-267.25506978714839</v>
      </c>
      <c r="DH350" s="761">
        <f t="shared" si="344"/>
        <v>3709175.04</v>
      </c>
      <c r="DI350" s="784"/>
      <c r="DJ350" s="5"/>
      <c r="DK350" s="317">
        <f>VLOOKUP($A350,ціни!$A$4:$G$401,5)</f>
        <v>5.7663118305513743</v>
      </c>
      <c r="DL350" s="317"/>
      <c r="DM350" s="317">
        <f>VLOOKUP($A350,ціни!$A$4:$G$401,7)</f>
        <v>5.1495663880205864</v>
      </c>
      <c r="DN350" s="30">
        <f t="shared" si="388"/>
        <v>48150.433678653135</v>
      </c>
      <c r="DO350" s="30">
        <f t="shared" si="389"/>
        <v>0</v>
      </c>
      <c r="DP350" s="316">
        <f t="shared" si="335"/>
        <v>48150.433678653135</v>
      </c>
      <c r="DQ350" s="104"/>
      <c r="DR350" s="30">
        <f>VLOOKUP(A350,'ДЗ нас '!$A$1:$C$359,2)</f>
        <v>25758.16</v>
      </c>
      <c r="DS350" s="748"/>
      <c r="DT350" s="30">
        <f t="shared" si="336"/>
        <v>25758.16</v>
      </c>
      <c r="DU350" s="257">
        <f>VLOOKUP(A350,'новий кошторис с 01.06'!$A$4:$AI$399,35)*1.2</f>
        <v>26006.457366646071</v>
      </c>
      <c r="DV350" s="30">
        <f t="shared" si="337"/>
        <v>-248.29736664607117</v>
      </c>
      <c r="DW350" s="930">
        <f>'[5]побудинковий звіт'!DW350+'[6]побудинковий звіт'!DW350</f>
        <v>251</v>
      </c>
      <c r="DY350" s="5">
        <f t="shared" si="340"/>
        <v>106496.97130852188</v>
      </c>
      <c r="DZ350" s="5">
        <f t="shared" si="341"/>
        <v>55205.368946531315</v>
      </c>
      <c r="EA350" s="752">
        <f t="shared" si="345"/>
        <v>37115.789999999994</v>
      </c>
      <c r="EC350" s="592">
        <f t="shared" si="342"/>
        <v>920235.65642327175</v>
      </c>
      <c r="EE350" s="758">
        <v>168</v>
      </c>
      <c r="EF350" s="738">
        <f t="shared" si="343"/>
        <v>-99.255069787148386</v>
      </c>
      <c r="EH350" s="813">
        <v>68366.303031111092</v>
      </c>
    </row>
    <row r="351" spans="1:138" x14ac:dyDescent="0.3">
      <c r="A351" s="328">
        <v>150000913</v>
      </c>
      <c r="B351" s="44" t="s">
        <v>804</v>
      </c>
      <c r="C351" s="45" t="s">
        <v>320</v>
      </c>
      <c r="D351" s="45" t="s">
        <v>320</v>
      </c>
      <c r="E351" s="40">
        <f t="shared" si="384"/>
        <v>3581.3</v>
      </c>
      <c r="F351" s="490">
        <v>3581.3</v>
      </c>
      <c r="G351" s="30"/>
      <c r="H351" s="30">
        <v>0</v>
      </c>
      <c r="I351" s="42">
        <f>'[1]побудинковий звіт'!I351+'[2]побудинковий звіт'!I351-'[3]побудинковий звіт'!I351</f>
        <v>10559.355693218025</v>
      </c>
      <c r="J351" s="42">
        <f>'[1]побудинковий звіт'!J351+'[2]побудинковий звіт'!J351-'[3]побудинковий звіт'!J351</f>
        <v>9776.7722258681242</v>
      </c>
      <c r="K351" s="56">
        <f t="shared" si="349"/>
        <v>-782.58346734990118</v>
      </c>
      <c r="L351" s="42">
        <f>'[1]побудинковий звіт'!L351+'[2]побудинковий звіт'!L351-'[3]побудинковий звіт'!L351</f>
        <v>1994.6359706671178</v>
      </c>
      <c r="M351" s="42">
        <f>'[1]побудинковий звіт'!M351+'[2]побудинковий звіт'!M351-'[3]побудинковий звіт'!M351</f>
        <v>1987.3172160809513</v>
      </c>
      <c r="N351" s="56">
        <f t="shared" si="350"/>
        <v>-7.3187545861665058</v>
      </c>
      <c r="O351" s="42">
        <f>'[1]побудинковий звіт'!O351+'[2]побудинковий звіт'!O351-'[3]побудинковий звіт'!O351</f>
        <v>4134.3599999999988</v>
      </c>
      <c r="P351" s="42">
        <f>'[1]побудинковий звіт'!P351+'[2]побудинковий звіт'!P351-'[3]побудинковий звіт'!P351</f>
        <v>4133.28</v>
      </c>
      <c r="Q351" s="56">
        <f t="shared" si="351"/>
        <v>-1.0799999999990177</v>
      </c>
      <c r="R351" s="42">
        <f>'[1]побудинковий звіт'!R351+'[2]побудинковий звіт'!R351-'[3]побудинковий звіт'!R351</f>
        <v>0</v>
      </c>
      <c r="S351" s="42">
        <f>'[1]побудинковий звіт'!S351+'[2]побудинковий звіт'!S351-'[3]побудинковий звіт'!S351</f>
        <v>0</v>
      </c>
      <c r="T351" s="56">
        <f t="shared" si="352"/>
        <v>0</v>
      </c>
      <c r="U351" s="42">
        <f>'[1]побудинковий звіт'!U351+'[2]побудинковий звіт'!U351-'[3]побудинковий звіт'!U351</f>
        <v>957.54158050215835</v>
      </c>
      <c r="V351" s="42">
        <f>'[1]побудинковий звіт'!V351+'[2]побудинковий звіт'!V351-'[3]побудинковий звіт'!V351</f>
        <v>650.18756781872185</v>
      </c>
      <c r="W351" s="56">
        <f t="shared" si="353"/>
        <v>-307.35401268343651</v>
      </c>
      <c r="X351" s="42">
        <f>'[1]побудинковий звіт'!X351+'[2]побудинковий звіт'!X351-'[3]побудинковий звіт'!X351</f>
        <v>7112.3912528375431</v>
      </c>
      <c r="Y351" s="42">
        <f>'[1]побудинковий звіт'!Y351+'[2]побудинковий звіт'!Y351-'[3]побудинковий звіт'!Y351</f>
        <v>6127.3806872966779</v>
      </c>
      <c r="Z351" s="56">
        <f t="shared" si="354"/>
        <v>-985.01056554086517</v>
      </c>
      <c r="AA351" s="42">
        <f>'[1]побудинковий звіт'!AA351+'[2]побудинковий звіт'!AA351-'[3]побудинковий звіт'!AA351</f>
        <v>0</v>
      </c>
      <c r="AB351" s="42">
        <f>'[1]побудинковий звіт'!AB351+'[2]побудинковий звіт'!AB351-'[3]побудинковий звіт'!AB351</f>
        <v>0</v>
      </c>
      <c r="AC351" s="56">
        <f t="shared" si="355"/>
        <v>0</v>
      </c>
      <c r="AD351" s="42">
        <f>'[1]побудинковий звіт'!AD351+'[2]побудинковий звіт'!AD351-'[3]побудинковий звіт'!AD351</f>
        <v>11886.042012631211</v>
      </c>
      <c r="AE351" s="42">
        <f>'[1]побудинковий звіт'!AE351+'[2]побудинковий звіт'!AE351-'[3]побудинковий звіт'!AE351</f>
        <v>10954.944080581172</v>
      </c>
      <c r="AF351" s="37">
        <f t="shared" si="356"/>
        <v>-931.09793205003916</v>
      </c>
      <c r="AG351" s="87">
        <f t="shared" si="346"/>
        <v>36644.326509856059</v>
      </c>
      <c r="AH351" s="57">
        <f t="shared" si="346"/>
        <v>33629.881777645642</v>
      </c>
      <c r="AI351" s="56">
        <f t="shared" si="357"/>
        <v>-3014.444732210417</v>
      </c>
      <c r="AJ351" s="42">
        <f>'[1]побудинковий звіт'!AJ351+'[2]побудинковий звіт'!AJ351-'[3]побудинковий звіт'!AJ351</f>
        <v>0</v>
      </c>
      <c r="AK351" s="42">
        <f>'[1]побудинковий звіт'!AK351+'[2]побудинковий звіт'!AK351-'[3]побудинковий звіт'!AK351</f>
        <v>0</v>
      </c>
      <c r="AL351" s="56">
        <f t="shared" si="358"/>
        <v>0</v>
      </c>
      <c r="AM351" s="42">
        <f>'[1]побудинковий звіт'!AM351+'[2]побудинковий звіт'!AM351-'[3]побудинковий звіт'!AM351</f>
        <v>0</v>
      </c>
      <c r="AN351" s="42">
        <f>'[1]побудинковий звіт'!AN351+'[2]побудинковий звіт'!AN351-'[3]побудинковий звіт'!AN351</f>
        <v>0</v>
      </c>
      <c r="AO351" s="56">
        <f t="shared" si="359"/>
        <v>0</v>
      </c>
      <c r="AP351" s="42">
        <f>'[1]побудинковий звіт'!AP351+'[2]побудинковий звіт'!AP351-'[3]побудинковий звіт'!AP351</f>
        <v>5113.8952716257081</v>
      </c>
      <c r="AQ351" s="42">
        <f>'[1]побудинковий звіт'!AQ351+'[2]побудинковий звіт'!AQ351-'[3]побудинковий звіт'!AQ351</f>
        <v>11344.060997492959</v>
      </c>
      <c r="AR351" s="56">
        <f t="shared" si="360"/>
        <v>6230.1657258672512</v>
      </c>
      <c r="AS351" s="42">
        <f>'[1]побудинковий звіт'!AS351+'[2]побудинковий звіт'!AS351-'[3]побудинковий звіт'!AS351</f>
        <v>50598.445824721435</v>
      </c>
      <c r="AT351" s="42">
        <f>'[1]побудинковий звіт'!AT351+'[2]побудинковий звіт'!AT351-'[3]побудинковий звіт'!AT351</f>
        <v>42008.325693492698</v>
      </c>
      <c r="AU351" s="58">
        <f t="shared" si="375"/>
        <v>-8590.1201312287376</v>
      </c>
      <c r="AV351" s="42">
        <f>'[1]побудинковий звіт'!AV351+'[2]побудинковий звіт'!AV351-'[3]побудинковий звіт'!AV351</f>
        <v>1762.4738315933535</v>
      </c>
      <c r="AW351" s="42">
        <f>'[1]побудинковий звіт'!AW351+'[2]побудинковий звіт'!AW351-'[3]побудинковий звіт'!AW351</f>
        <v>3294.6817949790502</v>
      </c>
      <c r="AX351" s="59">
        <f t="shared" si="376"/>
        <v>1532.2079633856968</v>
      </c>
      <c r="AY351" s="42">
        <f>'[1]побудинковий звіт'!AY351+'[2]побудинковий звіт'!AY351-'[3]побудинковий звіт'!AY351</f>
        <v>2570.742825601536</v>
      </c>
      <c r="AZ351" s="42">
        <f>'[1]побудинковий звіт'!AZ351+'[2]побудинковий звіт'!AZ351-'[3]побудинковий звіт'!AZ351</f>
        <v>0</v>
      </c>
      <c r="BA351" s="37">
        <f t="shared" si="377"/>
        <v>-2570.742825601536</v>
      </c>
      <c r="BB351" s="42">
        <f>'[1]побудинковий звіт'!BB351+'[2]побудинковий звіт'!BB351-'[3]побудинковий звіт'!BB351</f>
        <v>1497.0038800552861</v>
      </c>
      <c r="BC351" s="42">
        <f>'[1]побудинковий звіт'!BC351+'[2]побудинковий звіт'!BC351-'[3]побудинковий звіт'!BC351</f>
        <v>6843.031046198721</v>
      </c>
      <c r="BD351" s="59">
        <f t="shared" si="378"/>
        <v>5346.0271661434344</v>
      </c>
      <c r="BE351" s="42">
        <f>'[1]побудинковий звіт'!BE351+'[2]побудинковий звіт'!BE351-'[3]побудинковий звіт'!BE351</f>
        <v>0</v>
      </c>
      <c r="BF351" s="42">
        <f>'[1]побудинковий звіт'!BF351+'[2]побудинковий звіт'!BF351-'[3]побудинковий звіт'!BF351</f>
        <v>0</v>
      </c>
      <c r="BG351" s="39">
        <f t="shared" si="379"/>
        <v>0</v>
      </c>
      <c r="BH351" s="42">
        <f>'[1]побудинковий звіт'!BH351+'[2]побудинковий звіт'!BH351-'[3]побудинковий звіт'!BH351</f>
        <v>971.4550439988127</v>
      </c>
      <c r="BI351" s="42">
        <f>'[1]побудинковий звіт'!BI351+'[2]побудинковий звіт'!BI351-'[3]побудинковий звіт'!BI351</f>
        <v>0</v>
      </c>
      <c r="BJ351" s="59">
        <f t="shared" si="380"/>
        <v>-971.4550439988127</v>
      </c>
      <c r="BK351" s="42">
        <f>'[1]побудинковий звіт'!BK351+'[2]побудинковий звіт'!BK351-'[3]побудинковий звіт'!BK351</f>
        <v>1056.7240487077254</v>
      </c>
      <c r="BL351" s="42">
        <f>'[1]побудинковий звіт'!BL351+'[2]побудинковий звіт'!BL351-'[3]побудинковий звіт'!BL351</f>
        <v>0</v>
      </c>
      <c r="BM351" s="39">
        <f t="shared" si="381"/>
        <v>-1056.7240487077254</v>
      </c>
      <c r="BN351" s="42">
        <f>'[1]побудинковий звіт'!BN351+'[2]побудинковий звіт'!BN351-'[3]побудинковий звіт'!BN351</f>
        <v>0</v>
      </c>
      <c r="BO351" s="42">
        <f>'[1]побудинковий звіт'!BO351+'[2]побудинковий звіт'!BO351-'[3]побудинковий звіт'!BO351</f>
        <v>0</v>
      </c>
      <c r="BP351" s="59">
        <f t="shared" si="382"/>
        <v>0</v>
      </c>
      <c r="BQ351" s="87">
        <f t="shared" si="338"/>
        <v>7858.3996299567134</v>
      </c>
      <c r="BR351" s="43">
        <f t="shared" si="385"/>
        <v>10137.71284117777</v>
      </c>
      <c r="BS351" s="59">
        <f t="shared" si="383"/>
        <v>2279.3132112210569</v>
      </c>
      <c r="BT351" s="42">
        <f>'[1]побудинковий звіт'!BT351+'[2]побудинковий звіт'!BT351-'[3]побудинковий звіт'!BT351</f>
        <v>29801.056534129653</v>
      </c>
      <c r="BU351" s="42">
        <f>'[1]побудинковий звіт'!BU351+'[2]побудинковий звіт'!BU351-'[3]побудинковий звіт'!BU351</f>
        <v>42258.42204810468</v>
      </c>
      <c r="BV351" s="56">
        <f t="shared" si="361"/>
        <v>12457.365513975026</v>
      </c>
      <c r="BW351" s="42">
        <f>'[1]побудинковий звіт'!BW351+'[2]побудинковий звіт'!BW351-'[3]побудинковий звіт'!BW351</f>
        <v>17700.750142547182</v>
      </c>
      <c r="BX351" s="42">
        <f>'[1]побудинковий звіт'!BX351+'[2]побудинковий звіт'!BX351-'[3]побудинковий звіт'!BX351</f>
        <v>17519.569397458712</v>
      </c>
      <c r="BY351" s="56">
        <f t="shared" si="362"/>
        <v>-181.18074508846985</v>
      </c>
      <c r="BZ351" s="42">
        <f>'[1]побудинковий звіт'!BZ351+'[2]побудинковий звіт'!BZ351-'[3]побудинковий звіт'!BZ351</f>
        <v>7113.9196363218853</v>
      </c>
      <c r="CA351" s="42">
        <f>'[1]побудинковий звіт'!CA351+'[2]побудинковий звіт'!CA351-'[3]побудинковий звіт'!CA351</f>
        <v>10094.852212802736</v>
      </c>
      <c r="CB351" s="56">
        <f t="shared" si="363"/>
        <v>2980.9325764808509</v>
      </c>
      <c r="CC351" s="42">
        <f>'[1]побудинковий звіт'!CC351+'[2]побудинковий звіт'!CC351-'[3]побудинковий звіт'!CC351</f>
        <v>1732.7347842960396</v>
      </c>
      <c r="CD351" s="42">
        <f>'[1]побудинковий звіт'!CD351+'[2]побудинковий звіт'!CD351-'[3]побудинковий звіт'!CD351</f>
        <v>1717.4948919885344</v>
      </c>
      <c r="CE351" s="56">
        <f t="shared" si="364"/>
        <v>-15.239892307505215</v>
      </c>
      <c r="CF351" s="42">
        <f>'[1]побудинковий звіт'!CF351+'[2]побудинковий звіт'!CF351-'[3]побудинковий звіт'!CF351</f>
        <v>213.31015336977757</v>
      </c>
      <c r="CG351" s="42">
        <f>'[1]побудинковий звіт'!CG351+'[2]побудинковий звіт'!CG351-'[3]побудинковий звіт'!CG351</f>
        <v>0</v>
      </c>
      <c r="CH351" s="56">
        <f t="shared" si="365"/>
        <v>-213.31015336977757</v>
      </c>
      <c r="CI351" s="42">
        <f>'[1]побудинковий звіт'!CI351+'[2]побудинковий звіт'!CI351-'[3]побудинковий звіт'!CI351</f>
        <v>5091.1668481962597</v>
      </c>
      <c r="CJ351" s="42">
        <f>'[1]побудинковий звіт'!CJ351+'[2]побудинковий звіт'!CJ351-'[3]побудинковий звіт'!CJ351</f>
        <v>3338.0720532791984</v>
      </c>
      <c r="CK351" s="56">
        <f t="shared" si="366"/>
        <v>-1753.0947949170613</v>
      </c>
      <c r="CL351" s="42">
        <f>'[1]побудинковий звіт'!CL351+'[2]побудинковий звіт'!CL351-'[3]побудинковий звіт'!CL351</f>
        <v>0</v>
      </c>
      <c r="CM351" s="42">
        <f>'[1]побудинковий звіт'!CM351+'[2]побудинковий звіт'!CM351-'[3]побудинковий звіт'!CM351</f>
        <v>0</v>
      </c>
      <c r="CN351" s="56">
        <f t="shared" si="367"/>
        <v>0</v>
      </c>
      <c r="CO351" s="42">
        <f t="shared" si="347"/>
        <v>5091.1668481962597</v>
      </c>
      <c r="CP351" s="43">
        <f t="shared" si="368"/>
        <v>3338.0720532791984</v>
      </c>
      <c r="CQ351" s="56">
        <f t="shared" si="369"/>
        <v>-1753.0947949170613</v>
      </c>
      <c r="CR351" s="78">
        <f t="shared" si="348"/>
        <v>161868.00533502075</v>
      </c>
      <c r="CS351" s="5">
        <f t="shared" si="348"/>
        <v>172048.39191344293</v>
      </c>
      <c r="CT351" s="56">
        <f t="shared" si="370"/>
        <v>10180.386578422185</v>
      </c>
      <c r="CU351" s="87">
        <f t="shared" si="371"/>
        <v>194241.60640202489</v>
      </c>
      <c r="CV351" s="70">
        <f t="shared" si="372"/>
        <v>206458.07029613151</v>
      </c>
      <c r="CW351" s="37">
        <f t="shared" si="373"/>
        <v>12216.463894106622</v>
      </c>
      <c r="CX351" s="42">
        <f>'[1]побудинковий звіт'!CX351+'[2]побудинковий звіт'!CX351-'[3]побудинковий звіт'!CX351</f>
        <v>9038.9735979751276</v>
      </c>
      <c r="CY351" s="42">
        <f>'[1]побудинковий звіт'!CY351+'[2]побудинковий звіт'!CY351-'[3]побудинковий звіт'!CY351</f>
        <v>-3177.4902961315274</v>
      </c>
      <c r="CZ351" s="56">
        <f t="shared" si="374"/>
        <v>-12216.463894106655</v>
      </c>
      <c r="DA351" s="264">
        <f>'[4]побудинковий звіт'!DA351</f>
        <v>63435.274897842079</v>
      </c>
      <c r="DB351" s="2">
        <v>3</v>
      </c>
      <c r="DC351" s="717">
        <f>'[4]побудинковий звіт'!DC351</f>
        <v>38482.19</v>
      </c>
      <c r="DD351" s="717">
        <f>'[4]побудинковий звіт'!DD351</f>
        <v>0</v>
      </c>
      <c r="DE351" s="717">
        <f>'[4]побудинковий звіт'!DE351</f>
        <v>21544.480000000003</v>
      </c>
      <c r="DF351" s="717">
        <f>'[4]побудинковий звіт'!DF351</f>
        <v>0</v>
      </c>
      <c r="DG351" s="787">
        <v>14876.36309153639</v>
      </c>
      <c r="DH351" s="761">
        <f t="shared" si="344"/>
        <v>2439366.96</v>
      </c>
      <c r="DI351" s="784"/>
      <c r="DJ351" s="5"/>
      <c r="DK351" s="317">
        <f>VLOOKUP($A351,ціни!$A$4:$G$401,5)</f>
        <v>6.0966466025054391</v>
      </c>
      <c r="DL351" s="317"/>
      <c r="DM351" s="317">
        <f>VLOOKUP($A351,ціни!$A$4:$G$401,7)</f>
        <v>5.4299600760667888</v>
      </c>
      <c r="DN351" s="30">
        <f t="shared" si="388"/>
        <v>21833.920477552729</v>
      </c>
      <c r="DO351" s="30">
        <f t="shared" si="389"/>
        <v>0</v>
      </c>
      <c r="DP351" s="316">
        <f t="shared" si="335"/>
        <v>21833.920477552729</v>
      </c>
      <c r="DQ351" s="104"/>
      <c r="DR351" s="30">
        <f>VLOOKUP(A351,'ДЗ нас '!$A$1:$C$359,2)</f>
        <v>16937.71</v>
      </c>
      <c r="DS351" s="748"/>
      <c r="DT351" s="30">
        <f t="shared" si="336"/>
        <v>16937.71</v>
      </c>
      <c r="DU351" s="257">
        <f>VLOOKUP(A351,'новий кошторис с 01.06'!$A$4:$AI$399,35)*1.2</f>
        <v>17099.73608359159</v>
      </c>
      <c r="DV351" s="30">
        <f t="shared" si="337"/>
        <v>-162.02608359159058</v>
      </c>
      <c r="DW351" s="930">
        <f>'[5]побудинковий звіт'!DW351+'[6]побудинковий звіт'!DW351</f>
        <v>202</v>
      </c>
      <c r="DY351" s="5">
        <f t="shared" si="340"/>
        <v>70148.214545613781</v>
      </c>
      <c r="DZ351" s="5">
        <f t="shared" si="341"/>
        <v>62575.24624160456</v>
      </c>
      <c r="EA351" s="752">
        <f t="shared" si="345"/>
        <v>21544.480000000003</v>
      </c>
      <c r="EC351" s="592">
        <f t="shared" si="342"/>
        <v>607181.34989665728</v>
      </c>
      <c r="EE351" s="758">
        <v>-40415</v>
      </c>
      <c r="EF351" s="738">
        <f t="shared" si="343"/>
        <v>-25538.63690846361</v>
      </c>
      <c r="EH351" s="813">
        <v>45723.993412927659</v>
      </c>
    </row>
    <row r="352" spans="1:138" x14ac:dyDescent="0.3">
      <c r="A352" s="328">
        <v>150000914</v>
      </c>
      <c r="B352" s="44" t="s">
        <v>805</v>
      </c>
      <c r="C352" s="45" t="s">
        <v>321</v>
      </c>
      <c r="D352" s="45" t="s">
        <v>321</v>
      </c>
      <c r="E352" s="40">
        <f t="shared" si="384"/>
        <v>4073.8</v>
      </c>
      <c r="F352" s="490">
        <v>4073.8</v>
      </c>
      <c r="G352" s="30"/>
      <c r="H352" s="30">
        <v>0</v>
      </c>
      <c r="I352" s="42">
        <f>'[1]побудинковий звіт'!I352+'[2]побудинковий звіт'!I352-'[3]побудинковий звіт'!I352</f>
        <v>10559.355693218025</v>
      </c>
      <c r="J352" s="42">
        <f>'[1]побудинковий звіт'!J352+'[2]побудинковий звіт'!J352-'[3]побудинковий звіт'!J352</f>
        <v>9616.4547606499782</v>
      </c>
      <c r="K352" s="56">
        <f t="shared" si="349"/>
        <v>-942.90093256804721</v>
      </c>
      <c r="L352" s="42">
        <f>'[1]побудинковий звіт'!L352+'[2]побудинковий звіт'!L352-'[3]побудинковий звіт'!L352</f>
        <v>1994.6359706671178</v>
      </c>
      <c r="M352" s="42">
        <f>'[1]побудинковий звіт'!M352+'[2]побудинковий звіт'!M352-'[3]побудинковий звіт'!M352</f>
        <v>1951.2752035389226</v>
      </c>
      <c r="N352" s="56">
        <f t="shared" si="350"/>
        <v>-43.360767128195221</v>
      </c>
      <c r="O352" s="42">
        <f>'[1]побудинковий звіт'!O352+'[2]побудинковий звіт'!O352-'[3]побудинковий звіт'!O352</f>
        <v>4134.3599999999988</v>
      </c>
      <c r="P352" s="42">
        <f>'[1]побудинковий звіт'!P352+'[2]побудинковий звіт'!P352-'[3]побудинковий звіт'!P352</f>
        <v>4135.2</v>
      </c>
      <c r="Q352" s="56">
        <f t="shared" si="351"/>
        <v>0.84000000000105501</v>
      </c>
      <c r="R352" s="42">
        <f>'[1]побудинковий звіт'!R352+'[2]побудинковий звіт'!R352-'[3]побудинковий звіт'!R352</f>
        <v>0</v>
      </c>
      <c r="S352" s="42">
        <f>'[1]побудинковий звіт'!S352+'[2]побудинковий звіт'!S352-'[3]побудинковий звіт'!S352</f>
        <v>0</v>
      </c>
      <c r="T352" s="56">
        <f t="shared" si="352"/>
        <v>0</v>
      </c>
      <c r="U352" s="42">
        <f>'[1]побудинковий звіт'!U352+'[2]побудинковий звіт'!U352-'[3]побудинковий звіт'!U352</f>
        <v>957.54158050215835</v>
      </c>
      <c r="V352" s="42">
        <f>'[1]побудинковий звіт'!V352+'[2]побудинковий звіт'!V352-'[3]побудинковий звіт'!V352</f>
        <v>650.18756781872185</v>
      </c>
      <c r="W352" s="56">
        <f t="shared" si="353"/>
        <v>-307.35401268343651</v>
      </c>
      <c r="X352" s="42">
        <f>'[1]побудинковий звіт'!X352+'[2]побудинковий звіт'!X352-'[3]побудинковий звіт'!X352</f>
        <v>7112.3912528375431</v>
      </c>
      <c r="Y352" s="42">
        <f>'[1]побудинковий звіт'!Y352+'[2]побудинковий звіт'!Y352-'[3]побудинковий звіт'!Y352</f>
        <v>8553.4859499307204</v>
      </c>
      <c r="Z352" s="56">
        <f t="shared" si="354"/>
        <v>1441.0946970931773</v>
      </c>
      <c r="AA352" s="42">
        <f>'[1]побудинковий звіт'!AA352+'[2]побудинковий звіт'!AA352-'[3]побудинковий звіт'!AA352</f>
        <v>0</v>
      </c>
      <c r="AB352" s="42">
        <f>'[1]побудинковий звіт'!AB352+'[2]побудинковий звіт'!AB352-'[3]побудинковий звіт'!AB352</f>
        <v>0</v>
      </c>
      <c r="AC352" s="56">
        <f t="shared" si="355"/>
        <v>0</v>
      </c>
      <c r="AD352" s="42">
        <f>'[1]побудинковий звіт'!AD352+'[2]побудинковий звіт'!AD352-'[3]побудинковий звіт'!AD352</f>
        <v>11811.129444169479</v>
      </c>
      <c r="AE352" s="42">
        <f>'[1]побудинковий звіт'!AE352+'[2]побудинковий звіт'!AE352-'[3]побудинковий звіт'!AE352</f>
        <v>10886.649338172154</v>
      </c>
      <c r="AF352" s="37">
        <f t="shared" si="356"/>
        <v>-924.48010599732515</v>
      </c>
      <c r="AG352" s="87">
        <f t="shared" si="346"/>
        <v>36569.413941394327</v>
      </c>
      <c r="AH352" s="57">
        <f t="shared" si="346"/>
        <v>35793.252820110494</v>
      </c>
      <c r="AI352" s="56">
        <f t="shared" si="357"/>
        <v>-776.16112128383247</v>
      </c>
      <c r="AJ352" s="42">
        <f>'[1]побудинковий звіт'!AJ352+'[2]побудинковий звіт'!AJ352-'[3]побудинковий звіт'!AJ352</f>
        <v>0</v>
      </c>
      <c r="AK352" s="42">
        <f>'[1]побудинковий звіт'!AK352+'[2]побудинковий звіт'!AK352-'[3]побудинковий звіт'!AK352</f>
        <v>0</v>
      </c>
      <c r="AL352" s="56">
        <f t="shared" si="358"/>
        <v>0</v>
      </c>
      <c r="AM352" s="42">
        <f>'[1]побудинковий звіт'!AM352+'[2]побудинковий звіт'!AM352-'[3]побудинковий звіт'!AM352</f>
        <v>0</v>
      </c>
      <c r="AN352" s="42">
        <f>'[1]побудинковий звіт'!AN352+'[2]побудинковий звіт'!AN352-'[3]побудинковий звіт'!AN352</f>
        <v>0</v>
      </c>
      <c r="AO352" s="56">
        <f t="shared" si="359"/>
        <v>0</v>
      </c>
      <c r="AP352" s="42">
        <f>'[1]побудинковий звіт'!AP352+'[2]побудинковий звіт'!AP352-'[3]побудинковий звіт'!AP352</f>
        <v>5113.8952716257081</v>
      </c>
      <c r="AQ352" s="42">
        <f>'[1]побудинковий звіт'!AQ352+'[2]побудинковий звіт'!AQ352-'[3]побудинковий звіт'!AQ352</f>
        <v>11692.346044101781</v>
      </c>
      <c r="AR352" s="56">
        <f t="shared" si="360"/>
        <v>6578.4507724760733</v>
      </c>
      <c r="AS352" s="42">
        <f>'[1]побудинковий звіт'!AS352+'[2]побудинковий звіт'!AS352-'[3]побудинковий звіт'!AS352</f>
        <v>50816.053649047804</v>
      </c>
      <c r="AT352" s="42">
        <f>'[1]побудинковий звіт'!AT352+'[2]побудинковий звіт'!AT352-'[3]побудинковий звіт'!AT352</f>
        <v>39572.859440113614</v>
      </c>
      <c r="AU352" s="58">
        <f t="shared" si="375"/>
        <v>-11243.19420893419</v>
      </c>
      <c r="AV352" s="42">
        <f>'[1]побудинковий звіт'!AV352+'[2]побудинковий звіт'!AV352-'[3]побудинковий звіт'!AV352</f>
        <v>1762.4738315933535</v>
      </c>
      <c r="AW352" s="42">
        <f>'[1]побудинковий звіт'!AW352+'[2]побудинковий звіт'!AW352-'[3]побудинковий звіт'!AW352</f>
        <v>0</v>
      </c>
      <c r="AX352" s="59">
        <f t="shared" si="376"/>
        <v>-1762.4738315933535</v>
      </c>
      <c r="AY352" s="42">
        <f>'[1]побудинковий звіт'!AY352+'[2]побудинковий звіт'!AY352-'[3]побудинковий звіт'!AY352</f>
        <v>2570.742825601536</v>
      </c>
      <c r="AZ352" s="42">
        <f>'[1]побудинковий звіт'!AZ352+'[2]побудинковий звіт'!AZ352-'[3]побудинковий звіт'!AZ352</f>
        <v>3608</v>
      </c>
      <c r="BA352" s="37">
        <f t="shared" si="377"/>
        <v>1037.257174398464</v>
      </c>
      <c r="BB352" s="42">
        <f>'[1]побудинковий звіт'!BB352+'[2]побудинковий звіт'!BB352-'[3]побудинковий звіт'!BB352</f>
        <v>1497.0038800552861</v>
      </c>
      <c r="BC352" s="42">
        <f>'[1]побудинковий звіт'!BC352+'[2]побудинковий звіт'!BC352-'[3]побудинковий звіт'!BC352</f>
        <v>3821</v>
      </c>
      <c r="BD352" s="59">
        <f t="shared" si="378"/>
        <v>2323.9961199447139</v>
      </c>
      <c r="BE352" s="42">
        <f>'[1]побудинковий звіт'!BE352+'[2]побудинковий звіт'!BE352-'[3]побудинковий звіт'!BE352</f>
        <v>0</v>
      </c>
      <c r="BF352" s="42">
        <f>'[1]побудинковий звіт'!BF352+'[2]побудинковий звіт'!BF352-'[3]побудинковий звіт'!BF352</f>
        <v>0</v>
      </c>
      <c r="BG352" s="39">
        <f t="shared" si="379"/>
        <v>0</v>
      </c>
      <c r="BH352" s="42">
        <f>'[1]побудинковий звіт'!BH352+'[2]побудинковий звіт'!BH352-'[3]побудинковий звіт'!BH352</f>
        <v>971.4550439988127</v>
      </c>
      <c r="BI352" s="42">
        <f>'[1]побудинковий звіт'!BI352+'[2]побудинковий звіт'!BI352-'[3]побудинковий звіт'!BI352</f>
        <v>0</v>
      </c>
      <c r="BJ352" s="59">
        <f t="shared" si="380"/>
        <v>-971.4550439988127</v>
      </c>
      <c r="BK352" s="42">
        <f>'[1]побудинковий звіт'!BK352+'[2]побудинковий звіт'!BK352-'[3]побудинковий звіт'!BK352</f>
        <v>1056.7240487077254</v>
      </c>
      <c r="BL352" s="42">
        <f>'[1]побудинковий звіт'!BL352+'[2]побудинковий звіт'!BL352-'[3]побудинковий звіт'!BL352</f>
        <v>2420</v>
      </c>
      <c r="BM352" s="39">
        <f t="shared" si="381"/>
        <v>1363.2759512922746</v>
      </c>
      <c r="BN352" s="42">
        <f>'[1]побудинковий звіт'!BN352+'[2]побудинковий звіт'!BN352-'[3]побудинковий звіт'!BN352</f>
        <v>0</v>
      </c>
      <c r="BO352" s="42">
        <f>'[1]побудинковий звіт'!BO352+'[2]побудинковий звіт'!BO352-'[3]побудинковий звіт'!BO352</f>
        <v>0</v>
      </c>
      <c r="BP352" s="59">
        <f t="shared" si="382"/>
        <v>0</v>
      </c>
      <c r="BQ352" s="87">
        <f t="shared" si="338"/>
        <v>7858.3996299567134</v>
      </c>
      <c r="BR352" s="43">
        <f t="shared" si="385"/>
        <v>9849</v>
      </c>
      <c r="BS352" s="59">
        <f t="shared" si="383"/>
        <v>1990.6003700432866</v>
      </c>
      <c r="BT352" s="42">
        <f>'[1]побудинковий звіт'!BT352+'[2]побудинковий звіт'!BT352-'[3]побудинковий звіт'!BT352</f>
        <v>28191.789996259267</v>
      </c>
      <c r="BU352" s="42">
        <f>'[1]побудинковий звіт'!BU352+'[2]побудинковий звіт'!BU352-'[3]побудинковий звіт'!BU352</f>
        <v>41754.128963558978</v>
      </c>
      <c r="BV352" s="56">
        <f t="shared" si="361"/>
        <v>13562.338967299711</v>
      </c>
      <c r="BW352" s="42">
        <f>'[1]побудинковий звіт'!BW352+'[2]побудинковий звіт'!BW352-'[3]побудинковий звіт'!BW352</f>
        <v>17709.536720344513</v>
      </c>
      <c r="BX352" s="42">
        <f>'[1]побудинковий звіт'!BX352+'[2]побудинковий звіт'!BX352-'[3]побудинковий звіт'!BX352</f>
        <v>18979.396773970475</v>
      </c>
      <c r="BY352" s="56">
        <f t="shared" si="362"/>
        <v>1269.8600536259619</v>
      </c>
      <c r="BZ352" s="42">
        <f>'[1]побудинковий звіт'!BZ352+'[2]побудинковий звіт'!BZ352-'[3]побудинковий звіт'!BZ352</f>
        <v>6932.953515267307</v>
      </c>
      <c r="CA352" s="42">
        <f>'[1]побудинковий звіт'!CA352+'[2]побудинковий звіт'!CA352-'[3]побудинковий звіт'!CA352</f>
        <v>9992.2840728784504</v>
      </c>
      <c r="CB352" s="56">
        <f t="shared" si="363"/>
        <v>3059.3305576111434</v>
      </c>
      <c r="CC352" s="42">
        <f>'[1]побудинковий звіт'!CC352+'[2]побудинковий звіт'!CC352-'[3]побудинковий звіт'!CC352</f>
        <v>1539.1955739638722</v>
      </c>
      <c r="CD352" s="42">
        <f>'[1]побудинковий звіт'!CD352+'[2]побудинковий звіт'!CD352-'[3]побудинковий звіт'!CD352</f>
        <v>1525.657913728739</v>
      </c>
      <c r="CE352" s="56">
        <f t="shared" si="364"/>
        <v>-13.537660235133217</v>
      </c>
      <c r="CF352" s="42">
        <f>'[1]побудинковий звіт'!CF352+'[2]побудинковий звіт'!CF352-'[3]побудинковий звіт'!CF352</f>
        <v>189.48430361297679</v>
      </c>
      <c r="CG352" s="42">
        <f>'[1]побудинковий звіт'!CG352+'[2]побудинковий звіт'!CG352-'[3]побудинковий звіт'!CG352</f>
        <v>0</v>
      </c>
      <c r="CH352" s="56">
        <f t="shared" si="365"/>
        <v>-189.48430361297679</v>
      </c>
      <c r="CI352" s="42">
        <f>'[1]побудинковий звіт'!CI352+'[2]побудинковий звіт'!CI352-'[3]побудинковий звіт'!CI352</f>
        <v>5914.737955992714</v>
      </c>
      <c r="CJ352" s="42">
        <f>'[1]побудинковий звіт'!CJ352+'[2]побудинковий звіт'!CJ352-'[3]побудинковий звіт'!CJ352</f>
        <v>3165.1442756680271</v>
      </c>
      <c r="CK352" s="56">
        <f t="shared" si="366"/>
        <v>-2749.5936803246868</v>
      </c>
      <c r="CL352" s="42">
        <f>'[1]побудинковий звіт'!CL352+'[2]побудинковий звіт'!CL352-'[3]побудинковий звіт'!CL352</f>
        <v>0</v>
      </c>
      <c r="CM352" s="42">
        <f>'[1]побудинковий звіт'!CM352+'[2]побудинковий звіт'!CM352-'[3]побудинковий звіт'!CM352</f>
        <v>0</v>
      </c>
      <c r="CN352" s="56">
        <f t="shared" si="367"/>
        <v>0</v>
      </c>
      <c r="CO352" s="42">
        <f t="shared" si="347"/>
        <v>5914.737955992714</v>
      </c>
      <c r="CP352" s="43">
        <f t="shared" si="368"/>
        <v>3165.1442756680271</v>
      </c>
      <c r="CQ352" s="56">
        <f t="shared" si="369"/>
        <v>-2749.5936803246868</v>
      </c>
      <c r="CR352" s="78">
        <f t="shared" si="348"/>
        <v>160835.46055746524</v>
      </c>
      <c r="CS352" s="5">
        <f t="shared" si="348"/>
        <v>172324.07030413055</v>
      </c>
      <c r="CT352" s="56">
        <f t="shared" si="370"/>
        <v>11488.609746665315</v>
      </c>
      <c r="CU352" s="87">
        <f t="shared" si="371"/>
        <v>193002.55266895829</v>
      </c>
      <c r="CV352" s="70">
        <f t="shared" si="372"/>
        <v>206788.88436495667</v>
      </c>
      <c r="CW352" s="37">
        <f t="shared" si="373"/>
        <v>13786.331695998379</v>
      </c>
      <c r="CX352" s="42">
        <f>'[1]побудинковий звіт'!CX352+'[2]побудинковий звіт'!CX352-'[3]побудинковий звіт'!CX352</f>
        <v>9736.2473310417845</v>
      </c>
      <c r="CY352" s="42">
        <f>'[1]побудинковий звіт'!CY352+'[2]побудинковий звіт'!CY352-'[3]побудинковий звіт'!CY352</f>
        <v>-4050.0843649566632</v>
      </c>
      <c r="CZ352" s="56">
        <f t="shared" si="374"/>
        <v>-13786.331695998448</v>
      </c>
      <c r="DA352" s="264">
        <f>'[4]побудинковий звіт'!DA352</f>
        <v>11882.034646395219</v>
      </c>
      <c r="DB352" s="2">
        <v>3</v>
      </c>
      <c r="DC352" s="717">
        <f>'[4]побудинковий звіт'!DC352</f>
        <v>28972.06</v>
      </c>
      <c r="DD352" s="717">
        <f>'[4]побудинковий звіт'!DD352</f>
        <v>0</v>
      </c>
      <c r="DE352" s="717">
        <f>'[4]побудинковий звіт'!DE352</f>
        <v>12077.16</v>
      </c>
      <c r="DF352" s="717">
        <f>'[4]побудинковий звіт'!DF352</f>
        <v>0</v>
      </c>
      <c r="DG352" s="787">
        <v>-12299.695603485801</v>
      </c>
      <c r="DH352" s="761">
        <f t="shared" si="344"/>
        <v>2432865.600000001</v>
      </c>
      <c r="DI352" s="784"/>
      <c r="DJ352" s="5"/>
      <c r="DK352" s="317">
        <f>VLOOKUP($A352,ціни!$A$4:$G$401,5)</f>
        <v>6.1136456425927124</v>
      </c>
      <c r="DL352" s="317"/>
      <c r="DM352" s="317">
        <f>VLOOKUP($A352,ціни!$A$4:$G$401,7)</f>
        <v>5.4404742435281017</v>
      </c>
      <c r="DN352" s="30">
        <f t="shared" si="388"/>
        <v>24905.769618794191</v>
      </c>
      <c r="DO352" s="30">
        <f t="shared" si="389"/>
        <v>0</v>
      </c>
      <c r="DP352" s="316">
        <f t="shared" si="335"/>
        <v>24905.769618794191</v>
      </c>
      <c r="DQ352" s="104"/>
      <c r="DR352" s="30">
        <f>VLOOKUP(A352,'ДЗ нас '!$A$1:$C$359,2)</f>
        <v>16894.900000000001</v>
      </c>
      <c r="DS352" s="748"/>
      <c r="DT352" s="30">
        <f t="shared" si="336"/>
        <v>16894.900000000001</v>
      </c>
      <c r="DU352" s="257">
        <f>VLOOKUP(A352,'новий кошторис с 01.06'!$A$4:$AI$399,35)*1.2</f>
        <v>17048.558819091315</v>
      </c>
      <c r="DV352" s="30">
        <f t="shared" si="337"/>
        <v>-153.65881909131349</v>
      </c>
      <c r="DW352" s="930">
        <f>'[5]побудинковий звіт'!DW352+'[6]побудинковий звіт'!DW352</f>
        <v>202</v>
      </c>
      <c r="DY352" s="5">
        <f t="shared" si="340"/>
        <v>70409.343934805423</v>
      </c>
      <c r="DZ352" s="5">
        <f t="shared" si="341"/>
        <v>59306.231328136331</v>
      </c>
      <c r="EA352" s="752">
        <f t="shared" si="345"/>
        <v>12077.16</v>
      </c>
      <c r="EC352" s="592">
        <f t="shared" si="342"/>
        <v>609792.64378857368</v>
      </c>
      <c r="EE352" s="758">
        <v>-23754</v>
      </c>
      <c r="EF352" s="738">
        <f t="shared" si="343"/>
        <v>-36053.695603485801</v>
      </c>
      <c r="EH352" s="813">
        <v>-2068.8520619917508</v>
      </c>
    </row>
    <row r="353" spans="1:138" x14ac:dyDescent="0.3">
      <c r="A353" s="328">
        <v>150000915</v>
      </c>
      <c r="B353" s="44" t="s">
        <v>806</v>
      </c>
      <c r="C353" s="45" t="s">
        <v>322</v>
      </c>
      <c r="D353" s="45" t="s">
        <v>322</v>
      </c>
      <c r="E353" s="40">
        <f t="shared" si="384"/>
        <v>4387.3</v>
      </c>
      <c r="F353" s="490">
        <v>4387.3</v>
      </c>
      <c r="G353" s="30"/>
      <c r="H353" s="30">
        <v>0</v>
      </c>
      <c r="I353" s="42">
        <f>'[1]побудинковий звіт'!I353+'[2]побудинковий звіт'!I353-'[3]побудинковий звіт'!I353</f>
        <v>10558.129340858119</v>
      </c>
      <c r="J353" s="42">
        <f>'[1]побудинковий звіт'!J353+'[2]побудинковий звіт'!J353-'[3]побудинковий звіт'!J353</f>
        <v>9614.198496649964</v>
      </c>
      <c r="K353" s="56">
        <f t="shared" si="349"/>
        <v>-943.93084420815467</v>
      </c>
      <c r="L353" s="42">
        <f>'[1]побудинковий звіт'!L353+'[2]побудинковий звіт'!L353-'[3]побудинковий звіт'!L353</f>
        <v>1994.6359706671178</v>
      </c>
      <c r="M353" s="42">
        <f>'[1]побудинковий звіт'!M353+'[2]побудинковий звіт'!M353-'[3]побудинковий звіт'!M353</f>
        <v>1951.4250420364574</v>
      </c>
      <c r="N353" s="56">
        <f t="shared" si="350"/>
        <v>-43.210928630660419</v>
      </c>
      <c r="O353" s="42">
        <f>'[1]побудинковий звіт'!O353+'[2]побудинковий звіт'!O353-'[3]побудинковий звіт'!O353</f>
        <v>4134.3599999999988</v>
      </c>
      <c r="P353" s="42">
        <f>'[1]побудинковий звіт'!P353+'[2]побудинковий звіт'!P353-'[3]побудинковий звіт'!P353</f>
        <v>4134.3599999999988</v>
      </c>
      <c r="Q353" s="56">
        <f t="shared" si="351"/>
        <v>0</v>
      </c>
      <c r="R353" s="42">
        <f>'[1]побудинковий звіт'!R353+'[2]побудинковий звіт'!R353-'[3]побудинковий звіт'!R353</f>
        <v>0</v>
      </c>
      <c r="S353" s="42">
        <f>'[1]побудинковий звіт'!S353+'[2]побудинковий звіт'!S353-'[3]побудинковий звіт'!S353</f>
        <v>0</v>
      </c>
      <c r="T353" s="56">
        <f t="shared" si="352"/>
        <v>0</v>
      </c>
      <c r="U353" s="42">
        <f>'[1]побудинковий звіт'!U353+'[2]побудинковий звіт'!U353-'[3]побудинковий звіт'!U353</f>
        <v>957.54158050215835</v>
      </c>
      <c r="V353" s="42">
        <f>'[1]побудинковий звіт'!V353+'[2]побудинковий звіт'!V353-'[3]побудинковий звіт'!V353</f>
        <v>650.18756781872185</v>
      </c>
      <c r="W353" s="56">
        <f t="shared" si="353"/>
        <v>-307.35401268343651</v>
      </c>
      <c r="X353" s="42">
        <f>'[1]побудинковий звіт'!X353+'[2]побудинковий звіт'!X353-'[3]побудинковий звіт'!X353</f>
        <v>7111.2161971472506</v>
      </c>
      <c r="Y353" s="42">
        <f>'[1]побудинковий звіт'!Y353+'[2]побудинковий звіт'!Y353-'[3]побудинковий звіт'!Y353</f>
        <v>6178.1490034794451</v>
      </c>
      <c r="Z353" s="56">
        <f t="shared" si="354"/>
        <v>-933.06719366780544</v>
      </c>
      <c r="AA353" s="42">
        <f>'[1]побудинковий звіт'!AA353+'[2]побудинковий звіт'!AA353-'[3]побудинковий звіт'!AA353</f>
        <v>0</v>
      </c>
      <c r="AB353" s="42">
        <f>'[1]побудинковий звіт'!AB353+'[2]побудинковий звіт'!AB353-'[3]побудинковий звіт'!AB353</f>
        <v>0</v>
      </c>
      <c r="AC353" s="56">
        <f t="shared" si="355"/>
        <v>0</v>
      </c>
      <c r="AD353" s="42">
        <f>'[1]побудинковий звіт'!AD353+'[2]побудинковий звіт'!AD353-'[3]побудинковий звіт'!AD353</f>
        <v>11730.316228191921</v>
      </c>
      <c r="AE353" s="42">
        <f>'[1]побудинковий звіт'!AE353+'[2]побудинковий звіт'!AE353-'[3]побудинковий звіт'!AE353</f>
        <v>10812.232669207058</v>
      </c>
      <c r="AF353" s="37">
        <f t="shared" si="356"/>
        <v>-918.08355898486298</v>
      </c>
      <c r="AG353" s="87">
        <f t="shared" si="346"/>
        <v>36486.199317366561</v>
      </c>
      <c r="AH353" s="57">
        <f t="shared" si="346"/>
        <v>33340.552779191647</v>
      </c>
      <c r="AI353" s="56">
        <f t="shared" si="357"/>
        <v>-3145.6465381749149</v>
      </c>
      <c r="AJ353" s="42">
        <f>'[1]побудинковий звіт'!AJ353+'[2]побудинковий звіт'!AJ353-'[3]побудинковий звіт'!AJ353</f>
        <v>0</v>
      </c>
      <c r="AK353" s="42">
        <f>'[1]побудинковий звіт'!AK353+'[2]побудинковий звіт'!AK353-'[3]побудинковий звіт'!AK353</f>
        <v>0</v>
      </c>
      <c r="AL353" s="56">
        <f t="shared" si="358"/>
        <v>0</v>
      </c>
      <c r="AM353" s="42">
        <f>'[1]побудинковий звіт'!AM353+'[2]побудинковий звіт'!AM353-'[3]побудинковий звіт'!AM353</f>
        <v>0</v>
      </c>
      <c r="AN353" s="42">
        <f>'[1]побудинковий звіт'!AN353+'[2]побудинковий звіт'!AN353-'[3]побудинковий звіт'!AN353</f>
        <v>0</v>
      </c>
      <c r="AO353" s="56">
        <f t="shared" si="359"/>
        <v>0</v>
      </c>
      <c r="AP353" s="42">
        <f>'[1]побудинковий звіт'!AP353+'[2]побудинковий звіт'!AP353-'[3]побудинковий звіт'!AP353</f>
        <v>5113.8952716257081</v>
      </c>
      <c r="AQ353" s="42">
        <f>'[1]побудинковий звіт'!AQ353+'[2]побудинковий звіт'!AQ353-'[3]побудинковий звіт'!AQ353</f>
        <v>8019.6843130640991</v>
      </c>
      <c r="AR353" s="56">
        <f t="shared" si="360"/>
        <v>2905.789041438391</v>
      </c>
      <c r="AS353" s="42">
        <f>'[1]побудинковий звіт'!AS353+'[2]побудинковий звіт'!AS353-'[3]побудинковий звіт'!AS353</f>
        <v>48473.015952967384</v>
      </c>
      <c r="AT353" s="42">
        <f>'[1]побудинковий звіт'!AT353+'[2]побудинковий звіт'!AT353-'[3]побудинковий звіт'!AT353</f>
        <v>36213.47412210943</v>
      </c>
      <c r="AU353" s="58">
        <f t="shared" si="375"/>
        <v>-12259.541830857954</v>
      </c>
      <c r="AV353" s="42">
        <f>'[1]побудинковий звіт'!AV353+'[2]побудинковий звіт'!AV353-'[3]побудинковий звіт'!AV353</f>
        <v>1762.1223893077108</v>
      </c>
      <c r="AW353" s="42">
        <f>'[1]побудинковий звіт'!AW353+'[2]побудинковий звіт'!AW353-'[3]побудинковий звіт'!AW353</f>
        <v>0</v>
      </c>
      <c r="AX353" s="59">
        <f t="shared" si="376"/>
        <v>-1762.1223893077108</v>
      </c>
      <c r="AY353" s="42">
        <f>'[1]побудинковий звіт'!AY353+'[2]побудинковий звіт'!AY353-'[3]побудинковий звіт'!AY353</f>
        <v>2570.742825601536</v>
      </c>
      <c r="AZ353" s="42">
        <f>'[1]побудинковий звіт'!AZ353+'[2]побудинковий звіт'!AZ353-'[3]побудинковий звіт'!AZ353</f>
        <v>4952</v>
      </c>
      <c r="BA353" s="37">
        <f t="shared" si="377"/>
        <v>2381.257174398464</v>
      </c>
      <c r="BB353" s="42">
        <f>'[1]побудинковий звіт'!BB353+'[2]побудинковий звіт'!BB353-'[3]побудинковий звіт'!BB353</f>
        <v>1497.0038800552861</v>
      </c>
      <c r="BC353" s="42">
        <f>'[1]побудинковий звіт'!BC353+'[2]побудинковий звіт'!BC353-'[3]побудинковий звіт'!BC353</f>
        <v>5201.0825100578704</v>
      </c>
      <c r="BD353" s="59">
        <f t="shared" si="378"/>
        <v>3704.0786300025843</v>
      </c>
      <c r="BE353" s="42">
        <f>'[1]побудинковий звіт'!BE353+'[2]побудинковий звіт'!BE353-'[3]побудинковий звіт'!BE353</f>
        <v>0</v>
      </c>
      <c r="BF353" s="42">
        <f>'[1]побудинковий звіт'!BF353+'[2]побудинковий звіт'!BF353-'[3]побудинковий звіт'!BF353</f>
        <v>0</v>
      </c>
      <c r="BG353" s="39">
        <f t="shared" si="379"/>
        <v>0</v>
      </c>
      <c r="BH353" s="42">
        <f>'[1]побудинковий звіт'!BH353+'[2]побудинковий звіт'!BH353-'[3]побудинковий звіт'!BH353</f>
        <v>971.4550439988127</v>
      </c>
      <c r="BI353" s="42">
        <f>'[1]побудинковий звіт'!BI353+'[2]побудинковий звіт'!BI353-'[3]побудинковий звіт'!BI353</f>
        <v>0</v>
      </c>
      <c r="BJ353" s="59">
        <f t="shared" si="380"/>
        <v>-971.4550439988127</v>
      </c>
      <c r="BK353" s="42">
        <f>'[1]побудинковий звіт'!BK353+'[2]побудинковий звіт'!BK353-'[3]побудинковий звіт'!BK353</f>
        <v>1056.6698839242524</v>
      </c>
      <c r="BL353" s="42">
        <f>'[1]побудинковий звіт'!BL353+'[2]побудинковий звіт'!BL353-'[3]побудинковий звіт'!BL353</f>
        <v>0</v>
      </c>
      <c r="BM353" s="39">
        <f t="shared" si="381"/>
        <v>-1056.6698839242524</v>
      </c>
      <c r="BN353" s="42">
        <f>'[1]побудинковий звіт'!BN353+'[2]побудинковий звіт'!BN353-'[3]побудинковий звіт'!BN353</f>
        <v>0</v>
      </c>
      <c r="BO353" s="42">
        <f>'[1]побудинковий звіт'!BO353+'[2]побудинковий звіт'!BO353-'[3]побудинковий звіт'!BO353</f>
        <v>0</v>
      </c>
      <c r="BP353" s="59">
        <f t="shared" si="382"/>
        <v>0</v>
      </c>
      <c r="BQ353" s="87">
        <f t="shared" si="338"/>
        <v>7857.9940228875985</v>
      </c>
      <c r="BR353" s="43">
        <f t="shared" si="385"/>
        <v>10153.08251005787</v>
      </c>
      <c r="BS353" s="59">
        <f t="shared" si="383"/>
        <v>2295.088487170271</v>
      </c>
      <c r="BT353" s="42">
        <f>'[1]побудинковий звіт'!BT353+'[2]побудинковий звіт'!BT353-'[3]побудинковий звіт'!BT353</f>
        <v>38730.553401715908</v>
      </c>
      <c r="BU353" s="42">
        <f>'[1]побудинковий звіт'!BU353+'[2]побудинковий звіт'!BU353-'[3]побудинковий звіт'!BU353</f>
        <v>45697.583428263322</v>
      </c>
      <c r="BV353" s="56">
        <f t="shared" si="361"/>
        <v>6967.0300265474143</v>
      </c>
      <c r="BW353" s="42">
        <f>'[1]побудинковий звіт'!BW353+'[2]побудинковий звіт'!BW353-'[3]побудинковий звіт'!BW353</f>
        <v>17428.870993901473</v>
      </c>
      <c r="BX353" s="42">
        <f>'[1]побудинковий звіт'!BX353+'[2]побудинковий звіт'!BX353-'[3]побудинковий звіт'!BX353</f>
        <v>18717.364065589791</v>
      </c>
      <c r="BY353" s="56">
        <f t="shared" si="362"/>
        <v>1288.4930716883173</v>
      </c>
      <c r="BZ353" s="42">
        <f>'[1]побудинковий звіт'!BZ353+'[2]побудинковий звіт'!BZ353-'[3]побудинковий звіт'!BZ353</f>
        <v>6972.3094999615287</v>
      </c>
      <c r="CA353" s="42">
        <f>'[1]побудинковий звіт'!CA353+'[2]побудинковий звіт'!CA353-'[3]побудинковий звіт'!CA353</f>
        <v>11344.654000388982</v>
      </c>
      <c r="CB353" s="56">
        <f t="shared" si="363"/>
        <v>4372.3445004274536</v>
      </c>
      <c r="CC353" s="42">
        <f>'[1]побудинковий звіт'!CC353+'[2]побудинковий звіт'!CC353-'[3]побудинковий звіт'!CC353</f>
        <v>1538.9014414253743</v>
      </c>
      <c r="CD353" s="42">
        <f>'[1]побудинковий звіт'!CD353+'[2]побудинковий звіт'!CD353-'[3]побудинковий звіт'!CD353</f>
        <v>1525.3663681690743</v>
      </c>
      <c r="CE353" s="56">
        <f t="shared" si="364"/>
        <v>-13.535073256299938</v>
      </c>
      <c r="CF353" s="42">
        <f>'[1]побудинковий звіт'!CF353+'[2]побудинковий звіт'!CF353-'[3]побудинковий звіт'!CF353</f>
        <v>189.44809411486611</v>
      </c>
      <c r="CG353" s="42">
        <f>'[1]побудинковий звіт'!CG353+'[2]побудинковий звіт'!CG353-'[3]побудинковий звіт'!CG353</f>
        <v>0</v>
      </c>
      <c r="CH353" s="56">
        <f t="shared" si="365"/>
        <v>-189.44809411486611</v>
      </c>
      <c r="CI353" s="42">
        <f>'[1]побудинковий звіт'!CI353+'[2]побудинковий звіт'!CI353-'[3]побудинковий звіт'!CI353</f>
        <v>6232.9358840049817</v>
      </c>
      <c r="CJ353" s="42">
        <f>'[1]побудинковий звіт'!CJ353+'[2]побудинковий звіт'!CJ353-'[3]побудинковий звіт'!CJ353</f>
        <v>3128.3922161246214</v>
      </c>
      <c r="CK353" s="56">
        <f t="shared" si="366"/>
        <v>-3104.5436678803603</v>
      </c>
      <c r="CL353" s="42">
        <f>'[1]побудинковий звіт'!CL353+'[2]побудинковий звіт'!CL353-'[3]побудинковий звіт'!CL353</f>
        <v>0</v>
      </c>
      <c r="CM353" s="42">
        <f>'[1]побудинковий звіт'!CM353+'[2]побудинковий звіт'!CM353-'[3]побудинковий звіт'!CM353</f>
        <v>0</v>
      </c>
      <c r="CN353" s="56">
        <f t="shared" si="367"/>
        <v>0</v>
      </c>
      <c r="CO353" s="42">
        <f t="shared" si="347"/>
        <v>6232.9358840049817</v>
      </c>
      <c r="CP353" s="43">
        <f t="shared" si="368"/>
        <v>3128.3922161246214</v>
      </c>
      <c r="CQ353" s="56">
        <f t="shared" si="369"/>
        <v>-3104.5436678803603</v>
      </c>
      <c r="CR353" s="78">
        <f t="shared" si="348"/>
        <v>169024.12387997139</v>
      </c>
      <c r="CS353" s="5">
        <f t="shared" si="348"/>
        <v>168140.15380295884</v>
      </c>
      <c r="CT353" s="56">
        <f t="shared" si="370"/>
        <v>-883.97007701254915</v>
      </c>
      <c r="CU353" s="87">
        <f t="shared" si="371"/>
        <v>202828.94865596565</v>
      </c>
      <c r="CV353" s="70">
        <f t="shared" si="372"/>
        <v>201768.1845635506</v>
      </c>
      <c r="CW353" s="37">
        <f t="shared" si="373"/>
        <v>-1060.7640924150473</v>
      </c>
      <c r="CX353" s="42">
        <f>'[1]побудинковий звіт'!CX353+'[2]побудинковий звіт'!CX353-'[3]побудинковий звіт'!CX353</f>
        <v>4161.0913440343284</v>
      </c>
      <c r="CY353" s="42">
        <f>'[1]побудинковий звіт'!CY353+'[2]побудинковий звіт'!CY353-'[3]побудинковий звіт'!CY353</f>
        <v>5221.8554364493793</v>
      </c>
      <c r="CZ353" s="56">
        <f t="shared" si="374"/>
        <v>1060.764092415051</v>
      </c>
      <c r="DA353" s="264">
        <f>'[4]побудинковий звіт'!DA353</f>
        <v>20455.780630001529</v>
      </c>
      <c r="DB353" s="2">
        <v>3</v>
      </c>
      <c r="DC353" s="717">
        <f>'[4]побудинковий звіт'!DC353</f>
        <v>40028.839999999997</v>
      </c>
      <c r="DD353" s="717">
        <f>'[4]побудинковий звіт'!DD353</f>
        <v>0</v>
      </c>
      <c r="DE353" s="717">
        <f>'[4]побудинковий звіт'!DE353</f>
        <v>22779.67</v>
      </c>
      <c r="DF353" s="717">
        <f>'[4]побудинковий звіт'!DF353</f>
        <v>0</v>
      </c>
      <c r="DG353" s="787">
        <v>32606.442490176822</v>
      </c>
      <c r="DH353" s="761">
        <f t="shared" si="344"/>
        <v>2483880.4799999995</v>
      </c>
      <c r="DI353" s="784"/>
      <c r="DJ353" s="5"/>
      <c r="DK353" s="317">
        <f>VLOOKUP($A353,ціни!$A$4:$G$401,5)</f>
        <v>6.2843408309969666</v>
      </c>
      <c r="DL353" s="317"/>
      <c r="DM353" s="317">
        <f>VLOOKUP($A353,ціни!$A$4:$G$401,7)</f>
        <v>5.6363329424725261</v>
      </c>
      <c r="DN353" s="30">
        <f t="shared" si="388"/>
        <v>27571.288527832992</v>
      </c>
      <c r="DO353" s="30">
        <f t="shared" si="389"/>
        <v>0</v>
      </c>
      <c r="DP353" s="316">
        <f t="shared" si="335"/>
        <v>27571.288527832992</v>
      </c>
      <c r="DQ353" s="104"/>
      <c r="DR353" s="30">
        <f>VLOOKUP(A353,'ДЗ нас '!$A$1:$C$359,2)</f>
        <v>17254.830000000002</v>
      </c>
      <c r="DS353" s="748"/>
      <c r="DT353" s="30">
        <f t="shared" si="336"/>
        <v>17254.830000000002</v>
      </c>
      <c r="DU353" s="257">
        <f>VLOOKUP(A353,'новий кошторис с 01.06'!$A$4:$AI$399,35)*1.2</f>
        <v>17308.07028530907</v>
      </c>
      <c r="DV353" s="30">
        <f t="shared" si="337"/>
        <v>-53.240285309067986</v>
      </c>
      <c r="DW353" s="930">
        <f>'[5]побудинковий звіт'!DW353+'[6]побудинковий звіт'!DW353</f>
        <v>204</v>
      </c>
      <c r="DY353" s="5">
        <f t="shared" si="340"/>
        <v>67597.211971025972</v>
      </c>
      <c r="DZ353" s="5">
        <f t="shared" si="341"/>
        <v>55639.867958600757</v>
      </c>
      <c r="EA353" s="752">
        <f t="shared" si="345"/>
        <v>22779.67</v>
      </c>
      <c r="EC353" s="592">
        <f t="shared" si="342"/>
        <v>581676.19143560855</v>
      </c>
      <c r="EE353" s="758">
        <v>-28720</v>
      </c>
      <c r="EF353" s="738">
        <f t="shared" si="343"/>
        <v>3886.4424901768216</v>
      </c>
      <c r="EH353" s="813">
        <v>17137.811946616559</v>
      </c>
    </row>
    <row r="354" spans="1:138" x14ac:dyDescent="0.3">
      <c r="A354" s="328">
        <v>150000916</v>
      </c>
      <c r="B354" s="44" t="s">
        <v>807</v>
      </c>
      <c r="C354" s="45" t="s">
        <v>323</v>
      </c>
      <c r="D354" s="45" t="s">
        <v>323</v>
      </c>
      <c r="E354" s="40">
        <f t="shared" si="384"/>
        <v>5235.7000000000007</v>
      </c>
      <c r="F354" s="490">
        <v>5047.1000000000004</v>
      </c>
      <c r="G354" s="30"/>
      <c r="H354" s="30">
        <v>188.6</v>
      </c>
      <c r="I354" s="42">
        <f>'[1]побудинковий звіт'!I354+'[2]побудинковий звіт'!I354-'[3]побудинковий звіт'!I354</f>
        <v>20821.922201690792</v>
      </c>
      <c r="J354" s="42">
        <f>'[1]побудинковий звіт'!J354+'[2]побудинковий звіт'!J354-'[3]побудинковий звіт'!J354</f>
        <v>18986.82079494698</v>
      </c>
      <c r="K354" s="56">
        <f t="shared" si="349"/>
        <v>-1835.1014067438118</v>
      </c>
      <c r="L354" s="42">
        <f>'[1]побудинковий звіт'!L354+'[2]побудинковий звіт'!L354-'[3]побудинковий звіт'!L354</f>
        <v>4018.5688350129994</v>
      </c>
      <c r="M354" s="42">
        <f>'[1]побудинковий звіт'!M354+'[2]побудинковий звіт'!M354-'[3]побудинковий звіт'!M354</f>
        <v>3889.3943764112387</v>
      </c>
      <c r="N354" s="56">
        <f t="shared" si="350"/>
        <v>-129.17445860176076</v>
      </c>
      <c r="O354" s="42">
        <f>'[1]побудинковий звіт'!O354+'[2]побудинковий звіт'!O354-'[3]побудинковий звіт'!O354</f>
        <v>8666.7599999999984</v>
      </c>
      <c r="P354" s="42">
        <f>'[1]побудинковий звіт'!P354+'[2]побудинковий звіт'!P354-'[3]побудинковий звіт'!P354</f>
        <v>8667.8399999999983</v>
      </c>
      <c r="Q354" s="56">
        <f t="shared" si="351"/>
        <v>1.0799999999999272</v>
      </c>
      <c r="R354" s="42">
        <f>'[1]побудинковий звіт'!R354+'[2]побудинковий звіт'!R354-'[3]побудинковий звіт'!R354</f>
        <v>0</v>
      </c>
      <c r="S354" s="42">
        <f>'[1]побудинковий звіт'!S354+'[2]побудинковий звіт'!S354-'[3]побудинковий звіт'!S354</f>
        <v>0</v>
      </c>
      <c r="T354" s="56">
        <f t="shared" si="352"/>
        <v>0</v>
      </c>
      <c r="U354" s="42">
        <f>'[1]побудинковий звіт'!U354+'[2]побудинковий звіт'!U354-'[3]побудинковий звіт'!U354</f>
        <v>2003.5352550963678</v>
      </c>
      <c r="V354" s="42">
        <f>'[1]побудинковий звіт'!V354+'[2]побудинковий звіт'!V354-'[3]побудинковий звіт'!V354</f>
        <v>1360.4326218215028</v>
      </c>
      <c r="W354" s="56">
        <f t="shared" si="353"/>
        <v>-643.10263327486496</v>
      </c>
      <c r="X354" s="42">
        <f>'[1]побудинковий звіт'!X354+'[2]побудинковий звіт'!X354-'[3]побудинковий звіт'!X354</f>
        <v>19492.740594040373</v>
      </c>
      <c r="Y354" s="42">
        <f>'[1]побудинковий звіт'!Y354+'[2]побудинковий звіт'!Y354-'[3]побудинковий звіт'!Y354</f>
        <v>20361.377477293281</v>
      </c>
      <c r="Z354" s="56">
        <f t="shared" si="354"/>
        <v>868.63688325290786</v>
      </c>
      <c r="AA354" s="42">
        <f>'[1]побудинковий звіт'!AA354+'[2]побудинковий звіт'!AA354-'[3]побудинковий звіт'!AA354</f>
        <v>0</v>
      </c>
      <c r="AB354" s="42">
        <f>'[1]побудинковий звіт'!AB354+'[2]побудинковий звіт'!AB354-'[3]побудинковий звіт'!AB354</f>
        <v>0</v>
      </c>
      <c r="AC354" s="56">
        <f t="shared" si="355"/>
        <v>0</v>
      </c>
      <c r="AD354" s="42">
        <f>'[1]побудинковий звіт'!AD354+'[2]побудинковий звіт'!AD354-'[3]побудинковий звіт'!AD354</f>
        <v>24759.587317855898</v>
      </c>
      <c r="AE354" s="42">
        <f>'[1]побудинковий звіт'!AE354+'[2]побудинковий звіт'!AE354-'[3]побудинковий звіт'!AE354</f>
        <v>22820.392016740378</v>
      </c>
      <c r="AF354" s="37">
        <f t="shared" si="356"/>
        <v>-1939.1953011155201</v>
      </c>
      <c r="AG354" s="87">
        <f t="shared" si="346"/>
        <v>79763.11420369643</v>
      </c>
      <c r="AH354" s="57">
        <f t="shared" si="346"/>
        <v>76086.257287213375</v>
      </c>
      <c r="AI354" s="56">
        <f t="shared" si="357"/>
        <v>-3676.8569164830551</v>
      </c>
      <c r="AJ354" s="42">
        <f>'[1]побудинковий звіт'!AJ354+'[2]побудинковий звіт'!AJ354-'[3]побудинковий звіт'!AJ354</f>
        <v>0</v>
      </c>
      <c r="AK354" s="42">
        <f>'[1]побудинковий звіт'!AK354+'[2]побудинковий звіт'!AK354-'[3]побудинковий звіт'!AK354</f>
        <v>0</v>
      </c>
      <c r="AL354" s="56">
        <f t="shared" si="358"/>
        <v>0</v>
      </c>
      <c r="AM354" s="42">
        <f>'[1]побудинковий звіт'!AM354+'[2]побудинковий звіт'!AM354-'[3]побудинковий звіт'!AM354</f>
        <v>0</v>
      </c>
      <c r="AN354" s="42">
        <f>'[1]побудинковий звіт'!AN354+'[2]побудинковий звіт'!AN354-'[3]побудинковий звіт'!AN354</f>
        <v>0</v>
      </c>
      <c r="AO354" s="56">
        <f t="shared" si="359"/>
        <v>0</v>
      </c>
      <c r="AP354" s="42">
        <f>'[1]побудинковий звіт'!AP354+'[2]побудинковий звіт'!AP354-'[3]побудинковий звіт'!AP354</f>
        <v>9801.632603949276</v>
      </c>
      <c r="AQ354" s="42">
        <f>'[1]побудинковий звіт'!AQ354+'[2]побудинковий звіт'!AQ354-'[3]побудинковий звіт'!AQ354</f>
        <v>15618.423611746768</v>
      </c>
      <c r="AR354" s="56">
        <f t="shared" si="360"/>
        <v>5816.7910077974921</v>
      </c>
      <c r="AS354" s="42">
        <f>'[1]побудинковий звіт'!AS354+'[2]побудинковий звіт'!AS354-'[3]побудинковий звіт'!AS354</f>
        <v>96389.216206295227</v>
      </c>
      <c r="AT354" s="42">
        <f>'[1]побудинковий звіт'!AT354+'[2]побудинковий звіт'!AT354-'[3]побудинковий звіт'!AT354</f>
        <v>69078.084550033644</v>
      </c>
      <c r="AU354" s="58">
        <f t="shared" si="375"/>
        <v>-27311.131656261583</v>
      </c>
      <c r="AV354" s="42">
        <f>'[1]побудинковий звіт'!AV354+'[2]побудинковий звіт'!AV354-'[3]побудинковий звіт'!AV354</f>
        <v>3475.8108485028879</v>
      </c>
      <c r="AW354" s="42">
        <f>'[1]побудинковий звіт'!AW354+'[2]побудинковий звіт'!AW354-'[3]побудинковий звіт'!AW354</f>
        <v>0</v>
      </c>
      <c r="AX354" s="59">
        <f t="shared" si="376"/>
        <v>-3475.8108485028879</v>
      </c>
      <c r="AY354" s="42">
        <f>'[1]побудинковий звіт'!AY354+'[2]побудинковий звіт'!AY354-'[3]побудинковий звіт'!AY354</f>
        <v>5179.6511691421147</v>
      </c>
      <c r="AZ354" s="42">
        <f>'[1]побудинковий звіт'!AZ354+'[2]побудинковий звіт'!AZ354-'[3]побудинковий звіт'!AZ354</f>
        <v>2166</v>
      </c>
      <c r="BA354" s="37">
        <f t="shared" si="377"/>
        <v>-3013.6511691421147</v>
      </c>
      <c r="BB354" s="42">
        <f>'[1]побудинковий звіт'!BB354+'[2]побудинковий звіт'!BB354-'[3]побудинковий звіт'!BB354</f>
        <v>3265.1041597453614</v>
      </c>
      <c r="BC354" s="42">
        <f>'[1]побудинковий звіт'!BC354+'[2]побудинковий звіт'!BC354-'[3]побудинковий звіт'!BC354</f>
        <v>2383</v>
      </c>
      <c r="BD354" s="59">
        <f t="shared" si="378"/>
        <v>-882.10415974536136</v>
      </c>
      <c r="BE354" s="42">
        <f>'[1]побудинковий звіт'!BE354+'[2]побудинковий звіт'!BE354-'[3]побудинковий звіт'!BE354</f>
        <v>0</v>
      </c>
      <c r="BF354" s="42">
        <f>'[1]побудинковий звіт'!BF354+'[2]побудинковий звіт'!BF354-'[3]побудинковий звіт'!BF354</f>
        <v>0</v>
      </c>
      <c r="BG354" s="39">
        <f t="shared" si="379"/>
        <v>0</v>
      </c>
      <c r="BH354" s="42">
        <f>'[1]побудинковий звіт'!BH354+'[2]побудинковий звіт'!BH354-'[3]побудинковий звіт'!BH354</f>
        <v>2032.8706882486335</v>
      </c>
      <c r="BI354" s="42">
        <f>'[1]побудинковий звіт'!BI354+'[2]побудинковий звіт'!BI354-'[3]побудинковий звіт'!BI354</f>
        <v>0</v>
      </c>
      <c r="BJ354" s="59">
        <f t="shared" si="380"/>
        <v>-2032.8706882486335</v>
      </c>
      <c r="BK354" s="42">
        <f>'[1]побудинковий звіт'!BK354+'[2]побудинковий звіт'!BK354-'[3]побудинковий звіт'!BK354</f>
        <v>2997.8333569021902</v>
      </c>
      <c r="BL354" s="42">
        <f>'[1]побудинковий звіт'!BL354+'[2]побудинковий звіт'!BL354-'[3]побудинковий звіт'!BL354</f>
        <v>3873</v>
      </c>
      <c r="BM354" s="39">
        <f t="shared" si="381"/>
        <v>875.16664309780981</v>
      </c>
      <c r="BN354" s="42">
        <f>'[1]побудинковий звіт'!BN354+'[2]побудинковий звіт'!BN354-'[3]побудинковий звіт'!BN354</f>
        <v>0</v>
      </c>
      <c r="BO354" s="42">
        <f>'[1]побудинковий звіт'!BO354+'[2]побудинковий звіт'!BO354-'[3]побудинковий звіт'!BO354</f>
        <v>0</v>
      </c>
      <c r="BP354" s="59">
        <f t="shared" si="382"/>
        <v>0</v>
      </c>
      <c r="BQ354" s="87">
        <f t="shared" si="338"/>
        <v>16951.270222541185</v>
      </c>
      <c r="BR354" s="43">
        <f t="shared" si="385"/>
        <v>8422</v>
      </c>
      <c r="BS354" s="59">
        <f t="shared" si="383"/>
        <v>-8529.2702225411849</v>
      </c>
      <c r="BT354" s="42">
        <f>'[1]побудинковий звіт'!BT354+'[2]побудинковий звіт'!BT354-'[3]побудинковий звіт'!BT354</f>
        <v>53563.00879458811</v>
      </c>
      <c r="BU354" s="42">
        <f>'[1]побудинковий звіт'!BU354+'[2]побудинковий звіт'!BU354-'[3]побудинковий звіт'!BU354</f>
        <v>69201.802267587918</v>
      </c>
      <c r="BV354" s="56">
        <f t="shared" si="361"/>
        <v>15638.793472999809</v>
      </c>
      <c r="BW354" s="42">
        <f>'[1]побудинковий звіт'!BW354+'[2]побудинковий звіт'!BW354-'[3]побудинковий звіт'!BW354</f>
        <v>36345.43135042565</v>
      </c>
      <c r="BX354" s="42">
        <f>'[1]побудинковий звіт'!BX354+'[2]побудинковий звіт'!BX354-'[3]побудинковий звіт'!BX354</f>
        <v>37666.180722338126</v>
      </c>
      <c r="BY354" s="56">
        <f t="shared" si="362"/>
        <v>1320.7493719124759</v>
      </c>
      <c r="BZ354" s="42">
        <f>'[1]побудинковий звіт'!BZ354+'[2]побудинковий звіт'!BZ354-'[3]побудинковий звіт'!BZ354</f>
        <v>7476.2089211252096</v>
      </c>
      <c r="CA354" s="42">
        <f>'[1]побудинковий звіт'!CA354+'[2]побудинковий звіт'!CA354-'[3]побудинковий звіт'!CA354</f>
        <v>11267.512053500952</v>
      </c>
      <c r="CB354" s="56">
        <f t="shared" si="363"/>
        <v>3791.3031323757423</v>
      </c>
      <c r="CC354" s="42">
        <f>'[1]побудинковий звіт'!CC354+'[2]побудинковий звіт'!CC354-'[3]побудинковий звіт'!CC354</f>
        <v>2328.059042217476</v>
      </c>
      <c r="CD354" s="42">
        <f>'[1]побудинковий звіт'!CD354+'[2]побудинковий звіт'!CD354-'[3]побудинковий звіт'!CD354</f>
        <v>2307.5831047511888</v>
      </c>
      <c r="CE354" s="56">
        <f t="shared" si="364"/>
        <v>-20.475937466287178</v>
      </c>
      <c r="CF354" s="42">
        <f>'[1]побудинковий звіт'!CF354+'[2]побудинковий звіт'!CF354-'[3]побудинковий звіт'!CF354</f>
        <v>286.59817754571196</v>
      </c>
      <c r="CG354" s="42">
        <f>'[1]побудинковий звіт'!CG354+'[2]побудинковий звіт'!CG354-'[3]побудинковий звіт'!CG354</f>
        <v>0</v>
      </c>
      <c r="CH354" s="56">
        <f t="shared" si="365"/>
        <v>-286.59817754571196</v>
      </c>
      <c r="CI354" s="42">
        <f>'[1]побудинковий звіт'!CI354+'[2]побудинковий звіт'!CI354-'[3]побудинковий звіт'!CI354</f>
        <v>5072.4493230190674</v>
      </c>
      <c r="CJ354" s="42">
        <f>'[1]побудинковий звіт'!CJ354+'[2]побудинковий звіт'!CJ354-'[3]побудинковий звіт'!CJ354</f>
        <v>6152.3258262081617</v>
      </c>
      <c r="CK354" s="56">
        <f t="shared" si="366"/>
        <v>1079.8765031890944</v>
      </c>
      <c r="CL354" s="42">
        <f>'[1]побудинковий звіт'!CL354+'[2]побудинковий звіт'!CL354-'[3]побудинковий звіт'!CL354</f>
        <v>0</v>
      </c>
      <c r="CM354" s="42">
        <f>'[1]побудинковий звіт'!CM354+'[2]побудинковий звіт'!CM354-'[3]побудинковий звіт'!CM354</f>
        <v>0</v>
      </c>
      <c r="CN354" s="56">
        <f t="shared" si="367"/>
        <v>0</v>
      </c>
      <c r="CO354" s="42">
        <f t="shared" si="347"/>
        <v>5072.4493230190674</v>
      </c>
      <c r="CP354" s="43">
        <f t="shared" si="368"/>
        <v>6152.3258262081617</v>
      </c>
      <c r="CQ354" s="56">
        <f t="shared" si="369"/>
        <v>1079.8765031890944</v>
      </c>
      <c r="CR354" s="78">
        <f t="shared" si="348"/>
        <v>307976.98884540336</v>
      </c>
      <c r="CS354" s="5">
        <f t="shared" si="348"/>
        <v>295800.16942338017</v>
      </c>
      <c r="CT354" s="56">
        <f t="shared" si="370"/>
        <v>-12176.819422023196</v>
      </c>
      <c r="CU354" s="87">
        <f t="shared" si="371"/>
        <v>369572.38661448401</v>
      </c>
      <c r="CV354" s="70">
        <f t="shared" si="372"/>
        <v>354960.20330805617</v>
      </c>
      <c r="CW354" s="37">
        <f t="shared" si="373"/>
        <v>-14612.183306427847</v>
      </c>
      <c r="CX354" s="42">
        <f>'[1]побудинковий звіт'!CX354+'[2]побудинковий звіт'!CX354-'[3]побудинковий звіт'!CX354</f>
        <v>17365.693385516017</v>
      </c>
      <c r="CY354" s="42">
        <f>'[1]побудинковий звіт'!CY354+'[2]побудинковий звіт'!CY354-'[3]побудинковий звіт'!CY354</f>
        <v>31977.876691943842</v>
      </c>
      <c r="CZ354" s="56">
        <f t="shared" si="374"/>
        <v>14612.183306427825</v>
      </c>
      <c r="DA354" s="264">
        <f>'[4]побудинковий звіт'!DA354</f>
        <v>75343.045775358885</v>
      </c>
      <c r="DB354" s="2">
        <v>3</v>
      </c>
      <c r="DC354" s="717">
        <f>'[4]побудинковий звіт'!DC354</f>
        <v>88074.13</v>
      </c>
      <c r="DD354" s="717">
        <f>'[4]побудинковий звіт'!DD354</f>
        <v>1770.73</v>
      </c>
      <c r="DE354" s="717">
        <f>'[4]побудинковий звіт'!DE354</f>
        <v>56755.58</v>
      </c>
      <c r="DF354" s="717">
        <f>'[4]побудинковий звіт'!DF354</f>
        <v>844.44</v>
      </c>
      <c r="DG354" s="787">
        <v>44701.070894868812</v>
      </c>
      <c r="DH354" s="761">
        <f t="shared" si="344"/>
        <v>4643256.96</v>
      </c>
      <c r="DI354" s="784"/>
      <c r="DJ354" s="5"/>
      <c r="DK354" s="317">
        <f>VLOOKUP($A354,ціни!$A$4:$G$401,5)</f>
        <v>5.5906855284391614</v>
      </c>
      <c r="DL354" s="317"/>
      <c r="DM354" s="317">
        <f>VLOOKUP($A354,ціни!$A$4:$G$401,7)</f>
        <v>4.9113862438411564</v>
      </c>
      <c r="DN354" s="30">
        <f t="shared" si="388"/>
        <v>28216.748930585294</v>
      </c>
      <c r="DO354" s="30">
        <f t="shared" si="389"/>
        <v>926.2874455884421</v>
      </c>
      <c r="DP354" s="316">
        <f t="shared" si="335"/>
        <v>29143.036376173735</v>
      </c>
      <c r="DQ354" s="104"/>
      <c r="DR354" s="30">
        <f>VLOOKUP(A354,'ДЗ нас '!$A$1:$C$359,2)</f>
        <v>31318.55</v>
      </c>
      <c r="DS354" s="748">
        <f>VLOOKUP(A354,'ДЗ нежит'!$A$1:$D$153,4,0)</f>
        <v>926.29</v>
      </c>
      <c r="DT354" s="30">
        <f t="shared" si="336"/>
        <v>32244.84</v>
      </c>
      <c r="DU354" s="257">
        <f>VLOOKUP(A354,'новий кошторис с 01.06'!$A$4:$AI$399,35)*1.2</f>
        <v>32534.689101628406</v>
      </c>
      <c r="DV354" s="30">
        <f t="shared" si="337"/>
        <v>-289.84910162840606</v>
      </c>
      <c r="DW354" s="930">
        <f>'[5]побудинковий звіт'!DW354+'[6]побудинковий звіт'!DW354</f>
        <v>332</v>
      </c>
      <c r="DY354" s="5">
        <f t="shared" si="340"/>
        <v>136008.58371460371</v>
      </c>
      <c r="DZ354" s="5">
        <f t="shared" si="341"/>
        <v>93000.101460040372</v>
      </c>
      <c r="EA354" s="752">
        <f t="shared" si="345"/>
        <v>57600.020000000004</v>
      </c>
      <c r="EC354" s="592">
        <f t="shared" si="342"/>
        <v>1156670.5944755427</v>
      </c>
      <c r="EE354" s="758">
        <v>-104844</v>
      </c>
      <c r="EF354" s="738">
        <f t="shared" si="343"/>
        <v>-60142.929105131188</v>
      </c>
      <c r="EH354" s="813">
        <v>81014.87445947816</v>
      </c>
    </row>
    <row r="355" spans="1:138" x14ac:dyDescent="0.3">
      <c r="A355" s="328">
        <v>150000917</v>
      </c>
      <c r="B355" s="44" t="s">
        <v>808</v>
      </c>
      <c r="C355" s="45" t="s">
        <v>324</v>
      </c>
      <c r="D355" s="45" t="s">
        <v>324</v>
      </c>
      <c r="E355" s="40">
        <f t="shared" si="384"/>
        <v>3936.36</v>
      </c>
      <c r="F355" s="490">
        <v>3936.36</v>
      </c>
      <c r="G355" s="30"/>
      <c r="H355" s="30">
        <v>0</v>
      </c>
      <c r="I355" s="42">
        <f>'[1]побудинковий звіт'!I355+'[2]побудинковий звіт'!I355-'[3]побудинковий звіт'!I355</f>
        <v>15936.450669596506</v>
      </c>
      <c r="J355" s="42">
        <f>'[1]побудинковий звіт'!J355+'[2]побудинковий звіт'!J355-'[3]побудинковий звіт'!J355</f>
        <v>14529.10992293028</v>
      </c>
      <c r="K355" s="56">
        <f t="shared" si="349"/>
        <v>-1407.3407466662266</v>
      </c>
      <c r="L355" s="42">
        <f>'[1]побудинковий звіт'!L355+'[2]побудинковий звіт'!L355-'[3]побудинковий звіт'!L355</f>
        <v>3022.2856453882796</v>
      </c>
      <c r="M355" s="42">
        <f>'[1]побудинковий звіт'!M355+'[2]побудинковий звіт'!M355-'[3]побудинковий звіт'!M355</f>
        <v>2935.4261382767518</v>
      </c>
      <c r="N355" s="56">
        <f t="shared" si="350"/>
        <v>-86.859507111527819</v>
      </c>
      <c r="O355" s="42">
        <f>'[1]побудинковий звіт'!O355+'[2]побудинковий звіт'!O355-'[3]побудинковий звіт'!O355</f>
        <v>6481.6800000000012</v>
      </c>
      <c r="P355" s="42">
        <f>'[1]побудинковий звіт'!P355+'[2]побудинковий звіт'!P355-'[3]побудинковий звіт'!P355</f>
        <v>6481.7999999999984</v>
      </c>
      <c r="Q355" s="56">
        <f t="shared" si="351"/>
        <v>0.11999999999716238</v>
      </c>
      <c r="R355" s="42">
        <f>'[1]побудинковий звіт'!R355+'[2]побудинковий звіт'!R355-'[3]побудинковий звіт'!R355</f>
        <v>0</v>
      </c>
      <c r="S355" s="42">
        <f>'[1]побудинковий звіт'!S355+'[2]побудинковий звіт'!S355-'[3]побудинковий звіт'!S355</f>
        <v>0</v>
      </c>
      <c r="T355" s="56">
        <f t="shared" si="352"/>
        <v>0</v>
      </c>
      <c r="U355" s="42">
        <f>'[1]побудинковий звіт'!U355+'[2]побудинковий звіт'!U355-'[3]побудинковий звіт'!U355</f>
        <v>1294.4711018415646</v>
      </c>
      <c r="V355" s="42">
        <f>'[1]побудинковий звіт'!V355+'[2]побудинковий звіт'!V355-'[3]побудинковий звіт'!V355</f>
        <v>878.96842656000217</v>
      </c>
      <c r="W355" s="56">
        <f t="shared" si="353"/>
        <v>-415.50267528156246</v>
      </c>
      <c r="X355" s="42">
        <f>'[1]побудинковий звіт'!X355+'[2]побудинковий звіт'!X355-'[3]побудинковий звіт'!X355</f>
        <v>12462.806855551262</v>
      </c>
      <c r="Y355" s="42">
        <f>'[1]побудинковий звіт'!Y355+'[2]побудинковий звіт'!Y355-'[3]побудинковий звіт'!Y355</f>
        <v>11099.799584034941</v>
      </c>
      <c r="Z355" s="56">
        <f t="shared" si="354"/>
        <v>-1363.0072715163205</v>
      </c>
      <c r="AA355" s="42">
        <f>'[1]побудинковий звіт'!AA355+'[2]побудинковий звіт'!AA355-'[3]побудинковий звіт'!AA355</f>
        <v>0</v>
      </c>
      <c r="AB355" s="42">
        <f>'[1]побудинковий звіт'!AB355+'[2]побудинковий звіт'!AB355-'[3]побудинковий звіт'!AB355</f>
        <v>0</v>
      </c>
      <c r="AC355" s="56">
        <f t="shared" si="355"/>
        <v>0</v>
      </c>
      <c r="AD355" s="42">
        <f>'[1]побудинковий звіт'!AD355+'[2]побудинковий звіт'!AD355-'[3]побудинковий звіт'!AD355</f>
        <v>19008.209080858491</v>
      </c>
      <c r="AE355" s="42">
        <f>'[1]побудинковий звіт'!AE355+'[2]побудинковий звіт'!AE355-'[3]побудинковий звіт'!AE355</f>
        <v>17519.94469783979</v>
      </c>
      <c r="AF355" s="37">
        <f t="shared" si="356"/>
        <v>-1488.2643830187008</v>
      </c>
      <c r="AG355" s="87">
        <f t="shared" si="346"/>
        <v>58205.903353236106</v>
      </c>
      <c r="AH355" s="57">
        <f t="shared" si="346"/>
        <v>53445.048769641762</v>
      </c>
      <c r="AI355" s="56">
        <f t="shared" si="357"/>
        <v>-4760.8545835943441</v>
      </c>
      <c r="AJ355" s="42">
        <f>'[1]побудинковий звіт'!AJ355+'[2]побудинковий звіт'!AJ355-'[3]побудинковий звіт'!AJ355</f>
        <v>0</v>
      </c>
      <c r="AK355" s="42">
        <f>'[1]побудинковий звіт'!AK355+'[2]побудинковий звіт'!AK355-'[3]побудинковий звіт'!AK355</f>
        <v>0</v>
      </c>
      <c r="AL355" s="56">
        <f t="shared" si="358"/>
        <v>0</v>
      </c>
      <c r="AM355" s="42">
        <f>'[1]побудинковий звіт'!AM355+'[2]побудинковий звіт'!AM355-'[3]побудинковий звіт'!AM355</f>
        <v>0</v>
      </c>
      <c r="AN355" s="42">
        <f>'[1]побудинковий звіт'!AN355+'[2]побудинковий звіт'!AN355-'[3]побудинковий звіт'!AN355</f>
        <v>0</v>
      </c>
      <c r="AO355" s="56">
        <f t="shared" si="359"/>
        <v>0</v>
      </c>
      <c r="AP355" s="42">
        <f>'[1]побудинковий звіт'!AP355+'[2]побудинковий звіт'!AP355-'[3]побудинковий звіт'!AP355</f>
        <v>7670.8429074385649</v>
      </c>
      <c r="AQ355" s="42">
        <f>'[1]побудинковий звіт'!AQ355+'[2]побудинковий звіт'!AQ355-'[3]побудинковий звіт'!AQ355</f>
        <v>12312.114697450203</v>
      </c>
      <c r="AR355" s="56">
        <f t="shared" si="360"/>
        <v>4641.2717900116377</v>
      </c>
      <c r="AS355" s="42">
        <f>'[1]побудинковий звіт'!AS355+'[2]побудинковий звіт'!AS355-'[3]побудинковий звіт'!AS355</f>
        <v>70849.67341440836</v>
      </c>
      <c r="AT355" s="42">
        <f>'[1]побудинковий звіт'!AT355+'[2]побудинковий звіт'!AT355-'[3]побудинковий звіт'!AT355</f>
        <v>121178</v>
      </c>
      <c r="AU355" s="58">
        <f t="shared" si="375"/>
        <v>50328.32658559164</v>
      </c>
      <c r="AV355" s="42">
        <f>'[1]побудинковий звіт'!AV355+'[2]побудинковий звіт'!AV355-'[3]побудинковий звіт'!AV355</f>
        <v>2650.2856377678509</v>
      </c>
      <c r="AW355" s="42">
        <f>'[1]побудинковий звіт'!AW355+'[2]побудинковий звіт'!AW355-'[3]побудинковий звіт'!AW355</f>
        <v>0</v>
      </c>
      <c r="AX355" s="59">
        <f t="shared" si="376"/>
        <v>-2650.2856377678509</v>
      </c>
      <c r="AY355" s="42">
        <f>'[1]побудинковий звіт'!AY355+'[2]побудинковий звіт'!AY355-'[3]побудинковий звіт'!AY355</f>
        <v>3895.5321155112861</v>
      </c>
      <c r="AZ355" s="42">
        <f>'[1]побудинковий звіт'!AZ355+'[2]побудинковий звіт'!AZ355-'[3]побудинковий звіт'!AZ355</f>
        <v>9496</v>
      </c>
      <c r="BA355" s="37">
        <f t="shared" si="377"/>
        <v>5600.4678844887139</v>
      </c>
      <c r="BB355" s="42">
        <f>'[1]побудинковий звіт'!BB355+'[2]побудинковий звіт'!BB355-'[3]побудинковий звіт'!BB355</f>
        <v>2562.4782126077039</v>
      </c>
      <c r="BC355" s="42">
        <f>'[1]побудинковий звіт'!BC355+'[2]побудинковий звіт'!BC355-'[3]побудинковий звіт'!BC355</f>
        <v>0</v>
      </c>
      <c r="BD355" s="59">
        <f t="shared" si="378"/>
        <v>-2562.4782126077039</v>
      </c>
      <c r="BE355" s="42">
        <f>'[1]побудинковий звіт'!BE355+'[2]побудинковий звіт'!BE355-'[3]побудинковий звіт'!BE355</f>
        <v>0</v>
      </c>
      <c r="BF355" s="42">
        <f>'[1]побудинковий звіт'!BF355+'[2]побудинковий звіт'!BF355-'[3]побудинковий звіт'!BF355</f>
        <v>0</v>
      </c>
      <c r="BG355" s="39">
        <f t="shared" si="379"/>
        <v>0</v>
      </c>
      <c r="BH355" s="42">
        <f>'[1]побудинковий звіт'!BH355+'[2]побудинковий звіт'!BH355-'[3]побудинковий звіт'!BH355</f>
        <v>1313.1883369600605</v>
      </c>
      <c r="BI355" s="42">
        <f>'[1]побудинковий звіт'!BI355+'[2]побудинковий звіт'!BI355-'[3]побудинковий звіт'!BI355</f>
        <v>0</v>
      </c>
      <c r="BJ355" s="59">
        <f t="shared" si="380"/>
        <v>-1313.1883369600605</v>
      </c>
      <c r="BK355" s="42">
        <f>'[1]побудинковий звіт'!BK355+'[2]побудинковий звіт'!BK355-'[3]побудинковий звіт'!BK355</f>
        <v>1948.3791226635208</v>
      </c>
      <c r="BL355" s="42">
        <f>'[1]побудинковий звіт'!BL355+'[2]побудинковий звіт'!BL355-'[3]побудинковий звіт'!BL355</f>
        <v>1622</v>
      </c>
      <c r="BM355" s="39">
        <f t="shared" si="381"/>
        <v>-326.37912266352077</v>
      </c>
      <c r="BN355" s="42">
        <f>'[1]побудинковий звіт'!BN355+'[2]побудинковий звіт'!BN355-'[3]побудинковий звіт'!BN355</f>
        <v>0</v>
      </c>
      <c r="BO355" s="42">
        <f>'[1]побудинковий звіт'!BO355+'[2]побудинковий звіт'!BO355-'[3]побудинковий звіт'!BO355</f>
        <v>0</v>
      </c>
      <c r="BP355" s="59">
        <f t="shared" si="382"/>
        <v>0</v>
      </c>
      <c r="BQ355" s="87">
        <f t="shared" si="338"/>
        <v>12369.863425510421</v>
      </c>
      <c r="BR355" s="43">
        <f t="shared" si="385"/>
        <v>11118</v>
      </c>
      <c r="BS355" s="59">
        <f t="shared" si="383"/>
        <v>-1251.8634255104207</v>
      </c>
      <c r="BT355" s="42">
        <f>'[1]побудинковий звіт'!BT355+'[2]побудинковий звіт'!BT355-'[3]побудинковий звіт'!BT355</f>
        <v>55304.158361704838</v>
      </c>
      <c r="BU355" s="42">
        <f>'[1]побудинковий звіт'!BU355+'[2]побудинковий звіт'!BU355-'[3]побудинковий звіт'!BU355</f>
        <v>67681.583228767719</v>
      </c>
      <c r="BV355" s="56">
        <f t="shared" si="361"/>
        <v>12377.42486706288</v>
      </c>
      <c r="BW355" s="42">
        <f>'[1]побудинковий звіт'!BW355+'[2]побудинковий звіт'!BW355-'[3]побудинковий звіт'!BW355</f>
        <v>26380.503750194308</v>
      </c>
      <c r="BX355" s="42">
        <f>'[1]побудинковий звіт'!BX355+'[2]побудинковий звіт'!BX355-'[3]побудинковий звіт'!BX355</f>
        <v>27383.791938644579</v>
      </c>
      <c r="BY355" s="56">
        <f t="shared" si="362"/>
        <v>1003.2881884502713</v>
      </c>
      <c r="BZ355" s="42">
        <f>'[1]побудинковий звіт'!BZ355+'[2]побудинковий звіт'!BZ355-'[3]побудинковий звіт'!BZ355</f>
        <v>6799.7858441564476</v>
      </c>
      <c r="CA355" s="42">
        <f>'[1]побудинковий звіт'!CA355+'[2]побудинковий звіт'!CA355-'[3]побудинковий звіт'!CA355</f>
        <v>15202.37187061919</v>
      </c>
      <c r="CB355" s="56">
        <f t="shared" si="363"/>
        <v>8402.5860264627427</v>
      </c>
      <c r="CC355" s="42">
        <f>'[1]побудинковий звіт'!CC355+'[2]побудинковий звіт'!CC355-'[3]побудинковий звіт'!CC355</f>
        <v>2762.4928015801065</v>
      </c>
      <c r="CD355" s="42">
        <f>'[1]побудинковий звіт'!CD355+'[2]побудинковий звіт'!CD355-'[3]побудинковий звіт'!CD355</f>
        <v>2738.1958963769002</v>
      </c>
      <c r="CE355" s="56">
        <f t="shared" si="364"/>
        <v>-24.296905203206279</v>
      </c>
      <c r="CF355" s="42">
        <f>'[1]побудинковий звіт'!CF355+'[2]побудинковий звіт'!CF355-'[3]побудинковий звіт'!CF355</f>
        <v>340.07960625512669</v>
      </c>
      <c r="CG355" s="42">
        <f>'[1]побудинковий звіт'!CG355+'[2]побудинковий звіт'!CG355-'[3]побудинковий звіт'!CG355</f>
        <v>0</v>
      </c>
      <c r="CH355" s="56">
        <f t="shared" si="365"/>
        <v>-340.07960625512669</v>
      </c>
      <c r="CI355" s="42">
        <f>'[1]побудинковий звіт'!CI355+'[2]побудинковий звіт'!CI355-'[3]побудинковий звіт'!CI355</f>
        <v>5970.8905315242919</v>
      </c>
      <c r="CJ355" s="42">
        <f>'[1]побудинковий звіт'!CJ355+'[2]побудинковий звіт'!CJ355-'[3]побудинковий звіт'!CJ355</f>
        <v>2865.1159365077706</v>
      </c>
      <c r="CK355" s="56">
        <f t="shared" si="366"/>
        <v>-3105.7745950165213</v>
      </c>
      <c r="CL355" s="42">
        <f>'[1]побудинковий звіт'!CL355+'[2]побудинковий звіт'!CL355-'[3]побудинковий звіт'!CL355</f>
        <v>0</v>
      </c>
      <c r="CM355" s="42">
        <f>'[1]побудинковий звіт'!CM355+'[2]побудинковий звіт'!CM355-'[3]побудинковий звіт'!CM355</f>
        <v>0</v>
      </c>
      <c r="CN355" s="56">
        <f t="shared" si="367"/>
        <v>0</v>
      </c>
      <c r="CO355" s="42">
        <f t="shared" si="347"/>
        <v>5970.8905315242919</v>
      </c>
      <c r="CP355" s="43">
        <f t="shared" si="368"/>
        <v>2865.1159365077706</v>
      </c>
      <c r="CQ355" s="56">
        <f t="shared" si="369"/>
        <v>-3105.7745950165213</v>
      </c>
      <c r="CR355" s="78">
        <f>AG355+AJ355+AM355+AP355+AS355+BQ355+BT355+BW355+BZ355+CC355+CF355+CO355</f>
        <v>246654.19399600857</v>
      </c>
      <c r="CS355" s="5">
        <f t="shared" si="348"/>
        <v>313924.22233800817</v>
      </c>
      <c r="CT355" s="56">
        <f t="shared" si="370"/>
        <v>67270.028341999598</v>
      </c>
      <c r="CU355" s="87">
        <f t="shared" si="371"/>
        <v>295985.03279521025</v>
      </c>
      <c r="CV355" s="70">
        <f t="shared" si="372"/>
        <v>376709.06680560979</v>
      </c>
      <c r="CW355" s="37">
        <f t="shared" si="373"/>
        <v>80724.03401039954</v>
      </c>
      <c r="CX355" s="42">
        <f>'[1]побудинковий звіт'!CX355+'[2]побудинковий звіт'!CX355-'[3]побудинковий звіт'!CX355</f>
        <v>14891.187204789723</v>
      </c>
      <c r="CY355" s="42">
        <f>'[1]побудинковий звіт'!CY355+'[2]побудинковий звіт'!CY355-'[3]побудинковий звіт'!CY355</f>
        <v>-65832.846805609719</v>
      </c>
      <c r="CZ355" s="56">
        <f t="shared" si="374"/>
        <v>-80724.034010399439</v>
      </c>
      <c r="DA355" s="264">
        <f>'[4]побудинковий звіт'!DA355</f>
        <v>-5114.8550672412093</v>
      </c>
      <c r="DB355" s="2">
        <v>3</v>
      </c>
      <c r="DC355" s="717">
        <f>'[4]побудинковий звіт'!DC355</f>
        <v>134818.99</v>
      </c>
      <c r="DD355" s="717">
        <f>'[4]побудинковий звіт'!DD355</f>
        <v>0</v>
      </c>
      <c r="DE355" s="717">
        <f>'[4]побудинковий звіт'!DE355</f>
        <v>108912.24999999999</v>
      </c>
      <c r="DF355" s="717">
        <f>'[4]побудинковий звіт'!DF355</f>
        <v>0</v>
      </c>
      <c r="DG355" s="787">
        <v>-101296.01292653487</v>
      </c>
      <c r="DH355" s="761">
        <f t="shared" si="344"/>
        <v>3730514.6399999997</v>
      </c>
      <c r="DI355" s="784"/>
      <c r="DJ355" s="5"/>
      <c r="DK355" s="317">
        <f>VLOOKUP($A355,ціни!$A$4:$G$401,5)</f>
        <v>5.8258217005018338</v>
      </c>
      <c r="DL355" s="317"/>
      <c r="DM355" s="317">
        <f>VLOOKUP($A355,ціни!$A$4:$G$401,7)</f>
        <v>5.2027302836150042</v>
      </c>
      <c r="DN355" s="30">
        <f t="shared" si="388"/>
        <v>22932.531508987398</v>
      </c>
      <c r="DO355" s="30">
        <f t="shared" si="389"/>
        <v>0</v>
      </c>
      <c r="DP355" s="316">
        <f t="shared" si="335"/>
        <v>22932.531508987398</v>
      </c>
      <c r="DQ355" s="104"/>
      <c r="DR355" s="30">
        <f>VLOOKUP(A355,'ДЗ нас '!$A$1:$C$359,2)</f>
        <v>25906.74</v>
      </c>
      <c r="DS355" s="748"/>
      <c r="DT355" s="30">
        <f t="shared" si="336"/>
        <v>25906.74</v>
      </c>
      <c r="DU355" s="257">
        <f>VLOOKUP(A355,'новий кошторис с 01.06'!$A$4:$AI$399,35)*1.2</f>
        <v>26145.344563576909</v>
      </c>
      <c r="DV355" s="30">
        <f t="shared" si="337"/>
        <v>-238.60456357690782</v>
      </c>
      <c r="DW355" s="930">
        <f>'[5]побудинковий звіт'!DW355+'[6]побудинковий звіт'!DW355</f>
        <v>302</v>
      </c>
      <c r="DY355" s="5">
        <f t="shared" si="340"/>
        <v>99863.444207902547</v>
      </c>
      <c r="DZ355" s="5">
        <f t="shared" si="341"/>
        <v>158755.19999999998</v>
      </c>
      <c r="EA355" s="752">
        <f t="shared" si="345"/>
        <v>108912.24999999999</v>
      </c>
      <c r="EC355" s="592">
        <f t="shared" si="342"/>
        <v>850196.08097290038</v>
      </c>
      <c r="EE355" s="758">
        <v>36711</v>
      </c>
      <c r="EF355" s="738">
        <f t="shared" si="343"/>
        <v>-64585.012926534866</v>
      </c>
      <c r="EH355" s="813">
        <v>-92397.718904788926</v>
      </c>
    </row>
    <row r="356" spans="1:138" x14ac:dyDescent="0.3">
      <c r="A356" s="328">
        <v>150000918</v>
      </c>
      <c r="B356" s="44" t="s">
        <v>809</v>
      </c>
      <c r="C356" s="45" t="s">
        <v>325</v>
      </c>
      <c r="D356" s="45" t="s">
        <v>325</v>
      </c>
      <c r="E356" s="40">
        <f t="shared" si="384"/>
        <v>6307.74</v>
      </c>
      <c r="F356" s="490">
        <v>6307.74</v>
      </c>
      <c r="G356" s="30"/>
      <c r="H356" s="30">
        <v>0</v>
      </c>
      <c r="I356" s="42">
        <f>'[1]побудинковий звіт'!I356+'[2]побудинковий звіт'!I356-'[3]побудинковий звіт'!I356</f>
        <v>16553.628677439028</v>
      </c>
      <c r="J356" s="42">
        <f>'[1]побудинковий звіт'!J356+'[2]побудинковий звіт'!J356-'[3]побудинковий звіт'!J356</f>
        <v>15090.387729653459</v>
      </c>
      <c r="K356" s="56">
        <f t="shared" si="349"/>
        <v>-1463.240947785569</v>
      </c>
      <c r="L356" s="42">
        <f>'[1]побудинковий звіт'!L356+'[2]побудинковий звіт'!L356-'[3]побудинковий звіт'!L356</f>
        <v>3400.4402470099662</v>
      </c>
      <c r="M356" s="42">
        <f>'[1]побудинковий звіт'!M356+'[2]побудинковий звіт'!M356-'[3]побудинковий звіт'!M356</f>
        <v>3297.520408646777</v>
      </c>
      <c r="N356" s="56">
        <f t="shared" si="350"/>
        <v>-102.91983836318923</v>
      </c>
      <c r="O356" s="42">
        <f>'[1]побудинковий звіт'!O356+'[2]побудинковий звіт'!O356-'[3]побудинковий звіт'!O356</f>
        <v>6715.56</v>
      </c>
      <c r="P356" s="42">
        <f>'[1]побудинковий звіт'!P356+'[2]побудинковий звіт'!P356-'[3]побудинковий звіт'!P356</f>
        <v>6717.7199999999975</v>
      </c>
      <c r="Q356" s="56">
        <f t="shared" si="351"/>
        <v>2.159999999997126</v>
      </c>
      <c r="R356" s="42">
        <f>'[1]побудинковий звіт'!R356+'[2]побудинковий звіт'!R356-'[3]побудинковий звіт'!R356</f>
        <v>0</v>
      </c>
      <c r="S356" s="42">
        <f>'[1]побудинковий звіт'!S356+'[2]побудинковий звіт'!S356-'[3]побудинковий звіт'!S356</f>
        <v>0</v>
      </c>
      <c r="T356" s="56">
        <f t="shared" si="352"/>
        <v>0</v>
      </c>
      <c r="U356" s="42">
        <f>'[1]побудинковий звіт'!U356+'[2]побудинковий звіт'!U356-'[3]побудинковий звіт'!U356</f>
        <v>1294.4711018415646</v>
      </c>
      <c r="V356" s="42">
        <f>'[1]побудинковий звіт'!V356+'[2]побудинковий звіт'!V356-'[3]побудинковий звіт'!V356</f>
        <v>878.96842656000217</v>
      </c>
      <c r="W356" s="56">
        <f t="shared" si="353"/>
        <v>-415.50267528156246</v>
      </c>
      <c r="X356" s="42">
        <f>'[1]побудинковий звіт'!X356+'[2]побудинковий звіт'!X356-'[3]побудинковий звіт'!X356</f>
        <v>12785.882931109018</v>
      </c>
      <c r="Y356" s="42">
        <f>'[1]побудинковий звіт'!Y356+'[2]побудинковий звіт'!Y356-'[3]побудинковий звіт'!Y356</f>
        <v>11503.366047784011</v>
      </c>
      <c r="Z356" s="56">
        <f t="shared" si="354"/>
        <v>-1282.5168833250063</v>
      </c>
      <c r="AA356" s="42">
        <f>'[1]побудинковий звіт'!AA356+'[2]побудинковий звіт'!AA356-'[3]побудинковий звіт'!AA356</f>
        <v>0</v>
      </c>
      <c r="AB356" s="42">
        <f>'[1]побудинковий звіт'!AB356+'[2]побудинковий звіт'!AB356-'[3]побудинковий звіт'!AB356</f>
        <v>0</v>
      </c>
      <c r="AC356" s="56">
        <f t="shared" si="355"/>
        <v>0</v>
      </c>
      <c r="AD356" s="42">
        <f>'[1]побудинковий звіт'!AD356+'[2]побудинковий звіт'!AD356-'[3]побудинковий звіт'!AD356</f>
        <v>19631.197735246318</v>
      </c>
      <c r="AE356" s="42">
        <f>'[1]побудинковий звіт'!AE356+'[2]побудинковий звіт'!AE356-'[3]побудинковий звіт'!AE356</f>
        <v>18093.670853529482</v>
      </c>
      <c r="AF356" s="37">
        <f t="shared" si="356"/>
        <v>-1537.5268817168362</v>
      </c>
      <c r="AG356" s="87">
        <f t="shared" si="346"/>
        <v>60381.180692645896</v>
      </c>
      <c r="AH356" s="57">
        <f t="shared" si="346"/>
        <v>55581.633466173727</v>
      </c>
      <c r="AI356" s="56">
        <f t="shared" si="357"/>
        <v>-4799.5472264721684</v>
      </c>
      <c r="AJ356" s="42">
        <f>'[1]побудинковий звіт'!AJ356+'[2]побудинковий звіт'!AJ356-'[3]побудинковий звіт'!AJ356</f>
        <v>0</v>
      </c>
      <c r="AK356" s="42">
        <f>'[1]побудинковий звіт'!AK356+'[2]побудинковий звіт'!AK356-'[3]побудинковий звіт'!AK356</f>
        <v>0</v>
      </c>
      <c r="AL356" s="56">
        <f t="shared" si="358"/>
        <v>0</v>
      </c>
      <c r="AM356" s="42">
        <f>'[1]побудинковий звіт'!AM356+'[2]побудинковий звіт'!AM356-'[3]побудинковий звіт'!AM356</f>
        <v>0</v>
      </c>
      <c r="AN356" s="42">
        <f>'[1]побудинковий звіт'!AN356+'[2]побудинковий звіт'!AN356-'[3]побудинковий звіт'!AN356</f>
        <v>0</v>
      </c>
      <c r="AO356" s="56">
        <f t="shared" si="359"/>
        <v>0</v>
      </c>
      <c r="AP356" s="42">
        <f>'[1]побудинковий звіт'!AP356+'[2]побудинковий звіт'!AP356-'[3]побудинковий звіт'!AP356</f>
        <v>13921.159350536653</v>
      </c>
      <c r="AQ356" s="42">
        <f>'[1]побудинковий звіт'!AQ356+'[2]побудинковий звіт'!AQ356-'[3]побудинковий звіт'!AQ356</f>
        <v>13367.214469314255</v>
      </c>
      <c r="AR356" s="56">
        <f t="shared" si="360"/>
        <v>-553.94488122239818</v>
      </c>
      <c r="AS356" s="42">
        <f>'[1]побудинковий звіт'!AS356+'[2]побудинковий звіт'!AS356-'[3]побудинковий звіт'!AS356</f>
        <v>62963.907750457831</v>
      </c>
      <c r="AT356" s="42">
        <f>'[1]побудинковий звіт'!AT356+'[2]побудинковий звіт'!AT356-'[3]побудинковий звіт'!AT356</f>
        <v>233120.51934199317</v>
      </c>
      <c r="AU356" s="58">
        <f t="shared" si="375"/>
        <v>170156.61159153533</v>
      </c>
      <c r="AV356" s="42">
        <f>'[1]побудинковий звіт'!AV356+'[2]побудинковий звіт'!AV356-'[3]побудинковий звіт'!AV356</f>
        <v>2712.6293166252549</v>
      </c>
      <c r="AW356" s="42">
        <f>'[1]побудинковий звіт'!AW356+'[2]побудинковий звіт'!AW356-'[3]побудинковий звіт'!AW356</f>
        <v>0</v>
      </c>
      <c r="AX356" s="59">
        <f t="shared" si="376"/>
        <v>-2712.6293166252549</v>
      </c>
      <c r="AY356" s="42">
        <f>'[1]побудинковий звіт'!AY356+'[2]побудинковий звіт'!AY356-'[3]побудинковий звіт'!AY356</f>
        <v>4382.8307950745648</v>
      </c>
      <c r="AZ356" s="42">
        <f>'[1]побудинковий звіт'!AZ356+'[2]побудинковий звіт'!AZ356-'[3]побудинковий звіт'!AZ356</f>
        <v>0</v>
      </c>
      <c r="BA356" s="37">
        <f t="shared" si="377"/>
        <v>-4382.8307950745648</v>
      </c>
      <c r="BB356" s="42">
        <f>'[1]побудинковий звіт'!BB356+'[2]побудинковий звіт'!BB356-'[3]побудинковий звіт'!BB356</f>
        <v>2668.6717501175244</v>
      </c>
      <c r="BC356" s="42">
        <f>'[1]побудинковий звіт'!BC356+'[2]побудинковий звіт'!BC356-'[3]побудинковий звіт'!BC356</f>
        <v>0</v>
      </c>
      <c r="BD356" s="59">
        <f t="shared" si="378"/>
        <v>-2668.6717501175244</v>
      </c>
      <c r="BE356" s="42">
        <f>'[1]побудинковий звіт'!BE356+'[2]побудинковий звіт'!BE356-'[3]побудинковий звіт'!BE356</f>
        <v>0</v>
      </c>
      <c r="BF356" s="42">
        <f>'[1]побудинковий звіт'!BF356+'[2]побудинковий звіт'!BF356-'[3]побудинковий звіт'!BF356</f>
        <v>0</v>
      </c>
      <c r="BG356" s="39">
        <f t="shared" si="379"/>
        <v>0</v>
      </c>
      <c r="BH356" s="42">
        <f>'[1]побудинковий звіт'!BH356+'[2]побудинковий звіт'!BH356-'[3]побудинковий звіт'!BH356</f>
        <v>1313.1883369600605</v>
      </c>
      <c r="BI356" s="42">
        <f>'[1]побудинковий звіт'!BI356+'[2]побудинковий звіт'!BI356-'[3]побудинковий звіт'!BI356</f>
        <v>0</v>
      </c>
      <c r="BJ356" s="59">
        <f t="shared" si="380"/>
        <v>-1313.1883369600605</v>
      </c>
      <c r="BK356" s="42">
        <f>'[1]побудинковий звіт'!BK356+'[2]побудинковий звіт'!BK356-'[3]побудинковий звіт'!BK356</f>
        <v>1997.2925723511648</v>
      </c>
      <c r="BL356" s="42">
        <f>'[1]побудинковий звіт'!BL356+'[2]побудинковий звіт'!BL356-'[3]побудинковий звіт'!BL356</f>
        <v>2308</v>
      </c>
      <c r="BM356" s="39">
        <f t="shared" si="381"/>
        <v>310.70742764883516</v>
      </c>
      <c r="BN356" s="42">
        <f>'[1]побудинковий звіт'!BN356+'[2]побудинковий звіт'!BN356-'[3]побудинковий звіт'!BN356</f>
        <v>0</v>
      </c>
      <c r="BO356" s="42">
        <f>'[1]побудинковий звіт'!BO356+'[2]побудинковий звіт'!BO356-'[3]побудинковий звіт'!BO356</f>
        <v>5120</v>
      </c>
      <c r="BP356" s="59">
        <f t="shared" si="382"/>
        <v>5120</v>
      </c>
      <c r="BQ356" s="87">
        <f t="shared" si="338"/>
        <v>13074.61277112857</v>
      </c>
      <c r="BR356" s="43">
        <f t="shared" si="385"/>
        <v>7428</v>
      </c>
      <c r="BS356" s="59">
        <f t="shared" si="383"/>
        <v>-5646.6127711285699</v>
      </c>
      <c r="BT356" s="42">
        <f>'[1]побудинковий звіт'!BT356+'[2]побудинковий звіт'!BT356-'[3]побудинковий звіт'!BT356</f>
        <v>43269.801873237288</v>
      </c>
      <c r="BU356" s="42">
        <f>'[1]побудинковий звіт'!BU356+'[2]побудинковий звіт'!BU356-'[3]побудинковий звіт'!BU356</f>
        <v>50130.903894294883</v>
      </c>
      <c r="BV356" s="56">
        <f t="shared" si="361"/>
        <v>6861.1020210575953</v>
      </c>
      <c r="BW356" s="42">
        <f>'[1]побудинковий звіт'!BW356+'[2]побудинковий звіт'!BW356-'[3]побудинковий звіт'!BW356</f>
        <v>25886.587247389121</v>
      </c>
      <c r="BX356" s="42">
        <f>'[1]побудинковий звіт'!BX356+'[2]побудинковий звіт'!BX356-'[3]побудинковий звіт'!BX356</f>
        <v>27142.374417153966</v>
      </c>
      <c r="BY356" s="56">
        <f t="shared" si="362"/>
        <v>1255.7871697648443</v>
      </c>
      <c r="BZ356" s="42">
        <f>'[1]побудинковий звіт'!BZ356+'[2]побудинковий звіт'!BZ356-'[3]побудинковий звіт'!BZ356</f>
        <v>7201.0740709598285</v>
      </c>
      <c r="CA356" s="42">
        <f>'[1]побудинковий звіт'!CA356+'[2]побудинковий звіт'!CA356-'[3]побудинковий звіт'!CA356</f>
        <v>13600.823749432162</v>
      </c>
      <c r="CB356" s="56">
        <f t="shared" si="363"/>
        <v>6399.7496784723335</v>
      </c>
      <c r="CC356" s="42">
        <f>'[1]побудинковий звіт'!CC356+'[2]побудинковий звіт'!CC356-'[3]побудинковий звіт'!CC356</f>
        <v>1607.7284554340779</v>
      </c>
      <c r="CD356" s="42">
        <f>'[1]побудинковий звіт'!CD356+'[2]побудинковий звіт'!CD356-'[3]побудинковий звіт'!CD356</f>
        <v>1593.5880291307642</v>
      </c>
      <c r="CE356" s="56">
        <f t="shared" si="364"/>
        <v>-14.140426303313689</v>
      </c>
      <c r="CF356" s="42">
        <f>'[1]побудинковий звіт'!CF356+'[2]побудинковий звіт'!CF356-'[3]побудинковий звіт'!CF356</f>
        <v>197.9211166727558</v>
      </c>
      <c r="CG356" s="42">
        <f>'[1]побудинковий звіт'!CG356+'[2]побудинковий звіт'!CG356-'[3]побудинковий звіт'!CG356</f>
        <v>0</v>
      </c>
      <c r="CH356" s="56">
        <f t="shared" si="365"/>
        <v>-197.9211166727558</v>
      </c>
      <c r="CI356" s="42">
        <f>'[1]побудинковий звіт'!CI356+'[2]побудинковий звіт'!CI356-'[3]побудинковий звіт'!CI356</f>
        <v>6775.7441141435529</v>
      </c>
      <c r="CJ356" s="42">
        <f>'[1]побудинковий звіт'!CJ356+'[2]побудинковий звіт'!CJ356-'[3]побудинковий звіт'!CJ356</f>
        <v>4726.0035583837716</v>
      </c>
      <c r="CK356" s="56">
        <f t="shared" si="366"/>
        <v>-2049.7405557597813</v>
      </c>
      <c r="CL356" s="42">
        <f>'[1]побудинковий звіт'!CL356+'[2]побудинковий звіт'!CL356-'[3]побудинковий звіт'!CL356</f>
        <v>0</v>
      </c>
      <c r="CM356" s="42">
        <f>'[1]побудинковий звіт'!CM356+'[2]побудинковий звіт'!CM356-'[3]побудинковий звіт'!CM356</f>
        <v>0</v>
      </c>
      <c r="CN356" s="56">
        <f t="shared" si="367"/>
        <v>0</v>
      </c>
      <c r="CO356" s="42">
        <f t="shared" si="347"/>
        <v>6775.7441141435529</v>
      </c>
      <c r="CP356" s="43">
        <f t="shared" si="368"/>
        <v>4726.0035583837716</v>
      </c>
      <c r="CQ356" s="56">
        <f t="shared" si="369"/>
        <v>-2049.7405557597813</v>
      </c>
      <c r="CR356" s="78">
        <f t="shared" si="348"/>
        <v>235279.71744260553</v>
      </c>
      <c r="CS356" s="5">
        <f t="shared" si="348"/>
        <v>406691.06092587666</v>
      </c>
      <c r="CT356" s="56">
        <f t="shared" si="370"/>
        <v>171411.34348327114</v>
      </c>
      <c r="CU356" s="87">
        <f t="shared" si="371"/>
        <v>282335.66093112662</v>
      </c>
      <c r="CV356" s="70">
        <f t="shared" si="372"/>
        <v>488029.273111052</v>
      </c>
      <c r="CW356" s="37">
        <f t="shared" si="373"/>
        <v>205693.61217992537</v>
      </c>
      <c r="CX356" s="42">
        <f>'[1]побудинковий звіт'!CX356+'[2]побудинковий звіт'!CX356-'[3]побудинковий звіт'!CX356</f>
        <v>13377.159068873392</v>
      </c>
      <c r="CY356" s="42">
        <f>'[1]побудинковий звіт'!CY356+'[2]побудинковий звіт'!CY356-'[3]побудинковий звіт'!CY356</f>
        <v>-192316.45311105196</v>
      </c>
      <c r="CZ356" s="56">
        <f t="shared" si="374"/>
        <v>-205693.61217992535</v>
      </c>
      <c r="DA356" s="264">
        <f>'[4]побудинковий звіт'!DA356</f>
        <v>287919.61123931676</v>
      </c>
      <c r="DB356" s="2">
        <v>3</v>
      </c>
      <c r="DC356" s="717">
        <f>'[4]побудинковий звіт'!DC356</f>
        <v>90341.84</v>
      </c>
      <c r="DD356" s="717">
        <f>'[4]побудинковий звіт'!DD356</f>
        <v>0</v>
      </c>
      <c r="DE356" s="717">
        <f>'[4]побудинковий звіт'!DE356</f>
        <v>65680.33</v>
      </c>
      <c r="DF356" s="717">
        <f>'[4]побудинковий звіт'!DF356</f>
        <v>0</v>
      </c>
      <c r="DG356" s="787">
        <v>30854.195938611403</v>
      </c>
      <c r="DH356" s="761">
        <f t="shared" si="344"/>
        <v>3548553.84</v>
      </c>
      <c r="DI356" s="784"/>
      <c r="DJ356" s="5"/>
      <c r="DK356" s="317">
        <f>VLOOKUP($A356,ціни!$A$4:$G$401,5)</f>
        <v>5.365435271005575</v>
      </c>
      <c r="DL356" s="317"/>
      <c r="DM356" s="317">
        <f>VLOOKUP($A356,ціни!$A$4:$G$401,7)</f>
        <v>4.7751047071439183</v>
      </c>
      <c r="DN356" s="30">
        <f t="shared" si="388"/>
        <v>33843.770676332708</v>
      </c>
      <c r="DO356" s="30">
        <f t="shared" si="389"/>
        <v>0</v>
      </c>
      <c r="DP356" s="316">
        <f t="shared" si="335"/>
        <v>33843.770676332708</v>
      </c>
      <c r="DQ356" s="104"/>
      <c r="DR356" s="30">
        <f>VLOOKUP(A356,'ДЗ нас '!$A$1:$C$359,2)</f>
        <v>24661.51</v>
      </c>
      <c r="DS356" s="748"/>
      <c r="DT356" s="30">
        <f t="shared" si="336"/>
        <v>24661.51</v>
      </c>
      <c r="DU356" s="257">
        <f>VLOOKUP(A356,'новий кошторис с 01.06'!$A$4:$AI$399,35)*1.2</f>
        <v>24854.949350636845</v>
      </c>
      <c r="DV356" s="30">
        <f t="shared" si="337"/>
        <v>-193.43935063684694</v>
      </c>
      <c r="DW356" s="930">
        <f>'[5]побудинковий звіт'!DW356+'[6]побудинковий звіт'!DW356</f>
        <v>302</v>
      </c>
      <c r="DY356" s="5">
        <f t="shared" si="340"/>
        <v>91246.224625903676</v>
      </c>
      <c r="DZ356" s="5">
        <f t="shared" si="341"/>
        <v>288658.22321039182</v>
      </c>
      <c r="EA356" s="752">
        <f t="shared" si="345"/>
        <v>65680.33</v>
      </c>
      <c r="EC356" s="592">
        <f t="shared" si="342"/>
        <v>755566.89300549403</v>
      </c>
      <c r="EE356" s="758">
        <v>-94274</v>
      </c>
      <c r="EF356" s="738">
        <f t="shared" si="343"/>
        <v>-63419.804061388597</v>
      </c>
      <c r="EH356" s="813">
        <v>81988.004660498715</v>
      </c>
    </row>
    <row r="357" spans="1:138" x14ac:dyDescent="0.3">
      <c r="A357" s="328">
        <v>150000919</v>
      </c>
      <c r="B357" s="44" t="s">
        <v>810</v>
      </c>
      <c r="C357" s="45" t="s">
        <v>326</v>
      </c>
      <c r="D357" s="45" t="s">
        <v>326</v>
      </c>
      <c r="E357" s="40">
        <f t="shared" si="384"/>
        <v>6280.52</v>
      </c>
      <c r="F357" s="490">
        <v>6280.52</v>
      </c>
      <c r="G357" s="30"/>
      <c r="H357" s="30">
        <v>0</v>
      </c>
      <c r="I357" s="42">
        <f>'[1]побудинковий звіт'!I357+'[2]побудинковий звіт'!I357-'[3]побудинковий звіт'!I357</f>
        <v>16665.768352416268</v>
      </c>
      <c r="J357" s="42">
        <f>'[1]побудинковий звіт'!J357+'[2]побудинковий звіт'!J357-'[3]побудинковий звіт'!J357</f>
        <v>15190.327453911897</v>
      </c>
      <c r="K357" s="56">
        <f t="shared" si="349"/>
        <v>-1475.4408985043701</v>
      </c>
      <c r="L357" s="42">
        <f>'[1]побудинковий звіт'!L357+'[2]побудинковий звіт'!L357-'[3]побудинковий звіт'!L357</f>
        <v>3399.8474647446478</v>
      </c>
      <c r="M357" s="42">
        <f>'[1]побудинковий звіт'!M357+'[2]побудинковий звіт'!M357-'[3]побудинковий звіт'!M357</f>
        <v>3296.9537509466682</v>
      </c>
      <c r="N357" s="56">
        <f t="shared" si="350"/>
        <v>-102.89371379797967</v>
      </c>
      <c r="O357" s="42">
        <f>'[1]побудинковий звіт'!O357+'[2]побудинковий звіт'!O357-'[3]побудинковий звіт'!O357</f>
        <v>6602.52</v>
      </c>
      <c r="P357" s="42">
        <f>'[1]побудинковий звіт'!P357+'[2]побудинковий звіт'!P357-'[3]побудинковий звіт'!P357</f>
        <v>6603.7199999999975</v>
      </c>
      <c r="Q357" s="56">
        <f t="shared" si="351"/>
        <v>1.1999999999970896</v>
      </c>
      <c r="R357" s="42">
        <f>'[1]побудинковий звіт'!R357+'[2]побудинковий звіт'!R357-'[3]побудинковий звіт'!R357</f>
        <v>0</v>
      </c>
      <c r="S357" s="42">
        <f>'[1]побудинковий звіт'!S357+'[2]побудинковий звіт'!S357-'[3]побудинковий звіт'!S357</f>
        <v>0</v>
      </c>
      <c r="T357" s="56">
        <f t="shared" si="352"/>
        <v>0</v>
      </c>
      <c r="U357" s="42">
        <f>'[1]побудинковий звіт'!U357+'[2]побудинковий звіт'!U357-'[3]побудинковий звіт'!U357</f>
        <v>1294.4711018415646</v>
      </c>
      <c r="V357" s="42">
        <f>'[1]побудинковий звіт'!V357+'[2]побудинковий звіт'!V357-'[3]побудинковий звіт'!V357</f>
        <v>878.96842656000217</v>
      </c>
      <c r="W357" s="56">
        <f t="shared" si="353"/>
        <v>-415.50267528156246</v>
      </c>
      <c r="X357" s="42">
        <f>'[1]побудинковий звіт'!X357+'[2]побудинковий звіт'!X357-'[3]побудинковий звіт'!X357</f>
        <v>13051.571895403118</v>
      </c>
      <c r="Y357" s="42">
        <f>'[1]побудинковий звіт'!Y357+'[2]побудинковий звіт'!Y357-'[3]побудинковий звіт'!Y357</f>
        <v>11562.565332278391</v>
      </c>
      <c r="Z357" s="56">
        <f t="shared" si="354"/>
        <v>-1489.0065631247271</v>
      </c>
      <c r="AA357" s="42">
        <f>'[1]побудинковий звіт'!AA357+'[2]побудинковий звіт'!AA357-'[3]побудинковий звіт'!AA357</f>
        <v>0</v>
      </c>
      <c r="AB357" s="42">
        <f>'[1]побудинковий звіт'!AB357+'[2]побудинковий звіт'!AB357-'[3]побудинковий звіт'!AB357</f>
        <v>0</v>
      </c>
      <c r="AC357" s="56">
        <f t="shared" si="355"/>
        <v>0</v>
      </c>
      <c r="AD357" s="42">
        <f>'[1]побудинковий звіт'!AD357+'[2]побудинковий звіт'!AD357-'[3]побудинковий звіт'!AD357</f>
        <v>19526.439862682819</v>
      </c>
      <c r="AE357" s="42">
        <f>'[1]побудинковий звіт'!AE357+'[2]побудинковий звіт'!AE357-'[3]побудинковий звіт'!AE357</f>
        <v>17997.287054941244</v>
      </c>
      <c r="AF357" s="37">
        <f t="shared" si="356"/>
        <v>-1529.1528077415751</v>
      </c>
      <c r="AG357" s="87">
        <f t="shared" si="346"/>
        <v>60540.618677088423</v>
      </c>
      <c r="AH357" s="57">
        <f t="shared" si="346"/>
        <v>55529.822018638195</v>
      </c>
      <c r="AI357" s="56">
        <f t="shared" si="357"/>
        <v>-5010.7966584502283</v>
      </c>
      <c r="AJ357" s="42">
        <f>'[1]побудинковий звіт'!AJ357+'[2]побудинковий звіт'!AJ357-'[3]побудинковий звіт'!AJ357</f>
        <v>0</v>
      </c>
      <c r="AK357" s="42">
        <f>'[1]побудинковий звіт'!AK357+'[2]побудинковий звіт'!AK357-'[3]побудинковий звіт'!AK357</f>
        <v>0</v>
      </c>
      <c r="AL357" s="56">
        <f t="shared" si="358"/>
        <v>0</v>
      </c>
      <c r="AM357" s="42">
        <f>'[1]побудинковий звіт'!AM357+'[2]побудинковий звіт'!AM357-'[3]побудинковий звіт'!AM357</f>
        <v>0</v>
      </c>
      <c r="AN357" s="42">
        <f>'[1]побудинковий звіт'!AN357+'[2]побудинковий звіт'!AN357-'[3]побудинковий звіт'!AN357</f>
        <v>0</v>
      </c>
      <c r="AO357" s="56">
        <f t="shared" si="359"/>
        <v>0</v>
      </c>
      <c r="AP357" s="42">
        <f>'[1]побудинковий звіт'!AP357+'[2]побудинковий звіт'!AP357-'[3]побудинковий звіт'!AP357</f>
        <v>14205.264643404746</v>
      </c>
      <c r="AQ357" s="42">
        <f>'[1]побудинковий звіт'!AQ357+'[2]побудинковий звіт'!AQ357-'[3]побудинковий звіт'!AQ357</f>
        <v>13631.804342331594</v>
      </c>
      <c r="AR357" s="56">
        <f t="shared" si="360"/>
        <v>-573.46030107315164</v>
      </c>
      <c r="AS357" s="42">
        <f>'[1]побудинковий звіт'!AS357+'[2]побудинковий звіт'!AS357-'[3]побудинковий звіт'!AS357</f>
        <v>62741.013640897101</v>
      </c>
      <c r="AT357" s="42">
        <f>'[1]побудинковий звіт'!AT357+'[2]побудинковий звіт'!AT357-'[3]побудинковий звіт'!AT357</f>
        <v>73850.614352163044</v>
      </c>
      <c r="AU357" s="58">
        <f t="shared" si="375"/>
        <v>11109.600711265943</v>
      </c>
      <c r="AV357" s="42">
        <f>'[1]побудинковий звіт'!AV357+'[2]побудинковий звіт'!AV357-'[3]побудинковий звіт'!AV357</f>
        <v>2718.9857743579223</v>
      </c>
      <c r="AW357" s="42">
        <f>'[1]побудинковий звіт'!AW357+'[2]побудинковий звіт'!AW357-'[3]побудинковий звіт'!AW357</f>
        <v>0</v>
      </c>
      <c r="AX357" s="59">
        <f t="shared" si="376"/>
        <v>-2718.9857743579223</v>
      </c>
      <c r="AY357" s="42">
        <f>'[1]побудинковий звіт'!AY357+'[2]побудинковий звіт'!AY357-'[3]побудинковий звіт'!AY357</f>
        <v>4381.8986440394083</v>
      </c>
      <c r="AZ357" s="42">
        <f>'[1]побудинковий звіт'!AZ357+'[2]побудинковий звіт'!AZ357-'[3]побудинковий звіт'!AZ357</f>
        <v>3086</v>
      </c>
      <c r="BA357" s="37">
        <f t="shared" si="377"/>
        <v>-1295.8986440394083</v>
      </c>
      <c r="BB357" s="42">
        <f>'[1]побудинковий звіт'!BB357+'[2]побудинковий звіт'!BB357-'[3]побудинковий звіт'!BB357</f>
        <v>2670.7447259383075</v>
      </c>
      <c r="BC357" s="42">
        <f>'[1]побудинковий звіт'!BC357+'[2]побудинковий звіт'!BC357-'[3]побудинковий звіт'!BC357</f>
        <v>10240</v>
      </c>
      <c r="BD357" s="59">
        <f t="shared" si="378"/>
        <v>7569.255274061692</v>
      </c>
      <c r="BE357" s="42">
        <f>'[1]побудинковий звіт'!BE357+'[2]побудинковий звіт'!BE357-'[3]побудинковий звіт'!BE357</f>
        <v>0</v>
      </c>
      <c r="BF357" s="42">
        <f>'[1]побудинковий звіт'!BF357+'[2]побудинковий звіт'!BF357-'[3]побудинковий звіт'!BF357</f>
        <v>0</v>
      </c>
      <c r="BG357" s="39">
        <f t="shared" si="379"/>
        <v>0</v>
      </c>
      <c r="BH357" s="42">
        <f>'[1]побудинковий звіт'!BH357+'[2]побудинковий звіт'!BH357-'[3]побудинковий звіт'!BH357</f>
        <v>1313.1883369600605</v>
      </c>
      <c r="BI357" s="42">
        <f>'[1]побудинковий звіт'!BI357+'[2]побудинковий звіт'!BI357-'[3]побудинковий звіт'!BI357</f>
        <v>0</v>
      </c>
      <c r="BJ357" s="59">
        <f t="shared" si="380"/>
        <v>-1313.1883369600605</v>
      </c>
      <c r="BK357" s="42">
        <f>'[1]побудинковий звіт'!BK357+'[2]побудинковий звіт'!BK357-'[3]побудинковий звіт'!BK357</f>
        <v>1996.1253186136069</v>
      </c>
      <c r="BL357" s="42">
        <f>'[1]побудинковий звіт'!BL357+'[2]побудинковий звіт'!BL357-'[3]побудинковий звіт'!BL357</f>
        <v>2230</v>
      </c>
      <c r="BM357" s="39">
        <f t="shared" si="381"/>
        <v>233.87468138639315</v>
      </c>
      <c r="BN357" s="42">
        <f>'[1]побудинковий звіт'!BN357+'[2]побудинковий звіт'!BN357-'[3]побудинковий звіт'!BN357</f>
        <v>0</v>
      </c>
      <c r="BO357" s="42">
        <f>'[1]побудинковий звіт'!BO357+'[2]побудинковий звіт'!BO357-'[3]побудинковий звіт'!BO357</f>
        <v>0</v>
      </c>
      <c r="BP357" s="59">
        <f t="shared" si="382"/>
        <v>0</v>
      </c>
      <c r="BQ357" s="87">
        <f t="shared" si="338"/>
        <v>13080.942799909306</v>
      </c>
      <c r="BR357" s="43">
        <f t="shared" si="385"/>
        <v>15556</v>
      </c>
      <c r="BS357" s="59">
        <f t="shared" si="383"/>
        <v>2475.0572000906941</v>
      </c>
      <c r="BT357" s="42">
        <f>'[1]побудинковий звіт'!BT357+'[2]побудинковий звіт'!BT357-'[3]побудинковий звіт'!BT357</f>
        <v>42225.863817858044</v>
      </c>
      <c r="BU357" s="42">
        <f>'[1]побудинковий звіт'!BU357+'[2]побудинковий звіт'!BU357-'[3]побудинковий звіт'!BU357</f>
        <v>49160.313222010896</v>
      </c>
      <c r="BV357" s="56">
        <f t="shared" si="361"/>
        <v>6934.4494041528524</v>
      </c>
      <c r="BW357" s="42">
        <f>'[1]побудинковий звіт'!BW357+'[2]побудинковий звіт'!BW357-'[3]побудинковий звіт'!BW357</f>
        <v>25753.33796203923</v>
      </c>
      <c r="BX357" s="42">
        <f>'[1]побудинковий звіт'!BX357+'[2]побудинковий звіт'!BX357-'[3]побудинковий звіт'!BX357</f>
        <v>28328.88952517508</v>
      </c>
      <c r="BY357" s="56">
        <f t="shared" si="362"/>
        <v>2575.5515631358503</v>
      </c>
      <c r="BZ357" s="42">
        <f>'[1]побудинковий звіт'!BZ357+'[2]побудинковий звіт'!BZ357-'[3]побудинковий звіт'!BZ357</f>
        <v>6004.5807277166978</v>
      </c>
      <c r="CA357" s="42">
        <f>'[1]побудинковий звіт'!CA357+'[2]побудинковий звіт'!CA357-'[3]побудинковий звіт'!CA357</f>
        <v>11845.570076842505</v>
      </c>
      <c r="CB357" s="56">
        <f t="shared" si="363"/>
        <v>5840.9893491258072</v>
      </c>
      <c r="CC357" s="42">
        <f>'[1]побудинковий звіт'!CC357+'[2]побудинковий звіт'!CC357-'[3]побудинковий звіт'!CC357</f>
        <v>3200.1620188662218</v>
      </c>
      <c r="CD357" s="42">
        <f>'[1]побудинковий звіт'!CD357+'[2]побудинковий звіт'!CD357-'[3]побудинковий звіт'!CD357</f>
        <v>3172.0156891589299</v>
      </c>
      <c r="CE357" s="56">
        <f t="shared" si="364"/>
        <v>-28.146329707291898</v>
      </c>
      <c r="CF357" s="42">
        <f>'[1]побудинковий звіт'!CF357+'[2]побудинковий звіт'!CF357-'[3]побудинковий звіт'!CF357</f>
        <v>393.95933944375832</v>
      </c>
      <c r="CG357" s="42">
        <f>'[1]побудинковий звіт'!CG357+'[2]побудинковий звіт'!CG357-'[3]побудинковий звіт'!CG357</f>
        <v>0</v>
      </c>
      <c r="CH357" s="56">
        <f t="shared" si="365"/>
        <v>-393.95933944375832</v>
      </c>
      <c r="CI357" s="42">
        <f>'[1]побудинковий звіт'!CI357+'[2]побудинковий звіт'!CI357-'[3]побудинковий звіт'!CI357</f>
        <v>8179.558502432963</v>
      </c>
      <c r="CJ357" s="42">
        <f>'[1]побудинковий звіт'!CJ357+'[2]побудинковий звіт'!CJ357-'[3]побудинковий звіт'!CJ357</f>
        <v>4385.3410196354762</v>
      </c>
      <c r="CK357" s="56">
        <f t="shared" si="366"/>
        <v>-3794.2174827974868</v>
      </c>
      <c r="CL357" s="42">
        <f>'[1]побудинковий звіт'!CL357+'[2]побудинковий звіт'!CL357-'[3]побудинковий звіт'!CL357</f>
        <v>0</v>
      </c>
      <c r="CM357" s="42">
        <f>'[1]побудинковий звіт'!CM357+'[2]побудинковий звіт'!CM357-'[3]побудинковий звіт'!CM357</f>
        <v>0</v>
      </c>
      <c r="CN357" s="56">
        <f t="shared" si="367"/>
        <v>0</v>
      </c>
      <c r="CO357" s="42">
        <f t="shared" si="347"/>
        <v>8179.558502432963</v>
      </c>
      <c r="CP357" s="43">
        <f t="shared" si="368"/>
        <v>4385.3410196354762</v>
      </c>
      <c r="CQ357" s="56">
        <f t="shared" si="369"/>
        <v>-3794.2174827974868</v>
      </c>
      <c r="CR357" s="78">
        <f t="shared" si="348"/>
        <v>236325.30212965648</v>
      </c>
      <c r="CS357" s="5">
        <f t="shared" si="348"/>
        <v>255460.37024595574</v>
      </c>
      <c r="CT357" s="56">
        <f t="shared" si="370"/>
        <v>19135.068116299255</v>
      </c>
      <c r="CU357" s="87">
        <f t="shared" si="371"/>
        <v>283590.36255558778</v>
      </c>
      <c r="CV357" s="70">
        <f t="shared" si="372"/>
        <v>306552.44429514685</v>
      </c>
      <c r="CW357" s="37">
        <f t="shared" si="373"/>
        <v>22962.081739559071</v>
      </c>
      <c r="CX357" s="42">
        <f>'[1]побудинковий звіт'!CX357+'[2]побудинковий звіт'!CX357-'[3]побудинковий звіт'!CX357</f>
        <v>14172.677444412177</v>
      </c>
      <c r="CY357" s="42">
        <f>'[1]побудинковий звіт'!CY357+'[2]побудинковий звіт'!CY357-'[3]побудинковий звіт'!CY357</f>
        <v>-8789.4042951468582</v>
      </c>
      <c r="CZ357" s="56">
        <f t="shared" si="374"/>
        <v>-22962.081739559035</v>
      </c>
      <c r="DA357" s="264">
        <f>'[4]побудинковий звіт'!DA357</f>
        <v>-19310.550725845489</v>
      </c>
      <c r="DB357" s="2">
        <v>3</v>
      </c>
      <c r="DC357" s="717">
        <f>'[4]побудинковий звіт'!DC357</f>
        <v>65301.45</v>
      </c>
      <c r="DD357" s="717">
        <f>'[4]побудинковий звіт'!DD357</f>
        <v>0</v>
      </c>
      <c r="DE357" s="717">
        <f>'[4]побудинковий звіт'!DE357</f>
        <v>40481.979999999996</v>
      </c>
      <c r="DF357" s="717">
        <f>'[4]побудинковий звіт'!DF357</f>
        <v>0</v>
      </c>
      <c r="DG357" s="787">
        <v>-24393.00896280515</v>
      </c>
      <c r="DH357" s="761">
        <f t="shared" si="344"/>
        <v>3573156.4799999995</v>
      </c>
      <c r="DI357" s="784"/>
      <c r="DJ357" s="5"/>
      <c r="DK357" s="317">
        <f>VLOOKUP($A357,ціни!$A$4:$G$401,5)</f>
        <v>5.4337172846068142</v>
      </c>
      <c r="DL357" s="317"/>
      <c r="DM357" s="317">
        <f>VLOOKUP($A357,ціни!$A$4:$G$401,7)</f>
        <v>4.8415828141983965</v>
      </c>
      <c r="DN357" s="30">
        <f t="shared" si="388"/>
        <v>34126.570080318794</v>
      </c>
      <c r="DO357" s="30">
        <f t="shared" si="389"/>
        <v>0</v>
      </c>
      <c r="DP357" s="316">
        <f t="shared" si="335"/>
        <v>34126.570080318794</v>
      </c>
      <c r="DQ357" s="104"/>
      <c r="DR357" s="30">
        <f>VLOOKUP(A357,'ДЗ нас '!$A$1:$C$359,2)</f>
        <v>24820.01</v>
      </c>
      <c r="DS357" s="748"/>
      <c r="DT357" s="30">
        <f t="shared" si="336"/>
        <v>24820.01</v>
      </c>
      <c r="DU357" s="257">
        <f>VLOOKUP(A357,'новий кошторис с 01.06'!$A$4:$AI$399,35)*1.2</f>
        <v>25050.482025743589</v>
      </c>
      <c r="DV357" s="30">
        <f t="shared" si="337"/>
        <v>-230.47202574359108</v>
      </c>
      <c r="DW357" s="930">
        <f>'[5]побудинковий звіт'!DW357+'[6]побудинковий звіт'!DW357</f>
        <v>202</v>
      </c>
      <c r="DY357" s="5">
        <f t="shared" si="340"/>
        <v>90986.347728967681</v>
      </c>
      <c r="DZ357" s="5">
        <f t="shared" si="341"/>
        <v>107287.93722259565</v>
      </c>
      <c r="EA357" s="752">
        <f t="shared" si="345"/>
        <v>40481.979999999996</v>
      </c>
      <c r="EC357" s="592">
        <f t="shared" si="342"/>
        <v>752892.16369076516</v>
      </c>
      <c r="EE357" s="758">
        <v>-37623</v>
      </c>
      <c r="EF357" s="738">
        <f t="shared" si="343"/>
        <v>-62016.00896280515</v>
      </c>
      <c r="EH357" s="813">
        <v>-35358.454504328445</v>
      </c>
    </row>
    <row r="358" spans="1:138" x14ac:dyDescent="0.3">
      <c r="A358" s="328">
        <v>150000920</v>
      </c>
      <c r="B358" s="44" t="s">
        <v>811</v>
      </c>
      <c r="C358" s="45" t="s">
        <v>327</v>
      </c>
      <c r="D358" s="45" t="s">
        <v>327</v>
      </c>
      <c r="E358" s="40">
        <f t="shared" si="384"/>
        <v>6335.19</v>
      </c>
      <c r="F358" s="490">
        <v>6335.19</v>
      </c>
      <c r="G358" s="30"/>
      <c r="H358" s="30">
        <v>0</v>
      </c>
      <c r="I358" s="42">
        <f>'[1]побудинковий звіт'!I358+'[2]побудинковий звіт'!I358-'[3]побудинковий звіт'!I358</f>
        <v>16669.157679782616</v>
      </c>
      <c r="J358" s="42">
        <f>'[1]побудинковий звіт'!J358+'[2]побудинковий звіт'!J358-'[3]побудинковий звіт'!J358</f>
        <v>15192.460716704805</v>
      </c>
      <c r="K358" s="56">
        <f t="shared" si="349"/>
        <v>-1476.6969630778112</v>
      </c>
      <c r="L358" s="42">
        <f>'[1]побудинковий звіт'!L358+'[2]побудинковий звіт'!L358-'[3]побудинковий звіт'!L358</f>
        <v>3400.4402470099662</v>
      </c>
      <c r="M358" s="42">
        <f>'[1]побудинковий звіт'!M358+'[2]побудинковий звіт'!M358-'[3]побудинковий звіт'!M358</f>
        <v>3297.520408646777</v>
      </c>
      <c r="N358" s="56">
        <f t="shared" si="350"/>
        <v>-102.91983836318923</v>
      </c>
      <c r="O358" s="42">
        <f>'[1]побудинковий звіт'!O358+'[2]побудинковий звіт'!O358-'[3]побудинковий звіт'!O358</f>
        <v>6646.7999999999984</v>
      </c>
      <c r="P358" s="42">
        <f>'[1]побудинковий звіт'!P358+'[2]побудинковий звіт'!P358-'[3]побудинковий звіт'!P358</f>
        <v>6648.7199999999975</v>
      </c>
      <c r="Q358" s="56">
        <f t="shared" si="351"/>
        <v>1.9199999999991633</v>
      </c>
      <c r="R358" s="42">
        <f>'[1]побудинковий звіт'!R358+'[2]побудинковий звіт'!R358-'[3]побудинковий звіт'!R358</f>
        <v>0</v>
      </c>
      <c r="S358" s="42">
        <f>'[1]побудинковий звіт'!S358+'[2]побудинковий звіт'!S358-'[3]побудинковий звіт'!S358</f>
        <v>0</v>
      </c>
      <c r="T358" s="56">
        <f t="shared" si="352"/>
        <v>0</v>
      </c>
      <c r="U358" s="42">
        <f>'[1]побудинковий звіт'!U358+'[2]побудинковий звіт'!U358-'[3]побудинковий звіт'!U358</f>
        <v>1294.4711018415646</v>
      </c>
      <c r="V358" s="42">
        <f>'[1]побудинковий звіт'!V358+'[2]побудинковий звіт'!V358-'[3]побудинковий звіт'!V358</f>
        <v>878.96842656000217</v>
      </c>
      <c r="W358" s="56">
        <f t="shared" si="353"/>
        <v>-415.50267528156246</v>
      </c>
      <c r="X358" s="42">
        <f>'[1]побудинковий звіт'!X358+'[2]побудинковий звіт'!X358-'[3]побудинковий звіт'!X358</f>
        <v>13062.13342593965</v>
      </c>
      <c r="Y358" s="42">
        <f>'[1]побудинковий звіт'!Y358+'[2]побудинковий звіт'!Y358-'[3]побудинковий звіт'!Y358</f>
        <v>11565.885372603989</v>
      </c>
      <c r="Z358" s="56">
        <f t="shared" si="354"/>
        <v>-1496.2480533356611</v>
      </c>
      <c r="AA358" s="42">
        <f>'[1]побудинковий звіт'!AA358+'[2]побудинковий звіт'!AA358-'[3]побудинковий звіт'!AA358</f>
        <v>0</v>
      </c>
      <c r="AB358" s="42">
        <f>'[1]побудинковий звіт'!AB358+'[2]побудинковий звіт'!AB358-'[3]побудинковий звіт'!AB358</f>
        <v>0</v>
      </c>
      <c r="AC358" s="56">
        <f t="shared" si="355"/>
        <v>0</v>
      </c>
      <c r="AD358" s="42">
        <f>'[1]побудинковий звіт'!AD358+'[2]побудинковий звіт'!AD358-'[3]побудинковий звіт'!AD358</f>
        <v>19471.281635904488</v>
      </c>
      <c r="AE358" s="42">
        <f>'[1]побудинковий звіт'!AE358+'[2]побудинковий звіт'!AE358-'[3]побудинковий звіт'!AE358</f>
        <v>17946.37975082417</v>
      </c>
      <c r="AF358" s="37">
        <f t="shared" si="356"/>
        <v>-1524.9018850803186</v>
      </c>
      <c r="AG358" s="87">
        <f t="shared" si="346"/>
        <v>60544.284090478286</v>
      </c>
      <c r="AH358" s="57">
        <f t="shared" si="346"/>
        <v>55529.93467533974</v>
      </c>
      <c r="AI358" s="56">
        <f t="shared" si="357"/>
        <v>-5014.3494151385457</v>
      </c>
      <c r="AJ358" s="42">
        <f>'[1]побудинковий звіт'!AJ358+'[2]побудинковий звіт'!AJ358-'[3]побудинковий звіт'!AJ358</f>
        <v>0</v>
      </c>
      <c r="AK358" s="42">
        <f>'[1]побудинковий звіт'!AK358+'[2]побудинковий звіт'!AK358-'[3]побудинковий звіт'!AK358</f>
        <v>0</v>
      </c>
      <c r="AL358" s="56">
        <f t="shared" si="358"/>
        <v>0</v>
      </c>
      <c r="AM358" s="42">
        <f>'[1]побудинковий звіт'!AM358+'[2]побудинковий звіт'!AM358-'[3]побудинковий звіт'!AM358</f>
        <v>0</v>
      </c>
      <c r="AN358" s="42">
        <f>'[1]побудинковий звіт'!AN358+'[2]побудинковий звіт'!AN358-'[3]побудинковий звіт'!AN358</f>
        <v>0</v>
      </c>
      <c r="AO358" s="56">
        <f t="shared" si="359"/>
        <v>0</v>
      </c>
      <c r="AP358" s="42">
        <f>'[1]побудинковий звіт'!AP358+'[2]побудинковий звіт'!AP358-'[3]побудинковий звіт'!AP358</f>
        <v>14205.264643404746</v>
      </c>
      <c r="AQ358" s="42">
        <f>'[1]побудинковий звіт'!AQ358+'[2]побудинковий звіт'!AQ358-'[3]побудинковий звіт'!AQ358</f>
        <v>13508.782532069843</v>
      </c>
      <c r="AR358" s="56">
        <f t="shared" si="360"/>
        <v>-696.48211133490258</v>
      </c>
      <c r="AS358" s="42">
        <f>'[1]побудинковий звіт'!AS358+'[2]побудинковий звіт'!AS358-'[3]побудинковий звіт'!AS358</f>
        <v>75728.520229907823</v>
      </c>
      <c r="AT358" s="42">
        <f>'[1]побудинковий звіт'!AT358+'[2]побудинковий звіт'!AT358-'[3]побудинковий звіт'!AT358</f>
        <v>66228.199551735888</v>
      </c>
      <c r="AU358" s="58">
        <f t="shared" si="375"/>
        <v>-9500.3206781719346</v>
      </c>
      <c r="AV358" s="42">
        <f>'[1]побудинковий звіт'!AV358+'[2]побудинковий звіт'!AV358-'[3]побудинковий звіт'!AV358</f>
        <v>2719.7205850661035</v>
      </c>
      <c r="AW358" s="42">
        <f>'[1]побудинковий звіт'!AW358+'[2]побудинковий звіт'!AW358-'[3]побудинковий звіт'!AW358</f>
        <v>0</v>
      </c>
      <c r="AX358" s="59">
        <f t="shared" si="376"/>
        <v>-2719.7205850661035</v>
      </c>
      <c r="AY358" s="42">
        <f>'[1]побудинковий звіт'!AY358+'[2]побудинковий звіт'!AY358-'[3]побудинковий звіт'!AY358</f>
        <v>4382.8307950745648</v>
      </c>
      <c r="AZ358" s="42">
        <f>'[1]побудинковий звіт'!AZ358+'[2]побудинковий звіт'!AZ358-'[3]побудинковий звіт'!AZ358</f>
        <v>2894.1707350225074</v>
      </c>
      <c r="BA358" s="37">
        <f t="shared" si="377"/>
        <v>-1488.6600600520574</v>
      </c>
      <c r="BB358" s="42">
        <f>'[1]побудинковий звіт'!BB358+'[2]побудинковий звіт'!BB358-'[3]побудинковий звіт'!BB358</f>
        <v>2759.3771445596376</v>
      </c>
      <c r="BC358" s="42">
        <f>'[1]побудинковий звіт'!BC358+'[2]побудинковий звіт'!BC358-'[3]побудинковий звіт'!BC358</f>
        <v>1804.0310461987206</v>
      </c>
      <c r="BD358" s="59">
        <f t="shared" si="378"/>
        <v>-955.34609836091704</v>
      </c>
      <c r="BE358" s="42">
        <f>'[1]побудинковий звіт'!BE358+'[2]побудинковий звіт'!BE358-'[3]побудинковий звіт'!BE358</f>
        <v>0</v>
      </c>
      <c r="BF358" s="42">
        <f>'[1]побудинковий звіт'!BF358+'[2]побудинковий звіт'!BF358-'[3]побудинковий звіт'!BF358</f>
        <v>0</v>
      </c>
      <c r="BG358" s="39">
        <f t="shared" si="379"/>
        <v>0</v>
      </c>
      <c r="BH358" s="42">
        <f>'[1]побудинковий звіт'!BH358+'[2]побудинковий звіт'!BH358-'[3]побудинковий звіт'!BH358</f>
        <v>1313.1883369600605</v>
      </c>
      <c r="BI358" s="42">
        <f>'[1]побудинковий звіт'!BI358+'[2]побудинковий звіт'!BI358-'[3]побудинковий звіт'!BI358</f>
        <v>0</v>
      </c>
      <c r="BJ358" s="59">
        <f t="shared" si="380"/>
        <v>-1313.1883369600605</v>
      </c>
      <c r="BK358" s="42">
        <f>'[1]побудинковий звіт'!BK358+'[2]побудинковий звіт'!BK358-'[3]побудинковий звіт'!BK358</f>
        <v>1997.7706901532033</v>
      </c>
      <c r="BL358" s="42">
        <f>'[1]побудинковий звіт'!BL358+'[2]побудинковий звіт'!BL358-'[3]побудинковий звіт'!BL358</f>
        <v>3805</v>
      </c>
      <c r="BM358" s="39">
        <f t="shared" si="381"/>
        <v>1807.2293098467967</v>
      </c>
      <c r="BN358" s="42">
        <f>'[1]побудинковий звіт'!BN358+'[2]побудинковий звіт'!BN358-'[3]побудинковий звіт'!BN358</f>
        <v>0</v>
      </c>
      <c r="BO358" s="42">
        <f>'[1]побудинковий звіт'!BO358+'[2]побудинковий звіт'!BO358-'[3]побудинковий звіт'!BO358</f>
        <v>0</v>
      </c>
      <c r="BP358" s="59">
        <f t="shared" si="382"/>
        <v>0</v>
      </c>
      <c r="BQ358" s="87">
        <f t="shared" si="338"/>
        <v>13172.88755181357</v>
      </c>
      <c r="BR358" s="43">
        <f t="shared" si="385"/>
        <v>8503.2017812212289</v>
      </c>
      <c r="BS358" s="59">
        <f t="shared" si="383"/>
        <v>-4669.6857705923412</v>
      </c>
      <c r="BT358" s="42">
        <f>'[1]побудинковий звіт'!BT358+'[2]побудинковий звіт'!BT358-'[3]побудинковий звіт'!BT358</f>
        <v>40341.985917784965</v>
      </c>
      <c r="BU358" s="42">
        <f>'[1]побудинковий звіт'!BU358+'[2]побудинковий звіт'!BU358-'[3]побудинковий звіт'!BU358</f>
        <v>51483.863337914518</v>
      </c>
      <c r="BV358" s="56">
        <f t="shared" si="361"/>
        <v>11141.877420129553</v>
      </c>
      <c r="BW358" s="42">
        <f>'[1]побудинковий звіт'!BW358+'[2]побудинковий звіт'!BW358-'[3]побудинковий звіт'!BW358</f>
        <v>26136.142748600705</v>
      </c>
      <c r="BX358" s="42">
        <f>'[1]побудинковий звіт'!BX358+'[2]побудинковий звіт'!BX358-'[3]побудинковий звіт'!BX358</f>
        <v>29063.816224119852</v>
      </c>
      <c r="BY358" s="56">
        <f t="shared" si="362"/>
        <v>2927.6734755191465</v>
      </c>
      <c r="BZ358" s="42">
        <f>'[1]побудинковий звіт'!BZ358+'[2]побудинковий звіт'!BZ358-'[3]побудинковий звіт'!BZ358</f>
        <v>6516.2085287415621</v>
      </c>
      <c r="CA358" s="42">
        <f>'[1]побудинковий звіт'!CA358+'[2]побудинковий звіт'!CA358-'[3]побудинковий звіт'!CA358</f>
        <v>11535.55603019967</v>
      </c>
      <c r="CB358" s="56">
        <f t="shared" si="363"/>
        <v>5019.3475014581081</v>
      </c>
      <c r="CC358" s="42">
        <f>'[1]побудинковий звіт'!CC358+'[2]побудинковий звіт'!CC358-'[3]побудинковий звіт'!CC358</f>
        <v>3204.2798744052043</v>
      </c>
      <c r="CD358" s="42">
        <f>'[1]побудинковий звіт'!CD358+'[2]побудинковий звіт'!CD358-'[3]побудинковий звіт'!CD358</f>
        <v>3176.0973269942451</v>
      </c>
      <c r="CE358" s="56">
        <f t="shared" si="364"/>
        <v>-28.18254741095916</v>
      </c>
      <c r="CF358" s="42">
        <f>'[1]побудинковий звіт'!CF358+'[2]побудинковий звіт'!CF358-'[3]побудинковий звіт'!CF358</f>
        <v>394.46627241730721</v>
      </c>
      <c r="CG358" s="42">
        <f>'[1]побудинковий звіт'!CG358+'[2]побудинковий звіт'!CG358-'[3]побудинковий звіт'!CG358</f>
        <v>2739.8174054830606</v>
      </c>
      <c r="CH358" s="56">
        <f t="shared" si="365"/>
        <v>2345.3511330657534</v>
      </c>
      <c r="CI358" s="42">
        <f>'[1]побудинковий звіт'!CI358+'[2]побудинковий звіт'!CI358-'[3]побудинковий звіт'!CI358</f>
        <v>9751.8306173170986</v>
      </c>
      <c r="CJ358" s="42">
        <f>'[1]побудинковий звіт'!CJ358+'[2]побудинковий звіт'!CJ358-'[3]побудинковий звіт'!CJ358</f>
        <v>9176.2215992645542</v>
      </c>
      <c r="CK358" s="56">
        <f t="shared" si="366"/>
        <v>-575.60901805254434</v>
      </c>
      <c r="CL358" s="42">
        <f>'[1]побудинковий звіт'!CL358+'[2]побудинковий звіт'!CL358-'[3]побудинковий звіт'!CL358</f>
        <v>0</v>
      </c>
      <c r="CM358" s="42">
        <f>'[1]побудинковий звіт'!CM358+'[2]побудинковий звіт'!CM358-'[3]побудинковий звіт'!CM358</f>
        <v>0</v>
      </c>
      <c r="CN358" s="56">
        <f t="shared" si="367"/>
        <v>0</v>
      </c>
      <c r="CO358" s="42">
        <f t="shared" si="347"/>
        <v>9751.8306173170986</v>
      </c>
      <c r="CP358" s="43">
        <f t="shared" si="368"/>
        <v>9176.2215992645542</v>
      </c>
      <c r="CQ358" s="56">
        <f t="shared" si="369"/>
        <v>-575.60901805254434</v>
      </c>
      <c r="CR358" s="78">
        <f t="shared" si="348"/>
        <v>249995.87047487125</v>
      </c>
      <c r="CS358" s="5">
        <f t="shared" si="348"/>
        <v>250945.49046434261</v>
      </c>
      <c r="CT358" s="56">
        <f t="shared" si="370"/>
        <v>949.61998947136453</v>
      </c>
      <c r="CU358" s="87">
        <f t="shared" si="371"/>
        <v>299995.04456984549</v>
      </c>
      <c r="CV358" s="70">
        <f t="shared" si="372"/>
        <v>301134.5885572111</v>
      </c>
      <c r="CW358" s="37">
        <f t="shared" si="373"/>
        <v>1139.5439873656142</v>
      </c>
      <c r="CX358" s="42">
        <f>'[1]побудинковий звіт'!CX358+'[2]побудинковий звіт'!CX358-'[3]побудинковий звіт'!CX358</f>
        <v>5963.9154301545059</v>
      </c>
      <c r="CY358" s="42">
        <f>'[1]побудинковий звіт'!CY358+'[2]побудинковий звіт'!CY358-'[3]побудинковий звіт'!CY358</f>
        <v>4824.3714427889245</v>
      </c>
      <c r="CZ358" s="56">
        <f t="shared" si="374"/>
        <v>-1139.5439873655814</v>
      </c>
      <c r="DA358" s="264">
        <f>'[4]побудинковий звіт'!DA358</f>
        <v>-21499.491086150021</v>
      </c>
      <c r="DB358" s="2">
        <v>3</v>
      </c>
      <c r="DC358" s="717">
        <f>'[4]побудинковий звіт'!DC358</f>
        <v>71183.399999999994</v>
      </c>
      <c r="DD358" s="717">
        <f>'[4]побудинковий звіт'!DD358</f>
        <v>0</v>
      </c>
      <c r="DE358" s="717">
        <f>'[4]побудинковий звіт'!DE358</f>
        <v>45686.819999999992</v>
      </c>
      <c r="DF358" s="717">
        <f>'[4]побудинковий звіт'!DF358</f>
        <v>0</v>
      </c>
      <c r="DG358" s="787">
        <v>-19191.690125896595</v>
      </c>
      <c r="DH358" s="761">
        <f t="shared" si="344"/>
        <v>3671507.5199999996</v>
      </c>
      <c r="DI358" s="784"/>
      <c r="DJ358" s="5"/>
      <c r="DK358" s="317">
        <f>VLOOKUP($A358,ціни!$A$4:$G$401,5)</f>
        <v>5.5996264193501846</v>
      </c>
      <c r="DL358" s="317"/>
      <c r="DM358" s="317">
        <f>VLOOKUP($A358,ціни!$A$4:$G$401,7)</f>
        <v>5.0142062075803944</v>
      </c>
      <c r="DN358" s="30">
        <f t="shared" si="388"/>
        <v>35474.697295603095</v>
      </c>
      <c r="DO358" s="30">
        <f t="shared" si="389"/>
        <v>0</v>
      </c>
      <c r="DP358" s="316">
        <f t="shared" ref="DP358:DP367" si="390">DN358+DO358</f>
        <v>35474.697295603095</v>
      </c>
      <c r="DQ358" s="104"/>
      <c r="DR358" s="30">
        <f>VLOOKUP(A358,'ДЗ нас '!$A$1:$C$359,2)</f>
        <v>25496.58</v>
      </c>
      <c r="DS358" s="748"/>
      <c r="DT358" s="30">
        <f t="shared" ref="DT358:DT368" si="391">DR358+DS358</f>
        <v>25496.58</v>
      </c>
      <c r="DU358" s="257">
        <f>VLOOKUP(A358,'новий кошторис с 01.06'!$A$4:$AI$399,35)*1.2</f>
        <v>25599.577136626816</v>
      </c>
      <c r="DV358" s="30">
        <f t="shared" ref="DV358:DV368" si="392">DT358-DU358</f>
        <v>-102.99713662681461</v>
      </c>
      <c r="DW358" s="930">
        <f>'[5]побудинковий звіт'!DW358+'[6]побудинковий звіт'!DW358</f>
        <v>268</v>
      </c>
      <c r="DY358" s="5">
        <f t="shared" si="340"/>
        <v>106681.68933806567</v>
      </c>
      <c r="DZ358" s="5">
        <f t="shared" si="341"/>
        <v>89677.681599548538</v>
      </c>
      <c r="EA358" s="752">
        <f t="shared" si="345"/>
        <v>45686.819999999992</v>
      </c>
      <c r="EC358" s="592">
        <f t="shared" si="342"/>
        <v>908742.24275889387</v>
      </c>
      <c r="EE358" s="758">
        <v>16426</v>
      </c>
      <c r="EF358" s="738">
        <f t="shared" si="343"/>
        <v>-2765.6901258965954</v>
      </c>
      <c r="EH358" s="813">
        <v>-27202.03360669719</v>
      </c>
    </row>
    <row r="359" spans="1:138" x14ac:dyDescent="0.3">
      <c r="A359" s="328">
        <v>150000921</v>
      </c>
      <c r="B359" s="44" t="s">
        <v>812</v>
      </c>
      <c r="C359" s="45" t="s">
        <v>328</v>
      </c>
      <c r="D359" s="45" t="s">
        <v>328</v>
      </c>
      <c r="E359" s="40">
        <f t="shared" si="384"/>
        <v>6277.35</v>
      </c>
      <c r="F359" s="490">
        <v>6232.25</v>
      </c>
      <c r="G359" s="30"/>
      <c r="H359" s="30">
        <v>45.1</v>
      </c>
      <c r="I359" s="42">
        <f>'[1]побудинковий звіт'!I359+'[2]побудинковий звіт'!I359-'[3]побудинковий звіт'!I359</f>
        <v>21897.866155661861</v>
      </c>
      <c r="J359" s="42">
        <f>'[1]побудинковий звіт'!J359+'[2]побудинковий звіт'!J359-'[3]побудинковий звіт'!J359</f>
        <v>19968.216640520564</v>
      </c>
      <c r="K359" s="56">
        <f t="shared" si="349"/>
        <v>-1929.6495151412964</v>
      </c>
      <c r="L359" s="42">
        <f>'[1]побудинковий звіт'!L359+'[2]побудинковий звіт'!L359-'[3]побудинковий звіт'!L359</f>
        <v>4540.8220716502447</v>
      </c>
      <c r="M359" s="42">
        <f>'[1]побудинковий звіт'!M359+'[2]побудинковий звіт'!M359-'[3]побудинковий звіт'!M359</f>
        <v>4389.4697967579477</v>
      </c>
      <c r="N359" s="56">
        <f t="shared" si="350"/>
        <v>-151.35227489229692</v>
      </c>
      <c r="O359" s="42">
        <f>'[1]побудинковий звіт'!O359+'[2]побудинковий звіт'!O359-'[3]побудинковий звіт'!O359</f>
        <v>9159.1200000000008</v>
      </c>
      <c r="P359" s="42">
        <f>'[1]побудинковий звіт'!P359+'[2]побудинковий звіт'!P359-'[3]побудинковий звіт'!P359</f>
        <v>9162</v>
      </c>
      <c r="Q359" s="56">
        <f t="shared" si="351"/>
        <v>2.8799999999991996</v>
      </c>
      <c r="R359" s="42">
        <f>'[1]побудинковий звіт'!R359+'[2]побудинковий звіт'!R359-'[3]побудинковий звіт'!R359</f>
        <v>0</v>
      </c>
      <c r="S359" s="42">
        <f>'[1]побудинковий звіт'!S359+'[2]побудинковий звіт'!S359-'[3]побудинковий звіт'!S359</f>
        <v>0</v>
      </c>
      <c r="T359" s="56">
        <f t="shared" si="352"/>
        <v>0</v>
      </c>
      <c r="U359" s="42">
        <f>'[1]побудинковий звіт'!U359+'[2]побудинковий звіт'!U359-'[3]побудинковий звіт'!U359</f>
        <v>2003.5352550963678</v>
      </c>
      <c r="V359" s="42">
        <f>'[1]побудинковий звіт'!V359+'[2]побудинковий звіт'!V359-'[3]побудинковий звіт'!V359</f>
        <v>1360.4326218215028</v>
      </c>
      <c r="W359" s="56">
        <f t="shared" si="353"/>
        <v>-643.10263327486496</v>
      </c>
      <c r="X359" s="42">
        <f>'[1]побудинковий звіт'!X359+'[2]побудинковий звіт'!X359-'[3]побудинковий звіт'!X359</f>
        <v>20874.483872528137</v>
      </c>
      <c r="Y359" s="42">
        <f>'[1]побудинковий звіт'!Y359+'[2]побудинковий звіт'!Y359-'[3]побудинковий звіт'!Y359</f>
        <v>18296.16971300717</v>
      </c>
      <c r="Z359" s="56">
        <f t="shared" si="354"/>
        <v>-2578.3141595209672</v>
      </c>
      <c r="AA359" s="42">
        <f>'[1]побудинковий звіт'!AA359+'[2]побудинковий звіт'!AA359-'[3]побудинковий звіт'!AA359</f>
        <v>0</v>
      </c>
      <c r="AB359" s="42">
        <f>'[1]побудинковий звіт'!AB359+'[2]побудинковий звіт'!AB359-'[3]побудинковий звіт'!AB359</f>
        <v>0</v>
      </c>
      <c r="AC359" s="56">
        <f t="shared" si="355"/>
        <v>0</v>
      </c>
      <c r="AD359" s="42">
        <f>'[1]побудинковий звіт'!AD359+'[2]побудинковий звіт'!AD359-'[3]побудинковий звіт'!AD359</f>
        <v>26399.967327254293</v>
      </c>
      <c r="AE359" s="42">
        <f>'[1]побудинковий звіт'!AE359+'[2]побудинковий звіт'!AE359-'[3]побудинковий звіт'!AE359</f>
        <v>24332.639868367489</v>
      </c>
      <c r="AF359" s="37">
        <f t="shared" si="356"/>
        <v>-2067.3274588868044</v>
      </c>
      <c r="AG359" s="87">
        <f t="shared" si="346"/>
        <v>84875.794682190899</v>
      </c>
      <c r="AH359" s="57">
        <f t="shared" si="346"/>
        <v>77508.928640474682</v>
      </c>
      <c r="AI359" s="56">
        <f t="shared" si="357"/>
        <v>-7366.8660417162173</v>
      </c>
      <c r="AJ359" s="42">
        <f>'[1]побудинковий звіт'!AJ359+'[2]побудинковий звіт'!AJ359-'[3]побудинковий звіт'!AJ359</f>
        <v>0</v>
      </c>
      <c r="AK359" s="42">
        <f>'[1]побудинковий звіт'!AK359+'[2]побудинковий звіт'!AK359-'[3]побудинковий звіт'!AK359</f>
        <v>0</v>
      </c>
      <c r="AL359" s="56">
        <f t="shared" si="358"/>
        <v>0</v>
      </c>
      <c r="AM359" s="42">
        <f>'[1]побудинковий звіт'!AM359+'[2]побудинковий звіт'!AM359-'[3]побудинковий звіт'!AM359</f>
        <v>0</v>
      </c>
      <c r="AN359" s="42">
        <f>'[1]побудинковий звіт'!AN359+'[2]побудинковий звіт'!AN359-'[3]побудинковий звіт'!AN359</f>
        <v>0</v>
      </c>
      <c r="AO359" s="56">
        <f t="shared" si="359"/>
        <v>0</v>
      </c>
      <c r="AP359" s="42">
        <f>'[1]побудинковий звіт'!AP359+'[2]побудинковий звіт'!AP359-'[3]побудинковий звіт'!AP359</f>
        <v>18182.738743558075</v>
      </c>
      <c r="AQ359" s="42">
        <f>'[1]побудинковий звіт'!AQ359+'[2]побудинковий звіт'!AQ359-'[3]побудинковий звіт'!AQ359</f>
        <v>17519.233624829198</v>
      </c>
      <c r="AR359" s="56">
        <f t="shared" si="360"/>
        <v>-663.50511872887728</v>
      </c>
      <c r="AS359" s="42">
        <f>'[1]побудинковий звіт'!AS359+'[2]побудинковий звіт'!AS359-'[3]побудинковий звіт'!AS359</f>
        <v>68041.645441087792</v>
      </c>
      <c r="AT359" s="42">
        <f>'[1]побудинковий звіт'!AT359+'[2]побудинковий звіт'!AT359-'[3]побудинковий звіт'!AT359</f>
        <v>30340</v>
      </c>
      <c r="AU359" s="58">
        <f t="shared" si="375"/>
        <v>-37701.645441087792</v>
      </c>
      <c r="AV359" s="42">
        <f>'[1]побудинковий звіт'!AV359+'[2]побудинковий звіт'!AV359-'[3]побудинковий звіт'!AV359</f>
        <v>3593.3219295226054</v>
      </c>
      <c r="AW359" s="42">
        <f>'[1]побудинковий звіт'!AW359+'[2]побудинковий звіт'!AW359-'[3]побудинковий звіт'!AW359</f>
        <v>0</v>
      </c>
      <c r="AX359" s="59">
        <f t="shared" si="376"/>
        <v>-3593.3219295226054</v>
      </c>
      <c r="AY359" s="42">
        <f>'[1]побудинковий звіт'!AY359+'[2]побудинковий звіт'!AY359-'[3]побудинковий звіт'!AY359</f>
        <v>5852.5341939813698</v>
      </c>
      <c r="AZ359" s="42">
        <f>'[1]побудинковий звіт'!AZ359+'[2]побудинковий звіт'!AZ359-'[3]побудинковий звіт'!AZ359</f>
        <v>3591</v>
      </c>
      <c r="BA359" s="37">
        <f t="shared" si="377"/>
        <v>-2261.5341939813698</v>
      </c>
      <c r="BB359" s="42">
        <f>'[1]побудинковий звіт'!BB359+'[2]побудинковий звіт'!BB359-'[3]побудинковий звіт'!BB359</f>
        <v>3465.8389732460082</v>
      </c>
      <c r="BC359" s="42">
        <f>'[1]побудинковий звіт'!BC359+'[2]побудинковий звіт'!BC359-'[3]побудинковий звіт'!BC359</f>
        <v>0</v>
      </c>
      <c r="BD359" s="59">
        <f t="shared" si="378"/>
        <v>-3465.8389732460082</v>
      </c>
      <c r="BE359" s="42">
        <f>'[1]побудинковий звіт'!BE359+'[2]побудинковий звіт'!BE359-'[3]побудинковий звіт'!BE359</f>
        <v>0</v>
      </c>
      <c r="BF359" s="42">
        <f>'[1]побудинковий звіт'!BF359+'[2]побудинковий звіт'!BF359-'[3]побудинковий звіт'!BF359</f>
        <v>0</v>
      </c>
      <c r="BG359" s="39">
        <f t="shared" si="379"/>
        <v>0</v>
      </c>
      <c r="BH359" s="42">
        <f>'[1]побудинковий звіт'!BH359+'[2]побудинковий звіт'!BH359-'[3]побудинковий звіт'!BH359</f>
        <v>2032.8706882486335</v>
      </c>
      <c r="BI359" s="42">
        <f>'[1]побудинковий звіт'!BI359+'[2]побудинковий звіт'!BI359-'[3]побудинковий звіт'!BI359</f>
        <v>547.82598461304462</v>
      </c>
      <c r="BJ359" s="59">
        <f t="shared" si="380"/>
        <v>-1485.044703635589</v>
      </c>
      <c r="BK359" s="42">
        <f>'[1]побудинковий звіт'!BK359+'[2]побудинковий звіт'!BK359-'[3]побудинковий звіт'!BK359</f>
        <v>3255.14797305907</v>
      </c>
      <c r="BL359" s="42">
        <f>'[1]побудинковий звіт'!BL359+'[2]побудинковий звіт'!BL359-'[3]побудинковий звіт'!BL359</f>
        <v>8066</v>
      </c>
      <c r="BM359" s="39">
        <f t="shared" si="381"/>
        <v>4810.85202694093</v>
      </c>
      <c r="BN359" s="42">
        <f>'[1]побудинковий звіт'!BN359+'[2]побудинковий звіт'!BN359-'[3]побудинковий звіт'!BN359</f>
        <v>0</v>
      </c>
      <c r="BO359" s="42">
        <f>'[1]побудинковий звіт'!BO359+'[2]побудинковий звіт'!BO359-'[3]побудинковий звіт'!BO359</f>
        <v>0</v>
      </c>
      <c r="BP359" s="59">
        <f t="shared" si="382"/>
        <v>0</v>
      </c>
      <c r="BQ359" s="87">
        <f t="shared" si="338"/>
        <v>18199.713758057685</v>
      </c>
      <c r="BR359" s="43">
        <f t="shared" si="385"/>
        <v>12204.825984613046</v>
      </c>
      <c r="BS359" s="59">
        <f t="shared" si="383"/>
        <v>-5994.8877734446396</v>
      </c>
      <c r="BT359" s="42">
        <f>'[1]побудинковий звіт'!BT359+'[2]побудинковий звіт'!BT359-'[3]побудинковий звіт'!BT359</f>
        <v>58208.429822338934</v>
      </c>
      <c r="BU359" s="42">
        <f>'[1]побудинковий звіт'!BU359+'[2]побудинковий звіт'!BU359-'[3]побудинковий звіт'!BU359</f>
        <v>72407.514457839774</v>
      </c>
      <c r="BV359" s="56">
        <f t="shared" si="361"/>
        <v>14199.08463550084</v>
      </c>
      <c r="BW359" s="42">
        <f>'[1]побудинковий звіт'!BW359+'[2]побудинковий звіт'!BW359-'[3]побудинковий звіт'!BW359</f>
        <v>35059.883044671609</v>
      </c>
      <c r="BX359" s="42">
        <f>'[1]побудинковий звіт'!BX359+'[2]побудинковий звіт'!BX359-'[3]побудинковий звіт'!BX359</f>
        <v>36675.40332561775</v>
      </c>
      <c r="BY359" s="56">
        <f t="shared" si="362"/>
        <v>1615.5202809461407</v>
      </c>
      <c r="BZ359" s="42">
        <f>'[1]побудинковий звіт'!BZ359+'[2]побудинковий звіт'!BZ359-'[3]побудинковий звіт'!BZ359</f>
        <v>8066.5486915385136</v>
      </c>
      <c r="CA359" s="42">
        <f>'[1]побудинковий звіт'!CA359+'[2]побудинковий звіт'!CA359-'[3]побудинковий звіт'!CA359</f>
        <v>15318.454837536074</v>
      </c>
      <c r="CB359" s="56">
        <f t="shared" si="363"/>
        <v>7251.9061459975601</v>
      </c>
      <c r="CC359" s="42">
        <f>'[1]побудинковий звіт'!CC359+'[2]побудинковий звіт'!CC359-'[3]побудинковий звіт'!CC359</f>
        <v>3769.0143483227721</v>
      </c>
      <c r="CD359" s="42">
        <f>'[1]побудинковий звіт'!CD359+'[2]побудинковий звіт'!CD359-'[3]побудинковий звіт'!CD359</f>
        <v>3735.8648015517042</v>
      </c>
      <c r="CE359" s="56">
        <f t="shared" si="364"/>
        <v>-33.149546771067889</v>
      </c>
      <c r="CF359" s="42">
        <f>'[1]побудинковий звіт'!CF359+'[2]побудинковий звіт'!CF359-'[3]побудинковий звіт'!CF359</f>
        <v>463.98850878973519</v>
      </c>
      <c r="CG359" s="42">
        <f>'[1]побудинковий звіт'!CG359+'[2]побудинковий звіт'!CG359-'[3]побудинковий звіт'!CG359</f>
        <v>547.9634810966121</v>
      </c>
      <c r="CH359" s="56">
        <f t="shared" si="365"/>
        <v>83.974972306876907</v>
      </c>
      <c r="CI359" s="42">
        <f>'[1]побудинковий звіт'!CI359+'[2]побудинковий звіт'!CI359-'[3]побудинковий звіт'!CI359</f>
        <v>10257.203797101291</v>
      </c>
      <c r="CJ359" s="42">
        <f>'[1]побудинковий звіт'!CJ359+'[2]побудинковий звіт'!CJ359-'[3]побудинковий звіт'!CJ359</f>
        <v>6556.5840259089036</v>
      </c>
      <c r="CK359" s="56">
        <f t="shared" si="366"/>
        <v>-3700.6197711923869</v>
      </c>
      <c r="CL359" s="42">
        <f>'[1]побудинковий звіт'!CL359+'[2]побудинковий звіт'!CL359-'[3]побудинковий звіт'!CL359</f>
        <v>0</v>
      </c>
      <c r="CM359" s="42">
        <f>'[1]побудинковий звіт'!CM359+'[2]побудинковий звіт'!CM359-'[3]побудинковий звіт'!CM359</f>
        <v>0</v>
      </c>
      <c r="CN359" s="56">
        <f t="shared" si="367"/>
        <v>0</v>
      </c>
      <c r="CO359" s="42">
        <f t="shared" si="347"/>
        <v>10257.203797101291</v>
      </c>
      <c r="CP359" s="43">
        <f t="shared" si="368"/>
        <v>6556.5840259089036</v>
      </c>
      <c r="CQ359" s="56">
        <f t="shared" si="369"/>
        <v>-3700.6197711923869</v>
      </c>
      <c r="CR359" s="78">
        <f t="shared" si="348"/>
        <v>305124.96083765727</v>
      </c>
      <c r="CS359" s="5">
        <f t="shared" si="348"/>
        <v>272814.77317946771</v>
      </c>
      <c r="CT359" s="56">
        <f t="shared" si="370"/>
        <v>-32310.187658189563</v>
      </c>
      <c r="CU359" s="87">
        <f t="shared" si="371"/>
        <v>366149.95300518873</v>
      </c>
      <c r="CV359" s="70">
        <f t="shared" si="372"/>
        <v>327377.72781536123</v>
      </c>
      <c r="CW359" s="37">
        <f t="shared" si="373"/>
        <v>-38772.225189827499</v>
      </c>
      <c r="CX359" s="42">
        <f>'[1]побудинковий звіт'!CX359+'[2]побудинковий звіт'!CX359-'[3]побудинковий звіт'!CX359</f>
        <v>18300.766994811158</v>
      </c>
      <c r="CY359" s="42">
        <f>'[1]побудинковий звіт'!CY359+'[2]побудинковий звіт'!CY359-'[3]побудинковий звіт'!CY359</f>
        <v>57072.992184638686</v>
      </c>
      <c r="CZ359" s="56">
        <f t="shared" si="374"/>
        <v>38772.225189827528</v>
      </c>
      <c r="DA359" s="264">
        <f>'[4]побудинковий звіт'!DA359</f>
        <v>-48754.060752959718</v>
      </c>
      <c r="DB359" s="2">
        <v>3</v>
      </c>
      <c r="DC359" s="717">
        <f>'[4]побудинковий звіт'!DC359</f>
        <v>72463.94</v>
      </c>
      <c r="DD359" s="717">
        <f>'[4]побудинковий звіт'!DD359</f>
        <v>207.14</v>
      </c>
      <c r="DE359" s="717">
        <f>'[4]побудинковий звіт'!DE359</f>
        <v>40633.520000000004</v>
      </c>
      <c r="DF359" s="717">
        <f>'[4]побудинковий звіт'!DF359</f>
        <v>0</v>
      </c>
      <c r="DG359" s="787">
        <v>-115497.79046819056</v>
      </c>
      <c r="DH359" s="761">
        <f t="shared" si="344"/>
        <v>4613408.6399999987</v>
      </c>
      <c r="DI359" s="784"/>
      <c r="DJ359" s="5"/>
      <c r="DK359" s="317">
        <f>VLOOKUP($A359,ціни!$A$4:$G$401,5)</f>
        <v>5.1933939812784011</v>
      </c>
      <c r="DL359" s="317"/>
      <c r="DM359" s="317">
        <f>VLOOKUP($A359,ціни!$A$4:$G$401,7)</f>
        <v>4.5927724053466585</v>
      </c>
      <c r="DN359" s="30">
        <f t="shared" si="388"/>
        <v>32366.529639822314</v>
      </c>
      <c r="DO359" s="30">
        <f t="shared" si="389"/>
        <v>207.1340354811343</v>
      </c>
      <c r="DP359" s="316">
        <f t="shared" si="390"/>
        <v>32573.663675303447</v>
      </c>
      <c r="DQ359" s="104"/>
      <c r="DR359" s="30">
        <f>VLOOKUP(A359,'ДЗ нас '!$A$1:$C$359,2)</f>
        <v>31830.42</v>
      </c>
      <c r="DS359" s="748">
        <f>VLOOKUP(A359,'ДЗ нежит'!$A$1:$D$153,4,0)</f>
        <v>207.14</v>
      </c>
      <c r="DT359" s="30">
        <f t="shared" si="391"/>
        <v>32037.559999999998</v>
      </c>
      <c r="DU359" s="257">
        <f>VLOOKUP(A359,'новий кошторис с 01.06'!$A$4:$AI$399,35)*1.2</f>
        <v>32343.245848791677</v>
      </c>
      <c r="DV359" s="30">
        <f t="shared" si="392"/>
        <v>-305.68584879167975</v>
      </c>
      <c r="DW359" s="930">
        <f>'[5]побудинковий звіт'!DW359+'[6]побудинковий звіт'!DW359</f>
        <v>305.60000000000002</v>
      </c>
      <c r="DY359" s="5">
        <f t="shared" si="340"/>
        <v>103489.63103897456</v>
      </c>
      <c r="DZ359" s="5">
        <f t="shared" si="341"/>
        <v>51053.791181535657</v>
      </c>
      <c r="EA359" s="752">
        <f t="shared" si="345"/>
        <v>40633.520000000004</v>
      </c>
      <c r="EC359" s="592">
        <f t="shared" si="342"/>
        <v>816499.74529305357</v>
      </c>
      <c r="EE359" s="758">
        <v>105638</v>
      </c>
      <c r="EF359" s="738">
        <f t="shared" si="343"/>
        <v>-9859.7904681905638</v>
      </c>
      <c r="EH359" s="813">
        <v>4678.8853245668288</v>
      </c>
    </row>
    <row r="360" spans="1:138" x14ac:dyDescent="0.3">
      <c r="A360" s="328">
        <v>150000878</v>
      </c>
      <c r="B360" s="44" t="s">
        <v>813</v>
      </c>
      <c r="C360" s="45" t="s">
        <v>236</v>
      </c>
      <c r="D360" s="45" t="s">
        <v>236</v>
      </c>
      <c r="E360" s="40">
        <f t="shared" si="384"/>
        <v>6294.3099999999995</v>
      </c>
      <c r="F360" s="490">
        <v>5864.08</v>
      </c>
      <c r="G360" s="30"/>
      <c r="H360" s="30">
        <v>430.23</v>
      </c>
      <c r="I360" s="42">
        <f>'[1]побудинковий звіт'!I360+'[2]побудинковий звіт'!I360-'[3]побудинковий звіт'!I360</f>
        <v>6806.4524349835447</v>
      </c>
      <c r="J360" s="42">
        <f>'[1]побудинковий звіт'!J360+'[2]побудинковий звіт'!J360-'[3]побудинковий звіт'!J360</f>
        <v>6783.1442869598905</v>
      </c>
      <c r="K360" s="56">
        <f t="shared" si="349"/>
        <v>-23.308148023654212</v>
      </c>
      <c r="L360" s="42">
        <f>'[1]побудинковий звіт'!L360+'[2]побудинковий звіт'!L360-'[3]побудинковий звіт'!L360</f>
        <v>1101.0296889265398</v>
      </c>
      <c r="M360" s="42">
        <f>'[1]побудинковий звіт'!M360+'[2]побудинковий звіт'!M360-'[3]побудинковий звіт'!M360</f>
        <v>1110.891172001147</v>
      </c>
      <c r="N360" s="56">
        <f t="shared" si="350"/>
        <v>9.861483074607122</v>
      </c>
      <c r="O360" s="42">
        <f>'[1]побудинковий звіт'!O360+'[2]побудинковий звіт'!O360-'[3]побудинковий звіт'!O360</f>
        <v>3431.1599999999994</v>
      </c>
      <c r="P360" s="42">
        <f>'[1]побудинковий звіт'!P360+'[2]побудинковий звіт'!P360-'[3]побудинковий звіт'!P360</f>
        <v>2697.0432161827957</v>
      </c>
      <c r="Q360" s="56">
        <f t="shared" si="351"/>
        <v>-734.11678381720367</v>
      </c>
      <c r="R360" s="42">
        <f>'[1]побудинковий звіт'!R360+'[2]побудинковий звіт'!R360-'[3]побудинковий звіт'!R360</f>
        <v>0</v>
      </c>
      <c r="S360" s="42">
        <f>'[1]побудинковий звіт'!S360+'[2]побудинковий звіт'!S360-'[3]побудинковий звіт'!S360</f>
        <v>0</v>
      </c>
      <c r="T360" s="56">
        <f t="shared" si="352"/>
        <v>0</v>
      </c>
      <c r="U360" s="42">
        <f>'[1]побудинковий звіт'!U360+'[2]побудинковий звіт'!U360-'[3]побудинковий звіт'!U360</f>
        <v>0</v>
      </c>
      <c r="V360" s="42">
        <f>'[1]побудинковий звіт'!V360+'[2]побудинковий звіт'!V360-'[3]побудинковий звіт'!V360</f>
        <v>0</v>
      </c>
      <c r="W360" s="56">
        <f t="shared" si="353"/>
        <v>0</v>
      </c>
      <c r="X360" s="42">
        <f>'[1]побудинковий звіт'!X360+'[2]побудинковий звіт'!X360-'[3]побудинковий звіт'!X360</f>
        <v>4990.7132705970835</v>
      </c>
      <c r="Y360" s="42">
        <f>'[1]побудинковий звіт'!Y360+'[2]побудинковий звіт'!Y360-'[3]побудинковий звіт'!Y360</f>
        <v>3909.9027489024174</v>
      </c>
      <c r="Z360" s="56">
        <f t="shared" si="354"/>
        <v>-1080.810521694666</v>
      </c>
      <c r="AA360" s="42">
        <f>'[1]побудинковий звіт'!AA360+'[2]побудинковий звіт'!AA360-'[3]побудинковий звіт'!AA360</f>
        <v>0</v>
      </c>
      <c r="AB360" s="42">
        <f>'[1]побудинковий звіт'!AB360+'[2]побудинковий звіт'!AB360-'[3]побудинковий звіт'!AB360</f>
        <v>0</v>
      </c>
      <c r="AC360" s="56">
        <f t="shared" si="355"/>
        <v>0</v>
      </c>
      <c r="AD360" s="42">
        <f>'[1]побудинковий звіт'!AD360+'[2]побудинковий звіт'!AD360-'[3]побудинковий звіт'!AD360</f>
        <v>10246.987511008112</v>
      </c>
      <c r="AE360" s="42">
        <f>'[1]побудинковий звіт'!AE360+'[2]побудинковий звіт'!AE360-'[3]побудинковий звіт'!AE360</f>
        <v>8340.5861054236993</v>
      </c>
      <c r="AF360" s="37">
        <f t="shared" si="356"/>
        <v>-1906.4014055844127</v>
      </c>
      <c r="AG360" s="87">
        <f t="shared" si="346"/>
        <v>26576.342905515281</v>
      </c>
      <c r="AH360" s="57">
        <f t="shared" si="346"/>
        <v>22841.56752946995</v>
      </c>
      <c r="AI360" s="56">
        <f t="shared" si="357"/>
        <v>-3734.7753760453306</v>
      </c>
      <c r="AJ360" s="42">
        <f>'[1]побудинковий звіт'!AJ360+'[2]побудинковий звіт'!AJ360-'[3]побудинковий звіт'!AJ360</f>
        <v>0</v>
      </c>
      <c r="AK360" s="42">
        <f>'[1]побудинковий звіт'!AK360+'[2]побудинковий звіт'!AK360-'[3]побудинковий звіт'!AK360</f>
        <v>0</v>
      </c>
      <c r="AL360" s="56">
        <f t="shared" si="358"/>
        <v>0</v>
      </c>
      <c r="AM360" s="42">
        <f>'[1]побудинковий звіт'!AM360+'[2]побудинковий звіт'!AM360-'[3]побудинковий звіт'!AM360</f>
        <v>0</v>
      </c>
      <c r="AN360" s="42">
        <f>'[1]побудинковий звіт'!AN360+'[2]побудинковий звіт'!AN360-'[3]побудинковий звіт'!AN360</f>
        <v>0</v>
      </c>
      <c r="AO360" s="56">
        <f t="shared" si="359"/>
        <v>0</v>
      </c>
      <c r="AP360" s="42">
        <f>'[1]побудинковий звіт'!AP360+'[2]побудинковий звіт'!AP360-'[3]побудинковий звіт'!AP360</f>
        <v>3977.4741001533284</v>
      </c>
      <c r="AQ360" s="42">
        <f>'[1]побудинковий звіт'!AQ360+'[2]побудинковий звіт'!AQ360-'[3]побудинковий звіт'!AQ360</f>
        <v>3766.5226710617007</v>
      </c>
      <c r="AR360" s="56">
        <f t="shared" si="360"/>
        <v>-210.95142909162769</v>
      </c>
      <c r="AS360" s="42">
        <f>'[1]побудинковий звіт'!AS360+'[2]побудинковий звіт'!AS360-'[3]побудинковий звіт'!AS360</f>
        <v>22099.888390479631</v>
      </c>
      <c r="AT360" s="42">
        <f>'[1]побудинковий звіт'!AT360+'[2]побудинковий звіт'!AT360-'[3]побудинковий звіт'!AT360</f>
        <v>4968.9525117922603</v>
      </c>
      <c r="AU360" s="58">
        <f t="shared" si="375"/>
        <v>-17130.935878687371</v>
      </c>
      <c r="AV360" s="42">
        <f>'[1]побудинковий звіт'!AV360+'[2]побудинковий звіт'!AV360-'[3]побудинковий звіт'!AV360</f>
        <v>1241.130694619156</v>
      </c>
      <c r="AW360" s="42">
        <f>'[1]побудинковий звіт'!AW360+'[2]побудинковий звіт'!AW360-'[3]побудинковий звіт'!AW360</f>
        <v>1187</v>
      </c>
      <c r="AX360" s="59">
        <f t="shared" si="376"/>
        <v>-54.130694619155975</v>
      </c>
      <c r="AY360" s="42">
        <f>'[1]побудинковий звіт'!AY360+'[2]побудинковий звіт'!AY360-'[3]побудинковий звіт'!AY360</f>
        <v>1419.0098779732841</v>
      </c>
      <c r="AZ360" s="42">
        <f>'[1]побудинковий звіт'!AZ360+'[2]побудинковий звіт'!AZ360-'[3]побудинковий звіт'!AZ360</f>
        <v>0</v>
      </c>
      <c r="BA360" s="37">
        <f t="shared" si="377"/>
        <v>-1419.0098779732841</v>
      </c>
      <c r="BB360" s="42">
        <f>'[1]побудинковий звіт'!BB360+'[2]побудинковий звіт'!BB360-'[3]побудинковий звіт'!BB360</f>
        <v>1928.8566633283367</v>
      </c>
      <c r="BC360" s="42">
        <f>'[1]побудинковий звіт'!BC360+'[2]побудинковий звіт'!BC360-'[3]побудинковий звіт'!BC360</f>
        <v>813</v>
      </c>
      <c r="BD360" s="59">
        <f t="shared" si="378"/>
        <v>-1115.8566633283367</v>
      </c>
      <c r="BE360" s="42">
        <f>'[1]побудинковий звіт'!BE360+'[2]побудинковий звіт'!BE360-'[3]побудинковий звіт'!BE360</f>
        <v>0</v>
      </c>
      <c r="BF360" s="42">
        <f>'[1]побудинковий звіт'!BF360+'[2]побудинковий звіт'!BF360-'[3]побудинковий звіт'!BF360</f>
        <v>0</v>
      </c>
      <c r="BG360" s="39">
        <f t="shared" si="379"/>
        <v>0</v>
      </c>
      <c r="BH360" s="42">
        <f>'[1]побудинковий звіт'!BH360+'[2]побудинковий звіт'!BH360-'[3]побудинковий звіт'!BH360</f>
        <v>0</v>
      </c>
      <c r="BI360" s="42">
        <f>'[1]побудинковий звіт'!BI360+'[2]побудинковий звіт'!BI360-'[3]побудинковий звіт'!BI360</f>
        <v>0</v>
      </c>
      <c r="BJ360" s="59">
        <f t="shared" si="380"/>
        <v>0</v>
      </c>
      <c r="BK360" s="42">
        <f>'[1]побудинковий звіт'!BK360+'[2]побудинковий звіт'!BK360-'[3]побудинковий звіт'!BK360</f>
        <v>645.5407983755922</v>
      </c>
      <c r="BL360" s="42">
        <f>'[1]побудинковий звіт'!BL360+'[2]побудинковий звіт'!BL360-'[3]побудинковий звіт'!BL360</f>
        <v>913</v>
      </c>
      <c r="BM360" s="39">
        <f t="shared" si="381"/>
        <v>267.4592016244078</v>
      </c>
      <c r="BN360" s="42">
        <f>'[1]побудинковий звіт'!BN360+'[2]побудинковий звіт'!BN360-'[3]побудинковий звіт'!BN360</f>
        <v>0</v>
      </c>
      <c r="BO360" s="42">
        <f>'[1]побудинковий звіт'!BO360+'[2]побудинковий звіт'!BO360-'[3]побудинковий звіт'!BO360</f>
        <v>0</v>
      </c>
      <c r="BP360" s="59">
        <f t="shared" si="382"/>
        <v>0</v>
      </c>
      <c r="BQ360" s="87">
        <f t="shared" si="338"/>
        <v>5234.538034296369</v>
      </c>
      <c r="BR360" s="43">
        <f t="shared" si="385"/>
        <v>2913</v>
      </c>
      <c r="BS360" s="59">
        <f t="shared" si="383"/>
        <v>-2321.538034296369</v>
      </c>
      <c r="BT360" s="42">
        <f>'[1]побудинковий звіт'!BT360+'[2]побудинковий звіт'!BT360-'[3]побудинковий звіт'!BT360</f>
        <v>33133.033687510957</v>
      </c>
      <c r="BU360" s="42">
        <f>'[1]побудинковий звіт'!BU360+'[2]побудинковий звіт'!BU360-'[3]побудинковий звіт'!BU360</f>
        <v>38814.116579354755</v>
      </c>
      <c r="BV360" s="56">
        <f t="shared" si="361"/>
        <v>5681.0828918437983</v>
      </c>
      <c r="BW360" s="42">
        <f>'[1]побудинковий звіт'!BW360+'[2]побудинковий звіт'!BW360-'[3]побудинковий звіт'!BW360</f>
        <v>23028.772139705219</v>
      </c>
      <c r="BX360" s="42">
        <f>'[1]побудинковий звіт'!BX360+'[2]побудинковий звіт'!BX360-'[3]побудинковий звіт'!BX360</f>
        <v>24538.17067504349</v>
      </c>
      <c r="BY360" s="56">
        <f t="shared" si="362"/>
        <v>1509.3985353382704</v>
      </c>
      <c r="BZ360" s="42">
        <f>'[1]побудинковий звіт'!BZ360+'[2]побудинковий звіт'!BZ360-'[3]побудинковий звіт'!BZ360</f>
        <v>6641.6478199912444</v>
      </c>
      <c r="CA360" s="42">
        <f>'[1]побудинковий звіт'!CA360+'[2]побудинковий звіт'!CA360-'[3]побудинковий звіт'!CA360</f>
        <v>8854.7131592932765</v>
      </c>
      <c r="CB360" s="56">
        <f t="shared" si="363"/>
        <v>2213.065339302032</v>
      </c>
      <c r="CC360" s="42">
        <f>'[1]побудинковий звіт'!CC360+'[2]побудинковий звіт'!CC360-'[3]побудинковий звіт'!CC360</f>
        <v>541.2038708376698</v>
      </c>
      <c r="CD360" s="42">
        <f>'[1]побудинковий звіт'!CD360+'[2]побудинковий звіт'!CD360-'[3]побудинковий звіт'!CD360</f>
        <v>536.44382978423073</v>
      </c>
      <c r="CE360" s="56">
        <f t="shared" si="364"/>
        <v>-4.7600410534390676</v>
      </c>
      <c r="CF360" s="42">
        <f>'[1]побудинковий звіт'!CF360+'[2]побудинковий звіт'!CF360-'[3]побудинковий звіт'!CF360</f>
        <v>66.625476523576779</v>
      </c>
      <c r="CG360" s="42">
        <f>'[1]побудинковий звіт'!CG360+'[2]побудинковий звіт'!CG360-'[3]побудинковий звіт'!CG360</f>
        <v>0</v>
      </c>
      <c r="CH360" s="56">
        <f t="shared" si="365"/>
        <v>-66.625476523576779</v>
      </c>
      <c r="CI360" s="42">
        <f>'[1]побудинковий звіт'!CI360+'[2]побудинковий звіт'!CI360-'[3]побудинковий звіт'!CI360</f>
        <v>2433.2782730349777</v>
      </c>
      <c r="CJ360" s="42">
        <f>'[1]побудинковий звіт'!CJ360+'[2]побудинковий звіт'!CJ360-'[3]побудинковий звіт'!CJ360</f>
        <v>3133.8752540844034</v>
      </c>
      <c r="CK360" s="56">
        <f t="shared" si="366"/>
        <v>700.59698104942572</v>
      </c>
      <c r="CL360" s="42">
        <f>'[1]побудинковий звіт'!CL360+'[2]побудинковий звіт'!CL360-'[3]побудинковий звіт'!CL360</f>
        <v>0</v>
      </c>
      <c r="CM360" s="42">
        <f>'[1]побудинковий звіт'!CM360+'[2]побудинковий звіт'!CM360-'[3]побудинковий звіт'!CM360</f>
        <v>0</v>
      </c>
      <c r="CN360" s="56">
        <f t="shared" si="367"/>
        <v>0</v>
      </c>
      <c r="CO360" s="42">
        <f t="shared" si="347"/>
        <v>2433.2782730349777</v>
      </c>
      <c r="CP360" s="43">
        <f t="shared" si="368"/>
        <v>3133.8752540844034</v>
      </c>
      <c r="CQ360" s="56">
        <f t="shared" si="369"/>
        <v>700.59698104942572</v>
      </c>
      <c r="CR360" s="78">
        <f t="shared" si="348"/>
        <v>123732.80469804825</v>
      </c>
      <c r="CS360" s="5">
        <f t="shared" si="348"/>
        <v>110367.36220988404</v>
      </c>
      <c r="CT360" s="56">
        <f t="shared" si="370"/>
        <v>-13365.442488164204</v>
      </c>
      <c r="CU360" s="87">
        <f t="shared" si="371"/>
        <v>148479.3656376579</v>
      </c>
      <c r="CV360" s="70">
        <f t="shared" si="372"/>
        <v>132440.83465186085</v>
      </c>
      <c r="CW360" s="37">
        <f t="shared" si="373"/>
        <v>-16038.530985797057</v>
      </c>
      <c r="CX360" s="42">
        <f>'[1]побудинковий звіт'!CX360+'[2]побудинковий звіт'!CX360-'[3]побудинковий звіт'!CX360</f>
        <v>-10863.245637657907</v>
      </c>
      <c r="CY360" s="42">
        <f>'[1]побудинковий звіт'!CY360+'[2]побудинковий звіт'!CY360-'[3]побудинковий звіт'!CY360</f>
        <v>5175.2853481391212</v>
      </c>
      <c r="CZ360" s="56">
        <f t="shared" si="374"/>
        <v>16038.530985797028</v>
      </c>
      <c r="DA360" s="264">
        <f>'[4]побудинковий звіт'!DA360</f>
        <v>41767.145419065448</v>
      </c>
      <c r="DB360" s="2">
        <v>2</v>
      </c>
      <c r="DC360" s="717">
        <f>'[4]побудинковий звіт'!DC360</f>
        <v>35913.75</v>
      </c>
      <c r="DD360" s="717">
        <f>'[4]побудинковий звіт'!DD360</f>
        <v>14379.220000000001</v>
      </c>
      <c r="DE360" s="717">
        <f>'[4]побудинковий звіт'!DE360</f>
        <v>26298.83</v>
      </c>
      <c r="DF360" s="717">
        <f>'[4]побудинковий звіт'!DF360</f>
        <v>12526.130000000001</v>
      </c>
      <c r="DG360" s="787">
        <v>904.10185699764406</v>
      </c>
      <c r="DH360" s="761">
        <f t="shared" si="344"/>
        <v>1651393.44</v>
      </c>
      <c r="DI360" s="784"/>
      <c r="DJ360" s="5"/>
      <c r="DK360" s="317">
        <f>VLOOKUP($A360,ціни!$A$4:$G$401,5)</f>
        <v>5.7070139531473894</v>
      </c>
      <c r="DL360" s="317"/>
      <c r="DM360" s="317">
        <f>VLOOKUP($A360,ціни!$A$4:$G$401,7)</f>
        <v>4.3072006714946287</v>
      </c>
      <c r="DN360" s="30">
        <f t="shared" si="388"/>
        <v>33466.386382372541</v>
      </c>
      <c r="DO360" s="30">
        <f t="shared" si="389"/>
        <v>1853.0869448971341</v>
      </c>
      <c r="DP360" s="316">
        <f t="shared" si="390"/>
        <v>35319.473327269676</v>
      </c>
      <c r="DQ360" s="104"/>
      <c r="DR360" s="30">
        <f>VLOOKUP(A360,'ДЗ нас '!$A$1:$C$359,2)</f>
        <v>9614.92</v>
      </c>
      <c r="DS360" s="748">
        <f>VLOOKUP(A360,'ДЗ нежит'!$A$1:$D$153,4,0)</f>
        <v>1775.1299999999999</v>
      </c>
      <c r="DT360" s="30">
        <f t="shared" si="391"/>
        <v>11390.05</v>
      </c>
      <c r="DU360" s="257">
        <f>VLOOKUP(A360,'новий кошторис с 01.06'!$A$4:$AI$399,35)*1.2</f>
        <v>12744.478883898968</v>
      </c>
      <c r="DV360" s="30">
        <f t="shared" si="392"/>
        <v>-1354.4288838989687</v>
      </c>
      <c r="DW360" s="930">
        <f>'[5]побудинковий звіт'!DW360+'[6]побудинковий звіт'!DW360</f>
        <v>236</v>
      </c>
      <c r="DY360" s="5">
        <f t="shared" si="340"/>
        <v>32801.311709731199</v>
      </c>
      <c r="DZ360" s="5">
        <f t="shared" si="341"/>
        <v>9458.3430141507124</v>
      </c>
      <c r="EA360" s="752">
        <f t="shared" si="345"/>
        <v>38824.960000000006</v>
      </c>
      <c r="EC360" s="592">
        <f t="shared" si="342"/>
        <v>265198.66068575555</v>
      </c>
      <c r="EE360" s="758">
        <v>-7399</v>
      </c>
      <c r="EF360" s="738">
        <f t="shared" si="343"/>
        <v>-6494.8981430023559</v>
      </c>
      <c r="EH360" s="813">
        <v>59225.397221633655</v>
      </c>
    </row>
    <row r="361" spans="1:138" x14ac:dyDescent="0.3">
      <c r="A361" s="328">
        <v>150000879</v>
      </c>
      <c r="B361" s="44" t="s">
        <v>814</v>
      </c>
      <c r="C361" s="45" t="s">
        <v>329</v>
      </c>
      <c r="D361" s="45" t="s">
        <v>329</v>
      </c>
      <c r="E361" s="40">
        <f t="shared" si="384"/>
        <v>5426.72</v>
      </c>
      <c r="F361" s="490">
        <v>4467.5200000000004</v>
      </c>
      <c r="G361" s="30"/>
      <c r="H361" s="30">
        <v>959.2</v>
      </c>
      <c r="I361" s="42">
        <f>'[1]побудинковий звіт'!I361+'[2]побудинковий звіт'!I361-'[3]побудинковий звіт'!I361</f>
        <v>13007.607676147938</v>
      </c>
      <c r="J361" s="42">
        <f>'[1]побудинковий звіт'!J361+'[2]побудинковий звіт'!J361-'[3]побудинковий звіт'!J361</f>
        <v>13063.177325311432</v>
      </c>
      <c r="K361" s="56">
        <f t="shared" si="349"/>
        <v>55.569649163493523</v>
      </c>
      <c r="L361" s="42">
        <f>'[1]побудинковий звіт'!L361+'[2]побудинковий звіт'!L361-'[3]побудинковий звіт'!L361</f>
        <v>2407.4117231896657</v>
      </c>
      <c r="M361" s="42">
        <f>'[1]побудинковий звіт'!M361+'[2]побудинковий звіт'!M361-'[3]побудинковий звіт'!M361</f>
        <v>2428.9735488850665</v>
      </c>
      <c r="N361" s="56">
        <f t="shared" si="350"/>
        <v>21.561825695400785</v>
      </c>
      <c r="O361" s="42">
        <f>'[1]побудинковий звіт'!O361+'[2]побудинковий звіт'!O361-'[3]побудинковий звіт'!O361</f>
        <v>6563.7599999999984</v>
      </c>
      <c r="P361" s="42">
        <f>'[1]побудинковий звіт'!P361+'[2]побудинковий звіт'!P361-'[3]побудинковий звіт'!P361</f>
        <v>5159.1064786827956</v>
      </c>
      <c r="Q361" s="56">
        <f t="shared" si="351"/>
        <v>-1404.6535213172028</v>
      </c>
      <c r="R361" s="42">
        <f>'[1]побудинковий звіт'!R361+'[2]побудинковий звіт'!R361-'[3]побудинковий звіт'!R361</f>
        <v>0</v>
      </c>
      <c r="S361" s="42">
        <f>'[1]побудинковий звіт'!S361+'[2]побудинковий звіт'!S361-'[3]побудинковий звіт'!S361</f>
        <v>0</v>
      </c>
      <c r="T361" s="56">
        <f t="shared" si="352"/>
        <v>0</v>
      </c>
      <c r="U361" s="42">
        <f>'[1]побудинковий звіт'!U361+'[2]побудинковий звіт'!U361-'[3]побудинковий звіт'!U361</f>
        <v>0</v>
      </c>
      <c r="V361" s="42">
        <f>'[1]побудинковий звіт'!V361+'[2]побудинковий звіт'!V361-'[3]побудинковий звіт'!V361</f>
        <v>0</v>
      </c>
      <c r="W361" s="56">
        <f t="shared" si="353"/>
        <v>0</v>
      </c>
      <c r="X361" s="42">
        <f>'[1]побудинковий звіт'!X361+'[2]побудинковий звіт'!X361-'[3]побудинковий звіт'!X361</f>
        <v>10442.424278323857</v>
      </c>
      <c r="Y361" s="42">
        <f>'[1]побудинковий звіт'!Y361+'[2]побудинковий звіт'!Y361-'[3]побудинковий звіт'!Y361</f>
        <v>8177.2679233083072</v>
      </c>
      <c r="Z361" s="56">
        <f t="shared" si="354"/>
        <v>-2265.1563550155497</v>
      </c>
      <c r="AA361" s="42">
        <f>'[1]побудинковий звіт'!AA361+'[2]побудинковий звіт'!AA361-'[3]побудинковий звіт'!AA361</f>
        <v>0</v>
      </c>
      <c r="AB361" s="42">
        <f>'[1]побудинковий звіт'!AB361+'[2]побудинковий звіт'!AB361-'[3]побудинковий звіт'!AB361</f>
        <v>0</v>
      </c>
      <c r="AC361" s="56">
        <f t="shared" si="355"/>
        <v>0</v>
      </c>
      <c r="AD361" s="42">
        <f>'[1]побудинковий звіт'!AD361+'[2]побудинковий звіт'!AD361-'[3]побудинковий звіт'!AD361</f>
        <v>19216.142768318201</v>
      </c>
      <c r="AE361" s="42">
        <f>'[1]побудинковий звіт'!AE361+'[2]побудинковий звіт'!AE361-'[3]побудинковий звіт'!AE361</f>
        <v>18013.630560731232</v>
      </c>
      <c r="AF361" s="37">
        <f t="shared" si="356"/>
        <v>-1202.5122075869695</v>
      </c>
      <c r="AG361" s="87">
        <f t="shared" si="346"/>
        <v>51637.346445979667</v>
      </c>
      <c r="AH361" s="57">
        <f t="shared" si="346"/>
        <v>46842.155836918828</v>
      </c>
      <c r="AI361" s="56">
        <f t="shared" si="357"/>
        <v>-4795.1906090608391</v>
      </c>
      <c r="AJ361" s="42">
        <f>'[1]побудинковий звіт'!AJ361+'[2]побудинковий звіт'!AJ361-'[3]побудинковий звіт'!AJ361</f>
        <v>0</v>
      </c>
      <c r="AK361" s="42">
        <f>'[1]побудинковий звіт'!AK361+'[2]побудинковий звіт'!AK361-'[3]побудинковий звіт'!AK361</f>
        <v>0</v>
      </c>
      <c r="AL361" s="56">
        <f t="shared" si="358"/>
        <v>0</v>
      </c>
      <c r="AM361" s="42">
        <f>'[1]побудинковий звіт'!AM361+'[2]побудинковий звіт'!AM361-'[3]побудинковий звіт'!AM361</f>
        <v>0</v>
      </c>
      <c r="AN361" s="42">
        <f>'[1]побудинковий звіт'!AN361+'[2]побудинковий звіт'!AN361-'[3]побудинковий звіт'!AN361</f>
        <v>0</v>
      </c>
      <c r="AO361" s="56">
        <f t="shared" si="359"/>
        <v>0</v>
      </c>
      <c r="AP361" s="42">
        <f>'[1]побудинковий звіт'!AP361+'[2]побудинковий звіт'!AP361-'[3]побудинковий звіт'!AP361</f>
        <v>11790.369654025939</v>
      </c>
      <c r="AQ361" s="42">
        <f>'[1]побудинковий звіт'!AQ361+'[2]побудинковий звіт'!AQ361-'[3]побудинковий звіт'!AQ361</f>
        <v>11802.624895610226</v>
      </c>
      <c r="AR361" s="56">
        <f t="shared" si="360"/>
        <v>12.255241584287432</v>
      </c>
      <c r="AS361" s="42">
        <f>'[1]побудинковий звіт'!AS361+'[2]побудинковий звіт'!AS361-'[3]побудинковий звіт'!AS361</f>
        <v>43279.407778981171</v>
      </c>
      <c r="AT361" s="42">
        <f>'[1]побудинковий звіт'!AT361+'[2]побудинковий звіт'!AT361-'[3]побудинковий звіт'!AT361</f>
        <v>39029</v>
      </c>
      <c r="AU361" s="58">
        <f t="shared" si="375"/>
        <v>-4250.4077789811708</v>
      </c>
      <c r="AV361" s="42">
        <f>'[1]побудинковий звіт'!AV361+'[2]побудинковий звіт'!AV361-'[3]побудинковий звіт'!AV361</f>
        <v>2116.1210502326226</v>
      </c>
      <c r="AW361" s="42">
        <f>'[1]побудинковий звіт'!AW361+'[2]побудинковий звіт'!AW361-'[3]побудинковий звіт'!AW361</f>
        <v>3505</v>
      </c>
      <c r="AX361" s="59">
        <f t="shared" si="376"/>
        <v>1388.8789497673774</v>
      </c>
      <c r="AY361" s="42">
        <f>'[1]побудинковий звіт'!AY361+'[2]побудинковий звіт'!AY361-'[3]побудинковий звіт'!AY361</f>
        <v>3102.7914778078243</v>
      </c>
      <c r="AZ361" s="42">
        <f>'[1]побудинковий звіт'!AZ361+'[2]побудинковий звіт'!AZ361-'[3]побудинковий звіт'!AZ361</f>
        <v>0</v>
      </c>
      <c r="BA361" s="37">
        <f t="shared" si="377"/>
        <v>-3102.7914778078243</v>
      </c>
      <c r="BB361" s="42">
        <f>'[1]побудинковий звіт'!BB361+'[2]побудинковий звіт'!BB361-'[3]побудинковий звіт'!BB361</f>
        <v>2712.8050698910993</v>
      </c>
      <c r="BC361" s="42">
        <f>'[1]побудинковий звіт'!BC361+'[2]побудинковий звіт'!BC361-'[3]побудинковий звіт'!BC361</f>
        <v>929</v>
      </c>
      <c r="BD361" s="59">
        <f t="shared" si="378"/>
        <v>-1783.8050698910993</v>
      </c>
      <c r="BE361" s="42">
        <f>'[1]побудинковий звіт'!BE361+'[2]побудинковий звіт'!BE361-'[3]побудинковий звіт'!BE361</f>
        <v>0</v>
      </c>
      <c r="BF361" s="42">
        <f>'[1]побудинковий звіт'!BF361+'[2]побудинковий звіт'!BF361-'[3]побудинковий звіт'!BF361</f>
        <v>0</v>
      </c>
      <c r="BG361" s="39">
        <f t="shared" si="379"/>
        <v>0</v>
      </c>
      <c r="BH361" s="42">
        <f>'[1]побудинковий звіт'!BH361+'[2]побудинковий звіт'!BH361-'[3]побудинковий звіт'!BH361</f>
        <v>0</v>
      </c>
      <c r="BI361" s="42">
        <f>'[1]побудинковий звіт'!BI361+'[2]побудинковий звіт'!BI361-'[3]побудинковий звіт'!BI361</f>
        <v>0</v>
      </c>
      <c r="BJ361" s="59">
        <f t="shared" si="380"/>
        <v>0</v>
      </c>
      <c r="BK361" s="42">
        <f>'[1]побудинковий звіт'!BK361+'[2]побудинковий звіт'!BK361-'[3]побудинковий звіт'!BK361</f>
        <v>1457.378594718612</v>
      </c>
      <c r="BL361" s="42">
        <f>'[1]побудинковий звіт'!BL361+'[2]побудинковий звіт'!BL361-'[3]побудинковий звіт'!BL361</f>
        <v>252</v>
      </c>
      <c r="BM361" s="39">
        <f t="shared" si="381"/>
        <v>-1205.378594718612</v>
      </c>
      <c r="BN361" s="42">
        <f>'[1]побудинковий звіт'!BN361+'[2]побудинковий звіт'!BN361-'[3]побудинковий звіт'!BN361</f>
        <v>0</v>
      </c>
      <c r="BO361" s="42">
        <f>'[1]побудинковий звіт'!BO361+'[2]побудинковий звіт'!BO361-'[3]побудинковий звіт'!BO361</f>
        <v>0</v>
      </c>
      <c r="BP361" s="59">
        <f t="shared" si="382"/>
        <v>0</v>
      </c>
      <c r="BQ361" s="87">
        <f t="shared" si="338"/>
        <v>9389.0961926501586</v>
      </c>
      <c r="BR361" s="43">
        <f t="shared" si="385"/>
        <v>4686</v>
      </c>
      <c r="BS361" s="59">
        <f t="shared" si="383"/>
        <v>-4703.0961926501586</v>
      </c>
      <c r="BT361" s="42">
        <f>'[1]побудинковий звіт'!BT361+'[2]побудинковий звіт'!BT361-'[3]побудинковий звіт'!BT361</f>
        <v>34086.052430333904</v>
      </c>
      <c r="BU361" s="42">
        <f>'[1]побудинковий звіт'!BU361+'[2]побудинковий звіт'!BU361-'[3]побудинковий звіт'!BU361</f>
        <v>47225.363777737504</v>
      </c>
      <c r="BV361" s="56">
        <f t="shared" si="361"/>
        <v>13139.3113474036</v>
      </c>
      <c r="BW361" s="42">
        <f>'[1]побудинковий звіт'!BW361+'[2]побудинковий звіт'!BW361-'[3]побудинковий звіт'!BW361</f>
        <v>21473.392231375983</v>
      </c>
      <c r="BX361" s="42">
        <f>'[1]побудинковий звіт'!BX361+'[2]побудинковий звіт'!BX361-'[3]побудинковий звіт'!BX361</f>
        <v>25575.526928590549</v>
      </c>
      <c r="BY361" s="56">
        <f t="shared" si="362"/>
        <v>4102.1346972145657</v>
      </c>
      <c r="BZ361" s="42">
        <f>'[1]побудинковий звіт'!BZ361+'[2]побудинковий звіт'!BZ361-'[3]побудинковий звіт'!BZ361</f>
        <v>10929.118981761863</v>
      </c>
      <c r="CA361" s="42">
        <f>'[1]побудинковий звіт'!CA361+'[2]побудинковий звіт'!CA361-'[3]побудинковий звіт'!CA361</f>
        <v>11604.29554838502</v>
      </c>
      <c r="CB361" s="56">
        <f t="shared" si="363"/>
        <v>675.17656662315676</v>
      </c>
      <c r="CC361" s="42">
        <f>'[1]побудинковий звіт'!CC361+'[2]побудинковий звіт'!CC361-'[3]побудинковий звіт'!CC361</f>
        <v>0</v>
      </c>
      <c r="CD361" s="42">
        <f>'[1]побудинковий звіт'!CD361+'[2]побудинковий звіт'!CD361-'[3]побудинковий звіт'!CD361</f>
        <v>0</v>
      </c>
      <c r="CE361" s="56">
        <f t="shared" si="364"/>
        <v>0</v>
      </c>
      <c r="CF361" s="42">
        <f>'[1]побудинковий звіт'!CF361+'[2]побудинковий звіт'!CF361-'[3]побудинковий звіт'!CF361</f>
        <v>0</v>
      </c>
      <c r="CG361" s="42">
        <f>'[1]побудинковий звіт'!CG361+'[2]побудинковий звіт'!CG361-'[3]побудинковий звіт'!CG361</f>
        <v>0</v>
      </c>
      <c r="CH361" s="56">
        <f t="shared" si="365"/>
        <v>0</v>
      </c>
      <c r="CI361" s="42">
        <f>'[1]побудинковий звіт'!CI361+'[2]побудинковий звіт'!CI361-'[3]побудинковий звіт'!CI361</f>
        <v>4230.1606900454226</v>
      </c>
      <c r="CJ361" s="42">
        <f>'[1]побудинковий звіт'!CJ361+'[2]побудинковий звіт'!CJ361-'[3]побудинковий звіт'!CJ361</f>
        <v>3669.0739392924497</v>
      </c>
      <c r="CK361" s="56">
        <f t="shared" si="366"/>
        <v>-561.08675075297288</v>
      </c>
      <c r="CL361" s="42">
        <f>'[1]побудинковий звіт'!CL361+'[2]побудинковий звіт'!CL361-'[3]побудинковий звіт'!CL361</f>
        <v>0</v>
      </c>
      <c r="CM361" s="42">
        <f>'[1]побудинковий звіт'!CM361+'[2]побудинковий звіт'!CM361-'[3]побудинковий звіт'!CM361</f>
        <v>0</v>
      </c>
      <c r="CN361" s="56">
        <f t="shared" si="367"/>
        <v>0</v>
      </c>
      <c r="CO361" s="42">
        <f t="shared" si="347"/>
        <v>4230.1606900454226</v>
      </c>
      <c r="CP361" s="43">
        <f t="shared" si="368"/>
        <v>3669.0739392924497</v>
      </c>
      <c r="CQ361" s="56">
        <f t="shared" si="369"/>
        <v>-561.08675075297288</v>
      </c>
      <c r="CR361" s="78">
        <f t="shared" si="348"/>
        <v>186814.94440515412</v>
      </c>
      <c r="CS361" s="5">
        <f t="shared" si="348"/>
        <v>190434.0409265346</v>
      </c>
      <c r="CT361" s="56">
        <f t="shared" si="370"/>
        <v>3619.0965213804739</v>
      </c>
      <c r="CU361" s="87">
        <f t="shared" si="371"/>
        <v>224177.93328618494</v>
      </c>
      <c r="CV361" s="70">
        <f t="shared" si="372"/>
        <v>228520.8491118415</v>
      </c>
      <c r="CW361" s="37">
        <f t="shared" si="373"/>
        <v>4342.915825656557</v>
      </c>
      <c r="CX361" s="42">
        <f>'[1]побудинковий звіт'!CX361+'[2]побудинковий звіт'!CX361-'[3]побудинковий звіт'!CX361</f>
        <v>5919.5167138150937</v>
      </c>
      <c r="CY361" s="42">
        <f>'[1]побудинковий звіт'!CY361+'[2]побудинковий звіт'!CY361-'[3]побудинковий звіт'!CY361</f>
        <v>1576.6008881585458</v>
      </c>
      <c r="CZ361" s="56">
        <f t="shared" si="374"/>
        <v>-4342.9158256565479</v>
      </c>
      <c r="DA361" s="264">
        <f>'[4]побудинковий звіт'!DA361</f>
        <v>339769.25051250996</v>
      </c>
      <c r="DB361" s="2">
        <v>2</v>
      </c>
      <c r="DC361" s="717">
        <f>'[4]побудинковий звіт'!DC361</f>
        <v>31127.33</v>
      </c>
      <c r="DD361" s="717">
        <f>'[4]побудинковий звіт'!DD361</f>
        <v>3368.83</v>
      </c>
      <c r="DE361" s="717">
        <f>'[4]побудинковий звіт'!DE361</f>
        <v>15533.980000000001</v>
      </c>
      <c r="DF361" s="717">
        <f>'[4]побудинковий звіт'!DF361</f>
        <v>-263.39000000000033</v>
      </c>
      <c r="DG361" s="787">
        <v>-24666.010875037871</v>
      </c>
      <c r="DH361" s="761">
        <f t="shared" si="344"/>
        <v>2761169.4000000004</v>
      </c>
      <c r="DI361" s="784"/>
      <c r="DJ361" s="5"/>
      <c r="DK361" s="317">
        <f>VLOOKUP($A361,ціни!$A$4:$G$401,5)</f>
        <v>4.3163709991757031</v>
      </c>
      <c r="DL361" s="317"/>
      <c r="DM361" s="317">
        <f>VLOOKUP($A361,ціни!$A$4:$G$401,7)</f>
        <v>3.7158463973119575</v>
      </c>
      <c r="DN361" s="30">
        <f t="shared" si="388"/>
        <v>19283.473766237439</v>
      </c>
      <c r="DO361" s="30">
        <f t="shared" si="389"/>
        <v>3564.23986430163</v>
      </c>
      <c r="DP361" s="316">
        <f t="shared" si="390"/>
        <v>22847.71363053907</v>
      </c>
      <c r="DQ361" s="104"/>
      <c r="DR361" s="30">
        <f>VLOOKUP(A361,'ДЗ нас '!$A$1:$C$359,2)</f>
        <v>15595.08</v>
      </c>
      <c r="DS361" s="748">
        <f>VLOOKUP(A361,'ДЗ нежит'!$A$1:$D$153,4,0)</f>
        <v>3632.2200000000003</v>
      </c>
      <c r="DT361" s="30">
        <f t="shared" si="391"/>
        <v>19227.3</v>
      </c>
      <c r="DU361" s="257">
        <f>VLOOKUP(A361,'новий кошторис с 01.06'!$A$4:$AI$399,35)*1.2</f>
        <v>18905.672373801597</v>
      </c>
      <c r="DV361" s="30">
        <f t="shared" si="392"/>
        <v>321.62762619840214</v>
      </c>
      <c r="DW361" s="930">
        <f>'[5]побудинковий звіт'!DW361+'[6]побудинковий звіт'!DW361</f>
        <v>381.6</v>
      </c>
      <c r="DY361" s="5">
        <f t="shared" si="340"/>
        <v>63202.204765957598</v>
      </c>
      <c r="DZ361" s="5">
        <f t="shared" si="341"/>
        <v>52458</v>
      </c>
      <c r="EA361" s="752">
        <f t="shared" si="345"/>
        <v>15270.59</v>
      </c>
      <c r="EC361" s="592">
        <f t="shared" si="342"/>
        <v>519352.89334777405</v>
      </c>
      <c r="EE361" s="758">
        <v>12324</v>
      </c>
      <c r="EF361" s="738">
        <f t="shared" si="343"/>
        <v>-12342.010875037871</v>
      </c>
      <c r="EH361" s="813">
        <v>360540.81979379262</v>
      </c>
    </row>
    <row r="362" spans="1:138" x14ac:dyDescent="0.3">
      <c r="A362" s="328">
        <v>150000880</v>
      </c>
      <c r="B362" s="44" t="s">
        <v>815</v>
      </c>
      <c r="C362" s="45" t="s">
        <v>237</v>
      </c>
      <c r="D362" s="45" t="s">
        <v>237</v>
      </c>
      <c r="E362" s="40">
        <f t="shared" si="384"/>
        <v>3614.42</v>
      </c>
      <c r="F362" s="490">
        <v>2779.82</v>
      </c>
      <c r="G362" s="30"/>
      <c r="H362" s="30">
        <v>834.6</v>
      </c>
      <c r="I362" s="42">
        <f>'[1]побудинковий звіт'!I362+'[2]побудинковий звіт'!I362-'[3]побудинковий звіт'!I362</f>
        <v>8986.890777027782</v>
      </c>
      <c r="J362" s="42">
        <f>'[1]побудинковий звіт'!J362+'[2]побудинковий звіт'!J362-'[3]побудинковий звіт'!J362</f>
        <v>8915.5685857639164</v>
      </c>
      <c r="K362" s="56">
        <f t="shared" si="349"/>
        <v>-71.322191263865534</v>
      </c>
      <c r="L362" s="42">
        <f>'[1]побудинковий звіт'!L362+'[2]побудинковий звіт'!L362-'[3]побудинковий звіт'!L362</f>
        <v>1704.0680617186219</v>
      </c>
      <c r="M362" s="42">
        <f>'[1]побудинковий звіт'!M362+'[2]побудинковий звіт'!M362-'[3]побудинковий звіт'!M362</f>
        <v>1719.3287448413348</v>
      </c>
      <c r="N362" s="56">
        <f t="shared" si="350"/>
        <v>15.260683122712862</v>
      </c>
      <c r="O362" s="42">
        <f>'[1]побудинковий звіт'!O362+'[2]побудинковий звіт'!O362-'[3]побудинковий звіт'!O362</f>
        <v>3948.6000000000008</v>
      </c>
      <c r="P362" s="42">
        <f>'[1]побудинковий звіт'!P362+'[2]побудинковий звіт'!P362-'[3]побудинковий звіт'!P362</f>
        <v>3103.5299602150535</v>
      </c>
      <c r="Q362" s="56">
        <f t="shared" si="351"/>
        <v>-845.07003978494731</v>
      </c>
      <c r="R362" s="42">
        <f>'[1]побудинковий звіт'!R362+'[2]побудинковий звіт'!R362-'[3]побудинковий звіт'!R362</f>
        <v>0</v>
      </c>
      <c r="S362" s="42">
        <f>'[1]побудинковий звіт'!S362+'[2]побудинковий звіт'!S362-'[3]побудинковий звіт'!S362</f>
        <v>0</v>
      </c>
      <c r="T362" s="56">
        <f t="shared" si="352"/>
        <v>0</v>
      </c>
      <c r="U362" s="42">
        <f>'[1]побудинковий звіт'!U362+'[2]побудинковий звіт'!U362-'[3]побудинковий звіт'!U362</f>
        <v>0</v>
      </c>
      <c r="V362" s="42">
        <f>'[1]побудинковий звіт'!V362+'[2]побудинковий звіт'!V362-'[3]побудинковий звіт'!V362</f>
        <v>0</v>
      </c>
      <c r="W362" s="56">
        <f t="shared" si="353"/>
        <v>0</v>
      </c>
      <c r="X362" s="42">
        <f>'[1]побудинковий звіт'!X362+'[2]побудинковий звіт'!X362-'[3]побудинковий звіт'!X362</f>
        <v>7491.5842130864567</v>
      </c>
      <c r="Y362" s="42">
        <f>'[1]побудинковий звіт'!Y362+'[2]побудинковий звіт'!Y362-'[3]побудинковий звіт'!Y362</f>
        <v>5760.4065253021308</v>
      </c>
      <c r="Z362" s="56">
        <f t="shared" si="354"/>
        <v>-1731.1776877843258</v>
      </c>
      <c r="AA362" s="42">
        <f>'[1]побудинковий звіт'!AA362+'[2]побудинковий звіт'!AA362-'[3]побудинковий звіт'!AA362</f>
        <v>0</v>
      </c>
      <c r="AB362" s="42">
        <f>'[1]побудинковий звіт'!AB362+'[2]побудинковий звіт'!AB362-'[3]побудинковий звіт'!AB362</f>
        <v>0</v>
      </c>
      <c r="AC362" s="56">
        <f t="shared" si="355"/>
        <v>0</v>
      </c>
      <c r="AD362" s="42">
        <f>'[1]побудинковий звіт'!AD362+'[2]побудинковий звіт'!AD362-'[3]побудинковий звіт'!AD362</f>
        <v>11657.413300550794</v>
      </c>
      <c r="AE362" s="42">
        <f>'[1]побудинковий звіт'!AE362+'[2]побудинковий звіт'!AE362-'[3]побудинковий звіт'!AE362</f>
        <v>10798.747510758782</v>
      </c>
      <c r="AF362" s="37">
        <f t="shared" si="356"/>
        <v>-858.66578979201222</v>
      </c>
      <c r="AG362" s="87">
        <f t="shared" si="346"/>
        <v>33788.556352383661</v>
      </c>
      <c r="AH362" s="57">
        <f t="shared" si="346"/>
        <v>30297.581326881216</v>
      </c>
      <c r="AI362" s="56">
        <f t="shared" si="357"/>
        <v>-3490.9750255024446</v>
      </c>
      <c r="AJ362" s="42">
        <f>'[1]побудинковий звіт'!AJ362+'[2]побудинковий звіт'!AJ362-'[3]побудинковий звіт'!AJ362</f>
        <v>0</v>
      </c>
      <c r="AK362" s="42">
        <f>'[1]побудинковий звіт'!AK362+'[2]побудинковий звіт'!AK362-'[3]побудинковий звіт'!AK362</f>
        <v>0</v>
      </c>
      <c r="AL362" s="56">
        <f t="shared" si="358"/>
        <v>0</v>
      </c>
      <c r="AM362" s="42">
        <f>'[1]побудинковий звіт'!AM362+'[2]побудинковий звіт'!AM362-'[3]побудинковий звіт'!AM362</f>
        <v>0</v>
      </c>
      <c r="AN362" s="42">
        <f>'[1]побудинковий звіт'!AN362+'[2]побудинковий звіт'!AN362-'[3]побудинковий звіт'!AN362</f>
        <v>0</v>
      </c>
      <c r="AO362" s="56">
        <f t="shared" si="359"/>
        <v>0</v>
      </c>
      <c r="AP362" s="42">
        <f>'[1]побудинковий звіт'!AP362+'[2]побудинковий звіт'!AP362-'[3]побудинковий звіт'!AP362</f>
        <v>4261.5793930214249</v>
      </c>
      <c r="AQ362" s="42">
        <f>'[1]побудинковий звіт'!AQ362+'[2]побудинковий звіт'!AQ362-'[3]побудинковий звіт'!AQ362</f>
        <v>3942.7551342818388</v>
      </c>
      <c r="AR362" s="56">
        <f t="shared" si="360"/>
        <v>-318.82425873958618</v>
      </c>
      <c r="AS362" s="42">
        <f>'[1]побудинковий звіт'!AS362+'[2]побудинковий звіт'!AS362-'[3]побудинковий звіт'!AS362</f>
        <v>30470.677943615276</v>
      </c>
      <c r="AT362" s="42">
        <f>'[1]побудинковий звіт'!AT362+'[2]побудинковий звіт'!AT362-'[3]побудинковий звіт'!AT362</f>
        <v>9429.1972564082589</v>
      </c>
      <c r="AU362" s="58">
        <f t="shared" si="375"/>
        <v>-21041.480687207018</v>
      </c>
      <c r="AV362" s="42">
        <f>'[1]побудинковий звіт'!AV362+'[2]побудинковий звіт'!AV362-'[3]побудинковий звіт'!AV362</f>
        <v>1710.4634120916244</v>
      </c>
      <c r="AW362" s="42">
        <f>'[1]побудинковий звіт'!AW362+'[2]побудинковий звіт'!AW362-'[3]побудинковий звіт'!AW362</f>
        <v>818</v>
      </c>
      <c r="AX362" s="59">
        <f t="shared" si="376"/>
        <v>-892.46341209162438</v>
      </c>
      <c r="AY362" s="42">
        <f>'[1]побудинковий звіт'!AY362+'[2]побудинковий звіт'!AY362-'[3]побудинковий звіт'!AY362</f>
        <v>2196.4265497206843</v>
      </c>
      <c r="AZ362" s="42">
        <f>'[1]побудинковий звіт'!AZ362+'[2]побудинковий звіт'!AZ362-'[3]побудинковий звіт'!AZ362</f>
        <v>2836</v>
      </c>
      <c r="BA362" s="37">
        <f t="shared" si="377"/>
        <v>639.57345027931569</v>
      </c>
      <c r="BB362" s="42">
        <f>'[1]побудинковий звіт'!BB362+'[2]побудинковий звіт'!BB362-'[3]побудинковий звіт'!BB362</f>
        <v>1769.2270019340945</v>
      </c>
      <c r="BC362" s="42">
        <f>'[1]побудинковий звіт'!BC362+'[2]побудинковий звіт'!BC362-'[3]побудинковий звіт'!BC362</f>
        <v>0</v>
      </c>
      <c r="BD362" s="59">
        <f t="shared" si="378"/>
        <v>-1769.2270019340945</v>
      </c>
      <c r="BE362" s="42">
        <f>'[1]побудинковий звіт'!BE362+'[2]побудинковий звіт'!BE362-'[3]побудинковий звіт'!BE362</f>
        <v>0</v>
      </c>
      <c r="BF362" s="42">
        <f>'[1]побудинковий звіт'!BF362+'[2]побудинковий звіт'!BF362-'[3]побудинковий звіт'!BF362</f>
        <v>0</v>
      </c>
      <c r="BG362" s="39">
        <f t="shared" si="379"/>
        <v>0</v>
      </c>
      <c r="BH362" s="42">
        <f>'[1]побудинковий звіт'!BH362+'[2]побудинковий звіт'!BH362-'[3]побудинковий звіт'!BH362</f>
        <v>0</v>
      </c>
      <c r="BI362" s="42">
        <f>'[1]побудинковий звіт'!BI362+'[2]побудинковий звіт'!BI362-'[3]побудинковий звіт'!BI362</f>
        <v>0</v>
      </c>
      <c r="BJ362" s="59">
        <f t="shared" si="380"/>
        <v>0</v>
      </c>
      <c r="BK362" s="42">
        <f>'[1]побудинковий звіт'!BK362+'[2]побудинковий звіт'!BK362-'[3]побудинковий звіт'!BK362</f>
        <v>1019.5485993260556</v>
      </c>
      <c r="BL362" s="42">
        <f>'[1]побудинковий звіт'!BL362+'[2]побудинковий звіт'!BL362-'[3]побудинковий звіт'!BL362</f>
        <v>0</v>
      </c>
      <c r="BM362" s="39">
        <f t="shared" si="381"/>
        <v>-1019.5485993260556</v>
      </c>
      <c r="BN362" s="42">
        <f>'[1]побудинковий звіт'!BN362+'[2]побудинковий звіт'!BN362-'[3]побудинковий звіт'!BN362</f>
        <v>0</v>
      </c>
      <c r="BO362" s="42">
        <f>'[1]побудинковий звіт'!BO362+'[2]побудинковий звіт'!BO362-'[3]побудинковий звіт'!BO362</f>
        <v>0</v>
      </c>
      <c r="BP362" s="59">
        <f t="shared" si="382"/>
        <v>0</v>
      </c>
      <c r="BQ362" s="87">
        <f t="shared" si="338"/>
        <v>6695.6655630724581</v>
      </c>
      <c r="BR362" s="43">
        <f t="shared" si="385"/>
        <v>3654</v>
      </c>
      <c r="BS362" s="59">
        <f t="shared" si="383"/>
        <v>-3041.6655630724581</v>
      </c>
      <c r="BT362" s="42">
        <f>'[1]побудинковий звіт'!BT362+'[2]побудинковий звіт'!BT362-'[3]побудинковий звіт'!BT362</f>
        <v>24075.735583134494</v>
      </c>
      <c r="BU362" s="42">
        <f>'[1]побудинковий звіт'!BU362+'[2]побудинковий звіт'!BU362-'[3]побудинковий звіт'!BU362</f>
        <v>38720.594288212284</v>
      </c>
      <c r="BV362" s="56">
        <f t="shared" si="361"/>
        <v>14644.85870507779</v>
      </c>
      <c r="BW362" s="42">
        <f>'[1]побудинковий звіт'!BW362+'[2]побудинковий звіт'!BW362-'[3]побудинковий звіт'!BW362</f>
        <v>18679.014971488581</v>
      </c>
      <c r="BX362" s="42">
        <f>'[1]побудинковий звіт'!BX362+'[2]побудинковий звіт'!BX362-'[3]побудинковий звіт'!BX362</f>
        <v>20857.912101626374</v>
      </c>
      <c r="BY362" s="56">
        <f t="shared" si="362"/>
        <v>2178.8971301377933</v>
      </c>
      <c r="BZ362" s="42">
        <f>'[1]побудинковий звіт'!BZ362+'[2]побудинковий звіт'!BZ362-'[3]побудинковий звіт'!BZ362</f>
        <v>13502.000661220218</v>
      </c>
      <c r="CA362" s="42">
        <f>'[1]побудинковий звіт'!CA362+'[2]побудинковий звіт'!CA362-'[3]побудинковий звіт'!CA362</f>
        <v>8660.0986337426802</v>
      </c>
      <c r="CB362" s="56">
        <f t="shared" si="363"/>
        <v>-4841.9020274775376</v>
      </c>
      <c r="CC362" s="42">
        <f>'[1]побудинковий звіт'!CC362+'[2]побудинковий звіт'!CC362-'[3]побудинковий звіт'!CC362</f>
        <v>955.93075012088423</v>
      </c>
      <c r="CD362" s="42">
        <f>'[1]побудинковий звіт'!CD362+'[2]побудинковий звіт'!CD362-'[3]побудинковий звіт'!CD362</f>
        <v>947.52306891236447</v>
      </c>
      <c r="CE362" s="56">
        <f t="shared" si="364"/>
        <v>-8.4076812085197616</v>
      </c>
      <c r="CF362" s="42">
        <f>'[1]побудинковий звіт'!CF362+'[2]побудинковий звіт'!CF362-'[3]побудинковий звіт'!CF362</f>
        <v>117.68086885957852</v>
      </c>
      <c r="CG362" s="42">
        <f>'[1]побудинковий звіт'!CG362+'[2]побудинковий звіт'!CG362-'[3]побудинковий звіт'!CG362</f>
        <v>0</v>
      </c>
      <c r="CH362" s="56">
        <f t="shared" si="365"/>
        <v>-117.68086885957852</v>
      </c>
      <c r="CI362" s="42">
        <f>'[1]побудинковий звіт'!CI362+'[2]побудинковий звіт'!CI362-'[3]побудинковий звіт'!CI362</f>
        <v>6738.3090637891701</v>
      </c>
      <c r="CJ362" s="42">
        <f>'[1]побудинковий звіт'!CJ362+'[2]побудинковий звіт'!CJ362-'[3]побудинковий звіт'!CJ362</f>
        <v>4286.9242108363514</v>
      </c>
      <c r="CK362" s="56">
        <f t="shared" si="366"/>
        <v>-2451.3848529528186</v>
      </c>
      <c r="CL362" s="42">
        <f>'[1]побудинковий звіт'!CL362+'[2]побудинковий звіт'!CL362-'[3]побудинковий звіт'!CL362</f>
        <v>0</v>
      </c>
      <c r="CM362" s="42">
        <f>'[1]побудинковий звіт'!CM362+'[2]побудинковий звіт'!CM362-'[3]побудинковий звіт'!CM362</f>
        <v>0</v>
      </c>
      <c r="CN362" s="56">
        <f t="shared" si="367"/>
        <v>0</v>
      </c>
      <c r="CO362" s="42">
        <f t="shared" si="347"/>
        <v>6738.3090637891701</v>
      </c>
      <c r="CP362" s="43">
        <f t="shared" si="368"/>
        <v>4286.9242108363514</v>
      </c>
      <c r="CQ362" s="56">
        <f t="shared" si="369"/>
        <v>-2451.3848529528186</v>
      </c>
      <c r="CR362" s="78">
        <f t="shared" si="348"/>
        <v>139285.15115070576</v>
      </c>
      <c r="CS362" s="5">
        <f t="shared" si="348"/>
        <v>120796.58602090138</v>
      </c>
      <c r="CT362" s="56">
        <f t="shared" si="370"/>
        <v>-18488.565129804381</v>
      </c>
      <c r="CU362" s="87">
        <f t="shared" si="371"/>
        <v>167142.18138084692</v>
      </c>
      <c r="CV362" s="70">
        <f t="shared" si="372"/>
        <v>144955.90322508165</v>
      </c>
      <c r="CW362" s="37">
        <f t="shared" si="373"/>
        <v>-22186.278155765263</v>
      </c>
      <c r="CX362" s="42">
        <f>'[1]побудинковий звіт'!CX362+'[2]побудинковий звіт'!CX362-'[3]побудинковий звіт'!CX362</f>
        <v>-2771.2813808468763</v>
      </c>
      <c r="CY362" s="42">
        <f>'[1]побудинковий звіт'!CY362+'[2]побудинковий звіт'!CY362-'[3]побудинковий звіт'!CY362</f>
        <v>19414.996774918356</v>
      </c>
      <c r="CZ362" s="56">
        <f t="shared" si="374"/>
        <v>22186.278155765234</v>
      </c>
      <c r="DA362" s="264">
        <f>'[4]побудинковий звіт'!DA362</f>
        <v>-96237.440379695967</v>
      </c>
      <c r="DB362" s="2">
        <v>2</v>
      </c>
      <c r="DC362" s="717">
        <f>'[4]побудинковий звіт'!DC362</f>
        <v>14045.18</v>
      </c>
      <c r="DD362" s="717">
        <f>'[4]побудинковий звіт'!DD362</f>
        <v>22917.480000000003</v>
      </c>
      <c r="DE362" s="717">
        <f>'[4]побудинковий звіт'!DE362</f>
        <v>3655.1399999999994</v>
      </c>
      <c r="DF362" s="717">
        <f>'[4]побудинковий звіт'!DF362</f>
        <v>19143.990000000002</v>
      </c>
      <c r="DG362" s="787">
        <v>-87813.469464516966</v>
      </c>
      <c r="DH362" s="761">
        <f t="shared" si="344"/>
        <v>1972450.8000000007</v>
      </c>
      <c r="DI362" s="784"/>
      <c r="DJ362" s="5"/>
      <c r="DK362" s="317">
        <f>VLOOKUP($A362,ціни!$A$4:$G$401,5)</f>
        <v>5.4922818295720166</v>
      </c>
      <c r="DL362" s="317"/>
      <c r="DM362" s="317">
        <f>VLOOKUP($A362,ціни!$A$4:$G$401,7)</f>
        <v>4.4900775110277635</v>
      </c>
      <c r="DN362" s="30">
        <f t="shared" si="388"/>
        <v>15267.554875480884</v>
      </c>
      <c r="DO362" s="30">
        <f t="shared" si="389"/>
        <v>3747.4186907037715</v>
      </c>
      <c r="DP362" s="316">
        <f t="shared" si="390"/>
        <v>19014.973566184657</v>
      </c>
      <c r="DQ362" s="104"/>
      <c r="DR362" s="30">
        <f>VLOOKUP(A362,'ДЗ нас '!$A$1:$C$359,2)</f>
        <v>10390.040000000001</v>
      </c>
      <c r="DS362" s="748">
        <f>VLOOKUP(A362,'ДЗ нежит'!$A$1:$D$153,4,0)</f>
        <v>3773.4900000000002</v>
      </c>
      <c r="DT362" s="30">
        <f t="shared" si="391"/>
        <v>14163.53</v>
      </c>
      <c r="DU362" s="257">
        <f>VLOOKUP(A362,'новий кошторис с 01.06'!$A$4:$AI$399,35)*1.2</f>
        <v>14179.228387141842</v>
      </c>
      <c r="DV362" s="30">
        <f t="shared" si="392"/>
        <v>-15.698387141841522</v>
      </c>
      <c r="DW362" s="930">
        <f>'[5]побудинковий звіт'!DW362+'[6]побудинковий звіт'!DW362</f>
        <v>236</v>
      </c>
      <c r="DY362" s="5">
        <f t="shared" si="340"/>
        <v>44599.612208025283</v>
      </c>
      <c r="DZ362" s="5">
        <f t="shared" si="341"/>
        <v>15699.83670768991</v>
      </c>
      <c r="EA362" s="752">
        <f t="shared" si="345"/>
        <v>22799.13</v>
      </c>
      <c r="EC362" s="592">
        <f t="shared" si="342"/>
        <v>365648.13532338332</v>
      </c>
      <c r="EE362" s="758">
        <v>83912</v>
      </c>
      <c r="EF362" s="738">
        <f t="shared" si="343"/>
        <v>-3901.4694645169657</v>
      </c>
      <c r="EH362" s="813">
        <v>-83532.763863410262</v>
      </c>
    </row>
    <row r="363" spans="1:138" x14ac:dyDescent="0.3">
      <c r="A363" s="328">
        <v>150000881</v>
      </c>
      <c r="B363" s="44" t="s">
        <v>816</v>
      </c>
      <c r="C363" s="45" t="s">
        <v>411</v>
      </c>
      <c r="D363" s="45" t="s">
        <v>411</v>
      </c>
      <c r="E363" s="40">
        <f t="shared" si="384"/>
        <v>3091.2000000000003</v>
      </c>
      <c r="F363" s="490">
        <v>2762.3</v>
      </c>
      <c r="G363" s="30">
        <v>0</v>
      </c>
      <c r="H363" s="30">
        <v>328.9</v>
      </c>
      <c r="I363" s="42">
        <f>'[1]побудинковий звіт'!I363+'[2]побудинковий звіт'!I363-'[3]побудинковий звіт'!I363</f>
        <v>6848.5487103924706</v>
      </c>
      <c r="J363" s="42">
        <f>'[1]побудинковий звіт'!J363+'[2]побудинковий звіт'!J363-'[3]побудинковий звіт'!J363</f>
        <v>6877.0224619144838</v>
      </c>
      <c r="K363" s="56">
        <f t="shared" si="349"/>
        <v>28.473751522013117</v>
      </c>
      <c r="L363" s="42">
        <f>'[1]побудинковий звіт'!L363+'[2]побудинковий звіт'!L363-'[3]побудинковий звіт'!L363</f>
        <v>995.69530879839385</v>
      </c>
      <c r="M363" s="42">
        <f>'[1]побудинковий звіт'!M363+'[2]побудинковий звіт'!M363-'[3]побудинковий звіт'!M363</f>
        <v>1004.608651917189</v>
      </c>
      <c r="N363" s="56">
        <f t="shared" si="350"/>
        <v>8.9133431187951828</v>
      </c>
      <c r="O363" s="42">
        <f>'[1]побудинковий звіт'!O363+'[2]побудинковий звіт'!O363-'[3]побудинковий звіт'!O363</f>
        <v>3314.6400000000012</v>
      </c>
      <c r="P363" s="42">
        <f>'[1]побудинковий звіт'!P363+'[2]побудинковий звіт'!P363-'[3]побудинковий звіт'!P363</f>
        <v>2605.4379645161289</v>
      </c>
      <c r="Q363" s="56">
        <f t="shared" si="351"/>
        <v>-709.20203548387235</v>
      </c>
      <c r="R363" s="42">
        <f>'[1]побудинковий звіт'!R363+'[2]побудинковий звіт'!R363-'[3]побудинковий звіт'!R363</f>
        <v>768.4799999999999</v>
      </c>
      <c r="S363" s="42">
        <f>'[1]побудинковий звіт'!S363+'[2]побудинковий звіт'!S363-'[3]побудинковий звіт'!S363</f>
        <v>603.88539623655913</v>
      </c>
      <c r="T363" s="56">
        <f t="shared" si="352"/>
        <v>-164.59460376344077</v>
      </c>
      <c r="U363" s="42">
        <f>'[1]побудинковий звіт'!U363+'[2]побудинковий звіт'!U363-'[3]побудинковий звіт'!U363</f>
        <v>390.17454427986797</v>
      </c>
      <c r="V363" s="42">
        <f>'[1]побудинковий звіт'!V363+'[2]побудинковий звіт'!V363-'[3]побудинковий звіт'!V363</f>
        <v>1040.8835722149281</v>
      </c>
      <c r="W363" s="56">
        <f t="shared" si="353"/>
        <v>650.70902793506013</v>
      </c>
      <c r="X363" s="42">
        <f>'[1]побудинковий звіт'!X363+'[2]побудинковий звіт'!X363-'[3]побудинковий звіт'!X363</f>
        <v>4043.8909126957878</v>
      </c>
      <c r="Y363" s="42">
        <f>'[1]побудинковий звіт'!Y363+'[2]побудинковий звіт'!Y363-'[3]побудинковий звіт'!Y363</f>
        <v>3539.800775234653</v>
      </c>
      <c r="Z363" s="56">
        <f t="shared" si="354"/>
        <v>-504.09013746113487</v>
      </c>
      <c r="AA363" s="42">
        <f>'[1]побудинковий звіт'!AA363+'[2]побудинковий звіт'!AA363-'[3]побудинковий звіт'!AA363</f>
        <v>0</v>
      </c>
      <c r="AB363" s="42">
        <f>'[1]побудинковий звіт'!AB363+'[2]побудинковий звіт'!AB363-'[3]побудинковий звіт'!AB363</f>
        <v>0</v>
      </c>
      <c r="AC363" s="56">
        <f t="shared" si="355"/>
        <v>0</v>
      </c>
      <c r="AD363" s="42">
        <f>'[1]побудинковий звіт'!AD363+'[2]побудинковий звіт'!AD363-'[3]побудинковий звіт'!AD363</f>
        <v>10285.085169968963</v>
      </c>
      <c r="AE363" s="42">
        <f>'[1]побудинковий звіт'!AE363+'[2]побудинковий звіт'!AE363-'[3]побудинковий звіт'!AE363</f>
        <v>9479.694492197099</v>
      </c>
      <c r="AF363" s="37">
        <f t="shared" si="356"/>
        <v>-805.39067777186392</v>
      </c>
      <c r="AG363" s="87">
        <f t="shared" si="346"/>
        <v>26646.514646135482</v>
      </c>
      <c r="AH363" s="57">
        <f t="shared" si="346"/>
        <v>25151.333314231044</v>
      </c>
      <c r="AI363" s="56">
        <f t="shared" si="357"/>
        <v>-1495.1813319044377</v>
      </c>
      <c r="AJ363" s="42">
        <f>'[1]побудинковий звіт'!AJ363+'[2]побудинковий звіт'!AJ363-'[3]побудинковий звіт'!AJ363</f>
        <v>19594.976018177218</v>
      </c>
      <c r="AK363" s="42">
        <f>'[1]побудинковий звіт'!AK363+'[2]побудинковий звіт'!AK363-'[3]побудинковий звіт'!AK363</f>
        <v>19422.577180779172</v>
      </c>
      <c r="AL363" s="56">
        <f t="shared" si="358"/>
        <v>-172.39883739804645</v>
      </c>
      <c r="AM363" s="42">
        <f>'[1]побудинковий звіт'!AM363+'[2]побудинковий звіт'!AM363-'[3]побудинковий звіт'!AM363</f>
        <v>0</v>
      </c>
      <c r="AN363" s="42">
        <f>'[1]побудинковий звіт'!AN363+'[2]побудинковий звіт'!AN363-'[3]побудинковий звіт'!AN363</f>
        <v>0</v>
      </c>
      <c r="AO363" s="56">
        <f t="shared" si="359"/>
        <v>0</v>
      </c>
      <c r="AP363" s="42">
        <f>'[1]побудинковий звіт'!AP363+'[2]побудинковий звіт'!AP363-'[3]побудинковий звіт'!AP363</f>
        <v>2272.8423429447594</v>
      </c>
      <c r="AQ363" s="42">
        <f>'[1]побудинковий звіт'!AQ363+'[2]побудинковий звіт'!AQ363-'[3]побудинковий звіт'!AQ363</f>
        <v>2028.406296422153</v>
      </c>
      <c r="AR363" s="56">
        <f t="shared" si="360"/>
        <v>-244.43604652260638</v>
      </c>
      <c r="AS363" s="42">
        <f>'[1]побудинковий звіт'!AS363+'[2]побудинковий звіт'!AS363-'[3]побудинковий звіт'!AS363</f>
        <v>31656.586802638321</v>
      </c>
      <c r="AT363" s="42">
        <f>'[1]побудинковий звіт'!AT363+'[2]побудинковий звіт'!AT363-'[3]побудинковий звіт'!AT363</f>
        <v>6209</v>
      </c>
      <c r="AU363" s="58">
        <f t="shared" si="375"/>
        <v>-25447.586802638321</v>
      </c>
      <c r="AV363" s="42">
        <f>'[1]побудинковий звіт'!AV363+'[2]побудинковий звіт'!AV363-'[3]побудинковий звіт'!AV363</f>
        <v>216.43588841651098</v>
      </c>
      <c r="AW363" s="42">
        <f>'[1]побудинковий звіт'!AW363+'[2]побудинковий звіт'!AW363-'[3]побудинковий звіт'!AW363</f>
        <v>775</v>
      </c>
      <c r="AX363" s="59">
        <f t="shared" si="376"/>
        <v>558.56411158348897</v>
      </c>
      <c r="AY363" s="42">
        <f>'[1]побудинковий звіт'!AY363+'[2]побудинковий звіт'!AY363-'[3]побудинковий звіт'!AY363</f>
        <v>265.8576572715985</v>
      </c>
      <c r="AZ363" s="42">
        <f>'[1]побудинковий звіт'!AZ363+'[2]побудинковий звіт'!AZ363-'[3]побудинковий звіт'!AZ363</f>
        <v>0</v>
      </c>
      <c r="BA363" s="37">
        <f t="shared" si="377"/>
        <v>-265.8576572715985</v>
      </c>
      <c r="BB363" s="42">
        <f>'[1]побудинковий звіт'!BB363+'[2]побудинковий звіт'!BB363-'[3]побудинковий звіт'!BB363</f>
        <v>338.18783662012248</v>
      </c>
      <c r="BC363" s="42">
        <f>'[1]побудинковий звіт'!BC363+'[2]побудинковий звіт'!BC363-'[3]побудинковий звіт'!BC363</f>
        <v>0</v>
      </c>
      <c r="BD363" s="59">
        <f t="shared" si="378"/>
        <v>-338.18783662012248</v>
      </c>
      <c r="BE363" s="42">
        <f>'[1]побудинковий звіт'!BE363+'[2]побудинковий звіт'!BE363-'[3]побудинковий звіт'!BE363</f>
        <v>172.88532945079211</v>
      </c>
      <c r="BF363" s="42">
        <f>'[1]побудинковий звіт'!BF363+'[2]побудинковий звіт'!BF363-'[3]побудинковий звіт'!BF363</f>
        <v>0</v>
      </c>
      <c r="BG363" s="39">
        <f t="shared" si="379"/>
        <v>-172.88532945079211</v>
      </c>
      <c r="BH363" s="42">
        <f>'[1]побудинковий звіт'!BH363+'[2]побудинковий звіт'!BH363-'[3]побудинковий звіт'!BH363</f>
        <v>79.153482378459373</v>
      </c>
      <c r="BI363" s="42">
        <f>'[1]побудинковий звіт'!BI363+'[2]побудинковий звіт'!BI363-'[3]побудинковий звіт'!BI363</f>
        <v>0</v>
      </c>
      <c r="BJ363" s="59">
        <f t="shared" si="380"/>
        <v>-79.153482378459373</v>
      </c>
      <c r="BK363" s="42">
        <f>'[1]побудинковий звіт'!BK363+'[2]побудинковий звіт'!BK363-'[3]побудинковий звіт'!BK363</f>
        <v>156.2181185327093</v>
      </c>
      <c r="BL363" s="42">
        <f>'[1]побудинковий звіт'!BL363+'[2]побудинковий звіт'!BL363-'[3]побудинковий звіт'!BL363</f>
        <v>2745</v>
      </c>
      <c r="BM363" s="39">
        <f t="shared" si="381"/>
        <v>2588.7818814672905</v>
      </c>
      <c r="BN363" s="42">
        <f>'[1]побудинковий звіт'!BN363+'[2]побудинковий звіт'!BN363-'[3]побудинковий звіт'!BN363</f>
        <v>0</v>
      </c>
      <c r="BO363" s="42">
        <f>'[1]побудинковий звіт'!BO363+'[2]побудинковий звіт'!BO363-'[3]побудинковий звіт'!BO363</f>
        <v>0</v>
      </c>
      <c r="BP363" s="59">
        <f t="shared" si="382"/>
        <v>0</v>
      </c>
      <c r="BQ363" s="87">
        <f t="shared" si="338"/>
        <v>1228.7383126701927</v>
      </c>
      <c r="BR363" s="43">
        <f t="shared" si="385"/>
        <v>3520</v>
      </c>
      <c r="BS363" s="59">
        <f t="shared" si="383"/>
        <v>2291.2616873298075</v>
      </c>
      <c r="BT363" s="42">
        <f>'[1]побудинковий звіт'!BT363+'[2]побудинковий звіт'!BT363-'[3]побудинковий звіт'!BT363</f>
        <v>38634.50698905973</v>
      </c>
      <c r="BU363" s="42">
        <f>'[1]побудинковий звіт'!BU363+'[2]побудинковий звіт'!BU363-'[3]побудинковий звіт'!BU363</f>
        <v>42479.529548878636</v>
      </c>
      <c r="BV363" s="56">
        <f t="shared" si="361"/>
        <v>3845.0225598189063</v>
      </c>
      <c r="BW363" s="42">
        <f>'[1]побудинковий звіт'!BW363+'[2]побудинковий звіт'!BW363-'[3]побудинковий звіт'!BW363</f>
        <v>23684.560494760521</v>
      </c>
      <c r="BX363" s="42">
        <f>'[1]побудинковий звіт'!BX363+'[2]побудинковий звіт'!BX363-'[3]побудинковий звіт'!BX363</f>
        <v>26401.482433196335</v>
      </c>
      <c r="BY363" s="56">
        <f t="shared" si="362"/>
        <v>2716.9219384358148</v>
      </c>
      <c r="BZ363" s="42">
        <f>'[1]побудинковий звіт'!BZ363+'[2]побудинковий звіт'!BZ363-'[3]побудинковий звіт'!BZ363</f>
        <v>9737.9283916133136</v>
      </c>
      <c r="CA363" s="42">
        <f>'[1]побудинковий звіт'!CA363+'[2]побудинковий звіт'!CA363-'[3]побудинковий звіт'!CA363</f>
        <v>10637.516630228101</v>
      </c>
      <c r="CB363" s="56">
        <f t="shared" si="363"/>
        <v>899.58823861478777</v>
      </c>
      <c r="CC363" s="42">
        <f>'[1]побудинковий звіт'!CC363+'[2]побудинковий звіт'!CC363-'[3]побудинковий звіт'!CC363</f>
        <v>0</v>
      </c>
      <c r="CD363" s="42">
        <f>'[1]побудинковий звіт'!CD363+'[2]побудинковий звіт'!CD363-'[3]побудинковий звіт'!CD363</f>
        <v>0</v>
      </c>
      <c r="CE363" s="56">
        <f t="shared" si="364"/>
        <v>0</v>
      </c>
      <c r="CF363" s="42">
        <f>'[1]побудинковий звіт'!CF363+'[2]побудинковий звіт'!CF363-'[3]побудинковий звіт'!CF363</f>
        <v>0</v>
      </c>
      <c r="CG363" s="42">
        <f>'[1]побудинковий звіт'!CG363+'[2]побудинковий звіт'!CG363-'[3]побудинковий звіт'!CG363</f>
        <v>0</v>
      </c>
      <c r="CH363" s="56">
        <f t="shared" si="365"/>
        <v>0</v>
      </c>
      <c r="CI363" s="42">
        <f>'[1]побудинковий звіт'!CI363+'[2]побудинковий звіт'!CI363-'[3]побудинковий звіт'!CI363</f>
        <v>3968.1153375647314</v>
      </c>
      <c r="CJ363" s="42">
        <f>'[1]побудинковий звіт'!CJ363+'[2]побудинковий звіт'!CJ363-'[3]побудинковий звіт'!CJ363</f>
        <v>2404.9563414283707</v>
      </c>
      <c r="CK363" s="56">
        <f t="shared" si="366"/>
        <v>-1563.1589961363607</v>
      </c>
      <c r="CL363" s="42">
        <f>'[1]побудинковий звіт'!CL363+'[2]побудинковий звіт'!CL363-'[3]побудинковий звіт'!CL363</f>
        <v>7505.7275960540474</v>
      </c>
      <c r="CM363" s="42">
        <f>'[1]побудинковий звіт'!CM363+'[2]побудинковий звіт'!CM363-'[3]побудинковий звіт'!CM363</f>
        <v>6345.1908499924702</v>
      </c>
      <c r="CN363" s="56">
        <f t="shared" si="367"/>
        <v>-1160.5367460615771</v>
      </c>
      <c r="CO363" s="42">
        <f t="shared" si="347"/>
        <v>11473.842933618778</v>
      </c>
      <c r="CP363" s="43">
        <f t="shared" si="368"/>
        <v>8750.1471914208414</v>
      </c>
      <c r="CQ363" s="56">
        <f t="shared" si="369"/>
        <v>-2723.6957421979369</v>
      </c>
      <c r="CR363" s="78">
        <f t="shared" si="348"/>
        <v>164930.49693161834</v>
      </c>
      <c r="CS363" s="5">
        <f t="shared" si="348"/>
        <v>144599.99259515628</v>
      </c>
      <c r="CT363" s="56">
        <f t="shared" si="370"/>
        <v>-20330.504336462065</v>
      </c>
      <c r="CU363" s="87">
        <f t="shared" si="371"/>
        <v>197916.59631794199</v>
      </c>
      <c r="CV363" s="70">
        <f t="shared" si="372"/>
        <v>173519.99111418752</v>
      </c>
      <c r="CW363" s="37">
        <f t="shared" si="373"/>
        <v>-24396.605203754472</v>
      </c>
      <c r="CX363" s="42">
        <f>'[1]побудинковий звіт'!CX363+'[2]побудинковий звіт'!CX363-'[3]побудинковий звіт'!CX363</f>
        <v>4949.1636820580461</v>
      </c>
      <c r="CY363" s="42">
        <f>'[1]побудинковий звіт'!CY363+'[2]побудинковий звіт'!CY363-'[3]побудинковий звіт'!CY363</f>
        <v>29345.768885812453</v>
      </c>
      <c r="CZ363" s="56">
        <f t="shared" si="374"/>
        <v>24396.605203754407</v>
      </c>
      <c r="DA363" s="264">
        <f>'[4]побудинковий звіт'!DA363</f>
        <v>-55446.209881416609</v>
      </c>
      <c r="DB363" s="2">
        <v>2</v>
      </c>
      <c r="DC363" s="717">
        <f>'[4]побудинковий звіт'!DC363</f>
        <v>21713.49</v>
      </c>
      <c r="DD363" s="717">
        <f>'[4]побудинковий звіт'!DD363</f>
        <v>8099.5199999999995</v>
      </c>
      <c r="DE363" s="717">
        <f>'[4]побудинковий звіт'!DE363</f>
        <v>6407.7900000000009</v>
      </c>
      <c r="DF363" s="717">
        <f>'[4]побудинковий звіт'!DF363</f>
        <v>6499.74</v>
      </c>
      <c r="DG363" s="787">
        <v>-68374.375359572761</v>
      </c>
      <c r="DH363" s="761">
        <f t="shared" si="344"/>
        <v>2434389.1200000006</v>
      </c>
      <c r="DI363" s="784"/>
      <c r="DJ363" s="5"/>
      <c r="DK363" s="317">
        <f>VLOOKUP($A363,ціни!$A$4:$G$401,5)</f>
        <v>6.0331237061610556</v>
      </c>
      <c r="DL363" s="317">
        <f>VLOOKUP($A363,ціни!$A$4:$G$401,6)</f>
        <v>7.3708661190956599</v>
      </c>
      <c r="DM363" s="317">
        <f>VLOOKUP($A363,ціни!$A$4:$G$401,7)</f>
        <v>4.8640086323768257</v>
      </c>
      <c r="DN363" s="30">
        <f>DK363*G363+(F363-G363)*DL363</f>
        <v>20360.543480777942</v>
      </c>
      <c r="DO363" s="30">
        <f>DM363*H363</f>
        <v>1599.772439188738</v>
      </c>
      <c r="DP363" s="316">
        <f t="shared" si="390"/>
        <v>21960.315919966681</v>
      </c>
      <c r="DQ363" s="104"/>
      <c r="DR363" s="30">
        <f>VLOOKUP(A363,'ДЗ нас '!$A$1:$C$359,2)</f>
        <v>15305.7</v>
      </c>
      <c r="DS363" s="748">
        <f>VLOOKUP(A363,'ДЗ нежит'!$A$1:$D$153,4,0)</f>
        <v>1599.78</v>
      </c>
      <c r="DT363" s="30">
        <f t="shared" si="391"/>
        <v>16905.48</v>
      </c>
      <c r="DU363" s="257">
        <f>VLOOKUP(A363,'новий кошторис с 01.06'!$A$4:$AI$399,35)*1.2</f>
        <v>16987.841183956687</v>
      </c>
      <c r="DV363" s="30">
        <f t="shared" si="392"/>
        <v>-82.361183956687455</v>
      </c>
      <c r="DW363" s="930">
        <f>'[5]побудинковий звіт'!DW363+'[6]побудинковий звіт'!DW363</f>
        <v>236</v>
      </c>
      <c r="DY363" s="5">
        <f t="shared" si="340"/>
        <v>39462.390138370218</v>
      </c>
      <c r="DZ363" s="5">
        <f t="shared" si="341"/>
        <v>11674.8</v>
      </c>
      <c r="EA363" s="752">
        <f t="shared" si="345"/>
        <v>12907.53</v>
      </c>
      <c r="EC363" s="592">
        <f t="shared" si="342"/>
        <v>379879.04163165984</v>
      </c>
      <c r="EE363" s="758">
        <v>165951</v>
      </c>
      <c r="EF363" s="738">
        <f t="shared" si="343"/>
        <v>97576.624640427239</v>
      </c>
      <c r="EH363" s="813">
        <v>-28136.490887376975</v>
      </c>
    </row>
    <row r="364" spans="1:138" x14ac:dyDescent="0.3">
      <c r="A364" s="328">
        <v>150000882</v>
      </c>
      <c r="B364" s="44" t="s">
        <v>817</v>
      </c>
      <c r="C364" s="45" t="s">
        <v>330</v>
      </c>
      <c r="D364" s="45" t="s">
        <v>330</v>
      </c>
      <c r="E364" s="40">
        <f t="shared" si="384"/>
        <v>3432.7000000000003</v>
      </c>
      <c r="F364" s="490">
        <v>2743.4</v>
      </c>
      <c r="G364" s="30"/>
      <c r="H364" s="30">
        <v>689.30000000000007</v>
      </c>
      <c r="I364" s="42">
        <f>'[1]побудинковий звіт'!I364+'[2]побудинковий звіт'!I364-'[3]побудинковий звіт'!I364</f>
        <v>8678.3128882212313</v>
      </c>
      <c r="J364" s="42">
        <f>'[1]побудинковий звіт'!J364+'[2]побудинковий звіт'!J364-'[3]побудинковий звіт'!J364</f>
        <v>8694.9150642270779</v>
      </c>
      <c r="K364" s="56">
        <f t="shared" si="349"/>
        <v>16.602176005846559</v>
      </c>
      <c r="L364" s="42">
        <f>'[1]побудинковий звіт'!L364+'[2]побудинковий звіт'!L364-'[3]побудинковий звіт'!L364</f>
        <v>1746.6758435245777</v>
      </c>
      <c r="M364" s="42">
        <f>'[1]побудинковий звіт'!M364+'[2]побудинковий звіт'!M364-'[3]побудинковий звіт'!M364</f>
        <v>1762.3194271224861</v>
      </c>
      <c r="N364" s="56">
        <f t="shared" si="350"/>
        <v>15.643583597908446</v>
      </c>
      <c r="O364" s="42">
        <f>'[1]побудинковий звіт'!O364+'[2]побудинковий звіт'!O364-'[3]побудинковий звіт'!O364</f>
        <v>4330.3200000000006</v>
      </c>
      <c r="P364" s="42">
        <f>'[1]побудинковий звіт'!P364+'[2]побудинковий звіт'!P364-'[3]побудинковий звіт'!P364</f>
        <v>3403.5292456451616</v>
      </c>
      <c r="Q364" s="56">
        <f t="shared" si="351"/>
        <v>-926.79075435483901</v>
      </c>
      <c r="R364" s="42">
        <f>'[1]побудинковий звіт'!R364+'[2]побудинковий звіт'!R364-'[3]побудинковий звіт'!R364</f>
        <v>0</v>
      </c>
      <c r="S364" s="42">
        <f>'[1]побудинковий звіт'!S364+'[2]побудинковий звіт'!S364-'[3]побудинковий звіт'!S364</f>
        <v>0</v>
      </c>
      <c r="T364" s="56">
        <f t="shared" si="352"/>
        <v>0</v>
      </c>
      <c r="U364" s="42">
        <f>'[1]побудинковий звіт'!U364+'[2]побудинковий звіт'!U364-'[3]побудинковий звіт'!U364</f>
        <v>0</v>
      </c>
      <c r="V364" s="42">
        <f>'[1]побудинковий звіт'!V364+'[2]побудинковий звіт'!V364-'[3]побудинковий звіт'!V364</f>
        <v>0</v>
      </c>
      <c r="W364" s="56">
        <f t="shared" si="353"/>
        <v>0</v>
      </c>
      <c r="X364" s="42">
        <f>'[1]побудинковий звіт'!X364+'[2]побудинковий звіт'!X364-'[3]побудинковий звіт'!X364</f>
        <v>5851.3814185755864</v>
      </c>
      <c r="Y364" s="42">
        <f>'[1]побудинковий звіт'!Y364+'[2]побудинковий звіт'!Y364-'[3]побудинковий звіт'!Y364</f>
        <v>4709.7892661204341</v>
      </c>
      <c r="Z364" s="56">
        <f t="shared" si="354"/>
        <v>-1141.5921524551522</v>
      </c>
      <c r="AA364" s="42">
        <f>'[1]побудинковий звіт'!AA364+'[2]побудинковий звіт'!AA364-'[3]побудинковий звіт'!AA364</f>
        <v>0</v>
      </c>
      <c r="AB364" s="42">
        <f>'[1]побудинковий звіт'!AB364+'[2]побудинковий звіт'!AB364-'[3]побудинковий звіт'!AB364</f>
        <v>0</v>
      </c>
      <c r="AC364" s="56">
        <f t="shared" si="355"/>
        <v>0</v>
      </c>
      <c r="AD364" s="42">
        <f>'[1]побудинковий звіт'!AD364+'[2]побудинковий звіт'!AD364-'[3]побудинковий звіт'!AD364</f>
        <v>12869.26947369148</v>
      </c>
      <c r="AE364" s="42">
        <f>'[1]побудинковий звіт'!AE364+'[2]побудинковий звіт'!AE364-'[3]побудинковий звіт'!AE364</f>
        <v>11868.46554275681</v>
      </c>
      <c r="AF364" s="37">
        <f t="shared" si="356"/>
        <v>-1000.8039309346696</v>
      </c>
      <c r="AG364" s="87">
        <f t="shared" si="346"/>
        <v>33475.959624012874</v>
      </c>
      <c r="AH364" s="57">
        <f t="shared" si="346"/>
        <v>30439.018545871972</v>
      </c>
      <c r="AI364" s="56">
        <f t="shared" si="357"/>
        <v>-3036.9410781409024</v>
      </c>
      <c r="AJ364" s="42">
        <f>'[1]побудинковий звіт'!AJ364+'[2]побудинковий звіт'!AJ364-'[3]побудинковий звіт'!AJ364</f>
        <v>0</v>
      </c>
      <c r="AK364" s="42">
        <f>'[1]побудинковий звіт'!AK364+'[2]побудинковий звіт'!AK364-'[3]побудинковий звіт'!AK364</f>
        <v>0</v>
      </c>
      <c r="AL364" s="56">
        <f t="shared" si="358"/>
        <v>0</v>
      </c>
      <c r="AM364" s="42">
        <f>'[1]побудинковий звіт'!AM364+'[2]побудинковий звіт'!AM364-'[3]побудинковий звіт'!AM364</f>
        <v>0</v>
      </c>
      <c r="AN364" s="42">
        <f>'[1]побудинковий звіт'!AN364+'[2]побудинковий звіт'!AN364-'[3]побудинковий звіт'!AN364</f>
        <v>0</v>
      </c>
      <c r="AO364" s="56">
        <f t="shared" si="359"/>
        <v>0</v>
      </c>
      <c r="AP364" s="42">
        <f>'[1]побудинковий звіт'!AP364+'[2]побудинковий звіт'!AP364-'[3]побудинковий звіт'!AP364</f>
        <v>6960.5796752683264</v>
      </c>
      <c r="AQ364" s="42">
        <f>'[1]побудинковий звіт'!AQ364+'[2]побудинковий звіт'!AQ364-'[3]побудинковий звіт'!AQ364</f>
        <v>6349.8383791670276</v>
      </c>
      <c r="AR364" s="56">
        <f t="shared" si="360"/>
        <v>-610.74129610129876</v>
      </c>
      <c r="AS364" s="42">
        <f>'[1]побудинковий звіт'!AS364+'[2]побудинковий звіт'!AS364-'[3]побудинковий звіт'!AS364</f>
        <v>32734.271923466506</v>
      </c>
      <c r="AT364" s="42">
        <f>'[1]побудинковий звіт'!AT364+'[2]побудинковий звіт'!AT364-'[3]побудинковий звіт'!AT364</f>
        <v>14616.40826452968</v>
      </c>
      <c r="AU364" s="58">
        <f t="shared" si="375"/>
        <v>-18117.863658936825</v>
      </c>
      <c r="AV364" s="42">
        <f>'[1]побудинковий звіт'!AV364+'[2]побудинковий звіт'!AV364-'[3]побудинковий звіт'!AV364</f>
        <v>1459.8713435868913</v>
      </c>
      <c r="AW364" s="42">
        <f>'[1]побудинковий звіт'!AW364+'[2]побудинковий звіт'!AW364-'[3]побудинковий звіт'!AW364</f>
        <v>14859</v>
      </c>
      <c r="AX364" s="59">
        <f t="shared" si="376"/>
        <v>13399.128656413108</v>
      </c>
      <c r="AY364" s="42">
        <f>'[1]побудинковий звіт'!AY364+'[2]побудинковий звіт'!AY364-'[3]побудинковий звіт'!AY364</f>
        <v>2251.1988267304814</v>
      </c>
      <c r="AZ364" s="42">
        <f>'[1]побудинковий звіт'!AZ364+'[2]побудинковий звіт'!AZ364-'[3]побудинковий звіт'!AZ364</f>
        <v>0</v>
      </c>
      <c r="BA364" s="37">
        <f t="shared" si="377"/>
        <v>-2251.1988267304814</v>
      </c>
      <c r="BB364" s="42">
        <f>'[1]побудинковий звіт'!BB364+'[2]побудинковий звіт'!BB364-'[3]побудинковий звіт'!BB364</f>
        <v>2141.9433672058194</v>
      </c>
      <c r="BC364" s="42">
        <f>'[1]побудинковий звіт'!BC364+'[2]побудинковий звіт'!BC364-'[3]побудинковий звіт'!BC364</f>
        <v>0</v>
      </c>
      <c r="BD364" s="59">
        <f t="shared" si="378"/>
        <v>-2141.9433672058194</v>
      </c>
      <c r="BE364" s="42">
        <f>'[1]побудинковий звіт'!BE364+'[2]побудинковий звіт'!BE364-'[3]побудинковий звіт'!BE364</f>
        <v>0</v>
      </c>
      <c r="BF364" s="42">
        <f>'[1]побудинковий звіт'!BF364+'[2]побудинковий звіт'!BF364-'[3]побудинковий звіт'!BF364</f>
        <v>0</v>
      </c>
      <c r="BG364" s="39">
        <f t="shared" si="379"/>
        <v>0</v>
      </c>
      <c r="BH364" s="42">
        <f>'[1]побудинковий звіт'!BH364+'[2]побудинковий звіт'!BH364-'[3]побудинковий звіт'!BH364</f>
        <v>0</v>
      </c>
      <c r="BI364" s="42">
        <f>'[1]побудинковий звіт'!BI364+'[2]побудинковий звіт'!BI364-'[3]побудинковий звіт'!BI364</f>
        <v>0</v>
      </c>
      <c r="BJ364" s="59">
        <f t="shared" si="380"/>
        <v>0</v>
      </c>
      <c r="BK364" s="42">
        <f>'[1]побудинковий звіт'!BK364+'[2]побудинковий звіт'!BK364-'[3]побудинковий звіт'!BK364</f>
        <v>727.69954995328419</v>
      </c>
      <c r="BL364" s="42">
        <f>'[1]побудинковий звіт'!BL364+'[2]побудинковий звіт'!BL364-'[3]побудинковий звіт'!BL364</f>
        <v>1827</v>
      </c>
      <c r="BM364" s="39">
        <f t="shared" si="381"/>
        <v>1099.3004500467159</v>
      </c>
      <c r="BN364" s="42">
        <f>'[1]побудинковий звіт'!BN364+'[2]побудинковий звіт'!BN364-'[3]побудинковий звіт'!BN364</f>
        <v>0</v>
      </c>
      <c r="BO364" s="42">
        <f>'[1]побудинковий звіт'!BO364+'[2]побудинковий звіт'!BO364-'[3]побудинковий звіт'!BO364</f>
        <v>0</v>
      </c>
      <c r="BP364" s="59">
        <f t="shared" si="382"/>
        <v>0</v>
      </c>
      <c r="BQ364" s="87">
        <f t="shared" si="338"/>
        <v>6580.7130874764762</v>
      </c>
      <c r="BR364" s="43">
        <f t="shared" si="385"/>
        <v>16686</v>
      </c>
      <c r="BS364" s="59">
        <f t="shared" si="383"/>
        <v>10105.286912523523</v>
      </c>
      <c r="BT364" s="42">
        <f>'[1]побудинковий звіт'!BT364+'[2]побудинковий звіт'!BT364-'[3]побудинковий звіт'!BT364</f>
        <v>26305.128911679312</v>
      </c>
      <c r="BU364" s="42">
        <f>'[1]побудинковий звіт'!BU364+'[2]побудинковий звіт'!BU364-'[3]побудинковий звіт'!BU364</f>
        <v>36110.456597391385</v>
      </c>
      <c r="BV364" s="56">
        <f t="shared" si="361"/>
        <v>9805.3276857120727</v>
      </c>
      <c r="BW364" s="42">
        <f>'[1]побудинковий звіт'!BW364+'[2]побудинковий звіт'!BW364-'[3]побудинковий звіт'!BW364</f>
        <v>13201.956053764188</v>
      </c>
      <c r="BX364" s="42">
        <f>'[1]побудинковий звіт'!BX364+'[2]побудинковий звіт'!BX364-'[3]побудинковий звіт'!BX364</f>
        <v>15511.255150430756</v>
      </c>
      <c r="BY364" s="56">
        <f t="shared" si="362"/>
        <v>2309.2990966665675</v>
      </c>
      <c r="BZ364" s="42">
        <f>'[1]побудинковий звіт'!BZ364+'[2]побудинковий звіт'!BZ364-'[3]побудинковий звіт'!BZ364</f>
        <v>9292.3384697152924</v>
      </c>
      <c r="CA364" s="42">
        <f>'[1]побудинковий звіт'!CA364+'[2]побудинковий звіт'!CA364-'[3]побудинковий звіт'!CA364</f>
        <v>6977.9216529711703</v>
      </c>
      <c r="CB364" s="56">
        <f t="shared" si="363"/>
        <v>-2314.4168167441221</v>
      </c>
      <c r="CC364" s="42">
        <f>'[1]побудинковий звіт'!CC364+'[2]побудинковий звіт'!CC364-'[3]побудинковий звіт'!CC364</f>
        <v>526.4972439127331</v>
      </c>
      <c r="CD364" s="42">
        <f>'[1]побудинковий звіт'!CD364+'[2]побудинковий звіт'!CD364-'[3]побудинковий звіт'!CD364</f>
        <v>521.86655180096375</v>
      </c>
      <c r="CE364" s="56">
        <f t="shared" si="364"/>
        <v>-4.6306921117693491</v>
      </c>
      <c r="CF364" s="42">
        <f>'[1]побудинковий звіт'!CF364+'[2]побудинковий звіт'!CF364-'[3]побудинковий звіт'!CF364</f>
        <v>64.815001618044818</v>
      </c>
      <c r="CG364" s="42">
        <f>'[1]побудинковий звіт'!CG364+'[2]побудинковий звіт'!CG364-'[3]побудинковий звіт'!CG364</f>
        <v>0</v>
      </c>
      <c r="CH364" s="56">
        <f t="shared" si="365"/>
        <v>-64.815001618044818</v>
      </c>
      <c r="CI364" s="42">
        <f>'[1]побудинковий звіт'!CI364+'[2]побудинковий звіт'!CI364-'[3]побудинковий звіт'!CI364</f>
        <v>4099.1380138050781</v>
      </c>
      <c r="CJ364" s="42">
        <f>'[1]побудинковий звіт'!CJ364+'[2]побудинковий звіт'!CJ364-'[3]побудинковий звіт'!CJ364</f>
        <v>1797.0963747784672</v>
      </c>
      <c r="CK364" s="56">
        <f t="shared" si="366"/>
        <v>-2302.0416390266109</v>
      </c>
      <c r="CL364" s="42">
        <f>'[1]побудинковий звіт'!CL364+'[2]побудинковий звіт'!CL364-'[3]побудинковий звіт'!CL364</f>
        <v>0</v>
      </c>
      <c r="CM364" s="42">
        <f>'[1]побудинковий звіт'!CM364+'[2]побудинковий звіт'!CM364-'[3]побудинковий звіт'!CM364</f>
        <v>0</v>
      </c>
      <c r="CN364" s="56">
        <f t="shared" si="367"/>
        <v>0</v>
      </c>
      <c r="CO364" s="42">
        <f t="shared" si="347"/>
        <v>4099.1380138050781</v>
      </c>
      <c r="CP364" s="43">
        <f t="shared" si="368"/>
        <v>1797.0963747784672</v>
      </c>
      <c r="CQ364" s="56">
        <f t="shared" si="369"/>
        <v>-2302.0416390266109</v>
      </c>
      <c r="CR364" s="78">
        <f t="shared" si="348"/>
        <v>133241.39800471882</v>
      </c>
      <c r="CS364" s="5">
        <f t="shared" si="348"/>
        <v>129009.86151694144</v>
      </c>
      <c r="CT364" s="56">
        <f t="shared" si="370"/>
        <v>-4231.5364877773827</v>
      </c>
      <c r="CU364" s="87">
        <f t="shared" si="371"/>
        <v>159889.67760566258</v>
      </c>
      <c r="CV364" s="70">
        <f t="shared" si="372"/>
        <v>154811.83382032972</v>
      </c>
      <c r="CW364" s="37">
        <f t="shared" si="373"/>
        <v>-5077.8437853328651</v>
      </c>
      <c r="CX364" s="42">
        <f>'[1]побудинковий звіт'!CX364+'[2]побудинковий звіт'!CX364-'[3]побудинковий звіт'!CX364</f>
        <v>8080.5023943373762</v>
      </c>
      <c r="CY364" s="42">
        <f>'[1]побудинковий звіт'!CY364+'[2]побудинковий звіт'!CY364-'[3]побудинковий звіт'!CY364</f>
        <v>13158.346179670294</v>
      </c>
      <c r="CZ364" s="56">
        <f t="shared" si="374"/>
        <v>5077.8437853329178</v>
      </c>
      <c r="DA364" s="264">
        <f>'[4]побудинковий звіт'!DA364</f>
        <v>87.023162094063082</v>
      </c>
      <c r="DB364" s="2">
        <v>2</v>
      </c>
      <c r="DC364" s="717">
        <f>'[4]побудинковий звіт'!DC364</f>
        <v>35254.160000000003</v>
      </c>
      <c r="DD364" s="717">
        <f>'[4]побудинковий звіт'!DD364</f>
        <v>17503.289999999997</v>
      </c>
      <c r="DE364" s="717">
        <f>'[4]побудинковий звіт'!DE364</f>
        <v>24143.910000000003</v>
      </c>
      <c r="DF364" s="717">
        <f>'[4]побудинковий звіт'!DF364</f>
        <v>14616.729999999998</v>
      </c>
      <c r="DG364" s="787">
        <v>7256.8740348016145</v>
      </c>
      <c r="DH364" s="761">
        <f t="shared" si="344"/>
        <v>2015642.1599999997</v>
      </c>
      <c r="DI364" s="784"/>
      <c r="DJ364" s="5"/>
      <c r="DK364" s="317">
        <f>VLOOKUP($A364,ціни!$A$4:$G$401,5)</f>
        <v>4.7845064703142004</v>
      </c>
      <c r="DL364" s="317"/>
      <c r="DM364" s="317">
        <f>VLOOKUP($A364,ціни!$A$4:$G$401,7)</f>
        <v>4.1877423872422943</v>
      </c>
      <c r="DN364" s="30">
        <f>F364*DK364</f>
        <v>13125.815050659978</v>
      </c>
      <c r="DO364" s="30">
        <f>H364*DM364</f>
        <v>2886.6108275261136</v>
      </c>
      <c r="DP364" s="316">
        <f t="shared" si="390"/>
        <v>16012.425878186092</v>
      </c>
      <c r="DQ364" s="104"/>
      <c r="DR364" s="30">
        <f>VLOOKUP(A364,'ДЗ нас '!$A$1:$C$359,2)</f>
        <v>11110.25</v>
      </c>
      <c r="DS364" s="748">
        <f>VLOOKUP(A364,'ДЗ нежит'!$A$1:$D$153,4,0)</f>
        <v>2886.56</v>
      </c>
      <c r="DT364" s="30">
        <f t="shared" si="391"/>
        <v>13996.81</v>
      </c>
      <c r="DU364" s="257">
        <f>VLOOKUP(A364,'новий кошторис с 01.06'!$A$4:$AI$399,35)*1.2</f>
        <v>14123.588188500198</v>
      </c>
      <c r="DV364" s="30">
        <f t="shared" si="392"/>
        <v>-126.77818850019867</v>
      </c>
      <c r="DW364" s="930">
        <f>'[5]побудинковий звіт'!DW364+'[6]побудинковий звіт'!DW364</f>
        <v>236</v>
      </c>
      <c r="DY364" s="5">
        <f t="shared" si="340"/>
        <v>47177.982013131579</v>
      </c>
      <c r="DZ364" s="5">
        <f t="shared" si="341"/>
        <v>37562.889917435612</v>
      </c>
      <c r="EA364" s="752">
        <f t="shared" si="345"/>
        <v>38760.639999999999</v>
      </c>
      <c r="EC364" s="592">
        <f t="shared" si="342"/>
        <v>392811.2630815981</v>
      </c>
      <c r="EE364" s="758">
        <v>-42307</v>
      </c>
      <c r="EF364" s="738">
        <f t="shared" si="343"/>
        <v>-35050.125965198386</v>
      </c>
      <c r="EH364" s="813">
        <v>-3424.5198124293802</v>
      </c>
    </row>
    <row r="365" spans="1:138" x14ac:dyDescent="0.3">
      <c r="A365" s="328">
        <v>150000883</v>
      </c>
      <c r="B365" s="44" t="s">
        <v>818</v>
      </c>
      <c r="C365" s="45" t="s">
        <v>331</v>
      </c>
      <c r="D365" s="45" t="s">
        <v>331</v>
      </c>
      <c r="E365" s="40">
        <f t="shared" si="384"/>
        <v>5601.9</v>
      </c>
      <c r="F365" s="490">
        <v>5601.9</v>
      </c>
      <c r="G365" s="30"/>
      <c r="H365" s="30">
        <v>0</v>
      </c>
      <c r="I365" s="42">
        <f>'[1]побудинковий звіт'!I365+'[2]побудинковий звіт'!I365-'[3]побудинковий звіт'!I365</f>
        <v>6222.1158769224503</v>
      </c>
      <c r="J365" s="42">
        <f>'[1]побудинковий звіт'!J365+'[2]побудинковий звіт'!J365-'[3]побудинковий звіт'!J365</f>
        <v>6213.0424573656564</v>
      </c>
      <c r="K365" s="56">
        <f t="shared" si="349"/>
        <v>-9.0734195567938514</v>
      </c>
      <c r="L365" s="42">
        <f>'[1]побудинковий звіт'!L365+'[2]побудинковий звіт'!L365-'[3]побудинковий звіт'!L365</f>
        <v>1038.8909714306749</v>
      </c>
      <c r="M365" s="42">
        <f>'[1]побудинковий звіт'!M365+'[2]побудинковий звіт'!M365-'[3]побудинковий звіт'!M365</f>
        <v>1048.196427007801</v>
      </c>
      <c r="N365" s="56">
        <f t="shared" si="350"/>
        <v>9.3054555771261676</v>
      </c>
      <c r="O365" s="42">
        <f>'[1]побудинковий звіт'!O365+'[2]побудинковий звіт'!O365-'[3]побудинковий звіт'!O365</f>
        <v>2746.9199999999996</v>
      </c>
      <c r="P365" s="42">
        <f>'[1]побудинковий звіт'!P365+'[2]побудинковий звіт'!P365-'[3]побудинковий звіт'!P365</f>
        <v>2159.0965483333334</v>
      </c>
      <c r="Q365" s="56">
        <f t="shared" si="351"/>
        <v>-587.82345166666619</v>
      </c>
      <c r="R365" s="42">
        <f>'[1]побудинковий звіт'!R365+'[2]побудинковий звіт'!R365-'[3]побудинковий звіт'!R365</f>
        <v>0</v>
      </c>
      <c r="S365" s="42">
        <f>'[1]побудинковий звіт'!S365+'[2]побудинковий звіт'!S365-'[3]побудинковий звіт'!S365</f>
        <v>0</v>
      </c>
      <c r="T365" s="56">
        <f t="shared" si="352"/>
        <v>0</v>
      </c>
      <c r="U365" s="42">
        <f>'[1]побудинковий звіт'!U365+'[2]побудинковий звіт'!U365-'[3]побудинковий звіт'!U365</f>
        <v>0</v>
      </c>
      <c r="V365" s="42">
        <f>'[1]побудинковий звіт'!V365+'[2]побудинковий звіт'!V365-'[3]побудинковий звіт'!V365</f>
        <v>0</v>
      </c>
      <c r="W365" s="56">
        <f t="shared" si="353"/>
        <v>0</v>
      </c>
      <c r="X365" s="42">
        <f>'[1]побудинковий звіт'!X365+'[2]побудинковий звіт'!X365-'[3]побудинковий звіт'!X365</f>
        <v>3258.6600117581265</v>
      </c>
      <c r="Y365" s="42">
        <f>'[1]побудинковий звіт'!Y365+'[2]побудинковий звіт'!Y365-'[3]побудинковий звіт'!Y365</f>
        <v>2367.6273935284898</v>
      </c>
      <c r="Z365" s="56">
        <f t="shared" si="354"/>
        <v>-891.03261822963668</v>
      </c>
      <c r="AA365" s="42">
        <f>'[1]побудинковий звіт'!AA365+'[2]побудинковий звіт'!AA365-'[3]побудинковий звіт'!AA365</f>
        <v>0</v>
      </c>
      <c r="AB365" s="42">
        <f>'[1]побудинковий звіт'!AB365+'[2]побудинковий звіт'!AB365-'[3]побудинковий звіт'!AB365</f>
        <v>0</v>
      </c>
      <c r="AC365" s="56">
        <f t="shared" si="355"/>
        <v>0</v>
      </c>
      <c r="AD365" s="42">
        <f>'[1]побудинковий звіт'!AD365+'[2]побудинковий звіт'!AD365-'[3]побудинковий звіт'!AD365</f>
        <v>7918.5834496018624</v>
      </c>
      <c r="AE365" s="42">
        <f>'[1]побудинковий звіт'!AE365+'[2]побудинковий звіт'!AE365-'[3]побудинковий звіт'!AE365</f>
        <v>7298.4953697195542</v>
      </c>
      <c r="AF365" s="37">
        <f t="shared" si="356"/>
        <v>-620.08807988230819</v>
      </c>
      <c r="AG365" s="87">
        <f t="shared" si="346"/>
        <v>21185.170309713114</v>
      </c>
      <c r="AH365" s="57">
        <f t="shared" si="346"/>
        <v>19086.458195954834</v>
      </c>
      <c r="AI365" s="56">
        <f t="shared" si="357"/>
        <v>-2098.7121137582799</v>
      </c>
      <c r="AJ365" s="42">
        <f>'[1]побудинковий звіт'!AJ365+'[2]побудинковий звіт'!AJ365-'[3]побудинковий звіт'!AJ365</f>
        <v>0</v>
      </c>
      <c r="AK365" s="42">
        <f>'[1]побудинковий звіт'!AK365+'[2]побудинковий звіт'!AK365-'[3]побудинковий звіт'!AK365</f>
        <v>0</v>
      </c>
      <c r="AL365" s="56">
        <f t="shared" si="358"/>
        <v>0</v>
      </c>
      <c r="AM365" s="42">
        <f>'[1]побудинковий звіт'!AM365+'[2]побудинковий звіт'!AM365-'[3]побудинковий звіт'!AM365</f>
        <v>0</v>
      </c>
      <c r="AN365" s="42">
        <f>'[1]побудинковий звіт'!AN365+'[2]побудинковий звіт'!AN365-'[3]побудинковий звіт'!AN365</f>
        <v>0</v>
      </c>
      <c r="AO365" s="56">
        <f t="shared" si="359"/>
        <v>0</v>
      </c>
      <c r="AP365" s="42">
        <f>'[1]побудинковий звіт'!AP365+'[2]побудинковий звіт'!AP365-'[3]побудинковий звіт'!AP365</f>
        <v>5682.1058573618993</v>
      </c>
      <c r="AQ365" s="42">
        <f>'[1]побудинковий звіт'!AQ365+'[2]побудинковий звіт'!AQ365-'[3]побудинковий звіт'!AQ365</f>
        <v>5518.5916133154115</v>
      </c>
      <c r="AR365" s="56">
        <f t="shared" si="360"/>
        <v>-163.51424404648787</v>
      </c>
      <c r="AS365" s="42">
        <f>'[1]побудинковий звіт'!AS365+'[2]побудинковий звіт'!AS365-'[3]побудинковий звіт'!AS365</f>
        <v>20708.836443737393</v>
      </c>
      <c r="AT365" s="42">
        <f>'[1]побудинковий звіт'!AT365+'[2]побудинковий звіт'!AT365-'[3]побудинковий звіт'!AT365</f>
        <v>0</v>
      </c>
      <c r="AU365" s="58">
        <f t="shared" si="375"/>
        <v>-20708.836443737393</v>
      </c>
      <c r="AV365" s="42">
        <f>'[1]побудинковий звіт'!AV365+'[2]побудинковий звіт'!AV365-'[3]побудинковий звіт'!AV365</f>
        <v>1011.4566116891503</v>
      </c>
      <c r="AW365" s="42">
        <f>'[1]побудинковий звіт'!AW365+'[2]побудинковий звіт'!AW365-'[3]побудинковий звіт'!AW365</f>
        <v>0</v>
      </c>
      <c r="AX365" s="59">
        <f t="shared" si="376"/>
        <v>-1011.4566116891503</v>
      </c>
      <c r="AY365" s="42">
        <f>'[1]побудинковий звіт'!AY365+'[2]побудинковий звіт'!AY365-'[3]побудинковий звіт'!AY365</f>
        <v>1338.8908404967292</v>
      </c>
      <c r="AZ365" s="42">
        <f>'[1]побудинковий звіт'!AZ365+'[2]побудинковий звіт'!AZ365-'[3]побудинковий звіт'!AZ365</f>
        <v>0</v>
      </c>
      <c r="BA365" s="37">
        <f t="shared" si="377"/>
        <v>-1338.8908404967292</v>
      </c>
      <c r="BB365" s="42">
        <f>'[1]побудинковий звіт'!BB365+'[2]побудинковий звіт'!BB365-'[3]побудинковий звіт'!BB365</f>
        <v>1196.9568431124032</v>
      </c>
      <c r="BC365" s="42">
        <f>'[1]побудинковий звіт'!BC365+'[2]побудинковий звіт'!BC365-'[3]побудинковий звіт'!BC365</f>
        <v>1152.8139303343146</v>
      </c>
      <c r="BD365" s="59">
        <f t="shared" si="378"/>
        <v>-44.142912778088657</v>
      </c>
      <c r="BE365" s="42">
        <f>'[1]побудинковий звіт'!BE365+'[2]побудинковий звіт'!BE365-'[3]побудинковий звіт'!BE365</f>
        <v>0</v>
      </c>
      <c r="BF365" s="42">
        <f>'[1]побудинковий звіт'!BF365+'[2]побудинковий звіт'!BF365-'[3]побудинковий звіт'!BF365</f>
        <v>0</v>
      </c>
      <c r="BG365" s="39">
        <f t="shared" si="379"/>
        <v>0</v>
      </c>
      <c r="BH365" s="42">
        <f>'[1]побудинковий звіт'!BH365+'[2]побудинковий звіт'!BH365-'[3]побудинковий звіт'!BH365</f>
        <v>0</v>
      </c>
      <c r="BI365" s="42">
        <f>'[1]побудинковий звіт'!BI365+'[2]побудинковий звіт'!BI365-'[3]побудинковий звіт'!BI365</f>
        <v>0</v>
      </c>
      <c r="BJ365" s="59">
        <f t="shared" si="380"/>
        <v>0</v>
      </c>
      <c r="BK365" s="42">
        <f>'[1]побудинковий звіт'!BK365+'[2]побудинковий звіт'!BK365-'[3]побудинковий звіт'!BK365</f>
        <v>389.68052365915952</v>
      </c>
      <c r="BL365" s="42">
        <f>'[1]побудинковий звіт'!BL365+'[2]побудинковий звіт'!BL365-'[3]побудинковий звіт'!BL365</f>
        <v>0</v>
      </c>
      <c r="BM365" s="39">
        <f t="shared" si="381"/>
        <v>-389.68052365915952</v>
      </c>
      <c r="BN365" s="42">
        <f>'[1]побудинковий звіт'!BN365+'[2]побудинковий звіт'!BN365-'[3]побудинковий звіт'!BN365</f>
        <v>0</v>
      </c>
      <c r="BO365" s="42">
        <f>'[1]побудинковий звіт'!BO365+'[2]побудинковий звіт'!BO365-'[3]побудинковий звіт'!BO365</f>
        <v>0</v>
      </c>
      <c r="BP365" s="59">
        <f t="shared" si="382"/>
        <v>0</v>
      </c>
      <c r="BQ365" s="87">
        <f t="shared" si="338"/>
        <v>3936.9848189574427</v>
      </c>
      <c r="BR365" s="43">
        <f t="shared" si="385"/>
        <v>1152.8139303343146</v>
      </c>
      <c r="BS365" s="59">
        <f t="shared" si="383"/>
        <v>-2784.1708886231281</v>
      </c>
      <c r="BT365" s="42">
        <f>'[1]побудинковий звіт'!BT365+'[2]побудинковий звіт'!BT365-'[3]побудинковий звіт'!BT365</f>
        <v>24473.158007042697</v>
      </c>
      <c r="BU365" s="42">
        <f>'[1]побудинковий звіт'!BU365+'[2]побудинковий звіт'!BU365-'[3]побудинковий звіт'!BU365</f>
        <v>29056.604890123017</v>
      </c>
      <c r="BV365" s="56">
        <f t="shared" si="361"/>
        <v>4583.4468830803198</v>
      </c>
      <c r="BW365" s="42">
        <f>'[1]побудинковий звіт'!BW365+'[2]побудинковий звіт'!BW365-'[3]побудинковий звіт'!BW365</f>
        <v>8078.3031759048572</v>
      </c>
      <c r="BX365" s="42">
        <f>'[1]побудинковий звіт'!BX365+'[2]побудинковий звіт'!BX365-'[3]побудинковий звіт'!BX365</f>
        <v>9025.0113478334824</v>
      </c>
      <c r="BY365" s="56">
        <f t="shared" si="362"/>
        <v>946.70817192862523</v>
      </c>
      <c r="BZ365" s="42">
        <f>'[1]побудинковий звіт'!BZ365+'[2]побудинковий звіт'!BZ365-'[3]побудинковий звіт'!BZ365</f>
        <v>5960.3734894892759</v>
      </c>
      <c r="CA365" s="42">
        <f>'[1]побудинковий звіт'!CA365+'[2]побудинковий звіт'!CA365-'[3]побудинковий звіт'!CA365</f>
        <v>6525.6523338745774</v>
      </c>
      <c r="CB365" s="56">
        <f t="shared" si="363"/>
        <v>565.27884438530145</v>
      </c>
      <c r="CC365" s="42">
        <f>'[1]побудинковий звіт'!CC365+'[2]побудинковий звіт'!CC365-'[3]побудинковий звіт'!CC365</f>
        <v>0</v>
      </c>
      <c r="CD365" s="42">
        <f>'[1]побудинковий звіт'!CD365+'[2]побудинковий звіт'!CD365-'[3]побудинковий звіт'!CD365</f>
        <v>0</v>
      </c>
      <c r="CE365" s="56">
        <f t="shared" si="364"/>
        <v>0</v>
      </c>
      <c r="CF365" s="42">
        <f>'[1]побудинковий звіт'!CF365+'[2]побудинковий звіт'!CF365-'[3]побудинковий звіт'!CF365</f>
        <v>0</v>
      </c>
      <c r="CG365" s="42">
        <f>'[1]побудинковий звіт'!CG365+'[2]побудинковий звіт'!CG365-'[3]побудинковий звіт'!CG365</f>
        <v>0</v>
      </c>
      <c r="CH365" s="56">
        <f t="shared" si="365"/>
        <v>0</v>
      </c>
      <c r="CI365" s="42">
        <f>'[1]побудинковий звіт'!CI365+'[2]побудинковий звіт'!CI365-'[3]побудинковий звіт'!CI365</f>
        <v>580.24328049295616</v>
      </c>
      <c r="CJ365" s="42">
        <f>'[1]побудинковий звіт'!CJ365+'[2]побудинковий звіт'!CJ365-'[3]побудинковий звіт'!CJ365</f>
        <v>390.90341883927533</v>
      </c>
      <c r="CK365" s="56">
        <f t="shared" si="366"/>
        <v>-189.33986165368083</v>
      </c>
      <c r="CL365" s="42">
        <f>'[1]побудинковий звіт'!CL365+'[2]побудинковий звіт'!CL365-'[3]побудинковий звіт'!CL365</f>
        <v>0</v>
      </c>
      <c r="CM365" s="42">
        <f>'[1]побудинковий звіт'!CM365+'[2]побудинковий звіт'!CM365-'[3]побудинковий звіт'!CM365</f>
        <v>0</v>
      </c>
      <c r="CN365" s="56">
        <f t="shared" si="367"/>
        <v>0</v>
      </c>
      <c r="CO365" s="42">
        <f t="shared" si="347"/>
        <v>580.24328049295616</v>
      </c>
      <c r="CP365" s="43">
        <f t="shared" si="368"/>
        <v>390.90341883927533</v>
      </c>
      <c r="CQ365" s="56">
        <f t="shared" si="369"/>
        <v>-189.33986165368083</v>
      </c>
      <c r="CR365" s="78">
        <f t="shared" si="348"/>
        <v>90605.175382699628</v>
      </c>
      <c r="CS365" s="5">
        <f t="shared" si="348"/>
        <v>70756.035730274903</v>
      </c>
      <c r="CT365" s="56">
        <f t="shared" si="370"/>
        <v>-19849.139652424725</v>
      </c>
      <c r="CU365" s="87">
        <f t="shared" si="371"/>
        <v>108726.21045923955</v>
      </c>
      <c r="CV365" s="70">
        <f t="shared" si="372"/>
        <v>84907.242876329881</v>
      </c>
      <c r="CW365" s="37">
        <f t="shared" si="373"/>
        <v>-23818.967582909667</v>
      </c>
      <c r="CX365" s="42">
        <f>'[1]побудинковий звіт'!CX365+'[2]побудинковий звіт'!CX365-'[3]побудинковий звіт'!CX365</f>
        <v>2173.5695407604617</v>
      </c>
      <c r="CY365" s="42">
        <f>'[1]побудинковий звіт'!CY365+'[2]побудинковий звіт'!CY365-'[3]побудинковий звіт'!CY365</f>
        <v>25992.53712367011</v>
      </c>
      <c r="CZ365" s="56">
        <f t="shared" si="374"/>
        <v>23818.967582909649</v>
      </c>
      <c r="DA365" s="264">
        <f>'[4]побудинковий звіт'!DA365</f>
        <v>15631.454794297926</v>
      </c>
      <c r="DB365" s="2">
        <v>2</v>
      </c>
      <c r="DC365" s="717">
        <f>'[4]побудинковий звіт'!DC365</f>
        <v>15940.34</v>
      </c>
      <c r="DD365" s="717">
        <f>'[4]побудинковий звіт'!DD365</f>
        <v>0</v>
      </c>
      <c r="DE365" s="717">
        <f>'[4]побудинковий звіт'!DE365</f>
        <v>6698.4</v>
      </c>
      <c r="DF365" s="717">
        <f>'[4]побудинковий звіт'!DF365</f>
        <v>0</v>
      </c>
      <c r="DG365" s="787">
        <v>43605.571724454756</v>
      </c>
      <c r="DH365" s="761">
        <f t="shared" si="344"/>
        <v>1330797.3600000001</v>
      </c>
      <c r="DI365" s="784"/>
      <c r="DJ365" s="5"/>
      <c r="DK365" s="317">
        <f>VLOOKUP($A365,ціни!$A$4:$G$401,5)</f>
        <v>4.9902955220122482</v>
      </c>
      <c r="DL365" s="317"/>
      <c r="DM365" s="317">
        <f>VLOOKUP($A365,ціни!$A$4:$G$401,7)</f>
        <v>4.5453637618351932</v>
      </c>
      <c r="DN365" s="30">
        <f>F365*DK365</f>
        <v>27955.136484760413</v>
      </c>
      <c r="DO365" s="30">
        <f>H365*DM365</f>
        <v>0</v>
      </c>
      <c r="DP365" s="316">
        <f t="shared" si="390"/>
        <v>27955.136484760413</v>
      </c>
      <c r="DQ365" s="104"/>
      <c r="DR365" s="30">
        <f>VLOOKUP(A365,'ДЗ нас '!$A$1:$C$359,2)</f>
        <v>9241.94</v>
      </c>
      <c r="DS365" s="748"/>
      <c r="DT365" s="30">
        <f t="shared" si="391"/>
        <v>9241.94</v>
      </c>
      <c r="DU365" s="257">
        <f>VLOOKUP(A365,'новий кошторис с 01.06'!$A$4:$AI$399,35)*1.2</f>
        <v>9277.96995918844</v>
      </c>
      <c r="DV365" s="30">
        <f t="shared" si="392"/>
        <v>-36.029959188439534</v>
      </c>
      <c r="DW365" s="930">
        <f>'[5]побудинковий звіт'!DW365+'[6]побудинковий звіт'!DW365</f>
        <v>236</v>
      </c>
      <c r="DY365" s="5">
        <f t="shared" si="340"/>
        <v>29574.985515233802</v>
      </c>
      <c r="DZ365" s="5">
        <f t="shared" si="341"/>
        <v>1383.3767164011774</v>
      </c>
      <c r="EA365" s="752">
        <f t="shared" si="345"/>
        <v>6698.4</v>
      </c>
      <c r="EC365" s="592">
        <f t="shared" si="342"/>
        <v>248506.0373248487</v>
      </c>
      <c r="EE365" s="758">
        <v>6052</v>
      </c>
      <c r="EF365" s="738">
        <f t="shared" si="343"/>
        <v>49657.571724454756</v>
      </c>
      <c r="EH365" s="813">
        <v>36701.128831912705</v>
      </c>
    </row>
    <row r="366" spans="1:138" x14ac:dyDescent="0.3">
      <c r="A366" s="328">
        <v>150000884</v>
      </c>
      <c r="B366" s="44" t="s">
        <v>819</v>
      </c>
      <c r="C366" s="45" t="s">
        <v>332</v>
      </c>
      <c r="D366" s="45" t="s">
        <v>332</v>
      </c>
      <c r="E366" s="40">
        <f t="shared" si="384"/>
        <v>5286.7</v>
      </c>
      <c r="F366" s="490">
        <v>4445.5</v>
      </c>
      <c r="G366" s="30"/>
      <c r="H366" s="30">
        <v>841.2</v>
      </c>
      <c r="I366" s="42">
        <f>'[1]побудинковий звіт'!I366+'[2]побудинковий звіт'!I366-'[3]побудинковий звіт'!I366</f>
        <v>11165.576120983598</v>
      </c>
      <c r="J366" s="42">
        <f>'[1]побудинковий звіт'!J366+'[2]побудинковий звіт'!J366-'[3]побудинковий звіт'!J366</f>
        <v>11155.086291828249</v>
      </c>
      <c r="K366" s="56">
        <f t="shared" si="349"/>
        <v>-10.489829155349071</v>
      </c>
      <c r="L366" s="42">
        <f>'[1]побудинковий звіт'!L366+'[2]побудинковий звіт'!L366-'[3]побудинковий звіт'!L366</f>
        <v>2288.4595257078313</v>
      </c>
      <c r="M366" s="42">
        <f>'[1]побудинковий звіт'!M366+'[2]побудинковий звіт'!M366-'[3]побудинковий звіт'!M366</f>
        <v>2379.9157762366631</v>
      </c>
      <c r="N366" s="56">
        <f t="shared" si="350"/>
        <v>91.456250528831788</v>
      </c>
      <c r="O366" s="42">
        <f>'[1]побудинковий звіт'!O366+'[2]побудинковий звіт'!O366-'[3]побудинковий звіт'!O366</f>
        <v>4702.6799999999994</v>
      </c>
      <c r="P366" s="42">
        <f>'[1]побудинковий звіт'!P366+'[2]побудинковий звіт'!P366-'[3]побудинковий звіт'!P366</f>
        <v>3696.329076612903</v>
      </c>
      <c r="Q366" s="56">
        <f t="shared" si="351"/>
        <v>-1006.3509233870964</v>
      </c>
      <c r="R366" s="42">
        <f>'[1]побудинковий звіт'!R366+'[2]побудинковий звіт'!R366-'[3]побудинковий звіт'!R366</f>
        <v>0</v>
      </c>
      <c r="S366" s="42">
        <f>'[1]побудинковий звіт'!S366+'[2]побудинковий звіт'!S366-'[3]побудинковий звіт'!S366</f>
        <v>0</v>
      </c>
      <c r="T366" s="56">
        <f t="shared" si="352"/>
        <v>0</v>
      </c>
      <c r="U366" s="42">
        <f>'[1]побудинковий звіт'!U366+'[2]побудинковий звіт'!U366-'[3]побудинковий звіт'!U366</f>
        <v>0</v>
      </c>
      <c r="V366" s="42">
        <f>'[1]побудинковий звіт'!V366+'[2]побудинковий звіт'!V366-'[3]побудинковий звіт'!V366</f>
        <v>0</v>
      </c>
      <c r="W366" s="56">
        <f t="shared" si="353"/>
        <v>0</v>
      </c>
      <c r="X366" s="42">
        <f>'[1]побудинковий звіт'!X366+'[2]побудинковий звіт'!X366-'[3]побудинковий звіт'!X366</f>
        <v>7629.8149617938498</v>
      </c>
      <c r="Y366" s="42">
        <f>'[1]побудинковий звіт'!Y366+'[2]побудинковий звіт'!Y366-'[3]побудинковий звіт'!Y366</f>
        <v>5851.4109420397217</v>
      </c>
      <c r="Z366" s="56">
        <f t="shared" si="354"/>
        <v>-1778.4040197541281</v>
      </c>
      <c r="AA366" s="42">
        <f>'[1]побудинковий звіт'!AA366+'[2]побудинковий звіт'!AA366-'[3]побудинковий звіт'!AA366</f>
        <v>0</v>
      </c>
      <c r="AB366" s="42">
        <f>'[1]побудинковий звіт'!AB366+'[2]побудинковий звіт'!AB366-'[3]побудинковий звіт'!AB366</f>
        <v>0</v>
      </c>
      <c r="AC366" s="56">
        <f t="shared" si="355"/>
        <v>0</v>
      </c>
      <c r="AD366" s="42">
        <f>'[1]побудинковий звіт'!AD366+'[2]побудинковий звіт'!AD366-'[3]побудинковий звіт'!AD366</f>
        <v>14539.323753930299</v>
      </c>
      <c r="AE366" s="42">
        <f>'[1]побудинковий звіт'!AE366+'[2]побудинковий звіт'!AE366-'[3]побудинковий звіт'!AE366</f>
        <v>13306.141879187096</v>
      </c>
      <c r="AF366" s="37">
        <f t="shared" si="356"/>
        <v>-1233.1818747432026</v>
      </c>
      <c r="AG366" s="87">
        <f t="shared" si="346"/>
        <v>40325.854362415579</v>
      </c>
      <c r="AH366" s="57">
        <f t="shared" si="346"/>
        <v>36388.883965904635</v>
      </c>
      <c r="AI366" s="56">
        <f t="shared" si="357"/>
        <v>-3936.9703965109438</v>
      </c>
      <c r="AJ366" s="42">
        <f>'[1]побудинковий звіт'!AJ366+'[2]побудинковий звіт'!AJ366-'[3]побудинковий звіт'!AJ366</f>
        <v>0</v>
      </c>
      <c r="AK366" s="42">
        <f>'[1]побудинковий звіт'!AK366+'[2]побудинковий звіт'!AK366-'[3]побудинковий звіт'!AK366</f>
        <v>0</v>
      </c>
      <c r="AL366" s="56">
        <f t="shared" si="358"/>
        <v>0</v>
      </c>
      <c r="AM366" s="42">
        <f>'[1]побудинковий звіт'!AM366+'[2]побудинковий звіт'!AM366-'[3]побудинковий звіт'!AM366</f>
        <v>0</v>
      </c>
      <c r="AN366" s="42">
        <f>'[1]побудинковий звіт'!AN366+'[2]побудинковий звіт'!AN366-'[3]побудинковий звіт'!AN366</f>
        <v>0</v>
      </c>
      <c r="AO366" s="56">
        <f t="shared" si="359"/>
        <v>0</v>
      </c>
      <c r="AP366" s="42">
        <f>'[1]побудинковий звіт'!AP366+'[2]побудинковий звіт'!AP366-'[3]побудинковий звіт'!AP366</f>
        <v>9091.3693717790375</v>
      </c>
      <c r="AQ366" s="42">
        <f>'[1]побудинковий звіт'!AQ366+'[2]побудинковий звіт'!AQ366-'[3]побудинковий звіт'!AQ366</f>
        <v>8308.4947996244027</v>
      </c>
      <c r="AR366" s="56">
        <f t="shared" si="360"/>
        <v>-782.87457215463473</v>
      </c>
      <c r="AS366" s="42">
        <f>'[1]побудинковий звіт'!AS366+'[2]побудинковий звіт'!AS366-'[3]побудинковий звіт'!AS366</f>
        <v>43454.168163723691</v>
      </c>
      <c r="AT366" s="42">
        <f>'[1]побудинковий звіт'!AT366+'[2]побудинковий звіт'!AT366-'[3]побудинковий звіт'!AT366</f>
        <v>0</v>
      </c>
      <c r="AU366" s="58">
        <f t="shared" si="375"/>
        <v>-43454.168163723691</v>
      </c>
      <c r="AV366" s="42">
        <f>'[1]побудинковий звіт'!AV366+'[2]побудинковий звіт'!AV366-'[3]побудинковий звіт'!AV366</f>
        <v>1858.8368832448157</v>
      </c>
      <c r="AW366" s="42">
        <f>'[1]побудинковий звіт'!AW366+'[2]побудинковий звіт'!AW366-'[3]побудинковий звіт'!AW366</f>
        <v>1075</v>
      </c>
      <c r="AX366" s="59">
        <f t="shared" si="376"/>
        <v>-783.83688324481568</v>
      </c>
      <c r="AY366" s="42">
        <f>'[1]побудинковий звіт'!AY366+'[2]побудинковий звіт'!AY366-'[3]побудинковий звіт'!AY366</f>
        <v>2949.4286120364909</v>
      </c>
      <c r="AZ366" s="42">
        <f>'[1]побудинковий звіт'!AZ366+'[2]побудинковий звіт'!AZ366-'[3]побудинковий звіт'!AZ366</f>
        <v>2965</v>
      </c>
      <c r="BA366" s="37">
        <f t="shared" si="377"/>
        <v>15.571387963509096</v>
      </c>
      <c r="BB366" s="42">
        <f>'[1]побудинковий звіт'!BB366+'[2]побудинковий звіт'!BB366-'[3]побудинковий звіт'!BB366</f>
        <v>2195.6646772248323</v>
      </c>
      <c r="BC366" s="42">
        <f>'[1]побудинковий звіт'!BC366+'[2]побудинковий звіт'!BC366-'[3]побудинковий звіт'!BC366</f>
        <v>626</v>
      </c>
      <c r="BD366" s="59">
        <f t="shared" si="378"/>
        <v>-1569.6646772248323</v>
      </c>
      <c r="BE366" s="42">
        <f>'[1]побудинковий звіт'!BE366+'[2]побудинковий звіт'!BE366-'[3]побудинковий звіт'!BE366</f>
        <v>0</v>
      </c>
      <c r="BF366" s="42">
        <f>'[1]побудинковий звіт'!BF366+'[2]побудинковий звіт'!BF366-'[3]побудинковий звіт'!BF366</f>
        <v>0</v>
      </c>
      <c r="BG366" s="39">
        <f t="shared" si="379"/>
        <v>0</v>
      </c>
      <c r="BH366" s="42">
        <f>'[1]побудинковий звіт'!BH366+'[2]побудинковий звіт'!BH366-'[3]побудинковий звіт'!BH366</f>
        <v>0</v>
      </c>
      <c r="BI366" s="42">
        <f>'[1]побудинковий звіт'!BI366+'[2]побудинковий звіт'!BI366-'[3]побудинковий звіт'!BI366</f>
        <v>0</v>
      </c>
      <c r="BJ366" s="59">
        <f t="shared" si="380"/>
        <v>0</v>
      </c>
      <c r="BK366" s="42">
        <f>'[1]побудинковий звіт'!BK366+'[2]побудинковий звіт'!BK366-'[3]побудинковий звіт'!BK366</f>
        <v>1052.8171621137847</v>
      </c>
      <c r="BL366" s="42">
        <f>'[1]побудинковий звіт'!BL366+'[2]побудинковий звіт'!BL366-'[3]побудинковий звіт'!BL366</f>
        <v>0</v>
      </c>
      <c r="BM366" s="39">
        <f t="shared" si="381"/>
        <v>-1052.8171621137847</v>
      </c>
      <c r="BN366" s="42">
        <f>'[1]побудинковий звіт'!BN366+'[2]побудинковий звіт'!BN366-'[3]побудинковий звіт'!BN366</f>
        <v>0</v>
      </c>
      <c r="BO366" s="42">
        <f>'[1]побудинковий звіт'!BO366+'[2]побудинковий звіт'!BO366-'[3]побудинковий звіт'!BO366</f>
        <v>0</v>
      </c>
      <c r="BP366" s="59">
        <f t="shared" si="382"/>
        <v>0</v>
      </c>
      <c r="BQ366" s="87">
        <f t="shared" si="338"/>
        <v>8056.7473346199231</v>
      </c>
      <c r="BR366" s="43">
        <f t="shared" si="385"/>
        <v>4666</v>
      </c>
      <c r="BS366" s="59">
        <f t="shared" si="383"/>
        <v>-3390.7473346199231</v>
      </c>
      <c r="BT366" s="42">
        <f>'[1]побудинковий звіт'!BT366+'[2]побудинковий звіт'!BT366-'[3]побудинковий звіт'!BT366</f>
        <v>17761.049342461734</v>
      </c>
      <c r="BU366" s="42">
        <f>'[1]побудинковий звіт'!BU366+'[2]побудинковий звіт'!BU366-'[3]побудинковий звіт'!BU366</f>
        <v>30537.756462996691</v>
      </c>
      <c r="BV366" s="56">
        <f t="shared" si="361"/>
        <v>12776.707120534957</v>
      </c>
      <c r="BW366" s="42">
        <f>'[1]побудинковий звіт'!BW366+'[2]побудинковий звіт'!BW366-'[3]побудинковий звіт'!BW366</f>
        <v>21105.416624243375</v>
      </c>
      <c r="BX366" s="42">
        <f>'[1]побудинковий звіт'!BX366+'[2]побудинковий звіт'!BX366-'[3]побудинковий звіт'!BX366</f>
        <v>24185.291892239191</v>
      </c>
      <c r="BY366" s="56">
        <f t="shared" si="362"/>
        <v>3079.8752679958161</v>
      </c>
      <c r="BZ366" s="42">
        <f>'[1]побудинковий звіт'!BZ366+'[2]побудинковий звіт'!BZ366-'[3]побудинковий звіт'!BZ366</f>
        <v>10301.848853420943</v>
      </c>
      <c r="CA366" s="42">
        <f>'[1]побудинковий звіт'!CA366+'[2]побудинковий звіт'!CA366-'[3]побудинковий звіт'!CA366</f>
        <v>6581.251069570626</v>
      </c>
      <c r="CB366" s="56">
        <f t="shared" si="363"/>
        <v>-3720.5977838503168</v>
      </c>
      <c r="CC366" s="42">
        <f>'[1]побудинковий звіт'!CC366+'[2]побудинковий звіт'!CC366-'[3]побудинковий звіт'!CC366</f>
        <v>700.03544162698608</v>
      </c>
      <c r="CD366" s="42">
        <f>'[1]побудинковий звіт'!CD366+'[2]побудинковий звіт'!CD366-'[3]побудинковий звіт'!CD366</f>
        <v>693.87843200351597</v>
      </c>
      <c r="CE366" s="56">
        <f t="shared" si="364"/>
        <v>-6.1570096234701168</v>
      </c>
      <c r="CF366" s="42">
        <f>'[1]побудинковий звіт'!CF366+'[2]побудинковий звіт'!CF366-'[3]побудинковий звіт'!CF366</f>
        <v>86.178605503322117</v>
      </c>
      <c r="CG366" s="42">
        <f>'[1]побудинковий звіт'!CG366+'[2]побудинковий звіт'!CG366-'[3]побудинковий звіт'!CG366</f>
        <v>0</v>
      </c>
      <c r="CH366" s="56">
        <f t="shared" si="365"/>
        <v>-86.178605503322117</v>
      </c>
      <c r="CI366" s="42">
        <f>'[1]побудинковий звіт'!CI366+'[2]побудинковий звіт'!CI366-'[3]побудинковий звіт'!CI366</f>
        <v>5109.8843733734529</v>
      </c>
      <c r="CJ366" s="42">
        <f>'[1]побудинковий звіт'!CJ366+'[2]побудинковий звіт'!CJ366-'[3]побудинковий звіт'!CJ366</f>
        <v>4104.8153169020607</v>
      </c>
      <c r="CK366" s="56">
        <f t="shared" si="366"/>
        <v>-1005.0690564713923</v>
      </c>
      <c r="CL366" s="42">
        <f>'[1]побудинковий звіт'!CL366+'[2]побудинковий звіт'!CL366-'[3]побудинковий звіт'!CL366</f>
        <v>0</v>
      </c>
      <c r="CM366" s="42">
        <f>'[1]побудинковий звіт'!CM366+'[2]побудинковий звіт'!CM366-'[3]побудинковий звіт'!CM366</f>
        <v>0</v>
      </c>
      <c r="CN366" s="56">
        <f t="shared" si="367"/>
        <v>0</v>
      </c>
      <c r="CO366" s="42">
        <f t="shared" si="347"/>
        <v>5109.8843733734529</v>
      </c>
      <c r="CP366" s="43">
        <f t="shared" si="368"/>
        <v>4104.8153169020607</v>
      </c>
      <c r="CQ366" s="56">
        <f t="shared" si="369"/>
        <v>-1005.0690564713923</v>
      </c>
      <c r="CR366" s="78">
        <f t="shared" si="348"/>
        <v>155992.55247316803</v>
      </c>
      <c r="CS366" s="5">
        <f t="shared" si="348"/>
        <v>115466.37193924113</v>
      </c>
      <c r="CT366" s="56">
        <f t="shared" si="370"/>
        <v>-40526.180533926905</v>
      </c>
      <c r="CU366" s="87">
        <f t="shared" si="371"/>
        <v>187191.06296780164</v>
      </c>
      <c r="CV366" s="70">
        <f t="shared" si="372"/>
        <v>138559.64632708934</v>
      </c>
      <c r="CW366" s="37">
        <f t="shared" si="373"/>
        <v>-48631.416640712298</v>
      </c>
      <c r="CX366" s="42">
        <f>'[1]побудинковий звіт'!CX366+'[2]побудинковий звіт'!CX366-'[3]побудинковий звіт'!CX366</f>
        <v>-1054.2629678016892</v>
      </c>
      <c r="CY366" s="42">
        <f>'[1]побудинковий звіт'!CY366+'[2]побудинковий звіт'!CY366-'[3]побудинковий звіт'!CY366</f>
        <v>47577.153672910674</v>
      </c>
      <c r="CZ366" s="56">
        <f t="shared" si="374"/>
        <v>48631.416640712363</v>
      </c>
      <c r="DA366" s="264">
        <f>'[4]побудинковий звіт'!DA366</f>
        <v>-32216.669069925465</v>
      </c>
      <c r="DB366" s="2">
        <v>2</v>
      </c>
      <c r="DC366" s="717">
        <f>'[4]побудинковий звіт'!DC366</f>
        <v>26127.73</v>
      </c>
      <c r="DD366" s="717">
        <f>'[4]побудинковий звіт'!DD366</f>
        <v>11210.449999999999</v>
      </c>
      <c r="DE366" s="717">
        <f>'[4]побудинковий звіт'!DE366</f>
        <v>13881.38</v>
      </c>
      <c r="DF366" s="717">
        <f>'[4]побудинковий звіт'!DF366</f>
        <v>7873.4999999999991</v>
      </c>
      <c r="DG366" s="787">
        <v>33336.06155793817</v>
      </c>
      <c r="DH366" s="761">
        <f t="shared" si="344"/>
        <v>2233641.5999999996</v>
      </c>
      <c r="DI366" s="784"/>
      <c r="DJ366" s="5"/>
      <c r="DK366" s="317">
        <f>VLOOKUP($A366,ціни!$A$4:$G$401,5)</f>
        <v>4.7928717224484174</v>
      </c>
      <c r="DL366" s="317"/>
      <c r="DM366" s="317">
        <f>VLOOKUP($A366,ціни!$A$4:$G$401,7)</f>
        <v>3.9668603481678271</v>
      </c>
      <c r="DN366" s="30">
        <f>F366*DK366</f>
        <v>21306.71124214444</v>
      </c>
      <c r="DO366" s="30">
        <f>H366*DM366</f>
        <v>3336.9229248787765</v>
      </c>
      <c r="DP366" s="316">
        <f t="shared" si="390"/>
        <v>24643.634167023218</v>
      </c>
      <c r="DQ366" s="104"/>
      <c r="DR366" s="30">
        <f>VLOOKUP(A366,'ДЗ нас '!$A$1:$C$359,2)</f>
        <v>12246.35</v>
      </c>
      <c r="DS366" s="748">
        <f>VLOOKUP(A366,'ДЗ нежит'!$A$1:$D$153,4,0)</f>
        <v>3336.95</v>
      </c>
      <c r="DT366" s="30">
        <f t="shared" si="391"/>
        <v>15583.3</v>
      </c>
      <c r="DU366" s="257">
        <f>VLOOKUP(A366,'новий кошторис с 01.06'!$A$4:$AI$399,35)*1.2</f>
        <v>15599.255247316807</v>
      </c>
      <c r="DV366" s="30">
        <f t="shared" si="392"/>
        <v>-15.9552473168078</v>
      </c>
      <c r="DW366" s="930">
        <f>'[5]побудинковий звіт'!DW366+'[6]побудинковий звіт'!DW366</f>
        <v>236</v>
      </c>
      <c r="DY366" s="5">
        <f t="shared" si="340"/>
        <v>61813.098598012337</v>
      </c>
      <c r="DZ366" s="5">
        <f t="shared" si="341"/>
        <v>5599.2</v>
      </c>
      <c r="EA366" s="752">
        <f t="shared" si="345"/>
        <v>21754.879999999997</v>
      </c>
      <c r="EC366" s="592">
        <f t="shared" si="342"/>
        <v>521450.01796468429</v>
      </c>
      <c r="EE366" s="758">
        <v>49128</v>
      </c>
      <c r="EF366" s="738">
        <f t="shared" si="343"/>
        <v>82464.06155793817</v>
      </c>
      <c r="EH366" s="813">
        <v>3846.9263859946259</v>
      </c>
    </row>
    <row r="367" spans="1:138" ht="15" thickBot="1" x14ac:dyDescent="0.35">
      <c r="A367" s="328">
        <v>150000885</v>
      </c>
      <c r="B367" s="48" t="s">
        <v>820</v>
      </c>
      <c r="C367" s="49" t="s">
        <v>238</v>
      </c>
      <c r="D367" s="49" t="s">
        <v>238</v>
      </c>
      <c r="E367" s="514">
        <f t="shared" si="384"/>
        <v>4637.3999999999996</v>
      </c>
      <c r="F367" s="517">
        <v>4591.2</v>
      </c>
      <c r="G367" s="518"/>
      <c r="H367" s="30">
        <v>46.2</v>
      </c>
      <c r="I367" s="42">
        <f>'[1]побудинковий звіт'!I367+'[2]побудинковий звіт'!I367-'[3]побудинковий звіт'!I367</f>
        <v>5374.2936535920617</v>
      </c>
      <c r="J367" s="42">
        <f>'[1]побудинковий звіт'!J367+'[2]побудинковий звіт'!J367-'[3]побудинковий звіт'!J367</f>
        <v>5351.7544399126036</v>
      </c>
      <c r="K367" s="60">
        <f t="shared" si="349"/>
        <v>-22.539213679458044</v>
      </c>
      <c r="L367" s="42">
        <f>'[1]побудинковий звіт'!L367+'[2]побудинковий звіт'!L367-'[3]побудинковий звіт'!L367</f>
        <v>930.88980632443668</v>
      </c>
      <c r="M367" s="42">
        <f>'[1]побудинковий звіт'!M367+'[2]побудинковий звіт'!M367-'[3]побудинковий звіт'!M367</f>
        <v>952.22232174863211</v>
      </c>
      <c r="N367" s="60">
        <f t="shared" si="350"/>
        <v>21.332515424195435</v>
      </c>
      <c r="O367" s="42">
        <f>'[1]побудинковий звіт'!O367+'[2]побудинковий звіт'!O367-'[3]побудинковий звіт'!O367</f>
        <v>2179.4399999999996</v>
      </c>
      <c r="P367" s="42">
        <f>'[1]побудинковий звіт'!P367+'[2]побудинковий звіт'!P367-'[3]побудинковий звіт'!P367</f>
        <v>1713.1316193548387</v>
      </c>
      <c r="Q367" s="60">
        <f t="shared" si="351"/>
        <v>-466.30838064516092</v>
      </c>
      <c r="R367" s="42">
        <f>'[1]побудинковий звіт'!R367+'[2]побудинковий звіт'!R367-'[3]побудинковий звіт'!R367</f>
        <v>0</v>
      </c>
      <c r="S367" s="42">
        <f>'[1]побудинковий звіт'!S367+'[2]побудинковий звіт'!S367-'[3]побудинковий звіт'!S367</f>
        <v>0</v>
      </c>
      <c r="T367" s="60">
        <f t="shared" si="352"/>
        <v>0</v>
      </c>
      <c r="U367" s="42">
        <f>'[1]побудинковий звіт'!U367+'[2]побудинковий звіт'!U367-'[3]побудинковий звіт'!U367</f>
        <v>0</v>
      </c>
      <c r="V367" s="42">
        <f>'[1]побудинковий звіт'!V367+'[2]побудинковий звіт'!V367-'[3]побудинковий звіт'!V367</f>
        <v>0</v>
      </c>
      <c r="W367" s="60">
        <f t="shared" si="353"/>
        <v>0</v>
      </c>
      <c r="X367" s="42">
        <f>'[1]побудинковий звіт'!X367+'[2]побудинковий звіт'!X367-'[3]побудинковий звіт'!X367</f>
        <v>3078.7900674992229</v>
      </c>
      <c r="Y367" s="42">
        <f>'[1]побудинковий звіт'!Y367+'[2]побудинковий звіт'!Y367-'[3]побудинковий звіт'!Y367</f>
        <v>2243.3352901724684</v>
      </c>
      <c r="Z367" s="60">
        <f t="shared" si="354"/>
        <v>-835.45477732675454</v>
      </c>
      <c r="AA367" s="42">
        <f>'[1]побудинковий звіт'!AA367+'[2]побудинковий звіт'!AA367-'[3]побудинковий звіт'!AA367</f>
        <v>0</v>
      </c>
      <c r="AB367" s="42">
        <f>'[1]побудинковий звіт'!AB367+'[2]побудинковий звіт'!AB367-'[3]побудинковий звіт'!AB367</f>
        <v>0</v>
      </c>
      <c r="AC367" s="60">
        <f t="shared" si="355"/>
        <v>0</v>
      </c>
      <c r="AD367" s="42">
        <f>'[1]побудинковий звіт'!AD367+'[2]побудинковий звіт'!AD367-'[3]побудинковий звіт'!AD367</f>
        <v>6390.657809526735</v>
      </c>
      <c r="AE367" s="42">
        <f>'[1]побудинковий звіт'!AE367+'[2]побудинковий звіт'!AE367-'[3]побудинковий звіт'!AE367</f>
        <v>5890.2472350336529</v>
      </c>
      <c r="AF367" s="38">
        <f t="shared" si="356"/>
        <v>-500.41057449308209</v>
      </c>
      <c r="AG367" s="90">
        <f t="shared" si="346"/>
        <v>17954.071336942456</v>
      </c>
      <c r="AH367" s="61">
        <f t="shared" si="346"/>
        <v>16150.690906222197</v>
      </c>
      <c r="AI367" s="60">
        <f t="shared" si="357"/>
        <v>-1803.380430720259</v>
      </c>
      <c r="AJ367" s="42">
        <f>'[1]побудинковий звіт'!AJ367+'[2]побудинковий звіт'!AJ367-'[3]побудинковий звіт'!AJ367</f>
        <v>0</v>
      </c>
      <c r="AK367" s="42">
        <f>'[1]побудинковий звіт'!AK367+'[2]побудинковий звіт'!AK367-'[3]побудинковий звіт'!AK367</f>
        <v>0</v>
      </c>
      <c r="AL367" s="60">
        <f t="shared" si="358"/>
        <v>0</v>
      </c>
      <c r="AM367" s="42">
        <f>'[1]побудинковий звіт'!AM367+'[2]побудинковий звіт'!AM367-'[3]побудинковий звіт'!AM367</f>
        <v>0</v>
      </c>
      <c r="AN367" s="42">
        <f>'[1]побудинковий звіт'!AN367+'[2]побудинковий звіт'!AN367-'[3]побудинковий звіт'!AN367</f>
        <v>0</v>
      </c>
      <c r="AO367" s="60">
        <f t="shared" si="359"/>
        <v>0</v>
      </c>
      <c r="AP367" s="42">
        <f>'[1]побудинковий звіт'!AP367+'[2]побудинковий звіт'!AP367-'[3]побудинковий звіт'!AP367</f>
        <v>4545.6846858895187</v>
      </c>
      <c r="AQ367" s="42">
        <f>'[1]побудинковий звіт'!AQ367+'[2]побудинковий звіт'!AQ367-'[3]побудинковий звіт'!AQ367</f>
        <v>4471.6550200338334</v>
      </c>
      <c r="AR367" s="60">
        <f t="shared" si="360"/>
        <v>-74.02966585568538</v>
      </c>
      <c r="AS367" s="42">
        <f>'[1]побудинковий звіт'!AS367+'[2]побудинковий звіт'!AS367-'[3]побудинковий звіт'!AS367</f>
        <v>20188.701100501145</v>
      </c>
      <c r="AT367" s="42">
        <f>'[1]побудинковий звіт'!AT367+'[2]побудинковий звіт'!AT367-'[3]побудинковий звіт'!AT367</f>
        <v>571</v>
      </c>
      <c r="AU367" s="64">
        <f t="shared" si="375"/>
        <v>-19617.701100501145</v>
      </c>
      <c r="AV367" s="42">
        <f>'[1]побудинковий звіт'!AV367+'[2]побудинковий звіт'!AV367-'[3]побудинковий звіт'!AV367</f>
        <v>892.01370037999766</v>
      </c>
      <c r="AW367" s="42">
        <f>'[1]побудинковий звіт'!AW367+'[2]побудинковий звіт'!AW367-'[3]побудинковий звіт'!AW367</f>
        <v>0</v>
      </c>
      <c r="AX367" s="76">
        <f t="shared" si="376"/>
        <v>-892.01370037999766</v>
      </c>
      <c r="AY367" s="42">
        <f>'[1]побудинковий звіт'!AY367+'[2]побудинковий звіт'!AY367-'[3]побудинковий звіт'!AY367</f>
        <v>1199.9207699340923</v>
      </c>
      <c r="AZ367" s="42">
        <f>'[1]побудинковий звіт'!AZ367+'[2]побудинковий звіт'!AZ367-'[3]побудинковий звіт'!AZ367</f>
        <v>0</v>
      </c>
      <c r="BA367" s="38">
        <f t="shared" si="377"/>
        <v>-1199.9207699340923</v>
      </c>
      <c r="BB367" s="42">
        <f>'[1]побудинковий звіт'!BB367+'[2]побудинковий звіт'!BB367-'[3]побудинковий звіт'!BB367</f>
        <v>906.91239594808542</v>
      </c>
      <c r="BC367" s="42">
        <f>'[1]побудинковий звіт'!BC367+'[2]побудинковий звіт'!BC367-'[3]побудинковий звіт'!BC367</f>
        <v>907</v>
      </c>
      <c r="BD367" s="76">
        <f t="shared" si="378"/>
        <v>8.760405191458176E-2</v>
      </c>
      <c r="BE367" s="42">
        <f>'[1]побудинковий звіт'!BE367+'[2]побудинковий звіт'!BE367-'[3]побудинковий звіт'!BE367</f>
        <v>0</v>
      </c>
      <c r="BF367" s="42">
        <f>'[1]побудинковий звіт'!BF367+'[2]побудинковий звіт'!BF367-'[3]побудинковий звіт'!BF367</f>
        <v>0</v>
      </c>
      <c r="BG367" s="74">
        <f t="shared" si="379"/>
        <v>0</v>
      </c>
      <c r="BH367" s="42">
        <f>'[1]побудинковий звіт'!BH367+'[2]побудинковий звіт'!BH367-'[3]побудинковий звіт'!BH367</f>
        <v>0</v>
      </c>
      <c r="BI367" s="42">
        <f>'[1]побудинковий звіт'!BI367+'[2]побудинковий звіт'!BI367-'[3]побудинковий звіт'!BI367</f>
        <v>0</v>
      </c>
      <c r="BJ367" s="76">
        <f t="shared" si="380"/>
        <v>0</v>
      </c>
      <c r="BK367" s="42">
        <f>'[1]побудинковий звіт'!BK367+'[2]побудинковий звіт'!BK367-'[3]побудинковий звіт'!BK367</f>
        <v>360.33701886344977</v>
      </c>
      <c r="BL367" s="42">
        <f>'[1]побудинковий звіт'!BL367+'[2]побудинковий звіт'!BL367-'[3]побудинковий звіт'!BL367</f>
        <v>220</v>
      </c>
      <c r="BM367" s="74">
        <f>BL367-BK367</f>
        <v>-140.33701886344977</v>
      </c>
      <c r="BN367" s="42">
        <f>'[1]побудинковий звіт'!BN367+'[2]побудинковий звіт'!BN367-'[3]побудинковий звіт'!BN367</f>
        <v>0</v>
      </c>
      <c r="BO367" s="42">
        <f>'[1]побудинковий звіт'!BO367+'[2]побудинковий звіт'!BO367-'[3]побудинковий звіт'!BO367</f>
        <v>0</v>
      </c>
      <c r="BP367" s="76">
        <f t="shared" si="382"/>
        <v>0</v>
      </c>
      <c r="BQ367" s="62">
        <f t="shared" si="338"/>
        <v>3359.1838851256252</v>
      </c>
      <c r="BR367" s="36">
        <f t="shared" si="385"/>
        <v>1127</v>
      </c>
      <c r="BS367" s="76">
        <f t="shared" si="383"/>
        <v>-2232.1838851256252</v>
      </c>
      <c r="BT367" s="42">
        <f>'[1]побудинковий звіт'!BT367+'[2]побудинковий звіт'!BT367-'[3]побудинковий звіт'!BT367</f>
        <v>20101.367936049628</v>
      </c>
      <c r="BU367" s="42">
        <f>'[1]побудинковий звіт'!BU367+'[2]побудинковий звіт'!BU367-'[3]побудинковий звіт'!BU367</f>
        <v>25268.01290037495</v>
      </c>
      <c r="BV367" s="60">
        <f t="shared" si="361"/>
        <v>5166.6449643253218</v>
      </c>
      <c r="BW367" s="42">
        <f>'[1]побудинковий звіт'!BW367+'[2]побудинковий звіт'!BW367-'[3]побудинковий звіт'!BW367</f>
        <v>9497.2622932488648</v>
      </c>
      <c r="BX367" s="42">
        <f>'[1]побудинковий звіт'!BX367+'[2]побудинковий звіт'!BX367-'[3]побудинковий звіт'!BX367</f>
        <v>10977.907815141116</v>
      </c>
      <c r="BY367" s="60">
        <f t="shared" si="362"/>
        <v>1480.6455218922511</v>
      </c>
      <c r="BZ367" s="42">
        <f>'[1]побудинковий звіт'!BZ367+'[2]побудинковий звіт'!BZ367-'[3]побудинковий звіт'!BZ367</f>
        <v>5477.1391242753143</v>
      </c>
      <c r="CA367" s="42">
        <f>'[1]побудинковий звіт'!CA367+'[2]побудинковий звіт'!CA367-'[3]побудинковий звіт'!CA367</f>
        <v>4942.574738028994</v>
      </c>
      <c r="CB367" s="60">
        <f t="shared" si="363"/>
        <v>-534.56438624632028</v>
      </c>
      <c r="CC367" s="42">
        <f>'[1]побудинковий звіт'!CC367+'[2]побудинковий звіт'!CC367-'[3]побудинковий звіт'!CC367</f>
        <v>247.0713323389362</v>
      </c>
      <c r="CD367" s="42">
        <f>'[1]побудинковий звіт'!CD367+'[2]побудинковий звіт'!CD367-'[3]побудинковий звіт'!CD367</f>
        <v>244.89827011888795</v>
      </c>
      <c r="CE367" s="60">
        <f t="shared" si="364"/>
        <v>-2.1730622200482514</v>
      </c>
      <c r="CF367" s="42">
        <f>'[1]побудинковий звіт'!CF367+'[2]побудинковий звіт'!CF367-'[3]побудинковий звіт'!CF367</f>
        <v>30.415978412937225</v>
      </c>
      <c r="CG367" s="42">
        <f>'[1]побудинковий звіт'!CG367+'[2]побудинковий звіт'!CG367-'[3]побудинковий звіт'!CG367</f>
        <v>0</v>
      </c>
      <c r="CH367" s="60">
        <f t="shared" si="365"/>
        <v>-30.415978412937225</v>
      </c>
      <c r="CI367" s="42">
        <f>'[1]побудинковий звіт'!CI367+'[2]побудинковий звіт'!CI367-'[3]побудинковий звіт'!CI367</f>
        <v>1684.5772659472925</v>
      </c>
      <c r="CJ367" s="42">
        <f>'[1]побудинковий звіт'!CJ367+'[2]побудинковий звіт'!CJ367-'[3]побудинковий звіт'!CJ367</f>
        <v>1660.9478748022302</v>
      </c>
      <c r="CK367" s="60">
        <f t="shared" si="366"/>
        <v>-23.6293911450623</v>
      </c>
      <c r="CL367" s="42">
        <f>'[1]побудинковий звіт'!CL367+'[2]побудинковий звіт'!CL367-'[3]побудинковий звіт'!CL367</f>
        <v>0</v>
      </c>
      <c r="CM367" s="42">
        <f>'[1]побудинковий звіт'!CM367+'[2]побудинковий звіт'!CM367-'[3]побудинковий звіт'!CM367</f>
        <v>0</v>
      </c>
      <c r="CN367" s="60">
        <f t="shared" si="367"/>
        <v>0</v>
      </c>
      <c r="CO367" s="77">
        <f t="shared" si="347"/>
        <v>1684.5772659472925</v>
      </c>
      <c r="CP367" s="43">
        <f t="shared" si="368"/>
        <v>1660.9478748022302</v>
      </c>
      <c r="CQ367" s="60">
        <f t="shared" si="369"/>
        <v>-23.6293911450623</v>
      </c>
      <c r="CR367" s="75">
        <f t="shared" si="348"/>
        <v>83085.474938731713</v>
      </c>
      <c r="CS367" s="5">
        <f t="shared" si="348"/>
        <v>65414.687524722205</v>
      </c>
      <c r="CT367" s="60">
        <f t="shared" si="370"/>
        <v>-17670.787414009508</v>
      </c>
      <c r="CU367" s="87">
        <f t="shared" si="371"/>
        <v>99702.569926478056</v>
      </c>
      <c r="CV367" s="70">
        <f t="shared" si="372"/>
        <v>78497.62502966664</v>
      </c>
      <c r="CW367" s="38">
        <f t="shared" si="373"/>
        <v>-21204.944896811416</v>
      </c>
      <c r="CX367" s="42">
        <f>'[1]побудинковий звіт'!CX367+'[2]побудинковий звіт'!CX367-'[3]побудинковий звіт'!CX367</f>
        <v>2496.8700735219318</v>
      </c>
      <c r="CY367" s="42">
        <f>'[1]побудинковий звіт'!CY367+'[2]побудинковий звіт'!CY367-'[3]побудинковий звіт'!CY367</f>
        <v>23701.81497033334</v>
      </c>
      <c r="CZ367" s="60">
        <f t="shared" si="374"/>
        <v>21204.944896811408</v>
      </c>
      <c r="DA367" s="264">
        <f>'[4]побудинковий звіт'!DA367</f>
        <v>-45229.884610456706</v>
      </c>
      <c r="DB367" s="2">
        <v>2</v>
      </c>
      <c r="DC367" s="717">
        <f>'[4]побудинковий звіт'!DC367</f>
        <v>8263.66</v>
      </c>
      <c r="DD367" s="717">
        <f>'[4]побудинковий звіт'!DD367</f>
        <v>-466.32</v>
      </c>
      <c r="DE367" s="717">
        <f>'[4]побудинковий звіт'!DE367</f>
        <v>-19.799999999999272</v>
      </c>
      <c r="DF367" s="717">
        <f>'[4]побудинковий звіт'!DF367</f>
        <v>-699.48</v>
      </c>
      <c r="DG367" s="787">
        <v>-55904.216103311774</v>
      </c>
      <c r="DH367" s="762">
        <f t="shared" si="344"/>
        <v>1226393.2799999998</v>
      </c>
      <c r="DI367" s="784"/>
      <c r="DJ367" s="5"/>
      <c r="DK367" s="317">
        <f>VLOOKUP($A367,ціни!$A$4:$G$401,5)</f>
        <v>5.7187957935822613</v>
      </c>
      <c r="DL367" s="317"/>
      <c r="DM367" s="317">
        <f>VLOOKUP($A367,ціни!$A$4:$G$401,7)</f>
        <v>5.0466959695985496</v>
      </c>
      <c r="DN367" s="30">
        <f>F367*DK367</f>
        <v>26256.135247494876</v>
      </c>
      <c r="DO367" s="30">
        <f>H367*DM367</f>
        <v>233.15735379545302</v>
      </c>
      <c r="DP367" s="316">
        <f t="shared" si="390"/>
        <v>26489.29260129033</v>
      </c>
      <c r="DQ367" s="104"/>
      <c r="DR367" s="30">
        <f>VLOOKUP(A367,'ДЗ нас '!$A$1:$C$359,2)</f>
        <v>8283.4599999999991</v>
      </c>
      <c r="DS367" s="748">
        <f>VLOOKUP(A367,'ДЗ нежит'!$A$1:$D$153,4,0)</f>
        <v>233.16</v>
      </c>
      <c r="DT367" s="30">
        <f t="shared" si="391"/>
        <v>8516.619999999999</v>
      </c>
      <c r="DU367" s="257">
        <f>VLOOKUP(A367,'новий кошторис с 01.06'!$A$4:$AI$399,35)*1.2</f>
        <v>8557.8039186893657</v>
      </c>
      <c r="DV367" s="30">
        <f t="shared" si="392"/>
        <v>-41.183918689366692</v>
      </c>
      <c r="DW367" s="930">
        <f>'[5]побудинковий звіт'!DW367+'[6]побудинковий звіт'!DW367</f>
        <v>204</v>
      </c>
      <c r="DY367" s="5">
        <f t="shared" si="340"/>
        <v>28257.461982752124</v>
      </c>
      <c r="DZ367" s="5">
        <f t="shared" si="341"/>
        <v>2037.6</v>
      </c>
      <c r="EA367" s="752">
        <f t="shared" si="345"/>
        <v>-719.27999999999929</v>
      </c>
      <c r="EC367" s="592">
        <f t="shared" si="342"/>
        <v>242264.41320601373</v>
      </c>
      <c r="EE367" s="758">
        <v>26197</v>
      </c>
      <c r="EF367" s="738">
        <f t="shared" si="343"/>
        <v>-29707.216103311774</v>
      </c>
      <c r="EH367" s="813">
        <v>-27526.684765904767</v>
      </c>
    </row>
    <row r="368" spans="1:138" s="4" customFormat="1" ht="24.75" customHeight="1" thickBot="1" x14ac:dyDescent="0.35">
      <c r="A368" s="329"/>
      <c r="B368" s="51"/>
      <c r="C368" s="52" t="s">
        <v>824</v>
      </c>
      <c r="D368" s="52"/>
      <c r="E368" s="203">
        <f t="shared" ref="E368:H368" si="393">SUM(E9:E367)</f>
        <v>1005804.1400000005</v>
      </c>
      <c r="F368" s="516">
        <v>4566.7</v>
      </c>
      <c r="G368" s="519">
        <f t="shared" si="393"/>
        <v>52630.140000000014</v>
      </c>
      <c r="H368" s="319">
        <f t="shared" si="393"/>
        <v>52727.12999999999</v>
      </c>
      <c r="I368" s="69">
        <f t="shared" ref="I368:J368" si="394">SUM(I9:I367)</f>
        <v>3192223.1263852497</v>
      </c>
      <c r="J368" s="67">
        <f t="shared" si="394"/>
        <v>2961621.8826939021</v>
      </c>
      <c r="K368" s="68">
        <f>J368-I368</f>
        <v>-230601.24369134754</v>
      </c>
      <c r="L368" s="66">
        <f>SUM(L9:L367)</f>
        <v>598809.43046173151</v>
      </c>
      <c r="M368" s="67">
        <f>SUM(M9:M367)</f>
        <v>586516.51858963561</v>
      </c>
      <c r="N368" s="65">
        <f>M368-L368</f>
        <v>-12292.911872095894</v>
      </c>
      <c r="O368" s="69">
        <f>SUM(O9:O367)</f>
        <v>1382779.2</v>
      </c>
      <c r="P368" s="67">
        <f>SUM(P9:P367)</f>
        <v>1204377.7067474469</v>
      </c>
      <c r="Q368" s="68">
        <f>P368-O368</f>
        <v>-178401.49325255305</v>
      </c>
      <c r="R368" s="66">
        <f>SUM(R9:R367)</f>
        <v>188971.56000000006</v>
      </c>
      <c r="S368" s="67">
        <f>SUM(S9:S367)</f>
        <v>164574.78508981178</v>
      </c>
      <c r="T368" s="65">
        <f>S368-R368</f>
        <v>-24396.77491018828</v>
      </c>
      <c r="U368" s="69">
        <f>SUM(U9:U367)</f>
        <v>159115.20039849685</v>
      </c>
      <c r="V368" s="67">
        <f>SUM(V9:V367)</f>
        <v>115228.70389510303</v>
      </c>
      <c r="W368" s="68">
        <f>V368-U368</f>
        <v>-43886.496503393821</v>
      </c>
      <c r="X368" s="66">
        <f>SUM(X9:X367)</f>
        <v>2111379.851530131</v>
      </c>
      <c r="Y368" s="67">
        <f>SUM(Y9:Y367)</f>
        <v>1846497.9250324264</v>
      </c>
      <c r="Z368" s="65">
        <f>Y368-X368</f>
        <v>-264881.92649770458</v>
      </c>
      <c r="AA368" s="66">
        <f>SUM(AA9:AA367)</f>
        <v>0</v>
      </c>
      <c r="AB368" s="67">
        <f>SUM(AB9:AB367)</f>
        <v>0</v>
      </c>
      <c r="AC368" s="65">
        <f>AB368-AA368</f>
        <v>0</v>
      </c>
      <c r="AD368" s="69">
        <f>SUM(AD9:AD367)</f>
        <v>4241474.5854599988</v>
      </c>
      <c r="AE368" s="67">
        <f>SUM(AE9:AE367)</f>
        <v>3932270.6220195945</v>
      </c>
      <c r="AF368" s="68">
        <f>AE368-AD368</f>
        <v>-309203.96344040427</v>
      </c>
      <c r="AG368" s="66">
        <f>SUM(AG9:AG367)</f>
        <v>11874752.9542356</v>
      </c>
      <c r="AH368" s="67">
        <f>SUM(AH9:AH367)</f>
        <v>10811088.144067921</v>
      </c>
      <c r="AI368" s="65">
        <f>AH368-AG368</f>
        <v>-1063664.8101676796</v>
      </c>
      <c r="AJ368" s="69">
        <f>SUM(AJ9:AJ367)</f>
        <v>5202201.0792998839</v>
      </c>
      <c r="AK368" s="67">
        <f>SUM(AK9:AK367)</f>
        <v>5105968.4875319926</v>
      </c>
      <c r="AL368" s="68">
        <f>AK368-AJ368</f>
        <v>-96232.59176789131</v>
      </c>
      <c r="AM368" s="66">
        <f>SUM(AM9:AM367)</f>
        <v>75857.049072040201</v>
      </c>
      <c r="AN368" s="67">
        <f>SUM(AN9:AN367)</f>
        <v>118826.78740394441</v>
      </c>
      <c r="AO368" s="68">
        <f>AN368-AM368</f>
        <v>42969.738331904213</v>
      </c>
      <c r="AP368" s="66">
        <f>SUM(AP9:AP367)</f>
        <v>1516483.0270066741</v>
      </c>
      <c r="AQ368" s="67">
        <f>SUM(AQ9:AQ367)</f>
        <v>1555834.3755018793</v>
      </c>
      <c r="AR368" s="68">
        <f>AQ368-AP368</f>
        <v>39351.348495205166</v>
      </c>
      <c r="AS368" s="66">
        <f>SUM(AS9:AS367)</f>
        <v>15397327.843223775</v>
      </c>
      <c r="AT368" s="67">
        <f>SUM(AT9:AT367)</f>
        <v>13699562.151851606</v>
      </c>
      <c r="AU368" s="65">
        <f>AT368-AS368</f>
        <v>-1697765.6913721692</v>
      </c>
      <c r="AV368" s="66">
        <f>SUM(AV9:AV367)</f>
        <v>384471.14196236705</v>
      </c>
      <c r="AW368" s="67">
        <f>SUM(AW9:AW367)</f>
        <v>427894.4034832904</v>
      </c>
      <c r="AX368" s="65">
        <f>AW368-AV368</f>
        <v>43423.261520923348</v>
      </c>
      <c r="AY368" s="69">
        <f>SUM(AY9:AY367)</f>
        <v>557000.7958013704</v>
      </c>
      <c r="AZ368" s="67">
        <f>SUM(AZ9:AZ367)</f>
        <v>503525.14504261717</v>
      </c>
      <c r="BA368" s="68">
        <f>AZ368-AY368</f>
        <v>-53475.65075875324</v>
      </c>
      <c r="BB368" s="66">
        <f>SUM(BB9:BB367)</f>
        <v>485533.06740623887</v>
      </c>
      <c r="BC368" s="67">
        <f>SUM(BC9:BC367)</f>
        <v>314820.11983599188</v>
      </c>
      <c r="BD368" s="65">
        <f>BC368-BB368</f>
        <v>-170712.94757024699</v>
      </c>
      <c r="BE368" s="69">
        <f>SUM(BE9:BE367)</f>
        <v>100804.79574391781</v>
      </c>
      <c r="BF368" s="67">
        <f>SUM(BF9:BF367)</f>
        <v>28104</v>
      </c>
      <c r="BG368" s="68">
        <f>BF368-BE368</f>
        <v>-72700.795743917814</v>
      </c>
      <c r="BH368" s="66">
        <f>SUM(BH9:BH367)</f>
        <v>87637.225335818235</v>
      </c>
      <c r="BI368" s="67">
        <f>SUM(BI9:BI367)</f>
        <v>89151.662528232002</v>
      </c>
      <c r="BJ368" s="65">
        <f>BI368-BH368</f>
        <v>1514.4371924137668</v>
      </c>
      <c r="BK368" s="69">
        <f>SUM(BK9:BK367)</f>
        <v>257688.07043680636</v>
      </c>
      <c r="BL368" s="67">
        <f>SUM(BL9:BL367)</f>
        <v>739270.72443688789</v>
      </c>
      <c r="BM368" s="68">
        <f>BL368-BK368</f>
        <v>481582.65400008153</v>
      </c>
      <c r="BN368" s="66">
        <f>SUM(BN9:BN367)</f>
        <v>46413.052885142621</v>
      </c>
      <c r="BO368" s="67">
        <f>SUM(BO9:BO367)</f>
        <v>102803</v>
      </c>
      <c r="BP368" s="65">
        <f>BO368-BN368</f>
        <v>56389.947114857379</v>
      </c>
      <c r="BQ368" s="66">
        <f>SUM(BQ9:BQ367)</f>
        <v>1919548.1495716614</v>
      </c>
      <c r="BR368" s="67">
        <f>SUM(BR9:BR367)</f>
        <v>2205569.0553270197</v>
      </c>
      <c r="BS368" s="65">
        <f>BR368-BQ368</f>
        <v>286020.90575535828</v>
      </c>
      <c r="BT368" s="66">
        <f>SUM(BT9:BT367)</f>
        <v>11133085.041899102</v>
      </c>
      <c r="BU368" s="67">
        <f>SUM(BU9:BU367)</f>
        <v>13180518.24558687</v>
      </c>
      <c r="BV368" s="68">
        <f>BU368-BT368</f>
        <v>2047433.2036877684</v>
      </c>
      <c r="BW368" s="66">
        <f>SUM(BW9:BW367)</f>
        <v>7414724.343192732</v>
      </c>
      <c r="BX368" s="67">
        <f>SUM(BX9:BX367)</f>
        <v>7755828.3194839135</v>
      </c>
      <c r="BY368" s="68">
        <f>BX368-BW368</f>
        <v>341103.97629118152</v>
      </c>
      <c r="BZ368" s="66">
        <f>SUM(BZ9:BZ367)</f>
        <v>2510795.4180708174</v>
      </c>
      <c r="CA368" s="67">
        <f>SUM(CA9:CA367)</f>
        <v>3126812.4134931099</v>
      </c>
      <c r="CB368" s="68">
        <f>CA368-BZ368</f>
        <v>616016.9954222925</v>
      </c>
      <c r="CC368" s="66">
        <f>SUM(CC9:CC367)</f>
        <v>330161.42140452046</v>
      </c>
      <c r="CD368" s="67">
        <f>SUM(CD9:CD367)</f>
        <v>327257.55835987022</v>
      </c>
      <c r="CE368" s="68">
        <f>CD368-CC368</f>
        <v>-2903.8630446502357</v>
      </c>
      <c r="CF368" s="66">
        <f>SUM(CF9:CF367)</f>
        <v>40644.871953208021</v>
      </c>
      <c r="CG368" s="67">
        <f>SUM(CG9:CG367)</f>
        <v>30764.751282670091</v>
      </c>
      <c r="CH368" s="65">
        <f>CG368-CF368</f>
        <v>-9880.12067053793</v>
      </c>
      <c r="CI368" s="66">
        <f>SUM(CI9:CI367)</f>
        <v>2140888.0706087765</v>
      </c>
      <c r="CJ368" s="67">
        <f>SUM(CJ9:CJ367)</f>
        <v>1596598.0424807505</v>
      </c>
      <c r="CK368" s="68">
        <f>CJ368-CI368</f>
        <v>-544290.02812802605</v>
      </c>
      <c r="CL368" s="66">
        <f>SUM(CL9:CL367)</f>
        <v>1168450.8679488075</v>
      </c>
      <c r="CM368" s="67">
        <f>SUM(CM9:CM367)</f>
        <v>1260746.2842308041</v>
      </c>
      <c r="CN368" s="65">
        <f>CM368-CL368</f>
        <v>92295.416281996528</v>
      </c>
      <c r="CO368" s="69">
        <f>SUM(CO9:CO367)</f>
        <v>3309338.9385575824</v>
      </c>
      <c r="CP368" s="67">
        <f>SUM(CP9:CP367)</f>
        <v>2857344.3267115545</v>
      </c>
      <c r="CQ368" s="68">
        <f>CP368-CO368</f>
        <v>-451994.6118460279</v>
      </c>
      <c r="CR368" s="66">
        <f>SUM(CR9:CR367)</f>
        <v>60724920.137487583</v>
      </c>
      <c r="CS368" s="67">
        <f>SUM(CS9:CS367)</f>
        <v>60775374.616602287</v>
      </c>
      <c r="CT368" s="68">
        <f>CS368-CR368</f>
        <v>50454.479114703834</v>
      </c>
      <c r="CU368" s="66">
        <f>SUM(CU9:CU367)</f>
        <v>72869904.16498518</v>
      </c>
      <c r="CV368" s="67">
        <f>SUM(CV9:CV367)</f>
        <v>72930449.539922789</v>
      </c>
      <c r="CW368" s="68">
        <f>CV368-CU368</f>
        <v>60545.374937608838</v>
      </c>
      <c r="CX368" s="66">
        <f>SUM(CX9:CX367)</f>
        <v>1707980.8450148734</v>
      </c>
      <c r="CY368" s="67">
        <f>SUM(CY9:CY367)</f>
        <v>1647435.4700772048</v>
      </c>
      <c r="CZ368" s="72">
        <f t="shared" si="374"/>
        <v>-60545.374937668676</v>
      </c>
      <c r="DA368" s="80">
        <f>SUM(DA9:DA367)</f>
        <v>2899364.617900155</v>
      </c>
      <c r="DB368" s="2"/>
      <c r="DC368" s="718">
        <f t="shared" ref="DC368:DI368" si="395">SUM(DC9:DC367)</f>
        <v>16456641.920000002</v>
      </c>
      <c r="DD368" s="909">
        <f t="shared" si="395"/>
        <v>1671084.9599999997</v>
      </c>
      <c r="DE368" s="719">
        <f t="shared" si="395"/>
        <v>10477047.170000002</v>
      </c>
      <c r="DF368" s="720">
        <f t="shared" si="395"/>
        <v>1436341.4100000001</v>
      </c>
      <c r="DG368" s="788">
        <f t="shared" si="395"/>
        <v>98315.749138135492</v>
      </c>
      <c r="DH368" s="763">
        <f t="shared" si="395"/>
        <v>894934620.12000012</v>
      </c>
      <c r="DI368" s="785">
        <f t="shared" si="395"/>
        <v>0</v>
      </c>
      <c r="DJ368" s="9"/>
      <c r="DK368" s="315"/>
      <c r="DL368" s="315"/>
      <c r="DM368" s="31"/>
      <c r="DN368" s="106">
        <f>SUM(DN9:DN367)</f>
        <v>4944477.6992178336</v>
      </c>
      <c r="DO368" s="106">
        <f>SUM(DO9:DO367)</f>
        <v>234946.38860112242</v>
      </c>
      <c r="DP368" s="582">
        <f>DN368+DO368</f>
        <v>5179424.087818956</v>
      </c>
      <c r="DQ368" s="104"/>
      <c r="DR368" s="106">
        <f>SUM(DR9:DR367)</f>
        <v>5982010.4999999991</v>
      </c>
      <c r="DS368" s="119">
        <f>SUM(DS9:DS367)</f>
        <v>236022.45000000007</v>
      </c>
      <c r="DT368" s="582">
        <f t="shared" si="391"/>
        <v>6218032.9499999993</v>
      </c>
      <c r="DU368" s="257">
        <f>SUM(DU9:DU367)</f>
        <v>6233731.5496198721</v>
      </c>
      <c r="DV368" s="30">
        <f t="shared" si="392"/>
        <v>-15698.599619872868</v>
      </c>
      <c r="DW368" s="931">
        <f>SUM(DW9:DW367)</f>
        <v>65079.099999999991</v>
      </c>
      <c r="DX368" s="931">
        <f>SUM(DX9:DX367)</f>
        <v>0</v>
      </c>
      <c r="DY368" s="9">
        <f>SUM(DY9:DY367)</f>
        <v>20780251.191354517</v>
      </c>
      <c r="DZ368" s="9">
        <f>SUM(DZ9:DZ367)</f>
        <v>19086157.448614337</v>
      </c>
      <c r="EA368" s="752">
        <f>SUM(EA9:EA367)</f>
        <v>11913388.579999998</v>
      </c>
      <c r="EC368" s="593">
        <f>SUM(EC9:EC367)</f>
        <v>184767934.11868542</v>
      </c>
      <c r="EE368" s="799">
        <f>SUM(EE9:EE367)</f>
        <v>3038718</v>
      </c>
      <c r="EF368" s="738">
        <f>EE368+DG368</f>
        <v>3137033.7491381355</v>
      </c>
      <c r="EH368" s="799">
        <f>SUM(EH9:EH367)</f>
        <v>2775220.6974070175</v>
      </c>
    </row>
    <row r="369" spans="1:138" x14ac:dyDescent="0.3">
      <c r="E369" s="104">
        <f>F368+H368</f>
        <v>57293.829999999987</v>
      </c>
      <c r="F369" s="103">
        <v>4553.8</v>
      </c>
      <c r="CU369" s="263">
        <f>CX3</f>
        <v>72869904.16498518</v>
      </c>
      <c r="CX369" s="443">
        <f>CU368+CX368</f>
        <v>74577885.01000005</v>
      </c>
      <c r="DI369" s="105">
        <v>2256392.4</v>
      </c>
      <c r="DP369" s="33">
        <f>CX369</f>
        <v>74577885.01000005</v>
      </c>
      <c r="DR369" s="29"/>
      <c r="DS369" s="119">
        <f>DR368+DS368</f>
        <v>6218032.9499999993</v>
      </c>
      <c r="DT369" s="29"/>
      <c r="DU369" s="758"/>
      <c r="DV369" s="5"/>
    </row>
    <row r="370" spans="1:138" x14ac:dyDescent="0.3">
      <c r="F370" s="103">
        <v>6129.13</v>
      </c>
      <c r="CX370" s="280">
        <f>CU368+CX368</f>
        <v>74577885.01000005</v>
      </c>
      <c r="DI370" s="105">
        <f>DI369/$F$368</f>
        <v>494.09691900059124</v>
      </c>
      <c r="DR370" s="29"/>
      <c r="DS370" s="750"/>
      <c r="DT370" s="29"/>
      <c r="DU370" s="758"/>
      <c r="DV370" s="5"/>
    </row>
    <row r="371" spans="1:138" s="8" customFormat="1" ht="13.8" x14ac:dyDescent="0.3">
      <c r="A371" s="751"/>
      <c r="C371" s="5" t="s">
        <v>1014</v>
      </c>
      <c r="D371" s="5"/>
      <c r="E371" s="5">
        <f t="shared" ref="E371:AJ371" si="396">SUMIF($DB$9:$DB$367,1,E9:E367)</f>
        <v>201333.93999999994</v>
      </c>
      <c r="F371" s="5">
        <v>1686.26</v>
      </c>
      <c r="G371" s="5">
        <f t="shared" si="396"/>
        <v>29643.24</v>
      </c>
      <c r="H371" s="5">
        <f t="shared" si="396"/>
        <v>6519.42</v>
      </c>
      <c r="I371" s="5">
        <f t="shared" si="396"/>
        <v>978493.19134797575</v>
      </c>
      <c r="J371" s="5">
        <f t="shared" si="396"/>
        <v>834109.06679078599</v>
      </c>
      <c r="K371" s="5">
        <f t="shared" si="396"/>
        <v>-144384.12455718988</v>
      </c>
      <c r="L371" s="5">
        <f t="shared" si="396"/>
        <v>178161.01798710009</v>
      </c>
      <c r="M371" s="5">
        <f t="shared" si="396"/>
        <v>167688.39242212972</v>
      </c>
      <c r="N371" s="5">
        <f t="shared" si="396"/>
        <v>-10472.625564970393</v>
      </c>
      <c r="O371" s="5">
        <f t="shared" si="396"/>
        <v>503010.59999999992</v>
      </c>
      <c r="P371" s="5">
        <f t="shared" si="396"/>
        <v>404282.84762650542</v>
      </c>
      <c r="Q371" s="5">
        <f t="shared" si="396"/>
        <v>-98727.752373494572</v>
      </c>
      <c r="R371" s="5">
        <f t="shared" si="396"/>
        <v>98679.96</v>
      </c>
      <c r="S371" s="5">
        <f t="shared" si="396"/>
        <v>78968.678426693557</v>
      </c>
      <c r="T371" s="5">
        <f t="shared" si="396"/>
        <v>-19711.28157330646</v>
      </c>
      <c r="U371" s="5">
        <f t="shared" si="396"/>
        <v>86187.796706948677</v>
      </c>
      <c r="V371" s="5">
        <f t="shared" si="396"/>
        <v>33187.749748329472</v>
      </c>
      <c r="W371" s="5">
        <f t="shared" si="396"/>
        <v>-53000.046958619205</v>
      </c>
      <c r="X371" s="5">
        <f t="shared" si="396"/>
        <v>693513.02408298885</v>
      </c>
      <c r="Y371" s="5">
        <f t="shared" si="396"/>
        <v>538326.76497107686</v>
      </c>
      <c r="Z371" s="5">
        <f t="shared" si="396"/>
        <v>-155186.2591119119</v>
      </c>
      <c r="AA371" s="5">
        <f t="shared" si="396"/>
        <v>0</v>
      </c>
      <c r="AB371" s="5">
        <f t="shared" si="396"/>
        <v>0</v>
      </c>
      <c r="AC371" s="5">
        <f t="shared" si="396"/>
        <v>0</v>
      </c>
      <c r="AD371" s="5">
        <f t="shared" si="396"/>
        <v>1428760.4268821129</v>
      </c>
      <c r="AE371" s="5">
        <f t="shared" si="396"/>
        <v>1321896.3231104587</v>
      </c>
      <c r="AF371" s="5">
        <f t="shared" si="396"/>
        <v>-106864.10377165319</v>
      </c>
      <c r="AG371" s="5">
        <f t="shared" si="396"/>
        <v>3966806.0170071265</v>
      </c>
      <c r="AH371" s="5">
        <f t="shared" si="396"/>
        <v>3378459.823095981</v>
      </c>
      <c r="AI371" s="5">
        <f t="shared" si="396"/>
        <v>-588346.19391114591</v>
      </c>
      <c r="AJ371" s="5">
        <f t="shared" si="396"/>
        <v>2749555.5155708473</v>
      </c>
      <c r="AK371" s="5">
        <f t="shared" ref="AK371:BP371" si="397">SUMIF($DB$9:$DB$367,1,AK9:AK367)</f>
        <v>2683153.1543550966</v>
      </c>
      <c r="AL371" s="5">
        <f t="shared" si="397"/>
        <v>-66402.361215751269</v>
      </c>
      <c r="AM371" s="5">
        <f t="shared" si="397"/>
        <v>56823.197719353513</v>
      </c>
      <c r="AN371" s="5">
        <f t="shared" si="397"/>
        <v>74080.401077802395</v>
      </c>
      <c r="AO371" s="5">
        <f t="shared" si="397"/>
        <v>17257.2033584489</v>
      </c>
      <c r="AP371" s="5">
        <f t="shared" si="397"/>
        <v>321701.89329097286</v>
      </c>
      <c r="AQ371" s="5">
        <f t="shared" si="397"/>
        <v>338421.33532428002</v>
      </c>
      <c r="AR371" s="5">
        <f t="shared" si="397"/>
        <v>16719.442033307125</v>
      </c>
      <c r="AS371" s="5">
        <f t="shared" si="397"/>
        <v>5445466.7344822288</v>
      </c>
      <c r="AT371" s="5">
        <f t="shared" si="397"/>
        <v>4825702.5296343174</v>
      </c>
      <c r="AU371" s="5">
        <f t="shared" si="397"/>
        <v>-619764.2048479123</v>
      </c>
      <c r="AV371" s="5">
        <f t="shared" si="397"/>
        <v>84503.9127396986</v>
      </c>
      <c r="AW371" s="5">
        <f t="shared" si="397"/>
        <v>147530.18689961603</v>
      </c>
      <c r="AX371" s="5">
        <f t="shared" si="397"/>
        <v>63026.274159917441</v>
      </c>
      <c r="AY371" s="5">
        <f t="shared" si="397"/>
        <v>116589.57975141105</v>
      </c>
      <c r="AZ371" s="5">
        <f t="shared" si="397"/>
        <v>292504.99889256695</v>
      </c>
      <c r="BA371" s="5">
        <f t="shared" si="397"/>
        <v>175915.4191411559</v>
      </c>
      <c r="BB371" s="5">
        <f t="shared" si="397"/>
        <v>105135.64756409357</v>
      </c>
      <c r="BC371" s="5">
        <f t="shared" si="397"/>
        <v>34794.295926193976</v>
      </c>
      <c r="BD371" s="5">
        <f t="shared" si="397"/>
        <v>-70341.351637899599</v>
      </c>
      <c r="BE371" s="5">
        <f t="shared" si="397"/>
        <v>43970.599395545098</v>
      </c>
      <c r="BF371" s="5">
        <f t="shared" si="397"/>
        <v>13995</v>
      </c>
      <c r="BG371" s="5">
        <f t="shared" si="397"/>
        <v>-29975.599395545094</v>
      </c>
      <c r="BH371" s="5">
        <f t="shared" si="397"/>
        <v>36814.277860689435</v>
      </c>
      <c r="BI371" s="5">
        <f t="shared" si="397"/>
        <v>24121.868707680285</v>
      </c>
      <c r="BJ371" s="5">
        <f t="shared" si="397"/>
        <v>-12692.409153009161</v>
      </c>
      <c r="BK371" s="5">
        <f t="shared" si="397"/>
        <v>66016.989300103771</v>
      </c>
      <c r="BL371" s="5">
        <f t="shared" si="397"/>
        <v>319119.301245382</v>
      </c>
      <c r="BM371" s="5">
        <f t="shared" si="397"/>
        <v>253102.31194527814</v>
      </c>
      <c r="BN371" s="5">
        <f t="shared" si="397"/>
        <v>44341.57860314002</v>
      </c>
      <c r="BO371" s="5">
        <f t="shared" si="397"/>
        <v>82699</v>
      </c>
      <c r="BP371" s="5">
        <f t="shared" si="397"/>
        <v>38357.421396859965</v>
      </c>
      <c r="BQ371" s="5">
        <f t="shared" ref="BQ371:CV371" si="398">SUMIF($DB$9:$DB$367,1,BQ9:BQ367)</f>
        <v>497372.58521468157</v>
      </c>
      <c r="BR371" s="5">
        <f t="shared" si="398"/>
        <v>914764.65167143918</v>
      </c>
      <c r="BS371" s="5">
        <f t="shared" si="398"/>
        <v>417392.06645675754</v>
      </c>
      <c r="BT371" s="5">
        <f t="shared" si="398"/>
        <v>4428185.8179364083</v>
      </c>
      <c r="BU371" s="5">
        <f t="shared" si="398"/>
        <v>4939345.5799498167</v>
      </c>
      <c r="BV371" s="5">
        <f t="shared" si="398"/>
        <v>511159.76201340801</v>
      </c>
      <c r="BW371" s="5">
        <f t="shared" si="398"/>
        <v>2838588.7328811875</v>
      </c>
      <c r="BX371" s="5">
        <f t="shared" si="398"/>
        <v>2951228.9776002709</v>
      </c>
      <c r="BY371" s="5">
        <f t="shared" si="398"/>
        <v>112640.24471908285</v>
      </c>
      <c r="BZ371" s="5">
        <f t="shared" si="398"/>
        <v>858802.73006128345</v>
      </c>
      <c r="CA371" s="5">
        <f t="shared" si="398"/>
        <v>1185768.7648620922</v>
      </c>
      <c r="CB371" s="5">
        <f t="shared" si="398"/>
        <v>326966.03480080853</v>
      </c>
      <c r="CC371" s="5">
        <f t="shared" si="398"/>
        <v>97107.85758535692</v>
      </c>
      <c r="CD371" s="5">
        <f t="shared" si="398"/>
        <v>96253.766523512953</v>
      </c>
      <c r="CE371" s="5">
        <f t="shared" si="398"/>
        <v>-854.09106184394739</v>
      </c>
      <c r="CF371" s="5">
        <f t="shared" si="398"/>
        <v>11954.565801227645</v>
      </c>
      <c r="CG371" s="5">
        <f t="shared" si="398"/>
        <v>6191.3861888859792</v>
      </c>
      <c r="CH371" s="5">
        <f t="shared" si="398"/>
        <v>-5763.1796123416661</v>
      </c>
      <c r="CI371" s="5">
        <f t="shared" si="398"/>
        <v>807167.07060291537</v>
      </c>
      <c r="CJ371" s="5">
        <f t="shared" si="398"/>
        <v>645830.43835030252</v>
      </c>
      <c r="CK371" s="5">
        <f t="shared" si="398"/>
        <v>-161336.63225261262</v>
      </c>
      <c r="CL371" s="5">
        <f t="shared" si="398"/>
        <v>618962.3530744958</v>
      </c>
      <c r="CM371" s="5">
        <f t="shared" si="398"/>
        <v>639071.83842486702</v>
      </c>
      <c r="CN371" s="5">
        <f t="shared" si="398"/>
        <v>20109.485350371262</v>
      </c>
      <c r="CO371" s="5">
        <f t="shared" si="398"/>
        <v>1426129.4236774105</v>
      </c>
      <c r="CP371" s="5">
        <f t="shared" si="398"/>
        <v>1284902.2767751694</v>
      </c>
      <c r="CQ371" s="5">
        <f t="shared" si="398"/>
        <v>-141227.14690224137</v>
      </c>
      <c r="CR371" s="5">
        <f t="shared" si="398"/>
        <v>22698495.071228079</v>
      </c>
      <c r="CS371" s="5">
        <f t="shared" si="398"/>
        <v>22678272.647058666</v>
      </c>
      <c r="CT371" s="5">
        <f t="shared" si="398"/>
        <v>-20222.424169423073</v>
      </c>
      <c r="CU371" s="5">
        <f t="shared" si="398"/>
        <v>27238194.085473709</v>
      </c>
      <c r="CV371" s="5">
        <f t="shared" si="398"/>
        <v>27213927.176470403</v>
      </c>
      <c r="CW371" s="5">
        <f t="shared" ref="CW371:DF371" si="399">SUMIF($DB$9:$DB$367,1,CW9:CW367)</f>
        <v>-24266.909003307723</v>
      </c>
      <c r="CX371" s="5">
        <f t="shared" si="399"/>
        <v>583585.48452629708</v>
      </c>
      <c r="CY371" s="5">
        <f t="shared" si="399"/>
        <v>607852.39352960442</v>
      </c>
      <c r="CZ371" s="5">
        <f t="shared" si="399"/>
        <v>24266.909003307112</v>
      </c>
      <c r="DA371" s="5">
        <f t="shared" si="399"/>
        <v>396099.24402284506</v>
      </c>
      <c r="DB371" s="5">
        <f t="shared" si="399"/>
        <v>88</v>
      </c>
      <c r="DC371" s="5">
        <f t="shared" si="399"/>
        <v>5686591.0399999963</v>
      </c>
      <c r="DD371" s="5">
        <f t="shared" si="399"/>
        <v>122150.75</v>
      </c>
      <c r="DE371" s="5">
        <f t="shared" si="399"/>
        <v>3399183.4699999983</v>
      </c>
      <c r="DF371" s="5">
        <f t="shared" si="399"/>
        <v>91488.739999999976</v>
      </c>
      <c r="DG371" s="754"/>
      <c r="DH371" s="5">
        <f>SUMIF($DB$9:$DB$367,1,DH9:DH367)</f>
        <v>333861354.84000015</v>
      </c>
      <c r="DI371" s="769">
        <f>SUMIF($DB$9:$DB$367,1,DI9:DI367)</f>
        <v>0</v>
      </c>
      <c r="DP371" s="8">
        <f>CX2</f>
        <v>74577885.01000005</v>
      </c>
      <c r="DR371" s="5"/>
      <c r="DS371" s="119">
        <f>DR368+DS368</f>
        <v>6218032.9499999993</v>
      </c>
      <c r="DT371" s="5"/>
      <c r="DU371" s="758"/>
      <c r="DV371" s="5"/>
      <c r="DW371" s="986">
        <f>SUMIF($DB$9:$DB$367,1,DW9:DW367)</f>
        <v>15880.300000000001</v>
      </c>
      <c r="DX371" s="986">
        <f>SUMIF($DB$9:$DB$367,1,DX9:DX367)</f>
        <v>0</v>
      </c>
      <c r="EA371" s="280"/>
      <c r="EE371" s="5">
        <f>SUMIF($DB$9:$DB$367,1,EE9:EE367)</f>
        <v>740867</v>
      </c>
      <c r="EH371" s="5">
        <f>SUMIF($DB$9:$DB$367,1,EH9:EH367)</f>
        <v>552450.36335531389</v>
      </c>
    </row>
    <row r="372" spans="1:138" s="8" customFormat="1" ht="13.8" x14ac:dyDescent="0.3">
      <c r="A372" s="751"/>
      <c r="C372" s="5" t="s">
        <v>1015</v>
      </c>
      <c r="D372" s="5"/>
      <c r="E372" s="5">
        <f t="shared" ref="E372:AJ372" si="400">SUMIF($DB$9:$DB$367,2,E9:E367)</f>
        <v>492705.12000000017</v>
      </c>
      <c r="F372" s="5">
        <v>3611.53</v>
      </c>
      <c r="G372" s="5">
        <f t="shared" si="400"/>
        <v>7320.62</v>
      </c>
      <c r="H372" s="5">
        <f t="shared" si="400"/>
        <v>36889.889999999992</v>
      </c>
      <c r="I372" s="5">
        <f t="shared" si="400"/>
        <v>1163036.1558638504</v>
      </c>
      <c r="J372" s="5">
        <f t="shared" si="400"/>
        <v>1161957.3977849239</v>
      </c>
      <c r="K372" s="5">
        <f t="shared" si="400"/>
        <v>-1078.7580789263177</v>
      </c>
      <c r="L372" s="5">
        <f t="shared" si="400"/>
        <v>224361.32512008131</v>
      </c>
      <c r="M372" s="5">
        <f t="shared" si="400"/>
        <v>228531.64104010139</v>
      </c>
      <c r="N372" s="5">
        <f t="shared" si="400"/>
        <v>4170.315920020008</v>
      </c>
      <c r="O372" s="5">
        <f t="shared" si="400"/>
        <v>473399.15999999968</v>
      </c>
      <c r="P372" s="5">
        <f t="shared" si="400"/>
        <v>393704.29912094085</v>
      </c>
      <c r="Q372" s="5">
        <f t="shared" si="400"/>
        <v>-79694.860879059139</v>
      </c>
      <c r="R372" s="5">
        <f t="shared" si="400"/>
        <v>34228.080000000009</v>
      </c>
      <c r="S372" s="5">
        <f t="shared" si="400"/>
        <v>29558.066663118279</v>
      </c>
      <c r="T372" s="5">
        <f t="shared" si="400"/>
        <v>-4670.0133368817205</v>
      </c>
      <c r="U372" s="5">
        <f t="shared" si="400"/>
        <v>15709.973940751644</v>
      </c>
      <c r="V372" s="5">
        <f t="shared" si="400"/>
        <v>42885.564584460626</v>
      </c>
      <c r="W372" s="5">
        <f t="shared" si="400"/>
        <v>27175.590643708969</v>
      </c>
      <c r="X372" s="5">
        <f t="shared" si="400"/>
        <v>759761.01396438666</v>
      </c>
      <c r="Y372" s="5">
        <f t="shared" si="400"/>
        <v>669121.70090940141</v>
      </c>
      <c r="Z372" s="5">
        <f t="shared" si="400"/>
        <v>-90639.313054985367</v>
      </c>
      <c r="AA372" s="5">
        <f t="shared" si="400"/>
        <v>0</v>
      </c>
      <c r="AB372" s="5">
        <f t="shared" si="400"/>
        <v>0</v>
      </c>
      <c r="AC372" s="5">
        <f t="shared" si="400"/>
        <v>0</v>
      </c>
      <c r="AD372" s="5">
        <f t="shared" si="400"/>
        <v>1509575.7380171199</v>
      </c>
      <c r="AE372" s="5">
        <f t="shared" si="400"/>
        <v>1399969.6617804072</v>
      </c>
      <c r="AF372" s="5">
        <f t="shared" si="400"/>
        <v>-109606.07623671257</v>
      </c>
      <c r="AG372" s="5">
        <f t="shared" si="400"/>
        <v>4180071.4469061894</v>
      </c>
      <c r="AH372" s="5">
        <f t="shared" si="400"/>
        <v>3925728.3318833555</v>
      </c>
      <c r="AI372" s="5">
        <f t="shared" si="400"/>
        <v>-254343.11502283611</v>
      </c>
      <c r="AJ372" s="5">
        <f t="shared" si="400"/>
        <v>794825.00002253917</v>
      </c>
      <c r="AK372" s="5">
        <f t="shared" ref="AK372:BP372" si="401">SUMIF($DB$9:$DB$367,2,AK9:AK367)</f>
        <v>787165.83733627351</v>
      </c>
      <c r="AL372" s="5">
        <f t="shared" si="401"/>
        <v>-7659.1626862655412</v>
      </c>
      <c r="AM372" s="5">
        <f t="shared" si="401"/>
        <v>15877.007034944821</v>
      </c>
      <c r="AN372" s="5">
        <f t="shared" si="401"/>
        <v>21862.396390428559</v>
      </c>
      <c r="AO372" s="5">
        <f t="shared" si="401"/>
        <v>5985.3893554837368</v>
      </c>
      <c r="AP372" s="5">
        <f t="shared" si="401"/>
        <v>735998.43661587243</v>
      </c>
      <c r="AQ372" s="5">
        <f t="shared" si="401"/>
        <v>696025.73140854738</v>
      </c>
      <c r="AR372" s="5">
        <f t="shared" si="401"/>
        <v>-39972.705207325023</v>
      </c>
      <c r="AS372" s="5">
        <f t="shared" si="401"/>
        <v>4588010.2695169058</v>
      </c>
      <c r="AT372" s="5">
        <f t="shared" si="401"/>
        <v>2880186.7160814665</v>
      </c>
      <c r="AU372" s="5">
        <f t="shared" si="401"/>
        <v>-1707823.5534354413</v>
      </c>
      <c r="AV372" s="5">
        <f t="shared" si="401"/>
        <v>174242.78669244202</v>
      </c>
      <c r="AW372" s="5">
        <f t="shared" si="401"/>
        <v>126052.34628748207</v>
      </c>
      <c r="AX372" s="5">
        <f t="shared" si="401"/>
        <v>-48190.440404959991</v>
      </c>
      <c r="AY372" s="5">
        <f t="shared" si="401"/>
        <v>256485.87319914723</v>
      </c>
      <c r="AZ372" s="5">
        <f t="shared" si="401"/>
        <v>69074.38672684753</v>
      </c>
      <c r="BA372" s="5">
        <f t="shared" si="401"/>
        <v>-187411.48647229976</v>
      </c>
      <c r="BB372" s="5">
        <f t="shared" si="401"/>
        <v>213602.09308418276</v>
      </c>
      <c r="BC372" s="5">
        <f t="shared" si="401"/>
        <v>101297.53251307728</v>
      </c>
      <c r="BD372" s="5">
        <f t="shared" si="401"/>
        <v>-112304.56057110553</v>
      </c>
      <c r="BE372" s="5">
        <f t="shared" si="401"/>
        <v>21966.872566776481</v>
      </c>
      <c r="BF372" s="5">
        <f t="shared" si="401"/>
        <v>888</v>
      </c>
      <c r="BG372" s="5">
        <f t="shared" si="401"/>
        <v>-21078.872566776481</v>
      </c>
      <c r="BH372" s="5">
        <f t="shared" si="401"/>
        <v>9429.9238399939768</v>
      </c>
      <c r="BI372" s="5">
        <f t="shared" si="401"/>
        <v>24003.967835938685</v>
      </c>
      <c r="BJ372" s="5">
        <f t="shared" si="401"/>
        <v>14574.04399594471</v>
      </c>
      <c r="BK372" s="5">
        <f t="shared" si="401"/>
        <v>99661.210958333497</v>
      </c>
      <c r="BL372" s="5">
        <f t="shared" si="401"/>
        <v>213159.29968451295</v>
      </c>
      <c r="BM372" s="5">
        <f t="shared" si="401"/>
        <v>113498.08872617953</v>
      </c>
      <c r="BN372" s="5">
        <f t="shared" si="401"/>
        <v>1962.7554027160106</v>
      </c>
      <c r="BO372" s="5">
        <f t="shared" si="401"/>
        <v>4342</v>
      </c>
      <c r="BP372" s="5">
        <f t="shared" si="401"/>
        <v>2379.2445972839896</v>
      </c>
      <c r="BQ372" s="5">
        <f t="shared" ref="BQ372:CV372" si="402">SUMIF($DB$9:$DB$367,2,BQ9:BQ367)</f>
        <v>777351.51574359229</v>
      </c>
      <c r="BR372" s="5">
        <f t="shared" si="402"/>
        <v>538817.53304785839</v>
      </c>
      <c r="BS372" s="5">
        <f t="shared" si="402"/>
        <v>-238533.98269573372</v>
      </c>
      <c r="BT372" s="5">
        <f t="shared" si="402"/>
        <v>3767705.6067782459</v>
      </c>
      <c r="BU372" s="5">
        <f t="shared" si="402"/>
        <v>4949175.7437922908</v>
      </c>
      <c r="BV372" s="5">
        <f t="shared" si="402"/>
        <v>1181470.1370140435</v>
      </c>
      <c r="BW372" s="5">
        <f t="shared" si="402"/>
        <v>2367269.1258889479</v>
      </c>
      <c r="BX372" s="5">
        <f t="shared" si="402"/>
        <v>2584940.9758916865</v>
      </c>
      <c r="BY372" s="5">
        <f t="shared" si="402"/>
        <v>217671.85000273815</v>
      </c>
      <c r="BZ372" s="5">
        <f t="shared" si="402"/>
        <v>1210842.1944594439</v>
      </c>
      <c r="CA372" s="5">
        <f t="shared" si="402"/>
        <v>1195707.4060955369</v>
      </c>
      <c r="CB372" s="5">
        <f t="shared" si="402"/>
        <v>-15134.788363906044</v>
      </c>
      <c r="CC372" s="5">
        <f t="shared" si="402"/>
        <v>115914.30972466586</v>
      </c>
      <c r="CD372" s="5">
        <f t="shared" si="402"/>
        <v>114894.81059928743</v>
      </c>
      <c r="CE372" s="5">
        <f t="shared" si="402"/>
        <v>-1019.4991253784651</v>
      </c>
      <c r="CF372" s="5">
        <f t="shared" si="402"/>
        <v>14269.75403807439</v>
      </c>
      <c r="CG372" s="5">
        <f t="shared" si="402"/>
        <v>13589.704063023466</v>
      </c>
      <c r="CH372" s="5">
        <f t="shared" si="402"/>
        <v>-680.04997505092865</v>
      </c>
      <c r="CI372" s="5">
        <f t="shared" si="402"/>
        <v>583309.2111169803</v>
      </c>
      <c r="CJ372" s="5">
        <f t="shared" si="402"/>
        <v>432790.87593740236</v>
      </c>
      <c r="CK372" s="5">
        <f t="shared" si="402"/>
        <v>-150518.33517957784</v>
      </c>
      <c r="CL372" s="5">
        <f t="shared" si="402"/>
        <v>182720.48077974963</v>
      </c>
      <c r="CM372" s="5">
        <f t="shared" si="402"/>
        <v>224708.65329718599</v>
      </c>
      <c r="CN372" s="5">
        <f t="shared" si="402"/>
        <v>41988.17251743636</v>
      </c>
      <c r="CO372" s="5">
        <f t="shared" si="402"/>
        <v>766029.69189672975</v>
      </c>
      <c r="CP372" s="5">
        <f t="shared" si="402"/>
        <v>657499.52923458815</v>
      </c>
      <c r="CQ372" s="5">
        <f t="shared" si="402"/>
        <v>-108530.16266214155</v>
      </c>
      <c r="CR372" s="5">
        <f t="shared" si="402"/>
        <v>19334164.358626157</v>
      </c>
      <c r="CS372" s="5">
        <f t="shared" si="402"/>
        <v>18365594.715824336</v>
      </c>
      <c r="CT372" s="5">
        <f t="shared" si="402"/>
        <v>-968569.64280181262</v>
      </c>
      <c r="CU372" s="5">
        <f t="shared" si="402"/>
        <v>23200997.230351374</v>
      </c>
      <c r="CV372" s="5">
        <f t="shared" si="402"/>
        <v>22038713.658989213</v>
      </c>
      <c r="CW372" s="5">
        <f t="shared" ref="CW372:DF372" si="403">SUMIF($DB$9:$DB$367,2,CW9:CW367)</f>
        <v>-1162283.5713621753</v>
      </c>
      <c r="CX372" s="5">
        <f t="shared" si="403"/>
        <v>582559.61964861595</v>
      </c>
      <c r="CY372" s="5">
        <f t="shared" si="403"/>
        <v>1744843.191010793</v>
      </c>
      <c r="CZ372" s="5">
        <f t="shared" si="403"/>
        <v>1162283.571362176</v>
      </c>
      <c r="DA372" s="5">
        <f t="shared" si="403"/>
        <v>1584256.3368350335</v>
      </c>
      <c r="DB372" s="5">
        <f t="shared" si="403"/>
        <v>312</v>
      </c>
      <c r="DC372" s="5">
        <f t="shared" si="403"/>
        <v>5914521.4299999997</v>
      </c>
      <c r="DD372" s="5">
        <f t="shared" si="403"/>
        <v>1052410.4499999997</v>
      </c>
      <c r="DE372" s="5">
        <f t="shared" si="403"/>
        <v>4096553.1500000027</v>
      </c>
      <c r="DF372" s="5">
        <f t="shared" si="403"/>
        <v>887635.65000000014</v>
      </c>
      <c r="DG372" s="754"/>
      <c r="DH372" s="5">
        <f>SUMIF($DB$9:$DB$367,2,DH9:DH367)</f>
        <v>285402682.19999993</v>
      </c>
      <c r="DI372" s="769">
        <f>SUMIF($DB$9:$DB$367,2,DI9:DI367)</f>
        <v>0</v>
      </c>
      <c r="DP372" s="8">
        <f>DP371-DP368</f>
        <v>69398460.9221811</v>
      </c>
      <c r="DR372" s="5"/>
      <c r="DS372" s="752"/>
      <c r="DT372" s="5"/>
      <c r="DU372" s="758"/>
      <c r="DV372" s="5"/>
      <c r="DW372" s="986">
        <f>SUMIF($DB$9:$DB$367,2,DW9:DW367)</f>
        <v>31558.6</v>
      </c>
      <c r="DX372" s="986">
        <f>SUMIF($DB$9:$DB$367,2,DX9:DX367)</f>
        <v>0</v>
      </c>
      <c r="DY372" s="280"/>
      <c r="DZ372" s="280"/>
      <c r="EA372" s="280"/>
      <c r="EE372" s="5">
        <f>SUMIF($DB$9:$DB$367,2,EE9:EE367)</f>
        <v>1647303</v>
      </c>
      <c r="EH372" s="5">
        <f>SUMIF($DB$9:$DB$367,2,EH9:EH367)</f>
        <v>2820145.5458611362</v>
      </c>
    </row>
    <row r="373" spans="1:138" s="265" customFormat="1" ht="13.8" x14ac:dyDescent="0.3">
      <c r="A373" s="751"/>
      <c r="C373" s="271" t="s">
        <v>1016</v>
      </c>
      <c r="D373" s="271"/>
      <c r="E373" s="5">
        <f t="shared" ref="E373:AJ373" si="404">SUMIF($DB$9:$DB$367,3,E9:E367)</f>
        <v>311765.08</v>
      </c>
      <c r="F373" s="5">
        <v>1891.75</v>
      </c>
      <c r="G373" s="5">
        <f t="shared" si="404"/>
        <v>15666.280000000002</v>
      </c>
      <c r="H373" s="5">
        <f t="shared" si="404"/>
        <v>9317.8200000000015</v>
      </c>
      <c r="I373" s="5">
        <f t="shared" si="404"/>
        <v>1050693.7791734233</v>
      </c>
      <c r="J373" s="5">
        <f t="shared" si="404"/>
        <v>965555.41811819142</v>
      </c>
      <c r="K373" s="5">
        <f t="shared" si="404"/>
        <v>-85138.361055231595</v>
      </c>
      <c r="L373" s="5">
        <f t="shared" si="404"/>
        <v>196287.08735454985</v>
      </c>
      <c r="M373" s="5">
        <f t="shared" si="404"/>
        <v>190296.48512740468</v>
      </c>
      <c r="N373" s="5">
        <f t="shared" si="404"/>
        <v>-5990.6022271452048</v>
      </c>
      <c r="O373" s="5">
        <f t="shared" si="404"/>
        <v>406369.43999999994</v>
      </c>
      <c r="P373" s="5">
        <f t="shared" si="404"/>
        <v>406390.56</v>
      </c>
      <c r="Q373" s="5">
        <f t="shared" si="404"/>
        <v>21.120000000015636</v>
      </c>
      <c r="R373" s="5">
        <f t="shared" si="404"/>
        <v>56063.51999999999</v>
      </c>
      <c r="S373" s="5">
        <f t="shared" si="404"/>
        <v>56048.04</v>
      </c>
      <c r="T373" s="5">
        <f t="shared" si="404"/>
        <v>-15.480000000001269</v>
      </c>
      <c r="U373" s="5">
        <f t="shared" si="404"/>
        <v>57217.429750796502</v>
      </c>
      <c r="V373" s="5">
        <f t="shared" si="404"/>
        <v>39155.389562312892</v>
      </c>
      <c r="W373" s="5">
        <f t="shared" si="404"/>
        <v>-18062.040188483632</v>
      </c>
      <c r="X373" s="5">
        <f t="shared" si="404"/>
        <v>658105.81348275486</v>
      </c>
      <c r="Y373" s="5">
        <f t="shared" si="404"/>
        <v>639049.45915194822</v>
      </c>
      <c r="Z373" s="5">
        <f t="shared" si="404"/>
        <v>-19056.354330806425</v>
      </c>
      <c r="AA373" s="5">
        <f t="shared" si="404"/>
        <v>0</v>
      </c>
      <c r="AB373" s="5">
        <f t="shared" si="404"/>
        <v>0</v>
      </c>
      <c r="AC373" s="5">
        <f t="shared" si="404"/>
        <v>0</v>
      </c>
      <c r="AD373" s="5">
        <f t="shared" si="404"/>
        <v>1303138.4205607676</v>
      </c>
      <c r="AE373" s="5">
        <f t="shared" si="404"/>
        <v>1210404.6371287277</v>
      </c>
      <c r="AF373" s="5">
        <f t="shared" si="404"/>
        <v>-92733.783432040567</v>
      </c>
      <c r="AG373" s="5">
        <f t="shared" si="404"/>
        <v>3727875.4903222928</v>
      </c>
      <c r="AH373" s="5">
        <f t="shared" si="404"/>
        <v>3506899.9890885837</v>
      </c>
      <c r="AI373" s="5">
        <f t="shared" si="404"/>
        <v>-220975.50123370739</v>
      </c>
      <c r="AJ373" s="5">
        <f t="shared" si="404"/>
        <v>1657820.563706496</v>
      </c>
      <c r="AK373" s="5">
        <f t="shared" ref="AK373:BP373" si="405">SUMIF($DB$9:$DB$367,3,AK9:AK367)</f>
        <v>1635649.4958406214</v>
      </c>
      <c r="AL373" s="5">
        <f t="shared" si="405"/>
        <v>-22171.067865874749</v>
      </c>
      <c r="AM373" s="5">
        <f t="shared" si="405"/>
        <v>3156.8443177418612</v>
      </c>
      <c r="AN373" s="5">
        <f t="shared" si="405"/>
        <v>22883.989935713435</v>
      </c>
      <c r="AO373" s="5">
        <f t="shared" si="405"/>
        <v>19727.145617971571</v>
      </c>
      <c r="AP373" s="5">
        <f t="shared" si="405"/>
        <v>458782.69709982869</v>
      </c>
      <c r="AQ373" s="5">
        <f t="shared" si="405"/>
        <v>521387.30876905093</v>
      </c>
      <c r="AR373" s="5">
        <f t="shared" si="405"/>
        <v>62604.611669222417</v>
      </c>
      <c r="AS373" s="5">
        <f t="shared" si="405"/>
        <v>5363850.8392246412</v>
      </c>
      <c r="AT373" s="5">
        <f t="shared" si="405"/>
        <v>5993672.9061358217</v>
      </c>
      <c r="AU373" s="5">
        <f t="shared" si="405"/>
        <v>629822.06691117922</v>
      </c>
      <c r="AV373" s="5">
        <f t="shared" si="405"/>
        <v>125724.44253022659</v>
      </c>
      <c r="AW373" s="5">
        <f t="shared" si="405"/>
        <v>154311.87029619238</v>
      </c>
      <c r="AX373" s="5">
        <f t="shared" si="405"/>
        <v>28587.4277659658</v>
      </c>
      <c r="AY373" s="5">
        <f t="shared" si="405"/>
        <v>183925.34285081233</v>
      </c>
      <c r="AZ373" s="5">
        <f t="shared" si="405"/>
        <v>141945.75942320266</v>
      </c>
      <c r="BA373" s="5">
        <f t="shared" si="405"/>
        <v>-41979.583427609672</v>
      </c>
      <c r="BB373" s="5">
        <f t="shared" si="405"/>
        <v>166795.32675796264</v>
      </c>
      <c r="BC373" s="5">
        <f t="shared" si="405"/>
        <v>178728.2913967206</v>
      </c>
      <c r="BD373" s="5">
        <f t="shared" si="405"/>
        <v>11932.964638757883</v>
      </c>
      <c r="BE373" s="5">
        <f t="shared" si="405"/>
        <v>34867.323781596191</v>
      </c>
      <c r="BF373" s="5">
        <f t="shared" si="405"/>
        <v>13221</v>
      </c>
      <c r="BG373" s="5">
        <f t="shared" si="405"/>
        <v>-21646.323781596187</v>
      </c>
      <c r="BH373" s="5">
        <f t="shared" si="405"/>
        <v>41393.023635134843</v>
      </c>
      <c r="BI373" s="5">
        <f t="shared" si="405"/>
        <v>41025.825984613046</v>
      </c>
      <c r="BJ373" s="5">
        <f t="shared" si="405"/>
        <v>-367.19765052179309</v>
      </c>
      <c r="BK373" s="5">
        <f t="shared" si="405"/>
        <v>92009.870178369121</v>
      </c>
      <c r="BL373" s="5">
        <f t="shared" si="405"/>
        <v>206992.12350699274</v>
      </c>
      <c r="BM373" s="5">
        <f t="shared" si="405"/>
        <v>114982.25332862358</v>
      </c>
      <c r="BN373" s="5">
        <f t="shared" si="405"/>
        <v>108.71887928658182</v>
      </c>
      <c r="BO373" s="5">
        <f t="shared" si="405"/>
        <v>15762</v>
      </c>
      <c r="BP373" s="5">
        <f t="shared" si="405"/>
        <v>15653.281120713418</v>
      </c>
      <c r="BQ373" s="5">
        <f t="shared" ref="BQ373:CV373" si="406">SUMIF($DB$9:$DB$367,3,BQ9:BQ367)</f>
        <v>644824.04861338832</v>
      </c>
      <c r="BR373" s="5">
        <f t="shared" si="406"/>
        <v>751986.87060772127</v>
      </c>
      <c r="BS373" s="5">
        <f t="shared" si="406"/>
        <v>107162.82199433303</v>
      </c>
      <c r="BT373" s="5">
        <f t="shared" si="406"/>
        <v>2937193.6171844481</v>
      </c>
      <c r="BU373" s="5">
        <f t="shared" si="406"/>
        <v>3291996.9218447506</v>
      </c>
      <c r="BV373" s="5">
        <f t="shared" si="406"/>
        <v>354803.30466030416</v>
      </c>
      <c r="BW373" s="5">
        <f t="shared" si="406"/>
        <v>2208866.4844225943</v>
      </c>
      <c r="BX373" s="5">
        <f t="shared" si="406"/>
        <v>2219658.3659919547</v>
      </c>
      <c r="BY373" s="5">
        <f t="shared" si="406"/>
        <v>10791.881569359866</v>
      </c>
      <c r="BZ373" s="5">
        <f t="shared" si="406"/>
        <v>441150.49355009006</v>
      </c>
      <c r="CA373" s="5">
        <f t="shared" si="406"/>
        <v>745336.242535481</v>
      </c>
      <c r="CB373" s="5">
        <f t="shared" si="406"/>
        <v>304185.74898539105</v>
      </c>
      <c r="CC373" s="5">
        <f t="shared" si="406"/>
        <v>117139.25409449769</v>
      </c>
      <c r="CD373" s="5">
        <f t="shared" si="406"/>
        <v>116108.98123706969</v>
      </c>
      <c r="CE373" s="5">
        <f t="shared" si="406"/>
        <v>-1030.2728574280118</v>
      </c>
      <c r="CF373" s="5">
        <f t="shared" si="406"/>
        <v>14420.552113905967</v>
      </c>
      <c r="CG373" s="5">
        <f t="shared" si="406"/>
        <v>10983.661030760648</v>
      </c>
      <c r="CH373" s="5">
        <f t="shared" si="406"/>
        <v>-3436.8910831453195</v>
      </c>
      <c r="CI373" s="5">
        <f t="shared" si="406"/>
        <v>750411.78888888087</v>
      </c>
      <c r="CJ373" s="5">
        <f t="shared" si="406"/>
        <v>517976.72819304635</v>
      </c>
      <c r="CK373" s="5">
        <f t="shared" si="406"/>
        <v>-232435.06069583431</v>
      </c>
      <c r="CL373" s="5">
        <f t="shared" si="406"/>
        <v>366768.03409456217</v>
      </c>
      <c r="CM373" s="5">
        <f t="shared" si="406"/>
        <v>396965.79250875104</v>
      </c>
      <c r="CN373" s="5">
        <f t="shared" si="406"/>
        <v>30197.75841418888</v>
      </c>
      <c r="CO373" s="5">
        <f t="shared" si="406"/>
        <v>1117179.8229834426</v>
      </c>
      <c r="CP373" s="5">
        <f t="shared" si="406"/>
        <v>914942.52070179768</v>
      </c>
      <c r="CQ373" s="5">
        <f t="shared" si="406"/>
        <v>-202237.3022816455</v>
      </c>
      <c r="CR373" s="5">
        <f t="shared" si="406"/>
        <v>18692260.707633369</v>
      </c>
      <c r="CS373" s="5">
        <f t="shared" si="406"/>
        <v>19731507.253719315</v>
      </c>
      <c r="CT373" s="5">
        <f t="shared" si="406"/>
        <v>1039246.5460859607</v>
      </c>
      <c r="CU373" s="5">
        <f t="shared" si="406"/>
        <v>22430712.849160034</v>
      </c>
      <c r="CV373" s="5">
        <f t="shared" si="406"/>
        <v>23677808.704463188</v>
      </c>
      <c r="CW373" s="5">
        <f t="shared" ref="CW373:DF373" si="407">SUMIF($DB$9:$DB$367,3,CW9:CW367)</f>
        <v>1247095.8553031529</v>
      </c>
      <c r="CX373" s="5">
        <f t="shared" si="407"/>
        <v>541835.74083995924</v>
      </c>
      <c r="CY373" s="5">
        <f t="shared" si="407"/>
        <v>-705260.11446319311</v>
      </c>
      <c r="CZ373" s="5">
        <f t="shared" si="407"/>
        <v>-1247095.855303152</v>
      </c>
      <c r="DA373" s="5">
        <f t="shared" si="407"/>
        <v>919009.0370422788</v>
      </c>
      <c r="DB373" s="5">
        <f t="shared" si="407"/>
        <v>345</v>
      </c>
      <c r="DC373" s="5">
        <f t="shared" si="407"/>
        <v>4855529.45</v>
      </c>
      <c r="DD373" s="5">
        <f t="shared" si="407"/>
        <v>496523.76</v>
      </c>
      <c r="DE373" s="5">
        <f t="shared" si="407"/>
        <v>2981310.5500000007</v>
      </c>
      <c r="DF373" s="5">
        <f t="shared" si="407"/>
        <v>457217.02</v>
      </c>
      <c r="DG373" s="754"/>
      <c r="DH373" s="5">
        <f>SUMIF($DB$9:$DB$367,3,DH9:DH367)</f>
        <v>275670583.07999998</v>
      </c>
      <c r="DI373" s="769">
        <f>SUMIF($DB$9:$DB$367,3,DI9:DI367)</f>
        <v>0</v>
      </c>
      <c r="DR373" s="271"/>
      <c r="DS373" s="752"/>
      <c r="DT373" s="271"/>
      <c r="DU373" s="758"/>
      <c r="DV373" s="5"/>
      <c r="DW373" s="986">
        <f>SUMIF($DB$9:$DB$367,3,DW9:DW367)</f>
        <v>17640.2</v>
      </c>
      <c r="DX373" s="986">
        <f>SUMIF($DB$9:$DB$367,3,DX9:DX367)</f>
        <v>0</v>
      </c>
      <c r="EA373" s="280"/>
      <c r="EE373" s="5">
        <f>SUMIF($DB$9:$DB$367,3,EE9:EE367)</f>
        <v>650548</v>
      </c>
      <c r="EH373" s="5">
        <f>SUMIF($DB$9:$DB$367,3,EH9:EH367)</f>
        <v>-597375.21180943272</v>
      </c>
    </row>
    <row r="374" spans="1:138" s="738" customFormat="1" x14ac:dyDescent="0.3">
      <c r="A374" s="753"/>
      <c r="C374" s="659" t="s">
        <v>948</v>
      </c>
      <c r="D374" s="659"/>
      <c r="E374" s="9">
        <f t="shared" ref="E374:J374" si="408">SUM(E371:E373)</f>
        <v>1005804.1400000001</v>
      </c>
      <c r="F374" s="9">
        <v>2076.5</v>
      </c>
      <c r="G374" s="9">
        <f t="shared" si="408"/>
        <v>52630.14</v>
      </c>
      <c r="H374" s="9">
        <f t="shared" si="408"/>
        <v>52727.12999999999</v>
      </c>
      <c r="I374" s="9">
        <f t="shared" si="408"/>
        <v>3192223.1263852492</v>
      </c>
      <c r="J374" s="9">
        <f t="shared" si="408"/>
        <v>2961621.8826939012</v>
      </c>
      <c r="K374" s="9">
        <f>J374-I374</f>
        <v>-230601.24369134801</v>
      </c>
      <c r="L374" s="9">
        <f>SUM(L371:L373)</f>
        <v>598809.43046173127</v>
      </c>
      <c r="M374" s="9">
        <f>SUM(M371:M373)</f>
        <v>586516.51858963585</v>
      </c>
      <c r="N374" s="9">
        <f>M374-L374</f>
        <v>-12292.911872095428</v>
      </c>
      <c r="O374" s="9">
        <f>SUM(O371:O373)</f>
        <v>1382779.1999999995</v>
      </c>
      <c r="P374" s="9">
        <f>SUM(P371:P373)</f>
        <v>1204377.7067474462</v>
      </c>
      <c r="Q374" s="9">
        <f>P374-O374</f>
        <v>-178401.49325255328</v>
      </c>
      <c r="R374" s="9">
        <f>SUM(R371:R373)</f>
        <v>188971.56</v>
      </c>
      <c r="S374" s="9">
        <f>SUM(S371:S373)</f>
        <v>164574.78508981183</v>
      </c>
      <c r="T374" s="9">
        <f>S374-R374</f>
        <v>-24396.774910188164</v>
      </c>
      <c r="U374" s="9">
        <f>SUM(U371:U373)</f>
        <v>159115.20039849682</v>
      </c>
      <c r="V374" s="9">
        <f>SUM(V371:V373)</f>
        <v>115228.70389510298</v>
      </c>
      <c r="W374" s="9">
        <f>V374-U374</f>
        <v>-43886.496503393835</v>
      </c>
      <c r="X374" s="9">
        <f>SUM(X371:X373)</f>
        <v>2111379.8515301305</v>
      </c>
      <c r="Y374" s="9">
        <f>SUM(Y371:Y373)</f>
        <v>1846497.9250324266</v>
      </c>
      <c r="Z374" s="9">
        <f>Y374-X374</f>
        <v>-264881.92649770388</v>
      </c>
      <c r="AA374" s="9">
        <f>SUM(AA371:AA373)</f>
        <v>0</v>
      </c>
      <c r="AB374" s="9">
        <f>SUM(AB371:AB373)</f>
        <v>0</v>
      </c>
      <c r="AC374" s="9">
        <f>AB374-AA374</f>
        <v>0</v>
      </c>
      <c r="AD374" s="9">
        <f>SUM(AD371:AD373)</f>
        <v>4241474.5854600007</v>
      </c>
      <c r="AE374" s="9">
        <f>SUM(AE371:AE373)</f>
        <v>3932270.6220195936</v>
      </c>
      <c r="AF374" s="9">
        <f>AE374-AD374</f>
        <v>-309203.96344040707</v>
      </c>
      <c r="AG374" s="9">
        <f>SUM(AG371:AG373)</f>
        <v>11874752.95423561</v>
      </c>
      <c r="AH374" s="9">
        <f>SUM(AH371:AH373)</f>
        <v>10811088.144067921</v>
      </c>
      <c r="AI374" s="9">
        <f>AH374-AG374</f>
        <v>-1063664.8101676889</v>
      </c>
      <c r="AJ374" s="9">
        <f>SUM(AJ371:AJ373)</f>
        <v>5202201.0792998821</v>
      </c>
      <c r="AK374" s="9">
        <f>SUM(AK371:AK373)</f>
        <v>5105968.4875319917</v>
      </c>
      <c r="AL374" s="9">
        <f>AK374-AJ374</f>
        <v>-96232.591767890379</v>
      </c>
      <c r="AM374" s="9">
        <f>SUM(AM371:AM373)</f>
        <v>75857.049072040201</v>
      </c>
      <c r="AN374" s="9">
        <f>SUM(AN371:AN373)</f>
        <v>118826.78740394439</v>
      </c>
      <c r="AO374" s="9">
        <f>AN374-AM374</f>
        <v>42969.738331904184</v>
      </c>
      <c r="AP374" s="9">
        <f>SUM(AP371:AP373)</f>
        <v>1516483.0270066739</v>
      </c>
      <c r="AQ374" s="9">
        <f>SUM(AQ371:AQ373)</f>
        <v>1555834.3755018783</v>
      </c>
      <c r="AR374" s="9">
        <f>AQ374-AP374</f>
        <v>39351.348495204467</v>
      </c>
      <c r="AS374" s="9">
        <f>SUM(AS371:AS373)</f>
        <v>15397327.843223777</v>
      </c>
      <c r="AT374" s="9">
        <f>SUM(AT371:AT373)</f>
        <v>13699562.151851606</v>
      </c>
      <c r="AU374" s="9">
        <f>AT374-AS374</f>
        <v>-1697765.691372171</v>
      </c>
      <c r="AV374" s="9">
        <f>SUM(AV371:AV373)</f>
        <v>384471.14196236723</v>
      </c>
      <c r="AW374" s="9">
        <f>SUM(AW371:AW373)</f>
        <v>427894.40348329046</v>
      </c>
      <c r="AX374" s="9">
        <f>AW374-AV374</f>
        <v>43423.261520923232</v>
      </c>
      <c r="AY374" s="9">
        <f>SUM(AY371:AY373)</f>
        <v>557000.79580137064</v>
      </c>
      <c r="AZ374" s="9">
        <f>SUM(AZ371:AZ373)</f>
        <v>503525.14504261717</v>
      </c>
      <c r="BA374" s="9">
        <f>AZ374-AY374</f>
        <v>-53475.650758753472</v>
      </c>
      <c r="BB374" s="9">
        <f>SUM(BB371:BB373)</f>
        <v>485533.06740623899</v>
      </c>
      <c r="BC374" s="9">
        <f>SUM(BC371:BC373)</f>
        <v>314820.11983599188</v>
      </c>
      <c r="BD374" s="9">
        <f>BC374-BB374</f>
        <v>-170712.94757024711</v>
      </c>
      <c r="BE374" s="9">
        <f>SUM(BE371:BE373)</f>
        <v>100804.79574391777</v>
      </c>
      <c r="BF374" s="9">
        <f>SUM(BF371:BF373)</f>
        <v>28104</v>
      </c>
      <c r="BG374" s="9">
        <f>BF374-BE374</f>
        <v>-72700.79574391777</v>
      </c>
      <c r="BH374" s="9">
        <f>SUM(BH371:BH373)</f>
        <v>87637.22533581825</v>
      </c>
      <c r="BI374" s="9">
        <f>SUM(BI371:BI373)</f>
        <v>89151.662528232016</v>
      </c>
      <c r="BJ374" s="9">
        <f>BI374-BH374</f>
        <v>1514.4371924137668</v>
      </c>
      <c r="BK374" s="9">
        <f>SUM(BK371:BK373)</f>
        <v>257688.07043680636</v>
      </c>
      <c r="BL374" s="9">
        <f>SUM(BL371:BL373)</f>
        <v>739270.72443688766</v>
      </c>
      <c r="BM374" s="9">
        <f>BL374-BK374</f>
        <v>481582.6540000813</v>
      </c>
      <c r="BN374" s="9">
        <f>SUM(BN371:BN373)</f>
        <v>46413.052885142613</v>
      </c>
      <c r="BO374" s="9">
        <f>SUM(BO371:BO373)</f>
        <v>102803</v>
      </c>
      <c r="BP374" s="9">
        <f>BO374-BN374</f>
        <v>56389.947114857387</v>
      </c>
      <c r="BQ374" s="9">
        <f>SUM(BQ371:BQ373)</f>
        <v>1919548.1495716621</v>
      </c>
      <c r="BR374" s="9">
        <f>SUM(BR371:BR373)</f>
        <v>2205569.0553270187</v>
      </c>
      <c r="BS374" s="160">
        <f>BR374-BQ374</f>
        <v>286020.90575535665</v>
      </c>
      <c r="BT374" s="9">
        <f>SUM(BT371:BT373)</f>
        <v>11133085.041899104</v>
      </c>
      <c r="BU374" s="9">
        <f>SUM(BU371:BU373)</f>
        <v>13180518.245586857</v>
      </c>
      <c r="BV374" s="9">
        <f>BU374-BT374</f>
        <v>2047433.2036877535</v>
      </c>
      <c r="BW374" s="9">
        <f>SUM(BW371:BW373)</f>
        <v>7414724.3431927301</v>
      </c>
      <c r="BX374" s="9">
        <f>SUM(BX371:BX373)</f>
        <v>7755828.3194839125</v>
      </c>
      <c r="BY374" s="9">
        <f>BX374-BW374</f>
        <v>341103.97629118245</v>
      </c>
      <c r="BZ374" s="9">
        <f>SUM(BZ371:BZ373)</f>
        <v>2510795.4180708174</v>
      </c>
      <c r="CA374" s="9">
        <f>SUM(CA371:CA373)</f>
        <v>3126812.4134931099</v>
      </c>
      <c r="CB374" s="9">
        <f>CA374-BZ374</f>
        <v>616016.9954222925</v>
      </c>
      <c r="CC374" s="9">
        <f>SUM(CC371:CC373)</f>
        <v>330161.42140452046</v>
      </c>
      <c r="CD374" s="9">
        <f>SUM(CD371:CD373)</f>
        <v>327257.55835987011</v>
      </c>
      <c r="CE374" s="9">
        <f>CD374-CC374</f>
        <v>-2903.8630446503521</v>
      </c>
      <c r="CF374" s="9">
        <f>SUM(CF371:CF373)</f>
        <v>40644.871953207999</v>
      </c>
      <c r="CG374" s="9">
        <f>SUM(CG371:CG373)</f>
        <v>30764.751282670091</v>
      </c>
      <c r="CH374" s="9">
        <f>CG374-CF374</f>
        <v>-9880.1206705379082</v>
      </c>
      <c r="CI374" s="9">
        <f>SUM(CI371:CI373)</f>
        <v>2140888.0706087765</v>
      </c>
      <c r="CJ374" s="9">
        <f>SUM(CJ371:CJ373)</f>
        <v>1596598.0424807512</v>
      </c>
      <c r="CK374" s="9">
        <f>CJ374-CI374</f>
        <v>-544290.02812802535</v>
      </c>
      <c r="CL374" s="9">
        <f>SUM(CL371:CL373)</f>
        <v>1168450.8679488078</v>
      </c>
      <c r="CM374" s="9">
        <f>SUM(CM371:CM373)</f>
        <v>1260746.2842308041</v>
      </c>
      <c r="CN374" s="9">
        <f>CM374-CL374</f>
        <v>92295.416281996295</v>
      </c>
      <c r="CO374" s="9">
        <f>SUM(CO371:CO373)</f>
        <v>3309338.9385575829</v>
      </c>
      <c r="CP374" s="9">
        <f>SUM(CP371:CP373)</f>
        <v>2857344.326711555</v>
      </c>
      <c r="CQ374" s="58">
        <f>CP374-CO374</f>
        <v>-451994.6118460279</v>
      </c>
      <c r="CR374" s="9">
        <f>SUM(CR371:CR373)</f>
        <v>60724920.137487605</v>
      </c>
      <c r="CS374" s="9">
        <f>SUM(CS371:CS373)</f>
        <v>60775374.616602316</v>
      </c>
      <c r="CT374" s="58">
        <f>CS374-CR374</f>
        <v>50454.479114711285</v>
      </c>
      <c r="CU374" s="9">
        <f>SUM(CU371:CU373)</f>
        <v>72869904.16498512</v>
      </c>
      <c r="CV374" s="9">
        <f>SUM(CV371:CV373)</f>
        <v>72930449.539922804</v>
      </c>
      <c r="CW374" s="159">
        <f>CV374-CU374</f>
        <v>60545.374937683344</v>
      </c>
      <c r="CX374" s="9">
        <f>SUM(CX371:CX373)</f>
        <v>1707980.845014872</v>
      </c>
      <c r="CY374" s="9">
        <f>SUM(CY371:CY373)</f>
        <v>1647435.4700772043</v>
      </c>
      <c r="CZ374" s="9">
        <f>CY374-CX374</f>
        <v>-60545.374937667744</v>
      </c>
      <c r="DA374" s="9">
        <f>SUM(DA371:DA373)</f>
        <v>2899364.6179001573</v>
      </c>
      <c r="DB374" s="54"/>
      <c r="DC374" s="9">
        <f>SUM(DC371:DC373)</f>
        <v>16456641.919999994</v>
      </c>
      <c r="DD374" s="9">
        <f>SUM(DD371:DD373)</f>
        <v>1671084.9599999997</v>
      </c>
      <c r="DE374" s="9">
        <f>SUM(DE371:DE373)</f>
        <v>10477047.170000002</v>
      </c>
      <c r="DF374" s="9">
        <f>SUM(DF371:DF373)</f>
        <v>1436341.4100000001</v>
      </c>
      <c r="DG374" s="786"/>
      <c r="DH374" s="9">
        <f>SUM(DH371:DH373)</f>
        <v>894934620.12000012</v>
      </c>
      <c r="DI374" s="316">
        <f>SUM(DI371:DI373)</f>
        <v>0</v>
      </c>
      <c r="DJ374" s="54"/>
      <c r="DN374" s="54"/>
      <c r="DO374" s="54"/>
      <c r="DR374" s="9"/>
      <c r="DS374" s="752"/>
      <c r="DT374" s="9"/>
      <c r="DU374" s="759"/>
      <c r="DV374" s="9"/>
      <c r="DW374" s="987">
        <f>SUM(DW371:DW373)</f>
        <v>65079.100000000006</v>
      </c>
      <c r="DX374" s="987">
        <f>SUM(DX371:DX373)</f>
        <v>0</v>
      </c>
      <c r="DY374" s="54"/>
      <c r="DZ374" s="54"/>
      <c r="EA374" s="797"/>
      <c r="EE374" s="316">
        <f>SUM(EE371:EE373)</f>
        <v>3038718</v>
      </c>
      <c r="EH374" s="316">
        <f>SUM(EH371:EH373)</f>
        <v>2775220.6974070175</v>
      </c>
    </row>
    <row r="375" spans="1:138" x14ac:dyDescent="0.3">
      <c r="F375" s="103">
        <v>2322.87</v>
      </c>
      <c r="CX375" s="103">
        <f>CX374/CU374*100</f>
        <v>2.343876892095019</v>
      </c>
      <c r="DR375" s="29"/>
      <c r="DS375" s="750"/>
      <c r="DT375" s="29"/>
      <c r="DU375" s="758"/>
      <c r="DV375" s="5"/>
    </row>
    <row r="376" spans="1:138" x14ac:dyDescent="0.3">
      <c r="C376" s="4" t="s">
        <v>1033</v>
      </c>
      <c r="F376" s="103">
        <v>1851.94</v>
      </c>
      <c r="DR376" s="29"/>
      <c r="DS376" s="750"/>
      <c r="DT376" s="29"/>
      <c r="DU376" s="758"/>
      <c r="DV376" s="5"/>
    </row>
    <row r="377" spans="1:138" x14ac:dyDescent="0.3">
      <c r="A377" s="292"/>
      <c r="C377" s="29" t="s">
        <v>1014</v>
      </c>
      <c r="D377" s="3"/>
      <c r="E377" s="515"/>
      <c r="F377" s="30">
        <v>2555.1</v>
      </c>
      <c r="G377" s="55"/>
      <c r="H377" s="320"/>
      <c r="I377" s="5"/>
      <c r="J377" s="339">
        <f>J371/I371</f>
        <v>0.85244238198705735</v>
      </c>
      <c r="K377" s="339"/>
      <c r="L377" s="339"/>
      <c r="M377" s="339">
        <f>M371/L371</f>
        <v>0.94121819866493661</v>
      </c>
      <c r="N377" s="339"/>
      <c r="O377" s="339"/>
      <c r="P377" s="339">
        <f>P371/O371</f>
        <v>0.80372629846469534</v>
      </c>
      <c r="Q377" s="339"/>
      <c r="R377" s="339"/>
      <c r="S377" s="339">
        <f>S371/R371</f>
        <v>0.80025040977614459</v>
      </c>
      <c r="T377" s="339"/>
      <c r="U377" s="339"/>
      <c r="V377" s="339">
        <f>V371/U371</f>
        <v>0.38506321099230273</v>
      </c>
      <c r="W377" s="339"/>
      <c r="X377" s="339"/>
      <c r="Y377" s="339">
        <f>Y371/X371</f>
        <v>0.77623165863811994</v>
      </c>
      <c r="Z377" s="339"/>
      <c r="AA377" s="339"/>
      <c r="AB377" s="339" t="e">
        <f>AB371/AA371</f>
        <v>#DIV/0!</v>
      </c>
      <c r="AC377" s="339"/>
      <c r="AD377" s="339"/>
      <c r="AE377" s="339">
        <f>AE371/AD371</f>
        <v>0.9252050226468993</v>
      </c>
      <c r="AF377" s="339"/>
      <c r="AG377" s="340"/>
      <c r="AH377" s="339">
        <f>AH371/AG371</f>
        <v>0.85168264054539256</v>
      </c>
      <c r="AI377" s="339"/>
      <c r="AJ377" s="339"/>
      <c r="AK377" s="339">
        <f>AK371/AJ371</f>
        <v>0.97584978341418771</v>
      </c>
      <c r="AL377" s="339"/>
      <c r="AM377" s="339"/>
      <c r="AN377" s="339">
        <f>AN371/AM371</f>
        <v>1.3036999685178088</v>
      </c>
      <c r="AO377" s="339"/>
      <c r="AP377" s="339"/>
      <c r="AQ377" s="339">
        <f>AQ371/AP371</f>
        <v>1.0519718484161509</v>
      </c>
      <c r="AR377" s="339"/>
      <c r="AS377" s="339"/>
      <c r="AT377" s="339">
        <f>AT371/AS371</f>
        <v>0.88618712865815708</v>
      </c>
      <c r="AU377" s="339"/>
      <c r="AV377" s="339"/>
      <c r="AW377" s="339">
        <f>AW371/AV371</f>
        <v>1.7458385312176046</v>
      </c>
      <c r="AX377" s="339"/>
      <c r="AY377" s="339"/>
      <c r="AZ377" s="339">
        <f>AZ371/AY371</f>
        <v>2.5088434105023598</v>
      </c>
      <c r="BA377" s="339"/>
      <c r="BB377" s="339"/>
      <c r="BC377" s="339">
        <f>BC371/BB371</f>
        <v>0.33094670297229511</v>
      </c>
      <c r="BD377" s="339"/>
      <c r="BE377" s="339"/>
      <c r="BF377" s="339">
        <f>BF371/BE371</f>
        <v>0.31828085567143555</v>
      </c>
      <c r="BG377" s="339"/>
      <c r="BH377" s="339"/>
      <c r="BI377" s="339">
        <f>BI371/BH371</f>
        <v>0.65523134255032611</v>
      </c>
      <c r="BJ377" s="339"/>
      <c r="BK377" s="339"/>
      <c r="BL377" s="339">
        <f>BL371/BK371</f>
        <v>4.833896617046733</v>
      </c>
      <c r="BM377" s="339"/>
      <c r="BN377" s="339"/>
      <c r="BO377" s="339">
        <f>BO371/BN371</f>
        <v>1.8650441099574142</v>
      </c>
      <c r="BP377" s="339"/>
      <c r="BQ377" s="340"/>
      <c r="BR377" s="339">
        <f>BR371/BQ371</f>
        <v>1.83919395411912</v>
      </c>
      <c r="BS377" s="339"/>
      <c r="BT377" s="339"/>
      <c r="BU377" s="339">
        <f>BU371/BT371</f>
        <v>1.1154332232272075</v>
      </c>
      <c r="BV377" s="339"/>
      <c r="BW377" s="340"/>
      <c r="BX377" s="339">
        <f>BX371/BW371</f>
        <v>1.0396817768683075</v>
      </c>
      <c r="BY377" s="339"/>
      <c r="BZ377" s="339"/>
      <c r="CA377" s="339">
        <f>CA371/BZ371</f>
        <v>1.3807230966504691</v>
      </c>
      <c r="CB377" s="339"/>
      <c r="CC377" s="339"/>
      <c r="CD377" s="339">
        <f>CD371/CC371</f>
        <v>0.99120471727951331</v>
      </c>
      <c r="CE377" s="339"/>
      <c r="CF377" s="339"/>
      <c r="CG377" s="339">
        <f>CG371/CF371</f>
        <v>0.51790975028554942</v>
      </c>
      <c r="CH377" s="339"/>
      <c r="CI377" s="339"/>
      <c r="CJ377" s="339">
        <f>CJ371/CI371</f>
        <v>0.80011990314210657</v>
      </c>
      <c r="CK377" s="339"/>
      <c r="CL377" s="339"/>
      <c r="CM377" s="339">
        <f>CM371/CL371</f>
        <v>1.0324890282106558</v>
      </c>
      <c r="CN377" s="339"/>
      <c r="CO377" s="339"/>
      <c r="CP377" s="339">
        <f>CP371/CO371</f>
        <v>0.90097171788372932</v>
      </c>
      <c r="CQ377" s="339"/>
      <c r="CR377" s="339"/>
      <c r="CS377" s="339">
        <f>CS371/CR371</f>
        <v>0.99910908524525721</v>
      </c>
      <c r="CT377" s="339"/>
      <c r="CU377" s="339"/>
      <c r="CV377" s="339">
        <f>CV371/CU371</f>
        <v>0.99910908524525688</v>
      </c>
      <c r="CW377" s="5"/>
      <c r="CX377" s="5"/>
      <c r="CY377" s="248"/>
      <c r="CZ377" s="5"/>
      <c r="DC377" s="512">
        <f>'ДЗ нас '!C359</f>
        <v>16605847.699999988</v>
      </c>
      <c r="DD377" s="426">
        <f>'ДЗ нежит'!C147</f>
        <v>1678561.4899999998</v>
      </c>
      <c r="DU377" s="760"/>
      <c r="DV377" s="43"/>
    </row>
    <row r="378" spans="1:138" x14ac:dyDescent="0.3">
      <c r="A378" s="292"/>
      <c r="C378" s="29" t="s">
        <v>1015</v>
      </c>
      <c r="D378" s="3"/>
      <c r="E378" s="515"/>
      <c r="F378" s="30">
        <v>1448.4</v>
      </c>
      <c r="G378" s="55"/>
      <c r="H378" s="320"/>
      <c r="I378" s="5"/>
      <c r="J378" s="339">
        <f>J372/I372</f>
        <v>0.99907246384947923</v>
      </c>
      <c r="K378" s="339"/>
      <c r="L378" s="339"/>
      <c r="M378" s="339">
        <f>M372/L372</f>
        <v>1.0185874990611152</v>
      </c>
      <c r="N378" s="339"/>
      <c r="O378" s="339"/>
      <c r="P378" s="339">
        <f>P372/O372</f>
        <v>0.83165398755870446</v>
      </c>
      <c r="Q378" s="339"/>
      <c r="R378" s="339"/>
      <c r="S378" s="339">
        <f>S372/R372</f>
        <v>0.86356192527066289</v>
      </c>
      <c r="T378" s="339"/>
      <c r="U378" s="339"/>
      <c r="V378" s="339">
        <f>V372/U372</f>
        <v>2.7298304087707965</v>
      </c>
      <c r="W378" s="339"/>
      <c r="X378" s="339"/>
      <c r="Y378" s="339">
        <f>Y372/X372</f>
        <v>0.88070023153460475</v>
      </c>
      <c r="Z378" s="339"/>
      <c r="AA378" s="339"/>
      <c r="AB378" s="339" t="e">
        <f>AB372/AA372</f>
        <v>#DIV/0!</v>
      </c>
      <c r="AC378" s="339"/>
      <c r="AD378" s="339"/>
      <c r="AE378" s="339">
        <f>AE372/AD372</f>
        <v>0.92739279422926857</v>
      </c>
      <c r="AF378" s="339"/>
      <c r="AG378" s="340"/>
      <c r="AH378" s="339">
        <f>AH372/AG372</f>
        <v>0.93915340485123</v>
      </c>
      <c r="AI378" s="339"/>
      <c r="AJ378" s="339"/>
      <c r="AK378" s="339">
        <f>AK372/AJ372</f>
        <v>0.99036371190381722</v>
      </c>
      <c r="AL378" s="339"/>
      <c r="AM378" s="339"/>
      <c r="AN378" s="339">
        <f>AN372/AM372</f>
        <v>1.376984739145739</v>
      </c>
      <c r="AO378" s="339"/>
      <c r="AP378" s="339"/>
      <c r="AQ378" s="339">
        <f>AQ372/AP372</f>
        <v>0.945689143864055</v>
      </c>
      <c r="AR378" s="339"/>
      <c r="AS378" s="339"/>
      <c r="AT378" s="339">
        <f>AT372/AS372</f>
        <v>0.62776379015924377</v>
      </c>
      <c r="AU378" s="339"/>
      <c r="AV378" s="339"/>
      <c r="AW378" s="339">
        <f>AW372/AV372</f>
        <v>0.72342935211417692</v>
      </c>
      <c r="AX378" s="339"/>
      <c r="AY378" s="339"/>
      <c r="AZ378" s="339">
        <f>AZ372/AY372</f>
        <v>0.2693106870381709</v>
      </c>
      <c r="BA378" s="339"/>
      <c r="BB378" s="339"/>
      <c r="BC378" s="339">
        <f>BC372/BB372</f>
        <v>0.47423473735884647</v>
      </c>
      <c r="BD378" s="339"/>
      <c r="BE378" s="339"/>
      <c r="BF378" s="339">
        <f>BF372/BE372</f>
        <v>4.0424507280250918E-2</v>
      </c>
      <c r="BG378" s="339"/>
      <c r="BH378" s="339"/>
      <c r="BI378" s="339">
        <f>BI372/BH372</f>
        <v>2.5455102547205746</v>
      </c>
      <c r="BJ378" s="339"/>
      <c r="BK378" s="339"/>
      <c r="BL378" s="339">
        <f>BL372/BK372</f>
        <v>2.138839149502517</v>
      </c>
      <c r="BM378" s="339"/>
      <c r="BN378" s="339"/>
      <c r="BO378" s="339">
        <f>BO372/BN372</f>
        <v>2.2121961778791448</v>
      </c>
      <c r="BP378" s="339"/>
      <c r="BQ378" s="340"/>
      <c r="BR378" s="339">
        <f>BR372/BQ372</f>
        <v>0.69314527872559806</v>
      </c>
      <c r="BS378" s="339"/>
      <c r="BT378" s="339"/>
      <c r="BU378" s="339">
        <f>BU372/BT372</f>
        <v>1.3135781455134221</v>
      </c>
      <c r="BV378" s="339"/>
      <c r="BW378" s="340"/>
      <c r="BX378" s="339">
        <f>BX372/BW372</f>
        <v>1.0919506141579907</v>
      </c>
      <c r="BY378" s="339"/>
      <c r="BZ378" s="339"/>
      <c r="CA378" s="339">
        <f>CA372/BZ372</f>
        <v>0.98750061037420023</v>
      </c>
      <c r="CB378" s="339"/>
      <c r="CC378" s="339"/>
      <c r="CD378" s="339">
        <f>CD372/CC372</f>
        <v>0.99120471727951387</v>
      </c>
      <c r="CE378" s="339"/>
      <c r="CF378" s="339"/>
      <c r="CG378" s="339">
        <f>CG372/CF372</f>
        <v>0.95234325880905701</v>
      </c>
      <c r="CH378" s="339"/>
      <c r="CI378" s="339"/>
      <c r="CJ378" s="339">
        <f>CJ372/CI372</f>
        <v>0.74195789761085718</v>
      </c>
      <c r="CK378" s="339"/>
      <c r="CL378" s="339"/>
      <c r="CM378" s="339">
        <f>CM372/CL372</f>
        <v>1.229794560184245</v>
      </c>
      <c r="CN378" s="339"/>
      <c r="CO378" s="339"/>
      <c r="CP378" s="339">
        <f>CP372/CO372</f>
        <v>0.85832120633155196</v>
      </c>
      <c r="CQ378" s="339"/>
      <c r="CR378" s="339"/>
      <c r="CS378" s="339">
        <f>CS372/CR372</f>
        <v>0.94990372354160302</v>
      </c>
      <c r="CT378" s="339"/>
      <c r="CU378" s="339"/>
      <c r="CV378" s="339">
        <f>CV372/CU372</f>
        <v>0.94990372354160413</v>
      </c>
      <c r="CW378" s="5"/>
      <c r="CX378" s="5"/>
      <c r="CY378" s="248"/>
      <c r="CZ378" s="5"/>
      <c r="DD378" s="430"/>
      <c r="DG378" s="798">
        <f>SUMIF(DG9:DG367,"&gt;0")</f>
        <v>6804683.953567192</v>
      </c>
      <c r="DU378" s="758"/>
      <c r="DV378" s="5"/>
      <c r="EE378" s="769">
        <f>SUMIF(EE9:EE367,"&gt;0")</f>
        <v>6598584</v>
      </c>
      <c r="EF378" s="769">
        <f>SUMIF(EF9:EF367,"&gt;0")</f>
        <v>7815436.3711681962</v>
      </c>
      <c r="EH378" s="769">
        <f>SUMIF(EH9:EH367,"&gt;0")</f>
        <v>9350476.0896039307</v>
      </c>
    </row>
    <row r="379" spans="1:138" x14ac:dyDescent="0.3">
      <c r="A379" s="292"/>
      <c r="C379" s="29" t="s">
        <v>1016</v>
      </c>
      <c r="D379" s="3"/>
      <c r="E379" s="515"/>
      <c r="F379" s="30"/>
      <c r="G379" s="55"/>
      <c r="H379" s="320"/>
      <c r="I379" s="5"/>
      <c r="J379" s="339">
        <f>J373/I373</f>
        <v>0.91896938694905961</v>
      </c>
      <c r="K379" s="339"/>
      <c r="L379" s="339"/>
      <c r="M379" s="339">
        <f>M373/L373</f>
        <v>0.96948040593050089</v>
      </c>
      <c r="N379" s="339"/>
      <c r="O379" s="339"/>
      <c r="P379" s="339">
        <f>P373/O373</f>
        <v>1.0000519724120989</v>
      </c>
      <c r="Q379" s="339"/>
      <c r="R379" s="339"/>
      <c r="S379" s="339">
        <f>S373/R373</f>
        <v>0.9997238846223</v>
      </c>
      <c r="T379" s="339"/>
      <c r="U379" s="339"/>
      <c r="V379" s="339">
        <f>V373/U373</f>
        <v>0.68432625745073461</v>
      </c>
      <c r="W379" s="339"/>
      <c r="X379" s="339"/>
      <c r="Y379" s="339">
        <f>Y373/X373</f>
        <v>0.97104363167685948</v>
      </c>
      <c r="Z379" s="339"/>
      <c r="AA379" s="339"/>
      <c r="AB379" s="339" t="e">
        <f>AB373/AA373</f>
        <v>#DIV/0!</v>
      </c>
      <c r="AC379" s="339"/>
      <c r="AD379" s="339"/>
      <c r="AE379" s="339">
        <f>AE373/AD373</f>
        <v>0.92883811729521826</v>
      </c>
      <c r="AF379" s="339"/>
      <c r="AG379" s="340"/>
      <c r="AH379" s="339">
        <f>AH373/AG373</f>
        <v>0.94072347592955563</v>
      </c>
      <c r="AI379" s="339"/>
      <c r="AJ379" s="339"/>
      <c r="AK379" s="339">
        <f>AK373/AJ373</f>
        <v>0.98662637661080443</v>
      </c>
      <c r="AL379" s="339"/>
      <c r="AM379" s="339"/>
      <c r="AN379" s="339">
        <f>AN373/AM373</f>
        <v>7.2490080702119331</v>
      </c>
      <c r="AO379" s="339"/>
      <c r="AP379" s="339"/>
      <c r="AQ379" s="339">
        <f>AQ373/AP373</f>
        <v>1.1364580923931398</v>
      </c>
      <c r="AR379" s="339"/>
      <c r="AS379" s="339"/>
      <c r="AT379" s="339">
        <f>AT373/AS373</f>
        <v>1.1174197578921159</v>
      </c>
      <c r="AU379" s="339"/>
      <c r="AV379" s="339"/>
      <c r="AW379" s="339">
        <f>AW373/AV373</f>
        <v>1.2273816227826408</v>
      </c>
      <c r="AX379" s="339"/>
      <c r="AY379" s="339"/>
      <c r="AZ379" s="339">
        <f>AZ373/AY373</f>
        <v>0.77175748172093583</v>
      </c>
      <c r="BA379" s="339"/>
      <c r="BB379" s="339"/>
      <c r="BC379" s="339">
        <f>BC373/BB373</f>
        <v>1.0715425597988961</v>
      </c>
      <c r="BD379" s="339"/>
      <c r="BE379" s="339"/>
      <c r="BF379" s="339">
        <f>BF373/BE373</f>
        <v>0.37918023427362557</v>
      </c>
      <c r="BG379" s="339"/>
      <c r="BH379" s="339"/>
      <c r="BI379" s="339">
        <f>BI373/BH373</f>
        <v>0.99112899666961962</v>
      </c>
      <c r="BJ379" s="339"/>
      <c r="BK379" s="339"/>
      <c r="BL379" s="339">
        <f>BL373/BK373</f>
        <v>2.2496730307924633</v>
      </c>
      <c r="BM379" s="339"/>
      <c r="BN379" s="339"/>
      <c r="BO379" s="339">
        <f>BO373/BN373</f>
        <v>144.97941942955035</v>
      </c>
      <c r="BP379" s="339"/>
      <c r="BQ379" s="340"/>
      <c r="BR379" s="339">
        <f>BR373/BQ373</f>
        <v>1.1661892453061775</v>
      </c>
      <c r="BS379" s="339"/>
      <c r="BT379" s="339"/>
      <c r="BU379" s="339">
        <f>BU373/BT373</f>
        <v>1.1207967028746344</v>
      </c>
      <c r="BV379" s="339"/>
      <c r="BW379" s="340"/>
      <c r="BX379" s="339">
        <f>BX373/BW373</f>
        <v>1.0048857102253428</v>
      </c>
      <c r="BY379" s="339"/>
      <c r="BZ379" s="339"/>
      <c r="CA379" s="339">
        <f>CA373/BZ373</f>
        <v>1.6895282980134587</v>
      </c>
      <c r="CB379" s="339"/>
      <c r="CC379" s="339"/>
      <c r="CD379" s="339">
        <f>CD373/CC373</f>
        <v>0.99120471727951354</v>
      </c>
      <c r="CE379" s="339"/>
      <c r="CF379" s="339"/>
      <c r="CG379" s="339">
        <f>CG373/CF373</f>
        <v>0.76166716392009215</v>
      </c>
      <c r="CH379" s="339"/>
      <c r="CI379" s="339"/>
      <c r="CJ379" s="339">
        <f>CJ373/CI373</f>
        <v>0.69025665089830712</v>
      </c>
      <c r="CK379" s="339"/>
      <c r="CL379" s="339"/>
      <c r="CM379" s="339">
        <f>CM373/CL373</f>
        <v>1.0823347609579386</v>
      </c>
      <c r="CN379" s="339"/>
      <c r="CO379" s="339"/>
      <c r="CP379" s="339">
        <f>CP373/CO373</f>
        <v>0.81897515680012223</v>
      </c>
      <c r="CQ379" s="339"/>
      <c r="CR379" s="339"/>
      <c r="CS379" s="339">
        <f>CS373/CR373</f>
        <v>1.0555976915976539</v>
      </c>
      <c r="CT379" s="339"/>
      <c r="CU379" s="339"/>
      <c r="CV379" s="339">
        <f>CV373/CU373</f>
        <v>1.0555976915976548</v>
      </c>
      <c r="CW379" s="5"/>
      <c r="CX379" s="5"/>
      <c r="CY379" s="248"/>
      <c r="CZ379" s="5"/>
      <c r="DG379" s="798">
        <f>SUMIF(DG9:DG367,"&lt;0")</f>
        <v>-6706368.2044290565</v>
      </c>
      <c r="DU379" s="758"/>
      <c r="DV379" s="5"/>
      <c r="EE379" s="769">
        <f>SUMIF(EE9:EE367,"&lt;0")</f>
        <v>-3559866</v>
      </c>
      <c r="EF379" s="769">
        <f>SUMIF(EF9:EF367,"&lt;0")</f>
        <v>-4678402.6220300598</v>
      </c>
      <c r="EH379" s="769">
        <f>SUMIF(EH9:EH367,"&lt;0")</f>
        <v>-6575255.3921969123</v>
      </c>
    </row>
    <row r="380" spans="1:138" x14ac:dyDescent="0.3">
      <c r="A380" s="292"/>
      <c r="C380" s="31" t="s">
        <v>948</v>
      </c>
      <c r="D380" s="3"/>
      <c r="E380" s="515"/>
      <c r="F380" s="30"/>
      <c r="G380" s="55"/>
      <c r="H380" s="320"/>
      <c r="I380" s="5"/>
      <c r="J380" s="340">
        <f>J374/I374</f>
        <v>0.92776155219686285</v>
      </c>
      <c r="K380" s="339"/>
      <c r="L380" s="339"/>
      <c r="M380" s="340">
        <f>M374/L374</f>
        <v>0.9794710783652546</v>
      </c>
      <c r="N380" s="339"/>
      <c r="O380" s="339"/>
      <c r="P380" s="340">
        <f>P374/O374</f>
        <v>0.87098338386016128</v>
      </c>
      <c r="Q380" s="339"/>
      <c r="R380" s="339"/>
      <c r="S380" s="340">
        <f>S374/R374</f>
        <v>0.87089710795535491</v>
      </c>
      <c r="T380" s="339"/>
      <c r="U380" s="339"/>
      <c r="V380" s="340">
        <f>V374/U374</f>
        <v>0.7241841358117761</v>
      </c>
      <c r="W380" s="339"/>
      <c r="X380" s="339"/>
      <c r="Y380" s="340">
        <f>Y374/X374</f>
        <v>0.8745455838722046</v>
      </c>
      <c r="Z380" s="339"/>
      <c r="AA380" s="339"/>
      <c r="AB380" s="340" t="e">
        <f>AB374/AA374</f>
        <v>#DIV/0!</v>
      </c>
      <c r="AC380" s="339"/>
      <c r="AD380" s="339"/>
      <c r="AE380" s="340">
        <f>AE374/AD374</f>
        <v>0.92709989009473859</v>
      </c>
      <c r="AF380" s="339"/>
      <c r="AG380" s="340"/>
      <c r="AH380" s="340">
        <f>AH374/AG374</f>
        <v>0.91042636303534297</v>
      </c>
      <c r="AI380" s="339"/>
      <c r="AJ380" s="339"/>
      <c r="AK380" s="340">
        <f>AK374/AJ374</f>
        <v>0.98150156245386011</v>
      </c>
      <c r="AL380" s="339"/>
      <c r="AM380" s="339"/>
      <c r="AN380" s="340">
        <f>AN374/AM374</f>
        <v>1.5664567612048357</v>
      </c>
      <c r="AO380" s="339"/>
      <c r="AP380" s="339"/>
      <c r="AQ380" s="340">
        <f>AQ374/AP374</f>
        <v>1.025949086006507</v>
      </c>
      <c r="AR380" s="339"/>
      <c r="AS380" s="339"/>
      <c r="AT380" s="340">
        <f>AT374/AS374</f>
        <v>0.88973634200304819</v>
      </c>
      <c r="AU380" s="339"/>
      <c r="AV380" s="339"/>
      <c r="AW380" s="340">
        <f>AW374/AV374</f>
        <v>1.1129428370079686</v>
      </c>
      <c r="AX380" s="339"/>
      <c r="AY380" s="339"/>
      <c r="AZ380" s="340">
        <f>AZ374/AY374</f>
        <v>0.90399358284252229</v>
      </c>
      <c r="BA380" s="339"/>
      <c r="BB380" s="339"/>
      <c r="BC380" s="340">
        <f>BC374/BB374</f>
        <v>0.64840098639993582</v>
      </c>
      <c r="BD380" s="339"/>
      <c r="BE380" s="339"/>
      <c r="BF380" s="340">
        <f>BF374/BE374</f>
        <v>0.27879625956878845</v>
      </c>
      <c r="BG380" s="339"/>
      <c r="BH380" s="339"/>
      <c r="BI380" s="340">
        <f>BI374/BH374</f>
        <v>1.0172807524041363</v>
      </c>
      <c r="BJ380" s="339"/>
      <c r="BK380" s="339"/>
      <c r="BL380" s="340">
        <f>BL374/BK374</f>
        <v>2.8688589393515649</v>
      </c>
      <c r="BM380" s="339"/>
      <c r="BN380" s="339"/>
      <c r="BO380" s="340">
        <f>BO374/BN374</f>
        <v>2.2149588016630664</v>
      </c>
      <c r="BP380" s="339"/>
      <c r="BQ380" s="340"/>
      <c r="BR380" s="340">
        <f>BR374/BQ374</f>
        <v>1.1490042882327181</v>
      </c>
      <c r="BS380" s="339"/>
      <c r="BT380" s="339"/>
      <c r="BU380" s="340">
        <f>BU374/BT374</f>
        <v>1.1839052873468843</v>
      </c>
      <c r="BV380" s="339"/>
      <c r="BW380" s="340"/>
      <c r="BX380" s="340">
        <f>BX374/BW374</f>
        <v>1.0460035950769149</v>
      </c>
      <c r="BY380" s="339"/>
      <c r="BZ380" s="339"/>
      <c r="CA380" s="340">
        <f>CA374/BZ374</f>
        <v>1.245347347294274</v>
      </c>
      <c r="CB380" s="339"/>
      <c r="CC380" s="339"/>
      <c r="CD380" s="340">
        <f>CD374/CC374</f>
        <v>0.99120471727951376</v>
      </c>
      <c r="CE380" s="339"/>
      <c r="CF380" s="339"/>
      <c r="CG380" s="340">
        <f>CG374/CF374</f>
        <v>0.75691593562129322</v>
      </c>
      <c r="CH380" s="339"/>
      <c r="CI380" s="339"/>
      <c r="CJ380" s="340">
        <f>CJ374/CI374</f>
        <v>0.74576436965560156</v>
      </c>
      <c r="CK380" s="339"/>
      <c r="CL380" s="339"/>
      <c r="CM380" s="340">
        <f>CM374/CL374</f>
        <v>1.0789895568685905</v>
      </c>
      <c r="CN380" s="339"/>
      <c r="CO380" s="339"/>
      <c r="CP380" s="340">
        <f>CP374/CO374</f>
        <v>0.86341845902220116</v>
      </c>
      <c r="CQ380" s="339"/>
      <c r="CR380" s="339"/>
      <c r="CS380" s="340">
        <f>CS374/CR374</f>
        <v>1.0008308694190207</v>
      </c>
      <c r="CT380" s="339"/>
      <c r="CU380" s="339"/>
      <c r="CV380" s="340">
        <f>CV374/CU374</f>
        <v>1.0008308694190211</v>
      </c>
      <c r="CW380" s="5"/>
      <c r="CX380" s="5"/>
      <c r="CY380" s="249"/>
      <c r="CZ380" s="5"/>
      <c r="DG380" s="810">
        <f>SUM(DG378:DG379)</f>
        <v>98315.749138135463</v>
      </c>
      <c r="DU380" s="758"/>
      <c r="DV380" s="5"/>
      <c r="EE380" s="316">
        <f>SUM(EE378:EE379)</f>
        <v>3038718</v>
      </c>
      <c r="EF380" s="316">
        <f>SUM(EF378:EF379)</f>
        <v>3137033.7491381364</v>
      </c>
      <c r="EH380" s="316">
        <f>SUM(EH378:EH379)</f>
        <v>2775220.6974070184</v>
      </c>
    </row>
    <row r="382" spans="1:138" x14ac:dyDescent="0.3">
      <c r="B382" s="3"/>
      <c r="C382" s="495" t="s">
        <v>1727</v>
      </c>
      <c r="CW382" s="810"/>
      <c r="CX382" s="431"/>
    </row>
    <row r="383" spans="1:138" x14ac:dyDescent="0.3">
      <c r="B383" s="292" t="s">
        <v>1672</v>
      </c>
      <c r="C383" s="29">
        <f>COUNTIF($DB$9:$DB$367,1)</f>
        <v>88</v>
      </c>
      <c r="I383" s="8">
        <f>'новий кошторис с 01.06'!G400</f>
        <v>266018.59386543749</v>
      </c>
      <c r="L383" s="8">
        <f>'новий кошторис с 01.06'!H400</f>
        <v>49900.785871810935</v>
      </c>
      <c r="O383" s="8">
        <f>'новий кошторис с 01.06'!I400</f>
        <v>115231.59999999995</v>
      </c>
      <c r="R383" s="8">
        <f>'новий кошторис с 01.06'!J400</f>
        <v>15747.63</v>
      </c>
      <c r="U383" s="8">
        <f>'новий кошторис с 01.06'!K400</f>
        <v>13259.600033208082</v>
      </c>
      <c r="X383" s="8">
        <f>'новий кошторис с 01.06'!L400</f>
        <v>175948.32096084414</v>
      </c>
      <c r="AA383" s="8">
        <f>'новий кошторис с 01.06'!M400</f>
        <v>0</v>
      </c>
      <c r="AD383" s="8">
        <f>'новий кошторис с 01.06'!N400</f>
        <v>353456.21545499988</v>
      </c>
      <c r="AG383" s="54">
        <f>'новий кошторис с 01.06'!G400+'новий кошторис с 01.06'!H400+'новий кошторис с 01.06'!I400+'новий кошторис с 01.06'!J400+'новий кошторис с 01.06'!K400+'новий кошторис с 01.06'!L400+'новий кошторис с 01.06'!M400+'новий кошторис с 01.06'!N400</f>
        <v>989562.74618630041</v>
      </c>
      <c r="AJ383" s="8">
        <f>'новий кошторис с 01.06'!O400</f>
        <v>433516.7566083236</v>
      </c>
      <c r="AM383" s="8">
        <f>'новий кошторис с 01.06'!P400</f>
        <v>6321.4207560033492</v>
      </c>
      <c r="AP383" s="8">
        <f>'новий кошторис с 01.06'!Q400</f>
        <v>127646.14054152781</v>
      </c>
      <c r="AS383" s="8">
        <f>'новий кошторис с 01.06'!R400</f>
        <v>1259253.1654243264</v>
      </c>
      <c r="AV383" s="8">
        <f>'новий кошторис с 01.06'!S400</f>
        <v>32039.261830197276</v>
      </c>
      <c r="AY383" s="8">
        <f>'новий кошторис с 01.06'!T400</f>
        <v>46416.732983447531</v>
      </c>
      <c r="BB383" s="8">
        <f>'новий кошторис с 01.06'!U400</f>
        <v>40461.088950519908</v>
      </c>
      <c r="BE383" s="8">
        <f>'новий кошторис с 01.06'!V400</f>
        <v>8400.399645326479</v>
      </c>
      <c r="BH383" s="8">
        <f>'новий кошторис с 01.06'!W400</f>
        <v>7303.1021113181869</v>
      </c>
      <c r="BK383" s="8">
        <f>'новий кошторис с 01.06'!X400</f>
        <v>21474.005869733857</v>
      </c>
      <c r="BN383" s="8">
        <f>'новий кошторис с 01.06'!Y400</f>
        <v>3867.7544070952185</v>
      </c>
      <c r="BQ383" s="54">
        <f>'новий кошторис с 01.06'!S400+'новий кошторис с 01.06'!T400+'новий кошторис с 01.06'!U400+'новий кошторис с 01.06'!V400+'новий кошторис с 01.06'!W400+'новий кошторис с 01.06'!X400+'новий кошторис с 01.06'!Y400</f>
        <v>159962.34579763847</v>
      </c>
      <c r="BT383" s="8">
        <f>'новий кошторис с 01.06'!Z400</f>
        <v>957440.05647872132</v>
      </c>
      <c r="BW383" s="54">
        <f>'новий кошторис с 01.06'!AA400</f>
        <v>623336.2386100837</v>
      </c>
      <c r="BZ383" s="8">
        <f>'новий кошторис с 01.06'!AB400</f>
        <v>205777.32805190506</v>
      </c>
      <c r="CC383" s="8">
        <f>'новий кошторис с 01.06'!AC400</f>
        <v>27513.451783710028</v>
      </c>
      <c r="CF383" s="8">
        <f>'новий кошторис с 01.06'!AD400</f>
        <v>3387.0726627673357</v>
      </c>
      <c r="CI383" s="8">
        <f>'новий кошторис с 01.06'!AE400</f>
        <v>178424.49694881035</v>
      </c>
      <c r="CL383" s="8">
        <f>'новий кошторис с 01.06'!AF400</f>
        <v>97370.905662400604</v>
      </c>
      <c r="CO383" s="8">
        <f>'новий кошторис с 01.06'!AE400+'новий кошторис с 01.06'!AF400</f>
        <v>275795.40261121094</v>
      </c>
      <c r="CR383" s="8">
        <f>SUM('новий кошторис с 01.06'!G400:AF400)</f>
        <v>5069512.125512518</v>
      </c>
      <c r="CU383" s="8">
        <f>CR383*1.2</f>
        <v>6083414.550615021</v>
      </c>
      <c r="CW383" s="769"/>
      <c r="CX383" s="811"/>
    </row>
    <row r="384" spans="1:138" x14ac:dyDescent="0.3">
      <c r="B384" s="292" t="s">
        <v>1673</v>
      </c>
      <c r="C384" s="29">
        <f>COUNTIF($DB$9:$DB$367,2)</f>
        <v>156</v>
      </c>
      <c r="CW384" s="769"/>
      <c r="CX384" s="811"/>
      <c r="DD384" s="426">
        <f>'ДЗ нежит'!C142</f>
        <v>893.24</v>
      </c>
    </row>
    <row r="385" spans="2:108" x14ac:dyDescent="0.3">
      <c r="B385" s="292" t="s">
        <v>1674</v>
      </c>
      <c r="C385" s="29">
        <f>COUNTIF($DB$9:$DB$367,3)</f>
        <v>115</v>
      </c>
      <c r="CR385" s="8">
        <v>36704</v>
      </c>
      <c r="CW385" s="316"/>
      <c r="CX385" s="431"/>
      <c r="DD385" s="426">
        <f>DD384-DD374</f>
        <v>-1670191.7199999997</v>
      </c>
    </row>
    <row r="386" spans="2:108" x14ac:dyDescent="0.3">
      <c r="B386" s="3"/>
      <c r="C386" s="495">
        <f>SUM(C383:C385)</f>
        <v>359</v>
      </c>
      <c r="CR386" s="8">
        <v>36440</v>
      </c>
    </row>
    <row r="387" spans="2:108" x14ac:dyDescent="0.3">
      <c r="CR387" s="8">
        <v>22828</v>
      </c>
    </row>
    <row r="388" spans="2:108" x14ac:dyDescent="0.3">
      <c r="CR388" s="8">
        <v>27922</v>
      </c>
    </row>
    <row r="389" spans="2:108" x14ac:dyDescent="0.3">
      <c r="C389" s="31" t="s">
        <v>1727</v>
      </c>
      <c r="D389" s="31"/>
      <c r="BZ389" s="54"/>
      <c r="CR389" s="8">
        <v>12760</v>
      </c>
    </row>
    <row r="390" spans="2:108" x14ac:dyDescent="0.3">
      <c r="C390" s="31" t="s">
        <v>1728</v>
      </c>
      <c r="D390" s="31">
        <f>COUNTIF($D$9:$D$367,1)</f>
        <v>0</v>
      </c>
      <c r="BZ390" s="54"/>
      <c r="CR390" s="8">
        <v>24286</v>
      </c>
    </row>
    <row r="391" spans="2:108" x14ac:dyDescent="0.3">
      <c r="C391" s="31" t="s">
        <v>1729</v>
      </c>
      <c r="D391" s="31">
        <f>COUNTIF($D$9:$D$367,2)</f>
        <v>0</v>
      </c>
      <c r="BZ391" s="54"/>
    </row>
    <row r="392" spans="2:108" x14ac:dyDescent="0.3">
      <c r="C392" s="31" t="s">
        <v>1730</v>
      </c>
      <c r="D392" s="31">
        <f>COUNTIF($D$9:$D$367,3)</f>
        <v>0</v>
      </c>
      <c r="BZ392" s="54"/>
    </row>
    <row r="393" spans="2:108" x14ac:dyDescent="0.3">
      <c r="C393" s="31" t="s">
        <v>1731</v>
      </c>
      <c r="D393" s="31">
        <f>COUNTIF($D$9:$D$367,4)</f>
        <v>0</v>
      </c>
      <c r="BZ393" s="54"/>
    </row>
    <row r="394" spans="2:108" x14ac:dyDescent="0.3">
      <c r="C394" s="31" t="s">
        <v>1732</v>
      </c>
      <c r="D394" s="31">
        <f>COUNTIF($D$9:$D$367,5)</f>
        <v>0</v>
      </c>
      <c r="BZ394" s="54"/>
    </row>
    <row r="395" spans="2:108" x14ac:dyDescent="0.3">
      <c r="C395" s="31" t="s">
        <v>1733</v>
      </c>
      <c r="D395" s="31">
        <f>COUNTIF($D$9:$D$367,6)</f>
        <v>0</v>
      </c>
      <c r="BZ395" s="54"/>
    </row>
    <row r="396" spans="2:108" x14ac:dyDescent="0.3">
      <c r="C396" s="31" t="s">
        <v>1734</v>
      </c>
      <c r="D396" s="31">
        <f>COUNTIF($D$9:$D$367,8)</f>
        <v>0</v>
      </c>
      <c r="BZ396" s="54"/>
    </row>
    <row r="397" spans="2:108" x14ac:dyDescent="0.3">
      <c r="C397" s="31" t="s">
        <v>1735</v>
      </c>
      <c r="D397" s="31">
        <f>COUNTIF($D$9:$D$367,9)</f>
        <v>0</v>
      </c>
      <c r="BZ397" s="54"/>
    </row>
    <row r="398" spans="2:108" x14ac:dyDescent="0.3">
      <c r="C398" s="31" t="s">
        <v>1736</v>
      </c>
      <c r="D398" s="31">
        <f>COUNTIF($D$9:$D$367,10)</f>
        <v>0</v>
      </c>
      <c r="BZ398" s="54"/>
    </row>
    <row r="399" spans="2:108" x14ac:dyDescent="0.3">
      <c r="C399" s="31" t="s">
        <v>1737</v>
      </c>
      <c r="D399" s="31">
        <f>COUNTIF($D$9:$D$367,14)</f>
        <v>0</v>
      </c>
      <c r="BZ399" s="54"/>
    </row>
    <row r="400" spans="2:108" x14ac:dyDescent="0.3">
      <c r="C400" s="31" t="s">
        <v>1738</v>
      </c>
      <c r="D400" s="31">
        <f>COUNTIF($D$9:$D$367,16)</f>
        <v>0</v>
      </c>
    </row>
    <row r="401" spans="3:4" x14ac:dyDescent="0.3">
      <c r="C401" s="31"/>
      <c r="D401" s="31">
        <f>SUM(D390:D400)</f>
        <v>0</v>
      </c>
    </row>
  </sheetData>
  <autoFilter ref="A8:EH380" xr:uid="{00000000-0001-0000-0300-000000000000}"/>
  <sortState xmlns:xlrd2="http://schemas.microsoft.com/office/spreadsheetml/2017/richdata2" ref="C9:CY399">
    <sortCondition ref="C9:C399"/>
  </sortState>
  <mergeCells count="57">
    <mergeCell ref="EH6:EH8"/>
    <mergeCell ref="DM6:DM8"/>
    <mergeCell ref="DG6:DG8"/>
    <mergeCell ref="CX6:CZ7"/>
    <mergeCell ref="DA6:DA8"/>
    <mergeCell ref="DC7:DD7"/>
    <mergeCell ref="DC6:DD6"/>
    <mergeCell ref="DE6:DE8"/>
    <mergeCell ref="DK6:DK8"/>
    <mergeCell ref="DL6:DL8"/>
    <mergeCell ref="DH6:DH8"/>
    <mergeCell ref="DF6:DF8"/>
    <mergeCell ref="DY6:DZ6"/>
    <mergeCell ref="EE6:EE8"/>
    <mergeCell ref="DN6:DP6"/>
    <mergeCell ref="CR6:CT7"/>
    <mergeCell ref="CU6:CW7"/>
    <mergeCell ref="A6:A8"/>
    <mergeCell ref="L7:N7"/>
    <mergeCell ref="O7:Q7"/>
    <mergeCell ref="R7:T7"/>
    <mergeCell ref="AS6:AU7"/>
    <mergeCell ref="U7:W7"/>
    <mergeCell ref="X7:Z7"/>
    <mergeCell ref="AA7:AC7"/>
    <mergeCell ref="B6:B8"/>
    <mergeCell ref="C6:C8"/>
    <mergeCell ref="D6:D8"/>
    <mergeCell ref="F6:F8"/>
    <mergeCell ref="G6:G8"/>
    <mergeCell ref="H6:H8"/>
    <mergeCell ref="E6:E8"/>
    <mergeCell ref="AD7:AF7"/>
    <mergeCell ref="AG7:AI7"/>
    <mergeCell ref="I6:AI6"/>
    <mergeCell ref="I7:K7"/>
    <mergeCell ref="BT6:BV7"/>
    <mergeCell ref="AV7:AX7"/>
    <mergeCell ref="BE7:BG7"/>
    <mergeCell ref="BH7:BJ7"/>
    <mergeCell ref="BN7:BP7"/>
    <mergeCell ref="AJ6:AL7"/>
    <mergeCell ref="AM6:AO7"/>
    <mergeCell ref="CI7:CK7"/>
    <mergeCell ref="CC6:CE7"/>
    <mergeCell ref="CI6:CQ6"/>
    <mergeCell ref="CO7:CQ7"/>
    <mergeCell ref="BQ7:BS7"/>
    <mergeCell ref="AV6:BS6"/>
    <mergeCell ref="AY7:BA7"/>
    <mergeCell ref="BB7:BD7"/>
    <mergeCell ref="BW6:BY7"/>
    <mergeCell ref="BZ6:CB7"/>
    <mergeCell ref="CL7:CN7"/>
    <mergeCell ref="BK7:BM7"/>
    <mergeCell ref="CF6:CH7"/>
    <mergeCell ref="AP6:AR7"/>
  </mergeCells>
  <phoneticPr fontId="100" type="noConversion"/>
  <conditionalFormatting sqref="A139">
    <cfRule type="duplicateValues" dxfId="8" priority="1"/>
  </conditionalFormatting>
  <pageMargins left="0.11811023622047245" right="0.11811023622047245" top="0.15748031496062992" bottom="0.15748031496062992" header="0.31496062992125984" footer="0.31496062992125984"/>
  <pageSetup paperSize="9" scale="70" orientation="landscape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11">
    <tabColor rgb="FFC00000"/>
  </sheetPr>
  <dimension ref="A1:DL408"/>
  <sheetViews>
    <sheetView view="pageBreakPreview" zoomScale="80" zoomScaleNormal="90" zoomScaleSheetLayoutView="80" workbookViewId="0">
      <pane xSplit="4" ySplit="10" topLeftCell="E367" activePane="bottomRight" state="frozen"/>
      <selection pane="topRight" activeCell="E1" sqref="E1"/>
      <selection pane="bottomLeft" activeCell="A11" sqref="A11"/>
      <selection pane="bottomRight" activeCell="AW11" sqref="AW11:AX369"/>
    </sheetView>
  </sheetViews>
  <sheetFormatPr defaultColWidth="8.6640625" defaultRowHeight="13.8" x14ac:dyDescent="0.3"/>
  <cols>
    <col min="1" max="1" width="16.44140625" style="1" customWidth="1"/>
    <col min="2" max="2" width="37.6640625" style="1002" customWidth="1"/>
    <col min="3" max="3" width="11.6640625" style="1" customWidth="1"/>
    <col min="4" max="4" width="12.5546875" style="153" customWidth="1"/>
    <col min="5" max="5" width="15.44140625" style="1" customWidth="1"/>
    <col min="6" max="8" width="13.33203125" style="8" customWidth="1"/>
    <col min="9" max="9" width="12.33203125" style="8" customWidth="1"/>
    <col min="10" max="10" width="10.88671875" style="8" customWidth="1"/>
    <col min="11" max="11" width="9.44140625" style="1003" customWidth="1"/>
    <col min="12" max="12" width="7.109375" style="8" customWidth="1"/>
    <col min="13" max="13" width="8.44140625" style="8" customWidth="1"/>
    <col min="14" max="14" width="9" style="8" customWidth="1"/>
    <col min="15" max="15" width="6.33203125" style="8" customWidth="1"/>
    <col min="16" max="16" width="9.33203125" style="8" customWidth="1"/>
    <col min="17" max="17" width="8" style="1004" customWidth="1"/>
    <col min="18" max="18" width="6.33203125" style="8" customWidth="1"/>
    <col min="19" max="19" width="8.6640625" style="8" customWidth="1"/>
    <col min="20" max="20" width="9" style="1005" customWidth="1"/>
    <col min="21" max="21" width="11.109375" style="8" customWidth="1"/>
    <col min="22" max="22" width="9.88671875" style="8" customWidth="1"/>
    <col min="23" max="23" width="6.33203125" style="8" customWidth="1"/>
    <col min="24" max="24" width="9.44140625" style="8" customWidth="1"/>
    <col min="25" max="25" width="9.109375" style="8" customWidth="1"/>
    <col min="26" max="26" width="11.33203125" style="8" customWidth="1"/>
    <col min="27" max="27" width="8.33203125" style="8" customWidth="1"/>
    <col min="28" max="28" width="11.33203125" style="8" customWidth="1"/>
    <col min="29" max="29" width="9.44140625" style="8" customWidth="1"/>
    <col min="30" max="30" width="12.5546875" style="8" customWidth="1"/>
    <col min="31" max="32" width="8.6640625" style="8" customWidth="1"/>
    <col min="33" max="33" width="12.109375" style="8" customWidth="1"/>
    <col min="34" max="35" width="8.6640625" style="8" customWidth="1"/>
    <col min="36" max="36" width="16" style="8" customWidth="1"/>
    <col min="37" max="38" width="8.6640625" style="8" customWidth="1"/>
    <col min="39" max="39" width="14" style="8" customWidth="1"/>
    <col min="40" max="41" width="8.6640625" style="8" customWidth="1"/>
    <col min="42" max="42" width="9.88671875" style="8" customWidth="1"/>
    <col min="43" max="44" width="8.6640625" style="8" customWidth="1"/>
    <col min="45" max="45" width="11.33203125" style="8" customWidth="1"/>
    <col min="46" max="47" width="8.6640625" style="8" customWidth="1"/>
    <col min="48" max="48" width="11.5546875" style="8" customWidth="1"/>
    <col min="49" max="50" width="8.6640625" style="8" customWidth="1"/>
    <col min="51" max="51" width="12" style="8" customWidth="1"/>
    <col min="52" max="52" width="9.88671875" style="8" customWidth="1"/>
    <col min="53" max="53" width="10.6640625" style="8" customWidth="1"/>
    <col min="54" max="54" width="10.88671875" style="8" customWidth="1"/>
    <col min="55" max="55" width="8.6640625" style="1" customWidth="1"/>
    <col min="56" max="56" width="8.6640625" style="2" customWidth="1"/>
    <col min="57" max="57" width="8.6640625" style="1" customWidth="1"/>
    <col min="58" max="58" width="26.88671875" style="1" customWidth="1"/>
    <col min="59" max="59" width="11" style="1" customWidth="1"/>
    <col min="60" max="60" width="8.6640625" style="1" customWidth="1"/>
    <col min="61" max="61" width="14.44140625" style="2" customWidth="1"/>
    <col min="62" max="63" width="13.109375" style="1" customWidth="1"/>
    <col min="64" max="64" width="8.6640625" style="1" customWidth="1"/>
    <col min="65" max="70" width="8.6640625" style="1"/>
    <col min="71" max="71" width="12.33203125" style="8" customWidth="1"/>
    <col min="72" max="72" width="10.88671875" style="8" customWidth="1"/>
    <col min="73" max="73" width="9.44140625" style="1003" customWidth="1"/>
    <col min="74" max="74" width="7.109375" style="8" customWidth="1"/>
    <col min="75" max="75" width="8.44140625" style="8" customWidth="1"/>
    <col min="76" max="76" width="9" style="8" customWidth="1"/>
    <col min="77" max="77" width="6.33203125" style="8" customWidth="1"/>
    <col min="78" max="78" width="9.33203125" style="8" customWidth="1"/>
    <col min="79" max="79" width="8" style="1004" customWidth="1"/>
    <col min="80" max="80" width="6.33203125" style="8" customWidth="1"/>
    <col min="81" max="81" width="8.6640625" style="8"/>
    <col min="82" max="82" width="9" style="1005" customWidth="1"/>
    <col min="83" max="83" width="11.109375" style="8" customWidth="1"/>
    <col min="84" max="84" width="9.88671875" style="8" customWidth="1"/>
    <col min="85" max="85" width="6.33203125" style="8" customWidth="1"/>
    <col min="86" max="86" width="9.44140625" style="8" customWidth="1"/>
    <col min="87" max="87" width="9.109375" style="8" customWidth="1"/>
    <col min="88" max="88" width="11.33203125" style="8" customWidth="1"/>
    <col min="89" max="89" width="8.33203125" style="8" customWidth="1"/>
    <col min="90" max="90" width="11.33203125" style="8" customWidth="1"/>
    <col min="91" max="91" width="9.44140625" style="8" customWidth="1"/>
    <col min="92" max="92" width="12.5546875" style="8" customWidth="1"/>
    <col min="93" max="94" width="8.6640625" style="8"/>
    <col min="95" max="95" width="12.109375" style="8" customWidth="1"/>
    <col min="96" max="97" width="8.6640625" style="8"/>
    <col min="98" max="98" width="16" style="8" customWidth="1"/>
    <col min="99" max="100" width="8.6640625" style="8"/>
    <col min="101" max="101" width="14" style="8" customWidth="1"/>
    <col min="102" max="103" width="8.6640625" style="8"/>
    <col min="104" max="104" width="9.88671875" style="8" customWidth="1"/>
    <col min="105" max="106" width="8.6640625" style="8"/>
    <col min="107" max="107" width="11.33203125" style="8" customWidth="1"/>
    <col min="108" max="109" width="8.6640625" style="8"/>
    <col min="110" max="110" width="11.5546875" style="8" customWidth="1"/>
    <col min="111" max="112" width="8.6640625" style="8"/>
    <col min="113" max="113" width="12" style="8" customWidth="1"/>
    <col min="114" max="114" width="9.88671875" style="8" customWidth="1"/>
    <col min="115" max="115" width="10.6640625" style="8" customWidth="1"/>
    <col min="116" max="116" width="10.88671875" style="8" customWidth="1"/>
    <col min="117" max="16384" width="8.6640625" style="1"/>
  </cols>
  <sheetData>
    <row r="1" spans="1:116" x14ac:dyDescent="0.3">
      <c r="A1" s="1" t="s">
        <v>0</v>
      </c>
    </row>
    <row r="3" spans="1:116" ht="18" x14ac:dyDescent="0.3">
      <c r="A3" s="28" t="s">
        <v>1085</v>
      </c>
      <c r="J3" s="1006">
        <f>місяць!A2</f>
        <v>2023</v>
      </c>
      <c r="K3" s="809"/>
      <c r="BJ3" s="1007">
        <v>0.14066215600000001</v>
      </c>
      <c r="BT3" s="1006">
        <f>місяць!BK2</f>
        <v>0</v>
      </c>
      <c r="BU3" s="809" t="s">
        <v>1805</v>
      </c>
    </row>
    <row r="4" spans="1:116" x14ac:dyDescent="0.3">
      <c r="AF4" s="263"/>
      <c r="AI4" s="263"/>
      <c r="AR4" s="280"/>
      <c r="AU4" s="280"/>
      <c r="CP4" s="263"/>
      <c r="CS4" s="263"/>
      <c r="DB4" s="280"/>
      <c r="DE4" s="280"/>
    </row>
    <row r="5" spans="1:116" ht="14.4" x14ac:dyDescent="0.3">
      <c r="AF5" s="1008" t="s">
        <v>1806</v>
      </c>
      <c r="CP5" s="1008" t="s">
        <v>1806</v>
      </c>
    </row>
    <row r="6" spans="1:116" ht="21" thickBot="1" x14ac:dyDescent="0.35">
      <c r="AX6" s="1009"/>
      <c r="DH6" s="1009"/>
    </row>
    <row r="7" spans="1:116" ht="26.85" customHeight="1" thickBot="1" x14ac:dyDescent="0.35">
      <c r="A7" s="1212" t="s">
        <v>456</v>
      </c>
      <c r="B7" s="1260" t="s">
        <v>1</v>
      </c>
      <c r="C7" s="1215" t="s">
        <v>2</v>
      </c>
      <c r="D7" s="1257" t="s">
        <v>455</v>
      </c>
      <c r="E7" s="1267" t="s">
        <v>430</v>
      </c>
      <c r="F7" s="1271" t="s">
        <v>930</v>
      </c>
      <c r="G7" s="1272"/>
      <c r="H7" s="1272"/>
      <c r="I7" s="1272"/>
      <c r="J7" s="1272"/>
      <c r="K7" s="1272"/>
      <c r="L7" s="1272"/>
      <c r="M7" s="1272"/>
      <c r="N7" s="1272"/>
      <c r="O7" s="1272"/>
      <c r="P7" s="1272"/>
      <c r="Q7" s="1272"/>
      <c r="R7" s="1272"/>
      <c r="S7" s="1272"/>
      <c r="T7" s="1272"/>
      <c r="U7" s="1272"/>
      <c r="V7" s="1272"/>
      <c r="W7" s="1272"/>
      <c r="X7" s="1272"/>
      <c r="Y7" s="1272"/>
      <c r="Z7" s="1272"/>
      <c r="AA7" s="1272"/>
      <c r="AB7" s="1272"/>
      <c r="AC7" s="1272"/>
      <c r="AD7" s="1273"/>
      <c r="AE7" s="1280" t="s">
        <v>947</v>
      </c>
      <c r="AF7" s="1281"/>
      <c r="AG7" s="1281"/>
      <c r="AH7" s="1281"/>
      <c r="AI7" s="1281"/>
      <c r="AJ7" s="1281"/>
      <c r="AK7" s="1281"/>
      <c r="AL7" s="1281"/>
      <c r="AM7" s="1281"/>
      <c r="AN7" s="1281"/>
      <c r="AO7" s="1281"/>
      <c r="AP7" s="1281"/>
      <c r="AQ7" s="1281"/>
      <c r="AR7" s="1281"/>
      <c r="AS7" s="1281"/>
      <c r="AT7" s="1281"/>
      <c r="AU7" s="1281"/>
      <c r="AV7" s="1281"/>
      <c r="AW7" s="1281"/>
      <c r="AX7" s="1281"/>
      <c r="AY7" s="1281"/>
      <c r="AZ7" s="1281"/>
      <c r="BA7" s="1281"/>
      <c r="BB7" s="1282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280" t="s">
        <v>947</v>
      </c>
      <c r="CP7" s="1281"/>
      <c r="CQ7" s="1281"/>
      <c r="CR7" s="1281"/>
      <c r="CS7" s="1281"/>
      <c r="CT7" s="1281"/>
      <c r="CU7" s="1281"/>
      <c r="CV7" s="1281"/>
      <c r="CW7" s="1281"/>
      <c r="CX7" s="1281"/>
      <c r="CY7" s="1281"/>
      <c r="CZ7" s="1281"/>
      <c r="DA7" s="1281"/>
      <c r="DB7" s="1281"/>
      <c r="DC7" s="1281"/>
      <c r="DD7" s="1281"/>
      <c r="DE7" s="1281"/>
      <c r="DF7" s="1281"/>
      <c r="DG7" s="1281"/>
      <c r="DH7" s="1281"/>
      <c r="DI7" s="1281"/>
      <c r="DJ7" s="1281"/>
      <c r="DK7" s="1281"/>
      <c r="DL7" s="1282"/>
    </row>
    <row r="8" spans="1:116" ht="22.2" customHeight="1" thickBot="1" x14ac:dyDescent="0.35">
      <c r="A8" s="1213"/>
      <c r="B8" s="1261"/>
      <c r="C8" s="1216"/>
      <c r="D8" s="1258"/>
      <c r="E8" s="1268"/>
      <c r="F8" s="1264" t="s">
        <v>945</v>
      </c>
      <c r="G8" s="1270" t="s">
        <v>946</v>
      </c>
      <c r="H8" s="1264" t="s">
        <v>949</v>
      </c>
      <c r="I8" s="1274" t="s">
        <v>950</v>
      </c>
      <c r="J8" s="1275"/>
      <c r="K8" s="1275"/>
      <c r="L8" s="1275"/>
      <c r="M8" s="1275"/>
      <c r="N8" s="1275"/>
      <c r="O8" s="1275"/>
      <c r="P8" s="1275"/>
      <c r="Q8" s="1275"/>
      <c r="R8" s="1275"/>
      <c r="S8" s="1275"/>
      <c r="T8" s="1275"/>
      <c r="U8" s="1275"/>
      <c r="V8" s="1275"/>
      <c r="W8" s="1275"/>
      <c r="X8" s="1275"/>
      <c r="Y8" s="1275"/>
      <c r="Z8" s="1275"/>
      <c r="AA8" s="1275"/>
      <c r="AB8" s="1275"/>
      <c r="AC8" s="1275"/>
      <c r="AD8" s="1276"/>
      <c r="AE8" s="1283" t="s">
        <v>1022</v>
      </c>
      <c r="AF8" s="1170"/>
      <c r="AG8" s="1284"/>
      <c r="AH8" s="1163" t="s">
        <v>1023</v>
      </c>
      <c r="AI8" s="1288"/>
      <c r="AJ8" s="1288"/>
      <c r="AK8" s="1163" t="s">
        <v>1024</v>
      </c>
      <c r="AL8" s="1288"/>
      <c r="AM8" s="1288"/>
      <c r="AN8" s="1163" t="s">
        <v>1025</v>
      </c>
      <c r="AO8" s="1288"/>
      <c r="AP8" s="1288"/>
      <c r="AQ8" s="1163" t="s">
        <v>1026</v>
      </c>
      <c r="AR8" s="1288"/>
      <c r="AS8" s="1288"/>
      <c r="AT8" s="1163" t="s">
        <v>1027</v>
      </c>
      <c r="AU8" s="1288"/>
      <c r="AV8" s="1288"/>
      <c r="AW8" s="1163" t="s">
        <v>29</v>
      </c>
      <c r="AX8" s="1288"/>
      <c r="AY8" s="1288"/>
      <c r="AZ8" s="1163" t="s">
        <v>948</v>
      </c>
      <c r="BA8" s="1288"/>
      <c r="BB8" s="1291"/>
      <c r="BD8" s="122" t="s">
        <v>1069</v>
      </c>
      <c r="BF8" s="1197" t="s">
        <v>1079</v>
      </c>
      <c r="BI8" s="1230" t="s">
        <v>1687</v>
      </c>
      <c r="BJ8" s="1293"/>
      <c r="BK8" s="1293"/>
      <c r="BM8" s="3" t="s">
        <v>1683</v>
      </c>
      <c r="BN8" s="3"/>
      <c r="BP8" s="3" t="s">
        <v>1688</v>
      </c>
      <c r="BQ8" s="3"/>
      <c r="BS8" s="1274" t="s">
        <v>950</v>
      </c>
      <c r="BT8" s="1275"/>
      <c r="BU8" s="1275"/>
      <c r="BV8" s="1275"/>
      <c r="BW8" s="1275"/>
      <c r="BX8" s="1275"/>
      <c r="BY8" s="1275"/>
      <c r="BZ8" s="1275"/>
      <c r="CA8" s="1275"/>
      <c r="CB8" s="1275"/>
      <c r="CC8" s="1275"/>
      <c r="CD8" s="1275"/>
      <c r="CE8" s="1275"/>
      <c r="CF8" s="1275"/>
      <c r="CG8" s="1275"/>
      <c r="CH8" s="1275"/>
      <c r="CI8" s="1275"/>
      <c r="CJ8" s="1275"/>
      <c r="CK8" s="1275"/>
      <c r="CL8" s="1275"/>
      <c r="CM8" s="1275"/>
      <c r="CN8" s="1276"/>
      <c r="CO8" s="1283" t="s">
        <v>1022</v>
      </c>
      <c r="CP8" s="1170"/>
      <c r="CQ8" s="1284"/>
      <c r="CR8" s="1163" t="s">
        <v>1023</v>
      </c>
      <c r="CS8" s="1288"/>
      <c r="CT8" s="1288"/>
      <c r="CU8" s="1163" t="s">
        <v>1024</v>
      </c>
      <c r="CV8" s="1288"/>
      <c r="CW8" s="1288"/>
      <c r="CX8" s="1163" t="s">
        <v>1025</v>
      </c>
      <c r="CY8" s="1288"/>
      <c r="CZ8" s="1288"/>
      <c r="DA8" s="1163" t="s">
        <v>1026</v>
      </c>
      <c r="DB8" s="1288"/>
      <c r="DC8" s="1288"/>
      <c r="DD8" s="1163" t="s">
        <v>1027</v>
      </c>
      <c r="DE8" s="1288"/>
      <c r="DF8" s="1288"/>
      <c r="DG8" s="1163" t="s">
        <v>29</v>
      </c>
      <c r="DH8" s="1288"/>
      <c r="DI8" s="1288"/>
      <c r="DJ8" s="1163" t="s">
        <v>948</v>
      </c>
      <c r="DK8" s="1288"/>
      <c r="DL8" s="1291"/>
    </row>
    <row r="9" spans="1:116" ht="36.6" customHeight="1" x14ac:dyDescent="0.3">
      <c r="A9" s="1213"/>
      <c r="B9" s="1261"/>
      <c r="C9" s="1216"/>
      <c r="D9" s="1258"/>
      <c r="E9" s="1268"/>
      <c r="F9" s="1265"/>
      <c r="G9" s="1265"/>
      <c r="H9" s="1265"/>
      <c r="I9" s="1162" t="s">
        <v>933</v>
      </c>
      <c r="J9" s="1277"/>
      <c r="K9" s="1263"/>
      <c r="L9" s="1278" t="s">
        <v>934</v>
      </c>
      <c r="M9" s="1277"/>
      <c r="N9" s="1279"/>
      <c r="O9" s="1162" t="s">
        <v>936</v>
      </c>
      <c r="P9" s="1277"/>
      <c r="Q9" s="1263"/>
      <c r="R9" s="1278" t="s">
        <v>942</v>
      </c>
      <c r="S9" s="1277"/>
      <c r="T9" s="1279"/>
      <c r="U9" s="1162" t="s">
        <v>943</v>
      </c>
      <c r="V9" s="1263"/>
      <c r="W9" s="1278" t="s">
        <v>938</v>
      </c>
      <c r="X9" s="1279"/>
      <c r="Y9" s="1162" t="s">
        <v>1121</v>
      </c>
      <c r="Z9" s="1263"/>
      <c r="AA9" s="1011" t="s">
        <v>928</v>
      </c>
      <c r="AB9" s="1012" t="s">
        <v>975</v>
      </c>
      <c r="AC9" s="1013" t="s">
        <v>940</v>
      </c>
      <c r="AD9" s="1014" t="s">
        <v>944</v>
      </c>
      <c r="AE9" s="1285"/>
      <c r="AF9" s="1286"/>
      <c r="AG9" s="1287"/>
      <c r="AH9" s="1289"/>
      <c r="AI9" s="1289"/>
      <c r="AJ9" s="1289"/>
      <c r="AK9" s="1289"/>
      <c r="AL9" s="1289"/>
      <c r="AM9" s="1289"/>
      <c r="AN9" s="1289"/>
      <c r="AO9" s="1289"/>
      <c r="AP9" s="1289"/>
      <c r="AQ9" s="1289"/>
      <c r="AR9" s="1289"/>
      <c r="AS9" s="1289"/>
      <c r="AT9" s="1289"/>
      <c r="AU9" s="1289"/>
      <c r="AV9" s="1289"/>
      <c r="AW9" s="1289"/>
      <c r="AX9" s="1289"/>
      <c r="AY9" s="1289"/>
      <c r="AZ9" s="1289"/>
      <c r="BA9" s="1289"/>
      <c r="BB9" s="1292"/>
      <c r="BD9" s="122" t="s">
        <v>1070</v>
      </c>
      <c r="BF9" s="1290"/>
      <c r="BI9" s="29" t="s">
        <v>1664</v>
      </c>
      <c r="BJ9" s="29" t="s">
        <v>1665</v>
      </c>
      <c r="BK9" s="29" t="s">
        <v>1666</v>
      </c>
      <c r="BM9" s="3" t="s">
        <v>939</v>
      </c>
      <c r="BN9" s="3" t="s">
        <v>1684</v>
      </c>
      <c r="BP9" s="3" t="s">
        <v>939</v>
      </c>
      <c r="BQ9" s="3" t="s">
        <v>1684</v>
      </c>
      <c r="BS9" s="1162" t="s">
        <v>933</v>
      </c>
      <c r="BT9" s="1277"/>
      <c r="BU9" s="1263"/>
      <c r="BV9" s="1278" t="s">
        <v>934</v>
      </c>
      <c r="BW9" s="1277"/>
      <c r="BX9" s="1279"/>
      <c r="BY9" s="1162" t="s">
        <v>936</v>
      </c>
      <c r="BZ9" s="1277"/>
      <c r="CA9" s="1263"/>
      <c r="CB9" s="1278" t="s">
        <v>942</v>
      </c>
      <c r="CC9" s="1277"/>
      <c r="CD9" s="1279"/>
      <c r="CE9" s="1162" t="s">
        <v>943</v>
      </c>
      <c r="CF9" s="1263"/>
      <c r="CG9" s="1278" t="s">
        <v>938</v>
      </c>
      <c r="CH9" s="1279"/>
      <c r="CI9" s="1162" t="s">
        <v>1121</v>
      </c>
      <c r="CJ9" s="1263"/>
      <c r="CK9" s="1011" t="s">
        <v>928</v>
      </c>
      <c r="CL9" s="1012" t="s">
        <v>975</v>
      </c>
      <c r="CM9" s="1013" t="s">
        <v>940</v>
      </c>
      <c r="CN9" s="1014" t="s">
        <v>944</v>
      </c>
      <c r="CO9" s="1285"/>
      <c r="CP9" s="1286"/>
      <c r="CQ9" s="1287"/>
      <c r="CR9" s="1289"/>
      <c r="CS9" s="1289"/>
      <c r="CT9" s="1289"/>
      <c r="CU9" s="1289"/>
      <c r="CV9" s="1289"/>
      <c r="CW9" s="1289"/>
      <c r="CX9" s="1289"/>
      <c r="CY9" s="1289"/>
      <c r="CZ9" s="1289"/>
      <c r="DA9" s="1289"/>
      <c r="DB9" s="1289"/>
      <c r="DC9" s="1289"/>
      <c r="DD9" s="1289"/>
      <c r="DE9" s="1289"/>
      <c r="DF9" s="1289"/>
      <c r="DG9" s="1289"/>
      <c r="DH9" s="1289"/>
      <c r="DI9" s="1289"/>
      <c r="DJ9" s="1289"/>
      <c r="DK9" s="1289"/>
      <c r="DL9" s="1292"/>
    </row>
    <row r="10" spans="1:116" ht="33.9" customHeight="1" thickBot="1" x14ac:dyDescent="0.35">
      <c r="A10" s="1104"/>
      <c r="B10" s="1262"/>
      <c r="C10" s="1128"/>
      <c r="D10" s="1259"/>
      <c r="E10" s="1269"/>
      <c r="F10" s="1266"/>
      <c r="G10" s="1266"/>
      <c r="H10" s="1266"/>
      <c r="I10" s="1015" t="s">
        <v>931</v>
      </c>
      <c r="J10" s="1016" t="s">
        <v>932</v>
      </c>
      <c r="K10" s="1017" t="s">
        <v>941</v>
      </c>
      <c r="L10" s="1018" t="s">
        <v>935</v>
      </c>
      <c r="M10" s="1016" t="s">
        <v>932</v>
      </c>
      <c r="N10" s="100" t="s">
        <v>941</v>
      </c>
      <c r="O10" s="1015" t="s">
        <v>937</v>
      </c>
      <c r="P10" s="1016" t="s">
        <v>932</v>
      </c>
      <c r="Q10" s="93" t="s">
        <v>941</v>
      </c>
      <c r="R10" s="1018" t="s">
        <v>935</v>
      </c>
      <c r="S10" s="1016" t="s">
        <v>932</v>
      </c>
      <c r="T10" s="1019" t="s">
        <v>941</v>
      </c>
      <c r="U10" s="1015" t="s">
        <v>932</v>
      </c>
      <c r="V10" s="1017" t="s">
        <v>941</v>
      </c>
      <c r="W10" s="1018" t="s">
        <v>939</v>
      </c>
      <c r="X10" s="1020" t="s">
        <v>932</v>
      </c>
      <c r="Y10" s="1015" t="s">
        <v>932</v>
      </c>
      <c r="Z10" s="1017" t="s">
        <v>941</v>
      </c>
      <c r="AA10" s="1021" t="s">
        <v>932</v>
      </c>
      <c r="AB10" s="1022" t="s">
        <v>932</v>
      </c>
      <c r="AC10" s="1021" t="s">
        <v>932</v>
      </c>
      <c r="AD10" s="1022" t="s">
        <v>932</v>
      </c>
      <c r="AE10" s="1015" t="s">
        <v>439</v>
      </c>
      <c r="AF10" s="1016" t="s">
        <v>440</v>
      </c>
      <c r="AG10" s="1016" t="s">
        <v>941</v>
      </c>
      <c r="AH10" s="1016" t="s">
        <v>439</v>
      </c>
      <c r="AI10" s="1016" t="s">
        <v>440</v>
      </c>
      <c r="AJ10" s="1016" t="s">
        <v>941</v>
      </c>
      <c r="AK10" s="1016" t="s">
        <v>439</v>
      </c>
      <c r="AL10" s="1016" t="s">
        <v>440</v>
      </c>
      <c r="AM10" s="1016" t="s">
        <v>941</v>
      </c>
      <c r="AN10" s="1016" t="s">
        <v>439</v>
      </c>
      <c r="AO10" s="1016" t="s">
        <v>440</v>
      </c>
      <c r="AP10" s="1016" t="s">
        <v>941</v>
      </c>
      <c r="AQ10" s="1016" t="s">
        <v>439</v>
      </c>
      <c r="AR10" s="1016" t="s">
        <v>440</v>
      </c>
      <c r="AS10" s="1016" t="s">
        <v>941</v>
      </c>
      <c r="AT10" s="1016" t="s">
        <v>439</v>
      </c>
      <c r="AU10" s="1016" t="s">
        <v>440</v>
      </c>
      <c r="AV10" s="1016" t="s">
        <v>941</v>
      </c>
      <c r="AW10" s="1016" t="s">
        <v>439</v>
      </c>
      <c r="AX10" s="1016" t="s">
        <v>440</v>
      </c>
      <c r="AY10" s="1016" t="s">
        <v>941</v>
      </c>
      <c r="AZ10" s="1016" t="s">
        <v>439</v>
      </c>
      <c r="BA10" s="1016" t="s">
        <v>440</v>
      </c>
      <c r="BB10" s="1023" t="s">
        <v>441</v>
      </c>
      <c r="BD10" s="122"/>
      <c r="BF10" s="1024"/>
      <c r="BI10" s="29"/>
      <c r="BJ10" s="1025">
        <v>0.14066219999999999</v>
      </c>
      <c r="BK10" s="29"/>
      <c r="BM10" s="3"/>
      <c r="BN10" s="3"/>
      <c r="BP10" s="3"/>
      <c r="BQ10" s="3"/>
      <c r="BS10" s="1015" t="s">
        <v>931</v>
      </c>
      <c r="BT10" s="1016" t="s">
        <v>932</v>
      </c>
      <c r="BU10" s="1017" t="s">
        <v>941</v>
      </c>
      <c r="BV10" s="1018" t="s">
        <v>935</v>
      </c>
      <c r="BW10" s="1016" t="s">
        <v>932</v>
      </c>
      <c r="BX10" s="100" t="s">
        <v>941</v>
      </c>
      <c r="BY10" s="1015" t="s">
        <v>937</v>
      </c>
      <c r="BZ10" s="1016" t="s">
        <v>932</v>
      </c>
      <c r="CA10" s="93" t="s">
        <v>941</v>
      </c>
      <c r="CB10" s="1018" t="s">
        <v>935</v>
      </c>
      <c r="CC10" s="1016" t="s">
        <v>932</v>
      </c>
      <c r="CD10" s="1019" t="s">
        <v>941</v>
      </c>
      <c r="CE10" s="1015" t="s">
        <v>932</v>
      </c>
      <c r="CF10" s="1017" t="s">
        <v>941</v>
      </c>
      <c r="CG10" s="1018" t="s">
        <v>939</v>
      </c>
      <c r="CH10" s="1020" t="s">
        <v>932</v>
      </c>
      <c r="CI10" s="1015" t="s">
        <v>932</v>
      </c>
      <c r="CJ10" s="1017" t="s">
        <v>941</v>
      </c>
      <c r="CK10" s="1021" t="s">
        <v>932</v>
      </c>
      <c r="CL10" s="1022" t="s">
        <v>932</v>
      </c>
      <c r="CM10" s="1021" t="s">
        <v>932</v>
      </c>
      <c r="CN10" s="1022" t="s">
        <v>932</v>
      </c>
      <c r="CO10" s="1015" t="s">
        <v>439</v>
      </c>
      <c r="CP10" s="1016" t="s">
        <v>440</v>
      </c>
      <c r="CQ10" s="1016" t="s">
        <v>941</v>
      </c>
      <c r="CR10" s="1016" t="s">
        <v>439</v>
      </c>
      <c r="CS10" s="1016" t="s">
        <v>440</v>
      </c>
      <c r="CT10" s="1016" t="s">
        <v>941</v>
      </c>
      <c r="CU10" s="1016" t="s">
        <v>439</v>
      </c>
      <c r="CV10" s="1016" t="s">
        <v>440</v>
      </c>
      <c r="CW10" s="1016" t="s">
        <v>941</v>
      </c>
      <c r="CX10" s="1016" t="s">
        <v>439</v>
      </c>
      <c r="CY10" s="1016" t="s">
        <v>440</v>
      </c>
      <c r="CZ10" s="1016" t="s">
        <v>941</v>
      </c>
      <c r="DA10" s="1016" t="s">
        <v>439</v>
      </c>
      <c r="DB10" s="1016" t="s">
        <v>440</v>
      </c>
      <c r="DC10" s="1016" t="s">
        <v>941</v>
      </c>
      <c r="DD10" s="1016" t="s">
        <v>439</v>
      </c>
      <c r="DE10" s="1016" t="s">
        <v>440</v>
      </c>
      <c r="DF10" s="1016" t="s">
        <v>941</v>
      </c>
      <c r="DG10" s="1016" t="s">
        <v>439</v>
      </c>
      <c r="DH10" s="1016" t="s">
        <v>440</v>
      </c>
      <c r="DI10" s="1016" t="s">
        <v>941</v>
      </c>
      <c r="DJ10" s="1016" t="s">
        <v>439</v>
      </c>
      <c r="DK10" s="1016" t="s">
        <v>440</v>
      </c>
      <c r="DL10" s="1023" t="s">
        <v>441</v>
      </c>
    </row>
    <row r="11" spans="1:116" ht="24.9" customHeight="1" x14ac:dyDescent="0.3">
      <c r="A11" s="328">
        <v>150001053</v>
      </c>
      <c r="B11" s="86" t="s">
        <v>146</v>
      </c>
      <c r="C11" s="1026">
        <v>2</v>
      </c>
      <c r="D11" s="1027" t="s">
        <v>454</v>
      </c>
      <c r="E11" s="1028">
        <f>'побудинковий звіт'!E9</f>
        <v>372.8</v>
      </c>
      <c r="F11" s="1029">
        <f>'побудинковий звіт'!AS9</f>
        <v>6431.158197127098</v>
      </c>
      <c r="G11" s="1029">
        <f t="shared" ref="G11:G74" si="0">J11+M11+P11+S11+U11+X11+Y11+AA11+AB11+AC11+AD11</f>
        <v>537</v>
      </c>
      <c r="H11" s="1029">
        <f t="shared" ref="H11:H74" si="1">G11-F11</f>
        <v>-5894.158197127098</v>
      </c>
      <c r="I11" s="43">
        <f>'[1]поточний ремонт'!I11+'[2]поточний ремонт'!I11-'[3]поточний ремонт'!I11</f>
        <v>0</v>
      </c>
      <c r="J11" s="43">
        <f>'[1]поточний ремонт'!J11+'[2]поточний ремонт'!J11-'[3]поточний ремонт'!J11</f>
        <v>0</v>
      </c>
      <c r="K11" s="1030"/>
      <c r="L11" s="43">
        <f>'[1]поточний ремонт'!L11+'[2]поточний ремонт'!L11-'[3]поточний ремонт'!L11</f>
        <v>0</v>
      </c>
      <c r="M11" s="43">
        <f>'[1]поточний ремонт'!M11+'[2]поточний ремонт'!M11-'[3]поточний ремонт'!M11</f>
        <v>0</v>
      </c>
      <c r="N11" s="39"/>
      <c r="O11" s="43">
        <f>'[1]поточний ремонт'!O11+'[2]поточний ремонт'!O11-'[3]поточний ремонт'!O11</f>
        <v>0</v>
      </c>
      <c r="P11" s="43">
        <f>'[1]поточний ремонт'!P11+'[2]поточний ремонт'!P11-'[3]поточний ремонт'!P11</f>
        <v>0</v>
      </c>
      <c r="Q11" s="1031"/>
      <c r="R11" s="43">
        <f>'[1]поточний ремонт'!R11+'[2]поточний ремонт'!R11-'[3]поточний ремонт'!R11</f>
        <v>0</v>
      </c>
      <c r="S11" s="43">
        <f>'[1]поточний ремонт'!S11+'[2]поточний ремонт'!S11-'[3]поточний ремонт'!S11</f>
        <v>0</v>
      </c>
      <c r="T11" s="1032"/>
      <c r="U11" s="43">
        <f>'[1]поточний ремонт'!U11+'[2]поточний ремонт'!U11-'[3]поточний ремонт'!U11</f>
        <v>0</v>
      </c>
      <c r="V11" s="43">
        <f>'[1]поточний ремонт'!V11+'[2]поточний ремонт'!V11-'[3]поточний ремонт'!V11</f>
        <v>0</v>
      </c>
      <c r="W11" s="43">
        <f>'[1]поточний ремонт'!W11+'[2]поточний ремонт'!W11-'[3]поточний ремонт'!W11</f>
        <v>0</v>
      </c>
      <c r="X11" s="43">
        <f>'[1]поточний ремонт'!X11+'[2]поточний ремонт'!X11-'[3]поточний ремонт'!X11</f>
        <v>0</v>
      </c>
      <c r="Y11" s="43">
        <f>'[1]поточний ремонт'!Y11+'[2]поточний ремонт'!Y11-'[3]поточний ремонт'!Y11</f>
        <v>0</v>
      </c>
      <c r="Z11" s="43">
        <f>'[1]поточний ремонт'!Z11+'[2]поточний ремонт'!Z11-'[3]поточний ремонт'!Z11</f>
        <v>0</v>
      </c>
      <c r="AA11" s="43">
        <f>'[1]поточний ремонт'!AA11+'[2]поточний ремонт'!AA11-'[3]поточний ремонт'!AA11</f>
        <v>0</v>
      </c>
      <c r="AB11" s="43">
        <f>'[1]поточний ремонт'!AB11+'[2]поточний ремонт'!AB11-'[3]поточний ремонт'!AB11</f>
        <v>0</v>
      </c>
      <c r="AC11" s="43">
        <f>'[1]поточний ремонт'!AC11+'[2]поточний ремонт'!AC11-'[3]поточний ремонт'!AC11</f>
        <v>0</v>
      </c>
      <c r="AD11" s="43">
        <f>'[1]поточний ремонт'!AD11+'[2]поточний ремонт'!AD11-'[3]поточний ремонт'!AD11</f>
        <v>537</v>
      </c>
      <c r="AE11" s="43">
        <f>'[1]поточний ремонт'!AE11+'[2]поточний ремонт'!AE11-'[3]поточний ремонт'!AE11</f>
        <v>393.88469205461456</v>
      </c>
      <c r="AF11" s="43">
        <f>'[1]поточний ремонт'!AF11+'[2]поточний ремонт'!AF11-'[3]поточний ремонт'!AF11</f>
        <v>0</v>
      </c>
      <c r="AG11" s="43"/>
      <c r="AH11" s="43">
        <f>'[1]поточний ремонт'!AH11+'[2]поточний ремонт'!AH11-'[3]поточний ремонт'!AH11</f>
        <v>441.90731036293744</v>
      </c>
      <c r="AI11" s="43">
        <f>'[1]поточний ремонт'!AI11+'[2]поточний ремонт'!AI11-'[3]поточний ремонт'!AI11</f>
        <v>0</v>
      </c>
      <c r="AJ11" s="43"/>
      <c r="AK11" s="43">
        <f>'[1]поточний ремонт'!AK11+'[2]поточний ремонт'!AK11-'[3]поточний ремонт'!AK11</f>
        <v>261.26962980340727</v>
      </c>
      <c r="AL11" s="43">
        <f>'[1]поточний ремонт'!AL11+'[2]поточний ремонт'!AL11-'[3]поточний ремонт'!AL11</f>
        <v>0</v>
      </c>
      <c r="AM11" s="43"/>
      <c r="AN11" s="43">
        <f>'[1]поточний ремонт'!AN11+'[2]поточний ремонт'!AN11-'[3]поточний ремонт'!AN11</f>
        <v>0</v>
      </c>
      <c r="AO11" s="43">
        <f>'[1]поточний ремонт'!AO11+'[2]поточний ремонт'!AO11-'[3]поточний ремонт'!AO11</f>
        <v>0</v>
      </c>
      <c r="AP11" s="43"/>
      <c r="AQ11" s="43">
        <f>'[1]поточний ремонт'!AQ11+'[2]поточний ремонт'!AQ11-'[3]поточний ремонт'!AQ11</f>
        <v>0</v>
      </c>
      <c r="AR11" s="43">
        <f>'[1]поточний ремонт'!AR11+'[2]поточний ремонт'!AR11-'[3]поточний ремонт'!AR11</f>
        <v>0</v>
      </c>
      <c r="AS11" s="43"/>
      <c r="AT11" s="43">
        <f>'[1]поточний ремонт'!AT11+'[2]поточний ремонт'!AT11-'[3]поточний ремонт'!AT11</f>
        <v>158.07341495569472</v>
      </c>
      <c r="AU11" s="43">
        <f>'[1]поточний ремонт'!AU11+'[2]поточний ремонт'!AU11-'[3]поточний ремонт'!AU11</f>
        <v>0</v>
      </c>
      <c r="AV11" s="43"/>
      <c r="AW11" s="43">
        <f>'[1]поточний ремонт'!AW11+'[2]поточний ремонт'!AW11-'[3]поточний ремонт'!AW11</f>
        <v>0</v>
      </c>
      <c r="AX11" s="43">
        <f>'[1]поточний ремонт'!AX11+'[2]поточний ремонт'!AX11-'[3]поточний ремонт'!AX11</f>
        <v>0</v>
      </c>
      <c r="AY11" s="43"/>
      <c r="AZ11" s="43">
        <f>AE11+AH11+AK11+AN11+AQ11+AT11+AW11</f>
        <v>1255.1350471766541</v>
      </c>
      <c r="BA11" s="43">
        <f>AF11+AI11+AL11+AO11+AR11+AU11+AX11</f>
        <v>0</v>
      </c>
      <c r="BB11" s="59">
        <f>BA11-AZ11</f>
        <v>-1255.1350471766541</v>
      </c>
      <c r="BD11" s="2">
        <v>3</v>
      </c>
      <c r="BF11" s="30">
        <v>27.867552771556312</v>
      </c>
      <c r="BG11" s="328">
        <v>150001053</v>
      </c>
      <c r="BI11" s="107">
        <v>0</v>
      </c>
      <c r="BJ11" s="107">
        <f>BI11*$BJ$10</f>
        <v>0</v>
      </c>
      <c r="BK11" s="107">
        <v>0</v>
      </c>
      <c r="BL11" s="39"/>
      <c r="BM11" s="3"/>
      <c r="BN11" s="3">
        <v>0</v>
      </c>
      <c r="BP11" s="3"/>
      <c r="BQ11" s="3"/>
      <c r="BS11" s="43"/>
      <c r="BT11" s="43">
        <v>0</v>
      </c>
      <c r="BU11" s="1030"/>
      <c r="BV11" s="42"/>
      <c r="BW11" s="43"/>
      <c r="BX11" s="39"/>
      <c r="BY11" s="78"/>
      <c r="BZ11" s="43">
        <v>0</v>
      </c>
      <c r="CA11" s="1031"/>
      <c r="CB11" s="42">
        <v>0</v>
      </c>
      <c r="CC11" s="42">
        <v>0</v>
      </c>
      <c r="CD11" s="1032"/>
      <c r="CE11" s="78">
        <v>0</v>
      </c>
      <c r="CF11" s="59"/>
      <c r="CG11" s="42">
        <v>0</v>
      </c>
      <c r="CH11" s="39">
        <v>0</v>
      </c>
      <c r="CI11" s="78">
        <v>0</v>
      </c>
      <c r="CJ11" s="59"/>
      <c r="CK11" s="1034"/>
      <c r="CL11" s="1029"/>
      <c r="CM11" s="1034"/>
      <c r="CN11" s="1029">
        <v>0</v>
      </c>
      <c r="CO11" s="78">
        <v>32.823724337884556</v>
      </c>
      <c r="CP11" s="43">
        <v>0</v>
      </c>
      <c r="CQ11" s="43"/>
      <c r="CR11" s="78">
        <v>36.825609196911458</v>
      </c>
      <c r="CS11" s="1033">
        <v>0</v>
      </c>
      <c r="CT11" s="43"/>
      <c r="CU11" s="78">
        <v>21.772469150283939</v>
      </c>
      <c r="CV11" s="43">
        <v>0</v>
      </c>
      <c r="CW11" s="43"/>
      <c r="CX11" s="78">
        <v>0</v>
      </c>
      <c r="CY11" s="43">
        <v>0</v>
      </c>
      <c r="CZ11" s="43"/>
      <c r="DA11" s="78">
        <v>0</v>
      </c>
      <c r="DB11" s="43">
        <v>0</v>
      </c>
      <c r="DC11" s="43"/>
      <c r="DD11" s="78">
        <v>13.172784579641229</v>
      </c>
      <c r="DE11" s="43">
        <v>0</v>
      </c>
      <c r="DF11" s="43"/>
      <c r="DG11" s="78">
        <v>0</v>
      </c>
      <c r="DH11" s="43"/>
      <c r="DI11" s="43"/>
      <c r="DJ11" s="43">
        <v>104.59458726472118</v>
      </c>
      <c r="DK11" s="43">
        <f>CP11+CS11+CV11+CY11+DB11+DE11+DH11</f>
        <v>0</v>
      </c>
      <c r="DL11" s="59">
        <f>DK11-DJ11</f>
        <v>-104.59458726472118</v>
      </c>
    </row>
    <row r="12" spans="1:116" ht="24.9" customHeight="1" x14ac:dyDescent="0.3">
      <c r="A12" s="328">
        <v>150000753</v>
      </c>
      <c r="B12" s="45" t="s">
        <v>239</v>
      </c>
      <c r="C12" s="1035">
        <v>5</v>
      </c>
      <c r="D12" s="1036" t="s">
        <v>454</v>
      </c>
      <c r="E12" s="1028">
        <f>'побудинковий звіт'!E10</f>
        <v>1840.7</v>
      </c>
      <c r="F12" s="1029">
        <f>'побудинковий звіт'!AS10</f>
        <v>26907.61422153543</v>
      </c>
      <c r="G12" s="1029">
        <f t="shared" si="0"/>
        <v>5945</v>
      </c>
      <c r="H12" s="1029">
        <f t="shared" si="1"/>
        <v>-20962.61422153543</v>
      </c>
      <c r="I12" s="43">
        <f>'[1]поточний ремонт'!I12+'[2]поточний ремонт'!I12-'[3]поточний ремонт'!I12</f>
        <v>11.4</v>
      </c>
      <c r="J12" s="43">
        <f>'[1]поточний ремонт'!J12+'[2]поточний ремонт'!J12-'[3]поточний ремонт'!J12</f>
        <v>3618</v>
      </c>
      <c r="K12" s="1037"/>
      <c r="L12" s="43">
        <f>'[1]поточний ремонт'!L12+'[2]поточний ремонт'!L12-'[3]поточний ремонт'!L12</f>
        <v>0</v>
      </c>
      <c r="M12" s="43">
        <f>'[1]поточний ремонт'!M12+'[2]поточний ремонт'!M12-'[3]поточний ремонт'!M12</f>
        <v>0</v>
      </c>
      <c r="N12" s="37"/>
      <c r="O12" s="43">
        <f>'[1]поточний ремонт'!O12+'[2]поточний ремонт'!O12-'[3]поточний ремонт'!O12</f>
        <v>0</v>
      </c>
      <c r="P12" s="43">
        <f>'[1]поточний ремонт'!P12+'[2]поточний ремонт'!P12-'[3]поточний ремонт'!P12</f>
        <v>0</v>
      </c>
      <c r="Q12" s="1038"/>
      <c r="R12" s="43">
        <f>'[1]поточний ремонт'!R12+'[2]поточний ремонт'!R12-'[3]поточний ремонт'!R12</f>
        <v>0</v>
      </c>
      <c r="S12" s="43">
        <f>'[1]поточний ремонт'!S12+'[2]поточний ремонт'!S12-'[3]поточний ремонт'!S12</f>
        <v>0</v>
      </c>
      <c r="T12" s="1039"/>
      <c r="U12" s="43">
        <f>'[1]поточний ремонт'!U12+'[2]поточний ремонт'!U12-'[3]поточний ремонт'!U12</f>
        <v>0</v>
      </c>
      <c r="V12" s="43">
        <f>'[1]поточний ремонт'!V12+'[2]поточний ремонт'!V12-'[3]поточний ремонт'!V12</f>
        <v>0</v>
      </c>
      <c r="W12" s="43">
        <f>'[1]поточний ремонт'!W12+'[2]поточний ремонт'!W12-'[3]поточний ремонт'!W12</f>
        <v>0</v>
      </c>
      <c r="X12" s="43">
        <f>'[1]поточний ремонт'!X12+'[2]поточний ремонт'!X12-'[3]поточний ремонт'!X12</f>
        <v>0</v>
      </c>
      <c r="Y12" s="43">
        <f>'[1]поточний ремонт'!Y12+'[2]поточний ремонт'!Y12-'[3]поточний ремонт'!Y12</f>
        <v>0</v>
      </c>
      <c r="Z12" s="43">
        <f>'[1]поточний ремонт'!Z12+'[2]поточний ремонт'!Z12-'[3]поточний ремонт'!Z12</f>
        <v>0</v>
      </c>
      <c r="AA12" s="43">
        <f>'[1]поточний ремонт'!AA12+'[2]поточний ремонт'!AA12-'[3]поточний ремонт'!AA12</f>
        <v>0</v>
      </c>
      <c r="AB12" s="43">
        <f>'[1]поточний ремонт'!AB12+'[2]поточний ремонт'!AB12-'[3]поточний ремонт'!AB12</f>
        <v>0</v>
      </c>
      <c r="AC12" s="43">
        <f>'[1]поточний ремонт'!AC12+'[2]поточний ремонт'!AC12-'[3]поточний ремонт'!AC12</f>
        <v>0</v>
      </c>
      <c r="AD12" s="43">
        <f>'[1]поточний ремонт'!AD12+'[2]поточний ремонт'!AD12-'[3]поточний ремонт'!AD12</f>
        <v>2327</v>
      </c>
      <c r="AE12" s="43">
        <f>'[1]поточний ремонт'!AE12+'[2]поточний ремонт'!AE12-'[3]поточний ремонт'!AE12</f>
        <v>1275.680154624456</v>
      </c>
      <c r="AF12" s="43">
        <f>'[1]поточний ремонт'!AF12+'[2]поточний ремонт'!AF12-'[3]поточний ремонт'!AF12</f>
        <v>864</v>
      </c>
      <c r="AG12" s="5"/>
      <c r="AH12" s="43">
        <f>'[1]поточний ремонт'!AH12+'[2]поточний ремонт'!AH12-'[3]поточний ремонт'!AH12</f>
        <v>2144.1599713385599</v>
      </c>
      <c r="AI12" s="43">
        <f>'[1]поточний ремонт'!AI12+'[2]поточний ремонт'!AI12-'[3]поточний ремонт'!AI12</f>
        <v>0</v>
      </c>
      <c r="AJ12" s="5"/>
      <c r="AK12" s="43">
        <f>'[1]поточний ремонт'!AK12+'[2]поточний ремонт'!AK12-'[3]поточний ремонт'!AK12</f>
        <v>1455.2971221181449</v>
      </c>
      <c r="AL12" s="43">
        <f>'[1]поточний ремонт'!AL12+'[2]поточний ремонт'!AL12-'[3]поточний ремонт'!AL12</f>
        <v>1767</v>
      </c>
      <c r="AM12" s="5"/>
      <c r="AN12" s="43">
        <f>'[1]поточний ремонт'!AN12+'[2]поточний ремонт'!AN12-'[3]поточний ремонт'!AN12</f>
        <v>0</v>
      </c>
      <c r="AO12" s="43">
        <f>'[1]поточний ремонт'!AO12+'[2]поточний ремонт'!AO12-'[3]поточний ремонт'!AO12</f>
        <v>0</v>
      </c>
      <c r="AP12" s="5"/>
      <c r="AQ12" s="43">
        <f>'[1]поточний ремонт'!AQ12+'[2]поточний ремонт'!AQ12-'[3]поточний ремонт'!AQ12</f>
        <v>0</v>
      </c>
      <c r="AR12" s="43">
        <f>'[1]поточний ремонт'!AR12+'[2]поточний ремонт'!AR12-'[3]поточний ремонт'!AR12</f>
        <v>0</v>
      </c>
      <c r="AS12" s="5"/>
      <c r="AT12" s="43">
        <f>'[1]поточний ремонт'!AT12+'[2]поточний ремонт'!AT12-'[3]поточний ремонт'!AT12</f>
        <v>649.84801623748729</v>
      </c>
      <c r="AU12" s="43">
        <f>'[1]поточний ремонт'!AU12+'[2]поточний ремонт'!AU12-'[3]поточний ремонт'!AU12</f>
        <v>460</v>
      </c>
      <c r="AV12" s="9"/>
      <c r="AW12" s="43">
        <f>'[1]поточний ремонт'!AW12+'[2]поточний ремонт'!AW12-'[3]поточний ремонт'!AW12</f>
        <v>402.89454441995588</v>
      </c>
      <c r="AX12" s="43">
        <f>'[1]поточний ремонт'!AX12+'[2]поточний ремонт'!AX12-'[3]поточний ремонт'!AX12</f>
        <v>0</v>
      </c>
      <c r="AY12" s="5"/>
      <c r="AZ12" s="43">
        <f t="shared" ref="AZ12:AZ75" si="2">AE12+AH12+AK12+AN12+AQ12+AT12+AW12</f>
        <v>5927.879808738604</v>
      </c>
      <c r="BA12" s="43">
        <f t="shared" ref="BA12:BA75" si="3">AF12+AI12+AL12+AO12+AR12+AU12+AX12</f>
        <v>3091</v>
      </c>
      <c r="BB12" s="59">
        <f t="shared" ref="BB12:BB75" si="4">BA12-AZ12</f>
        <v>-2836.879808738604</v>
      </c>
      <c r="BD12" s="2">
        <v>2</v>
      </c>
      <c r="BF12" s="30">
        <v>2.6884535365333568</v>
      </c>
      <c r="BG12" s="328">
        <v>150000753</v>
      </c>
      <c r="BI12" s="107">
        <v>0</v>
      </c>
      <c r="BJ12" s="107">
        <f t="shared" ref="BJ12:BJ75" si="5">BI12*$BJ$10</f>
        <v>0</v>
      </c>
      <c r="BK12" s="107">
        <v>0</v>
      </c>
      <c r="BL12" s="39"/>
      <c r="BM12" s="3"/>
      <c r="BN12" s="3">
        <v>0</v>
      </c>
      <c r="BP12" s="3"/>
      <c r="BQ12" s="3"/>
      <c r="BS12" s="43"/>
      <c r="BT12" s="43">
        <v>0</v>
      </c>
      <c r="BU12" s="1037"/>
      <c r="BV12" s="42"/>
      <c r="BW12" s="43"/>
      <c r="BX12" s="37"/>
      <c r="BY12" s="78"/>
      <c r="BZ12" s="43">
        <v>0</v>
      </c>
      <c r="CA12" s="1038"/>
      <c r="CB12" s="42">
        <v>0</v>
      </c>
      <c r="CC12" s="42">
        <v>0</v>
      </c>
      <c r="CD12" s="1039"/>
      <c r="CE12" s="78">
        <v>0</v>
      </c>
      <c r="CF12" s="56"/>
      <c r="CG12" s="42">
        <v>0</v>
      </c>
      <c r="CH12" s="39">
        <v>0</v>
      </c>
      <c r="CI12" s="78">
        <v>0</v>
      </c>
      <c r="CJ12" s="56"/>
      <c r="CK12" s="1034"/>
      <c r="CL12" s="1029"/>
      <c r="CM12" s="1034"/>
      <c r="CN12" s="1029">
        <v>0</v>
      </c>
      <c r="CO12" s="78">
        <v>106.30667955203799</v>
      </c>
      <c r="CP12" s="43">
        <v>0</v>
      </c>
      <c r="CQ12" s="5"/>
      <c r="CR12" s="78">
        <v>178.67999761154664</v>
      </c>
      <c r="CS12" s="1033">
        <v>0</v>
      </c>
      <c r="CT12" s="5"/>
      <c r="CU12" s="78">
        <v>121.27476017651209</v>
      </c>
      <c r="CV12" s="43">
        <v>0</v>
      </c>
      <c r="CW12" s="5"/>
      <c r="CX12" s="78">
        <v>0</v>
      </c>
      <c r="CY12" s="43">
        <v>0</v>
      </c>
      <c r="CZ12" s="5"/>
      <c r="DA12" s="78">
        <v>0</v>
      </c>
      <c r="DB12" s="43">
        <v>0</v>
      </c>
      <c r="DC12" s="5"/>
      <c r="DD12" s="78">
        <v>54.154001353123945</v>
      </c>
      <c r="DE12" s="43">
        <v>0</v>
      </c>
      <c r="DF12" s="9"/>
      <c r="DG12" s="78">
        <v>33.574545368329652</v>
      </c>
      <c r="DH12" s="43"/>
      <c r="DI12" s="5"/>
      <c r="DJ12" s="43">
        <v>493.98998406155033</v>
      </c>
      <c r="DK12" s="43">
        <f t="shared" ref="DK12:DK75" si="6">CP12+CS12+CV12+CY12+DB12+DE12+DH12</f>
        <v>0</v>
      </c>
      <c r="DL12" s="59">
        <f t="shared" ref="DL12:DL75" si="7">DK12-DJ12</f>
        <v>-493.98998406155033</v>
      </c>
    </row>
    <row r="13" spans="1:116" ht="24.9" customHeight="1" x14ac:dyDescent="0.3">
      <c r="A13" s="328">
        <v>150000754</v>
      </c>
      <c r="B13" s="45" t="s">
        <v>240</v>
      </c>
      <c r="C13" s="1035">
        <v>5</v>
      </c>
      <c r="D13" s="1036" t="s">
        <v>454</v>
      </c>
      <c r="E13" s="1028">
        <f>'побудинковий звіт'!E11</f>
        <v>2805.68</v>
      </c>
      <c r="F13" s="1029">
        <f>'побудинковий звіт'!AS11</f>
        <v>49233.65327572891</v>
      </c>
      <c r="G13" s="1029">
        <f t="shared" si="0"/>
        <v>71965.103545316742</v>
      </c>
      <c r="H13" s="1029">
        <f t="shared" si="1"/>
        <v>22731.450269587833</v>
      </c>
      <c r="I13" s="43">
        <f>'[1]поточний ремонт'!I13+'[2]поточний ремонт'!I13-'[3]поточний ремонт'!I13</f>
        <v>0</v>
      </c>
      <c r="J13" s="43">
        <f>'[1]поточний ремонт'!J13+'[2]поточний ремонт'!J13-'[3]поточний ремонт'!J13</f>
        <v>0</v>
      </c>
      <c r="K13" s="1037"/>
      <c r="L13" s="43">
        <f>'[1]поточний ремонт'!L13+'[2]поточний ремонт'!L13-'[3]поточний ремонт'!L13</f>
        <v>0</v>
      </c>
      <c r="M13" s="43">
        <f>'[1]поточний ремонт'!M13+'[2]поточний ремонт'!M13-'[3]поточний ремонт'!M13</f>
        <v>0</v>
      </c>
      <c r="N13" s="37"/>
      <c r="O13" s="43">
        <f>'[1]поточний ремонт'!O13+'[2]поточний ремонт'!O13-'[3]поточний ремонт'!O13</f>
        <v>216</v>
      </c>
      <c r="P13" s="43">
        <f>'[1]поточний ремонт'!P13+'[2]поточний ремонт'!P13-'[3]поточний ремонт'!P13</f>
        <v>69131</v>
      </c>
      <c r="Q13" s="1038"/>
      <c r="R13" s="43">
        <f>'[1]поточний ремонт'!R13+'[2]поточний ремонт'!R13-'[3]поточний ремонт'!R13</f>
        <v>0</v>
      </c>
      <c r="S13" s="43">
        <f>'[1]поточний ремонт'!S13+'[2]поточний ремонт'!S13-'[3]поточний ремонт'!S13</f>
        <v>0</v>
      </c>
      <c r="T13" s="1039"/>
      <c r="U13" s="43">
        <f>'[1]поточний ремонт'!U13+'[2]поточний ремонт'!U13-'[3]поточний ремонт'!U13</f>
        <v>0</v>
      </c>
      <c r="V13" s="43">
        <f>'[1]поточний ремонт'!V13+'[2]поточний ремонт'!V13-'[3]поточний ремонт'!V13</f>
        <v>0</v>
      </c>
      <c r="W13" s="43">
        <f>'[1]поточний ремонт'!W13+'[2]поточний ремонт'!W13-'[3]поточний ремонт'!W13</f>
        <v>1</v>
      </c>
      <c r="X13" s="43">
        <f>'[1]поточний ремонт'!X13+'[2]поточний ремонт'!X13-'[3]поточний ремонт'!X13</f>
        <v>460.1035453167384</v>
      </c>
      <c r="Y13" s="43">
        <f>'[1]поточний ремонт'!Y13+'[2]поточний ремонт'!Y13-'[3]поточний ремонт'!Y13</f>
        <v>0</v>
      </c>
      <c r="Z13" s="43">
        <f>'[1]поточний ремонт'!Z13+'[2]поточний ремонт'!Z13-'[3]поточний ремонт'!Z13</f>
        <v>0</v>
      </c>
      <c r="AA13" s="43">
        <f>'[1]поточний ремонт'!AA13+'[2]поточний ремонт'!AA13-'[3]поточний ремонт'!AA13</f>
        <v>0</v>
      </c>
      <c r="AB13" s="43">
        <f>'[1]поточний ремонт'!AB13+'[2]поточний ремонт'!AB13-'[3]поточний ремонт'!AB13</f>
        <v>0</v>
      </c>
      <c r="AC13" s="43">
        <f>'[1]поточний ремонт'!AC13+'[2]поточний ремонт'!AC13-'[3]поточний ремонт'!AC13</f>
        <v>0</v>
      </c>
      <c r="AD13" s="43">
        <f>'[1]поточний ремонт'!AD13+'[2]поточний ремонт'!AD13-'[3]поточний ремонт'!AD13</f>
        <v>2374</v>
      </c>
      <c r="AE13" s="43">
        <f>'[1]поточний ремонт'!AE13+'[2]поточний ремонт'!AE13-'[3]поточний ремонт'!AE13</f>
        <v>1736.5007848946891</v>
      </c>
      <c r="AF13" s="43">
        <f>'[1]поточний ремонт'!AF13+'[2]поточний ремонт'!AF13-'[3]поточний ремонт'!AF13</f>
        <v>0</v>
      </c>
      <c r="AG13" s="5"/>
      <c r="AH13" s="43">
        <f>'[1]поточний ремонт'!AH13+'[2]поточний ремонт'!AH13-'[3]поточний ремонт'!AH13</f>
        <v>2547.2603672051073</v>
      </c>
      <c r="AI13" s="43">
        <f>'[1]поточний ремонт'!AI13+'[2]поточний ремонт'!AI13-'[3]поточний ремонт'!AI13</f>
        <v>0</v>
      </c>
      <c r="AJ13" s="5"/>
      <c r="AK13" s="43">
        <f>'[1]поточний ремонт'!AK13+'[2]поточний ремонт'!AK13-'[3]поточний ремонт'!AK13</f>
        <v>2008.1575743951048</v>
      </c>
      <c r="AL13" s="43">
        <f>'[1]поточний ремонт'!AL13+'[2]поточний ремонт'!AL13-'[3]поточний ремонт'!AL13</f>
        <v>0</v>
      </c>
      <c r="AM13" s="5"/>
      <c r="AN13" s="43">
        <f>'[1]поточний ремонт'!AN13+'[2]поточний ремонт'!AN13-'[3]поточний ремонт'!AN13</f>
        <v>0</v>
      </c>
      <c r="AO13" s="43">
        <f>'[1]поточний ремонт'!AO13+'[2]поточний ремонт'!AO13-'[3]поточний ремонт'!AO13</f>
        <v>0</v>
      </c>
      <c r="AP13" s="5"/>
      <c r="AQ13" s="43">
        <f>'[1]поточний ремонт'!AQ13+'[2]поточний ремонт'!AQ13-'[3]поточний ремонт'!AQ13</f>
        <v>719.6828414324732</v>
      </c>
      <c r="AR13" s="43">
        <f>'[1]поточний ремонт'!AR13+'[2]поточний ремонт'!AR13-'[3]поточний ремонт'!AR13</f>
        <v>0</v>
      </c>
      <c r="AS13" s="5"/>
      <c r="AT13" s="43">
        <f>'[1]поточний ремонт'!AT13+'[2]поточний ремонт'!AT13-'[3]поточний ремонт'!AT13</f>
        <v>954.36378428623402</v>
      </c>
      <c r="AU13" s="43">
        <f>'[1]поточний ремонт'!AU13+'[2]поточний ремонт'!AU13-'[3]поточний ремонт'!AU13</f>
        <v>6143</v>
      </c>
      <c r="AV13" s="5"/>
      <c r="AW13" s="43">
        <f>'[1]поточний ремонт'!AW13+'[2]поточний ремонт'!AW13-'[3]поточний ремонт'!AW13</f>
        <v>0</v>
      </c>
      <c r="AX13" s="43">
        <f>'[1]поточний ремонт'!AX13+'[2]поточний ремонт'!AX13-'[3]поточний ремонт'!AX13</f>
        <v>0</v>
      </c>
      <c r="AY13" s="5"/>
      <c r="AZ13" s="43">
        <f t="shared" si="2"/>
        <v>7965.9653522136086</v>
      </c>
      <c r="BA13" s="43">
        <f t="shared" si="3"/>
        <v>6143</v>
      </c>
      <c r="BB13" s="59">
        <f t="shared" si="4"/>
        <v>-1822.9653522136086</v>
      </c>
      <c r="BD13" s="2">
        <v>2</v>
      </c>
      <c r="BF13" s="30">
        <v>4.102392852906048</v>
      </c>
      <c r="BG13" s="328">
        <v>150000754</v>
      </c>
      <c r="BI13" s="107">
        <v>30.08</v>
      </c>
      <c r="BJ13" s="107">
        <f t="shared" si="5"/>
        <v>4.2311189759999994</v>
      </c>
      <c r="BK13" s="107">
        <v>34.690836743679995</v>
      </c>
      <c r="BL13" s="39"/>
      <c r="BM13" s="3"/>
      <c r="BN13" s="3">
        <v>0</v>
      </c>
      <c r="BP13" s="3"/>
      <c r="BQ13" s="3"/>
      <c r="BS13" s="43"/>
      <c r="BT13" s="43">
        <v>0</v>
      </c>
      <c r="BU13" s="1037"/>
      <c r="BV13" s="42"/>
      <c r="BW13" s="43"/>
      <c r="BX13" s="37"/>
      <c r="BY13" s="78"/>
      <c r="BZ13" s="43">
        <v>0</v>
      </c>
      <c r="CA13" s="1038"/>
      <c r="CB13" s="42">
        <v>0</v>
      </c>
      <c r="CC13" s="42">
        <v>0</v>
      </c>
      <c r="CD13" s="1039"/>
      <c r="CE13" s="78">
        <v>0</v>
      </c>
      <c r="CF13" s="56"/>
      <c r="CG13" s="42">
        <v>0</v>
      </c>
      <c r="CH13" s="39">
        <v>34.690836743679995</v>
      </c>
      <c r="CI13" s="78">
        <v>0</v>
      </c>
      <c r="CJ13" s="56"/>
      <c r="CK13" s="1034"/>
      <c r="CL13" s="1029"/>
      <c r="CM13" s="1034"/>
      <c r="CN13" s="1029">
        <v>0</v>
      </c>
      <c r="CO13" s="78">
        <v>144.7083987412241</v>
      </c>
      <c r="CP13" s="43">
        <v>0</v>
      </c>
      <c r="CQ13" s="5"/>
      <c r="CR13" s="78">
        <v>212.27169726709224</v>
      </c>
      <c r="CS13" s="1033">
        <v>0</v>
      </c>
      <c r="CT13" s="5"/>
      <c r="CU13" s="78">
        <v>167.34646453292541</v>
      </c>
      <c r="CV13" s="43">
        <v>0</v>
      </c>
      <c r="CW13" s="5"/>
      <c r="CX13" s="78">
        <v>0</v>
      </c>
      <c r="CY13" s="43">
        <v>0</v>
      </c>
      <c r="CZ13" s="5"/>
      <c r="DA13" s="78">
        <v>59.973570119372766</v>
      </c>
      <c r="DB13" s="43">
        <v>0</v>
      </c>
      <c r="DC13" s="5"/>
      <c r="DD13" s="78">
        <v>79.530315357186169</v>
      </c>
      <c r="DE13" s="43">
        <v>0</v>
      </c>
      <c r="DF13" s="5"/>
      <c r="DG13" s="78">
        <v>0</v>
      </c>
      <c r="DH13" s="43"/>
      <c r="DI13" s="5"/>
      <c r="DJ13" s="43">
        <v>663.83044601780068</v>
      </c>
      <c r="DK13" s="43">
        <f t="shared" si="6"/>
        <v>0</v>
      </c>
      <c r="DL13" s="59">
        <f t="shared" si="7"/>
        <v>-663.83044601780068</v>
      </c>
    </row>
    <row r="14" spans="1:116" ht="24.9" customHeight="1" x14ac:dyDescent="0.3">
      <c r="A14" s="328">
        <v>150000702</v>
      </c>
      <c r="B14" s="45" t="s">
        <v>338</v>
      </c>
      <c r="C14" s="1035">
        <v>9</v>
      </c>
      <c r="D14" s="1036" t="s">
        <v>454</v>
      </c>
      <c r="E14" s="1028">
        <f>'побудинковий звіт'!E12</f>
        <v>6095.61</v>
      </c>
      <c r="F14" s="1029">
        <f>'побудинковий звіт'!AS12</f>
        <v>141898.69863195342</v>
      </c>
      <c r="G14" s="1029">
        <f t="shared" si="0"/>
        <v>350119</v>
      </c>
      <c r="H14" s="1029">
        <f t="shared" si="1"/>
        <v>208220.30136804658</v>
      </c>
      <c r="I14" s="43">
        <f>'[1]поточний ремонт'!I14+'[2]поточний ремонт'!I14-'[3]поточний ремонт'!I14</f>
        <v>50.739999999999995</v>
      </c>
      <c r="J14" s="43">
        <f>'[1]поточний ремонт'!J14+'[2]поточний ремонт'!J14-'[3]поточний ремонт'!J14</f>
        <v>82847</v>
      </c>
      <c r="K14" s="1037"/>
      <c r="L14" s="43">
        <f>'[1]поточний ремонт'!L14+'[2]поточний ремонт'!L14-'[3]поточний ремонт'!L14</f>
        <v>0</v>
      </c>
      <c r="M14" s="43">
        <f>'[1]поточний ремонт'!M14+'[2]поточний ремонт'!M14-'[3]поточний ремонт'!M14</f>
        <v>692</v>
      </c>
      <c r="N14" s="1040"/>
      <c r="O14" s="43">
        <f>'[1]поточний ремонт'!O14+'[2]поточний ремонт'!O14-'[3]поточний ремонт'!O14</f>
        <v>9</v>
      </c>
      <c r="P14" s="43">
        <f>'[1]поточний ремонт'!P14+'[2]поточний ремонт'!P14-'[3]поточний ремонт'!P14</f>
        <v>2679</v>
      </c>
      <c r="Q14" s="1038"/>
      <c r="R14" s="43">
        <f>'[1]поточний ремонт'!R14+'[2]поточний ремонт'!R14-'[3]поточний ремонт'!R14</f>
        <v>7</v>
      </c>
      <c r="S14" s="43">
        <f>'[1]поточний ремонт'!S14+'[2]поточний ремонт'!S14-'[3]поточний ремонт'!S14</f>
        <v>243569</v>
      </c>
      <c r="T14" s="1039"/>
      <c r="U14" s="43">
        <f>'[1]поточний ремонт'!U14+'[2]поточний ремонт'!U14-'[3]поточний ремонт'!U14</f>
        <v>9732</v>
      </c>
      <c r="V14" s="43">
        <f>'[1]поточний ремонт'!V14+'[2]поточний ремонт'!V14-'[3]поточний ремонт'!V14</f>
        <v>0</v>
      </c>
      <c r="W14" s="43">
        <f>'[1]поточний ремонт'!W14+'[2]поточний ремонт'!W14-'[3]поточний ремонт'!W14</f>
        <v>4</v>
      </c>
      <c r="X14" s="43">
        <f>'[1]поточний ремонт'!X14+'[2]поточний ремонт'!X14-'[3]поточний ремонт'!X14</f>
        <v>288</v>
      </c>
      <c r="Y14" s="43">
        <f>'[1]поточний ремонт'!Y14+'[2]поточний ремонт'!Y14-'[3]поточний ремонт'!Y14</f>
        <v>6340</v>
      </c>
      <c r="Z14" s="43">
        <f>'[1]поточний ремонт'!Z14+'[2]поточний ремонт'!Z14-'[3]поточний ремонт'!Z14</f>
        <v>0</v>
      </c>
      <c r="AA14" s="43">
        <f>'[1]поточний ремонт'!AA14+'[2]поточний ремонт'!AA14-'[3]поточний ремонт'!AA14</f>
        <v>0</v>
      </c>
      <c r="AB14" s="43">
        <f>'[1]поточний ремонт'!AB14+'[2]поточний ремонт'!AB14-'[3]поточний ремонт'!AB14</f>
        <v>2178</v>
      </c>
      <c r="AC14" s="43">
        <f>'[1]поточний ремонт'!AC14+'[2]поточний ремонт'!AC14-'[3]поточний ремонт'!AC14</f>
        <v>1794</v>
      </c>
      <c r="AD14" s="43">
        <f>'[1]поточний ремонт'!AD14+'[2]поточний ремонт'!AD14-'[3]поточний ремонт'!AD14</f>
        <v>0</v>
      </c>
      <c r="AE14" s="43">
        <f>'[1]поточний ремонт'!AE14+'[2]поточний ремонт'!AE14-'[3]поточний ремонт'!AE14</f>
        <v>1171.1209214259991</v>
      </c>
      <c r="AF14" s="43">
        <f>'[1]поточний ремонт'!AF14+'[2]поточний ремонт'!AF14-'[3]поточний ремонт'!AF14</f>
        <v>0</v>
      </c>
      <c r="AG14" s="5"/>
      <c r="AH14" s="43">
        <f>'[1]поточний ремонт'!AH14+'[2]поточний ремонт'!AH14-'[3]поточний ремонт'!AH14</f>
        <v>1645.433502069015</v>
      </c>
      <c r="AI14" s="43">
        <f>'[1]поточний ремонт'!AI14+'[2]поточний ремонт'!AI14-'[3]поточний ремонт'!AI14</f>
        <v>3695</v>
      </c>
      <c r="AJ14" s="5"/>
      <c r="AK14" s="43">
        <f>'[1]поточний ремонт'!AK14+'[2]поточний ремонт'!AK14-'[3]поточний ремонт'!AK14</f>
        <v>1986.6789211948194</v>
      </c>
      <c r="AL14" s="43">
        <f>'[1]поточний ремонт'!AL14+'[2]поточний ремонт'!AL14-'[3]поточний ремонт'!AL14</f>
        <v>0</v>
      </c>
      <c r="AM14" s="5"/>
      <c r="AN14" s="43">
        <f>'[1]поточний ремонт'!AN14+'[2]поточний ремонт'!AN14-'[3]поточний ремонт'!AN14</f>
        <v>646.23445642325851</v>
      </c>
      <c r="AO14" s="43">
        <f>'[1]поточний ремонт'!AO14+'[2]поточний ремонт'!AO14-'[3]поточний ремонт'!AO14</f>
        <v>0</v>
      </c>
      <c r="AP14" s="5"/>
      <c r="AQ14" s="43">
        <f>'[1]поточний ремонт'!AQ14+'[2]поточний ремонт'!AQ14-'[3]поточний ремонт'!AQ14</f>
        <v>356.19052365989728</v>
      </c>
      <c r="AR14" s="43">
        <f>'[1]поточний ремонт'!AR14+'[2]поточний ремонт'!AR14-'[3]поточний ремонт'!AR14</f>
        <v>76</v>
      </c>
      <c r="AS14" s="5"/>
      <c r="AT14" s="43">
        <f>'[1]поточний ремонт'!AT14+'[2]поточний ремонт'!AT14-'[3]поточний ремонт'!AT14</f>
        <v>838.65387638673394</v>
      </c>
      <c r="AU14" s="43">
        <f>'[1]поточний ремонт'!AU14+'[2]поточний ремонт'!AU14-'[3]поточний ремонт'!AU14</f>
        <v>439</v>
      </c>
      <c r="AV14" s="5"/>
      <c r="AW14" s="43">
        <f>'[1]поточний ремонт'!AW14+'[2]поточний ремонт'!AW14-'[3]поточний ремонт'!AW14</f>
        <v>0</v>
      </c>
      <c r="AX14" s="43">
        <f>'[1]поточний ремонт'!AX14+'[2]поточний ремонт'!AX14-'[3]поточний ремонт'!AX14</f>
        <v>0</v>
      </c>
      <c r="AY14" s="5"/>
      <c r="AZ14" s="43">
        <f t="shared" si="2"/>
        <v>6644.3122011597243</v>
      </c>
      <c r="BA14" s="43">
        <f t="shared" si="3"/>
        <v>4210</v>
      </c>
      <c r="BB14" s="59">
        <f t="shared" si="4"/>
        <v>-2434.3122011597243</v>
      </c>
      <c r="BD14" s="2">
        <v>3</v>
      </c>
      <c r="BF14" s="30">
        <v>455.65018573898544</v>
      </c>
      <c r="BG14" s="328">
        <v>150000702</v>
      </c>
      <c r="BI14" s="107">
        <v>0</v>
      </c>
      <c r="BJ14" s="107">
        <f t="shared" si="5"/>
        <v>0</v>
      </c>
      <c r="BK14" s="107">
        <v>0</v>
      </c>
      <c r="BL14" s="39"/>
      <c r="BM14" s="3"/>
      <c r="BN14" s="3">
        <v>0</v>
      </c>
      <c r="BP14" s="3"/>
      <c r="BQ14" s="3"/>
      <c r="BS14" s="43"/>
      <c r="BT14" s="43">
        <v>0</v>
      </c>
      <c r="BU14" s="1037"/>
      <c r="BV14" s="42"/>
      <c r="BW14" s="43"/>
      <c r="BX14" s="1040"/>
      <c r="BY14" s="78"/>
      <c r="BZ14" s="43">
        <v>0</v>
      </c>
      <c r="CA14" s="1038"/>
      <c r="CB14" s="42">
        <v>0</v>
      </c>
      <c r="CC14" s="42">
        <v>0</v>
      </c>
      <c r="CD14" s="1039"/>
      <c r="CE14" s="78">
        <v>0</v>
      </c>
      <c r="CF14" s="56"/>
      <c r="CG14" s="42">
        <v>0</v>
      </c>
      <c r="CH14" s="39">
        <v>0</v>
      </c>
      <c r="CI14" s="78">
        <v>0</v>
      </c>
      <c r="CJ14" s="56"/>
      <c r="CK14" s="1034"/>
      <c r="CL14" s="1029"/>
      <c r="CM14" s="1034"/>
      <c r="CN14" s="1029">
        <v>0</v>
      </c>
      <c r="CO14" s="78">
        <v>97.593410118833248</v>
      </c>
      <c r="CP14" s="43">
        <v>0</v>
      </c>
      <c r="CQ14" s="5"/>
      <c r="CR14" s="78">
        <v>137.11945850575125</v>
      </c>
      <c r="CS14" s="1033">
        <v>0</v>
      </c>
      <c r="CT14" s="5"/>
      <c r="CU14" s="78">
        <v>165.55657676623494</v>
      </c>
      <c r="CV14" s="43">
        <v>0</v>
      </c>
      <c r="CW14" s="5"/>
      <c r="CX14" s="78">
        <v>53.852871368604887</v>
      </c>
      <c r="CY14" s="43">
        <v>0</v>
      </c>
      <c r="CZ14" s="5"/>
      <c r="DA14" s="78">
        <v>29.682543638324773</v>
      </c>
      <c r="DB14" s="43">
        <v>0</v>
      </c>
      <c r="DC14" s="5"/>
      <c r="DD14" s="78">
        <v>69.887823032227814</v>
      </c>
      <c r="DE14" s="43">
        <v>0</v>
      </c>
      <c r="DF14" s="5"/>
      <c r="DG14" s="78">
        <v>0</v>
      </c>
      <c r="DH14" s="43"/>
      <c r="DI14" s="5"/>
      <c r="DJ14" s="43">
        <v>553.69268342997691</v>
      </c>
      <c r="DK14" s="43">
        <f t="shared" si="6"/>
        <v>0</v>
      </c>
      <c r="DL14" s="59">
        <f t="shared" si="7"/>
        <v>-553.69268342997691</v>
      </c>
    </row>
    <row r="15" spans="1:116" ht="24.9" customHeight="1" x14ac:dyDescent="0.3">
      <c r="A15" s="328">
        <v>150000703</v>
      </c>
      <c r="B15" s="45" t="s">
        <v>339</v>
      </c>
      <c r="C15" s="1035">
        <v>9</v>
      </c>
      <c r="D15" s="1036" t="s">
        <v>454</v>
      </c>
      <c r="E15" s="1028">
        <f>'побудинковий звіт'!E13</f>
        <v>6316</v>
      </c>
      <c r="F15" s="1029">
        <f>'побудинковий звіт'!AS13</f>
        <v>141935.43443123068</v>
      </c>
      <c r="G15" s="1029">
        <f t="shared" si="0"/>
        <v>369171.66317995457</v>
      </c>
      <c r="H15" s="1029">
        <f t="shared" si="1"/>
        <v>227236.22874872389</v>
      </c>
      <c r="I15" s="43">
        <f>'[1]поточний ремонт'!I15+'[2]поточний ремонт'!I15-'[3]поточний ремонт'!I15</f>
        <v>6.22</v>
      </c>
      <c r="J15" s="43">
        <f>'[1]поточний ремонт'!J15+'[2]поточний ремонт'!J15-'[3]поточний ремонт'!J15</f>
        <v>12823</v>
      </c>
      <c r="K15" s="1041"/>
      <c r="L15" s="43">
        <f>'[1]поточний ремонт'!L15+'[2]поточний ремонт'!L15-'[3]поточний ремонт'!L15</f>
        <v>0</v>
      </c>
      <c r="M15" s="43">
        <f>'[1]поточний ремонт'!M15+'[2]поточний ремонт'!M15-'[3]поточний ремонт'!M15</f>
        <v>0</v>
      </c>
      <c r="N15" s="37"/>
      <c r="O15" s="43">
        <f>'[1]поточний ремонт'!O15+'[2]поточний ремонт'!O15-'[3]поточний ремонт'!O15</f>
        <v>142.5</v>
      </c>
      <c r="P15" s="43">
        <f>'[1]поточний ремонт'!P15+'[2]поточний ремонт'!P15-'[3]поточний ремонт'!P15</f>
        <v>45202</v>
      </c>
      <c r="Q15" s="1038"/>
      <c r="R15" s="43">
        <f>'[1]поточний ремонт'!R15+'[2]поточний ремонт'!R15-'[3]поточний ремонт'!R15</f>
        <v>6</v>
      </c>
      <c r="S15" s="43">
        <f>'[1]поточний ремонт'!S15+'[2]поточний ремонт'!S15-'[3]поточний ремонт'!S15</f>
        <v>239637</v>
      </c>
      <c r="T15" s="1042"/>
      <c r="U15" s="43">
        <f>'[1]поточний ремонт'!U15+'[2]поточний ремонт'!U15-'[3]поточний ремонт'!U15</f>
        <v>2213</v>
      </c>
      <c r="V15" s="43">
        <f>'[1]поточний ремонт'!V15+'[2]поточний ремонт'!V15-'[3]поточний ремонт'!V15</f>
        <v>0</v>
      </c>
      <c r="W15" s="43">
        <f>'[1]поточний ремонт'!W15+'[2]поточний ремонт'!W15-'[3]поточний ремонт'!W15</f>
        <v>0</v>
      </c>
      <c r="X15" s="43">
        <f>'[1]поточний ремонт'!X15+'[2]поточний ремонт'!X15-'[3]поточний ремонт'!X15</f>
        <v>500.6631799545662</v>
      </c>
      <c r="Y15" s="43">
        <f>'[1]поточний ремонт'!Y15+'[2]поточний ремонт'!Y15-'[3]поточний ремонт'!Y15</f>
        <v>56174</v>
      </c>
      <c r="Z15" s="43">
        <f>'[1]поточний ремонт'!Z15+'[2]поточний ремонт'!Z15-'[3]поточний ремонт'!Z15</f>
        <v>0</v>
      </c>
      <c r="AA15" s="43">
        <f>'[1]поточний ремонт'!AA15+'[2]поточний ремонт'!AA15-'[3]поточний ремонт'!AA15</f>
        <v>0</v>
      </c>
      <c r="AB15" s="43">
        <f>'[1]поточний ремонт'!AB15+'[2]поточний ремонт'!AB15-'[3]поточний ремонт'!AB15</f>
        <v>781</v>
      </c>
      <c r="AC15" s="43">
        <f>'[1]поточний ремонт'!AC15+'[2]поточний ремонт'!AC15-'[3]поточний ремонт'!AC15</f>
        <v>8685</v>
      </c>
      <c r="AD15" s="43">
        <f>'[1]поточний ремонт'!AD15+'[2]поточний ремонт'!AD15-'[3]поточний ремонт'!AD15</f>
        <v>3156</v>
      </c>
      <c r="AE15" s="43">
        <f>'[1]поточний ремонт'!AE15+'[2]поточний ремонт'!AE15-'[3]поточний ремонт'!AE15</f>
        <v>1149.6382596650008</v>
      </c>
      <c r="AF15" s="43">
        <f>'[1]поточний ремонт'!AF15+'[2]поточний ремонт'!AF15-'[3]поточний ремонт'!AF15</f>
        <v>0</v>
      </c>
      <c r="AG15" s="9"/>
      <c r="AH15" s="43">
        <f>'[1]поточний ремонт'!AH15+'[2]поточний ремонт'!AH15-'[3]поточний ремонт'!AH15</f>
        <v>1625.9951276560384</v>
      </c>
      <c r="AI15" s="43">
        <f>'[1]поточний ремонт'!AI15+'[2]поточний ремонт'!AI15-'[3]поточний ремонт'!AI15</f>
        <v>3310</v>
      </c>
      <c r="AJ15" s="9"/>
      <c r="AK15" s="43">
        <f>'[1]поточний ремонт'!AK15+'[2]поточний ремонт'!AK15-'[3]поточний ремонт'!AK15</f>
        <v>2085.3863774385813</v>
      </c>
      <c r="AL15" s="43">
        <f>'[1]поточний ремонт'!AL15+'[2]поточний ремонт'!AL15-'[3]поточний ремонт'!AL15</f>
        <v>0</v>
      </c>
      <c r="AM15" s="5"/>
      <c r="AN15" s="43">
        <f>'[1]поточний ремонт'!AN15+'[2]поточний ремонт'!AN15-'[3]поточний ремонт'!AN15</f>
        <v>652.43151498238683</v>
      </c>
      <c r="AO15" s="43">
        <f>'[1]поточний ремонт'!AO15+'[2]поточний ремонт'!AO15-'[3]поточний ремонт'!AO15</f>
        <v>0</v>
      </c>
      <c r="AP15" s="752"/>
      <c r="AQ15" s="43">
        <f>'[1]поточний ремонт'!AQ15+'[2]поточний ремонт'!AQ15-'[3]поточний ремонт'!AQ15</f>
        <v>356.19052365989728</v>
      </c>
      <c r="AR15" s="43">
        <f>'[1]поточний ремонт'!AR15+'[2]поточний ремонт'!AR15-'[3]поточний ремонт'!AR15</f>
        <v>76</v>
      </c>
      <c r="AS15" s="9"/>
      <c r="AT15" s="43">
        <f>'[1]поточний ремонт'!AT15+'[2]поточний ремонт'!AT15-'[3]поточний ремонт'!AT15</f>
        <v>817.69904065707556</v>
      </c>
      <c r="AU15" s="43">
        <f>'[1]поточний ремонт'!AU15+'[2]поточний ремонт'!AU15-'[3]поточний ремонт'!AU15</f>
        <v>21610</v>
      </c>
      <c r="AV15" s="5"/>
      <c r="AW15" s="43">
        <f>'[1]поточний ремонт'!AW15+'[2]поточний ремонт'!AW15-'[3]поточний ремонт'!AW15</f>
        <v>0</v>
      </c>
      <c r="AX15" s="43">
        <f>'[1]поточний ремонт'!AX15+'[2]поточний ремонт'!AX15-'[3]поточний ремонт'!AX15</f>
        <v>3674</v>
      </c>
      <c r="AY15" s="5"/>
      <c r="AZ15" s="43">
        <f t="shared" si="2"/>
        <v>6687.3408440589801</v>
      </c>
      <c r="BA15" s="43">
        <f t="shared" si="3"/>
        <v>28670</v>
      </c>
      <c r="BB15" s="59">
        <f t="shared" si="4"/>
        <v>21982.659155941019</v>
      </c>
      <c r="BD15" s="2">
        <v>3</v>
      </c>
      <c r="BF15" s="30">
        <v>472.17860471248025</v>
      </c>
      <c r="BG15" s="328">
        <v>150000703</v>
      </c>
      <c r="BI15" s="107">
        <v>37.36</v>
      </c>
      <c r="BJ15" s="107">
        <f t="shared" si="5"/>
        <v>5.2551397919999996</v>
      </c>
      <c r="BK15" s="107">
        <v>43.086757338559998</v>
      </c>
      <c r="BL15" s="39"/>
      <c r="BM15" s="3"/>
      <c r="BN15" s="3">
        <v>0</v>
      </c>
      <c r="BP15" s="3"/>
      <c r="BQ15" s="3"/>
      <c r="BS15" s="43"/>
      <c r="BT15" s="43">
        <v>0</v>
      </c>
      <c r="BU15" s="1041"/>
      <c r="BV15" s="42"/>
      <c r="BW15" s="43"/>
      <c r="BX15" s="37"/>
      <c r="BY15" s="78"/>
      <c r="BZ15" s="43">
        <v>0</v>
      </c>
      <c r="CA15" s="1038"/>
      <c r="CB15" s="42">
        <v>1</v>
      </c>
      <c r="CC15" s="42">
        <v>1359.7263230598001</v>
      </c>
      <c r="CD15" s="1042"/>
      <c r="CE15" s="78">
        <v>0</v>
      </c>
      <c r="CF15" s="56"/>
      <c r="CG15" s="42">
        <v>0</v>
      </c>
      <c r="CH15" s="39">
        <v>43.086757338559998</v>
      </c>
      <c r="CI15" s="78">
        <v>359.98042296525114</v>
      </c>
      <c r="CJ15" s="56"/>
      <c r="CK15" s="1034"/>
      <c r="CL15" s="1029"/>
      <c r="CM15" s="1034"/>
      <c r="CN15" s="1029">
        <v>0</v>
      </c>
      <c r="CO15" s="78">
        <v>95.803188305416725</v>
      </c>
      <c r="CP15" s="43">
        <v>0</v>
      </c>
      <c r="CQ15" s="9"/>
      <c r="CR15" s="78">
        <v>135.49959397133657</v>
      </c>
      <c r="CS15" s="1033">
        <v>0</v>
      </c>
      <c r="CT15" s="9"/>
      <c r="CU15" s="78">
        <v>173.7821981198818</v>
      </c>
      <c r="CV15" s="43">
        <v>718.39040951413278</v>
      </c>
      <c r="CW15" s="5"/>
      <c r="CX15" s="78">
        <v>54.369292915198905</v>
      </c>
      <c r="CY15" s="43">
        <v>0</v>
      </c>
      <c r="CZ15" s="752"/>
      <c r="DA15" s="78">
        <v>29.682543638324773</v>
      </c>
      <c r="DB15" s="43">
        <v>0</v>
      </c>
      <c r="DC15" s="9"/>
      <c r="DD15" s="78">
        <v>68.141586721422954</v>
      </c>
      <c r="DE15" s="43">
        <v>0</v>
      </c>
      <c r="DF15" s="5"/>
      <c r="DG15" s="78">
        <v>0</v>
      </c>
      <c r="DH15" s="43"/>
      <c r="DI15" s="5"/>
      <c r="DJ15" s="43">
        <v>557.27840367158171</v>
      </c>
      <c r="DK15" s="43">
        <f t="shared" si="6"/>
        <v>718.39040951413278</v>
      </c>
      <c r="DL15" s="59">
        <f t="shared" si="7"/>
        <v>161.11200584255107</v>
      </c>
    </row>
    <row r="16" spans="1:116" ht="24.9" customHeight="1" x14ac:dyDescent="0.3">
      <c r="A16" s="328">
        <v>150000781</v>
      </c>
      <c r="B16" s="45" t="s">
        <v>33</v>
      </c>
      <c r="C16" s="1035">
        <v>1</v>
      </c>
      <c r="D16" s="1036" t="s">
        <v>454</v>
      </c>
      <c r="E16" s="1028">
        <f>'побудинковий звіт'!E14</f>
        <v>263.3</v>
      </c>
      <c r="F16" s="1029">
        <f>'побудинковий звіт'!AS14</f>
        <v>3760.1545370985978</v>
      </c>
      <c r="G16" s="1029">
        <f t="shared" si="0"/>
        <v>0</v>
      </c>
      <c r="H16" s="1029">
        <f t="shared" si="1"/>
        <v>-3760.1545370985978</v>
      </c>
      <c r="I16" s="43">
        <f>'[1]поточний ремонт'!I16+'[2]поточний ремонт'!I16-'[3]поточний ремонт'!I16</f>
        <v>0</v>
      </c>
      <c r="J16" s="43">
        <f>'[1]поточний ремонт'!J16+'[2]поточний ремонт'!J16-'[3]поточний ремонт'!J16</f>
        <v>0</v>
      </c>
      <c r="K16" s="1037"/>
      <c r="L16" s="43">
        <f>'[1]поточний ремонт'!L16+'[2]поточний ремонт'!L16-'[3]поточний ремонт'!L16</f>
        <v>0</v>
      </c>
      <c r="M16" s="43">
        <f>'[1]поточний ремонт'!M16+'[2]поточний ремонт'!M16-'[3]поточний ремонт'!M16</f>
        <v>0</v>
      </c>
      <c r="N16" s="37"/>
      <c r="O16" s="43">
        <f>'[1]поточний ремонт'!O16+'[2]поточний ремонт'!O16-'[3]поточний ремонт'!O16</f>
        <v>0</v>
      </c>
      <c r="P16" s="43">
        <f>'[1]поточний ремонт'!P16+'[2]поточний ремонт'!P16-'[3]поточний ремонт'!P16</f>
        <v>0</v>
      </c>
      <c r="Q16" s="1038"/>
      <c r="R16" s="43">
        <f>'[1]поточний ремонт'!R16+'[2]поточний ремонт'!R16-'[3]поточний ремонт'!R16</f>
        <v>0</v>
      </c>
      <c r="S16" s="43">
        <f>'[1]поточний ремонт'!S16+'[2]поточний ремонт'!S16-'[3]поточний ремонт'!S16</f>
        <v>0</v>
      </c>
      <c r="T16" s="1039"/>
      <c r="U16" s="43">
        <f>'[1]поточний ремонт'!U16+'[2]поточний ремонт'!U16-'[3]поточний ремонт'!U16</f>
        <v>0</v>
      </c>
      <c r="V16" s="43">
        <f>'[1]поточний ремонт'!V16+'[2]поточний ремонт'!V16-'[3]поточний ремонт'!V16</f>
        <v>0</v>
      </c>
      <c r="W16" s="43">
        <f>'[1]поточний ремонт'!W16+'[2]поточний ремонт'!W16-'[3]поточний ремонт'!W16</f>
        <v>0</v>
      </c>
      <c r="X16" s="43">
        <f>'[1]поточний ремонт'!X16+'[2]поточний ремонт'!X16-'[3]поточний ремонт'!X16</f>
        <v>0</v>
      </c>
      <c r="Y16" s="43">
        <f>'[1]поточний ремонт'!Y16+'[2]поточний ремонт'!Y16-'[3]поточний ремонт'!Y16</f>
        <v>0</v>
      </c>
      <c r="Z16" s="43">
        <f>'[1]поточний ремонт'!Z16+'[2]поточний ремонт'!Z16-'[3]поточний ремонт'!Z16</f>
        <v>0</v>
      </c>
      <c r="AA16" s="43">
        <f>'[1]поточний ремонт'!AA16+'[2]поточний ремонт'!AA16-'[3]поточний ремонт'!AA16</f>
        <v>0</v>
      </c>
      <c r="AB16" s="43">
        <f>'[1]поточний ремонт'!AB16+'[2]поточний ремонт'!AB16-'[3]поточний ремонт'!AB16</f>
        <v>0</v>
      </c>
      <c r="AC16" s="43">
        <f>'[1]поточний ремонт'!AC16+'[2]поточний ремонт'!AC16-'[3]поточний ремонт'!AC16</f>
        <v>0</v>
      </c>
      <c r="AD16" s="43">
        <f>'[1]поточний ремонт'!AD16+'[2]поточний ремонт'!AD16-'[3]поточний ремонт'!AD16</f>
        <v>0</v>
      </c>
      <c r="AE16" s="43">
        <f>'[1]поточний ремонт'!AE16+'[2]поточний ремонт'!AE16-'[3]поточний ремонт'!AE16</f>
        <v>0</v>
      </c>
      <c r="AF16" s="43">
        <f>'[1]поточний ремонт'!AF16+'[2]поточний ремонт'!AF16-'[3]поточний ремонт'!AF16</f>
        <v>0</v>
      </c>
      <c r="AG16" s="5"/>
      <c r="AH16" s="43">
        <f>'[1]поточний ремонт'!AH16+'[2]поточний ремонт'!AH16-'[3]поточний ремонт'!AH16</f>
        <v>0</v>
      </c>
      <c r="AI16" s="43">
        <f>'[1]поточний ремонт'!AI16+'[2]поточний ремонт'!AI16-'[3]поточний ремонт'!AI16</f>
        <v>0</v>
      </c>
      <c r="AJ16" s="5"/>
      <c r="AK16" s="43">
        <f>'[1]поточний ремонт'!AK16+'[2]поточний ремонт'!AK16-'[3]поточний ремонт'!AK16</f>
        <v>0</v>
      </c>
      <c r="AL16" s="43">
        <f>'[1]поточний ремонт'!AL16+'[2]поточний ремонт'!AL16-'[3]поточний ремонт'!AL16</f>
        <v>0</v>
      </c>
      <c r="AM16" s="5"/>
      <c r="AN16" s="43">
        <f>'[1]поточний ремонт'!AN16+'[2]поточний ремонт'!AN16-'[3]поточний ремонт'!AN16</f>
        <v>0</v>
      </c>
      <c r="AO16" s="43">
        <f>'[1]поточний ремонт'!AO16+'[2]поточний ремонт'!AO16-'[3]поточний ремонт'!AO16</f>
        <v>0</v>
      </c>
      <c r="AP16" s="5"/>
      <c r="AQ16" s="43">
        <f>'[1]поточний ремонт'!AQ16+'[2]поточний ремонт'!AQ16-'[3]поточний ремонт'!AQ16</f>
        <v>0</v>
      </c>
      <c r="AR16" s="43">
        <f>'[1]поточний ремонт'!AR16+'[2]поточний ремонт'!AR16-'[3]поточний ремонт'!AR16</f>
        <v>0</v>
      </c>
      <c r="AS16" s="5"/>
      <c r="AT16" s="43">
        <f>'[1]поточний ремонт'!AT16+'[2]поточний ремонт'!AT16-'[3]поточний ремонт'!AT16</f>
        <v>0</v>
      </c>
      <c r="AU16" s="43">
        <f>'[1]поточний ремонт'!AU16+'[2]поточний ремонт'!AU16-'[3]поточний ремонт'!AU16</f>
        <v>0</v>
      </c>
      <c r="AV16" s="5"/>
      <c r="AW16" s="43">
        <f>'[1]поточний ремонт'!AW16+'[2]поточний ремонт'!AW16-'[3]поточний ремонт'!AW16</f>
        <v>0</v>
      </c>
      <c r="AX16" s="43">
        <f>'[1]поточний ремонт'!AX16+'[2]поточний ремонт'!AX16-'[3]поточний ремонт'!AX16</f>
        <v>0</v>
      </c>
      <c r="AY16" s="5"/>
      <c r="AZ16" s="43">
        <f t="shared" si="2"/>
        <v>0</v>
      </c>
      <c r="BA16" s="43">
        <f t="shared" si="3"/>
        <v>0</v>
      </c>
      <c r="BB16" s="59">
        <f t="shared" si="4"/>
        <v>0</v>
      </c>
      <c r="BD16" s="2">
        <v>3</v>
      </c>
      <c r="BF16" s="30">
        <v>0</v>
      </c>
      <c r="BG16" s="328">
        <v>150000781</v>
      </c>
      <c r="BI16" s="1043">
        <v>0</v>
      </c>
      <c r="BJ16" s="107">
        <f t="shared" si="5"/>
        <v>0</v>
      </c>
      <c r="BK16" s="107">
        <v>0</v>
      </c>
      <c r="BL16" s="39"/>
      <c r="BM16" s="3"/>
      <c r="BN16" s="3">
        <v>0</v>
      </c>
      <c r="BP16" s="3"/>
      <c r="BQ16" s="3"/>
      <c r="BS16" s="43"/>
      <c r="BT16" s="43">
        <v>0</v>
      </c>
      <c r="BU16" s="1037"/>
      <c r="BV16" s="42"/>
      <c r="BW16" s="43"/>
      <c r="BX16" s="37"/>
      <c r="BY16" s="78"/>
      <c r="BZ16" s="43">
        <v>0</v>
      </c>
      <c r="CA16" s="1038"/>
      <c r="CB16" s="42">
        <v>0</v>
      </c>
      <c r="CC16" s="42">
        <v>0</v>
      </c>
      <c r="CD16" s="1039"/>
      <c r="CE16" s="78">
        <v>0</v>
      </c>
      <c r="CF16" s="56"/>
      <c r="CG16" s="42">
        <v>0</v>
      </c>
      <c r="CH16" s="39">
        <v>0</v>
      </c>
      <c r="CI16" s="78">
        <v>0</v>
      </c>
      <c r="CJ16" s="56"/>
      <c r="CK16" s="1034"/>
      <c r="CL16" s="1029"/>
      <c r="CM16" s="1034"/>
      <c r="CN16" s="1029">
        <v>0</v>
      </c>
      <c r="CO16" s="78">
        <v>0</v>
      </c>
      <c r="CP16" s="43">
        <v>0</v>
      </c>
      <c r="CQ16" s="5"/>
      <c r="CR16" s="78">
        <v>0</v>
      </c>
      <c r="CS16" s="1033">
        <v>0</v>
      </c>
      <c r="CT16" s="5"/>
      <c r="CU16" s="78">
        <v>0</v>
      </c>
      <c r="CV16" s="43">
        <v>0</v>
      </c>
      <c r="CW16" s="5"/>
      <c r="CX16" s="78">
        <v>0</v>
      </c>
      <c r="CY16" s="43">
        <v>0</v>
      </c>
      <c r="CZ16" s="5"/>
      <c r="DA16" s="78">
        <v>0</v>
      </c>
      <c r="DB16" s="43">
        <v>0</v>
      </c>
      <c r="DC16" s="5"/>
      <c r="DD16" s="78">
        <v>0</v>
      </c>
      <c r="DE16" s="43">
        <v>0</v>
      </c>
      <c r="DF16" s="5"/>
      <c r="DG16" s="78">
        <v>0</v>
      </c>
      <c r="DH16" s="43"/>
      <c r="DI16" s="5"/>
      <c r="DJ16" s="43">
        <v>0</v>
      </c>
      <c r="DK16" s="43">
        <f t="shared" si="6"/>
        <v>0</v>
      </c>
      <c r="DL16" s="59">
        <f t="shared" si="7"/>
        <v>0</v>
      </c>
    </row>
    <row r="17" spans="1:116" ht="24.9" customHeight="1" x14ac:dyDescent="0.3">
      <c r="A17" s="328">
        <v>150000497</v>
      </c>
      <c r="B17" s="45" t="s">
        <v>340</v>
      </c>
      <c r="C17" s="1035">
        <v>9</v>
      </c>
      <c r="D17" s="1036" t="s">
        <v>454</v>
      </c>
      <c r="E17" s="1028">
        <f>'побудинковий звіт'!E15</f>
        <v>4163.4000000000005</v>
      </c>
      <c r="F17" s="1029">
        <f>'побудинковий звіт'!AS15</f>
        <v>61354.24266351141</v>
      </c>
      <c r="G17" s="1029">
        <f t="shared" si="0"/>
        <v>113799</v>
      </c>
      <c r="H17" s="1029">
        <f t="shared" si="1"/>
        <v>52444.75733648859</v>
      </c>
      <c r="I17" s="43">
        <f>'[1]поточний ремонт'!I17+'[2]поточний ремонт'!I17-'[3]поточний ремонт'!I17</f>
        <v>0</v>
      </c>
      <c r="J17" s="43">
        <f>'[1]поточний ремонт'!J17+'[2]поточний ремонт'!J17-'[3]поточний ремонт'!J17</f>
        <v>0</v>
      </c>
      <c r="K17" s="1044"/>
      <c r="L17" s="43">
        <f>'[1]поточний ремонт'!L17+'[2]поточний ремонт'!L17-'[3]поточний ремонт'!L17</f>
        <v>0</v>
      </c>
      <c r="M17" s="43">
        <f>'[1]поточний ремонт'!M17+'[2]поточний ремонт'!M17-'[3]поточний ремонт'!M17</f>
        <v>0</v>
      </c>
      <c r="N17" s="37"/>
      <c r="O17" s="43">
        <f>'[1]поточний ремонт'!O17+'[2]поточний ремонт'!O17-'[3]поточний ремонт'!O17</f>
        <v>0</v>
      </c>
      <c r="P17" s="43">
        <f>'[1]поточний ремонт'!P17+'[2]поточний ремонт'!P17-'[3]поточний ремонт'!P17</f>
        <v>0</v>
      </c>
      <c r="Q17" s="1038"/>
      <c r="R17" s="43">
        <f>'[1]поточний ремонт'!R17+'[2]поточний ремонт'!R17-'[3]поточний ремонт'!R17</f>
        <v>1</v>
      </c>
      <c r="S17" s="43">
        <f>'[1]поточний ремонт'!S17+'[2]поточний ремонт'!S17-'[3]поточний ремонт'!S17</f>
        <v>2179</v>
      </c>
      <c r="T17" s="1039"/>
      <c r="U17" s="43">
        <f>'[1]поточний ремонт'!U17+'[2]поточний ремонт'!U17-'[3]поточний ремонт'!U17</f>
        <v>0</v>
      </c>
      <c r="V17" s="43">
        <f>'[1]поточний ремонт'!V17+'[2]поточний ремонт'!V17-'[3]поточний ремонт'!V17</f>
        <v>0</v>
      </c>
      <c r="W17" s="43">
        <f>'[1]поточний ремонт'!W17+'[2]поточний ремонт'!W17-'[3]поточний ремонт'!W17</f>
        <v>14</v>
      </c>
      <c r="X17" s="43">
        <f>'[1]поточний ремонт'!X17+'[2]поточний ремонт'!X17-'[3]поточний ремонт'!X17</f>
        <v>9660</v>
      </c>
      <c r="Y17" s="43">
        <f>'[1]поточний ремонт'!Y17+'[2]поточний ремонт'!Y17-'[3]поточний ремонт'!Y17</f>
        <v>84161</v>
      </c>
      <c r="Z17" s="43">
        <f>'[1]поточний ремонт'!Z17+'[2]поточний ремонт'!Z17-'[3]поточний ремонт'!Z17</f>
        <v>0</v>
      </c>
      <c r="AA17" s="43">
        <f>'[1]поточний ремонт'!AA17+'[2]поточний ремонт'!AA17-'[3]поточний ремонт'!AA17</f>
        <v>0</v>
      </c>
      <c r="AB17" s="43">
        <f>'[1]поточний ремонт'!AB17+'[2]поточний ремонт'!AB17-'[3]поточний ремонт'!AB17</f>
        <v>7564</v>
      </c>
      <c r="AC17" s="43">
        <f>'[1]поточний ремонт'!AC17+'[2]поточний ремонт'!AC17-'[3]поточний ремонт'!AC17</f>
        <v>3725</v>
      </c>
      <c r="AD17" s="43">
        <f>'[1]поточний ремонт'!AD17+'[2]поточний ремонт'!AD17-'[3]поточний ремонт'!AD17</f>
        <v>6510</v>
      </c>
      <c r="AE17" s="43">
        <f>'[1]поточний ремонт'!AE17+'[2]поточний ремонт'!AE17-'[3]поточний ремонт'!AE17</f>
        <v>1138.6768985519086</v>
      </c>
      <c r="AF17" s="43">
        <f>'[1]поточний ремонт'!AF17+'[2]поточний ремонт'!AF17-'[3]поточний ремонт'!AF17</f>
        <v>10570</v>
      </c>
      <c r="AG17" s="5"/>
      <c r="AH17" s="43">
        <f>'[1]поточний ремонт'!AH17+'[2]поточний ремонт'!AH17-'[3]поточний ремонт'!AH17</f>
        <v>1370.8439651512381</v>
      </c>
      <c r="AI17" s="43">
        <f>'[1]поточний ремонт'!AI17+'[2]поточний ремонт'!AI17-'[3]поточний ремонт'!AI17</f>
        <v>2092</v>
      </c>
      <c r="AJ17" s="5"/>
      <c r="AK17" s="43">
        <f>'[1]поточний ремонт'!AK17+'[2]поточний ремонт'!AK17-'[3]поточний ремонт'!AK17</f>
        <v>1348.876858526321</v>
      </c>
      <c r="AL17" s="43">
        <f>'[1]поточний ремонт'!AL17+'[2]поточний ремонт'!AL17-'[3]поточний ремонт'!AL17</f>
        <v>663</v>
      </c>
      <c r="AM17" s="5"/>
      <c r="AN17" s="43">
        <f>'[1]поточний ремонт'!AN17+'[2]поточний ремонт'!AN17-'[3]поточний ремонт'!AN17</f>
        <v>632.59131205310621</v>
      </c>
      <c r="AO17" s="43">
        <f>'[1]поточний ремонт'!AO17+'[2]поточний ремонт'!AO17-'[3]поточний ремонт'!AO17</f>
        <v>1562</v>
      </c>
      <c r="AP17" s="5"/>
      <c r="AQ17" s="43">
        <f>'[1]поточний ремонт'!AQ17+'[2]поточний ремонт'!AQ17-'[3]поточний ремонт'!AQ17</f>
        <v>395.76741189229665</v>
      </c>
      <c r="AR17" s="43">
        <f>'[1]поточний ремонт'!AR17+'[2]поточний ремонт'!AR17-'[3]поточний ремонт'!AR17</f>
        <v>0</v>
      </c>
      <c r="AS17" s="5"/>
      <c r="AT17" s="43">
        <f>'[1]поточний ремонт'!AT17+'[2]поточний ремонт'!AT17-'[3]поточний ремонт'!AT17</f>
        <v>707.09293208318377</v>
      </c>
      <c r="AU17" s="43">
        <f>'[1]поточний ремонт'!AU17+'[2]поточний ремонт'!AU17-'[3]поточний ремонт'!AU17</f>
        <v>8355.4661192619114</v>
      </c>
      <c r="AV17" s="5"/>
      <c r="AW17" s="43">
        <f>'[1]поточний ремонт'!AW17+'[2]поточний ремонт'!AW17-'[3]поточний ремонт'!AW17</f>
        <v>323.17389556343255</v>
      </c>
      <c r="AX17" s="43">
        <f>'[1]поточний ремонт'!AX17+'[2]поточний ремонт'!AX17-'[3]поточний ремонт'!AX17</f>
        <v>5921</v>
      </c>
      <c r="AY17" s="5"/>
      <c r="AZ17" s="43">
        <f t="shared" si="2"/>
        <v>5917.0232738214872</v>
      </c>
      <c r="BA17" s="43">
        <f t="shared" si="3"/>
        <v>29163.46611926191</v>
      </c>
      <c r="BB17" s="59">
        <f t="shared" si="4"/>
        <v>23246.442845440422</v>
      </c>
      <c r="BD17" s="2">
        <v>1</v>
      </c>
      <c r="BF17" s="30">
        <v>227.77449042766989</v>
      </c>
      <c r="BG17" s="328">
        <v>150000497</v>
      </c>
      <c r="BI17" s="107">
        <v>0</v>
      </c>
      <c r="BJ17" s="107">
        <f t="shared" si="5"/>
        <v>0</v>
      </c>
      <c r="BK17" s="107">
        <v>0</v>
      </c>
      <c r="BL17" s="39"/>
      <c r="BM17" s="3">
        <v>3</v>
      </c>
      <c r="BN17" s="3">
        <v>891.33157437400178</v>
      </c>
      <c r="BP17" s="3"/>
      <c r="BQ17" s="3"/>
      <c r="BS17" s="43"/>
      <c r="BT17" s="43">
        <v>0</v>
      </c>
      <c r="BU17" s="1044"/>
      <c r="BV17" s="42"/>
      <c r="BW17" s="43"/>
      <c r="BX17" s="37"/>
      <c r="BY17" s="78"/>
      <c r="BZ17" s="43">
        <v>0</v>
      </c>
      <c r="CA17" s="1038"/>
      <c r="CB17" s="42">
        <v>0</v>
      </c>
      <c r="CC17" s="42">
        <v>0</v>
      </c>
      <c r="CD17" s="1039"/>
      <c r="CE17" s="78">
        <v>0</v>
      </c>
      <c r="CF17" s="56"/>
      <c r="CG17" s="42">
        <v>3</v>
      </c>
      <c r="CH17" s="39">
        <v>891.33157437400178</v>
      </c>
      <c r="CI17" s="78">
        <v>0</v>
      </c>
      <c r="CJ17" s="56"/>
      <c r="CK17" s="1034"/>
      <c r="CL17" s="1029"/>
      <c r="CM17" s="1034">
        <v>236</v>
      </c>
      <c r="CN17" s="1029">
        <v>0</v>
      </c>
      <c r="CO17" s="78">
        <v>94.889741545992408</v>
      </c>
      <c r="CP17" s="43">
        <v>0</v>
      </c>
      <c r="CQ17" s="5"/>
      <c r="CR17" s="78">
        <v>114.23699709593653</v>
      </c>
      <c r="CS17" s="1033">
        <v>0</v>
      </c>
      <c r="CT17" s="5"/>
      <c r="CU17" s="78">
        <v>112.40640487719344</v>
      </c>
      <c r="CV17" s="43">
        <v>0</v>
      </c>
      <c r="CW17" s="5"/>
      <c r="CX17" s="78">
        <v>52.715942671092179</v>
      </c>
      <c r="CY17" s="43">
        <v>911.16074970125203</v>
      </c>
      <c r="CZ17" s="5"/>
      <c r="DA17" s="78">
        <v>32.980617657691397</v>
      </c>
      <c r="DB17" s="43">
        <v>0</v>
      </c>
      <c r="DC17" s="5"/>
      <c r="DD17" s="78">
        <v>58.924411006931976</v>
      </c>
      <c r="DE17" s="43">
        <v>0</v>
      </c>
      <c r="DF17" s="5"/>
      <c r="DG17" s="78">
        <v>26.931157963619381</v>
      </c>
      <c r="DH17" s="43"/>
      <c r="DI17" s="5"/>
      <c r="DJ17" s="43">
        <v>493.08527281845733</v>
      </c>
      <c r="DK17" s="43">
        <f t="shared" si="6"/>
        <v>911.16074970125203</v>
      </c>
      <c r="DL17" s="59">
        <f t="shared" si="7"/>
        <v>418.0754768827947</v>
      </c>
    </row>
    <row r="18" spans="1:116" ht="24.9" customHeight="1" x14ac:dyDescent="0.3">
      <c r="A18" s="328">
        <v>150000495</v>
      </c>
      <c r="B18" s="45" t="s">
        <v>147</v>
      </c>
      <c r="C18" s="1035">
        <v>2</v>
      </c>
      <c r="D18" s="1036" t="s">
        <v>454</v>
      </c>
      <c r="E18" s="1028">
        <f>'побудинковий звіт'!E16</f>
        <v>409.93</v>
      </c>
      <c r="F18" s="1029">
        <f>'побудинковий звіт'!AS16</f>
        <v>5275.4233081419625</v>
      </c>
      <c r="G18" s="1029">
        <f t="shared" si="0"/>
        <v>3325.3007882232137</v>
      </c>
      <c r="H18" s="1029">
        <f t="shared" si="1"/>
        <v>-1950.1225199187488</v>
      </c>
      <c r="I18" s="43">
        <f>'[1]поточний ремонт'!I18+'[2]поточний ремонт'!I18-'[3]поточний ремонт'!I18</f>
        <v>0</v>
      </c>
      <c r="J18" s="43">
        <f>'[1]поточний ремонт'!J18+'[2]поточний ремонт'!J18-'[3]поточний ремонт'!J18</f>
        <v>0</v>
      </c>
      <c r="K18" s="1041"/>
      <c r="L18" s="43">
        <f>'[1]поточний ремонт'!L18+'[2]поточний ремонт'!L18-'[3]поточний ремонт'!L18</f>
        <v>0</v>
      </c>
      <c r="M18" s="43">
        <f>'[1]поточний ремонт'!M18+'[2]поточний ремонт'!M18-'[3]поточний ремонт'!M18</f>
        <v>0</v>
      </c>
      <c r="N18" s="37"/>
      <c r="O18" s="43">
        <f>'[1]поточний ремонт'!O18+'[2]поточний ремонт'!O18-'[3]поточний ремонт'!O18</f>
        <v>0</v>
      </c>
      <c r="P18" s="43">
        <f>'[1]поточний ремонт'!P18+'[2]поточний ремонт'!P18-'[3]поточний ремонт'!P18</f>
        <v>0</v>
      </c>
      <c r="Q18" s="1038"/>
      <c r="R18" s="43">
        <f>'[1]поточний ремонт'!R18+'[2]поточний ремонт'!R18-'[3]поточний ремонт'!R18</f>
        <v>0</v>
      </c>
      <c r="S18" s="43">
        <f>'[1]поточний ремонт'!S18+'[2]поточний ремонт'!S18-'[3]поточний ремонт'!S18</f>
        <v>0</v>
      </c>
      <c r="T18" s="1039"/>
      <c r="U18" s="43">
        <f>'[1]поточний ремонт'!U18+'[2]поточний ремонт'!U18-'[3]поточний ремонт'!U18</f>
        <v>0</v>
      </c>
      <c r="V18" s="43">
        <f>'[1]поточний ремонт'!V18+'[2]поточний ремонт'!V18-'[3]поточний ремонт'!V18</f>
        <v>0</v>
      </c>
      <c r="W18" s="43">
        <f>'[1]поточний ремонт'!W18+'[2]поточний ремонт'!W18-'[3]поточний ремонт'!W18</f>
        <v>0</v>
      </c>
      <c r="X18" s="43">
        <f>'[1]поточний ремонт'!X18+'[2]поточний ремонт'!X18-'[3]поточний ремонт'!X18</f>
        <v>3325.3007882232137</v>
      </c>
      <c r="Y18" s="43">
        <f>'[1]поточний ремонт'!Y18+'[2]поточний ремонт'!Y18-'[3]поточний ремонт'!Y18</f>
        <v>0</v>
      </c>
      <c r="Z18" s="43">
        <f>'[1]поточний ремонт'!Z18+'[2]поточний ремонт'!Z18-'[3]поточний ремонт'!Z18</f>
        <v>0</v>
      </c>
      <c r="AA18" s="43">
        <f>'[1]поточний ремонт'!AA18+'[2]поточний ремонт'!AA18-'[3]поточний ремонт'!AA18</f>
        <v>0</v>
      </c>
      <c r="AB18" s="43">
        <f>'[1]поточний ремонт'!AB18+'[2]поточний ремонт'!AB18-'[3]поточний ремонт'!AB18</f>
        <v>0</v>
      </c>
      <c r="AC18" s="43">
        <f>'[1]поточний ремонт'!AC18+'[2]поточний ремонт'!AC18-'[3]поточний ремонт'!AC18</f>
        <v>0</v>
      </c>
      <c r="AD18" s="43">
        <f>'[1]поточний ремонт'!AD18+'[2]поточний ремонт'!AD18-'[3]поточний ремонт'!AD18</f>
        <v>0</v>
      </c>
      <c r="AE18" s="43">
        <f>'[1]поточний ремонт'!AE18+'[2]поточний ремонт'!AE18-'[3]поточний ремонт'!AE18</f>
        <v>406.17784979833885</v>
      </c>
      <c r="AF18" s="43">
        <f>'[1]поточний ремонт'!AF18+'[2]поточний ремонт'!AF18-'[3]поточний ремонт'!AF18</f>
        <v>0</v>
      </c>
      <c r="AG18" s="5"/>
      <c r="AH18" s="43">
        <f>'[1]поточний ремонт'!AH18+'[2]поточний ремонт'!AH18-'[3]поточний ремонт'!AH18</f>
        <v>548.01401471969587</v>
      </c>
      <c r="AI18" s="43">
        <f>'[1]поточний ремонт'!AI18+'[2]поточний ремонт'!AI18-'[3]поточний ремонт'!AI18</f>
        <v>0</v>
      </c>
      <c r="AJ18" s="5"/>
      <c r="AK18" s="43">
        <f>'[1]поточний ремонт'!AK18+'[2]поточний ремонт'!AK18-'[3]поточний ремонт'!AK18</f>
        <v>189.01238177322887</v>
      </c>
      <c r="AL18" s="43">
        <f>'[1]поточний ремонт'!AL18+'[2]поточний ремонт'!AL18-'[3]поточний ремонт'!AL18</f>
        <v>0</v>
      </c>
      <c r="AM18" s="5"/>
      <c r="AN18" s="43">
        <f>'[1]поточний ремонт'!AN18+'[2]поточний ремонт'!AN18-'[3]поточний ремонт'!AN18</f>
        <v>0</v>
      </c>
      <c r="AO18" s="43">
        <f>'[1]поточний ремонт'!AO18+'[2]поточний ремонт'!AO18-'[3]поточний ремонт'!AO18</f>
        <v>0</v>
      </c>
      <c r="AP18" s="5"/>
      <c r="AQ18" s="43">
        <f>'[1]поточний ремонт'!AQ18+'[2]поточний ремонт'!AQ18-'[3]поточний ремонт'!AQ18</f>
        <v>0</v>
      </c>
      <c r="AR18" s="43">
        <f>'[1]поточний ремонт'!AR18+'[2]поточний ремонт'!AR18-'[3]поточний ремонт'!AR18</f>
        <v>377</v>
      </c>
      <c r="AS18" s="5"/>
      <c r="AT18" s="43">
        <f>'[1]поточний ремонт'!AT18+'[2]поточний ремонт'!AT18-'[3]поточний ремонт'!AT18</f>
        <v>118.62766249183653</v>
      </c>
      <c r="AU18" s="43">
        <f>'[1]поточний ремонт'!AU18+'[2]поточний ремонт'!AU18-'[3]поточний ремонт'!AU18</f>
        <v>0</v>
      </c>
      <c r="AV18" s="5"/>
      <c r="AW18" s="43">
        <f>'[1]поточний ремонт'!AW18+'[2]поточний ремонт'!AW18-'[3]поточний ремонт'!AW18</f>
        <v>167.44238903209089</v>
      </c>
      <c r="AX18" s="43">
        <f>'[1]поточний ремонт'!AX18+'[2]поточний ремонт'!AX18-'[3]поточний ремонт'!AX18</f>
        <v>0</v>
      </c>
      <c r="AY18" s="5"/>
      <c r="AZ18" s="43">
        <f t="shared" si="2"/>
        <v>1429.2742978151909</v>
      </c>
      <c r="BA18" s="43">
        <f t="shared" si="3"/>
        <v>377</v>
      </c>
      <c r="BB18" s="59">
        <f t="shared" si="4"/>
        <v>-1052.2742978151909</v>
      </c>
      <c r="BD18" s="2">
        <v>1</v>
      </c>
      <c r="BF18" s="30">
        <v>19.204108725851547</v>
      </c>
      <c r="BG18" s="328">
        <v>150000495</v>
      </c>
      <c r="BI18" s="107">
        <v>8.3800000000000008</v>
      </c>
      <c r="BJ18" s="107">
        <f t="shared" si="5"/>
        <v>1.178749236</v>
      </c>
      <c r="BK18" s="107">
        <v>9.6645349704800019</v>
      </c>
      <c r="BL18" s="39"/>
      <c r="BM18" s="3"/>
      <c r="BN18" s="3">
        <v>0</v>
      </c>
      <c r="BP18" s="3"/>
      <c r="BQ18" s="3"/>
      <c r="BS18" s="43"/>
      <c r="BT18" s="43">
        <v>0</v>
      </c>
      <c r="BU18" s="1041"/>
      <c r="BV18" s="42"/>
      <c r="BW18" s="43"/>
      <c r="BX18" s="37"/>
      <c r="BY18" s="78"/>
      <c r="BZ18" s="43">
        <v>0</v>
      </c>
      <c r="CA18" s="1038"/>
      <c r="CB18" s="42">
        <v>0</v>
      </c>
      <c r="CC18" s="42">
        <v>0</v>
      </c>
      <c r="CD18" s="1039"/>
      <c r="CE18" s="78">
        <v>0</v>
      </c>
      <c r="CF18" s="56"/>
      <c r="CG18" s="42">
        <v>0</v>
      </c>
      <c r="CH18" s="39">
        <v>9.6645349704800019</v>
      </c>
      <c r="CI18" s="78">
        <v>0</v>
      </c>
      <c r="CJ18" s="56"/>
      <c r="CK18" s="1034"/>
      <c r="CL18" s="1029"/>
      <c r="CM18" s="1034"/>
      <c r="CN18" s="1029">
        <v>0</v>
      </c>
      <c r="CO18" s="78">
        <v>33.848154149861578</v>
      </c>
      <c r="CP18" s="43">
        <v>0</v>
      </c>
      <c r="CQ18" s="5"/>
      <c r="CR18" s="78">
        <v>45.667834559974651</v>
      </c>
      <c r="CS18" s="1033">
        <v>0</v>
      </c>
      <c r="CT18" s="5"/>
      <c r="CU18" s="78">
        <v>15.751031814435738</v>
      </c>
      <c r="CV18" s="43">
        <v>0</v>
      </c>
      <c r="CW18" s="5"/>
      <c r="CX18" s="78">
        <v>0</v>
      </c>
      <c r="CY18" s="43">
        <v>0</v>
      </c>
      <c r="CZ18" s="5"/>
      <c r="DA18" s="78">
        <v>0</v>
      </c>
      <c r="DB18" s="43">
        <v>0</v>
      </c>
      <c r="DC18" s="5"/>
      <c r="DD18" s="78">
        <v>9.8856385409863776</v>
      </c>
      <c r="DE18" s="43">
        <v>0</v>
      </c>
      <c r="DF18" s="5"/>
      <c r="DG18" s="78">
        <v>13.953532419340904</v>
      </c>
      <c r="DH18" s="43"/>
      <c r="DI18" s="5"/>
      <c r="DJ18" s="43">
        <v>119.10619148459924</v>
      </c>
      <c r="DK18" s="43">
        <f t="shared" si="6"/>
        <v>0</v>
      </c>
      <c r="DL18" s="59">
        <f t="shared" si="7"/>
        <v>-119.10619148459924</v>
      </c>
    </row>
    <row r="19" spans="1:116" ht="24.9" customHeight="1" x14ac:dyDescent="0.3">
      <c r="A19" s="328">
        <v>150000496</v>
      </c>
      <c r="B19" s="45" t="s">
        <v>148</v>
      </c>
      <c r="C19" s="1035">
        <v>2</v>
      </c>
      <c r="D19" s="1036" t="s">
        <v>454</v>
      </c>
      <c r="E19" s="1028">
        <f>'побудинковий звіт'!E17</f>
        <v>403.93</v>
      </c>
      <c r="F19" s="1029">
        <f>'побудинковий звіт'!AS17</f>
        <v>5093.9400068961404</v>
      </c>
      <c r="G19" s="1029">
        <f t="shared" si="0"/>
        <v>3281.3007882232137</v>
      </c>
      <c r="H19" s="1029">
        <f t="shared" si="1"/>
        <v>-1812.6392186729267</v>
      </c>
      <c r="I19" s="43">
        <f>'[1]поточний ремонт'!I19+'[2]поточний ремонт'!I19-'[3]поточний ремонт'!I19</f>
        <v>0</v>
      </c>
      <c r="J19" s="43">
        <f>'[1]поточний ремонт'!J19+'[2]поточний ремонт'!J19-'[3]поточний ремонт'!J19</f>
        <v>0</v>
      </c>
      <c r="K19" s="1037"/>
      <c r="L19" s="43">
        <f>'[1]поточний ремонт'!L19+'[2]поточний ремонт'!L19-'[3]поточний ремонт'!L19</f>
        <v>0</v>
      </c>
      <c r="M19" s="43">
        <f>'[1]поточний ремонт'!M19+'[2]поточний ремонт'!M19-'[3]поточний ремонт'!M19</f>
        <v>0</v>
      </c>
      <c r="N19" s="37"/>
      <c r="O19" s="43">
        <f>'[1]поточний ремонт'!O19+'[2]поточний ремонт'!O19-'[3]поточний ремонт'!O19</f>
        <v>0</v>
      </c>
      <c r="P19" s="43">
        <f>'[1]поточний ремонт'!P19+'[2]поточний ремонт'!P19-'[3]поточний ремонт'!P19</f>
        <v>0</v>
      </c>
      <c r="Q19" s="1038"/>
      <c r="R19" s="43">
        <f>'[1]поточний ремонт'!R19+'[2]поточний ремонт'!R19-'[3]поточний ремонт'!R19</f>
        <v>0</v>
      </c>
      <c r="S19" s="43">
        <f>'[1]поточний ремонт'!S19+'[2]поточний ремонт'!S19-'[3]поточний ремонт'!S19</f>
        <v>0</v>
      </c>
      <c r="T19" s="1039"/>
      <c r="U19" s="43">
        <f>'[1]поточний ремонт'!U19+'[2]поточний ремонт'!U19-'[3]поточний ремонт'!U19</f>
        <v>0</v>
      </c>
      <c r="V19" s="43">
        <f>'[1]поточний ремонт'!V19+'[2]поточний ремонт'!V19-'[3]поточний ремонт'!V19</f>
        <v>0</v>
      </c>
      <c r="W19" s="43">
        <f>'[1]поточний ремонт'!W19+'[2]поточний ремонт'!W19-'[3]поточний ремонт'!W19</f>
        <v>0</v>
      </c>
      <c r="X19" s="43">
        <f>'[1]поточний ремонт'!X19+'[2]поточний ремонт'!X19-'[3]поточний ремонт'!X19</f>
        <v>3281.3007882232137</v>
      </c>
      <c r="Y19" s="43">
        <f>'[1]поточний ремонт'!Y19+'[2]поточний ремонт'!Y19-'[3]поточний ремонт'!Y19</f>
        <v>0</v>
      </c>
      <c r="Z19" s="43">
        <f>'[1]поточний ремонт'!Z19+'[2]поточний ремонт'!Z19-'[3]поточний ремонт'!Z19</f>
        <v>0</v>
      </c>
      <c r="AA19" s="43">
        <f>'[1]поточний ремонт'!AA19+'[2]поточний ремонт'!AA19-'[3]поточний ремонт'!AA19</f>
        <v>0</v>
      </c>
      <c r="AB19" s="43">
        <f>'[1]поточний ремонт'!AB19+'[2]поточний ремонт'!AB19-'[3]поточний ремонт'!AB19</f>
        <v>0</v>
      </c>
      <c r="AC19" s="43">
        <f>'[1]поточний ремонт'!AC19+'[2]поточний ремонт'!AC19-'[3]поточний ремонт'!AC19</f>
        <v>0</v>
      </c>
      <c r="AD19" s="43">
        <f>'[1]поточний ремонт'!AD19+'[2]поточний ремонт'!AD19-'[3]поточний ремонт'!AD19</f>
        <v>0</v>
      </c>
      <c r="AE19" s="43">
        <f>'[1]поточний ремонт'!AE19+'[2]поточний ремонт'!AE19-'[3]поточний ремонт'!AE19</f>
        <v>406.17784979833885</v>
      </c>
      <c r="AF19" s="43">
        <f>'[1]поточний ремонт'!AF19+'[2]поточний ремонт'!AF19-'[3]поточний ремонт'!AF19</f>
        <v>0</v>
      </c>
      <c r="AG19" s="5"/>
      <c r="AH19" s="43">
        <f>'[1]поточний ремонт'!AH19+'[2]поточний ремонт'!AH19-'[3]поточний ремонт'!AH19</f>
        <v>548.01401471969587</v>
      </c>
      <c r="AI19" s="43">
        <f>'[1]поточний ремонт'!AI19+'[2]поточний ремонт'!AI19-'[3]поточний ремонт'!AI19</f>
        <v>0</v>
      </c>
      <c r="AJ19" s="5"/>
      <c r="AK19" s="43">
        <f>'[1]поточний ремонт'!AK19+'[2]поточний ремонт'!AK19-'[3]поточний ремонт'!AK19</f>
        <v>183.69665744080805</v>
      </c>
      <c r="AL19" s="43">
        <f>'[1]поточний ремонт'!AL19+'[2]поточний ремонт'!AL19-'[3]поточний ремонт'!AL19</f>
        <v>0</v>
      </c>
      <c r="AM19" s="5"/>
      <c r="AN19" s="43">
        <f>'[1]поточний ремонт'!AN19+'[2]поточний ремонт'!AN19-'[3]поточний ремонт'!AN19</f>
        <v>0</v>
      </c>
      <c r="AO19" s="43">
        <f>'[1]поточний ремонт'!AO19+'[2]поточний ремонт'!AO19-'[3]поточний ремонт'!AO19</f>
        <v>0</v>
      </c>
      <c r="AP19" s="5"/>
      <c r="AQ19" s="43">
        <f>'[1]поточний ремонт'!AQ19+'[2]поточний ремонт'!AQ19-'[3]поточний ремонт'!AQ19</f>
        <v>0</v>
      </c>
      <c r="AR19" s="43">
        <f>'[1]поточний ремонт'!AR19+'[2]поточний ремонт'!AR19-'[3]поточний ремонт'!AR19</f>
        <v>750</v>
      </c>
      <c r="AS19" s="5"/>
      <c r="AT19" s="43">
        <f>'[1]поточний ремонт'!AT19+'[2]поточний ремонт'!AT19-'[3]поточний ремонт'!AT19</f>
        <v>118.62766249183653</v>
      </c>
      <c r="AU19" s="43">
        <f>'[1]поточний ремонт'!AU19+'[2]поточний ремонт'!AU19-'[3]поточний ремонт'!AU19</f>
        <v>0</v>
      </c>
      <c r="AV19" s="5"/>
      <c r="AW19" s="43">
        <f>'[1]поточний ремонт'!AW19+'[2]поточний ремонт'!AW19-'[3]поточний ремонт'!AW19</f>
        <v>163.44184337256877</v>
      </c>
      <c r="AX19" s="43">
        <f>'[1]поточний ремонт'!AX19+'[2]поточний ремонт'!AX19-'[3]поточний ремонт'!AX19</f>
        <v>0</v>
      </c>
      <c r="AY19" s="5"/>
      <c r="AZ19" s="43">
        <f t="shared" si="2"/>
        <v>1419.9580278232479</v>
      </c>
      <c r="BA19" s="43">
        <f t="shared" si="3"/>
        <v>750</v>
      </c>
      <c r="BB19" s="59">
        <f t="shared" si="4"/>
        <v>-669.9580278232479</v>
      </c>
      <c r="BD19" s="2">
        <v>1</v>
      </c>
      <c r="BF19" s="30">
        <v>18.870546713779202</v>
      </c>
      <c r="BG19" s="328">
        <v>150000496</v>
      </c>
      <c r="BI19" s="107">
        <v>8.3800000000000008</v>
      </c>
      <c r="BJ19" s="107">
        <f t="shared" si="5"/>
        <v>1.178749236</v>
      </c>
      <c r="BK19" s="107">
        <v>9.6645349704800019</v>
      </c>
      <c r="BL19" s="39"/>
      <c r="BM19" s="3"/>
      <c r="BN19" s="3">
        <v>0</v>
      </c>
      <c r="BP19" s="3"/>
      <c r="BQ19" s="3"/>
      <c r="BS19" s="43"/>
      <c r="BT19" s="43">
        <v>0</v>
      </c>
      <c r="BU19" s="1037"/>
      <c r="BV19" s="42"/>
      <c r="BW19" s="43"/>
      <c r="BX19" s="37"/>
      <c r="BY19" s="78"/>
      <c r="BZ19" s="43">
        <v>0</v>
      </c>
      <c r="CA19" s="1038"/>
      <c r="CB19" s="42">
        <v>0</v>
      </c>
      <c r="CC19" s="42">
        <v>0</v>
      </c>
      <c r="CD19" s="1039"/>
      <c r="CE19" s="78">
        <v>0</v>
      </c>
      <c r="CF19" s="56"/>
      <c r="CG19" s="42">
        <v>0</v>
      </c>
      <c r="CH19" s="39">
        <v>9.6645349704800019</v>
      </c>
      <c r="CI19" s="78">
        <v>0</v>
      </c>
      <c r="CJ19" s="56"/>
      <c r="CK19" s="1034"/>
      <c r="CL19" s="1029"/>
      <c r="CM19" s="1034"/>
      <c r="CN19" s="1029">
        <v>0</v>
      </c>
      <c r="CO19" s="78">
        <v>33.848154149861578</v>
      </c>
      <c r="CP19" s="43">
        <v>0</v>
      </c>
      <c r="CQ19" s="5"/>
      <c r="CR19" s="78">
        <v>45.667834559974651</v>
      </c>
      <c r="CS19" s="1033">
        <v>0</v>
      </c>
      <c r="CT19" s="5"/>
      <c r="CU19" s="78">
        <v>15.308054786734004</v>
      </c>
      <c r="CV19" s="43">
        <v>0</v>
      </c>
      <c r="CW19" s="5"/>
      <c r="CX19" s="78">
        <v>0</v>
      </c>
      <c r="CY19" s="43">
        <v>0</v>
      </c>
      <c r="CZ19" s="5"/>
      <c r="DA19" s="78">
        <v>0</v>
      </c>
      <c r="DB19" s="43">
        <v>0</v>
      </c>
      <c r="DC19" s="5"/>
      <c r="DD19" s="78">
        <v>9.8856385409863776</v>
      </c>
      <c r="DE19" s="43">
        <v>0</v>
      </c>
      <c r="DF19" s="5"/>
      <c r="DG19" s="78">
        <v>13.62015361438073</v>
      </c>
      <c r="DH19" s="43"/>
      <c r="DI19" s="5"/>
      <c r="DJ19" s="43">
        <v>118.32983565193733</v>
      </c>
      <c r="DK19" s="43">
        <f t="shared" si="6"/>
        <v>0</v>
      </c>
      <c r="DL19" s="59">
        <f t="shared" si="7"/>
        <v>-118.32983565193733</v>
      </c>
    </row>
    <row r="20" spans="1:116" ht="24.9" customHeight="1" x14ac:dyDescent="0.3">
      <c r="A20" s="328">
        <v>150000498</v>
      </c>
      <c r="B20" s="45" t="s">
        <v>241</v>
      </c>
      <c r="C20" s="1035">
        <v>5</v>
      </c>
      <c r="D20" s="1036" t="s">
        <v>454</v>
      </c>
      <c r="E20" s="1028">
        <f>'побудинковий звіт'!E18</f>
        <v>4890.7</v>
      </c>
      <c r="F20" s="1029">
        <f>'побудинковий звіт'!AS18</f>
        <v>44404.637292385327</v>
      </c>
      <c r="G20" s="1029">
        <f t="shared" si="0"/>
        <v>6656.0393301499707</v>
      </c>
      <c r="H20" s="1029">
        <f t="shared" si="1"/>
        <v>-37748.597962235355</v>
      </c>
      <c r="I20" s="43">
        <f>'[1]поточний ремонт'!I20+'[2]поточний ремонт'!I20-'[3]поточний ремонт'!I20</f>
        <v>1</v>
      </c>
      <c r="J20" s="43">
        <f>'[1]поточний ремонт'!J20+'[2]поточний ремонт'!J20-'[3]поточний ремонт'!J20</f>
        <v>359</v>
      </c>
      <c r="K20" s="1041"/>
      <c r="L20" s="43">
        <f>'[1]поточний ремонт'!L20+'[2]поточний ремонт'!L20-'[3]поточний ремонт'!L20</f>
        <v>0</v>
      </c>
      <c r="M20" s="43">
        <f>'[1]поточний ремонт'!M20+'[2]поточний ремонт'!M20-'[3]поточний ремонт'!M20</f>
        <v>0</v>
      </c>
      <c r="N20" s="37"/>
      <c r="O20" s="43">
        <f>'[1]поточний ремонт'!O20+'[2]поточний ремонт'!O20-'[3]поточний ремонт'!O20</f>
        <v>0</v>
      </c>
      <c r="P20" s="43">
        <f>'[1]поточний ремонт'!P20+'[2]поточний ремонт'!P20-'[3]поточний ремонт'!P20</f>
        <v>0</v>
      </c>
      <c r="Q20" s="1038"/>
      <c r="R20" s="43">
        <f>'[1]поточний ремонт'!R20+'[2]поточний ремонт'!R20-'[3]поточний ремонт'!R20</f>
        <v>0</v>
      </c>
      <c r="S20" s="43">
        <f>'[1]поточний ремонт'!S20+'[2]поточний ремонт'!S20-'[3]поточний ремонт'!S20</f>
        <v>0</v>
      </c>
      <c r="T20" s="1039"/>
      <c r="U20" s="43">
        <f>'[1]поточний ремонт'!U20+'[2]поточний ремонт'!U20-'[3]поточний ремонт'!U20</f>
        <v>0</v>
      </c>
      <c r="V20" s="43">
        <f>'[1]поточний ремонт'!V20+'[2]поточний ремонт'!V20-'[3]поточний ремонт'!V20</f>
        <v>0</v>
      </c>
      <c r="W20" s="43">
        <f>'[1]поточний ремонт'!W20+'[2]поточний ремонт'!W20-'[3]поточний ремонт'!W20</f>
        <v>0</v>
      </c>
      <c r="X20" s="43">
        <f>'[1]поточний ремонт'!X20+'[2]поточний ремонт'!X20-'[3]поточний ремонт'!X20</f>
        <v>707.03933014997074</v>
      </c>
      <c r="Y20" s="43">
        <f>'[1]поточний ремонт'!Y20+'[2]поточний ремонт'!Y20-'[3]поточний ремонт'!Y20</f>
        <v>1350</v>
      </c>
      <c r="Z20" s="43">
        <f>'[1]поточний ремонт'!Z20+'[2]поточний ремонт'!Z20-'[3]поточний ремонт'!Z20</f>
        <v>0</v>
      </c>
      <c r="AA20" s="43">
        <f>'[1]поточний ремонт'!AA20+'[2]поточний ремонт'!AA20-'[3]поточний ремонт'!AA20</f>
        <v>0</v>
      </c>
      <c r="AB20" s="43">
        <f>'[1]поточний ремонт'!AB20+'[2]поточний ремонт'!AB20-'[3]поточний ремонт'!AB20</f>
        <v>0</v>
      </c>
      <c r="AC20" s="43">
        <f>'[1]поточний ремонт'!AC20+'[2]поточний ремонт'!AC20-'[3]поточний ремонт'!AC20</f>
        <v>0</v>
      </c>
      <c r="AD20" s="43">
        <f>'[1]поточний ремонт'!AD20+'[2]поточний ремонт'!AD20-'[3]поточний ремонт'!AD20</f>
        <v>4240</v>
      </c>
      <c r="AE20" s="43">
        <f>'[1]поточний ремонт'!AE20+'[2]поточний ремонт'!AE20-'[3]поточний ремонт'!AE20</f>
        <v>2835.3453908674055</v>
      </c>
      <c r="AF20" s="43">
        <f>'[1]поточний ремонт'!AF20+'[2]поточний ремонт'!AF20-'[3]поточний ремонт'!AF20</f>
        <v>556</v>
      </c>
      <c r="AG20" s="1045"/>
      <c r="AH20" s="43">
        <f>'[1]поточний ремонт'!AH20+'[2]поточний ремонт'!AH20-'[3]поточний ремонт'!AH20</f>
        <v>4401.3023463595528</v>
      </c>
      <c r="AI20" s="43">
        <f>'[1]поточний ремонт'!AI20+'[2]поточний ремонт'!AI20-'[3]поточний ремонт'!AI20</f>
        <v>0</v>
      </c>
      <c r="AJ20" s="5"/>
      <c r="AK20" s="43">
        <f>'[1]поточний ремонт'!AK20+'[2]поточний ремонт'!AK20-'[3]поточний ремонт'!AK20</f>
        <v>2648.0499950002359</v>
      </c>
      <c r="AL20" s="43">
        <f>'[1]поточний ремонт'!AL20+'[2]поточний ремонт'!AL20-'[3]поточний ремонт'!AL20</f>
        <v>780</v>
      </c>
      <c r="AM20" s="5"/>
      <c r="AN20" s="43">
        <f>'[1]поточний ремонт'!AN20+'[2]поточний ремонт'!AN20-'[3]поточний ремонт'!AN20</f>
        <v>0</v>
      </c>
      <c r="AO20" s="43">
        <f>'[1]поточний ремонт'!AO20+'[2]поточний ремонт'!AO20-'[3]поточний ремонт'!AO20</f>
        <v>0</v>
      </c>
      <c r="AP20" s="5"/>
      <c r="AQ20" s="43">
        <f>'[1]поточний ремонт'!AQ20+'[2]поточний ремонт'!AQ20-'[3]поточний ремонт'!AQ20</f>
        <v>0</v>
      </c>
      <c r="AR20" s="43">
        <f>'[1]поточний ремонт'!AR20+'[2]поточний ремонт'!AR20-'[3]поточний ремонт'!AR20</f>
        <v>1500</v>
      </c>
      <c r="AS20" s="5"/>
      <c r="AT20" s="43">
        <f>'[1]поточний ремонт'!AT20+'[2]поточний ремонт'!AT20-'[3]поточний ремонт'!AT20</f>
        <v>1987.2495874348169</v>
      </c>
      <c r="AU20" s="43">
        <f>'[1]поточний ремонт'!AU20+'[2]поточний ремонт'!AU20-'[3]поточний ремонт'!AU20</f>
        <v>453</v>
      </c>
      <c r="AV20" s="5"/>
      <c r="AW20" s="43">
        <f>'[1]поточний ремонт'!AW20+'[2]поточний ремонт'!AW20-'[3]поточний ремонт'!AW20</f>
        <v>961.52059537125365</v>
      </c>
      <c r="AX20" s="43">
        <f>'[1]поточний ремонт'!AX20+'[2]поточний ремонт'!AX20-'[3]поточний ремонт'!AX20</f>
        <v>0</v>
      </c>
      <c r="AY20" s="5"/>
      <c r="AZ20" s="43">
        <f t="shared" si="2"/>
        <v>12833.467915033265</v>
      </c>
      <c r="BA20" s="43">
        <f t="shared" si="3"/>
        <v>3289</v>
      </c>
      <c r="BB20" s="59">
        <f t="shared" si="4"/>
        <v>-9544.4679150332649</v>
      </c>
      <c r="BD20" s="2">
        <v>1</v>
      </c>
      <c r="BF20" s="30">
        <v>228.59742821742478</v>
      </c>
      <c r="BG20" s="328">
        <v>150000498</v>
      </c>
      <c r="BI20" s="107">
        <v>52.76</v>
      </c>
      <c r="BJ20" s="107">
        <f t="shared" si="5"/>
        <v>7.4213376719999991</v>
      </c>
      <c r="BK20" s="107">
        <v>60.847358596959999</v>
      </c>
      <c r="BL20" s="39"/>
      <c r="BM20" s="3">
        <v>3</v>
      </c>
      <c r="BN20" s="3">
        <v>246.45645239183523</v>
      </c>
      <c r="BP20" s="3"/>
      <c r="BQ20" s="3"/>
      <c r="BS20" s="43"/>
      <c r="BT20" s="43">
        <v>0</v>
      </c>
      <c r="BU20" s="1041"/>
      <c r="BV20" s="42"/>
      <c r="BW20" s="43"/>
      <c r="BX20" s="37"/>
      <c r="BY20" s="78"/>
      <c r="BZ20" s="43">
        <v>0</v>
      </c>
      <c r="CA20" s="1038"/>
      <c r="CB20" s="42">
        <v>0</v>
      </c>
      <c r="CC20" s="42">
        <v>0</v>
      </c>
      <c r="CD20" s="1039"/>
      <c r="CE20" s="78">
        <v>0</v>
      </c>
      <c r="CF20" s="56"/>
      <c r="CG20" s="42">
        <v>3</v>
      </c>
      <c r="CH20" s="39">
        <v>307.30381098879525</v>
      </c>
      <c r="CI20" s="78">
        <v>0</v>
      </c>
      <c r="CJ20" s="56"/>
      <c r="CK20" s="1034"/>
      <c r="CL20" s="1029"/>
      <c r="CM20" s="1034"/>
      <c r="CN20" s="1029">
        <v>0</v>
      </c>
      <c r="CO20" s="78">
        <v>236.27878257228377</v>
      </c>
      <c r="CP20" s="43">
        <v>0</v>
      </c>
      <c r="CQ20" s="1045"/>
      <c r="CR20" s="78">
        <v>366.77519552996273</v>
      </c>
      <c r="CS20" s="1033">
        <v>0</v>
      </c>
      <c r="CT20" s="5"/>
      <c r="CU20" s="78">
        <v>220.67083291668632</v>
      </c>
      <c r="CV20" s="43">
        <v>0</v>
      </c>
      <c r="CW20" s="5"/>
      <c r="CX20" s="78">
        <v>0</v>
      </c>
      <c r="CY20" s="43">
        <v>0</v>
      </c>
      <c r="CZ20" s="5"/>
      <c r="DA20" s="78">
        <v>0</v>
      </c>
      <c r="DB20" s="43">
        <v>0</v>
      </c>
      <c r="DC20" s="5"/>
      <c r="DD20" s="78">
        <v>165.60413228623474</v>
      </c>
      <c r="DE20" s="43">
        <v>0</v>
      </c>
      <c r="DF20" s="5"/>
      <c r="DG20" s="78">
        <v>80.126716280937799</v>
      </c>
      <c r="DH20" s="43"/>
      <c r="DI20" s="5"/>
      <c r="DJ20" s="43">
        <v>1069.4556595861054</v>
      </c>
      <c r="DK20" s="43">
        <f t="shared" si="6"/>
        <v>0</v>
      </c>
      <c r="DL20" s="59">
        <f t="shared" si="7"/>
        <v>-1069.4556595861054</v>
      </c>
    </row>
    <row r="21" spans="1:116" ht="24.9" customHeight="1" x14ac:dyDescent="0.3">
      <c r="A21" s="328">
        <v>150000969</v>
      </c>
      <c r="B21" s="45" t="s">
        <v>192</v>
      </c>
      <c r="C21" s="1035">
        <v>3</v>
      </c>
      <c r="D21" s="1036" t="s">
        <v>454</v>
      </c>
      <c r="E21" s="1028">
        <f>'побудинковий звіт'!E19</f>
        <v>853.2</v>
      </c>
      <c r="F21" s="1029">
        <f>'побудинковий звіт'!AS19</f>
        <v>9705.774006003523</v>
      </c>
      <c r="G21" s="1029">
        <f t="shared" si="0"/>
        <v>9649</v>
      </c>
      <c r="H21" s="1029">
        <f t="shared" si="1"/>
        <v>-56.774006003523027</v>
      </c>
      <c r="I21" s="43">
        <f>'[1]поточний ремонт'!I21+'[2]поточний ремонт'!I21-'[3]поточний ремонт'!I21</f>
        <v>0</v>
      </c>
      <c r="J21" s="43">
        <f>'[1]поточний ремонт'!J21+'[2]поточний ремонт'!J21-'[3]поточний ремонт'!J21</f>
        <v>0</v>
      </c>
      <c r="K21" s="1037"/>
      <c r="L21" s="43">
        <f>'[1]поточний ремонт'!L21+'[2]поточний ремонт'!L21-'[3]поточний ремонт'!L21</f>
        <v>0</v>
      </c>
      <c r="M21" s="43">
        <f>'[1]поточний ремонт'!M21+'[2]поточний ремонт'!M21-'[3]поточний ремонт'!M21</f>
        <v>0</v>
      </c>
      <c r="N21" s="37"/>
      <c r="O21" s="43">
        <f>'[1]поточний ремонт'!O21+'[2]поточний ремонт'!O21-'[3]поточний ремонт'!O21</f>
        <v>0</v>
      </c>
      <c r="P21" s="43">
        <f>'[1]поточний ремонт'!P21+'[2]поточний ремонт'!P21-'[3]поточний ремонт'!P21</f>
        <v>0</v>
      </c>
      <c r="Q21" s="1038"/>
      <c r="R21" s="43">
        <f>'[1]поточний ремонт'!R21+'[2]поточний ремонт'!R21-'[3]поточний ремонт'!R21</f>
        <v>0</v>
      </c>
      <c r="S21" s="43">
        <f>'[1]поточний ремонт'!S21+'[2]поточний ремонт'!S21-'[3]поточний ремонт'!S21</f>
        <v>0</v>
      </c>
      <c r="T21" s="1039"/>
      <c r="U21" s="43">
        <f>'[1]поточний ремонт'!U21+'[2]поточний ремонт'!U21-'[3]поточний ремонт'!U21</f>
        <v>0</v>
      </c>
      <c r="V21" s="43">
        <f>'[1]поточний ремонт'!V21+'[2]поточний ремонт'!V21-'[3]поточний ремонт'!V21</f>
        <v>0</v>
      </c>
      <c r="W21" s="43">
        <f>'[1]поточний ремонт'!W21+'[2]поточний ремонт'!W21-'[3]поточний ремонт'!W21</f>
        <v>0</v>
      </c>
      <c r="X21" s="43">
        <f>'[1]поточний ремонт'!X21+'[2]поточний ремонт'!X21-'[3]поточний ремонт'!X21</f>
        <v>0</v>
      </c>
      <c r="Y21" s="43">
        <f>'[1]поточний ремонт'!Y21+'[2]поточний ремонт'!Y21-'[3]поточний ремонт'!Y21</f>
        <v>9649</v>
      </c>
      <c r="Z21" s="43">
        <f>'[1]поточний ремонт'!Z21+'[2]поточний ремонт'!Z21-'[3]поточний ремонт'!Z21</f>
        <v>0</v>
      </c>
      <c r="AA21" s="43">
        <f>'[1]поточний ремонт'!AA21+'[2]поточний ремонт'!AA21-'[3]поточний ремонт'!AA21</f>
        <v>0</v>
      </c>
      <c r="AB21" s="43">
        <f>'[1]поточний ремонт'!AB21+'[2]поточний ремонт'!AB21-'[3]поточний ремонт'!AB21</f>
        <v>0</v>
      </c>
      <c r="AC21" s="43">
        <f>'[1]поточний ремонт'!AC21+'[2]поточний ремонт'!AC21-'[3]поточний ремонт'!AC21</f>
        <v>0</v>
      </c>
      <c r="AD21" s="43">
        <f>'[1]поточний ремонт'!AD21+'[2]поточний ремонт'!AD21-'[3]поточний ремонт'!AD21</f>
        <v>0</v>
      </c>
      <c r="AE21" s="43">
        <f>'[1]поточний ремонт'!AE21+'[2]поточний ремонт'!AE21-'[3]поточний ремонт'!AE21</f>
        <v>622.70701360390399</v>
      </c>
      <c r="AF21" s="43">
        <f>'[1]поточний ремонт'!AF21+'[2]поточний ремонт'!AF21-'[3]поточний ремонт'!AF21</f>
        <v>0</v>
      </c>
      <c r="AG21" s="5"/>
      <c r="AH21" s="43">
        <f>'[1]поточний ремонт'!AH21+'[2]поточний ремонт'!AH21-'[3]поточний ремонт'!AH21</f>
        <v>978.03471864550954</v>
      </c>
      <c r="AI21" s="43">
        <f>'[1]поточний ремонт'!AI21+'[2]поточний ремонт'!AI21-'[3]поточний ремонт'!AI21</f>
        <v>0</v>
      </c>
      <c r="AJ21" s="5"/>
      <c r="AK21" s="43">
        <f>'[1]поточний ремонт'!AK21+'[2]поточний ремонт'!AK21-'[3]поточний ремонт'!AK21</f>
        <v>428.57095447096913</v>
      </c>
      <c r="AL21" s="43">
        <f>'[1]поточний ремонт'!AL21+'[2]поточний ремонт'!AL21-'[3]поточний ремонт'!AL21</f>
        <v>3938</v>
      </c>
      <c r="AM21" s="5"/>
      <c r="AN21" s="43">
        <f>'[1]поточний ремонт'!AN21+'[2]поточний ремонт'!AN21-'[3]поточний ремонт'!AN21</f>
        <v>0</v>
      </c>
      <c r="AO21" s="43">
        <f>'[1]поточний ремонт'!AO21+'[2]поточний ремонт'!AO21-'[3]поточний ремонт'!AO21</f>
        <v>0</v>
      </c>
      <c r="AP21" s="5"/>
      <c r="AQ21" s="43">
        <f>'[1]поточний ремонт'!AQ21+'[2]поточний ремонт'!AQ21-'[3]поточний ремонт'!AQ21</f>
        <v>0</v>
      </c>
      <c r="AR21" s="43">
        <f>'[1]поточний ремонт'!AR21+'[2]поточний ремонт'!AR21-'[3]поточний ремонт'!AR21</f>
        <v>0</v>
      </c>
      <c r="AS21" s="5"/>
      <c r="AT21" s="43">
        <f>'[1]поточний ремонт'!AT21+'[2]поточний ремонт'!AT21-'[3]поточний ремонт'!AT21</f>
        <v>237.15890333675827</v>
      </c>
      <c r="AU21" s="43">
        <f>'[1]поточний ремонт'!AU21+'[2]поточний ремонт'!AU21-'[3]поточний ремонт'!AU21</f>
        <v>127</v>
      </c>
      <c r="AV21" s="5"/>
      <c r="AW21" s="43">
        <f>'[1]поточний ремонт'!AW21+'[2]поточний ремонт'!AW21-'[3]поточний ремонт'!AW21</f>
        <v>0</v>
      </c>
      <c r="AX21" s="43">
        <f>'[1]поточний ремонт'!AX21+'[2]поточний ремонт'!AX21-'[3]поточний ремонт'!AX21</f>
        <v>0</v>
      </c>
      <c r="AY21" s="5"/>
      <c r="AZ21" s="43">
        <f t="shared" si="2"/>
        <v>2266.4715900571409</v>
      </c>
      <c r="BA21" s="43">
        <f t="shared" si="3"/>
        <v>4065</v>
      </c>
      <c r="BB21" s="59">
        <f t="shared" si="4"/>
        <v>1798.5284099428591</v>
      </c>
      <c r="BD21" s="2">
        <v>2</v>
      </c>
      <c r="BF21" s="30">
        <v>1.0983414241718283</v>
      </c>
      <c r="BG21" s="328">
        <v>150000969</v>
      </c>
      <c r="BI21" s="107">
        <v>0</v>
      </c>
      <c r="BJ21" s="107">
        <f t="shared" si="5"/>
        <v>0</v>
      </c>
      <c r="BK21" s="107">
        <v>0</v>
      </c>
      <c r="BL21" s="39"/>
      <c r="BM21" s="3"/>
      <c r="BN21" s="3">
        <v>0</v>
      </c>
      <c r="BP21" s="3"/>
      <c r="BQ21" s="3"/>
      <c r="BS21" s="43"/>
      <c r="BT21" s="43">
        <v>0</v>
      </c>
      <c r="BU21" s="1037"/>
      <c r="BV21" s="42"/>
      <c r="BW21" s="43"/>
      <c r="BX21" s="37"/>
      <c r="BY21" s="78"/>
      <c r="BZ21" s="43">
        <v>0</v>
      </c>
      <c r="CA21" s="1038"/>
      <c r="CB21" s="42">
        <v>0</v>
      </c>
      <c r="CC21" s="42">
        <v>0</v>
      </c>
      <c r="CD21" s="1039"/>
      <c r="CE21" s="78">
        <v>0</v>
      </c>
      <c r="CF21" s="56"/>
      <c r="CG21" s="42">
        <v>0</v>
      </c>
      <c r="CH21" s="39">
        <v>0</v>
      </c>
      <c r="CI21" s="78">
        <v>0</v>
      </c>
      <c r="CJ21" s="56"/>
      <c r="CK21" s="1034"/>
      <c r="CL21" s="1029"/>
      <c r="CM21" s="1034"/>
      <c r="CN21" s="1029">
        <v>0</v>
      </c>
      <c r="CO21" s="78">
        <v>51.892251133658675</v>
      </c>
      <c r="CP21" s="43">
        <v>0</v>
      </c>
      <c r="CQ21" s="5"/>
      <c r="CR21" s="78">
        <v>81.502893220459157</v>
      </c>
      <c r="CS21" s="1033">
        <v>0</v>
      </c>
      <c r="CT21" s="5"/>
      <c r="CU21" s="78">
        <v>35.714246205914094</v>
      </c>
      <c r="CV21" s="43">
        <v>0</v>
      </c>
      <c r="CW21" s="5"/>
      <c r="CX21" s="78">
        <v>0</v>
      </c>
      <c r="CY21" s="43">
        <v>0</v>
      </c>
      <c r="CZ21" s="5"/>
      <c r="DA21" s="78">
        <v>0</v>
      </c>
      <c r="DB21" s="43">
        <v>0</v>
      </c>
      <c r="DC21" s="5"/>
      <c r="DD21" s="78">
        <v>19.763241944729856</v>
      </c>
      <c r="DE21" s="43">
        <v>0</v>
      </c>
      <c r="DF21" s="5"/>
      <c r="DG21" s="78">
        <v>0</v>
      </c>
      <c r="DH21" s="43"/>
      <c r="DI21" s="5"/>
      <c r="DJ21" s="43">
        <v>188.87263250476178</v>
      </c>
      <c r="DK21" s="43">
        <f t="shared" si="6"/>
        <v>0</v>
      </c>
      <c r="DL21" s="59">
        <f t="shared" si="7"/>
        <v>-188.87263250476178</v>
      </c>
    </row>
    <row r="22" spans="1:116" ht="24.9" customHeight="1" x14ac:dyDescent="0.3">
      <c r="A22" s="328">
        <v>150000989</v>
      </c>
      <c r="B22" s="45" t="s">
        <v>37</v>
      </c>
      <c r="C22" s="1035">
        <v>1</v>
      </c>
      <c r="D22" s="1036" t="s">
        <v>454</v>
      </c>
      <c r="E22" s="1028">
        <f>'побудинковий звіт'!E20</f>
        <v>422.90000000000003</v>
      </c>
      <c r="F22" s="1029">
        <f>'побудинковий звіт'!AS20</f>
        <v>2786.0722045278262</v>
      </c>
      <c r="G22" s="1029">
        <f t="shared" si="0"/>
        <v>705</v>
      </c>
      <c r="H22" s="1029">
        <f t="shared" si="1"/>
        <v>-2081.0722045278262</v>
      </c>
      <c r="I22" s="43">
        <f>'[1]поточний ремонт'!I22+'[2]поточний ремонт'!I22-'[3]поточний ремонт'!I22</f>
        <v>0</v>
      </c>
      <c r="J22" s="43">
        <f>'[1]поточний ремонт'!J22+'[2]поточний ремонт'!J22-'[3]поточний ремонт'!J22</f>
        <v>0</v>
      </c>
      <c r="K22" s="1037"/>
      <c r="L22" s="43">
        <f>'[1]поточний ремонт'!L22+'[2]поточний ремонт'!L22-'[3]поточний ремонт'!L22</f>
        <v>0</v>
      </c>
      <c r="M22" s="43">
        <f>'[1]поточний ремонт'!M22+'[2]поточний ремонт'!M22-'[3]поточний ремонт'!M22</f>
        <v>0</v>
      </c>
      <c r="N22" s="37"/>
      <c r="O22" s="43">
        <f>'[1]поточний ремонт'!O22+'[2]поточний ремонт'!O22-'[3]поточний ремонт'!O22</f>
        <v>0</v>
      </c>
      <c r="P22" s="43">
        <f>'[1]поточний ремонт'!P22+'[2]поточний ремонт'!P22-'[3]поточний ремонт'!P22</f>
        <v>0</v>
      </c>
      <c r="Q22" s="1038"/>
      <c r="R22" s="43">
        <f>'[1]поточний ремонт'!R22+'[2]поточний ремонт'!R22-'[3]поточний ремонт'!R22</f>
        <v>0</v>
      </c>
      <c r="S22" s="43">
        <f>'[1]поточний ремонт'!S22+'[2]поточний ремонт'!S22-'[3]поточний ремонт'!S22</f>
        <v>0</v>
      </c>
      <c r="T22" s="1039"/>
      <c r="U22" s="43">
        <f>'[1]поточний ремонт'!U22+'[2]поточний ремонт'!U22-'[3]поточний ремонт'!U22</f>
        <v>0</v>
      </c>
      <c r="V22" s="43">
        <f>'[1]поточний ремонт'!V22+'[2]поточний ремонт'!V22-'[3]поточний ремонт'!V22</f>
        <v>0</v>
      </c>
      <c r="W22" s="43">
        <f>'[1]поточний ремонт'!W22+'[2]поточний ремонт'!W22-'[3]поточний ремонт'!W22</f>
        <v>0</v>
      </c>
      <c r="X22" s="43">
        <f>'[1]поточний ремонт'!X22+'[2]поточний ремонт'!X22-'[3]поточний ремонт'!X22</f>
        <v>0</v>
      </c>
      <c r="Y22" s="43">
        <f>'[1]поточний ремонт'!Y22+'[2]поточний ремонт'!Y22-'[3]поточний ремонт'!Y22</f>
        <v>0</v>
      </c>
      <c r="Z22" s="43">
        <f>'[1]поточний ремонт'!Z22+'[2]поточний ремонт'!Z22-'[3]поточний ремонт'!Z22</f>
        <v>0</v>
      </c>
      <c r="AA22" s="43">
        <f>'[1]поточний ремонт'!AA22+'[2]поточний ремонт'!AA22-'[3]поточний ремонт'!AA22</f>
        <v>0</v>
      </c>
      <c r="AB22" s="43">
        <f>'[1]поточний ремонт'!AB22+'[2]поточний ремонт'!AB22-'[3]поточний ремонт'!AB22</f>
        <v>0</v>
      </c>
      <c r="AC22" s="43">
        <f>'[1]поточний ремонт'!AC22+'[2]поточний ремонт'!AC22-'[3]поточний ремонт'!AC22</f>
        <v>0</v>
      </c>
      <c r="AD22" s="43">
        <f>'[1]поточний ремонт'!AD22+'[2]поточний ремонт'!AD22-'[3]поточний ремонт'!AD22</f>
        <v>705</v>
      </c>
      <c r="AE22" s="43">
        <f>'[1]поточний ремонт'!AE22+'[2]поточний ремонт'!AE22-'[3]поточний ремонт'!AE22</f>
        <v>0</v>
      </c>
      <c r="AF22" s="43">
        <f>'[1]поточний ремонт'!AF22+'[2]поточний ремонт'!AF22-'[3]поточний ремонт'!AF22</f>
        <v>0</v>
      </c>
      <c r="AG22" s="5"/>
      <c r="AH22" s="43">
        <f>'[1]поточний ремонт'!AH22+'[2]поточний ремонт'!AH22-'[3]поточний ремонт'!AH22</f>
        <v>0</v>
      </c>
      <c r="AI22" s="43">
        <f>'[1]поточний ремонт'!AI22+'[2]поточний ремонт'!AI22-'[3]поточний ремонт'!AI22</f>
        <v>0</v>
      </c>
      <c r="AJ22" s="5"/>
      <c r="AK22" s="43">
        <f>'[1]поточний ремонт'!AK22+'[2]поточний ремонт'!AK22-'[3]поточний ремонт'!AK22</f>
        <v>0</v>
      </c>
      <c r="AL22" s="43">
        <f>'[1]поточний ремонт'!AL22+'[2]поточний ремонт'!AL22-'[3]поточний ремонт'!AL22</f>
        <v>0</v>
      </c>
      <c r="AM22" s="5"/>
      <c r="AN22" s="43">
        <f>'[1]поточний ремонт'!AN22+'[2]поточний ремонт'!AN22-'[3]поточний ремонт'!AN22</f>
        <v>0</v>
      </c>
      <c r="AO22" s="43">
        <f>'[1]поточний ремонт'!AO22+'[2]поточний ремонт'!AO22-'[3]поточний ремонт'!AO22</f>
        <v>0</v>
      </c>
      <c r="AP22" s="5"/>
      <c r="AQ22" s="43">
        <f>'[1]поточний ремонт'!AQ22+'[2]поточний ремонт'!AQ22-'[3]поточний ремонт'!AQ22</f>
        <v>0</v>
      </c>
      <c r="AR22" s="43">
        <f>'[1]поточний ремонт'!AR22+'[2]поточний ремонт'!AR22-'[3]поточний ремонт'!AR22</f>
        <v>0</v>
      </c>
      <c r="AS22" s="5"/>
      <c r="AT22" s="43">
        <f>'[1]поточний ремонт'!AT22+'[2]поточний ремонт'!AT22-'[3]поточний ремонт'!AT22</f>
        <v>0</v>
      </c>
      <c r="AU22" s="43">
        <f>'[1]поточний ремонт'!AU22+'[2]поточний ремонт'!AU22-'[3]поточний ремонт'!AU22</f>
        <v>0</v>
      </c>
      <c r="AV22" s="5"/>
      <c r="AW22" s="43">
        <f>'[1]поточний ремонт'!AW22+'[2]поточний ремонт'!AW22-'[3]поточний ремонт'!AW22</f>
        <v>0</v>
      </c>
      <c r="AX22" s="43">
        <f>'[1]поточний ремонт'!AX22+'[2]поточний ремонт'!AX22-'[3]поточний ремонт'!AX22</f>
        <v>0</v>
      </c>
      <c r="AY22" s="5"/>
      <c r="AZ22" s="43">
        <f t="shared" si="2"/>
        <v>0</v>
      </c>
      <c r="BA22" s="43">
        <f t="shared" si="3"/>
        <v>0</v>
      </c>
      <c r="BB22" s="59">
        <f t="shared" si="4"/>
        <v>0</v>
      </c>
      <c r="BD22" s="2">
        <v>3</v>
      </c>
      <c r="BF22" s="30">
        <v>0</v>
      </c>
      <c r="BG22" s="328">
        <v>150000989</v>
      </c>
      <c r="BI22" s="107">
        <v>0</v>
      </c>
      <c r="BJ22" s="107">
        <f t="shared" si="5"/>
        <v>0</v>
      </c>
      <c r="BK22" s="107">
        <v>0</v>
      </c>
      <c r="BL22" s="39"/>
      <c r="BM22" s="3"/>
      <c r="BN22" s="3">
        <v>0</v>
      </c>
      <c r="BP22" s="3"/>
      <c r="BQ22" s="3"/>
      <c r="BS22" s="43"/>
      <c r="BT22" s="43">
        <v>0</v>
      </c>
      <c r="BU22" s="1037"/>
      <c r="BV22" s="42"/>
      <c r="BW22" s="43"/>
      <c r="BX22" s="37"/>
      <c r="BY22" s="78"/>
      <c r="BZ22" s="43">
        <v>0</v>
      </c>
      <c r="CA22" s="1038"/>
      <c r="CB22" s="42">
        <v>0</v>
      </c>
      <c r="CC22" s="42">
        <v>0</v>
      </c>
      <c r="CD22" s="1039"/>
      <c r="CE22" s="78">
        <v>0</v>
      </c>
      <c r="CF22" s="56"/>
      <c r="CG22" s="42">
        <v>0</v>
      </c>
      <c r="CH22" s="39">
        <v>0</v>
      </c>
      <c r="CI22" s="78">
        <v>0</v>
      </c>
      <c r="CJ22" s="56"/>
      <c r="CK22" s="1034"/>
      <c r="CL22" s="1029"/>
      <c r="CM22" s="1034"/>
      <c r="CN22" s="1029">
        <v>0</v>
      </c>
      <c r="CO22" s="78">
        <v>0</v>
      </c>
      <c r="CP22" s="43">
        <v>0</v>
      </c>
      <c r="CQ22" s="5"/>
      <c r="CR22" s="78">
        <v>0</v>
      </c>
      <c r="CS22" s="1033">
        <v>0</v>
      </c>
      <c r="CT22" s="5"/>
      <c r="CU22" s="78">
        <v>0</v>
      </c>
      <c r="CV22" s="43">
        <v>0</v>
      </c>
      <c r="CW22" s="5"/>
      <c r="CX22" s="78">
        <v>0</v>
      </c>
      <c r="CY22" s="43">
        <v>0</v>
      </c>
      <c r="CZ22" s="5"/>
      <c r="DA22" s="78">
        <v>0</v>
      </c>
      <c r="DB22" s="43">
        <v>0</v>
      </c>
      <c r="DC22" s="5"/>
      <c r="DD22" s="78">
        <v>0</v>
      </c>
      <c r="DE22" s="43">
        <v>0</v>
      </c>
      <c r="DF22" s="5"/>
      <c r="DG22" s="78">
        <v>0</v>
      </c>
      <c r="DH22" s="43"/>
      <c r="DI22" s="5"/>
      <c r="DJ22" s="43">
        <v>0</v>
      </c>
      <c r="DK22" s="43">
        <f t="shared" si="6"/>
        <v>0</v>
      </c>
      <c r="DL22" s="59">
        <f t="shared" si="7"/>
        <v>0</v>
      </c>
    </row>
    <row r="23" spans="1:116" ht="24.9" customHeight="1" x14ac:dyDescent="0.3">
      <c r="A23" s="328">
        <v>150000970</v>
      </c>
      <c r="B23" s="45" t="s">
        <v>242</v>
      </c>
      <c r="C23" s="1035">
        <v>5</v>
      </c>
      <c r="D23" s="1036" t="s">
        <v>454</v>
      </c>
      <c r="E23" s="1028">
        <f>'побудинковий звіт'!E21</f>
        <v>2321.5</v>
      </c>
      <c r="F23" s="1029">
        <f>'побудинковий звіт'!AS21</f>
        <v>31307.075740986947</v>
      </c>
      <c r="G23" s="1029">
        <f t="shared" si="0"/>
        <v>1175</v>
      </c>
      <c r="H23" s="1029">
        <f t="shared" si="1"/>
        <v>-30132.075740986947</v>
      </c>
      <c r="I23" s="43">
        <f>'[1]поточний ремонт'!I23+'[2]поточний ремонт'!I23-'[3]поточний ремонт'!I23</f>
        <v>0</v>
      </c>
      <c r="J23" s="43">
        <f>'[1]поточний ремонт'!J23+'[2]поточний ремонт'!J23-'[3]поточний ремонт'!J23</f>
        <v>0</v>
      </c>
      <c r="K23" s="1037"/>
      <c r="L23" s="43">
        <f>'[1]поточний ремонт'!L23+'[2]поточний ремонт'!L23-'[3]поточний ремонт'!L23</f>
        <v>0</v>
      </c>
      <c r="M23" s="43">
        <f>'[1]поточний ремонт'!M23+'[2]поточний ремонт'!M23-'[3]поточний ремонт'!M23</f>
        <v>0</v>
      </c>
      <c r="N23" s="37"/>
      <c r="O23" s="43">
        <f>'[1]поточний ремонт'!O23+'[2]поточний ремонт'!O23-'[3]поточний ремонт'!O23</f>
        <v>0</v>
      </c>
      <c r="P23" s="43">
        <f>'[1]поточний ремонт'!P23+'[2]поточний ремонт'!P23-'[3]поточний ремонт'!P23</f>
        <v>0</v>
      </c>
      <c r="Q23" s="1038"/>
      <c r="R23" s="43">
        <f>'[1]поточний ремонт'!R23+'[2]поточний ремонт'!R23-'[3]поточний ремонт'!R23</f>
        <v>0</v>
      </c>
      <c r="S23" s="43">
        <f>'[1]поточний ремонт'!S23+'[2]поточний ремонт'!S23-'[3]поточний ремонт'!S23</f>
        <v>0</v>
      </c>
      <c r="T23" s="1039"/>
      <c r="U23" s="43">
        <f>'[1]поточний ремонт'!U23+'[2]поточний ремонт'!U23-'[3]поточний ремонт'!U23</f>
        <v>0</v>
      </c>
      <c r="V23" s="43">
        <f>'[1]поточний ремонт'!V23+'[2]поточний ремонт'!V23-'[3]поточний ремонт'!V23</f>
        <v>0</v>
      </c>
      <c r="W23" s="43">
        <f>'[1]поточний ремонт'!W23+'[2]поточний ремонт'!W23-'[3]поточний ремонт'!W23</f>
        <v>0</v>
      </c>
      <c r="X23" s="43">
        <f>'[1]поточний ремонт'!X23+'[2]поточний ремонт'!X23-'[3]поточний ремонт'!X23</f>
        <v>0</v>
      </c>
      <c r="Y23" s="43">
        <f>'[1]поточний ремонт'!Y23+'[2]поточний ремонт'!Y23-'[3]поточний ремонт'!Y23</f>
        <v>0</v>
      </c>
      <c r="Z23" s="43">
        <f>'[1]поточний ремонт'!Z23+'[2]поточний ремонт'!Z23-'[3]поточний ремонт'!Z23</f>
        <v>0</v>
      </c>
      <c r="AA23" s="43">
        <f>'[1]поточний ремонт'!AA23+'[2]поточний ремонт'!AA23-'[3]поточний ремонт'!AA23</f>
        <v>0</v>
      </c>
      <c r="AB23" s="43">
        <f>'[1]поточний ремонт'!AB23+'[2]поточний ремонт'!AB23-'[3]поточний ремонт'!AB23</f>
        <v>0</v>
      </c>
      <c r="AC23" s="43">
        <f>'[1]поточний ремонт'!AC23+'[2]поточний ремонт'!AC23-'[3]поточний ремонт'!AC23</f>
        <v>358</v>
      </c>
      <c r="AD23" s="43">
        <f>'[1]поточний ремонт'!AD23+'[2]поточний ремонт'!AD23-'[3]поточний ремонт'!AD23</f>
        <v>817</v>
      </c>
      <c r="AE23" s="43">
        <f>'[1]поточний ремонт'!AE23+'[2]поточний ремонт'!AE23-'[3]поточний ремонт'!AE23</f>
        <v>1410.4226414909742</v>
      </c>
      <c r="AF23" s="43">
        <f>'[1]поточний ремонт'!AF23+'[2]поточний ремонт'!AF23-'[3]поточний ремонт'!AF23</f>
        <v>0</v>
      </c>
      <c r="AG23" s="5"/>
      <c r="AH23" s="43">
        <f>'[1]поточний ремонт'!AH23+'[2]поточний ремонт'!AH23-'[3]поточний ремонт'!AH23</f>
        <v>2187.9777929463976</v>
      </c>
      <c r="AI23" s="43">
        <f>'[1]поточний ремонт'!AI23+'[2]поточний ремонт'!AI23-'[3]поточний ремонт'!AI23</f>
        <v>0</v>
      </c>
      <c r="AJ23" s="5"/>
      <c r="AK23" s="43">
        <f>'[1]поточний ремонт'!AK23+'[2]поточний ремонт'!AK23-'[3]поточний ремонт'!AK23</f>
        <v>2012.4976716116134</v>
      </c>
      <c r="AL23" s="43">
        <f>'[1]поточний ремонт'!AL23+'[2]поточний ремонт'!AL23-'[3]поточний ремонт'!AL23</f>
        <v>0</v>
      </c>
      <c r="AM23" s="5"/>
      <c r="AN23" s="43">
        <f>'[1]поточний ремонт'!AN23+'[2]поточний ремонт'!AN23-'[3]поточний ремонт'!AN23</f>
        <v>0</v>
      </c>
      <c r="AO23" s="43">
        <f>'[1]поточний ремонт'!AO23+'[2]поточний ремонт'!AO23-'[3]поточний ремонт'!AO23</f>
        <v>0</v>
      </c>
      <c r="AP23" s="5"/>
      <c r="AQ23" s="43">
        <f>'[1]поточний ремонт'!AQ23+'[2]поточний ремонт'!AQ23-'[3]поточний ремонт'!AQ23</f>
        <v>0</v>
      </c>
      <c r="AR23" s="43">
        <f>'[1]поточний ремонт'!AR23+'[2]поточний ремонт'!AR23-'[3]поточний ремонт'!AR23</f>
        <v>1088</v>
      </c>
      <c r="AS23" s="5"/>
      <c r="AT23" s="43">
        <f>'[1]поточний ремонт'!AT23+'[2]поточний ремонт'!AT23-'[3]поточний ремонт'!AT23</f>
        <v>681.63919774673582</v>
      </c>
      <c r="AU23" s="43">
        <f>'[1]поточний ремонт'!AU23+'[2]поточний ремонт'!AU23-'[3]поточний ремонт'!AU23</f>
        <v>130</v>
      </c>
      <c r="AV23" s="5"/>
      <c r="AW23" s="43">
        <f>'[1]поточний ремонт'!AW23+'[2]поточний ремонт'!AW23-'[3]поточний ремонт'!AW23</f>
        <v>0</v>
      </c>
      <c r="AX23" s="43">
        <f>'[1]поточний ремонт'!AX23+'[2]поточний ремонт'!AX23-'[3]поточний ремонт'!AX23</f>
        <v>0</v>
      </c>
      <c r="AY23" s="5"/>
      <c r="AZ23" s="43">
        <f t="shared" si="2"/>
        <v>6292.5373037957206</v>
      </c>
      <c r="BA23" s="43">
        <f t="shared" si="3"/>
        <v>1218</v>
      </c>
      <c r="BB23" s="59">
        <f t="shared" si="4"/>
        <v>-5074.5373037957206</v>
      </c>
      <c r="BD23" s="2">
        <v>2</v>
      </c>
      <c r="BF23" s="30">
        <v>4.3044175680542489</v>
      </c>
      <c r="BG23" s="328">
        <v>150000970</v>
      </c>
      <c r="BI23" s="107">
        <v>0</v>
      </c>
      <c r="BJ23" s="107">
        <f t="shared" si="5"/>
        <v>0</v>
      </c>
      <c r="BK23" s="107">
        <v>0</v>
      </c>
      <c r="BL23" s="39"/>
      <c r="BM23" s="3"/>
      <c r="BN23" s="3">
        <v>0</v>
      </c>
      <c r="BP23" s="3"/>
      <c r="BQ23" s="3"/>
      <c r="BS23" s="43"/>
      <c r="BT23" s="43">
        <v>0</v>
      </c>
      <c r="BU23" s="1037"/>
      <c r="BV23" s="42"/>
      <c r="BW23" s="43"/>
      <c r="BX23" s="37"/>
      <c r="BY23" s="78"/>
      <c r="BZ23" s="43">
        <v>0</v>
      </c>
      <c r="CA23" s="1038"/>
      <c r="CB23" s="42">
        <v>0</v>
      </c>
      <c r="CC23" s="42">
        <v>0</v>
      </c>
      <c r="CD23" s="1039"/>
      <c r="CE23" s="78">
        <v>0</v>
      </c>
      <c r="CF23" s="56"/>
      <c r="CG23" s="42">
        <v>0</v>
      </c>
      <c r="CH23" s="39">
        <v>0</v>
      </c>
      <c r="CI23" s="78">
        <v>0</v>
      </c>
      <c r="CJ23" s="56"/>
      <c r="CK23" s="1034"/>
      <c r="CL23" s="1029"/>
      <c r="CM23" s="1034"/>
      <c r="CN23" s="1029">
        <v>0</v>
      </c>
      <c r="CO23" s="78">
        <v>117.53522012424784</v>
      </c>
      <c r="CP23" s="43">
        <v>0</v>
      </c>
      <c r="CQ23" s="5"/>
      <c r="CR23" s="78">
        <v>182.33148274553318</v>
      </c>
      <c r="CS23" s="1033">
        <v>0</v>
      </c>
      <c r="CT23" s="5"/>
      <c r="CU23" s="78">
        <v>167.70813930096779</v>
      </c>
      <c r="CV23" s="43">
        <v>0</v>
      </c>
      <c r="CW23" s="5"/>
      <c r="CX23" s="78">
        <v>0</v>
      </c>
      <c r="CY23" s="43">
        <v>0</v>
      </c>
      <c r="CZ23" s="5"/>
      <c r="DA23" s="78">
        <v>0</v>
      </c>
      <c r="DB23" s="43">
        <v>0</v>
      </c>
      <c r="DC23" s="5"/>
      <c r="DD23" s="78">
        <v>56.803266478894642</v>
      </c>
      <c r="DE23" s="43">
        <v>0</v>
      </c>
      <c r="DF23" s="5"/>
      <c r="DG23" s="78">
        <v>0</v>
      </c>
      <c r="DH23" s="43"/>
      <c r="DI23" s="5"/>
      <c r="DJ23" s="43">
        <v>524.37810864964342</v>
      </c>
      <c r="DK23" s="43">
        <f t="shared" si="6"/>
        <v>0</v>
      </c>
      <c r="DL23" s="59">
        <f t="shared" si="7"/>
        <v>-524.37810864964342</v>
      </c>
    </row>
    <row r="24" spans="1:116" ht="24.9" customHeight="1" x14ac:dyDescent="0.3">
      <c r="A24" s="328">
        <v>150000971</v>
      </c>
      <c r="B24" s="45" t="s">
        <v>193</v>
      </c>
      <c r="C24" s="1035">
        <v>3</v>
      </c>
      <c r="D24" s="1036" t="s">
        <v>454</v>
      </c>
      <c r="E24" s="1028">
        <f>'побудинковий звіт'!E22</f>
        <v>3171.81</v>
      </c>
      <c r="F24" s="1029">
        <f>'побудинковий звіт'!AS22</f>
        <v>22248.50193394117</v>
      </c>
      <c r="G24" s="1029">
        <f t="shared" si="0"/>
        <v>44572</v>
      </c>
      <c r="H24" s="1029">
        <f t="shared" si="1"/>
        <v>22323.49806605883</v>
      </c>
      <c r="I24" s="43">
        <f>'[1]поточний ремонт'!I24+'[2]поточний ремонт'!I24-'[3]поточний ремонт'!I24</f>
        <v>18</v>
      </c>
      <c r="J24" s="43">
        <f>'[1]поточний ремонт'!J24+'[2]поточний ремонт'!J24-'[3]поточний ремонт'!J24</f>
        <v>23192</v>
      </c>
      <c r="K24" s="1037"/>
      <c r="L24" s="43">
        <f>'[1]поточний ремонт'!L24+'[2]поточний ремонт'!L24-'[3]поточний ремонт'!L24</f>
        <v>0</v>
      </c>
      <c r="M24" s="43">
        <f>'[1]поточний ремонт'!M24+'[2]поточний ремонт'!M24-'[3]поточний ремонт'!M24</f>
        <v>0</v>
      </c>
      <c r="N24" s="37"/>
      <c r="O24" s="43">
        <f>'[1]поточний ремонт'!O24+'[2]поточний ремонт'!O24-'[3]поточний ремонт'!O24</f>
        <v>0</v>
      </c>
      <c r="P24" s="43">
        <f>'[1]поточний ремонт'!P24+'[2]поточний ремонт'!P24-'[3]поточний ремонт'!P24</f>
        <v>0</v>
      </c>
      <c r="Q24" s="1038"/>
      <c r="R24" s="43">
        <f>'[1]поточний ремонт'!R24+'[2]поточний ремонт'!R24-'[3]поточний ремонт'!R24</f>
        <v>0</v>
      </c>
      <c r="S24" s="43">
        <f>'[1]поточний ремонт'!S24+'[2]поточний ремонт'!S24-'[3]поточний ремонт'!S24</f>
        <v>0</v>
      </c>
      <c r="T24" s="1039"/>
      <c r="U24" s="43">
        <f>'[1]поточний ремонт'!U24+'[2]поточний ремонт'!U24-'[3]поточний ремонт'!U24</f>
        <v>0</v>
      </c>
      <c r="V24" s="43">
        <f>'[1]поточний ремонт'!V24+'[2]поточний ремонт'!V24-'[3]поточний ремонт'!V24</f>
        <v>0</v>
      </c>
      <c r="W24" s="43">
        <f>'[1]поточний ремонт'!W24+'[2]поточний ремонт'!W24-'[3]поточний ремонт'!W24</f>
        <v>0</v>
      </c>
      <c r="X24" s="43">
        <f>'[1]поточний ремонт'!X24+'[2]поточний ремонт'!X24-'[3]поточний ремонт'!X24</f>
        <v>0</v>
      </c>
      <c r="Y24" s="43">
        <f>'[1]поточний ремонт'!Y24+'[2]поточний ремонт'!Y24-'[3]поточний ремонт'!Y24</f>
        <v>4332</v>
      </c>
      <c r="Z24" s="43">
        <f>'[1]поточний ремонт'!Z24+'[2]поточний ремонт'!Z24-'[3]поточний ремонт'!Z24</f>
        <v>0</v>
      </c>
      <c r="AA24" s="43">
        <f>'[1]поточний ремонт'!AA24+'[2]поточний ремонт'!AA24-'[3]поточний ремонт'!AA24</f>
        <v>0</v>
      </c>
      <c r="AB24" s="43">
        <f>'[1]поточний ремонт'!AB24+'[2]поточний ремонт'!AB24-'[3]поточний ремонт'!AB24</f>
        <v>0</v>
      </c>
      <c r="AC24" s="43">
        <f>'[1]поточний ремонт'!AC24+'[2]поточний ремонт'!AC24-'[3]поточний ремонт'!AC24</f>
        <v>17048</v>
      </c>
      <c r="AD24" s="43">
        <f>'[1]поточний ремонт'!AD24+'[2]поточний ремонт'!AD24-'[3]поточний ремонт'!AD24</f>
        <v>0</v>
      </c>
      <c r="AE24" s="43">
        <f>'[1]поточний ремонт'!AE24+'[2]поточний ремонт'!AE24-'[3]поточний ремонт'!AE24</f>
        <v>986.5383280712781</v>
      </c>
      <c r="AF24" s="43">
        <f>'[1]поточний ремонт'!AF24+'[2]поточний ремонт'!AF24-'[3]поточний ремонт'!AF24</f>
        <v>0</v>
      </c>
      <c r="AG24" s="5"/>
      <c r="AH24" s="43">
        <f>'[1]поточний ремонт'!AH24+'[2]поточний ремонт'!AH24-'[3]поточний ремонт'!AH24</f>
        <v>1524.4756759165948</v>
      </c>
      <c r="AI24" s="43">
        <f>'[1]поточний ремонт'!AI24+'[2]поточний ремонт'!AI24-'[3]поточний ремонт'!AI24</f>
        <v>1750</v>
      </c>
      <c r="AJ24" s="5"/>
      <c r="AK24" s="43">
        <f>'[1]поточний ремонт'!AK24+'[2]поточний ремонт'!AK24-'[3]поточний ремонт'!AK24</f>
        <v>895.34576072880895</v>
      </c>
      <c r="AL24" s="43">
        <f>'[1]поточний ремонт'!AL24+'[2]поточний ремонт'!AL24-'[3]поточний ремонт'!AL24</f>
        <v>0</v>
      </c>
      <c r="AM24" s="5"/>
      <c r="AN24" s="43">
        <f>'[1]поточний ремонт'!AN24+'[2]поточний ремонт'!AN24-'[3]поточний ремонт'!AN24</f>
        <v>0</v>
      </c>
      <c r="AO24" s="43">
        <f>'[1]поточний ремонт'!AO24+'[2]поточний ремонт'!AO24-'[3]поточний ремонт'!AO24</f>
        <v>0</v>
      </c>
      <c r="AP24" s="5"/>
      <c r="AQ24" s="43">
        <f>'[1]поточний ремонт'!AQ24+'[2]поточний ремонт'!AQ24-'[3]поточний ремонт'!AQ24</f>
        <v>0</v>
      </c>
      <c r="AR24" s="43">
        <f>'[1]поточний ремонт'!AR24+'[2]поточний ремонт'!AR24-'[3]поточний ремонт'!AR24</f>
        <v>0</v>
      </c>
      <c r="AS24" s="5"/>
      <c r="AT24" s="43">
        <f>'[1]поточний ремонт'!AT24+'[2]поточний ремонт'!AT24-'[3]поточний ремонт'!AT24</f>
        <v>524.02558227152133</v>
      </c>
      <c r="AU24" s="43">
        <f>'[1]поточний ремонт'!AU24+'[2]поточний ремонт'!AU24-'[3]поточний ремонт'!AU24</f>
        <v>998.12744007748609</v>
      </c>
      <c r="AV24" s="9"/>
      <c r="AW24" s="43">
        <f>'[1]поточний ремонт'!AW24+'[2]поточний ремонт'!AW24-'[3]поточний ремонт'!AW24</f>
        <v>0</v>
      </c>
      <c r="AX24" s="43">
        <f>'[1]поточний ремонт'!AX24+'[2]поточний ремонт'!AX24-'[3]поточний ремонт'!AX24</f>
        <v>0</v>
      </c>
      <c r="AY24" s="5"/>
      <c r="AZ24" s="43">
        <f t="shared" si="2"/>
        <v>3930.3853469882029</v>
      </c>
      <c r="BA24" s="43">
        <f t="shared" si="3"/>
        <v>2748.127440077486</v>
      </c>
      <c r="BB24" s="59">
        <f t="shared" si="4"/>
        <v>-1182.2579069107169</v>
      </c>
      <c r="BD24" s="2">
        <v>2</v>
      </c>
      <c r="BF24" s="30">
        <v>2.0639617243882125</v>
      </c>
      <c r="BG24" s="328">
        <v>150000971</v>
      </c>
      <c r="BI24" s="107">
        <v>0</v>
      </c>
      <c r="BJ24" s="107">
        <f t="shared" si="5"/>
        <v>0</v>
      </c>
      <c r="BK24" s="107">
        <v>0</v>
      </c>
      <c r="BL24" s="39"/>
      <c r="BM24" s="3"/>
      <c r="BN24" s="3">
        <v>0</v>
      </c>
      <c r="BP24" s="3"/>
      <c r="BQ24" s="3"/>
      <c r="BS24" s="43"/>
      <c r="BT24" s="43">
        <v>0</v>
      </c>
      <c r="BU24" s="1037"/>
      <c r="BV24" s="42"/>
      <c r="BW24" s="43"/>
      <c r="BX24" s="37"/>
      <c r="BY24" s="78"/>
      <c r="BZ24" s="43">
        <v>0</v>
      </c>
      <c r="CA24" s="1038"/>
      <c r="CB24" s="42">
        <v>0</v>
      </c>
      <c r="CC24" s="42">
        <v>0</v>
      </c>
      <c r="CD24" s="1039"/>
      <c r="CE24" s="78">
        <v>0</v>
      </c>
      <c r="CF24" s="56"/>
      <c r="CG24" s="42">
        <v>0</v>
      </c>
      <c r="CH24" s="39">
        <v>0</v>
      </c>
      <c r="CI24" s="78">
        <v>0</v>
      </c>
      <c r="CJ24" s="56"/>
      <c r="CK24" s="1034"/>
      <c r="CL24" s="1029"/>
      <c r="CM24" s="1034"/>
      <c r="CN24" s="1029">
        <v>0</v>
      </c>
      <c r="CO24" s="78">
        <v>82.211527339273175</v>
      </c>
      <c r="CP24" s="43">
        <v>0</v>
      </c>
      <c r="CQ24" s="5"/>
      <c r="CR24" s="78">
        <v>127.03963965971626</v>
      </c>
      <c r="CS24" s="1033">
        <v>0</v>
      </c>
      <c r="CT24" s="5"/>
      <c r="CU24" s="78">
        <v>74.612146727400756</v>
      </c>
      <c r="CV24" s="43">
        <v>0</v>
      </c>
      <c r="CW24" s="5"/>
      <c r="CX24" s="78">
        <v>0</v>
      </c>
      <c r="CY24" s="43">
        <v>0</v>
      </c>
      <c r="CZ24" s="5"/>
      <c r="DA24" s="78">
        <v>0</v>
      </c>
      <c r="DB24" s="43">
        <v>0</v>
      </c>
      <c r="DC24" s="5"/>
      <c r="DD24" s="78">
        <v>43.66879852262678</v>
      </c>
      <c r="DE24" s="43">
        <v>0</v>
      </c>
      <c r="DF24" s="9"/>
      <c r="DG24" s="78">
        <v>0</v>
      </c>
      <c r="DH24" s="43"/>
      <c r="DI24" s="5"/>
      <c r="DJ24" s="43">
        <v>327.53211224901696</v>
      </c>
      <c r="DK24" s="43">
        <f t="shared" si="6"/>
        <v>0</v>
      </c>
      <c r="DL24" s="59">
        <f t="shared" si="7"/>
        <v>-327.53211224901696</v>
      </c>
    </row>
    <row r="25" spans="1:116" ht="24.9" customHeight="1" x14ac:dyDescent="0.3">
      <c r="A25" s="328">
        <v>150000991</v>
      </c>
      <c r="B25" s="45" t="s">
        <v>341</v>
      </c>
      <c r="C25" s="1035">
        <v>9</v>
      </c>
      <c r="D25" s="1036" t="s">
        <v>454</v>
      </c>
      <c r="E25" s="1028">
        <f>'побудинковий звіт'!E23</f>
        <v>6095.61</v>
      </c>
      <c r="F25" s="1029">
        <f>'побудинковий звіт'!AS23</f>
        <v>86150.234961449532</v>
      </c>
      <c r="G25" s="1029">
        <f t="shared" si="0"/>
        <v>122115</v>
      </c>
      <c r="H25" s="1029">
        <f t="shared" si="1"/>
        <v>35964.765038550468</v>
      </c>
      <c r="I25" s="43">
        <f>'[1]поточний ремонт'!I25+'[2]поточний ремонт'!I25-'[3]поточний ремонт'!I25</f>
        <v>27</v>
      </c>
      <c r="J25" s="43">
        <f>'[1]поточний ремонт'!J25+'[2]поточний ремонт'!J25-'[3]поточний ремонт'!J25</f>
        <v>8819</v>
      </c>
      <c r="K25" s="1037"/>
      <c r="L25" s="43">
        <f>'[1]поточний ремонт'!L25+'[2]поточний ремонт'!L25-'[3]поточний ремонт'!L25</f>
        <v>0</v>
      </c>
      <c r="M25" s="43">
        <f>'[1]поточний ремонт'!M25+'[2]поточний ремонт'!M25-'[3]поточний ремонт'!M25</f>
        <v>0</v>
      </c>
      <c r="N25" s="37"/>
      <c r="O25" s="43">
        <f>'[1]поточний ремонт'!O25+'[2]поточний ремонт'!O25-'[3]поточний ремонт'!O25</f>
        <v>0</v>
      </c>
      <c r="P25" s="43">
        <f>'[1]поточний ремонт'!P25+'[2]поточний ремонт'!P25-'[3]поточний ремонт'!P25</f>
        <v>0</v>
      </c>
      <c r="Q25" s="1038"/>
      <c r="R25" s="43">
        <f>'[1]поточний ремонт'!R25+'[2]поточний ремонт'!R25-'[3]поточний ремонт'!R25</f>
        <v>2</v>
      </c>
      <c r="S25" s="43">
        <f>'[1]поточний ремонт'!S25+'[2]поточний ремонт'!S25-'[3]поточний ремонт'!S25</f>
        <v>98763</v>
      </c>
      <c r="T25" s="1039"/>
      <c r="U25" s="43">
        <f>'[1]поточний ремонт'!U25+'[2]поточний ремонт'!U25-'[3]поточний ремонт'!U25</f>
        <v>12573</v>
      </c>
      <c r="V25" s="43">
        <f>'[1]поточний ремонт'!V25+'[2]поточний ремонт'!V25-'[3]поточний ремонт'!V25</f>
        <v>0</v>
      </c>
      <c r="W25" s="43">
        <f>'[1]поточний ремонт'!W25+'[2]поточний ремонт'!W25-'[3]поточний ремонт'!W25</f>
        <v>0</v>
      </c>
      <c r="X25" s="43">
        <f>'[1]поточний ремонт'!X25+'[2]поточний ремонт'!X25-'[3]поточний ремонт'!X25</f>
        <v>0</v>
      </c>
      <c r="Y25" s="43">
        <f>'[1]поточний ремонт'!Y25+'[2]поточний ремонт'!Y25-'[3]поточний ремонт'!Y25</f>
        <v>427</v>
      </c>
      <c r="Z25" s="43">
        <f>'[1]поточний ремонт'!Z25+'[2]поточний ремонт'!Z25-'[3]поточний ремонт'!Z25</f>
        <v>0</v>
      </c>
      <c r="AA25" s="43">
        <f>'[1]поточний ремонт'!AA25+'[2]поточний ремонт'!AA25-'[3]поточний ремонт'!AA25</f>
        <v>0</v>
      </c>
      <c r="AB25" s="43">
        <f>'[1]поточний ремонт'!AB25+'[2]поточний ремонт'!AB25-'[3]поточний ремонт'!AB25</f>
        <v>0</v>
      </c>
      <c r="AC25" s="43">
        <f>'[1]поточний ремонт'!AC25+'[2]поточний ремонт'!AC25-'[3]поточний ремонт'!AC25</f>
        <v>450</v>
      </c>
      <c r="AD25" s="43">
        <f>'[1]поточний ремонт'!AD25+'[2]поточний ремонт'!AD25-'[3]поточний ремонт'!AD25</f>
        <v>1083</v>
      </c>
      <c r="AE25" s="43">
        <f>'[1]поточний ремонт'!AE25+'[2]поточний ремонт'!AE25-'[3]поточний ремонт'!AE25</f>
        <v>1065.1080528000637</v>
      </c>
      <c r="AF25" s="43">
        <f>'[1]поточний ремонт'!AF25+'[2]поточний ремонт'!AF25-'[3]поточний ремонт'!AF25</f>
        <v>0</v>
      </c>
      <c r="AG25" s="5"/>
      <c r="AH25" s="43">
        <f>'[1]поточний ремонт'!AH25+'[2]поточний ремонт'!AH25-'[3]поточний ремонт'!AH25</f>
        <v>1202.5998747442443</v>
      </c>
      <c r="AI25" s="43">
        <f>'[1]поточний ремонт'!AI25+'[2]поточний ремонт'!AI25-'[3]поточний ремонт'!AI25</f>
        <v>0</v>
      </c>
      <c r="AJ25" s="5"/>
      <c r="AK25" s="43">
        <f>'[1]поточний ремонт'!AK25+'[2]поточний ремонт'!AK25-'[3]поточний ремонт'!AK25</f>
        <v>1024.0808864585176</v>
      </c>
      <c r="AL25" s="43">
        <f>'[1]поточний ремонт'!AL25+'[2]поточний ремонт'!AL25-'[3]поточний ремонт'!AL25</f>
        <v>0</v>
      </c>
      <c r="AM25" s="5"/>
      <c r="AN25" s="43">
        <f>'[1]поточний ремонт'!AN25+'[2]поточний ремонт'!AN25-'[3]поточний ремонт'!AN25</f>
        <v>607.04393653984562</v>
      </c>
      <c r="AO25" s="43">
        <f>'[1]поточний ремонт'!AO25+'[2]поточний ремонт'!AO25-'[3]поточний ремонт'!AO25</f>
        <v>0</v>
      </c>
      <c r="AP25" s="5"/>
      <c r="AQ25" s="43">
        <f>'[1]поточний ремонт'!AQ25+'[2]поточний ремонт'!AQ25-'[3]поточний ремонт'!AQ25</f>
        <v>395.76741189229665</v>
      </c>
      <c r="AR25" s="43">
        <f>'[1]поточний ремонт'!AR25+'[2]поточний ремонт'!AR25-'[3]поточний ремонт'!AR25</f>
        <v>0</v>
      </c>
      <c r="AS25" s="5"/>
      <c r="AT25" s="43">
        <f>'[1]поточний ремонт'!AT25+'[2]поточний ремонт'!AT25-'[3]поточний ремонт'!AT25</f>
        <v>1251.243363109031</v>
      </c>
      <c r="AU25" s="43">
        <f>'[1]поточний ремонт'!AU25+'[2]поточний ремонт'!AU25-'[3]поточний ремонт'!AU25</f>
        <v>0</v>
      </c>
      <c r="AV25" s="5"/>
      <c r="AW25" s="43">
        <f>'[1]поточний ремонт'!AW25+'[2]поточний ремонт'!AW25-'[3]поточний ремонт'!AW25</f>
        <v>0</v>
      </c>
      <c r="AX25" s="43">
        <f>'[1]поточний ремонт'!AX25+'[2]поточний ремонт'!AX25-'[3]поточний ремонт'!AX25</f>
        <v>0</v>
      </c>
      <c r="AY25" s="5"/>
      <c r="AZ25" s="43">
        <f t="shared" si="2"/>
        <v>5545.8435255439981</v>
      </c>
      <c r="BA25" s="43">
        <f t="shared" si="3"/>
        <v>0</v>
      </c>
      <c r="BB25" s="59">
        <f t="shared" si="4"/>
        <v>-5545.8435255439981</v>
      </c>
      <c r="BD25" s="2">
        <v>3</v>
      </c>
      <c r="BF25" s="30">
        <v>152.47169363772375</v>
      </c>
      <c r="BG25" s="328">
        <v>150000991</v>
      </c>
      <c r="BI25" s="107">
        <v>0</v>
      </c>
      <c r="BJ25" s="107">
        <f t="shared" si="5"/>
        <v>0</v>
      </c>
      <c r="BK25" s="107">
        <v>0</v>
      </c>
      <c r="BL25" s="39"/>
      <c r="BM25" s="3"/>
      <c r="BN25" s="3">
        <v>0</v>
      </c>
      <c r="BP25" s="3"/>
      <c r="BQ25" s="3"/>
      <c r="BS25" s="43"/>
      <c r="BT25" s="43">
        <v>0</v>
      </c>
      <c r="BU25" s="1037"/>
      <c r="BV25" s="42"/>
      <c r="BW25" s="43"/>
      <c r="BX25" s="37"/>
      <c r="BY25" s="78"/>
      <c r="BZ25" s="43">
        <v>0</v>
      </c>
      <c r="CA25" s="1038"/>
      <c r="CB25" s="42">
        <v>0</v>
      </c>
      <c r="CC25" s="42">
        <v>0</v>
      </c>
      <c r="CD25" s="1039"/>
      <c r="CE25" s="78">
        <v>0</v>
      </c>
      <c r="CF25" s="56"/>
      <c r="CG25" s="42">
        <v>0</v>
      </c>
      <c r="CH25" s="39">
        <v>0</v>
      </c>
      <c r="CI25" s="78">
        <v>0</v>
      </c>
      <c r="CJ25" s="56"/>
      <c r="CK25" s="1034"/>
      <c r="CL25" s="1029"/>
      <c r="CM25" s="1034"/>
      <c r="CN25" s="1029">
        <v>0</v>
      </c>
      <c r="CO25" s="78">
        <v>88.75900440000531</v>
      </c>
      <c r="CP25" s="43">
        <v>0</v>
      </c>
      <c r="CQ25" s="5"/>
      <c r="CR25" s="78">
        <v>100.21665622868703</v>
      </c>
      <c r="CS25" s="1033">
        <v>0</v>
      </c>
      <c r="CT25" s="5"/>
      <c r="CU25" s="78">
        <v>85.340073871543112</v>
      </c>
      <c r="CV25" s="43">
        <v>0</v>
      </c>
      <c r="CW25" s="5"/>
      <c r="CX25" s="78">
        <v>50.586994711653801</v>
      </c>
      <c r="CY25" s="43">
        <v>0</v>
      </c>
      <c r="CZ25" s="5"/>
      <c r="DA25" s="78">
        <v>32.980617657691397</v>
      </c>
      <c r="DB25" s="43">
        <v>0</v>
      </c>
      <c r="DC25" s="5"/>
      <c r="DD25" s="78">
        <v>104.27028025908592</v>
      </c>
      <c r="DE25" s="43">
        <v>0</v>
      </c>
      <c r="DF25" s="5"/>
      <c r="DG25" s="78">
        <v>0</v>
      </c>
      <c r="DH25" s="43"/>
      <c r="DI25" s="5"/>
      <c r="DJ25" s="43">
        <v>462.15362712866659</v>
      </c>
      <c r="DK25" s="43">
        <f t="shared" si="6"/>
        <v>0</v>
      </c>
      <c r="DL25" s="59">
        <f t="shared" si="7"/>
        <v>-462.15362712866659</v>
      </c>
    </row>
    <row r="26" spans="1:116" ht="24.9" customHeight="1" x14ac:dyDescent="0.3">
      <c r="A26" s="328">
        <v>150000992</v>
      </c>
      <c r="B26" s="45" t="s">
        <v>39</v>
      </c>
      <c r="C26" s="1035">
        <v>1</v>
      </c>
      <c r="D26" s="1036" t="s">
        <v>454</v>
      </c>
      <c r="E26" s="1028">
        <f>'побудинковий звіт'!E24</f>
        <v>6316</v>
      </c>
      <c r="F26" s="1029">
        <f>'побудинковий звіт'!AS24</f>
        <v>3063.3724718601352</v>
      </c>
      <c r="G26" s="1029">
        <f t="shared" si="0"/>
        <v>2229</v>
      </c>
      <c r="H26" s="1029">
        <f t="shared" si="1"/>
        <v>-834.37247186013519</v>
      </c>
      <c r="I26" s="43">
        <f>'[1]поточний ремонт'!I26+'[2]поточний ремонт'!I26-'[3]поточний ремонт'!I26</f>
        <v>0</v>
      </c>
      <c r="J26" s="43">
        <f>'[1]поточний ремонт'!J26+'[2]поточний ремонт'!J26-'[3]поточний ремонт'!J26</f>
        <v>0</v>
      </c>
      <c r="K26" s="1037"/>
      <c r="L26" s="43">
        <f>'[1]поточний ремонт'!L26+'[2]поточний ремонт'!L26-'[3]поточний ремонт'!L26</f>
        <v>0</v>
      </c>
      <c r="M26" s="43">
        <f>'[1]поточний ремонт'!M26+'[2]поточний ремонт'!M26-'[3]поточний ремонт'!M26</f>
        <v>0</v>
      </c>
      <c r="N26" s="37"/>
      <c r="O26" s="43">
        <f>'[1]поточний ремонт'!O26+'[2]поточний ремонт'!O26-'[3]поточний ремонт'!O26</f>
        <v>0</v>
      </c>
      <c r="P26" s="43">
        <f>'[1]поточний ремонт'!P26+'[2]поточний ремонт'!P26-'[3]поточний ремонт'!P26</f>
        <v>0</v>
      </c>
      <c r="Q26" s="1038"/>
      <c r="R26" s="43">
        <f>'[1]поточний ремонт'!R26+'[2]поточний ремонт'!R26-'[3]поточний ремонт'!R26</f>
        <v>0</v>
      </c>
      <c r="S26" s="43">
        <f>'[1]поточний ремонт'!S26+'[2]поточний ремонт'!S26-'[3]поточний ремонт'!S26</f>
        <v>0</v>
      </c>
      <c r="T26" s="1039"/>
      <c r="U26" s="43">
        <f>'[1]поточний ремонт'!U26+'[2]поточний ремонт'!U26-'[3]поточний ремонт'!U26</f>
        <v>0</v>
      </c>
      <c r="V26" s="43">
        <f>'[1]поточний ремонт'!V26+'[2]поточний ремонт'!V26-'[3]поточний ремонт'!V26</f>
        <v>0</v>
      </c>
      <c r="W26" s="43">
        <f>'[1]поточний ремонт'!W26+'[2]поточний ремонт'!W26-'[3]поточний ремонт'!W26</f>
        <v>0</v>
      </c>
      <c r="X26" s="43">
        <f>'[1]поточний ремонт'!X26+'[2]поточний ремонт'!X26-'[3]поточний ремонт'!X26</f>
        <v>0</v>
      </c>
      <c r="Y26" s="43">
        <f>'[1]поточний ремонт'!Y26+'[2]поточний ремонт'!Y26-'[3]поточний ремонт'!Y26</f>
        <v>2229</v>
      </c>
      <c r="Z26" s="43">
        <f>'[1]поточний ремонт'!Z26+'[2]поточний ремонт'!Z26-'[3]поточний ремонт'!Z26</f>
        <v>0</v>
      </c>
      <c r="AA26" s="43">
        <f>'[1]поточний ремонт'!AA26+'[2]поточний ремонт'!AA26-'[3]поточний ремонт'!AA26</f>
        <v>0</v>
      </c>
      <c r="AB26" s="43">
        <f>'[1]поточний ремонт'!AB26+'[2]поточний ремонт'!AB26-'[3]поточний ремонт'!AB26</f>
        <v>0</v>
      </c>
      <c r="AC26" s="43">
        <f>'[1]поточний ремонт'!AC26+'[2]поточний ремонт'!AC26-'[3]поточний ремонт'!AC26</f>
        <v>0</v>
      </c>
      <c r="AD26" s="43">
        <f>'[1]поточний ремонт'!AD26+'[2]поточний ремонт'!AD26-'[3]поточний ремонт'!AD26</f>
        <v>0</v>
      </c>
      <c r="AE26" s="43">
        <f>'[1]поточний ремонт'!AE26+'[2]поточний ремонт'!AE26-'[3]поточний ремонт'!AE26</f>
        <v>0</v>
      </c>
      <c r="AF26" s="43">
        <f>'[1]поточний ремонт'!AF26+'[2]поточний ремонт'!AF26-'[3]поточний ремонт'!AF26</f>
        <v>0</v>
      </c>
      <c r="AG26" s="5"/>
      <c r="AH26" s="43">
        <f>'[1]поточний ремонт'!AH26+'[2]поточний ремонт'!AH26-'[3]поточний ремонт'!AH26</f>
        <v>0</v>
      </c>
      <c r="AI26" s="43">
        <f>'[1]поточний ремонт'!AI26+'[2]поточний ремонт'!AI26-'[3]поточний ремонт'!AI26</f>
        <v>0</v>
      </c>
      <c r="AJ26" s="5"/>
      <c r="AK26" s="43">
        <f>'[1]поточний ремонт'!AK26+'[2]поточний ремонт'!AK26-'[3]поточний ремонт'!AK26</f>
        <v>0</v>
      </c>
      <c r="AL26" s="43">
        <f>'[1]поточний ремонт'!AL26+'[2]поточний ремонт'!AL26-'[3]поточний ремонт'!AL26</f>
        <v>0</v>
      </c>
      <c r="AM26" s="5"/>
      <c r="AN26" s="43">
        <f>'[1]поточний ремонт'!AN26+'[2]поточний ремонт'!AN26-'[3]поточний ремонт'!AN26</f>
        <v>0</v>
      </c>
      <c r="AO26" s="43">
        <f>'[1]поточний ремонт'!AO26+'[2]поточний ремонт'!AO26-'[3]поточний ремонт'!AO26</f>
        <v>0</v>
      </c>
      <c r="AP26" s="5"/>
      <c r="AQ26" s="43">
        <f>'[1]поточний ремонт'!AQ26+'[2]поточний ремонт'!AQ26-'[3]поточний ремонт'!AQ26</f>
        <v>0</v>
      </c>
      <c r="AR26" s="43">
        <f>'[1]поточний ремонт'!AR26+'[2]поточний ремонт'!AR26-'[3]поточний ремонт'!AR26</f>
        <v>0</v>
      </c>
      <c r="AS26" s="5"/>
      <c r="AT26" s="43">
        <f>'[1]поточний ремонт'!AT26+'[2]поточний ремонт'!AT26-'[3]поточний ремонт'!AT26</f>
        <v>0</v>
      </c>
      <c r="AU26" s="43">
        <f>'[1]поточний ремонт'!AU26+'[2]поточний ремонт'!AU26-'[3]поточний ремонт'!AU26</f>
        <v>0</v>
      </c>
      <c r="AV26" s="5"/>
      <c r="AW26" s="43">
        <f>'[1]поточний ремонт'!AW26+'[2]поточний ремонт'!AW26-'[3]поточний ремонт'!AW26</f>
        <v>0</v>
      </c>
      <c r="AX26" s="43">
        <f>'[1]поточний ремонт'!AX26+'[2]поточний ремонт'!AX26-'[3]поточний ремонт'!AX26</f>
        <v>0</v>
      </c>
      <c r="AY26" s="5"/>
      <c r="AZ26" s="43">
        <f t="shared" si="2"/>
        <v>0</v>
      </c>
      <c r="BA26" s="43">
        <f t="shared" si="3"/>
        <v>0</v>
      </c>
      <c r="BB26" s="59">
        <f t="shared" si="4"/>
        <v>0</v>
      </c>
      <c r="BD26" s="2">
        <v>3</v>
      </c>
      <c r="BF26" s="30">
        <v>0</v>
      </c>
      <c r="BG26" s="328">
        <v>150000992</v>
      </c>
      <c r="BI26" s="107">
        <v>0</v>
      </c>
      <c r="BJ26" s="107">
        <f t="shared" si="5"/>
        <v>0</v>
      </c>
      <c r="BK26" s="107">
        <v>0</v>
      </c>
      <c r="BL26" s="39"/>
      <c r="BM26" s="3"/>
      <c r="BN26" s="3">
        <v>0</v>
      </c>
      <c r="BP26" s="3"/>
      <c r="BQ26" s="3"/>
      <c r="BS26" s="43"/>
      <c r="BT26" s="43">
        <v>0</v>
      </c>
      <c r="BU26" s="1037"/>
      <c r="BV26" s="42"/>
      <c r="BW26" s="43"/>
      <c r="BX26" s="37"/>
      <c r="BY26" s="78"/>
      <c r="BZ26" s="43">
        <v>0</v>
      </c>
      <c r="CA26" s="1038"/>
      <c r="CB26" s="42">
        <v>0</v>
      </c>
      <c r="CC26" s="42">
        <v>0</v>
      </c>
      <c r="CD26" s="1039"/>
      <c r="CE26" s="78">
        <v>0</v>
      </c>
      <c r="CF26" s="56"/>
      <c r="CG26" s="42">
        <v>0</v>
      </c>
      <c r="CH26" s="39">
        <v>0</v>
      </c>
      <c r="CI26" s="78">
        <v>0</v>
      </c>
      <c r="CJ26" s="56"/>
      <c r="CK26" s="1034"/>
      <c r="CL26" s="1029"/>
      <c r="CM26" s="1034"/>
      <c r="CN26" s="1029">
        <v>0</v>
      </c>
      <c r="CO26" s="78">
        <v>0</v>
      </c>
      <c r="CP26" s="43">
        <v>0</v>
      </c>
      <c r="CQ26" s="5"/>
      <c r="CR26" s="78">
        <v>0</v>
      </c>
      <c r="CS26" s="1033">
        <v>0</v>
      </c>
      <c r="CT26" s="5"/>
      <c r="CU26" s="78">
        <v>0</v>
      </c>
      <c r="CV26" s="43">
        <v>0</v>
      </c>
      <c r="CW26" s="5"/>
      <c r="CX26" s="78">
        <v>0</v>
      </c>
      <c r="CY26" s="43">
        <v>0</v>
      </c>
      <c r="CZ26" s="5"/>
      <c r="DA26" s="78">
        <v>0</v>
      </c>
      <c r="DB26" s="43">
        <v>0</v>
      </c>
      <c r="DC26" s="5"/>
      <c r="DD26" s="78">
        <v>0</v>
      </c>
      <c r="DE26" s="43">
        <v>0</v>
      </c>
      <c r="DF26" s="5"/>
      <c r="DG26" s="78">
        <v>0</v>
      </c>
      <c r="DH26" s="43"/>
      <c r="DI26" s="5"/>
      <c r="DJ26" s="43">
        <v>0</v>
      </c>
      <c r="DK26" s="43">
        <f t="shared" si="6"/>
        <v>0</v>
      </c>
      <c r="DL26" s="59">
        <f t="shared" si="7"/>
        <v>0</v>
      </c>
    </row>
    <row r="27" spans="1:116" ht="24.9" customHeight="1" x14ac:dyDescent="0.3">
      <c r="A27" s="328">
        <v>150000999</v>
      </c>
      <c r="B27" s="45" t="s">
        <v>40</v>
      </c>
      <c r="C27" s="1035">
        <v>1</v>
      </c>
      <c r="D27" s="1036" t="s">
        <v>454</v>
      </c>
      <c r="E27" s="1028">
        <f>'побудинковий звіт'!E25</f>
        <v>263.3</v>
      </c>
      <c r="F27" s="1029">
        <f>'побудинковий звіт'!AS25</f>
        <v>3448.1801480274876</v>
      </c>
      <c r="G27" s="1029">
        <f t="shared" si="0"/>
        <v>0</v>
      </c>
      <c r="H27" s="1029">
        <f t="shared" si="1"/>
        <v>-3448.1801480274876</v>
      </c>
      <c r="I27" s="43">
        <f>'[1]поточний ремонт'!I27+'[2]поточний ремонт'!I27-'[3]поточний ремонт'!I27</f>
        <v>0</v>
      </c>
      <c r="J27" s="43">
        <f>'[1]поточний ремонт'!J27+'[2]поточний ремонт'!J27-'[3]поточний ремонт'!J27</f>
        <v>0</v>
      </c>
      <c r="K27" s="1037"/>
      <c r="L27" s="43">
        <f>'[1]поточний ремонт'!L27+'[2]поточний ремонт'!L27-'[3]поточний ремонт'!L27</f>
        <v>0</v>
      </c>
      <c r="M27" s="43">
        <f>'[1]поточний ремонт'!M27+'[2]поточний ремонт'!M27-'[3]поточний ремонт'!M27</f>
        <v>0</v>
      </c>
      <c r="N27" s="37"/>
      <c r="O27" s="43">
        <f>'[1]поточний ремонт'!O27+'[2]поточний ремонт'!O27-'[3]поточний ремонт'!O27</f>
        <v>0</v>
      </c>
      <c r="P27" s="43">
        <f>'[1]поточний ремонт'!P27+'[2]поточний ремонт'!P27-'[3]поточний ремонт'!P27</f>
        <v>0</v>
      </c>
      <c r="Q27" s="1038"/>
      <c r="R27" s="43">
        <f>'[1]поточний ремонт'!R27+'[2]поточний ремонт'!R27-'[3]поточний ремонт'!R27</f>
        <v>0</v>
      </c>
      <c r="S27" s="43">
        <f>'[1]поточний ремонт'!S27+'[2]поточний ремонт'!S27-'[3]поточний ремонт'!S27</f>
        <v>0</v>
      </c>
      <c r="T27" s="1039"/>
      <c r="U27" s="43">
        <f>'[1]поточний ремонт'!U27+'[2]поточний ремонт'!U27-'[3]поточний ремонт'!U27</f>
        <v>0</v>
      </c>
      <c r="V27" s="43">
        <f>'[1]поточний ремонт'!V27+'[2]поточний ремонт'!V27-'[3]поточний ремонт'!V27</f>
        <v>0</v>
      </c>
      <c r="W27" s="43">
        <f>'[1]поточний ремонт'!W27+'[2]поточний ремонт'!W27-'[3]поточний ремонт'!W27</f>
        <v>0</v>
      </c>
      <c r="X27" s="43">
        <f>'[1]поточний ремонт'!X27+'[2]поточний ремонт'!X27-'[3]поточний ремонт'!X27</f>
        <v>0</v>
      </c>
      <c r="Y27" s="43">
        <f>'[1]поточний ремонт'!Y27+'[2]поточний ремонт'!Y27-'[3]поточний ремонт'!Y27</f>
        <v>0</v>
      </c>
      <c r="Z27" s="43">
        <f>'[1]поточний ремонт'!Z27+'[2]поточний ремонт'!Z27-'[3]поточний ремонт'!Z27</f>
        <v>0</v>
      </c>
      <c r="AA27" s="43">
        <f>'[1]поточний ремонт'!AA27+'[2]поточний ремонт'!AA27-'[3]поточний ремонт'!AA27</f>
        <v>0</v>
      </c>
      <c r="AB27" s="43">
        <f>'[1]поточний ремонт'!AB27+'[2]поточний ремонт'!AB27-'[3]поточний ремонт'!AB27</f>
        <v>0</v>
      </c>
      <c r="AC27" s="43">
        <f>'[1]поточний ремонт'!AC27+'[2]поточний ремонт'!AC27-'[3]поточний ремонт'!AC27</f>
        <v>0</v>
      </c>
      <c r="AD27" s="43">
        <f>'[1]поточний ремонт'!AD27+'[2]поточний ремонт'!AD27-'[3]поточний ремонт'!AD27</f>
        <v>0</v>
      </c>
      <c r="AE27" s="43">
        <f>'[1]поточний ремонт'!AE27+'[2]поточний ремонт'!AE27-'[3]поточний ремонт'!AE27</f>
        <v>0</v>
      </c>
      <c r="AF27" s="43">
        <f>'[1]поточний ремонт'!AF27+'[2]поточний ремонт'!AF27-'[3]поточний ремонт'!AF27</f>
        <v>0</v>
      </c>
      <c r="AG27" s="5"/>
      <c r="AH27" s="43">
        <f>'[1]поточний ремонт'!AH27+'[2]поточний ремонт'!AH27-'[3]поточний ремонт'!AH27</f>
        <v>0</v>
      </c>
      <c r="AI27" s="43">
        <f>'[1]поточний ремонт'!AI27+'[2]поточний ремонт'!AI27-'[3]поточний ремонт'!AI27</f>
        <v>0</v>
      </c>
      <c r="AJ27" s="5"/>
      <c r="AK27" s="43">
        <f>'[1]поточний ремонт'!AK27+'[2]поточний ремонт'!AK27-'[3]поточний ремонт'!AK27</f>
        <v>0</v>
      </c>
      <c r="AL27" s="43">
        <f>'[1]поточний ремонт'!AL27+'[2]поточний ремонт'!AL27-'[3]поточний ремонт'!AL27</f>
        <v>0</v>
      </c>
      <c r="AM27" s="5"/>
      <c r="AN27" s="43">
        <f>'[1]поточний ремонт'!AN27+'[2]поточний ремонт'!AN27-'[3]поточний ремонт'!AN27</f>
        <v>0</v>
      </c>
      <c r="AO27" s="43">
        <f>'[1]поточний ремонт'!AO27+'[2]поточний ремонт'!AO27-'[3]поточний ремонт'!AO27</f>
        <v>0</v>
      </c>
      <c r="AP27" s="5"/>
      <c r="AQ27" s="43">
        <f>'[1]поточний ремонт'!AQ27+'[2]поточний ремонт'!AQ27-'[3]поточний ремонт'!AQ27</f>
        <v>0</v>
      </c>
      <c r="AR27" s="43">
        <f>'[1]поточний ремонт'!AR27+'[2]поточний ремонт'!AR27-'[3]поточний ремонт'!AR27</f>
        <v>0</v>
      </c>
      <c r="AS27" s="5"/>
      <c r="AT27" s="43">
        <f>'[1]поточний ремонт'!AT27+'[2]поточний ремонт'!AT27-'[3]поточний ремонт'!AT27</f>
        <v>0</v>
      </c>
      <c r="AU27" s="43">
        <f>'[1]поточний ремонт'!AU27+'[2]поточний ремонт'!AU27-'[3]поточний ремонт'!AU27</f>
        <v>0</v>
      </c>
      <c r="AV27" s="5"/>
      <c r="AW27" s="43">
        <f>'[1]поточний ремонт'!AW27+'[2]поточний ремонт'!AW27-'[3]поточний ремонт'!AW27</f>
        <v>0</v>
      </c>
      <c r="AX27" s="43">
        <f>'[1]поточний ремонт'!AX27+'[2]поточний ремонт'!AX27-'[3]поточний ремонт'!AX27</f>
        <v>0</v>
      </c>
      <c r="AY27" s="5"/>
      <c r="AZ27" s="43">
        <f t="shared" si="2"/>
        <v>0</v>
      </c>
      <c r="BA27" s="43">
        <f t="shared" si="3"/>
        <v>0</v>
      </c>
      <c r="BB27" s="59">
        <f t="shared" si="4"/>
        <v>0</v>
      </c>
      <c r="BD27" s="2">
        <v>3</v>
      </c>
      <c r="BF27" s="30">
        <v>0</v>
      </c>
      <c r="BG27" s="328">
        <v>150000999</v>
      </c>
      <c r="BI27" s="107">
        <v>0</v>
      </c>
      <c r="BJ27" s="107">
        <f t="shared" si="5"/>
        <v>0</v>
      </c>
      <c r="BK27" s="107">
        <v>0</v>
      </c>
      <c r="BL27" s="39"/>
      <c r="BM27" s="3"/>
      <c r="BN27" s="3">
        <v>0</v>
      </c>
      <c r="BP27" s="3"/>
      <c r="BQ27" s="3"/>
      <c r="BS27" s="43"/>
      <c r="BT27" s="43">
        <v>0</v>
      </c>
      <c r="BU27" s="1037"/>
      <c r="BV27" s="42"/>
      <c r="BW27" s="43"/>
      <c r="BX27" s="37"/>
      <c r="BY27" s="78"/>
      <c r="BZ27" s="43">
        <v>0</v>
      </c>
      <c r="CA27" s="1038"/>
      <c r="CB27" s="42">
        <v>0</v>
      </c>
      <c r="CC27" s="42">
        <v>0</v>
      </c>
      <c r="CD27" s="1039"/>
      <c r="CE27" s="78">
        <v>0</v>
      </c>
      <c r="CF27" s="56"/>
      <c r="CG27" s="42">
        <v>0</v>
      </c>
      <c r="CH27" s="39">
        <v>0</v>
      </c>
      <c r="CI27" s="78">
        <v>0</v>
      </c>
      <c r="CJ27" s="56"/>
      <c r="CK27" s="1034"/>
      <c r="CL27" s="1029"/>
      <c r="CM27" s="1034"/>
      <c r="CN27" s="1029">
        <v>0</v>
      </c>
      <c r="CO27" s="78">
        <v>0</v>
      </c>
      <c r="CP27" s="43">
        <v>0</v>
      </c>
      <c r="CQ27" s="5"/>
      <c r="CR27" s="78">
        <v>0</v>
      </c>
      <c r="CS27" s="1033">
        <v>0</v>
      </c>
      <c r="CT27" s="5"/>
      <c r="CU27" s="78">
        <v>0</v>
      </c>
      <c r="CV27" s="43">
        <v>0</v>
      </c>
      <c r="CW27" s="5"/>
      <c r="CX27" s="78">
        <v>0</v>
      </c>
      <c r="CY27" s="43">
        <v>0</v>
      </c>
      <c r="CZ27" s="5"/>
      <c r="DA27" s="78">
        <v>0</v>
      </c>
      <c r="DB27" s="43">
        <v>0</v>
      </c>
      <c r="DC27" s="5"/>
      <c r="DD27" s="78">
        <v>0</v>
      </c>
      <c r="DE27" s="43">
        <v>0</v>
      </c>
      <c r="DF27" s="5"/>
      <c r="DG27" s="78">
        <v>0</v>
      </c>
      <c r="DH27" s="43"/>
      <c r="DI27" s="5"/>
      <c r="DJ27" s="43">
        <v>0</v>
      </c>
      <c r="DK27" s="43">
        <f t="shared" si="6"/>
        <v>0</v>
      </c>
      <c r="DL27" s="59">
        <f t="shared" si="7"/>
        <v>0</v>
      </c>
    </row>
    <row r="28" spans="1:116" ht="24.9" customHeight="1" x14ac:dyDescent="0.3">
      <c r="A28" s="328">
        <v>150000993</v>
      </c>
      <c r="B28" s="45" t="s">
        <v>41</v>
      </c>
      <c r="C28" s="1035">
        <v>1</v>
      </c>
      <c r="D28" s="1036" t="s">
        <v>454</v>
      </c>
      <c r="E28" s="1028">
        <f>'побудинковий звіт'!E26</f>
        <v>4099.3</v>
      </c>
      <c r="F28" s="1029">
        <f>'побудинковий звіт'!AS26</f>
        <v>3422.606005975415</v>
      </c>
      <c r="G28" s="1029">
        <f t="shared" si="0"/>
        <v>733</v>
      </c>
      <c r="H28" s="1029">
        <f t="shared" si="1"/>
        <v>-2689.606005975415</v>
      </c>
      <c r="I28" s="43">
        <f>'[1]поточний ремонт'!I28+'[2]поточний ремонт'!I28-'[3]поточний ремонт'!I28</f>
        <v>1.42</v>
      </c>
      <c r="J28" s="43">
        <f>'[1]поточний ремонт'!J28+'[2]поточний ремонт'!J28-'[3]поточний ремонт'!J28</f>
        <v>733</v>
      </c>
      <c r="K28" s="1037"/>
      <c r="L28" s="43">
        <f>'[1]поточний ремонт'!L28+'[2]поточний ремонт'!L28-'[3]поточний ремонт'!L28</f>
        <v>0</v>
      </c>
      <c r="M28" s="43">
        <f>'[1]поточний ремонт'!M28+'[2]поточний ремонт'!M28-'[3]поточний ремонт'!M28</f>
        <v>0</v>
      </c>
      <c r="N28" s="37"/>
      <c r="O28" s="43">
        <f>'[1]поточний ремонт'!O28+'[2]поточний ремонт'!O28-'[3]поточний ремонт'!O28</f>
        <v>0</v>
      </c>
      <c r="P28" s="43">
        <f>'[1]поточний ремонт'!P28+'[2]поточний ремонт'!P28-'[3]поточний ремонт'!P28</f>
        <v>0</v>
      </c>
      <c r="Q28" s="1038"/>
      <c r="R28" s="43">
        <f>'[1]поточний ремонт'!R28+'[2]поточний ремонт'!R28-'[3]поточний ремонт'!R28</f>
        <v>0</v>
      </c>
      <c r="S28" s="43">
        <f>'[1]поточний ремонт'!S28+'[2]поточний ремонт'!S28-'[3]поточний ремонт'!S28</f>
        <v>0</v>
      </c>
      <c r="T28" s="1039"/>
      <c r="U28" s="43">
        <f>'[1]поточний ремонт'!U28+'[2]поточний ремонт'!U28-'[3]поточний ремонт'!U28</f>
        <v>0</v>
      </c>
      <c r="V28" s="43">
        <f>'[1]поточний ремонт'!V28+'[2]поточний ремонт'!V28-'[3]поточний ремонт'!V28</f>
        <v>0</v>
      </c>
      <c r="W28" s="43">
        <f>'[1]поточний ремонт'!W28+'[2]поточний ремонт'!W28-'[3]поточний ремонт'!W28</f>
        <v>0</v>
      </c>
      <c r="X28" s="43">
        <f>'[1]поточний ремонт'!X28+'[2]поточний ремонт'!X28-'[3]поточний ремонт'!X28</f>
        <v>0</v>
      </c>
      <c r="Y28" s="43">
        <f>'[1]поточний ремонт'!Y28+'[2]поточний ремонт'!Y28-'[3]поточний ремонт'!Y28</f>
        <v>0</v>
      </c>
      <c r="Z28" s="43">
        <f>'[1]поточний ремонт'!Z28+'[2]поточний ремонт'!Z28-'[3]поточний ремонт'!Z28</f>
        <v>0</v>
      </c>
      <c r="AA28" s="43">
        <f>'[1]поточний ремонт'!AA28+'[2]поточний ремонт'!AA28-'[3]поточний ремонт'!AA28</f>
        <v>0</v>
      </c>
      <c r="AB28" s="43">
        <f>'[1]поточний ремонт'!AB28+'[2]поточний ремонт'!AB28-'[3]поточний ремонт'!AB28</f>
        <v>0</v>
      </c>
      <c r="AC28" s="43">
        <f>'[1]поточний ремонт'!AC28+'[2]поточний ремонт'!AC28-'[3]поточний ремонт'!AC28</f>
        <v>0</v>
      </c>
      <c r="AD28" s="43">
        <f>'[1]поточний ремонт'!AD28+'[2]поточний ремонт'!AD28-'[3]поточний ремонт'!AD28</f>
        <v>0</v>
      </c>
      <c r="AE28" s="43">
        <f>'[1]поточний ремонт'!AE28+'[2]поточний ремонт'!AE28-'[3]поточний ремонт'!AE28</f>
        <v>0</v>
      </c>
      <c r="AF28" s="43">
        <f>'[1]поточний ремонт'!AF28+'[2]поточний ремонт'!AF28-'[3]поточний ремонт'!AF28</f>
        <v>0</v>
      </c>
      <c r="AG28" s="5"/>
      <c r="AH28" s="43">
        <f>'[1]поточний ремонт'!AH28+'[2]поточний ремонт'!AH28-'[3]поточний ремонт'!AH28</f>
        <v>0</v>
      </c>
      <c r="AI28" s="43">
        <f>'[1]поточний ремонт'!AI28+'[2]поточний ремонт'!AI28-'[3]поточний ремонт'!AI28</f>
        <v>0</v>
      </c>
      <c r="AJ28" s="5"/>
      <c r="AK28" s="43">
        <f>'[1]поточний ремонт'!AK28+'[2]поточний ремонт'!AK28-'[3]поточний ремонт'!AK28</f>
        <v>0</v>
      </c>
      <c r="AL28" s="43">
        <f>'[1]поточний ремонт'!AL28+'[2]поточний ремонт'!AL28-'[3]поточний ремонт'!AL28</f>
        <v>0</v>
      </c>
      <c r="AM28" s="5"/>
      <c r="AN28" s="43">
        <f>'[1]поточний ремонт'!AN28+'[2]поточний ремонт'!AN28-'[3]поточний ремонт'!AN28</f>
        <v>0</v>
      </c>
      <c r="AO28" s="43">
        <f>'[1]поточний ремонт'!AO28+'[2]поточний ремонт'!AO28-'[3]поточний ремонт'!AO28</f>
        <v>0</v>
      </c>
      <c r="AP28" s="5"/>
      <c r="AQ28" s="43">
        <f>'[1]поточний ремонт'!AQ28+'[2]поточний ремонт'!AQ28-'[3]поточний ремонт'!AQ28</f>
        <v>0</v>
      </c>
      <c r="AR28" s="43">
        <f>'[1]поточний ремонт'!AR28+'[2]поточний ремонт'!AR28-'[3]поточний ремонт'!AR28</f>
        <v>0</v>
      </c>
      <c r="AS28" s="5"/>
      <c r="AT28" s="43">
        <f>'[1]поточний ремонт'!AT28+'[2]поточний ремонт'!AT28-'[3]поточний ремонт'!AT28</f>
        <v>0</v>
      </c>
      <c r="AU28" s="43">
        <f>'[1]поточний ремонт'!AU28+'[2]поточний ремонт'!AU28-'[3]поточний ремонт'!AU28</f>
        <v>0</v>
      </c>
      <c r="AV28" s="5"/>
      <c r="AW28" s="43">
        <f>'[1]поточний ремонт'!AW28+'[2]поточний ремонт'!AW28-'[3]поточний ремонт'!AW28</f>
        <v>0</v>
      </c>
      <c r="AX28" s="43">
        <f>'[1]поточний ремонт'!AX28+'[2]поточний ремонт'!AX28-'[3]поточний ремонт'!AX28</f>
        <v>0</v>
      </c>
      <c r="AY28" s="5"/>
      <c r="AZ28" s="43">
        <f t="shared" si="2"/>
        <v>0</v>
      </c>
      <c r="BA28" s="43">
        <f t="shared" si="3"/>
        <v>0</v>
      </c>
      <c r="BB28" s="59">
        <f t="shared" si="4"/>
        <v>0</v>
      </c>
      <c r="BD28" s="2">
        <v>3</v>
      </c>
      <c r="BF28" s="30">
        <v>0</v>
      </c>
      <c r="BG28" s="328">
        <v>150000993</v>
      </c>
      <c r="BI28" s="107">
        <v>0</v>
      </c>
      <c r="BJ28" s="107">
        <f t="shared" si="5"/>
        <v>0</v>
      </c>
      <c r="BK28" s="107">
        <v>0</v>
      </c>
      <c r="BL28" s="39"/>
      <c r="BM28" s="3"/>
      <c r="BN28" s="3">
        <v>0</v>
      </c>
      <c r="BP28" s="3"/>
      <c r="BQ28" s="3"/>
      <c r="BS28" s="43"/>
      <c r="BT28" s="43">
        <v>0</v>
      </c>
      <c r="BU28" s="1037"/>
      <c r="BV28" s="42"/>
      <c r="BW28" s="43"/>
      <c r="BX28" s="37"/>
      <c r="BY28" s="78"/>
      <c r="BZ28" s="43">
        <v>0</v>
      </c>
      <c r="CA28" s="1038"/>
      <c r="CB28" s="42">
        <v>0</v>
      </c>
      <c r="CC28" s="42">
        <v>0</v>
      </c>
      <c r="CD28" s="1039"/>
      <c r="CE28" s="78">
        <v>0</v>
      </c>
      <c r="CF28" s="56"/>
      <c r="CG28" s="42">
        <v>0</v>
      </c>
      <c r="CH28" s="39">
        <v>0</v>
      </c>
      <c r="CI28" s="78">
        <v>0</v>
      </c>
      <c r="CJ28" s="56"/>
      <c r="CK28" s="1034"/>
      <c r="CL28" s="1029"/>
      <c r="CM28" s="1034"/>
      <c r="CN28" s="1029">
        <v>0</v>
      </c>
      <c r="CO28" s="78">
        <v>0</v>
      </c>
      <c r="CP28" s="43">
        <v>0</v>
      </c>
      <c r="CQ28" s="5"/>
      <c r="CR28" s="78">
        <v>0</v>
      </c>
      <c r="CS28" s="1033">
        <v>0</v>
      </c>
      <c r="CT28" s="5"/>
      <c r="CU28" s="78">
        <v>0</v>
      </c>
      <c r="CV28" s="43">
        <v>0</v>
      </c>
      <c r="CW28" s="5"/>
      <c r="CX28" s="78">
        <v>0</v>
      </c>
      <c r="CY28" s="43">
        <v>0</v>
      </c>
      <c r="CZ28" s="5"/>
      <c r="DA28" s="78">
        <v>0</v>
      </c>
      <c r="DB28" s="43">
        <v>0</v>
      </c>
      <c r="DC28" s="5"/>
      <c r="DD28" s="78">
        <v>0</v>
      </c>
      <c r="DE28" s="43">
        <v>0</v>
      </c>
      <c r="DF28" s="5"/>
      <c r="DG28" s="78">
        <v>0</v>
      </c>
      <c r="DH28" s="43"/>
      <c r="DI28" s="5"/>
      <c r="DJ28" s="43">
        <v>0</v>
      </c>
      <c r="DK28" s="43">
        <f t="shared" si="6"/>
        <v>0</v>
      </c>
      <c r="DL28" s="59">
        <f t="shared" si="7"/>
        <v>0</v>
      </c>
    </row>
    <row r="29" spans="1:116" ht="24.9" customHeight="1" x14ac:dyDescent="0.3">
      <c r="A29" s="328">
        <v>150001000</v>
      </c>
      <c r="B29" s="45" t="s">
        <v>42</v>
      </c>
      <c r="C29" s="1035">
        <v>1</v>
      </c>
      <c r="D29" s="1036" t="s">
        <v>454</v>
      </c>
      <c r="E29" s="1028">
        <f>'побудинковий звіт'!E27</f>
        <v>409.93</v>
      </c>
      <c r="F29" s="1029">
        <f>'побудинковий звіт'!AS27</f>
        <v>3300.7426716829732</v>
      </c>
      <c r="G29" s="1029">
        <f t="shared" si="0"/>
        <v>0</v>
      </c>
      <c r="H29" s="1029">
        <f t="shared" si="1"/>
        <v>-3300.7426716829732</v>
      </c>
      <c r="I29" s="43">
        <f>'[1]поточний ремонт'!I29+'[2]поточний ремонт'!I29-'[3]поточний ремонт'!I29</f>
        <v>0</v>
      </c>
      <c r="J29" s="43">
        <f>'[1]поточний ремонт'!J29+'[2]поточний ремонт'!J29-'[3]поточний ремонт'!J29</f>
        <v>0</v>
      </c>
      <c r="K29" s="1037"/>
      <c r="L29" s="43">
        <f>'[1]поточний ремонт'!L29+'[2]поточний ремонт'!L29-'[3]поточний ремонт'!L29</f>
        <v>0</v>
      </c>
      <c r="M29" s="43">
        <f>'[1]поточний ремонт'!M29+'[2]поточний ремонт'!M29-'[3]поточний ремонт'!M29</f>
        <v>0</v>
      </c>
      <c r="N29" s="37"/>
      <c r="O29" s="43">
        <f>'[1]поточний ремонт'!O29+'[2]поточний ремонт'!O29-'[3]поточний ремонт'!O29</f>
        <v>0</v>
      </c>
      <c r="P29" s="43">
        <f>'[1]поточний ремонт'!P29+'[2]поточний ремонт'!P29-'[3]поточний ремонт'!P29</f>
        <v>0</v>
      </c>
      <c r="Q29" s="1038"/>
      <c r="R29" s="43">
        <f>'[1]поточний ремонт'!R29+'[2]поточний ремонт'!R29-'[3]поточний ремонт'!R29</f>
        <v>0</v>
      </c>
      <c r="S29" s="43">
        <f>'[1]поточний ремонт'!S29+'[2]поточний ремонт'!S29-'[3]поточний ремонт'!S29</f>
        <v>0</v>
      </c>
      <c r="T29" s="1039"/>
      <c r="U29" s="43">
        <f>'[1]поточний ремонт'!U29+'[2]поточний ремонт'!U29-'[3]поточний ремонт'!U29</f>
        <v>0</v>
      </c>
      <c r="V29" s="43">
        <f>'[1]поточний ремонт'!V29+'[2]поточний ремонт'!V29-'[3]поточний ремонт'!V29</f>
        <v>0</v>
      </c>
      <c r="W29" s="43">
        <f>'[1]поточний ремонт'!W29+'[2]поточний ремонт'!W29-'[3]поточний ремонт'!W29</f>
        <v>0</v>
      </c>
      <c r="X29" s="43">
        <f>'[1]поточний ремонт'!X29+'[2]поточний ремонт'!X29-'[3]поточний ремонт'!X29</f>
        <v>0</v>
      </c>
      <c r="Y29" s="43">
        <f>'[1]поточний ремонт'!Y29+'[2]поточний ремонт'!Y29-'[3]поточний ремонт'!Y29</f>
        <v>0</v>
      </c>
      <c r="Z29" s="43">
        <f>'[1]поточний ремонт'!Z29+'[2]поточний ремонт'!Z29-'[3]поточний ремонт'!Z29</f>
        <v>0</v>
      </c>
      <c r="AA29" s="43">
        <f>'[1]поточний ремонт'!AA29+'[2]поточний ремонт'!AA29-'[3]поточний ремонт'!AA29</f>
        <v>0</v>
      </c>
      <c r="AB29" s="43">
        <f>'[1]поточний ремонт'!AB29+'[2]поточний ремонт'!AB29-'[3]поточний ремонт'!AB29</f>
        <v>0</v>
      </c>
      <c r="AC29" s="43">
        <f>'[1]поточний ремонт'!AC29+'[2]поточний ремонт'!AC29-'[3]поточний ремонт'!AC29</f>
        <v>0</v>
      </c>
      <c r="AD29" s="43">
        <f>'[1]поточний ремонт'!AD29+'[2]поточний ремонт'!AD29-'[3]поточний ремонт'!AD29</f>
        <v>0</v>
      </c>
      <c r="AE29" s="43">
        <f>'[1]поточний ремонт'!AE29+'[2]поточний ремонт'!AE29-'[3]поточний ремонт'!AE29</f>
        <v>0</v>
      </c>
      <c r="AF29" s="43">
        <f>'[1]поточний ремонт'!AF29+'[2]поточний ремонт'!AF29-'[3]поточний ремонт'!AF29</f>
        <v>0</v>
      </c>
      <c r="AG29" s="5"/>
      <c r="AH29" s="43">
        <f>'[1]поточний ремонт'!AH29+'[2]поточний ремонт'!AH29-'[3]поточний ремонт'!AH29</f>
        <v>0</v>
      </c>
      <c r="AI29" s="43">
        <f>'[1]поточний ремонт'!AI29+'[2]поточний ремонт'!AI29-'[3]поточний ремонт'!AI29</f>
        <v>0</v>
      </c>
      <c r="AJ29" s="5"/>
      <c r="AK29" s="43">
        <f>'[1]поточний ремонт'!AK29+'[2]поточний ремонт'!AK29-'[3]поточний ремонт'!AK29</f>
        <v>0</v>
      </c>
      <c r="AL29" s="43">
        <f>'[1]поточний ремонт'!AL29+'[2]поточний ремонт'!AL29-'[3]поточний ремонт'!AL29</f>
        <v>0</v>
      </c>
      <c r="AM29" s="5"/>
      <c r="AN29" s="43">
        <f>'[1]поточний ремонт'!AN29+'[2]поточний ремонт'!AN29-'[3]поточний ремонт'!AN29</f>
        <v>0</v>
      </c>
      <c r="AO29" s="43">
        <f>'[1]поточний ремонт'!AO29+'[2]поточний ремонт'!AO29-'[3]поточний ремонт'!AO29</f>
        <v>0</v>
      </c>
      <c r="AP29" s="5"/>
      <c r="AQ29" s="43">
        <f>'[1]поточний ремонт'!AQ29+'[2]поточний ремонт'!AQ29-'[3]поточний ремонт'!AQ29</f>
        <v>0</v>
      </c>
      <c r="AR29" s="43">
        <f>'[1]поточний ремонт'!AR29+'[2]поточний ремонт'!AR29-'[3]поточний ремонт'!AR29</f>
        <v>0</v>
      </c>
      <c r="AS29" s="5"/>
      <c r="AT29" s="43">
        <f>'[1]поточний ремонт'!AT29+'[2]поточний ремонт'!AT29-'[3]поточний ремонт'!AT29</f>
        <v>0</v>
      </c>
      <c r="AU29" s="43">
        <f>'[1]поточний ремонт'!AU29+'[2]поточний ремонт'!AU29-'[3]поточний ремонт'!AU29</f>
        <v>0</v>
      </c>
      <c r="AV29" s="5"/>
      <c r="AW29" s="43">
        <f>'[1]поточний ремонт'!AW29+'[2]поточний ремонт'!AW29-'[3]поточний ремонт'!AW29</f>
        <v>0</v>
      </c>
      <c r="AX29" s="43">
        <f>'[1]поточний ремонт'!AX29+'[2]поточний ремонт'!AX29-'[3]поточний ремонт'!AX29</f>
        <v>0</v>
      </c>
      <c r="AY29" s="5"/>
      <c r="AZ29" s="43">
        <f t="shared" si="2"/>
        <v>0</v>
      </c>
      <c r="BA29" s="43">
        <f t="shared" si="3"/>
        <v>0</v>
      </c>
      <c r="BB29" s="59">
        <f t="shared" si="4"/>
        <v>0</v>
      </c>
      <c r="BD29" s="2">
        <v>3</v>
      </c>
      <c r="BF29" s="30">
        <v>0</v>
      </c>
      <c r="BG29" s="328">
        <v>150001000</v>
      </c>
      <c r="BI29" s="107">
        <v>0</v>
      </c>
      <c r="BJ29" s="107">
        <f t="shared" si="5"/>
        <v>0</v>
      </c>
      <c r="BK29" s="107">
        <v>0</v>
      </c>
      <c r="BL29" s="39"/>
      <c r="BM29" s="3"/>
      <c r="BN29" s="3">
        <v>0</v>
      </c>
      <c r="BP29" s="3"/>
      <c r="BQ29" s="3"/>
      <c r="BS29" s="43">
        <v>12.8</v>
      </c>
      <c r="BT29" s="43">
        <v>8266.7880131224865</v>
      </c>
      <c r="BU29" s="1037"/>
      <c r="BV29" s="42"/>
      <c r="BW29" s="43"/>
      <c r="BX29" s="37"/>
      <c r="BY29" s="78"/>
      <c r="BZ29" s="43">
        <v>0</v>
      </c>
      <c r="CA29" s="1038"/>
      <c r="CB29" s="42">
        <v>0</v>
      </c>
      <c r="CC29" s="42">
        <v>0</v>
      </c>
      <c r="CD29" s="1039"/>
      <c r="CE29" s="78">
        <v>0</v>
      </c>
      <c r="CF29" s="56"/>
      <c r="CG29" s="42">
        <v>0</v>
      </c>
      <c r="CH29" s="39">
        <v>0</v>
      </c>
      <c r="CI29" s="78">
        <v>0</v>
      </c>
      <c r="CJ29" s="56"/>
      <c r="CK29" s="1034"/>
      <c r="CL29" s="1029"/>
      <c r="CM29" s="1034"/>
      <c r="CN29" s="1029">
        <v>0</v>
      </c>
      <c r="CO29" s="78">
        <v>0</v>
      </c>
      <c r="CP29" s="43">
        <v>0</v>
      </c>
      <c r="CQ29" s="5"/>
      <c r="CR29" s="78">
        <v>0</v>
      </c>
      <c r="CS29" s="1033">
        <v>0</v>
      </c>
      <c r="CT29" s="5"/>
      <c r="CU29" s="78">
        <v>0</v>
      </c>
      <c r="CV29" s="43">
        <v>0</v>
      </c>
      <c r="CW29" s="5"/>
      <c r="CX29" s="78">
        <v>0</v>
      </c>
      <c r="CY29" s="43">
        <v>0</v>
      </c>
      <c r="CZ29" s="5"/>
      <c r="DA29" s="78">
        <v>0</v>
      </c>
      <c r="DB29" s="43">
        <v>0</v>
      </c>
      <c r="DC29" s="5"/>
      <c r="DD29" s="78">
        <v>0</v>
      </c>
      <c r="DE29" s="43">
        <v>0</v>
      </c>
      <c r="DF29" s="5"/>
      <c r="DG29" s="78">
        <v>0</v>
      </c>
      <c r="DH29" s="43"/>
      <c r="DI29" s="5"/>
      <c r="DJ29" s="43">
        <v>0</v>
      </c>
      <c r="DK29" s="43">
        <f t="shared" si="6"/>
        <v>0</v>
      </c>
      <c r="DL29" s="59">
        <f t="shared" si="7"/>
        <v>0</v>
      </c>
    </row>
    <row r="30" spans="1:116" ht="24.9" customHeight="1" x14ac:dyDescent="0.3">
      <c r="A30" s="328">
        <v>150001004</v>
      </c>
      <c r="B30" s="45" t="s">
        <v>43</v>
      </c>
      <c r="C30" s="1035">
        <v>1</v>
      </c>
      <c r="D30" s="1036" t="s">
        <v>454</v>
      </c>
      <c r="E30" s="1028">
        <f>'побудинковий звіт'!E28</f>
        <v>403.93</v>
      </c>
      <c r="F30" s="1029">
        <f>'побудинковий звіт'!AS28</f>
        <v>3610.927304385797</v>
      </c>
      <c r="G30" s="1029">
        <f t="shared" si="0"/>
        <v>8376</v>
      </c>
      <c r="H30" s="1029">
        <f t="shared" si="1"/>
        <v>4765.0726956142025</v>
      </c>
      <c r="I30" s="43">
        <f>'[1]поточний ремонт'!I30+'[2]поточний ремонт'!I30-'[3]поточний ремонт'!I30</f>
        <v>22.8</v>
      </c>
      <c r="J30" s="43">
        <f>'[1]поточний ремонт'!J30+'[2]поточний ремонт'!J30-'[3]поточний ремонт'!J30</f>
        <v>8376</v>
      </c>
      <c r="K30" s="1037"/>
      <c r="L30" s="43">
        <f>'[1]поточний ремонт'!L30+'[2]поточний ремонт'!L30-'[3]поточний ремонт'!L30</f>
        <v>0</v>
      </c>
      <c r="M30" s="43">
        <f>'[1]поточний ремонт'!M30+'[2]поточний ремонт'!M30-'[3]поточний ремонт'!M30</f>
        <v>0</v>
      </c>
      <c r="N30" s="37"/>
      <c r="O30" s="43">
        <f>'[1]поточний ремонт'!O30+'[2]поточний ремонт'!O30-'[3]поточний ремонт'!O30</f>
        <v>0</v>
      </c>
      <c r="P30" s="43">
        <f>'[1]поточний ремонт'!P30+'[2]поточний ремонт'!P30-'[3]поточний ремонт'!P30</f>
        <v>0</v>
      </c>
      <c r="Q30" s="1038"/>
      <c r="R30" s="43">
        <f>'[1]поточний ремонт'!R30+'[2]поточний ремонт'!R30-'[3]поточний ремонт'!R30</f>
        <v>0</v>
      </c>
      <c r="S30" s="43">
        <f>'[1]поточний ремонт'!S30+'[2]поточний ремонт'!S30-'[3]поточний ремонт'!S30</f>
        <v>0</v>
      </c>
      <c r="T30" s="1039"/>
      <c r="U30" s="43">
        <f>'[1]поточний ремонт'!U30+'[2]поточний ремонт'!U30-'[3]поточний ремонт'!U30</f>
        <v>0</v>
      </c>
      <c r="V30" s="43">
        <f>'[1]поточний ремонт'!V30+'[2]поточний ремонт'!V30-'[3]поточний ремонт'!V30</f>
        <v>0</v>
      </c>
      <c r="W30" s="43">
        <f>'[1]поточний ремонт'!W30+'[2]поточний ремонт'!W30-'[3]поточний ремонт'!W30</f>
        <v>0</v>
      </c>
      <c r="X30" s="43">
        <f>'[1]поточний ремонт'!X30+'[2]поточний ремонт'!X30-'[3]поточний ремонт'!X30</f>
        <v>0</v>
      </c>
      <c r="Y30" s="43">
        <f>'[1]поточний ремонт'!Y30+'[2]поточний ремонт'!Y30-'[3]поточний ремонт'!Y30</f>
        <v>0</v>
      </c>
      <c r="Z30" s="43">
        <f>'[1]поточний ремонт'!Z30+'[2]поточний ремонт'!Z30-'[3]поточний ремонт'!Z30</f>
        <v>0</v>
      </c>
      <c r="AA30" s="43">
        <f>'[1]поточний ремонт'!AA30+'[2]поточний ремонт'!AA30-'[3]поточний ремонт'!AA30</f>
        <v>0</v>
      </c>
      <c r="AB30" s="43">
        <f>'[1]поточний ремонт'!AB30+'[2]поточний ремонт'!AB30-'[3]поточний ремонт'!AB30</f>
        <v>0</v>
      </c>
      <c r="AC30" s="43">
        <f>'[1]поточний ремонт'!AC30+'[2]поточний ремонт'!AC30-'[3]поточний ремонт'!AC30</f>
        <v>0</v>
      </c>
      <c r="AD30" s="43">
        <f>'[1]поточний ремонт'!AD30+'[2]поточний ремонт'!AD30-'[3]поточний ремонт'!AD30</f>
        <v>0</v>
      </c>
      <c r="AE30" s="43">
        <f>'[1]поточний ремонт'!AE30+'[2]поточний ремонт'!AE30-'[3]поточний ремонт'!AE30</f>
        <v>0</v>
      </c>
      <c r="AF30" s="43">
        <f>'[1]поточний ремонт'!AF30+'[2]поточний ремонт'!AF30-'[3]поточний ремонт'!AF30</f>
        <v>0</v>
      </c>
      <c r="AG30" s="5"/>
      <c r="AH30" s="43">
        <f>'[1]поточний ремонт'!AH30+'[2]поточний ремонт'!AH30-'[3]поточний ремонт'!AH30</f>
        <v>0</v>
      </c>
      <c r="AI30" s="43">
        <f>'[1]поточний ремонт'!AI30+'[2]поточний ремонт'!AI30-'[3]поточний ремонт'!AI30</f>
        <v>0</v>
      </c>
      <c r="AJ30" s="5"/>
      <c r="AK30" s="43">
        <f>'[1]поточний ремонт'!AK30+'[2]поточний ремонт'!AK30-'[3]поточний ремонт'!AK30</f>
        <v>0</v>
      </c>
      <c r="AL30" s="43">
        <f>'[1]поточний ремонт'!AL30+'[2]поточний ремонт'!AL30-'[3]поточний ремонт'!AL30</f>
        <v>0</v>
      </c>
      <c r="AM30" s="5"/>
      <c r="AN30" s="43">
        <f>'[1]поточний ремонт'!AN30+'[2]поточний ремонт'!AN30-'[3]поточний ремонт'!AN30</f>
        <v>0</v>
      </c>
      <c r="AO30" s="43">
        <f>'[1]поточний ремонт'!AO30+'[2]поточний ремонт'!AO30-'[3]поточний ремонт'!AO30</f>
        <v>0</v>
      </c>
      <c r="AP30" s="5"/>
      <c r="AQ30" s="43">
        <f>'[1]поточний ремонт'!AQ30+'[2]поточний ремонт'!AQ30-'[3]поточний ремонт'!AQ30</f>
        <v>0</v>
      </c>
      <c r="AR30" s="43">
        <f>'[1]поточний ремонт'!AR30+'[2]поточний ремонт'!AR30-'[3]поточний ремонт'!AR30</f>
        <v>0</v>
      </c>
      <c r="AS30" s="5"/>
      <c r="AT30" s="43">
        <f>'[1]поточний ремонт'!AT30+'[2]поточний ремонт'!AT30-'[3]поточний ремонт'!AT30</f>
        <v>0</v>
      </c>
      <c r="AU30" s="43">
        <f>'[1]поточний ремонт'!AU30+'[2]поточний ремонт'!AU30-'[3]поточний ремонт'!AU30</f>
        <v>0</v>
      </c>
      <c r="AV30" s="5"/>
      <c r="AW30" s="43">
        <f>'[1]поточний ремонт'!AW30+'[2]поточний ремонт'!AW30-'[3]поточний ремонт'!AW30</f>
        <v>0</v>
      </c>
      <c r="AX30" s="43">
        <f>'[1]поточний ремонт'!AX30+'[2]поточний ремонт'!AX30-'[3]поточний ремонт'!AX30</f>
        <v>0</v>
      </c>
      <c r="AY30" s="5"/>
      <c r="AZ30" s="43">
        <f t="shared" si="2"/>
        <v>0</v>
      </c>
      <c r="BA30" s="43">
        <f t="shared" si="3"/>
        <v>0</v>
      </c>
      <c r="BB30" s="59">
        <f t="shared" si="4"/>
        <v>0</v>
      </c>
      <c r="BD30" s="2">
        <v>3</v>
      </c>
      <c r="BF30" s="30">
        <v>0</v>
      </c>
      <c r="BG30" s="328">
        <v>150001004</v>
      </c>
      <c r="BI30" s="107">
        <v>0</v>
      </c>
      <c r="BJ30" s="107">
        <f t="shared" si="5"/>
        <v>0</v>
      </c>
      <c r="BK30" s="107">
        <v>0</v>
      </c>
      <c r="BL30" s="39"/>
      <c r="BM30" s="3"/>
      <c r="BN30" s="3">
        <v>0</v>
      </c>
      <c r="BP30" s="3"/>
      <c r="BQ30" s="3"/>
      <c r="BS30" s="43"/>
      <c r="BT30" s="43">
        <v>0</v>
      </c>
      <c r="BU30" s="1037"/>
      <c r="BV30" s="42"/>
      <c r="BW30" s="43"/>
      <c r="BX30" s="37"/>
      <c r="BY30" s="78"/>
      <c r="BZ30" s="43">
        <v>0</v>
      </c>
      <c r="CA30" s="1038"/>
      <c r="CB30" s="42">
        <v>0</v>
      </c>
      <c r="CC30" s="42">
        <v>0</v>
      </c>
      <c r="CD30" s="1039"/>
      <c r="CE30" s="78">
        <v>0</v>
      </c>
      <c r="CF30" s="56"/>
      <c r="CG30" s="42">
        <v>0</v>
      </c>
      <c r="CH30" s="39">
        <v>0</v>
      </c>
      <c r="CI30" s="78">
        <v>0</v>
      </c>
      <c r="CJ30" s="56"/>
      <c r="CK30" s="1034"/>
      <c r="CL30" s="1029"/>
      <c r="CM30" s="1034"/>
      <c r="CN30" s="1029">
        <v>0</v>
      </c>
      <c r="CO30" s="78">
        <v>0</v>
      </c>
      <c r="CP30" s="43">
        <v>0</v>
      </c>
      <c r="CQ30" s="5"/>
      <c r="CR30" s="78">
        <v>0</v>
      </c>
      <c r="CS30" s="1033">
        <v>0</v>
      </c>
      <c r="CT30" s="5"/>
      <c r="CU30" s="78">
        <v>0</v>
      </c>
      <c r="CV30" s="43">
        <v>0</v>
      </c>
      <c r="CW30" s="5"/>
      <c r="CX30" s="78">
        <v>0</v>
      </c>
      <c r="CY30" s="43">
        <v>0</v>
      </c>
      <c r="CZ30" s="5"/>
      <c r="DA30" s="78">
        <v>0</v>
      </c>
      <c r="DB30" s="43">
        <v>0</v>
      </c>
      <c r="DC30" s="5"/>
      <c r="DD30" s="78">
        <v>0</v>
      </c>
      <c r="DE30" s="43">
        <v>0</v>
      </c>
      <c r="DF30" s="5"/>
      <c r="DG30" s="78">
        <v>0</v>
      </c>
      <c r="DH30" s="43"/>
      <c r="DI30" s="5"/>
      <c r="DJ30" s="43">
        <v>0</v>
      </c>
      <c r="DK30" s="43">
        <f t="shared" si="6"/>
        <v>0</v>
      </c>
      <c r="DL30" s="59">
        <f t="shared" si="7"/>
        <v>0</v>
      </c>
    </row>
    <row r="31" spans="1:116" ht="24.9" customHeight="1" x14ac:dyDescent="0.3">
      <c r="A31" s="328">
        <v>150000994</v>
      </c>
      <c r="B31" s="45" t="s">
        <v>44</v>
      </c>
      <c r="C31" s="1035">
        <v>1</v>
      </c>
      <c r="D31" s="1036" t="s">
        <v>454</v>
      </c>
      <c r="E31" s="1028">
        <f>'побудинковий звіт'!E29</f>
        <v>4845</v>
      </c>
      <c r="F31" s="1029">
        <f>'побудинковий звіт'!AS29</f>
        <v>3172.9908744899853</v>
      </c>
      <c r="G31" s="1029">
        <f t="shared" si="0"/>
        <v>4383</v>
      </c>
      <c r="H31" s="1029">
        <f t="shared" si="1"/>
        <v>1210.0091255100147</v>
      </c>
      <c r="I31" s="43">
        <f>'[1]поточний ремонт'!I31+'[2]поточний ремонт'!I31-'[3]поточний ремонт'!I31</f>
        <v>16.27</v>
      </c>
      <c r="J31" s="43">
        <f>'[1]поточний ремонт'!J31+'[2]поточний ремонт'!J31-'[3]поточний ремонт'!J31</f>
        <v>4383</v>
      </c>
      <c r="K31" s="1037"/>
      <c r="L31" s="43">
        <f>'[1]поточний ремонт'!L31+'[2]поточний ремонт'!L31-'[3]поточний ремонт'!L31</f>
        <v>0</v>
      </c>
      <c r="M31" s="43">
        <f>'[1]поточний ремонт'!M31+'[2]поточний ремонт'!M31-'[3]поточний ремонт'!M31</f>
        <v>0</v>
      </c>
      <c r="N31" s="37"/>
      <c r="O31" s="43">
        <f>'[1]поточний ремонт'!O31+'[2]поточний ремонт'!O31-'[3]поточний ремонт'!O31</f>
        <v>0</v>
      </c>
      <c r="P31" s="43">
        <f>'[1]поточний ремонт'!P31+'[2]поточний ремонт'!P31-'[3]поточний ремонт'!P31</f>
        <v>0</v>
      </c>
      <c r="Q31" s="1038"/>
      <c r="R31" s="43">
        <f>'[1]поточний ремонт'!R31+'[2]поточний ремонт'!R31-'[3]поточний ремонт'!R31</f>
        <v>0</v>
      </c>
      <c r="S31" s="43">
        <f>'[1]поточний ремонт'!S31+'[2]поточний ремонт'!S31-'[3]поточний ремонт'!S31</f>
        <v>0</v>
      </c>
      <c r="T31" s="1039"/>
      <c r="U31" s="43">
        <f>'[1]поточний ремонт'!U31+'[2]поточний ремонт'!U31-'[3]поточний ремонт'!U31</f>
        <v>0</v>
      </c>
      <c r="V31" s="43">
        <f>'[1]поточний ремонт'!V31+'[2]поточний ремонт'!V31-'[3]поточний ремонт'!V31</f>
        <v>0</v>
      </c>
      <c r="W31" s="43">
        <f>'[1]поточний ремонт'!W31+'[2]поточний ремонт'!W31-'[3]поточний ремонт'!W31</f>
        <v>0</v>
      </c>
      <c r="X31" s="43">
        <f>'[1]поточний ремонт'!X31+'[2]поточний ремонт'!X31-'[3]поточний ремонт'!X31</f>
        <v>0</v>
      </c>
      <c r="Y31" s="43">
        <f>'[1]поточний ремонт'!Y31+'[2]поточний ремонт'!Y31-'[3]поточний ремонт'!Y31</f>
        <v>0</v>
      </c>
      <c r="Z31" s="43">
        <f>'[1]поточний ремонт'!Z31+'[2]поточний ремонт'!Z31-'[3]поточний ремонт'!Z31</f>
        <v>0</v>
      </c>
      <c r="AA31" s="43">
        <f>'[1]поточний ремонт'!AA31+'[2]поточний ремонт'!AA31-'[3]поточний ремонт'!AA31</f>
        <v>0</v>
      </c>
      <c r="AB31" s="43">
        <f>'[1]поточний ремонт'!AB31+'[2]поточний ремонт'!AB31-'[3]поточний ремонт'!AB31</f>
        <v>0</v>
      </c>
      <c r="AC31" s="43">
        <f>'[1]поточний ремонт'!AC31+'[2]поточний ремонт'!AC31-'[3]поточний ремонт'!AC31</f>
        <v>0</v>
      </c>
      <c r="AD31" s="43">
        <f>'[1]поточний ремонт'!AD31+'[2]поточний ремонт'!AD31-'[3]поточний ремонт'!AD31</f>
        <v>0</v>
      </c>
      <c r="AE31" s="43">
        <f>'[1]поточний ремонт'!AE31+'[2]поточний ремонт'!AE31-'[3]поточний ремонт'!AE31</f>
        <v>0</v>
      </c>
      <c r="AF31" s="43">
        <f>'[1]поточний ремонт'!AF31+'[2]поточний ремонт'!AF31-'[3]поточний ремонт'!AF31</f>
        <v>0</v>
      </c>
      <c r="AG31" s="5"/>
      <c r="AH31" s="43">
        <f>'[1]поточний ремонт'!AH31+'[2]поточний ремонт'!AH31-'[3]поточний ремонт'!AH31</f>
        <v>0</v>
      </c>
      <c r="AI31" s="43">
        <f>'[1]поточний ремонт'!AI31+'[2]поточний ремонт'!AI31-'[3]поточний ремонт'!AI31</f>
        <v>0</v>
      </c>
      <c r="AJ31" s="5"/>
      <c r="AK31" s="43">
        <f>'[1]поточний ремонт'!AK31+'[2]поточний ремонт'!AK31-'[3]поточний ремонт'!AK31</f>
        <v>0</v>
      </c>
      <c r="AL31" s="43">
        <f>'[1]поточний ремонт'!AL31+'[2]поточний ремонт'!AL31-'[3]поточний ремонт'!AL31</f>
        <v>0</v>
      </c>
      <c r="AM31" s="5"/>
      <c r="AN31" s="43">
        <f>'[1]поточний ремонт'!AN31+'[2]поточний ремонт'!AN31-'[3]поточний ремонт'!AN31</f>
        <v>0</v>
      </c>
      <c r="AO31" s="43">
        <f>'[1]поточний ремонт'!AO31+'[2]поточний ремонт'!AO31-'[3]поточний ремонт'!AO31</f>
        <v>0</v>
      </c>
      <c r="AP31" s="5"/>
      <c r="AQ31" s="43">
        <f>'[1]поточний ремонт'!AQ31+'[2]поточний ремонт'!AQ31-'[3]поточний ремонт'!AQ31</f>
        <v>0</v>
      </c>
      <c r="AR31" s="43">
        <f>'[1]поточний ремонт'!AR31+'[2]поточний ремонт'!AR31-'[3]поточний ремонт'!AR31</f>
        <v>0</v>
      </c>
      <c r="AS31" s="5"/>
      <c r="AT31" s="43">
        <f>'[1]поточний ремонт'!AT31+'[2]поточний ремонт'!AT31-'[3]поточний ремонт'!AT31</f>
        <v>0</v>
      </c>
      <c r="AU31" s="43">
        <f>'[1]поточний ремонт'!AU31+'[2]поточний ремонт'!AU31-'[3]поточний ремонт'!AU31</f>
        <v>0</v>
      </c>
      <c r="AV31" s="5"/>
      <c r="AW31" s="43">
        <f>'[1]поточний ремонт'!AW31+'[2]поточний ремонт'!AW31-'[3]поточний ремонт'!AW31</f>
        <v>0</v>
      </c>
      <c r="AX31" s="43">
        <f>'[1]поточний ремонт'!AX31+'[2]поточний ремонт'!AX31-'[3]поточний ремонт'!AX31</f>
        <v>0</v>
      </c>
      <c r="AY31" s="5"/>
      <c r="AZ31" s="43">
        <f t="shared" si="2"/>
        <v>0</v>
      </c>
      <c r="BA31" s="43">
        <f t="shared" si="3"/>
        <v>0</v>
      </c>
      <c r="BB31" s="59">
        <f t="shared" si="4"/>
        <v>0</v>
      </c>
      <c r="BD31" s="2">
        <v>3</v>
      </c>
      <c r="BF31" s="30">
        <v>0</v>
      </c>
      <c r="BG31" s="328">
        <v>150000994</v>
      </c>
      <c r="BI31" s="107">
        <v>0</v>
      </c>
      <c r="BJ31" s="107">
        <f t="shared" si="5"/>
        <v>0</v>
      </c>
      <c r="BK31" s="107">
        <v>0</v>
      </c>
      <c r="BL31" s="39"/>
      <c r="BM31" s="3"/>
      <c r="BN31" s="3">
        <v>0</v>
      </c>
      <c r="BP31" s="3"/>
      <c r="BQ31" s="3"/>
      <c r="BS31" s="43"/>
      <c r="BT31" s="43">
        <v>0</v>
      </c>
      <c r="BU31" s="1037"/>
      <c r="BV31" s="42"/>
      <c r="BW31" s="43"/>
      <c r="BX31" s="37"/>
      <c r="BY31" s="78"/>
      <c r="BZ31" s="43">
        <v>0</v>
      </c>
      <c r="CA31" s="1038"/>
      <c r="CB31" s="42">
        <v>0</v>
      </c>
      <c r="CC31" s="42">
        <v>0</v>
      </c>
      <c r="CD31" s="1039"/>
      <c r="CE31" s="78">
        <v>0</v>
      </c>
      <c r="CF31" s="56"/>
      <c r="CG31" s="42">
        <v>0</v>
      </c>
      <c r="CH31" s="39">
        <v>0</v>
      </c>
      <c r="CI31" s="78">
        <v>0</v>
      </c>
      <c r="CJ31" s="56"/>
      <c r="CK31" s="1034"/>
      <c r="CL31" s="1029"/>
      <c r="CM31" s="1034"/>
      <c r="CN31" s="1029">
        <v>0</v>
      </c>
      <c r="CO31" s="78">
        <v>0</v>
      </c>
      <c r="CP31" s="43">
        <v>0</v>
      </c>
      <c r="CQ31" s="5"/>
      <c r="CR31" s="78">
        <v>0</v>
      </c>
      <c r="CS31" s="1033">
        <v>0</v>
      </c>
      <c r="CT31" s="5"/>
      <c r="CU31" s="78">
        <v>0</v>
      </c>
      <c r="CV31" s="43">
        <v>0</v>
      </c>
      <c r="CW31" s="5"/>
      <c r="CX31" s="78">
        <v>0</v>
      </c>
      <c r="CY31" s="43">
        <v>0</v>
      </c>
      <c r="CZ31" s="5"/>
      <c r="DA31" s="78">
        <v>0</v>
      </c>
      <c r="DB31" s="43">
        <v>0</v>
      </c>
      <c r="DC31" s="5"/>
      <c r="DD31" s="78">
        <v>0</v>
      </c>
      <c r="DE31" s="43">
        <v>0</v>
      </c>
      <c r="DF31" s="5"/>
      <c r="DG31" s="78">
        <v>0</v>
      </c>
      <c r="DH31" s="43"/>
      <c r="DI31" s="5"/>
      <c r="DJ31" s="43">
        <v>0</v>
      </c>
      <c r="DK31" s="43">
        <f t="shared" si="6"/>
        <v>0</v>
      </c>
      <c r="DL31" s="59">
        <f t="shared" si="7"/>
        <v>0</v>
      </c>
    </row>
    <row r="32" spans="1:116" ht="24.9" customHeight="1" x14ac:dyDescent="0.3">
      <c r="A32" s="328">
        <v>150000995</v>
      </c>
      <c r="B32" s="45" t="s">
        <v>47</v>
      </c>
      <c r="C32" s="1035">
        <v>1</v>
      </c>
      <c r="D32" s="1036" t="s">
        <v>454</v>
      </c>
      <c r="E32" s="1028">
        <f>'побудинковий звіт'!E30</f>
        <v>664</v>
      </c>
      <c r="F32" s="1029">
        <f>'побудинковий звіт'!AS30</f>
        <v>2079.51285890175</v>
      </c>
      <c r="G32" s="1029">
        <f t="shared" si="0"/>
        <v>0</v>
      </c>
      <c r="H32" s="1029">
        <f t="shared" si="1"/>
        <v>-2079.51285890175</v>
      </c>
      <c r="I32" s="43">
        <f>'[1]поточний ремонт'!I32+'[2]поточний ремонт'!I32-'[3]поточний ремонт'!I32</f>
        <v>0</v>
      </c>
      <c r="J32" s="43">
        <f>'[1]поточний ремонт'!J32+'[2]поточний ремонт'!J32-'[3]поточний ремонт'!J32</f>
        <v>0</v>
      </c>
      <c r="K32" s="1037"/>
      <c r="L32" s="43">
        <f>'[1]поточний ремонт'!L32+'[2]поточний ремонт'!L32-'[3]поточний ремонт'!L32</f>
        <v>0</v>
      </c>
      <c r="M32" s="43">
        <f>'[1]поточний ремонт'!M32+'[2]поточний ремонт'!M32-'[3]поточний ремонт'!M32</f>
        <v>0</v>
      </c>
      <c r="N32" s="37"/>
      <c r="O32" s="43">
        <f>'[1]поточний ремонт'!O32+'[2]поточний ремонт'!O32-'[3]поточний ремонт'!O32</f>
        <v>0</v>
      </c>
      <c r="P32" s="43">
        <f>'[1]поточний ремонт'!P32+'[2]поточний ремонт'!P32-'[3]поточний ремонт'!P32</f>
        <v>0</v>
      </c>
      <c r="Q32" s="1038"/>
      <c r="R32" s="43">
        <f>'[1]поточний ремонт'!R32+'[2]поточний ремонт'!R32-'[3]поточний ремонт'!R32</f>
        <v>0</v>
      </c>
      <c r="S32" s="43">
        <f>'[1]поточний ремонт'!S32+'[2]поточний ремонт'!S32-'[3]поточний ремонт'!S32</f>
        <v>0</v>
      </c>
      <c r="T32" s="1039"/>
      <c r="U32" s="43">
        <f>'[1]поточний ремонт'!U32+'[2]поточний ремонт'!U32-'[3]поточний ремонт'!U32</f>
        <v>0</v>
      </c>
      <c r="V32" s="43">
        <f>'[1]поточний ремонт'!V32+'[2]поточний ремонт'!V32-'[3]поточний ремонт'!V32</f>
        <v>0</v>
      </c>
      <c r="W32" s="43">
        <f>'[1]поточний ремонт'!W32+'[2]поточний ремонт'!W32-'[3]поточний ремонт'!W32</f>
        <v>0</v>
      </c>
      <c r="X32" s="43">
        <f>'[1]поточний ремонт'!X32+'[2]поточний ремонт'!X32-'[3]поточний ремонт'!X32</f>
        <v>0</v>
      </c>
      <c r="Y32" s="43">
        <f>'[1]поточний ремонт'!Y32+'[2]поточний ремонт'!Y32-'[3]поточний ремонт'!Y32</f>
        <v>0</v>
      </c>
      <c r="Z32" s="43">
        <f>'[1]поточний ремонт'!Z32+'[2]поточний ремонт'!Z32-'[3]поточний ремонт'!Z32</f>
        <v>0</v>
      </c>
      <c r="AA32" s="43">
        <f>'[1]поточний ремонт'!AA32+'[2]поточний ремонт'!AA32-'[3]поточний ремонт'!AA32</f>
        <v>0</v>
      </c>
      <c r="AB32" s="43">
        <f>'[1]поточний ремонт'!AB32+'[2]поточний ремонт'!AB32-'[3]поточний ремонт'!AB32</f>
        <v>0</v>
      </c>
      <c r="AC32" s="43">
        <f>'[1]поточний ремонт'!AC32+'[2]поточний ремонт'!AC32-'[3]поточний ремонт'!AC32</f>
        <v>0</v>
      </c>
      <c r="AD32" s="43">
        <f>'[1]поточний ремонт'!AD32+'[2]поточний ремонт'!AD32-'[3]поточний ремонт'!AD32</f>
        <v>0</v>
      </c>
      <c r="AE32" s="43">
        <f>'[1]поточний ремонт'!AE32+'[2]поточний ремонт'!AE32-'[3]поточний ремонт'!AE32</f>
        <v>0</v>
      </c>
      <c r="AF32" s="43">
        <f>'[1]поточний ремонт'!AF32+'[2]поточний ремонт'!AF32-'[3]поточний ремонт'!AF32</f>
        <v>0</v>
      </c>
      <c r="AG32" s="5"/>
      <c r="AH32" s="43">
        <f>'[1]поточний ремонт'!AH32+'[2]поточний ремонт'!AH32-'[3]поточний ремонт'!AH32</f>
        <v>0</v>
      </c>
      <c r="AI32" s="43">
        <f>'[1]поточний ремонт'!AI32+'[2]поточний ремонт'!AI32-'[3]поточний ремонт'!AI32</f>
        <v>0</v>
      </c>
      <c r="AJ32" s="5"/>
      <c r="AK32" s="43">
        <f>'[1]поточний ремонт'!AK32+'[2]поточний ремонт'!AK32-'[3]поточний ремонт'!AK32</f>
        <v>0</v>
      </c>
      <c r="AL32" s="43">
        <f>'[1]поточний ремонт'!AL32+'[2]поточний ремонт'!AL32-'[3]поточний ремонт'!AL32</f>
        <v>0</v>
      </c>
      <c r="AM32" s="5"/>
      <c r="AN32" s="43">
        <f>'[1]поточний ремонт'!AN32+'[2]поточний ремонт'!AN32-'[3]поточний ремонт'!AN32</f>
        <v>0</v>
      </c>
      <c r="AO32" s="43">
        <f>'[1]поточний ремонт'!AO32+'[2]поточний ремонт'!AO32-'[3]поточний ремонт'!AO32</f>
        <v>0</v>
      </c>
      <c r="AP32" s="5"/>
      <c r="AQ32" s="43">
        <f>'[1]поточний ремонт'!AQ32+'[2]поточний ремонт'!AQ32-'[3]поточний ремонт'!AQ32</f>
        <v>0</v>
      </c>
      <c r="AR32" s="43">
        <f>'[1]поточний ремонт'!AR32+'[2]поточний ремонт'!AR32-'[3]поточний ремонт'!AR32</f>
        <v>0</v>
      </c>
      <c r="AS32" s="5"/>
      <c r="AT32" s="43">
        <f>'[1]поточний ремонт'!AT32+'[2]поточний ремонт'!AT32-'[3]поточний ремонт'!AT32</f>
        <v>0</v>
      </c>
      <c r="AU32" s="43">
        <f>'[1]поточний ремонт'!AU32+'[2]поточний ремонт'!AU32-'[3]поточний ремонт'!AU32</f>
        <v>0</v>
      </c>
      <c r="AV32" s="5"/>
      <c r="AW32" s="43">
        <f>'[1]поточний ремонт'!AW32+'[2]поточний ремонт'!AW32-'[3]поточний ремонт'!AW32</f>
        <v>0</v>
      </c>
      <c r="AX32" s="43">
        <f>'[1]поточний ремонт'!AX32+'[2]поточний ремонт'!AX32-'[3]поточний ремонт'!AX32</f>
        <v>0</v>
      </c>
      <c r="AY32" s="5"/>
      <c r="AZ32" s="43">
        <f t="shared" si="2"/>
        <v>0</v>
      </c>
      <c r="BA32" s="43">
        <f t="shared" si="3"/>
        <v>0</v>
      </c>
      <c r="BB32" s="59">
        <f t="shared" si="4"/>
        <v>0</v>
      </c>
      <c r="BD32" s="2">
        <v>3</v>
      </c>
      <c r="BF32" s="30">
        <v>0</v>
      </c>
      <c r="BG32" s="328">
        <v>150000995</v>
      </c>
      <c r="BI32" s="107">
        <v>0</v>
      </c>
      <c r="BJ32" s="107">
        <f t="shared" si="5"/>
        <v>0</v>
      </c>
      <c r="BK32" s="107">
        <v>0</v>
      </c>
      <c r="BL32" s="39"/>
      <c r="BM32" s="3"/>
      <c r="BN32" s="3">
        <v>0</v>
      </c>
      <c r="BP32" s="3"/>
      <c r="BQ32" s="3"/>
      <c r="BS32" s="43"/>
      <c r="BT32" s="43">
        <v>0</v>
      </c>
      <c r="BU32" s="1037"/>
      <c r="BV32" s="42"/>
      <c r="BW32" s="43"/>
      <c r="BX32" s="37"/>
      <c r="BY32" s="78"/>
      <c r="BZ32" s="43">
        <v>0</v>
      </c>
      <c r="CA32" s="1038"/>
      <c r="CB32" s="42">
        <v>0</v>
      </c>
      <c r="CC32" s="42">
        <v>0</v>
      </c>
      <c r="CD32" s="1039"/>
      <c r="CE32" s="78">
        <v>0</v>
      </c>
      <c r="CF32" s="56"/>
      <c r="CG32" s="42">
        <v>0</v>
      </c>
      <c r="CH32" s="39">
        <v>0</v>
      </c>
      <c r="CI32" s="78">
        <v>0</v>
      </c>
      <c r="CJ32" s="56"/>
      <c r="CK32" s="1034"/>
      <c r="CL32" s="1029"/>
      <c r="CM32" s="1034"/>
      <c r="CN32" s="1029">
        <v>0</v>
      </c>
      <c r="CO32" s="78">
        <v>0</v>
      </c>
      <c r="CP32" s="43">
        <v>0</v>
      </c>
      <c r="CQ32" s="5"/>
      <c r="CR32" s="78">
        <v>0</v>
      </c>
      <c r="CS32" s="1033">
        <v>0</v>
      </c>
      <c r="CT32" s="5"/>
      <c r="CU32" s="78">
        <v>0</v>
      </c>
      <c r="CV32" s="43">
        <v>0</v>
      </c>
      <c r="CW32" s="5"/>
      <c r="CX32" s="78">
        <v>0</v>
      </c>
      <c r="CY32" s="43">
        <v>0</v>
      </c>
      <c r="CZ32" s="5"/>
      <c r="DA32" s="78">
        <v>0</v>
      </c>
      <c r="DB32" s="43">
        <v>0</v>
      </c>
      <c r="DC32" s="5"/>
      <c r="DD32" s="78">
        <v>0</v>
      </c>
      <c r="DE32" s="43">
        <v>0</v>
      </c>
      <c r="DF32" s="5"/>
      <c r="DG32" s="78">
        <v>0</v>
      </c>
      <c r="DH32" s="43"/>
      <c r="DI32" s="5"/>
      <c r="DJ32" s="43">
        <v>0</v>
      </c>
      <c r="DK32" s="43">
        <f t="shared" si="6"/>
        <v>0</v>
      </c>
      <c r="DL32" s="59">
        <f t="shared" si="7"/>
        <v>0</v>
      </c>
    </row>
    <row r="33" spans="1:116" ht="24.9" customHeight="1" x14ac:dyDescent="0.3">
      <c r="A33" s="328">
        <v>150001002</v>
      </c>
      <c r="B33" s="45" t="s">
        <v>48</v>
      </c>
      <c r="C33" s="1035">
        <v>1</v>
      </c>
      <c r="D33" s="1036" t="s">
        <v>454</v>
      </c>
      <c r="E33" s="1028">
        <f>'побудинковий звіт'!E31</f>
        <v>206.8</v>
      </c>
      <c r="F33" s="1029">
        <f>'побудинковий звіт'!AS31</f>
        <v>3202.2965626350124</v>
      </c>
      <c r="G33" s="1029">
        <f t="shared" si="0"/>
        <v>461</v>
      </c>
      <c r="H33" s="1029">
        <f t="shared" si="1"/>
        <v>-2741.2965626350124</v>
      </c>
      <c r="I33" s="43">
        <f>'[1]поточний ремонт'!I33+'[2]поточний ремонт'!I33-'[3]поточний ремонт'!I33</f>
        <v>2</v>
      </c>
      <c r="J33" s="43">
        <f>'[1]поточний ремонт'!J33+'[2]поточний ремонт'!J33-'[3]поточний ремонт'!J33</f>
        <v>461</v>
      </c>
      <c r="K33" s="1037"/>
      <c r="L33" s="43">
        <f>'[1]поточний ремонт'!L33+'[2]поточний ремонт'!L33-'[3]поточний ремонт'!L33</f>
        <v>0</v>
      </c>
      <c r="M33" s="43">
        <f>'[1]поточний ремонт'!M33+'[2]поточний ремонт'!M33-'[3]поточний ремонт'!M33</f>
        <v>0</v>
      </c>
      <c r="N33" s="37"/>
      <c r="O33" s="43">
        <f>'[1]поточний ремонт'!O33+'[2]поточний ремонт'!O33-'[3]поточний ремонт'!O33</f>
        <v>0</v>
      </c>
      <c r="P33" s="43">
        <f>'[1]поточний ремонт'!P33+'[2]поточний ремонт'!P33-'[3]поточний ремонт'!P33</f>
        <v>0</v>
      </c>
      <c r="Q33" s="1038"/>
      <c r="R33" s="43">
        <f>'[1]поточний ремонт'!R33+'[2]поточний ремонт'!R33-'[3]поточний ремонт'!R33</f>
        <v>0</v>
      </c>
      <c r="S33" s="43">
        <f>'[1]поточний ремонт'!S33+'[2]поточний ремонт'!S33-'[3]поточний ремонт'!S33</f>
        <v>0</v>
      </c>
      <c r="T33" s="1039"/>
      <c r="U33" s="43">
        <f>'[1]поточний ремонт'!U33+'[2]поточний ремонт'!U33-'[3]поточний ремонт'!U33</f>
        <v>0</v>
      </c>
      <c r="V33" s="43">
        <f>'[1]поточний ремонт'!V33+'[2]поточний ремонт'!V33-'[3]поточний ремонт'!V33</f>
        <v>0</v>
      </c>
      <c r="W33" s="43">
        <f>'[1]поточний ремонт'!W33+'[2]поточний ремонт'!W33-'[3]поточний ремонт'!W33</f>
        <v>0</v>
      </c>
      <c r="X33" s="43">
        <f>'[1]поточний ремонт'!X33+'[2]поточний ремонт'!X33-'[3]поточний ремонт'!X33</f>
        <v>0</v>
      </c>
      <c r="Y33" s="43">
        <f>'[1]поточний ремонт'!Y33+'[2]поточний ремонт'!Y33-'[3]поточний ремонт'!Y33</f>
        <v>0</v>
      </c>
      <c r="Z33" s="43">
        <f>'[1]поточний ремонт'!Z33+'[2]поточний ремонт'!Z33-'[3]поточний ремонт'!Z33</f>
        <v>0</v>
      </c>
      <c r="AA33" s="43">
        <f>'[1]поточний ремонт'!AA33+'[2]поточний ремонт'!AA33-'[3]поточний ремонт'!AA33</f>
        <v>0</v>
      </c>
      <c r="AB33" s="43">
        <f>'[1]поточний ремонт'!AB33+'[2]поточний ремонт'!AB33-'[3]поточний ремонт'!AB33</f>
        <v>0</v>
      </c>
      <c r="AC33" s="43">
        <f>'[1]поточний ремонт'!AC33+'[2]поточний ремонт'!AC33-'[3]поточний ремонт'!AC33</f>
        <v>0</v>
      </c>
      <c r="AD33" s="43">
        <f>'[1]поточний ремонт'!AD33+'[2]поточний ремонт'!AD33-'[3]поточний ремонт'!AD33</f>
        <v>0</v>
      </c>
      <c r="AE33" s="43">
        <f>'[1]поточний ремонт'!AE33+'[2]поточний ремонт'!AE33-'[3]поточний ремонт'!AE33</f>
        <v>0</v>
      </c>
      <c r="AF33" s="43">
        <f>'[1]поточний ремонт'!AF33+'[2]поточний ремонт'!AF33-'[3]поточний ремонт'!AF33</f>
        <v>0</v>
      </c>
      <c r="AG33" s="5"/>
      <c r="AH33" s="43">
        <f>'[1]поточний ремонт'!AH33+'[2]поточний ремонт'!AH33-'[3]поточний ремонт'!AH33</f>
        <v>0</v>
      </c>
      <c r="AI33" s="43">
        <f>'[1]поточний ремонт'!AI33+'[2]поточний ремонт'!AI33-'[3]поточний ремонт'!AI33</f>
        <v>0</v>
      </c>
      <c r="AJ33" s="5"/>
      <c r="AK33" s="43">
        <f>'[1]поточний ремонт'!AK33+'[2]поточний ремонт'!AK33-'[3]поточний ремонт'!AK33</f>
        <v>0</v>
      </c>
      <c r="AL33" s="43">
        <f>'[1]поточний ремонт'!AL33+'[2]поточний ремонт'!AL33-'[3]поточний ремонт'!AL33</f>
        <v>0</v>
      </c>
      <c r="AM33" s="5"/>
      <c r="AN33" s="43">
        <f>'[1]поточний ремонт'!AN33+'[2]поточний ремонт'!AN33-'[3]поточний ремонт'!AN33</f>
        <v>0</v>
      </c>
      <c r="AO33" s="43">
        <f>'[1]поточний ремонт'!AO33+'[2]поточний ремонт'!AO33-'[3]поточний ремонт'!AO33</f>
        <v>0</v>
      </c>
      <c r="AP33" s="5"/>
      <c r="AQ33" s="43">
        <f>'[1]поточний ремонт'!AQ33+'[2]поточний ремонт'!AQ33-'[3]поточний ремонт'!AQ33</f>
        <v>0</v>
      </c>
      <c r="AR33" s="43">
        <f>'[1]поточний ремонт'!AR33+'[2]поточний ремонт'!AR33-'[3]поточний ремонт'!AR33</f>
        <v>0</v>
      </c>
      <c r="AS33" s="5"/>
      <c r="AT33" s="43">
        <f>'[1]поточний ремонт'!AT33+'[2]поточний ремонт'!AT33-'[3]поточний ремонт'!AT33</f>
        <v>0</v>
      </c>
      <c r="AU33" s="43">
        <f>'[1]поточний ремонт'!AU33+'[2]поточний ремонт'!AU33-'[3]поточний ремонт'!AU33</f>
        <v>0</v>
      </c>
      <c r="AV33" s="5"/>
      <c r="AW33" s="43">
        <f>'[1]поточний ремонт'!AW33+'[2]поточний ремонт'!AW33-'[3]поточний ремонт'!AW33</f>
        <v>0</v>
      </c>
      <c r="AX33" s="43">
        <f>'[1]поточний ремонт'!AX33+'[2]поточний ремонт'!AX33-'[3]поточний ремонт'!AX33</f>
        <v>0</v>
      </c>
      <c r="AY33" s="5"/>
      <c r="AZ33" s="43">
        <f t="shared" si="2"/>
        <v>0</v>
      </c>
      <c r="BA33" s="43">
        <f t="shared" si="3"/>
        <v>0</v>
      </c>
      <c r="BB33" s="59">
        <f t="shared" si="4"/>
        <v>0</v>
      </c>
      <c r="BD33" s="2">
        <v>3</v>
      </c>
      <c r="BF33" s="30">
        <v>0</v>
      </c>
      <c r="BG33" s="328">
        <v>150001002</v>
      </c>
      <c r="BI33" s="107">
        <v>0</v>
      </c>
      <c r="BJ33" s="107">
        <f t="shared" si="5"/>
        <v>0</v>
      </c>
      <c r="BK33" s="107">
        <v>0</v>
      </c>
      <c r="BL33" s="39"/>
      <c r="BM33" s="3"/>
      <c r="BN33" s="3">
        <v>0</v>
      </c>
      <c r="BP33" s="3"/>
      <c r="BQ33" s="3"/>
      <c r="BS33" s="43"/>
      <c r="BT33" s="43">
        <v>0</v>
      </c>
      <c r="BU33" s="1037"/>
      <c r="BV33" s="42"/>
      <c r="BW33" s="43"/>
      <c r="BX33" s="37"/>
      <c r="BY33" s="78"/>
      <c r="BZ33" s="43">
        <v>0</v>
      </c>
      <c r="CA33" s="1038"/>
      <c r="CB33" s="42">
        <v>0</v>
      </c>
      <c r="CC33" s="42">
        <v>0</v>
      </c>
      <c r="CD33" s="1039"/>
      <c r="CE33" s="78">
        <v>0</v>
      </c>
      <c r="CF33" s="56"/>
      <c r="CG33" s="42">
        <v>0</v>
      </c>
      <c r="CH33" s="39">
        <v>0</v>
      </c>
      <c r="CI33" s="78">
        <v>0</v>
      </c>
      <c r="CJ33" s="56"/>
      <c r="CK33" s="1034"/>
      <c r="CL33" s="1029"/>
      <c r="CM33" s="1034"/>
      <c r="CN33" s="1029">
        <v>0</v>
      </c>
      <c r="CO33" s="78">
        <v>0</v>
      </c>
      <c r="CP33" s="43">
        <v>0</v>
      </c>
      <c r="CQ33" s="5"/>
      <c r="CR33" s="78">
        <v>0</v>
      </c>
      <c r="CS33" s="1033">
        <v>0</v>
      </c>
      <c r="CT33" s="5"/>
      <c r="CU33" s="78">
        <v>0</v>
      </c>
      <c r="CV33" s="43">
        <v>0</v>
      </c>
      <c r="CW33" s="5"/>
      <c r="CX33" s="78">
        <v>0</v>
      </c>
      <c r="CY33" s="43">
        <v>0</v>
      </c>
      <c r="CZ33" s="5"/>
      <c r="DA33" s="78">
        <v>0</v>
      </c>
      <c r="DB33" s="43">
        <v>0</v>
      </c>
      <c r="DC33" s="5"/>
      <c r="DD33" s="78">
        <v>0</v>
      </c>
      <c r="DE33" s="43">
        <v>0</v>
      </c>
      <c r="DF33" s="5"/>
      <c r="DG33" s="78">
        <v>0</v>
      </c>
      <c r="DH33" s="43"/>
      <c r="DI33" s="5"/>
      <c r="DJ33" s="43">
        <v>0</v>
      </c>
      <c r="DK33" s="43">
        <f t="shared" si="6"/>
        <v>0</v>
      </c>
      <c r="DL33" s="59">
        <f t="shared" si="7"/>
        <v>0</v>
      </c>
    </row>
    <row r="34" spans="1:116" ht="24.9" customHeight="1" x14ac:dyDescent="0.3">
      <c r="A34" s="328">
        <v>150000972</v>
      </c>
      <c r="B34" s="45" t="s">
        <v>201</v>
      </c>
      <c r="C34" s="1035">
        <v>4</v>
      </c>
      <c r="D34" s="1036" t="s">
        <v>454</v>
      </c>
      <c r="E34" s="1028">
        <f>'побудинковий звіт'!E32</f>
        <v>2825.6</v>
      </c>
      <c r="F34" s="1029">
        <f>'побудинковий звіт'!AS32</f>
        <v>19445.542682432064</v>
      </c>
      <c r="G34" s="1029">
        <f t="shared" si="0"/>
        <v>13310.325693492689</v>
      </c>
      <c r="H34" s="1029">
        <f t="shared" si="1"/>
        <v>-6135.2169889393754</v>
      </c>
      <c r="I34" s="43">
        <f>'[1]поточний ремонт'!I34+'[2]поточний ремонт'!I34-'[3]поточний ремонт'!I34</f>
        <v>30</v>
      </c>
      <c r="J34" s="43">
        <f>'[1]поточний ремонт'!J34+'[2]поточний ремонт'!J34-'[3]поточний ремонт'!J34</f>
        <v>12982</v>
      </c>
      <c r="K34" s="1037"/>
      <c r="L34" s="43">
        <f>'[1]поточний ремонт'!L34+'[2]поточний ремонт'!L34-'[3]поточний ремонт'!L34</f>
        <v>0</v>
      </c>
      <c r="M34" s="43">
        <f>'[1]поточний ремонт'!M34+'[2]поточний ремонт'!M34-'[3]поточний ремонт'!M34</f>
        <v>0</v>
      </c>
      <c r="N34" s="1039"/>
      <c r="O34" s="43">
        <f>'[1]поточний ремонт'!O34+'[2]поточний ремонт'!O34-'[3]поточний ремонт'!O34</f>
        <v>0</v>
      </c>
      <c r="P34" s="43">
        <f>'[1]поточний ремонт'!P34+'[2]поточний ремонт'!P34-'[3]поточний ремонт'!P34</f>
        <v>0</v>
      </c>
      <c r="Q34" s="1038"/>
      <c r="R34" s="43">
        <f>'[1]поточний ремонт'!R34+'[2]поточний ремонт'!R34-'[3]поточний ремонт'!R34</f>
        <v>0</v>
      </c>
      <c r="S34" s="43">
        <f>'[1]поточний ремонт'!S34+'[2]поточний ремонт'!S34-'[3]поточний ремонт'!S34</f>
        <v>0</v>
      </c>
      <c r="T34" s="1039"/>
      <c r="U34" s="43">
        <f>'[1]поточний ремонт'!U34+'[2]поточний ремонт'!U34-'[3]поточний ремонт'!U34</f>
        <v>0</v>
      </c>
      <c r="V34" s="43">
        <f>'[1]поточний ремонт'!V34+'[2]поточний ремонт'!V34-'[3]поточний ремонт'!V34</f>
        <v>0</v>
      </c>
      <c r="W34" s="43">
        <f>'[1]поточний ремонт'!W34+'[2]поточний ремонт'!W34-'[3]поточний ремонт'!W34</f>
        <v>0</v>
      </c>
      <c r="X34" s="43">
        <f>'[1]поточний ремонт'!X34+'[2]поточний ремонт'!X34-'[3]поточний ремонт'!X34</f>
        <v>328.32569349268931</v>
      </c>
      <c r="Y34" s="43">
        <f>'[1]поточний ремонт'!Y34+'[2]поточний ремонт'!Y34-'[3]поточний ремонт'!Y34</f>
        <v>0</v>
      </c>
      <c r="Z34" s="43">
        <f>'[1]поточний ремонт'!Z34+'[2]поточний ремонт'!Z34-'[3]поточний ремонт'!Z34</f>
        <v>0</v>
      </c>
      <c r="AA34" s="43">
        <f>'[1]поточний ремонт'!AA34+'[2]поточний ремонт'!AA34-'[3]поточний ремонт'!AA34</f>
        <v>0</v>
      </c>
      <c r="AB34" s="43">
        <f>'[1]поточний ремонт'!AB34+'[2]поточний ремонт'!AB34-'[3]поточний ремонт'!AB34</f>
        <v>0</v>
      </c>
      <c r="AC34" s="43">
        <f>'[1]поточний ремонт'!AC34+'[2]поточний ремонт'!AC34-'[3]поточний ремонт'!AC34</f>
        <v>0</v>
      </c>
      <c r="AD34" s="43">
        <f>'[1]поточний ремонт'!AD34+'[2]поточний ремонт'!AD34-'[3]поточний ремонт'!AD34</f>
        <v>0</v>
      </c>
      <c r="AE34" s="43">
        <f>'[1]поточний ремонт'!AE34+'[2]поточний ремонт'!AE34-'[3]поточний ремонт'!AE34</f>
        <v>1396.2086358316283</v>
      </c>
      <c r="AF34" s="43">
        <f>'[1]поточний ремонт'!AF34+'[2]поточний ремонт'!AF34-'[3]поточний ремонт'!AF34</f>
        <v>0</v>
      </c>
      <c r="AG34" s="5"/>
      <c r="AH34" s="43">
        <f>'[1]поточний ремонт'!AH34+'[2]поточний ремонт'!AH34-'[3]поточний ремонт'!AH34</f>
        <v>1770.7758464928706</v>
      </c>
      <c r="AI34" s="43">
        <f>'[1]поточний ремонт'!AI34+'[2]поточний ремонт'!AI34-'[3]поточний ремонт'!AI34</f>
        <v>0</v>
      </c>
      <c r="AJ34" s="5"/>
      <c r="AK34" s="43">
        <f>'[1]поточний ремонт'!AK34+'[2]поточний ремонт'!AK34-'[3]поточний ремонт'!AK34</f>
        <v>1714.580766111088</v>
      </c>
      <c r="AL34" s="43">
        <f>'[1]поточний ремонт'!AL34+'[2]поточний ремонт'!AL34-'[3]поточний ремонт'!AL34</f>
        <v>0</v>
      </c>
      <c r="AM34" s="5"/>
      <c r="AN34" s="43">
        <f>'[1]поточний ремонт'!AN34+'[2]поточний ремонт'!AN34-'[3]поточний ремонт'!AN34</f>
        <v>0</v>
      </c>
      <c r="AO34" s="43">
        <f>'[1]поточний ремонт'!AO34+'[2]поточний ремонт'!AO34-'[3]поточний ремонт'!AO34</f>
        <v>0</v>
      </c>
      <c r="AP34" s="5"/>
      <c r="AQ34" s="43">
        <f>'[1]поточний ремонт'!AQ34+'[2]поточний ремонт'!AQ34-'[3]поточний ремонт'!AQ34</f>
        <v>0</v>
      </c>
      <c r="AR34" s="43">
        <f>'[1]поточний ремонт'!AR34+'[2]поточний ремонт'!AR34-'[3]поточний ремонт'!AR34</f>
        <v>0</v>
      </c>
      <c r="AS34" s="5"/>
      <c r="AT34" s="43">
        <f>'[1]поточний ремонт'!AT34+'[2]поточний ремонт'!AT34-'[3]поточний ремонт'!AT34</f>
        <v>623.00202163195547</v>
      </c>
      <c r="AU34" s="43">
        <f>'[1]поточний ремонт'!AU34+'[2]поточний ремонт'!AU34-'[3]поточний ремонт'!AU34</f>
        <v>133.007111349609</v>
      </c>
      <c r="AV34" s="5"/>
      <c r="AW34" s="43">
        <f>'[1]поточний ремонт'!AW34+'[2]поточний ремонт'!AW34-'[3]поточний ремонт'!AW34</f>
        <v>0</v>
      </c>
      <c r="AX34" s="43">
        <f>'[1]поточний ремонт'!AX34+'[2]поточний ремонт'!AX34-'[3]поточний ремонт'!AX34</f>
        <v>0</v>
      </c>
      <c r="AY34" s="5"/>
      <c r="AZ34" s="43">
        <f t="shared" si="2"/>
        <v>5504.5672700675423</v>
      </c>
      <c r="BA34" s="43">
        <f t="shared" si="3"/>
        <v>133.007111349609</v>
      </c>
      <c r="BB34" s="59">
        <f t="shared" si="4"/>
        <v>-5371.5601587179335</v>
      </c>
      <c r="BD34" s="2">
        <v>2</v>
      </c>
      <c r="BF34" s="30">
        <v>3.3582665380296342</v>
      </c>
      <c r="BG34" s="328">
        <v>150000972</v>
      </c>
      <c r="BI34" s="107">
        <v>24.5</v>
      </c>
      <c r="BJ34" s="107">
        <f t="shared" si="5"/>
        <v>3.4462238999999997</v>
      </c>
      <c r="BK34" s="107">
        <v>28.255502002</v>
      </c>
      <c r="BL34" s="39"/>
      <c r="BM34" s="3"/>
      <c r="BN34" s="3">
        <v>0</v>
      </c>
      <c r="BP34" s="3"/>
      <c r="BQ34" s="3"/>
      <c r="BS34" s="43"/>
      <c r="BT34" s="43">
        <v>0</v>
      </c>
      <c r="BU34" s="1037"/>
      <c r="BV34" s="42"/>
      <c r="BW34" s="43"/>
      <c r="BX34" s="1039"/>
      <c r="BY34" s="78"/>
      <c r="BZ34" s="43">
        <v>0</v>
      </c>
      <c r="CA34" s="1038"/>
      <c r="CB34" s="42">
        <v>0</v>
      </c>
      <c r="CC34" s="42">
        <v>0</v>
      </c>
      <c r="CD34" s="1039"/>
      <c r="CE34" s="78">
        <v>0</v>
      </c>
      <c r="CF34" s="56"/>
      <c r="CG34" s="42">
        <v>0</v>
      </c>
      <c r="CH34" s="39">
        <v>28.255502002</v>
      </c>
      <c r="CI34" s="78">
        <v>0</v>
      </c>
      <c r="CJ34" s="56"/>
      <c r="CK34" s="1034"/>
      <c r="CL34" s="1029"/>
      <c r="CM34" s="1034"/>
      <c r="CN34" s="1029">
        <v>0</v>
      </c>
      <c r="CO34" s="78">
        <v>116.35071965263569</v>
      </c>
      <c r="CP34" s="43">
        <v>0</v>
      </c>
      <c r="CQ34" s="5"/>
      <c r="CR34" s="78">
        <v>147.56465387440588</v>
      </c>
      <c r="CS34" s="1033">
        <v>0</v>
      </c>
      <c r="CT34" s="5"/>
      <c r="CU34" s="78">
        <v>142.88173050925735</v>
      </c>
      <c r="CV34" s="43">
        <v>0</v>
      </c>
      <c r="CW34" s="5"/>
      <c r="CX34" s="78">
        <v>0</v>
      </c>
      <c r="CY34" s="43">
        <v>0</v>
      </c>
      <c r="CZ34" s="5"/>
      <c r="DA34" s="78">
        <v>0</v>
      </c>
      <c r="DB34" s="43">
        <v>0</v>
      </c>
      <c r="DC34" s="5"/>
      <c r="DD34" s="78">
        <v>51.916835135996294</v>
      </c>
      <c r="DE34" s="43">
        <v>0</v>
      </c>
      <c r="DF34" s="5"/>
      <c r="DG34" s="78">
        <v>0</v>
      </c>
      <c r="DH34" s="43"/>
      <c r="DI34" s="5"/>
      <c r="DJ34" s="43">
        <v>458.71393917229517</v>
      </c>
      <c r="DK34" s="43">
        <f t="shared" si="6"/>
        <v>0</v>
      </c>
      <c r="DL34" s="59">
        <f t="shared" si="7"/>
        <v>-458.71393917229517</v>
      </c>
    </row>
    <row r="35" spans="1:116" ht="24.9" customHeight="1" x14ac:dyDescent="0.3">
      <c r="A35" s="328">
        <v>150000974</v>
      </c>
      <c r="B35" s="45" t="s">
        <v>202</v>
      </c>
      <c r="C35" s="1035">
        <v>4</v>
      </c>
      <c r="D35" s="1036" t="s">
        <v>454</v>
      </c>
      <c r="E35" s="1028">
        <f>'побудинковий звіт'!E33</f>
        <v>1556.0700000000002</v>
      </c>
      <c r="F35" s="1029">
        <f>'побудинковий звіт'!AS33</f>
        <v>26324.179502245104</v>
      </c>
      <c r="G35" s="1029">
        <f t="shared" si="0"/>
        <v>2044</v>
      </c>
      <c r="H35" s="1029">
        <f t="shared" si="1"/>
        <v>-24280.179502245104</v>
      </c>
      <c r="I35" s="43">
        <f>'[1]поточний ремонт'!I35+'[2]поточний ремонт'!I35-'[3]поточний ремонт'!I35</f>
        <v>2</v>
      </c>
      <c r="J35" s="43">
        <f>'[1]поточний ремонт'!J35+'[2]поточний ремонт'!J35-'[3]поточний ремонт'!J35</f>
        <v>402</v>
      </c>
      <c r="K35" s="1037"/>
      <c r="L35" s="43">
        <f>'[1]поточний ремонт'!L35+'[2]поточний ремонт'!L35-'[3]поточний ремонт'!L35</f>
        <v>0</v>
      </c>
      <c r="M35" s="43">
        <f>'[1]поточний ремонт'!M35+'[2]поточний ремонт'!M35-'[3]поточний ремонт'!M35</f>
        <v>0</v>
      </c>
      <c r="N35" s="37"/>
      <c r="O35" s="43">
        <f>'[1]поточний ремонт'!O35+'[2]поточний ремонт'!O35-'[3]поточний ремонт'!O35</f>
        <v>0</v>
      </c>
      <c r="P35" s="43">
        <f>'[1]поточний ремонт'!P35+'[2]поточний ремонт'!P35-'[3]поточний ремонт'!P35</f>
        <v>0</v>
      </c>
      <c r="Q35" s="1038"/>
      <c r="R35" s="43">
        <f>'[1]поточний ремонт'!R35+'[2]поточний ремонт'!R35-'[3]поточний ремонт'!R35</f>
        <v>0</v>
      </c>
      <c r="S35" s="43">
        <f>'[1]поточний ремонт'!S35+'[2]поточний ремонт'!S35-'[3]поточний ремонт'!S35</f>
        <v>0</v>
      </c>
      <c r="T35" s="1039"/>
      <c r="U35" s="43">
        <f>'[1]поточний ремонт'!U35+'[2]поточний ремонт'!U35-'[3]поточний ремонт'!U35</f>
        <v>0</v>
      </c>
      <c r="V35" s="43">
        <f>'[1]поточний ремонт'!V35+'[2]поточний ремонт'!V35-'[3]поточний ремонт'!V35</f>
        <v>0</v>
      </c>
      <c r="W35" s="43">
        <f>'[1]поточний ремонт'!W35+'[2]поточний ремонт'!W35-'[3]поточний ремонт'!W35</f>
        <v>0</v>
      </c>
      <c r="X35" s="43">
        <f>'[1]поточний ремонт'!X35+'[2]поточний ремонт'!X35-'[3]поточний ремонт'!X35</f>
        <v>0</v>
      </c>
      <c r="Y35" s="43">
        <f>'[1]поточний ремонт'!Y35+'[2]поточний ремонт'!Y35-'[3]поточний ремонт'!Y35</f>
        <v>0</v>
      </c>
      <c r="Z35" s="43">
        <f>'[1]поточний ремонт'!Z35+'[2]поточний ремонт'!Z35-'[3]поточний ремонт'!Z35</f>
        <v>0</v>
      </c>
      <c r="AA35" s="43">
        <f>'[1]поточний ремонт'!AA35+'[2]поточний ремонт'!AA35-'[3]поточний ремонт'!AA35</f>
        <v>0</v>
      </c>
      <c r="AB35" s="43">
        <f>'[1]поточний ремонт'!AB35+'[2]поточний ремонт'!AB35-'[3]поточний ремонт'!AB35</f>
        <v>0</v>
      </c>
      <c r="AC35" s="43">
        <f>'[1]поточний ремонт'!AC35+'[2]поточний ремонт'!AC35-'[3]поточний ремонт'!AC35</f>
        <v>1642</v>
      </c>
      <c r="AD35" s="43">
        <f>'[1]поточний ремонт'!AD35+'[2]поточний ремонт'!AD35-'[3]поточний ремонт'!AD35</f>
        <v>0</v>
      </c>
      <c r="AE35" s="43">
        <f>'[1]поточний ремонт'!AE35+'[2]поточний ремонт'!AE35-'[3]поточний ремонт'!AE35</f>
        <v>1104.5251336916506</v>
      </c>
      <c r="AF35" s="43">
        <f>'[1]поточний ремонт'!AF35+'[2]поточний ремонт'!AF35-'[3]поточний ремонт'!AF35</f>
        <v>0</v>
      </c>
      <c r="AG35" s="1045"/>
      <c r="AH35" s="43">
        <f>'[1]поточний ремонт'!AH35+'[2]поточний ремонт'!AH35-'[3]поточний ремонт'!AH35</f>
        <v>1214.0218303771728</v>
      </c>
      <c r="AI35" s="43">
        <f>'[1]поточний ремонт'!AI35+'[2]поточний ремонт'!AI35-'[3]поточний ремонт'!AI35</f>
        <v>0</v>
      </c>
      <c r="AJ35" s="1045"/>
      <c r="AK35" s="43">
        <f>'[1]поточний ремонт'!AK35+'[2]поточний ремонт'!AK35-'[3]поточний ремонт'!AK35</f>
        <v>1670.5555872544812</v>
      </c>
      <c r="AL35" s="43">
        <f>'[1]поточний ремонт'!AL35+'[2]поточний ремонт'!AL35-'[3]поточний ремонт'!AL35</f>
        <v>0</v>
      </c>
      <c r="AM35" s="5"/>
      <c r="AN35" s="43">
        <f>'[1]поточний ремонт'!AN35+'[2]поточний ремонт'!AN35-'[3]поточний ремонт'!AN35</f>
        <v>998.27527358523889</v>
      </c>
      <c r="AO35" s="43">
        <f>'[1]поточний ремонт'!AO35+'[2]поточний ремонт'!AO35-'[3]поточний ремонт'!AO35</f>
        <v>0</v>
      </c>
      <c r="AP35" s="5"/>
      <c r="AQ35" s="43">
        <f>'[1]поточний ремонт'!AQ35+'[2]поточний ремонт'!AQ35-'[3]поточний ремонт'!AQ35</f>
        <v>0</v>
      </c>
      <c r="AR35" s="43">
        <f>'[1]поточний ремонт'!AR35+'[2]поточний ремонт'!AR35-'[3]поточний ремонт'!AR35</f>
        <v>0</v>
      </c>
      <c r="AS35" s="5"/>
      <c r="AT35" s="43">
        <f>'[1]поточний ремонт'!AT35+'[2]поточний ремонт'!AT35-'[3]поточний ремонт'!AT35</f>
        <v>597.47671338573207</v>
      </c>
      <c r="AU35" s="43">
        <f>'[1]поточний ремонт'!AU35+'[2]поточний ремонт'!AU35-'[3]поточний ремонт'!AU35</f>
        <v>0</v>
      </c>
      <c r="AV35" s="5"/>
      <c r="AW35" s="43">
        <f>'[1]поточний ремонт'!AW35+'[2]поточний ремонт'!AW35-'[3]поточний ремонт'!AW35</f>
        <v>0</v>
      </c>
      <c r="AX35" s="43">
        <f>'[1]поточний ремонт'!AX35+'[2]поточний ремонт'!AX35-'[3]поточний ремонт'!AX35</f>
        <v>0</v>
      </c>
      <c r="AY35" s="5"/>
      <c r="AZ35" s="43">
        <f t="shared" si="2"/>
        <v>5584.8545382942757</v>
      </c>
      <c r="BA35" s="43">
        <f t="shared" si="3"/>
        <v>0</v>
      </c>
      <c r="BB35" s="59">
        <f t="shared" si="4"/>
        <v>-5584.8545382942757</v>
      </c>
      <c r="BD35" s="2">
        <v>2</v>
      </c>
      <c r="BF35" s="30">
        <v>3.3820298558105857</v>
      </c>
      <c r="BG35" s="328">
        <v>150000974</v>
      </c>
      <c r="BI35" s="107">
        <v>0</v>
      </c>
      <c r="BJ35" s="107">
        <f t="shared" si="5"/>
        <v>0</v>
      </c>
      <c r="BK35" s="107">
        <v>0</v>
      </c>
      <c r="BL35" s="39"/>
      <c r="BM35" s="3"/>
      <c r="BN35" s="3">
        <v>0</v>
      </c>
      <c r="BP35" s="3"/>
      <c r="BQ35" s="3"/>
      <c r="BS35" s="43"/>
      <c r="BT35" s="43">
        <v>0</v>
      </c>
      <c r="BU35" s="1037"/>
      <c r="BV35" s="42"/>
      <c r="BW35" s="43"/>
      <c r="BX35" s="37"/>
      <c r="BY35" s="78"/>
      <c r="BZ35" s="43">
        <v>0</v>
      </c>
      <c r="CA35" s="1038"/>
      <c r="CB35" s="42">
        <v>0</v>
      </c>
      <c r="CC35" s="42">
        <v>0</v>
      </c>
      <c r="CD35" s="1039"/>
      <c r="CE35" s="78">
        <v>0</v>
      </c>
      <c r="CF35" s="56"/>
      <c r="CG35" s="42">
        <v>0</v>
      </c>
      <c r="CH35" s="39">
        <v>0</v>
      </c>
      <c r="CI35" s="78">
        <v>0</v>
      </c>
      <c r="CJ35" s="56"/>
      <c r="CK35" s="1034"/>
      <c r="CL35" s="1029"/>
      <c r="CM35" s="1034">
        <v>449</v>
      </c>
      <c r="CN35" s="1029">
        <v>0</v>
      </c>
      <c r="CO35" s="78">
        <v>92.043761140970886</v>
      </c>
      <c r="CP35" s="43">
        <v>0</v>
      </c>
      <c r="CQ35" s="1045"/>
      <c r="CR35" s="78">
        <v>101.16848586476439</v>
      </c>
      <c r="CS35" s="1033">
        <v>0</v>
      </c>
      <c r="CT35" s="1045"/>
      <c r="CU35" s="78">
        <v>139.21296560454007</v>
      </c>
      <c r="CV35" s="43">
        <v>0</v>
      </c>
      <c r="CW35" s="5"/>
      <c r="CX35" s="78">
        <v>83.189606132103251</v>
      </c>
      <c r="CY35" s="43">
        <v>0</v>
      </c>
      <c r="CZ35" s="5"/>
      <c r="DA35" s="78">
        <v>0</v>
      </c>
      <c r="DB35" s="43">
        <v>0</v>
      </c>
      <c r="DC35" s="5"/>
      <c r="DD35" s="78">
        <v>49.78972611547767</v>
      </c>
      <c r="DE35" s="43">
        <v>0</v>
      </c>
      <c r="DF35" s="5"/>
      <c r="DG35" s="78">
        <v>0</v>
      </c>
      <c r="DH35" s="43"/>
      <c r="DI35" s="5"/>
      <c r="DJ35" s="43">
        <v>465.40454485785625</v>
      </c>
      <c r="DK35" s="43">
        <f t="shared" si="6"/>
        <v>0</v>
      </c>
      <c r="DL35" s="59">
        <f t="shared" si="7"/>
        <v>-465.40454485785625</v>
      </c>
    </row>
    <row r="36" spans="1:116" ht="24.9" customHeight="1" x14ac:dyDescent="0.3">
      <c r="A36" s="328">
        <v>150000975</v>
      </c>
      <c r="B36" s="45" t="s">
        <v>203</v>
      </c>
      <c r="C36" s="1035">
        <v>4</v>
      </c>
      <c r="D36" s="1036" t="s">
        <v>454</v>
      </c>
      <c r="E36" s="1028">
        <f>'побудинковий звіт'!E34</f>
        <v>4447.43</v>
      </c>
      <c r="F36" s="1029">
        <f>'побудинковий звіт'!AS34</f>
        <v>25943.829159957044</v>
      </c>
      <c r="G36" s="1029">
        <f t="shared" si="0"/>
        <v>35791</v>
      </c>
      <c r="H36" s="1029">
        <f t="shared" si="1"/>
        <v>9847.1708400429561</v>
      </c>
      <c r="I36" s="43">
        <f>'[1]поточний ремонт'!I36+'[2]поточний ремонт'!I36-'[3]поточний ремонт'!I36</f>
        <v>0</v>
      </c>
      <c r="J36" s="43">
        <f>'[1]поточний ремонт'!J36+'[2]поточний ремонт'!J36-'[3]поточний ремонт'!J36</f>
        <v>0</v>
      </c>
      <c r="K36" s="1037"/>
      <c r="L36" s="43">
        <f>'[1]поточний ремонт'!L36+'[2]поточний ремонт'!L36-'[3]поточний ремонт'!L36</f>
        <v>0</v>
      </c>
      <c r="M36" s="43">
        <f>'[1]поточний ремонт'!M36+'[2]поточний ремонт'!M36-'[3]поточний ремонт'!M36</f>
        <v>0</v>
      </c>
      <c r="N36" s="37"/>
      <c r="O36" s="43">
        <f>'[1]поточний ремонт'!O36+'[2]поточний ремонт'!O36-'[3]поточний ремонт'!O36</f>
        <v>0</v>
      </c>
      <c r="P36" s="43">
        <f>'[1]поточний ремонт'!P36+'[2]поточний ремонт'!P36-'[3]поточний ремонт'!P36</f>
        <v>0</v>
      </c>
      <c r="Q36" s="1038"/>
      <c r="R36" s="43">
        <f>'[1]поточний ремонт'!R36+'[2]поточний ремонт'!R36-'[3]поточний ремонт'!R36</f>
        <v>0</v>
      </c>
      <c r="S36" s="43">
        <f>'[1]поточний ремонт'!S36+'[2]поточний ремонт'!S36-'[3]поточний ремонт'!S36</f>
        <v>0</v>
      </c>
      <c r="T36" s="1039"/>
      <c r="U36" s="43">
        <f>'[1]поточний ремонт'!U36+'[2]поточний ремонт'!U36-'[3]поточний ремонт'!U36</f>
        <v>0</v>
      </c>
      <c r="V36" s="43">
        <f>'[1]поточний ремонт'!V36+'[2]поточний ремонт'!V36-'[3]поточний ремонт'!V36</f>
        <v>0</v>
      </c>
      <c r="W36" s="43">
        <f>'[1]поточний ремонт'!W36+'[2]поточний ремонт'!W36-'[3]поточний ремонт'!W36</f>
        <v>0</v>
      </c>
      <c r="X36" s="43">
        <f>'[1]поточний ремонт'!X36+'[2]поточний ремонт'!X36-'[3]поточний ремонт'!X36</f>
        <v>0</v>
      </c>
      <c r="Y36" s="43">
        <f>'[1]поточний ремонт'!Y36+'[2]поточний ремонт'!Y36-'[3]поточний ремонт'!Y36</f>
        <v>8988</v>
      </c>
      <c r="Z36" s="43">
        <f>'[1]поточний ремонт'!Z36+'[2]поточний ремонт'!Z36-'[3]поточний ремонт'!Z36</f>
        <v>0</v>
      </c>
      <c r="AA36" s="43">
        <f>'[1]поточний ремонт'!AA36+'[2]поточний ремонт'!AA36-'[3]поточний ремонт'!AA36</f>
        <v>0</v>
      </c>
      <c r="AB36" s="43">
        <f>'[1]поточний ремонт'!AB36+'[2]поточний ремонт'!AB36-'[3]поточний ремонт'!AB36</f>
        <v>0</v>
      </c>
      <c r="AC36" s="43">
        <f>'[1]поточний ремонт'!AC36+'[2]поточний ремонт'!AC36-'[3]поточний ремонт'!AC36</f>
        <v>24997</v>
      </c>
      <c r="AD36" s="43">
        <f>'[1]поточний ремонт'!AD36+'[2]поточний ремонт'!AD36-'[3]поточний ремонт'!AD36</f>
        <v>1806</v>
      </c>
      <c r="AE36" s="43">
        <f>'[1]поточний ремонт'!AE36+'[2]поточний ремонт'!AE36-'[3]поточний ремонт'!AE36</f>
        <v>1666.780568349227</v>
      </c>
      <c r="AF36" s="43">
        <f>'[1]поточний ремонт'!AF36+'[2]поточний ремонт'!AF36-'[3]поточний ремонт'!AF36</f>
        <v>613</v>
      </c>
      <c r="AG36" s="5"/>
      <c r="AH36" s="43">
        <f>'[1]поточний ремонт'!AH36+'[2]поточний ремонт'!AH36-'[3]поточний ремонт'!AH36</f>
        <v>2500.0046959344318</v>
      </c>
      <c r="AI36" s="43">
        <f>'[1]поточний ремонт'!AI36+'[2]поточний ремонт'!AI36-'[3]поточний ремонт'!AI36</f>
        <v>0</v>
      </c>
      <c r="AJ36" s="5"/>
      <c r="AK36" s="43">
        <f>'[1]поточний ремонт'!AK36+'[2]поточний ремонт'!AK36-'[3]поточний ремонт'!AK36</f>
        <v>2427.9756690953336</v>
      </c>
      <c r="AL36" s="43">
        <f>'[1]поточний ремонт'!AL36+'[2]поточний ремонт'!AL36-'[3]поточний ремонт'!AL36</f>
        <v>1299.9893863603036</v>
      </c>
      <c r="AM36" s="5"/>
      <c r="AN36" s="43">
        <f>'[1]поточний ремонт'!AN36+'[2]поточний ремонт'!AN36-'[3]поточний ремонт'!AN36</f>
        <v>0</v>
      </c>
      <c r="AO36" s="43">
        <f>'[1]поточний ремонт'!AO36+'[2]поточний ремонт'!AO36-'[3]поточний ремонт'!AO36</f>
        <v>0</v>
      </c>
      <c r="AP36" s="5"/>
      <c r="AQ36" s="43">
        <f>'[1]поточний ремонт'!AQ36+'[2]поточний ремонт'!AQ36-'[3]поточний ремонт'!AQ36</f>
        <v>0</v>
      </c>
      <c r="AR36" s="43">
        <f>'[1]поточний ремонт'!AR36+'[2]поточний ремонт'!AR36-'[3]поточний ремонт'!AR36</f>
        <v>0</v>
      </c>
      <c r="AS36" s="5"/>
      <c r="AT36" s="43">
        <f>'[1]поточний ремонт'!AT36+'[2]поточний ремонт'!AT36-'[3]поточний ремонт'!AT36</f>
        <v>1094.438969058577</v>
      </c>
      <c r="AU36" s="43">
        <f>'[1]поточний ремонт'!AU36+'[2]поточний ремонт'!AU36-'[3]поточний ремонт'!AU36</f>
        <v>0</v>
      </c>
      <c r="AV36" s="5"/>
      <c r="AW36" s="43">
        <f>'[1]поточний ремонт'!AW36+'[2]поточний ремонт'!AW36-'[3]поточний ремонт'!AW36</f>
        <v>0</v>
      </c>
      <c r="AX36" s="43">
        <f>'[1]поточний ремонт'!AX36+'[2]поточний ремонт'!AX36-'[3]поточний ремонт'!AX36</f>
        <v>0</v>
      </c>
      <c r="AY36" s="5"/>
      <c r="AZ36" s="43">
        <f t="shared" si="2"/>
        <v>7689.1999024375691</v>
      </c>
      <c r="BA36" s="43">
        <f t="shared" si="3"/>
        <v>1912.9893863603036</v>
      </c>
      <c r="BB36" s="59">
        <f t="shared" si="4"/>
        <v>-5776.2105160772653</v>
      </c>
      <c r="BD36" s="2">
        <v>2</v>
      </c>
      <c r="BF36" s="30">
        <v>4.7521231488406723</v>
      </c>
      <c r="BG36" s="328">
        <v>150000975</v>
      </c>
      <c r="BI36" s="107">
        <v>0</v>
      </c>
      <c r="BJ36" s="107">
        <f t="shared" si="5"/>
        <v>0</v>
      </c>
      <c r="BK36" s="107">
        <v>0</v>
      </c>
      <c r="BL36" s="39"/>
      <c r="BM36" s="3"/>
      <c r="BN36" s="3">
        <v>0</v>
      </c>
      <c r="BP36" s="3"/>
      <c r="BQ36" s="3"/>
      <c r="BS36" s="43"/>
      <c r="BT36" s="43">
        <v>0</v>
      </c>
      <c r="BU36" s="1037"/>
      <c r="BV36" s="42"/>
      <c r="BW36" s="43"/>
      <c r="BX36" s="37"/>
      <c r="BY36" s="78"/>
      <c r="BZ36" s="43">
        <v>0</v>
      </c>
      <c r="CA36" s="1038"/>
      <c r="CB36" s="42">
        <v>0</v>
      </c>
      <c r="CC36" s="42">
        <v>0</v>
      </c>
      <c r="CD36" s="1039"/>
      <c r="CE36" s="78">
        <v>0</v>
      </c>
      <c r="CF36" s="56"/>
      <c r="CG36" s="42">
        <v>0</v>
      </c>
      <c r="CH36" s="39">
        <v>0</v>
      </c>
      <c r="CI36" s="78">
        <v>0</v>
      </c>
      <c r="CJ36" s="56"/>
      <c r="CK36" s="1034"/>
      <c r="CL36" s="1029"/>
      <c r="CM36" s="1034">
        <v>1008</v>
      </c>
      <c r="CN36" s="1029">
        <v>0</v>
      </c>
      <c r="CO36" s="78">
        <v>138.89838069576888</v>
      </c>
      <c r="CP36" s="43">
        <v>0</v>
      </c>
      <c r="CQ36" s="5"/>
      <c r="CR36" s="78">
        <v>208.33372466120261</v>
      </c>
      <c r="CS36" s="1033">
        <v>0</v>
      </c>
      <c r="CT36" s="5"/>
      <c r="CU36" s="78">
        <v>202.33130575794451</v>
      </c>
      <c r="CV36" s="43">
        <v>0</v>
      </c>
      <c r="CW36" s="5"/>
      <c r="CX36" s="78">
        <v>0</v>
      </c>
      <c r="CY36" s="43">
        <v>0</v>
      </c>
      <c r="CZ36" s="5"/>
      <c r="DA36" s="78">
        <v>0</v>
      </c>
      <c r="DB36" s="43">
        <v>0</v>
      </c>
      <c r="DC36" s="5"/>
      <c r="DD36" s="78">
        <v>91.20324742154807</v>
      </c>
      <c r="DE36" s="43">
        <v>0</v>
      </c>
      <c r="DF36" s="5"/>
      <c r="DG36" s="78">
        <v>0</v>
      </c>
      <c r="DH36" s="43"/>
      <c r="DI36" s="5"/>
      <c r="DJ36" s="43">
        <v>640.76665853646409</v>
      </c>
      <c r="DK36" s="43">
        <f t="shared" si="6"/>
        <v>0</v>
      </c>
      <c r="DL36" s="59">
        <f t="shared" si="7"/>
        <v>-640.76665853646409</v>
      </c>
    </row>
    <row r="37" spans="1:116" ht="24.9" customHeight="1" x14ac:dyDescent="0.3">
      <c r="A37" s="328">
        <v>150000976</v>
      </c>
      <c r="B37" s="45" t="s">
        <v>149</v>
      </c>
      <c r="C37" s="1035">
        <v>2</v>
      </c>
      <c r="D37" s="1036" t="s">
        <v>454</v>
      </c>
      <c r="E37" s="1028">
        <f>'побудинковий звіт'!E35</f>
        <v>364.29999999999995</v>
      </c>
      <c r="F37" s="1029">
        <f>'побудинковий звіт'!AS35</f>
        <v>9675.8027808819879</v>
      </c>
      <c r="G37" s="1029">
        <f t="shared" si="0"/>
        <v>97</v>
      </c>
      <c r="H37" s="1029">
        <f t="shared" si="1"/>
        <v>-9578.8027808819879</v>
      </c>
      <c r="I37" s="43">
        <f>'[1]поточний ремонт'!I37+'[2]поточний ремонт'!I37-'[3]поточний ремонт'!I37</f>
        <v>0</v>
      </c>
      <c r="J37" s="43">
        <f>'[1]поточний ремонт'!J37+'[2]поточний ремонт'!J37-'[3]поточний ремонт'!J37</f>
        <v>0</v>
      </c>
      <c r="K37" s="1037"/>
      <c r="L37" s="43">
        <f>'[1]поточний ремонт'!L37+'[2]поточний ремонт'!L37-'[3]поточний ремонт'!L37</f>
        <v>0</v>
      </c>
      <c r="M37" s="43">
        <f>'[1]поточний ремонт'!M37+'[2]поточний ремонт'!M37-'[3]поточний ремонт'!M37</f>
        <v>0</v>
      </c>
      <c r="N37" s="37"/>
      <c r="O37" s="43">
        <f>'[1]поточний ремонт'!O37+'[2]поточний ремонт'!O37-'[3]поточний ремонт'!O37</f>
        <v>0</v>
      </c>
      <c r="P37" s="43">
        <f>'[1]поточний ремонт'!P37+'[2]поточний ремонт'!P37-'[3]поточний ремонт'!P37</f>
        <v>0</v>
      </c>
      <c r="Q37" s="1038"/>
      <c r="R37" s="43">
        <f>'[1]поточний ремонт'!R37+'[2]поточний ремонт'!R37-'[3]поточний ремонт'!R37</f>
        <v>0</v>
      </c>
      <c r="S37" s="43">
        <f>'[1]поточний ремонт'!S37+'[2]поточний ремонт'!S37-'[3]поточний ремонт'!S37</f>
        <v>0</v>
      </c>
      <c r="T37" s="1039"/>
      <c r="U37" s="43">
        <f>'[1]поточний ремонт'!U37+'[2]поточний ремонт'!U37-'[3]поточний ремонт'!U37</f>
        <v>0</v>
      </c>
      <c r="V37" s="43">
        <f>'[1]поточний ремонт'!V37+'[2]поточний ремонт'!V37-'[3]поточний ремонт'!V37</f>
        <v>0</v>
      </c>
      <c r="W37" s="43">
        <f>'[1]поточний ремонт'!W37+'[2]поточний ремонт'!W37-'[3]поточний ремонт'!W37</f>
        <v>0</v>
      </c>
      <c r="X37" s="43">
        <f>'[1]поточний ремонт'!X37+'[2]поточний ремонт'!X37-'[3]поточний ремонт'!X37</f>
        <v>0</v>
      </c>
      <c r="Y37" s="43">
        <f>'[1]поточний ремонт'!Y37+'[2]поточний ремонт'!Y37-'[3]поточний ремонт'!Y37</f>
        <v>0</v>
      </c>
      <c r="Z37" s="43">
        <f>'[1]поточний ремонт'!Z37+'[2]поточний ремонт'!Z37-'[3]поточний ремонт'!Z37</f>
        <v>0</v>
      </c>
      <c r="AA37" s="43">
        <f>'[1]поточний ремонт'!AA37+'[2]поточний ремонт'!AA37-'[3]поточний ремонт'!AA37</f>
        <v>0</v>
      </c>
      <c r="AB37" s="43">
        <f>'[1]поточний ремонт'!AB37+'[2]поточний ремонт'!AB37-'[3]поточний ремонт'!AB37</f>
        <v>0</v>
      </c>
      <c r="AC37" s="43">
        <f>'[1]поточний ремонт'!AC37+'[2]поточний ремонт'!AC37-'[3]поточний ремонт'!AC37</f>
        <v>0</v>
      </c>
      <c r="AD37" s="43">
        <f>'[1]поточний ремонт'!AD37+'[2]поточний ремонт'!AD37-'[3]поточний ремонт'!AD37</f>
        <v>97</v>
      </c>
      <c r="AE37" s="43">
        <f>'[1]поточний ремонт'!AE37+'[2]поточний ремонт'!AE37-'[3]поточний ремонт'!AE37</f>
        <v>820.02986108049629</v>
      </c>
      <c r="AF37" s="43">
        <f>'[1]поточний ремонт'!AF37+'[2]поточний ремонт'!AF37-'[3]поточний ремонт'!AF37</f>
        <v>1499</v>
      </c>
      <c r="AG37" s="5"/>
      <c r="AH37" s="43">
        <f>'[1]поточний ремонт'!AH37+'[2]поточний ремонт'!AH37-'[3]поточний ремонт'!AH37</f>
        <v>1069.108211524024</v>
      </c>
      <c r="AI37" s="43">
        <f>'[1]поточний ремонт'!AI37+'[2]поточний ремонт'!AI37-'[3]поточний ремонт'!AI37</f>
        <v>0</v>
      </c>
      <c r="AJ37" s="5"/>
      <c r="AK37" s="43">
        <f>'[1]поточний ремонт'!AK37+'[2]поточний ремонт'!AK37-'[3]поточний ремонт'!AK37</f>
        <v>553.36969120853234</v>
      </c>
      <c r="AL37" s="43">
        <f>'[1]поточний ремонт'!AL37+'[2]поточний ремонт'!AL37-'[3]поточний ремонт'!AL37</f>
        <v>0</v>
      </c>
      <c r="AM37" s="5"/>
      <c r="AN37" s="43">
        <f>'[1]поточний ремонт'!AN37+'[2]поточний ремонт'!AN37-'[3]поточний ремонт'!AN37</f>
        <v>370.18299840996019</v>
      </c>
      <c r="AO37" s="43">
        <f>'[1]поточний ремонт'!AO37+'[2]поточний ремонт'!AO37-'[3]поточний ремонт'!AO37</f>
        <v>0</v>
      </c>
      <c r="AP37" s="5"/>
      <c r="AQ37" s="43">
        <f>'[1]поточний ремонт'!AQ37+'[2]поточний ремонт'!AQ37-'[3]поточний ремонт'!AQ37</f>
        <v>0</v>
      </c>
      <c r="AR37" s="43">
        <f>'[1]поточний ремонт'!AR37+'[2]поточний ремонт'!AR37-'[3]поточний ремонт'!AR37</f>
        <v>0</v>
      </c>
      <c r="AS37" s="5"/>
      <c r="AT37" s="43">
        <f>'[1]поточний ремонт'!AT37+'[2]поточний ремонт'!AT37-'[3]поточний ремонт'!AT37</f>
        <v>177.79635838721791</v>
      </c>
      <c r="AU37" s="43">
        <f>'[1]поточний ремонт'!AU37+'[2]поточний ремонт'!AU37-'[3]поточний ремонт'!AU37</f>
        <v>0</v>
      </c>
      <c r="AV37" s="5"/>
      <c r="AW37" s="43">
        <f>'[1]поточний ремонт'!AW37+'[2]поточний ремонт'!AW37-'[3]поточний ремонт'!AW37</f>
        <v>354.54550466262333</v>
      </c>
      <c r="AX37" s="43">
        <f>'[1]поточний ремонт'!AX37+'[2]поточний ремонт'!AX37-'[3]поточний ремонт'!AX37</f>
        <v>0</v>
      </c>
      <c r="AY37" s="5"/>
      <c r="AZ37" s="43">
        <f t="shared" si="2"/>
        <v>3345.0326252728541</v>
      </c>
      <c r="BA37" s="43">
        <f t="shared" si="3"/>
        <v>1499</v>
      </c>
      <c r="BB37" s="59">
        <f t="shared" si="4"/>
        <v>-1846.0326252728541</v>
      </c>
      <c r="BD37" s="2">
        <v>2</v>
      </c>
      <c r="BF37" s="30">
        <v>1.5278922391305181</v>
      </c>
      <c r="BG37" s="328">
        <v>150000976</v>
      </c>
      <c r="BI37" s="107">
        <v>0</v>
      </c>
      <c r="BJ37" s="107">
        <f t="shared" si="5"/>
        <v>0</v>
      </c>
      <c r="BK37" s="107">
        <v>0</v>
      </c>
      <c r="BL37" s="39"/>
      <c r="BM37" s="3"/>
      <c r="BN37" s="3">
        <v>0</v>
      </c>
      <c r="BP37" s="3"/>
      <c r="BQ37" s="3"/>
      <c r="BS37" s="43"/>
      <c r="BT37" s="43">
        <v>0</v>
      </c>
      <c r="BU37" s="1037"/>
      <c r="BV37" s="42"/>
      <c r="BW37" s="43"/>
      <c r="BX37" s="37"/>
      <c r="BY37" s="78"/>
      <c r="BZ37" s="43">
        <v>0</v>
      </c>
      <c r="CA37" s="1038"/>
      <c r="CB37" s="42">
        <v>0</v>
      </c>
      <c r="CC37" s="42">
        <v>0</v>
      </c>
      <c r="CD37" s="1039"/>
      <c r="CE37" s="78">
        <v>0</v>
      </c>
      <c r="CF37" s="56"/>
      <c r="CG37" s="42">
        <v>0</v>
      </c>
      <c r="CH37" s="39">
        <v>0</v>
      </c>
      <c r="CI37" s="78">
        <v>0</v>
      </c>
      <c r="CJ37" s="56"/>
      <c r="CK37" s="1034"/>
      <c r="CL37" s="1029"/>
      <c r="CM37" s="1034"/>
      <c r="CN37" s="1029">
        <v>0</v>
      </c>
      <c r="CO37" s="78">
        <v>68.335821756708029</v>
      </c>
      <c r="CP37" s="43">
        <v>0</v>
      </c>
      <c r="CQ37" s="5"/>
      <c r="CR37" s="78">
        <v>89.092350960335338</v>
      </c>
      <c r="CS37" s="1033">
        <v>0</v>
      </c>
      <c r="CT37" s="5"/>
      <c r="CU37" s="78">
        <v>46.114140934044357</v>
      </c>
      <c r="CV37" s="43">
        <v>0</v>
      </c>
      <c r="CW37" s="5"/>
      <c r="CX37" s="78">
        <v>30.848583200830014</v>
      </c>
      <c r="CY37" s="43">
        <v>0</v>
      </c>
      <c r="CZ37" s="5"/>
      <c r="DA37" s="78">
        <v>0</v>
      </c>
      <c r="DB37" s="43">
        <v>0</v>
      </c>
      <c r="DC37" s="5"/>
      <c r="DD37" s="78">
        <v>14.816363198934827</v>
      </c>
      <c r="DE37" s="43">
        <v>0</v>
      </c>
      <c r="DF37" s="5"/>
      <c r="DG37" s="78">
        <v>29.545458721885282</v>
      </c>
      <c r="DH37" s="43"/>
      <c r="DI37" s="5"/>
      <c r="DJ37" s="43">
        <v>278.75271877273786</v>
      </c>
      <c r="DK37" s="43">
        <f t="shared" si="6"/>
        <v>0</v>
      </c>
      <c r="DL37" s="59">
        <f t="shared" si="7"/>
        <v>-278.75271877273786</v>
      </c>
    </row>
    <row r="38" spans="1:116" ht="24.9" customHeight="1" x14ac:dyDescent="0.3">
      <c r="A38" s="328">
        <v>150000977</v>
      </c>
      <c r="B38" s="45" t="s">
        <v>150</v>
      </c>
      <c r="C38" s="1035">
        <v>2</v>
      </c>
      <c r="D38" s="1036" t="s">
        <v>454</v>
      </c>
      <c r="E38" s="1028">
        <f>'побудинковий звіт'!E36</f>
        <v>553.6</v>
      </c>
      <c r="F38" s="1029">
        <f>'побудинковий звіт'!AS36</f>
        <v>13072.906332391225</v>
      </c>
      <c r="G38" s="1029">
        <f t="shared" si="0"/>
        <v>2470</v>
      </c>
      <c r="H38" s="1029">
        <f t="shared" si="1"/>
        <v>-10602.906332391225</v>
      </c>
      <c r="I38" s="43">
        <f>'[1]поточний ремонт'!I38+'[2]поточний ремонт'!I38-'[3]поточний ремонт'!I38</f>
        <v>8</v>
      </c>
      <c r="J38" s="43">
        <f>'[1]поточний ремонт'!J38+'[2]поточний ремонт'!J38-'[3]поточний ремонт'!J38</f>
        <v>1558</v>
      </c>
      <c r="K38" s="1037"/>
      <c r="L38" s="43">
        <f>'[1]поточний ремонт'!L38+'[2]поточний ремонт'!L38-'[3]поточний ремонт'!L38</f>
        <v>0</v>
      </c>
      <c r="M38" s="43">
        <f>'[1]поточний ремонт'!M38+'[2]поточний ремонт'!M38-'[3]поточний ремонт'!M38</f>
        <v>0</v>
      </c>
      <c r="N38" s="37"/>
      <c r="O38" s="43">
        <f>'[1]поточний ремонт'!O38+'[2]поточний ремонт'!O38-'[3]поточний ремонт'!O38</f>
        <v>0</v>
      </c>
      <c r="P38" s="43">
        <f>'[1]поточний ремонт'!P38+'[2]поточний ремонт'!P38-'[3]поточний ремонт'!P38</f>
        <v>0</v>
      </c>
      <c r="Q38" s="1038"/>
      <c r="R38" s="43">
        <f>'[1]поточний ремонт'!R38+'[2]поточний ремонт'!R38-'[3]поточний ремонт'!R38</f>
        <v>0</v>
      </c>
      <c r="S38" s="43">
        <f>'[1]поточний ремонт'!S38+'[2]поточний ремонт'!S38-'[3]поточний ремонт'!S38</f>
        <v>0</v>
      </c>
      <c r="T38" s="1039"/>
      <c r="U38" s="43">
        <f>'[1]поточний ремонт'!U38+'[2]поточний ремонт'!U38-'[3]поточний ремонт'!U38</f>
        <v>0</v>
      </c>
      <c r="V38" s="43">
        <f>'[1]поточний ремонт'!V38+'[2]поточний ремонт'!V38-'[3]поточний ремонт'!V38</f>
        <v>0</v>
      </c>
      <c r="W38" s="43">
        <f>'[1]поточний ремонт'!W38+'[2]поточний ремонт'!W38-'[3]поточний ремонт'!W38</f>
        <v>0</v>
      </c>
      <c r="X38" s="43">
        <f>'[1]поточний ремонт'!X38+'[2]поточний ремонт'!X38-'[3]поточний ремонт'!X38</f>
        <v>0</v>
      </c>
      <c r="Y38" s="43">
        <f>'[1]поточний ремонт'!Y38+'[2]поточний ремонт'!Y38-'[3]поточний ремонт'!Y38</f>
        <v>0</v>
      </c>
      <c r="Z38" s="43">
        <f>'[1]поточний ремонт'!Z38+'[2]поточний ремонт'!Z38-'[3]поточний ремонт'!Z38</f>
        <v>0</v>
      </c>
      <c r="AA38" s="43">
        <f>'[1]поточний ремонт'!AA38+'[2]поточний ремонт'!AA38-'[3]поточний ремонт'!AA38</f>
        <v>0</v>
      </c>
      <c r="AB38" s="43">
        <f>'[1]поточний ремонт'!AB38+'[2]поточний ремонт'!AB38-'[3]поточний ремонт'!AB38</f>
        <v>0</v>
      </c>
      <c r="AC38" s="43">
        <f>'[1]поточний ремонт'!AC38+'[2]поточний ремонт'!AC38-'[3]поточний ремонт'!AC38</f>
        <v>559</v>
      </c>
      <c r="AD38" s="43">
        <f>'[1]поточний ремонт'!AD38+'[2]поточний ремонт'!AD38-'[3]поточний ремонт'!AD38</f>
        <v>353</v>
      </c>
      <c r="AE38" s="43">
        <f>'[1]поточний ремонт'!AE38+'[2]поточний ремонт'!AE38-'[3]поточний ремонт'!AE38</f>
        <v>809.53784551423246</v>
      </c>
      <c r="AF38" s="43">
        <f>'[1]поточний ремонт'!AF38+'[2]поточний ремонт'!AF38-'[3]поточний ремонт'!AF38</f>
        <v>0</v>
      </c>
      <c r="AG38" s="5"/>
      <c r="AH38" s="43">
        <f>'[1]поточний ремонт'!AH38+'[2]поточний ремонт'!AH38-'[3]поточний ремонт'!AH38</f>
        <v>1069.108211524024</v>
      </c>
      <c r="AI38" s="43">
        <f>'[1]поточний ремонт'!AI38+'[2]поточний ремонт'!AI38-'[3]поточний ремонт'!AI38</f>
        <v>0</v>
      </c>
      <c r="AJ38" s="5"/>
      <c r="AK38" s="43">
        <f>'[1]поточний ремонт'!AK38+'[2]поточний ремонт'!AK38-'[3]поточний ремонт'!AK38</f>
        <v>634.63666133940592</v>
      </c>
      <c r="AL38" s="43">
        <f>'[1]поточний ремонт'!AL38+'[2]поточний ремонт'!AL38-'[3]поточний ремонт'!AL38</f>
        <v>0</v>
      </c>
      <c r="AM38" s="5"/>
      <c r="AN38" s="43">
        <f>'[1]поточний ремонт'!AN38+'[2]поточний ремонт'!AN38-'[3]поточний ремонт'!AN38</f>
        <v>0</v>
      </c>
      <c r="AO38" s="43">
        <f>'[1]поточний ремонт'!AO38+'[2]поточний ремонт'!AO38-'[3]поточний ремонт'!AO38</f>
        <v>0</v>
      </c>
      <c r="AP38" s="5"/>
      <c r="AQ38" s="43">
        <f>'[1]поточний ремонт'!AQ38+'[2]поточний ремонт'!AQ38-'[3]поточний ремонт'!AQ38</f>
        <v>0</v>
      </c>
      <c r="AR38" s="43">
        <f>'[1]поточний ремонт'!AR38+'[2]поточний ремонт'!AR38-'[3]поточний ремонт'!AR38</f>
        <v>0</v>
      </c>
      <c r="AS38" s="5"/>
      <c r="AT38" s="43">
        <f>'[1]поточний ремонт'!AT38+'[2]поточний ремонт'!AT38-'[3]поточний ремонт'!AT38</f>
        <v>177.79635838721791</v>
      </c>
      <c r="AU38" s="43">
        <f>'[1]поточний ремонт'!AU38+'[2]поточний ремонт'!AU38-'[3]поточний ремонт'!AU38</f>
        <v>0</v>
      </c>
      <c r="AV38" s="5"/>
      <c r="AW38" s="43">
        <f>'[1]поточний ремонт'!AW38+'[2]поточний ремонт'!AW38-'[3]поточний ремонт'!AW38</f>
        <v>0</v>
      </c>
      <c r="AX38" s="43">
        <f>'[1]поточний ремонт'!AX38+'[2]поточний ремонт'!AX38-'[3]поточний ремонт'!AX38</f>
        <v>0</v>
      </c>
      <c r="AY38" s="5"/>
      <c r="AZ38" s="43">
        <f t="shared" si="2"/>
        <v>2691.0790767648805</v>
      </c>
      <c r="BA38" s="43">
        <f t="shared" si="3"/>
        <v>0</v>
      </c>
      <c r="BB38" s="59">
        <f t="shared" si="4"/>
        <v>-2691.0790767648805</v>
      </c>
      <c r="BD38" s="2">
        <v>2</v>
      </c>
      <c r="BF38" s="30">
        <v>1.3222453341791971</v>
      </c>
      <c r="BG38" s="328">
        <v>150000977</v>
      </c>
      <c r="BI38" s="107">
        <v>0</v>
      </c>
      <c r="BJ38" s="107">
        <f t="shared" si="5"/>
        <v>0</v>
      </c>
      <c r="BK38" s="107">
        <v>0</v>
      </c>
      <c r="BL38" s="39"/>
      <c r="BM38" s="3"/>
      <c r="BN38" s="3">
        <v>0</v>
      </c>
      <c r="BP38" s="3"/>
      <c r="BQ38" s="3"/>
      <c r="BS38" s="43"/>
      <c r="BT38" s="43">
        <v>0</v>
      </c>
      <c r="BU38" s="1037"/>
      <c r="BV38" s="42"/>
      <c r="BW38" s="43"/>
      <c r="BX38" s="37"/>
      <c r="BY38" s="78"/>
      <c r="BZ38" s="43">
        <v>0</v>
      </c>
      <c r="CA38" s="1038"/>
      <c r="CB38" s="42">
        <v>0</v>
      </c>
      <c r="CC38" s="42">
        <v>0</v>
      </c>
      <c r="CD38" s="1039"/>
      <c r="CE38" s="78">
        <v>0</v>
      </c>
      <c r="CF38" s="56"/>
      <c r="CG38" s="42">
        <v>0</v>
      </c>
      <c r="CH38" s="39">
        <v>0</v>
      </c>
      <c r="CI38" s="78">
        <v>0</v>
      </c>
      <c r="CJ38" s="56"/>
      <c r="CK38" s="1034"/>
      <c r="CL38" s="1029"/>
      <c r="CM38" s="1034"/>
      <c r="CN38" s="1029">
        <v>0</v>
      </c>
      <c r="CO38" s="78">
        <v>67.461487126186029</v>
      </c>
      <c r="CP38" s="43">
        <v>0</v>
      </c>
      <c r="CQ38" s="5"/>
      <c r="CR38" s="78">
        <v>89.092350960335338</v>
      </c>
      <c r="CS38" s="1033">
        <v>0</v>
      </c>
      <c r="CT38" s="5"/>
      <c r="CU38" s="78">
        <v>52.886388444950484</v>
      </c>
      <c r="CV38" s="43">
        <v>0</v>
      </c>
      <c r="CW38" s="5"/>
      <c r="CX38" s="78">
        <v>0</v>
      </c>
      <c r="CY38" s="43">
        <v>0</v>
      </c>
      <c r="CZ38" s="5"/>
      <c r="DA38" s="78">
        <v>0</v>
      </c>
      <c r="DB38" s="43">
        <v>0</v>
      </c>
      <c r="DC38" s="5"/>
      <c r="DD38" s="78">
        <v>14.816363198934827</v>
      </c>
      <c r="DE38" s="43">
        <v>0</v>
      </c>
      <c r="DF38" s="5"/>
      <c r="DG38" s="78">
        <v>0</v>
      </c>
      <c r="DH38" s="43"/>
      <c r="DI38" s="5"/>
      <c r="DJ38" s="43">
        <v>224.25658973040666</v>
      </c>
      <c r="DK38" s="43">
        <f t="shared" si="6"/>
        <v>0</v>
      </c>
      <c r="DL38" s="59">
        <f t="shared" si="7"/>
        <v>-224.25658973040666</v>
      </c>
    </row>
    <row r="39" spans="1:116" ht="24.9" customHeight="1" x14ac:dyDescent="0.3">
      <c r="A39" s="328">
        <v>150000978</v>
      </c>
      <c r="B39" s="45" t="s">
        <v>243</v>
      </c>
      <c r="C39" s="1035">
        <v>5</v>
      </c>
      <c r="D39" s="1036" t="s">
        <v>454</v>
      </c>
      <c r="E39" s="1028">
        <f>'побудинковий звіт'!E37</f>
        <v>435.5</v>
      </c>
      <c r="F39" s="1029">
        <f>'побудинковий звіт'!AS37</f>
        <v>22899.60396536687</v>
      </c>
      <c r="G39" s="1029">
        <f t="shared" si="0"/>
        <v>25323</v>
      </c>
      <c r="H39" s="1029">
        <f t="shared" si="1"/>
        <v>2423.3960346331296</v>
      </c>
      <c r="I39" s="43">
        <f>'[1]поточний ремонт'!I39+'[2]поточний ремонт'!I39-'[3]поточний ремонт'!I39</f>
        <v>0</v>
      </c>
      <c r="J39" s="43">
        <f>'[1]поточний ремонт'!J39+'[2]поточний ремонт'!J39-'[3]поточний ремонт'!J39</f>
        <v>0</v>
      </c>
      <c r="K39" s="1037"/>
      <c r="L39" s="43">
        <f>'[1]поточний ремонт'!L39+'[2]поточний ремонт'!L39-'[3]поточний ремонт'!L39</f>
        <v>0</v>
      </c>
      <c r="M39" s="43">
        <f>'[1]поточний ремонт'!M39+'[2]поточний ремонт'!M39-'[3]поточний ремонт'!M39</f>
        <v>0</v>
      </c>
      <c r="N39" s="37"/>
      <c r="O39" s="43">
        <f>'[1]поточний ремонт'!O39+'[2]поточний ремонт'!O39-'[3]поточний ремонт'!O39</f>
        <v>0</v>
      </c>
      <c r="P39" s="43">
        <f>'[1]поточний ремонт'!P39+'[2]поточний ремонт'!P39-'[3]поточний ремонт'!P39</f>
        <v>0</v>
      </c>
      <c r="Q39" s="1038"/>
      <c r="R39" s="43">
        <f>'[1]поточний ремонт'!R39+'[2]поточний ремонт'!R39-'[3]поточний ремонт'!R39</f>
        <v>0</v>
      </c>
      <c r="S39" s="43">
        <f>'[1]поточний ремонт'!S39+'[2]поточний ремонт'!S39-'[3]поточний ремонт'!S39</f>
        <v>0</v>
      </c>
      <c r="T39" s="1039"/>
      <c r="U39" s="43">
        <f>'[1]поточний ремонт'!U39+'[2]поточний ремонт'!U39-'[3]поточний ремонт'!U39</f>
        <v>0</v>
      </c>
      <c r="V39" s="43">
        <f>'[1]поточний ремонт'!V39+'[2]поточний ремонт'!V39-'[3]поточний ремонт'!V39</f>
        <v>0</v>
      </c>
      <c r="W39" s="43">
        <f>'[1]поточний ремонт'!W39+'[2]поточний ремонт'!W39-'[3]поточний ремонт'!W39</f>
        <v>0</v>
      </c>
      <c r="X39" s="43">
        <f>'[1]поточний ремонт'!X39+'[2]поточний ремонт'!X39-'[3]поточний ремонт'!X39</f>
        <v>0</v>
      </c>
      <c r="Y39" s="43">
        <f>'[1]поточний ремонт'!Y39+'[2]поточний ремонт'!Y39-'[3]поточний ремонт'!Y39</f>
        <v>8364</v>
      </c>
      <c r="Z39" s="43">
        <f>'[1]поточний ремонт'!Z39+'[2]поточний ремонт'!Z39-'[3]поточний ремонт'!Z39</f>
        <v>0</v>
      </c>
      <c r="AA39" s="43">
        <f>'[1]поточний ремонт'!AA39+'[2]поточний ремонт'!AA39-'[3]поточний ремонт'!AA39</f>
        <v>0</v>
      </c>
      <c r="AB39" s="43">
        <f>'[1]поточний ремонт'!AB39+'[2]поточний ремонт'!AB39-'[3]поточний ремонт'!AB39</f>
        <v>0</v>
      </c>
      <c r="AC39" s="43">
        <f>'[1]поточний ремонт'!AC39+'[2]поточний ремонт'!AC39-'[3]поточний ремонт'!AC39</f>
        <v>16959</v>
      </c>
      <c r="AD39" s="43">
        <f>'[1]поточний ремонт'!AD39+'[2]поточний ремонт'!AD39-'[3]поточний ремонт'!AD39</f>
        <v>0</v>
      </c>
      <c r="AE39" s="43">
        <f>'[1]поточний ремонт'!AE39+'[2]поточний ремонт'!AE39-'[3]поточний ремонт'!AE39</f>
        <v>1015.3422893615109</v>
      </c>
      <c r="AF39" s="43">
        <f>'[1]поточний ремонт'!AF39+'[2]поточний ремонт'!AF39-'[3]поточний ремонт'!AF39</f>
        <v>0</v>
      </c>
      <c r="AG39" s="5"/>
      <c r="AH39" s="43">
        <f>'[1]поточний ремонт'!AH39+'[2]поточний ремонт'!AH39-'[3]поточний ремонт'!AH39</f>
        <v>1351.7095979690157</v>
      </c>
      <c r="AI39" s="43">
        <f>'[1]поточний ремонт'!AI39+'[2]поточний ремонт'!AI39-'[3]поточний ремонт'!AI39</f>
        <v>605</v>
      </c>
      <c r="AJ39" s="5"/>
      <c r="AK39" s="43">
        <f>'[1]поточний ремонт'!AK39+'[2]поточний ремонт'!AK39-'[3]поточний ремонт'!AK39</f>
        <v>1182.3068432020484</v>
      </c>
      <c r="AL39" s="43">
        <f>'[1]поточний ремонт'!AL39+'[2]поточний ремонт'!AL39-'[3]поточний ремонт'!AL39</f>
        <v>0</v>
      </c>
      <c r="AM39" s="5"/>
      <c r="AN39" s="43">
        <f>'[1]поточний ремонт'!AN39+'[2]поточний ремонт'!AN39-'[3]поточний ремонт'!AN39</f>
        <v>0</v>
      </c>
      <c r="AO39" s="43">
        <f>'[1]поточний ремонт'!AO39+'[2]поточний ремонт'!AO39-'[3]поточний ремонт'!AO39</f>
        <v>0</v>
      </c>
      <c r="AP39" s="5"/>
      <c r="AQ39" s="43">
        <f>'[1]поточний ремонт'!AQ39+'[2]поточний ремонт'!AQ39-'[3]поточний ремонт'!AQ39</f>
        <v>0</v>
      </c>
      <c r="AR39" s="43">
        <f>'[1]поточний ремонт'!AR39+'[2]поточний ремонт'!AR39-'[3]поточний ремонт'!AR39</f>
        <v>0</v>
      </c>
      <c r="AS39" s="5"/>
      <c r="AT39" s="43">
        <f>'[1]поточний ремонт'!AT39+'[2]поточний ремонт'!AT39-'[3]поточний ремонт'!AT39</f>
        <v>394.35343658054012</v>
      </c>
      <c r="AU39" s="43">
        <f>'[1]поточний ремонт'!AU39+'[2]поточний ремонт'!AU39-'[3]поточний ремонт'!AU39</f>
        <v>1104</v>
      </c>
      <c r="AV39" s="5"/>
      <c r="AW39" s="43">
        <f>'[1]поточний ремонт'!AW39+'[2]поточний ремонт'!AW39-'[3]поточний ремонт'!AW39</f>
        <v>0</v>
      </c>
      <c r="AX39" s="43">
        <f>'[1]поточний ремонт'!AX39+'[2]поточний ремонт'!AX39-'[3]поточний ремонт'!AX39</f>
        <v>0</v>
      </c>
      <c r="AY39" s="5"/>
      <c r="AZ39" s="43">
        <f t="shared" si="2"/>
        <v>3943.7121671131144</v>
      </c>
      <c r="BA39" s="43">
        <f t="shared" si="3"/>
        <v>1709</v>
      </c>
      <c r="BB39" s="59">
        <f t="shared" si="4"/>
        <v>-2234.7121671131144</v>
      </c>
      <c r="BD39" s="2">
        <v>2</v>
      </c>
      <c r="BF39" s="30">
        <v>2.7270123312117294</v>
      </c>
      <c r="BG39" s="328">
        <v>150000978</v>
      </c>
      <c r="BI39" s="107">
        <v>0</v>
      </c>
      <c r="BJ39" s="107">
        <f t="shared" si="5"/>
        <v>0</v>
      </c>
      <c r="BK39" s="107">
        <v>0</v>
      </c>
      <c r="BL39" s="39"/>
      <c r="BM39" s="3"/>
      <c r="BN39" s="3">
        <v>0</v>
      </c>
      <c r="BP39" s="3"/>
      <c r="BQ39" s="3"/>
      <c r="BS39" s="43"/>
      <c r="BT39" s="43">
        <v>0</v>
      </c>
      <c r="BU39" s="1037"/>
      <c r="BV39" s="42"/>
      <c r="BW39" s="43"/>
      <c r="BX39" s="37"/>
      <c r="BY39" s="78"/>
      <c r="BZ39" s="43">
        <v>0</v>
      </c>
      <c r="CA39" s="1038"/>
      <c r="CB39" s="42">
        <v>0</v>
      </c>
      <c r="CC39" s="42">
        <v>0</v>
      </c>
      <c r="CD39" s="1039"/>
      <c r="CE39" s="78">
        <v>0</v>
      </c>
      <c r="CF39" s="56"/>
      <c r="CG39" s="42">
        <v>0</v>
      </c>
      <c r="CH39" s="39">
        <v>0</v>
      </c>
      <c r="CI39" s="78">
        <v>0</v>
      </c>
      <c r="CJ39" s="56"/>
      <c r="CK39" s="1034"/>
      <c r="CL39" s="1029"/>
      <c r="CM39" s="1034"/>
      <c r="CN39" s="1029">
        <v>0</v>
      </c>
      <c r="CO39" s="78">
        <v>84.611857446792584</v>
      </c>
      <c r="CP39" s="43">
        <v>0</v>
      </c>
      <c r="CQ39" s="5"/>
      <c r="CR39" s="78">
        <v>112.642466497418</v>
      </c>
      <c r="CS39" s="1033">
        <v>0</v>
      </c>
      <c r="CT39" s="5"/>
      <c r="CU39" s="78">
        <v>98.525570266837363</v>
      </c>
      <c r="CV39" s="43">
        <v>0</v>
      </c>
      <c r="CW39" s="5"/>
      <c r="CX39" s="78">
        <v>0</v>
      </c>
      <c r="CY39" s="43">
        <v>0</v>
      </c>
      <c r="CZ39" s="5"/>
      <c r="DA39" s="78">
        <v>0</v>
      </c>
      <c r="DB39" s="43">
        <v>0</v>
      </c>
      <c r="DC39" s="5"/>
      <c r="DD39" s="78">
        <v>32.862786381711686</v>
      </c>
      <c r="DE39" s="43">
        <v>0</v>
      </c>
      <c r="DF39" s="5"/>
      <c r="DG39" s="78">
        <v>0</v>
      </c>
      <c r="DH39" s="43"/>
      <c r="DI39" s="5"/>
      <c r="DJ39" s="43">
        <v>328.64268059275958</v>
      </c>
      <c r="DK39" s="43">
        <f t="shared" si="6"/>
        <v>0</v>
      </c>
      <c r="DL39" s="59">
        <f t="shared" si="7"/>
        <v>-328.64268059275958</v>
      </c>
    </row>
    <row r="40" spans="1:116" ht="24.9" customHeight="1" x14ac:dyDescent="0.3">
      <c r="A40" s="328">
        <v>150000966</v>
      </c>
      <c r="B40" s="45" t="s">
        <v>204</v>
      </c>
      <c r="C40" s="1035">
        <v>4</v>
      </c>
      <c r="D40" s="1036" t="s">
        <v>454</v>
      </c>
      <c r="E40" s="1028">
        <f>'побудинковий звіт'!E38</f>
        <v>475.51</v>
      </c>
      <c r="F40" s="1029">
        <f>'побудинковий звіт'!AS38</f>
        <v>13253.691656900462</v>
      </c>
      <c r="G40" s="1029">
        <f t="shared" si="0"/>
        <v>4128</v>
      </c>
      <c r="H40" s="1029">
        <f t="shared" si="1"/>
        <v>-9125.6916569004625</v>
      </c>
      <c r="I40" s="43">
        <f>'[1]поточний ремонт'!I40+'[2]поточний ремонт'!I40-'[3]поточний ремонт'!I40</f>
        <v>7.13</v>
      </c>
      <c r="J40" s="43">
        <f>'[1]поточний ремонт'!J40+'[2]поточний ремонт'!J40-'[3]поточний ремонт'!J40</f>
        <v>3702</v>
      </c>
      <c r="K40" s="1037"/>
      <c r="L40" s="43">
        <f>'[1]поточний ремонт'!L40+'[2]поточний ремонт'!L40-'[3]поточний ремонт'!L40</f>
        <v>0</v>
      </c>
      <c r="M40" s="43">
        <f>'[1]поточний ремонт'!M40+'[2]поточний ремонт'!M40-'[3]поточний ремонт'!M40</f>
        <v>0</v>
      </c>
      <c r="N40" s="37"/>
      <c r="O40" s="43">
        <f>'[1]поточний ремонт'!O40+'[2]поточний ремонт'!O40-'[3]поточний ремонт'!O40</f>
        <v>0</v>
      </c>
      <c r="P40" s="43">
        <f>'[1]поточний ремонт'!P40+'[2]поточний ремонт'!P40-'[3]поточний ремонт'!P40</f>
        <v>0</v>
      </c>
      <c r="Q40" s="1038"/>
      <c r="R40" s="43">
        <f>'[1]поточний ремонт'!R40+'[2]поточний ремонт'!R40-'[3]поточний ремонт'!R40</f>
        <v>0</v>
      </c>
      <c r="S40" s="43">
        <f>'[1]поточний ремонт'!S40+'[2]поточний ремонт'!S40-'[3]поточний ремонт'!S40</f>
        <v>0</v>
      </c>
      <c r="T40" s="1039"/>
      <c r="U40" s="43">
        <f>'[1]поточний ремонт'!U40+'[2]поточний ремонт'!U40-'[3]поточний ремонт'!U40</f>
        <v>0</v>
      </c>
      <c r="V40" s="43">
        <f>'[1]поточний ремонт'!V40+'[2]поточний ремонт'!V40-'[3]поточний ремонт'!V40</f>
        <v>0</v>
      </c>
      <c r="W40" s="43">
        <f>'[1]поточний ремонт'!W40+'[2]поточний ремонт'!W40-'[3]поточний ремонт'!W40</f>
        <v>0</v>
      </c>
      <c r="X40" s="43">
        <f>'[1]поточний ремонт'!X40+'[2]поточний ремонт'!X40-'[3]поточний ремонт'!X40</f>
        <v>0</v>
      </c>
      <c r="Y40" s="43">
        <f>'[1]поточний ремонт'!Y40+'[2]поточний ремонт'!Y40-'[3]поточний ремонт'!Y40</f>
        <v>0</v>
      </c>
      <c r="Z40" s="43">
        <f>'[1]поточний ремонт'!Z40+'[2]поточний ремонт'!Z40-'[3]поточний ремонт'!Z40</f>
        <v>0</v>
      </c>
      <c r="AA40" s="43">
        <f>'[1]поточний ремонт'!AA40+'[2]поточний ремонт'!AA40-'[3]поточний ремонт'!AA40</f>
        <v>0</v>
      </c>
      <c r="AB40" s="43">
        <f>'[1]поточний ремонт'!AB40+'[2]поточний ремонт'!AB40-'[3]поточний ремонт'!AB40</f>
        <v>0</v>
      </c>
      <c r="AC40" s="43">
        <f>'[1]поточний ремонт'!AC40+'[2]поточний ремонт'!AC40-'[3]поточний ремонт'!AC40</f>
        <v>0</v>
      </c>
      <c r="AD40" s="43">
        <f>'[1]поточний ремонт'!AD40+'[2]поточний ремонт'!AD40-'[3]поточний ремонт'!AD40</f>
        <v>426</v>
      </c>
      <c r="AE40" s="43">
        <f>'[1]поточний ремонт'!AE40+'[2]поточний ремонт'!AE40-'[3]поточний ремонт'!AE40</f>
        <v>804.96705409443678</v>
      </c>
      <c r="AF40" s="43">
        <f>'[1]поточний ремонт'!AF40+'[2]поточний ремонт'!AF40-'[3]поточний ремонт'!AF40</f>
        <v>808</v>
      </c>
      <c r="AG40" s="5"/>
      <c r="AH40" s="43">
        <f>'[1]поточний ремонт'!AH40+'[2]поточний ремонт'!AH40-'[3]поточний ремонт'!AH40</f>
        <v>1161.7552519950484</v>
      </c>
      <c r="AI40" s="43">
        <f>'[1]поточний ремонт'!AI40+'[2]поточний ремонт'!AI40-'[3]поточний ремонт'!AI40</f>
        <v>0</v>
      </c>
      <c r="AJ40" s="5"/>
      <c r="AK40" s="43">
        <f>'[1]поточний ремонт'!AK40+'[2]поточний ремонт'!AK40-'[3]поточний ремонт'!AK40</f>
        <v>805.76996270419556</v>
      </c>
      <c r="AL40" s="43">
        <f>'[1]поточний ремонт'!AL40+'[2]поточний ремонт'!AL40-'[3]поточний ремонт'!AL40</f>
        <v>3911.9999999999995</v>
      </c>
      <c r="AM40" s="5"/>
      <c r="AN40" s="43">
        <f>'[1]поточний ремонт'!AN40+'[2]поточний ремонт'!AN40-'[3]поточний ремонт'!AN40</f>
        <v>0</v>
      </c>
      <c r="AO40" s="43">
        <f>'[1]поточний ремонт'!AO40+'[2]поточний ремонт'!AO40-'[3]поточний ремонт'!AO40</f>
        <v>0</v>
      </c>
      <c r="AP40" s="5"/>
      <c r="AQ40" s="43">
        <f>'[1]поточний ремонт'!AQ40+'[2]поточний ремонт'!AQ40-'[3]поточний ремонт'!AQ40</f>
        <v>0</v>
      </c>
      <c r="AR40" s="43">
        <f>'[1]поточний ремонт'!AR40+'[2]поточний ремонт'!AR40-'[3]поточний ремонт'!AR40</f>
        <v>0</v>
      </c>
      <c r="AS40" s="5"/>
      <c r="AT40" s="43">
        <f>'[1]поточний ремонт'!AT40+'[2]поточний ремонт'!AT40-'[3]поточний ремонт'!AT40</f>
        <v>344.01005165057484</v>
      </c>
      <c r="AU40" s="43">
        <f>'[1]поточний ремонт'!AU40+'[2]поточний ремонт'!AU40-'[3]поточний ремонт'!AU40</f>
        <v>0</v>
      </c>
      <c r="AV40" s="5"/>
      <c r="AW40" s="43">
        <f>'[1]поточний ремонт'!AW40+'[2]поточний ремонт'!AW40-'[3]поточний ремонт'!AW40</f>
        <v>0</v>
      </c>
      <c r="AX40" s="43">
        <f>'[1]поточний ремонт'!AX40+'[2]поточний ремонт'!AX40-'[3]поточний ремонт'!AX40</f>
        <v>0</v>
      </c>
      <c r="AY40" s="5"/>
      <c r="AZ40" s="43">
        <f t="shared" si="2"/>
        <v>3116.5023204442559</v>
      </c>
      <c r="BA40" s="43">
        <f t="shared" si="3"/>
        <v>4720</v>
      </c>
      <c r="BB40" s="59">
        <f t="shared" si="4"/>
        <v>1603.4976795557441</v>
      </c>
      <c r="BD40" s="2">
        <v>2</v>
      </c>
      <c r="BF40" s="30">
        <v>1.7199705379241843</v>
      </c>
      <c r="BG40" s="328">
        <v>150000966</v>
      </c>
      <c r="BI40" s="107">
        <v>0</v>
      </c>
      <c r="BJ40" s="107">
        <f t="shared" si="5"/>
        <v>0</v>
      </c>
      <c r="BK40" s="107">
        <v>0</v>
      </c>
      <c r="BL40" s="39"/>
      <c r="BM40" s="3"/>
      <c r="BN40" s="3">
        <v>0</v>
      </c>
      <c r="BP40" s="3"/>
      <c r="BQ40" s="3"/>
      <c r="BS40" s="43"/>
      <c r="BT40" s="43">
        <v>0</v>
      </c>
      <c r="BU40" s="1037"/>
      <c r="BV40" s="42"/>
      <c r="BW40" s="43"/>
      <c r="BX40" s="37"/>
      <c r="BY40" s="78"/>
      <c r="BZ40" s="43">
        <v>0</v>
      </c>
      <c r="CA40" s="1038"/>
      <c r="CB40" s="42">
        <v>0</v>
      </c>
      <c r="CC40" s="42">
        <v>0</v>
      </c>
      <c r="CD40" s="1039"/>
      <c r="CE40" s="78">
        <v>0</v>
      </c>
      <c r="CF40" s="56"/>
      <c r="CG40" s="42">
        <v>0</v>
      </c>
      <c r="CH40" s="39">
        <v>0</v>
      </c>
      <c r="CI40" s="78">
        <v>0</v>
      </c>
      <c r="CJ40" s="56"/>
      <c r="CK40" s="1034"/>
      <c r="CL40" s="1029"/>
      <c r="CM40" s="1034"/>
      <c r="CN40" s="1029">
        <v>0</v>
      </c>
      <c r="CO40" s="78">
        <v>67.080587841203069</v>
      </c>
      <c r="CP40" s="43">
        <v>0</v>
      </c>
      <c r="CQ40" s="5"/>
      <c r="CR40" s="78">
        <v>96.81293766625403</v>
      </c>
      <c r="CS40" s="1033">
        <v>0</v>
      </c>
      <c r="CT40" s="5"/>
      <c r="CU40" s="78">
        <v>67.147496892016292</v>
      </c>
      <c r="CV40" s="43">
        <v>0</v>
      </c>
      <c r="CW40" s="5"/>
      <c r="CX40" s="78">
        <v>0</v>
      </c>
      <c r="CY40" s="43">
        <v>0</v>
      </c>
      <c r="CZ40" s="5"/>
      <c r="DA40" s="78">
        <v>0</v>
      </c>
      <c r="DB40" s="43">
        <v>0</v>
      </c>
      <c r="DC40" s="5"/>
      <c r="DD40" s="78">
        <v>28.667504304214575</v>
      </c>
      <c r="DE40" s="43">
        <v>0</v>
      </c>
      <c r="DF40" s="5"/>
      <c r="DG40" s="78">
        <v>0</v>
      </c>
      <c r="DH40" s="43"/>
      <c r="DI40" s="5"/>
      <c r="DJ40" s="43">
        <v>259.70852670368794</v>
      </c>
      <c r="DK40" s="43">
        <f t="shared" si="6"/>
        <v>0</v>
      </c>
      <c r="DL40" s="59">
        <f t="shared" si="7"/>
        <v>-259.70852670368794</v>
      </c>
    </row>
    <row r="41" spans="1:116" ht="24.9" customHeight="1" x14ac:dyDescent="0.3">
      <c r="A41" s="328">
        <v>150000967</v>
      </c>
      <c r="B41" s="45" t="s">
        <v>205</v>
      </c>
      <c r="C41" s="1035">
        <v>4</v>
      </c>
      <c r="D41" s="1036" t="s">
        <v>454</v>
      </c>
      <c r="E41" s="1028">
        <f>'побудинковий звіт'!E39</f>
        <v>499.4</v>
      </c>
      <c r="F41" s="1029">
        <f>'побудинковий звіт'!AS39</f>
        <v>13109.049404285943</v>
      </c>
      <c r="G41" s="1029">
        <f t="shared" si="0"/>
        <v>8660.9701877442567</v>
      </c>
      <c r="H41" s="1029">
        <f t="shared" si="1"/>
        <v>-4448.079216541686</v>
      </c>
      <c r="I41" s="43">
        <f>'[1]поточний ремонт'!I41+'[2]поточний ремонт'!I41-'[3]поточний ремонт'!I41</f>
        <v>10</v>
      </c>
      <c r="J41" s="43">
        <f>'[1]поточний ремонт'!J41+'[2]поточний ремонт'!J41-'[3]поточний ремонт'!J41</f>
        <v>2346</v>
      </c>
      <c r="K41" s="1037"/>
      <c r="L41" s="43">
        <f>'[1]поточний ремонт'!L41+'[2]поточний ремонт'!L41-'[3]поточний ремонт'!L41</f>
        <v>0</v>
      </c>
      <c r="M41" s="43">
        <f>'[1]поточний ремонт'!M41+'[2]поточний ремонт'!M41-'[3]поточний ремонт'!M41</f>
        <v>0</v>
      </c>
      <c r="N41" s="1039"/>
      <c r="O41" s="43">
        <f>'[1]поточний ремонт'!O41+'[2]поточний ремонт'!O41-'[3]поточний ремонт'!O41</f>
        <v>0</v>
      </c>
      <c r="P41" s="43">
        <f>'[1]поточний ремонт'!P41+'[2]поточний ремонт'!P41-'[3]поточний ремонт'!P41</f>
        <v>0</v>
      </c>
      <c r="Q41" s="1038"/>
      <c r="R41" s="43">
        <f>'[1]поточний ремонт'!R41+'[2]поточний ремонт'!R41-'[3]поточний ремонт'!R41</f>
        <v>0</v>
      </c>
      <c r="S41" s="43">
        <f>'[1]поточний ремонт'!S41+'[2]поточний ремонт'!S41-'[3]поточний ремонт'!S41</f>
        <v>0</v>
      </c>
      <c r="T41" s="1039"/>
      <c r="U41" s="43">
        <f>'[1]поточний ремонт'!U41+'[2]поточний ремонт'!U41-'[3]поточний ремонт'!U41</f>
        <v>0</v>
      </c>
      <c r="V41" s="43">
        <f>'[1]поточний ремонт'!V41+'[2]поточний ремонт'!V41-'[3]поточний ремонт'!V41</f>
        <v>0</v>
      </c>
      <c r="W41" s="43">
        <f>'[1]поточний ремонт'!W41+'[2]поточний ремонт'!W41-'[3]поточний ремонт'!W41</f>
        <v>0</v>
      </c>
      <c r="X41" s="43">
        <f>'[1]поточний ремонт'!X41+'[2]поточний ремонт'!X41-'[3]поточний ремонт'!X41</f>
        <v>257.97018774425578</v>
      </c>
      <c r="Y41" s="43">
        <f>'[1]поточний ремонт'!Y41+'[2]поточний ремонт'!Y41-'[3]поточний ремонт'!Y41</f>
        <v>3285</v>
      </c>
      <c r="Z41" s="43">
        <f>'[1]поточний ремонт'!Z41+'[2]поточний ремонт'!Z41-'[3]поточний ремонт'!Z41</f>
        <v>0</v>
      </c>
      <c r="AA41" s="43">
        <f>'[1]поточний ремонт'!AA41+'[2]поточний ремонт'!AA41-'[3]поточний ремонт'!AA41</f>
        <v>0</v>
      </c>
      <c r="AB41" s="43">
        <f>'[1]поточний ремонт'!AB41+'[2]поточний ремонт'!AB41-'[3]поточний ремонт'!AB41</f>
        <v>0</v>
      </c>
      <c r="AC41" s="43">
        <f>'[1]поточний ремонт'!AC41+'[2]поточний ремонт'!AC41-'[3]поточний ремонт'!AC41</f>
        <v>2772</v>
      </c>
      <c r="AD41" s="43">
        <f>'[1]поточний ремонт'!AD41+'[2]поточний ремонт'!AD41-'[3]поточний ремонт'!AD41</f>
        <v>0</v>
      </c>
      <c r="AE41" s="43">
        <f>'[1]поточний ремонт'!AE41+'[2]поточний ремонт'!AE41-'[3]поточний ремонт'!AE41</f>
        <v>881.52168481373383</v>
      </c>
      <c r="AF41" s="43">
        <f>'[1]поточний ремонт'!AF41+'[2]поточний ремонт'!AF41-'[3]поточний ремонт'!AF41</f>
        <v>0</v>
      </c>
      <c r="AG41" s="5"/>
      <c r="AH41" s="43">
        <f>'[1]поточний ремонт'!AH41+'[2]поточний ремонт'!AH41-'[3]поточний ремонт'!AH41</f>
        <v>1199.9207699340923</v>
      </c>
      <c r="AI41" s="43">
        <f>'[1]поточний ремонт'!AI41+'[2]поточний ремонт'!AI41-'[3]поточний ремонт'!AI41</f>
        <v>0</v>
      </c>
      <c r="AJ41" s="5"/>
      <c r="AK41" s="43">
        <f>'[1]поточний ремонт'!AK41+'[2]поточний ремонт'!AK41-'[3]поточний ремонт'!AK41</f>
        <v>1148.1747516299097</v>
      </c>
      <c r="AL41" s="43">
        <f>'[1]поточний ремонт'!AL41+'[2]поточний ремонт'!AL41-'[3]поточний ремонт'!AL41</f>
        <v>0</v>
      </c>
      <c r="AM41" s="5"/>
      <c r="AN41" s="43">
        <f>'[1]поточний ремонт'!AN41+'[2]поточний ремонт'!AN41-'[3]поточний ремонт'!AN41</f>
        <v>0</v>
      </c>
      <c r="AO41" s="43">
        <f>'[1]поточний ремонт'!AO41+'[2]поточний ремонт'!AO41-'[3]поточний ремонт'!AO41</f>
        <v>0</v>
      </c>
      <c r="AP41" s="5"/>
      <c r="AQ41" s="43">
        <f>'[1]поточний ремонт'!AQ41+'[2]поточний ремонт'!AQ41-'[3]поточний ремонт'!AQ41</f>
        <v>0</v>
      </c>
      <c r="AR41" s="43">
        <f>'[1]поточний ремонт'!AR41+'[2]поточний ремонт'!AR41-'[3]поточний ремонт'!AR41</f>
        <v>0</v>
      </c>
      <c r="AS41" s="5"/>
      <c r="AT41" s="43">
        <f>'[1]поточний ремонт'!AT41+'[2]поточний ремонт'!AT41-'[3]поточний ремонт'!AT41</f>
        <v>360.33684092152436</v>
      </c>
      <c r="AU41" s="43">
        <f>'[1]поточний ремонт'!AU41+'[2]поточний ремонт'!AU41-'[3]поточний ремонт'!AU41</f>
        <v>0</v>
      </c>
      <c r="AV41" s="5"/>
      <c r="AW41" s="43">
        <f>'[1]поточний ремонт'!AW41+'[2]поточний ремонт'!AW41-'[3]поточний ремонт'!AW41</f>
        <v>0</v>
      </c>
      <c r="AX41" s="43">
        <f>'[1]поточний ремонт'!AX41+'[2]поточний ремонт'!AX41-'[3]поточний ремонт'!AX41</f>
        <v>0</v>
      </c>
      <c r="AY41" s="5"/>
      <c r="AZ41" s="43">
        <f t="shared" si="2"/>
        <v>3589.9540472992603</v>
      </c>
      <c r="BA41" s="43">
        <f t="shared" si="3"/>
        <v>0</v>
      </c>
      <c r="BB41" s="59">
        <f t="shared" si="4"/>
        <v>-3589.9540472992603</v>
      </c>
      <c r="BD41" s="2">
        <v>2</v>
      </c>
      <c r="BF41" s="30">
        <v>2.1823693563797151</v>
      </c>
      <c r="BG41" s="328">
        <v>150000967</v>
      </c>
      <c r="BI41" s="107">
        <v>19.25</v>
      </c>
      <c r="BJ41" s="107">
        <f t="shared" si="5"/>
        <v>2.7077473499999996</v>
      </c>
      <c r="BK41" s="107">
        <v>22.200751573000002</v>
      </c>
      <c r="BL41" s="39"/>
      <c r="BM41" s="3"/>
      <c r="BN41" s="3">
        <v>0</v>
      </c>
      <c r="BP41" s="3"/>
      <c r="BQ41" s="3"/>
      <c r="BS41" s="43"/>
      <c r="BT41" s="43">
        <v>0</v>
      </c>
      <c r="BU41" s="1037"/>
      <c r="BV41" s="42"/>
      <c r="BW41" s="43"/>
      <c r="BX41" s="1039"/>
      <c r="BY41" s="78"/>
      <c r="BZ41" s="43">
        <v>0</v>
      </c>
      <c r="CA41" s="1038"/>
      <c r="CB41" s="42">
        <v>0</v>
      </c>
      <c r="CC41" s="42">
        <v>0</v>
      </c>
      <c r="CD41" s="1039"/>
      <c r="CE41" s="78">
        <v>0</v>
      </c>
      <c r="CF41" s="56"/>
      <c r="CG41" s="42">
        <v>0</v>
      </c>
      <c r="CH41" s="39">
        <v>22.200751573000002</v>
      </c>
      <c r="CI41" s="78">
        <v>0</v>
      </c>
      <c r="CJ41" s="56"/>
      <c r="CK41" s="1034"/>
      <c r="CL41" s="1029"/>
      <c r="CM41" s="1034"/>
      <c r="CN41" s="1029">
        <v>0</v>
      </c>
      <c r="CO41" s="78">
        <v>73.460140401144486</v>
      </c>
      <c r="CP41" s="43">
        <v>0</v>
      </c>
      <c r="CQ41" s="5"/>
      <c r="CR41" s="78">
        <v>99.99339749450769</v>
      </c>
      <c r="CS41" s="1033">
        <v>0</v>
      </c>
      <c r="CT41" s="5"/>
      <c r="CU41" s="78">
        <v>95.681229302492454</v>
      </c>
      <c r="CV41" s="43">
        <v>0</v>
      </c>
      <c r="CW41" s="5"/>
      <c r="CX41" s="78">
        <v>0</v>
      </c>
      <c r="CY41" s="43">
        <v>0</v>
      </c>
      <c r="CZ41" s="5"/>
      <c r="DA41" s="78">
        <v>0</v>
      </c>
      <c r="DB41" s="43">
        <v>0</v>
      </c>
      <c r="DC41" s="5"/>
      <c r="DD41" s="78">
        <v>30.028070076793693</v>
      </c>
      <c r="DE41" s="43">
        <v>0</v>
      </c>
      <c r="DF41" s="5"/>
      <c r="DG41" s="78">
        <v>0</v>
      </c>
      <c r="DH41" s="43"/>
      <c r="DI41" s="5"/>
      <c r="DJ41" s="43">
        <v>299.16283727493834</v>
      </c>
      <c r="DK41" s="43">
        <f t="shared" si="6"/>
        <v>0</v>
      </c>
      <c r="DL41" s="59">
        <f t="shared" si="7"/>
        <v>-299.16283727493834</v>
      </c>
    </row>
    <row r="42" spans="1:116" ht="24.9" customHeight="1" x14ac:dyDescent="0.3">
      <c r="A42" s="328">
        <v>150000968</v>
      </c>
      <c r="B42" s="45" t="s">
        <v>244</v>
      </c>
      <c r="C42" s="1035">
        <v>5</v>
      </c>
      <c r="D42" s="1036" t="s">
        <v>454</v>
      </c>
      <c r="E42" s="1028">
        <f>'побудинковий звіт'!E40</f>
        <v>597.9</v>
      </c>
      <c r="F42" s="1029">
        <f>'побудинковий звіт'!AS40</f>
        <v>13921.679285053164</v>
      </c>
      <c r="G42" s="1029">
        <f t="shared" si="0"/>
        <v>3670.7775287421673</v>
      </c>
      <c r="H42" s="1029">
        <f t="shared" si="1"/>
        <v>-10250.901756310996</v>
      </c>
      <c r="I42" s="43">
        <f>'[1]поточний ремонт'!I42+'[2]поточний ремонт'!I42-'[3]поточний ремонт'!I42</f>
        <v>0</v>
      </c>
      <c r="J42" s="43">
        <f>'[1]поточний ремонт'!J42+'[2]поточний ремонт'!J42-'[3]поточний ремонт'!J42</f>
        <v>0</v>
      </c>
      <c r="K42" s="1037"/>
      <c r="L42" s="43">
        <f>'[1]поточний ремонт'!L42+'[2]поточний ремонт'!L42-'[3]поточний ремонт'!L42</f>
        <v>0</v>
      </c>
      <c r="M42" s="43">
        <f>'[1]поточний ремонт'!M42+'[2]поточний ремонт'!M42-'[3]поточний ремонт'!M42</f>
        <v>0</v>
      </c>
      <c r="N42" s="37"/>
      <c r="O42" s="43">
        <f>'[1]поточний ремонт'!O42+'[2]поточний ремонт'!O42-'[3]поточний ремонт'!O42</f>
        <v>0</v>
      </c>
      <c r="P42" s="43">
        <f>'[1]поточний ремонт'!P42+'[2]поточний ремонт'!P42-'[3]поточний ремонт'!P42</f>
        <v>0</v>
      </c>
      <c r="Q42" s="1038"/>
      <c r="R42" s="43">
        <f>'[1]поточний ремонт'!R42+'[2]поточний ремонт'!R42-'[3]поточний ремонт'!R42</f>
        <v>0</v>
      </c>
      <c r="S42" s="43">
        <f>'[1]поточний ремонт'!S42+'[2]поточний ремонт'!S42-'[3]поточний ремонт'!S42</f>
        <v>0</v>
      </c>
      <c r="T42" s="1039"/>
      <c r="U42" s="43">
        <f>'[1]поточний ремонт'!U42+'[2]поточний ремонт'!U42-'[3]поточний ремонт'!U42</f>
        <v>0</v>
      </c>
      <c r="V42" s="43">
        <f>'[1]поточний ремонт'!V42+'[2]поточний ремонт'!V42-'[3]поточний ремонт'!V42</f>
        <v>0</v>
      </c>
      <c r="W42" s="43">
        <f>'[1]поточний ремонт'!W42+'[2]поточний ремонт'!W42-'[3]поточний ремонт'!W42</f>
        <v>0</v>
      </c>
      <c r="X42" s="43">
        <f>'[1]поточний ремонт'!X42+'[2]поточний ремонт'!X42-'[3]поточний ремонт'!X42</f>
        <v>351.77752874216708</v>
      </c>
      <c r="Y42" s="43">
        <f>'[1]поточний ремонт'!Y42+'[2]поточний ремонт'!Y42-'[3]поточний ремонт'!Y42</f>
        <v>0</v>
      </c>
      <c r="Z42" s="43">
        <f>'[1]поточний ремонт'!Z42+'[2]поточний ремонт'!Z42-'[3]поточний ремонт'!Z42</f>
        <v>0</v>
      </c>
      <c r="AA42" s="43">
        <f>'[1]поточний ремонт'!AA42+'[2]поточний ремонт'!AA42-'[3]поточний ремонт'!AA42</f>
        <v>0</v>
      </c>
      <c r="AB42" s="43">
        <f>'[1]поточний ремонт'!AB42+'[2]поточний ремонт'!AB42-'[3]поточний ремонт'!AB42</f>
        <v>0</v>
      </c>
      <c r="AC42" s="43">
        <f>'[1]поточний ремонт'!AC42+'[2]поточний ремонт'!AC42-'[3]поточний ремонт'!AC42</f>
        <v>3319</v>
      </c>
      <c r="AD42" s="43">
        <f>'[1]поточний ремонт'!AD42+'[2]поточний ремонт'!AD42-'[3]поточний ремонт'!AD42</f>
        <v>0</v>
      </c>
      <c r="AE42" s="43">
        <f>'[1]поточний ремонт'!AE42+'[2]поточний ремонт'!AE42-'[3]поточний ремонт'!AE42</f>
        <v>1015.3422893615109</v>
      </c>
      <c r="AF42" s="43">
        <f>'[1]поточний ремонт'!AF42+'[2]поточний ремонт'!AF42-'[3]поточний ремонт'!AF42</f>
        <v>0</v>
      </c>
      <c r="AG42" s="5"/>
      <c r="AH42" s="43">
        <f>'[1]поточний ремонт'!AH42+'[2]поточний ремонт'!AH42-'[3]поточний ремонт'!AH42</f>
        <v>1351.7095979690157</v>
      </c>
      <c r="AI42" s="43">
        <f>'[1]поточний ремонт'!AI42+'[2]поточний ремонт'!AI42-'[3]поточний ремонт'!AI42</f>
        <v>0</v>
      </c>
      <c r="AJ42" s="5"/>
      <c r="AK42" s="43">
        <f>'[1]поточний ремонт'!AK42+'[2]поточний ремонт'!AK42-'[3]поточний ремонт'!AK42</f>
        <v>1648.2240323758767</v>
      </c>
      <c r="AL42" s="43">
        <f>'[1]поточний ремонт'!AL42+'[2]поточний ремонт'!AL42-'[3]поточний ремонт'!AL42</f>
        <v>0</v>
      </c>
      <c r="AM42" s="5"/>
      <c r="AN42" s="43">
        <f>'[1]поточний ремонт'!AN42+'[2]поточний ремонт'!AN42-'[3]поточний ремонт'!AN42</f>
        <v>0</v>
      </c>
      <c r="AO42" s="43">
        <f>'[1]поточний ремонт'!AO42+'[2]поточний ремонт'!AO42-'[3]поточний ремонт'!AO42</f>
        <v>0</v>
      </c>
      <c r="AP42" s="5"/>
      <c r="AQ42" s="43">
        <f>'[1]поточний ремонт'!AQ42+'[2]поточний ремонт'!AQ42-'[3]поточний ремонт'!AQ42</f>
        <v>0</v>
      </c>
      <c r="AR42" s="43">
        <f>'[1]поточний ремонт'!AR42+'[2]поточний ремонт'!AR42-'[3]поточний ремонт'!AR42</f>
        <v>0</v>
      </c>
      <c r="AS42" s="5"/>
      <c r="AT42" s="43">
        <f>'[1]поточний ремонт'!AT42+'[2]поточний ремонт'!AT42-'[3]поточний ремонт'!AT42</f>
        <v>420.22302392221758</v>
      </c>
      <c r="AU42" s="43">
        <f>'[1]поточний ремонт'!AU42+'[2]поточний ремонт'!AU42-'[3]поточний ремонт'!AU42</f>
        <v>126</v>
      </c>
      <c r="AV42" s="5"/>
      <c r="AW42" s="43">
        <f>'[1]поточний ремонт'!AW42+'[2]поточний ремонт'!AW42-'[3]поточний ремонт'!AW42</f>
        <v>0</v>
      </c>
      <c r="AX42" s="43">
        <f>'[1]поточний ремонт'!AX42+'[2]поточний ремонт'!AX42-'[3]поточний ремонт'!AX42</f>
        <v>0</v>
      </c>
      <c r="AY42" s="5"/>
      <c r="AZ42" s="43">
        <f t="shared" si="2"/>
        <v>4435.4989436286205</v>
      </c>
      <c r="BA42" s="43">
        <f t="shared" si="3"/>
        <v>126</v>
      </c>
      <c r="BB42" s="59">
        <f t="shared" si="4"/>
        <v>-4309.4989436286205</v>
      </c>
      <c r="BD42" s="2">
        <v>2</v>
      </c>
      <c r="BF42" s="30">
        <v>3.3562217534633567</v>
      </c>
      <c r="BG42" s="328">
        <v>150000968</v>
      </c>
      <c r="BI42" s="107">
        <v>26.25</v>
      </c>
      <c r="BJ42" s="107">
        <f t="shared" si="5"/>
        <v>3.6923827499999997</v>
      </c>
      <c r="BK42" s="107">
        <v>30.273752145</v>
      </c>
      <c r="BL42" s="39"/>
      <c r="BM42" s="3"/>
      <c r="BN42" s="3">
        <v>0</v>
      </c>
      <c r="BP42" s="3"/>
      <c r="BQ42" s="3"/>
      <c r="BS42" s="43"/>
      <c r="BT42" s="43">
        <v>0</v>
      </c>
      <c r="BU42" s="1037"/>
      <c r="BV42" s="42"/>
      <c r="BW42" s="43"/>
      <c r="BX42" s="37"/>
      <c r="BY42" s="78"/>
      <c r="BZ42" s="43">
        <v>0</v>
      </c>
      <c r="CA42" s="1038"/>
      <c r="CB42" s="42">
        <v>0</v>
      </c>
      <c r="CC42" s="42">
        <v>0</v>
      </c>
      <c r="CD42" s="1039"/>
      <c r="CE42" s="78">
        <v>0</v>
      </c>
      <c r="CF42" s="56"/>
      <c r="CG42" s="42">
        <v>0</v>
      </c>
      <c r="CH42" s="39">
        <v>30.273752145</v>
      </c>
      <c r="CI42" s="78">
        <v>0</v>
      </c>
      <c r="CJ42" s="56"/>
      <c r="CK42" s="1034"/>
      <c r="CL42" s="1029"/>
      <c r="CM42" s="1034"/>
      <c r="CN42" s="1029">
        <v>0</v>
      </c>
      <c r="CO42" s="78">
        <v>84.611857446792584</v>
      </c>
      <c r="CP42" s="43">
        <v>0</v>
      </c>
      <c r="CQ42" s="5"/>
      <c r="CR42" s="78">
        <v>112.642466497418</v>
      </c>
      <c r="CS42" s="1033">
        <v>0</v>
      </c>
      <c r="CT42" s="5"/>
      <c r="CU42" s="78">
        <v>137.35200269798972</v>
      </c>
      <c r="CV42" s="43">
        <v>0</v>
      </c>
      <c r="CW42" s="5"/>
      <c r="CX42" s="78">
        <v>0</v>
      </c>
      <c r="CY42" s="43">
        <v>0</v>
      </c>
      <c r="CZ42" s="5"/>
      <c r="DA42" s="78">
        <v>0</v>
      </c>
      <c r="DB42" s="43">
        <v>0</v>
      </c>
      <c r="DC42" s="5"/>
      <c r="DD42" s="78">
        <v>35.018585326851472</v>
      </c>
      <c r="DE42" s="43">
        <v>0</v>
      </c>
      <c r="DF42" s="5"/>
      <c r="DG42" s="78">
        <v>0</v>
      </c>
      <c r="DH42" s="43"/>
      <c r="DI42" s="5"/>
      <c r="DJ42" s="43">
        <v>369.62491196905177</v>
      </c>
      <c r="DK42" s="43">
        <f t="shared" si="6"/>
        <v>0</v>
      </c>
      <c r="DL42" s="59">
        <f t="shared" si="7"/>
        <v>-369.62491196905177</v>
      </c>
    </row>
    <row r="43" spans="1:116" ht="24.9" customHeight="1" x14ac:dyDescent="0.3">
      <c r="A43" s="328">
        <v>150000981</v>
      </c>
      <c r="B43" s="45" t="s">
        <v>342</v>
      </c>
      <c r="C43" s="1035">
        <v>9</v>
      </c>
      <c r="D43" s="1036" t="s">
        <v>454</v>
      </c>
      <c r="E43" s="1028">
        <f>'побудинковий звіт'!E41</f>
        <v>135.6</v>
      </c>
      <c r="F43" s="1029">
        <f>'побудинковий звіт'!AS41</f>
        <v>40173.707533750065</v>
      </c>
      <c r="G43" s="1029">
        <f t="shared" si="0"/>
        <v>21967.327006072897</v>
      </c>
      <c r="H43" s="1029">
        <f t="shared" si="1"/>
        <v>-18206.380527677167</v>
      </c>
      <c r="I43" s="43">
        <f>'[1]поточний ремонт'!I43+'[2]поточний ремонт'!I43-'[3]поточний ремонт'!I43</f>
        <v>9</v>
      </c>
      <c r="J43" s="43">
        <f>'[1]поточний ремонт'!J43+'[2]поточний ремонт'!J43-'[3]поточний ремонт'!J43</f>
        <v>2080</v>
      </c>
      <c r="K43" s="1037"/>
      <c r="L43" s="43">
        <f>'[1]поточний ремонт'!L43+'[2]поточний ремонт'!L43-'[3]поточний ремонт'!L43</f>
        <v>0</v>
      </c>
      <c r="M43" s="43">
        <f>'[1]поточний ремонт'!M43+'[2]поточний ремонт'!M43-'[3]поточний ремонт'!M43</f>
        <v>0</v>
      </c>
      <c r="N43" s="37"/>
      <c r="O43" s="43">
        <f>'[1]поточний ремонт'!O43+'[2]поточний ремонт'!O43-'[3]поточний ремонт'!O43</f>
        <v>22</v>
      </c>
      <c r="P43" s="43">
        <f>'[1]поточний ремонт'!P43+'[2]поточний ремонт'!P43-'[3]поточний ремонт'!P43</f>
        <v>7885</v>
      </c>
      <c r="Q43" s="1038"/>
      <c r="R43" s="43">
        <f>'[1]поточний ремонт'!R43+'[2]поточний ремонт'!R43-'[3]поточний ремонт'!R43</f>
        <v>0</v>
      </c>
      <c r="S43" s="43">
        <f>'[1]поточний ремонт'!S43+'[2]поточний ремонт'!S43-'[3]поточний ремонт'!S43</f>
        <v>0</v>
      </c>
      <c r="T43" s="1039"/>
      <c r="U43" s="43">
        <f>'[1]поточний ремонт'!U43+'[2]поточний ремонт'!U43-'[3]поточний ремонт'!U43</f>
        <v>0</v>
      </c>
      <c r="V43" s="43">
        <f>'[1]поточний ремонт'!V43+'[2]поточний ремонт'!V43-'[3]поточний ремонт'!V43</f>
        <v>0</v>
      </c>
      <c r="W43" s="43">
        <f>'[1]поточний ремонт'!W43+'[2]поточний ремонт'!W43-'[3]поточний ремонт'!W43</f>
        <v>0</v>
      </c>
      <c r="X43" s="43">
        <f>'[1]поточний ремонт'!X43+'[2]поточний ремонт'!X43-'[3]поточний ремонт'!X43</f>
        <v>447.32700607289672</v>
      </c>
      <c r="Y43" s="43">
        <f>'[1]поточний ремонт'!Y43+'[2]поточний ремонт'!Y43-'[3]поточний ремонт'!Y43</f>
        <v>7188</v>
      </c>
      <c r="Z43" s="43">
        <f>'[1]поточний ремонт'!Z43+'[2]поточний ремонт'!Z43-'[3]поточний ремонт'!Z43</f>
        <v>0</v>
      </c>
      <c r="AA43" s="43">
        <f>'[1]поточний ремонт'!AA43+'[2]поточний ремонт'!AA43-'[3]поточний ремонт'!AA43</f>
        <v>0</v>
      </c>
      <c r="AB43" s="43">
        <f>'[1]поточний ремонт'!AB43+'[2]поточний ремонт'!AB43-'[3]поточний ремонт'!AB43</f>
        <v>1495</v>
      </c>
      <c r="AC43" s="43">
        <f>'[1]поточний ремонт'!AC43+'[2]поточний ремонт'!AC43-'[3]поточний ремонт'!AC43</f>
        <v>496</v>
      </c>
      <c r="AD43" s="43">
        <f>'[1]поточний ремонт'!AD43+'[2]поточний ремонт'!AD43-'[3]поточний ремонт'!AD43</f>
        <v>2376</v>
      </c>
      <c r="AE43" s="43">
        <f>'[1]поточний ремонт'!AE43+'[2]поточний ремонт'!AE43-'[3]поточний ремонт'!AE43</f>
        <v>269.54884536706112</v>
      </c>
      <c r="AF43" s="43">
        <f>'[1]поточний ремонт'!AF43+'[2]поточний ремонт'!AF43-'[3]поточний ремонт'!AF43</f>
        <v>3129</v>
      </c>
      <c r="AG43" s="5"/>
      <c r="AH43" s="43">
        <f>'[1]поточний ремонт'!AH43+'[2]поточний ремонт'!AH43-'[3]поточний ремонт'!AH43</f>
        <v>365.06529543467622</v>
      </c>
      <c r="AI43" s="43">
        <f>'[1]поточний ремонт'!AI43+'[2]поточний ремонт'!AI43-'[3]поточний ремонт'!AI43</f>
        <v>0</v>
      </c>
      <c r="AJ43" s="1045"/>
      <c r="AK43" s="43">
        <f>'[1]поточний ремонт'!AK43+'[2]поточний ремонт'!AK43-'[3]поточний ремонт'!AK43</f>
        <v>460.16199283065652</v>
      </c>
      <c r="AL43" s="43">
        <f>'[1]поточний ремонт'!AL43+'[2]поточний ремонт'!AL43-'[3]поточний ремонт'!AL43</f>
        <v>0</v>
      </c>
      <c r="AM43" s="9"/>
      <c r="AN43" s="43">
        <f>'[1]поточний ремонт'!AN43+'[2]поточний ремонт'!AN43-'[3]поточний ремонт'!AN43</f>
        <v>180.55669859969186</v>
      </c>
      <c r="AO43" s="43">
        <f>'[1]поточний ремонт'!AO43+'[2]поточний ремонт'!AO43-'[3]поточний ремонт'!AO43</f>
        <v>0</v>
      </c>
      <c r="AP43" s="5"/>
      <c r="AQ43" s="43">
        <f>'[1]поточний ремонт'!AQ43+'[2]поточний ремонт'!AQ43-'[3]поточний ремонт'!AQ43</f>
        <v>79.153482378459373</v>
      </c>
      <c r="AR43" s="43">
        <f>'[1]поточний ремонт'!AR43+'[2]поточний ремонт'!AR43-'[3]поточний ремонт'!AR43</f>
        <v>0</v>
      </c>
      <c r="AS43" s="5"/>
      <c r="AT43" s="43">
        <f>'[1]поточний ремонт'!AT43+'[2]поточний ремонт'!AT43-'[3]поточний ремонт'!AT43</f>
        <v>209.1678366590919</v>
      </c>
      <c r="AU43" s="43">
        <f>'[1]поточний ремонт'!AU43+'[2]поточний ремонт'!AU43-'[3]поточний ремонт'!AU43</f>
        <v>0</v>
      </c>
      <c r="AV43" s="5"/>
      <c r="AW43" s="43">
        <f>'[1]поточний ремонт'!AW43+'[2]поточний ремонт'!AW43-'[3]поточний ремонт'!AW43</f>
        <v>0</v>
      </c>
      <c r="AX43" s="43">
        <f>'[1]поточний ремонт'!AX43+'[2]поточний ремонт'!AX43-'[3]поточний ремонт'!AX43</f>
        <v>0</v>
      </c>
      <c r="AY43" s="5"/>
      <c r="AZ43" s="43">
        <f t="shared" si="2"/>
        <v>1563.6541512696367</v>
      </c>
      <c r="BA43" s="43">
        <f t="shared" si="3"/>
        <v>3129</v>
      </c>
      <c r="BB43" s="59">
        <f t="shared" si="4"/>
        <v>1565.3458487303633</v>
      </c>
      <c r="BD43" s="2">
        <v>3</v>
      </c>
      <c r="BF43" s="30">
        <v>165.52862883785181</v>
      </c>
      <c r="BG43" s="328">
        <v>150000981</v>
      </c>
      <c r="BI43" s="107">
        <v>33.380000000000003</v>
      </c>
      <c r="BJ43" s="107">
        <f t="shared" si="5"/>
        <v>4.6953042360000001</v>
      </c>
      <c r="BK43" s="107">
        <v>38.496679870480001</v>
      </c>
      <c r="BL43" s="39"/>
      <c r="BM43" s="3"/>
      <c r="BN43" s="3">
        <v>0</v>
      </c>
      <c r="BP43" s="3"/>
      <c r="BQ43" s="3"/>
      <c r="BS43" s="43"/>
      <c r="BT43" s="43">
        <v>0</v>
      </c>
      <c r="BU43" s="1037"/>
      <c r="BV43" s="42"/>
      <c r="BW43" s="43"/>
      <c r="BX43" s="37"/>
      <c r="BY43" s="78"/>
      <c r="BZ43" s="43">
        <v>0</v>
      </c>
      <c r="CA43" s="1038"/>
      <c r="CB43" s="42">
        <v>1</v>
      </c>
      <c r="CC43" s="42">
        <v>0</v>
      </c>
      <c r="CD43" s="1039"/>
      <c r="CE43" s="78">
        <v>0</v>
      </c>
      <c r="CF43" s="56"/>
      <c r="CG43" s="42">
        <v>0</v>
      </c>
      <c r="CH43" s="39">
        <v>38.496679870480001</v>
      </c>
      <c r="CI43" s="78">
        <v>0</v>
      </c>
      <c r="CJ43" s="56"/>
      <c r="CK43" s="1034"/>
      <c r="CL43" s="1029"/>
      <c r="CM43" s="1034"/>
      <c r="CN43" s="1029">
        <v>0</v>
      </c>
      <c r="CO43" s="78">
        <v>22.462403780588428</v>
      </c>
      <c r="CP43" s="43">
        <v>0</v>
      </c>
      <c r="CQ43" s="5"/>
      <c r="CR43" s="78">
        <v>30.422107952889679</v>
      </c>
      <c r="CS43" s="1033">
        <v>0</v>
      </c>
      <c r="CT43" s="1045"/>
      <c r="CU43" s="78">
        <v>38.34683273588805</v>
      </c>
      <c r="CV43" s="43">
        <v>0</v>
      </c>
      <c r="CW43" s="9"/>
      <c r="CX43" s="78">
        <v>15.046391549974324</v>
      </c>
      <c r="CY43" s="43">
        <v>0</v>
      </c>
      <c r="CZ43" s="5"/>
      <c r="DA43" s="78">
        <v>6.5961235315382805</v>
      </c>
      <c r="DB43" s="43">
        <v>0</v>
      </c>
      <c r="DC43" s="5"/>
      <c r="DD43" s="78">
        <v>17.430653054924321</v>
      </c>
      <c r="DE43" s="43">
        <v>0</v>
      </c>
      <c r="DF43" s="5"/>
      <c r="DG43" s="78">
        <v>0</v>
      </c>
      <c r="DH43" s="43"/>
      <c r="DI43" s="5"/>
      <c r="DJ43" s="43">
        <v>130.30451260580307</v>
      </c>
      <c r="DK43" s="43">
        <f t="shared" si="6"/>
        <v>0</v>
      </c>
      <c r="DL43" s="59">
        <f t="shared" si="7"/>
        <v>-130.30451260580307</v>
      </c>
    </row>
    <row r="44" spans="1:116" ht="24.9" customHeight="1" x14ac:dyDescent="0.3">
      <c r="A44" s="328">
        <v>150000982</v>
      </c>
      <c r="B44" s="45" t="s">
        <v>343</v>
      </c>
      <c r="C44" s="1035">
        <v>9</v>
      </c>
      <c r="D44" s="1036" t="s">
        <v>454</v>
      </c>
      <c r="E44" s="1028">
        <f>'побудинковий звіт'!E42</f>
        <v>229.9</v>
      </c>
      <c r="F44" s="1029">
        <f>'побудинковий звіт'!AS42</f>
        <v>117370.55436847698</v>
      </c>
      <c r="G44" s="1029">
        <f t="shared" si="0"/>
        <v>241568.4701978706</v>
      </c>
      <c r="H44" s="1029">
        <f t="shared" si="1"/>
        <v>124197.91582939362</v>
      </c>
      <c r="I44" s="43">
        <f>'[1]поточний ремонт'!I44+'[2]поточний ремонт'!I44-'[3]поточний ремонт'!I44</f>
        <v>17.920000000000002</v>
      </c>
      <c r="J44" s="43">
        <f>'[1]поточний ремонт'!J44+'[2]поточний ремонт'!J44-'[3]поточний ремонт'!J44</f>
        <v>15056</v>
      </c>
      <c r="K44" s="1044"/>
      <c r="L44" s="43">
        <f>'[1]поточний ремонт'!L44+'[2]поточний ремонт'!L44-'[3]поточний ремонт'!L44</f>
        <v>0</v>
      </c>
      <c r="M44" s="43">
        <f>'[1]поточний ремонт'!M44+'[2]поточний ремонт'!M44-'[3]поточний ремонт'!M44</f>
        <v>0</v>
      </c>
      <c r="N44" s="37"/>
      <c r="O44" s="43">
        <f>'[1]поточний ремонт'!O44+'[2]поточний ремонт'!O44-'[3]поточний ремонт'!O44</f>
        <v>469.5</v>
      </c>
      <c r="P44" s="43">
        <f>'[1]поточний ремонт'!P44+'[2]поточний ремонт'!P44-'[3]поточний ремонт'!P44</f>
        <v>152020</v>
      </c>
      <c r="Q44" s="1046"/>
      <c r="R44" s="43">
        <f>'[1]поточний ремонт'!R44+'[2]поточний ремонт'!R44-'[3]поточний ремонт'!R44</f>
        <v>3</v>
      </c>
      <c r="S44" s="43">
        <f>'[1]поточний ремонт'!S44+'[2]поточний ремонт'!S44-'[3]поточний ремонт'!S44</f>
        <v>31753</v>
      </c>
      <c r="T44" s="1047"/>
      <c r="U44" s="43">
        <f>'[1]поточний ремонт'!U44+'[2]поточний ремонт'!U44-'[3]поточний ремонт'!U44</f>
        <v>32799</v>
      </c>
      <c r="V44" s="43">
        <f>'[1]поточний ремонт'!V44+'[2]поточний ремонт'!V44-'[3]поточний ремонт'!V44</f>
        <v>0</v>
      </c>
      <c r="W44" s="43">
        <f>'[1]поточний ремонт'!W44+'[2]поточний ремонт'!W44-'[3]поточний ремонт'!W44</f>
        <v>0</v>
      </c>
      <c r="X44" s="43">
        <f>'[1]поточний ремонт'!X44+'[2]поточний ремонт'!X44-'[3]поточний ремонт'!X44</f>
        <v>871.47019787059537</v>
      </c>
      <c r="Y44" s="43">
        <f>'[1]поточний ремонт'!Y44+'[2]поточний ремонт'!Y44-'[3]поточний ремонт'!Y44</f>
        <v>0</v>
      </c>
      <c r="Z44" s="43">
        <f>'[1]поточний ремонт'!Z44+'[2]поточний ремонт'!Z44-'[3]поточний ремонт'!Z44</f>
        <v>0</v>
      </c>
      <c r="AA44" s="43">
        <f>'[1]поточний ремонт'!AA44+'[2]поточний ремонт'!AA44-'[3]поточний ремонт'!AA44</f>
        <v>0</v>
      </c>
      <c r="AB44" s="43">
        <f>'[1]поточний ремонт'!AB44+'[2]поточний ремонт'!AB44-'[3]поточний ремонт'!AB44</f>
        <v>0</v>
      </c>
      <c r="AC44" s="43">
        <f>'[1]поточний ремонт'!AC44+'[2]поточний ремонт'!AC44-'[3]поточний ремонт'!AC44</f>
        <v>4634</v>
      </c>
      <c r="AD44" s="43">
        <f>'[1]поточний ремонт'!AD44+'[2]поточний ремонт'!AD44-'[3]поточний ремонт'!AD44</f>
        <v>4435</v>
      </c>
      <c r="AE44" s="43">
        <f>'[1]поточний ремонт'!AE44+'[2]поточний ремонт'!AE44-'[3]поточний ремонт'!AE44</f>
        <v>487.34587193187906</v>
      </c>
      <c r="AF44" s="43">
        <f>'[1]поточний ремонт'!AF44+'[2]поточний ремонт'!AF44-'[3]поточний ремонт'!AF44</f>
        <v>4773</v>
      </c>
      <c r="AG44" s="1045"/>
      <c r="AH44" s="43">
        <f>'[1]поточний ремонт'!AH44+'[2]поточний ремонт'!AH44-'[3]поточний ремонт'!AH44</f>
        <v>1090.3829948048372</v>
      </c>
      <c r="AI44" s="43">
        <f>'[1]поточний ремонт'!AI44+'[2]поточний ремонт'!AI44-'[3]поточний ремонт'!AI44</f>
        <v>0</v>
      </c>
      <c r="AJ44" s="5"/>
      <c r="AK44" s="43">
        <f>'[1]поточний ремонт'!AK44+'[2]поточний ремонт'!AK44-'[3]поточний ремонт'!AK44</f>
        <v>1269.7645829022561</v>
      </c>
      <c r="AL44" s="43">
        <f>'[1]поточний ремонт'!AL44+'[2]поточний ремонт'!AL44-'[3]поточний ремонт'!AL44</f>
        <v>0</v>
      </c>
      <c r="AM44" s="9"/>
      <c r="AN44" s="43">
        <f>'[1]поточний ремонт'!AN44+'[2]поточний ремонт'!AN44-'[3]поточний ремонт'!AN44</f>
        <v>426.22138417942563</v>
      </c>
      <c r="AO44" s="43">
        <f>'[1]поточний ремонт'!AO44+'[2]поточний ремонт'!AO44-'[3]поточний ремонт'!AO44</f>
        <v>0</v>
      </c>
      <c r="AP44" s="5"/>
      <c r="AQ44" s="43">
        <f>'[1]поточний ремонт'!AQ44+'[2]поточний ремонт'!AQ44-'[3]поточний ремонт'!AQ44</f>
        <v>237.46034910659819</v>
      </c>
      <c r="AR44" s="43">
        <f>'[1]поточний ремонт'!AR44+'[2]поточний ремонт'!AR44-'[3]поточний ремонт'!AR44</f>
        <v>0</v>
      </c>
      <c r="AS44" s="1045"/>
      <c r="AT44" s="43">
        <f>'[1]поточний ремонт'!AT44+'[2]поточний ремонт'!AT44-'[3]поточний ремонт'!AT44</f>
        <v>293.22961990256812</v>
      </c>
      <c r="AU44" s="43">
        <f>'[1]поточний ремонт'!AU44+'[2]поточний ремонт'!AU44-'[3]поточний ремонт'!AU44</f>
        <v>8542.1798823253248</v>
      </c>
      <c r="AV44" s="5"/>
      <c r="AW44" s="43">
        <f>'[1]поточний ремонт'!AW44+'[2]поточний ремонт'!AW44-'[3]поточний ремонт'!AW44</f>
        <v>0</v>
      </c>
      <c r="AX44" s="43">
        <f>'[1]поточний ремонт'!AX44+'[2]поточний ремонт'!AX44-'[3]поточний ремонт'!AX44</f>
        <v>0</v>
      </c>
      <c r="AY44" s="5"/>
      <c r="AZ44" s="43">
        <f t="shared" si="2"/>
        <v>3804.4048028275643</v>
      </c>
      <c r="BA44" s="43">
        <f t="shared" si="3"/>
        <v>13315.179882325325</v>
      </c>
      <c r="BB44" s="59">
        <f t="shared" si="4"/>
        <v>9510.7750794977601</v>
      </c>
      <c r="BD44" s="2">
        <v>3</v>
      </c>
      <c r="BF44" s="30">
        <v>444.97111227078665</v>
      </c>
      <c r="BG44" s="328">
        <v>150000982</v>
      </c>
      <c r="BI44" s="107">
        <v>65.03</v>
      </c>
      <c r="BJ44" s="107">
        <f t="shared" si="5"/>
        <v>9.1472628660000002</v>
      </c>
      <c r="BK44" s="107">
        <v>74.998175313879997</v>
      </c>
      <c r="BL44" s="39"/>
      <c r="BM44" s="3"/>
      <c r="BN44" s="3">
        <v>0</v>
      </c>
      <c r="BP44" s="3"/>
      <c r="BQ44" s="3"/>
      <c r="BS44" s="43"/>
      <c r="BT44" s="43">
        <v>0</v>
      </c>
      <c r="BU44" s="1044"/>
      <c r="BV44" s="42"/>
      <c r="BW44" s="43"/>
      <c r="BX44" s="37"/>
      <c r="BY44" s="78"/>
      <c r="BZ44" s="43">
        <v>0</v>
      </c>
      <c r="CA44" s="1046"/>
      <c r="CB44" s="42">
        <v>0</v>
      </c>
      <c r="CC44" s="42">
        <v>0</v>
      </c>
      <c r="CD44" s="1047"/>
      <c r="CE44" s="78">
        <v>0</v>
      </c>
      <c r="CF44" s="56"/>
      <c r="CG44" s="42">
        <v>0</v>
      </c>
      <c r="CH44" s="39">
        <v>74.998175313879997</v>
      </c>
      <c r="CI44" s="78">
        <v>0</v>
      </c>
      <c r="CJ44" s="56"/>
      <c r="CK44" s="1034"/>
      <c r="CL44" s="1029"/>
      <c r="CM44" s="1034"/>
      <c r="CN44" s="1029">
        <v>0</v>
      </c>
      <c r="CO44" s="78">
        <v>40.612155994323253</v>
      </c>
      <c r="CP44" s="43">
        <v>0</v>
      </c>
      <c r="CQ44" s="1045"/>
      <c r="CR44" s="78">
        <v>90.865249567069739</v>
      </c>
      <c r="CS44" s="1033">
        <v>0</v>
      </c>
      <c r="CT44" s="5"/>
      <c r="CU44" s="78">
        <v>105.81371524185468</v>
      </c>
      <c r="CV44" s="43">
        <v>860.26092055955996</v>
      </c>
      <c r="CW44" s="9"/>
      <c r="CX44" s="78">
        <v>35.518448681618807</v>
      </c>
      <c r="CY44" s="43">
        <v>0</v>
      </c>
      <c r="CZ44" s="5"/>
      <c r="DA44" s="78">
        <v>19.788362425549849</v>
      </c>
      <c r="DB44" s="43">
        <v>0</v>
      </c>
      <c r="DC44" s="1045"/>
      <c r="DD44" s="78">
        <v>24.435801658547344</v>
      </c>
      <c r="DE44" s="43">
        <v>0</v>
      </c>
      <c r="DF44" s="5"/>
      <c r="DG44" s="78">
        <v>0</v>
      </c>
      <c r="DH44" s="43"/>
      <c r="DI44" s="5"/>
      <c r="DJ44" s="43">
        <v>317.03373356896367</v>
      </c>
      <c r="DK44" s="43">
        <f t="shared" si="6"/>
        <v>860.26092055955996</v>
      </c>
      <c r="DL44" s="59">
        <f t="shared" si="7"/>
        <v>543.22718699059624</v>
      </c>
    </row>
    <row r="45" spans="1:116" ht="24.9" customHeight="1" x14ac:dyDescent="0.3">
      <c r="A45" s="328">
        <v>150000983</v>
      </c>
      <c r="B45" s="45" t="s">
        <v>344</v>
      </c>
      <c r="C45" s="1035">
        <v>9</v>
      </c>
      <c r="D45" s="1036" t="s">
        <v>454</v>
      </c>
      <c r="E45" s="1028">
        <f>'побудинковий звіт'!E43</f>
        <v>1931.4</v>
      </c>
      <c r="F45" s="1029">
        <f>'побудинковий звіт'!AS43</f>
        <v>74070.595296201805</v>
      </c>
      <c r="G45" s="1029">
        <f t="shared" si="0"/>
        <v>96271</v>
      </c>
      <c r="H45" s="1029">
        <f t="shared" si="1"/>
        <v>22200.404703798195</v>
      </c>
      <c r="I45" s="43">
        <f>'[1]поточний ремонт'!I45+'[2]поточний ремонт'!I45-'[3]поточний ремонт'!I45</f>
        <v>35.599999999999994</v>
      </c>
      <c r="J45" s="43">
        <f>'[1]поточний ремонт'!J45+'[2]поточний ремонт'!J45-'[3]поточний ремонт'!J45</f>
        <v>13487</v>
      </c>
      <c r="K45" s="1037"/>
      <c r="L45" s="43">
        <f>'[1]поточний ремонт'!L45+'[2]поточний ремонт'!L45-'[3]поточний ремонт'!L45</f>
        <v>0</v>
      </c>
      <c r="M45" s="43">
        <f>'[1]поточний ремонт'!M45+'[2]поточний ремонт'!M45-'[3]поточний ремонт'!M45</f>
        <v>0</v>
      </c>
      <c r="N45" s="37"/>
      <c r="O45" s="43">
        <f>'[1]поточний ремонт'!O45+'[2]поточний ремонт'!O45-'[3]поточний ремонт'!O45</f>
        <v>160</v>
      </c>
      <c r="P45" s="43">
        <f>'[1]поточний ремонт'!P45+'[2]поточний ремонт'!P45-'[3]поточний ремонт'!P45</f>
        <v>45049</v>
      </c>
      <c r="Q45" s="1038"/>
      <c r="R45" s="43">
        <f>'[1]поточний ремонт'!R45+'[2]поточний ремонт'!R45-'[3]поточний ремонт'!R45</f>
        <v>0</v>
      </c>
      <c r="S45" s="43">
        <f>'[1]поточний ремонт'!S45+'[2]поточний ремонт'!S45-'[3]поточний ремонт'!S45</f>
        <v>0</v>
      </c>
      <c r="T45" s="1048"/>
      <c r="U45" s="43">
        <f>'[1]поточний ремонт'!U45+'[2]поточний ремонт'!U45-'[3]поточний ремонт'!U45</f>
        <v>0</v>
      </c>
      <c r="V45" s="43">
        <f>'[1]поточний ремонт'!V45+'[2]поточний ремонт'!V45-'[3]поточний ремонт'!V45</f>
        <v>0</v>
      </c>
      <c r="W45" s="43">
        <f>'[1]поточний ремонт'!W45+'[2]поточний ремонт'!W45-'[3]поточний ремонт'!W45</f>
        <v>39</v>
      </c>
      <c r="X45" s="43">
        <f>'[1]поточний ремонт'!X45+'[2]поточний ремонт'!X45-'[3]поточний ремонт'!X45</f>
        <v>31186</v>
      </c>
      <c r="Y45" s="43">
        <f>'[1]поточний ремонт'!Y45+'[2]поточний ремонт'!Y45-'[3]поточний ремонт'!Y45</f>
        <v>3743</v>
      </c>
      <c r="Z45" s="43">
        <f>'[1]поточний ремонт'!Z45+'[2]поточний ремонт'!Z45-'[3]поточний ремонт'!Z45</f>
        <v>0</v>
      </c>
      <c r="AA45" s="43">
        <f>'[1]поточний ремонт'!AA45+'[2]поточний ремонт'!AA45-'[3]поточний ремонт'!AA45</f>
        <v>0</v>
      </c>
      <c r="AB45" s="43">
        <f>'[1]поточний ремонт'!AB45+'[2]поточний ремонт'!AB45-'[3]поточний ремонт'!AB45</f>
        <v>0</v>
      </c>
      <c r="AC45" s="43">
        <f>'[1]поточний ремонт'!AC45+'[2]поточний ремонт'!AC45-'[3]поточний ремонт'!AC45</f>
        <v>515</v>
      </c>
      <c r="AD45" s="43">
        <f>'[1]поточний ремонт'!AD45+'[2]поточний ремонт'!AD45-'[3]поточний ремонт'!AD45</f>
        <v>2291</v>
      </c>
      <c r="AE45" s="43">
        <f>'[1]поточний ремонт'!AE45+'[2]поточний ремонт'!AE45-'[3]поточний ремонт'!AE45</f>
        <v>320.45047565595667</v>
      </c>
      <c r="AF45" s="43">
        <f>'[1]поточний ремонт'!AF45+'[2]поточний ремонт'!AF45-'[3]поточний ремонт'!AF45</f>
        <v>4641</v>
      </c>
      <c r="AG45" s="1045"/>
      <c r="AH45" s="43">
        <f>'[1]поточний ремонт'!AH45+'[2]поточний ремонт'!AH45-'[3]поточний ремонт'!AH45</f>
        <v>414.91032129229768</v>
      </c>
      <c r="AI45" s="43">
        <f>'[1]поточний ремонт'!AI45+'[2]поточний ремонт'!AI45-'[3]поточний ремонт'!AI45</f>
        <v>0</v>
      </c>
      <c r="AJ45" s="5"/>
      <c r="AK45" s="43">
        <f>'[1]поточний ремонт'!AK45+'[2]поточний ремонт'!AK45-'[3]поточний ремонт'!AK45</f>
        <v>824.57199215471235</v>
      </c>
      <c r="AL45" s="43">
        <f>'[1]поточний ремонт'!AL45+'[2]поточний ремонт'!AL45-'[3]поточний ремонт'!AL45</f>
        <v>3330</v>
      </c>
      <c r="AM45" s="5"/>
      <c r="AN45" s="43">
        <f>'[1]поточний ремонт'!AN45+'[2]поточний ремонт'!AN45-'[3]поточний ремонт'!AN45</f>
        <v>307.73051461375809</v>
      </c>
      <c r="AO45" s="43">
        <f>'[1]поточний ремонт'!AO45+'[2]поточний ремонт'!AO45-'[3]поточний ремонт'!AO45</f>
        <v>0</v>
      </c>
      <c r="AP45" s="5"/>
      <c r="AQ45" s="43">
        <f>'[1]поточний ремонт'!AQ45+'[2]поточний ремонт'!AQ45-'[3]поточний ремонт'!AQ45</f>
        <v>158.30696475691875</v>
      </c>
      <c r="AR45" s="43">
        <f>'[1]поточний ремонт'!AR45+'[2]поточний ремонт'!AR45-'[3]поточний ремонт'!AR45</f>
        <v>0</v>
      </c>
      <c r="AS45" s="1045"/>
      <c r="AT45" s="43">
        <f>'[1]поточний ремонт'!AT45+'[2]поточний ремонт'!AT45-'[3]поточний ремонт'!AT45</f>
        <v>269.9515758206856</v>
      </c>
      <c r="AU45" s="43">
        <f>'[1]поточний ремонт'!AU45+'[2]поточний ремонт'!AU45-'[3]поточний ремонт'!AU45</f>
        <v>0</v>
      </c>
      <c r="AV45" s="5"/>
      <c r="AW45" s="43">
        <f>'[1]поточний ремонт'!AW45+'[2]поточний ремонт'!AW45-'[3]поточний ремонт'!AW45</f>
        <v>0</v>
      </c>
      <c r="AX45" s="43">
        <f>'[1]поточний ремонт'!AX45+'[2]поточний ремонт'!AX45-'[3]поточний ремонт'!AX45</f>
        <v>0</v>
      </c>
      <c r="AY45" s="5"/>
      <c r="AZ45" s="43">
        <f t="shared" si="2"/>
        <v>2295.9218442943288</v>
      </c>
      <c r="BA45" s="43">
        <f t="shared" si="3"/>
        <v>7971</v>
      </c>
      <c r="BB45" s="59">
        <f t="shared" si="4"/>
        <v>5675.0781557056707</v>
      </c>
      <c r="BD45" s="2">
        <v>3</v>
      </c>
      <c r="BF45" s="30">
        <v>288.4231910240689</v>
      </c>
      <c r="BG45" s="328">
        <v>150000983</v>
      </c>
      <c r="BI45" s="107">
        <v>0</v>
      </c>
      <c r="BJ45" s="107">
        <f t="shared" si="5"/>
        <v>0</v>
      </c>
      <c r="BK45" s="107">
        <v>0</v>
      </c>
      <c r="BL45" s="39"/>
      <c r="BM45" s="3"/>
      <c r="BN45" s="3">
        <v>0</v>
      </c>
      <c r="BP45" s="3"/>
      <c r="BQ45" s="3"/>
      <c r="BS45" s="43"/>
      <c r="BT45" s="43">
        <v>0</v>
      </c>
      <c r="BU45" s="1037"/>
      <c r="BV45" s="42"/>
      <c r="BW45" s="43"/>
      <c r="BX45" s="37"/>
      <c r="BY45" s="78"/>
      <c r="BZ45" s="43">
        <v>0</v>
      </c>
      <c r="CA45" s="1038"/>
      <c r="CB45" s="42">
        <v>0</v>
      </c>
      <c r="CC45" s="42">
        <v>0</v>
      </c>
      <c r="CD45" s="1048"/>
      <c r="CE45" s="78">
        <v>0</v>
      </c>
      <c r="CF45" s="56"/>
      <c r="CG45" s="42">
        <v>0</v>
      </c>
      <c r="CH45" s="39">
        <v>0</v>
      </c>
      <c r="CI45" s="78">
        <v>0</v>
      </c>
      <c r="CJ45" s="56"/>
      <c r="CK45" s="1034"/>
      <c r="CL45" s="1029"/>
      <c r="CM45" s="1034"/>
      <c r="CN45" s="1029">
        <v>0</v>
      </c>
      <c r="CO45" s="78">
        <v>26.70420630466306</v>
      </c>
      <c r="CP45" s="43">
        <v>0</v>
      </c>
      <c r="CQ45" s="1045"/>
      <c r="CR45" s="78">
        <v>34.575860107691469</v>
      </c>
      <c r="CS45" s="1033">
        <v>0</v>
      </c>
      <c r="CT45" s="5"/>
      <c r="CU45" s="78">
        <v>68.714332679559377</v>
      </c>
      <c r="CV45" s="43">
        <v>0</v>
      </c>
      <c r="CW45" s="5"/>
      <c r="CX45" s="78">
        <v>25.64420955114651</v>
      </c>
      <c r="CY45" s="43">
        <v>0</v>
      </c>
      <c r="CZ45" s="5"/>
      <c r="DA45" s="78">
        <v>13.192247063076561</v>
      </c>
      <c r="DB45" s="43">
        <v>0</v>
      </c>
      <c r="DC45" s="1045"/>
      <c r="DD45" s="78">
        <v>22.495964651723806</v>
      </c>
      <c r="DE45" s="43">
        <v>0</v>
      </c>
      <c r="DF45" s="5"/>
      <c r="DG45" s="78">
        <v>0</v>
      </c>
      <c r="DH45" s="43"/>
      <c r="DI45" s="5"/>
      <c r="DJ45" s="43">
        <v>191.32682035786078</v>
      </c>
      <c r="DK45" s="43">
        <f t="shared" si="6"/>
        <v>0</v>
      </c>
      <c r="DL45" s="59">
        <f t="shared" si="7"/>
        <v>-191.32682035786078</v>
      </c>
    </row>
    <row r="46" spans="1:116" ht="24.9" customHeight="1" x14ac:dyDescent="0.3">
      <c r="A46" s="328">
        <v>150000984</v>
      </c>
      <c r="B46" s="45" t="s">
        <v>345</v>
      </c>
      <c r="C46" s="1035">
        <v>9</v>
      </c>
      <c r="D46" s="1036" t="s">
        <v>454</v>
      </c>
      <c r="E46" s="1028">
        <f>'побудинковий звіт'!E44</f>
        <v>1907.4</v>
      </c>
      <c r="F46" s="1029">
        <f>'побудинковий звіт'!AS44</f>
        <v>176430.63781805447</v>
      </c>
      <c r="G46" s="1029">
        <f t="shared" si="0"/>
        <v>271917</v>
      </c>
      <c r="H46" s="1029">
        <f t="shared" si="1"/>
        <v>95486.362181945529</v>
      </c>
      <c r="I46" s="43">
        <f>'[1]поточний ремонт'!I46+'[2]поточний ремонт'!I46-'[3]поточний ремонт'!I46</f>
        <v>13.44</v>
      </c>
      <c r="J46" s="43">
        <f>'[1]поточний ремонт'!J46+'[2]поточний ремонт'!J46-'[3]поточний ремонт'!J46</f>
        <v>7904</v>
      </c>
      <c r="K46" s="1037"/>
      <c r="L46" s="43">
        <f>'[1]поточний ремонт'!L46+'[2]поточний ремонт'!L46-'[3]поточний ремонт'!L46</f>
        <v>0</v>
      </c>
      <c r="M46" s="43">
        <f>'[1]поточний ремонт'!M46+'[2]поточний ремонт'!M46-'[3]поточний ремонт'!M46</f>
        <v>0</v>
      </c>
      <c r="N46" s="37"/>
      <c r="O46" s="43">
        <f>'[1]поточний ремонт'!O46+'[2]поточний ремонт'!O46-'[3]поточний ремонт'!O46</f>
        <v>133.5</v>
      </c>
      <c r="P46" s="43">
        <f>'[1]поточний ремонт'!P46+'[2]поточний ремонт'!P46-'[3]поточний ремонт'!P46</f>
        <v>40129</v>
      </c>
      <c r="Q46" s="1046"/>
      <c r="R46" s="43">
        <f>'[1]поточний ремонт'!R46+'[2]поточний ремонт'!R46-'[3]поточний ремонт'!R46</f>
        <v>5</v>
      </c>
      <c r="S46" s="43">
        <f>'[1]поточний ремонт'!S46+'[2]поточний ремонт'!S46-'[3]поточний ремонт'!S46</f>
        <v>215177</v>
      </c>
      <c r="T46" s="1048"/>
      <c r="U46" s="43">
        <f>'[1]поточний ремонт'!U46+'[2]поточний ремонт'!U46-'[3]поточний ремонт'!U46</f>
        <v>1143</v>
      </c>
      <c r="V46" s="43">
        <f>'[1]поточний ремонт'!V46+'[2]поточний ремонт'!V46-'[3]поточний ремонт'!V46</f>
        <v>0</v>
      </c>
      <c r="W46" s="43">
        <f>'[1]поточний ремонт'!W46+'[2]поточний ремонт'!W46-'[3]поточний ремонт'!W46</f>
        <v>0</v>
      </c>
      <c r="X46" s="43">
        <f>'[1]поточний ремонт'!X46+'[2]поточний ремонт'!X46-'[3]поточний ремонт'!X46</f>
        <v>0</v>
      </c>
      <c r="Y46" s="43">
        <f>'[1]поточний ремонт'!Y46+'[2]поточний ремонт'!Y46-'[3]поточний ремонт'!Y46</f>
        <v>0</v>
      </c>
      <c r="Z46" s="43">
        <f>'[1]поточний ремонт'!Z46+'[2]поточний ремонт'!Z46-'[3]поточний ремонт'!Z46</f>
        <v>0</v>
      </c>
      <c r="AA46" s="43">
        <f>'[1]поточний ремонт'!AA46+'[2]поточний ремонт'!AA46-'[3]поточний ремонт'!AA46</f>
        <v>0</v>
      </c>
      <c r="AB46" s="43">
        <f>'[1]поточний ремонт'!AB46+'[2]поточний ремонт'!AB46-'[3]поточний ремонт'!AB46</f>
        <v>0</v>
      </c>
      <c r="AC46" s="43">
        <f>'[1]поточний ремонт'!AC46+'[2]поточний ремонт'!AC46-'[3]поточний ремонт'!AC46</f>
        <v>5110</v>
      </c>
      <c r="AD46" s="43">
        <f>'[1]поточний ремонт'!AD46+'[2]поточний ремонт'!AD46-'[3]поточний ремонт'!AD46</f>
        <v>2454</v>
      </c>
      <c r="AE46" s="43">
        <f>'[1]поточний ремонт'!AE46+'[2]поточний ремонт'!AE46-'[3]поточний ремонт'!AE46</f>
        <v>2132.0278268019524</v>
      </c>
      <c r="AF46" s="43">
        <f>'[1]поточний ремонт'!AF46+'[2]поточний ремонт'!AF46-'[3]поточний ремонт'!AF46</f>
        <v>0</v>
      </c>
      <c r="AG46" s="5"/>
      <c r="AH46" s="43">
        <f>'[1]поточний ремонт'!AH46+'[2]поточний ремонт'!AH46-'[3]поточний ремонт'!AH46</f>
        <v>2817.4968103362316</v>
      </c>
      <c r="AI46" s="43">
        <f>'[1]поточний ремонт'!AI46+'[2]поточний ремонт'!AI46-'[3]поточний ремонт'!AI46</f>
        <v>0</v>
      </c>
      <c r="AJ46" s="5"/>
      <c r="AK46" s="43">
        <f>'[1]поточний ремонт'!AK46+'[2]поточний ремонт'!AK46-'[3]поточний ремонт'!AK46</f>
        <v>5518.3640090701838</v>
      </c>
      <c r="AL46" s="43">
        <f>'[1]поточний ремонт'!AL46+'[2]поточний ремонт'!AL46-'[3]поточний ремонт'!AL46</f>
        <v>0</v>
      </c>
      <c r="AM46" s="5"/>
      <c r="AN46" s="43">
        <f>'[1]поточний ремонт'!AN46+'[2]поточний ремонт'!AN46-'[3]поточний ремонт'!AN46</f>
        <v>1621.5486582729091</v>
      </c>
      <c r="AO46" s="43">
        <f>'[1]поточний ремонт'!AO46+'[2]поточний ремонт'!AO46-'[3]поточний ремонт'!AO46</f>
        <v>0</v>
      </c>
      <c r="AP46" s="5"/>
      <c r="AQ46" s="43">
        <f>'[1]поточний ремонт'!AQ46+'[2]поточний ремонт'!AQ46-'[3]поточний ремонт'!AQ46</f>
        <v>593.65087276649558</v>
      </c>
      <c r="AR46" s="43">
        <f>'[1]поточний ремонт'!AR46+'[2]поточний ремонт'!AR46-'[3]поточний ремонт'!AR46</f>
        <v>13659</v>
      </c>
      <c r="AS46" s="5"/>
      <c r="AT46" s="43">
        <f>'[1]поточний ремонт'!AT46+'[2]поточний ремонт'!AT46-'[3]поточний ремонт'!AT46</f>
        <v>1650.4204119001797</v>
      </c>
      <c r="AU46" s="43">
        <f>'[1]поточний ремонт'!AU46+'[2]поточний ремонт'!AU46-'[3]поточний ремонт'!AU46</f>
        <v>5719</v>
      </c>
      <c r="AV46" s="5"/>
      <c r="AW46" s="43">
        <f>'[1]поточний ремонт'!AW46+'[2]поточний ремонт'!AW46-'[3]поточний ремонт'!AW46</f>
        <v>0</v>
      </c>
      <c r="AX46" s="43">
        <f>'[1]поточний ремонт'!AX46+'[2]поточний ремонт'!AX46-'[3]поточний ремонт'!AX46</f>
        <v>0</v>
      </c>
      <c r="AY46" s="5"/>
      <c r="AZ46" s="43">
        <f t="shared" si="2"/>
        <v>14333.508589147954</v>
      </c>
      <c r="BA46" s="43">
        <f t="shared" si="3"/>
        <v>19378</v>
      </c>
      <c r="BB46" s="59">
        <f t="shared" si="4"/>
        <v>5044.4914108520461</v>
      </c>
      <c r="BD46" s="2">
        <v>3</v>
      </c>
      <c r="BF46" s="30">
        <v>731.72808078606261</v>
      </c>
      <c r="BG46" s="328">
        <v>150000984</v>
      </c>
      <c r="BI46" s="107">
        <v>0</v>
      </c>
      <c r="BJ46" s="107">
        <f t="shared" si="5"/>
        <v>0</v>
      </c>
      <c r="BK46" s="107">
        <v>0</v>
      </c>
      <c r="BL46" s="39"/>
      <c r="BM46" s="3"/>
      <c r="BN46" s="3">
        <v>0</v>
      </c>
      <c r="BP46" s="3"/>
      <c r="BQ46" s="3"/>
      <c r="BS46" s="43"/>
      <c r="BT46" s="43">
        <v>0</v>
      </c>
      <c r="BU46" s="1037"/>
      <c r="BV46" s="42"/>
      <c r="BW46" s="43"/>
      <c r="BX46" s="37"/>
      <c r="BY46" s="78"/>
      <c r="BZ46" s="43">
        <v>0</v>
      </c>
      <c r="CA46" s="1046"/>
      <c r="CB46" s="42">
        <v>0</v>
      </c>
      <c r="CC46" s="42">
        <v>0</v>
      </c>
      <c r="CD46" s="1048"/>
      <c r="CE46" s="78">
        <v>0</v>
      </c>
      <c r="CF46" s="56"/>
      <c r="CG46" s="42">
        <v>0</v>
      </c>
      <c r="CH46" s="39">
        <v>0</v>
      </c>
      <c r="CI46" s="78">
        <v>0</v>
      </c>
      <c r="CJ46" s="56"/>
      <c r="CK46" s="1034"/>
      <c r="CL46" s="1029"/>
      <c r="CM46" s="1034"/>
      <c r="CN46" s="1029">
        <v>0</v>
      </c>
      <c r="CO46" s="78">
        <v>177.66898556682935</v>
      </c>
      <c r="CP46" s="43">
        <v>0</v>
      </c>
      <c r="CQ46" s="5"/>
      <c r="CR46" s="78">
        <v>234.79140086135266</v>
      </c>
      <c r="CS46" s="1033">
        <v>0</v>
      </c>
      <c r="CT46" s="5"/>
      <c r="CU46" s="78">
        <v>459.86366742251522</v>
      </c>
      <c r="CV46" s="43">
        <v>0</v>
      </c>
      <c r="CW46" s="5"/>
      <c r="CX46" s="78">
        <v>135.12905485607575</v>
      </c>
      <c r="CY46" s="43">
        <v>0</v>
      </c>
      <c r="CZ46" s="5"/>
      <c r="DA46" s="78">
        <v>49.470906063874629</v>
      </c>
      <c r="DB46" s="43">
        <v>0</v>
      </c>
      <c r="DC46" s="5"/>
      <c r="DD46" s="78">
        <v>137.53503432501498</v>
      </c>
      <c r="DE46" s="43">
        <v>0</v>
      </c>
      <c r="DF46" s="5"/>
      <c r="DG46" s="78">
        <v>0</v>
      </c>
      <c r="DH46" s="43"/>
      <c r="DI46" s="5"/>
      <c r="DJ46" s="43">
        <v>1194.4590490956627</v>
      </c>
      <c r="DK46" s="43">
        <f t="shared" si="6"/>
        <v>0</v>
      </c>
      <c r="DL46" s="59">
        <f t="shared" si="7"/>
        <v>-1194.4590490956627</v>
      </c>
    </row>
    <row r="47" spans="1:116" ht="24.9" customHeight="1" x14ac:dyDescent="0.3">
      <c r="A47" s="328">
        <v>150000986</v>
      </c>
      <c r="B47" s="45" t="s">
        <v>346</v>
      </c>
      <c r="C47" s="1035">
        <v>9</v>
      </c>
      <c r="D47" s="1036" t="s">
        <v>454</v>
      </c>
      <c r="E47" s="1028">
        <f>'побудинковий звіт'!E45</f>
        <v>2888.6</v>
      </c>
      <c r="F47" s="1029">
        <f>'побудинковий звіт'!AS45</f>
        <v>136205.80943598892</v>
      </c>
      <c r="G47" s="1029">
        <f t="shared" si="0"/>
        <v>45698.470514201581</v>
      </c>
      <c r="H47" s="1029">
        <f t="shared" si="1"/>
        <v>-90507.338921787334</v>
      </c>
      <c r="I47" s="43">
        <f>'[1]поточний ремонт'!I47+'[2]поточний ремонт'!I47-'[3]поточний ремонт'!I47</f>
        <v>0</v>
      </c>
      <c r="J47" s="43">
        <f>'[1]поточний ремонт'!J47+'[2]поточний ремонт'!J47-'[3]поточний ремонт'!J47</f>
        <v>0</v>
      </c>
      <c r="K47" s="1044"/>
      <c r="L47" s="43">
        <f>'[1]поточний ремонт'!L47+'[2]поточний ремонт'!L47-'[3]поточний ремонт'!L47</f>
        <v>0</v>
      </c>
      <c r="M47" s="43">
        <f>'[1]поточний ремонт'!M47+'[2]поточний ремонт'!M47-'[3]поточний ремонт'!M47</f>
        <v>0</v>
      </c>
      <c r="N47" s="37"/>
      <c r="O47" s="43">
        <f>'[1]поточний ремонт'!O47+'[2]поточний ремонт'!O47-'[3]поточний ремонт'!O47</f>
        <v>0</v>
      </c>
      <c r="P47" s="43">
        <f>'[1]поточний ремонт'!P47+'[2]поточний ремонт'!P47-'[3]поточний ремонт'!P47</f>
        <v>0</v>
      </c>
      <c r="Q47" s="1046"/>
      <c r="R47" s="43">
        <f>'[1]поточний ремонт'!R47+'[2]поточний ремонт'!R47-'[3]поточний ремонт'!R47</f>
        <v>5</v>
      </c>
      <c r="S47" s="43">
        <f>'[1]поточний ремонт'!S47+'[2]поточний ремонт'!S47-'[3]поточний ремонт'!S47</f>
        <v>42768</v>
      </c>
      <c r="T47" s="1039"/>
      <c r="U47" s="43">
        <f>'[1]поточний ремонт'!U47+'[2]поточний ремонт'!U47-'[3]поточний ремонт'!U47</f>
        <v>325</v>
      </c>
      <c r="V47" s="43">
        <f>'[1]поточний ремонт'!V47+'[2]поточний ремонт'!V47-'[3]поточний ремонт'!V47</f>
        <v>0</v>
      </c>
      <c r="W47" s="43">
        <f>'[1]поточний ремонт'!W47+'[2]поточний ремонт'!W47-'[3]поточний ремонт'!W47</f>
        <v>0</v>
      </c>
      <c r="X47" s="43">
        <f>'[1]поточний ремонт'!X47+'[2]поточний ремонт'!X47-'[3]поточний ремонт'!X47</f>
        <v>185.47051420158448</v>
      </c>
      <c r="Y47" s="43">
        <f>'[1]поточний ремонт'!Y47+'[2]поточний ремонт'!Y47-'[3]поточний ремонт'!Y47</f>
        <v>0</v>
      </c>
      <c r="Z47" s="43">
        <f>'[1]поточний ремонт'!Z47+'[2]поточний ремонт'!Z47-'[3]поточний ремонт'!Z47</f>
        <v>0</v>
      </c>
      <c r="AA47" s="43">
        <f>'[1]поточний ремонт'!AA47+'[2]поточний ремонт'!AA47-'[3]поточний ремонт'!AA47</f>
        <v>0</v>
      </c>
      <c r="AB47" s="43">
        <f>'[1]поточний ремонт'!AB47+'[2]поточний ремонт'!AB47-'[3]поточний ремонт'!AB47</f>
        <v>0</v>
      </c>
      <c r="AC47" s="43">
        <f>'[1]поточний ремонт'!AC47+'[2]поточний ремонт'!AC47-'[3]поточний ремонт'!AC47</f>
        <v>853</v>
      </c>
      <c r="AD47" s="43">
        <f>'[1]поточний ремонт'!AD47+'[2]поточний ремонт'!AD47-'[3]поточний ремонт'!AD47</f>
        <v>1567</v>
      </c>
      <c r="AE47" s="43">
        <f>'[1]поточний ремонт'!AE47+'[2]поточний ремонт'!AE47-'[3]поточний ремонт'!AE47</f>
        <v>1425.7963852370538</v>
      </c>
      <c r="AF47" s="43">
        <f>'[1]поточний ремонт'!AF47+'[2]поточний ремонт'!AF47-'[3]поточний ремонт'!AF47</f>
        <v>0</v>
      </c>
      <c r="AG47" s="5"/>
      <c r="AH47" s="43">
        <f>'[1]поточний ремонт'!AH47+'[2]поточний ремонт'!AH47-'[3]поточний ремонт'!AH47</f>
        <v>1880.971351130464</v>
      </c>
      <c r="AI47" s="43">
        <f>'[1]поточний ремонт'!AI47+'[2]поточний ремонт'!AI47-'[3]поточний ремонт'!AI47</f>
        <v>0</v>
      </c>
      <c r="AJ47" s="5"/>
      <c r="AK47" s="43">
        <f>'[1]поточний ремонт'!AK47+'[2]поточний ремонт'!AK47-'[3]поточний ремонт'!AK47</f>
        <v>3652.9958850726071</v>
      </c>
      <c r="AL47" s="43">
        <f>'[1]поточний ремонт'!AL47+'[2]поточний ремонт'!AL47-'[3]поточний ремонт'!AL47</f>
        <v>0</v>
      </c>
      <c r="AM47" s="5"/>
      <c r="AN47" s="43">
        <f>'[1]поточний ремонт'!AN47+'[2]поточний ремонт'!AN47-'[3]поточний ремонт'!AN47</f>
        <v>1115.3547935970032</v>
      </c>
      <c r="AO47" s="43">
        <f>'[1]поточний ремонт'!AO47+'[2]поточний ремонт'!AO47-'[3]поточний ремонт'!AO47</f>
        <v>0</v>
      </c>
      <c r="AP47" s="5"/>
      <c r="AQ47" s="43">
        <f>'[1]поточний ремонт'!AQ47+'[2]поточний ремонт'!AQ47-'[3]поточний ремонт'!AQ47</f>
        <v>395.76741189229665</v>
      </c>
      <c r="AR47" s="43">
        <f>'[1]поточний ремонт'!AR47+'[2]поточний ремонт'!AR47-'[3]поточний ремонт'!AR47</f>
        <v>2067</v>
      </c>
      <c r="AS47" s="5"/>
      <c r="AT47" s="43">
        <f>'[1]поточний ремонт'!AT47+'[2]поточний ремонт'!AT47-'[3]поточний ремонт'!AT47</f>
        <v>1344.6098205881694</v>
      </c>
      <c r="AU47" s="43">
        <f>'[1]поточний ремонт'!AU47+'[2]поточний ремонт'!AU47-'[3]поточний ремонт'!AU47</f>
        <v>16614.941049814784</v>
      </c>
      <c r="AV47" s="5"/>
      <c r="AW47" s="43">
        <f>'[1]поточний ремонт'!AW47+'[2]поточний ремонт'!AW47-'[3]поточний ремонт'!AW47</f>
        <v>0</v>
      </c>
      <c r="AX47" s="43">
        <f>'[1]поточний ремонт'!AX47+'[2]поточний ремонт'!AX47-'[3]поточний ремонт'!AX47</f>
        <v>0</v>
      </c>
      <c r="AY47" s="5"/>
      <c r="AZ47" s="43">
        <f t="shared" si="2"/>
        <v>9815.495647517595</v>
      </c>
      <c r="BA47" s="43">
        <f t="shared" si="3"/>
        <v>18681.941049814784</v>
      </c>
      <c r="BB47" s="59">
        <f t="shared" si="4"/>
        <v>8866.4454022971895</v>
      </c>
      <c r="BD47" s="2">
        <v>3</v>
      </c>
      <c r="BF47" s="30">
        <v>492.21962106992186</v>
      </c>
      <c r="BG47" s="328">
        <v>150000986</v>
      </c>
      <c r="BI47" s="107">
        <v>13.84</v>
      </c>
      <c r="BJ47" s="107">
        <f t="shared" si="5"/>
        <v>1.9467648479999997</v>
      </c>
      <c r="BK47" s="107">
        <v>15.961475416639999</v>
      </c>
      <c r="BL47" s="39"/>
      <c r="BM47" s="3"/>
      <c r="BN47" s="3">
        <v>0</v>
      </c>
      <c r="BP47" s="3"/>
      <c r="BQ47" s="3"/>
      <c r="BS47" s="43"/>
      <c r="BT47" s="43">
        <v>0</v>
      </c>
      <c r="BU47" s="1044"/>
      <c r="BV47" s="42"/>
      <c r="BW47" s="43"/>
      <c r="BX47" s="37"/>
      <c r="BY47" s="78">
        <v>30</v>
      </c>
      <c r="BZ47" s="43">
        <v>10950.3566976</v>
      </c>
      <c r="CA47" s="1046"/>
      <c r="CB47" s="42">
        <v>2</v>
      </c>
      <c r="CC47" s="42">
        <v>0</v>
      </c>
      <c r="CD47" s="1039"/>
      <c r="CE47" s="78">
        <v>0</v>
      </c>
      <c r="CF47" s="56"/>
      <c r="CG47" s="42">
        <v>0</v>
      </c>
      <c r="CH47" s="39">
        <v>15.961475416639999</v>
      </c>
      <c r="CI47" s="78">
        <v>0</v>
      </c>
      <c r="CJ47" s="56"/>
      <c r="CK47" s="1034"/>
      <c r="CL47" s="1029"/>
      <c r="CM47" s="1034">
        <v>257</v>
      </c>
      <c r="CN47" s="1029">
        <v>0</v>
      </c>
      <c r="CO47" s="78">
        <v>118.81636543642115</v>
      </c>
      <c r="CP47" s="43">
        <v>0</v>
      </c>
      <c r="CQ47" s="5"/>
      <c r="CR47" s="78">
        <v>156.74761259420535</v>
      </c>
      <c r="CS47" s="1033">
        <v>0</v>
      </c>
      <c r="CT47" s="5"/>
      <c r="CU47" s="78">
        <v>304.41632375605059</v>
      </c>
      <c r="CV47" s="43">
        <v>0</v>
      </c>
      <c r="CW47" s="5"/>
      <c r="CX47" s="78">
        <v>92.946232799750248</v>
      </c>
      <c r="CY47" s="43">
        <v>0</v>
      </c>
      <c r="CZ47" s="5"/>
      <c r="DA47" s="78">
        <v>32.980617657691397</v>
      </c>
      <c r="DB47" s="43">
        <v>0</v>
      </c>
      <c r="DC47" s="5"/>
      <c r="DD47" s="78">
        <v>112.05081838234747</v>
      </c>
      <c r="DE47" s="43">
        <v>0</v>
      </c>
      <c r="DF47" s="5"/>
      <c r="DG47" s="78">
        <v>0</v>
      </c>
      <c r="DH47" s="43"/>
      <c r="DI47" s="5"/>
      <c r="DJ47" s="43">
        <v>817.95797062646625</v>
      </c>
      <c r="DK47" s="43">
        <f t="shared" si="6"/>
        <v>0</v>
      </c>
      <c r="DL47" s="59">
        <f t="shared" si="7"/>
        <v>-817.95797062646625</v>
      </c>
    </row>
    <row r="48" spans="1:116" ht="24.9" customHeight="1" x14ac:dyDescent="0.3">
      <c r="A48" s="328">
        <v>150000996</v>
      </c>
      <c r="B48" s="45" t="s">
        <v>245</v>
      </c>
      <c r="C48" s="1035">
        <v>5</v>
      </c>
      <c r="D48" s="1036" t="s">
        <v>454</v>
      </c>
      <c r="E48" s="1028">
        <f>'побудинковий звіт'!E46</f>
        <v>1007.47</v>
      </c>
      <c r="F48" s="1029">
        <f>'побудинковий звіт'!AS46</f>
        <v>43294.095283471383</v>
      </c>
      <c r="G48" s="1029">
        <f t="shared" si="0"/>
        <v>24185</v>
      </c>
      <c r="H48" s="1029">
        <f t="shared" si="1"/>
        <v>-19109.095283471383</v>
      </c>
      <c r="I48" s="43">
        <f>'[1]поточний ремонт'!I48+'[2]поточний ремонт'!I48-'[3]поточний ремонт'!I48</f>
        <v>101</v>
      </c>
      <c r="J48" s="43">
        <f>'[1]поточний ремонт'!J48+'[2]поточний ремонт'!J48-'[3]поточний ремонт'!J48</f>
        <v>23452</v>
      </c>
      <c r="K48" s="1049"/>
      <c r="L48" s="43">
        <f>'[1]поточний ремонт'!L48+'[2]поточний ремонт'!L48-'[3]поточний ремонт'!L48</f>
        <v>0</v>
      </c>
      <c r="M48" s="43">
        <f>'[1]поточний ремонт'!M48+'[2]поточний ремонт'!M48-'[3]поточний ремонт'!M48</f>
        <v>0</v>
      </c>
      <c r="N48" s="37"/>
      <c r="O48" s="43">
        <f>'[1]поточний ремонт'!O48+'[2]поточний ремонт'!O48-'[3]поточний ремонт'!O48</f>
        <v>0</v>
      </c>
      <c r="P48" s="43">
        <f>'[1]поточний ремонт'!P48+'[2]поточний ремонт'!P48-'[3]поточний ремонт'!P48</f>
        <v>0</v>
      </c>
      <c r="Q48" s="1038"/>
      <c r="R48" s="43">
        <f>'[1]поточний ремонт'!R48+'[2]поточний ремонт'!R48-'[3]поточний ремонт'!R48</f>
        <v>0</v>
      </c>
      <c r="S48" s="43">
        <f>'[1]поточний ремонт'!S48+'[2]поточний ремонт'!S48-'[3]поточний ремонт'!S48</f>
        <v>0</v>
      </c>
      <c r="T48" s="1039"/>
      <c r="U48" s="43">
        <f>'[1]поточний ремонт'!U48+'[2]поточний ремонт'!U48-'[3]поточний ремонт'!U48</f>
        <v>0</v>
      </c>
      <c r="V48" s="43">
        <f>'[1]поточний ремонт'!V48+'[2]поточний ремонт'!V48-'[3]поточний ремонт'!V48</f>
        <v>0</v>
      </c>
      <c r="W48" s="43">
        <f>'[1]поточний ремонт'!W48+'[2]поточний ремонт'!W48-'[3]поточний ремонт'!W48</f>
        <v>0</v>
      </c>
      <c r="X48" s="43">
        <f>'[1]поточний ремонт'!X48+'[2]поточний ремонт'!X48-'[3]поточний ремонт'!X48</f>
        <v>0</v>
      </c>
      <c r="Y48" s="43">
        <f>'[1]поточний ремонт'!Y48+'[2]поточний ремонт'!Y48-'[3]поточний ремонт'!Y48</f>
        <v>0</v>
      </c>
      <c r="Z48" s="43">
        <f>'[1]поточний ремонт'!Z48+'[2]поточний ремонт'!Z48-'[3]поточний ремонт'!Z48</f>
        <v>0</v>
      </c>
      <c r="AA48" s="43">
        <f>'[1]поточний ремонт'!AA48+'[2]поточний ремонт'!AA48-'[3]поточний ремонт'!AA48</f>
        <v>0</v>
      </c>
      <c r="AB48" s="43">
        <f>'[1]поточний ремонт'!AB48+'[2]поточний ремонт'!AB48-'[3]поточний ремонт'!AB48</f>
        <v>733</v>
      </c>
      <c r="AC48" s="43">
        <f>'[1]поточний ремонт'!AC48+'[2]поточний ремонт'!AC48-'[3]поточний ремонт'!AC48</f>
        <v>0</v>
      </c>
      <c r="AD48" s="43">
        <f>'[1]поточний ремонт'!AD48+'[2]поточний ремонт'!AD48-'[3]поточний ремонт'!AD48</f>
        <v>0</v>
      </c>
      <c r="AE48" s="43">
        <f>'[1]поточний ремонт'!AE48+'[2]поточний ремонт'!AE48-'[3]поточний ремонт'!AE48</f>
        <v>1872.5354698673659</v>
      </c>
      <c r="AF48" s="43">
        <f>'[1]поточний ремонт'!AF48+'[2]поточний ремонт'!AF48-'[3]поточний ремонт'!AF48</f>
        <v>1362</v>
      </c>
      <c r="AG48" s="5"/>
      <c r="AH48" s="43">
        <f>'[1]поточний ремонт'!AH48+'[2]поточний ремонт'!AH48-'[3]поточний ремонт'!AH48</f>
        <v>2633.3224628282733</v>
      </c>
      <c r="AI48" s="43">
        <f>'[1]поточний ремонт'!AI48+'[2]поточний ремонт'!AI48-'[3]поточний ремонт'!AI48</f>
        <v>1989</v>
      </c>
      <c r="AJ48" s="5"/>
      <c r="AK48" s="43">
        <f>'[1]поточний ремонт'!AK48+'[2]поточний ремонт'!AK48-'[3]поточний ремонт'!AK48</f>
        <v>2510.2724936459113</v>
      </c>
      <c r="AL48" s="43">
        <f>'[1]поточний ремонт'!AL48+'[2]поточний ремонт'!AL48-'[3]поточний ремонт'!AL48</f>
        <v>0</v>
      </c>
      <c r="AM48" s="5"/>
      <c r="AN48" s="43">
        <f>'[1]поточний ремонт'!AN48+'[2]поточний ремонт'!AN48-'[3]поточний ремонт'!AN48</f>
        <v>0</v>
      </c>
      <c r="AO48" s="43">
        <f>'[1]поточний ремонт'!AO48+'[2]поточний ремонт'!AO48-'[3]поточний ремонт'!AO48</f>
        <v>0</v>
      </c>
      <c r="AP48" s="5"/>
      <c r="AQ48" s="43">
        <f>'[1]поточний ремонт'!AQ48+'[2]поточний ремонт'!AQ48-'[3]поточний ремонт'!AQ48</f>
        <v>0</v>
      </c>
      <c r="AR48" s="43">
        <f>'[1]поточний ремонт'!AR48+'[2]поточний ремонт'!AR48-'[3]поточний ремонт'!AR48</f>
        <v>0</v>
      </c>
      <c r="AS48" s="5"/>
      <c r="AT48" s="43">
        <f>'[1]поточний ремонт'!AT48+'[2]поточний ремонт'!AT48-'[3]поточний ремонт'!AT48</f>
        <v>997.54414079296782</v>
      </c>
      <c r="AU48" s="43">
        <f>'[1]поточний ремонт'!AU48+'[2]поточний ремонт'!AU48-'[3]поточний ремонт'!AU48</f>
        <v>8183.0071113496087</v>
      </c>
      <c r="AV48" s="5"/>
      <c r="AW48" s="43">
        <f>'[1]поточний ремонт'!AW48+'[2]поточний ремонт'!AW48-'[3]поточний ремонт'!AW48</f>
        <v>0</v>
      </c>
      <c r="AX48" s="43">
        <f>'[1]поточний ремонт'!AX48+'[2]поточний ремонт'!AX48-'[3]поточний ремонт'!AX48</f>
        <v>0</v>
      </c>
      <c r="AY48" s="5"/>
      <c r="AZ48" s="43">
        <f t="shared" si="2"/>
        <v>8013.674567134517</v>
      </c>
      <c r="BA48" s="43">
        <f t="shared" si="3"/>
        <v>11534.007111349609</v>
      </c>
      <c r="BB48" s="59">
        <f t="shared" si="4"/>
        <v>3520.3325442150917</v>
      </c>
      <c r="BD48" s="2">
        <v>2</v>
      </c>
      <c r="BF48" s="30">
        <v>132.41206972932221</v>
      </c>
      <c r="BG48" s="328">
        <v>150000996</v>
      </c>
      <c r="BI48" s="107">
        <v>0</v>
      </c>
      <c r="BJ48" s="107">
        <f t="shared" si="5"/>
        <v>0</v>
      </c>
      <c r="BK48" s="107">
        <v>0</v>
      </c>
      <c r="BL48" s="39"/>
      <c r="BM48" s="3"/>
      <c r="BN48" s="3">
        <v>0</v>
      </c>
      <c r="BP48" s="3"/>
      <c r="BQ48" s="3"/>
      <c r="BS48" s="43"/>
      <c r="BT48" s="43">
        <v>0</v>
      </c>
      <c r="BU48" s="1049"/>
      <c r="BV48" s="42"/>
      <c r="BW48" s="43"/>
      <c r="BX48" s="37"/>
      <c r="BY48" s="78"/>
      <c r="BZ48" s="43">
        <v>0</v>
      </c>
      <c r="CA48" s="1038"/>
      <c r="CB48" s="42">
        <v>0</v>
      </c>
      <c r="CC48" s="42">
        <v>0</v>
      </c>
      <c r="CD48" s="1039"/>
      <c r="CE48" s="78">
        <v>0</v>
      </c>
      <c r="CF48" s="56"/>
      <c r="CG48" s="42">
        <v>0</v>
      </c>
      <c r="CH48" s="39">
        <v>0</v>
      </c>
      <c r="CI48" s="78">
        <v>0</v>
      </c>
      <c r="CJ48" s="56"/>
      <c r="CK48" s="1034"/>
      <c r="CL48" s="1029"/>
      <c r="CM48" s="1034"/>
      <c r="CN48" s="1029">
        <v>898.86054469191072</v>
      </c>
      <c r="CO48" s="78">
        <v>156.04462248894714</v>
      </c>
      <c r="CP48" s="43">
        <v>0</v>
      </c>
      <c r="CQ48" s="5"/>
      <c r="CR48" s="78">
        <v>219.44353856902279</v>
      </c>
      <c r="CS48" s="1033">
        <v>0</v>
      </c>
      <c r="CT48" s="5"/>
      <c r="CU48" s="78">
        <v>209.18937447049265</v>
      </c>
      <c r="CV48" s="43">
        <v>0</v>
      </c>
      <c r="CW48" s="5"/>
      <c r="CX48" s="78">
        <v>0</v>
      </c>
      <c r="CY48" s="43">
        <v>0</v>
      </c>
      <c r="CZ48" s="5"/>
      <c r="DA48" s="78">
        <v>0</v>
      </c>
      <c r="DB48" s="43">
        <v>0</v>
      </c>
      <c r="DC48" s="5"/>
      <c r="DD48" s="78">
        <v>83.128678399414</v>
      </c>
      <c r="DE48" s="43">
        <v>0</v>
      </c>
      <c r="DF48" s="5"/>
      <c r="DG48" s="78">
        <v>0</v>
      </c>
      <c r="DH48" s="43"/>
      <c r="DI48" s="5"/>
      <c r="DJ48" s="43">
        <v>667.80621392787657</v>
      </c>
      <c r="DK48" s="43">
        <f t="shared" si="6"/>
        <v>0</v>
      </c>
      <c r="DL48" s="59">
        <f t="shared" si="7"/>
        <v>-667.80621392787657</v>
      </c>
    </row>
    <row r="49" spans="1:116" ht="24.9" customHeight="1" x14ac:dyDescent="0.3">
      <c r="A49" s="328">
        <v>150000987</v>
      </c>
      <c r="B49" s="45" t="s">
        <v>50</v>
      </c>
      <c r="C49" s="1035">
        <v>1</v>
      </c>
      <c r="D49" s="1036" t="s">
        <v>454</v>
      </c>
      <c r="E49" s="1028">
        <f>'побудинковий звіт'!E47</f>
        <v>654.20000000000005</v>
      </c>
      <c r="F49" s="1029">
        <f>'побудинковий звіт'!AS47</f>
        <v>72.203999999999994</v>
      </c>
      <c r="G49" s="1029">
        <f t="shared" si="0"/>
        <v>353</v>
      </c>
      <c r="H49" s="1029">
        <f t="shared" si="1"/>
        <v>280.79599999999999</v>
      </c>
      <c r="I49" s="43">
        <f>'[1]поточний ремонт'!I49+'[2]поточний ремонт'!I49-'[3]поточний ремонт'!I49</f>
        <v>4</v>
      </c>
      <c r="J49" s="43">
        <f>'[1]поточний ремонт'!J49+'[2]поточний ремонт'!J49-'[3]поточний ремонт'!J49</f>
        <v>353</v>
      </c>
      <c r="K49" s="1037"/>
      <c r="L49" s="43">
        <f>'[1]поточний ремонт'!L49+'[2]поточний ремонт'!L49-'[3]поточний ремонт'!L49</f>
        <v>0</v>
      </c>
      <c r="M49" s="43">
        <f>'[1]поточний ремонт'!M49+'[2]поточний ремонт'!M49-'[3]поточний ремонт'!M49</f>
        <v>0</v>
      </c>
      <c r="N49" s="37"/>
      <c r="O49" s="43">
        <f>'[1]поточний ремонт'!O49+'[2]поточний ремонт'!O49-'[3]поточний ремонт'!O49</f>
        <v>0</v>
      </c>
      <c r="P49" s="43">
        <f>'[1]поточний ремонт'!P49+'[2]поточний ремонт'!P49-'[3]поточний ремонт'!P49</f>
        <v>0</v>
      </c>
      <c r="Q49" s="1038"/>
      <c r="R49" s="43">
        <f>'[1]поточний ремонт'!R49+'[2]поточний ремонт'!R49-'[3]поточний ремонт'!R49</f>
        <v>0</v>
      </c>
      <c r="S49" s="43">
        <f>'[1]поточний ремонт'!S49+'[2]поточний ремонт'!S49-'[3]поточний ремонт'!S49</f>
        <v>0</v>
      </c>
      <c r="T49" s="1039"/>
      <c r="U49" s="43">
        <f>'[1]поточний ремонт'!U49+'[2]поточний ремонт'!U49-'[3]поточний ремонт'!U49</f>
        <v>0</v>
      </c>
      <c r="V49" s="43">
        <f>'[1]поточний ремонт'!V49+'[2]поточний ремонт'!V49-'[3]поточний ремонт'!V49</f>
        <v>0</v>
      </c>
      <c r="W49" s="43">
        <f>'[1]поточний ремонт'!W49+'[2]поточний ремонт'!W49-'[3]поточний ремонт'!W49</f>
        <v>0</v>
      </c>
      <c r="X49" s="43">
        <f>'[1]поточний ремонт'!X49+'[2]поточний ремонт'!X49-'[3]поточний ремонт'!X49</f>
        <v>0</v>
      </c>
      <c r="Y49" s="43">
        <f>'[1]поточний ремонт'!Y49+'[2]поточний ремонт'!Y49-'[3]поточний ремонт'!Y49</f>
        <v>0</v>
      </c>
      <c r="Z49" s="43">
        <f>'[1]поточний ремонт'!Z49+'[2]поточний ремонт'!Z49-'[3]поточний ремонт'!Z49</f>
        <v>0</v>
      </c>
      <c r="AA49" s="43">
        <f>'[1]поточний ремонт'!AA49+'[2]поточний ремонт'!AA49-'[3]поточний ремонт'!AA49</f>
        <v>0</v>
      </c>
      <c r="AB49" s="43">
        <f>'[1]поточний ремонт'!AB49+'[2]поточний ремонт'!AB49-'[3]поточний ремонт'!AB49</f>
        <v>0</v>
      </c>
      <c r="AC49" s="43">
        <f>'[1]поточний ремонт'!AC49+'[2]поточний ремонт'!AC49-'[3]поточний ремонт'!AC49</f>
        <v>0</v>
      </c>
      <c r="AD49" s="43">
        <f>'[1]поточний ремонт'!AD49+'[2]поточний ремонт'!AD49-'[3]поточний ремонт'!AD49</f>
        <v>0</v>
      </c>
      <c r="AE49" s="43">
        <f>'[1]поточний ремонт'!AE49+'[2]поточний ремонт'!AE49-'[3]поточний ремонт'!AE49</f>
        <v>0</v>
      </c>
      <c r="AF49" s="43">
        <f>'[1]поточний ремонт'!AF49+'[2]поточний ремонт'!AF49-'[3]поточний ремонт'!AF49</f>
        <v>0</v>
      </c>
      <c r="AG49" s="5"/>
      <c r="AH49" s="43">
        <f>'[1]поточний ремонт'!AH49+'[2]поточний ремонт'!AH49-'[3]поточний ремонт'!AH49</f>
        <v>0</v>
      </c>
      <c r="AI49" s="43">
        <f>'[1]поточний ремонт'!AI49+'[2]поточний ремонт'!AI49-'[3]поточний ремонт'!AI49</f>
        <v>0</v>
      </c>
      <c r="AJ49" s="5"/>
      <c r="AK49" s="43">
        <f>'[1]поточний ремонт'!AK49+'[2]поточний ремонт'!AK49-'[3]поточний ремонт'!AK49</f>
        <v>0</v>
      </c>
      <c r="AL49" s="43">
        <f>'[1]поточний ремонт'!AL49+'[2]поточний ремонт'!AL49-'[3]поточний ремонт'!AL49</f>
        <v>0</v>
      </c>
      <c r="AM49" s="5"/>
      <c r="AN49" s="43">
        <f>'[1]поточний ремонт'!AN49+'[2]поточний ремонт'!AN49-'[3]поточний ремонт'!AN49</f>
        <v>0</v>
      </c>
      <c r="AO49" s="43">
        <f>'[1]поточний ремонт'!AO49+'[2]поточний ремонт'!AO49-'[3]поточний ремонт'!AO49</f>
        <v>0</v>
      </c>
      <c r="AP49" s="5"/>
      <c r="AQ49" s="43">
        <f>'[1]поточний ремонт'!AQ49+'[2]поточний ремонт'!AQ49-'[3]поточний ремонт'!AQ49</f>
        <v>0</v>
      </c>
      <c r="AR49" s="43">
        <f>'[1]поточний ремонт'!AR49+'[2]поточний ремонт'!AR49-'[3]поточний ремонт'!AR49</f>
        <v>0</v>
      </c>
      <c r="AS49" s="5"/>
      <c r="AT49" s="43">
        <f>'[1]поточний ремонт'!AT49+'[2]поточний ремонт'!AT49-'[3]поточний ремонт'!AT49</f>
        <v>0</v>
      </c>
      <c r="AU49" s="43">
        <f>'[1]поточний ремонт'!AU49+'[2]поточний ремонт'!AU49-'[3]поточний ремонт'!AU49</f>
        <v>0</v>
      </c>
      <c r="AV49" s="5"/>
      <c r="AW49" s="43">
        <f>'[1]поточний ремонт'!AW49+'[2]поточний ремонт'!AW49-'[3]поточний ремонт'!AW49</f>
        <v>0</v>
      </c>
      <c r="AX49" s="43">
        <f>'[1]поточний ремонт'!AX49+'[2]поточний ремонт'!AX49-'[3]поточний ремонт'!AX49</f>
        <v>0</v>
      </c>
      <c r="AY49" s="5"/>
      <c r="AZ49" s="43">
        <f t="shared" si="2"/>
        <v>0</v>
      </c>
      <c r="BA49" s="43">
        <f t="shared" si="3"/>
        <v>0</v>
      </c>
      <c r="BB49" s="59">
        <f t="shared" si="4"/>
        <v>0</v>
      </c>
      <c r="BD49" s="2">
        <v>3</v>
      </c>
      <c r="BF49" s="30">
        <v>0</v>
      </c>
      <c r="BG49" s="328">
        <v>150000987</v>
      </c>
      <c r="BI49" s="107">
        <v>0</v>
      </c>
      <c r="BJ49" s="107">
        <f t="shared" si="5"/>
        <v>0</v>
      </c>
      <c r="BK49" s="107">
        <v>0</v>
      </c>
      <c r="BL49" s="39"/>
      <c r="BM49" s="3"/>
      <c r="BN49" s="3">
        <v>0</v>
      </c>
      <c r="BP49" s="3"/>
      <c r="BQ49" s="3"/>
      <c r="BS49" s="43"/>
      <c r="BT49" s="43">
        <v>0</v>
      </c>
      <c r="BU49" s="1037"/>
      <c r="BV49" s="42"/>
      <c r="BW49" s="43"/>
      <c r="BX49" s="37"/>
      <c r="BY49" s="78"/>
      <c r="BZ49" s="43">
        <v>0</v>
      </c>
      <c r="CA49" s="1038"/>
      <c r="CB49" s="42">
        <v>0</v>
      </c>
      <c r="CC49" s="42">
        <v>0</v>
      </c>
      <c r="CD49" s="1039"/>
      <c r="CE49" s="78">
        <v>0</v>
      </c>
      <c r="CF49" s="56"/>
      <c r="CG49" s="42">
        <v>0</v>
      </c>
      <c r="CH49" s="39">
        <v>0</v>
      </c>
      <c r="CI49" s="78">
        <v>0</v>
      </c>
      <c r="CJ49" s="56"/>
      <c r="CK49" s="1034"/>
      <c r="CL49" s="1029"/>
      <c r="CM49" s="1034"/>
      <c r="CN49" s="1029">
        <v>0</v>
      </c>
      <c r="CO49" s="78">
        <v>0</v>
      </c>
      <c r="CP49" s="43">
        <v>0</v>
      </c>
      <c r="CQ49" s="5"/>
      <c r="CR49" s="78">
        <v>0</v>
      </c>
      <c r="CS49" s="1033">
        <v>0</v>
      </c>
      <c r="CT49" s="5"/>
      <c r="CU49" s="78">
        <v>0</v>
      </c>
      <c r="CV49" s="43">
        <v>0</v>
      </c>
      <c r="CW49" s="5"/>
      <c r="CX49" s="78">
        <v>0</v>
      </c>
      <c r="CY49" s="43">
        <v>0</v>
      </c>
      <c r="CZ49" s="5"/>
      <c r="DA49" s="78">
        <v>0</v>
      </c>
      <c r="DB49" s="43">
        <v>0</v>
      </c>
      <c r="DC49" s="5"/>
      <c r="DD49" s="78">
        <v>0</v>
      </c>
      <c r="DE49" s="43">
        <v>0</v>
      </c>
      <c r="DF49" s="5"/>
      <c r="DG49" s="78">
        <v>0</v>
      </c>
      <c r="DH49" s="43"/>
      <c r="DI49" s="5"/>
      <c r="DJ49" s="43">
        <v>0</v>
      </c>
      <c r="DK49" s="43">
        <f t="shared" si="6"/>
        <v>0</v>
      </c>
      <c r="DL49" s="59">
        <f t="shared" si="7"/>
        <v>0</v>
      </c>
    </row>
    <row r="50" spans="1:116" ht="24.9" customHeight="1" x14ac:dyDescent="0.3">
      <c r="A50" s="328">
        <v>150000988</v>
      </c>
      <c r="B50" s="45" t="s">
        <v>51</v>
      </c>
      <c r="C50" s="1035">
        <v>1</v>
      </c>
      <c r="D50" s="1036" t="s">
        <v>454</v>
      </c>
      <c r="E50" s="1028">
        <f>'побудинковий звіт'!E48</f>
        <v>1730</v>
      </c>
      <c r="F50" s="1029">
        <f>'побудинковий звіт'!AS48</f>
        <v>3673.5156586974799</v>
      </c>
      <c r="G50" s="1029">
        <f t="shared" si="0"/>
        <v>0</v>
      </c>
      <c r="H50" s="1029">
        <f t="shared" si="1"/>
        <v>-3673.5156586974799</v>
      </c>
      <c r="I50" s="43">
        <f>'[1]поточний ремонт'!I50+'[2]поточний ремонт'!I50-'[3]поточний ремонт'!I50</f>
        <v>0</v>
      </c>
      <c r="J50" s="43">
        <f>'[1]поточний ремонт'!J50+'[2]поточний ремонт'!J50-'[3]поточний ремонт'!J50</f>
        <v>0</v>
      </c>
      <c r="K50" s="1037"/>
      <c r="L50" s="43">
        <f>'[1]поточний ремонт'!L50+'[2]поточний ремонт'!L50-'[3]поточний ремонт'!L50</f>
        <v>0</v>
      </c>
      <c r="M50" s="43">
        <f>'[1]поточний ремонт'!M50+'[2]поточний ремонт'!M50-'[3]поточний ремонт'!M50</f>
        <v>0</v>
      </c>
      <c r="N50" s="37"/>
      <c r="O50" s="43">
        <f>'[1]поточний ремонт'!O50+'[2]поточний ремонт'!O50-'[3]поточний ремонт'!O50</f>
        <v>0</v>
      </c>
      <c r="P50" s="43">
        <f>'[1]поточний ремонт'!P50+'[2]поточний ремонт'!P50-'[3]поточний ремонт'!P50</f>
        <v>0</v>
      </c>
      <c r="Q50" s="1038"/>
      <c r="R50" s="43">
        <f>'[1]поточний ремонт'!R50+'[2]поточний ремонт'!R50-'[3]поточний ремонт'!R50</f>
        <v>0</v>
      </c>
      <c r="S50" s="43">
        <f>'[1]поточний ремонт'!S50+'[2]поточний ремонт'!S50-'[3]поточний ремонт'!S50</f>
        <v>0</v>
      </c>
      <c r="T50" s="1039"/>
      <c r="U50" s="43">
        <f>'[1]поточний ремонт'!U50+'[2]поточний ремонт'!U50-'[3]поточний ремонт'!U50</f>
        <v>0</v>
      </c>
      <c r="V50" s="43">
        <f>'[1]поточний ремонт'!V50+'[2]поточний ремонт'!V50-'[3]поточний ремонт'!V50</f>
        <v>0</v>
      </c>
      <c r="W50" s="43">
        <f>'[1]поточний ремонт'!W50+'[2]поточний ремонт'!W50-'[3]поточний ремонт'!W50</f>
        <v>0</v>
      </c>
      <c r="X50" s="43">
        <f>'[1]поточний ремонт'!X50+'[2]поточний ремонт'!X50-'[3]поточний ремонт'!X50</f>
        <v>0</v>
      </c>
      <c r="Y50" s="43">
        <f>'[1]поточний ремонт'!Y50+'[2]поточний ремонт'!Y50-'[3]поточний ремонт'!Y50</f>
        <v>0</v>
      </c>
      <c r="Z50" s="43">
        <f>'[1]поточний ремонт'!Z50+'[2]поточний ремонт'!Z50-'[3]поточний ремонт'!Z50</f>
        <v>0</v>
      </c>
      <c r="AA50" s="43">
        <f>'[1]поточний ремонт'!AA50+'[2]поточний ремонт'!AA50-'[3]поточний ремонт'!AA50</f>
        <v>0</v>
      </c>
      <c r="AB50" s="43">
        <f>'[1]поточний ремонт'!AB50+'[2]поточний ремонт'!AB50-'[3]поточний ремонт'!AB50</f>
        <v>0</v>
      </c>
      <c r="AC50" s="43">
        <f>'[1]поточний ремонт'!AC50+'[2]поточний ремонт'!AC50-'[3]поточний ремонт'!AC50</f>
        <v>0</v>
      </c>
      <c r="AD50" s="43">
        <f>'[1]поточний ремонт'!AD50+'[2]поточний ремонт'!AD50-'[3]поточний ремонт'!AD50</f>
        <v>0</v>
      </c>
      <c r="AE50" s="43">
        <f>'[1]поточний ремонт'!AE50+'[2]поточний ремонт'!AE50-'[3]поточний ремонт'!AE50</f>
        <v>0</v>
      </c>
      <c r="AF50" s="43">
        <f>'[1]поточний ремонт'!AF50+'[2]поточний ремонт'!AF50-'[3]поточний ремонт'!AF50</f>
        <v>0</v>
      </c>
      <c r="AG50" s="5"/>
      <c r="AH50" s="43">
        <f>'[1]поточний ремонт'!AH50+'[2]поточний ремонт'!AH50-'[3]поточний ремонт'!AH50</f>
        <v>0</v>
      </c>
      <c r="AI50" s="43">
        <f>'[1]поточний ремонт'!AI50+'[2]поточний ремонт'!AI50-'[3]поточний ремонт'!AI50</f>
        <v>0</v>
      </c>
      <c r="AJ50" s="5"/>
      <c r="AK50" s="43">
        <f>'[1]поточний ремонт'!AK50+'[2]поточний ремонт'!AK50-'[3]поточний ремонт'!AK50</f>
        <v>0</v>
      </c>
      <c r="AL50" s="43">
        <f>'[1]поточний ремонт'!AL50+'[2]поточний ремонт'!AL50-'[3]поточний ремонт'!AL50</f>
        <v>0</v>
      </c>
      <c r="AM50" s="5"/>
      <c r="AN50" s="43">
        <f>'[1]поточний ремонт'!AN50+'[2]поточний ремонт'!AN50-'[3]поточний ремонт'!AN50</f>
        <v>0</v>
      </c>
      <c r="AO50" s="43">
        <f>'[1]поточний ремонт'!AO50+'[2]поточний ремонт'!AO50-'[3]поточний ремонт'!AO50</f>
        <v>0</v>
      </c>
      <c r="AP50" s="5"/>
      <c r="AQ50" s="43">
        <f>'[1]поточний ремонт'!AQ50+'[2]поточний ремонт'!AQ50-'[3]поточний ремонт'!AQ50</f>
        <v>0</v>
      </c>
      <c r="AR50" s="43">
        <f>'[1]поточний ремонт'!AR50+'[2]поточний ремонт'!AR50-'[3]поточний ремонт'!AR50</f>
        <v>0</v>
      </c>
      <c r="AS50" s="5"/>
      <c r="AT50" s="43">
        <f>'[1]поточний ремонт'!AT50+'[2]поточний ремонт'!AT50-'[3]поточний ремонт'!AT50</f>
        <v>0</v>
      </c>
      <c r="AU50" s="43">
        <f>'[1]поточний ремонт'!AU50+'[2]поточний ремонт'!AU50-'[3]поточний ремонт'!AU50</f>
        <v>0</v>
      </c>
      <c r="AV50" s="5"/>
      <c r="AW50" s="43">
        <f>'[1]поточний ремонт'!AW50+'[2]поточний ремонт'!AW50-'[3]поточний ремонт'!AW50</f>
        <v>0</v>
      </c>
      <c r="AX50" s="43">
        <f>'[1]поточний ремонт'!AX50+'[2]поточний ремонт'!AX50-'[3]поточний ремонт'!AX50</f>
        <v>0</v>
      </c>
      <c r="AY50" s="5"/>
      <c r="AZ50" s="43">
        <f t="shared" si="2"/>
        <v>0</v>
      </c>
      <c r="BA50" s="43">
        <f t="shared" si="3"/>
        <v>0</v>
      </c>
      <c r="BB50" s="59">
        <f t="shared" si="4"/>
        <v>0</v>
      </c>
      <c r="BD50" s="2">
        <v>3</v>
      </c>
      <c r="BF50" s="30">
        <v>0</v>
      </c>
      <c r="BG50" s="328">
        <v>150000988</v>
      </c>
      <c r="BI50" s="107">
        <v>0</v>
      </c>
      <c r="BJ50" s="107">
        <f t="shared" si="5"/>
        <v>0</v>
      </c>
      <c r="BK50" s="107">
        <v>0</v>
      </c>
      <c r="BL50" s="39"/>
      <c r="BM50" s="3"/>
      <c r="BN50" s="3">
        <v>0</v>
      </c>
      <c r="BP50" s="3"/>
      <c r="BQ50" s="3"/>
      <c r="BS50" s="43"/>
      <c r="BT50" s="43">
        <v>0</v>
      </c>
      <c r="BU50" s="1037"/>
      <c r="BV50" s="42"/>
      <c r="BW50" s="43"/>
      <c r="BX50" s="37"/>
      <c r="BY50" s="78"/>
      <c r="BZ50" s="43">
        <v>0</v>
      </c>
      <c r="CA50" s="1038"/>
      <c r="CB50" s="42">
        <v>0</v>
      </c>
      <c r="CC50" s="42">
        <v>0</v>
      </c>
      <c r="CD50" s="1039"/>
      <c r="CE50" s="78">
        <v>0</v>
      </c>
      <c r="CF50" s="56"/>
      <c r="CG50" s="42">
        <v>0</v>
      </c>
      <c r="CH50" s="39">
        <v>0</v>
      </c>
      <c r="CI50" s="78">
        <v>0</v>
      </c>
      <c r="CJ50" s="56"/>
      <c r="CK50" s="1034"/>
      <c r="CL50" s="1029"/>
      <c r="CM50" s="1034"/>
      <c r="CN50" s="1029">
        <v>0</v>
      </c>
      <c r="CO50" s="78">
        <v>0</v>
      </c>
      <c r="CP50" s="43">
        <v>0</v>
      </c>
      <c r="CQ50" s="5"/>
      <c r="CR50" s="78">
        <v>0</v>
      </c>
      <c r="CS50" s="1033">
        <v>0</v>
      </c>
      <c r="CT50" s="5"/>
      <c r="CU50" s="78">
        <v>0</v>
      </c>
      <c r="CV50" s="43">
        <v>0</v>
      </c>
      <c r="CW50" s="5"/>
      <c r="CX50" s="78">
        <v>0</v>
      </c>
      <c r="CY50" s="43">
        <v>0</v>
      </c>
      <c r="CZ50" s="5"/>
      <c r="DA50" s="78">
        <v>0</v>
      </c>
      <c r="DB50" s="43">
        <v>0</v>
      </c>
      <c r="DC50" s="5"/>
      <c r="DD50" s="78">
        <v>0</v>
      </c>
      <c r="DE50" s="43">
        <v>0</v>
      </c>
      <c r="DF50" s="5"/>
      <c r="DG50" s="78">
        <v>0</v>
      </c>
      <c r="DH50" s="43"/>
      <c r="DI50" s="5"/>
      <c r="DJ50" s="43">
        <v>0</v>
      </c>
      <c r="DK50" s="43">
        <f t="shared" si="6"/>
        <v>0</v>
      </c>
      <c r="DL50" s="59">
        <f t="shared" si="7"/>
        <v>0</v>
      </c>
    </row>
    <row r="51" spans="1:116" ht="24.9" customHeight="1" x14ac:dyDescent="0.3">
      <c r="A51" s="328">
        <v>150000548</v>
      </c>
      <c r="B51" s="45" t="s">
        <v>246</v>
      </c>
      <c r="C51" s="1035">
        <v>5</v>
      </c>
      <c r="D51" s="1036" t="s">
        <v>454</v>
      </c>
      <c r="E51" s="1028">
        <f>'побудинковий звіт'!E49</f>
        <v>934</v>
      </c>
      <c r="F51" s="1029">
        <f>'побудинковий звіт'!AS49</f>
        <v>29261.417123977692</v>
      </c>
      <c r="G51" s="1029">
        <f t="shared" si="0"/>
        <v>56163</v>
      </c>
      <c r="H51" s="1029">
        <f t="shared" si="1"/>
        <v>26901.582876022308</v>
      </c>
      <c r="I51" s="43">
        <f>'[1]поточний ремонт'!I51+'[2]поточний ремонт'!I51-'[3]поточний ремонт'!I51</f>
        <v>0</v>
      </c>
      <c r="J51" s="43">
        <f>'[1]поточний ремонт'!J51+'[2]поточний ремонт'!J51-'[3]поточний ремонт'!J51</f>
        <v>0</v>
      </c>
      <c r="K51" s="1044"/>
      <c r="L51" s="43">
        <f>'[1]поточний ремонт'!L51+'[2]поточний ремонт'!L51-'[3]поточний ремонт'!L51</f>
        <v>0</v>
      </c>
      <c r="M51" s="43">
        <f>'[1]поточний ремонт'!M51+'[2]поточний ремонт'!M51-'[3]поточний ремонт'!M51</f>
        <v>0</v>
      </c>
      <c r="N51" s="37"/>
      <c r="O51" s="43">
        <f>'[1]поточний ремонт'!O51+'[2]поточний ремонт'!O51-'[3]поточний ремонт'!O51</f>
        <v>0</v>
      </c>
      <c r="P51" s="43">
        <f>'[1]поточний ремонт'!P51+'[2]поточний ремонт'!P51-'[3]поточний ремонт'!P51</f>
        <v>0</v>
      </c>
      <c r="Q51" s="1038"/>
      <c r="R51" s="43">
        <f>'[1]поточний ремонт'!R51+'[2]поточний ремонт'!R51-'[3]поточний ремонт'!R51</f>
        <v>0</v>
      </c>
      <c r="S51" s="43">
        <f>'[1]поточний ремонт'!S51+'[2]поточний ремонт'!S51-'[3]поточний ремонт'!S51</f>
        <v>0</v>
      </c>
      <c r="T51" s="1039"/>
      <c r="U51" s="43">
        <f>'[1]поточний ремонт'!U51+'[2]поточний ремонт'!U51-'[3]поточний ремонт'!U51</f>
        <v>0</v>
      </c>
      <c r="V51" s="43">
        <f>'[1]поточний ремонт'!V51+'[2]поточний ремонт'!V51-'[3]поточний ремонт'!V51</f>
        <v>0</v>
      </c>
      <c r="W51" s="43">
        <f>'[1]поточний ремонт'!W51+'[2]поточний ремонт'!W51-'[3]поточний ремонт'!W51</f>
        <v>0</v>
      </c>
      <c r="X51" s="43">
        <f>'[1]поточний ремонт'!X51+'[2]поточний ремонт'!X51-'[3]поточний ремонт'!X51</f>
        <v>0</v>
      </c>
      <c r="Y51" s="43">
        <f>'[1]поточний ремонт'!Y51+'[2]поточний ремонт'!Y51-'[3]поточний ремонт'!Y51</f>
        <v>48995</v>
      </c>
      <c r="Z51" s="43">
        <f>'[1]поточний ремонт'!Z51+'[2]поточний ремонт'!Z51-'[3]поточний ремонт'!Z51</f>
        <v>0</v>
      </c>
      <c r="AA51" s="43">
        <f>'[1]поточний ремонт'!AA51+'[2]поточний ремонт'!AA51-'[3]поточний ремонт'!AA51</f>
        <v>0</v>
      </c>
      <c r="AB51" s="43">
        <f>'[1]поточний ремонт'!AB51+'[2]поточний ремонт'!AB51-'[3]поточний ремонт'!AB51</f>
        <v>987</v>
      </c>
      <c r="AC51" s="43">
        <f>'[1]поточний ремонт'!AC51+'[2]поточний ремонт'!AC51-'[3]поточний ремонт'!AC51</f>
        <v>494</v>
      </c>
      <c r="AD51" s="43">
        <f>'[1]поточний ремонт'!AD51+'[2]поточний ремонт'!AD51-'[3]поточний ремонт'!AD51</f>
        <v>5687</v>
      </c>
      <c r="AE51" s="43">
        <f>'[1]поточний ремонт'!AE51+'[2]поточний ремонт'!AE51-'[3]поточний ремонт'!AE51</f>
        <v>1445.8560122761871</v>
      </c>
      <c r="AF51" s="43">
        <f>'[1]поточний ремонт'!AF51+'[2]поточний ремонт'!AF51-'[3]поточний ремонт'!AF51</f>
        <v>1504</v>
      </c>
      <c r="AG51" s="5"/>
      <c r="AH51" s="43">
        <f>'[1]поточний ремонт'!AH51+'[2]поточний ремонт'!AH51-'[3]поточний ремонт'!AH51</f>
        <v>2109.9775394071216</v>
      </c>
      <c r="AI51" s="43">
        <f>'[1]поточний ремонт'!AI51+'[2]поточний ремонт'!AI51-'[3]поточний ремонт'!AI51</f>
        <v>1137</v>
      </c>
      <c r="AJ51" s="5"/>
      <c r="AK51" s="43">
        <f>'[1]поточний ремонт'!AK51+'[2]поточний ремонт'!AK51-'[3]поточний ремонт'!AK51</f>
        <v>1159.5837594450445</v>
      </c>
      <c r="AL51" s="43">
        <f>'[1]поточний ремонт'!AL51+'[2]поточний ремонт'!AL51-'[3]поточний ремонт'!AL51</f>
        <v>0</v>
      </c>
      <c r="AM51" s="5"/>
      <c r="AN51" s="43">
        <f>'[1]поточний ремонт'!AN51+'[2]поточний ремонт'!AN51-'[3]поточний ремонт'!AN51</f>
        <v>645.2645870476066</v>
      </c>
      <c r="AO51" s="43">
        <f>'[1]поточний ремонт'!AO51+'[2]поточний ремонт'!AO51-'[3]поточний ремонт'!AO51</f>
        <v>0</v>
      </c>
      <c r="AP51" s="5"/>
      <c r="AQ51" s="43">
        <f>'[1]поточний ремонт'!AQ51+'[2]поточний ремонт'!AQ51-'[3]поточний ремонт'!AQ51</f>
        <v>539.76213107435467</v>
      </c>
      <c r="AR51" s="43">
        <f>'[1]поточний ремонт'!AR51+'[2]поточний ремонт'!AR51-'[3]поточний ремонт'!AR51</f>
        <v>2262</v>
      </c>
      <c r="AS51" s="5"/>
      <c r="AT51" s="43">
        <f>'[1]поточний ремонт'!AT51+'[2]поточний ремонт'!AT51-'[3]поточний ремонт'!AT51</f>
        <v>781.47915860748481</v>
      </c>
      <c r="AU51" s="43">
        <f>'[1]поточний ремонт'!AU51+'[2]поточний ремонт'!AU51-'[3]поточний ремонт'!AU51</f>
        <v>3094</v>
      </c>
      <c r="AV51" s="5"/>
      <c r="AW51" s="43">
        <f>'[1]поточний ремонт'!AW51+'[2]поточний ремонт'!AW51-'[3]поточний ремонт'!AW51</f>
        <v>710.06625734530007</v>
      </c>
      <c r="AX51" s="43">
        <f>'[1]поточний ремонт'!AX51+'[2]поточний ремонт'!AX51-'[3]поточний ремонт'!AX51</f>
        <v>0</v>
      </c>
      <c r="AY51" s="5"/>
      <c r="AZ51" s="43">
        <f t="shared" si="2"/>
        <v>7391.9894452030976</v>
      </c>
      <c r="BA51" s="43">
        <f t="shared" si="3"/>
        <v>7997</v>
      </c>
      <c r="BB51" s="59">
        <f t="shared" si="4"/>
        <v>605.0105547969024</v>
      </c>
      <c r="BD51" s="2">
        <v>1</v>
      </c>
      <c r="BF51" s="30">
        <v>102.32038079003591</v>
      </c>
      <c r="BG51" s="328">
        <v>150000548</v>
      </c>
      <c r="BI51" s="107">
        <v>0</v>
      </c>
      <c r="BJ51" s="107">
        <f t="shared" si="5"/>
        <v>0</v>
      </c>
      <c r="BK51" s="107">
        <v>0</v>
      </c>
      <c r="BL51" s="39"/>
      <c r="BM51" s="3"/>
      <c r="BN51" s="3">
        <v>0</v>
      </c>
      <c r="BP51" s="3"/>
      <c r="BQ51" s="3"/>
      <c r="BS51" s="43"/>
      <c r="BT51" s="43">
        <v>0</v>
      </c>
      <c r="BU51" s="1044"/>
      <c r="BV51" s="42"/>
      <c r="BW51" s="43"/>
      <c r="BX51" s="37"/>
      <c r="BY51" s="78"/>
      <c r="BZ51" s="43">
        <v>0</v>
      </c>
      <c r="CA51" s="1038"/>
      <c r="CB51" s="42">
        <v>0</v>
      </c>
      <c r="CC51" s="42">
        <v>0</v>
      </c>
      <c r="CD51" s="1039"/>
      <c r="CE51" s="78">
        <v>0</v>
      </c>
      <c r="CF51" s="56"/>
      <c r="CG51" s="42">
        <v>0</v>
      </c>
      <c r="CH51" s="39">
        <v>0</v>
      </c>
      <c r="CI51" s="78">
        <v>0</v>
      </c>
      <c r="CJ51" s="56"/>
      <c r="CK51" s="1034"/>
      <c r="CL51" s="1029"/>
      <c r="CM51" s="1034"/>
      <c r="CN51" s="1029">
        <v>0</v>
      </c>
      <c r="CO51" s="78">
        <v>120.48800102301557</v>
      </c>
      <c r="CP51" s="43">
        <v>425.45843929794648</v>
      </c>
      <c r="CQ51" s="5"/>
      <c r="CR51" s="78">
        <v>175.83146161726015</v>
      </c>
      <c r="CS51" s="1033">
        <v>0</v>
      </c>
      <c r="CT51" s="5"/>
      <c r="CU51" s="78">
        <v>96.631979953753728</v>
      </c>
      <c r="CV51" s="43">
        <v>0</v>
      </c>
      <c r="CW51" s="5"/>
      <c r="CX51" s="78">
        <v>53.772048920633878</v>
      </c>
      <c r="CY51" s="43">
        <v>0</v>
      </c>
      <c r="CZ51" s="5"/>
      <c r="DA51" s="78">
        <v>44.980177589529568</v>
      </c>
      <c r="DB51" s="43">
        <v>0</v>
      </c>
      <c r="DC51" s="5"/>
      <c r="DD51" s="78">
        <v>65.1232632172904</v>
      </c>
      <c r="DE51" s="43">
        <v>0</v>
      </c>
      <c r="DF51" s="5"/>
      <c r="DG51" s="78">
        <v>59.172188112108344</v>
      </c>
      <c r="DH51" s="43"/>
      <c r="DI51" s="5"/>
      <c r="DJ51" s="43">
        <v>615.99912043359166</v>
      </c>
      <c r="DK51" s="43">
        <f t="shared" si="6"/>
        <v>425.45843929794648</v>
      </c>
      <c r="DL51" s="59">
        <f t="shared" si="7"/>
        <v>-190.54068113564517</v>
      </c>
    </row>
    <row r="52" spans="1:116" ht="24.9" customHeight="1" x14ac:dyDescent="0.3">
      <c r="A52" s="328">
        <v>150000549</v>
      </c>
      <c r="B52" s="45" t="s">
        <v>206</v>
      </c>
      <c r="C52" s="1035">
        <v>4</v>
      </c>
      <c r="D52" s="1036" t="s">
        <v>454</v>
      </c>
      <c r="E52" s="1028">
        <f>'побудинковий звіт'!E50</f>
        <v>1264.5999999999999</v>
      </c>
      <c r="F52" s="1029">
        <f>'побудинковий звіт'!AS50</f>
        <v>14088.931296700632</v>
      </c>
      <c r="G52" s="1029">
        <f t="shared" si="0"/>
        <v>5950</v>
      </c>
      <c r="H52" s="1029">
        <f t="shared" si="1"/>
        <v>-8138.9312967006317</v>
      </c>
      <c r="I52" s="43">
        <f>'[1]поточний ремонт'!I52+'[2]поточний ремонт'!I52-'[3]поточний ремонт'!I52</f>
        <v>0</v>
      </c>
      <c r="J52" s="43">
        <f>'[1]поточний ремонт'!J52+'[2]поточний ремонт'!J52-'[3]поточний ремонт'!J52</f>
        <v>0</v>
      </c>
      <c r="K52" s="1037"/>
      <c r="L52" s="43">
        <f>'[1]поточний ремонт'!L52+'[2]поточний ремонт'!L52-'[3]поточний ремонт'!L52</f>
        <v>0</v>
      </c>
      <c r="M52" s="43">
        <f>'[1]поточний ремонт'!M52+'[2]поточний ремонт'!M52-'[3]поточний ремонт'!M52</f>
        <v>0</v>
      </c>
      <c r="N52" s="37"/>
      <c r="O52" s="43">
        <f>'[1]поточний ремонт'!O52+'[2]поточний ремонт'!O52-'[3]поточний ремонт'!O52</f>
        <v>0</v>
      </c>
      <c r="P52" s="43">
        <f>'[1]поточний ремонт'!P52+'[2]поточний ремонт'!P52-'[3]поточний ремонт'!P52</f>
        <v>0</v>
      </c>
      <c r="Q52" s="1038"/>
      <c r="R52" s="43">
        <f>'[1]поточний ремонт'!R52+'[2]поточний ремонт'!R52-'[3]поточний ремонт'!R52</f>
        <v>0</v>
      </c>
      <c r="S52" s="43">
        <f>'[1]поточний ремонт'!S52+'[2]поточний ремонт'!S52-'[3]поточний ремонт'!S52</f>
        <v>0</v>
      </c>
      <c r="T52" s="1039"/>
      <c r="U52" s="43">
        <f>'[1]поточний ремонт'!U52+'[2]поточний ремонт'!U52-'[3]поточний ремонт'!U52</f>
        <v>0</v>
      </c>
      <c r="V52" s="43">
        <f>'[1]поточний ремонт'!V52+'[2]поточний ремонт'!V52-'[3]поточний ремонт'!V52</f>
        <v>0</v>
      </c>
      <c r="W52" s="43">
        <f>'[1]поточний ремонт'!W52+'[2]поточний ремонт'!W52-'[3]поточний ремонт'!W52</f>
        <v>0</v>
      </c>
      <c r="X52" s="43">
        <f>'[1]поточний ремонт'!X52+'[2]поточний ремонт'!X52-'[3]поточний ремонт'!X52</f>
        <v>0</v>
      </c>
      <c r="Y52" s="43">
        <f>'[1]поточний ремонт'!Y52+'[2]поточний ремонт'!Y52-'[3]поточний ремонт'!Y52</f>
        <v>0</v>
      </c>
      <c r="Z52" s="43">
        <f>'[1]поточний ремонт'!Z52+'[2]поточний ремонт'!Z52-'[3]поточний ремонт'!Z52</f>
        <v>0</v>
      </c>
      <c r="AA52" s="43">
        <f>'[1]поточний ремонт'!AA52+'[2]поточний ремонт'!AA52-'[3]поточний ремонт'!AA52</f>
        <v>0</v>
      </c>
      <c r="AB52" s="43">
        <f>'[1]поточний ремонт'!AB52+'[2]поточний ремонт'!AB52-'[3]поточний ремонт'!AB52</f>
        <v>0</v>
      </c>
      <c r="AC52" s="43">
        <f>'[1]поточний ремонт'!AC52+'[2]поточний ремонт'!AC52-'[3]поточний ремонт'!AC52</f>
        <v>414</v>
      </c>
      <c r="AD52" s="43">
        <f>'[1]поточний ремонт'!AD52+'[2]поточний ремонт'!AD52-'[3]поточний ремонт'!AD52</f>
        <v>5536</v>
      </c>
      <c r="AE52" s="43">
        <f>'[1]поточний ремонт'!AE52+'[2]поточний ремонт'!AE52-'[3]поточний ремонт'!AE52</f>
        <v>813.6518482278293</v>
      </c>
      <c r="AF52" s="43">
        <f>'[1]поточний ремонт'!AF52+'[2]поточний ремонт'!AF52-'[3]поточний ремонт'!AF52</f>
        <v>16569</v>
      </c>
      <c r="AG52" s="5"/>
      <c r="AH52" s="43">
        <f>'[1]поточний ремонт'!AH52+'[2]поточний ремонт'!AH52-'[3]поточний ремонт'!AH52</f>
        <v>1589.067066534845</v>
      </c>
      <c r="AI52" s="43">
        <f>'[1]поточний ремонт'!AI52+'[2]поточний ремонт'!AI52-'[3]поточний ремонт'!AI52</f>
        <v>0</v>
      </c>
      <c r="AJ52" s="5"/>
      <c r="AK52" s="43">
        <f>'[1]поточний ремонт'!AK52+'[2]поточний ремонт'!AK52-'[3]поточний ремонт'!AK52</f>
        <v>471.67638399792884</v>
      </c>
      <c r="AL52" s="43">
        <f>'[1]поточний ремонт'!AL52+'[2]поточний ремонт'!AL52-'[3]поточний ремонт'!AL52</f>
        <v>0</v>
      </c>
      <c r="AM52" s="5"/>
      <c r="AN52" s="43">
        <f>'[1]поточний ремонт'!AN52+'[2]поточний ремонт'!AN52-'[3]поточний ремонт'!AN52</f>
        <v>485.13023518137771</v>
      </c>
      <c r="AO52" s="43">
        <f>'[1]поточний ремонт'!AO52+'[2]поточний ремонт'!AO52-'[3]поточний ремонт'!AO52</f>
        <v>0</v>
      </c>
      <c r="AP52" s="5"/>
      <c r="AQ52" s="43">
        <f>'[1]поточний ремонт'!AQ52+'[2]поточний ремонт'!AQ52-'[3]поточний ремонт'!AQ52</f>
        <v>0</v>
      </c>
      <c r="AR52" s="43">
        <f>'[1]поточний ремонт'!AR52+'[2]поточний ремонт'!AR52-'[3]поточний ремонт'!AR52</f>
        <v>0</v>
      </c>
      <c r="AS52" s="5"/>
      <c r="AT52" s="43">
        <f>'[1]поточний ремонт'!AT52+'[2]поточний ремонт'!AT52-'[3]поточний ремонт'!AT52</f>
        <v>383.45556615286887</v>
      </c>
      <c r="AU52" s="43">
        <f>'[1]поточний ремонт'!AU52+'[2]поточний ремонт'!AU52-'[3]поточний ремонт'!AU52</f>
        <v>0</v>
      </c>
      <c r="AV52" s="5"/>
      <c r="AW52" s="43">
        <f>'[1]поточний ремонт'!AW52+'[2]поточний ремонт'!AW52-'[3]поточний ремонт'!AW52</f>
        <v>327.17444122295461</v>
      </c>
      <c r="AX52" s="43">
        <f>'[1]поточний ремонт'!AX52+'[2]поточний ремонт'!AX52-'[3]поточний ремонт'!AX52</f>
        <v>0</v>
      </c>
      <c r="AY52" s="5"/>
      <c r="AZ52" s="43">
        <f t="shared" si="2"/>
        <v>4070.1555413178044</v>
      </c>
      <c r="BA52" s="43">
        <f t="shared" si="3"/>
        <v>16569</v>
      </c>
      <c r="BB52" s="59">
        <f t="shared" si="4"/>
        <v>12498.844458682195</v>
      </c>
      <c r="BD52" s="2">
        <v>1</v>
      </c>
      <c r="BF52" s="30">
        <v>54.675205211309745</v>
      </c>
      <c r="BG52" s="328">
        <v>150000549</v>
      </c>
      <c r="BI52" s="107">
        <v>0</v>
      </c>
      <c r="BJ52" s="107">
        <f t="shared" si="5"/>
        <v>0</v>
      </c>
      <c r="BK52" s="107">
        <v>0</v>
      </c>
      <c r="BL52" s="39"/>
      <c r="BM52" s="3"/>
      <c r="BN52" s="3">
        <v>0</v>
      </c>
      <c r="BP52" s="3"/>
      <c r="BQ52" s="3"/>
      <c r="BS52" s="43"/>
      <c r="BT52" s="43">
        <v>0</v>
      </c>
      <c r="BU52" s="1037"/>
      <c r="BV52" s="42"/>
      <c r="BW52" s="43"/>
      <c r="BX52" s="37"/>
      <c r="BY52" s="78"/>
      <c r="BZ52" s="43">
        <v>0</v>
      </c>
      <c r="CA52" s="1038"/>
      <c r="CB52" s="42">
        <v>0</v>
      </c>
      <c r="CC52" s="42">
        <v>0</v>
      </c>
      <c r="CD52" s="1039"/>
      <c r="CE52" s="78">
        <v>0</v>
      </c>
      <c r="CF52" s="56"/>
      <c r="CG52" s="42">
        <v>0</v>
      </c>
      <c r="CH52" s="39">
        <v>0</v>
      </c>
      <c r="CI52" s="78">
        <v>0</v>
      </c>
      <c r="CJ52" s="56"/>
      <c r="CK52" s="1034"/>
      <c r="CL52" s="1029"/>
      <c r="CM52" s="1034"/>
      <c r="CN52" s="1029">
        <v>0</v>
      </c>
      <c r="CO52" s="78">
        <v>67.804320685652442</v>
      </c>
      <c r="CP52" s="43">
        <v>0</v>
      </c>
      <c r="CQ52" s="5"/>
      <c r="CR52" s="78">
        <v>132.42225554457045</v>
      </c>
      <c r="CS52" s="1033">
        <v>0</v>
      </c>
      <c r="CT52" s="5"/>
      <c r="CU52" s="78">
        <v>39.306365333160741</v>
      </c>
      <c r="CV52" s="43">
        <v>0</v>
      </c>
      <c r="CW52" s="5"/>
      <c r="CX52" s="78">
        <v>40.427519598448129</v>
      </c>
      <c r="CY52" s="43">
        <v>0</v>
      </c>
      <c r="CZ52" s="5"/>
      <c r="DA52" s="78">
        <v>0</v>
      </c>
      <c r="DB52" s="43">
        <v>0</v>
      </c>
      <c r="DC52" s="5"/>
      <c r="DD52" s="78">
        <v>31.954630512739072</v>
      </c>
      <c r="DE52" s="43">
        <v>0</v>
      </c>
      <c r="DF52" s="5"/>
      <c r="DG52" s="78">
        <v>27.264536768579557</v>
      </c>
      <c r="DH52" s="43"/>
      <c r="DI52" s="5"/>
      <c r="DJ52" s="43">
        <v>339.17962844315036</v>
      </c>
      <c r="DK52" s="43">
        <f t="shared" si="6"/>
        <v>0</v>
      </c>
      <c r="DL52" s="59">
        <f t="shared" si="7"/>
        <v>-339.17962844315036</v>
      </c>
    </row>
    <row r="53" spans="1:116" ht="24.9" customHeight="1" x14ac:dyDescent="0.3">
      <c r="A53" s="328">
        <v>150000547</v>
      </c>
      <c r="B53" s="45" t="s">
        <v>247</v>
      </c>
      <c r="C53" s="1035">
        <v>5</v>
      </c>
      <c r="D53" s="1036" t="s">
        <v>454</v>
      </c>
      <c r="E53" s="1028">
        <f>'побудинковий звіт'!E51</f>
        <v>1759.4</v>
      </c>
      <c r="F53" s="1029">
        <f>'побудинковий звіт'!AS51</f>
        <v>57458.206426360804</v>
      </c>
      <c r="G53" s="1029">
        <f t="shared" si="0"/>
        <v>4168</v>
      </c>
      <c r="H53" s="1029">
        <f t="shared" si="1"/>
        <v>-53290.206426360804</v>
      </c>
      <c r="I53" s="43">
        <f>'[1]поточний ремонт'!I53+'[2]поточний ремонт'!I53-'[3]поточний ремонт'!I53</f>
        <v>0</v>
      </c>
      <c r="J53" s="43">
        <f>'[1]поточний ремонт'!J53+'[2]поточний ремонт'!J53-'[3]поточний ремонт'!J53</f>
        <v>0</v>
      </c>
      <c r="K53" s="1037"/>
      <c r="L53" s="43">
        <f>'[1]поточний ремонт'!L53+'[2]поточний ремонт'!L53-'[3]поточний ремонт'!L53</f>
        <v>0</v>
      </c>
      <c r="M53" s="43">
        <f>'[1]поточний ремонт'!M53+'[2]поточний ремонт'!M53-'[3]поточний ремонт'!M53</f>
        <v>0</v>
      </c>
      <c r="N53" s="37"/>
      <c r="O53" s="43">
        <f>'[1]поточний ремонт'!O53+'[2]поточний ремонт'!O53-'[3]поточний ремонт'!O53</f>
        <v>0</v>
      </c>
      <c r="P53" s="43">
        <f>'[1]поточний ремонт'!P53+'[2]поточний ремонт'!P53-'[3]поточний ремонт'!P53</f>
        <v>0</v>
      </c>
      <c r="Q53" s="1038"/>
      <c r="R53" s="43">
        <f>'[1]поточний ремонт'!R53+'[2]поточний ремонт'!R53-'[3]поточний ремонт'!R53</f>
        <v>0</v>
      </c>
      <c r="S53" s="43">
        <f>'[1]поточний ремонт'!S53+'[2]поточний ремонт'!S53-'[3]поточний ремонт'!S53</f>
        <v>0</v>
      </c>
      <c r="T53" s="1039"/>
      <c r="U53" s="43">
        <f>'[1]поточний ремонт'!U53+'[2]поточний ремонт'!U53-'[3]поточний ремонт'!U53</f>
        <v>0</v>
      </c>
      <c r="V53" s="43">
        <f>'[1]поточний ремонт'!V53+'[2]поточний ремонт'!V53-'[3]поточний ремонт'!V53</f>
        <v>0</v>
      </c>
      <c r="W53" s="43">
        <f>'[1]поточний ремонт'!W53+'[2]поточний ремонт'!W53-'[3]поточний ремонт'!W53</f>
        <v>0</v>
      </c>
      <c r="X53" s="43">
        <f>'[1]поточний ремонт'!X53+'[2]поточний ремонт'!X53-'[3]поточний ремонт'!X53</f>
        <v>0</v>
      </c>
      <c r="Y53" s="43">
        <f>'[1]поточний ремонт'!Y53+'[2]поточний ремонт'!Y53-'[3]поточний ремонт'!Y53</f>
        <v>0</v>
      </c>
      <c r="Z53" s="43">
        <f>'[1]поточний ремонт'!Z53+'[2]поточний ремонт'!Z53-'[3]поточний ремонт'!Z53</f>
        <v>0</v>
      </c>
      <c r="AA53" s="43">
        <f>'[1]поточний ремонт'!AA53+'[2]поточний ремонт'!AA53-'[3]поточний ремонт'!AA53</f>
        <v>0</v>
      </c>
      <c r="AB53" s="43">
        <f>'[1]поточний ремонт'!AB53+'[2]поточний ремонт'!AB53-'[3]поточний ремонт'!AB53</f>
        <v>2400</v>
      </c>
      <c r="AC53" s="43">
        <f>'[1]поточний ремонт'!AC53+'[2]поточний ремонт'!AC53-'[3]поточний ремонт'!AC53</f>
        <v>0</v>
      </c>
      <c r="AD53" s="43">
        <f>'[1]поточний ремонт'!AD53+'[2]поточний ремонт'!AD53-'[3]поточний ремонт'!AD53</f>
        <v>1768</v>
      </c>
      <c r="AE53" s="43">
        <f>'[1]поточний ремонт'!AE53+'[2]поточний ремонт'!AE53-'[3]поточний ремонт'!AE53</f>
        <v>1781.8458562548647</v>
      </c>
      <c r="AF53" s="43">
        <f>'[1]поточний ремонт'!AF53+'[2]поточний ремонт'!AF53-'[3]поточний ремонт'!AF53</f>
        <v>0</v>
      </c>
      <c r="AG53" s="5"/>
      <c r="AH53" s="43">
        <f>'[1]поточний ремонт'!AH53+'[2]поточний ремонт'!AH53-'[3]поточний ремонт'!AH53</f>
        <v>2588.5724901852714</v>
      </c>
      <c r="AI53" s="43">
        <f>'[1]поточний ремонт'!AI53+'[2]поточний ремонт'!AI53-'[3]поточний ремонт'!AI53</f>
        <v>0</v>
      </c>
      <c r="AJ53" s="5"/>
      <c r="AK53" s="43">
        <f>'[1]поточний ремонт'!AK53+'[2]поточний ремонт'!AK53-'[3]поточний ремонт'!AK53</f>
        <v>1351.5474110711737</v>
      </c>
      <c r="AL53" s="43">
        <f>'[1]поточний ремонт'!AL53+'[2]поточний ремонт'!AL53-'[3]поточний ремонт'!AL53</f>
        <v>0</v>
      </c>
      <c r="AM53" s="5"/>
      <c r="AN53" s="43">
        <f>'[1]поточний ремонт'!AN53+'[2]поточний ремонт'!AN53-'[3]поточний ремонт'!AN53</f>
        <v>804.09927932111657</v>
      </c>
      <c r="AO53" s="43">
        <f>'[1]поточний ремонт'!AO53+'[2]поточний ремонт'!AO53-'[3]поточний ремонт'!AO53</f>
        <v>0</v>
      </c>
      <c r="AP53" s="5"/>
      <c r="AQ53" s="43">
        <f>'[1]поточний ремонт'!AQ53+'[2]поточний ремонт'!AQ53-'[3]поточний ремонт'!AQ53</f>
        <v>719.6828414324732</v>
      </c>
      <c r="AR53" s="43">
        <f>'[1]поточний ремонт'!AR53+'[2]поточний ремонт'!AR53-'[3]поточний ремонт'!AR53</f>
        <v>0</v>
      </c>
      <c r="AS53" s="5"/>
      <c r="AT53" s="43">
        <f>'[1]поточний ремонт'!AT53+'[2]поточний ремонт'!AT53-'[3]поточний ремонт'!AT53</f>
        <v>1114.1153981148859</v>
      </c>
      <c r="AU53" s="43">
        <f>'[1]поточний ремонт'!AU53+'[2]поточний ремонт'!AU53-'[3]поточний ремонт'!AU53</f>
        <v>544</v>
      </c>
      <c r="AV53" s="5"/>
      <c r="AW53" s="43">
        <f>'[1]поточний ремонт'!AW53+'[2]поточний ремонт'!AW53-'[3]поточний ремонт'!AW53</f>
        <v>239.12761837403588</v>
      </c>
      <c r="AX53" s="43">
        <f>'[1]поточний ремонт'!AX53+'[2]поточний ремонт'!AX53-'[3]поточний ремонт'!AX53</f>
        <v>0</v>
      </c>
      <c r="AY53" s="5"/>
      <c r="AZ53" s="43">
        <f t="shared" si="2"/>
        <v>8598.9908947538206</v>
      </c>
      <c r="BA53" s="43">
        <f t="shared" si="3"/>
        <v>544</v>
      </c>
      <c r="BB53" s="59">
        <f t="shared" si="4"/>
        <v>-8054.9908947538206</v>
      </c>
      <c r="BD53" s="2">
        <v>1</v>
      </c>
      <c r="BF53" s="30">
        <v>128.15508564661971</v>
      </c>
      <c r="BG53" s="328">
        <v>150000547</v>
      </c>
      <c r="BI53" s="107">
        <v>0</v>
      </c>
      <c r="BJ53" s="107">
        <f t="shared" si="5"/>
        <v>0</v>
      </c>
      <c r="BK53" s="107">
        <v>0</v>
      </c>
      <c r="BL53" s="39"/>
      <c r="BM53" s="3"/>
      <c r="BN53" s="3">
        <v>0</v>
      </c>
      <c r="BP53" s="3"/>
      <c r="BQ53" s="3"/>
      <c r="BS53" s="43"/>
      <c r="BT53" s="43">
        <v>0</v>
      </c>
      <c r="BU53" s="1037"/>
      <c r="BV53" s="42"/>
      <c r="BW53" s="43"/>
      <c r="BX53" s="37"/>
      <c r="BY53" s="78"/>
      <c r="BZ53" s="43">
        <v>0</v>
      </c>
      <c r="CA53" s="1038"/>
      <c r="CB53" s="42">
        <v>0</v>
      </c>
      <c r="CC53" s="42">
        <v>0</v>
      </c>
      <c r="CD53" s="1039"/>
      <c r="CE53" s="78">
        <v>0</v>
      </c>
      <c r="CF53" s="56"/>
      <c r="CG53" s="42">
        <v>0</v>
      </c>
      <c r="CH53" s="39">
        <v>0</v>
      </c>
      <c r="CI53" s="78">
        <v>0</v>
      </c>
      <c r="CJ53" s="56"/>
      <c r="CK53" s="1034"/>
      <c r="CL53" s="1029"/>
      <c r="CM53" s="1034"/>
      <c r="CN53" s="1029">
        <v>0</v>
      </c>
      <c r="CO53" s="78">
        <v>148.48715468790544</v>
      </c>
      <c r="CP53" s="43">
        <v>599.0640554819463</v>
      </c>
      <c r="CQ53" s="5"/>
      <c r="CR53" s="78">
        <v>215.71437418210596</v>
      </c>
      <c r="CS53" s="1033">
        <v>2818.2707794305834</v>
      </c>
      <c r="CT53" s="5"/>
      <c r="CU53" s="78">
        <v>112.6289509225978</v>
      </c>
      <c r="CV53" s="43">
        <v>0</v>
      </c>
      <c r="CW53" s="5"/>
      <c r="CX53" s="78">
        <v>67.008273276759709</v>
      </c>
      <c r="CY53" s="43">
        <v>0</v>
      </c>
      <c r="CZ53" s="5"/>
      <c r="DA53" s="78">
        <v>59.973570119372766</v>
      </c>
      <c r="DB53" s="43">
        <v>0</v>
      </c>
      <c r="DC53" s="5"/>
      <c r="DD53" s="78">
        <v>92.84294984290716</v>
      </c>
      <c r="DE53" s="43">
        <v>0</v>
      </c>
      <c r="DF53" s="5"/>
      <c r="DG53" s="78">
        <v>19.927301531169658</v>
      </c>
      <c r="DH53" s="43"/>
      <c r="DI53" s="5"/>
      <c r="DJ53" s="43">
        <v>716.58257456281854</v>
      </c>
      <c r="DK53" s="43">
        <f t="shared" si="6"/>
        <v>3417.3348349125299</v>
      </c>
      <c r="DL53" s="59">
        <f t="shared" si="7"/>
        <v>2700.7522603497114</v>
      </c>
    </row>
    <row r="54" spans="1:116" ht="24.9" customHeight="1" x14ac:dyDescent="0.3">
      <c r="A54" s="328">
        <v>150000509</v>
      </c>
      <c r="B54" s="45" t="s">
        <v>52</v>
      </c>
      <c r="C54" s="1035">
        <v>1</v>
      </c>
      <c r="D54" s="1036" t="s">
        <v>454</v>
      </c>
      <c r="E54" s="1028">
        <f>'побудинковий звіт'!E52</f>
        <v>2214.37</v>
      </c>
      <c r="F54" s="1029">
        <f>'побудинковий звіт'!AS52</f>
        <v>3249.8378742664067</v>
      </c>
      <c r="G54" s="1029">
        <f t="shared" si="0"/>
        <v>0</v>
      </c>
      <c r="H54" s="1029">
        <f t="shared" si="1"/>
        <v>-3249.8378742664067</v>
      </c>
      <c r="I54" s="43">
        <f>'[1]поточний ремонт'!I54+'[2]поточний ремонт'!I54-'[3]поточний ремонт'!I54</f>
        <v>0</v>
      </c>
      <c r="J54" s="43">
        <f>'[1]поточний ремонт'!J54+'[2]поточний ремонт'!J54-'[3]поточний ремонт'!J54</f>
        <v>0</v>
      </c>
      <c r="K54" s="1037"/>
      <c r="L54" s="43">
        <f>'[1]поточний ремонт'!L54+'[2]поточний ремонт'!L54-'[3]поточний ремонт'!L54</f>
        <v>0</v>
      </c>
      <c r="M54" s="43">
        <f>'[1]поточний ремонт'!M54+'[2]поточний ремонт'!M54-'[3]поточний ремонт'!M54</f>
        <v>0</v>
      </c>
      <c r="N54" s="37"/>
      <c r="O54" s="43">
        <f>'[1]поточний ремонт'!O54+'[2]поточний ремонт'!O54-'[3]поточний ремонт'!O54</f>
        <v>0</v>
      </c>
      <c r="P54" s="43">
        <f>'[1]поточний ремонт'!P54+'[2]поточний ремонт'!P54-'[3]поточний ремонт'!P54</f>
        <v>0</v>
      </c>
      <c r="Q54" s="1038"/>
      <c r="R54" s="43">
        <f>'[1]поточний ремонт'!R54+'[2]поточний ремонт'!R54-'[3]поточний ремонт'!R54</f>
        <v>0</v>
      </c>
      <c r="S54" s="43">
        <f>'[1]поточний ремонт'!S54+'[2]поточний ремонт'!S54-'[3]поточний ремонт'!S54</f>
        <v>0</v>
      </c>
      <c r="T54" s="1039"/>
      <c r="U54" s="43">
        <f>'[1]поточний ремонт'!U54+'[2]поточний ремонт'!U54-'[3]поточний ремонт'!U54</f>
        <v>0</v>
      </c>
      <c r="V54" s="43">
        <f>'[1]поточний ремонт'!V54+'[2]поточний ремонт'!V54-'[3]поточний ремонт'!V54</f>
        <v>0</v>
      </c>
      <c r="W54" s="43">
        <f>'[1]поточний ремонт'!W54+'[2]поточний ремонт'!W54-'[3]поточний ремонт'!W54</f>
        <v>0</v>
      </c>
      <c r="X54" s="43">
        <f>'[1]поточний ремонт'!X54+'[2]поточний ремонт'!X54-'[3]поточний ремонт'!X54</f>
        <v>0</v>
      </c>
      <c r="Y54" s="43">
        <f>'[1]поточний ремонт'!Y54+'[2]поточний ремонт'!Y54-'[3]поточний ремонт'!Y54</f>
        <v>0</v>
      </c>
      <c r="Z54" s="43">
        <f>'[1]поточний ремонт'!Z54+'[2]поточний ремонт'!Z54-'[3]поточний ремонт'!Z54</f>
        <v>0</v>
      </c>
      <c r="AA54" s="43">
        <f>'[1]поточний ремонт'!AA54+'[2]поточний ремонт'!AA54-'[3]поточний ремонт'!AA54</f>
        <v>0</v>
      </c>
      <c r="AB54" s="43">
        <f>'[1]поточний ремонт'!AB54+'[2]поточний ремонт'!AB54-'[3]поточний ремонт'!AB54</f>
        <v>0</v>
      </c>
      <c r="AC54" s="43">
        <f>'[1]поточний ремонт'!AC54+'[2]поточний ремонт'!AC54-'[3]поточний ремонт'!AC54</f>
        <v>0</v>
      </c>
      <c r="AD54" s="43">
        <f>'[1]поточний ремонт'!AD54+'[2]поточний ремонт'!AD54-'[3]поточний ремонт'!AD54</f>
        <v>0</v>
      </c>
      <c r="AE54" s="43">
        <f>'[1]поточний ремонт'!AE54+'[2]поточний ремонт'!AE54-'[3]поточний ремонт'!AE54</f>
        <v>0</v>
      </c>
      <c r="AF54" s="43">
        <f>'[1]поточний ремонт'!AF54+'[2]поточний ремонт'!AF54-'[3]поточний ремонт'!AF54</f>
        <v>0</v>
      </c>
      <c r="AG54" s="5"/>
      <c r="AH54" s="43">
        <f>'[1]поточний ремонт'!AH54+'[2]поточний ремонт'!AH54-'[3]поточний ремонт'!AH54</f>
        <v>0</v>
      </c>
      <c r="AI54" s="43">
        <f>'[1]поточний ремонт'!AI54+'[2]поточний ремонт'!AI54-'[3]поточний ремонт'!AI54</f>
        <v>0</v>
      </c>
      <c r="AJ54" s="5"/>
      <c r="AK54" s="43">
        <f>'[1]поточний ремонт'!AK54+'[2]поточний ремонт'!AK54-'[3]поточний ремонт'!AK54</f>
        <v>0</v>
      </c>
      <c r="AL54" s="43">
        <f>'[1]поточний ремонт'!AL54+'[2]поточний ремонт'!AL54-'[3]поточний ремонт'!AL54</f>
        <v>0</v>
      </c>
      <c r="AM54" s="5"/>
      <c r="AN54" s="43">
        <f>'[1]поточний ремонт'!AN54+'[2]поточний ремонт'!AN54-'[3]поточний ремонт'!AN54</f>
        <v>0</v>
      </c>
      <c r="AO54" s="43">
        <f>'[1]поточний ремонт'!AO54+'[2]поточний ремонт'!AO54-'[3]поточний ремонт'!AO54</f>
        <v>0</v>
      </c>
      <c r="AP54" s="5"/>
      <c r="AQ54" s="43">
        <f>'[1]поточний ремонт'!AQ54+'[2]поточний ремонт'!AQ54-'[3]поточний ремонт'!AQ54</f>
        <v>0</v>
      </c>
      <c r="AR54" s="43">
        <f>'[1]поточний ремонт'!AR54+'[2]поточний ремонт'!AR54-'[3]поточний ремонт'!AR54</f>
        <v>0</v>
      </c>
      <c r="AS54" s="5"/>
      <c r="AT54" s="43">
        <f>'[1]поточний ремонт'!AT54+'[2]поточний ремонт'!AT54-'[3]поточний ремонт'!AT54</f>
        <v>0</v>
      </c>
      <c r="AU54" s="43">
        <f>'[1]поточний ремонт'!AU54+'[2]поточний ремонт'!AU54-'[3]поточний ремонт'!AU54</f>
        <v>0</v>
      </c>
      <c r="AV54" s="5"/>
      <c r="AW54" s="43">
        <f>'[1]поточний ремонт'!AW54+'[2]поточний ремонт'!AW54-'[3]поточний ремонт'!AW54</f>
        <v>0</v>
      </c>
      <c r="AX54" s="43">
        <f>'[1]поточний ремонт'!AX54+'[2]поточний ремонт'!AX54-'[3]поточний ремонт'!AX54</f>
        <v>0</v>
      </c>
      <c r="AY54" s="5"/>
      <c r="AZ54" s="43">
        <f t="shared" si="2"/>
        <v>0</v>
      </c>
      <c r="BA54" s="43">
        <f t="shared" si="3"/>
        <v>0</v>
      </c>
      <c r="BB54" s="59">
        <f t="shared" si="4"/>
        <v>0</v>
      </c>
      <c r="BD54" s="2">
        <v>2</v>
      </c>
      <c r="BF54" s="30">
        <v>0</v>
      </c>
      <c r="BG54" s="328">
        <v>150000509</v>
      </c>
      <c r="BI54" s="107">
        <v>0</v>
      </c>
      <c r="BJ54" s="107">
        <f t="shared" si="5"/>
        <v>0</v>
      </c>
      <c r="BK54" s="107">
        <v>0</v>
      </c>
      <c r="BL54" s="39"/>
      <c r="BM54" s="3"/>
      <c r="BN54" s="3">
        <v>0</v>
      </c>
      <c r="BP54" s="3"/>
      <c r="BQ54" s="3"/>
      <c r="BS54" s="43"/>
      <c r="BT54" s="43">
        <v>0</v>
      </c>
      <c r="BU54" s="1037"/>
      <c r="BV54" s="42"/>
      <c r="BW54" s="43"/>
      <c r="BX54" s="37"/>
      <c r="BY54" s="78"/>
      <c r="BZ54" s="43">
        <v>0</v>
      </c>
      <c r="CA54" s="1038"/>
      <c r="CB54" s="42">
        <v>0</v>
      </c>
      <c r="CC54" s="42">
        <v>0</v>
      </c>
      <c r="CD54" s="1039"/>
      <c r="CE54" s="78">
        <v>0</v>
      </c>
      <c r="CF54" s="56"/>
      <c r="CG54" s="42">
        <v>0</v>
      </c>
      <c r="CH54" s="39">
        <v>0</v>
      </c>
      <c r="CI54" s="78">
        <v>0</v>
      </c>
      <c r="CJ54" s="56"/>
      <c r="CK54" s="1034"/>
      <c r="CL54" s="1029"/>
      <c r="CM54" s="1034"/>
      <c r="CN54" s="1029">
        <v>0</v>
      </c>
      <c r="CO54" s="78">
        <v>0</v>
      </c>
      <c r="CP54" s="43">
        <v>0</v>
      </c>
      <c r="CQ54" s="5"/>
      <c r="CR54" s="78">
        <v>0</v>
      </c>
      <c r="CS54" s="1033">
        <v>0</v>
      </c>
      <c r="CT54" s="5"/>
      <c r="CU54" s="78">
        <v>0</v>
      </c>
      <c r="CV54" s="43">
        <v>0</v>
      </c>
      <c r="CW54" s="5"/>
      <c r="CX54" s="78">
        <v>0</v>
      </c>
      <c r="CY54" s="43">
        <v>0</v>
      </c>
      <c r="CZ54" s="5"/>
      <c r="DA54" s="78">
        <v>0</v>
      </c>
      <c r="DB54" s="43">
        <v>0</v>
      </c>
      <c r="DC54" s="5"/>
      <c r="DD54" s="78">
        <v>0</v>
      </c>
      <c r="DE54" s="43">
        <v>0</v>
      </c>
      <c r="DF54" s="5"/>
      <c r="DG54" s="78">
        <v>0</v>
      </c>
      <c r="DH54" s="43"/>
      <c r="DI54" s="5"/>
      <c r="DJ54" s="43">
        <v>0</v>
      </c>
      <c r="DK54" s="43">
        <f t="shared" si="6"/>
        <v>0</v>
      </c>
      <c r="DL54" s="59">
        <f t="shared" si="7"/>
        <v>0</v>
      </c>
    </row>
    <row r="55" spans="1:116" ht="24.9" customHeight="1" x14ac:dyDescent="0.3">
      <c r="A55" s="328">
        <v>150000510</v>
      </c>
      <c r="B55" s="45" t="s">
        <v>248</v>
      </c>
      <c r="C55" s="1035">
        <v>5</v>
      </c>
      <c r="D55" s="1036" t="s">
        <v>454</v>
      </c>
      <c r="E55" s="1028">
        <f>'побудинковий звіт'!E53</f>
        <v>6045.39</v>
      </c>
      <c r="F55" s="1029">
        <f>'побудинковий звіт'!AS53</f>
        <v>23812.312132581632</v>
      </c>
      <c r="G55" s="1029">
        <f t="shared" si="0"/>
        <v>7338.2293639916443</v>
      </c>
      <c r="H55" s="1029">
        <f t="shared" si="1"/>
        <v>-16474.082768589986</v>
      </c>
      <c r="I55" s="43">
        <f>'[1]поточний ремонт'!I55+'[2]поточний ремонт'!I55-'[3]поточний ремонт'!I55</f>
        <v>5.6</v>
      </c>
      <c r="J55" s="43">
        <f>'[1]поточний ремонт'!J55+'[2]поточний ремонт'!J55-'[3]поточний ремонт'!J55</f>
        <v>1069</v>
      </c>
      <c r="K55" s="1037"/>
      <c r="L55" s="43">
        <f>'[1]поточний ремонт'!L55+'[2]поточний ремонт'!L55-'[3]поточний ремонт'!L55</f>
        <v>0</v>
      </c>
      <c r="M55" s="43">
        <f>'[1]поточний ремонт'!M55+'[2]поточний ремонт'!M55-'[3]поточний ремонт'!M55</f>
        <v>0</v>
      </c>
      <c r="N55" s="37"/>
      <c r="O55" s="43">
        <f>'[1]поточний ремонт'!O55+'[2]поточний ремонт'!O55-'[3]поточний ремонт'!O55</f>
        <v>0</v>
      </c>
      <c r="P55" s="43">
        <f>'[1]поточний ремонт'!P55+'[2]поточний ремонт'!P55-'[3]поточний ремонт'!P55</f>
        <v>0</v>
      </c>
      <c r="Q55" s="1038"/>
      <c r="R55" s="43">
        <f>'[1]поточний ремонт'!R55+'[2]поточний ремонт'!R55-'[3]поточний ремонт'!R55</f>
        <v>0</v>
      </c>
      <c r="S55" s="43">
        <f>'[1]поточний ремонт'!S55+'[2]поточний ремонт'!S55-'[3]поточний ремонт'!S55</f>
        <v>0</v>
      </c>
      <c r="T55" s="1039"/>
      <c r="U55" s="43">
        <f>'[1]поточний ремонт'!U55+'[2]поточний ремонт'!U55-'[3]поточний ремонт'!U55</f>
        <v>0</v>
      </c>
      <c r="V55" s="43">
        <f>'[1]поточний ремонт'!V55+'[2]поточний ремонт'!V55-'[3]поточний ремонт'!V55</f>
        <v>0</v>
      </c>
      <c r="W55" s="43">
        <f>'[1]поточний ремонт'!W55+'[2]поточний ремонт'!W55-'[3]поточний ремонт'!W55</f>
        <v>0</v>
      </c>
      <c r="X55" s="43">
        <f>'[1]поточний ремонт'!X55+'[2]поточний ремонт'!X55-'[3]поточний ремонт'!X55</f>
        <v>375.22936399164485</v>
      </c>
      <c r="Y55" s="43">
        <f>'[1]поточний ремонт'!Y55+'[2]поточний ремонт'!Y55-'[3]поточний ремонт'!Y55</f>
        <v>0</v>
      </c>
      <c r="Z55" s="43">
        <f>'[1]поточний ремонт'!Z55+'[2]поточний ремонт'!Z55-'[3]поточний ремонт'!Z55</f>
        <v>0</v>
      </c>
      <c r="AA55" s="43">
        <f>'[1]поточний ремонт'!AA55+'[2]поточний ремонт'!AA55-'[3]поточний ремонт'!AA55</f>
        <v>0</v>
      </c>
      <c r="AB55" s="43">
        <f>'[1]поточний ремонт'!AB55+'[2]поточний ремонт'!AB55-'[3]поточний ремонт'!AB55</f>
        <v>0</v>
      </c>
      <c r="AC55" s="43">
        <f>'[1]поточний ремонт'!AC55+'[2]поточний ремонт'!AC55-'[3]поточний ремонт'!AC55</f>
        <v>5894</v>
      </c>
      <c r="AD55" s="43">
        <f>'[1]поточний ремонт'!AD55+'[2]поточний ремонт'!AD55-'[3]поточний ремонт'!AD55</f>
        <v>0</v>
      </c>
      <c r="AE55" s="43">
        <f>'[1]поточний ремонт'!AE55+'[2]поточний ремонт'!AE55-'[3]поточний ремонт'!AE55</f>
        <v>1195.806626689124</v>
      </c>
      <c r="AF55" s="43">
        <f>'[1]поточний ремонт'!AF55+'[2]поточний ремонт'!AF55-'[3]поточний ремонт'!AF55</f>
        <v>0</v>
      </c>
      <c r="AG55" s="5"/>
      <c r="AH55" s="43">
        <f>'[1]поточний ремонт'!AH55+'[2]поточний ремонт'!AH55-'[3]поточний ремонт'!AH55</f>
        <v>1595.2133154398005</v>
      </c>
      <c r="AI55" s="43">
        <f>'[1]поточний ремонт'!AI55+'[2]поточний ремонт'!AI55-'[3]поточний ремонт'!AI55</f>
        <v>0</v>
      </c>
      <c r="AJ55" s="5"/>
      <c r="AK55" s="43">
        <f>'[1]поточний ремонт'!AK55+'[2]поточний ремонт'!AK55-'[3]поточний ремонт'!AK55</f>
        <v>2034.5764909897839</v>
      </c>
      <c r="AL55" s="43">
        <f>'[1]поточний ремонт'!AL55+'[2]поточний ремонт'!AL55-'[3]поточний ремонт'!AL55</f>
        <v>0</v>
      </c>
      <c r="AM55" s="5"/>
      <c r="AN55" s="43">
        <f>'[1]поточний ремонт'!AN55+'[2]поточний ремонт'!AN55-'[3]поточний ремонт'!AN55</f>
        <v>0</v>
      </c>
      <c r="AO55" s="43">
        <f>'[1]поточний ремонт'!AO55+'[2]поточний ремонт'!AO55-'[3]поточний ремонт'!AO55</f>
        <v>0</v>
      </c>
      <c r="AP55" s="5"/>
      <c r="AQ55" s="43">
        <f>'[1]поточний ремонт'!AQ55+'[2]поточний ремонт'!AQ55-'[3]поточний ремонт'!AQ55</f>
        <v>0</v>
      </c>
      <c r="AR55" s="43">
        <f>'[1]поточний ремонт'!AR55+'[2]поточний ремонт'!AR55-'[3]поточний ремонт'!AR55</f>
        <v>249</v>
      </c>
      <c r="AS55" s="5"/>
      <c r="AT55" s="43">
        <f>'[1]поточний ремонт'!AT55+'[2]поточний ремонт'!AT55-'[3]поточний ремонт'!AT55</f>
        <v>734.84064535446623</v>
      </c>
      <c r="AU55" s="43">
        <f>'[1]поточний ремонт'!AU55+'[2]поточний ремонт'!AU55-'[3]поточний ремонт'!AU55</f>
        <v>0</v>
      </c>
      <c r="AV55" s="9"/>
      <c r="AW55" s="43">
        <f>'[1]поточний ремонт'!AW55+'[2]поточний ремонт'!AW55-'[3]поточний ремонт'!AW55</f>
        <v>0</v>
      </c>
      <c r="AX55" s="43">
        <f>'[1]поточний ремонт'!AX55+'[2]поточний ремонт'!AX55-'[3]поточний ремонт'!AX55</f>
        <v>0</v>
      </c>
      <c r="AY55" s="5"/>
      <c r="AZ55" s="43">
        <f t="shared" si="2"/>
        <v>5560.4370784731746</v>
      </c>
      <c r="BA55" s="43">
        <f t="shared" si="3"/>
        <v>249</v>
      </c>
      <c r="BB55" s="59">
        <f t="shared" si="4"/>
        <v>-5311.4370784731746</v>
      </c>
      <c r="BD55" s="2">
        <v>2</v>
      </c>
      <c r="BF55" s="30">
        <v>4.2211656249986715</v>
      </c>
      <c r="BG55" s="328">
        <v>150000510</v>
      </c>
      <c r="BI55" s="107">
        <v>28</v>
      </c>
      <c r="BJ55" s="107">
        <f t="shared" si="5"/>
        <v>3.9385415999999998</v>
      </c>
      <c r="BK55" s="107">
        <v>32.292002287999999</v>
      </c>
      <c r="BL55" s="39"/>
      <c r="BM55" s="3"/>
      <c r="BN55" s="3">
        <v>0</v>
      </c>
      <c r="BP55" s="3"/>
      <c r="BQ55" s="3"/>
      <c r="BS55" s="43"/>
      <c r="BT55" s="43">
        <v>0</v>
      </c>
      <c r="BU55" s="1037"/>
      <c r="BV55" s="42"/>
      <c r="BW55" s="43"/>
      <c r="BX55" s="37"/>
      <c r="BY55" s="78"/>
      <c r="BZ55" s="43">
        <v>0</v>
      </c>
      <c r="CA55" s="1038"/>
      <c r="CB55" s="42">
        <v>0</v>
      </c>
      <c r="CC55" s="42">
        <v>0</v>
      </c>
      <c r="CD55" s="1039"/>
      <c r="CE55" s="78">
        <v>0</v>
      </c>
      <c r="CF55" s="56"/>
      <c r="CG55" s="42">
        <v>0</v>
      </c>
      <c r="CH55" s="39">
        <v>32.292002287999999</v>
      </c>
      <c r="CI55" s="78">
        <v>0</v>
      </c>
      <c r="CJ55" s="56"/>
      <c r="CK55" s="1034"/>
      <c r="CL55" s="1029"/>
      <c r="CM55" s="1034"/>
      <c r="CN55" s="1029">
        <v>0</v>
      </c>
      <c r="CO55" s="78">
        <v>99.650552224093673</v>
      </c>
      <c r="CP55" s="43">
        <v>0</v>
      </c>
      <c r="CQ55" s="5"/>
      <c r="CR55" s="78">
        <v>132.93444295331673</v>
      </c>
      <c r="CS55" s="1033">
        <v>0</v>
      </c>
      <c r="CT55" s="5"/>
      <c r="CU55" s="78">
        <v>169.54804091581531</v>
      </c>
      <c r="CV55" s="43">
        <v>0</v>
      </c>
      <c r="CW55" s="5"/>
      <c r="CX55" s="78">
        <v>0</v>
      </c>
      <c r="CY55" s="43">
        <v>0</v>
      </c>
      <c r="CZ55" s="5"/>
      <c r="DA55" s="78">
        <v>0</v>
      </c>
      <c r="DB55" s="43">
        <v>0</v>
      </c>
      <c r="DC55" s="5"/>
      <c r="DD55" s="78">
        <v>61.236720446205524</v>
      </c>
      <c r="DE55" s="43">
        <v>0</v>
      </c>
      <c r="DF55" s="9"/>
      <c r="DG55" s="78">
        <v>0</v>
      </c>
      <c r="DH55" s="43"/>
      <c r="DI55" s="5"/>
      <c r="DJ55" s="43">
        <v>463.36975653943125</v>
      </c>
      <c r="DK55" s="43">
        <f t="shared" si="6"/>
        <v>0</v>
      </c>
      <c r="DL55" s="59">
        <f t="shared" si="7"/>
        <v>-463.36975653943125</v>
      </c>
    </row>
    <row r="56" spans="1:116" ht="24.9" customHeight="1" x14ac:dyDescent="0.3">
      <c r="A56" s="328">
        <v>150000511</v>
      </c>
      <c r="B56" s="45" t="s">
        <v>249</v>
      </c>
      <c r="C56" s="1035">
        <v>5</v>
      </c>
      <c r="D56" s="1036" t="s">
        <v>454</v>
      </c>
      <c r="E56" s="1028">
        <f>'побудинковий звіт'!E54</f>
        <v>3858.65</v>
      </c>
      <c r="F56" s="1029">
        <f>'побудинковий звіт'!AS54</f>
        <v>29717.001220558042</v>
      </c>
      <c r="G56" s="1029">
        <f t="shared" si="0"/>
        <v>57467</v>
      </c>
      <c r="H56" s="1029">
        <f t="shared" si="1"/>
        <v>27749.998779441958</v>
      </c>
      <c r="I56" s="43">
        <f>'[1]поточний ремонт'!I56+'[2]поточний ремонт'!I56-'[3]поточний ремонт'!I56</f>
        <v>0</v>
      </c>
      <c r="J56" s="43">
        <f>'[1]поточний ремонт'!J56+'[2]поточний ремонт'!J56-'[3]поточний ремонт'!J56</f>
        <v>0</v>
      </c>
      <c r="K56" s="1037"/>
      <c r="L56" s="43">
        <f>'[1]поточний ремонт'!L56+'[2]поточний ремонт'!L56-'[3]поточний ремонт'!L56</f>
        <v>1</v>
      </c>
      <c r="M56" s="43">
        <f>'[1]поточний ремонт'!M56+'[2]поточний ремонт'!M56-'[3]поточний ремонт'!M56</f>
        <v>54657</v>
      </c>
      <c r="N56" s="37"/>
      <c r="O56" s="43">
        <f>'[1]поточний ремонт'!O56+'[2]поточний ремонт'!O56-'[3]поточний ремонт'!O56</f>
        <v>0</v>
      </c>
      <c r="P56" s="43">
        <f>'[1]поточний ремонт'!P56+'[2]поточний ремонт'!P56-'[3]поточний ремонт'!P56</f>
        <v>0</v>
      </c>
      <c r="Q56" s="1038"/>
      <c r="R56" s="43">
        <f>'[1]поточний ремонт'!R56+'[2]поточний ремонт'!R56-'[3]поточний ремонт'!R56</f>
        <v>0</v>
      </c>
      <c r="S56" s="43">
        <f>'[1]поточний ремонт'!S56+'[2]поточний ремонт'!S56-'[3]поточний ремонт'!S56</f>
        <v>0</v>
      </c>
      <c r="T56" s="1039"/>
      <c r="U56" s="43">
        <f>'[1]поточний ремонт'!U56+'[2]поточний ремонт'!U56-'[3]поточний ремонт'!U56</f>
        <v>0</v>
      </c>
      <c r="V56" s="43">
        <f>'[1]поточний ремонт'!V56+'[2]поточний ремонт'!V56-'[3]поточний ремонт'!V56</f>
        <v>0</v>
      </c>
      <c r="W56" s="43">
        <f>'[1]поточний ремонт'!W56+'[2]поточний ремонт'!W56-'[3]поточний ремонт'!W56</f>
        <v>0</v>
      </c>
      <c r="X56" s="43">
        <f>'[1]поточний ремонт'!X56+'[2]поточний ремонт'!X56-'[3]поточний ремонт'!X56</f>
        <v>0</v>
      </c>
      <c r="Y56" s="43">
        <f>'[1]поточний ремонт'!Y56+'[2]поточний ремонт'!Y56-'[3]поточний ремонт'!Y56</f>
        <v>215</v>
      </c>
      <c r="Z56" s="43">
        <f>'[1]поточний ремонт'!Z56+'[2]поточний ремонт'!Z56-'[3]поточний ремонт'!Z56</f>
        <v>0</v>
      </c>
      <c r="AA56" s="43">
        <f>'[1]поточний ремонт'!AA56+'[2]поточний ремонт'!AA56-'[3]поточний ремонт'!AA56</f>
        <v>0</v>
      </c>
      <c r="AB56" s="43">
        <f>'[1]поточний ремонт'!AB56+'[2]поточний ремонт'!AB56-'[3]поточний ремонт'!AB56</f>
        <v>0</v>
      </c>
      <c r="AC56" s="43">
        <f>'[1]поточний ремонт'!AC56+'[2]поточний ремонт'!AC56-'[3]поточний ремонт'!AC56</f>
        <v>1037</v>
      </c>
      <c r="AD56" s="43">
        <f>'[1]поточний ремонт'!AD56+'[2]поточний ремонт'!AD56-'[3]поточний ремонт'!AD56</f>
        <v>1558</v>
      </c>
      <c r="AE56" s="43">
        <f>'[1]поточний ремонт'!AE56+'[2]поточний ремонт'!AE56-'[3]поточний ремонт'!AE56</f>
        <v>1908.5416160660241</v>
      </c>
      <c r="AF56" s="43">
        <f>'[1]поточний ремонт'!AF56+'[2]поточний ремонт'!AF56-'[3]поточний ремонт'!AF56</f>
        <v>1313</v>
      </c>
      <c r="AG56" s="5"/>
      <c r="AH56" s="43">
        <f>'[1]поточний ремонт'!AH56+'[2]поточний ремонт'!AH56-'[3]поточний ремонт'!AH56</f>
        <v>2944.417704925042</v>
      </c>
      <c r="AI56" s="43">
        <f>'[1]поточний ремонт'!AI56+'[2]поточний ремонт'!AI56-'[3]поточний ремонт'!AI56</f>
        <v>0</v>
      </c>
      <c r="AJ56" s="5"/>
      <c r="AK56" s="43">
        <f>'[1]поточний ремонт'!AK56+'[2]поточний ремонт'!AK56-'[3]поточний ремонт'!AK56</f>
        <v>2195.3066993215712</v>
      </c>
      <c r="AL56" s="43">
        <f>'[1]поточний ремонт'!AL56+'[2]поточний ремонт'!AL56-'[3]поточний ремонт'!AL56</f>
        <v>1664</v>
      </c>
      <c r="AM56" s="5"/>
      <c r="AN56" s="43">
        <f>'[1]поточний ремонт'!AN56+'[2]поточний ремонт'!AN56-'[3]поточний ремонт'!AN56</f>
        <v>0</v>
      </c>
      <c r="AO56" s="43">
        <f>'[1]поточний ремонт'!AO56+'[2]поточний ремонт'!AO56-'[3]поточний ремонт'!AO56</f>
        <v>0</v>
      </c>
      <c r="AP56" s="5"/>
      <c r="AQ56" s="43">
        <f>'[1]поточний ремонт'!AQ56+'[2]поточний ремонт'!AQ56-'[3]поточний ремонт'!AQ56</f>
        <v>0</v>
      </c>
      <c r="AR56" s="43">
        <f>'[1]поточний ремонт'!AR56+'[2]поточний ремонт'!AR56-'[3]поточний ремонт'!AR56</f>
        <v>0</v>
      </c>
      <c r="AS56" s="5"/>
      <c r="AT56" s="43">
        <f>'[1]поточний ремонт'!AT56+'[2]поточний ремонт'!AT56-'[3]поточний ремонт'!AT56</f>
        <v>1047.7724342826871</v>
      </c>
      <c r="AU56" s="43">
        <f>'[1]поточний ремонт'!AU56+'[2]поточний ремонт'!AU56-'[3]поточний ремонт'!AU56</f>
        <v>254</v>
      </c>
      <c r="AV56" s="5"/>
      <c r="AW56" s="43">
        <f>'[1]поточний ремонт'!AW56+'[2]поточний ремонт'!AW56-'[3]поточний ремонт'!AW56</f>
        <v>0</v>
      </c>
      <c r="AX56" s="43">
        <f>'[1]поточний ремонт'!AX56+'[2]поточний ремонт'!AX56-'[3]поточний ремонт'!AX56</f>
        <v>0</v>
      </c>
      <c r="AY56" s="5"/>
      <c r="AZ56" s="43">
        <f t="shared" si="2"/>
        <v>8096.0384545953248</v>
      </c>
      <c r="BA56" s="43">
        <f t="shared" si="3"/>
        <v>3231</v>
      </c>
      <c r="BB56" s="59">
        <f t="shared" si="4"/>
        <v>-4865.0384545953248</v>
      </c>
      <c r="BD56" s="2">
        <v>2</v>
      </c>
      <c r="BF56" s="30">
        <v>4.7022742222356397</v>
      </c>
      <c r="BG56" s="328">
        <v>150000511</v>
      </c>
      <c r="BI56" s="107">
        <v>0</v>
      </c>
      <c r="BJ56" s="107">
        <f t="shared" si="5"/>
        <v>0</v>
      </c>
      <c r="BK56" s="107">
        <v>0</v>
      </c>
      <c r="BL56" s="39"/>
      <c r="BM56" s="3"/>
      <c r="BN56" s="3">
        <v>0</v>
      </c>
      <c r="BP56" s="3"/>
      <c r="BQ56" s="3"/>
      <c r="BS56" s="43"/>
      <c r="BT56" s="43">
        <v>0</v>
      </c>
      <c r="BU56" s="1037"/>
      <c r="BV56" s="42"/>
      <c r="BW56" s="43"/>
      <c r="BX56" s="37"/>
      <c r="BY56" s="78"/>
      <c r="BZ56" s="43">
        <v>0</v>
      </c>
      <c r="CA56" s="1038"/>
      <c r="CB56" s="42">
        <v>0</v>
      </c>
      <c r="CC56" s="42">
        <v>0</v>
      </c>
      <c r="CD56" s="1039"/>
      <c r="CE56" s="78">
        <v>0</v>
      </c>
      <c r="CF56" s="56"/>
      <c r="CG56" s="42">
        <v>0</v>
      </c>
      <c r="CH56" s="39">
        <v>0</v>
      </c>
      <c r="CI56" s="78">
        <v>0</v>
      </c>
      <c r="CJ56" s="56"/>
      <c r="CK56" s="1034"/>
      <c r="CL56" s="1029"/>
      <c r="CM56" s="1034"/>
      <c r="CN56" s="1029">
        <v>0</v>
      </c>
      <c r="CO56" s="78">
        <v>159.0451346721687</v>
      </c>
      <c r="CP56" s="43">
        <v>0</v>
      </c>
      <c r="CQ56" s="5"/>
      <c r="CR56" s="78">
        <v>245.36814207708687</v>
      </c>
      <c r="CS56" s="1033">
        <v>0</v>
      </c>
      <c r="CT56" s="5"/>
      <c r="CU56" s="78">
        <v>182.94222494346428</v>
      </c>
      <c r="CV56" s="43">
        <v>0</v>
      </c>
      <c r="CW56" s="5"/>
      <c r="CX56" s="78">
        <v>0</v>
      </c>
      <c r="CY56" s="43">
        <v>0</v>
      </c>
      <c r="CZ56" s="5"/>
      <c r="DA56" s="78">
        <v>0</v>
      </c>
      <c r="DB56" s="43">
        <v>2474.104556452226</v>
      </c>
      <c r="DC56" s="5"/>
      <c r="DD56" s="78">
        <v>87.314369523557232</v>
      </c>
      <c r="DE56" s="43">
        <v>0</v>
      </c>
      <c r="DF56" s="5"/>
      <c r="DG56" s="78">
        <v>0</v>
      </c>
      <c r="DH56" s="43"/>
      <c r="DI56" s="5"/>
      <c r="DJ56" s="43">
        <v>674.6698712162771</v>
      </c>
      <c r="DK56" s="43">
        <f t="shared" si="6"/>
        <v>2474.104556452226</v>
      </c>
      <c r="DL56" s="59">
        <f t="shared" si="7"/>
        <v>1799.434685235949</v>
      </c>
    </row>
    <row r="57" spans="1:116" ht="24.9" customHeight="1" x14ac:dyDescent="0.3">
      <c r="A57" s="328">
        <v>150000512</v>
      </c>
      <c r="B57" s="45" t="s">
        <v>250</v>
      </c>
      <c r="C57" s="1035">
        <v>5</v>
      </c>
      <c r="D57" s="1036" t="s">
        <v>454</v>
      </c>
      <c r="E57" s="1028">
        <f>'побудинковий звіт'!E55</f>
        <v>9922.34</v>
      </c>
      <c r="F57" s="1029">
        <f>'побудинковий звіт'!AS55</f>
        <v>19218.421367202016</v>
      </c>
      <c r="G57" s="1029">
        <f t="shared" si="0"/>
        <v>3536</v>
      </c>
      <c r="H57" s="1029">
        <f t="shared" si="1"/>
        <v>-15682.421367202016</v>
      </c>
      <c r="I57" s="43">
        <f>'[1]поточний ремонт'!I57+'[2]поточний ремонт'!I57-'[3]поточний ремонт'!I57</f>
        <v>7</v>
      </c>
      <c r="J57" s="43">
        <f>'[1]поточний ремонт'!J57+'[2]поточний ремонт'!J57-'[3]поточний ремонт'!J57</f>
        <v>1338</v>
      </c>
      <c r="K57" s="1037"/>
      <c r="L57" s="43">
        <f>'[1]поточний ремонт'!L57+'[2]поточний ремонт'!L57-'[3]поточний ремонт'!L57</f>
        <v>0</v>
      </c>
      <c r="M57" s="43">
        <f>'[1]поточний ремонт'!M57+'[2]поточний ремонт'!M57-'[3]поточний ремонт'!M57</f>
        <v>0</v>
      </c>
      <c r="N57" s="37"/>
      <c r="O57" s="43">
        <f>'[1]поточний ремонт'!O57+'[2]поточний ремонт'!O57-'[3]поточний ремонт'!O57</f>
        <v>0</v>
      </c>
      <c r="P57" s="43">
        <f>'[1]поточний ремонт'!P57+'[2]поточний ремонт'!P57-'[3]поточний ремонт'!P57</f>
        <v>0</v>
      </c>
      <c r="Q57" s="1038"/>
      <c r="R57" s="43">
        <f>'[1]поточний ремонт'!R57+'[2]поточний ремонт'!R57-'[3]поточний ремонт'!R57</f>
        <v>0</v>
      </c>
      <c r="S57" s="43">
        <f>'[1]поточний ремонт'!S57+'[2]поточний ремонт'!S57-'[3]поточний ремонт'!S57</f>
        <v>0</v>
      </c>
      <c r="T57" s="1039"/>
      <c r="U57" s="43">
        <f>'[1]поточний ремонт'!U57+'[2]поточний ремонт'!U57-'[3]поточний ремонт'!U57</f>
        <v>0</v>
      </c>
      <c r="V57" s="43">
        <f>'[1]поточний ремонт'!V57+'[2]поточний ремонт'!V57-'[3]поточний ремонт'!V57</f>
        <v>0</v>
      </c>
      <c r="W57" s="43">
        <f>'[1]поточний ремонт'!W57+'[2]поточний ремонт'!W57-'[3]поточний ремонт'!W57</f>
        <v>0</v>
      </c>
      <c r="X57" s="43">
        <f>'[1]поточний ремонт'!X57+'[2]поточний ремонт'!X57-'[3]поточний ремонт'!X57</f>
        <v>0</v>
      </c>
      <c r="Y57" s="43">
        <f>'[1]поточний ремонт'!Y57+'[2]поточний ремонт'!Y57-'[3]поточний ремонт'!Y57</f>
        <v>0</v>
      </c>
      <c r="Z57" s="43">
        <f>'[1]поточний ремонт'!Z57+'[2]поточний ремонт'!Z57-'[3]поточний ремонт'!Z57</f>
        <v>0</v>
      </c>
      <c r="AA57" s="43">
        <f>'[1]поточний ремонт'!AA57+'[2]поточний ремонт'!AA57-'[3]поточний ремонт'!AA57</f>
        <v>0</v>
      </c>
      <c r="AB57" s="43">
        <f>'[1]поточний ремонт'!AB57+'[2]поточний ремонт'!AB57-'[3]поточний ремонт'!AB57</f>
        <v>0</v>
      </c>
      <c r="AC57" s="43">
        <f>'[1]поточний ремонт'!AC57+'[2]поточний ремонт'!AC57-'[3]поточний ремонт'!AC57</f>
        <v>0</v>
      </c>
      <c r="AD57" s="43">
        <f>'[1]поточний ремонт'!AD57+'[2]поточний ремонт'!AD57-'[3]поточний ремонт'!AD57</f>
        <v>2198</v>
      </c>
      <c r="AE57" s="43">
        <f>'[1]поточний ремонт'!AE57+'[2]поточний ремонт'!AE57-'[3]поточний ремонт'!AE57</f>
        <v>847.14809329777677</v>
      </c>
      <c r="AF57" s="43">
        <f>'[1]поточний ремонт'!AF57+'[2]поточний ремонт'!AF57-'[3]поточний ремонт'!AF57</f>
        <v>0</v>
      </c>
      <c r="AG57" s="5"/>
      <c r="AH57" s="43">
        <f>'[1]поточний ремонт'!AH57+'[2]поточний ремонт'!AH57-'[3]поточний ремонт'!AH57</f>
        <v>1507.5776722241242</v>
      </c>
      <c r="AI57" s="43">
        <f>'[1]поточний ремонт'!AI57+'[2]поточний ремонт'!AI57-'[3]поточний ремонт'!AI57</f>
        <v>0</v>
      </c>
      <c r="AJ57" s="5"/>
      <c r="AK57" s="43">
        <f>'[1]поточний ремонт'!AK57+'[2]поточний ремонт'!AK57-'[3]поточний ремонт'!AK57</f>
        <v>1433.4987980214655</v>
      </c>
      <c r="AL57" s="43">
        <f>'[1]поточний ремонт'!AL57+'[2]поточний ремонт'!AL57-'[3]поточний ремонт'!AL57</f>
        <v>0</v>
      </c>
      <c r="AM57" s="5"/>
      <c r="AN57" s="43">
        <f>'[1]поточний ремонт'!AN57+'[2]поточний ремонт'!AN57-'[3]поточний ремонт'!AN57</f>
        <v>0</v>
      </c>
      <c r="AO57" s="43">
        <f>'[1]поточний ремонт'!AO57+'[2]поточний ремонт'!AO57-'[3]поточний ремонт'!AO57</f>
        <v>0</v>
      </c>
      <c r="AP57" s="5"/>
      <c r="AQ57" s="43">
        <f>'[1]поточний ремонт'!AQ57+'[2]поточний ремонт'!AQ57-'[3]поточний ремонт'!AQ57</f>
        <v>0</v>
      </c>
      <c r="AR57" s="43">
        <f>'[1]поточний ремонт'!AR57+'[2]поточний ремонт'!AR57-'[3]поточний ремонт'!AR57</f>
        <v>0</v>
      </c>
      <c r="AS57" s="5"/>
      <c r="AT57" s="43">
        <f>'[1]поточний ремонт'!AT57+'[2]поточний ремонт'!AT57-'[3]поточний ремонт'!AT57</f>
        <v>420.23637517991403</v>
      </c>
      <c r="AU57" s="43">
        <f>'[1]поточний ремонт'!AU57+'[2]поточний ремонт'!AU57-'[3]поточний ремонт'!AU57</f>
        <v>776.00711134960898</v>
      </c>
      <c r="AV57" s="5"/>
      <c r="AW57" s="43">
        <f>'[1]поточний ремонт'!AW57+'[2]поточний ремонт'!AW57-'[3]поточний ремонт'!AW57</f>
        <v>0</v>
      </c>
      <c r="AX57" s="43">
        <f>'[1]поточний ремонт'!AX57+'[2]поточний ремонт'!AX57-'[3]поточний ремонт'!AX57</f>
        <v>0</v>
      </c>
      <c r="AY57" s="5"/>
      <c r="AZ57" s="43">
        <f t="shared" si="2"/>
        <v>4208.4609387232804</v>
      </c>
      <c r="BA57" s="43">
        <f t="shared" si="3"/>
        <v>776.00711134960898</v>
      </c>
      <c r="BB57" s="59">
        <f t="shared" si="4"/>
        <v>-3432.4538273736716</v>
      </c>
      <c r="BD57" s="2">
        <v>2</v>
      </c>
      <c r="BF57" s="30">
        <v>2.6703425875177573</v>
      </c>
      <c r="BG57" s="328">
        <v>150000512</v>
      </c>
      <c r="BI57" s="107">
        <v>0</v>
      </c>
      <c r="BJ57" s="107">
        <f t="shared" si="5"/>
        <v>0</v>
      </c>
      <c r="BK57" s="107">
        <v>0</v>
      </c>
      <c r="BL57" s="39"/>
      <c r="BM57" s="3"/>
      <c r="BN57" s="3">
        <v>0</v>
      </c>
      <c r="BP57" s="3"/>
      <c r="BQ57" s="3"/>
      <c r="BS57" s="43"/>
      <c r="BT57" s="43">
        <v>0</v>
      </c>
      <c r="BU57" s="1037"/>
      <c r="BV57" s="42"/>
      <c r="BW57" s="43"/>
      <c r="BX57" s="37"/>
      <c r="BY57" s="78"/>
      <c r="BZ57" s="43">
        <v>0</v>
      </c>
      <c r="CA57" s="1038"/>
      <c r="CB57" s="42">
        <v>0</v>
      </c>
      <c r="CC57" s="42">
        <v>0</v>
      </c>
      <c r="CD57" s="1039"/>
      <c r="CE57" s="78">
        <v>0</v>
      </c>
      <c r="CF57" s="56"/>
      <c r="CG57" s="42">
        <v>0</v>
      </c>
      <c r="CH57" s="39">
        <v>0</v>
      </c>
      <c r="CI57" s="78">
        <v>0</v>
      </c>
      <c r="CJ57" s="56"/>
      <c r="CK57" s="1034"/>
      <c r="CL57" s="1029"/>
      <c r="CM57" s="1034"/>
      <c r="CN57" s="1029">
        <v>0</v>
      </c>
      <c r="CO57" s="78">
        <v>70.595674441481407</v>
      </c>
      <c r="CP57" s="43">
        <v>0</v>
      </c>
      <c r="CQ57" s="5"/>
      <c r="CR57" s="78">
        <v>125.6314726853437</v>
      </c>
      <c r="CS57" s="1033">
        <v>0</v>
      </c>
      <c r="CT57" s="5"/>
      <c r="CU57" s="78">
        <v>119.45823316845545</v>
      </c>
      <c r="CV57" s="43">
        <v>0</v>
      </c>
      <c r="CW57" s="5"/>
      <c r="CX57" s="78">
        <v>0</v>
      </c>
      <c r="CY57" s="43">
        <v>0</v>
      </c>
      <c r="CZ57" s="5"/>
      <c r="DA57" s="78">
        <v>0</v>
      </c>
      <c r="DB57" s="43">
        <v>602.73276355673079</v>
      </c>
      <c r="DC57" s="5"/>
      <c r="DD57" s="78">
        <v>35.019697931659508</v>
      </c>
      <c r="DE57" s="43">
        <v>0</v>
      </c>
      <c r="DF57" s="5"/>
      <c r="DG57" s="78">
        <v>0</v>
      </c>
      <c r="DH57" s="43"/>
      <c r="DI57" s="5"/>
      <c r="DJ57" s="43">
        <v>350.70507822694003</v>
      </c>
      <c r="DK57" s="43">
        <f t="shared" si="6"/>
        <v>602.73276355673079</v>
      </c>
      <c r="DL57" s="59">
        <f t="shared" si="7"/>
        <v>252.02768532979076</v>
      </c>
    </row>
    <row r="58" spans="1:116" ht="24.9" customHeight="1" x14ac:dyDescent="0.3">
      <c r="A58" s="328">
        <v>150000513</v>
      </c>
      <c r="B58" s="45" t="s">
        <v>333</v>
      </c>
      <c r="C58" s="1035">
        <v>6</v>
      </c>
      <c r="D58" s="1036" t="s">
        <v>454</v>
      </c>
      <c r="E58" s="1028">
        <f>'побудинковий звіт'!E56</f>
        <v>8063.9</v>
      </c>
      <c r="F58" s="1029">
        <f>'побудинковий звіт'!AS56</f>
        <v>47597.542873834485</v>
      </c>
      <c r="G58" s="1029">
        <f t="shared" si="0"/>
        <v>43018</v>
      </c>
      <c r="H58" s="1029">
        <f t="shared" si="1"/>
        <v>-4579.5428738344854</v>
      </c>
      <c r="I58" s="43">
        <f>'[1]поточний ремонт'!I58+'[2]поточний ремонт'!I58-'[3]поточний ремонт'!I58</f>
        <v>0</v>
      </c>
      <c r="J58" s="43">
        <f>'[1]поточний ремонт'!J58+'[2]поточний ремонт'!J58-'[3]поточний ремонт'!J58</f>
        <v>0</v>
      </c>
      <c r="K58" s="1037"/>
      <c r="L58" s="43">
        <f>'[1]поточний ремонт'!L58+'[2]поточний ремонт'!L58-'[3]поточний ремонт'!L58</f>
        <v>0</v>
      </c>
      <c r="M58" s="43">
        <f>'[1]поточний ремонт'!M58+'[2]поточний ремонт'!M58-'[3]поточний ремонт'!M58</f>
        <v>0</v>
      </c>
      <c r="N58" s="37"/>
      <c r="O58" s="43">
        <f>'[1]поточний ремонт'!O58+'[2]поточний ремонт'!O58-'[3]поточний ремонт'!O58</f>
        <v>0</v>
      </c>
      <c r="P58" s="43">
        <f>'[1]поточний ремонт'!P58+'[2]поточний ремонт'!P58-'[3]поточний ремонт'!P58</f>
        <v>0</v>
      </c>
      <c r="Q58" s="1038"/>
      <c r="R58" s="43">
        <f>'[1]поточний ремонт'!R58+'[2]поточний ремонт'!R58-'[3]поточний ремонт'!R58</f>
        <v>0</v>
      </c>
      <c r="S58" s="43">
        <f>'[1]поточний ремонт'!S58+'[2]поточний ремонт'!S58-'[3]поточний ремонт'!S58</f>
        <v>0</v>
      </c>
      <c r="T58" s="1039"/>
      <c r="U58" s="43">
        <f>'[1]поточний ремонт'!U58+'[2]поточний ремонт'!U58-'[3]поточний ремонт'!U58</f>
        <v>0</v>
      </c>
      <c r="V58" s="43">
        <f>'[1]поточний ремонт'!V58+'[2]поточний ремонт'!V58-'[3]поточний ремонт'!V58</f>
        <v>0</v>
      </c>
      <c r="W58" s="43">
        <f>'[1]поточний ремонт'!W58+'[2]поточний ремонт'!W58-'[3]поточний ремонт'!W58</f>
        <v>0</v>
      </c>
      <c r="X58" s="43">
        <f>'[1]поточний ремонт'!X58+'[2]поточний ремонт'!X58-'[3]поточний ремонт'!X58</f>
        <v>0</v>
      </c>
      <c r="Y58" s="43">
        <f>'[1]поточний ремонт'!Y58+'[2]поточний ремонт'!Y58-'[3]поточний ремонт'!Y58</f>
        <v>37470</v>
      </c>
      <c r="Z58" s="43">
        <f>'[1]поточний ремонт'!Z58+'[2]поточний ремонт'!Z58-'[3]поточний ремонт'!Z58</f>
        <v>0</v>
      </c>
      <c r="AA58" s="43">
        <f>'[1]поточний ремонт'!AA58+'[2]поточний ремонт'!AA58-'[3]поточний ремонт'!AA58</f>
        <v>0</v>
      </c>
      <c r="AB58" s="43">
        <f>'[1]поточний ремонт'!AB58+'[2]поточний ремонт'!AB58-'[3]поточний ремонт'!AB58</f>
        <v>693</v>
      </c>
      <c r="AC58" s="43">
        <f>'[1]поточний ремонт'!AC58+'[2]поточний ремонт'!AC58-'[3]поточний ремонт'!AC58</f>
        <v>0</v>
      </c>
      <c r="AD58" s="43">
        <f>'[1]поточний ремонт'!AD58+'[2]поточний ремонт'!AD58-'[3]поточний ремонт'!AD58</f>
        <v>4855</v>
      </c>
      <c r="AE58" s="43">
        <f>'[1]поточний ремонт'!AE58+'[2]поточний ремонт'!AE58-'[3]поточний ремонт'!AE58</f>
        <v>1526.2000276066615</v>
      </c>
      <c r="AF58" s="43">
        <f>'[1]поточний ремонт'!AF58+'[2]поточний ремонт'!AF58-'[3]поточний ремонт'!AF58</f>
        <v>1603</v>
      </c>
      <c r="AG58" s="5"/>
      <c r="AH58" s="43">
        <f>'[1]поточний ремонт'!AH58+'[2]поточний ремонт'!AH58-'[3]поточний ремонт'!AH58</f>
        <v>2085.0176936307607</v>
      </c>
      <c r="AI58" s="43">
        <f>'[1]поточний ремонт'!AI58+'[2]поточний ремонт'!AI58-'[3]поточний ремонт'!AI58</f>
        <v>4830</v>
      </c>
      <c r="AJ58" s="5"/>
      <c r="AK58" s="43">
        <f>'[1]поточний ремонт'!AK58+'[2]поточний ремонт'!AK58-'[3]поточний ремонт'!AK58</f>
        <v>2571.9076560052531</v>
      </c>
      <c r="AL58" s="43">
        <f>'[1]поточний ремонт'!AL58+'[2]поточний ремонт'!AL58-'[3]поточний ремонт'!AL58</f>
        <v>0</v>
      </c>
      <c r="AM58" s="5"/>
      <c r="AN58" s="43">
        <f>'[1]поточний ремонт'!AN58+'[2]поточний ремонт'!AN58-'[3]поточний ремонт'!AN58</f>
        <v>984.69261566631781</v>
      </c>
      <c r="AO58" s="43">
        <f>'[1]поточний ремонт'!AO58+'[2]поточний ремонт'!AO58-'[3]поточний ремонт'!AO58</f>
        <v>0</v>
      </c>
      <c r="AP58" s="5"/>
      <c r="AQ58" s="43">
        <f>'[1]поточний ремонт'!AQ58+'[2]поточний ремонт'!AQ58-'[3]поточний ремонт'!AQ58</f>
        <v>413.87553964728585</v>
      </c>
      <c r="AR58" s="43">
        <f>'[1]поточний ремонт'!AR58+'[2]поточний ремонт'!AR58-'[3]поточний ремонт'!AR58</f>
        <v>0</v>
      </c>
      <c r="AS58" s="5"/>
      <c r="AT58" s="43">
        <f>'[1]поточний ремонт'!AT58+'[2]поточний ремонт'!AT58-'[3]поточний ремонт'!AT58</f>
        <v>442.51900014871444</v>
      </c>
      <c r="AU58" s="43">
        <f>'[1]поточний ремонт'!AU58+'[2]поточний ремонт'!AU58-'[3]поточний ремонт'!AU58</f>
        <v>17224</v>
      </c>
      <c r="AV58" s="5"/>
      <c r="AW58" s="43">
        <f>'[1]поточний ремонт'!AW58+'[2]поточний ремонт'!AW58-'[3]поточний ремонт'!AW58</f>
        <v>0</v>
      </c>
      <c r="AX58" s="43">
        <f>'[1]поточний ремонт'!AX58+'[2]поточний ремонт'!AX58-'[3]поточний ремонт'!AX58</f>
        <v>0</v>
      </c>
      <c r="AY58" s="5"/>
      <c r="AZ58" s="43">
        <f t="shared" si="2"/>
        <v>8024.2125327049935</v>
      </c>
      <c r="BA58" s="43">
        <f t="shared" si="3"/>
        <v>23657</v>
      </c>
      <c r="BB58" s="59">
        <f t="shared" si="4"/>
        <v>15632.787467295006</v>
      </c>
      <c r="BD58" s="2">
        <v>2</v>
      </c>
      <c r="BF58" s="30">
        <v>5.2512988782811059</v>
      </c>
      <c r="BG58" s="328">
        <v>150000513</v>
      </c>
      <c r="BI58" s="107">
        <v>0</v>
      </c>
      <c r="BJ58" s="107">
        <f t="shared" si="5"/>
        <v>0</v>
      </c>
      <c r="BK58" s="107">
        <v>0</v>
      </c>
      <c r="BL58" s="39"/>
      <c r="BM58" s="3"/>
      <c r="BN58" s="3">
        <v>0</v>
      </c>
      <c r="BP58" s="3"/>
      <c r="BQ58" s="3"/>
      <c r="BS58" s="43"/>
      <c r="BT58" s="43">
        <v>0</v>
      </c>
      <c r="BU58" s="1037"/>
      <c r="BV58" s="42"/>
      <c r="BW58" s="43"/>
      <c r="BX58" s="37"/>
      <c r="BY58" s="78"/>
      <c r="BZ58" s="43">
        <v>0</v>
      </c>
      <c r="CA58" s="1038"/>
      <c r="CB58" s="42">
        <v>0</v>
      </c>
      <c r="CC58" s="42">
        <v>0</v>
      </c>
      <c r="CD58" s="1039"/>
      <c r="CE58" s="78">
        <v>0</v>
      </c>
      <c r="CF58" s="56"/>
      <c r="CG58" s="42">
        <v>0</v>
      </c>
      <c r="CH58" s="39">
        <v>0</v>
      </c>
      <c r="CI58" s="78">
        <v>12574.847177704429</v>
      </c>
      <c r="CJ58" s="56"/>
      <c r="CK58" s="1034"/>
      <c r="CL58" s="1029"/>
      <c r="CM58" s="1034"/>
      <c r="CN58" s="1029">
        <v>0</v>
      </c>
      <c r="CO58" s="78">
        <v>127.18333563388848</v>
      </c>
      <c r="CP58" s="43">
        <v>0</v>
      </c>
      <c r="CQ58" s="5"/>
      <c r="CR58" s="78">
        <v>173.75147446923006</v>
      </c>
      <c r="CS58" s="1033">
        <v>0</v>
      </c>
      <c r="CT58" s="5"/>
      <c r="CU58" s="78">
        <v>214.32563800043778</v>
      </c>
      <c r="CV58" s="43">
        <v>0</v>
      </c>
      <c r="CW58" s="5"/>
      <c r="CX58" s="78">
        <v>82.057717972193146</v>
      </c>
      <c r="CY58" s="43">
        <v>0</v>
      </c>
      <c r="CZ58" s="5"/>
      <c r="DA58" s="78">
        <v>34.489628303940485</v>
      </c>
      <c r="DB58" s="43">
        <v>0</v>
      </c>
      <c r="DC58" s="5"/>
      <c r="DD58" s="78">
        <v>36.876583345726203</v>
      </c>
      <c r="DE58" s="43">
        <v>0</v>
      </c>
      <c r="DF58" s="5"/>
      <c r="DG58" s="78">
        <v>0</v>
      </c>
      <c r="DH58" s="43"/>
      <c r="DI58" s="5"/>
      <c r="DJ58" s="43">
        <v>668.68437772541608</v>
      </c>
      <c r="DK58" s="43">
        <f t="shared" si="6"/>
        <v>0</v>
      </c>
      <c r="DL58" s="59">
        <f t="shared" si="7"/>
        <v>-668.68437772541608</v>
      </c>
    </row>
    <row r="59" spans="1:116" ht="24.9" customHeight="1" x14ac:dyDescent="0.3">
      <c r="A59" s="328">
        <v>150000538</v>
      </c>
      <c r="B59" s="45" t="s">
        <v>207</v>
      </c>
      <c r="C59" s="1035">
        <v>4</v>
      </c>
      <c r="D59" s="1036" t="s">
        <v>454</v>
      </c>
      <c r="E59" s="1028">
        <f>'побудинковий звіт'!E57</f>
        <v>3261</v>
      </c>
      <c r="F59" s="1029">
        <f>'побудинковий звіт'!AS57</f>
        <v>15433.091090135724</v>
      </c>
      <c r="G59" s="1029">
        <f t="shared" si="0"/>
        <v>5308</v>
      </c>
      <c r="H59" s="1029">
        <f t="shared" si="1"/>
        <v>-10125.091090135724</v>
      </c>
      <c r="I59" s="43">
        <f>'[1]поточний ремонт'!I59+'[2]поточний ремонт'!I59-'[3]поточний ремонт'!I59</f>
        <v>0</v>
      </c>
      <c r="J59" s="43">
        <f>'[1]поточний ремонт'!J59+'[2]поточний ремонт'!J59-'[3]поточний ремонт'!J59</f>
        <v>0</v>
      </c>
      <c r="K59" s="1037"/>
      <c r="L59" s="43">
        <f>'[1]поточний ремонт'!L59+'[2]поточний ремонт'!L59-'[3]поточний ремонт'!L59</f>
        <v>0</v>
      </c>
      <c r="M59" s="43">
        <f>'[1]поточний ремонт'!M59+'[2]поточний ремонт'!M59-'[3]поточний ремонт'!M59</f>
        <v>0</v>
      </c>
      <c r="N59" s="37"/>
      <c r="O59" s="43">
        <f>'[1]поточний ремонт'!O59+'[2]поточний ремонт'!O59-'[3]поточний ремонт'!O59</f>
        <v>0</v>
      </c>
      <c r="P59" s="43">
        <f>'[1]поточний ремонт'!P59+'[2]поточний ремонт'!P59-'[3]поточний ремонт'!P59</f>
        <v>0</v>
      </c>
      <c r="Q59" s="1038"/>
      <c r="R59" s="43">
        <f>'[1]поточний ремонт'!R59+'[2]поточний ремонт'!R59-'[3]поточний ремонт'!R59</f>
        <v>0</v>
      </c>
      <c r="S59" s="43">
        <f>'[1]поточний ремонт'!S59+'[2]поточний ремонт'!S59-'[3]поточний ремонт'!S59</f>
        <v>0</v>
      </c>
      <c r="T59" s="1039"/>
      <c r="U59" s="43">
        <f>'[1]поточний ремонт'!U59+'[2]поточний ремонт'!U59-'[3]поточний ремонт'!U59</f>
        <v>0</v>
      </c>
      <c r="V59" s="43">
        <f>'[1]поточний ремонт'!V59+'[2]поточний ремонт'!V59-'[3]поточний ремонт'!V59</f>
        <v>0</v>
      </c>
      <c r="W59" s="43">
        <f>'[1]поточний ремонт'!W59+'[2]поточний ремонт'!W59-'[3]поточний ремонт'!W59</f>
        <v>0</v>
      </c>
      <c r="X59" s="43">
        <f>'[1]поточний ремонт'!X59+'[2]поточний ремонт'!X59-'[3]поточний ремонт'!X59</f>
        <v>0</v>
      </c>
      <c r="Y59" s="43">
        <f>'[1]поточний ремонт'!Y59+'[2]поточний ремонт'!Y59-'[3]поточний ремонт'!Y59</f>
        <v>3865</v>
      </c>
      <c r="Z59" s="43">
        <f>'[1]поточний ремонт'!Z59+'[2]поточний ремонт'!Z59-'[3]поточний ремонт'!Z59</f>
        <v>0</v>
      </c>
      <c r="AA59" s="43">
        <f>'[1]поточний ремонт'!AA59+'[2]поточний ремонт'!AA59-'[3]поточний ремонт'!AA59</f>
        <v>0</v>
      </c>
      <c r="AB59" s="43">
        <f>'[1]поточний ремонт'!AB59+'[2]поточний ремонт'!AB59-'[3]поточний ремонт'!AB59</f>
        <v>0</v>
      </c>
      <c r="AC59" s="43">
        <f>'[1]поточний ремонт'!AC59+'[2]поточний ремонт'!AC59-'[3]поточний ремонт'!AC59</f>
        <v>0</v>
      </c>
      <c r="AD59" s="43">
        <f>'[1]поточний ремонт'!AD59+'[2]поточний ремонт'!AD59-'[3]поточний ремонт'!AD59</f>
        <v>1443</v>
      </c>
      <c r="AE59" s="43">
        <f>'[1]поточний ремонт'!AE59+'[2]поточний ремонт'!AE59-'[3]поточний ремонт'!AE59</f>
        <v>747.42372480879703</v>
      </c>
      <c r="AF59" s="43">
        <f>'[1]поточний ремонт'!AF59+'[2]поточний ремонт'!AF59-'[3]поточний ремонт'!AF59</f>
        <v>0</v>
      </c>
      <c r="AG59" s="5"/>
      <c r="AH59" s="43">
        <f>'[1]поточний ремонт'!AH59+'[2]поточний ремонт'!AH59-'[3]поточний ремонт'!AH59</f>
        <v>921.68889404320203</v>
      </c>
      <c r="AI59" s="43">
        <f>'[1]поточний ремонт'!AI59+'[2]поточний ремонт'!AI59-'[3]поточний ремонт'!AI59</f>
        <v>0</v>
      </c>
      <c r="AJ59" s="5"/>
      <c r="AK59" s="43">
        <f>'[1]поточний ремонт'!AK59+'[2]поточний ремонт'!AK59-'[3]поточний ремонт'!AK59</f>
        <v>1124.3885378347391</v>
      </c>
      <c r="AL59" s="43">
        <f>'[1]поточний ремонт'!AL59+'[2]поточний ремонт'!AL59-'[3]поточний ремонт'!AL59</f>
        <v>0</v>
      </c>
      <c r="AM59" s="5"/>
      <c r="AN59" s="43">
        <f>'[1]поточний ремонт'!AN59+'[2]поточний ремонт'!AN59-'[3]поточний ремонт'!AN59</f>
        <v>0</v>
      </c>
      <c r="AO59" s="43">
        <f>'[1]поточний ремонт'!AO59+'[2]поточний ремонт'!AO59-'[3]поточний ремонт'!AO59</f>
        <v>0</v>
      </c>
      <c r="AP59" s="5"/>
      <c r="AQ59" s="43">
        <f>'[1]поточний ремонт'!AQ59+'[2]поточний ремонт'!AQ59-'[3]поточний ремонт'!AQ59</f>
        <v>0</v>
      </c>
      <c r="AR59" s="43">
        <f>'[1]поточний ремонт'!AR59+'[2]поточний ремонт'!AR59-'[3]поточний ремонт'!AR59</f>
        <v>0</v>
      </c>
      <c r="AS59" s="5"/>
      <c r="AT59" s="43">
        <f>'[1]поточний ремонт'!AT59+'[2]поточний ремонт'!AT59-'[3]поточний ремонт'!AT59</f>
        <v>360.33684092152436</v>
      </c>
      <c r="AU59" s="43">
        <f>'[1]поточний ремонт'!AU59+'[2]поточний ремонт'!AU59-'[3]поточний ремонт'!AU59</f>
        <v>1506</v>
      </c>
      <c r="AV59" s="5"/>
      <c r="AW59" s="43">
        <f>'[1]поточний ремонт'!AW59+'[2]поточний ремонт'!AW59-'[3]поточний ремонт'!AW59</f>
        <v>0</v>
      </c>
      <c r="AX59" s="43">
        <f>'[1]поточний ремонт'!AX59+'[2]поточний ремонт'!AX59-'[3]поточний ремонт'!AX59</f>
        <v>0</v>
      </c>
      <c r="AY59" s="5"/>
      <c r="AZ59" s="43">
        <f t="shared" si="2"/>
        <v>3153.8379976082624</v>
      </c>
      <c r="BA59" s="43">
        <f t="shared" si="3"/>
        <v>1506</v>
      </c>
      <c r="BB59" s="59">
        <f t="shared" si="4"/>
        <v>-1647.8379976082624</v>
      </c>
      <c r="BD59" s="2">
        <v>2</v>
      </c>
      <c r="BF59" s="30">
        <v>2.1460014023080682</v>
      </c>
      <c r="BG59" s="328">
        <v>150000538</v>
      </c>
      <c r="BI59" s="107">
        <v>0</v>
      </c>
      <c r="BJ59" s="107">
        <f t="shared" si="5"/>
        <v>0</v>
      </c>
      <c r="BK59" s="107">
        <v>0</v>
      </c>
      <c r="BL59" s="39"/>
      <c r="BM59" s="3"/>
      <c r="BN59" s="3">
        <v>0</v>
      </c>
      <c r="BP59" s="3"/>
      <c r="BQ59" s="3"/>
      <c r="BS59" s="43"/>
      <c r="BT59" s="43">
        <v>0</v>
      </c>
      <c r="BU59" s="1037"/>
      <c r="BV59" s="42"/>
      <c r="BW59" s="43"/>
      <c r="BX59" s="37"/>
      <c r="BY59" s="78"/>
      <c r="BZ59" s="43">
        <v>0</v>
      </c>
      <c r="CA59" s="1038"/>
      <c r="CB59" s="42">
        <v>0</v>
      </c>
      <c r="CC59" s="42">
        <v>0</v>
      </c>
      <c r="CD59" s="1039"/>
      <c r="CE59" s="78">
        <v>0</v>
      </c>
      <c r="CF59" s="56"/>
      <c r="CG59" s="42">
        <v>0</v>
      </c>
      <c r="CH59" s="39">
        <v>0</v>
      </c>
      <c r="CI59" s="78">
        <v>0</v>
      </c>
      <c r="CJ59" s="56"/>
      <c r="CK59" s="1034"/>
      <c r="CL59" s="1029"/>
      <c r="CM59" s="1034"/>
      <c r="CN59" s="1029">
        <v>0</v>
      </c>
      <c r="CO59" s="78">
        <v>62.285310400733074</v>
      </c>
      <c r="CP59" s="43">
        <v>0</v>
      </c>
      <c r="CQ59" s="5"/>
      <c r="CR59" s="78">
        <v>76.807407836933493</v>
      </c>
      <c r="CS59" s="1033">
        <v>0</v>
      </c>
      <c r="CT59" s="5"/>
      <c r="CU59" s="78">
        <v>93.699044819561607</v>
      </c>
      <c r="CV59" s="43">
        <v>0</v>
      </c>
      <c r="CW59" s="5"/>
      <c r="CX59" s="78">
        <v>0</v>
      </c>
      <c r="CY59" s="43">
        <v>0</v>
      </c>
      <c r="CZ59" s="5"/>
      <c r="DA59" s="78">
        <v>0</v>
      </c>
      <c r="DB59" s="43">
        <v>0</v>
      </c>
      <c r="DC59" s="5"/>
      <c r="DD59" s="78">
        <v>30.028070076793693</v>
      </c>
      <c r="DE59" s="43">
        <v>0</v>
      </c>
      <c r="DF59" s="5"/>
      <c r="DG59" s="78">
        <v>0</v>
      </c>
      <c r="DH59" s="43"/>
      <c r="DI59" s="5"/>
      <c r="DJ59" s="43">
        <v>262.81983313402185</v>
      </c>
      <c r="DK59" s="43">
        <f t="shared" si="6"/>
        <v>0</v>
      </c>
      <c r="DL59" s="59">
        <f t="shared" si="7"/>
        <v>-262.81983313402185</v>
      </c>
    </row>
    <row r="60" spans="1:116" ht="24.9" customHeight="1" x14ac:dyDescent="0.3">
      <c r="A60" s="328">
        <v>150000514</v>
      </c>
      <c r="B60" s="45" t="s">
        <v>151</v>
      </c>
      <c r="C60" s="1035">
        <v>2</v>
      </c>
      <c r="D60" s="1036" t="s">
        <v>454</v>
      </c>
      <c r="E60" s="1028">
        <f>'побудинковий звіт'!E58</f>
        <v>244.2</v>
      </c>
      <c r="F60" s="1029">
        <f>'побудинковий звіт'!AS58</f>
        <v>5044.8335530023296</v>
      </c>
      <c r="G60" s="1029">
        <f t="shared" si="0"/>
        <v>0</v>
      </c>
      <c r="H60" s="1029">
        <f t="shared" si="1"/>
        <v>-5044.8335530023296</v>
      </c>
      <c r="I60" s="43">
        <f>'[1]поточний ремонт'!I60+'[2]поточний ремонт'!I60-'[3]поточний ремонт'!I60</f>
        <v>0</v>
      </c>
      <c r="J60" s="43">
        <f>'[1]поточний ремонт'!J60+'[2]поточний ремонт'!J60-'[3]поточний ремонт'!J60</f>
        <v>0</v>
      </c>
      <c r="K60" s="1037"/>
      <c r="L60" s="43">
        <f>'[1]поточний ремонт'!L60+'[2]поточний ремонт'!L60-'[3]поточний ремонт'!L60</f>
        <v>0</v>
      </c>
      <c r="M60" s="43">
        <f>'[1]поточний ремонт'!M60+'[2]поточний ремонт'!M60-'[3]поточний ремонт'!M60</f>
        <v>0</v>
      </c>
      <c r="N60" s="37"/>
      <c r="O60" s="43">
        <f>'[1]поточний ремонт'!O60+'[2]поточний ремонт'!O60-'[3]поточний ремонт'!O60</f>
        <v>0</v>
      </c>
      <c r="P60" s="43">
        <f>'[1]поточний ремонт'!P60+'[2]поточний ремонт'!P60-'[3]поточний ремонт'!P60</f>
        <v>0</v>
      </c>
      <c r="Q60" s="1038"/>
      <c r="R60" s="43">
        <f>'[1]поточний ремонт'!R60+'[2]поточний ремонт'!R60-'[3]поточний ремонт'!R60</f>
        <v>0</v>
      </c>
      <c r="S60" s="43">
        <f>'[1]поточний ремонт'!S60+'[2]поточний ремонт'!S60-'[3]поточний ремонт'!S60</f>
        <v>0</v>
      </c>
      <c r="T60" s="1039"/>
      <c r="U60" s="43">
        <f>'[1]поточний ремонт'!U60+'[2]поточний ремонт'!U60-'[3]поточний ремонт'!U60</f>
        <v>0</v>
      </c>
      <c r="V60" s="43">
        <f>'[1]поточний ремонт'!V60+'[2]поточний ремонт'!V60-'[3]поточний ремонт'!V60</f>
        <v>0</v>
      </c>
      <c r="W60" s="43">
        <f>'[1]поточний ремонт'!W60+'[2]поточний ремонт'!W60-'[3]поточний ремонт'!W60</f>
        <v>0</v>
      </c>
      <c r="X60" s="43">
        <f>'[1]поточний ремонт'!X60+'[2]поточний ремонт'!X60-'[3]поточний ремонт'!X60</f>
        <v>0</v>
      </c>
      <c r="Y60" s="43">
        <f>'[1]поточний ремонт'!Y60+'[2]поточний ремонт'!Y60-'[3]поточний ремонт'!Y60</f>
        <v>0</v>
      </c>
      <c r="Z60" s="43">
        <f>'[1]поточний ремонт'!Z60+'[2]поточний ремонт'!Z60-'[3]поточний ремонт'!Z60</f>
        <v>0</v>
      </c>
      <c r="AA60" s="43">
        <f>'[1]поточний ремонт'!AA60+'[2]поточний ремонт'!AA60-'[3]поточний ремонт'!AA60</f>
        <v>0</v>
      </c>
      <c r="AB60" s="43">
        <f>'[1]поточний ремонт'!AB60+'[2]поточний ремонт'!AB60-'[3]поточний ремонт'!AB60</f>
        <v>0</v>
      </c>
      <c r="AC60" s="43">
        <f>'[1]поточний ремонт'!AC60+'[2]поточний ремонт'!AC60-'[3]поточний ремонт'!AC60</f>
        <v>0</v>
      </c>
      <c r="AD60" s="43">
        <f>'[1]поточний ремонт'!AD60+'[2]поточний ремонт'!AD60-'[3]поточний ремонт'!AD60</f>
        <v>0</v>
      </c>
      <c r="AE60" s="43">
        <f>'[1]поточний ремонт'!AE60+'[2]поточний ремонт'!AE60-'[3]поточний ремонт'!AE60</f>
        <v>310.766771672652</v>
      </c>
      <c r="AF60" s="43">
        <f>'[1]поточний ремонт'!AF60+'[2]поточний ремонт'!AF60-'[3]поточний ремонт'!AF60</f>
        <v>0</v>
      </c>
      <c r="AG60" s="5"/>
      <c r="AH60" s="43">
        <f>'[1]поточний ремонт'!AH60+'[2]поточний ремонт'!AH60-'[3]поточний ремонт'!AH60</f>
        <v>369.30487862550513</v>
      </c>
      <c r="AI60" s="43">
        <f>'[1]поточний ремонт'!AI60+'[2]поточний ремонт'!AI60-'[3]поточний ремонт'!AI60</f>
        <v>0</v>
      </c>
      <c r="AJ60" s="5"/>
      <c r="AK60" s="43">
        <f>'[1]поточний ремонт'!AK60+'[2]поточний ремонт'!AK60-'[3]поточний ремонт'!AK60</f>
        <v>72.621968049984375</v>
      </c>
      <c r="AL60" s="43">
        <f>'[1]поточний ремонт'!AL60+'[2]поточний ремонт'!AL60-'[3]поточний ремонт'!AL60</f>
        <v>0</v>
      </c>
      <c r="AM60" s="5"/>
      <c r="AN60" s="43">
        <f>'[1]поточний ремонт'!AN60+'[2]поточний ремонт'!AN60-'[3]поточний ремонт'!AN60</f>
        <v>0</v>
      </c>
      <c r="AO60" s="43">
        <f>'[1]поточний ремонт'!AO60+'[2]поточний ремонт'!AO60-'[3]поточний ремонт'!AO60</f>
        <v>0</v>
      </c>
      <c r="AP60" s="5"/>
      <c r="AQ60" s="43">
        <f>'[1]поточний ремонт'!AQ60+'[2]поточний ремонт'!AQ60-'[3]поточний ремонт'!AQ60</f>
        <v>0</v>
      </c>
      <c r="AR60" s="43">
        <f>'[1]поточний ремонт'!AR60+'[2]поточний ремонт'!AR60-'[3]поточний ремонт'!AR60</f>
        <v>0</v>
      </c>
      <c r="AS60" s="5"/>
      <c r="AT60" s="43">
        <f>'[1]поточний ремонт'!AT60+'[2]поточний ремонт'!AT60-'[3]поточний ремонт'!AT60</f>
        <v>78.787193100235982</v>
      </c>
      <c r="AU60" s="43">
        <f>'[1]поточний ремонт'!AU60+'[2]поточний ремонт'!AU60-'[3]поточний ремонт'!AU60</f>
        <v>0</v>
      </c>
      <c r="AV60" s="5"/>
      <c r="AW60" s="43">
        <f>'[1]поточний ремонт'!AW60+'[2]поточний ремонт'!AW60-'[3]поточний ремонт'!AW60</f>
        <v>0</v>
      </c>
      <c r="AX60" s="43">
        <f>'[1]поточний ремонт'!AX60+'[2]поточний ремонт'!AX60-'[3]поточний ремонт'!AX60</f>
        <v>0</v>
      </c>
      <c r="AY60" s="5"/>
      <c r="AZ60" s="43">
        <f t="shared" si="2"/>
        <v>831.48081144837749</v>
      </c>
      <c r="BA60" s="43">
        <f t="shared" si="3"/>
        <v>0</v>
      </c>
      <c r="BB60" s="59">
        <f t="shared" si="4"/>
        <v>-831.48081144837749</v>
      </c>
      <c r="BD60" s="2">
        <v>2</v>
      </c>
      <c r="BF60" s="30">
        <v>0.37025206253664689</v>
      </c>
      <c r="BG60" s="328">
        <v>150000514</v>
      </c>
      <c r="BI60" s="107">
        <v>0</v>
      </c>
      <c r="BJ60" s="107">
        <f t="shared" si="5"/>
        <v>0</v>
      </c>
      <c r="BK60" s="107">
        <v>0</v>
      </c>
      <c r="BL60" s="39"/>
      <c r="BM60" s="3"/>
      <c r="BN60" s="3">
        <v>0</v>
      </c>
      <c r="BP60" s="3"/>
      <c r="BQ60" s="3"/>
      <c r="BS60" s="43"/>
      <c r="BT60" s="43">
        <v>0</v>
      </c>
      <c r="BU60" s="1037"/>
      <c r="BV60" s="42"/>
      <c r="BW60" s="43"/>
      <c r="BX60" s="37"/>
      <c r="BY60" s="78"/>
      <c r="BZ60" s="43">
        <v>0</v>
      </c>
      <c r="CA60" s="1038"/>
      <c r="CB60" s="42">
        <v>0</v>
      </c>
      <c r="CC60" s="42">
        <v>0</v>
      </c>
      <c r="CD60" s="1039"/>
      <c r="CE60" s="78">
        <v>0</v>
      </c>
      <c r="CF60" s="56"/>
      <c r="CG60" s="42">
        <v>0</v>
      </c>
      <c r="CH60" s="39">
        <v>0</v>
      </c>
      <c r="CI60" s="78">
        <v>0</v>
      </c>
      <c r="CJ60" s="56"/>
      <c r="CK60" s="1034"/>
      <c r="CL60" s="1029"/>
      <c r="CM60" s="1034"/>
      <c r="CN60" s="1029">
        <v>0</v>
      </c>
      <c r="CO60" s="78">
        <v>25.897230972721005</v>
      </c>
      <c r="CP60" s="43">
        <v>0</v>
      </c>
      <c r="CQ60" s="5"/>
      <c r="CR60" s="78">
        <v>30.775406552125418</v>
      </c>
      <c r="CS60" s="1033">
        <v>0</v>
      </c>
      <c r="CT60" s="5"/>
      <c r="CU60" s="78">
        <v>6.0518306708320306</v>
      </c>
      <c r="CV60" s="43">
        <v>0</v>
      </c>
      <c r="CW60" s="5"/>
      <c r="CX60" s="78">
        <v>0</v>
      </c>
      <c r="CY60" s="43">
        <v>0</v>
      </c>
      <c r="CZ60" s="5"/>
      <c r="DA60" s="78">
        <v>0</v>
      </c>
      <c r="DB60" s="43">
        <v>0</v>
      </c>
      <c r="DC60" s="5"/>
      <c r="DD60" s="78">
        <v>6.5655994250196654</v>
      </c>
      <c r="DE60" s="43">
        <v>0</v>
      </c>
      <c r="DF60" s="5"/>
      <c r="DG60" s="78">
        <v>0</v>
      </c>
      <c r="DH60" s="43"/>
      <c r="DI60" s="5"/>
      <c r="DJ60" s="43">
        <v>69.290067620698125</v>
      </c>
      <c r="DK60" s="43">
        <f t="shared" si="6"/>
        <v>0</v>
      </c>
      <c r="DL60" s="59">
        <f t="shared" si="7"/>
        <v>-69.290067620698125</v>
      </c>
    </row>
    <row r="61" spans="1:116" ht="24.9" customHeight="1" x14ac:dyDescent="0.3">
      <c r="A61" s="328">
        <v>150000515</v>
      </c>
      <c r="B61" s="45" t="s">
        <v>53</v>
      </c>
      <c r="C61" s="1035">
        <v>1</v>
      </c>
      <c r="D61" s="1036" t="s">
        <v>454</v>
      </c>
      <c r="E61" s="1028">
        <f>'побудинковий звіт'!E59</f>
        <v>323.7</v>
      </c>
      <c r="F61" s="1029">
        <f>'побудинковий звіт'!AS59</f>
        <v>2698.0842763878818</v>
      </c>
      <c r="G61" s="1029">
        <f t="shared" si="0"/>
        <v>1427</v>
      </c>
      <c r="H61" s="1029">
        <f t="shared" si="1"/>
        <v>-1271.0842763878818</v>
      </c>
      <c r="I61" s="43">
        <f>'[1]поточний ремонт'!I61+'[2]поточний ремонт'!I61-'[3]поточний ремонт'!I61</f>
        <v>0</v>
      </c>
      <c r="J61" s="43">
        <f>'[1]поточний ремонт'!J61+'[2]поточний ремонт'!J61-'[3]поточний ремонт'!J61</f>
        <v>0</v>
      </c>
      <c r="K61" s="1037"/>
      <c r="L61" s="43">
        <f>'[1]поточний ремонт'!L61+'[2]поточний ремонт'!L61-'[3]поточний ремонт'!L61</f>
        <v>0</v>
      </c>
      <c r="M61" s="43">
        <f>'[1]поточний ремонт'!M61+'[2]поточний ремонт'!M61-'[3]поточний ремонт'!M61</f>
        <v>0</v>
      </c>
      <c r="N61" s="37"/>
      <c r="O61" s="43">
        <f>'[1]поточний ремонт'!O61+'[2]поточний ремонт'!O61-'[3]поточний ремонт'!O61</f>
        <v>0</v>
      </c>
      <c r="P61" s="43">
        <f>'[1]поточний ремонт'!P61+'[2]поточний ремонт'!P61-'[3]поточний ремонт'!P61</f>
        <v>0</v>
      </c>
      <c r="Q61" s="1038"/>
      <c r="R61" s="43">
        <f>'[1]поточний ремонт'!R61+'[2]поточний ремонт'!R61-'[3]поточний ремонт'!R61</f>
        <v>0</v>
      </c>
      <c r="S61" s="43">
        <f>'[1]поточний ремонт'!S61+'[2]поточний ремонт'!S61-'[3]поточний ремонт'!S61</f>
        <v>0</v>
      </c>
      <c r="T61" s="1039"/>
      <c r="U61" s="43">
        <f>'[1]поточний ремонт'!U61+'[2]поточний ремонт'!U61-'[3]поточний ремонт'!U61</f>
        <v>0</v>
      </c>
      <c r="V61" s="43">
        <f>'[1]поточний ремонт'!V61+'[2]поточний ремонт'!V61-'[3]поточний ремонт'!V61</f>
        <v>0</v>
      </c>
      <c r="W61" s="43">
        <f>'[1]поточний ремонт'!W61+'[2]поточний ремонт'!W61-'[3]поточний ремонт'!W61</f>
        <v>0</v>
      </c>
      <c r="X61" s="43">
        <f>'[1]поточний ремонт'!X61+'[2]поточний ремонт'!X61-'[3]поточний ремонт'!X61</f>
        <v>0</v>
      </c>
      <c r="Y61" s="43">
        <f>'[1]поточний ремонт'!Y61+'[2]поточний ремонт'!Y61-'[3]поточний ремонт'!Y61</f>
        <v>0</v>
      </c>
      <c r="Z61" s="43">
        <f>'[1]поточний ремонт'!Z61+'[2]поточний ремонт'!Z61-'[3]поточний ремонт'!Z61</f>
        <v>0</v>
      </c>
      <c r="AA61" s="43">
        <f>'[1]поточний ремонт'!AA61+'[2]поточний ремонт'!AA61-'[3]поточний ремонт'!AA61</f>
        <v>1427</v>
      </c>
      <c r="AB61" s="43">
        <f>'[1]поточний ремонт'!AB61+'[2]поточний ремонт'!AB61-'[3]поточний ремонт'!AB61</f>
        <v>0</v>
      </c>
      <c r="AC61" s="43">
        <f>'[1]поточний ремонт'!AC61+'[2]поточний ремонт'!AC61-'[3]поточний ремонт'!AC61</f>
        <v>0</v>
      </c>
      <c r="AD61" s="43">
        <f>'[1]поточний ремонт'!AD61+'[2]поточний ремонт'!AD61-'[3]поточний ремонт'!AD61</f>
        <v>0</v>
      </c>
      <c r="AE61" s="43">
        <f>'[1]поточний ремонт'!AE61+'[2]поточний ремонт'!AE61-'[3]поточний ремонт'!AE61</f>
        <v>0</v>
      </c>
      <c r="AF61" s="43">
        <f>'[1]поточний ремонт'!AF61+'[2]поточний ремонт'!AF61-'[3]поточний ремонт'!AF61</f>
        <v>0</v>
      </c>
      <c r="AG61" s="5"/>
      <c r="AH61" s="43">
        <f>'[1]поточний ремонт'!AH61+'[2]поточний ремонт'!AH61-'[3]поточний ремонт'!AH61</f>
        <v>0</v>
      </c>
      <c r="AI61" s="43">
        <f>'[1]поточний ремонт'!AI61+'[2]поточний ремонт'!AI61-'[3]поточний ремонт'!AI61</f>
        <v>0</v>
      </c>
      <c r="AJ61" s="5"/>
      <c r="AK61" s="43">
        <f>'[1]поточний ремонт'!AK61+'[2]поточний ремонт'!AK61-'[3]поточний ремонт'!AK61</f>
        <v>0</v>
      </c>
      <c r="AL61" s="43">
        <f>'[1]поточний ремонт'!AL61+'[2]поточний ремонт'!AL61-'[3]поточний ремонт'!AL61</f>
        <v>0</v>
      </c>
      <c r="AM61" s="5"/>
      <c r="AN61" s="43">
        <f>'[1]поточний ремонт'!AN61+'[2]поточний ремонт'!AN61-'[3]поточний ремонт'!AN61</f>
        <v>0</v>
      </c>
      <c r="AO61" s="43">
        <f>'[1]поточний ремонт'!AO61+'[2]поточний ремонт'!AO61-'[3]поточний ремонт'!AO61</f>
        <v>0</v>
      </c>
      <c r="AP61" s="5"/>
      <c r="AQ61" s="43">
        <f>'[1]поточний ремонт'!AQ61+'[2]поточний ремонт'!AQ61-'[3]поточний ремонт'!AQ61</f>
        <v>0</v>
      </c>
      <c r="AR61" s="43">
        <f>'[1]поточний ремонт'!AR61+'[2]поточний ремонт'!AR61-'[3]поточний ремонт'!AR61</f>
        <v>0</v>
      </c>
      <c r="AS61" s="5"/>
      <c r="AT61" s="43">
        <f>'[1]поточний ремонт'!AT61+'[2]поточний ремонт'!AT61-'[3]поточний ремонт'!AT61</f>
        <v>0</v>
      </c>
      <c r="AU61" s="43">
        <f>'[1]поточний ремонт'!AU61+'[2]поточний ремонт'!AU61-'[3]поточний ремонт'!AU61</f>
        <v>0</v>
      </c>
      <c r="AV61" s="5"/>
      <c r="AW61" s="43">
        <f>'[1]поточний ремонт'!AW61+'[2]поточний ремонт'!AW61-'[3]поточний ремонт'!AW61</f>
        <v>0</v>
      </c>
      <c r="AX61" s="43">
        <f>'[1]поточний ремонт'!AX61+'[2]поточний ремонт'!AX61-'[3]поточний ремонт'!AX61</f>
        <v>0</v>
      </c>
      <c r="AY61" s="5"/>
      <c r="AZ61" s="43">
        <f t="shared" si="2"/>
        <v>0</v>
      </c>
      <c r="BA61" s="43">
        <f t="shared" si="3"/>
        <v>0</v>
      </c>
      <c r="BB61" s="59">
        <f t="shared" si="4"/>
        <v>0</v>
      </c>
      <c r="BD61" s="2">
        <v>2</v>
      </c>
      <c r="BF61" s="30">
        <v>0</v>
      </c>
      <c r="BG61" s="328">
        <v>150000515</v>
      </c>
      <c r="BI61" s="107">
        <v>0</v>
      </c>
      <c r="BJ61" s="107">
        <f t="shared" si="5"/>
        <v>0</v>
      </c>
      <c r="BK61" s="107">
        <v>0</v>
      </c>
      <c r="BL61" s="39"/>
      <c r="BM61" s="3"/>
      <c r="BN61" s="3">
        <v>0</v>
      </c>
      <c r="BP61" s="3"/>
      <c r="BQ61" s="3"/>
      <c r="BS61" s="43"/>
      <c r="BT61" s="43">
        <v>0</v>
      </c>
      <c r="BU61" s="1037"/>
      <c r="BV61" s="42"/>
      <c r="BW61" s="43"/>
      <c r="BX61" s="37"/>
      <c r="BY61" s="78"/>
      <c r="BZ61" s="43">
        <v>0</v>
      </c>
      <c r="CA61" s="1038"/>
      <c r="CB61" s="42">
        <v>0</v>
      </c>
      <c r="CC61" s="42">
        <v>0</v>
      </c>
      <c r="CD61" s="1039"/>
      <c r="CE61" s="78">
        <v>0</v>
      </c>
      <c r="CF61" s="56"/>
      <c r="CG61" s="42">
        <v>0</v>
      </c>
      <c r="CH61" s="39">
        <v>0</v>
      </c>
      <c r="CI61" s="78">
        <v>0</v>
      </c>
      <c r="CJ61" s="56"/>
      <c r="CK61" s="1034"/>
      <c r="CL61" s="1029"/>
      <c r="CM61" s="1034"/>
      <c r="CN61" s="1029">
        <v>0</v>
      </c>
      <c r="CO61" s="78">
        <v>0</v>
      </c>
      <c r="CP61" s="43">
        <v>0</v>
      </c>
      <c r="CQ61" s="5"/>
      <c r="CR61" s="78">
        <v>0</v>
      </c>
      <c r="CS61" s="1033">
        <v>0</v>
      </c>
      <c r="CT61" s="5"/>
      <c r="CU61" s="78">
        <v>0</v>
      </c>
      <c r="CV61" s="43">
        <v>0</v>
      </c>
      <c r="CW61" s="5"/>
      <c r="CX61" s="78">
        <v>0</v>
      </c>
      <c r="CY61" s="43">
        <v>0</v>
      </c>
      <c r="CZ61" s="5"/>
      <c r="DA61" s="78">
        <v>0</v>
      </c>
      <c r="DB61" s="43">
        <v>0</v>
      </c>
      <c r="DC61" s="5"/>
      <c r="DD61" s="78">
        <v>0</v>
      </c>
      <c r="DE61" s="43">
        <v>0</v>
      </c>
      <c r="DF61" s="5"/>
      <c r="DG61" s="78">
        <v>0</v>
      </c>
      <c r="DH61" s="43"/>
      <c r="DI61" s="5"/>
      <c r="DJ61" s="43">
        <v>0</v>
      </c>
      <c r="DK61" s="43">
        <f t="shared" si="6"/>
        <v>0</v>
      </c>
      <c r="DL61" s="59">
        <f t="shared" si="7"/>
        <v>0</v>
      </c>
    </row>
    <row r="62" spans="1:116" ht="24.9" customHeight="1" x14ac:dyDescent="0.3">
      <c r="A62" s="328">
        <v>150000539</v>
      </c>
      <c r="B62" s="45" t="s">
        <v>54</v>
      </c>
      <c r="C62" s="1035">
        <v>1</v>
      </c>
      <c r="D62" s="1036" t="s">
        <v>454</v>
      </c>
      <c r="E62" s="1028">
        <f>'побудинковий звіт'!E60</f>
        <v>2189.9</v>
      </c>
      <c r="F62" s="1029">
        <f>'побудинковий звіт'!AS60</f>
        <v>1145.6293036813659</v>
      </c>
      <c r="G62" s="1029">
        <f t="shared" si="0"/>
        <v>0</v>
      </c>
      <c r="H62" s="1029">
        <f t="shared" si="1"/>
        <v>-1145.6293036813659</v>
      </c>
      <c r="I62" s="43">
        <f>'[1]поточний ремонт'!I62+'[2]поточний ремонт'!I62-'[3]поточний ремонт'!I62</f>
        <v>0</v>
      </c>
      <c r="J62" s="43">
        <f>'[1]поточний ремонт'!J62+'[2]поточний ремонт'!J62-'[3]поточний ремонт'!J62</f>
        <v>0</v>
      </c>
      <c r="K62" s="1037"/>
      <c r="L62" s="43">
        <f>'[1]поточний ремонт'!L62+'[2]поточний ремонт'!L62-'[3]поточний ремонт'!L62</f>
        <v>0</v>
      </c>
      <c r="M62" s="43">
        <f>'[1]поточний ремонт'!M62+'[2]поточний ремонт'!M62-'[3]поточний ремонт'!M62</f>
        <v>0</v>
      </c>
      <c r="N62" s="37"/>
      <c r="O62" s="43">
        <f>'[1]поточний ремонт'!O62+'[2]поточний ремонт'!O62-'[3]поточний ремонт'!O62</f>
        <v>0</v>
      </c>
      <c r="P62" s="43">
        <f>'[1]поточний ремонт'!P62+'[2]поточний ремонт'!P62-'[3]поточний ремонт'!P62</f>
        <v>0</v>
      </c>
      <c r="Q62" s="1038"/>
      <c r="R62" s="43">
        <f>'[1]поточний ремонт'!R62+'[2]поточний ремонт'!R62-'[3]поточний ремонт'!R62</f>
        <v>0</v>
      </c>
      <c r="S62" s="43">
        <f>'[1]поточний ремонт'!S62+'[2]поточний ремонт'!S62-'[3]поточний ремонт'!S62</f>
        <v>0</v>
      </c>
      <c r="T62" s="1039"/>
      <c r="U62" s="43">
        <f>'[1]поточний ремонт'!U62+'[2]поточний ремонт'!U62-'[3]поточний ремонт'!U62</f>
        <v>0</v>
      </c>
      <c r="V62" s="43">
        <f>'[1]поточний ремонт'!V62+'[2]поточний ремонт'!V62-'[3]поточний ремонт'!V62</f>
        <v>0</v>
      </c>
      <c r="W62" s="43">
        <f>'[1]поточний ремонт'!W62+'[2]поточний ремонт'!W62-'[3]поточний ремонт'!W62</f>
        <v>0</v>
      </c>
      <c r="X62" s="43">
        <f>'[1]поточний ремонт'!X62+'[2]поточний ремонт'!X62-'[3]поточний ремонт'!X62</f>
        <v>0</v>
      </c>
      <c r="Y62" s="43">
        <f>'[1]поточний ремонт'!Y62+'[2]поточний ремонт'!Y62-'[3]поточний ремонт'!Y62</f>
        <v>0</v>
      </c>
      <c r="Z62" s="43">
        <f>'[1]поточний ремонт'!Z62+'[2]поточний ремонт'!Z62-'[3]поточний ремонт'!Z62</f>
        <v>0</v>
      </c>
      <c r="AA62" s="43">
        <f>'[1]поточний ремонт'!AA62+'[2]поточний ремонт'!AA62-'[3]поточний ремонт'!AA62</f>
        <v>0</v>
      </c>
      <c r="AB62" s="43">
        <f>'[1]поточний ремонт'!AB62+'[2]поточний ремонт'!AB62-'[3]поточний ремонт'!AB62</f>
        <v>0</v>
      </c>
      <c r="AC62" s="43">
        <f>'[1]поточний ремонт'!AC62+'[2]поточний ремонт'!AC62-'[3]поточний ремонт'!AC62</f>
        <v>0</v>
      </c>
      <c r="AD62" s="43">
        <f>'[1]поточний ремонт'!AD62+'[2]поточний ремонт'!AD62-'[3]поточний ремонт'!AD62</f>
        <v>0</v>
      </c>
      <c r="AE62" s="43">
        <f>'[1]поточний ремонт'!AE62+'[2]поточний ремонт'!AE62-'[3]поточний ремонт'!AE62</f>
        <v>0</v>
      </c>
      <c r="AF62" s="43">
        <f>'[1]поточний ремонт'!AF62+'[2]поточний ремонт'!AF62-'[3]поточний ремонт'!AF62</f>
        <v>0</v>
      </c>
      <c r="AG62" s="5"/>
      <c r="AH62" s="43">
        <f>'[1]поточний ремонт'!AH62+'[2]поточний ремонт'!AH62-'[3]поточний ремонт'!AH62</f>
        <v>0</v>
      </c>
      <c r="AI62" s="43">
        <f>'[1]поточний ремонт'!AI62+'[2]поточний ремонт'!AI62-'[3]поточний ремонт'!AI62</f>
        <v>0</v>
      </c>
      <c r="AJ62" s="5"/>
      <c r="AK62" s="43">
        <f>'[1]поточний ремонт'!AK62+'[2]поточний ремонт'!AK62-'[3]поточний ремонт'!AK62</f>
        <v>0</v>
      </c>
      <c r="AL62" s="43">
        <f>'[1]поточний ремонт'!AL62+'[2]поточний ремонт'!AL62-'[3]поточний ремонт'!AL62</f>
        <v>0</v>
      </c>
      <c r="AM62" s="5"/>
      <c r="AN62" s="43">
        <f>'[1]поточний ремонт'!AN62+'[2]поточний ремонт'!AN62-'[3]поточний ремонт'!AN62</f>
        <v>0</v>
      </c>
      <c r="AO62" s="43">
        <f>'[1]поточний ремонт'!AO62+'[2]поточний ремонт'!AO62-'[3]поточний ремонт'!AO62</f>
        <v>0</v>
      </c>
      <c r="AP62" s="5"/>
      <c r="AQ62" s="43">
        <f>'[1]поточний ремонт'!AQ62+'[2]поточний ремонт'!AQ62-'[3]поточний ремонт'!AQ62</f>
        <v>0</v>
      </c>
      <c r="AR62" s="43">
        <f>'[1]поточний ремонт'!AR62+'[2]поточний ремонт'!AR62-'[3]поточний ремонт'!AR62</f>
        <v>0</v>
      </c>
      <c r="AS62" s="5"/>
      <c r="AT62" s="43">
        <f>'[1]поточний ремонт'!AT62+'[2]поточний ремонт'!AT62-'[3]поточний ремонт'!AT62</f>
        <v>0</v>
      </c>
      <c r="AU62" s="43">
        <f>'[1]поточний ремонт'!AU62+'[2]поточний ремонт'!AU62-'[3]поточний ремонт'!AU62</f>
        <v>0</v>
      </c>
      <c r="AV62" s="5"/>
      <c r="AW62" s="43">
        <f>'[1]поточний ремонт'!AW62+'[2]поточний ремонт'!AW62-'[3]поточний ремонт'!AW62</f>
        <v>0</v>
      </c>
      <c r="AX62" s="43">
        <f>'[1]поточний ремонт'!AX62+'[2]поточний ремонт'!AX62-'[3]поточний ремонт'!AX62</f>
        <v>0</v>
      </c>
      <c r="AY62" s="5"/>
      <c r="AZ62" s="43">
        <f t="shared" si="2"/>
        <v>0</v>
      </c>
      <c r="BA62" s="43">
        <f t="shared" si="3"/>
        <v>0</v>
      </c>
      <c r="BB62" s="59">
        <f t="shared" si="4"/>
        <v>0</v>
      </c>
      <c r="BD62" s="2">
        <v>2</v>
      </c>
      <c r="BF62" s="30">
        <v>0</v>
      </c>
      <c r="BG62" s="328">
        <v>150000539</v>
      </c>
      <c r="BI62" s="107">
        <v>0</v>
      </c>
      <c r="BJ62" s="107">
        <f t="shared" si="5"/>
        <v>0</v>
      </c>
      <c r="BK62" s="107">
        <v>0</v>
      </c>
      <c r="BL62" s="39"/>
      <c r="BM62" s="3"/>
      <c r="BN62" s="3">
        <v>0</v>
      </c>
      <c r="BP62" s="3"/>
      <c r="BQ62" s="3"/>
      <c r="BS62" s="43"/>
      <c r="BT62" s="43">
        <v>0</v>
      </c>
      <c r="BU62" s="1037"/>
      <c r="BV62" s="42"/>
      <c r="BW62" s="43"/>
      <c r="BX62" s="37"/>
      <c r="BY62" s="78"/>
      <c r="BZ62" s="43">
        <v>0</v>
      </c>
      <c r="CA62" s="1038"/>
      <c r="CB62" s="42">
        <v>0</v>
      </c>
      <c r="CC62" s="42">
        <v>0</v>
      </c>
      <c r="CD62" s="1039"/>
      <c r="CE62" s="78">
        <v>0</v>
      </c>
      <c r="CF62" s="56"/>
      <c r="CG62" s="42">
        <v>0</v>
      </c>
      <c r="CH62" s="39">
        <v>0</v>
      </c>
      <c r="CI62" s="78">
        <v>0</v>
      </c>
      <c r="CJ62" s="56"/>
      <c r="CK62" s="1034"/>
      <c r="CL62" s="1029"/>
      <c r="CM62" s="1034"/>
      <c r="CN62" s="1029">
        <v>0</v>
      </c>
      <c r="CO62" s="78">
        <v>0</v>
      </c>
      <c r="CP62" s="43">
        <v>0</v>
      </c>
      <c r="CQ62" s="5"/>
      <c r="CR62" s="78">
        <v>0</v>
      </c>
      <c r="CS62" s="1033">
        <v>0</v>
      </c>
      <c r="CT62" s="5"/>
      <c r="CU62" s="78">
        <v>0</v>
      </c>
      <c r="CV62" s="43">
        <v>0</v>
      </c>
      <c r="CW62" s="5"/>
      <c r="CX62" s="78">
        <v>0</v>
      </c>
      <c r="CY62" s="43">
        <v>0</v>
      </c>
      <c r="CZ62" s="5"/>
      <c r="DA62" s="78">
        <v>0</v>
      </c>
      <c r="DB62" s="43">
        <v>0</v>
      </c>
      <c r="DC62" s="5"/>
      <c r="DD62" s="78">
        <v>0</v>
      </c>
      <c r="DE62" s="43">
        <v>0</v>
      </c>
      <c r="DF62" s="5"/>
      <c r="DG62" s="78">
        <v>0</v>
      </c>
      <c r="DH62" s="43"/>
      <c r="DI62" s="5"/>
      <c r="DJ62" s="43">
        <v>0</v>
      </c>
      <c r="DK62" s="43">
        <f t="shared" si="6"/>
        <v>0</v>
      </c>
      <c r="DL62" s="59">
        <f t="shared" si="7"/>
        <v>0</v>
      </c>
    </row>
    <row r="63" spans="1:116" ht="24.9" customHeight="1" x14ac:dyDescent="0.3">
      <c r="A63" s="328">
        <v>150000517</v>
      </c>
      <c r="B63" s="45" t="s">
        <v>251</v>
      </c>
      <c r="C63" s="1035">
        <v>5</v>
      </c>
      <c r="D63" s="1036" t="s">
        <v>454</v>
      </c>
      <c r="E63" s="1028">
        <f>'побудинковий звіт'!E61</f>
        <v>1536.02</v>
      </c>
      <c r="F63" s="1029">
        <f>'побудинковий звіт'!AS61</f>
        <v>22788.826910340897</v>
      </c>
      <c r="G63" s="1029">
        <f t="shared" si="0"/>
        <v>2525.0969891665945</v>
      </c>
      <c r="H63" s="1029">
        <f t="shared" si="1"/>
        <v>-20263.729921174301</v>
      </c>
      <c r="I63" s="43">
        <f>'[1]поточний ремонт'!I63+'[2]поточний ремонт'!I63-'[3]поточний ремонт'!I63</f>
        <v>3</v>
      </c>
      <c r="J63" s="43">
        <f>'[1]поточний ремонт'!J63+'[2]поточний ремонт'!J63-'[3]поточний ремонт'!J63</f>
        <v>402</v>
      </c>
      <c r="K63" s="1037"/>
      <c r="L63" s="43">
        <f>'[1]поточний ремонт'!L63+'[2]поточний ремонт'!L63-'[3]поточний ремонт'!L63</f>
        <v>0</v>
      </c>
      <c r="M63" s="43">
        <f>'[1]поточний ремонт'!M63+'[2]поточний ремонт'!M63-'[3]поточний ремонт'!M63</f>
        <v>0</v>
      </c>
      <c r="N63" s="37"/>
      <c r="O63" s="43">
        <f>'[1]поточний ремонт'!O63+'[2]поточний ремонт'!O63-'[3]поточний ремонт'!O63</f>
        <v>0</v>
      </c>
      <c r="P63" s="43">
        <f>'[1]поточний ремонт'!P63+'[2]поточний ремонт'!P63-'[3]поточний ремонт'!P63</f>
        <v>0</v>
      </c>
      <c r="Q63" s="1038"/>
      <c r="R63" s="43">
        <f>'[1]поточний ремонт'!R63+'[2]поточний ремонт'!R63-'[3]поточний ремонт'!R63</f>
        <v>0</v>
      </c>
      <c r="S63" s="43">
        <f>'[1]поточний ремонт'!S63+'[2]поточний ремонт'!S63-'[3]поточний ремонт'!S63</f>
        <v>0</v>
      </c>
      <c r="T63" s="1039"/>
      <c r="U63" s="43">
        <f>'[1]поточний ремонт'!U63+'[2]поточний ремонт'!U63-'[3]поточний ремонт'!U63</f>
        <v>0</v>
      </c>
      <c r="V63" s="43">
        <f>'[1]поточний ремонт'!V63+'[2]поточний ремонт'!V63-'[3]поточний ремонт'!V63</f>
        <v>0</v>
      </c>
      <c r="W63" s="43">
        <f>'[1]поточний ремонт'!W63+'[2]поточний ремонт'!W63-'[3]поточний ремонт'!W63</f>
        <v>0</v>
      </c>
      <c r="X63" s="43">
        <f>'[1]поточний ремонт'!X63+'[2]поточний ремонт'!X63-'[3]поточний ремонт'!X63</f>
        <v>217.09698916659451</v>
      </c>
      <c r="Y63" s="43">
        <f>'[1]поточний ремонт'!Y63+'[2]поточний ремонт'!Y63-'[3]поточний ремонт'!Y63</f>
        <v>0</v>
      </c>
      <c r="Z63" s="43">
        <f>'[1]поточний ремонт'!Z63+'[2]поточний ремонт'!Z63-'[3]поточний ремонт'!Z63</f>
        <v>0</v>
      </c>
      <c r="AA63" s="43">
        <f>'[1]поточний ремонт'!AA63+'[2]поточний ремонт'!AA63-'[3]поточний ремонт'!AA63</f>
        <v>0</v>
      </c>
      <c r="AB63" s="43">
        <f>'[1]поточний ремонт'!AB63+'[2]поточний ремонт'!AB63-'[3]поточний ремонт'!AB63</f>
        <v>0</v>
      </c>
      <c r="AC63" s="43">
        <f>'[1]поточний ремонт'!AC63+'[2]поточний ремонт'!AC63-'[3]поточний ремонт'!AC63</f>
        <v>1906</v>
      </c>
      <c r="AD63" s="43">
        <f>'[1]поточний ремонт'!AD63+'[2]поточний ремонт'!AD63-'[3]поточний ремонт'!AD63</f>
        <v>0</v>
      </c>
      <c r="AE63" s="43">
        <f>'[1]поточний ремонт'!AE63+'[2]поточний ремонт'!AE63-'[3]поточний ремонт'!AE63</f>
        <v>1037.8597924756773</v>
      </c>
      <c r="AF63" s="43">
        <f>'[1]поточний ремонт'!AF63+'[2]поточний ремонт'!AF63-'[3]поточний ремонт'!AF63</f>
        <v>0</v>
      </c>
      <c r="AG63" s="9"/>
      <c r="AH63" s="43">
        <f>'[1]поточний ремонт'!AH63+'[2]поточний ремонт'!AH63-'[3]поточний ремонт'!AH63</f>
        <v>1503.4989161478395</v>
      </c>
      <c r="AI63" s="43">
        <f>'[1]поточний ремонт'!AI63+'[2]поточний ремонт'!AI63-'[3]поточний ремонт'!AI63</f>
        <v>0</v>
      </c>
      <c r="AJ63" s="5"/>
      <c r="AK63" s="43">
        <f>'[1]поточний ремонт'!AK63+'[2]поточний ремонт'!AK63-'[3]поточний ремонт'!AK63</f>
        <v>1474.9544612997895</v>
      </c>
      <c r="AL63" s="43">
        <f>'[1]поточний ремонт'!AL63+'[2]поточний ремонт'!AL63-'[3]поточний ремонт'!AL63</f>
        <v>0</v>
      </c>
      <c r="AM63" s="5"/>
      <c r="AN63" s="43">
        <f>'[1]поточний ремонт'!AN63+'[2]поточний ремонт'!AN63-'[3]поточний ремонт'!AN63</f>
        <v>0</v>
      </c>
      <c r="AO63" s="43">
        <f>'[1]поточний ремонт'!AO63+'[2]поточний ремонт'!AO63-'[3]поточний ремонт'!AO63</f>
        <v>0</v>
      </c>
      <c r="AP63" s="5"/>
      <c r="AQ63" s="43">
        <f>'[1]поточний ремонт'!AQ63+'[2]поточний ремонт'!AQ63-'[3]поточний ремонт'!AQ63</f>
        <v>0</v>
      </c>
      <c r="AR63" s="43">
        <f>'[1]поточний ремонт'!AR63+'[2]поточний ремонт'!AR63-'[3]поточний ремонт'!AR63</f>
        <v>0</v>
      </c>
      <c r="AS63" s="5"/>
      <c r="AT63" s="43">
        <f>'[1]поточний ремонт'!AT63+'[2]поточний ремонт'!AT63-'[3]поточний ремонт'!AT63</f>
        <v>394.35347880783615</v>
      </c>
      <c r="AU63" s="43">
        <f>'[1]поточний ремонт'!AU63+'[2]поточний ремонт'!AU63-'[3]поточний ремонт'!AU63</f>
        <v>0</v>
      </c>
      <c r="AV63" s="5"/>
      <c r="AW63" s="43">
        <f>'[1]поточний ремонт'!AW63+'[2]поточний ремонт'!AW63-'[3]поточний ремонт'!AW63</f>
        <v>0</v>
      </c>
      <c r="AX63" s="43">
        <f>'[1]поточний ремонт'!AX63+'[2]поточний ремонт'!AX63-'[3]поточний ремонт'!AX63</f>
        <v>0</v>
      </c>
      <c r="AY63" s="5"/>
      <c r="AZ63" s="43">
        <f t="shared" si="2"/>
        <v>4410.6666487311422</v>
      </c>
      <c r="BA63" s="43">
        <f t="shared" si="3"/>
        <v>0</v>
      </c>
      <c r="BB63" s="59">
        <f t="shared" si="4"/>
        <v>-4410.6666487311422</v>
      </c>
      <c r="BD63" s="2">
        <v>2</v>
      </c>
      <c r="BF63" s="30">
        <v>2.8066128732560975</v>
      </c>
      <c r="BG63" s="328">
        <v>150000517</v>
      </c>
      <c r="BI63" s="107">
        <v>16.2</v>
      </c>
      <c r="BJ63" s="107">
        <f t="shared" si="5"/>
        <v>2.2787276399999996</v>
      </c>
      <c r="BK63" s="107">
        <v>18.6832298952</v>
      </c>
      <c r="BL63" s="39"/>
      <c r="BM63" s="3"/>
      <c r="BN63" s="3">
        <v>0</v>
      </c>
      <c r="BP63" s="3"/>
      <c r="BQ63" s="3"/>
      <c r="BS63" s="43"/>
      <c r="BT63" s="43">
        <v>0</v>
      </c>
      <c r="BU63" s="1037"/>
      <c r="BV63" s="42"/>
      <c r="BW63" s="43"/>
      <c r="BX63" s="37"/>
      <c r="BY63" s="78"/>
      <c r="BZ63" s="43">
        <v>0</v>
      </c>
      <c r="CA63" s="1038"/>
      <c r="CB63" s="42">
        <v>0</v>
      </c>
      <c r="CC63" s="42">
        <v>0</v>
      </c>
      <c r="CD63" s="1039"/>
      <c r="CE63" s="78">
        <v>0</v>
      </c>
      <c r="CF63" s="56"/>
      <c r="CG63" s="42">
        <v>0</v>
      </c>
      <c r="CH63" s="39">
        <v>18.6832298952</v>
      </c>
      <c r="CI63" s="78">
        <v>0</v>
      </c>
      <c r="CJ63" s="56"/>
      <c r="CK63" s="1034"/>
      <c r="CL63" s="1029"/>
      <c r="CM63" s="1034"/>
      <c r="CN63" s="1029">
        <v>0</v>
      </c>
      <c r="CO63" s="78">
        <v>86.488316039639756</v>
      </c>
      <c r="CP63" s="43">
        <v>0</v>
      </c>
      <c r="CQ63" s="9"/>
      <c r="CR63" s="78">
        <v>125.2915763456533</v>
      </c>
      <c r="CS63" s="1033">
        <v>0</v>
      </c>
      <c r="CT63" s="5"/>
      <c r="CU63" s="78">
        <v>122.91287177498243</v>
      </c>
      <c r="CV63" s="43">
        <v>0</v>
      </c>
      <c r="CW63" s="5"/>
      <c r="CX63" s="78">
        <v>0</v>
      </c>
      <c r="CY63" s="43">
        <v>0</v>
      </c>
      <c r="CZ63" s="5"/>
      <c r="DA63" s="78">
        <v>0</v>
      </c>
      <c r="DB63" s="43">
        <v>0</v>
      </c>
      <c r="DC63" s="5"/>
      <c r="DD63" s="78">
        <v>32.862789900653013</v>
      </c>
      <c r="DE63" s="43">
        <v>0</v>
      </c>
      <c r="DF63" s="5"/>
      <c r="DG63" s="78">
        <v>0</v>
      </c>
      <c r="DH63" s="43"/>
      <c r="DI63" s="5"/>
      <c r="DJ63" s="43">
        <v>367.5555540609285</v>
      </c>
      <c r="DK63" s="43">
        <f t="shared" si="6"/>
        <v>0</v>
      </c>
      <c r="DL63" s="59">
        <f t="shared" si="7"/>
        <v>-367.5555540609285</v>
      </c>
    </row>
    <row r="64" spans="1:116" ht="24.9" customHeight="1" x14ac:dyDescent="0.3">
      <c r="A64" s="328">
        <v>150000518</v>
      </c>
      <c r="B64" s="45" t="s">
        <v>194</v>
      </c>
      <c r="C64" s="1035">
        <v>3</v>
      </c>
      <c r="D64" s="1036" t="s">
        <v>454</v>
      </c>
      <c r="E64" s="1028">
        <f>'побудинковий звіт'!E62</f>
        <v>2807.4</v>
      </c>
      <c r="F64" s="1029">
        <f>'побудинковий звіт'!AS62</f>
        <v>10100.349507619947</v>
      </c>
      <c r="G64" s="1029">
        <f t="shared" si="0"/>
        <v>293.48296683632213</v>
      </c>
      <c r="H64" s="1029">
        <f t="shared" si="1"/>
        <v>-9806.8665407836252</v>
      </c>
      <c r="I64" s="43">
        <f>'[1]поточний ремонт'!I64+'[2]поточний ремонт'!I64-'[3]поточний ремонт'!I64</f>
        <v>0</v>
      </c>
      <c r="J64" s="43">
        <f>'[1]поточний ремонт'!J64+'[2]поточний ремонт'!J64-'[3]поточний ремонт'!J64</f>
        <v>0</v>
      </c>
      <c r="K64" s="1037"/>
      <c r="L64" s="43">
        <f>'[1]поточний ремонт'!L64+'[2]поточний ремонт'!L64-'[3]поточний ремонт'!L64</f>
        <v>0</v>
      </c>
      <c r="M64" s="43">
        <f>'[1]поточний ремонт'!M64+'[2]поточний ремонт'!M64-'[3]поточний ремонт'!M64</f>
        <v>0</v>
      </c>
      <c r="N64" s="37"/>
      <c r="O64" s="43">
        <f>'[1]поточний ремонт'!O64+'[2]поточний ремонт'!O64-'[3]поточний ремонт'!O64</f>
        <v>0</v>
      </c>
      <c r="P64" s="43">
        <f>'[1]поточний ремонт'!P64+'[2]поточний ремонт'!P64-'[3]поточний ремонт'!P64</f>
        <v>0</v>
      </c>
      <c r="Q64" s="1038"/>
      <c r="R64" s="43">
        <f>'[1]поточний ремонт'!R64+'[2]поточний ремонт'!R64-'[3]поточний ремонт'!R64</f>
        <v>0</v>
      </c>
      <c r="S64" s="43">
        <f>'[1]поточний ремонт'!S64+'[2]поточний ремонт'!S64-'[3]поточний ремонт'!S64</f>
        <v>0</v>
      </c>
      <c r="T64" s="1039"/>
      <c r="U64" s="43">
        <f>'[1]поточний ремонт'!U64+'[2]поточний ремонт'!U64-'[3]поточний ремонт'!U64</f>
        <v>0</v>
      </c>
      <c r="V64" s="43">
        <f>'[1]поточний ремонт'!V64+'[2]поточний ремонт'!V64-'[3]поточний ремонт'!V64</f>
        <v>0</v>
      </c>
      <c r="W64" s="43">
        <f>'[1]поточний ремонт'!W64+'[2]поточний ремонт'!W64-'[3]поточний ремонт'!W64</f>
        <v>0</v>
      </c>
      <c r="X64" s="43">
        <f>'[1]поточний ремонт'!X64+'[2]поточний ремонт'!X64-'[3]поточний ремонт'!X64</f>
        <v>293.48296683632213</v>
      </c>
      <c r="Y64" s="43">
        <f>'[1]поточний ремонт'!Y64+'[2]поточний ремонт'!Y64-'[3]поточний ремонт'!Y64</f>
        <v>0</v>
      </c>
      <c r="Z64" s="43">
        <f>'[1]поточний ремонт'!Z64+'[2]поточний ремонт'!Z64-'[3]поточний ремонт'!Z64</f>
        <v>0</v>
      </c>
      <c r="AA64" s="43">
        <f>'[1]поточний ремонт'!AA64+'[2]поточний ремонт'!AA64-'[3]поточний ремонт'!AA64</f>
        <v>0</v>
      </c>
      <c r="AB64" s="43">
        <f>'[1]поточний ремонт'!AB64+'[2]поточний ремонт'!AB64-'[3]поточний ремонт'!AB64</f>
        <v>0</v>
      </c>
      <c r="AC64" s="43">
        <f>'[1]поточний ремонт'!AC64+'[2]поточний ремонт'!AC64-'[3]поточний ремонт'!AC64</f>
        <v>0</v>
      </c>
      <c r="AD64" s="43">
        <f>'[1]поточний ремонт'!AD64+'[2]поточний ремонт'!AD64-'[3]поточний ремонт'!AD64</f>
        <v>0</v>
      </c>
      <c r="AE64" s="43">
        <f>'[1]поточний ремонт'!AE64+'[2]поточний ремонт'!AE64-'[3]поточний ремонт'!AE64</f>
        <v>633.01885653095781</v>
      </c>
      <c r="AF64" s="43">
        <f>'[1]поточний ремонт'!AF64+'[2]поточний ремонт'!AF64-'[3]поточний ремонт'!AF64</f>
        <v>0</v>
      </c>
      <c r="AG64" s="5"/>
      <c r="AH64" s="43">
        <f>'[1]поточний ремонт'!AH64+'[2]поточний ремонт'!AH64-'[3]поточний ремонт'!AH64</f>
        <v>1028.7282395790235</v>
      </c>
      <c r="AI64" s="43">
        <f>'[1]поточний ремонт'!AI64+'[2]поточний ремонт'!AI64-'[3]поточний ремонт'!AI64</f>
        <v>0</v>
      </c>
      <c r="AJ64" s="5"/>
      <c r="AK64" s="43">
        <f>'[1]поточний ремонт'!AK64+'[2]поточний ремонт'!AK64-'[3]поточний ремонт'!AK64</f>
        <v>525.16579787405601</v>
      </c>
      <c r="AL64" s="43">
        <f>'[1]поточний ремонт'!AL64+'[2]поточний ремонт'!AL64-'[3]поточний ремонт'!AL64</f>
        <v>0</v>
      </c>
      <c r="AM64" s="5"/>
      <c r="AN64" s="43">
        <f>'[1]поточний ремонт'!AN64+'[2]поточний ремонт'!AN64-'[3]поточний ремонт'!AN64</f>
        <v>0</v>
      </c>
      <c r="AO64" s="43">
        <f>'[1]поточний ремонт'!AO64+'[2]поточний ремонт'!AO64-'[3]поточний ремонт'!AO64</f>
        <v>0</v>
      </c>
      <c r="AP64" s="5"/>
      <c r="AQ64" s="43">
        <f>'[1]поточний ремонт'!AQ64+'[2]поточний ремонт'!AQ64-'[3]поточний ремонт'!AQ64</f>
        <v>0</v>
      </c>
      <c r="AR64" s="43">
        <f>'[1]поточний ремонт'!AR64+'[2]поточний ремонт'!AR64-'[3]поточний ремонт'!AR64</f>
        <v>0</v>
      </c>
      <c r="AS64" s="5"/>
      <c r="AT64" s="43">
        <f>'[1]поточний ремонт'!AT64+'[2]поточний ремонт'!AT64-'[3]поточний ремонт'!AT64</f>
        <v>250.67306348165044</v>
      </c>
      <c r="AU64" s="43">
        <f>'[1]поточний ремонт'!AU64+'[2]поточний ремонт'!AU64-'[3]поточний ремонт'!AU64</f>
        <v>0</v>
      </c>
      <c r="AV64" s="5"/>
      <c r="AW64" s="43">
        <f>'[1]поточний ремонт'!AW64+'[2]поточний ремонт'!AW64-'[3]поточний ремонт'!AW64</f>
        <v>0</v>
      </c>
      <c r="AX64" s="43">
        <f>'[1]поточний ремонт'!AX64+'[2]поточний ремонт'!AX64-'[3]поточний ремонт'!AX64</f>
        <v>0</v>
      </c>
      <c r="AY64" s="5"/>
      <c r="AZ64" s="43">
        <f t="shared" si="2"/>
        <v>2437.5859574656874</v>
      </c>
      <c r="BA64" s="43">
        <f t="shared" si="3"/>
        <v>0</v>
      </c>
      <c r="BB64" s="59">
        <f t="shared" si="4"/>
        <v>-2437.5859574656874</v>
      </c>
      <c r="BD64" s="2">
        <v>2</v>
      </c>
      <c r="BF64" s="30">
        <v>1.2378249428000325</v>
      </c>
      <c r="BG64" s="328">
        <v>150000518</v>
      </c>
      <c r="BI64" s="107">
        <v>21.9</v>
      </c>
      <c r="BJ64" s="107">
        <f t="shared" si="5"/>
        <v>3.0805021799999994</v>
      </c>
      <c r="BK64" s="107">
        <v>25.2569589324</v>
      </c>
      <c r="BL64" s="39"/>
      <c r="BM64" s="3"/>
      <c r="BN64" s="3">
        <v>0</v>
      </c>
      <c r="BP64" s="3"/>
      <c r="BQ64" s="3"/>
      <c r="BS64" s="43"/>
      <c r="BT64" s="43">
        <v>0</v>
      </c>
      <c r="BU64" s="1037"/>
      <c r="BV64" s="42"/>
      <c r="BW64" s="43"/>
      <c r="BX64" s="37"/>
      <c r="BY64" s="78"/>
      <c r="BZ64" s="43">
        <v>0</v>
      </c>
      <c r="CA64" s="1038"/>
      <c r="CB64" s="42">
        <v>0</v>
      </c>
      <c r="CC64" s="42">
        <v>0</v>
      </c>
      <c r="CD64" s="1039"/>
      <c r="CE64" s="78">
        <v>0</v>
      </c>
      <c r="CF64" s="56"/>
      <c r="CG64" s="42">
        <v>0</v>
      </c>
      <c r="CH64" s="39">
        <v>25.2569589324</v>
      </c>
      <c r="CI64" s="78">
        <v>0</v>
      </c>
      <c r="CJ64" s="56"/>
      <c r="CK64" s="1034"/>
      <c r="CL64" s="1029"/>
      <c r="CM64" s="1034"/>
      <c r="CN64" s="1029">
        <v>0</v>
      </c>
      <c r="CO64" s="78">
        <v>52.751571377579829</v>
      </c>
      <c r="CP64" s="43">
        <v>0</v>
      </c>
      <c r="CQ64" s="5"/>
      <c r="CR64" s="78">
        <v>85.727353298251955</v>
      </c>
      <c r="CS64" s="1033">
        <v>0</v>
      </c>
      <c r="CT64" s="5"/>
      <c r="CU64" s="78">
        <v>43.763816489504663</v>
      </c>
      <c r="CV64" s="43">
        <v>0</v>
      </c>
      <c r="CW64" s="5"/>
      <c r="CX64" s="78">
        <v>0</v>
      </c>
      <c r="CY64" s="43">
        <v>0</v>
      </c>
      <c r="CZ64" s="5"/>
      <c r="DA64" s="78">
        <v>0</v>
      </c>
      <c r="DB64" s="43">
        <v>0</v>
      </c>
      <c r="DC64" s="5"/>
      <c r="DD64" s="78">
        <v>20.889421956804203</v>
      </c>
      <c r="DE64" s="43">
        <v>0</v>
      </c>
      <c r="DF64" s="5"/>
      <c r="DG64" s="78">
        <v>0</v>
      </c>
      <c r="DH64" s="43"/>
      <c r="DI64" s="5"/>
      <c r="DJ64" s="43">
        <v>203.13216312214064</v>
      </c>
      <c r="DK64" s="43">
        <f t="shared" si="6"/>
        <v>0</v>
      </c>
      <c r="DL64" s="59">
        <f t="shared" si="7"/>
        <v>-203.13216312214064</v>
      </c>
    </row>
    <row r="65" spans="1:116" ht="24.9" customHeight="1" x14ac:dyDescent="0.3">
      <c r="A65" s="328">
        <v>150000519</v>
      </c>
      <c r="B65" s="45" t="s">
        <v>412</v>
      </c>
      <c r="C65" s="1035">
        <v>10</v>
      </c>
      <c r="D65" s="1036" t="s">
        <v>454</v>
      </c>
      <c r="E65" s="1028">
        <f>'побудинковий звіт'!E63</f>
        <v>310.7</v>
      </c>
      <c r="F65" s="1029">
        <f>'побудинковий звіт'!AS63</f>
        <v>39334.084718301783</v>
      </c>
      <c r="G65" s="1029">
        <f t="shared" si="0"/>
        <v>1443</v>
      </c>
      <c r="H65" s="1029">
        <f t="shared" si="1"/>
        <v>-37891.084718301783</v>
      </c>
      <c r="I65" s="43">
        <f>'[1]поточний ремонт'!I65+'[2]поточний ремонт'!I65-'[3]поточний ремонт'!I65</f>
        <v>0</v>
      </c>
      <c r="J65" s="43">
        <f>'[1]поточний ремонт'!J65+'[2]поточний ремонт'!J65-'[3]поточний ремонт'!J65</f>
        <v>0</v>
      </c>
      <c r="K65" s="1037"/>
      <c r="L65" s="43">
        <f>'[1]поточний ремонт'!L65+'[2]поточний ремонт'!L65-'[3]поточний ремонт'!L65</f>
        <v>0</v>
      </c>
      <c r="M65" s="43">
        <f>'[1]поточний ремонт'!M65+'[2]поточний ремонт'!M65-'[3]поточний ремонт'!M65</f>
        <v>0</v>
      </c>
      <c r="N65" s="1050"/>
      <c r="O65" s="43">
        <f>'[1]поточний ремонт'!O65+'[2]поточний ремонт'!O65-'[3]поточний ремонт'!O65</f>
        <v>0</v>
      </c>
      <c r="P65" s="43">
        <f>'[1]поточний ремонт'!P65+'[2]поточний ремонт'!P65-'[3]поточний ремонт'!P65</f>
        <v>0</v>
      </c>
      <c r="Q65" s="1038"/>
      <c r="R65" s="43">
        <f>'[1]поточний ремонт'!R65+'[2]поточний ремонт'!R65-'[3]поточний ремонт'!R65</f>
        <v>0</v>
      </c>
      <c r="S65" s="43">
        <f>'[1]поточний ремонт'!S65+'[2]поточний ремонт'!S65-'[3]поточний ремонт'!S65</f>
        <v>0</v>
      </c>
      <c r="T65" s="1039"/>
      <c r="U65" s="43">
        <f>'[1]поточний ремонт'!U65+'[2]поточний ремонт'!U65-'[3]поточний ремонт'!U65</f>
        <v>0</v>
      </c>
      <c r="V65" s="43">
        <f>'[1]поточний ремонт'!V65+'[2]поточний ремонт'!V65-'[3]поточний ремонт'!V65</f>
        <v>0</v>
      </c>
      <c r="W65" s="43">
        <f>'[1]поточний ремонт'!W65+'[2]поточний ремонт'!W65-'[3]поточний ремонт'!W65</f>
        <v>0</v>
      </c>
      <c r="X65" s="43">
        <f>'[1]поточний ремонт'!X65+'[2]поточний ремонт'!X65-'[3]поточний ремонт'!X65</f>
        <v>0</v>
      </c>
      <c r="Y65" s="43">
        <f>'[1]поточний ремонт'!Y65+'[2]поточний ремонт'!Y65-'[3]поточний ремонт'!Y65</f>
        <v>0</v>
      </c>
      <c r="Z65" s="43">
        <f>'[1]поточний ремонт'!Z65+'[2]поточний ремонт'!Z65-'[3]поточний ремонт'!Z65</f>
        <v>0</v>
      </c>
      <c r="AA65" s="43">
        <f>'[1]поточний ремонт'!AA65+'[2]поточний ремонт'!AA65-'[3]поточний ремонт'!AA65</f>
        <v>0</v>
      </c>
      <c r="AB65" s="43">
        <f>'[1]поточний ремонт'!AB65+'[2]поточний ремонт'!AB65-'[3]поточний ремонт'!AB65</f>
        <v>0</v>
      </c>
      <c r="AC65" s="43">
        <f>'[1]поточний ремонт'!AC65+'[2]поточний ремонт'!AC65-'[3]поточний ремонт'!AC65</f>
        <v>0</v>
      </c>
      <c r="AD65" s="43">
        <f>'[1]поточний ремонт'!AD65+'[2]поточний ремонт'!AD65-'[3]поточний ремонт'!AD65</f>
        <v>1443</v>
      </c>
      <c r="AE65" s="43">
        <f>'[1]поточний ремонт'!AE65+'[2]поточний ремонт'!AE65-'[3]поточний ремонт'!AE65</f>
        <v>640.36330953954393</v>
      </c>
      <c r="AF65" s="43">
        <f>'[1]поточний ремонт'!AF65+'[2]поточний ремонт'!AF65-'[3]поточний ремонт'!AF65</f>
        <v>463</v>
      </c>
      <c r="AG65" s="1045"/>
      <c r="AH65" s="43">
        <f>'[1]поточний ремонт'!AH65+'[2]поточний ремонт'!AH65-'[3]поточний ремонт'!AH65</f>
        <v>854.45311191405517</v>
      </c>
      <c r="AI65" s="43">
        <f>'[1]поточний ремонт'!AI65+'[2]поточний ремонт'!AI65-'[3]поточний ремонт'!AI65</f>
        <v>2144</v>
      </c>
      <c r="AJ65" s="5"/>
      <c r="AK65" s="43">
        <f>'[1]поточний ремонт'!AK65+'[2]поточний ремонт'!AK65-'[3]поточний ремонт'!AK65</f>
        <v>914.65560379504529</v>
      </c>
      <c r="AL65" s="43">
        <f>'[1]поточний ремонт'!AL65+'[2]поточний ремонт'!AL65-'[3]поточний ремонт'!AL65</f>
        <v>0</v>
      </c>
      <c r="AM65" s="5"/>
      <c r="AN65" s="43">
        <f>'[1]поточний ремонт'!AN65+'[2]поточний ремонт'!AN65-'[3]поточний ремонт'!AN65</f>
        <v>518.31461263183485</v>
      </c>
      <c r="AO65" s="43">
        <f>'[1]поточний ремонт'!AO65+'[2]поточний ремонт'!AO65-'[3]поточний ремонт'!AO65</f>
        <v>0</v>
      </c>
      <c r="AP65" s="5"/>
      <c r="AQ65" s="43">
        <f>'[1]поточний ремонт'!AQ65+'[2]поточний ремонт'!AQ65-'[3]поточний ремонт'!AQ65</f>
        <v>211.31966959543126</v>
      </c>
      <c r="AR65" s="43">
        <f>'[1]поточний ремонт'!AR65+'[2]поточний ремонт'!AR65-'[3]поточний ремонт'!AR65</f>
        <v>2391.9159078243188</v>
      </c>
      <c r="AS65" s="5"/>
      <c r="AT65" s="43">
        <f>'[1]поточний ремонт'!AT65+'[2]поточний ремонт'!AT65-'[3]поточний ремонт'!AT65</f>
        <v>621.38583075357792</v>
      </c>
      <c r="AU65" s="43">
        <f>'[1]поточний ремонт'!AU65+'[2]поточний ремонт'!AU65-'[3]поточний ремонт'!AU65</f>
        <v>0</v>
      </c>
      <c r="AV65" s="5"/>
      <c r="AW65" s="43">
        <f>'[1]поточний ремонт'!AW65+'[2]поточний ремонт'!AW65-'[3]поточний ремонт'!AW65</f>
        <v>0</v>
      </c>
      <c r="AX65" s="43">
        <f>'[1]поточний ремонт'!AX65+'[2]поточний ремонт'!AX65-'[3]поточний ремонт'!AX65</f>
        <v>0</v>
      </c>
      <c r="AY65" s="5"/>
      <c r="AZ65" s="43">
        <f t="shared" si="2"/>
        <v>3760.4921382294883</v>
      </c>
      <c r="BA65" s="43">
        <f t="shared" si="3"/>
        <v>4998.9159078243192</v>
      </c>
      <c r="BB65" s="59">
        <f t="shared" si="4"/>
        <v>1238.4237695948309</v>
      </c>
      <c r="BD65" s="2">
        <v>2</v>
      </c>
      <c r="BF65" s="30">
        <v>3.9395695790141922</v>
      </c>
      <c r="BG65" s="328">
        <v>150000519</v>
      </c>
      <c r="BI65" s="107">
        <v>0</v>
      </c>
      <c r="BJ65" s="107">
        <f t="shared" si="5"/>
        <v>0</v>
      </c>
      <c r="BK65" s="107">
        <v>0</v>
      </c>
      <c r="BL65" s="39"/>
      <c r="BM65" s="3"/>
      <c r="BN65" s="3">
        <v>0</v>
      </c>
      <c r="BP65" s="3"/>
      <c r="BQ65" s="3"/>
      <c r="BS65" s="43">
        <v>31</v>
      </c>
      <c r="BT65" s="43">
        <v>11698.319052177596</v>
      </c>
      <c r="BU65" s="1037"/>
      <c r="BV65" s="42"/>
      <c r="BW65" s="43"/>
      <c r="BX65" s="1050"/>
      <c r="BY65" s="78"/>
      <c r="BZ65" s="43">
        <v>0</v>
      </c>
      <c r="CA65" s="1038"/>
      <c r="CB65" s="42">
        <v>0</v>
      </c>
      <c r="CC65" s="42">
        <v>0</v>
      </c>
      <c r="CD65" s="1039"/>
      <c r="CE65" s="78">
        <v>0</v>
      </c>
      <c r="CF65" s="56"/>
      <c r="CG65" s="42">
        <v>0</v>
      </c>
      <c r="CH65" s="39">
        <v>0</v>
      </c>
      <c r="CI65" s="78">
        <v>0</v>
      </c>
      <c r="CJ65" s="56"/>
      <c r="CK65" s="1034"/>
      <c r="CL65" s="1029"/>
      <c r="CM65" s="1034"/>
      <c r="CN65" s="1029">
        <v>0</v>
      </c>
      <c r="CO65" s="78">
        <v>53.363609128295316</v>
      </c>
      <c r="CP65" s="43">
        <v>0</v>
      </c>
      <c r="CQ65" s="1045"/>
      <c r="CR65" s="78">
        <v>71.204425992837912</v>
      </c>
      <c r="CS65" s="1033">
        <v>0</v>
      </c>
      <c r="CT65" s="5"/>
      <c r="CU65" s="78">
        <v>76.221300316253789</v>
      </c>
      <c r="CV65" s="43">
        <v>0</v>
      </c>
      <c r="CW65" s="5"/>
      <c r="CX65" s="78">
        <v>43.192884385986233</v>
      </c>
      <c r="CY65" s="43">
        <v>0</v>
      </c>
      <c r="CZ65" s="5"/>
      <c r="DA65" s="78">
        <v>17.609972466285939</v>
      </c>
      <c r="DB65" s="43">
        <v>0</v>
      </c>
      <c r="DC65" s="5"/>
      <c r="DD65" s="78">
        <v>51.78215256279816</v>
      </c>
      <c r="DE65" s="43">
        <v>0</v>
      </c>
      <c r="DF65" s="5"/>
      <c r="DG65" s="78">
        <v>0</v>
      </c>
      <c r="DH65" s="43"/>
      <c r="DI65" s="5"/>
      <c r="DJ65" s="43">
        <v>313.3743448524574</v>
      </c>
      <c r="DK65" s="43">
        <f t="shared" si="6"/>
        <v>0</v>
      </c>
      <c r="DL65" s="59">
        <f t="shared" si="7"/>
        <v>-313.3743448524574</v>
      </c>
    </row>
    <row r="66" spans="1:116" ht="24.9" customHeight="1" x14ac:dyDescent="0.3">
      <c r="A66" s="328">
        <v>150000521</v>
      </c>
      <c r="B66" s="45" t="s">
        <v>252</v>
      </c>
      <c r="C66" s="1035">
        <v>5</v>
      </c>
      <c r="D66" s="1036" t="s">
        <v>454</v>
      </c>
      <c r="E66" s="1028">
        <f>'побудинковий звіт'!E64</f>
        <v>3180.35</v>
      </c>
      <c r="F66" s="1029">
        <f>'побудинковий звіт'!AS64</f>
        <v>22689.506186712952</v>
      </c>
      <c r="G66" s="1029">
        <f t="shared" si="0"/>
        <v>3583</v>
      </c>
      <c r="H66" s="1029">
        <f t="shared" si="1"/>
        <v>-19106.506186712952</v>
      </c>
      <c r="I66" s="43">
        <f>'[1]поточний ремонт'!I66+'[2]поточний ремонт'!I66-'[3]поточний ремонт'!I66</f>
        <v>0</v>
      </c>
      <c r="J66" s="43">
        <f>'[1]поточний ремонт'!J66+'[2]поточний ремонт'!J66-'[3]поточний ремонт'!J66</f>
        <v>0</v>
      </c>
      <c r="K66" s="1037"/>
      <c r="L66" s="43">
        <f>'[1]поточний ремонт'!L66+'[2]поточний ремонт'!L66-'[3]поточний ремонт'!L66</f>
        <v>0</v>
      </c>
      <c r="M66" s="43">
        <f>'[1]поточний ремонт'!M66+'[2]поточний ремонт'!M66-'[3]поточний ремонт'!M66</f>
        <v>0</v>
      </c>
      <c r="N66" s="37"/>
      <c r="O66" s="43">
        <f>'[1]поточний ремонт'!O66+'[2]поточний ремонт'!O66-'[3]поточний ремонт'!O66</f>
        <v>0</v>
      </c>
      <c r="P66" s="43">
        <f>'[1]поточний ремонт'!P66+'[2]поточний ремонт'!P66-'[3]поточний ремонт'!P66</f>
        <v>0</v>
      </c>
      <c r="Q66" s="1038"/>
      <c r="R66" s="43">
        <f>'[1]поточний ремонт'!R66+'[2]поточний ремонт'!R66-'[3]поточний ремонт'!R66</f>
        <v>0</v>
      </c>
      <c r="S66" s="43">
        <f>'[1]поточний ремонт'!S66+'[2]поточний ремонт'!S66-'[3]поточний ремонт'!S66</f>
        <v>0</v>
      </c>
      <c r="T66" s="1039"/>
      <c r="U66" s="43">
        <f>'[1]поточний ремонт'!U66+'[2]поточний ремонт'!U66-'[3]поточний ремонт'!U66</f>
        <v>0</v>
      </c>
      <c r="V66" s="43">
        <f>'[1]поточний ремонт'!V66+'[2]поточний ремонт'!V66-'[3]поточний ремонт'!V66</f>
        <v>0</v>
      </c>
      <c r="W66" s="43">
        <f>'[1]поточний ремонт'!W66+'[2]поточний ремонт'!W66-'[3]поточний ремонт'!W66</f>
        <v>0</v>
      </c>
      <c r="X66" s="43">
        <f>'[1]поточний ремонт'!X66+'[2]поточний ремонт'!X66-'[3]поточний ремонт'!X66</f>
        <v>0</v>
      </c>
      <c r="Y66" s="43">
        <f>'[1]поточний ремонт'!Y66+'[2]поточний ремонт'!Y66-'[3]поточний ремонт'!Y66</f>
        <v>3583</v>
      </c>
      <c r="Z66" s="43">
        <f>'[1]поточний ремонт'!Z66+'[2]поточний ремонт'!Z66-'[3]поточний ремонт'!Z66</f>
        <v>0</v>
      </c>
      <c r="AA66" s="43">
        <f>'[1]поточний ремонт'!AA66+'[2]поточний ремонт'!AA66-'[3]поточний ремонт'!AA66</f>
        <v>0</v>
      </c>
      <c r="AB66" s="43">
        <f>'[1]поточний ремонт'!AB66+'[2]поточний ремонт'!AB66-'[3]поточний ремонт'!AB66</f>
        <v>0</v>
      </c>
      <c r="AC66" s="43">
        <f>'[1]поточний ремонт'!AC66+'[2]поточний ремонт'!AC66-'[3]поточний ремонт'!AC66</f>
        <v>0</v>
      </c>
      <c r="AD66" s="43">
        <f>'[1]поточний ремонт'!AD66+'[2]поточний ремонт'!AD66-'[3]поточний ремонт'!AD66</f>
        <v>0</v>
      </c>
      <c r="AE66" s="43">
        <f>'[1]поточний ремонт'!AE66+'[2]поточний ремонт'!AE66-'[3]поточний ремонт'!AE66</f>
        <v>899.78292798016798</v>
      </c>
      <c r="AF66" s="43">
        <f>'[1]поточний ремонт'!AF66+'[2]поточний ремонт'!AF66-'[3]поточний ремонт'!AF66</f>
        <v>0</v>
      </c>
      <c r="AG66" s="1045"/>
      <c r="AH66" s="43">
        <f>'[1]поточний ремонт'!AH66+'[2]поточний ремонт'!AH66-'[3]поточний ремонт'!AH66</f>
        <v>1503.4989161478395</v>
      </c>
      <c r="AI66" s="43">
        <f>'[1]поточний ремонт'!AI66+'[2]поточний ремонт'!AI66-'[3]поточний ремонт'!AI66</f>
        <v>0</v>
      </c>
      <c r="AJ66" s="5"/>
      <c r="AK66" s="43">
        <f>'[1]поточний ремонт'!AK66+'[2]поточний ремонт'!AK66-'[3]поточний ремонт'!AK66</f>
        <v>1135.347303295345</v>
      </c>
      <c r="AL66" s="43">
        <f>'[1]поточний ремонт'!AL66+'[2]поточний ремонт'!AL66-'[3]поточний ремонт'!AL66</f>
        <v>1396</v>
      </c>
      <c r="AM66" s="5"/>
      <c r="AN66" s="43">
        <f>'[1]поточний ремонт'!AN66+'[2]поточний ремонт'!AN66-'[3]поточний ремонт'!AN66</f>
        <v>0</v>
      </c>
      <c r="AO66" s="43">
        <f>'[1]поточний ремонт'!AO66+'[2]поточний ремонт'!AO66-'[3]поточний ремонт'!AO66</f>
        <v>0</v>
      </c>
      <c r="AP66" s="5"/>
      <c r="AQ66" s="43">
        <f>'[1]поточний ремонт'!AQ66+'[2]поточний ремонт'!AQ66-'[3]поточний ремонт'!AQ66</f>
        <v>0</v>
      </c>
      <c r="AR66" s="43">
        <f>'[1]поточний ремонт'!AR66+'[2]поточний ремонт'!AR66-'[3]поточний ремонт'!AR66</f>
        <v>639</v>
      </c>
      <c r="AS66" s="5"/>
      <c r="AT66" s="43">
        <f>'[1]поточний ремонт'!AT66+'[2]поточний ремонт'!AT66-'[3]поточний ремонт'!AT66</f>
        <v>418.16597706575897</v>
      </c>
      <c r="AU66" s="43">
        <f>'[1]поточний ремонт'!AU66+'[2]поточний ремонт'!AU66-'[3]поточний ремонт'!AU66</f>
        <v>0</v>
      </c>
      <c r="AV66" s="5"/>
      <c r="AW66" s="43">
        <f>'[1]поточний ремонт'!AW66+'[2]поточний ремонт'!AW66-'[3]поточний ремонт'!AW66</f>
        <v>0</v>
      </c>
      <c r="AX66" s="43">
        <f>'[1]поточний ремонт'!AX66+'[2]поточний ремонт'!AX66-'[3]поточний ремонт'!AX66</f>
        <v>0</v>
      </c>
      <c r="AY66" s="5"/>
      <c r="AZ66" s="43">
        <f t="shared" si="2"/>
        <v>3956.795124489111</v>
      </c>
      <c r="BA66" s="43">
        <f t="shared" si="3"/>
        <v>2035</v>
      </c>
      <c r="BB66" s="59">
        <f t="shared" si="4"/>
        <v>-1921.795124489111</v>
      </c>
      <c r="BD66" s="2">
        <v>2</v>
      </c>
      <c r="BF66" s="30">
        <v>2.7557269487638814</v>
      </c>
      <c r="BG66" s="328">
        <v>150000521</v>
      </c>
      <c r="BI66" s="107">
        <v>0</v>
      </c>
      <c r="BJ66" s="107">
        <f t="shared" si="5"/>
        <v>0</v>
      </c>
      <c r="BK66" s="107">
        <v>0</v>
      </c>
      <c r="BL66" s="39"/>
      <c r="BM66" s="3"/>
      <c r="BN66" s="3">
        <v>0</v>
      </c>
      <c r="BP66" s="3"/>
      <c r="BQ66" s="3"/>
      <c r="BS66" s="43"/>
      <c r="BT66" s="43">
        <v>0</v>
      </c>
      <c r="BU66" s="1037"/>
      <c r="BV66" s="42"/>
      <c r="BW66" s="43"/>
      <c r="BX66" s="37"/>
      <c r="BY66" s="78"/>
      <c r="BZ66" s="43">
        <v>0</v>
      </c>
      <c r="CA66" s="1038"/>
      <c r="CB66" s="42">
        <v>0</v>
      </c>
      <c r="CC66" s="42">
        <v>0</v>
      </c>
      <c r="CD66" s="1039"/>
      <c r="CE66" s="78">
        <v>0</v>
      </c>
      <c r="CF66" s="56"/>
      <c r="CG66" s="42">
        <v>0</v>
      </c>
      <c r="CH66" s="39">
        <v>0</v>
      </c>
      <c r="CI66" s="78">
        <v>0</v>
      </c>
      <c r="CJ66" s="56"/>
      <c r="CK66" s="1034"/>
      <c r="CL66" s="1029"/>
      <c r="CM66" s="1034"/>
      <c r="CN66" s="1029">
        <v>0</v>
      </c>
      <c r="CO66" s="78">
        <v>74.981910665014013</v>
      </c>
      <c r="CP66" s="43">
        <v>0</v>
      </c>
      <c r="CQ66" s="1045"/>
      <c r="CR66" s="78">
        <v>125.2915763456533</v>
      </c>
      <c r="CS66" s="1033">
        <v>0</v>
      </c>
      <c r="CT66" s="5"/>
      <c r="CU66" s="78">
        <v>94.61227527461206</v>
      </c>
      <c r="CV66" s="43">
        <v>0</v>
      </c>
      <c r="CW66" s="5"/>
      <c r="CX66" s="78">
        <v>0</v>
      </c>
      <c r="CY66" s="43">
        <v>0</v>
      </c>
      <c r="CZ66" s="5"/>
      <c r="DA66" s="78">
        <v>0</v>
      </c>
      <c r="DB66" s="43">
        <v>0</v>
      </c>
      <c r="DC66" s="5"/>
      <c r="DD66" s="78">
        <v>34.847164755479909</v>
      </c>
      <c r="DE66" s="43">
        <v>0</v>
      </c>
      <c r="DF66" s="5"/>
      <c r="DG66" s="78">
        <v>0</v>
      </c>
      <c r="DH66" s="43"/>
      <c r="DI66" s="5"/>
      <c r="DJ66" s="43">
        <v>329.73292704075931</v>
      </c>
      <c r="DK66" s="43">
        <f t="shared" si="6"/>
        <v>0</v>
      </c>
      <c r="DL66" s="59">
        <f t="shared" si="7"/>
        <v>-329.73292704075931</v>
      </c>
    </row>
    <row r="67" spans="1:116" ht="24.9" customHeight="1" x14ac:dyDescent="0.3">
      <c r="A67" s="328">
        <v>150000523</v>
      </c>
      <c r="B67" s="45" t="s">
        <v>57</v>
      </c>
      <c r="C67" s="1035">
        <v>1</v>
      </c>
      <c r="D67" s="1036" t="s">
        <v>454</v>
      </c>
      <c r="E67" s="1028">
        <f>'побудинковий звіт'!E65</f>
        <v>3219.5</v>
      </c>
      <c r="F67" s="1029">
        <f>'побудинковий звіт'!AS65</f>
        <v>4048.826057097257</v>
      </c>
      <c r="G67" s="1029">
        <f t="shared" si="0"/>
        <v>0</v>
      </c>
      <c r="H67" s="1029">
        <f t="shared" si="1"/>
        <v>-4048.826057097257</v>
      </c>
      <c r="I67" s="43">
        <f>'[1]поточний ремонт'!I67+'[2]поточний ремонт'!I67-'[3]поточний ремонт'!I67</f>
        <v>0</v>
      </c>
      <c r="J67" s="43">
        <f>'[1]поточний ремонт'!J67+'[2]поточний ремонт'!J67-'[3]поточний ремонт'!J67</f>
        <v>0</v>
      </c>
      <c r="K67" s="1037"/>
      <c r="L67" s="43">
        <f>'[1]поточний ремонт'!L67+'[2]поточний ремонт'!L67-'[3]поточний ремонт'!L67</f>
        <v>0</v>
      </c>
      <c r="M67" s="43">
        <f>'[1]поточний ремонт'!M67+'[2]поточний ремонт'!M67-'[3]поточний ремонт'!M67</f>
        <v>0</v>
      </c>
      <c r="N67" s="37"/>
      <c r="O67" s="43">
        <f>'[1]поточний ремонт'!O67+'[2]поточний ремонт'!O67-'[3]поточний ремонт'!O67</f>
        <v>0</v>
      </c>
      <c r="P67" s="43">
        <f>'[1]поточний ремонт'!P67+'[2]поточний ремонт'!P67-'[3]поточний ремонт'!P67</f>
        <v>0</v>
      </c>
      <c r="Q67" s="1038"/>
      <c r="R67" s="43">
        <f>'[1]поточний ремонт'!R67+'[2]поточний ремонт'!R67-'[3]поточний ремонт'!R67</f>
        <v>0</v>
      </c>
      <c r="S67" s="43">
        <f>'[1]поточний ремонт'!S67+'[2]поточний ремонт'!S67-'[3]поточний ремонт'!S67</f>
        <v>0</v>
      </c>
      <c r="T67" s="1039"/>
      <c r="U67" s="43">
        <f>'[1]поточний ремонт'!U67+'[2]поточний ремонт'!U67-'[3]поточний ремонт'!U67</f>
        <v>0</v>
      </c>
      <c r="V67" s="43">
        <f>'[1]поточний ремонт'!V67+'[2]поточний ремонт'!V67-'[3]поточний ремонт'!V67</f>
        <v>0</v>
      </c>
      <c r="W67" s="43">
        <f>'[1]поточний ремонт'!W67+'[2]поточний ремонт'!W67-'[3]поточний ремонт'!W67</f>
        <v>0</v>
      </c>
      <c r="X67" s="43">
        <f>'[1]поточний ремонт'!X67+'[2]поточний ремонт'!X67-'[3]поточний ремонт'!X67</f>
        <v>0</v>
      </c>
      <c r="Y67" s="43">
        <f>'[1]поточний ремонт'!Y67+'[2]поточний ремонт'!Y67-'[3]поточний ремонт'!Y67</f>
        <v>0</v>
      </c>
      <c r="Z67" s="43">
        <f>'[1]поточний ремонт'!Z67+'[2]поточний ремонт'!Z67-'[3]поточний ремонт'!Z67</f>
        <v>0</v>
      </c>
      <c r="AA67" s="43">
        <f>'[1]поточний ремонт'!AA67+'[2]поточний ремонт'!AA67-'[3]поточний ремонт'!AA67</f>
        <v>0</v>
      </c>
      <c r="AB67" s="43">
        <f>'[1]поточний ремонт'!AB67+'[2]поточний ремонт'!AB67-'[3]поточний ремонт'!AB67</f>
        <v>0</v>
      </c>
      <c r="AC67" s="43">
        <f>'[1]поточний ремонт'!AC67+'[2]поточний ремонт'!AC67-'[3]поточний ремонт'!AC67</f>
        <v>0</v>
      </c>
      <c r="AD67" s="43">
        <f>'[1]поточний ремонт'!AD67+'[2]поточний ремонт'!AD67-'[3]поточний ремонт'!AD67</f>
        <v>0</v>
      </c>
      <c r="AE67" s="43">
        <f>'[1]поточний ремонт'!AE67+'[2]поточний ремонт'!AE67-'[3]поточний ремонт'!AE67</f>
        <v>0</v>
      </c>
      <c r="AF67" s="43">
        <f>'[1]поточний ремонт'!AF67+'[2]поточний ремонт'!AF67-'[3]поточний ремонт'!AF67</f>
        <v>0</v>
      </c>
      <c r="AG67" s="5"/>
      <c r="AH67" s="43">
        <f>'[1]поточний ремонт'!AH67+'[2]поточний ремонт'!AH67-'[3]поточний ремонт'!AH67</f>
        <v>0</v>
      </c>
      <c r="AI67" s="43">
        <f>'[1]поточний ремонт'!AI67+'[2]поточний ремонт'!AI67-'[3]поточний ремонт'!AI67</f>
        <v>0</v>
      </c>
      <c r="AJ67" s="5"/>
      <c r="AK67" s="43">
        <f>'[1]поточний ремонт'!AK67+'[2]поточний ремонт'!AK67-'[3]поточний ремонт'!AK67</f>
        <v>0</v>
      </c>
      <c r="AL67" s="43">
        <f>'[1]поточний ремонт'!AL67+'[2]поточний ремонт'!AL67-'[3]поточний ремонт'!AL67</f>
        <v>0</v>
      </c>
      <c r="AM67" s="5"/>
      <c r="AN67" s="43">
        <f>'[1]поточний ремонт'!AN67+'[2]поточний ремонт'!AN67-'[3]поточний ремонт'!AN67</f>
        <v>0</v>
      </c>
      <c r="AO67" s="43">
        <f>'[1]поточний ремонт'!AO67+'[2]поточний ремонт'!AO67-'[3]поточний ремонт'!AO67</f>
        <v>0</v>
      </c>
      <c r="AP67" s="5"/>
      <c r="AQ67" s="43">
        <f>'[1]поточний ремонт'!AQ67+'[2]поточний ремонт'!AQ67-'[3]поточний ремонт'!AQ67</f>
        <v>0</v>
      </c>
      <c r="AR67" s="43">
        <f>'[1]поточний ремонт'!AR67+'[2]поточний ремонт'!AR67-'[3]поточний ремонт'!AR67</f>
        <v>0</v>
      </c>
      <c r="AS67" s="5"/>
      <c r="AT67" s="43">
        <f>'[1]поточний ремонт'!AT67+'[2]поточний ремонт'!AT67-'[3]поточний ремонт'!AT67</f>
        <v>0</v>
      </c>
      <c r="AU67" s="43">
        <f>'[1]поточний ремонт'!AU67+'[2]поточний ремонт'!AU67-'[3]поточний ремонт'!AU67</f>
        <v>0</v>
      </c>
      <c r="AV67" s="5"/>
      <c r="AW67" s="43">
        <f>'[1]поточний ремонт'!AW67+'[2]поточний ремонт'!AW67-'[3]поточний ремонт'!AW67</f>
        <v>0</v>
      </c>
      <c r="AX67" s="43">
        <f>'[1]поточний ремонт'!AX67+'[2]поточний ремонт'!AX67-'[3]поточний ремонт'!AX67</f>
        <v>0</v>
      </c>
      <c r="AY67" s="5"/>
      <c r="AZ67" s="43">
        <f t="shared" si="2"/>
        <v>0</v>
      </c>
      <c r="BA67" s="43">
        <f t="shared" si="3"/>
        <v>0</v>
      </c>
      <c r="BB67" s="59">
        <f t="shared" si="4"/>
        <v>0</v>
      </c>
      <c r="BD67" s="2">
        <v>1</v>
      </c>
      <c r="BF67" s="30">
        <v>0</v>
      </c>
      <c r="BG67" s="328">
        <v>150000523</v>
      </c>
      <c r="BI67" s="107">
        <v>0</v>
      </c>
      <c r="BJ67" s="107">
        <f t="shared" si="5"/>
        <v>0</v>
      </c>
      <c r="BK67" s="107">
        <v>0</v>
      </c>
      <c r="BL67" s="39"/>
      <c r="BM67" s="3"/>
      <c r="BN67" s="3">
        <v>0</v>
      </c>
      <c r="BP67" s="3"/>
      <c r="BQ67" s="3"/>
      <c r="BS67" s="43"/>
      <c r="BT67" s="43">
        <v>0</v>
      </c>
      <c r="BU67" s="1037"/>
      <c r="BV67" s="42"/>
      <c r="BW67" s="43"/>
      <c r="BX67" s="37"/>
      <c r="BY67" s="78"/>
      <c r="BZ67" s="43">
        <v>0</v>
      </c>
      <c r="CA67" s="1038"/>
      <c r="CB67" s="42">
        <v>0</v>
      </c>
      <c r="CC67" s="42">
        <v>0</v>
      </c>
      <c r="CD67" s="1039"/>
      <c r="CE67" s="78">
        <v>0</v>
      </c>
      <c r="CF67" s="56"/>
      <c r="CG67" s="42">
        <v>0</v>
      </c>
      <c r="CH67" s="39">
        <v>0</v>
      </c>
      <c r="CI67" s="78">
        <v>0</v>
      </c>
      <c r="CJ67" s="56"/>
      <c r="CK67" s="1034"/>
      <c r="CL67" s="1029"/>
      <c r="CM67" s="1034"/>
      <c r="CN67" s="1029">
        <v>0</v>
      </c>
      <c r="CO67" s="78">
        <v>0</v>
      </c>
      <c r="CP67" s="43">
        <v>0</v>
      </c>
      <c r="CQ67" s="5"/>
      <c r="CR67" s="78">
        <v>0</v>
      </c>
      <c r="CS67" s="1033">
        <v>0</v>
      </c>
      <c r="CT67" s="5"/>
      <c r="CU67" s="78">
        <v>0</v>
      </c>
      <c r="CV67" s="43">
        <v>0</v>
      </c>
      <c r="CW67" s="5"/>
      <c r="CX67" s="78">
        <v>0</v>
      </c>
      <c r="CY67" s="43">
        <v>0</v>
      </c>
      <c r="CZ67" s="5"/>
      <c r="DA67" s="78">
        <v>0</v>
      </c>
      <c r="DB67" s="43">
        <v>0</v>
      </c>
      <c r="DC67" s="5"/>
      <c r="DD67" s="78">
        <v>0</v>
      </c>
      <c r="DE67" s="43">
        <v>0</v>
      </c>
      <c r="DF67" s="5"/>
      <c r="DG67" s="78">
        <v>0</v>
      </c>
      <c r="DH67" s="43"/>
      <c r="DI67" s="5"/>
      <c r="DJ67" s="43">
        <v>0</v>
      </c>
      <c r="DK67" s="43">
        <f t="shared" si="6"/>
        <v>0</v>
      </c>
      <c r="DL67" s="59">
        <f t="shared" si="7"/>
        <v>0</v>
      </c>
    </row>
    <row r="68" spans="1:116" ht="24.9" customHeight="1" x14ac:dyDescent="0.3">
      <c r="A68" s="328">
        <v>150000527</v>
      </c>
      <c r="B68" s="45" t="s">
        <v>60</v>
      </c>
      <c r="C68" s="1035">
        <v>1</v>
      </c>
      <c r="D68" s="1036" t="s">
        <v>454</v>
      </c>
      <c r="E68" s="1028">
        <f>'побудинковий звіт'!E66</f>
        <v>1738.1</v>
      </c>
      <c r="F68" s="1029">
        <f>'побудинковий звіт'!AS66</f>
        <v>4378.9220064616811</v>
      </c>
      <c r="G68" s="1029">
        <f t="shared" si="0"/>
        <v>0</v>
      </c>
      <c r="H68" s="1029">
        <f t="shared" si="1"/>
        <v>-4378.9220064616811</v>
      </c>
      <c r="I68" s="43">
        <f>'[1]поточний ремонт'!I68+'[2]поточний ремонт'!I68-'[3]поточний ремонт'!I68</f>
        <v>0</v>
      </c>
      <c r="J68" s="43">
        <f>'[1]поточний ремонт'!J68+'[2]поточний ремонт'!J68-'[3]поточний ремонт'!J68</f>
        <v>0</v>
      </c>
      <c r="K68" s="1037"/>
      <c r="L68" s="43">
        <f>'[1]поточний ремонт'!L68+'[2]поточний ремонт'!L68-'[3]поточний ремонт'!L68</f>
        <v>0</v>
      </c>
      <c r="M68" s="43">
        <f>'[1]поточний ремонт'!M68+'[2]поточний ремонт'!M68-'[3]поточний ремонт'!M68</f>
        <v>0</v>
      </c>
      <c r="N68" s="37"/>
      <c r="O68" s="43">
        <f>'[1]поточний ремонт'!O68+'[2]поточний ремонт'!O68-'[3]поточний ремонт'!O68</f>
        <v>0</v>
      </c>
      <c r="P68" s="43">
        <f>'[1]поточний ремонт'!P68+'[2]поточний ремонт'!P68-'[3]поточний ремонт'!P68</f>
        <v>0</v>
      </c>
      <c r="Q68" s="1038"/>
      <c r="R68" s="43">
        <f>'[1]поточний ремонт'!R68+'[2]поточний ремонт'!R68-'[3]поточний ремонт'!R68</f>
        <v>0</v>
      </c>
      <c r="S68" s="43">
        <f>'[1]поточний ремонт'!S68+'[2]поточний ремонт'!S68-'[3]поточний ремонт'!S68</f>
        <v>0</v>
      </c>
      <c r="T68" s="1039"/>
      <c r="U68" s="43">
        <f>'[1]поточний ремонт'!U68+'[2]поточний ремонт'!U68-'[3]поточний ремонт'!U68</f>
        <v>0</v>
      </c>
      <c r="V68" s="43">
        <f>'[1]поточний ремонт'!V68+'[2]поточний ремонт'!V68-'[3]поточний ремонт'!V68</f>
        <v>0</v>
      </c>
      <c r="W68" s="43">
        <f>'[1]поточний ремонт'!W68+'[2]поточний ремонт'!W68-'[3]поточний ремонт'!W68</f>
        <v>0</v>
      </c>
      <c r="X68" s="43">
        <f>'[1]поточний ремонт'!X68+'[2]поточний ремонт'!X68-'[3]поточний ремонт'!X68</f>
        <v>0</v>
      </c>
      <c r="Y68" s="43">
        <f>'[1]поточний ремонт'!Y68+'[2]поточний ремонт'!Y68-'[3]поточний ремонт'!Y68</f>
        <v>0</v>
      </c>
      <c r="Z68" s="43">
        <f>'[1]поточний ремонт'!Z68+'[2]поточний ремонт'!Z68-'[3]поточний ремонт'!Z68</f>
        <v>0</v>
      </c>
      <c r="AA68" s="43">
        <f>'[1]поточний ремонт'!AA68+'[2]поточний ремонт'!AA68-'[3]поточний ремонт'!AA68</f>
        <v>0</v>
      </c>
      <c r="AB68" s="43">
        <f>'[1]поточний ремонт'!AB68+'[2]поточний ремонт'!AB68-'[3]поточний ремонт'!AB68</f>
        <v>0</v>
      </c>
      <c r="AC68" s="43">
        <f>'[1]поточний ремонт'!AC68+'[2]поточний ремонт'!AC68-'[3]поточний ремонт'!AC68</f>
        <v>0</v>
      </c>
      <c r="AD68" s="43">
        <f>'[1]поточний ремонт'!AD68+'[2]поточний ремонт'!AD68-'[3]поточний ремонт'!AD68</f>
        <v>0</v>
      </c>
      <c r="AE68" s="43">
        <f>'[1]поточний ремонт'!AE68+'[2]поточний ремонт'!AE68-'[3]поточний ремонт'!AE68</f>
        <v>0</v>
      </c>
      <c r="AF68" s="43">
        <f>'[1]поточний ремонт'!AF68+'[2]поточний ремонт'!AF68-'[3]поточний ремонт'!AF68</f>
        <v>0</v>
      </c>
      <c r="AG68" s="5"/>
      <c r="AH68" s="43">
        <f>'[1]поточний ремонт'!AH68+'[2]поточний ремонт'!AH68-'[3]поточний ремонт'!AH68</f>
        <v>0</v>
      </c>
      <c r="AI68" s="43">
        <f>'[1]поточний ремонт'!AI68+'[2]поточний ремонт'!AI68-'[3]поточний ремонт'!AI68</f>
        <v>0</v>
      </c>
      <c r="AJ68" s="5"/>
      <c r="AK68" s="43">
        <f>'[1]поточний ремонт'!AK68+'[2]поточний ремонт'!AK68-'[3]поточний ремонт'!AK68</f>
        <v>0</v>
      </c>
      <c r="AL68" s="43">
        <f>'[1]поточний ремонт'!AL68+'[2]поточний ремонт'!AL68-'[3]поточний ремонт'!AL68</f>
        <v>0</v>
      </c>
      <c r="AM68" s="5"/>
      <c r="AN68" s="43">
        <f>'[1]поточний ремонт'!AN68+'[2]поточний ремонт'!AN68-'[3]поточний ремонт'!AN68</f>
        <v>0</v>
      </c>
      <c r="AO68" s="43">
        <f>'[1]поточний ремонт'!AO68+'[2]поточний ремонт'!AO68-'[3]поточний ремонт'!AO68</f>
        <v>0</v>
      </c>
      <c r="AP68" s="5"/>
      <c r="AQ68" s="43">
        <f>'[1]поточний ремонт'!AQ68+'[2]поточний ремонт'!AQ68-'[3]поточний ремонт'!AQ68</f>
        <v>0</v>
      </c>
      <c r="AR68" s="43">
        <f>'[1]поточний ремонт'!AR68+'[2]поточний ремонт'!AR68-'[3]поточний ремонт'!AR68</f>
        <v>0</v>
      </c>
      <c r="AS68" s="5"/>
      <c r="AT68" s="43">
        <f>'[1]поточний ремонт'!AT68+'[2]поточний ремонт'!AT68-'[3]поточний ремонт'!AT68</f>
        <v>0</v>
      </c>
      <c r="AU68" s="43">
        <f>'[1]поточний ремонт'!AU68+'[2]поточний ремонт'!AU68-'[3]поточний ремонт'!AU68</f>
        <v>0</v>
      </c>
      <c r="AV68" s="5"/>
      <c r="AW68" s="43">
        <f>'[1]поточний ремонт'!AW68+'[2]поточний ремонт'!AW68-'[3]поточний ремонт'!AW68</f>
        <v>0</v>
      </c>
      <c r="AX68" s="43">
        <f>'[1]поточний ремонт'!AX68+'[2]поточний ремонт'!AX68-'[3]поточний ремонт'!AX68</f>
        <v>0</v>
      </c>
      <c r="AY68" s="5"/>
      <c r="AZ68" s="43">
        <f t="shared" si="2"/>
        <v>0</v>
      </c>
      <c r="BA68" s="43">
        <f t="shared" si="3"/>
        <v>0</v>
      </c>
      <c r="BB68" s="59">
        <f t="shared" si="4"/>
        <v>0</v>
      </c>
      <c r="BD68" s="2">
        <v>1</v>
      </c>
      <c r="BF68" s="30">
        <v>0</v>
      </c>
      <c r="BG68" s="328">
        <v>150000527</v>
      </c>
      <c r="BI68" s="107">
        <v>0</v>
      </c>
      <c r="BJ68" s="107">
        <f t="shared" si="5"/>
        <v>0</v>
      </c>
      <c r="BK68" s="107">
        <v>0</v>
      </c>
      <c r="BL68" s="39"/>
      <c r="BM68" s="3"/>
      <c r="BN68" s="3">
        <v>0</v>
      </c>
      <c r="BP68" s="3"/>
      <c r="BQ68" s="3"/>
      <c r="BS68" s="43"/>
      <c r="BT68" s="43">
        <v>0</v>
      </c>
      <c r="BU68" s="1037"/>
      <c r="BV68" s="42"/>
      <c r="BW68" s="43"/>
      <c r="BX68" s="37"/>
      <c r="BY68" s="78"/>
      <c r="BZ68" s="43">
        <v>0</v>
      </c>
      <c r="CA68" s="1038"/>
      <c r="CB68" s="42">
        <v>0</v>
      </c>
      <c r="CC68" s="42">
        <v>0</v>
      </c>
      <c r="CD68" s="1039"/>
      <c r="CE68" s="78">
        <v>0</v>
      </c>
      <c r="CF68" s="56"/>
      <c r="CG68" s="42">
        <v>0</v>
      </c>
      <c r="CH68" s="39">
        <v>0</v>
      </c>
      <c r="CI68" s="78">
        <v>0</v>
      </c>
      <c r="CJ68" s="56"/>
      <c r="CK68" s="1034"/>
      <c r="CL68" s="1029"/>
      <c r="CM68" s="1034"/>
      <c r="CN68" s="1029">
        <v>0</v>
      </c>
      <c r="CO68" s="78">
        <v>0</v>
      </c>
      <c r="CP68" s="43">
        <v>0</v>
      </c>
      <c r="CQ68" s="5"/>
      <c r="CR68" s="78">
        <v>0</v>
      </c>
      <c r="CS68" s="1033">
        <v>0</v>
      </c>
      <c r="CT68" s="5"/>
      <c r="CU68" s="78">
        <v>0</v>
      </c>
      <c r="CV68" s="43">
        <v>0</v>
      </c>
      <c r="CW68" s="5"/>
      <c r="CX68" s="78">
        <v>0</v>
      </c>
      <c r="CY68" s="43">
        <v>0</v>
      </c>
      <c r="CZ68" s="5"/>
      <c r="DA68" s="78">
        <v>0</v>
      </c>
      <c r="DB68" s="43">
        <v>0</v>
      </c>
      <c r="DC68" s="5"/>
      <c r="DD68" s="78">
        <v>0</v>
      </c>
      <c r="DE68" s="43">
        <v>0</v>
      </c>
      <c r="DF68" s="5"/>
      <c r="DG68" s="78">
        <v>0</v>
      </c>
      <c r="DH68" s="43"/>
      <c r="DI68" s="5"/>
      <c r="DJ68" s="43">
        <v>0</v>
      </c>
      <c r="DK68" s="43">
        <f t="shared" si="6"/>
        <v>0</v>
      </c>
      <c r="DL68" s="59">
        <f t="shared" si="7"/>
        <v>0</v>
      </c>
    </row>
    <row r="69" spans="1:116" ht="24.9" customHeight="1" x14ac:dyDescent="0.3">
      <c r="A69" s="328">
        <v>150000529</v>
      </c>
      <c r="B69" s="45" t="s">
        <v>347</v>
      </c>
      <c r="C69" s="1035">
        <v>9</v>
      </c>
      <c r="D69" s="1036" t="s">
        <v>454</v>
      </c>
      <c r="E69" s="1028">
        <f>'побудинковий звіт'!E67</f>
        <v>2148</v>
      </c>
      <c r="F69" s="1029">
        <f>'побудинковий звіт'!AS67</f>
        <v>167368.30681827466</v>
      </c>
      <c r="G69" s="1029">
        <f t="shared" si="0"/>
        <v>71000.47215661456</v>
      </c>
      <c r="H69" s="1029">
        <f t="shared" si="1"/>
        <v>-96367.834661660105</v>
      </c>
      <c r="I69" s="43">
        <f>'[1]поточний ремонт'!I69+'[2]поточний ремонт'!I69-'[3]поточний ремонт'!I69</f>
        <v>12</v>
      </c>
      <c r="J69" s="43">
        <f>'[1]поточний ремонт'!J69+'[2]поточний ремонт'!J69-'[3]поточний ремонт'!J69</f>
        <v>4181</v>
      </c>
      <c r="K69" s="1037"/>
      <c r="L69" s="43">
        <f>'[1]поточний ремонт'!L69+'[2]поточний ремонт'!L69-'[3]поточний ремонт'!L69</f>
        <v>0</v>
      </c>
      <c r="M69" s="43">
        <f>'[1]поточний ремонт'!M69+'[2]поточний ремонт'!M69-'[3]поточний ремонт'!M69</f>
        <v>0</v>
      </c>
      <c r="N69" s="37"/>
      <c r="O69" s="43">
        <f>'[1]поточний ремонт'!O69+'[2]поточний ремонт'!O69-'[3]поточний ремонт'!O69</f>
        <v>0</v>
      </c>
      <c r="P69" s="43">
        <f>'[1]поточний ремонт'!P69+'[2]поточний ремонт'!P69-'[3]поточний ремонт'!P69</f>
        <v>0</v>
      </c>
      <c r="Q69" s="1038"/>
      <c r="R69" s="43">
        <f>'[1]поточний ремонт'!R69+'[2]поточний ремонт'!R69-'[3]поточний ремонт'!R69</f>
        <v>0</v>
      </c>
      <c r="S69" s="43">
        <f>'[1]поточний ремонт'!S69+'[2]поточний ремонт'!S69-'[3]поточний ремонт'!S69</f>
        <v>0</v>
      </c>
      <c r="T69" s="1047"/>
      <c r="U69" s="43">
        <f>'[1]поточний ремонт'!U69+'[2]поточний ремонт'!U69-'[3]поточний ремонт'!U69</f>
        <v>0</v>
      </c>
      <c r="V69" s="43">
        <f>'[1]поточний ремонт'!V69+'[2]поточний ремонт'!V69-'[3]поточний ремонт'!V69</f>
        <v>0</v>
      </c>
      <c r="W69" s="43">
        <f>'[1]поточний ремонт'!W69+'[2]поточний ремонт'!W69-'[3]поточний ремонт'!W69</f>
        <v>8</v>
      </c>
      <c r="X69" s="43">
        <f>'[1]поточний ремонт'!X69+'[2]поточний ремонт'!X69-'[3]поточний ремонт'!X69</f>
        <v>3057.4721566145668</v>
      </c>
      <c r="Y69" s="43">
        <f>'[1]поточний ремонт'!Y69+'[2]поточний ремонт'!Y69-'[3]поточний ремонт'!Y69</f>
        <v>42943</v>
      </c>
      <c r="Z69" s="43">
        <f>'[1]поточний ремонт'!Z69+'[2]поточний ремонт'!Z69-'[3]поточний ремонт'!Z69</f>
        <v>0</v>
      </c>
      <c r="AA69" s="43">
        <f>'[1]поточний ремонт'!AA69+'[2]поточний ремонт'!AA69-'[3]поточний ремонт'!AA69</f>
        <v>0</v>
      </c>
      <c r="AB69" s="43">
        <f>'[1]поточний ремонт'!AB69+'[2]поточний ремонт'!AB69-'[3]поточний ремонт'!AB69</f>
        <v>632</v>
      </c>
      <c r="AC69" s="43">
        <f>'[1]поточний ремонт'!AC69+'[2]поточний ремонт'!AC69-'[3]поточний ремонт'!AC69</f>
        <v>6570</v>
      </c>
      <c r="AD69" s="43">
        <f>'[1]поточний ремонт'!AD69+'[2]поточний ремонт'!AD69-'[3]поточний ремонт'!AD69</f>
        <v>13617</v>
      </c>
      <c r="AE69" s="43">
        <f>'[1]поточний ремонт'!AE69+'[2]поточний ремонт'!AE69-'[3]поточний ремонт'!AE69</f>
        <v>478.0102096852371</v>
      </c>
      <c r="AF69" s="43">
        <f>'[1]поточний ремонт'!AF69+'[2]поточний ремонт'!AF69-'[3]поточний ремонт'!AF69</f>
        <v>628</v>
      </c>
      <c r="AG69" s="1045"/>
      <c r="AH69" s="43">
        <f>'[1]поточний ремонт'!AH69+'[2]поточний ремонт'!AH69-'[3]поточний ремонт'!AH69</f>
        <v>643.60658418528624</v>
      </c>
      <c r="AI69" s="43">
        <f>'[1]поточний ремонт'!AI69+'[2]поточний ремонт'!AI69-'[3]поточний ремонт'!AI69</f>
        <v>2835</v>
      </c>
      <c r="AJ69" s="5"/>
      <c r="AK69" s="43">
        <f>'[1]поточний ремонт'!AK69+'[2]поточний ремонт'!AK69-'[3]поточний ремонт'!AK69</f>
        <v>1317.4428399445619</v>
      </c>
      <c r="AL69" s="43">
        <f>'[1]поточний ремонт'!AL69+'[2]поточний ремонт'!AL69-'[3]поточний ремонт'!AL69</f>
        <v>0</v>
      </c>
      <c r="AM69" s="5"/>
      <c r="AN69" s="43">
        <f>'[1]поточний ремонт'!AN69+'[2]поточний ремонт'!AN69-'[3]поточний ремонт'!AN69</f>
        <v>542.01835825490218</v>
      </c>
      <c r="AO69" s="43">
        <f>'[1]поточний ремонт'!AO69+'[2]поточний ремонт'!AO69-'[3]поточний ремонт'!AO69</f>
        <v>0</v>
      </c>
      <c r="AP69" s="5"/>
      <c r="AQ69" s="43">
        <f>'[1]поточний ремонт'!AQ69+'[2]поточний ремонт'!AQ69-'[3]поточний ремонт'!AQ69</f>
        <v>467.73559800676423</v>
      </c>
      <c r="AR69" s="43">
        <f>'[1]поточний ремонт'!AR69+'[2]поточний ремонт'!AR69-'[3]поточний ремонт'!AR69</f>
        <v>0</v>
      </c>
      <c r="AS69" s="5"/>
      <c r="AT69" s="43">
        <f>'[1]поточний ремонт'!AT69+'[2]поточний ремонт'!AT69-'[3]поточний ремонт'!AT69</f>
        <v>742.91309362602863</v>
      </c>
      <c r="AU69" s="43">
        <f>'[1]поточний ремонт'!AU69+'[2]поточний ремонт'!AU69-'[3]поточний ремонт'!AU69</f>
        <v>8582.8863751726149</v>
      </c>
      <c r="AV69" s="5"/>
      <c r="AW69" s="43">
        <f>'[1]поточний ремонт'!AW69+'[2]поточний ремонт'!AW69-'[3]поточний ремонт'!AW69</f>
        <v>1396.4533431190202</v>
      </c>
      <c r="AX69" s="43">
        <f>'[1]поточний ремонт'!AX69+'[2]поточний ремонт'!AX69-'[3]поточний ремонт'!AX69</f>
        <v>11858</v>
      </c>
      <c r="AY69" s="5"/>
      <c r="AZ69" s="43">
        <f t="shared" si="2"/>
        <v>5588.1800268218003</v>
      </c>
      <c r="BA69" s="43">
        <f t="shared" si="3"/>
        <v>23903.886375172617</v>
      </c>
      <c r="BB69" s="59">
        <f t="shared" si="4"/>
        <v>18315.706348350817</v>
      </c>
      <c r="BD69" s="2">
        <v>1</v>
      </c>
      <c r="BF69" s="30">
        <v>419.49547598634831</v>
      </c>
      <c r="BG69" s="328">
        <v>150000529</v>
      </c>
      <c r="BI69" s="107">
        <v>32.57</v>
      </c>
      <c r="BJ69" s="107">
        <f t="shared" si="5"/>
        <v>4.5813678539999998</v>
      </c>
      <c r="BK69" s="107">
        <v>37.562518375720003</v>
      </c>
      <c r="BL69" s="39"/>
      <c r="BM69" s="3"/>
      <c r="BN69" s="3">
        <v>0</v>
      </c>
      <c r="BP69" s="3"/>
      <c r="BQ69" s="3"/>
      <c r="BS69" s="43"/>
      <c r="BT69" s="43">
        <v>0</v>
      </c>
      <c r="BU69" s="1037"/>
      <c r="BV69" s="42"/>
      <c r="BW69" s="43"/>
      <c r="BX69" s="37"/>
      <c r="BY69" s="78"/>
      <c r="BZ69" s="43">
        <v>0</v>
      </c>
      <c r="CA69" s="1038"/>
      <c r="CB69" s="42">
        <v>1</v>
      </c>
      <c r="CC69" s="42">
        <v>3552.3869656739203</v>
      </c>
      <c r="CD69" s="1047"/>
      <c r="CE69" s="78">
        <v>0</v>
      </c>
      <c r="CF69" s="56"/>
      <c r="CG69" s="42">
        <v>0</v>
      </c>
      <c r="CH69" s="39">
        <v>37.562518375720003</v>
      </c>
      <c r="CI69" s="78">
        <v>5706.2666538116373</v>
      </c>
      <c r="CJ69" s="1051"/>
      <c r="CK69" s="1034"/>
      <c r="CL69" s="1029">
        <v>730</v>
      </c>
      <c r="CM69" s="1034"/>
      <c r="CN69" s="1029">
        <v>0</v>
      </c>
      <c r="CO69" s="78">
        <v>39.83418414043642</v>
      </c>
      <c r="CP69" s="43">
        <v>0</v>
      </c>
      <c r="CQ69" s="1045"/>
      <c r="CR69" s="78">
        <v>53.63388201544052</v>
      </c>
      <c r="CS69" s="1033">
        <v>0</v>
      </c>
      <c r="CT69" s="5"/>
      <c r="CU69" s="78">
        <v>109.78690332871349</v>
      </c>
      <c r="CV69" s="43">
        <v>0</v>
      </c>
      <c r="CW69" s="5"/>
      <c r="CX69" s="78">
        <v>45.16819652124186</v>
      </c>
      <c r="CY69" s="43">
        <v>0</v>
      </c>
      <c r="CZ69" s="5"/>
      <c r="DA69" s="78">
        <v>38.977966500563689</v>
      </c>
      <c r="DB69" s="43">
        <v>0</v>
      </c>
      <c r="DC69" s="5"/>
      <c r="DD69" s="78">
        <v>61.909424468835716</v>
      </c>
      <c r="DE69" s="43">
        <v>0</v>
      </c>
      <c r="DF69" s="5"/>
      <c r="DG69" s="78">
        <v>116.37111192658503</v>
      </c>
      <c r="DH69" s="43"/>
      <c r="DI69" s="5"/>
      <c r="DJ69" s="43">
        <v>465.68166890181669</v>
      </c>
      <c r="DK69" s="43">
        <f t="shared" si="6"/>
        <v>0</v>
      </c>
      <c r="DL69" s="59">
        <f t="shared" si="7"/>
        <v>-465.68166890181669</v>
      </c>
    </row>
    <row r="70" spans="1:116" ht="24.9" customHeight="1" x14ac:dyDescent="0.3">
      <c r="A70" s="328">
        <v>150000530</v>
      </c>
      <c r="B70" s="45" t="s">
        <v>62</v>
      </c>
      <c r="C70" s="1035">
        <v>1</v>
      </c>
      <c r="D70" s="1036" t="s">
        <v>454</v>
      </c>
      <c r="E70" s="1028">
        <f>'побудинковий звіт'!E68</f>
        <v>1469.3</v>
      </c>
      <c r="F70" s="1029">
        <f>'побудинковий звіт'!AS68</f>
        <v>3261.3034972739169</v>
      </c>
      <c r="G70" s="1029">
        <f t="shared" si="0"/>
        <v>0</v>
      </c>
      <c r="H70" s="1029">
        <f t="shared" si="1"/>
        <v>-3261.3034972739169</v>
      </c>
      <c r="I70" s="43">
        <f>'[1]поточний ремонт'!I70+'[2]поточний ремонт'!I70-'[3]поточний ремонт'!I70</f>
        <v>0</v>
      </c>
      <c r="J70" s="43">
        <f>'[1]поточний ремонт'!J70+'[2]поточний ремонт'!J70-'[3]поточний ремонт'!J70</f>
        <v>0</v>
      </c>
      <c r="K70" s="1037"/>
      <c r="L70" s="43">
        <f>'[1]поточний ремонт'!L70+'[2]поточний ремонт'!L70-'[3]поточний ремонт'!L70</f>
        <v>0</v>
      </c>
      <c r="M70" s="43">
        <f>'[1]поточний ремонт'!M70+'[2]поточний ремонт'!M70-'[3]поточний ремонт'!M70</f>
        <v>0</v>
      </c>
      <c r="N70" s="37"/>
      <c r="O70" s="43">
        <f>'[1]поточний ремонт'!O70+'[2]поточний ремонт'!O70-'[3]поточний ремонт'!O70</f>
        <v>0</v>
      </c>
      <c r="P70" s="43">
        <f>'[1]поточний ремонт'!P70+'[2]поточний ремонт'!P70-'[3]поточний ремонт'!P70</f>
        <v>0</v>
      </c>
      <c r="Q70" s="1038"/>
      <c r="R70" s="43">
        <f>'[1]поточний ремонт'!R70+'[2]поточний ремонт'!R70-'[3]поточний ремонт'!R70</f>
        <v>0</v>
      </c>
      <c r="S70" s="43">
        <f>'[1]поточний ремонт'!S70+'[2]поточний ремонт'!S70-'[3]поточний ремонт'!S70</f>
        <v>0</v>
      </c>
      <c r="T70" s="1039"/>
      <c r="U70" s="43">
        <f>'[1]поточний ремонт'!U70+'[2]поточний ремонт'!U70-'[3]поточний ремонт'!U70</f>
        <v>0</v>
      </c>
      <c r="V70" s="43">
        <f>'[1]поточний ремонт'!V70+'[2]поточний ремонт'!V70-'[3]поточний ремонт'!V70</f>
        <v>0</v>
      </c>
      <c r="W70" s="43">
        <f>'[1]поточний ремонт'!W70+'[2]поточний ремонт'!W70-'[3]поточний ремонт'!W70</f>
        <v>0</v>
      </c>
      <c r="X70" s="43">
        <f>'[1]поточний ремонт'!X70+'[2]поточний ремонт'!X70-'[3]поточний ремонт'!X70</f>
        <v>0</v>
      </c>
      <c r="Y70" s="43">
        <f>'[1]поточний ремонт'!Y70+'[2]поточний ремонт'!Y70-'[3]поточний ремонт'!Y70</f>
        <v>0</v>
      </c>
      <c r="Z70" s="43">
        <f>'[1]поточний ремонт'!Z70+'[2]поточний ремонт'!Z70-'[3]поточний ремонт'!Z70</f>
        <v>0</v>
      </c>
      <c r="AA70" s="43">
        <f>'[1]поточний ремонт'!AA70+'[2]поточний ремонт'!AA70-'[3]поточний ремонт'!AA70</f>
        <v>0</v>
      </c>
      <c r="AB70" s="43">
        <f>'[1]поточний ремонт'!AB70+'[2]поточний ремонт'!AB70-'[3]поточний ремонт'!AB70</f>
        <v>0</v>
      </c>
      <c r="AC70" s="43">
        <f>'[1]поточний ремонт'!AC70+'[2]поточний ремонт'!AC70-'[3]поточний ремонт'!AC70</f>
        <v>0</v>
      </c>
      <c r="AD70" s="43">
        <f>'[1]поточний ремонт'!AD70+'[2]поточний ремонт'!AD70-'[3]поточний ремонт'!AD70</f>
        <v>0</v>
      </c>
      <c r="AE70" s="43">
        <f>'[1]поточний ремонт'!AE70+'[2]поточний ремонт'!AE70-'[3]поточний ремонт'!AE70</f>
        <v>0</v>
      </c>
      <c r="AF70" s="43">
        <f>'[1]поточний ремонт'!AF70+'[2]поточний ремонт'!AF70-'[3]поточний ремонт'!AF70</f>
        <v>0</v>
      </c>
      <c r="AG70" s="5"/>
      <c r="AH70" s="43">
        <f>'[1]поточний ремонт'!AH70+'[2]поточний ремонт'!AH70-'[3]поточний ремонт'!AH70</f>
        <v>0</v>
      </c>
      <c r="AI70" s="43">
        <f>'[1]поточний ремонт'!AI70+'[2]поточний ремонт'!AI70-'[3]поточний ремонт'!AI70</f>
        <v>0</v>
      </c>
      <c r="AJ70" s="5"/>
      <c r="AK70" s="43">
        <f>'[1]поточний ремонт'!AK70+'[2]поточний ремонт'!AK70-'[3]поточний ремонт'!AK70</f>
        <v>0</v>
      </c>
      <c r="AL70" s="43">
        <f>'[1]поточний ремонт'!AL70+'[2]поточний ремонт'!AL70-'[3]поточний ремонт'!AL70</f>
        <v>0</v>
      </c>
      <c r="AM70" s="5"/>
      <c r="AN70" s="43">
        <f>'[1]поточний ремонт'!AN70+'[2]поточний ремонт'!AN70-'[3]поточний ремонт'!AN70</f>
        <v>0</v>
      </c>
      <c r="AO70" s="43">
        <f>'[1]поточний ремонт'!AO70+'[2]поточний ремонт'!AO70-'[3]поточний ремонт'!AO70</f>
        <v>0</v>
      </c>
      <c r="AP70" s="5"/>
      <c r="AQ70" s="43">
        <f>'[1]поточний ремонт'!AQ70+'[2]поточний ремонт'!AQ70-'[3]поточний ремонт'!AQ70</f>
        <v>0</v>
      </c>
      <c r="AR70" s="43">
        <f>'[1]поточний ремонт'!AR70+'[2]поточний ремонт'!AR70-'[3]поточний ремонт'!AR70</f>
        <v>0</v>
      </c>
      <c r="AS70" s="5"/>
      <c r="AT70" s="43">
        <f>'[1]поточний ремонт'!AT70+'[2]поточний ремонт'!AT70-'[3]поточний ремонт'!AT70</f>
        <v>0</v>
      </c>
      <c r="AU70" s="43">
        <f>'[1]поточний ремонт'!AU70+'[2]поточний ремонт'!AU70-'[3]поточний ремонт'!AU70</f>
        <v>0</v>
      </c>
      <c r="AV70" s="5"/>
      <c r="AW70" s="43">
        <f>'[1]поточний ремонт'!AW70+'[2]поточний ремонт'!AW70-'[3]поточний ремонт'!AW70</f>
        <v>0</v>
      </c>
      <c r="AX70" s="43">
        <f>'[1]поточний ремонт'!AX70+'[2]поточний ремонт'!AX70-'[3]поточний ремонт'!AX70</f>
        <v>0</v>
      </c>
      <c r="AY70" s="5"/>
      <c r="AZ70" s="43">
        <f t="shared" si="2"/>
        <v>0</v>
      </c>
      <c r="BA70" s="43">
        <f t="shared" si="3"/>
        <v>0</v>
      </c>
      <c r="BB70" s="59">
        <f t="shared" si="4"/>
        <v>0</v>
      </c>
      <c r="BD70" s="2">
        <v>1</v>
      </c>
      <c r="BF70" s="30">
        <v>0</v>
      </c>
      <c r="BG70" s="328">
        <v>150000530</v>
      </c>
      <c r="BI70" s="107">
        <v>0</v>
      </c>
      <c r="BJ70" s="107">
        <f t="shared" si="5"/>
        <v>0</v>
      </c>
      <c r="BK70" s="107">
        <v>0</v>
      </c>
      <c r="BL70" s="39"/>
      <c r="BM70" s="3"/>
      <c r="BN70" s="3">
        <v>0</v>
      </c>
      <c r="BP70" s="3"/>
      <c r="BQ70" s="3"/>
      <c r="BS70" s="43"/>
      <c r="BT70" s="43">
        <v>0</v>
      </c>
      <c r="BU70" s="1037"/>
      <c r="BV70" s="42"/>
      <c r="BW70" s="43"/>
      <c r="BX70" s="37"/>
      <c r="BY70" s="78"/>
      <c r="BZ70" s="43">
        <v>0</v>
      </c>
      <c r="CA70" s="1038"/>
      <c r="CB70" s="42">
        <v>0</v>
      </c>
      <c r="CC70" s="42">
        <v>0</v>
      </c>
      <c r="CD70" s="1039"/>
      <c r="CE70" s="78">
        <v>0</v>
      </c>
      <c r="CF70" s="56"/>
      <c r="CG70" s="42">
        <v>0</v>
      </c>
      <c r="CH70" s="39">
        <v>0</v>
      </c>
      <c r="CI70" s="78">
        <v>0</v>
      </c>
      <c r="CJ70" s="56"/>
      <c r="CK70" s="1034"/>
      <c r="CL70" s="1029"/>
      <c r="CM70" s="1034"/>
      <c r="CN70" s="1029">
        <v>0</v>
      </c>
      <c r="CO70" s="78">
        <v>0</v>
      </c>
      <c r="CP70" s="43">
        <v>0</v>
      </c>
      <c r="CQ70" s="5"/>
      <c r="CR70" s="78">
        <v>0</v>
      </c>
      <c r="CS70" s="1033">
        <v>0</v>
      </c>
      <c r="CT70" s="5"/>
      <c r="CU70" s="78">
        <v>0</v>
      </c>
      <c r="CV70" s="43">
        <v>0</v>
      </c>
      <c r="CW70" s="5"/>
      <c r="CX70" s="78">
        <v>0</v>
      </c>
      <c r="CY70" s="43">
        <v>0</v>
      </c>
      <c r="CZ70" s="5"/>
      <c r="DA70" s="78">
        <v>0</v>
      </c>
      <c r="DB70" s="43">
        <v>0</v>
      </c>
      <c r="DC70" s="5"/>
      <c r="DD70" s="78">
        <v>0</v>
      </c>
      <c r="DE70" s="43">
        <v>0</v>
      </c>
      <c r="DF70" s="5"/>
      <c r="DG70" s="78">
        <v>0</v>
      </c>
      <c r="DH70" s="43"/>
      <c r="DI70" s="5"/>
      <c r="DJ70" s="43">
        <v>0</v>
      </c>
      <c r="DK70" s="43">
        <f t="shared" si="6"/>
        <v>0</v>
      </c>
      <c r="DL70" s="59">
        <f t="shared" si="7"/>
        <v>0</v>
      </c>
    </row>
    <row r="71" spans="1:116" ht="24.9" customHeight="1" x14ac:dyDescent="0.3">
      <c r="A71" s="328">
        <v>150000544</v>
      </c>
      <c r="B71" s="45" t="s">
        <v>64</v>
      </c>
      <c r="C71" s="1035">
        <v>1</v>
      </c>
      <c r="D71" s="1036" t="s">
        <v>454</v>
      </c>
      <c r="E71" s="1028">
        <f>'побудинковий звіт'!E69</f>
        <v>253.5</v>
      </c>
      <c r="F71" s="1029">
        <f>'побудинковий звіт'!AS69</f>
        <v>2036.943465434812</v>
      </c>
      <c r="G71" s="1029">
        <f t="shared" si="0"/>
        <v>0</v>
      </c>
      <c r="H71" s="1029">
        <f t="shared" si="1"/>
        <v>-2036.943465434812</v>
      </c>
      <c r="I71" s="43">
        <f>'[1]поточний ремонт'!I71+'[2]поточний ремонт'!I71-'[3]поточний ремонт'!I71</f>
        <v>0</v>
      </c>
      <c r="J71" s="43">
        <f>'[1]поточний ремонт'!J71+'[2]поточний ремонт'!J71-'[3]поточний ремонт'!J71</f>
        <v>0</v>
      </c>
      <c r="K71" s="1037"/>
      <c r="L71" s="43">
        <f>'[1]поточний ремонт'!L71+'[2]поточний ремонт'!L71-'[3]поточний ремонт'!L71</f>
        <v>0</v>
      </c>
      <c r="M71" s="43">
        <f>'[1]поточний ремонт'!M71+'[2]поточний ремонт'!M71-'[3]поточний ремонт'!M71</f>
        <v>0</v>
      </c>
      <c r="N71" s="37"/>
      <c r="O71" s="43">
        <f>'[1]поточний ремонт'!O71+'[2]поточний ремонт'!O71-'[3]поточний ремонт'!O71</f>
        <v>0</v>
      </c>
      <c r="P71" s="43">
        <f>'[1]поточний ремонт'!P71+'[2]поточний ремонт'!P71-'[3]поточний ремонт'!P71</f>
        <v>0</v>
      </c>
      <c r="Q71" s="1038"/>
      <c r="R71" s="43">
        <f>'[1]поточний ремонт'!R71+'[2]поточний ремонт'!R71-'[3]поточний ремонт'!R71</f>
        <v>0</v>
      </c>
      <c r="S71" s="43">
        <f>'[1]поточний ремонт'!S71+'[2]поточний ремонт'!S71-'[3]поточний ремонт'!S71</f>
        <v>0</v>
      </c>
      <c r="T71" s="1039"/>
      <c r="U71" s="43">
        <f>'[1]поточний ремонт'!U71+'[2]поточний ремонт'!U71-'[3]поточний ремонт'!U71</f>
        <v>0</v>
      </c>
      <c r="V71" s="43">
        <f>'[1]поточний ремонт'!V71+'[2]поточний ремонт'!V71-'[3]поточний ремонт'!V71</f>
        <v>0</v>
      </c>
      <c r="W71" s="43">
        <f>'[1]поточний ремонт'!W71+'[2]поточний ремонт'!W71-'[3]поточний ремонт'!W71</f>
        <v>0</v>
      </c>
      <c r="X71" s="43">
        <f>'[1]поточний ремонт'!X71+'[2]поточний ремонт'!X71-'[3]поточний ремонт'!X71</f>
        <v>0</v>
      </c>
      <c r="Y71" s="43">
        <f>'[1]поточний ремонт'!Y71+'[2]поточний ремонт'!Y71-'[3]поточний ремонт'!Y71</f>
        <v>0</v>
      </c>
      <c r="Z71" s="43">
        <f>'[1]поточний ремонт'!Z71+'[2]поточний ремонт'!Z71-'[3]поточний ремонт'!Z71</f>
        <v>0</v>
      </c>
      <c r="AA71" s="43">
        <f>'[1]поточний ремонт'!AA71+'[2]поточний ремонт'!AA71-'[3]поточний ремонт'!AA71</f>
        <v>0</v>
      </c>
      <c r="AB71" s="43">
        <f>'[1]поточний ремонт'!AB71+'[2]поточний ремонт'!AB71-'[3]поточний ремонт'!AB71</f>
        <v>0</v>
      </c>
      <c r="AC71" s="43">
        <f>'[1]поточний ремонт'!AC71+'[2]поточний ремонт'!AC71-'[3]поточний ремонт'!AC71</f>
        <v>0</v>
      </c>
      <c r="AD71" s="43">
        <f>'[1]поточний ремонт'!AD71+'[2]поточний ремонт'!AD71-'[3]поточний ремонт'!AD71</f>
        <v>0</v>
      </c>
      <c r="AE71" s="43">
        <f>'[1]поточний ремонт'!AE71+'[2]поточний ремонт'!AE71-'[3]поточний ремонт'!AE71</f>
        <v>0</v>
      </c>
      <c r="AF71" s="43">
        <f>'[1]поточний ремонт'!AF71+'[2]поточний ремонт'!AF71-'[3]поточний ремонт'!AF71</f>
        <v>0</v>
      </c>
      <c r="AG71" s="5"/>
      <c r="AH71" s="43">
        <f>'[1]поточний ремонт'!AH71+'[2]поточний ремонт'!AH71-'[3]поточний ремонт'!AH71</f>
        <v>0</v>
      </c>
      <c r="AI71" s="43">
        <f>'[1]поточний ремонт'!AI71+'[2]поточний ремонт'!AI71-'[3]поточний ремонт'!AI71</f>
        <v>0</v>
      </c>
      <c r="AJ71" s="5"/>
      <c r="AK71" s="43">
        <f>'[1]поточний ремонт'!AK71+'[2]поточний ремонт'!AK71-'[3]поточний ремонт'!AK71</f>
        <v>0</v>
      </c>
      <c r="AL71" s="43">
        <f>'[1]поточний ремонт'!AL71+'[2]поточний ремонт'!AL71-'[3]поточний ремонт'!AL71</f>
        <v>0</v>
      </c>
      <c r="AM71" s="5"/>
      <c r="AN71" s="43">
        <f>'[1]поточний ремонт'!AN71+'[2]поточний ремонт'!AN71-'[3]поточний ремонт'!AN71</f>
        <v>0</v>
      </c>
      <c r="AO71" s="43">
        <f>'[1]поточний ремонт'!AO71+'[2]поточний ремонт'!AO71-'[3]поточний ремонт'!AO71</f>
        <v>0</v>
      </c>
      <c r="AP71" s="5"/>
      <c r="AQ71" s="43">
        <f>'[1]поточний ремонт'!AQ71+'[2]поточний ремонт'!AQ71-'[3]поточний ремонт'!AQ71</f>
        <v>0</v>
      </c>
      <c r="AR71" s="43">
        <f>'[1]поточний ремонт'!AR71+'[2]поточний ремонт'!AR71-'[3]поточний ремонт'!AR71</f>
        <v>0</v>
      </c>
      <c r="AS71" s="5"/>
      <c r="AT71" s="43">
        <f>'[1]поточний ремонт'!AT71+'[2]поточний ремонт'!AT71-'[3]поточний ремонт'!AT71</f>
        <v>0</v>
      </c>
      <c r="AU71" s="43">
        <f>'[1]поточний ремонт'!AU71+'[2]поточний ремонт'!AU71-'[3]поточний ремонт'!AU71</f>
        <v>0</v>
      </c>
      <c r="AV71" s="5"/>
      <c r="AW71" s="43">
        <f>'[1]поточний ремонт'!AW71+'[2]поточний ремонт'!AW71-'[3]поточний ремонт'!AW71</f>
        <v>0</v>
      </c>
      <c r="AX71" s="43">
        <f>'[1]поточний ремонт'!AX71+'[2]поточний ремонт'!AX71-'[3]поточний ремонт'!AX71</f>
        <v>0</v>
      </c>
      <c r="AY71" s="5"/>
      <c r="AZ71" s="43">
        <f t="shared" si="2"/>
        <v>0</v>
      </c>
      <c r="BA71" s="43">
        <f t="shared" si="3"/>
        <v>0</v>
      </c>
      <c r="BB71" s="59">
        <f t="shared" si="4"/>
        <v>0</v>
      </c>
      <c r="BD71" s="2">
        <v>1</v>
      </c>
      <c r="BF71" s="30">
        <v>0</v>
      </c>
      <c r="BG71" s="328">
        <v>150000544</v>
      </c>
      <c r="BI71" s="107">
        <v>0</v>
      </c>
      <c r="BJ71" s="107">
        <f t="shared" si="5"/>
        <v>0</v>
      </c>
      <c r="BK71" s="107">
        <v>0</v>
      </c>
      <c r="BL71" s="39"/>
      <c r="BM71" s="3"/>
      <c r="BN71" s="3">
        <v>0</v>
      </c>
      <c r="BP71" s="3"/>
      <c r="BQ71" s="3"/>
      <c r="BS71" s="43"/>
      <c r="BT71" s="43">
        <v>0</v>
      </c>
      <c r="BU71" s="1037"/>
      <c r="BV71" s="42"/>
      <c r="BW71" s="43"/>
      <c r="BX71" s="37"/>
      <c r="BY71" s="78"/>
      <c r="BZ71" s="43">
        <v>0</v>
      </c>
      <c r="CA71" s="1038"/>
      <c r="CB71" s="42">
        <v>0</v>
      </c>
      <c r="CC71" s="42">
        <v>0</v>
      </c>
      <c r="CD71" s="1039"/>
      <c r="CE71" s="78">
        <v>0</v>
      </c>
      <c r="CF71" s="56"/>
      <c r="CG71" s="42">
        <v>0</v>
      </c>
      <c r="CH71" s="39">
        <v>0</v>
      </c>
      <c r="CI71" s="78">
        <v>0</v>
      </c>
      <c r="CJ71" s="56"/>
      <c r="CK71" s="1034"/>
      <c r="CL71" s="1029"/>
      <c r="CM71" s="1034"/>
      <c r="CN71" s="1029">
        <v>0</v>
      </c>
      <c r="CO71" s="78">
        <v>0</v>
      </c>
      <c r="CP71" s="43">
        <v>0</v>
      </c>
      <c r="CQ71" s="5"/>
      <c r="CR71" s="78">
        <v>0</v>
      </c>
      <c r="CS71" s="1033">
        <v>0</v>
      </c>
      <c r="CT71" s="5"/>
      <c r="CU71" s="78">
        <v>0</v>
      </c>
      <c r="CV71" s="43">
        <v>0</v>
      </c>
      <c r="CW71" s="5"/>
      <c r="CX71" s="78">
        <v>0</v>
      </c>
      <c r="CY71" s="43">
        <v>0</v>
      </c>
      <c r="CZ71" s="5"/>
      <c r="DA71" s="78">
        <v>0</v>
      </c>
      <c r="DB71" s="43">
        <v>0</v>
      </c>
      <c r="DC71" s="5"/>
      <c r="DD71" s="78">
        <v>0</v>
      </c>
      <c r="DE71" s="43">
        <v>0</v>
      </c>
      <c r="DF71" s="5"/>
      <c r="DG71" s="78">
        <v>0</v>
      </c>
      <c r="DH71" s="43"/>
      <c r="DI71" s="5"/>
      <c r="DJ71" s="43">
        <v>0</v>
      </c>
      <c r="DK71" s="43">
        <f t="shared" si="6"/>
        <v>0</v>
      </c>
      <c r="DL71" s="59">
        <f t="shared" si="7"/>
        <v>0</v>
      </c>
    </row>
    <row r="72" spans="1:116" ht="24.9" customHeight="1" x14ac:dyDescent="0.3">
      <c r="A72" s="328">
        <v>150000531</v>
      </c>
      <c r="B72" s="45" t="s">
        <v>348</v>
      </c>
      <c r="C72" s="1035">
        <v>9</v>
      </c>
      <c r="D72" s="1036" t="s">
        <v>454</v>
      </c>
      <c r="E72" s="1028">
        <f>'побудинковий звіт'!E70</f>
        <v>200.6</v>
      </c>
      <c r="F72" s="1029">
        <f>'побудинковий звіт'!AS70</f>
        <v>125873.23977248612</v>
      </c>
      <c r="G72" s="1029">
        <f t="shared" si="0"/>
        <v>168106.51835249478</v>
      </c>
      <c r="H72" s="1029">
        <f t="shared" si="1"/>
        <v>42233.278580008657</v>
      </c>
      <c r="I72" s="43">
        <f>'[1]поточний ремонт'!I72+'[2]поточний ремонт'!I72-'[3]поточний ремонт'!I72</f>
        <v>91.48</v>
      </c>
      <c r="J72" s="43">
        <f>'[1]поточний ремонт'!J72+'[2]поточний ремонт'!J72-'[3]поточний ремонт'!J72</f>
        <v>41651</v>
      </c>
      <c r="K72" s="1044"/>
      <c r="L72" s="43">
        <f>'[1]поточний ремонт'!L72+'[2]поточний ремонт'!L72-'[3]поточний ремонт'!L72</f>
        <v>0</v>
      </c>
      <c r="M72" s="43">
        <f>'[1]поточний ремонт'!M72+'[2]поточний ремонт'!M72-'[3]поточний ремонт'!M72</f>
        <v>0</v>
      </c>
      <c r="N72" s="37"/>
      <c r="O72" s="43">
        <f>'[1]поточний ремонт'!O72+'[2]поточний ремонт'!O72-'[3]поточний ремонт'!O72</f>
        <v>0</v>
      </c>
      <c r="P72" s="43">
        <f>'[1]поточний ремонт'!P72+'[2]поточний ремонт'!P72-'[3]поточний ремонт'!P72</f>
        <v>0</v>
      </c>
      <c r="Q72" s="1052"/>
      <c r="R72" s="43">
        <f>'[1]поточний ремонт'!R72+'[2]поточний ремонт'!R72-'[3]поточний ремонт'!R72</f>
        <v>5</v>
      </c>
      <c r="S72" s="43">
        <f>'[1]поточний ремонт'!S72+'[2]поточний ремонт'!S72-'[3]поточний ремонт'!S72</f>
        <v>116486</v>
      </c>
      <c r="T72" s="1047"/>
      <c r="U72" s="43">
        <f>'[1]поточний ремонт'!U72+'[2]поточний ремонт'!U72-'[3]поточний ремонт'!U72</f>
        <v>0</v>
      </c>
      <c r="V72" s="43">
        <f>'[1]поточний ремонт'!V72+'[2]поточний ремонт'!V72-'[3]поточний ремонт'!V72</f>
        <v>0</v>
      </c>
      <c r="W72" s="43">
        <f>'[1]поточний ремонт'!W72+'[2]поточний ремонт'!W72-'[3]поточний ремонт'!W72</f>
        <v>0</v>
      </c>
      <c r="X72" s="43">
        <f>'[1]поточний ремонт'!X72+'[2]поточний ремонт'!X72-'[3]поточний ремонт'!X72</f>
        <v>234.51835249477807</v>
      </c>
      <c r="Y72" s="43">
        <f>'[1]поточний ремонт'!Y72+'[2]поточний ремонт'!Y72-'[3]поточний ремонт'!Y72</f>
        <v>0</v>
      </c>
      <c r="Z72" s="43">
        <f>'[1]поточний ремонт'!Z72+'[2]поточний ремонт'!Z72-'[3]поточний ремонт'!Z72</f>
        <v>0</v>
      </c>
      <c r="AA72" s="43">
        <f>'[1]поточний ремонт'!AA72+'[2]поточний ремонт'!AA72-'[3]поточний ремонт'!AA72</f>
        <v>0</v>
      </c>
      <c r="AB72" s="43">
        <f>'[1]поточний ремонт'!AB72+'[2]поточний ремонт'!AB72-'[3]поточний ремонт'!AB72</f>
        <v>4717</v>
      </c>
      <c r="AC72" s="43">
        <f>'[1]поточний ремонт'!AC72+'[2]поточний ремонт'!AC72-'[3]поточний ремонт'!AC72</f>
        <v>261</v>
      </c>
      <c r="AD72" s="43">
        <f>'[1]поточний ремонт'!AD72+'[2]поточний ремонт'!AD72-'[3]поточний ремонт'!AD72</f>
        <v>4757</v>
      </c>
      <c r="AE72" s="43">
        <f>'[1]поточний ремонт'!AE72+'[2]поточний ремонт'!AE72-'[3]поточний ремонт'!AE72</f>
        <v>1568.8123340820982</v>
      </c>
      <c r="AF72" s="43">
        <f>'[1]поточний ремонт'!AF72+'[2]поточний ремонт'!AF72-'[3]поточний ремонт'!AF72</f>
        <v>657.38771878991452</v>
      </c>
      <c r="AG72" s="5"/>
      <c r="AH72" s="43">
        <f>'[1]поточний ремонт'!AH72+'[2]поточний ремонт'!AH72-'[3]поточний ремонт'!AH72</f>
        <v>2107.8464941106845</v>
      </c>
      <c r="AI72" s="43">
        <f>'[1]поточний ремонт'!AI72+'[2]поточний ремонт'!AI72-'[3]поточний ремонт'!AI72</f>
        <v>2689</v>
      </c>
      <c r="AJ72" s="5"/>
      <c r="AK72" s="43">
        <f>'[1]поточний ремонт'!AK72+'[2]поточний ремонт'!AK72-'[3]поточний ремонт'!AK72</f>
        <v>2902.2550345034015</v>
      </c>
      <c r="AL72" s="43">
        <f>'[1]поточний ремонт'!AL72+'[2]поточний ремонт'!AL72-'[3]поточний ремонт'!AL72</f>
        <v>4155</v>
      </c>
      <c r="AM72" s="5"/>
      <c r="AN72" s="43">
        <f>'[1]поточний ремонт'!AN72+'[2]поточний ремонт'!AN72-'[3]поточний ремонт'!AN72</f>
        <v>1113.8321563382149</v>
      </c>
      <c r="AO72" s="43">
        <f>'[1]поточний ремонт'!AO72+'[2]поточний ремонт'!AO72-'[3]поточний ремонт'!AO72</f>
        <v>0</v>
      </c>
      <c r="AP72" s="5"/>
      <c r="AQ72" s="43">
        <f>'[1]поточний ремонт'!AQ72+'[2]поточний ремонт'!AQ72-'[3]поточний ремонт'!AQ72</f>
        <v>1753.9358039059116</v>
      </c>
      <c r="AR72" s="43">
        <f>'[1]поточний ремонт'!AR72+'[2]поточний ремонт'!AR72-'[3]поточний ремонт'!AR72</f>
        <v>0</v>
      </c>
      <c r="AS72" s="5"/>
      <c r="AT72" s="43">
        <f>'[1]поточний ремонт'!AT72+'[2]поточний ремонт'!AT72-'[3]поточний ремонт'!AT72</f>
        <v>1414.930392504355</v>
      </c>
      <c r="AU72" s="43">
        <f>'[1]поточний ремонт'!AU72+'[2]поточний ремонт'!AU72-'[3]поточний ремонт'!AU72</f>
        <v>14583</v>
      </c>
      <c r="AV72" s="5"/>
      <c r="AW72" s="43">
        <f>'[1]поточний ремонт'!AW72+'[2]поточний ремонт'!AW72-'[3]поточний ремонт'!AW72</f>
        <v>852.13736562358417</v>
      </c>
      <c r="AX72" s="43">
        <f>'[1]поточний ремонт'!AX72+'[2]поточний ремонт'!AX72-'[3]поточний ремонт'!AX72</f>
        <v>11622</v>
      </c>
      <c r="AY72" s="5"/>
      <c r="AZ72" s="43">
        <f t="shared" si="2"/>
        <v>11713.74958106825</v>
      </c>
      <c r="BA72" s="43">
        <f t="shared" si="3"/>
        <v>33706.387718789912</v>
      </c>
      <c r="BB72" s="59">
        <f t="shared" si="4"/>
        <v>21992.63813772166</v>
      </c>
      <c r="BD72" s="2">
        <v>1</v>
      </c>
      <c r="BF72" s="30">
        <v>433.85654343874785</v>
      </c>
      <c r="BG72" s="328">
        <v>150000531</v>
      </c>
      <c r="BI72" s="107">
        <v>17.5</v>
      </c>
      <c r="BJ72" s="107">
        <f t="shared" si="5"/>
        <v>2.4615885</v>
      </c>
      <c r="BK72" s="107">
        <v>20.182501429999999</v>
      </c>
      <c r="BL72" s="39"/>
      <c r="BM72" s="3"/>
      <c r="BN72" s="3">
        <v>0</v>
      </c>
      <c r="BP72" s="3"/>
      <c r="BQ72" s="3"/>
      <c r="BS72" s="43"/>
      <c r="BT72" s="43">
        <v>0</v>
      </c>
      <c r="BU72" s="1044"/>
      <c r="BV72" s="42"/>
      <c r="BW72" s="43"/>
      <c r="BX72" s="37"/>
      <c r="BY72" s="78"/>
      <c r="BZ72" s="43">
        <v>0</v>
      </c>
      <c r="CA72" s="1052"/>
      <c r="CB72" s="42">
        <v>0</v>
      </c>
      <c r="CC72" s="42">
        <v>0</v>
      </c>
      <c r="CD72" s="1047"/>
      <c r="CE72" s="78">
        <v>0</v>
      </c>
      <c r="CF72" s="56"/>
      <c r="CG72" s="42">
        <v>0</v>
      </c>
      <c r="CH72" s="39">
        <v>20.182501429999999</v>
      </c>
      <c r="CI72" s="78">
        <v>0</v>
      </c>
      <c r="CJ72" s="56"/>
      <c r="CK72" s="1034"/>
      <c r="CL72" s="1029"/>
      <c r="CM72" s="1034"/>
      <c r="CN72" s="1029">
        <v>936.62573479642947</v>
      </c>
      <c r="CO72" s="78">
        <v>130.73436117350818</v>
      </c>
      <c r="CP72" s="43">
        <v>0</v>
      </c>
      <c r="CQ72" s="5"/>
      <c r="CR72" s="78">
        <v>175.65387450922373</v>
      </c>
      <c r="CS72" s="1033">
        <v>0</v>
      </c>
      <c r="CT72" s="5"/>
      <c r="CU72" s="78">
        <v>241.85458620861681</v>
      </c>
      <c r="CV72" s="43">
        <v>0</v>
      </c>
      <c r="CW72" s="5"/>
      <c r="CX72" s="78">
        <v>92.819346361517901</v>
      </c>
      <c r="CY72" s="43">
        <v>0</v>
      </c>
      <c r="CZ72" s="5"/>
      <c r="DA72" s="78">
        <v>146.1613169921593</v>
      </c>
      <c r="DB72" s="43">
        <v>0</v>
      </c>
      <c r="DC72" s="5"/>
      <c r="DD72" s="78">
        <v>117.91086604202961</v>
      </c>
      <c r="DE72" s="43">
        <v>0</v>
      </c>
      <c r="DF72" s="5"/>
      <c r="DG72" s="78">
        <v>71.011447135298681</v>
      </c>
      <c r="DH72" s="43"/>
      <c r="DI72" s="5"/>
      <c r="DJ72" s="43">
        <v>976.14579842235423</v>
      </c>
      <c r="DK72" s="43">
        <f t="shared" si="6"/>
        <v>0</v>
      </c>
      <c r="DL72" s="59">
        <f t="shared" si="7"/>
        <v>-976.14579842235423</v>
      </c>
    </row>
    <row r="73" spans="1:116" ht="24.9" customHeight="1" x14ac:dyDescent="0.3">
      <c r="A73" s="328">
        <v>150000532</v>
      </c>
      <c r="B73" s="45" t="s">
        <v>253</v>
      </c>
      <c r="C73" s="1035">
        <v>5</v>
      </c>
      <c r="D73" s="1036" t="s">
        <v>454</v>
      </c>
      <c r="E73" s="1028">
        <f>'побудинковий звіт'!E71</f>
        <v>83.8</v>
      </c>
      <c r="F73" s="1029">
        <f>'побудинковий звіт'!AS71</f>
        <v>24589.692375922805</v>
      </c>
      <c r="G73" s="1029">
        <f t="shared" si="0"/>
        <v>11371</v>
      </c>
      <c r="H73" s="1029">
        <f t="shared" si="1"/>
        <v>-13218.692375922805</v>
      </c>
      <c r="I73" s="43">
        <f>'[1]поточний ремонт'!I73+'[2]поточний ремонт'!I73-'[3]поточний ремонт'!I73</f>
        <v>0</v>
      </c>
      <c r="J73" s="43">
        <f>'[1]поточний ремонт'!J73+'[2]поточний ремонт'!J73-'[3]поточний ремонт'!J73</f>
        <v>3204</v>
      </c>
      <c r="K73" s="1037"/>
      <c r="L73" s="43">
        <f>'[1]поточний ремонт'!L73+'[2]поточний ремонт'!L73-'[3]поточний ремонт'!L73</f>
        <v>0</v>
      </c>
      <c r="M73" s="43">
        <f>'[1]поточний ремонт'!M73+'[2]поточний ремонт'!M73-'[3]поточний ремонт'!M73</f>
        <v>0</v>
      </c>
      <c r="N73" s="37"/>
      <c r="O73" s="43">
        <f>'[1]поточний ремонт'!O73+'[2]поточний ремонт'!O73-'[3]поточний ремонт'!O73</f>
        <v>0</v>
      </c>
      <c r="P73" s="43">
        <f>'[1]поточний ремонт'!P73+'[2]поточний ремонт'!P73-'[3]поточний ремонт'!P73</f>
        <v>0</v>
      </c>
      <c r="Q73" s="1038"/>
      <c r="R73" s="43">
        <f>'[1]поточний ремонт'!R73+'[2]поточний ремонт'!R73-'[3]поточний ремонт'!R73</f>
        <v>0</v>
      </c>
      <c r="S73" s="43">
        <f>'[1]поточний ремонт'!S73+'[2]поточний ремонт'!S73-'[3]поточний ремонт'!S73</f>
        <v>0</v>
      </c>
      <c r="T73" s="1039"/>
      <c r="U73" s="43">
        <f>'[1]поточний ремонт'!U73+'[2]поточний ремонт'!U73-'[3]поточний ремонт'!U73</f>
        <v>0</v>
      </c>
      <c r="V73" s="43">
        <f>'[1]поточний ремонт'!V73+'[2]поточний ремонт'!V73-'[3]поточний ремонт'!V73</f>
        <v>0</v>
      </c>
      <c r="W73" s="43">
        <f>'[1]поточний ремонт'!W73+'[2]поточний ремонт'!W73-'[3]поточний ремонт'!W73</f>
        <v>0</v>
      </c>
      <c r="X73" s="43">
        <f>'[1]поточний ремонт'!X73+'[2]поточний ремонт'!X73-'[3]поточний ремонт'!X73</f>
        <v>0</v>
      </c>
      <c r="Y73" s="43">
        <f>'[1]поточний ремонт'!Y73+'[2]поточний ремонт'!Y73-'[3]поточний ремонт'!Y73</f>
        <v>0</v>
      </c>
      <c r="Z73" s="43">
        <f>'[1]поточний ремонт'!Z73+'[2]поточний ремонт'!Z73-'[3]поточний ремонт'!Z73</f>
        <v>0</v>
      </c>
      <c r="AA73" s="43">
        <f>'[1]поточний ремонт'!AA73+'[2]поточний ремонт'!AA73-'[3]поточний ремонт'!AA73</f>
        <v>0</v>
      </c>
      <c r="AB73" s="43">
        <f>'[1]поточний ремонт'!AB73+'[2]поточний ремонт'!AB73-'[3]поточний ремонт'!AB73</f>
        <v>0</v>
      </c>
      <c r="AC73" s="43">
        <f>'[1]поточний ремонт'!AC73+'[2]поточний ремонт'!AC73-'[3]поточний ремонт'!AC73</f>
        <v>0</v>
      </c>
      <c r="AD73" s="43">
        <f>'[1]поточний ремонт'!AD73+'[2]поточний ремонт'!AD73-'[3]поточний ремонт'!AD73</f>
        <v>8167.0000000000009</v>
      </c>
      <c r="AE73" s="43">
        <f>'[1]поточний ремонт'!AE73+'[2]поточний ремонт'!AE73-'[3]поточний ремонт'!AE73</f>
        <v>1452.568654252739</v>
      </c>
      <c r="AF73" s="43">
        <f>'[1]поточний ремонт'!AF73+'[2]поточний ремонт'!AF73-'[3]поточний ремонт'!AF73</f>
        <v>1521</v>
      </c>
      <c r="AG73" s="5"/>
      <c r="AH73" s="43">
        <f>'[1]поточний ремонт'!AH73+'[2]поточний ремонт'!AH73-'[3]поточний ремонт'!AH73</f>
        <v>2047.7847604631097</v>
      </c>
      <c r="AI73" s="43">
        <f>'[1]поточний ремонт'!AI73+'[2]поточний ремонт'!AI73-'[3]поточний ремонт'!AI73</f>
        <v>0</v>
      </c>
      <c r="AJ73" s="5"/>
      <c r="AK73" s="43">
        <f>'[1]поточний ремонт'!AK73+'[2]поточний ремонт'!AK73-'[3]поточний ремонт'!AK73</f>
        <v>587.96062854940965</v>
      </c>
      <c r="AL73" s="43">
        <f>'[1]поточний ремонт'!AL73+'[2]поточний ремонт'!AL73-'[3]поточний ремонт'!AL73</f>
        <v>0</v>
      </c>
      <c r="AM73" s="5"/>
      <c r="AN73" s="43">
        <f>'[1]поточний ремонт'!AN73+'[2]поточний ремонт'!AN73-'[3]поточний ремонт'!AN73</f>
        <v>688.52768239675095</v>
      </c>
      <c r="AO73" s="43">
        <f>'[1]поточний ремонт'!AO73+'[2]поточний ремонт'!AO73-'[3]поточний ремонт'!AO73</f>
        <v>0</v>
      </c>
      <c r="AP73" s="5"/>
      <c r="AQ73" s="43">
        <f>'[1]поточний ремонт'!AQ73+'[2]поточний ремонт'!AQ73-'[3]поточний ремонт'!AQ73</f>
        <v>539.76213107435467</v>
      </c>
      <c r="AR73" s="43">
        <f>'[1]поточний ремонт'!AR73+'[2]поточний ремонт'!AR73-'[3]поточний ремонт'!AR73</f>
        <v>0</v>
      </c>
      <c r="AS73" s="5"/>
      <c r="AT73" s="43">
        <f>'[1]поточний ремонт'!AT73+'[2]поточний ремонт'!AT73-'[3]поточний ремонт'!AT73</f>
        <v>735.41896384928611</v>
      </c>
      <c r="AU73" s="43">
        <f>'[1]поточний ремонт'!AU73+'[2]поточний ремонт'!AU73-'[3]поточний ремонт'!AU73</f>
        <v>15622</v>
      </c>
      <c r="AV73" s="5"/>
      <c r="AW73" s="43">
        <f>'[1]поточний ремонт'!AW73+'[2]поточний ремонт'!AW73-'[3]поточний ремонт'!AW73</f>
        <v>733.74444862908138</v>
      </c>
      <c r="AX73" s="43">
        <f>'[1]поточний ремонт'!AX73+'[2]поточний ремонт'!AX73-'[3]поточний ремонт'!AX73</f>
        <v>2133</v>
      </c>
      <c r="AY73" s="5"/>
      <c r="AZ73" s="43">
        <f t="shared" si="2"/>
        <v>6785.7672692147316</v>
      </c>
      <c r="BA73" s="43">
        <f t="shared" si="3"/>
        <v>19276</v>
      </c>
      <c r="BB73" s="59">
        <f t="shared" si="4"/>
        <v>12490.232730785268</v>
      </c>
      <c r="BD73" s="2">
        <v>1</v>
      </c>
      <c r="BF73" s="30">
        <v>116.37857136045761</v>
      </c>
      <c r="BG73" s="328">
        <v>150000532</v>
      </c>
      <c r="BI73" s="107">
        <v>0</v>
      </c>
      <c r="BJ73" s="107">
        <f t="shared" si="5"/>
        <v>0</v>
      </c>
      <c r="BK73" s="107">
        <v>0</v>
      </c>
      <c r="BL73" s="39"/>
      <c r="BM73" s="3"/>
      <c r="BN73" s="3">
        <v>0</v>
      </c>
      <c r="BP73" s="3"/>
      <c r="BQ73" s="3"/>
      <c r="BS73" s="43"/>
      <c r="BT73" s="43">
        <v>0</v>
      </c>
      <c r="BU73" s="1037"/>
      <c r="BV73" s="42"/>
      <c r="BW73" s="43"/>
      <c r="BX73" s="37"/>
      <c r="BY73" s="78"/>
      <c r="BZ73" s="43">
        <v>0</v>
      </c>
      <c r="CA73" s="1038"/>
      <c r="CB73" s="42">
        <v>0</v>
      </c>
      <c r="CC73" s="42">
        <v>0</v>
      </c>
      <c r="CD73" s="1039"/>
      <c r="CE73" s="78">
        <v>0</v>
      </c>
      <c r="CF73" s="56"/>
      <c r="CG73" s="42">
        <v>0</v>
      </c>
      <c r="CH73" s="39">
        <v>0</v>
      </c>
      <c r="CI73" s="78">
        <v>0</v>
      </c>
      <c r="CJ73" s="56"/>
      <c r="CK73" s="1034"/>
      <c r="CL73" s="1029"/>
      <c r="CM73" s="1034"/>
      <c r="CN73" s="1029">
        <v>0</v>
      </c>
      <c r="CO73" s="78">
        <v>121.04738785439493</v>
      </c>
      <c r="CP73" s="43">
        <v>373.71814321041592</v>
      </c>
      <c r="CQ73" s="5"/>
      <c r="CR73" s="78">
        <v>170.64873003859248</v>
      </c>
      <c r="CS73" s="1033">
        <v>0</v>
      </c>
      <c r="CT73" s="5"/>
      <c r="CU73" s="78">
        <v>48.99671904578414</v>
      </c>
      <c r="CV73" s="43">
        <v>0</v>
      </c>
      <c r="CW73" s="5"/>
      <c r="CX73" s="78">
        <v>57.377306866395919</v>
      </c>
      <c r="CY73" s="43">
        <v>0</v>
      </c>
      <c r="CZ73" s="5"/>
      <c r="DA73" s="78">
        <v>44.980177589529568</v>
      </c>
      <c r="DB73" s="43">
        <v>0</v>
      </c>
      <c r="DC73" s="5"/>
      <c r="DD73" s="78">
        <v>61.284913654107179</v>
      </c>
      <c r="DE73" s="43">
        <v>2158.648619631942</v>
      </c>
      <c r="DF73" s="5"/>
      <c r="DG73" s="78">
        <v>61.145370719090117</v>
      </c>
      <c r="DH73" s="43"/>
      <c r="DI73" s="5"/>
      <c r="DJ73" s="43">
        <v>565.4806057678943</v>
      </c>
      <c r="DK73" s="43">
        <f t="shared" si="6"/>
        <v>2532.3667628423577</v>
      </c>
      <c r="DL73" s="59">
        <f t="shared" si="7"/>
        <v>1966.8861570744634</v>
      </c>
    </row>
    <row r="74" spans="1:116" ht="24.9" customHeight="1" x14ac:dyDescent="0.3">
      <c r="A74" s="328">
        <v>150000533</v>
      </c>
      <c r="B74" s="45" t="s">
        <v>349</v>
      </c>
      <c r="C74" s="1035">
        <v>9</v>
      </c>
      <c r="D74" s="1036" t="s">
        <v>454</v>
      </c>
      <c r="E74" s="1028">
        <f>'побудинковий звіт'!E72</f>
        <v>1531.9</v>
      </c>
      <c r="F74" s="1029">
        <f>'побудинковий звіт'!AS72</f>
        <v>196267.33336371303</v>
      </c>
      <c r="G74" s="1029">
        <f t="shared" si="0"/>
        <v>43508.009174559666</v>
      </c>
      <c r="H74" s="1029">
        <f t="shared" si="1"/>
        <v>-152759.32418915335</v>
      </c>
      <c r="I74" s="43">
        <f>'[1]поточний ремонт'!I74+'[2]поточний ремонт'!I74-'[3]поточний ремонт'!I74</f>
        <v>6.8</v>
      </c>
      <c r="J74" s="43">
        <f>'[1]поточний ремонт'!J74+'[2]поточний ремонт'!J74-'[3]поточний ремонт'!J74</f>
        <v>4678</v>
      </c>
      <c r="K74" s="1037"/>
      <c r="L74" s="43">
        <f>'[1]поточний ремонт'!L74+'[2]поточний ремонт'!L74-'[3]поточний ремонт'!L74</f>
        <v>0</v>
      </c>
      <c r="M74" s="43">
        <f>'[1]поточний ремонт'!M74+'[2]поточний ремонт'!M74-'[3]поточний ремонт'!M74</f>
        <v>0</v>
      </c>
      <c r="N74" s="37"/>
      <c r="O74" s="43">
        <f>'[1]поточний ремонт'!O74+'[2]поточний ремонт'!O74-'[3]поточний ремонт'!O74</f>
        <v>0</v>
      </c>
      <c r="P74" s="43">
        <f>'[1]поточний ремонт'!P74+'[2]поточний ремонт'!P74-'[3]поточний ремонт'!P74</f>
        <v>0</v>
      </c>
      <c r="Q74" s="1038"/>
      <c r="R74" s="43">
        <f>'[1]поточний ремонт'!R74+'[2]поточний ремонт'!R74-'[3]поточний ремонт'!R74</f>
        <v>1</v>
      </c>
      <c r="S74" s="43">
        <f>'[1]поточний ремонт'!S74+'[2]поточний ремонт'!S74-'[3]поточний ремонт'!S74</f>
        <v>9334</v>
      </c>
      <c r="T74" s="1047"/>
      <c r="U74" s="43">
        <f>'[1]поточний ремонт'!U74+'[2]поточний ремонт'!U74-'[3]поточний ремонт'!U74</f>
        <v>0</v>
      </c>
      <c r="V74" s="43">
        <f>'[1]поточний ремонт'!V74+'[2]поточний ремонт'!V74-'[3]поточний ремонт'!V74</f>
        <v>0</v>
      </c>
      <c r="W74" s="43">
        <f>'[1]поточний ремонт'!W74+'[2]поточний ремонт'!W74-'[3]поточний ремонт'!W74</f>
        <v>7</v>
      </c>
      <c r="X74" s="43">
        <f>'[1]поточний ремонт'!X74+'[2]поточний ремонт'!X74-'[3]поточний ремонт'!X74</f>
        <v>1105.009174559666</v>
      </c>
      <c r="Y74" s="43">
        <f>'[1]поточний ремонт'!Y74+'[2]поточний ремонт'!Y74-'[3]поточний ремонт'!Y74</f>
        <v>850</v>
      </c>
      <c r="Z74" s="43">
        <f>'[1]поточний ремонт'!Z74+'[2]поточний ремонт'!Z74-'[3]поточний ремонт'!Z74</f>
        <v>0</v>
      </c>
      <c r="AA74" s="43">
        <f>'[1]поточний ремонт'!AA74+'[2]поточний ремонт'!AA74-'[3]поточний ремонт'!AA74</f>
        <v>0</v>
      </c>
      <c r="AB74" s="43">
        <f>'[1]поточний ремонт'!AB74+'[2]поточний ремонт'!AB74-'[3]поточний ремонт'!AB74</f>
        <v>4792</v>
      </c>
      <c r="AC74" s="43">
        <f>'[1]поточний ремонт'!AC74+'[2]поточний ремонт'!AC74-'[3]поточний ремонт'!AC74</f>
        <v>5735</v>
      </c>
      <c r="AD74" s="43">
        <f>'[1]поточний ремонт'!AD74+'[2]поточний ремонт'!AD74-'[3]поточний ремонт'!AD74</f>
        <v>17014</v>
      </c>
      <c r="AE74" s="43">
        <f>'[1]поточний ремонт'!AE74+'[2]поточний ремонт'!AE74-'[3]поточний ремонт'!AE74</f>
        <v>1035.8937732639563</v>
      </c>
      <c r="AF74" s="43">
        <f>'[1]поточний ремонт'!AF74+'[2]поточний ремонт'!AF74-'[3]поточний ремонт'!AF74</f>
        <v>1814</v>
      </c>
      <c r="AG74" s="9"/>
      <c r="AH74" s="43">
        <f>'[1]поточний ремонт'!AH74+'[2]поточний ремонт'!AH74-'[3]поточний ремонт'!AH74</f>
        <v>1420.4777869412935</v>
      </c>
      <c r="AI74" s="43">
        <f>'[1]поточний ремонт'!AI74+'[2]поточний ремонт'!AI74-'[3]поточний ремонт'!AI74</f>
        <v>4069</v>
      </c>
      <c r="AJ74" s="5"/>
      <c r="AK74" s="43">
        <f>'[1]поточний ремонт'!AK74+'[2]поточний ремонт'!AK74-'[3]поточний ремонт'!AK74</f>
        <v>1107.8780740234904</v>
      </c>
      <c r="AL74" s="43">
        <f>'[1]поточний ремонт'!AL74+'[2]поточний ремонт'!AL74-'[3]поточний ремонт'!AL74</f>
        <v>2677</v>
      </c>
      <c r="AM74" s="5"/>
      <c r="AN74" s="43">
        <f>'[1]поточний ремонт'!AN74+'[2]поточний ремонт'!AN74-'[3]поточний ремонт'!AN74</f>
        <v>691.97958726118429</v>
      </c>
      <c r="AO74" s="43">
        <f>'[1]поточний ремонт'!AO74+'[2]поточний ремонт'!AO74-'[3]поточний ремонт'!AO74</f>
        <v>0</v>
      </c>
      <c r="AP74" s="5"/>
      <c r="AQ74" s="43">
        <f>'[1]поточний ремонт'!AQ74+'[2]поточний ремонт'!AQ74-'[3]поточний ремонт'!AQ74</f>
        <v>1169.2516706447873</v>
      </c>
      <c r="AR74" s="43">
        <f>'[1]поточний ремонт'!AR74+'[2]поточний ремонт'!AR74-'[3]поточний ремонт'!AR74</f>
        <v>0</v>
      </c>
      <c r="AS74" s="5"/>
      <c r="AT74" s="43">
        <f>'[1]поточний ремонт'!AT74+'[2]поточний ремонт'!AT74-'[3]поточний ремонт'!AT74</f>
        <v>1412.354089855826</v>
      </c>
      <c r="AU74" s="43">
        <f>'[1]поточний ремонт'!AU74+'[2]поточний ремонт'!AU74-'[3]поточний ремонт'!AU74</f>
        <v>2374</v>
      </c>
      <c r="AV74" s="5"/>
      <c r="AW74" s="43">
        <f>'[1]поточний ремонт'!AW74+'[2]поточний ремонт'!AW74-'[3]поточний ремонт'!AW74</f>
        <v>1373.0659063130572</v>
      </c>
      <c r="AX74" s="43">
        <f>'[1]поточний ремонт'!AX74+'[2]поточний ремонт'!AX74-'[3]поточний ремонт'!AX74</f>
        <v>0</v>
      </c>
      <c r="AY74" s="5"/>
      <c r="AZ74" s="43">
        <f t="shared" si="2"/>
        <v>8210.9008883035949</v>
      </c>
      <c r="BA74" s="43">
        <f t="shared" si="3"/>
        <v>10934</v>
      </c>
      <c r="BB74" s="59">
        <f t="shared" si="4"/>
        <v>2723.0991116964051</v>
      </c>
      <c r="BD74" s="2">
        <v>1</v>
      </c>
      <c r="BF74" s="30">
        <v>544.20189185863364</v>
      </c>
      <c r="BG74" s="328">
        <v>150000533</v>
      </c>
      <c r="BI74" s="107">
        <v>1.1200000000000001</v>
      </c>
      <c r="BJ74" s="107">
        <f t="shared" si="5"/>
        <v>0.157541664</v>
      </c>
      <c r="BK74" s="107">
        <v>1.2916800915200002</v>
      </c>
      <c r="BL74" s="39"/>
      <c r="BM74" s="3"/>
      <c r="BN74" s="3">
        <v>0</v>
      </c>
      <c r="BP74" s="3"/>
      <c r="BQ74" s="3"/>
      <c r="BS74" s="43"/>
      <c r="BT74" s="43">
        <v>0</v>
      </c>
      <c r="BU74" s="1037"/>
      <c r="BV74" s="42"/>
      <c r="BW74" s="43"/>
      <c r="BX74" s="37"/>
      <c r="BY74" s="78"/>
      <c r="BZ74" s="43">
        <v>0</v>
      </c>
      <c r="CA74" s="1038"/>
      <c r="CB74" s="42">
        <v>0</v>
      </c>
      <c r="CC74" s="42">
        <v>0</v>
      </c>
      <c r="CD74" s="1047"/>
      <c r="CE74" s="78">
        <v>0</v>
      </c>
      <c r="CF74" s="56"/>
      <c r="CG74" s="42">
        <v>0</v>
      </c>
      <c r="CH74" s="39">
        <v>1.2916800915200002</v>
      </c>
      <c r="CI74" s="78">
        <v>0</v>
      </c>
      <c r="CJ74" s="1044"/>
      <c r="CK74" s="1034"/>
      <c r="CL74" s="1029"/>
      <c r="CM74" s="1034"/>
      <c r="CN74" s="1029">
        <v>172.95297588114539</v>
      </c>
      <c r="CO74" s="78">
        <v>86.324481105329667</v>
      </c>
      <c r="CP74" s="43">
        <v>0</v>
      </c>
      <c r="CQ74" s="9"/>
      <c r="CR74" s="78">
        <v>118.37314891177445</v>
      </c>
      <c r="CS74" s="1033">
        <v>0</v>
      </c>
      <c r="CT74" s="5"/>
      <c r="CU74" s="78">
        <v>92.323172835290876</v>
      </c>
      <c r="CV74" s="43">
        <v>0</v>
      </c>
      <c r="CW74" s="5"/>
      <c r="CX74" s="78">
        <v>57.664965605098686</v>
      </c>
      <c r="CY74" s="43">
        <v>0</v>
      </c>
      <c r="CZ74" s="5"/>
      <c r="DA74" s="78">
        <v>97.437639220398921</v>
      </c>
      <c r="DB74" s="43">
        <v>0</v>
      </c>
      <c r="DC74" s="5"/>
      <c r="DD74" s="78">
        <v>117.69617415465216</v>
      </c>
      <c r="DE74" s="43">
        <v>0</v>
      </c>
      <c r="DF74" s="5"/>
      <c r="DG74" s="78">
        <v>114.42215885942146</v>
      </c>
      <c r="DH74" s="43"/>
      <c r="DI74" s="5"/>
      <c r="DJ74" s="43">
        <v>684.24174069196624</v>
      </c>
      <c r="DK74" s="43">
        <f t="shared" si="6"/>
        <v>0</v>
      </c>
      <c r="DL74" s="59">
        <f t="shared" si="7"/>
        <v>-684.24174069196624</v>
      </c>
    </row>
    <row r="75" spans="1:116" ht="24.9" customHeight="1" x14ac:dyDescent="0.3">
      <c r="A75" s="328">
        <v>150000534</v>
      </c>
      <c r="B75" s="45" t="s">
        <v>254</v>
      </c>
      <c r="C75" s="1035">
        <v>5</v>
      </c>
      <c r="D75" s="1036" t="s">
        <v>454</v>
      </c>
      <c r="E75" s="1028">
        <f>'побудинковий звіт'!E73</f>
        <v>783.2</v>
      </c>
      <c r="F75" s="1029">
        <f>'побудинковий звіт'!AS73</f>
        <v>44386.96263901671</v>
      </c>
      <c r="G75" s="1029">
        <f t="shared" ref="G75:G138" si="8">J75+M75+P75+S75+U75+X75+Y75+AA75+AB75+AC75+AD75</f>
        <v>116812</v>
      </c>
      <c r="H75" s="1029">
        <f t="shared" ref="H75:H138" si="9">G75-F75</f>
        <v>72425.03736098329</v>
      </c>
      <c r="I75" s="43">
        <f>'[1]поточний ремонт'!I75+'[2]поточний ремонт'!I75-'[3]поточний ремонт'!I75</f>
        <v>235</v>
      </c>
      <c r="J75" s="43">
        <f>'[1]поточний ремонт'!J75+'[2]поточний ремонт'!J75-'[3]поточний ремонт'!J75</f>
        <v>106389</v>
      </c>
      <c r="K75" s="1037"/>
      <c r="L75" s="43">
        <f>'[1]поточний ремонт'!L75+'[2]поточний ремонт'!L75-'[3]поточний ремонт'!L75</f>
        <v>0</v>
      </c>
      <c r="M75" s="43">
        <f>'[1]поточний ремонт'!M75+'[2]поточний ремонт'!M75-'[3]поточний ремонт'!M75</f>
        <v>0</v>
      </c>
      <c r="N75" s="1040"/>
      <c r="O75" s="43">
        <f>'[1]поточний ремонт'!O75+'[2]поточний ремонт'!O75-'[3]поточний ремонт'!O75</f>
        <v>0</v>
      </c>
      <c r="P75" s="43">
        <f>'[1]поточний ремонт'!P75+'[2]поточний ремонт'!P75-'[3]поточний ремонт'!P75</f>
        <v>0</v>
      </c>
      <c r="Q75" s="1038"/>
      <c r="R75" s="43">
        <f>'[1]поточний ремонт'!R75+'[2]поточний ремонт'!R75-'[3]поточний ремонт'!R75</f>
        <v>0</v>
      </c>
      <c r="S75" s="43">
        <f>'[1]поточний ремонт'!S75+'[2]поточний ремонт'!S75-'[3]поточний ремонт'!S75</f>
        <v>0</v>
      </c>
      <c r="T75" s="1039"/>
      <c r="U75" s="43">
        <f>'[1]поточний ремонт'!U75+'[2]поточний ремонт'!U75-'[3]поточний ремонт'!U75</f>
        <v>0</v>
      </c>
      <c r="V75" s="43">
        <f>'[1]поточний ремонт'!V75+'[2]поточний ремонт'!V75-'[3]поточний ремонт'!V75</f>
        <v>0</v>
      </c>
      <c r="W75" s="43">
        <f>'[1]поточний ремонт'!W75+'[2]поточний ремонт'!W75-'[3]поточний ремонт'!W75</f>
        <v>0</v>
      </c>
      <c r="X75" s="43">
        <f>'[1]поточний ремонт'!X75+'[2]поточний ремонт'!X75-'[3]поточний ремонт'!X75</f>
        <v>0</v>
      </c>
      <c r="Y75" s="43">
        <f>'[1]поточний ремонт'!Y75+'[2]поточний ремонт'!Y75-'[3]поточний ремонт'!Y75</f>
        <v>2100</v>
      </c>
      <c r="Z75" s="43">
        <f>'[1]поточний ремонт'!Z75+'[2]поточний ремонт'!Z75-'[3]поточний ремонт'!Z75</f>
        <v>0</v>
      </c>
      <c r="AA75" s="43">
        <f>'[1]поточний ремонт'!AA75+'[2]поточний ремонт'!AA75-'[3]поточний ремонт'!AA75</f>
        <v>0</v>
      </c>
      <c r="AB75" s="43">
        <f>'[1]поточний ремонт'!AB75+'[2]поточний ремонт'!AB75-'[3]поточний ремонт'!AB75</f>
        <v>0</v>
      </c>
      <c r="AC75" s="43">
        <f>'[1]поточний ремонт'!AC75+'[2]поточний ремонт'!AC75-'[3]поточний ремонт'!AC75</f>
        <v>3119</v>
      </c>
      <c r="AD75" s="43">
        <f>'[1]поточний ремонт'!AD75+'[2]поточний ремонт'!AD75-'[3]поточний ремонт'!AD75</f>
        <v>5204</v>
      </c>
      <c r="AE75" s="43">
        <f>'[1]поточний ремонт'!AE75+'[2]поточний ремонт'!AE75-'[3]поточний ремонт'!AE75</f>
        <v>1543.0954202121861</v>
      </c>
      <c r="AF75" s="43">
        <f>'[1]поточний ремонт'!AF75+'[2]поточний ремонт'!AF75-'[3]поточний ремонт'!AF75</f>
        <v>4857</v>
      </c>
      <c r="AG75" s="5"/>
      <c r="AH75" s="43">
        <f>'[1]поточний ремонт'!AH75+'[2]поточний ремонт'!AH75-'[3]поточний ремонт'!AH75</f>
        <v>2047.7847604631097</v>
      </c>
      <c r="AI75" s="43">
        <f>'[1]поточний ремонт'!AI75+'[2]поточний ремонт'!AI75-'[3]поточний ремонт'!AI75</f>
        <v>2157</v>
      </c>
      <c r="AJ75" s="9"/>
      <c r="AK75" s="43">
        <f>'[1]поточний ремонт'!AK75+'[2]поточний ремонт'!AK75-'[3]поточний ремонт'!AK75</f>
        <v>1429.2670450907278</v>
      </c>
      <c r="AL75" s="43">
        <f>'[1]поточний ремонт'!AL75+'[2]поточний ремонт'!AL75-'[3]поточний ремонт'!AL75</f>
        <v>0</v>
      </c>
      <c r="AM75" s="5"/>
      <c r="AN75" s="43">
        <f>'[1]поточний ремонт'!AN75+'[2]поточний ремонт'!AN75-'[3]поточний ремонт'!AN75</f>
        <v>706.30561336435608</v>
      </c>
      <c r="AO75" s="43">
        <f>'[1]поточний ремонт'!AO75+'[2]поточний ремонт'!AO75-'[3]поточний ремонт'!AO75</f>
        <v>0</v>
      </c>
      <c r="AP75" s="5"/>
      <c r="AQ75" s="43">
        <f>'[1]поточний ремонт'!AQ75+'[2]поточний ремонт'!AQ75-'[3]поточний ремонт'!AQ75</f>
        <v>539.76213107435467</v>
      </c>
      <c r="AR75" s="43">
        <f>'[1]поточний ремонт'!AR75+'[2]поточний ремонт'!AR75-'[3]поточний ремонт'!AR75</f>
        <v>3148</v>
      </c>
      <c r="AS75" s="5"/>
      <c r="AT75" s="43">
        <f>'[1]поточний ремонт'!AT75+'[2]поточний ремонт'!AT75-'[3]поточний ремонт'!AT75</f>
        <v>735.41896384928611</v>
      </c>
      <c r="AU75" s="43">
        <f>'[1]поточний ремонт'!AU75+'[2]поточний ремонт'!AU75-'[3]поточний ремонт'!AU75</f>
        <v>3395</v>
      </c>
      <c r="AV75" s="5"/>
      <c r="AW75" s="43">
        <f>'[1]поточний ремонт'!AW75+'[2]поточний ремонт'!AW75-'[3]поточний ремонт'!AW75</f>
        <v>733.74444862908138</v>
      </c>
      <c r="AX75" s="43">
        <f>'[1]поточний ремонт'!AX75+'[2]поточний ремонт'!AX75-'[3]поточний ремонт'!AX75</f>
        <v>3815</v>
      </c>
      <c r="AY75" s="5"/>
      <c r="AZ75" s="43">
        <f t="shared" si="2"/>
        <v>7735.3783826831013</v>
      </c>
      <c r="BA75" s="43">
        <f t="shared" si="3"/>
        <v>17372</v>
      </c>
      <c r="BB75" s="59">
        <f t="shared" si="4"/>
        <v>9636.6216173168978</v>
      </c>
      <c r="BD75" s="2">
        <v>1</v>
      </c>
      <c r="BF75" s="30">
        <v>115.92821592679131</v>
      </c>
      <c r="BG75" s="328">
        <v>150000534</v>
      </c>
      <c r="BI75" s="107">
        <v>0</v>
      </c>
      <c r="BJ75" s="107">
        <f t="shared" si="5"/>
        <v>0</v>
      </c>
      <c r="BK75" s="107">
        <v>0</v>
      </c>
      <c r="BL75" s="39"/>
      <c r="BM75" s="3"/>
      <c r="BN75" s="3">
        <v>0</v>
      </c>
      <c r="BP75" s="3"/>
      <c r="BQ75" s="3"/>
      <c r="BS75" s="43"/>
      <c r="BT75" s="43">
        <v>0</v>
      </c>
      <c r="BU75" s="1037"/>
      <c r="BV75" s="42"/>
      <c r="BW75" s="43"/>
      <c r="BX75" s="1040"/>
      <c r="BY75" s="78"/>
      <c r="BZ75" s="43">
        <v>0</v>
      </c>
      <c r="CA75" s="1038"/>
      <c r="CB75" s="42">
        <v>0</v>
      </c>
      <c r="CC75" s="42">
        <v>0</v>
      </c>
      <c r="CD75" s="1039"/>
      <c r="CE75" s="78">
        <v>0</v>
      </c>
      <c r="CF75" s="56"/>
      <c r="CG75" s="42">
        <v>0</v>
      </c>
      <c r="CH75" s="39">
        <v>0</v>
      </c>
      <c r="CI75" s="78">
        <v>0</v>
      </c>
      <c r="CJ75" s="56"/>
      <c r="CK75" s="1034"/>
      <c r="CL75" s="1029"/>
      <c r="CM75" s="1034"/>
      <c r="CN75" s="1029">
        <v>0</v>
      </c>
      <c r="CO75" s="78">
        <v>128.5912850176822</v>
      </c>
      <c r="CP75" s="43">
        <v>346.41471448329588</v>
      </c>
      <c r="CQ75" s="5"/>
      <c r="CR75" s="78">
        <v>170.64873003859248</v>
      </c>
      <c r="CS75" s="1033">
        <v>0</v>
      </c>
      <c r="CT75" s="9"/>
      <c r="CU75" s="78">
        <v>119.10558709089396</v>
      </c>
      <c r="CV75" s="43">
        <v>0</v>
      </c>
      <c r="CW75" s="5"/>
      <c r="CX75" s="78">
        <v>58.85880111369633</v>
      </c>
      <c r="CY75" s="43">
        <v>0</v>
      </c>
      <c r="CZ75" s="5"/>
      <c r="DA75" s="78">
        <v>44.980177589529568</v>
      </c>
      <c r="DB75" s="43">
        <v>0</v>
      </c>
      <c r="DC75" s="5"/>
      <c r="DD75" s="78">
        <v>61.284913654107179</v>
      </c>
      <c r="DE75" s="43">
        <v>952.84965418607874</v>
      </c>
      <c r="DF75" s="5"/>
      <c r="DG75" s="78">
        <v>61.145370719090117</v>
      </c>
      <c r="DH75" s="43"/>
      <c r="DI75" s="5"/>
      <c r="DJ75" s="43">
        <v>644.61486522359189</v>
      </c>
      <c r="DK75" s="43">
        <f t="shared" si="6"/>
        <v>1299.2643686693746</v>
      </c>
      <c r="DL75" s="59">
        <f t="shared" si="7"/>
        <v>654.64950344578267</v>
      </c>
    </row>
    <row r="76" spans="1:116" ht="24.9" customHeight="1" x14ac:dyDescent="0.3">
      <c r="A76" s="328">
        <v>150000535</v>
      </c>
      <c r="B76" s="45" t="s">
        <v>350</v>
      </c>
      <c r="C76" s="1035">
        <v>9</v>
      </c>
      <c r="D76" s="1036" t="s">
        <v>454</v>
      </c>
      <c r="E76" s="1028">
        <f>'побудинковий звіт'!E74</f>
        <v>2730.7</v>
      </c>
      <c r="F76" s="1029">
        <f>'побудинковий звіт'!AS74</f>
        <v>197299.15676249281</v>
      </c>
      <c r="G76" s="1029">
        <f t="shared" si="8"/>
        <v>198963</v>
      </c>
      <c r="H76" s="1029">
        <f t="shared" si="9"/>
        <v>1663.8432375071861</v>
      </c>
      <c r="I76" s="43">
        <f>'[1]поточний ремонт'!I76+'[2]поточний ремонт'!I76-'[3]поточний ремонт'!I76</f>
        <v>175.70999999999998</v>
      </c>
      <c r="J76" s="43">
        <f>'[1]поточний ремонт'!J76+'[2]поточний ремонт'!J76-'[3]поточний ремонт'!J76</f>
        <v>67484</v>
      </c>
      <c r="K76" s="1044"/>
      <c r="L76" s="43">
        <f>'[1]поточний ремонт'!L76+'[2]поточний ремонт'!L76-'[3]поточний ремонт'!L76</f>
        <v>0</v>
      </c>
      <c r="M76" s="43">
        <f>'[1]поточний ремонт'!M76+'[2]поточний ремонт'!M76-'[3]поточний ремонт'!M76</f>
        <v>0</v>
      </c>
      <c r="N76" s="37"/>
      <c r="O76" s="43">
        <f>'[1]поточний ремонт'!O76+'[2]поточний ремонт'!O76-'[3]поточний ремонт'!O76</f>
        <v>172.8</v>
      </c>
      <c r="P76" s="43">
        <f>'[1]поточний ремонт'!P76+'[2]поточний ремонт'!P76-'[3]поточний ремонт'!P76</f>
        <v>51211</v>
      </c>
      <c r="Q76" s="1052"/>
      <c r="R76" s="43">
        <f>'[1]поточний ремонт'!R76+'[2]поточний ремонт'!R76-'[3]поточний ремонт'!R76</f>
        <v>3</v>
      </c>
      <c r="S76" s="43">
        <f>'[1]поточний ремонт'!S76+'[2]поточний ремонт'!S76-'[3]поточний ремонт'!S76</f>
        <v>15697.000000000002</v>
      </c>
      <c r="T76" s="1047"/>
      <c r="U76" s="43">
        <f>'[1]поточний ремонт'!U76+'[2]поточний ремонт'!U76-'[3]поточний ремонт'!U76</f>
        <v>0</v>
      </c>
      <c r="V76" s="43">
        <f>'[1]поточний ремонт'!V76+'[2]поточний ремонт'!V76-'[3]поточний ремонт'!V76</f>
        <v>0</v>
      </c>
      <c r="W76" s="43">
        <f>'[1]поточний ремонт'!W76+'[2]поточний ремонт'!W76-'[3]поточний ремонт'!W76</f>
        <v>0</v>
      </c>
      <c r="X76" s="43">
        <f>'[1]поточний ремонт'!X76+'[2]поточний ремонт'!X76-'[3]поточний ремонт'!X76</f>
        <v>0</v>
      </c>
      <c r="Y76" s="43">
        <f>'[1]поточний ремонт'!Y76+'[2]поточний ремонт'!Y76-'[3]поточний ремонт'!Y76</f>
        <v>25659</v>
      </c>
      <c r="Z76" s="43">
        <f>'[1]поточний ремонт'!Z76+'[2]поточний ремонт'!Z76-'[3]поточний ремонт'!Z76</f>
        <v>0</v>
      </c>
      <c r="AA76" s="43">
        <f>'[1]поточний ремонт'!AA76+'[2]поточний ремонт'!AA76-'[3]поточний ремонт'!AA76</f>
        <v>0</v>
      </c>
      <c r="AB76" s="43">
        <f>'[1]поточний ремонт'!AB76+'[2]поточний ремонт'!AB76-'[3]поточний ремонт'!AB76</f>
        <v>9040</v>
      </c>
      <c r="AC76" s="43">
        <f>'[1]поточний ремонт'!AC76+'[2]поточний ремонт'!AC76-'[3]поточний ремонт'!AC76</f>
        <v>14903</v>
      </c>
      <c r="AD76" s="43">
        <f>'[1]поточний ремонт'!AD76+'[2]поточний ремонт'!AD76-'[3]поточний ремонт'!AD76</f>
        <v>14969</v>
      </c>
      <c r="AE76" s="43">
        <f>'[1]поточний ремонт'!AE76+'[2]поточний ремонт'!AE76-'[3]поточний ремонт'!AE76</f>
        <v>2593.2803124522607</v>
      </c>
      <c r="AF76" s="43">
        <f>'[1]поточний ремонт'!AF76+'[2]поточний ремонт'!AF76-'[3]поточний ремонт'!AF76</f>
        <v>2777.2678302007389</v>
      </c>
      <c r="AG76" s="1045"/>
      <c r="AH76" s="43">
        <f>'[1]поточний ремонт'!AH76+'[2]поточний ремонт'!AH76-'[3]поточний ремонт'!AH76</f>
        <v>3551.194467353233</v>
      </c>
      <c r="AI76" s="43">
        <f>'[1]поточний ремонт'!AI76+'[2]поточний ремонт'!AI76-'[3]поточний ремонт'!AI76</f>
        <v>9258.933112417777</v>
      </c>
      <c r="AJ76" s="9"/>
      <c r="AK76" s="43">
        <f>'[1]поточний ремонт'!AK76+'[2]поточний ремонт'!AK76-'[3]поточний ремонт'!AK76</f>
        <v>4141.6309918311208</v>
      </c>
      <c r="AL76" s="43">
        <f>'[1]поточний ремонт'!AL76+'[2]поточний ремонт'!AL76-'[3]поточний ремонт'!AL76</f>
        <v>7593</v>
      </c>
      <c r="AM76" s="5"/>
      <c r="AN76" s="43">
        <f>'[1]поточний ремонт'!AN76+'[2]поточний ремонт'!AN76-'[3]поточний ремонт'!AN76</f>
        <v>1739.2972062302358</v>
      </c>
      <c r="AO76" s="43">
        <f>'[1]поточний ремонт'!AO76+'[2]поточний ремонт'!AO76-'[3]поточний ремонт'!AO76</f>
        <v>0</v>
      </c>
      <c r="AP76" s="5"/>
      <c r="AQ76" s="43">
        <f>'[1]поточний ремонт'!AQ76+'[2]поточний ремонт'!AQ76-'[3]поточний ремонт'!AQ76</f>
        <v>2923.1291766119671</v>
      </c>
      <c r="AR76" s="43">
        <f>'[1]поточний ремонт'!AR76+'[2]поточний ремонт'!AR76-'[3]поточний ремонт'!AR76</f>
        <v>0</v>
      </c>
      <c r="AS76" s="5"/>
      <c r="AT76" s="43">
        <f>'[1]поточний ремонт'!AT76+'[2]поточний ремонт'!AT76-'[3]поточний ремонт'!AT76</f>
        <v>3530.8852246395645</v>
      </c>
      <c r="AU76" s="43">
        <f>'[1]поточний ремонт'!AU76+'[2]поточний ремонт'!AU76-'[3]поточний ремонт'!AU76</f>
        <v>7656.2096977603178</v>
      </c>
      <c r="AV76" s="5"/>
      <c r="AW76" s="43">
        <f>'[1]поточний ремонт'!AW76+'[2]поточний ремонт'!AW76-'[3]поточний ремонт'!AW76</f>
        <v>1396.4533431190202</v>
      </c>
      <c r="AX76" s="43">
        <f>'[1]поточний ремонт'!AX76+'[2]поточний ремонт'!AX76-'[3]поточний ремонт'!AX76</f>
        <v>13118</v>
      </c>
      <c r="AY76" s="5"/>
      <c r="AZ76" s="43">
        <f t="shared" ref="AZ76:AZ139" si="10">AE76+AH76+AK76+AN76+AQ76+AT76+AW76</f>
        <v>19875.870722237403</v>
      </c>
      <c r="BA76" s="43">
        <f t="shared" ref="BA76:BA139" si="11">AF76+AI76+AL76+AO76+AR76+AU76+AX76</f>
        <v>40403.410640378832</v>
      </c>
      <c r="BB76" s="59">
        <f t="shared" ref="BB76:BB139" si="12">BA76-AZ76</f>
        <v>20527.539918141429</v>
      </c>
      <c r="BD76" s="2">
        <v>1</v>
      </c>
      <c r="BF76" s="30">
        <v>592.56555990156812</v>
      </c>
      <c r="BG76" s="328">
        <v>150000535</v>
      </c>
      <c r="BI76" s="107">
        <v>0</v>
      </c>
      <c r="BJ76" s="107">
        <f t="shared" ref="BJ76:BJ139" si="13">BI76*$BJ$10</f>
        <v>0</v>
      </c>
      <c r="BK76" s="107">
        <v>0</v>
      </c>
      <c r="BL76" s="39"/>
      <c r="BM76" s="3"/>
      <c r="BN76" s="3">
        <v>0</v>
      </c>
      <c r="BP76" s="3"/>
      <c r="BQ76" s="3"/>
      <c r="BS76" s="43"/>
      <c r="BT76" s="43">
        <v>0</v>
      </c>
      <c r="BU76" s="1044"/>
      <c r="BV76" s="42"/>
      <c r="BW76" s="43"/>
      <c r="BX76" s="37"/>
      <c r="BY76" s="78"/>
      <c r="BZ76" s="43">
        <v>0</v>
      </c>
      <c r="CA76" s="1052"/>
      <c r="CB76" s="42">
        <v>1</v>
      </c>
      <c r="CC76" s="42">
        <v>12136.15485511292</v>
      </c>
      <c r="CD76" s="1047"/>
      <c r="CE76" s="78">
        <v>0</v>
      </c>
      <c r="CF76" s="56"/>
      <c r="CG76" s="42">
        <v>0</v>
      </c>
      <c r="CH76" s="39">
        <v>0</v>
      </c>
      <c r="CI76" s="78">
        <v>0</v>
      </c>
      <c r="CJ76" s="1044"/>
      <c r="CK76" s="1034"/>
      <c r="CL76" s="1029"/>
      <c r="CM76" s="1034"/>
      <c r="CN76" s="1029">
        <v>1579.1943059231439</v>
      </c>
      <c r="CO76" s="78">
        <v>216.10669270435505</v>
      </c>
      <c r="CP76" s="43">
        <v>0</v>
      </c>
      <c r="CQ76" s="1045"/>
      <c r="CR76" s="78">
        <v>295.93287227943603</v>
      </c>
      <c r="CS76" s="1033">
        <v>0</v>
      </c>
      <c r="CT76" s="9"/>
      <c r="CU76" s="78">
        <v>345.13591598592677</v>
      </c>
      <c r="CV76" s="43">
        <v>0</v>
      </c>
      <c r="CW76" s="5"/>
      <c r="CX76" s="78">
        <v>144.94143385251968</v>
      </c>
      <c r="CY76" s="43">
        <v>0</v>
      </c>
      <c r="CZ76" s="5"/>
      <c r="DA76" s="78">
        <v>243.59409805099727</v>
      </c>
      <c r="DB76" s="43">
        <v>0</v>
      </c>
      <c r="DC76" s="5"/>
      <c r="DD76" s="78">
        <v>294.24043538663039</v>
      </c>
      <c r="DE76" s="43">
        <v>0</v>
      </c>
      <c r="DF76" s="5"/>
      <c r="DG76" s="78">
        <v>116.37111192658503</v>
      </c>
      <c r="DH76" s="43"/>
      <c r="DI76" s="5"/>
      <c r="DJ76" s="43">
        <v>1656.3225601864501</v>
      </c>
      <c r="DK76" s="43">
        <f t="shared" ref="DK76:DK139" si="14">CP76+CS76+CV76+CY76+DB76+DE76+DH76</f>
        <v>0</v>
      </c>
      <c r="DL76" s="59">
        <f t="shared" ref="DL76:DL139" si="15">DK76-DJ76</f>
        <v>-1656.3225601864501</v>
      </c>
    </row>
    <row r="77" spans="1:116" ht="24.9" customHeight="1" x14ac:dyDescent="0.3">
      <c r="A77" s="328">
        <v>150000645</v>
      </c>
      <c r="B77" s="45" t="s">
        <v>65</v>
      </c>
      <c r="C77" s="1035">
        <v>1</v>
      </c>
      <c r="D77" s="1036" t="s">
        <v>454</v>
      </c>
      <c r="E77" s="1028">
        <f>'побудинковий звіт'!E75</f>
        <v>1556.6</v>
      </c>
      <c r="F77" s="1029">
        <f>'побудинковий звіт'!AS75</f>
        <v>3413.5079379087051</v>
      </c>
      <c r="G77" s="1029">
        <f t="shared" si="8"/>
        <v>3809</v>
      </c>
      <c r="H77" s="1029">
        <f t="shared" si="9"/>
        <v>395.49206209129488</v>
      </c>
      <c r="I77" s="43">
        <f>'[1]поточний ремонт'!I77+'[2]поточний ремонт'!I77-'[3]поточний ремонт'!I77</f>
        <v>15.5</v>
      </c>
      <c r="J77" s="43">
        <f>'[1]поточний ремонт'!J77+'[2]поточний ремонт'!J77-'[3]поточний ремонт'!J77</f>
        <v>3191</v>
      </c>
      <c r="K77" s="1037"/>
      <c r="L77" s="43">
        <f>'[1]поточний ремонт'!L77+'[2]поточний ремонт'!L77-'[3]поточний ремонт'!L77</f>
        <v>0</v>
      </c>
      <c r="M77" s="43">
        <f>'[1]поточний ремонт'!M77+'[2]поточний ремонт'!M77-'[3]поточний ремонт'!M77</f>
        <v>0</v>
      </c>
      <c r="N77" s="37"/>
      <c r="O77" s="43">
        <f>'[1]поточний ремонт'!O77+'[2]поточний ремонт'!O77-'[3]поточний ремонт'!O77</f>
        <v>0</v>
      </c>
      <c r="P77" s="43">
        <f>'[1]поточний ремонт'!P77+'[2]поточний ремонт'!P77-'[3]поточний ремонт'!P77</f>
        <v>0</v>
      </c>
      <c r="Q77" s="1038"/>
      <c r="R77" s="43">
        <f>'[1]поточний ремонт'!R77+'[2]поточний ремонт'!R77-'[3]поточний ремонт'!R77</f>
        <v>0</v>
      </c>
      <c r="S77" s="43">
        <f>'[1]поточний ремонт'!S77+'[2]поточний ремонт'!S77-'[3]поточний ремонт'!S77</f>
        <v>0</v>
      </c>
      <c r="T77" s="1039"/>
      <c r="U77" s="43">
        <f>'[1]поточний ремонт'!U77+'[2]поточний ремонт'!U77-'[3]поточний ремонт'!U77</f>
        <v>0</v>
      </c>
      <c r="V77" s="43">
        <f>'[1]поточний ремонт'!V77+'[2]поточний ремонт'!V77-'[3]поточний ремонт'!V77</f>
        <v>0</v>
      </c>
      <c r="W77" s="43">
        <f>'[1]поточний ремонт'!W77+'[2]поточний ремонт'!W77-'[3]поточний ремонт'!W77</f>
        <v>0</v>
      </c>
      <c r="X77" s="43">
        <f>'[1]поточний ремонт'!X77+'[2]поточний ремонт'!X77-'[3]поточний ремонт'!X77</f>
        <v>0</v>
      </c>
      <c r="Y77" s="43">
        <f>'[1]поточний ремонт'!Y77+'[2]поточний ремонт'!Y77-'[3]поточний ремонт'!Y77</f>
        <v>0</v>
      </c>
      <c r="Z77" s="43">
        <f>'[1]поточний ремонт'!Z77+'[2]поточний ремонт'!Z77-'[3]поточний ремонт'!Z77</f>
        <v>0</v>
      </c>
      <c r="AA77" s="43">
        <f>'[1]поточний ремонт'!AA77+'[2]поточний ремонт'!AA77-'[3]поточний ремонт'!AA77</f>
        <v>0</v>
      </c>
      <c r="AB77" s="43">
        <f>'[1]поточний ремонт'!AB77+'[2]поточний ремонт'!AB77-'[3]поточний ремонт'!AB77</f>
        <v>0</v>
      </c>
      <c r="AC77" s="43">
        <f>'[1]поточний ремонт'!AC77+'[2]поточний ремонт'!AC77-'[3]поточний ремонт'!AC77</f>
        <v>0</v>
      </c>
      <c r="AD77" s="43">
        <f>'[1]поточний ремонт'!AD77+'[2]поточний ремонт'!AD77-'[3]поточний ремонт'!AD77</f>
        <v>618</v>
      </c>
      <c r="AE77" s="43">
        <f>'[1]поточний ремонт'!AE77+'[2]поточний ремонт'!AE77-'[3]поточний ремонт'!AE77</f>
        <v>0</v>
      </c>
      <c r="AF77" s="43">
        <f>'[1]поточний ремонт'!AF77+'[2]поточний ремонт'!AF77-'[3]поточний ремонт'!AF77</f>
        <v>0</v>
      </c>
      <c r="AG77" s="5"/>
      <c r="AH77" s="43">
        <f>'[1]поточний ремонт'!AH77+'[2]поточний ремонт'!AH77-'[3]поточний ремонт'!AH77</f>
        <v>0</v>
      </c>
      <c r="AI77" s="43">
        <f>'[1]поточний ремонт'!AI77+'[2]поточний ремонт'!AI77-'[3]поточний ремонт'!AI77</f>
        <v>0</v>
      </c>
      <c r="AJ77" s="5"/>
      <c r="AK77" s="43">
        <f>'[1]поточний ремонт'!AK77+'[2]поточний ремонт'!AK77-'[3]поточний ремонт'!AK77</f>
        <v>0</v>
      </c>
      <c r="AL77" s="43">
        <f>'[1]поточний ремонт'!AL77+'[2]поточний ремонт'!AL77-'[3]поточний ремонт'!AL77</f>
        <v>0</v>
      </c>
      <c r="AM77" s="5"/>
      <c r="AN77" s="43">
        <f>'[1]поточний ремонт'!AN77+'[2]поточний ремонт'!AN77-'[3]поточний ремонт'!AN77</f>
        <v>0</v>
      </c>
      <c r="AO77" s="43">
        <f>'[1]поточний ремонт'!AO77+'[2]поточний ремонт'!AO77-'[3]поточний ремонт'!AO77</f>
        <v>0</v>
      </c>
      <c r="AP77" s="5"/>
      <c r="AQ77" s="43">
        <f>'[1]поточний ремонт'!AQ77+'[2]поточний ремонт'!AQ77-'[3]поточний ремонт'!AQ77</f>
        <v>0</v>
      </c>
      <c r="AR77" s="43">
        <f>'[1]поточний ремонт'!AR77+'[2]поточний ремонт'!AR77-'[3]поточний ремонт'!AR77</f>
        <v>1228</v>
      </c>
      <c r="AS77" s="5"/>
      <c r="AT77" s="43">
        <f>'[1]поточний ремонт'!AT77+'[2]поточний ремонт'!AT77-'[3]поточний ремонт'!AT77</f>
        <v>0</v>
      </c>
      <c r="AU77" s="43">
        <f>'[1]поточний ремонт'!AU77+'[2]поточний ремонт'!AU77-'[3]поточний ремонт'!AU77</f>
        <v>0</v>
      </c>
      <c r="AV77" s="5"/>
      <c r="AW77" s="43">
        <f>'[1]поточний ремонт'!AW77+'[2]поточний ремонт'!AW77-'[3]поточний ремонт'!AW77</f>
        <v>0</v>
      </c>
      <c r="AX77" s="43">
        <f>'[1]поточний ремонт'!AX77+'[2]поточний ремонт'!AX77-'[3]поточний ремонт'!AX77</f>
        <v>0</v>
      </c>
      <c r="AY77" s="5"/>
      <c r="AZ77" s="43">
        <f t="shared" si="10"/>
        <v>0</v>
      </c>
      <c r="BA77" s="43">
        <f t="shared" si="11"/>
        <v>1228</v>
      </c>
      <c r="BB77" s="59">
        <f t="shared" si="12"/>
        <v>1228</v>
      </c>
      <c r="BD77" s="2">
        <v>3</v>
      </c>
      <c r="BF77" s="30">
        <v>0</v>
      </c>
      <c r="BG77" s="328">
        <v>150000645</v>
      </c>
      <c r="BI77" s="107">
        <v>0</v>
      </c>
      <c r="BJ77" s="107">
        <f t="shared" si="13"/>
        <v>0</v>
      </c>
      <c r="BK77" s="107">
        <v>0</v>
      </c>
      <c r="BL77" s="39"/>
      <c r="BM77" s="3"/>
      <c r="BN77" s="3">
        <v>0</v>
      </c>
      <c r="BP77" s="3"/>
      <c r="BQ77" s="3"/>
      <c r="BS77" s="43"/>
      <c r="BT77" s="43">
        <v>0</v>
      </c>
      <c r="BU77" s="1037"/>
      <c r="BV77" s="42"/>
      <c r="BW77" s="43"/>
      <c r="BX77" s="37"/>
      <c r="BY77" s="78"/>
      <c r="BZ77" s="43">
        <v>0</v>
      </c>
      <c r="CA77" s="1038"/>
      <c r="CB77" s="42">
        <v>0</v>
      </c>
      <c r="CC77" s="42">
        <v>0</v>
      </c>
      <c r="CD77" s="1039"/>
      <c r="CE77" s="78">
        <v>0</v>
      </c>
      <c r="CF77" s="56"/>
      <c r="CG77" s="42">
        <v>0</v>
      </c>
      <c r="CH77" s="39">
        <v>0</v>
      </c>
      <c r="CI77" s="78">
        <v>0</v>
      </c>
      <c r="CJ77" s="56"/>
      <c r="CK77" s="1034"/>
      <c r="CL77" s="1029"/>
      <c r="CM77" s="1034"/>
      <c r="CN77" s="1029">
        <v>0</v>
      </c>
      <c r="CO77" s="78">
        <v>0</v>
      </c>
      <c r="CP77" s="43">
        <v>0</v>
      </c>
      <c r="CQ77" s="5"/>
      <c r="CR77" s="78">
        <v>0</v>
      </c>
      <c r="CS77" s="1033">
        <v>0</v>
      </c>
      <c r="CT77" s="5"/>
      <c r="CU77" s="78">
        <v>0</v>
      </c>
      <c r="CV77" s="43">
        <v>0</v>
      </c>
      <c r="CW77" s="5"/>
      <c r="CX77" s="78">
        <v>0</v>
      </c>
      <c r="CY77" s="43">
        <v>0</v>
      </c>
      <c r="CZ77" s="5"/>
      <c r="DA77" s="78">
        <v>0</v>
      </c>
      <c r="DB77" s="43">
        <v>0</v>
      </c>
      <c r="DC77" s="5"/>
      <c r="DD77" s="78">
        <v>0</v>
      </c>
      <c r="DE77" s="43">
        <v>0</v>
      </c>
      <c r="DF77" s="5"/>
      <c r="DG77" s="78">
        <v>0</v>
      </c>
      <c r="DH77" s="43"/>
      <c r="DI77" s="5"/>
      <c r="DJ77" s="43">
        <v>0</v>
      </c>
      <c r="DK77" s="43">
        <f t="shared" si="14"/>
        <v>0</v>
      </c>
      <c r="DL77" s="59">
        <f t="shared" si="15"/>
        <v>0</v>
      </c>
    </row>
    <row r="78" spans="1:116" ht="24.9" customHeight="1" x14ac:dyDescent="0.3">
      <c r="A78" s="328">
        <v>150000643</v>
      </c>
      <c r="B78" s="45" t="s">
        <v>66</v>
      </c>
      <c r="C78" s="1035">
        <v>1</v>
      </c>
      <c r="D78" s="1036" t="s">
        <v>454</v>
      </c>
      <c r="E78" s="1028">
        <f>'побудинковий звіт'!E76</f>
        <v>300.7</v>
      </c>
      <c r="F78" s="1029">
        <f>'побудинковий звіт'!AS76</f>
        <v>2900.4605184978377</v>
      </c>
      <c r="G78" s="1029">
        <f t="shared" si="8"/>
        <v>0</v>
      </c>
      <c r="H78" s="1029">
        <f t="shared" si="9"/>
        <v>-2900.4605184978377</v>
      </c>
      <c r="I78" s="43">
        <f>'[1]поточний ремонт'!I78+'[2]поточний ремонт'!I78-'[3]поточний ремонт'!I78</f>
        <v>0</v>
      </c>
      <c r="J78" s="43">
        <f>'[1]поточний ремонт'!J78+'[2]поточний ремонт'!J78-'[3]поточний ремонт'!J78</f>
        <v>0</v>
      </c>
      <c r="K78" s="1037"/>
      <c r="L78" s="43">
        <f>'[1]поточний ремонт'!L78+'[2]поточний ремонт'!L78-'[3]поточний ремонт'!L78</f>
        <v>0</v>
      </c>
      <c r="M78" s="43">
        <f>'[1]поточний ремонт'!M78+'[2]поточний ремонт'!M78-'[3]поточний ремонт'!M78</f>
        <v>0</v>
      </c>
      <c r="N78" s="37"/>
      <c r="O78" s="43">
        <f>'[1]поточний ремонт'!O78+'[2]поточний ремонт'!O78-'[3]поточний ремонт'!O78</f>
        <v>0</v>
      </c>
      <c r="P78" s="43">
        <f>'[1]поточний ремонт'!P78+'[2]поточний ремонт'!P78-'[3]поточний ремонт'!P78</f>
        <v>0</v>
      </c>
      <c r="Q78" s="1038"/>
      <c r="R78" s="43">
        <f>'[1]поточний ремонт'!R78+'[2]поточний ремонт'!R78-'[3]поточний ремонт'!R78</f>
        <v>0</v>
      </c>
      <c r="S78" s="43">
        <f>'[1]поточний ремонт'!S78+'[2]поточний ремонт'!S78-'[3]поточний ремонт'!S78</f>
        <v>0</v>
      </c>
      <c r="T78" s="1039"/>
      <c r="U78" s="43">
        <f>'[1]поточний ремонт'!U78+'[2]поточний ремонт'!U78-'[3]поточний ремонт'!U78</f>
        <v>0</v>
      </c>
      <c r="V78" s="43">
        <f>'[1]поточний ремонт'!V78+'[2]поточний ремонт'!V78-'[3]поточний ремонт'!V78</f>
        <v>0</v>
      </c>
      <c r="W78" s="43">
        <f>'[1]поточний ремонт'!W78+'[2]поточний ремонт'!W78-'[3]поточний ремонт'!W78</f>
        <v>0</v>
      </c>
      <c r="X78" s="43">
        <f>'[1]поточний ремонт'!X78+'[2]поточний ремонт'!X78-'[3]поточний ремонт'!X78</f>
        <v>0</v>
      </c>
      <c r="Y78" s="43">
        <f>'[1]поточний ремонт'!Y78+'[2]поточний ремонт'!Y78-'[3]поточний ремонт'!Y78</f>
        <v>0</v>
      </c>
      <c r="Z78" s="43">
        <f>'[1]поточний ремонт'!Z78+'[2]поточний ремонт'!Z78-'[3]поточний ремонт'!Z78</f>
        <v>0</v>
      </c>
      <c r="AA78" s="43">
        <f>'[1]поточний ремонт'!AA78+'[2]поточний ремонт'!AA78-'[3]поточний ремонт'!AA78</f>
        <v>0</v>
      </c>
      <c r="AB78" s="43">
        <f>'[1]поточний ремонт'!AB78+'[2]поточний ремонт'!AB78-'[3]поточний ремонт'!AB78</f>
        <v>0</v>
      </c>
      <c r="AC78" s="43">
        <f>'[1]поточний ремонт'!AC78+'[2]поточний ремонт'!AC78-'[3]поточний ремонт'!AC78</f>
        <v>0</v>
      </c>
      <c r="AD78" s="43">
        <f>'[1]поточний ремонт'!AD78+'[2]поточний ремонт'!AD78-'[3]поточний ремонт'!AD78</f>
        <v>0</v>
      </c>
      <c r="AE78" s="43">
        <f>'[1]поточний ремонт'!AE78+'[2]поточний ремонт'!AE78-'[3]поточний ремонт'!AE78</f>
        <v>0</v>
      </c>
      <c r="AF78" s="43">
        <f>'[1]поточний ремонт'!AF78+'[2]поточний ремонт'!AF78-'[3]поточний ремонт'!AF78</f>
        <v>0</v>
      </c>
      <c r="AG78" s="5"/>
      <c r="AH78" s="43">
        <f>'[1]поточний ремонт'!AH78+'[2]поточний ремонт'!AH78-'[3]поточний ремонт'!AH78</f>
        <v>0</v>
      </c>
      <c r="AI78" s="43">
        <f>'[1]поточний ремонт'!AI78+'[2]поточний ремонт'!AI78-'[3]поточний ремонт'!AI78</f>
        <v>0</v>
      </c>
      <c r="AJ78" s="5"/>
      <c r="AK78" s="43">
        <f>'[1]поточний ремонт'!AK78+'[2]поточний ремонт'!AK78-'[3]поточний ремонт'!AK78</f>
        <v>0</v>
      </c>
      <c r="AL78" s="43">
        <f>'[1]поточний ремонт'!AL78+'[2]поточний ремонт'!AL78-'[3]поточний ремонт'!AL78</f>
        <v>0</v>
      </c>
      <c r="AM78" s="5"/>
      <c r="AN78" s="43">
        <f>'[1]поточний ремонт'!AN78+'[2]поточний ремонт'!AN78-'[3]поточний ремонт'!AN78</f>
        <v>0</v>
      </c>
      <c r="AO78" s="43">
        <f>'[1]поточний ремонт'!AO78+'[2]поточний ремонт'!AO78-'[3]поточний ремонт'!AO78</f>
        <v>0</v>
      </c>
      <c r="AP78" s="5"/>
      <c r="AQ78" s="43">
        <f>'[1]поточний ремонт'!AQ78+'[2]поточний ремонт'!AQ78-'[3]поточний ремонт'!AQ78</f>
        <v>0</v>
      </c>
      <c r="AR78" s="43">
        <f>'[1]поточний ремонт'!AR78+'[2]поточний ремонт'!AR78-'[3]поточний ремонт'!AR78</f>
        <v>0</v>
      </c>
      <c r="AS78" s="5"/>
      <c r="AT78" s="43">
        <f>'[1]поточний ремонт'!AT78+'[2]поточний ремонт'!AT78-'[3]поточний ремонт'!AT78</f>
        <v>0</v>
      </c>
      <c r="AU78" s="43">
        <f>'[1]поточний ремонт'!AU78+'[2]поточний ремонт'!AU78-'[3]поточний ремонт'!AU78</f>
        <v>0</v>
      </c>
      <c r="AV78" s="5"/>
      <c r="AW78" s="43">
        <f>'[1]поточний ремонт'!AW78+'[2]поточний ремонт'!AW78-'[3]поточний ремонт'!AW78</f>
        <v>0</v>
      </c>
      <c r="AX78" s="43">
        <f>'[1]поточний ремонт'!AX78+'[2]поточний ремонт'!AX78-'[3]поточний ремонт'!AX78</f>
        <v>0</v>
      </c>
      <c r="AY78" s="5"/>
      <c r="AZ78" s="43">
        <f t="shared" si="10"/>
        <v>0</v>
      </c>
      <c r="BA78" s="43">
        <f t="shared" si="11"/>
        <v>0</v>
      </c>
      <c r="BB78" s="59">
        <f t="shared" si="12"/>
        <v>0</v>
      </c>
      <c r="BD78" s="2">
        <v>3</v>
      </c>
      <c r="BF78" s="30">
        <v>0</v>
      </c>
      <c r="BG78" s="328">
        <v>150000643</v>
      </c>
      <c r="BI78" s="107">
        <v>0</v>
      </c>
      <c r="BJ78" s="107">
        <f t="shared" si="13"/>
        <v>0</v>
      </c>
      <c r="BK78" s="107">
        <v>0</v>
      </c>
      <c r="BL78" s="39"/>
      <c r="BM78" s="3"/>
      <c r="BN78" s="3">
        <v>0</v>
      </c>
      <c r="BP78" s="3"/>
      <c r="BQ78" s="3"/>
      <c r="BS78" s="43"/>
      <c r="BT78" s="43">
        <v>0</v>
      </c>
      <c r="BU78" s="1037"/>
      <c r="BV78" s="42"/>
      <c r="BW78" s="43"/>
      <c r="BX78" s="37"/>
      <c r="BY78" s="78"/>
      <c r="BZ78" s="43">
        <v>0</v>
      </c>
      <c r="CA78" s="1038"/>
      <c r="CB78" s="42">
        <v>0</v>
      </c>
      <c r="CC78" s="42">
        <v>0</v>
      </c>
      <c r="CD78" s="1039"/>
      <c r="CE78" s="78">
        <v>0</v>
      </c>
      <c r="CF78" s="56"/>
      <c r="CG78" s="42">
        <v>0</v>
      </c>
      <c r="CH78" s="39">
        <v>0</v>
      </c>
      <c r="CI78" s="78">
        <v>0</v>
      </c>
      <c r="CJ78" s="56"/>
      <c r="CK78" s="1034"/>
      <c r="CL78" s="1029"/>
      <c r="CM78" s="1034"/>
      <c r="CN78" s="1029">
        <v>0</v>
      </c>
      <c r="CO78" s="78">
        <v>0</v>
      </c>
      <c r="CP78" s="43">
        <v>0</v>
      </c>
      <c r="CQ78" s="5"/>
      <c r="CR78" s="78">
        <v>0</v>
      </c>
      <c r="CS78" s="1033">
        <v>0</v>
      </c>
      <c r="CT78" s="5"/>
      <c r="CU78" s="78">
        <v>0</v>
      </c>
      <c r="CV78" s="43">
        <v>0</v>
      </c>
      <c r="CW78" s="5"/>
      <c r="CX78" s="78">
        <v>0</v>
      </c>
      <c r="CY78" s="43">
        <v>0</v>
      </c>
      <c r="CZ78" s="5"/>
      <c r="DA78" s="78">
        <v>0</v>
      </c>
      <c r="DB78" s="43">
        <v>0</v>
      </c>
      <c r="DC78" s="5"/>
      <c r="DD78" s="78">
        <v>0</v>
      </c>
      <c r="DE78" s="43">
        <v>0</v>
      </c>
      <c r="DF78" s="5"/>
      <c r="DG78" s="78">
        <v>0</v>
      </c>
      <c r="DH78" s="43"/>
      <c r="DI78" s="5"/>
      <c r="DJ78" s="43">
        <v>0</v>
      </c>
      <c r="DK78" s="43">
        <f t="shared" si="14"/>
        <v>0</v>
      </c>
      <c r="DL78" s="59">
        <f t="shared" si="15"/>
        <v>0</v>
      </c>
    </row>
    <row r="79" spans="1:116" ht="24.9" customHeight="1" x14ac:dyDescent="0.3">
      <c r="A79" s="328">
        <v>150000644</v>
      </c>
      <c r="B79" s="45" t="s">
        <v>67</v>
      </c>
      <c r="C79" s="1035">
        <v>1</v>
      </c>
      <c r="D79" s="1036" t="s">
        <v>454</v>
      </c>
      <c r="E79" s="1028">
        <f>'побудинковий звіт'!E77</f>
        <v>293.5</v>
      </c>
      <c r="F79" s="1029">
        <f>'побудинковий звіт'!AS77</f>
        <v>2965.3624077159639</v>
      </c>
      <c r="G79" s="1029">
        <f t="shared" si="8"/>
        <v>0</v>
      </c>
      <c r="H79" s="1029">
        <f t="shared" si="9"/>
        <v>-2965.3624077159639</v>
      </c>
      <c r="I79" s="43">
        <f>'[1]поточний ремонт'!I79+'[2]поточний ремонт'!I79-'[3]поточний ремонт'!I79</f>
        <v>0</v>
      </c>
      <c r="J79" s="43">
        <f>'[1]поточний ремонт'!J79+'[2]поточний ремонт'!J79-'[3]поточний ремонт'!J79</f>
        <v>0</v>
      </c>
      <c r="K79" s="1037"/>
      <c r="L79" s="43">
        <f>'[1]поточний ремонт'!L79+'[2]поточний ремонт'!L79-'[3]поточний ремонт'!L79</f>
        <v>0</v>
      </c>
      <c r="M79" s="43">
        <f>'[1]поточний ремонт'!M79+'[2]поточний ремонт'!M79-'[3]поточний ремонт'!M79</f>
        <v>0</v>
      </c>
      <c r="N79" s="37"/>
      <c r="O79" s="43">
        <f>'[1]поточний ремонт'!O79+'[2]поточний ремонт'!O79-'[3]поточний ремонт'!O79</f>
        <v>0</v>
      </c>
      <c r="P79" s="43">
        <f>'[1]поточний ремонт'!P79+'[2]поточний ремонт'!P79-'[3]поточний ремонт'!P79</f>
        <v>0</v>
      </c>
      <c r="Q79" s="1038"/>
      <c r="R79" s="43">
        <f>'[1]поточний ремонт'!R79+'[2]поточний ремонт'!R79-'[3]поточний ремонт'!R79</f>
        <v>0</v>
      </c>
      <c r="S79" s="43">
        <f>'[1]поточний ремонт'!S79+'[2]поточний ремонт'!S79-'[3]поточний ремонт'!S79</f>
        <v>0</v>
      </c>
      <c r="T79" s="1039"/>
      <c r="U79" s="43">
        <f>'[1]поточний ремонт'!U79+'[2]поточний ремонт'!U79-'[3]поточний ремонт'!U79</f>
        <v>0</v>
      </c>
      <c r="V79" s="43">
        <f>'[1]поточний ремонт'!V79+'[2]поточний ремонт'!V79-'[3]поточний ремонт'!V79</f>
        <v>0</v>
      </c>
      <c r="W79" s="43">
        <f>'[1]поточний ремонт'!W79+'[2]поточний ремонт'!W79-'[3]поточний ремонт'!W79</f>
        <v>0</v>
      </c>
      <c r="X79" s="43">
        <f>'[1]поточний ремонт'!X79+'[2]поточний ремонт'!X79-'[3]поточний ремонт'!X79</f>
        <v>0</v>
      </c>
      <c r="Y79" s="43">
        <f>'[1]поточний ремонт'!Y79+'[2]поточний ремонт'!Y79-'[3]поточний ремонт'!Y79</f>
        <v>0</v>
      </c>
      <c r="Z79" s="43">
        <f>'[1]поточний ремонт'!Z79+'[2]поточний ремонт'!Z79-'[3]поточний ремонт'!Z79</f>
        <v>0</v>
      </c>
      <c r="AA79" s="43">
        <f>'[1]поточний ремонт'!AA79+'[2]поточний ремонт'!AA79-'[3]поточний ремонт'!AA79</f>
        <v>0</v>
      </c>
      <c r="AB79" s="43">
        <f>'[1]поточний ремонт'!AB79+'[2]поточний ремонт'!AB79-'[3]поточний ремонт'!AB79</f>
        <v>0</v>
      </c>
      <c r="AC79" s="43">
        <f>'[1]поточний ремонт'!AC79+'[2]поточний ремонт'!AC79-'[3]поточний ремонт'!AC79</f>
        <v>0</v>
      </c>
      <c r="AD79" s="43">
        <f>'[1]поточний ремонт'!AD79+'[2]поточний ремонт'!AD79-'[3]поточний ремонт'!AD79</f>
        <v>0</v>
      </c>
      <c r="AE79" s="43">
        <f>'[1]поточний ремонт'!AE79+'[2]поточний ремонт'!AE79-'[3]поточний ремонт'!AE79</f>
        <v>0</v>
      </c>
      <c r="AF79" s="43">
        <f>'[1]поточний ремонт'!AF79+'[2]поточний ремонт'!AF79-'[3]поточний ремонт'!AF79</f>
        <v>0</v>
      </c>
      <c r="AG79" s="5"/>
      <c r="AH79" s="43">
        <f>'[1]поточний ремонт'!AH79+'[2]поточний ремонт'!AH79-'[3]поточний ремонт'!AH79</f>
        <v>0</v>
      </c>
      <c r="AI79" s="43">
        <f>'[1]поточний ремонт'!AI79+'[2]поточний ремонт'!AI79-'[3]поточний ремонт'!AI79</f>
        <v>0</v>
      </c>
      <c r="AJ79" s="5"/>
      <c r="AK79" s="43">
        <f>'[1]поточний ремонт'!AK79+'[2]поточний ремонт'!AK79-'[3]поточний ремонт'!AK79</f>
        <v>100.58685768636319</v>
      </c>
      <c r="AL79" s="43">
        <f>'[1]поточний ремонт'!AL79+'[2]поточний ремонт'!AL79-'[3]поточний ремонт'!AL79</f>
        <v>0</v>
      </c>
      <c r="AM79" s="5"/>
      <c r="AN79" s="43">
        <f>'[1]поточний ремонт'!AN79+'[2]поточний ремонт'!AN79-'[3]поточний ремонт'!AN79</f>
        <v>0</v>
      </c>
      <c r="AO79" s="43">
        <f>'[1]поточний ремонт'!AO79+'[2]поточний ремонт'!AO79-'[3]поточний ремонт'!AO79</f>
        <v>0</v>
      </c>
      <c r="AP79" s="5"/>
      <c r="AQ79" s="43">
        <f>'[1]поточний ремонт'!AQ79+'[2]поточний ремонт'!AQ79-'[3]поточний ремонт'!AQ79</f>
        <v>0</v>
      </c>
      <c r="AR79" s="43">
        <f>'[1]поточний ремонт'!AR79+'[2]поточний ремонт'!AR79-'[3]поточний ремонт'!AR79</f>
        <v>0</v>
      </c>
      <c r="AS79" s="5"/>
      <c r="AT79" s="43">
        <f>'[1]поточний ремонт'!AT79+'[2]поточний ремонт'!AT79-'[3]поточний ремонт'!AT79</f>
        <v>0</v>
      </c>
      <c r="AU79" s="43">
        <f>'[1]поточний ремонт'!AU79+'[2]поточний ремонт'!AU79-'[3]поточний ремонт'!AU79</f>
        <v>0</v>
      </c>
      <c r="AV79" s="5"/>
      <c r="AW79" s="43">
        <f>'[1]поточний ремонт'!AW79+'[2]поточний ремонт'!AW79-'[3]поточний ремонт'!AW79</f>
        <v>0</v>
      </c>
      <c r="AX79" s="43">
        <f>'[1]поточний ремонт'!AX79+'[2]поточний ремонт'!AX79-'[3]поточний ремонт'!AX79</f>
        <v>0</v>
      </c>
      <c r="AY79" s="5"/>
      <c r="AZ79" s="43">
        <f t="shared" si="10"/>
        <v>100.58685768636319</v>
      </c>
      <c r="BA79" s="43">
        <f t="shared" si="11"/>
        <v>0</v>
      </c>
      <c r="BB79" s="59">
        <f t="shared" si="12"/>
        <v>-100.58685768636319</v>
      </c>
      <c r="BD79" s="2">
        <v>3</v>
      </c>
      <c r="BF79" s="30">
        <v>0</v>
      </c>
      <c r="BG79" s="328">
        <v>150000644</v>
      </c>
      <c r="BI79" s="107">
        <v>0</v>
      </c>
      <c r="BJ79" s="107">
        <f t="shared" si="13"/>
        <v>0</v>
      </c>
      <c r="BK79" s="107">
        <v>0</v>
      </c>
      <c r="BL79" s="39"/>
      <c r="BM79" s="3"/>
      <c r="BN79" s="3">
        <v>0</v>
      </c>
      <c r="BP79" s="3"/>
      <c r="BQ79" s="3"/>
      <c r="BS79" s="43"/>
      <c r="BT79" s="43">
        <v>0</v>
      </c>
      <c r="BU79" s="1037"/>
      <c r="BV79" s="42"/>
      <c r="BW79" s="43"/>
      <c r="BX79" s="37"/>
      <c r="BY79" s="78"/>
      <c r="BZ79" s="43">
        <v>0</v>
      </c>
      <c r="CA79" s="1038"/>
      <c r="CB79" s="42">
        <v>0</v>
      </c>
      <c r="CC79" s="42">
        <v>0</v>
      </c>
      <c r="CD79" s="1039"/>
      <c r="CE79" s="78">
        <v>0</v>
      </c>
      <c r="CF79" s="56"/>
      <c r="CG79" s="42">
        <v>0</v>
      </c>
      <c r="CH79" s="39">
        <v>0</v>
      </c>
      <c r="CI79" s="78">
        <v>0</v>
      </c>
      <c r="CJ79" s="56"/>
      <c r="CK79" s="1034"/>
      <c r="CL79" s="1029"/>
      <c r="CM79" s="1034"/>
      <c r="CN79" s="1029">
        <v>0</v>
      </c>
      <c r="CO79" s="78">
        <v>0</v>
      </c>
      <c r="CP79" s="43">
        <v>0</v>
      </c>
      <c r="CQ79" s="5"/>
      <c r="CR79" s="78">
        <v>0</v>
      </c>
      <c r="CS79" s="1033">
        <v>0</v>
      </c>
      <c r="CT79" s="5"/>
      <c r="CU79" s="78">
        <v>8.3822381405302675</v>
      </c>
      <c r="CV79" s="43">
        <v>0</v>
      </c>
      <c r="CW79" s="5"/>
      <c r="CX79" s="78">
        <v>0</v>
      </c>
      <c r="CY79" s="43">
        <v>0</v>
      </c>
      <c r="CZ79" s="5"/>
      <c r="DA79" s="78">
        <v>0</v>
      </c>
      <c r="DB79" s="43">
        <v>0</v>
      </c>
      <c r="DC79" s="5"/>
      <c r="DD79" s="78">
        <v>0</v>
      </c>
      <c r="DE79" s="43">
        <v>0</v>
      </c>
      <c r="DF79" s="5"/>
      <c r="DG79" s="78">
        <v>0</v>
      </c>
      <c r="DH79" s="43"/>
      <c r="DI79" s="5"/>
      <c r="DJ79" s="43">
        <v>8.3822381405302675</v>
      </c>
      <c r="DK79" s="43">
        <f t="shared" si="14"/>
        <v>0</v>
      </c>
      <c r="DL79" s="59">
        <f t="shared" si="15"/>
        <v>-8.3822381405302675</v>
      </c>
    </row>
    <row r="80" spans="1:116" ht="24.9" customHeight="1" x14ac:dyDescent="0.3">
      <c r="A80" s="328">
        <v>150000566</v>
      </c>
      <c r="B80" s="45" t="s">
        <v>68</v>
      </c>
      <c r="C80" s="1035">
        <v>1</v>
      </c>
      <c r="D80" s="1036" t="s">
        <v>454</v>
      </c>
      <c r="E80" s="1028">
        <f>'побудинковий звіт'!E78</f>
        <v>8443.0499999999993</v>
      </c>
      <c r="F80" s="1029">
        <f>'побудинковий звіт'!AS78</f>
        <v>6451.2372103066446</v>
      </c>
      <c r="G80" s="1029">
        <f t="shared" si="8"/>
        <v>0</v>
      </c>
      <c r="H80" s="1029">
        <f t="shared" si="9"/>
        <v>-6451.2372103066446</v>
      </c>
      <c r="I80" s="43">
        <f>'[1]поточний ремонт'!I80+'[2]поточний ремонт'!I80-'[3]поточний ремонт'!I80</f>
        <v>0</v>
      </c>
      <c r="J80" s="43">
        <f>'[1]поточний ремонт'!J80+'[2]поточний ремонт'!J80-'[3]поточний ремонт'!J80</f>
        <v>0</v>
      </c>
      <c r="K80" s="1037"/>
      <c r="L80" s="43">
        <f>'[1]поточний ремонт'!L80+'[2]поточний ремонт'!L80-'[3]поточний ремонт'!L80</f>
        <v>0</v>
      </c>
      <c r="M80" s="43">
        <f>'[1]поточний ремонт'!M80+'[2]поточний ремонт'!M80-'[3]поточний ремонт'!M80</f>
        <v>0</v>
      </c>
      <c r="N80" s="37"/>
      <c r="O80" s="43">
        <f>'[1]поточний ремонт'!O80+'[2]поточний ремонт'!O80-'[3]поточний ремонт'!O80</f>
        <v>0</v>
      </c>
      <c r="P80" s="43">
        <f>'[1]поточний ремонт'!P80+'[2]поточний ремонт'!P80-'[3]поточний ремонт'!P80</f>
        <v>0</v>
      </c>
      <c r="Q80" s="1038"/>
      <c r="R80" s="43">
        <f>'[1]поточний ремонт'!R80+'[2]поточний ремонт'!R80-'[3]поточний ремонт'!R80</f>
        <v>0</v>
      </c>
      <c r="S80" s="43">
        <f>'[1]поточний ремонт'!S80+'[2]поточний ремонт'!S80-'[3]поточний ремонт'!S80</f>
        <v>0</v>
      </c>
      <c r="T80" s="1039"/>
      <c r="U80" s="43">
        <f>'[1]поточний ремонт'!U80+'[2]поточний ремонт'!U80-'[3]поточний ремонт'!U80</f>
        <v>0</v>
      </c>
      <c r="V80" s="43">
        <f>'[1]поточний ремонт'!V80+'[2]поточний ремонт'!V80-'[3]поточний ремонт'!V80</f>
        <v>0</v>
      </c>
      <c r="W80" s="43">
        <f>'[1]поточний ремонт'!W80+'[2]поточний ремонт'!W80-'[3]поточний ремонт'!W80</f>
        <v>0</v>
      </c>
      <c r="X80" s="43">
        <f>'[1]поточний ремонт'!X80+'[2]поточний ремонт'!X80-'[3]поточний ремонт'!X80</f>
        <v>0</v>
      </c>
      <c r="Y80" s="43">
        <f>'[1]поточний ремонт'!Y80+'[2]поточний ремонт'!Y80-'[3]поточний ремонт'!Y80</f>
        <v>0</v>
      </c>
      <c r="Z80" s="43">
        <f>'[1]поточний ремонт'!Z80+'[2]поточний ремонт'!Z80-'[3]поточний ремонт'!Z80</f>
        <v>0</v>
      </c>
      <c r="AA80" s="43">
        <f>'[1]поточний ремонт'!AA80+'[2]поточний ремонт'!AA80-'[3]поточний ремонт'!AA80</f>
        <v>0</v>
      </c>
      <c r="AB80" s="43">
        <f>'[1]поточний ремонт'!AB80+'[2]поточний ремонт'!AB80-'[3]поточний ремонт'!AB80</f>
        <v>0</v>
      </c>
      <c r="AC80" s="43">
        <f>'[1]поточний ремонт'!AC80+'[2]поточний ремонт'!AC80-'[3]поточний ремонт'!AC80</f>
        <v>0</v>
      </c>
      <c r="AD80" s="43">
        <f>'[1]поточний ремонт'!AD80+'[2]поточний ремонт'!AD80-'[3]поточний ремонт'!AD80</f>
        <v>0</v>
      </c>
      <c r="AE80" s="43">
        <f>'[1]поточний ремонт'!AE80+'[2]поточний ремонт'!AE80-'[3]поточний ремонт'!AE80</f>
        <v>0</v>
      </c>
      <c r="AF80" s="43">
        <f>'[1]поточний ремонт'!AF80+'[2]поточний ремонт'!AF80-'[3]поточний ремонт'!AF80</f>
        <v>0</v>
      </c>
      <c r="AG80" s="5"/>
      <c r="AH80" s="43">
        <f>'[1]поточний ремонт'!AH80+'[2]поточний ремонт'!AH80-'[3]поточний ремонт'!AH80</f>
        <v>0</v>
      </c>
      <c r="AI80" s="43">
        <f>'[1]поточний ремонт'!AI80+'[2]поточний ремонт'!AI80-'[3]поточний ремонт'!AI80</f>
        <v>0</v>
      </c>
      <c r="AJ80" s="5"/>
      <c r="AK80" s="43">
        <f>'[1]поточний ремонт'!AK80+'[2]поточний ремонт'!AK80-'[3]поточний ремонт'!AK80</f>
        <v>0</v>
      </c>
      <c r="AL80" s="43">
        <f>'[1]поточний ремонт'!AL80+'[2]поточний ремонт'!AL80-'[3]поточний ремонт'!AL80</f>
        <v>0</v>
      </c>
      <c r="AM80" s="5"/>
      <c r="AN80" s="43">
        <f>'[1]поточний ремонт'!AN80+'[2]поточний ремонт'!AN80-'[3]поточний ремонт'!AN80</f>
        <v>0</v>
      </c>
      <c r="AO80" s="43">
        <f>'[1]поточний ремонт'!AO80+'[2]поточний ремонт'!AO80-'[3]поточний ремонт'!AO80</f>
        <v>0</v>
      </c>
      <c r="AP80" s="5"/>
      <c r="AQ80" s="43">
        <f>'[1]поточний ремонт'!AQ80+'[2]поточний ремонт'!AQ80-'[3]поточний ремонт'!AQ80</f>
        <v>0</v>
      </c>
      <c r="AR80" s="43">
        <f>'[1]поточний ремонт'!AR80+'[2]поточний ремонт'!AR80-'[3]поточний ремонт'!AR80</f>
        <v>0</v>
      </c>
      <c r="AS80" s="5"/>
      <c r="AT80" s="43">
        <f>'[1]поточний ремонт'!AT80+'[2]поточний ремонт'!AT80-'[3]поточний ремонт'!AT80</f>
        <v>0</v>
      </c>
      <c r="AU80" s="43">
        <f>'[1]поточний ремонт'!AU80+'[2]поточний ремонт'!AU80-'[3]поточний ремонт'!AU80</f>
        <v>0</v>
      </c>
      <c r="AV80" s="5"/>
      <c r="AW80" s="43">
        <f>'[1]поточний ремонт'!AW80+'[2]поточний ремонт'!AW80-'[3]поточний ремонт'!AW80</f>
        <v>0</v>
      </c>
      <c r="AX80" s="43">
        <f>'[1]поточний ремонт'!AX80+'[2]поточний ремонт'!AX80-'[3]поточний ремонт'!AX80</f>
        <v>0</v>
      </c>
      <c r="AY80" s="5"/>
      <c r="AZ80" s="43">
        <f t="shared" si="10"/>
        <v>0</v>
      </c>
      <c r="BA80" s="43">
        <f t="shared" si="11"/>
        <v>0</v>
      </c>
      <c r="BB80" s="59">
        <f t="shared" si="12"/>
        <v>0</v>
      </c>
      <c r="BD80" s="2">
        <v>1</v>
      </c>
      <c r="BF80" s="30">
        <v>0</v>
      </c>
      <c r="BG80" s="328">
        <v>150000566</v>
      </c>
      <c r="BI80" s="107">
        <v>0</v>
      </c>
      <c r="BJ80" s="107">
        <f t="shared" si="13"/>
        <v>0</v>
      </c>
      <c r="BK80" s="107">
        <v>0</v>
      </c>
      <c r="BL80" s="39"/>
      <c r="BM80" s="3"/>
      <c r="BN80" s="3">
        <v>0</v>
      </c>
      <c r="BP80" s="3"/>
      <c r="BQ80" s="3"/>
      <c r="BS80" s="43"/>
      <c r="BT80" s="43">
        <v>0</v>
      </c>
      <c r="BU80" s="1037"/>
      <c r="BV80" s="42"/>
      <c r="BW80" s="43"/>
      <c r="BX80" s="37"/>
      <c r="BY80" s="78"/>
      <c r="BZ80" s="43">
        <v>0</v>
      </c>
      <c r="CA80" s="1038"/>
      <c r="CB80" s="42">
        <v>0</v>
      </c>
      <c r="CC80" s="42">
        <v>0</v>
      </c>
      <c r="CD80" s="1039"/>
      <c r="CE80" s="78">
        <v>0</v>
      </c>
      <c r="CF80" s="56"/>
      <c r="CG80" s="42">
        <v>0</v>
      </c>
      <c r="CH80" s="39">
        <v>0</v>
      </c>
      <c r="CI80" s="78">
        <v>0</v>
      </c>
      <c r="CJ80" s="56"/>
      <c r="CK80" s="1034"/>
      <c r="CL80" s="1029"/>
      <c r="CM80" s="1034"/>
      <c r="CN80" s="1029">
        <v>0</v>
      </c>
      <c r="CO80" s="78">
        <v>0</v>
      </c>
      <c r="CP80" s="43">
        <v>0</v>
      </c>
      <c r="CQ80" s="5"/>
      <c r="CR80" s="78">
        <v>0</v>
      </c>
      <c r="CS80" s="1033">
        <v>0</v>
      </c>
      <c r="CT80" s="5"/>
      <c r="CU80" s="78">
        <v>0</v>
      </c>
      <c r="CV80" s="43">
        <v>0</v>
      </c>
      <c r="CW80" s="5"/>
      <c r="CX80" s="78">
        <v>0</v>
      </c>
      <c r="CY80" s="43">
        <v>0</v>
      </c>
      <c r="CZ80" s="5"/>
      <c r="DA80" s="78">
        <v>0</v>
      </c>
      <c r="DB80" s="43">
        <v>0</v>
      </c>
      <c r="DC80" s="5"/>
      <c r="DD80" s="78">
        <v>0</v>
      </c>
      <c r="DE80" s="43">
        <v>0</v>
      </c>
      <c r="DF80" s="5"/>
      <c r="DG80" s="78">
        <v>0</v>
      </c>
      <c r="DH80" s="43"/>
      <c r="DI80" s="5"/>
      <c r="DJ80" s="43">
        <v>0</v>
      </c>
      <c r="DK80" s="43">
        <f t="shared" si="14"/>
        <v>0</v>
      </c>
      <c r="DL80" s="59">
        <f t="shared" si="15"/>
        <v>0</v>
      </c>
    </row>
    <row r="81" spans="1:116" ht="24.9" customHeight="1" x14ac:dyDescent="0.3">
      <c r="A81" s="328">
        <v>150000569</v>
      </c>
      <c r="B81" s="45" t="s">
        <v>72</v>
      </c>
      <c r="C81" s="1035">
        <v>1</v>
      </c>
      <c r="D81" s="1036" t="s">
        <v>454</v>
      </c>
      <c r="E81" s="1028">
        <f>'побудинковий звіт'!E79</f>
        <v>174.9</v>
      </c>
      <c r="F81" s="1029">
        <f>'побудинковий звіт'!AS79</f>
        <v>3754.6222401514069</v>
      </c>
      <c r="G81" s="1029">
        <f t="shared" si="8"/>
        <v>0</v>
      </c>
      <c r="H81" s="1029">
        <f t="shared" si="9"/>
        <v>-3754.6222401514069</v>
      </c>
      <c r="I81" s="43">
        <f>'[1]поточний ремонт'!I81+'[2]поточний ремонт'!I81-'[3]поточний ремонт'!I81</f>
        <v>0</v>
      </c>
      <c r="J81" s="43">
        <f>'[1]поточний ремонт'!J81+'[2]поточний ремонт'!J81-'[3]поточний ремонт'!J81</f>
        <v>0</v>
      </c>
      <c r="K81" s="1037"/>
      <c r="L81" s="43">
        <f>'[1]поточний ремонт'!L81+'[2]поточний ремонт'!L81-'[3]поточний ремонт'!L81</f>
        <v>0</v>
      </c>
      <c r="M81" s="43">
        <f>'[1]поточний ремонт'!M81+'[2]поточний ремонт'!M81-'[3]поточний ремонт'!M81</f>
        <v>0</v>
      </c>
      <c r="N81" s="37"/>
      <c r="O81" s="43">
        <f>'[1]поточний ремонт'!O81+'[2]поточний ремонт'!O81-'[3]поточний ремонт'!O81</f>
        <v>0</v>
      </c>
      <c r="P81" s="43">
        <f>'[1]поточний ремонт'!P81+'[2]поточний ремонт'!P81-'[3]поточний ремонт'!P81</f>
        <v>0</v>
      </c>
      <c r="Q81" s="1038"/>
      <c r="R81" s="43">
        <f>'[1]поточний ремонт'!R81+'[2]поточний ремонт'!R81-'[3]поточний ремонт'!R81</f>
        <v>0</v>
      </c>
      <c r="S81" s="43">
        <f>'[1]поточний ремонт'!S81+'[2]поточний ремонт'!S81-'[3]поточний ремонт'!S81</f>
        <v>0</v>
      </c>
      <c r="T81" s="1039"/>
      <c r="U81" s="43">
        <f>'[1]поточний ремонт'!U81+'[2]поточний ремонт'!U81-'[3]поточний ремонт'!U81</f>
        <v>0</v>
      </c>
      <c r="V81" s="43">
        <f>'[1]поточний ремонт'!V81+'[2]поточний ремонт'!V81-'[3]поточний ремонт'!V81</f>
        <v>0</v>
      </c>
      <c r="W81" s="43">
        <f>'[1]поточний ремонт'!W81+'[2]поточний ремонт'!W81-'[3]поточний ремонт'!W81</f>
        <v>0</v>
      </c>
      <c r="X81" s="43">
        <f>'[1]поточний ремонт'!X81+'[2]поточний ремонт'!X81-'[3]поточний ремонт'!X81</f>
        <v>0</v>
      </c>
      <c r="Y81" s="43">
        <f>'[1]поточний ремонт'!Y81+'[2]поточний ремонт'!Y81-'[3]поточний ремонт'!Y81</f>
        <v>0</v>
      </c>
      <c r="Z81" s="43">
        <f>'[1]поточний ремонт'!Z81+'[2]поточний ремонт'!Z81-'[3]поточний ремонт'!Z81</f>
        <v>0</v>
      </c>
      <c r="AA81" s="43">
        <f>'[1]поточний ремонт'!AA81+'[2]поточний ремонт'!AA81-'[3]поточний ремонт'!AA81</f>
        <v>0</v>
      </c>
      <c r="AB81" s="43">
        <f>'[1]поточний ремонт'!AB81+'[2]поточний ремонт'!AB81-'[3]поточний ремонт'!AB81</f>
        <v>0</v>
      </c>
      <c r="AC81" s="43">
        <f>'[1]поточний ремонт'!AC81+'[2]поточний ремонт'!AC81-'[3]поточний ремонт'!AC81</f>
        <v>0</v>
      </c>
      <c r="AD81" s="43">
        <f>'[1]поточний ремонт'!AD81+'[2]поточний ремонт'!AD81-'[3]поточний ремонт'!AD81</f>
        <v>0</v>
      </c>
      <c r="AE81" s="43">
        <f>'[1]поточний ремонт'!AE81+'[2]поточний ремонт'!AE81-'[3]поточний ремонт'!AE81</f>
        <v>0</v>
      </c>
      <c r="AF81" s="43">
        <f>'[1]поточний ремонт'!AF81+'[2]поточний ремонт'!AF81-'[3]поточний ремонт'!AF81</f>
        <v>0</v>
      </c>
      <c r="AG81" s="5"/>
      <c r="AH81" s="43">
        <f>'[1]поточний ремонт'!AH81+'[2]поточний ремонт'!AH81-'[3]поточний ремонт'!AH81</f>
        <v>0</v>
      </c>
      <c r="AI81" s="43">
        <f>'[1]поточний ремонт'!AI81+'[2]поточний ремонт'!AI81-'[3]поточний ремонт'!AI81</f>
        <v>0</v>
      </c>
      <c r="AJ81" s="5"/>
      <c r="AK81" s="43">
        <f>'[1]поточний ремонт'!AK81+'[2]поточний ремонт'!AK81-'[3]поточний ремонт'!AK81</f>
        <v>0</v>
      </c>
      <c r="AL81" s="43">
        <f>'[1]поточний ремонт'!AL81+'[2]поточний ремонт'!AL81-'[3]поточний ремонт'!AL81</f>
        <v>0</v>
      </c>
      <c r="AM81" s="5"/>
      <c r="AN81" s="43">
        <f>'[1]поточний ремонт'!AN81+'[2]поточний ремонт'!AN81-'[3]поточний ремонт'!AN81</f>
        <v>0</v>
      </c>
      <c r="AO81" s="43">
        <f>'[1]поточний ремонт'!AO81+'[2]поточний ремонт'!AO81-'[3]поточний ремонт'!AO81</f>
        <v>0</v>
      </c>
      <c r="AP81" s="5"/>
      <c r="AQ81" s="43">
        <f>'[1]поточний ремонт'!AQ81+'[2]поточний ремонт'!AQ81-'[3]поточний ремонт'!AQ81</f>
        <v>0</v>
      </c>
      <c r="AR81" s="43">
        <f>'[1]поточний ремонт'!AR81+'[2]поточний ремонт'!AR81-'[3]поточний ремонт'!AR81</f>
        <v>0</v>
      </c>
      <c r="AS81" s="5"/>
      <c r="AT81" s="43">
        <f>'[1]поточний ремонт'!AT81+'[2]поточний ремонт'!AT81-'[3]поточний ремонт'!AT81</f>
        <v>0</v>
      </c>
      <c r="AU81" s="43">
        <f>'[1]поточний ремонт'!AU81+'[2]поточний ремонт'!AU81-'[3]поточний ремонт'!AU81</f>
        <v>0</v>
      </c>
      <c r="AV81" s="5"/>
      <c r="AW81" s="43">
        <f>'[1]поточний ремонт'!AW81+'[2]поточний ремонт'!AW81-'[3]поточний ремонт'!AW81</f>
        <v>0</v>
      </c>
      <c r="AX81" s="43">
        <f>'[1]поточний ремонт'!AX81+'[2]поточний ремонт'!AX81-'[3]поточний ремонт'!AX81</f>
        <v>0</v>
      </c>
      <c r="AY81" s="5"/>
      <c r="AZ81" s="43">
        <f t="shared" si="10"/>
        <v>0</v>
      </c>
      <c r="BA81" s="43">
        <f t="shared" si="11"/>
        <v>0</v>
      </c>
      <c r="BB81" s="59">
        <f t="shared" si="12"/>
        <v>0</v>
      </c>
      <c r="BD81" s="2">
        <v>1</v>
      </c>
      <c r="BF81" s="30">
        <v>0</v>
      </c>
      <c r="BG81" s="328">
        <v>150000569</v>
      </c>
      <c r="BI81" s="107">
        <v>0</v>
      </c>
      <c r="BJ81" s="107">
        <f t="shared" si="13"/>
        <v>0</v>
      </c>
      <c r="BK81" s="107">
        <v>0</v>
      </c>
      <c r="BL81" s="37"/>
      <c r="BM81" s="3"/>
      <c r="BN81" s="3">
        <v>0</v>
      </c>
      <c r="BP81" s="3"/>
      <c r="BQ81" s="3"/>
      <c r="BS81" s="43"/>
      <c r="BT81" s="43">
        <v>0</v>
      </c>
      <c r="BU81" s="1037"/>
      <c r="BV81" s="42"/>
      <c r="BW81" s="43"/>
      <c r="BX81" s="37"/>
      <c r="BY81" s="78"/>
      <c r="BZ81" s="43">
        <v>0</v>
      </c>
      <c r="CA81" s="1038"/>
      <c r="CB81" s="42">
        <v>0</v>
      </c>
      <c r="CC81" s="42">
        <v>0</v>
      </c>
      <c r="CD81" s="1039"/>
      <c r="CE81" s="78">
        <v>0</v>
      </c>
      <c r="CF81" s="56"/>
      <c r="CG81" s="42">
        <v>0</v>
      </c>
      <c r="CH81" s="39">
        <v>0</v>
      </c>
      <c r="CI81" s="78">
        <v>0</v>
      </c>
      <c r="CJ81" s="56"/>
      <c r="CK81" s="1034"/>
      <c r="CL81" s="1029"/>
      <c r="CM81" s="1034"/>
      <c r="CN81" s="1029">
        <v>0</v>
      </c>
      <c r="CO81" s="78">
        <v>0</v>
      </c>
      <c r="CP81" s="43">
        <v>0</v>
      </c>
      <c r="CQ81" s="5"/>
      <c r="CR81" s="78">
        <v>0</v>
      </c>
      <c r="CS81" s="1033">
        <v>0</v>
      </c>
      <c r="CT81" s="5"/>
      <c r="CU81" s="78">
        <v>0</v>
      </c>
      <c r="CV81" s="43">
        <v>0</v>
      </c>
      <c r="CW81" s="5"/>
      <c r="CX81" s="78">
        <v>0</v>
      </c>
      <c r="CY81" s="43">
        <v>0</v>
      </c>
      <c r="CZ81" s="5"/>
      <c r="DA81" s="78">
        <v>0</v>
      </c>
      <c r="DB81" s="43">
        <v>0</v>
      </c>
      <c r="DC81" s="5"/>
      <c r="DD81" s="78">
        <v>0</v>
      </c>
      <c r="DE81" s="43">
        <v>0</v>
      </c>
      <c r="DF81" s="5"/>
      <c r="DG81" s="78">
        <v>0</v>
      </c>
      <c r="DH81" s="43"/>
      <c r="DI81" s="5"/>
      <c r="DJ81" s="43">
        <v>0</v>
      </c>
      <c r="DK81" s="43">
        <f t="shared" si="14"/>
        <v>0</v>
      </c>
      <c r="DL81" s="59">
        <f t="shared" si="15"/>
        <v>0</v>
      </c>
    </row>
    <row r="82" spans="1:116" ht="24.9" customHeight="1" x14ac:dyDescent="0.3">
      <c r="A82" s="328">
        <v>150000570</v>
      </c>
      <c r="B82" s="45" t="s">
        <v>74</v>
      </c>
      <c r="C82" s="1035">
        <v>1</v>
      </c>
      <c r="D82" s="1036" t="s">
        <v>454</v>
      </c>
      <c r="E82" s="1028">
        <f>'побудинковий звіт'!E80</f>
        <v>136.9</v>
      </c>
      <c r="F82" s="1029">
        <f>'побудинковий звіт'!AS80</f>
        <v>2854.1580012371619</v>
      </c>
      <c r="G82" s="1029">
        <f t="shared" si="8"/>
        <v>573</v>
      </c>
      <c r="H82" s="1029">
        <f t="shared" si="9"/>
        <v>-2281.1580012371619</v>
      </c>
      <c r="I82" s="43">
        <f>'[1]поточний ремонт'!I82+'[2]поточний ремонт'!I82-'[3]поточний ремонт'!I82</f>
        <v>0</v>
      </c>
      <c r="J82" s="43">
        <f>'[1]поточний ремонт'!J82+'[2]поточний ремонт'!J82-'[3]поточний ремонт'!J82</f>
        <v>0</v>
      </c>
      <c r="K82" s="1037"/>
      <c r="L82" s="43">
        <f>'[1]поточний ремонт'!L82+'[2]поточний ремонт'!L82-'[3]поточний ремонт'!L82</f>
        <v>0</v>
      </c>
      <c r="M82" s="43">
        <f>'[1]поточний ремонт'!M82+'[2]поточний ремонт'!M82-'[3]поточний ремонт'!M82</f>
        <v>0</v>
      </c>
      <c r="N82" s="37"/>
      <c r="O82" s="43">
        <f>'[1]поточний ремонт'!O82+'[2]поточний ремонт'!O82-'[3]поточний ремонт'!O82</f>
        <v>0</v>
      </c>
      <c r="P82" s="43">
        <f>'[1]поточний ремонт'!P82+'[2]поточний ремонт'!P82-'[3]поточний ремонт'!P82</f>
        <v>0</v>
      </c>
      <c r="Q82" s="1038"/>
      <c r="R82" s="43">
        <f>'[1]поточний ремонт'!R82+'[2]поточний ремонт'!R82-'[3]поточний ремонт'!R82</f>
        <v>0</v>
      </c>
      <c r="S82" s="43">
        <f>'[1]поточний ремонт'!S82+'[2]поточний ремонт'!S82-'[3]поточний ремонт'!S82</f>
        <v>0</v>
      </c>
      <c r="T82" s="1039"/>
      <c r="U82" s="43">
        <f>'[1]поточний ремонт'!U82+'[2]поточний ремонт'!U82-'[3]поточний ремонт'!U82</f>
        <v>0</v>
      </c>
      <c r="V82" s="43">
        <f>'[1]поточний ремонт'!V82+'[2]поточний ремонт'!V82-'[3]поточний ремонт'!V82</f>
        <v>0</v>
      </c>
      <c r="W82" s="43">
        <f>'[1]поточний ремонт'!W82+'[2]поточний ремонт'!W82-'[3]поточний ремонт'!W82</f>
        <v>0</v>
      </c>
      <c r="X82" s="43">
        <f>'[1]поточний ремонт'!X82+'[2]поточний ремонт'!X82-'[3]поточний ремонт'!X82</f>
        <v>0</v>
      </c>
      <c r="Y82" s="43">
        <f>'[1]поточний ремонт'!Y82+'[2]поточний ремонт'!Y82-'[3]поточний ремонт'!Y82</f>
        <v>0</v>
      </c>
      <c r="Z82" s="43">
        <f>'[1]поточний ремонт'!Z82+'[2]поточний ремонт'!Z82-'[3]поточний ремонт'!Z82</f>
        <v>0</v>
      </c>
      <c r="AA82" s="43">
        <f>'[1]поточний ремонт'!AA82+'[2]поточний ремонт'!AA82-'[3]поточний ремонт'!AA82</f>
        <v>0</v>
      </c>
      <c r="AB82" s="43">
        <f>'[1]поточний ремонт'!AB82+'[2]поточний ремонт'!AB82-'[3]поточний ремонт'!AB82</f>
        <v>0</v>
      </c>
      <c r="AC82" s="43">
        <f>'[1]поточний ремонт'!AC82+'[2]поточний ремонт'!AC82-'[3]поточний ремонт'!AC82</f>
        <v>0</v>
      </c>
      <c r="AD82" s="43">
        <f>'[1]поточний ремонт'!AD82+'[2]поточний ремонт'!AD82-'[3]поточний ремонт'!AD82</f>
        <v>573</v>
      </c>
      <c r="AE82" s="43">
        <f>'[1]поточний ремонт'!AE82+'[2]поточний ремонт'!AE82-'[3]поточний ремонт'!AE82</f>
        <v>0</v>
      </c>
      <c r="AF82" s="43">
        <f>'[1]поточний ремонт'!AF82+'[2]поточний ремонт'!AF82-'[3]поточний ремонт'!AF82</f>
        <v>0</v>
      </c>
      <c r="AG82" s="5"/>
      <c r="AH82" s="43">
        <f>'[1]поточний ремонт'!AH82+'[2]поточний ремонт'!AH82-'[3]поточний ремонт'!AH82</f>
        <v>0</v>
      </c>
      <c r="AI82" s="43">
        <f>'[1]поточний ремонт'!AI82+'[2]поточний ремонт'!AI82-'[3]поточний ремонт'!AI82</f>
        <v>0</v>
      </c>
      <c r="AJ82" s="5"/>
      <c r="AK82" s="43">
        <f>'[1]поточний ремонт'!AK82+'[2]поточний ремонт'!AK82-'[3]поточний ремонт'!AK82</f>
        <v>0</v>
      </c>
      <c r="AL82" s="43">
        <f>'[1]поточний ремонт'!AL82+'[2]поточний ремонт'!AL82-'[3]поточний ремонт'!AL82</f>
        <v>0</v>
      </c>
      <c r="AM82" s="5"/>
      <c r="AN82" s="43">
        <f>'[1]поточний ремонт'!AN82+'[2]поточний ремонт'!AN82-'[3]поточний ремонт'!AN82</f>
        <v>0</v>
      </c>
      <c r="AO82" s="43">
        <f>'[1]поточний ремонт'!AO82+'[2]поточний ремонт'!AO82-'[3]поточний ремонт'!AO82</f>
        <v>0</v>
      </c>
      <c r="AP82" s="5"/>
      <c r="AQ82" s="43">
        <f>'[1]поточний ремонт'!AQ82+'[2]поточний ремонт'!AQ82-'[3]поточний ремонт'!AQ82</f>
        <v>0</v>
      </c>
      <c r="AR82" s="43">
        <f>'[1]поточний ремонт'!AR82+'[2]поточний ремонт'!AR82-'[3]поточний ремонт'!AR82</f>
        <v>0</v>
      </c>
      <c r="AS82" s="5"/>
      <c r="AT82" s="43">
        <f>'[1]поточний ремонт'!AT82+'[2]поточний ремонт'!AT82-'[3]поточний ремонт'!AT82</f>
        <v>0</v>
      </c>
      <c r="AU82" s="43">
        <f>'[1]поточний ремонт'!AU82+'[2]поточний ремонт'!AU82-'[3]поточний ремонт'!AU82</f>
        <v>0</v>
      </c>
      <c r="AV82" s="5"/>
      <c r="AW82" s="43">
        <f>'[1]поточний ремонт'!AW82+'[2]поточний ремонт'!AW82-'[3]поточний ремонт'!AW82</f>
        <v>0</v>
      </c>
      <c r="AX82" s="43">
        <f>'[1]поточний ремонт'!AX82+'[2]поточний ремонт'!AX82-'[3]поточний ремонт'!AX82</f>
        <v>0</v>
      </c>
      <c r="AY82" s="5"/>
      <c r="AZ82" s="43">
        <f t="shared" si="10"/>
        <v>0</v>
      </c>
      <c r="BA82" s="43">
        <f t="shared" si="11"/>
        <v>0</v>
      </c>
      <c r="BB82" s="59">
        <f t="shared" si="12"/>
        <v>0</v>
      </c>
      <c r="BD82" s="2">
        <v>1</v>
      </c>
      <c r="BF82" s="30">
        <v>0</v>
      </c>
      <c r="BG82" s="328">
        <v>150000570</v>
      </c>
      <c r="BI82" s="107">
        <v>0</v>
      </c>
      <c r="BJ82" s="107">
        <f t="shared" si="13"/>
        <v>0</v>
      </c>
      <c r="BK82" s="107">
        <v>0</v>
      </c>
      <c r="BL82" s="39"/>
      <c r="BM82" s="3"/>
      <c r="BN82" s="3">
        <v>0</v>
      </c>
      <c r="BP82" s="3"/>
      <c r="BQ82" s="3"/>
      <c r="BS82" s="43"/>
      <c r="BT82" s="43">
        <v>0</v>
      </c>
      <c r="BU82" s="1037"/>
      <c r="BV82" s="42"/>
      <c r="BW82" s="43"/>
      <c r="BX82" s="37"/>
      <c r="BY82" s="78"/>
      <c r="BZ82" s="43">
        <v>0</v>
      </c>
      <c r="CA82" s="1038"/>
      <c r="CB82" s="42">
        <v>0</v>
      </c>
      <c r="CC82" s="42">
        <v>0</v>
      </c>
      <c r="CD82" s="1039"/>
      <c r="CE82" s="78">
        <v>0</v>
      </c>
      <c r="CF82" s="56"/>
      <c r="CG82" s="42">
        <v>0</v>
      </c>
      <c r="CH82" s="39">
        <v>0</v>
      </c>
      <c r="CI82" s="78">
        <v>0</v>
      </c>
      <c r="CJ82" s="56"/>
      <c r="CK82" s="1034"/>
      <c r="CL82" s="1029"/>
      <c r="CM82" s="1034"/>
      <c r="CN82" s="1029">
        <v>0</v>
      </c>
      <c r="CO82" s="78">
        <v>0</v>
      </c>
      <c r="CP82" s="43">
        <v>0</v>
      </c>
      <c r="CQ82" s="5"/>
      <c r="CR82" s="78">
        <v>0</v>
      </c>
      <c r="CS82" s="1033">
        <v>0</v>
      </c>
      <c r="CT82" s="5"/>
      <c r="CU82" s="78">
        <v>0</v>
      </c>
      <c r="CV82" s="43">
        <v>0</v>
      </c>
      <c r="CW82" s="5"/>
      <c r="CX82" s="78">
        <v>0</v>
      </c>
      <c r="CY82" s="43">
        <v>0</v>
      </c>
      <c r="CZ82" s="5"/>
      <c r="DA82" s="78">
        <v>0</v>
      </c>
      <c r="DB82" s="43">
        <v>0</v>
      </c>
      <c r="DC82" s="5"/>
      <c r="DD82" s="78">
        <v>0</v>
      </c>
      <c r="DE82" s="43">
        <v>0</v>
      </c>
      <c r="DF82" s="5"/>
      <c r="DG82" s="78">
        <v>0</v>
      </c>
      <c r="DH82" s="43"/>
      <c r="DI82" s="5"/>
      <c r="DJ82" s="43">
        <v>0</v>
      </c>
      <c r="DK82" s="43">
        <f t="shared" si="14"/>
        <v>0</v>
      </c>
      <c r="DL82" s="59">
        <f t="shared" si="15"/>
        <v>0</v>
      </c>
    </row>
    <row r="83" spans="1:116" ht="24.9" customHeight="1" x14ac:dyDescent="0.3">
      <c r="A83" s="328">
        <v>150000572</v>
      </c>
      <c r="B83" s="45" t="s">
        <v>152</v>
      </c>
      <c r="C83" s="1035">
        <v>2</v>
      </c>
      <c r="D83" s="1036" t="s">
        <v>454</v>
      </c>
      <c r="E83" s="1028">
        <f>'побудинковий звіт'!E81</f>
        <v>7614.5</v>
      </c>
      <c r="F83" s="1029">
        <f>'побудинковий звіт'!AS81</f>
        <v>3134.2763761035812</v>
      </c>
      <c r="G83" s="1029">
        <f t="shared" si="8"/>
        <v>0</v>
      </c>
      <c r="H83" s="1029">
        <f t="shared" si="9"/>
        <v>-3134.2763761035812</v>
      </c>
      <c r="I83" s="43">
        <f>'[1]поточний ремонт'!I83+'[2]поточний ремонт'!I83-'[3]поточний ремонт'!I83</f>
        <v>0</v>
      </c>
      <c r="J83" s="43">
        <f>'[1]поточний ремонт'!J83+'[2]поточний ремонт'!J83-'[3]поточний ремонт'!J83</f>
        <v>0</v>
      </c>
      <c r="K83" s="1037"/>
      <c r="L83" s="43">
        <f>'[1]поточний ремонт'!L83+'[2]поточний ремонт'!L83-'[3]поточний ремонт'!L83</f>
        <v>0</v>
      </c>
      <c r="M83" s="43">
        <f>'[1]поточний ремонт'!M83+'[2]поточний ремонт'!M83-'[3]поточний ремонт'!M83</f>
        <v>0</v>
      </c>
      <c r="N83" s="37"/>
      <c r="O83" s="43">
        <f>'[1]поточний ремонт'!O83+'[2]поточний ремонт'!O83-'[3]поточний ремонт'!O83</f>
        <v>0</v>
      </c>
      <c r="P83" s="43">
        <f>'[1]поточний ремонт'!P83+'[2]поточний ремонт'!P83-'[3]поточний ремонт'!P83</f>
        <v>0</v>
      </c>
      <c r="Q83" s="1038"/>
      <c r="R83" s="43">
        <f>'[1]поточний ремонт'!R83+'[2]поточний ремонт'!R83-'[3]поточний ремонт'!R83</f>
        <v>0</v>
      </c>
      <c r="S83" s="43">
        <f>'[1]поточний ремонт'!S83+'[2]поточний ремонт'!S83-'[3]поточний ремонт'!S83</f>
        <v>0</v>
      </c>
      <c r="T83" s="1039"/>
      <c r="U83" s="43">
        <f>'[1]поточний ремонт'!U83+'[2]поточний ремонт'!U83-'[3]поточний ремонт'!U83</f>
        <v>0</v>
      </c>
      <c r="V83" s="43">
        <f>'[1]поточний ремонт'!V83+'[2]поточний ремонт'!V83-'[3]поточний ремонт'!V83</f>
        <v>0</v>
      </c>
      <c r="W83" s="43">
        <f>'[1]поточний ремонт'!W83+'[2]поточний ремонт'!W83-'[3]поточний ремонт'!W83</f>
        <v>0</v>
      </c>
      <c r="X83" s="43">
        <f>'[1]поточний ремонт'!X83+'[2]поточний ремонт'!X83-'[3]поточний ремонт'!X83</f>
        <v>0</v>
      </c>
      <c r="Y83" s="43">
        <f>'[1]поточний ремонт'!Y83+'[2]поточний ремонт'!Y83-'[3]поточний ремонт'!Y83</f>
        <v>0</v>
      </c>
      <c r="Z83" s="43">
        <f>'[1]поточний ремонт'!Z83+'[2]поточний ремонт'!Z83-'[3]поточний ремонт'!Z83</f>
        <v>0</v>
      </c>
      <c r="AA83" s="43">
        <f>'[1]поточний ремонт'!AA83+'[2]поточний ремонт'!AA83-'[3]поточний ремонт'!AA83</f>
        <v>0</v>
      </c>
      <c r="AB83" s="43">
        <f>'[1]поточний ремонт'!AB83+'[2]поточний ремонт'!AB83-'[3]поточний ремонт'!AB83</f>
        <v>0</v>
      </c>
      <c r="AC83" s="43">
        <f>'[1]поточний ремонт'!AC83+'[2]поточний ремонт'!AC83-'[3]поточний ремонт'!AC83</f>
        <v>0</v>
      </c>
      <c r="AD83" s="43">
        <f>'[1]поточний ремонт'!AD83+'[2]поточний ремонт'!AD83-'[3]поточний ремонт'!AD83</f>
        <v>0</v>
      </c>
      <c r="AE83" s="43">
        <f>'[1]поточний ремонт'!AE83+'[2]поточний ремонт'!AE83-'[3]поточний ремонт'!AE83</f>
        <v>202.27572483693362</v>
      </c>
      <c r="AF83" s="43">
        <f>'[1]поточний ремонт'!AF83+'[2]поточний ремонт'!AF83-'[3]поточний ремонт'!AF83</f>
        <v>0</v>
      </c>
      <c r="AG83" s="5"/>
      <c r="AH83" s="43">
        <f>'[1]поточний ремонт'!AH83+'[2]поточний ремонт'!AH83-'[3]поточний ремонт'!AH83</f>
        <v>261.33387219841921</v>
      </c>
      <c r="AI83" s="43">
        <f>'[1]поточний ремонт'!AI83+'[2]поточний ремонт'!AI83-'[3]поточний ремонт'!AI83</f>
        <v>0</v>
      </c>
      <c r="AJ83" s="5"/>
      <c r="AK83" s="43">
        <f>'[1]поточний ремонт'!AK83+'[2]поточний ремонт'!AK83-'[3]поточний ремонт'!AK83</f>
        <v>0</v>
      </c>
      <c r="AL83" s="43">
        <f>'[1]поточний ремонт'!AL83+'[2]поточний ремонт'!AL83-'[3]поточний ремонт'!AL83</f>
        <v>0</v>
      </c>
      <c r="AM83" s="5"/>
      <c r="AN83" s="43">
        <f>'[1]поточний ремонт'!AN83+'[2]поточний ремонт'!AN83-'[3]поточний ремонт'!AN83</f>
        <v>0</v>
      </c>
      <c r="AO83" s="43">
        <f>'[1]поточний ремонт'!AO83+'[2]поточний ремонт'!AO83-'[3]поточний ремонт'!AO83</f>
        <v>0</v>
      </c>
      <c r="AP83" s="5"/>
      <c r="AQ83" s="43">
        <f>'[1]поточний ремонт'!AQ83+'[2]поточний ремонт'!AQ83-'[3]поточний ремонт'!AQ83</f>
        <v>0</v>
      </c>
      <c r="AR83" s="43">
        <f>'[1]поточний ремонт'!AR83+'[2]поточний ремонт'!AR83-'[3]поточний ремонт'!AR83</f>
        <v>0</v>
      </c>
      <c r="AS83" s="5"/>
      <c r="AT83" s="43">
        <f>'[1]поточний ремонт'!AT83+'[2]поточний ремонт'!AT83-'[3]поточний ремонт'!AT83</f>
        <v>0</v>
      </c>
      <c r="AU83" s="43">
        <f>'[1]поточний ремонт'!AU83+'[2]поточний ремонт'!AU83-'[3]поточний ремонт'!AU83</f>
        <v>0</v>
      </c>
      <c r="AV83" s="5"/>
      <c r="AW83" s="43">
        <f>'[1]поточний ремонт'!AW83+'[2]поточний ремонт'!AW83-'[3]поточний ремонт'!AW83</f>
        <v>59.350540321018364</v>
      </c>
      <c r="AX83" s="43">
        <f>'[1]поточний ремонт'!AX83+'[2]поточний ремонт'!AX83-'[3]поточний ремонт'!AX83</f>
        <v>0</v>
      </c>
      <c r="AY83" s="5"/>
      <c r="AZ83" s="43">
        <f t="shared" si="10"/>
        <v>522.96013735637121</v>
      </c>
      <c r="BA83" s="43">
        <f t="shared" si="11"/>
        <v>0</v>
      </c>
      <c r="BB83" s="59">
        <f t="shared" si="12"/>
        <v>-522.96013735637121</v>
      </c>
      <c r="BD83" s="2">
        <v>1</v>
      </c>
      <c r="BF83" s="30">
        <v>8.0167004582093693</v>
      </c>
      <c r="BG83" s="328">
        <v>150000572</v>
      </c>
      <c r="BI83" s="107">
        <v>0</v>
      </c>
      <c r="BJ83" s="107">
        <f t="shared" si="13"/>
        <v>0</v>
      </c>
      <c r="BK83" s="107">
        <v>0</v>
      </c>
      <c r="BL83" s="39"/>
      <c r="BM83" s="3"/>
      <c r="BN83" s="3">
        <v>0</v>
      </c>
      <c r="BP83" s="3"/>
      <c r="BQ83" s="3"/>
      <c r="BS83" s="43"/>
      <c r="BT83" s="43">
        <v>0</v>
      </c>
      <c r="BU83" s="1037"/>
      <c r="BV83" s="42"/>
      <c r="BW83" s="43"/>
      <c r="BX83" s="37"/>
      <c r="BY83" s="78"/>
      <c r="BZ83" s="43">
        <v>0</v>
      </c>
      <c r="CA83" s="1038"/>
      <c r="CB83" s="42">
        <v>0</v>
      </c>
      <c r="CC83" s="42">
        <v>0</v>
      </c>
      <c r="CD83" s="1039"/>
      <c r="CE83" s="78">
        <v>0</v>
      </c>
      <c r="CF83" s="56"/>
      <c r="CG83" s="42">
        <v>0</v>
      </c>
      <c r="CH83" s="39">
        <v>0</v>
      </c>
      <c r="CI83" s="78">
        <v>0</v>
      </c>
      <c r="CJ83" s="56"/>
      <c r="CK83" s="1034"/>
      <c r="CL83" s="1029"/>
      <c r="CM83" s="1034"/>
      <c r="CN83" s="1029">
        <v>0</v>
      </c>
      <c r="CO83" s="78">
        <v>16.856310403077803</v>
      </c>
      <c r="CP83" s="43">
        <v>0</v>
      </c>
      <c r="CQ83" s="5"/>
      <c r="CR83" s="78">
        <v>21.777822683201602</v>
      </c>
      <c r="CS83" s="1033">
        <v>0</v>
      </c>
      <c r="CT83" s="5"/>
      <c r="CU83" s="78">
        <v>0</v>
      </c>
      <c r="CV83" s="43">
        <v>0</v>
      </c>
      <c r="CW83" s="5"/>
      <c r="CX83" s="78">
        <v>0</v>
      </c>
      <c r="CY83" s="43">
        <v>0</v>
      </c>
      <c r="CZ83" s="5"/>
      <c r="DA83" s="78">
        <v>0</v>
      </c>
      <c r="DB83" s="43">
        <v>0</v>
      </c>
      <c r="DC83" s="5"/>
      <c r="DD83" s="78">
        <v>0</v>
      </c>
      <c r="DE83" s="43">
        <v>0</v>
      </c>
      <c r="DF83" s="5"/>
      <c r="DG83" s="78">
        <v>4.9458783600848655</v>
      </c>
      <c r="DH83" s="43"/>
      <c r="DI83" s="5"/>
      <c r="DJ83" s="43">
        <v>43.580011446364267</v>
      </c>
      <c r="DK83" s="43">
        <f t="shared" si="14"/>
        <v>0</v>
      </c>
      <c r="DL83" s="59">
        <f t="shared" si="15"/>
        <v>-43.580011446364267</v>
      </c>
    </row>
    <row r="84" spans="1:116" ht="24.9" customHeight="1" x14ac:dyDescent="0.3">
      <c r="A84" s="328">
        <v>150000573</v>
      </c>
      <c r="B84" s="45" t="s">
        <v>75</v>
      </c>
      <c r="C84" s="1035">
        <v>1</v>
      </c>
      <c r="D84" s="1036" t="s">
        <v>454</v>
      </c>
      <c r="E84" s="1028">
        <f>'побудинковий звіт'!E82</f>
        <v>2489.87</v>
      </c>
      <c r="F84" s="1029">
        <f>'побудинковий звіт'!AS82</f>
        <v>1559.6798018077052</v>
      </c>
      <c r="G84" s="1029">
        <f t="shared" si="8"/>
        <v>0</v>
      </c>
      <c r="H84" s="1029">
        <f t="shared" si="9"/>
        <v>-1559.6798018077052</v>
      </c>
      <c r="I84" s="43">
        <f>'[1]поточний ремонт'!I84+'[2]поточний ремонт'!I84-'[3]поточний ремонт'!I84</f>
        <v>0</v>
      </c>
      <c r="J84" s="43">
        <f>'[1]поточний ремонт'!J84+'[2]поточний ремонт'!J84-'[3]поточний ремонт'!J84</f>
        <v>0</v>
      </c>
      <c r="K84" s="1037"/>
      <c r="L84" s="43">
        <f>'[1]поточний ремонт'!L84+'[2]поточний ремонт'!L84-'[3]поточний ремонт'!L84</f>
        <v>0</v>
      </c>
      <c r="M84" s="43">
        <f>'[1]поточний ремонт'!M84+'[2]поточний ремонт'!M84-'[3]поточний ремонт'!M84</f>
        <v>0</v>
      </c>
      <c r="N84" s="37"/>
      <c r="O84" s="43">
        <f>'[1]поточний ремонт'!O84+'[2]поточний ремонт'!O84-'[3]поточний ремонт'!O84</f>
        <v>0</v>
      </c>
      <c r="P84" s="43">
        <f>'[1]поточний ремонт'!P84+'[2]поточний ремонт'!P84-'[3]поточний ремонт'!P84</f>
        <v>0</v>
      </c>
      <c r="Q84" s="1038"/>
      <c r="R84" s="43">
        <f>'[1]поточний ремонт'!R84+'[2]поточний ремонт'!R84-'[3]поточний ремонт'!R84</f>
        <v>0</v>
      </c>
      <c r="S84" s="43">
        <f>'[1]поточний ремонт'!S84+'[2]поточний ремонт'!S84-'[3]поточний ремонт'!S84</f>
        <v>0</v>
      </c>
      <c r="T84" s="1039"/>
      <c r="U84" s="43">
        <f>'[1]поточний ремонт'!U84+'[2]поточний ремонт'!U84-'[3]поточний ремонт'!U84</f>
        <v>0</v>
      </c>
      <c r="V84" s="43">
        <f>'[1]поточний ремонт'!V84+'[2]поточний ремонт'!V84-'[3]поточний ремонт'!V84</f>
        <v>0</v>
      </c>
      <c r="W84" s="43">
        <f>'[1]поточний ремонт'!W84+'[2]поточний ремонт'!W84-'[3]поточний ремонт'!W84</f>
        <v>0</v>
      </c>
      <c r="X84" s="43">
        <f>'[1]поточний ремонт'!X84+'[2]поточний ремонт'!X84-'[3]поточний ремонт'!X84</f>
        <v>0</v>
      </c>
      <c r="Y84" s="43">
        <f>'[1]поточний ремонт'!Y84+'[2]поточний ремонт'!Y84-'[3]поточний ремонт'!Y84</f>
        <v>0</v>
      </c>
      <c r="Z84" s="43">
        <f>'[1]поточний ремонт'!Z84+'[2]поточний ремонт'!Z84-'[3]поточний ремонт'!Z84</f>
        <v>0</v>
      </c>
      <c r="AA84" s="43">
        <f>'[1]поточний ремонт'!AA84+'[2]поточний ремонт'!AA84-'[3]поточний ремонт'!AA84</f>
        <v>0</v>
      </c>
      <c r="AB84" s="43">
        <f>'[1]поточний ремонт'!AB84+'[2]поточний ремонт'!AB84-'[3]поточний ремонт'!AB84</f>
        <v>0</v>
      </c>
      <c r="AC84" s="43">
        <f>'[1]поточний ремонт'!AC84+'[2]поточний ремонт'!AC84-'[3]поточний ремонт'!AC84</f>
        <v>0</v>
      </c>
      <c r="AD84" s="43">
        <f>'[1]поточний ремонт'!AD84+'[2]поточний ремонт'!AD84-'[3]поточний ремонт'!AD84</f>
        <v>0</v>
      </c>
      <c r="AE84" s="43">
        <f>'[1]поточний ремонт'!AE84+'[2]поточний ремонт'!AE84-'[3]поточний ремонт'!AE84</f>
        <v>0</v>
      </c>
      <c r="AF84" s="43">
        <f>'[1]поточний ремонт'!AF84+'[2]поточний ремонт'!AF84-'[3]поточний ремонт'!AF84</f>
        <v>0</v>
      </c>
      <c r="AG84" s="5"/>
      <c r="AH84" s="43">
        <f>'[1]поточний ремонт'!AH84+'[2]поточний ремонт'!AH84-'[3]поточний ремонт'!AH84</f>
        <v>0</v>
      </c>
      <c r="AI84" s="43">
        <f>'[1]поточний ремонт'!AI84+'[2]поточний ремонт'!AI84-'[3]поточний ремонт'!AI84</f>
        <v>0</v>
      </c>
      <c r="AJ84" s="5"/>
      <c r="AK84" s="43">
        <f>'[1]поточний ремонт'!AK84+'[2]поточний ремонт'!AK84-'[3]поточний ремонт'!AK84</f>
        <v>0</v>
      </c>
      <c r="AL84" s="43">
        <f>'[1]поточний ремонт'!AL84+'[2]поточний ремонт'!AL84-'[3]поточний ремонт'!AL84</f>
        <v>0</v>
      </c>
      <c r="AM84" s="5"/>
      <c r="AN84" s="43">
        <f>'[1]поточний ремонт'!AN84+'[2]поточний ремонт'!AN84-'[3]поточний ремонт'!AN84</f>
        <v>0</v>
      </c>
      <c r="AO84" s="43">
        <f>'[1]поточний ремонт'!AO84+'[2]поточний ремонт'!AO84-'[3]поточний ремонт'!AO84</f>
        <v>0</v>
      </c>
      <c r="AP84" s="5"/>
      <c r="AQ84" s="43">
        <f>'[1]поточний ремонт'!AQ84+'[2]поточний ремонт'!AQ84-'[3]поточний ремонт'!AQ84</f>
        <v>0</v>
      </c>
      <c r="AR84" s="43">
        <f>'[1]поточний ремонт'!AR84+'[2]поточний ремонт'!AR84-'[3]поточний ремонт'!AR84</f>
        <v>0</v>
      </c>
      <c r="AS84" s="5"/>
      <c r="AT84" s="43">
        <f>'[1]поточний ремонт'!AT84+'[2]поточний ремонт'!AT84-'[3]поточний ремонт'!AT84</f>
        <v>0</v>
      </c>
      <c r="AU84" s="43">
        <f>'[1]поточний ремонт'!AU84+'[2]поточний ремонт'!AU84-'[3]поточний ремонт'!AU84</f>
        <v>0</v>
      </c>
      <c r="AV84" s="5"/>
      <c r="AW84" s="43">
        <f>'[1]поточний ремонт'!AW84+'[2]поточний ремонт'!AW84-'[3]поточний ремонт'!AW84</f>
        <v>0</v>
      </c>
      <c r="AX84" s="43">
        <f>'[1]поточний ремонт'!AX84+'[2]поточний ремонт'!AX84-'[3]поточний ремонт'!AX84</f>
        <v>0</v>
      </c>
      <c r="AY84" s="5"/>
      <c r="AZ84" s="43">
        <f t="shared" si="10"/>
        <v>0</v>
      </c>
      <c r="BA84" s="43">
        <f t="shared" si="11"/>
        <v>0</v>
      </c>
      <c r="BB84" s="59">
        <f t="shared" si="12"/>
        <v>0</v>
      </c>
      <c r="BD84" s="2">
        <v>1</v>
      </c>
      <c r="BF84" s="30">
        <v>0</v>
      </c>
      <c r="BG84" s="328">
        <v>150000573</v>
      </c>
      <c r="BI84" s="107">
        <v>0</v>
      </c>
      <c r="BJ84" s="107">
        <f t="shared" si="13"/>
        <v>0</v>
      </c>
      <c r="BK84" s="107">
        <v>0</v>
      </c>
      <c r="BL84" s="39"/>
      <c r="BM84" s="3"/>
      <c r="BN84" s="3">
        <v>0</v>
      </c>
      <c r="BP84" s="3"/>
      <c r="BQ84" s="3"/>
      <c r="BS84" s="43"/>
      <c r="BT84" s="43">
        <v>0</v>
      </c>
      <c r="BU84" s="1037"/>
      <c r="BV84" s="42"/>
      <c r="BW84" s="43"/>
      <c r="BX84" s="37"/>
      <c r="BY84" s="78"/>
      <c r="BZ84" s="43">
        <v>0</v>
      </c>
      <c r="CA84" s="1038"/>
      <c r="CB84" s="42">
        <v>0</v>
      </c>
      <c r="CC84" s="42">
        <v>0</v>
      </c>
      <c r="CD84" s="1039"/>
      <c r="CE84" s="78">
        <v>0</v>
      </c>
      <c r="CF84" s="56"/>
      <c r="CG84" s="42">
        <v>0</v>
      </c>
      <c r="CH84" s="39">
        <v>0</v>
      </c>
      <c r="CI84" s="78">
        <v>0</v>
      </c>
      <c r="CJ84" s="56"/>
      <c r="CK84" s="1034"/>
      <c r="CL84" s="1029"/>
      <c r="CM84" s="1034"/>
      <c r="CN84" s="1029">
        <v>0</v>
      </c>
      <c r="CO84" s="78">
        <v>0</v>
      </c>
      <c r="CP84" s="43">
        <v>0</v>
      </c>
      <c r="CQ84" s="5"/>
      <c r="CR84" s="78">
        <v>0</v>
      </c>
      <c r="CS84" s="1033">
        <v>0</v>
      </c>
      <c r="CT84" s="5"/>
      <c r="CU84" s="78">
        <v>0</v>
      </c>
      <c r="CV84" s="43">
        <v>0</v>
      </c>
      <c r="CW84" s="5"/>
      <c r="CX84" s="78">
        <v>0</v>
      </c>
      <c r="CY84" s="43">
        <v>0</v>
      </c>
      <c r="CZ84" s="5"/>
      <c r="DA84" s="78">
        <v>0</v>
      </c>
      <c r="DB84" s="43">
        <v>0</v>
      </c>
      <c r="DC84" s="5"/>
      <c r="DD84" s="78">
        <v>0</v>
      </c>
      <c r="DE84" s="43">
        <v>0</v>
      </c>
      <c r="DF84" s="5"/>
      <c r="DG84" s="78">
        <v>0</v>
      </c>
      <c r="DH84" s="43"/>
      <c r="DI84" s="5"/>
      <c r="DJ84" s="43">
        <v>0</v>
      </c>
      <c r="DK84" s="43">
        <f t="shared" si="14"/>
        <v>0</v>
      </c>
      <c r="DL84" s="59">
        <f t="shared" si="15"/>
        <v>0</v>
      </c>
    </row>
    <row r="85" spans="1:116" ht="24.9" customHeight="1" x14ac:dyDescent="0.3">
      <c r="A85" s="328">
        <v>150000658</v>
      </c>
      <c r="B85" s="45" t="s">
        <v>351</v>
      </c>
      <c r="C85" s="1035">
        <v>9</v>
      </c>
      <c r="D85" s="1036" t="s">
        <v>454</v>
      </c>
      <c r="E85" s="1028">
        <f>'побудинковий звіт'!E83</f>
        <v>11377.55</v>
      </c>
      <c r="F85" s="1029">
        <f>'побудинковий звіт'!AS83</f>
        <v>113291.69328945743</v>
      </c>
      <c r="G85" s="1029">
        <f t="shared" si="8"/>
        <v>91185.114025705712</v>
      </c>
      <c r="H85" s="1029">
        <f t="shared" si="9"/>
        <v>-22106.579263751715</v>
      </c>
      <c r="I85" s="43">
        <f>'[1]поточний ремонт'!I85+'[2]поточний ремонт'!I85-'[3]поточний ремонт'!I85</f>
        <v>89.3</v>
      </c>
      <c r="J85" s="43">
        <f>'[1]поточний ремонт'!J85+'[2]поточний ремонт'!J85-'[3]поточний ремонт'!J85</f>
        <v>50360</v>
      </c>
      <c r="K85" s="1044"/>
      <c r="L85" s="43">
        <f>'[1]поточний ремонт'!L85+'[2]поточний ремонт'!L85-'[3]поточний ремонт'!L85</f>
        <v>0</v>
      </c>
      <c r="M85" s="43">
        <f>'[1]поточний ремонт'!M85+'[2]поточний ремонт'!M85-'[3]поточний ремонт'!M85</f>
        <v>0</v>
      </c>
      <c r="N85" s="37"/>
      <c r="O85" s="43">
        <f>'[1]поточний ремонт'!O85+'[2]поточний ремонт'!O85-'[3]поточний ремонт'!O85</f>
        <v>88.5</v>
      </c>
      <c r="P85" s="43">
        <f>'[1]поточний ремонт'!P85+'[2]поточний ремонт'!P85-'[3]поточний ремонт'!P85</f>
        <v>25533</v>
      </c>
      <c r="Q85" s="1046"/>
      <c r="R85" s="43">
        <f>'[1]поточний ремонт'!R85+'[2]поточний ремонт'!R85-'[3]поточний ремонт'!R85</f>
        <v>0</v>
      </c>
      <c r="S85" s="43">
        <f>'[1]поточний ремонт'!S85+'[2]поточний ремонт'!S85-'[3]поточний ремонт'!S85</f>
        <v>723</v>
      </c>
      <c r="T85" s="1039"/>
      <c r="U85" s="43">
        <f>'[1]поточний ремонт'!U85+'[2]поточний ремонт'!U85-'[3]поточний ремонт'!U85</f>
        <v>0</v>
      </c>
      <c r="V85" s="43">
        <f>'[1]поточний ремонт'!V85+'[2]поточний ремонт'!V85-'[3]поточний ремонт'!V85</f>
        <v>0</v>
      </c>
      <c r="W85" s="43">
        <f>'[1]поточний ремонт'!W85+'[2]поточний ремонт'!W85-'[3]поточний ремонт'!W85</f>
        <v>6</v>
      </c>
      <c r="X85" s="43">
        <f>'[1]поточний ремонт'!X85+'[2]поточний ремонт'!X85-'[3]поточний ремонт'!X85</f>
        <v>515.11402570571875</v>
      </c>
      <c r="Y85" s="43">
        <f>'[1]поточний ремонт'!Y85+'[2]поточний ремонт'!Y85-'[3]поточний ремонт'!Y85</f>
        <v>444</v>
      </c>
      <c r="Z85" s="43">
        <f>'[1]поточний ремонт'!Z85+'[2]поточний ремонт'!Z85-'[3]поточний ремонт'!Z85</f>
        <v>0</v>
      </c>
      <c r="AA85" s="43">
        <f>'[1]поточний ремонт'!AA85+'[2]поточний ремонт'!AA85-'[3]поточний ремонт'!AA85</f>
        <v>0</v>
      </c>
      <c r="AB85" s="43">
        <f>'[1]поточний ремонт'!AB85+'[2]поточний ремонт'!AB85-'[3]поточний ремонт'!AB85</f>
        <v>4166</v>
      </c>
      <c r="AC85" s="43">
        <f>'[1]поточний ремонт'!AC85+'[2]поточний ремонт'!AC85-'[3]поточний ремонт'!AC85</f>
        <v>9444</v>
      </c>
      <c r="AD85" s="43">
        <f>'[1]поточний ремонт'!AD85+'[2]поточний ремонт'!AD85-'[3]поточний ремонт'!AD85</f>
        <v>0</v>
      </c>
      <c r="AE85" s="43">
        <f>'[1]поточний ремонт'!AE85+'[2]поточний ремонт'!AE85-'[3]поточний ремонт'!AE85</f>
        <v>1091.1817641504535</v>
      </c>
      <c r="AF85" s="43">
        <f>'[1]поточний ремонт'!AF85+'[2]поточний ремонт'!AF85-'[3]поточний ремонт'!AF85</f>
        <v>0</v>
      </c>
      <c r="AG85" s="5"/>
      <c r="AH85" s="43">
        <f>'[1]поточний ремонт'!AH85+'[2]поточний ремонт'!AH85-'[3]поточний ремонт'!AH85</f>
        <v>1485.0604330471435</v>
      </c>
      <c r="AI85" s="43">
        <f>'[1]поточний ремонт'!AI85+'[2]поточний ремонт'!AI85-'[3]поточний ремонт'!AI85</f>
        <v>2771</v>
      </c>
      <c r="AJ85" s="5"/>
      <c r="AK85" s="43">
        <f>'[1]поточний ремонт'!AK85+'[2]поточний ремонт'!AK85-'[3]поточний ремонт'!AK85</f>
        <v>1118.2333935851082</v>
      </c>
      <c r="AL85" s="43">
        <f>'[1]поточний ремонт'!AL85+'[2]поточний ремонт'!AL85-'[3]поточний ремонт'!AL85</f>
        <v>0</v>
      </c>
      <c r="AM85" s="5"/>
      <c r="AN85" s="43">
        <f>'[1]поточний ремонт'!AN85+'[2]поточний ремонт'!AN85-'[3]поточний ремонт'!AN85</f>
        <v>703.36053087110997</v>
      </c>
      <c r="AO85" s="43">
        <f>'[1]поточний ремонт'!AO85+'[2]поточний ремонт'!AO85-'[3]поточний ремонт'!AO85</f>
        <v>0</v>
      </c>
      <c r="AP85" s="5"/>
      <c r="AQ85" s="43">
        <f>'[1]поточний ремонт'!AQ85+'[2]поточний ремонт'!AQ85-'[3]поточний ремонт'!AQ85</f>
        <v>316.61392951383749</v>
      </c>
      <c r="AR85" s="43">
        <f>'[1]поточний ремонт'!AR85+'[2]поточний ремонт'!AR85-'[3]поточний ремонт'!AR85</f>
        <v>51</v>
      </c>
      <c r="AS85" s="5"/>
      <c r="AT85" s="43">
        <f>'[1]поточний ремонт'!AT85+'[2]поточний ремонт'!AT85-'[3]поточний ремонт'!AT85</f>
        <v>748.28962900451654</v>
      </c>
      <c r="AU85" s="43">
        <f>'[1]поточний ремонт'!AU85+'[2]поточний ремонт'!AU85-'[3]поточний ремонт'!AU85</f>
        <v>8881</v>
      </c>
      <c r="AV85" s="5"/>
      <c r="AW85" s="43">
        <f>'[1]поточний ремонт'!AW85+'[2]поточний ремонт'!AW85-'[3]поточний ремонт'!AW85</f>
        <v>0</v>
      </c>
      <c r="AX85" s="43">
        <f>'[1]поточний ремонт'!AX85+'[2]поточний ремонт'!AX85-'[3]поточний ремонт'!AX85</f>
        <v>0</v>
      </c>
      <c r="AY85" s="5"/>
      <c r="AZ85" s="43">
        <f t="shared" si="10"/>
        <v>5462.7396801721698</v>
      </c>
      <c r="BA85" s="43">
        <f t="shared" si="11"/>
        <v>11703</v>
      </c>
      <c r="BB85" s="59">
        <f t="shared" si="12"/>
        <v>6240.2603198278302</v>
      </c>
      <c r="BD85" s="2">
        <v>3</v>
      </c>
      <c r="BF85" s="30">
        <v>377.33324270456535</v>
      </c>
      <c r="BG85" s="328">
        <v>150000658</v>
      </c>
      <c r="BI85" s="107">
        <v>9.56</v>
      </c>
      <c r="BJ85" s="107">
        <f t="shared" si="13"/>
        <v>1.3447306319999999</v>
      </c>
      <c r="BK85" s="107">
        <v>11.025412209760001</v>
      </c>
      <c r="BL85" s="39"/>
      <c r="BM85" s="3"/>
      <c r="BN85" s="3">
        <v>0</v>
      </c>
      <c r="BP85" s="3"/>
      <c r="BQ85" s="3"/>
      <c r="BS85" s="43"/>
      <c r="BT85" s="43">
        <v>0</v>
      </c>
      <c r="BU85" s="1044"/>
      <c r="BV85" s="42"/>
      <c r="BW85" s="43"/>
      <c r="BX85" s="37"/>
      <c r="BY85" s="78"/>
      <c r="BZ85" s="43">
        <v>0</v>
      </c>
      <c r="CA85" s="1046"/>
      <c r="CB85" s="42">
        <v>0</v>
      </c>
      <c r="CC85" s="42">
        <v>0</v>
      </c>
      <c r="CD85" s="1039"/>
      <c r="CE85" s="78">
        <v>0</v>
      </c>
      <c r="CF85" s="56"/>
      <c r="CG85" s="42">
        <v>0</v>
      </c>
      <c r="CH85" s="39">
        <v>11.025412209760001</v>
      </c>
      <c r="CI85" s="78">
        <v>0</v>
      </c>
      <c r="CJ85" s="56"/>
      <c r="CK85" s="1034"/>
      <c r="CL85" s="1029"/>
      <c r="CM85" s="1034"/>
      <c r="CN85" s="1029">
        <v>0</v>
      </c>
      <c r="CO85" s="78">
        <v>90.931813679204481</v>
      </c>
      <c r="CP85" s="43">
        <v>0</v>
      </c>
      <c r="CQ85" s="5"/>
      <c r="CR85" s="78">
        <v>123.75503608726197</v>
      </c>
      <c r="CS85" s="1033">
        <v>0</v>
      </c>
      <c r="CT85" s="5"/>
      <c r="CU85" s="78">
        <v>93.186116132092351</v>
      </c>
      <c r="CV85" s="43">
        <v>0</v>
      </c>
      <c r="CW85" s="5"/>
      <c r="CX85" s="78">
        <v>58.613377572592491</v>
      </c>
      <c r="CY85" s="43">
        <v>0</v>
      </c>
      <c r="CZ85" s="5"/>
      <c r="DA85" s="78">
        <v>26.384494126153122</v>
      </c>
      <c r="DB85" s="43">
        <v>0</v>
      </c>
      <c r="DC85" s="5"/>
      <c r="DD85" s="78">
        <v>62.357469083709724</v>
      </c>
      <c r="DE85" s="43">
        <v>0</v>
      </c>
      <c r="DF85" s="5"/>
      <c r="DG85" s="78">
        <v>0</v>
      </c>
      <c r="DH85" s="43"/>
      <c r="DI85" s="5"/>
      <c r="DJ85" s="43">
        <v>455.22830668101409</v>
      </c>
      <c r="DK85" s="43">
        <f t="shared" si="14"/>
        <v>0</v>
      </c>
      <c r="DL85" s="59">
        <f t="shared" si="15"/>
        <v>-455.22830668101409</v>
      </c>
    </row>
    <row r="86" spans="1:116" ht="24.9" customHeight="1" x14ac:dyDescent="0.3">
      <c r="A86" s="328">
        <v>150000659</v>
      </c>
      <c r="B86" s="45" t="s">
        <v>413</v>
      </c>
      <c r="C86" s="1035">
        <v>10</v>
      </c>
      <c r="D86" s="1036" t="s">
        <v>454</v>
      </c>
      <c r="E86" s="1028">
        <f>'побудинковий звіт'!E84</f>
        <v>2481.4</v>
      </c>
      <c r="F86" s="1029">
        <f>'побудинковий звіт'!AS84</f>
        <v>48528.63089880519</v>
      </c>
      <c r="G86" s="1029">
        <f t="shared" si="8"/>
        <v>126782</v>
      </c>
      <c r="H86" s="1029">
        <f t="shared" si="9"/>
        <v>78253.36910119481</v>
      </c>
      <c r="I86" s="43">
        <f>'[1]поточний ремонт'!I86+'[2]поточний ремонт'!I86-'[3]поточний ремонт'!I86</f>
        <v>406</v>
      </c>
      <c r="J86" s="43">
        <f>'[1]поточний ремонт'!J86+'[2]поточний ремонт'!J86-'[3]поточний ремонт'!J86</f>
        <v>118184</v>
      </c>
      <c r="K86" s="1037"/>
      <c r="L86" s="43">
        <f>'[1]поточний ремонт'!L86+'[2]поточний ремонт'!L86-'[3]поточний ремонт'!L86</f>
        <v>0</v>
      </c>
      <c r="M86" s="43">
        <f>'[1]поточний ремонт'!M86+'[2]поточний ремонт'!M86-'[3]поточний ремонт'!M86</f>
        <v>0</v>
      </c>
      <c r="N86" s="37"/>
      <c r="O86" s="43">
        <f>'[1]поточний ремонт'!O86+'[2]поточний ремонт'!O86-'[3]поточний ремонт'!O86</f>
        <v>0</v>
      </c>
      <c r="P86" s="43">
        <f>'[1]поточний ремонт'!P86+'[2]поточний ремонт'!P86-'[3]поточний ремонт'!P86</f>
        <v>0</v>
      </c>
      <c r="Q86" s="1038"/>
      <c r="R86" s="43">
        <f>'[1]поточний ремонт'!R86+'[2]поточний ремонт'!R86-'[3]поточний ремонт'!R86</f>
        <v>1</v>
      </c>
      <c r="S86" s="43">
        <f>'[1]поточний ремонт'!S86+'[2]поточний ремонт'!S86-'[3]поточний ремонт'!S86</f>
        <v>3512</v>
      </c>
      <c r="T86" s="1039"/>
      <c r="U86" s="43">
        <f>'[1]поточний ремонт'!U86+'[2]поточний ремонт'!U86-'[3]поточний ремонт'!U86</f>
        <v>0</v>
      </c>
      <c r="V86" s="43">
        <f>'[1]поточний ремонт'!V86+'[2]поточний ремонт'!V86-'[3]поточний ремонт'!V86</f>
        <v>0</v>
      </c>
      <c r="W86" s="43">
        <f>'[1]поточний ремонт'!W86+'[2]поточний ремонт'!W86-'[3]поточний ремонт'!W86</f>
        <v>0</v>
      </c>
      <c r="X86" s="43">
        <f>'[1]поточний ремонт'!X86+'[2]поточний ремонт'!X86-'[3]поточний ремонт'!X86</f>
        <v>0</v>
      </c>
      <c r="Y86" s="43">
        <f>'[1]поточний ремонт'!Y86+'[2]поточний ремонт'!Y86-'[3]поточний ремонт'!Y86</f>
        <v>4487</v>
      </c>
      <c r="Z86" s="43">
        <f>'[1]поточний ремонт'!Z86+'[2]поточний ремонт'!Z86-'[3]поточний ремонт'!Z86</f>
        <v>0</v>
      </c>
      <c r="AA86" s="43">
        <f>'[1]поточний ремонт'!AA86+'[2]поточний ремонт'!AA86-'[3]поточний ремонт'!AA86</f>
        <v>0</v>
      </c>
      <c r="AB86" s="43">
        <f>'[1]поточний ремонт'!AB86+'[2]поточний ремонт'!AB86-'[3]поточний ремонт'!AB86</f>
        <v>0</v>
      </c>
      <c r="AC86" s="43">
        <f>'[1]поточний ремонт'!AC86+'[2]поточний ремонт'!AC86-'[3]поточний ремонт'!AC86</f>
        <v>408</v>
      </c>
      <c r="AD86" s="43">
        <f>'[1]поточний ремонт'!AD86+'[2]поточний ремонт'!AD86-'[3]поточний ремонт'!AD86</f>
        <v>191</v>
      </c>
      <c r="AE86" s="43">
        <f>'[1]поточний ремонт'!AE86+'[2]поточний ремонт'!AE86-'[3]поточний ремонт'!AE86</f>
        <v>724.8247219294434</v>
      </c>
      <c r="AF86" s="43">
        <f>'[1]поточний ремонт'!AF86+'[2]поточний ремонт'!AF86-'[3]поточний ремонт'!AF86</f>
        <v>3162</v>
      </c>
      <c r="AG86" s="1045"/>
      <c r="AH86" s="43">
        <f>'[1]поточний ремонт'!AH86+'[2]поточний ремонт'!AH86-'[3]поточний ремонт'!AH86</f>
        <v>1002.8045804300408</v>
      </c>
      <c r="AI86" s="43">
        <f>'[1]поточний ремонт'!AI86+'[2]поточний ремонт'!AI86-'[3]поточний ремонт'!AI86</f>
        <v>0</v>
      </c>
      <c r="AJ86" s="5"/>
      <c r="AK86" s="43">
        <f>'[1]поточний ремонт'!AK86+'[2]поточний ремонт'!AK86-'[3]поточний ремонт'!AK86</f>
        <v>1367.5193129020822</v>
      </c>
      <c r="AL86" s="43">
        <f>'[1]поточний ремонт'!AL86+'[2]поточний ремонт'!AL86-'[3]поточний ремонт'!AL86</f>
        <v>0</v>
      </c>
      <c r="AM86" s="5"/>
      <c r="AN86" s="43">
        <f>'[1]поточний ремонт'!AN86+'[2]поточний ремонт'!AN86-'[3]поточний ремонт'!AN86</f>
        <v>472.23331305450267</v>
      </c>
      <c r="AO86" s="43">
        <f>'[1]поточний ремонт'!AO86+'[2]поточний ремонт'!AO86-'[3]поточний ремонт'!AO86</f>
        <v>0</v>
      </c>
      <c r="AP86" s="5"/>
      <c r="AQ86" s="43">
        <f>'[1]поточний ремонт'!AQ86+'[2]поточний ремонт'!AQ86-'[3]поточний ремонт'!AQ86</f>
        <v>134.94041023261386</v>
      </c>
      <c r="AR86" s="43">
        <f>'[1]поточний ремонт'!AR86+'[2]поточний ремонт'!AR86-'[3]поточний ремонт'!AR86</f>
        <v>24</v>
      </c>
      <c r="AS86" s="1045"/>
      <c r="AT86" s="43">
        <f>'[1]поточний ремонт'!AT86+'[2]поточний ремонт'!AT86-'[3]поточний ремонт'!AT86</f>
        <v>288.20418046042994</v>
      </c>
      <c r="AU86" s="43">
        <f>'[1]поточний ремонт'!AU86+'[2]поточний ремонт'!AU86-'[3]поточний ремонт'!AU86</f>
        <v>3299</v>
      </c>
      <c r="AV86" s="5"/>
      <c r="AW86" s="43">
        <f>'[1]поточний ремонт'!AW86+'[2]поточний ремонт'!AW86-'[3]поточний ремонт'!AW86</f>
        <v>0</v>
      </c>
      <c r="AX86" s="43">
        <f>'[1]поточний ремонт'!AX86+'[2]поточний ремонт'!AX86-'[3]поточний ремонт'!AX86</f>
        <v>0</v>
      </c>
      <c r="AY86" s="5"/>
      <c r="AZ86" s="43">
        <f t="shared" si="10"/>
        <v>3990.5265190091127</v>
      </c>
      <c r="BA86" s="43">
        <f t="shared" si="11"/>
        <v>6485</v>
      </c>
      <c r="BB86" s="59">
        <f t="shared" si="12"/>
        <v>2494.4734809908873</v>
      </c>
      <c r="BD86" s="2">
        <v>3</v>
      </c>
      <c r="BF86" s="30">
        <v>194.81123733356466</v>
      </c>
      <c r="BG86" s="328">
        <v>150000659</v>
      </c>
      <c r="BI86" s="107">
        <v>0</v>
      </c>
      <c r="BJ86" s="107">
        <f t="shared" si="13"/>
        <v>0</v>
      </c>
      <c r="BK86" s="107">
        <v>0</v>
      </c>
      <c r="BL86" s="39"/>
      <c r="BM86" s="3"/>
      <c r="BN86" s="3">
        <v>0</v>
      </c>
      <c r="BP86" s="3"/>
      <c r="BQ86" s="3"/>
      <c r="BS86" s="43"/>
      <c r="BT86" s="43">
        <v>0</v>
      </c>
      <c r="BU86" s="1037"/>
      <c r="BV86" s="42"/>
      <c r="BW86" s="43"/>
      <c r="BX86" s="37"/>
      <c r="BY86" s="78"/>
      <c r="BZ86" s="43">
        <v>0</v>
      </c>
      <c r="CA86" s="1038"/>
      <c r="CB86" s="42">
        <v>0</v>
      </c>
      <c r="CC86" s="42">
        <v>0</v>
      </c>
      <c r="CD86" s="1039"/>
      <c r="CE86" s="78">
        <v>0</v>
      </c>
      <c r="CF86" s="56"/>
      <c r="CG86" s="42">
        <v>0</v>
      </c>
      <c r="CH86" s="39">
        <v>0</v>
      </c>
      <c r="CI86" s="78">
        <v>0</v>
      </c>
      <c r="CJ86" s="56"/>
      <c r="CK86" s="1034"/>
      <c r="CL86" s="1029"/>
      <c r="CM86" s="1034"/>
      <c r="CN86" s="1029">
        <v>0</v>
      </c>
      <c r="CO86" s="78">
        <v>60.402060160786945</v>
      </c>
      <c r="CP86" s="43">
        <v>0</v>
      </c>
      <c r="CQ86" s="1045"/>
      <c r="CR86" s="78">
        <v>83.567048369170081</v>
      </c>
      <c r="CS86" s="1033">
        <v>0</v>
      </c>
      <c r="CT86" s="5"/>
      <c r="CU86" s="78">
        <v>113.95994274184017</v>
      </c>
      <c r="CV86" s="43">
        <v>0</v>
      </c>
      <c r="CW86" s="5"/>
      <c r="CX86" s="78">
        <v>39.352776087875228</v>
      </c>
      <c r="CY86" s="43">
        <v>0</v>
      </c>
      <c r="CZ86" s="5"/>
      <c r="DA86" s="78">
        <v>11.245034186051155</v>
      </c>
      <c r="DB86" s="43">
        <v>0</v>
      </c>
      <c r="DC86" s="1045"/>
      <c r="DD86" s="78">
        <v>24.017015038369166</v>
      </c>
      <c r="DE86" s="43">
        <v>0</v>
      </c>
      <c r="DF86" s="5"/>
      <c r="DG86" s="78">
        <v>0</v>
      </c>
      <c r="DH86" s="43"/>
      <c r="DI86" s="5"/>
      <c r="DJ86" s="43">
        <v>332.54387658409274</v>
      </c>
      <c r="DK86" s="43">
        <f t="shared" si="14"/>
        <v>0</v>
      </c>
      <c r="DL86" s="59">
        <f t="shared" si="15"/>
        <v>-332.54387658409274</v>
      </c>
    </row>
    <row r="87" spans="1:116" ht="24.9" customHeight="1" x14ac:dyDescent="0.3">
      <c r="A87" s="328">
        <v>150000660</v>
      </c>
      <c r="B87" s="45" t="s">
        <v>414</v>
      </c>
      <c r="C87" s="1035">
        <v>10</v>
      </c>
      <c r="D87" s="1036" t="s">
        <v>454</v>
      </c>
      <c r="E87" s="1028">
        <f>'побудинковий звіт'!E85</f>
        <v>11363.16</v>
      </c>
      <c r="F87" s="1029">
        <f>'побудинковий звіт'!AS85</f>
        <v>90190.107674469182</v>
      </c>
      <c r="G87" s="1029">
        <f t="shared" si="8"/>
        <v>57287</v>
      </c>
      <c r="H87" s="1029">
        <f t="shared" si="9"/>
        <v>-32903.107674469182</v>
      </c>
      <c r="I87" s="43">
        <f>'[1]поточний ремонт'!I87+'[2]поточний ремонт'!I87-'[3]поточний ремонт'!I87</f>
        <v>161.4</v>
      </c>
      <c r="J87" s="43">
        <f>'[1]поточний ремонт'!J87+'[2]поточний ремонт'!J87-'[3]поточний ремонт'!J87</f>
        <v>42656</v>
      </c>
      <c r="K87" s="1037"/>
      <c r="L87" s="43">
        <f>'[1]поточний ремонт'!L87+'[2]поточний ремонт'!L87-'[3]поточний ремонт'!L87</f>
        <v>0</v>
      </c>
      <c r="M87" s="43">
        <f>'[1]поточний ремонт'!M87+'[2]поточний ремонт'!M87-'[3]поточний ремонт'!M87</f>
        <v>0</v>
      </c>
      <c r="N87" s="37"/>
      <c r="O87" s="43">
        <f>'[1]поточний ремонт'!O87+'[2]поточний ремонт'!O87-'[3]поточний ремонт'!O87</f>
        <v>0</v>
      </c>
      <c r="P87" s="43">
        <f>'[1]поточний ремонт'!P87+'[2]поточний ремонт'!P87-'[3]поточний ремонт'!P87</f>
        <v>0</v>
      </c>
      <c r="Q87" s="1038"/>
      <c r="R87" s="43">
        <f>'[1]поточний ремонт'!R87+'[2]поточний ремонт'!R87-'[3]поточний ремонт'!R87</f>
        <v>0</v>
      </c>
      <c r="S87" s="43">
        <f>'[1]поточний ремонт'!S87+'[2]поточний ремонт'!S87-'[3]поточний ремонт'!S87</f>
        <v>0</v>
      </c>
      <c r="T87" s="1039"/>
      <c r="U87" s="43">
        <f>'[1]поточний ремонт'!U87+'[2]поточний ремонт'!U87-'[3]поточний ремонт'!U87</f>
        <v>0</v>
      </c>
      <c r="V87" s="43">
        <f>'[1]поточний ремонт'!V87+'[2]поточний ремонт'!V87-'[3]поточний ремонт'!V87</f>
        <v>0</v>
      </c>
      <c r="W87" s="43">
        <f>'[1]поточний ремонт'!W87+'[2]поточний ремонт'!W87-'[3]поточний ремонт'!W87</f>
        <v>0</v>
      </c>
      <c r="X87" s="43">
        <f>'[1]поточний ремонт'!X87+'[2]поточний ремонт'!X87-'[3]поточний ремонт'!X87</f>
        <v>0</v>
      </c>
      <c r="Y87" s="43">
        <f>'[1]поточний ремонт'!Y87+'[2]поточний ремонт'!Y87-'[3]поточний ремонт'!Y87</f>
        <v>6129</v>
      </c>
      <c r="Z87" s="43">
        <f>'[1]поточний ремонт'!Z87+'[2]поточний ремонт'!Z87-'[3]поточний ремонт'!Z87</f>
        <v>0</v>
      </c>
      <c r="AA87" s="43">
        <f>'[1]поточний ремонт'!AA87+'[2]поточний ремонт'!AA87-'[3]поточний ремонт'!AA87</f>
        <v>0</v>
      </c>
      <c r="AB87" s="43">
        <f>'[1]поточний ремонт'!AB87+'[2]поточний ремонт'!AB87-'[3]поточний ремонт'!AB87</f>
        <v>1083</v>
      </c>
      <c r="AC87" s="43">
        <f>'[1]поточний ремонт'!AC87+'[2]поточний ремонт'!AC87-'[3]поточний ремонт'!AC87</f>
        <v>4077</v>
      </c>
      <c r="AD87" s="43">
        <f>'[1]поточний ремонт'!AD87+'[2]поточний ремонт'!AD87-'[3]поточний ремонт'!AD87</f>
        <v>3342</v>
      </c>
      <c r="AE87" s="43">
        <f>'[1]поточний ремонт'!AE87+'[2]поточний ремонт'!AE87-'[3]поточний ремонт'!AE87</f>
        <v>1235.6449539551052</v>
      </c>
      <c r="AF87" s="43">
        <f>'[1]поточний ремонт'!AF87+'[2]поточний ремонт'!AF87-'[3]поточний ремонт'!AF87</f>
        <v>3566</v>
      </c>
      <c r="AG87" s="5"/>
      <c r="AH87" s="43">
        <f>'[1]поточний ремонт'!AH87+'[2]поточний ремонт'!AH87-'[3]поточний ремонт'!AH87</f>
        <v>1966.0154725674336</v>
      </c>
      <c r="AI87" s="43">
        <f>'[1]поточний ремонт'!AI87+'[2]поточний ремонт'!AI87-'[3]поточний ремонт'!AI87</f>
        <v>2017</v>
      </c>
      <c r="AJ87" s="5"/>
      <c r="AK87" s="43">
        <f>'[1]поточний ремонт'!AK87+'[2]поточний ремонт'!AK87-'[3]поточний ремонт'!AK87</f>
        <v>2562.6809545418446</v>
      </c>
      <c r="AL87" s="43">
        <f>'[1]поточний ремонт'!AL87+'[2]поточний ремонт'!AL87-'[3]поточний ремонт'!AL87</f>
        <v>568</v>
      </c>
      <c r="AM87" s="5"/>
      <c r="AN87" s="43">
        <f>'[1]поточний ремонт'!AN87+'[2]поточний ремонт'!AN87-'[3]поточний ремонт'!AN87</f>
        <v>855.59474479502251</v>
      </c>
      <c r="AO87" s="43">
        <f>'[1]поточний ремонт'!AO87+'[2]поточний ремонт'!AO87-'[3]поточний ремонт'!AO87</f>
        <v>0</v>
      </c>
      <c r="AP87" s="5"/>
      <c r="AQ87" s="43">
        <f>'[1]поточний ремонт'!AQ87+'[2]поточний ремонт'!AQ87-'[3]поточний ремонт'!AQ87</f>
        <v>422.7844713578213</v>
      </c>
      <c r="AR87" s="43">
        <f>'[1]поточний ремонт'!AR87+'[2]поточний ремонт'!AR87-'[3]поточний ремонт'!AR87</f>
        <v>0</v>
      </c>
      <c r="AS87" s="5"/>
      <c r="AT87" s="43">
        <f>'[1]поточний ремонт'!AT87+'[2]поточний ремонт'!AT87-'[3]поточний ремонт'!AT87</f>
        <v>803.98695897561413</v>
      </c>
      <c r="AU87" s="43">
        <f>'[1]поточний ремонт'!AU87+'[2]поточний ремонт'!AU87-'[3]поточний ремонт'!AU87</f>
        <v>6436</v>
      </c>
      <c r="AV87" s="5"/>
      <c r="AW87" s="43">
        <f>'[1]поточний ремонт'!AW87+'[2]поточний ремонт'!AW87-'[3]поточний ремонт'!AW87</f>
        <v>0</v>
      </c>
      <c r="AX87" s="43">
        <f>'[1]поточний ремонт'!AX87+'[2]поточний ремонт'!AX87-'[3]поточний ремонт'!AX87</f>
        <v>0</v>
      </c>
      <c r="AY87" s="5"/>
      <c r="AZ87" s="43">
        <f t="shared" si="10"/>
        <v>7846.7075561928414</v>
      </c>
      <c r="BA87" s="43">
        <f t="shared" si="11"/>
        <v>12587</v>
      </c>
      <c r="BB87" s="59">
        <f t="shared" si="12"/>
        <v>4740.2924438071586</v>
      </c>
      <c r="BD87" s="2">
        <v>3</v>
      </c>
      <c r="BF87" s="30">
        <v>348.47148807715683</v>
      </c>
      <c r="BG87" s="328">
        <v>150000660</v>
      </c>
      <c r="BI87" s="107">
        <v>0</v>
      </c>
      <c r="BJ87" s="107">
        <f t="shared" si="13"/>
        <v>0</v>
      </c>
      <c r="BK87" s="107">
        <v>0</v>
      </c>
      <c r="BL87" s="39"/>
      <c r="BM87" s="3"/>
      <c r="BN87" s="3">
        <v>0</v>
      </c>
      <c r="BP87" s="3"/>
      <c r="BQ87" s="3"/>
      <c r="BS87" s="43"/>
      <c r="BT87" s="43">
        <v>0</v>
      </c>
      <c r="BU87" s="1037"/>
      <c r="BV87" s="42"/>
      <c r="BW87" s="43"/>
      <c r="BX87" s="37"/>
      <c r="BY87" s="78"/>
      <c r="BZ87" s="43">
        <v>0</v>
      </c>
      <c r="CA87" s="1038"/>
      <c r="CB87" s="42">
        <v>0</v>
      </c>
      <c r="CC87" s="42">
        <v>0</v>
      </c>
      <c r="CD87" s="1039"/>
      <c r="CE87" s="78">
        <v>0</v>
      </c>
      <c r="CF87" s="56"/>
      <c r="CG87" s="42">
        <v>0</v>
      </c>
      <c r="CH87" s="39">
        <v>0</v>
      </c>
      <c r="CI87" s="78">
        <v>0</v>
      </c>
      <c r="CJ87" s="56"/>
      <c r="CK87" s="1034"/>
      <c r="CL87" s="1029"/>
      <c r="CM87" s="1034">
        <v>522</v>
      </c>
      <c r="CN87" s="1029">
        <v>0</v>
      </c>
      <c r="CO87" s="78">
        <v>102.97041282959211</v>
      </c>
      <c r="CP87" s="43">
        <v>0</v>
      </c>
      <c r="CQ87" s="5"/>
      <c r="CR87" s="78">
        <v>163.83462271395283</v>
      </c>
      <c r="CS87" s="1033">
        <v>0</v>
      </c>
      <c r="CT87" s="5"/>
      <c r="CU87" s="78">
        <v>213.55674621182038</v>
      </c>
      <c r="CV87" s="43">
        <v>0</v>
      </c>
      <c r="CW87" s="5"/>
      <c r="CX87" s="78">
        <v>71.299562066251895</v>
      </c>
      <c r="CY87" s="43">
        <v>0</v>
      </c>
      <c r="CZ87" s="5"/>
      <c r="DA87" s="78">
        <v>35.232039279818451</v>
      </c>
      <c r="DB87" s="43">
        <v>0</v>
      </c>
      <c r="DC87" s="5"/>
      <c r="DD87" s="78">
        <v>66.998913247967849</v>
      </c>
      <c r="DE87" s="43">
        <v>0</v>
      </c>
      <c r="DF87" s="5"/>
      <c r="DG87" s="78">
        <v>0</v>
      </c>
      <c r="DH87" s="43"/>
      <c r="DI87" s="5"/>
      <c r="DJ87" s="43">
        <v>653.89229634940352</v>
      </c>
      <c r="DK87" s="43">
        <f t="shared" si="14"/>
        <v>0</v>
      </c>
      <c r="DL87" s="59">
        <f t="shared" si="15"/>
        <v>-653.89229634940352</v>
      </c>
    </row>
    <row r="88" spans="1:116" ht="24.9" customHeight="1" x14ac:dyDescent="0.3">
      <c r="A88" s="328">
        <v>150000597</v>
      </c>
      <c r="B88" s="45" t="s">
        <v>352</v>
      </c>
      <c r="C88" s="1035">
        <v>9</v>
      </c>
      <c r="D88" s="1036" t="s">
        <v>454</v>
      </c>
      <c r="E88" s="1028">
        <f>'побудинковий звіт'!E86</f>
        <v>216</v>
      </c>
      <c r="F88" s="1029">
        <f>'побудинковий звіт'!AS86</f>
        <v>92430.30646565264</v>
      </c>
      <c r="G88" s="1029">
        <f t="shared" si="8"/>
        <v>174547</v>
      </c>
      <c r="H88" s="1029">
        <f t="shared" si="9"/>
        <v>82116.69353434736</v>
      </c>
      <c r="I88" s="43">
        <f>'[1]поточний ремонт'!I88+'[2]поточний ремонт'!I88-'[3]поточний ремонт'!I88</f>
        <v>147</v>
      </c>
      <c r="J88" s="43">
        <f>'[1]поточний ремонт'!J88+'[2]поточний ремонт'!J88-'[3]поточний ремонт'!J88</f>
        <v>44997</v>
      </c>
      <c r="K88" s="1037"/>
      <c r="L88" s="43">
        <f>'[1]поточний ремонт'!L88+'[2]поточний ремонт'!L88-'[3]поточний ремонт'!L88</f>
        <v>0</v>
      </c>
      <c r="M88" s="43">
        <f>'[1]поточний ремонт'!M88+'[2]поточний ремонт'!M88-'[3]поточний ремонт'!M88</f>
        <v>0</v>
      </c>
      <c r="N88" s="37"/>
      <c r="O88" s="43">
        <f>'[1]поточний ремонт'!O88+'[2]поточний ремонт'!O88-'[3]поточний ремонт'!O88</f>
        <v>49</v>
      </c>
      <c r="P88" s="43">
        <f>'[1]поточний ремонт'!P88+'[2]поточний ремонт'!P88-'[3]поточний ремонт'!P88</f>
        <v>7524</v>
      </c>
      <c r="Q88" s="1038"/>
      <c r="R88" s="43">
        <f>'[1]поточний ремонт'!R88+'[2]поточний ремонт'!R88-'[3]поточний ремонт'!R88</f>
        <v>7</v>
      </c>
      <c r="S88" s="43">
        <f>'[1]поточний ремонт'!S88+'[2]поточний ремонт'!S88-'[3]поточний ремонт'!S88</f>
        <v>97086</v>
      </c>
      <c r="T88" s="1039"/>
      <c r="U88" s="43">
        <f>'[1]поточний ремонт'!U88+'[2]поточний ремонт'!U88-'[3]поточний ремонт'!U88</f>
        <v>355</v>
      </c>
      <c r="V88" s="43">
        <f>'[1]поточний ремонт'!V88+'[2]поточний ремонт'!V88-'[3]поточний ремонт'!V88</f>
        <v>0</v>
      </c>
      <c r="W88" s="43">
        <f>'[1]поточний ремонт'!W88+'[2]поточний ремонт'!W88-'[3]поточний ремонт'!W88</f>
        <v>0</v>
      </c>
      <c r="X88" s="43">
        <f>'[1]поточний ремонт'!X88+'[2]поточний ремонт'!X88-'[3]поточний ремонт'!X88</f>
        <v>0</v>
      </c>
      <c r="Y88" s="43">
        <f>'[1]поточний ремонт'!Y88+'[2]поточний ремонт'!Y88-'[3]поточний ремонт'!Y88</f>
        <v>0</v>
      </c>
      <c r="Z88" s="43">
        <f>'[1]поточний ремонт'!Z88+'[2]поточний ремонт'!Z88-'[3]поточний ремонт'!Z88</f>
        <v>0</v>
      </c>
      <c r="AA88" s="43">
        <f>'[1]поточний ремонт'!AA88+'[2]поточний ремонт'!AA88-'[3]поточний ремонт'!AA88</f>
        <v>0</v>
      </c>
      <c r="AB88" s="43">
        <f>'[1]поточний ремонт'!AB88+'[2]поточний ремонт'!AB88-'[3]поточний ремонт'!AB88</f>
        <v>0</v>
      </c>
      <c r="AC88" s="43">
        <f>'[1]поточний ремонт'!AC88+'[2]поточний ремонт'!AC88-'[3]поточний ремонт'!AC88</f>
        <v>12328</v>
      </c>
      <c r="AD88" s="43">
        <f>'[1]поточний ремонт'!AD88+'[2]поточний ремонт'!AD88-'[3]поточний ремонт'!AD88</f>
        <v>12257</v>
      </c>
      <c r="AE88" s="43">
        <f>'[1]поточний ремонт'!AE88+'[2]поточний ремонт'!AE88-'[3]поточний ремонт'!AE88</f>
        <v>433.60636013152885</v>
      </c>
      <c r="AF88" s="43">
        <f>'[1]поточний ремонт'!AF88+'[2]поточний ремонт'!AF88-'[3]поточний ремонт'!AF88</f>
        <v>4454</v>
      </c>
      <c r="AG88" s="5"/>
      <c r="AH88" s="43">
        <f>'[1]поточний ремонт'!AH88+'[2]поточний ремонт'!AH88-'[3]поточний ремонт'!AH88</f>
        <v>581.16168083670448</v>
      </c>
      <c r="AI88" s="43">
        <f>'[1]поточний ремонт'!AI88+'[2]поточний ремонт'!AI88-'[3]поточний ремонт'!AI88</f>
        <v>4730</v>
      </c>
      <c r="AJ88" s="9"/>
      <c r="AK88" s="43">
        <f>'[1]поточний ремонт'!AK88+'[2]поточний ремонт'!AK88-'[3]поточний ремонт'!AK88</f>
        <v>473.91012344400514</v>
      </c>
      <c r="AL88" s="43">
        <f>'[1]поточний ремонт'!AL88+'[2]поточний ремонт'!AL88-'[3]поточний ремонт'!AL88</f>
        <v>640</v>
      </c>
      <c r="AM88" s="5"/>
      <c r="AN88" s="43">
        <f>'[1]поточний ремонт'!AN88+'[2]поточний ремонт'!AN88-'[3]поточний ремонт'!AN88</f>
        <v>326.17543078214203</v>
      </c>
      <c r="AO88" s="43">
        <f>'[1]поточний ремонт'!AO88+'[2]поточний ремонт'!AO88-'[3]поточний ремонт'!AO88</f>
        <v>0</v>
      </c>
      <c r="AP88" s="5"/>
      <c r="AQ88" s="43">
        <f>'[1]поточний ремонт'!AQ88+'[2]поточний ремонт'!AQ88-'[3]поточний ремонт'!AQ88</f>
        <v>158.30696475691875</v>
      </c>
      <c r="AR88" s="43">
        <f>'[1]поточний ремонт'!AR88+'[2]поточний ремонт'!AR88-'[3]поточний ремонт'!AR88</f>
        <v>0</v>
      </c>
      <c r="AS88" s="5"/>
      <c r="AT88" s="43">
        <f>'[1]поточний ремонт'!AT88+'[2]поточний ремонт'!AT88-'[3]поточний ремонт'!AT88</f>
        <v>498.30127005787983</v>
      </c>
      <c r="AU88" s="43">
        <f>'[1]поточний ремонт'!AU88+'[2]поточний ремонт'!AU88-'[3]поточний ремонт'!AU88</f>
        <v>4022.5587923167172</v>
      </c>
      <c r="AV88" s="5"/>
      <c r="AW88" s="43">
        <f>'[1]поточний ремонт'!AW88+'[2]поточний ремонт'!AW88-'[3]поточний ремонт'!AW88</f>
        <v>564.96887113974969</v>
      </c>
      <c r="AX88" s="43">
        <f>'[1]поточний ремонт'!AX88+'[2]поточний ремонт'!AX88-'[3]поточний ремонт'!AX88</f>
        <v>5542</v>
      </c>
      <c r="AY88" s="5"/>
      <c r="AZ88" s="43">
        <f t="shared" si="10"/>
        <v>3036.4307011489286</v>
      </c>
      <c r="BA88" s="43">
        <f t="shared" si="11"/>
        <v>19388.558792316719</v>
      </c>
      <c r="BB88" s="59">
        <f t="shared" si="12"/>
        <v>16352.12809116779</v>
      </c>
      <c r="BD88" s="2">
        <v>1</v>
      </c>
      <c r="BF88" s="30">
        <v>220.21633228384223</v>
      </c>
      <c r="BG88" s="328">
        <v>150000597</v>
      </c>
      <c r="BI88" s="107">
        <v>0</v>
      </c>
      <c r="BJ88" s="107">
        <f t="shared" si="13"/>
        <v>0</v>
      </c>
      <c r="BK88" s="107">
        <v>0</v>
      </c>
      <c r="BL88" s="39"/>
      <c r="BM88" s="3"/>
      <c r="BN88" s="3">
        <v>0</v>
      </c>
      <c r="BP88" s="3"/>
      <c r="BQ88" s="3"/>
      <c r="BS88" s="43"/>
      <c r="BT88" s="43">
        <v>0</v>
      </c>
      <c r="BU88" s="1037"/>
      <c r="BV88" s="42"/>
      <c r="BW88" s="43"/>
      <c r="BX88" s="37"/>
      <c r="BY88" s="78"/>
      <c r="BZ88" s="43">
        <v>0</v>
      </c>
      <c r="CA88" s="1038"/>
      <c r="CB88" s="42">
        <v>0</v>
      </c>
      <c r="CC88" s="42">
        <v>0</v>
      </c>
      <c r="CD88" s="1039"/>
      <c r="CE88" s="78">
        <v>0</v>
      </c>
      <c r="CF88" s="56"/>
      <c r="CG88" s="42">
        <v>0</v>
      </c>
      <c r="CH88" s="39">
        <v>0</v>
      </c>
      <c r="CI88" s="78">
        <v>0</v>
      </c>
      <c r="CJ88" s="56"/>
      <c r="CK88" s="1034"/>
      <c r="CL88" s="1029"/>
      <c r="CM88" s="1034"/>
      <c r="CN88" s="1029">
        <v>0</v>
      </c>
      <c r="CO88" s="78">
        <v>36.13386334429407</v>
      </c>
      <c r="CP88" s="43">
        <v>0</v>
      </c>
      <c r="CQ88" s="5"/>
      <c r="CR88" s="78">
        <v>48.430140069725375</v>
      </c>
      <c r="CS88" s="1033">
        <v>0</v>
      </c>
      <c r="CT88" s="9"/>
      <c r="CU88" s="78">
        <v>39.492510287000435</v>
      </c>
      <c r="CV88" s="43">
        <v>0</v>
      </c>
      <c r="CW88" s="5"/>
      <c r="CX88" s="78">
        <v>27.181285898511838</v>
      </c>
      <c r="CY88" s="43">
        <v>0</v>
      </c>
      <c r="CZ88" s="5"/>
      <c r="DA88" s="78">
        <v>13.192247063076561</v>
      </c>
      <c r="DB88" s="43">
        <v>0</v>
      </c>
      <c r="DC88" s="5"/>
      <c r="DD88" s="78">
        <v>41.525105838156655</v>
      </c>
      <c r="DE88" s="43">
        <v>0</v>
      </c>
      <c r="DF88" s="5"/>
      <c r="DG88" s="78">
        <v>47.080739261645796</v>
      </c>
      <c r="DH88" s="43"/>
      <c r="DI88" s="5"/>
      <c r="DJ88" s="43">
        <v>253.03589176241076</v>
      </c>
      <c r="DK88" s="43">
        <f t="shared" si="14"/>
        <v>0</v>
      </c>
      <c r="DL88" s="59">
        <f t="shared" si="15"/>
        <v>-253.03589176241076</v>
      </c>
    </row>
    <row r="89" spans="1:116" ht="24.9" customHeight="1" x14ac:dyDescent="0.3">
      <c r="A89" s="328">
        <v>150000598</v>
      </c>
      <c r="B89" s="45" t="s">
        <v>76</v>
      </c>
      <c r="C89" s="1035">
        <v>1</v>
      </c>
      <c r="D89" s="1036" t="s">
        <v>454</v>
      </c>
      <c r="E89" s="1028">
        <f>'побудинковий звіт'!E87</f>
        <v>216.8</v>
      </c>
      <c r="F89" s="1029">
        <f>'побудинковий звіт'!AS87</f>
        <v>2706.1136519432985</v>
      </c>
      <c r="G89" s="1029">
        <f t="shared" si="8"/>
        <v>0</v>
      </c>
      <c r="H89" s="1029">
        <f t="shared" si="9"/>
        <v>-2706.1136519432985</v>
      </c>
      <c r="I89" s="43">
        <f>'[1]поточний ремонт'!I89+'[2]поточний ремонт'!I89-'[3]поточний ремонт'!I89</f>
        <v>0</v>
      </c>
      <c r="J89" s="43">
        <f>'[1]поточний ремонт'!J89+'[2]поточний ремонт'!J89-'[3]поточний ремонт'!J89</f>
        <v>0</v>
      </c>
      <c r="K89" s="1037"/>
      <c r="L89" s="43">
        <f>'[1]поточний ремонт'!L89+'[2]поточний ремонт'!L89-'[3]поточний ремонт'!L89</f>
        <v>0</v>
      </c>
      <c r="M89" s="43">
        <f>'[1]поточний ремонт'!M89+'[2]поточний ремонт'!M89-'[3]поточний ремонт'!M89</f>
        <v>0</v>
      </c>
      <c r="N89" s="37"/>
      <c r="O89" s="43">
        <f>'[1]поточний ремонт'!O89+'[2]поточний ремонт'!O89-'[3]поточний ремонт'!O89</f>
        <v>0</v>
      </c>
      <c r="P89" s="43">
        <f>'[1]поточний ремонт'!P89+'[2]поточний ремонт'!P89-'[3]поточний ремонт'!P89</f>
        <v>0</v>
      </c>
      <c r="Q89" s="1038"/>
      <c r="R89" s="43">
        <f>'[1]поточний ремонт'!R89+'[2]поточний ремонт'!R89-'[3]поточний ремонт'!R89</f>
        <v>0</v>
      </c>
      <c r="S89" s="43">
        <f>'[1]поточний ремонт'!S89+'[2]поточний ремонт'!S89-'[3]поточний ремонт'!S89</f>
        <v>0</v>
      </c>
      <c r="T89" s="1039"/>
      <c r="U89" s="43">
        <f>'[1]поточний ремонт'!U89+'[2]поточний ремонт'!U89-'[3]поточний ремонт'!U89</f>
        <v>0</v>
      </c>
      <c r="V89" s="43">
        <f>'[1]поточний ремонт'!V89+'[2]поточний ремонт'!V89-'[3]поточний ремонт'!V89</f>
        <v>0</v>
      </c>
      <c r="W89" s="43">
        <f>'[1]поточний ремонт'!W89+'[2]поточний ремонт'!W89-'[3]поточний ремонт'!W89</f>
        <v>0</v>
      </c>
      <c r="X89" s="43">
        <f>'[1]поточний ремонт'!X89+'[2]поточний ремонт'!X89-'[3]поточний ремонт'!X89</f>
        <v>0</v>
      </c>
      <c r="Y89" s="43">
        <f>'[1]поточний ремонт'!Y89+'[2]поточний ремонт'!Y89-'[3]поточний ремонт'!Y89</f>
        <v>0</v>
      </c>
      <c r="Z89" s="43">
        <f>'[1]поточний ремонт'!Z89+'[2]поточний ремонт'!Z89-'[3]поточний ремонт'!Z89</f>
        <v>0</v>
      </c>
      <c r="AA89" s="43">
        <f>'[1]поточний ремонт'!AA89+'[2]поточний ремонт'!AA89-'[3]поточний ремонт'!AA89</f>
        <v>0</v>
      </c>
      <c r="AB89" s="43">
        <f>'[1]поточний ремонт'!AB89+'[2]поточний ремонт'!AB89-'[3]поточний ремонт'!AB89</f>
        <v>0</v>
      </c>
      <c r="AC89" s="43">
        <f>'[1]поточний ремонт'!AC89+'[2]поточний ремонт'!AC89-'[3]поточний ремонт'!AC89</f>
        <v>0</v>
      </c>
      <c r="AD89" s="43">
        <f>'[1]поточний ремонт'!AD89+'[2]поточний ремонт'!AD89-'[3]поточний ремонт'!AD89</f>
        <v>0</v>
      </c>
      <c r="AE89" s="43">
        <f>'[1]поточний ремонт'!AE89+'[2]поточний ремонт'!AE89-'[3]поточний ремонт'!AE89</f>
        <v>25.10285692206676</v>
      </c>
      <c r="AF89" s="43">
        <f>'[1]поточний ремонт'!AF89+'[2]поточний ремонт'!AF89-'[3]поточний ремонт'!AF89</f>
        <v>0</v>
      </c>
      <c r="AG89" s="5"/>
      <c r="AH89" s="43">
        <f>'[1]поточний ремонт'!AH89+'[2]поточний ремонт'!AH89-'[3]поточний ремонт'!AH89</f>
        <v>0</v>
      </c>
      <c r="AI89" s="43">
        <f>'[1]поточний ремонт'!AI89+'[2]поточний ремонт'!AI89-'[3]поточний ремонт'!AI89</f>
        <v>0</v>
      </c>
      <c r="AJ89" s="5"/>
      <c r="AK89" s="43">
        <f>'[1]поточний ремонт'!AK89+'[2]поточний ремонт'!AK89-'[3]поточний ремонт'!AK89</f>
        <v>0</v>
      </c>
      <c r="AL89" s="43">
        <f>'[1]поточний ремонт'!AL89+'[2]поточний ремонт'!AL89-'[3]поточний ремонт'!AL89</f>
        <v>0</v>
      </c>
      <c r="AM89" s="5"/>
      <c r="AN89" s="43">
        <f>'[1]поточний ремонт'!AN89+'[2]поточний ремонт'!AN89-'[3]поточний ремонт'!AN89</f>
        <v>0</v>
      </c>
      <c r="AO89" s="43">
        <f>'[1]поточний ремонт'!AO89+'[2]поточний ремонт'!AO89-'[3]поточний ремонт'!AO89</f>
        <v>0</v>
      </c>
      <c r="AP89" s="5"/>
      <c r="AQ89" s="43">
        <f>'[1]поточний ремонт'!AQ89+'[2]поточний ремонт'!AQ89-'[3]поточний ремонт'!AQ89</f>
        <v>0</v>
      </c>
      <c r="AR89" s="43">
        <f>'[1]поточний ремонт'!AR89+'[2]поточний ремонт'!AR89-'[3]поточний ремонт'!AR89</f>
        <v>0</v>
      </c>
      <c r="AS89" s="5"/>
      <c r="AT89" s="43">
        <f>'[1]поточний ремонт'!AT89+'[2]поточний ремонт'!AT89-'[3]поточний ремонт'!AT89</f>
        <v>0</v>
      </c>
      <c r="AU89" s="43">
        <f>'[1]поточний ремонт'!AU89+'[2]поточний ремонт'!AU89-'[3]поточний ремонт'!AU89</f>
        <v>0</v>
      </c>
      <c r="AV89" s="5"/>
      <c r="AW89" s="43">
        <f>'[1]поточний ремонт'!AW89+'[2]поточний ремонт'!AW89-'[3]поточний ремонт'!AW89</f>
        <v>0</v>
      </c>
      <c r="AX89" s="43">
        <f>'[1]поточний ремонт'!AX89+'[2]поточний ремонт'!AX89-'[3]поточний ремонт'!AX89</f>
        <v>0</v>
      </c>
      <c r="AY89" s="5"/>
      <c r="AZ89" s="43">
        <f t="shared" si="10"/>
        <v>25.10285692206676</v>
      </c>
      <c r="BA89" s="43">
        <f t="shared" si="11"/>
        <v>0</v>
      </c>
      <c r="BB89" s="59">
        <f t="shared" si="12"/>
        <v>-25.10285692206676</v>
      </c>
      <c r="BD89" s="2">
        <v>1</v>
      </c>
      <c r="BF89" s="30">
        <v>0</v>
      </c>
      <c r="BG89" s="328">
        <v>150000598</v>
      </c>
      <c r="BI89" s="107">
        <v>0</v>
      </c>
      <c r="BJ89" s="107">
        <f t="shared" si="13"/>
        <v>0</v>
      </c>
      <c r="BK89" s="107">
        <v>0</v>
      </c>
      <c r="BL89" s="39"/>
      <c r="BM89" s="3"/>
      <c r="BN89" s="3">
        <v>0</v>
      </c>
      <c r="BP89" s="3"/>
      <c r="BQ89" s="3"/>
      <c r="BS89" s="43"/>
      <c r="BT89" s="43">
        <v>0</v>
      </c>
      <c r="BU89" s="1037"/>
      <c r="BV89" s="42"/>
      <c r="BW89" s="43"/>
      <c r="BX89" s="37"/>
      <c r="BY89" s="78"/>
      <c r="BZ89" s="43">
        <v>0</v>
      </c>
      <c r="CA89" s="1038"/>
      <c r="CB89" s="42">
        <v>0</v>
      </c>
      <c r="CC89" s="42">
        <v>0</v>
      </c>
      <c r="CD89" s="1039"/>
      <c r="CE89" s="78">
        <v>0</v>
      </c>
      <c r="CF89" s="56"/>
      <c r="CG89" s="42">
        <v>0</v>
      </c>
      <c r="CH89" s="39">
        <v>0</v>
      </c>
      <c r="CI89" s="78">
        <v>0</v>
      </c>
      <c r="CJ89" s="56"/>
      <c r="CK89" s="1034"/>
      <c r="CL89" s="1029"/>
      <c r="CM89" s="1034"/>
      <c r="CN89" s="1029">
        <v>0</v>
      </c>
      <c r="CO89" s="78">
        <v>2.0919047435055638</v>
      </c>
      <c r="CP89" s="43">
        <v>0</v>
      </c>
      <c r="CQ89" s="5"/>
      <c r="CR89" s="78">
        <v>0</v>
      </c>
      <c r="CS89" s="1033">
        <v>0</v>
      </c>
      <c r="CT89" s="5"/>
      <c r="CU89" s="78">
        <v>0</v>
      </c>
      <c r="CV89" s="43">
        <v>0</v>
      </c>
      <c r="CW89" s="5"/>
      <c r="CX89" s="78">
        <v>0</v>
      </c>
      <c r="CY89" s="43">
        <v>0</v>
      </c>
      <c r="CZ89" s="5"/>
      <c r="DA89" s="78">
        <v>0</v>
      </c>
      <c r="DB89" s="43">
        <v>0</v>
      </c>
      <c r="DC89" s="5"/>
      <c r="DD89" s="78">
        <v>0</v>
      </c>
      <c r="DE89" s="43">
        <v>0</v>
      </c>
      <c r="DF89" s="5"/>
      <c r="DG89" s="78">
        <v>0</v>
      </c>
      <c r="DH89" s="43"/>
      <c r="DI89" s="5"/>
      <c r="DJ89" s="43">
        <v>2.0919047435055638</v>
      </c>
      <c r="DK89" s="43">
        <f t="shared" si="14"/>
        <v>0</v>
      </c>
      <c r="DL89" s="59">
        <f t="shared" si="15"/>
        <v>-2.0919047435055638</v>
      </c>
    </row>
    <row r="90" spans="1:116" ht="24.9" customHeight="1" x14ac:dyDescent="0.3">
      <c r="A90" s="328">
        <v>150000592</v>
      </c>
      <c r="B90" s="45" t="s">
        <v>353</v>
      </c>
      <c r="C90" s="1035">
        <v>9</v>
      </c>
      <c r="D90" s="1036" t="s">
        <v>454</v>
      </c>
      <c r="E90" s="1028">
        <f>'побудинковий звіт'!E88</f>
        <v>254.1</v>
      </c>
      <c r="F90" s="1029">
        <f>'побудинковий звіт'!AS88</f>
        <v>178594.45182269503</v>
      </c>
      <c r="G90" s="1029">
        <f t="shared" si="8"/>
        <v>119282.00361465874</v>
      </c>
      <c r="H90" s="1029">
        <f t="shared" si="9"/>
        <v>-59312.448208036294</v>
      </c>
      <c r="I90" s="43">
        <f>'[1]поточний ремонт'!I90+'[2]поточний ремонт'!I90-'[3]поточний ремонт'!I90</f>
        <v>128.52000000000001</v>
      </c>
      <c r="J90" s="43">
        <f>'[1]поточний ремонт'!J90+'[2]поточний ремонт'!J90-'[3]поточний ремонт'!J90</f>
        <v>41102</v>
      </c>
      <c r="K90" s="1044"/>
      <c r="L90" s="43">
        <f>'[1]поточний ремонт'!L90+'[2]поточний ремонт'!L90-'[3]поточний ремонт'!L90</f>
        <v>0</v>
      </c>
      <c r="M90" s="43">
        <f>'[1]поточний ремонт'!M90+'[2]поточний ремонт'!M90-'[3]поточний ремонт'!M90</f>
        <v>0</v>
      </c>
      <c r="N90" s="37"/>
      <c r="O90" s="43">
        <f>'[1]поточний ремонт'!O90+'[2]поточний ремонт'!O90-'[3]поточний ремонт'!O90</f>
        <v>182</v>
      </c>
      <c r="P90" s="43">
        <f>'[1]поточний ремонт'!P90+'[2]поточний ремонт'!P90-'[3]поточний ремонт'!P90</f>
        <v>50823</v>
      </c>
      <c r="Q90" s="1038"/>
      <c r="R90" s="43">
        <f>'[1]поточний ремонт'!R90+'[2]поточний ремонт'!R90-'[3]поточний ремонт'!R90</f>
        <v>2</v>
      </c>
      <c r="S90" s="43">
        <f>'[1]поточний ремонт'!S90+'[2]поточний ремонт'!S90-'[3]поточний ремонт'!S90</f>
        <v>6790</v>
      </c>
      <c r="T90" s="1039"/>
      <c r="U90" s="43">
        <f>'[1]поточний ремонт'!U90+'[2]поточний ремонт'!U90-'[3]поточний ремонт'!U90</f>
        <v>0</v>
      </c>
      <c r="V90" s="43">
        <f>'[1]поточний ремонт'!V90+'[2]поточний ремонт'!V90-'[3]поточний ремонт'!V90</f>
        <v>0</v>
      </c>
      <c r="W90" s="43">
        <f>'[1]поточний ремонт'!W90+'[2]поточний ремонт'!W90-'[3]поточний ремонт'!W90</f>
        <v>10</v>
      </c>
      <c r="X90" s="43">
        <f>'[1]поточний ремонт'!X90+'[2]поточний ремонт'!X90-'[3]поточний ремонт'!X90</f>
        <v>4372.0036146587399</v>
      </c>
      <c r="Y90" s="43">
        <f>'[1]поточний ремонт'!Y90+'[2]поточний ремонт'!Y90-'[3]поточний ремонт'!Y90</f>
        <v>0</v>
      </c>
      <c r="Z90" s="43">
        <f>'[1]поточний ремонт'!Z90+'[2]поточний ремонт'!Z90-'[3]поточний ремонт'!Z90</f>
        <v>0</v>
      </c>
      <c r="AA90" s="43">
        <f>'[1]поточний ремонт'!AA90+'[2]поточний ремонт'!AA90-'[3]поточний ремонт'!AA90</f>
        <v>0</v>
      </c>
      <c r="AB90" s="43">
        <f>'[1]поточний ремонт'!AB90+'[2]поточний ремонт'!AB90-'[3]поточний ремонт'!AB90</f>
        <v>5202</v>
      </c>
      <c r="AC90" s="43">
        <f>'[1]поточний ремонт'!AC90+'[2]поточний ремонт'!AC90-'[3]поточний ремонт'!AC90</f>
        <v>4243</v>
      </c>
      <c r="AD90" s="43">
        <f>'[1]поточний ремонт'!AD90+'[2]поточний ремонт'!AD90-'[3]поточний ремонт'!AD90</f>
        <v>6750</v>
      </c>
      <c r="AE90" s="43">
        <f>'[1]поточний ремонт'!AE90+'[2]поточний ремонт'!AE90-'[3]поточний ремонт'!AE90</f>
        <v>1212.4194363021111</v>
      </c>
      <c r="AF90" s="43">
        <f>'[1]поточний ремонт'!AF90+'[2]поточний ремонт'!AF90-'[3]поточний ремонт'!AF90</f>
        <v>1311</v>
      </c>
      <c r="AG90" s="5"/>
      <c r="AH90" s="43">
        <f>'[1]поточний ремонт'!AH90+'[2]поточний ремонт'!AH90-'[3]поточний ремонт'!AH90</f>
        <v>1648.3735524371007</v>
      </c>
      <c r="AI90" s="43">
        <f>'[1]поточний ремонт'!AI90+'[2]поточний ремонт'!AI90-'[3]поточний ремонт'!AI90</f>
        <v>2671</v>
      </c>
      <c r="AJ90" s="5"/>
      <c r="AK90" s="43">
        <f>'[1]поточний ремонт'!AK90+'[2]поточний ремонт'!AK90-'[3]поточний ремонт'!AK90</f>
        <v>2047.1136935254331</v>
      </c>
      <c r="AL90" s="43">
        <f>'[1]поточний ремонт'!AL90+'[2]поточний ремонт'!AL90-'[3]поточний ремонт'!AL90</f>
        <v>0</v>
      </c>
      <c r="AM90" s="5"/>
      <c r="AN90" s="43">
        <f>'[1]поточний ремонт'!AN90+'[2]поточний ремонт'!AN90-'[3]поточний ремонт'!AN90</f>
        <v>852.49617581444795</v>
      </c>
      <c r="AO90" s="43">
        <f>'[1]поточний ремонт'!AO90+'[2]поточний ремонт'!AO90-'[3]поточний ремонт'!AO90</f>
        <v>0</v>
      </c>
      <c r="AP90" s="5"/>
      <c r="AQ90" s="43">
        <f>'[1]поточний ремонт'!AQ90+'[2]поточний ремонт'!AQ90-'[3]поточний ремонт'!AQ90</f>
        <v>1403.1194206337796</v>
      </c>
      <c r="AR90" s="43">
        <f>'[1]поточний ремонт'!AR90+'[2]поточний ремонт'!AR90-'[3]поточний ремонт'!AR90</f>
        <v>0</v>
      </c>
      <c r="AS90" s="5"/>
      <c r="AT90" s="43">
        <f>'[1]поточний ремонт'!AT90+'[2]поточний ремонт'!AT90-'[3]поточний ремонт'!AT90</f>
        <v>1606.8982976713498</v>
      </c>
      <c r="AU90" s="43">
        <f>'[1]поточний ремонт'!AU90+'[2]поточний ремонт'!AU90-'[3]поточний ремонт'!AU90</f>
        <v>5984</v>
      </c>
      <c r="AV90" s="5"/>
      <c r="AW90" s="43">
        <f>'[1]поточний ремонт'!AW90+'[2]поточний ремонт'!AW90-'[3]поточний ремонт'!AW90</f>
        <v>1124.2953543713022</v>
      </c>
      <c r="AX90" s="43">
        <f>'[1]поточний ремонт'!AX90+'[2]поточний ремонт'!AX90-'[3]поточний ремонт'!AX90</f>
        <v>0</v>
      </c>
      <c r="AY90" s="5"/>
      <c r="AZ90" s="43">
        <f t="shared" si="10"/>
        <v>9894.7159307555266</v>
      </c>
      <c r="BA90" s="43">
        <f t="shared" si="11"/>
        <v>9966</v>
      </c>
      <c r="BB90" s="59">
        <f t="shared" si="12"/>
        <v>71.284069244473358</v>
      </c>
      <c r="BD90" s="2">
        <v>1</v>
      </c>
      <c r="BF90" s="30">
        <v>455.11126179361327</v>
      </c>
      <c r="BG90" s="328">
        <v>150000592</v>
      </c>
      <c r="BI90" s="107">
        <v>47.31</v>
      </c>
      <c r="BJ90" s="107">
        <f t="shared" si="13"/>
        <v>6.654728682</v>
      </c>
      <c r="BK90" s="107">
        <v>54.561951008760005</v>
      </c>
      <c r="BL90" s="39"/>
      <c r="BM90" s="3"/>
      <c r="BN90" s="3">
        <v>0</v>
      </c>
      <c r="BP90" s="3"/>
      <c r="BQ90" s="3"/>
      <c r="BS90" s="43"/>
      <c r="BT90" s="43">
        <v>0</v>
      </c>
      <c r="BU90" s="1044"/>
      <c r="BV90" s="42"/>
      <c r="BW90" s="43"/>
      <c r="BX90" s="37"/>
      <c r="BY90" s="78"/>
      <c r="BZ90" s="43">
        <v>0</v>
      </c>
      <c r="CA90" s="1038"/>
      <c r="CB90" s="42">
        <v>0</v>
      </c>
      <c r="CC90" s="42">
        <v>0</v>
      </c>
      <c r="CD90" s="1039"/>
      <c r="CE90" s="78">
        <v>0</v>
      </c>
      <c r="CF90" s="56"/>
      <c r="CG90" s="42">
        <v>0</v>
      </c>
      <c r="CH90" s="39">
        <v>54.561951008760005</v>
      </c>
      <c r="CI90" s="78">
        <v>0</v>
      </c>
      <c r="CJ90" s="58"/>
      <c r="CK90" s="1034"/>
      <c r="CL90" s="1029"/>
      <c r="CM90" s="1034"/>
      <c r="CN90" s="1029">
        <v>0</v>
      </c>
      <c r="CO90" s="78">
        <v>101.03495302517592</v>
      </c>
      <c r="CP90" s="43">
        <v>0</v>
      </c>
      <c r="CQ90" s="5"/>
      <c r="CR90" s="78">
        <v>137.36446270309173</v>
      </c>
      <c r="CS90" s="1033">
        <v>0</v>
      </c>
      <c r="CT90" s="5"/>
      <c r="CU90" s="78">
        <v>170.59280779378611</v>
      </c>
      <c r="CV90" s="43">
        <v>809.40839105643749</v>
      </c>
      <c r="CW90" s="5"/>
      <c r="CX90" s="78">
        <v>71.041347984537339</v>
      </c>
      <c r="CY90" s="43">
        <v>0</v>
      </c>
      <c r="CZ90" s="5"/>
      <c r="DA90" s="78">
        <v>116.92661838614831</v>
      </c>
      <c r="DB90" s="43">
        <v>0</v>
      </c>
      <c r="DC90" s="5"/>
      <c r="DD90" s="78">
        <v>133.90819147261246</v>
      </c>
      <c r="DE90" s="43">
        <v>0</v>
      </c>
      <c r="DF90" s="5"/>
      <c r="DG90" s="78">
        <v>93.691279530941856</v>
      </c>
      <c r="DH90" s="43"/>
      <c r="DI90" s="5"/>
      <c r="DJ90" s="43">
        <v>824.55966089629374</v>
      </c>
      <c r="DK90" s="43">
        <f t="shared" si="14"/>
        <v>809.40839105643749</v>
      </c>
      <c r="DL90" s="59">
        <f t="shared" si="15"/>
        <v>-15.151269839856241</v>
      </c>
    </row>
    <row r="91" spans="1:116" ht="24.9" customHeight="1" x14ac:dyDescent="0.3">
      <c r="A91" s="328">
        <v>150000599</v>
      </c>
      <c r="B91" s="45" t="s">
        <v>77</v>
      </c>
      <c r="C91" s="1035">
        <v>1</v>
      </c>
      <c r="D91" s="1036" t="s">
        <v>454</v>
      </c>
      <c r="E91" s="1028">
        <f>'побудинковий звіт'!E89</f>
        <v>397.8</v>
      </c>
      <c r="F91" s="1029">
        <f>'побудинковий звіт'!AS89</f>
        <v>2977.9913965983501</v>
      </c>
      <c r="G91" s="1029">
        <f t="shared" si="8"/>
        <v>0</v>
      </c>
      <c r="H91" s="1029">
        <f t="shared" si="9"/>
        <v>-2977.9913965983501</v>
      </c>
      <c r="I91" s="43">
        <f>'[1]поточний ремонт'!I91+'[2]поточний ремонт'!I91-'[3]поточний ремонт'!I91</f>
        <v>0</v>
      </c>
      <c r="J91" s="43">
        <f>'[1]поточний ремонт'!J91+'[2]поточний ремонт'!J91-'[3]поточний ремонт'!J91</f>
        <v>0</v>
      </c>
      <c r="K91" s="1037"/>
      <c r="L91" s="43">
        <f>'[1]поточний ремонт'!L91+'[2]поточний ремонт'!L91-'[3]поточний ремонт'!L91</f>
        <v>0</v>
      </c>
      <c r="M91" s="43">
        <f>'[1]поточний ремонт'!M91+'[2]поточний ремонт'!M91-'[3]поточний ремонт'!M91</f>
        <v>0</v>
      </c>
      <c r="N91" s="37"/>
      <c r="O91" s="43">
        <f>'[1]поточний ремонт'!O91+'[2]поточний ремонт'!O91-'[3]поточний ремонт'!O91</f>
        <v>0</v>
      </c>
      <c r="P91" s="43">
        <f>'[1]поточний ремонт'!P91+'[2]поточний ремонт'!P91-'[3]поточний ремонт'!P91</f>
        <v>0</v>
      </c>
      <c r="Q91" s="1038"/>
      <c r="R91" s="43">
        <f>'[1]поточний ремонт'!R91+'[2]поточний ремонт'!R91-'[3]поточний ремонт'!R91</f>
        <v>0</v>
      </c>
      <c r="S91" s="43">
        <f>'[1]поточний ремонт'!S91+'[2]поточний ремонт'!S91-'[3]поточний ремонт'!S91</f>
        <v>0</v>
      </c>
      <c r="T91" s="1039"/>
      <c r="U91" s="43">
        <f>'[1]поточний ремонт'!U91+'[2]поточний ремонт'!U91-'[3]поточний ремонт'!U91</f>
        <v>0</v>
      </c>
      <c r="V91" s="43">
        <f>'[1]поточний ремонт'!V91+'[2]поточний ремонт'!V91-'[3]поточний ремонт'!V91</f>
        <v>0</v>
      </c>
      <c r="W91" s="43">
        <f>'[1]поточний ремонт'!W91+'[2]поточний ремонт'!W91-'[3]поточний ремонт'!W91</f>
        <v>0</v>
      </c>
      <c r="X91" s="43">
        <f>'[1]поточний ремонт'!X91+'[2]поточний ремонт'!X91-'[3]поточний ремонт'!X91</f>
        <v>0</v>
      </c>
      <c r="Y91" s="43">
        <f>'[1]поточний ремонт'!Y91+'[2]поточний ремонт'!Y91-'[3]поточний ремонт'!Y91</f>
        <v>0</v>
      </c>
      <c r="Z91" s="43">
        <f>'[1]поточний ремонт'!Z91+'[2]поточний ремонт'!Z91-'[3]поточний ремонт'!Z91</f>
        <v>0</v>
      </c>
      <c r="AA91" s="43">
        <f>'[1]поточний ремонт'!AA91+'[2]поточний ремонт'!AA91-'[3]поточний ремонт'!AA91</f>
        <v>0</v>
      </c>
      <c r="AB91" s="43">
        <f>'[1]поточний ремонт'!AB91+'[2]поточний ремонт'!AB91-'[3]поточний ремонт'!AB91</f>
        <v>0</v>
      </c>
      <c r="AC91" s="43">
        <f>'[1]поточний ремонт'!AC91+'[2]поточний ремонт'!AC91-'[3]поточний ремонт'!AC91</f>
        <v>0</v>
      </c>
      <c r="AD91" s="43">
        <f>'[1]поточний ремонт'!AD91+'[2]поточний ремонт'!AD91-'[3]поточний ремонт'!AD91</f>
        <v>0</v>
      </c>
      <c r="AE91" s="43">
        <f>'[1]поточний ремонт'!AE91+'[2]поточний ремонт'!AE91-'[3]поточний ремонт'!AE91</f>
        <v>0</v>
      </c>
      <c r="AF91" s="43">
        <f>'[1]поточний ремонт'!AF91+'[2]поточний ремонт'!AF91-'[3]поточний ремонт'!AF91</f>
        <v>0</v>
      </c>
      <c r="AG91" s="5"/>
      <c r="AH91" s="43">
        <f>'[1]поточний ремонт'!AH91+'[2]поточний ремонт'!AH91-'[3]поточний ремонт'!AH91</f>
        <v>0</v>
      </c>
      <c r="AI91" s="43">
        <f>'[1]поточний ремонт'!AI91+'[2]поточний ремонт'!AI91-'[3]поточний ремонт'!AI91</f>
        <v>0</v>
      </c>
      <c r="AJ91" s="5"/>
      <c r="AK91" s="43">
        <f>'[1]поточний ремонт'!AK91+'[2]поточний ремонт'!AK91-'[3]поточний ремонт'!AK91</f>
        <v>0</v>
      </c>
      <c r="AL91" s="43">
        <f>'[1]поточний ремонт'!AL91+'[2]поточний ремонт'!AL91-'[3]поточний ремонт'!AL91</f>
        <v>0</v>
      </c>
      <c r="AM91" s="5"/>
      <c r="AN91" s="43">
        <f>'[1]поточний ремонт'!AN91+'[2]поточний ремонт'!AN91-'[3]поточний ремонт'!AN91</f>
        <v>0</v>
      </c>
      <c r="AO91" s="43">
        <f>'[1]поточний ремонт'!AO91+'[2]поточний ремонт'!AO91-'[3]поточний ремонт'!AO91</f>
        <v>0</v>
      </c>
      <c r="AP91" s="5"/>
      <c r="AQ91" s="43">
        <f>'[1]поточний ремонт'!AQ91+'[2]поточний ремонт'!AQ91-'[3]поточний ремонт'!AQ91</f>
        <v>0</v>
      </c>
      <c r="AR91" s="43">
        <f>'[1]поточний ремонт'!AR91+'[2]поточний ремонт'!AR91-'[3]поточний ремонт'!AR91</f>
        <v>0</v>
      </c>
      <c r="AS91" s="5"/>
      <c r="AT91" s="43">
        <f>'[1]поточний ремонт'!AT91+'[2]поточний ремонт'!AT91-'[3]поточний ремонт'!AT91</f>
        <v>0</v>
      </c>
      <c r="AU91" s="43">
        <f>'[1]поточний ремонт'!AU91+'[2]поточний ремонт'!AU91-'[3]поточний ремонт'!AU91</f>
        <v>0</v>
      </c>
      <c r="AV91" s="5"/>
      <c r="AW91" s="43">
        <f>'[1]поточний ремонт'!AW91+'[2]поточний ремонт'!AW91-'[3]поточний ремонт'!AW91</f>
        <v>0</v>
      </c>
      <c r="AX91" s="43">
        <f>'[1]поточний ремонт'!AX91+'[2]поточний ремонт'!AX91-'[3]поточний ремонт'!AX91</f>
        <v>0</v>
      </c>
      <c r="AY91" s="5"/>
      <c r="AZ91" s="43">
        <f t="shared" si="10"/>
        <v>0</v>
      </c>
      <c r="BA91" s="43">
        <f t="shared" si="11"/>
        <v>0</v>
      </c>
      <c r="BB91" s="59">
        <f t="shared" si="12"/>
        <v>0</v>
      </c>
      <c r="BD91" s="2">
        <v>1</v>
      </c>
      <c r="BF91" s="30">
        <v>0</v>
      </c>
      <c r="BG91" s="328">
        <v>150000599</v>
      </c>
      <c r="BI91" s="107">
        <v>0</v>
      </c>
      <c r="BJ91" s="107">
        <f t="shared" si="13"/>
        <v>0</v>
      </c>
      <c r="BK91" s="107">
        <v>0</v>
      </c>
      <c r="BL91" s="39"/>
      <c r="BM91" s="3"/>
      <c r="BN91" s="3">
        <v>0</v>
      </c>
      <c r="BP91" s="3"/>
      <c r="BQ91" s="3"/>
      <c r="BS91" s="43"/>
      <c r="BT91" s="43">
        <v>0</v>
      </c>
      <c r="BU91" s="1037"/>
      <c r="BV91" s="42"/>
      <c r="BW91" s="43"/>
      <c r="BX91" s="37"/>
      <c r="BY91" s="78"/>
      <c r="BZ91" s="43">
        <v>0</v>
      </c>
      <c r="CA91" s="1038"/>
      <c r="CB91" s="42">
        <v>0</v>
      </c>
      <c r="CC91" s="42">
        <v>0</v>
      </c>
      <c r="CD91" s="1039"/>
      <c r="CE91" s="78">
        <v>0</v>
      </c>
      <c r="CF91" s="56"/>
      <c r="CG91" s="42">
        <v>0</v>
      </c>
      <c r="CH91" s="39">
        <v>0</v>
      </c>
      <c r="CI91" s="78">
        <v>0</v>
      </c>
      <c r="CJ91" s="56"/>
      <c r="CK91" s="1034"/>
      <c r="CL91" s="1029"/>
      <c r="CM91" s="1034"/>
      <c r="CN91" s="1029">
        <v>0</v>
      </c>
      <c r="CO91" s="78">
        <v>0</v>
      </c>
      <c r="CP91" s="43">
        <v>0</v>
      </c>
      <c r="CQ91" s="5"/>
      <c r="CR91" s="78">
        <v>0</v>
      </c>
      <c r="CS91" s="1033">
        <v>0</v>
      </c>
      <c r="CT91" s="5"/>
      <c r="CU91" s="78">
        <v>0</v>
      </c>
      <c r="CV91" s="43">
        <v>0</v>
      </c>
      <c r="CW91" s="5"/>
      <c r="CX91" s="78">
        <v>0</v>
      </c>
      <c r="CY91" s="43">
        <v>0</v>
      </c>
      <c r="CZ91" s="5"/>
      <c r="DA91" s="78">
        <v>0</v>
      </c>
      <c r="DB91" s="43">
        <v>0</v>
      </c>
      <c r="DC91" s="5"/>
      <c r="DD91" s="78">
        <v>0</v>
      </c>
      <c r="DE91" s="43">
        <v>0</v>
      </c>
      <c r="DF91" s="5"/>
      <c r="DG91" s="78">
        <v>0</v>
      </c>
      <c r="DH91" s="43"/>
      <c r="DI91" s="5"/>
      <c r="DJ91" s="43">
        <v>0</v>
      </c>
      <c r="DK91" s="43">
        <f t="shared" si="14"/>
        <v>0</v>
      </c>
      <c r="DL91" s="59">
        <f t="shared" si="15"/>
        <v>0</v>
      </c>
    </row>
    <row r="92" spans="1:116" ht="24.9" customHeight="1" x14ac:dyDescent="0.3">
      <c r="A92" s="328">
        <v>150000593</v>
      </c>
      <c r="B92" s="45" t="s">
        <v>255</v>
      </c>
      <c r="C92" s="1035">
        <v>5</v>
      </c>
      <c r="D92" s="1036" t="s">
        <v>454</v>
      </c>
      <c r="E92" s="1028">
        <f>'побудинковий звіт'!E90</f>
        <v>364.1</v>
      </c>
      <c r="F92" s="1029">
        <f>'побудинковий звіт'!AS90</f>
        <v>16374.618438972886</v>
      </c>
      <c r="G92" s="1029">
        <f t="shared" si="8"/>
        <v>4131.7955480287237</v>
      </c>
      <c r="H92" s="1029">
        <f t="shared" si="9"/>
        <v>-12242.822890944162</v>
      </c>
      <c r="I92" s="43">
        <f>'[1]поточний ремонт'!I92+'[2]поточний ремонт'!I92-'[3]поточний ремонт'!I92</f>
        <v>7</v>
      </c>
      <c r="J92" s="43">
        <f>'[1]поточний ремонт'!J92+'[2]поточний ремонт'!J92-'[3]поточний ремонт'!J92</f>
        <v>3882</v>
      </c>
      <c r="K92" s="1037"/>
      <c r="L92" s="43">
        <f>'[1]поточний ремонт'!L92+'[2]поточний ремонт'!L92-'[3]поточний ремонт'!L92</f>
        <v>0</v>
      </c>
      <c r="M92" s="43">
        <f>'[1]поточний ремонт'!M92+'[2]поточний ремонт'!M92-'[3]поточний ремонт'!M92</f>
        <v>0</v>
      </c>
      <c r="N92" s="1040"/>
      <c r="O92" s="43">
        <f>'[1]поточний ремонт'!O92+'[2]поточний ремонт'!O92-'[3]поточний ремонт'!O92</f>
        <v>0</v>
      </c>
      <c r="P92" s="43">
        <f>'[1]поточний ремонт'!P92+'[2]поточний ремонт'!P92-'[3]поточний ремонт'!P92</f>
        <v>0</v>
      </c>
      <c r="Q92" s="1038"/>
      <c r="R92" s="43">
        <f>'[1]поточний ремонт'!R92+'[2]поточний ремонт'!R92-'[3]поточний ремонт'!R92</f>
        <v>0</v>
      </c>
      <c r="S92" s="43">
        <f>'[1]поточний ремонт'!S92+'[2]поточний ремонт'!S92-'[3]поточний ремонт'!S92</f>
        <v>0</v>
      </c>
      <c r="T92" s="1039"/>
      <c r="U92" s="43">
        <f>'[1]поточний ремонт'!U92+'[2]поточний ремонт'!U92-'[3]поточний ремонт'!U92</f>
        <v>0</v>
      </c>
      <c r="V92" s="43">
        <f>'[1]поточний ремонт'!V92+'[2]поточний ремонт'!V92-'[3]поточний ремонт'!V92</f>
        <v>0</v>
      </c>
      <c r="W92" s="43">
        <f>'[1]поточний ремонт'!W92+'[2]поточний ремонт'!W92-'[3]поточний ремонт'!W92</f>
        <v>0</v>
      </c>
      <c r="X92" s="43">
        <f>'[1]поточний ремонт'!X92+'[2]поточний ремонт'!X92-'[3]поточний ремонт'!X92</f>
        <v>249.7955480287236</v>
      </c>
      <c r="Y92" s="43">
        <f>'[1]поточний ремонт'!Y92+'[2]поточний ремонт'!Y92-'[3]поточний ремонт'!Y92</f>
        <v>0</v>
      </c>
      <c r="Z92" s="43">
        <f>'[1]поточний ремонт'!Z92+'[2]поточний ремонт'!Z92-'[3]поточний ремонт'!Z92</f>
        <v>0</v>
      </c>
      <c r="AA92" s="43">
        <f>'[1]поточний ремонт'!AA92+'[2]поточний ремонт'!AA92-'[3]поточний ремонт'!AA92</f>
        <v>0</v>
      </c>
      <c r="AB92" s="43">
        <f>'[1]поточний ремонт'!AB92+'[2]поточний ремонт'!AB92-'[3]поточний ремонт'!AB92</f>
        <v>0</v>
      </c>
      <c r="AC92" s="43">
        <f>'[1]поточний ремонт'!AC92+'[2]поточний ремонт'!AC92-'[3]поточний ремонт'!AC92</f>
        <v>0</v>
      </c>
      <c r="AD92" s="43">
        <f>'[1]поточний ремонт'!AD92+'[2]поточний ремонт'!AD92-'[3]поточний ремонт'!AD92</f>
        <v>0</v>
      </c>
      <c r="AE92" s="43">
        <f>'[1]поточний ремонт'!AE92+'[2]поточний ремонт'!AE92-'[3]поточний ремонт'!AE92</f>
        <v>1116.3125366109275</v>
      </c>
      <c r="AF92" s="43">
        <f>'[1]поточний ремонт'!AF92+'[2]поточний ремонт'!AF92-'[3]поточний ремонт'!AF92</f>
        <v>0</v>
      </c>
      <c r="AG92" s="5"/>
      <c r="AH92" s="43">
        <f>'[1]поточний ремонт'!AH92+'[2]поточний ремонт'!AH92-'[3]поточний ремонт'!AH92</f>
        <v>1509.1512198166342</v>
      </c>
      <c r="AI92" s="43">
        <f>'[1]поточний ремонт'!AI92+'[2]поточний ремонт'!AI92-'[3]поточний ремонт'!AI92</f>
        <v>0</v>
      </c>
      <c r="AJ92" s="5"/>
      <c r="AK92" s="43">
        <f>'[1]поточний ремонт'!AK92+'[2]поточний ремонт'!AK92-'[3]поточний ремонт'!AK92</f>
        <v>451.77413353083614</v>
      </c>
      <c r="AL92" s="43">
        <f>'[1]поточний ремонт'!AL92+'[2]поточний ремонт'!AL92-'[3]поточний ремонт'!AL92</f>
        <v>0</v>
      </c>
      <c r="AM92" s="5"/>
      <c r="AN92" s="43">
        <f>'[1]поточний ремонт'!AN92+'[2]поточний ремонт'!AN92-'[3]поточний ремонт'!AN92</f>
        <v>0</v>
      </c>
      <c r="AO92" s="43">
        <f>'[1]поточний ремонт'!AO92+'[2]поточний ремонт'!AO92-'[3]поточний ремонт'!AO92</f>
        <v>0</v>
      </c>
      <c r="AP92" s="5"/>
      <c r="AQ92" s="43">
        <f>'[1]поточний ремонт'!AQ92+'[2]поточний ремонт'!AQ92-'[3]поточний ремонт'!AQ92</f>
        <v>0</v>
      </c>
      <c r="AR92" s="43">
        <f>'[1]поточний ремонт'!AR92+'[2]поточний ремонт'!AR92-'[3]поточний ремонт'!AR92</f>
        <v>1126</v>
      </c>
      <c r="AS92" s="5"/>
      <c r="AT92" s="43">
        <f>'[1]поточний ремонт'!AT92+'[2]поточний ремонт'!AT92-'[3]поточний ремонт'!AT92</f>
        <v>421.07272522121127</v>
      </c>
      <c r="AU92" s="43">
        <f>'[1]поточний ремонт'!AU92+'[2]поточний ремонт'!AU92-'[3]поточний ремонт'!AU92</f>
        <v>1265</v>
      </c>
      <c r="AV92" s="5"/>
      <c r="AW92" s="43">
        <f>'[1]поточний ремонт'!AW92+'[2]поточний ремонт'!AW92-'[3]поточний ремонт'!AW92</f>
        <v>473.28042335629442</v>
      </c>
      <c r="AX92" s="43">
        <f>'[1]поточний ремонт'!AX92+'[2]поточний ремонт'!AX92-'[3]поточний ремонт'!AX92</f>
        <v>0</v>
      </c>
      <c r="AY92" s="5"/>
      <c r="AZ92" s="43">
        <f t="shared" si="10"/>
        <v>3971.5910385359034</v>
      </c>
      <c r="BA92" s="43">
        <f t="shared" si="11"/>
        <v>2391</v>
      </c>
      <c r="BB92" s="59">
        <f t="shared" si="12"/>
        <v>-1580.5910385359034</v>
      </c>
      <c r="BD92" s="2">
        <v>1</v>
      </c>
      <c r="BF92" s="30">
        <v>88.725159342812674</v>
      </c>
      <c r="BG92" s="328">
        <v>150000593</v>
      </c>
      <c r="BI92" s="107">
        <v>18.64</v>
      </c>
      <c r="BJ92" s="107">
        <f t="shared" si="13"/>
        <v>2.6219434079999999</v>
      </c>
      <c r="BK92" s="107">
        <v>21.49724723744</v>
      </c>
      <c r="BL92" s="39"/>
      <c r="BM92" s="3"/>
      <c r="BN92" s="3">
        <v>0</v>
      </c>
      <c r="BP92" s="3"/>
      <c r="BQ92" s="3"/>
      <c r="BS92" s="43"/>
      <c r="BT92" s="43">
        <v>0</v>
      </c>
      <c r="BU92" s="1037"/>
      <c r="BV92" s="42"/>
      <c r="BW92" s="43"/>
      <c r="BX92" s="1040"/>
      <c r="BY92" s="78"/>
      <c r="BZ92" s="43">
        <v>0</v>
      </c>
      <c r="CA92" s="1038"/>
      <c r="CB92" s="42">
        <v>0</v>
      </c>
      <c r="CC92" s="42">
        <v>0</v>
      </c>
      <c r="CD92" s="1039"/>
      <c r="CE92" s="78">
        <v>0</v>
      </c>
      <c r="CF92" s="56"/>
      <c r="CG92" s="42">
        <v>0</v>
      </c>
      <c r="CH92" s="39">
        <v>21.49724723744</v>
      </c>
      <c r="CI92" s="78">
        <v>0</v>
      </c>
      <c r="CJ92" s="56"/>
      <c r="CK92" s="1034"/>
      <c r="CL92" s="1029"/>
      <c r="CM92" s="1034"/>
      <c r="CN92" s="1029">
        <v>0</v>
      </c>
      <c r="CO92" s="78">
        <v>93.026044717577292</v>
      </c>
      <c r="CP92" s="43">
        <v>0</v>
      </c>
      <c r="CQ92" s="5"/>
      <c r="CR92" s="78">
        <v>125.76260165138621</v>
      </c>
      <c r="CS92" s="1033">
        <v>0</v>
      </c>
      <c r="CT92" s="5"/>
      <c r="CU92" s="78">
        <v>37.647844460903009</v>
      </c>
      <c r="CV92" s="43">
        <v>0</v>
      </c>
      <c r="CW92" s="5"/>
      <c r="CX92" s="78">
        <v>0</v>
      </c>
      <c r="CY92" s="43">
        <v>0</v>
      </c>
      <c r="CZ92" s="5"/>
      <c r="DA92" s="78">
        <v>0</v>
      </c>
      <c r="DB92" s="43">
        <v>0</v>
      </c>
      <c r="DC92" s="5"/>
      <c r="DD92" s="78">
        <v>35.089393768434277</v>
      </c>
      <c r="DE92" s="43">
        <v>0</v>
      </c>
      <c r="DF92" s="5"/>
      <c r="DG92" s="78">
        <v>39.440035279691216</v>
      </c>
      <c r="DH92" s="43"/>
      <c r="DI92" s="5"/>
      <c r="DJ92" s="43">
        <v>330.96591987799195</v>
      </c>
      <c r="DK92" s="43">
        <f t="shared" si="14"/>
        <v>0</v>
      </c>
      <c r="DL92" s="59">
        <f t="shared" si="15"/>
        <v>-330.96591987799195</v>
      </c>
    </row>
    <row r="93" spans="1:116" ht="24.9" customHeight="1" x14ac:dyDescent="0.3">
      <c r="A93" s="328">
        <v>150000594</v>
      </c>
      <c r="B93" s="45" t="s">
        <v>354</v>
      </c>
      <c r="C93" s="1035">
        <v>9</v>
      </c>
      <c r="D93" s="1036" t="s">
        <v>454</v>
      </c>
      <c r="E93" s="1028">
        <f>'побудинковий звіт'!E91</f>
        <v>431.8</v>
      </c>
      <c r="F93" s="1029">
        <f>'побудинковий звіт'!AS91</f>
        <v>165423.99935328498</v>
      </c>
      <c r="G93" s="1029">
        <f t="shared" si="8"/>
        <v>28524</v>
      </c>
      <c r="H93" s="1029">
        <f t="shared" si="9"/>
        <v>-136899.99935328498</v>
      </c>
      <c r="I93" s="43">
        <f>'[1]поточний ремонт'!I93+'[2]поточний ремонт'!I93-'[3]поточний ремонт'!I93</f>
        <v>18</v>
      </c>
      <c r="J93" s="43">
        <f>'[1]поточний ремонт'!J93+'[2]поточний ремонт'!J93-'[3]поточний ремонт'!J93</f>
        <v>7941</v>
      </c>
      <c r="K93" s="1037"/>
      <c r="L93" s="43">
        <f>'[1]поточний ремонт'!L93+'[2]поточний ремонт'!L93-'[3]поточний ремонт'!L93</f>
        <v>0</v>
      </c>
      <c r="M93" s="43">
        <f>'[1]поточний ремонт'!M93+'[2]поточний ремонт'!M93-'[3]поточний ремонт'!M93</f>
        <v>0</v>
      </c>
      <c r="N93" s="37"/>
      <c r="O93" s="43">
        <f>'[1]поточний ремонт'!O93+'[2]поточний ремонт'!O93-'[3]поточний ремонт'!O93</f>
        <v>0</v>
      </c>
      <c r="P93" s="43">
        <f>'[1]поточний ремонт'!P93+'[2]поточний ремонт'!P93-'[3]поточний ремонт'!P93</f>
        <v>0</v>
      </c>
      <c r="Q93" s="1052"/>
      <c r="R93" s="43">
        <f>'[1]поточний ремонт'!R93+'[2]поточний ремонт'!R93-'[3]поточний ремонт'!R93</f>
        <v>3</v>
      </c>
      <c r="S93" s="43">
        <f>'[1]поточний ремонт'!S93+'[2]поточний ремонт'!S93-'[3]поточний ремонт'!S93</f>
        <v>15412</v>
      </c>
      <c r="T93" s="1047"/>
      <c r="U93" s="43">
        <f>'[1]поточний ремонт'!U93+'[2]поточний ремонт'!U93-'[3]поточний ремонт'!U93</f>
        <v>0</v>
      </c>
      <c r="V93" s="43">
        <f>'[1]поточний ремонт'!V93+'[2]поточний ремонт'!V93-'[3]поточний ремонт'!V93</f>
        <v>0</v>
      </c>
      <c r="W93" s="43">
        <f>'[1]поточний ремонт'!W93+'[2]поточний ремонт'!W93-'[3]поточний ремонт'!W93</f>
        <v>0</v>
      </c>
      <c r="X93" s="43">
        <f>'[1]поточний ремонт'!X93+'[2]поточний ремонт'!X93-'[3]поточний ремонт'!X93</f>
        <v>0</v>
      </c>
      <c r="Y93" s="43">
        <f>'[1]поточний ремонт'!Y93+'[2]поточний ремонт'!Y93-'[3]поточний ремонт'!Y93</f>
        <v>0</v>
      </c>
      <c r="Z93" s="43">
        <f>'[1]поточний ремонт'!Z93+'[2]поточний ремонт'!Z93-'[3]поточний ремонт'!Z93</f>
        <v>0</v>
      </c>
      <c r="AA93" s="43">
        <f>'[1]поточний ремонт'!AA93+'[2]поточний ремонт'!AA93-'[3]поточний ремонт'!AA93</f>
        <v>0</v>
      </c>
      <c r="AB93" s="43">
        <f>'[1]поточний ремонт'!AB93+'[2]поточний ремонт'!AB93-'[3]поточний ремонт'!AB93</f>
        <v>0</v>
      </c>
      <c r="AC93" s="43">
        <f>'[1]поточний ремонт'!AC93+'[2]поточний ремонт'!AC93-'[3]поточний ремонт'!AC93</f>
        <v>0</v>
      </c>
      <c r="AD93" s="43">
        <f>'[1]поточний ремонт'!AD93+'[2]поточний ремонт'!AD93-'[3]поточний ремонт'!AD93</f>
        <v>5171</v>
      </c>
      <c r="AE93" s="43">
        <f>'[1]поточний ремонт'!AE93+'[2]поточний ремонт'!AE93-'[3]поточний ремонт'!AE93</f>
        <v>804.8211182955481</v>
      </c>
      <c r="AF93" s="43">
        <f>'[1]поточний ремонт'!AF93+'[2]поточний ремонт'!AF93-'[3]поточний ремонт'!AF93</f>
        <v>0</v>
      </c>
      <c r="AG93" s="5"/>
      <c r="AH93" s="43">
        <f>'[1]поточний ремонт'!AH93+'[2]поточний ремонт'!AH93-'[3]поточний ремонт'!AH93</f>
        <v>1098.9157016247339</v>
      </c>
      <c r="AI93" s="43">
        <f>'[1]поточний ремонт'!AI93+'[2]поточний ремонт'!AI93-'[3]поточний ремонт'!AI93</f>
        <v>10031.516163137878</v>
      </c>
      <c r="AJ93" s="5"/>
      <c r="AK93" s="43">
        <f>'[1]поточний ремонт'!AK93+'[2]поточний ремонт'!AK93-'[3]поточний ремонт'!AK93</f>
        <v>1276.7204083081631</v>
      </c>
      <c r="AL93" s="43">
        <f>'[1]поточний ремонт'!AL93+'[2]поточний ремонт'!AL93-'[3]поточний ремонт'!AL93</f>
        <v>0</v>
      </c>
      <c r="AM93" s="5"/>
      <c r="AN93" s="43">
        <f>'[1]поточний ремонт'!AN93+'[2]поточний ремонт'!AN93-'[3]поточний ремонт'!AN93</f>
        <v>544.4228685805025</v>
      </c>
      <c r="AO93" s="43">
        <f>'[1]поточний ремонт'!AO93+'[2]поточний ремонт'!AO93-'[3]поточний ремонт'!AO93</f>
        <v>0</v>
      </c>
      <c r="AP93" s="5"/>
      <c r="AQ93" s="43">
        <f>'[1]поточний ремонт'!AQ93+'[2]поточний ремонт'!AQ93-'[3]поточний ремонт'!AQ93</f>
        <v>935.41294708918645</v>
      </c>
      <c r="AR93" s="43">
        <f>'[1]поточний ремонт'!AR93+'[2]поточний ремонт'!AR93-'[3]поточний ремонт'!AR93</f>
        <v>1292</v>
      </c>
      <c r="AS93" s="5"/>
      <c r="AT93" s="43">
        <f>'[1]поточний ремонт'!AT93+'[2]поточний ремонт'!AT93-'[3]поточний ремонт'!AT93</f>
        <v>1071.2655317808997</v>
      </c>
      <c r="AU93" s="43">
        <f>'[1]поточний ремонт'!AU93+'[2]поточний ремонт'!AU93-'[3]поточний ремонт'!AU93</f>
        <v>1347.2935906247985</v>
      </c>
      <c r="AV93" s="5"/>
      <c r="AW93" s="43">
        <f>'[1]поточний ремонт'!AW93+'[2]поточний ремонт'!AW93-'[3]поточний ремонт'!AW93</f>
        <v>1124.2953543713022</v>
      </c>
      <c r="AX93" s="43">
        <f>'[1]поточний ремонт'!AX93+'[2]поточний ремонт'!AX93-'[3]поточний ремонт'!AX93</f>
        <v>0</v>
      </c>
      <c r="AY93" s="5"/>
      <c r="AZ93" s="43">
        <f t="shared" si="10"/>
        <v>6855.8539300503353</v>
      </c>
      <c r="BA93" s="43">
        <f t="shared" si="11"/>
        <v>12670.809753762676</v>
      </c>
      <c r="BB93" s="59">
        <f t="shared" si="12"/>
        <v>5814.955823712341</v>
      </c>
      <c r="BD93" s="2">
        <v>1</v>
      </c>
      <c r="BF93" s="30">
        <v>433.52550161461772</v>
      </c>
      <c r="BG93" s="328">
        <v>150000594</v>
      </c>
      <c r="BI93" s="107">
        <v>0</v>
      </c>
      <c r="BJ93" s="107">
        <f t="shared" si="13"/>
        <v>0</v>
      </c>
      <c r="BK93" s="107">
        <v>0</v>
      </c>
      <c r="BL93" s="39"/>
      <c r="BM93" s="3"/>
      <c r="BN93" s="3">
        <v>0</v>
      </c>
      <c r="BP93" s="3"/>
      <c r="BQ93" s="3"/>
      <c r="BS93" s="43">
        <v>27</v>
      </c>
      <c r="BT93" s="43">
        <v>11218.079495799693</v>
      </c>
      <c r="BU93" s="1037"/>
      <c r="BV93" s="42"/>
      <c r="BW93" s="43"/>
      <c r="BX93" s="37"/>
      <c r="BY93" s="78"/>
      <c r="BZ93" s="43">
        <v>0</v>
      </c>
      <c r="CA93" s="1052"/>
      <c r="CB93" s="42">
        <v>0.6</v>
      </c>
      <c r="CC93" s="42">
        <v>0</v>
      </c>
      <c r="CD93" s="1047"/>
      <c r="CE93" s="78">
        <v>500.7858589332792</v>
      </c>
      <c r="CF93" s="56"/>
      <c r="CG93" s="42">
        <v>0</v>
      </c>
      <c r="CH93" s="39">
        <v>0</v>
      </c>
      <c r="CI93" s="78">
        <v>1459.4664430965724</v>
      </c>
      <c r="CJ93" s="56"/>
      <c r="CK93" s="1034"/>
      <c r="CL93" s="1029"/>
      <c r="CM93" s="1034"/>
      <c r="CN93" s="1029">
        <v>0</v>
      </c>
      <c r="CO93" s="78">
        <v>67.068426524629018</v>
      </c>
      <c r="CP93" s="43">
        <v>0</v>
      </c>
      <c r="CQ93" s="5"/>
      <c r="CR93" s="78">
        <v>91.576308468727831</v>
      </c>
      <c r="CS93" s="1033">
        <v>0</v>
      </c>
      <c r="CT93" s="5"/>
      <c r="CU93" s="78">
        <v>106.39336735901357</v>
      </c>
      <c r="CV93" s="43">
        <v>0</v>
      </c>
      <c r="CW93" s="5"/>
      <c r="CX93" s="78">
        <v>45.368572381708539</v>
      </c>
      <c r="CY93" s="43">
        <v>0</v>
      </c>
      <c r="CZ93" s="5"/>
      <c r="DA93" s="78">
        <v>77.95107892409888</v>
      </c>
      <c r="DB93" s="43">
        <v>0</v>
      </c>
      <c r="DC93" s="5"/>
      <c r="DD93" s="78">
        <v>89.272127648408315</v>
      </c>
      <c r="DE93" s="43">
        <v>0</v>
      </c>
      <c r="DF93" s="5"/>
      <c r="DG93" s="78">
        <v>93.691279530941856</v>
      </c>
      <c r="DH93" s="43"/>
      <c r="DI93" s="5"/>
      <c r="DJ93" s="43">
        <v>571.32116083752794</v>
      </c>
      <c r="DK93" s="43">
        <f t="shared" si="14"/>
        <v>0</v>
      </c>
      <c r="DL93" s="59">
        <f t="shared" si="15"/>
        <v>-571.32116083752794</v>
      </c>
    </row>
    <row r="94" spans="1:116" ht="24.9" customHeight="1" x14ac:dyDescent="0.3">
      <c r="A94" s="328">
        <v>150000627</v>
      </c>
      <c r="B94" s="45" t="s">
        <v>355</v>
      </c>
      <c r="C94" s="1035">
        <v>9</v>
      </c>
      <c r="D94" s="1036" t="s">
        <v>454</v>
      </c>
      <c r="E94" s="1028">
        <f>'побудинковий звіт'!E92</f>
        <v>234.89999999999998</v>
      </c>
      <c r="F94" s="1029">
        <f>'побудинковий звіт'!AS92</f>
        <v>61252.881918759711</v>
      </c>
      <c r="G94" s="1029">
        <f t="shared" si="8"/>
        <v>17721</v>
      </c>
      <c r="H94" s="1029">
        <f t="shared" si="9"/>
        <v>-43531.881918759711</v>
      </c>
      <c r="I94" s="43">
        <f>'[1]поточний ремонт'!I94+'[2]поточний ремонт'!I94-'[3]поточний ремонт'!I94</f>
        <v>27.3</v>
      </c>
      <c r="J94" s="43">
        <f>'[1]поточний ремонт'!J94+'[2]поточний ремонт'!J94-'[3]поточний ремонт'!J94</f>
        <v>9077</v>
      </c>
      <c r="K94" s="1037"/>
      <c r="L94" s="43">
        <f>'[1]поточний ремонт'!L94+'[2]поточний ремонт'!L94-'[3]поточний ремонт'!L94</f>
        <v>0</v>
      </c>
      <c r="M94" s="43">
        <f>'[1]поточний ремонт'!M94+'[2]поточний ремонт'!M94-'[3]поточний ремонт'!M94</f>
        <v>0</v>
      </c>
      <c r="N94" s="37"/>
      <c r="O94" s="43">
        <f>'[1]поточний ремонт'!O94+'[2]поточний ремонт'!O94-'[3]поточний ремонт'!O94</f>
        <v>0</v>
      </c>
      <c r="P94" s="43">
        <f>'[1]поточний ремонт'!P94+'[2]поточний ремонт'!P94-'[3]поточний ремонт'!P94</f>
        <v>0</v>
      </c>
      <c r="Q94" s="1038"/>
      <c r="R94" s="43">
        <f>'[1]поточний ремонт'!R94+'[2]поточний ремонт'!R94-'[3]поточний ремонт'!R94</f>
        <v>0</v>
      </c>
      <c r="S94" s="43">
        <f>'[1]поточний ремонт'!S94+'[2]поточний ремонт'!S94-'[3]поточний ремонт'!S94</f>
        <v>0</v>
      </c>
      <c r="T94" s="1048"/>
      <c r="U94" s="43">
        <f>'[1]поточний ремонт'!U94+'[2]поточний ремонт'!U94-'[3]поточний ремонт'!U94</f>
        <v>0</v>
      </c>
      <c r="V94" s="43">
        <f>'[1]поточний ремонт'!V94+'[2]поточний ремонт'!V94-'[3]поточний ремонт'!V94</f>
        <v>0</v>
      </c>
      <c r="W94" s="43">
        <f>'[1]поточний ремонт'!W94+'[2]поточний ремонт'!W94-'[3]поточний ремонт'!W94</f>
        <v>0</v>
      </c>
      <c r="X94" s="43">
        <f>'[1]поточний ремонт'!X94+'[2]поточний ремонт'!X94-'[3]поточний ремонт'!X94</f>
        <v>0</v>
      </c>
      <c r="Y94" s="43">
        <f>'[1]поточний ремонт'!Y94+'[2]поточний ремонт'!Y94-'[3]поточний ремонт'!Y94</f>
        <v>0</v>
      </c>
      <c r="Z94" s="43">
        <f>'[1]поточний ремонт'!Z94+'[2]поточний ремонт'!Z94-'[3]поточний ремонт'!Z94</f>
        <v>0</v>
      </c>
      <c r="AA94" s="43">
        <f>'[1]поточний ремонт'!AA94+'[2]поточний ремонт'!AA94-'[3]поточний ремонт'!AA94</f>
        <v>0</v>
      </c>
      <c r="AB94" s="43">
        <f>'[1]поточний ремонт'!AB94+'[2]поточний ремонт'!AB94-'[3]поточний ремонт'!AB94</f>
        <v>2380</v>
      </c>
      <c r="AC94" s="43">
        <f>'[1]поточний ремонт'!AC94+'[2]поточний ремонт'!AC94-'[3]поточний ремонт'!AC94</f>
        <v>3460</v>
      </c>
      <c r="AD94" s="43">
        <f>'[1]поточний ремонт'!AD94+'[2]поточний ремонт'!AD94-'[3]поточний ремонт'!AD94</f>
        <v>2804</v>
      </c>
      <c r="AE94" s="43">
        <f>'[1]поточний ремонт'!AE94+'[2]поточний ремонт'!AE94-'[3]поточний ремонт'!AE94</f>
        <v>827.02650309721764</v>
      </c>
      <c r="AF94" s="43">
        <f>'[1]поточний ремонт'!AF94+'[2]поточний ремонт'!AF94-'[3]поточний ремонт'!AF94</f>
        <v>0</v>
      </c>
      <c r="AG94" s="5"/>
      <c r="AH94" s="43">
        <f>'[1]поточний ремонт'!AH94+'[2]поточний ремонт'!AH94-'[3]поточний ремонт'!AH94</f>
        <v>1177.7199251516181</v>
      </c>
      <c r="AI94" s="43">
        <f>'[1]поточний ремонт'!AI94+'[2]поточний ремонт'!AI94-'[3]поточний ремонт'!AI94</f>
        <v>17479.209087975214</v>
      </c>
      <c r="AJ94" s="1045"/>
      <c r="AK94" s="43">
        <f>'[1]поточний ремонт'!AK94+'[2]поточний ремонт'!AK94-'[3]поточний ремонт'!AK94</f>
        <v>1282.2190610583937</v>
      </c>
      <c r="AL94" s="43">
        <f>'[1]поточний ремонт'!AL94+'[2]поточний ремонт'!AL94-'[3]поточний ремонт'!AL94</f>
        <v>0</v>
      </c>
      <c r="AM94" s="5"/>
      <c r="AN94" s="43">
        <f>'[1]поточний ремонт'!AN94+'[2]поточний ремонт'!AN94-'[3]поточний ремонт'!AN94</f>
        <v>564.07051262259631</v>
      </c>
      <c r="AO94" s="43">
        <f>'[1]поточний ремонт'!AO94+'[2]поточний ремонт'!AO94-'[3]поточний ремонт'!AO94</f>
        <v>0</v>
      </c>
      <c r="AP94" s="5"/>
      <c r="AQ94" s="43">
        <f>'[1]поточний ремонт'!AQ94+'[2]поточний ремонт'!AQ94-'[3]поточний ремонт'!AQ94</f>
        <v>395.76741189229665</v>
      </c>
      <c r="AR94" s="43">
        <f>'[1]поточний ремонт'!AR94+'[2]поточний ремонт'!AR94-'[3]поточний ремонт'!AR94</f>
        <v>0</v>
      </c>
      <c r="AS94" s="5"/>
      <c r="AT94" s="43">
        <f>'[1]поточний ремонт'!AT94+'[2]поточний ремонт'!AT94-'[3]поточний ремонт'!AT94</f>
        <v>860.61258572156999</v>
      </c>
      <c r="AU94" s="43">
        <f>'[1]поточний ремонт'!AU94+'[2]поточний ремонт'!AU94-'[3]поточний ремонт'!AU94</f>
        <v>5887</v>
      </c>
      <c r="AV94" s="5"/>
      <c r="AW94" s="43">
        <f>'[1]поточний ремонт'!AW94+'[2]поточний ремонт'!AW94-'[3]поточний ремонт'!AW94</f>
        <v>390.89290744138987</v>
      </c>
      <c r="AX94" s="43">
        <f>'[1]поточний ремонт'!AX94+'[2]поточний ремонт'!AX94-'[3]поточний ремонт'!AX94</f>
        <v>0</v>
      </c>
      <c r="AY94" s="5"/>
      <c r="AZ94" s="43">
        <f t="shared" si="10"/>
        <v>5498.3089069850821</v>
      </c>
      <c r="BA94" s="43">
        <f t="shared" si="11"/>
        <v>23366.209087975214</v>
      </c>
      <c r="BB94" s="59">
        <f t="shared" si="12"/>
        <v>17867.900180990131</v>
      </c>
      <c r="BD94" s="2">
        <v>1</v>
      </c>
      <c r="BF94" s="30">
        <v>176.46458220737233</v>
      </c>
      <c r="BG94" s="328">
        <v>150000627</v>
      </c>
      <c r="BI94" s="107">
        <v>0</v>
      </c>
      <c r="BJ94" s="107">
        <f t="shared" si="13"/>
        <v>0</v>
      </c>
      <c r="BK94" s="107">
        <v>0</v>
      </c>
      <c r="BL94" s="39"/>
      <c r="BM94" s="3"/>
      <c r="BN94" s="3">
        <v>0</v>
      </c>
      <c r="BP94" s="3"/>
      <c r="BQ94" s="3"/>
      <c r="BS94" s="43"/>
      <c r="BT94" s="43">
        <v>0</v>
      </c>
      <c r="BU94" s="1037"/>
      <c r="BV94" s="42"/>
      <c r="BW94" s="43"/>
      <c r="BX94" s="37"/>
      <c r="BY94" s="78"/>
      <c r="BZ94" s="43">
        <v>0</v>
      </c>
      <c r="CA94" s="1038"/>
      <c r="CB94" s="42">
        <v>0</v>
      </c>
      <c r="CC94" s="42">
        <v>0</v>
      </c>
      <c r="CD94" s="1048"/>
      <c r="CE94" s="78">
        <v>0</v>
      </c>
      <c r="CF94" s="56"/>
      <c r="CG94" s="42">
        <v>0</v>
      </c>
      <c r="CH94" s="39">
        <v>0</v>
      </c>
      <c r="CI94" s="78">
        <v>0</v>
      </c>
      <c r="CJ94" s="56"/>
      <c r="CK94" s="1034"/>
      <c r="CL94" s="1029"/>
      <c r="CM94" s="1034"/>
      <c r="CN94" s="1029">
        <v>0</v>
      </c>
      <c r="CO94" s="78">
        <v>68.918875258101465</v>
      </c>
      <c r="CP94" s="43">
        <v>0</v>
      </c>
      <c r="CQ94" s="5"/>
      <c r="CR94" s="78">
        <v>98.143327095968175</v>
      </c>
      <c r="CS94" s="1033">
        <v>0</v>
      </c>
      <c r="CT94" s="1045"/>
      <c r="CU94" s="78">
        <v>106.85158842153281</v>
      </c>
      <c r="CV94" s="43">
        <v>0</v>
      </c>
      <c r="CW94" s="5"/>
      <c r="CX94" s="78">
        <v>47.005876051883021</v>
      </c>
      <c r="CY94" s="43">
        <v>0</v>
      </c>
      <c r="CZ94" s="5"/>
      <c r="DA94" s="78">
        <v>32.980617657691397</v>
      </c>
      <c r="DB94" s="43">
        <v>0</v>
      </c>
      <c r="DC94" s="5"/>
      <c r="DD94" s="78">
        <v>71.717715476797508</v>
      </c>
      <c r="DE94" s="43">
        <v>0</v>
      </c>
      <c r="DF94" s="5"/>
      <c r="DG94" s="78">
        <v>32.574408953449151</v>
      </c>
      <c r="DH94" s="43"/>
      <c r="DI94" s="5"/>
      <c r="DJ94" s="43">
        <v>458.19240891542358</v>
      </c>
      <c r="DK94" s="43">
        <f t="shared" si="14"/>
        <v>0</v>
      </c>
      <c r="DL94" s="59">
        <f t="shared" si="15"/>
        <v>-458.19240891542358</v>
      </c>
    </row>
    <row r="95" spans="1:116" ht="24.9" customHeight="1" x14ac:dyDescent="0.3">
      <c r="A95" s="328">
        <v>150000628</v>
      </c>
      <c r="B95" s="45" t="s">
        <v>356</v>
      </c>
      <c r="C95" s="1035">
        <v>9</v>
      </c>
      <c r="D95" s="1036" t="s">
        <v>454</v>
      </c>
      <c r="E95" s="1028">
        <f>'побудинковий звіт'!E93</f>
        <v>295.29999999999995</v>
      </c>
      <c r="F95" s="1029">
        <f>'побудинковий звіт'!AS93</f>
        <v>69454.871040971906</v>
      </c>
      <c r="G95" s="1029">
        <f t="shared" si="8"/>
        <v>201366.35550574842</v>
      </c>
      <c r="H95" s="1029">
        <f t="shared" si="9"/>
        <v>131911.48446477653</v>
      </c>
      <c r="I95" s="43">
        <f>'[1]поточний ремонт'!I95+'[2]поточний ремонт'!I95-'[3]поточний ремонт'!I95</f>
        <v>86.2</v>
      </c>
      <c r="J95" s="43">
        <f>'[1]поточний ремонт'!J95+'[2]поточний ремонт'!J95-'[3]поточний ремонт'!J95</f>
        <v>36232</v>
      </c>
      <c r="K95" s="1037"/>
      <c r="L95" s="43">
        <f>'[1]поточний ремонт'!L95+'[2]поточний ремонт'!L95-'[3]поточний ремонт'!L95</f>
        <v>0</v>
      </c>
      <c r="M95" s="43">
        <f>'[1]поточний ремонт'!M95+'[2]поточний ремонт'!M95-'[3]поточний ремонт'!M95</f>
        <v>0</v>
      </c>
      <c r="N95" s="37"/>
      <c r="O95" s="43">
        <f>'[1]поточний ремонт'!O95+'[2]поточний ремонт'!O95-'[3]поточний ремонт'!O95</f>
        <v>0</v>
      </c>
      <c r="P95" s="43">
        <f>'[1]поточний ремонт'!P95+'[2]поточний ремонт'!P95-'[3]поточний ремонт'!P95</f>
        <v>0</v>
      </c>
      <c r="Q95" s="1038"/>
      <c r="R95" s="43">
        <f>'[1]поточний ремонт'!R95+'[2]поточний ремонт'!R95-'[3]поточний ремонт'!R95</f>
        <v>3</v>
      </c>
      <c r="S95" s="43">
        <f>'[1]поточний ремонт'!S95+'[2]поточний ремонт'!S95-'[3]поточний ремонт'!S95</f>
        <v>156401</v>
      </c>
      <c r="T95" s="1048"/>
      <c r="U95" s="43">
        <f>'[1]поточний ремонт'!U95+'[2]поточний ремонт'!U95-'[3]поточний ремонт'!U95</f>
        <v>0</v>
      </c>
      <c r="V95" s="43">
        <f>'[1]поточний ремонт'!V95+'[2]поточний ремонт'!V95-'[3]поточний ремонт'!V95</f>
        <v>0</v>
      </c>
      <c r="W95" s="43">
        <f>'[1]поточний ремонт'!W95+'[2]поточний ремонт'!W95-'[3]поточний ремонт'!W95</f>
        <v>0</v>
      </c>
      <c r="X95" s="43">
        <f>'[1]поточний ремонт'!X95+'[2]поточний ремонт'!X95-'[3]поточний ремонт'!X95</f>
        <v>70.355505748433472</v>
      </c>
      <c r="Y95" s="43">
        <f>'[1]поточний ремонт'!Y95+'[2]поточний ремонт'!Y95-'[3]поточний ремонт'!Y95</f>
        <v>0</v>
      </c>
      <c r="Z95" s="43">
        <f>'[1]поточний ремонт'!Z95+'[2]поточний ремонт'!Z95-'[3]поточний ремонт'!Z95</f>
        <v>0</v>
      </c>
      <c r="AA95" s="43">
        <f>'[1]поточний ремонт'!AA95+'[2]поточний ремонт'!AA95-'[3]поточний ремонт'!AA95</f>
        <v>0</v>
      </c>
      <c r="AB95" s="43">
        <f>'[1]поточний ремонт'!AB95+'[2]поточний ремонт'!AB95-'[3]поточний ремонт'!AB95</f>
        <v>0</v>
      </c>
      <c r="AC95" s="43">
        <f>'[1]поточний ремонт'!AC95+'[2]поточний ремонт'!AC95-'[3]поточний ремонт'!AC95</f>
        <v>391</v>
      </c>
      <c r="AD95" s="43">
        <f>'[1]поточний ремонт'!AD95+'[2]поточний ремонт'!AD95-'[3]поточний ремонт'!AD95</f>
        <v>8272</v>
      </c>
      <c r="AE95" s="43">
        <f>'[1]поточний ремонт'!AE95+'[2]поточний ремонт'!AE95-'[3]поточний ремонт'!AE95</f>
        <v>1226.5213027942252</v>
      </c>
      <c r="AF95" s="43">
        <f>'[1]поточний ремонт'!AF95+'[2]поточний ремонт'!AF95-'[3]поточний ремонт'!AF95</f>
        <v>663</v>
      </c>
      <c r="AG95" s="5"/>
      <c r="AH95" s="43">
        <f>'[1]поточний ремонт'!AH95+'[2]поточний ремонт'!AH95-'[3]поточний ремонт'!AH95</f>
        <v>1482.0715550304631</v>
      </c>
      <c r="AI95" s="43">
        <f>'[1]поточний ремонт'!AI95+'[2]поточний ремонт'!AI95-'[3]поточний ремонт'!AI95</f>
        <v>0</v>
      </c>
      <c r="AJ95" s="1045"/>
      <c r="AK95" s="43">
        <f>'[1]поточний ремонт'!AK95+'[2]поточний ремонт'!AK95-'[3]поточний ремонт'!AK95</f>
        <v>1453.4206022027356</v>
      </c>
      <c r="AL95" s="43">
        <f>'[1]поточний ремонт'!AL95+'[2]поточний ремонт'!AL95-'[3]поточний ремонт'!AL95</f>
        <v>0</v>
      </c>
      <c r="AM95" s="5"/>
      <c r="AN95" s="43">
        <f>'[1]поточний ремонт'!AN95+'[2]поточний ремонт'!AN95-'[3]поточний ремонт'!AN95</f>
        <v>673.25545045629633</v>
      </c>
      <c r="AO95" s="43">
        <f>'[1]поточний ремонт'!AO95+'[2]поточний ремонт'!AO95-'[3]поточний ремонт'!AO95</f>
        <v>0</v>
      </c>
      <c r="AP95" s="5"/>
      <c r="AQ95" s="43">
        <f>'[1]поточний ремонт'!AQ95+'[2]поточний ремонт'!AQ95-'[3]поточний ремонт'!AQ95</f>
        <v>395.76741189229665</v>
      </c>
      <c r="AR95" s="43">
        <f>'[1]поточний ремонт'!AR95+'[2]поточний ремонт'!AR95-'[3]поточний ремонт'!AR95</f>
        <v>2252</v>
      </c>
      <c r="AS95" s="5"/>
      <c r="AT95" s="43">
        <f>'[1]поточний ремонт'!AT95+'[2]поточний ремонт'!AT95-'[3]поточний ремонт'!AT95</f>
        <v>754.28173151102328</v>
      </c>
      <c r="AU95" s="43">
        <f>'[1]поточний ремонт'!AU95+'[2]поточний ремонт'!AU95-'[3]поточний ремонт'!AU95</f>
        <v>5326</v>
      </c>
      <c r="AV95" s="5"/>
      <c r="AW95" s="43">
        <f>'[1]поточний ремонт'!AW95+'[2]поточний ремонт'!AW95-'[3]поточний ремонт'!AW95</f>
        <v>394.89345310091193</v>
      </c>
      <c r="AX95" s="43">
        <f>'[1]поточний ремонт'!AX95+'[2]поточний ремонт'!AX95-'[3]поточний ремонт'!AX95</f>
        <v>0</v>
      </c>
      <c r="AY95" s="5"/>
      <c r="AZ95" s="43">
        <f t="shared" si="10"/>
        <v>6380.2115069879528</v>
      </c>
      <c r="BA95" s="43">
        <f t="shared" si="11"/>
        <v>8241</v>
      </c>
      <c r="BB95" s="59">
        <f t="shared" si="12"/>
        <v>1860.7884930120472</v>
      </c>
      <c r="BD95" s="2">
        <v>1</v>
      </c>
      <c r="BF95" s="30">
        <v>217.30677456509352</v>
      </c>
      <c r="BG95" s="328">
        <v>150000628</v>
      </c>
      <c r="BI95" s="107">
        <v>5.25</v>
      </c>
      <c r="BJ95" s="107">
        <f t="shared" si="13"/>
        <v>0.7384765499999999</v>
      </c>
      <c r="BK95" s="107">
        <v>6.0547504290000003</v>
      </c>
      <c r="BL95" s="39"/>
      <c r="BM95" s="3"/>
      <c r="BN95" s="3">
        <v>0</v>
      </c>
      <c r="BP95" s="3"/>
      <c r="BQ95" s="3"/>
      <c r="BS95" s="43"/>
      <c r="BT95" s="43">
        <v>0</v>
      </c>
      <c r="BU95" s="1037"/>
      <c r="BV95" s="42"/>
      <c r="BW95" s="43"/>
      <c r="BX95" s="37"/>
      <c r="BY95" s="78"/>
      <c r="BZ95" s="43">
        <v>0</v>
      </c>
      <c r="CA95" s="1038"/>
      <c r="CB95" s="42">
        <v>2</v>
      </c>
      <c r="CC95" s="42">
        <v>0</v>
      </c>
      <c r="CD95" s="1048"/>
      <c r="CE95" s="78">
        <v>0</v>
      </c>
      <c r="CF95" s="56"/>
      <c r="CG95" s="42">
        <v>0</v>
      </c>
      <c r="CH95" s="39">
        <v>6.0547504290000003</v>
      </c>
      <c r="CI95" s="78">
        <v>749.45216726617389</v>
      </c>
      <c r="CJ95" s="56"/>
      <c r="CK95" s="1034"/>
      <c r="CL95" s="1029"/>
      <c r="CM95" s="1034"/>
      <c r="CN95" s="1029">
        <v>0</v>
      </c>
      <c r="CO95" s="78">
        <v>102.21010856618543</v>
      </c>
      <c r="CP95" s="43">
        <v>425.45843929794648</v>
      </c>
      <c r="CQ95" s="5"/>
      <c r="CR95" s="78">
        <v>123.50596291920525</v>
      </c>
      <c r="CS95" s="1033">
        <v>0</v>
      </c>
      <c r="CT95" s="1045"/>
      <c r="CU95" s="78">
        <v>121.11838351689461</v>
      </c>
      <c r="CV95" s="43">
        <v>0</v>
      </c>
      <c r="CW95" s="5"/>
      <c r="CX95" s="78">
        <v>56.104620871358016</v>
      </c>
      <c r="CY95" s="43">
        <v>0</v>
      </c>
      <c r="CZ95" s="5"/>
      <c r="DA95" s="78">
        <v>32.980617657691397</v>
      </c>
      <c r="DB95" s="43">
        <v>0</v>
      </c>
      <c r="DC95" s="5"/>
      <c r="DD95" s="78">
        <v>62.856810959251952</v>
      </c>
      <c r="DE95" s="43">
        <v>0</v>
      </c>
      <c r="DF95" s="5"/>
      <c r="DG95" s="78">
        <v>32.907787758409334</v>
      </c>
      <c r="DH95" s="43"/>
      <c r="DI95" s="5"/>
      <c r="DJ95" s="43">
        <v>531.68429224899603</v>
      </c>
      <c r="DK95" s="43">
        <f t="shared" si="14"/>
        <v>425.45843929794648</v>
      </c>
      <c r="DL95" s="59">
        <f t="shared" si="15"/>
        <v>-106.22585295104955</v>
      </c>
    </row>
    <row r="96" spans="1:116" ht="24.9" customHeight="1" x14ac:dyDescent="0.3">
      <c r="A96" s="328">
        <v>150000625</v>
      </c>
      <c r="B96" s="45" t="s">
        <v>415</v>
      </c>
      <c r="C96" s="1035">
        <v>10</v>
      </c>
      <c r="D96" s="1036" t="s">
        <v>454</v>
      </c>
      <c r="E96" s="1028">
        <f>'побудинковий звіт'!E94</f>
        <v>5112.4000000000005</v>
      </c>
      <c r="F96" s="1029">
        <f>'побудинковий звіт'!AS94</f>
        <v>71808.408375634914</v>
      </c>
      <c r="G96" s="1029">
        <f t="shared" si="8"/>
        <v>19266.65105040171</v>
      </c>
      <c r="H96" s="1029">
        <f t="shared" si="9"/>
        <v>-52541.757325233208</v>
      </c>
      <c r="I96" s="43">
        <f>'[1]поточний ремонт'!I96+'[2]поточний ремонт'!I96-'[3]поточний ремонт'!I96</f>
        <v>0</v>
      </c>
      <c r="J96" s="43">
        <f>'[1]поточний ремонт'!J96+'[2]поточний ремонт'!J96-'[3]поточний ремонт'!J96</f>
        <v>0</v>
      </c>
      <c r="K96" s="1037"/>
      <c r="L96" s="43">
        <f>'[1]поточний ремонт'!L96+'[2]поточний ремонт'!L96-'[3]поточний ремонт'!L96</f>
        <v>0</v>
      </c>
      <c r="M96" s="43">
        <f>'[1]поточний ремонт'!M96+'[2]поточний ремонт'!M96-'[3]поточний ремонт'!M96</f>
        <v>0</v>
      </c>
      <c r="N96" s="37"/>
      <c r="O96" s="43">
        <f>'[1]поточний ремонт'!O96+'[2]поточний ремонт'!O96-'[3]поточний ремонт'!O96</f>
        <v>0</v>
      </c>
      <c r="P96" s="43">
        <f>'[1]поточний ремонт'!P96+'[2]поточний ремонт'!P96-'[3]поточний ремонт'!P96</f>
        <v>0</v>
      </c>
      <c r="Q96" s="1038"/>
      <c r="R96" s="43">
        <f>'[1]поточний ремонт'!R96+'[2]поточний ремонт'!R96-'[3]поточний ремонт'!R96</f>
        <v>0</v>
      </c>
      <c r="S96" s="43">
        <f>'[1]поточний ремонт'!S96+'[2]поточний ремонт'!S96-'[3]поточний ремонт'!S96</f>
        <v>0</v>
      </c>
      <c r="T96" s="1039"/>
      <c r="U96" s="43">
        <f>'[1]поточний ремонт'!U96+'[2]поточний ремонт'!U96-'[3]поточний ремонт'!U96</f>
        <v>0</v>
      </c>
      <c r="V96" s="43">
        <f>'[1]поточний ремонт'!V96+'[2]поточний ремонт'!V96-'[3]поточний ремонт'!V96</f>
        <v>0</v>
      </c>
      <c r="W96" s="43">
        <f>'[1]поточний ремонт'!W96+'[2]поточний ремонт'!W96-'[3]поточний ремонт'!W96</f>
        <v>0</v>
      </c>
      <c r="X96" s="43">
        <f>'[1]поточний ремонт'!X96+'[2]поточний ремонт'!X96-'[3]поточний ремонт'!X96</f>
        <v>115.65105040171056</v>
      </c>
      <c r="Y96" s="43">
        <f>'[1]поточний ремонт'!Y96+'[2]поточний ремонт'!Y96-'[3]поточний ремонт'!Y96</f>
        <v>8661</v>
      </c>
      <c r="Z96" s="43">
        <f>'[1]поточний ремонт'!Z96+'[2]поточний ремонт'!Z96-'[3]поточний ремонт'!Z96</f>
        <v>0</v>
      </c>
      <c r="AA96" s="43">
        <f>'[1]поточний ремонт'!AA96+'[2]поточний ремонт'!AA96-'[3]поточний ремонт'!AA96</f>
        <v>0</v>
      </c>
      <c r="AB96" s="43">
        <f>'[1]поточний ремонт'!AB96+'[2]поточний ремонт'!AB96-'[3]поточний ремонт'!AB96</f>
        <v>1701</v>
      </c>
      <c r="AC96" s="43">
        <f>'[1]поточний ремонт'!AC96+'[2]поточний ремонт'!AC96-'[3]поточний ремонт'!AC96</f>
        <v>1504</v>
      </c>
      <c r="AD96" s="43">
        <f>'[1]поточний ремонт'!AD96+'[2]поточний ремонт'!AD96-'[3]поточний ремонт'!AD96</f>
        <v>7285</v>
      </c>
      <c r="AE96" s="43">
        <f>'[1]поточний ремонт'!AE96+'[2]поточний ремонт'!AE96-'[3]поточний ремонт'!AE96</f>
        <v>1347.8432605358166</v>
      </c>
      <c r="AF96" s="43">
        <f>'[1]поточний ремонт'!AF96+'[2]поточний ремонт'!AF96-'[3]поточний ремонт'!AF96</f>
        <v>0</v>
      </c>
      <c r="AG96" s="5"/>
      <c r="AH96" s="43">
        <f>'[1]поточний ремонт'!AH96+'[2]поточний ремонт'!AH96-'[3]поточний ремонт'!AH96</f>
        <v>1603.6406617782084</v>
      </c>
      <c r="AI96" s="43">
        <f>'[1]поточний ремонт'!AI96+'[2]поточний ремонт'!AI96-'[3]поточний ремонт'!AI96</f>
        <v>6541</v>
      </c>
      <c r="AJ96" s="1053"/>
      <c r="AK96" s="43">
        <f>'[1]поточний ремонт'!AK96+'[2]поточний ремонт'!AK96-'[3]поточний ремонт'!AK96</f>
        <v>1498.4823027180209</v>
      </c>
      <c r="AL96" s="43">
        <f>'[1]поточний ремонт'!AL96+'[2]поточний ремонт'!AL96-'[3]поточний ремонт'!AL96</f>
        <v>2439.3741091389384</v>
      </c>
      <c r="AM96" s="5"/>
      <c r="AN96" s="43">
        <f>'[1]поточний ремонт'!AN96+'[2]поточний ремонт'!AN96-'[3]поточний ремонт'!AN96</f>
        <v>700.59062252596152</v>
      </c>
      <c r="AO96" s="43">
        <f>'[1]поточний ремонт'!AO96+'[2]поточний ремонт'!AO96-'[3]поточний ремонт'!AO96</f>
        <v>0</v>
      </c>
      <c r="AP96" s="5"/>
      <c r="AQ96" s="43">
        <f>'[1]поточний ремонт'!AQ96+'[2]поточний ремонт'!AQ96-'[3]поточний ремонт'!AQ96</f>
        <v>422.7844713578213</v>
      </c>
      <c r="AR96" s="43">
        <f>'[1]поточний ремонт'!AR96+'[2]поточний ремонт'!AR96-'[3]поточний ремонт'!AR96</f>
        <v>0</v>
      </c>
      <c r="AS96" s="5"/>
      <c r="AT96" s="43">
        <f>'[1]поточний ремонт'!AT96+'[2]поточний ремонт'!AT96-'[3]поточний ремонт'!AT96</f>
        <v>775.64627416704468</v>
      </c>
      <c r="AU96" s="43">
        <f>'[1]поточний ремонт'!AU96+'[2]поточний ремонт'!AU96-'[3]поточний ремонт'!AU96</f>
        <v>7190.1547551024423</v>
      </c>
      <c r="AV96" s="9"/>
      <c r="AW96" s="43">
        <f>'[1]поточний ремонт'!AW96+'[2]поточний ремонт'!AW96-'[3]поточний ремонт'!AW96</f>
        <v>323.17389556343255</v>
      </c>
      <c r="AX96" s="43">
        <f>'[1]поточний ремонт'!AX96+'[2]поточний ремонт'!AX96-'[3]поточний ремонт'!AX96</f>
        <v>2412</v>
      </c>
      <c r="AY96" s="5"/>
      <c r="AZ96" s="43">
        <f t="shared" si="10"/>
        <v>6672.1614886463067</v>
      </c>
      <c r="BA96" s="43">
        <f t="shared" si="11"/>
        <v>18582.52886424138</v>
      </c>
      <c r="BB96" s="59">
        <f t="shared" si="12"/>
        <v>11910.367375595073</v>
      </c>
      <c r="BD96" s="2">
        <v>1</v>
      </c>
      <c r="BF96" s="30">
        <v>283.99500418189564</v>
      </c>
      <c r="BG96" s="328">
        <v>150000625</v>
      </c>
      <c r="BI96" s="107">
        <v>8.6300000000000008</v>
      </c>
      <c r="BJ96" s="107">
        <f t="shared" si="13"/>
        <v>1.2139147859999999</v>
      </c>
      <c r="BK96" s="107">
        <v>9.9528564194800015</v>
      </c>
      <c r="BL96" s="39"/>
      <c r="BM96" s="3"/>
      <c r="BN96" s="3">
        <v>0</v>
      </c>
      <c r="BP96" s="3"/>
      <c r="BQ96" s="3"/>
      <c r="BS96" s="43"/>
      <c r="BT96" s="43">
        <v>0</v>
      </c>
      <c r="BU96" s="1037"/>
      <c r="BV96" s="42"/>
      <c r="BW96" s="43"/>
      <c r="BX96" s="37"/>
      <c r="BY96" s="78"/>
      <c r="BZ96" s="43">
        <v>0</v>
      </c>
      <c r="CA96" s="1038"/>
      <c r="CB96" s="42">
        <v>0</v>
      </c>
      <c r="CC96" s="42">
        <v>0</v>
      </c>
      <c r="CD96" s="1039"/>
      <c r="CE96" s="78">
        <v>0</v>
      </c>
      <c r="CF96" s="56"/>
      <c r="CG96" s="42">
        <v>0</v>
      </c>
      <c r="CH96" s="39">
        <v>9.9528564194800015</v>
      </c>
      <c r="CI96" s="78">
        <v>0</v>
      </c>
      <c r="CJ96" s="56"/>
      <c r="CK96" s="1034"/>
      <c r="CL96" s="1029"/>
      <c r="CM96" s="1034"/>
      <c r="CN96" s="1029">
        <v>763.67275891528402</v>
      </c>
      <c r="CO96" s="78">
        <v>112.32027171131804</v>
      </c>
      <c r="CP96" s="43">
        <v>425.45843929794648</v>
      </c>
      <c r="CQ96" s="5"/>
      <c r="CR96" s="78">
        <v>133.63672181485069</v>
      </c>
      <c r="CS96" s="1033">
        <v>0</v>
      </c>
      <c r="CT96" s="1053"/>
      <c r="CU96" s="78">
        <v>124.87352522650177</v>
      </c>
      <c r="CV96" s="43">
        <v>0</v>
      </c>
      <c r="CW96" s="5"/>
      <c r="CX96" s="78">
        <v>58.382551877163472</v>
      </c>
      <c r="CY96" s="43">
        <v>0</v>
      </c>
      <c r="CZ96" s="5"/>
      <c r="DA96" s="78">
        <v>35.232039279818451</v>
      </c>
      <c r="DB96" s="43">
        <v>0</v>
      </c>
      <c r="DC96" s="5"/>
      <c r="DD96" s="78">
        <v>64.637189513920404</v>
      </c>
      <c r="DE96" s="43">
        <v>0</v>
      </c>
      <c r="DF96" s="9"/>
      <c r="DG96" s="78">
        <v>26.931157963619381</v>
      </c>
      <c r="DH96" s="43"/>
      <c r="DI96" s="5"/>
      <c r="DJ96" s="43">
        <v>556.01345738719215</v>
      </c>
      <c r="DK96" s="43">
        <f t="shared" si="14"/>
        <v>425.45843929794648</v>
      </c>
      <c r="DL96" s="59">
        <f t="shared" si="15"/>
        <v>-130.55501808924566</v>
      </c>
    </row>
    <row r="97" spans="1:116" ht="24.9" customHeight="1" x14ac:dyDescent="0.3">
      <c r="A97" s="328">
        <v>150000629</v>
      </c>
      <c r="B97" s="45" t="s">
        <v>357</v>
      </c>
      <c r="C97" s="1035">
        <v>9</v>
      </c>
      <c r="D97" s="1036" t="s">
        <v>454</v>
      </c>
      <c r="E97" s="1028">
        <f>'побудинковий звіт'!E95</f>
        <v>2605.5</v>
      </c>
      <c r="F97" s="1029">
        <f>'побудинковий звіт'!AS95</f>
        <v>182334.46755420358</v>
      </c>
      <c r="G97" s="1029">
        <f t="shared" si="8"/>
        <v>127613.65105040171</v>
      </c>
      <c r="H97" s="1029">
        <f t="shared" si="9"/>
        <v>-54720.816503801878</v>
      </c>
      <c r="I97" s="43">
        <f>'[1]поточний ремонт'!I97+'[2]поточний ремонт'!I97-'[3]поточний ремонт'!I97</f>
        <v>18.37</v>
      </c>
      <c r="J97" s="43">
        <f>'[1]поточний ремонт'!J97+'[2]поточний ремонт'!J97-'[3]поточний ремонт'!J97</f>
        <v>15584</v>
      </c>
      <c r="K97" s="1041"/>
      <c r="L97" s="43">
        <f>'[1]поточний ремонт'!L97+'[2]поточний ремонт'!L97-'[3]поточний ремонт'!L97</f>
        <v>0</v>
      </c>
      <c r="M97" s="43">
        <f>'[1]поточний ремонт'!M97+'[2]поточний ремонт'!M97-'[3]поточний ремонт'!M97</f>
        <v>0</v>
      </c>
      <c r="N97" s="1040"/>
      <c r="O97" s="43">
        <f>'[1]поточний ремонт'!O97+'[2]поточний ремонт'!O97-'[3]поточний ремонт'!O97</f>
        <v>0</v>
      </c>
      <c r="P97" s="43">
        <f>'[1]поточний ремонт'!P97+'[2]поточний ремонт'!P97-'[3]поточний ремонт'!P97</f>
        <v>0</v>
      </c>
      <c r="Q97" s="1038"/>
      <c r="R97" s="43">
        <f>'[1]поточний ремонт'!R97+'[2]поточний ремонт'!R97-'[3]поточний ремонт'!R97</f>
        <v>2</v>
      </c>
      <c r="S97" s="43">
        <f>'[1]поточний ремонт'!S97+'[2]поточний ремонт'!S97-'[3]поточний ремонт'!S97</f>
        <v>95215</v>
      </c>
      <c r="T97" s="1047"/>
      <c r="U97" s="43">
        <f>'[1]поточний ремонт'!U97+'[2]поточний ремонт'!U97-'[3]поточний ремонт'!U97</f>
        <v>0</v>
      </c>
      <c r="V97" s="43">
        <f>'[1]поточний ремонт'!V97+'[2]поточний ремонт'!V97-'[3]поточний ремонт'!V97</f>
        <v>0</v>
      </c>
      <c r="W97" s="43">
        <f>'[1]поточний ремонт'!W97+'[2]поточний ремонт'!W97-'[3]поточний ремонт'!W97</f>
        <v>2</v>
      </c>
      <c r="X97" s="43">
        <f>'[1]поточний ремонт'!X97+'[2]поточний ремонт'!X97-'[3]поточний ремонт'!X97</f>
        <v>2207.6510504017106</v>
      </c>
      <c r="Y97" s="43">
        <f>'[1]поточний ремонт'!Y97+'[2]поточний ремонт'!Y97-'[3]поточний ремонт'!Y97</f>
        <v>6588</v>
      </c>
      <c r="Z97" s="43">
        <f>'[1]поточний ремонт'!Z97+'[2]поточний ремонт'!Z97-'[3]поточний ремонт'!Z97</f>
        <v>0</v>
      </c>
      <c r="AA97" s="43">
        <f>'[1]поточний ремонт'!AA97+'[2]поточний ремонт'!AA97-'[3]поточний ремонт'!AA97</f>
        <v>0</v>
      </c>
      <c r="AB97" s="43">
        <f>'[1]поточний ремонт'!AB97+'[2]поточний ремонт'!AB97-'[3]поточний ремонт'!AB97</f>
        <v>0</v>
      </c>
      <c r="AC97" s="43">
        <f>'[1]поточний ремонт'!AC97+'[2]поточний ремонт'!AC97-'[3]поточний ремонт'!AC97</f>
        <v>1606</v>
      </c>
      <c r="AD97" s="43">
        <f>'[1]поточний ремонт'!AD97+'[2]поточний ремонт'!AD97-'[3]поточний ремонт'!AD97</f>
        <v>6413</v>
      </c>
      <c r="AE97" s="43">
        <f>'[1]поточний ремонт'!AE97+'[2]поточний ремонт'!AE97-'[3]поточний ремонт'!AE97</f>
        <v>1940.016512428359</v>
      </c>
      <c r="AF97" s="43">
        <f>'[1]поточний ремонт'!AF97+'[2]поточний ремонт'!AF97-'[3]поточний ремонт'!AF97</f>
        <v>1196</v>
      </c>
      <c r="AG97" s="5"/>
      <c r="AH97" s="43">
        <f>'[1]поточний ремонт'!AH97+'[2]поточний ремонт'!AH97-'[3]поточний ремонт'!AH97</f>
        <v>2671.3948400443719</v>
      </c>
      <c r="AI97" s="43">
        <f>'[1]поточний ремонт'!AI97+'[2]поточний ремонт'!AI97-'[3]поточний ремонт'!AI97</f>
        <v>2912</v>
      </c>
      <c r="AJ97" s="5"/>
      <c r="AK97" s="43">
        <f>'[1]поточний ремонт'!AK97+'[2]поточний ремонт'!AK97-'[3]поточний ремонт'!AK97</f>
        <v>4246.1806401246949</v>
      </c>
      <c r="AL97" s="43">
        <f>'[1]поточний ремонт'!AL97+'[2]поточний ремонт'!AL97-'[3]поточний ремонт'!AL97</f>
        <v>0</v>
      </c>
      <c r="AM97" s="5"/>
      <c r="AN97" s="43">
        <f>'[1]поточний ремонт'!AN97+'[2]поточний ремонт'!AN97-'[3]поточний ремонт'!AN97</f>
        <v>1557.2763862988356</v>
      </c>
      <c r="AO97" s="43">
        <f>'[1]поточний ремонт'!AO97+'[2]поточний ремонт'!AO97-'[3]поточний ремонт'!AO97</f>
        <v>2587</v>
      </c>
      <c r="AP97" s="5"/>
      <c r="AQ97" s="43">
        <f>'[1]поточний ремонт'!AQ97+'[2]поточний ремонт'!AQ97-'[3]поточний ремонт'!AQ97</f>
        <v>2338.5323677229662</v>
      </c>
      <c r="AR97" s="43">
        <f>'[1]поточний ремонт'!AR97+'[2]поточний ремонт'!AR97-'[3]поточний ремонт'!AR97</f>
        <v>0</v>
      </c>
      <c r="AS97" s="5"/>
      <c r="AT97" s="43">
        <f>'[1]поточний ремонт'!AT97+'[2]поточний ремонт'!AT97-'[3]поточний ремонт'!AT97</f>
        <v>1835.3146988894725</v>
      </c>
      <c r="AU97" s="43">
        <f>'[1]поточний ремонт'!AU97+'[2]поточний ремонт'!AU97-'[3]поточний ремонт'!AU97</f>
        <v>1623.0598752286205</v>
      </c>
      <c r="AV97" s="9"/>
      <c r="AW97" s="43">
        <f>'[1]поточний ремонт'!AW97+'[2]поточний ремонт'!AW97-'[3]поточний ремонт'!AW97</f>
        <v>1118.5937498727455</v>
      </c>
      <c r="AX97" s="43">
        <f>'[1]поточний ремонт'!AX97+'[2]поточний ремонт'!AX97-'[3]поточний ремонт'!AX97</f>
        <v>0</v>
      </c>
      <c r="AY97" s="5"/>
      <c r="AZ97" s="43">
        <f t="shared" si="10"/>
        <v>15707.309195381447</v>
      </c>
      <c r="BA97" s="43">
        <f t="shared" si="11"/>
        <v>8318.0598752286205</v>
      </c>
      <c r="BB97" s="59">
        <f t="shared" si="12"/>
        <v>-7389.2493201528268</v>
      </c>
      <c r="BD97" s="2">
        <v>1</v>
      </c>
      <c r="BF97" s="30">
        <v>446.08826921495034</v>
      </c>
      <c r="BG97" s="328">
        <v>150000629</v>
      </c>
      <c r="BI97" s="107">
        <v>8.6300000000000008</v>
      </c>
      <c r="BJ97" s="107">
        <f t="shared" si="13"/>
        <v>1.2139147859999999</v>
      </c>
      <c r="BK97" s="107">
        <v>9.9528564194800015</v>
      </c>
      <c r="BL97" s="39"/>
      <c r="BM97" s="3"/>
      <c r="BN97" s="3">
        <v>0</v>
      </c>
      <c r="BP97" s="3"/>
      <c r="BQ97" s="3"/>
      <c r="BS97" s="43"/>
      <c r="BT97" s="43">
        <v>0</v>
      </c>
      <c r="BU97" s="1041"/>
      <c r="BV97" s="42"/>
      <c r="BW97" s="43"/>
      <c r="BX97" s="1040"/>
      <c r="BY97" s="78"/>
      <c r="BZ97" s="43">
        <v>0</v>
      </c>
      <c r="CA97" s="1038"/>
      <c r="CB97" s="42">
        <v>0</v>
      </c>
      <c r="CC97" s="42">
        <v>0</v>
      </c>
      <c r="CD97" s="1047"/>
      <c r="CE97" s="78">
        <v>0</v>
      </c>
      <c r="CF97" s="56"/>
      <c r="CG97" s="42">
        <v>0</v>
      </c>
      <c r="CH97" s="39">
        <v>9.9528564194800015</v>
      </c>
      <c r="CI97" s="78">
        <v>0</v>
      </c>
      <c r="CJ97" s="56"/>
      <c r="CK97" s="1034"/>
      <c r="CL97" s="1029"/>
      <c r="CM97" s="1034"/>
      <c r="CN97" s="1029">
        <v>0</v>
      </c>
      <c r="CO97" s="78">
        <v>161.66804270236327</v>
      </c>
      <c r="CP97" s="43">
        <v>0</v>
      </c>
      <c r="CQ97" s="5"/>
      <c r="CR97" s="78">
        <v>222.61623667036437</v>
      </c>
      <c r="CS97" s="1033">
        <v>0</v>
      </c>
      <c r="CT97" s="5"/>
      <c r="CU97" s="78">
        <v>353.84838667705782</v>
      </c>
      <c r="CV97" s="43">
        <v>0</v>
      </c>
      <c r="CW97" s="5"/>
      <c r="CX97" s="78">
        <v>129.77303219156963</v>
      </c>
      <c r="CY97" s="43">
        <v>0</v>
      </c>
      <c r="CZ97" s="5"/>
      <c r="DA97" s="78">
        <v>194.87769731024719</v>
      </c>
      <c r="DB97" s="43">
        <v>0</v>
      </c>
      <c r="DC97" s="5"/>
      <c r="DD97" s="78">
        <v>152.94289157412265</v>
      </c>
      <c r="DE97" s="43">
        <v>630.29579684292298</v>
      </c>
      <c r="DF97" s="9"/>
      <c r="DG97" s="78">
        <v>93.216145822728791</v>
      </c>
      <c r="DH97" s="43"/>
      <c r="DI97" s="5"/>
      <c r="DJ97" s="43">
        <v>1308.9424329484536</v>
      </c>
      <c r="DK97" s="43">
        <f t="shared" si="14"/>
        <v>630.29579684292298</v>
      </c>
      <c r="DL97" s="59">
        <f t="shared" si="15"/>
        <v>-678.64663610553066</v>
      </c>
    </row>
    <row r="98" spans="1:116" ht="24.9" customHeight="1" x14ac:dyDescent="0.3">
      <c r="A98" s="328">
        <v>150000626</v>
      </c>
      <c r="B98" s="45" t="s">
        <v>358</v>
      </c>
      <c r="C98" s="1035">
        <v>9</v>
      </c>
      <c r="D98" s="1036" t="s">
        <v>454</v>
      </c>
      <c r="E98" s="1028">
        <f>'побудинковий звіт'!E96</f>
        <v>4661.7</v>
      </c>
      <c r="F98" s="1029">
        <f>'побудинковий звіт'!AS96</f>
        <v>125062.75136222427</v>
      </c>
      <c r="G98" s="1029">
        <f t="shared" si="8"/>
        <v>62259.77294483778</v>
      </c>
      <c r="H98" s="1029">
        <f t="shared" si="9"/>
        <v>-62802.97841738649</v>
      </c>
      <c r="I98" s="43">
        <f>'[1]поточний ремонт'!I98+'[2]поточний ремонт'!I98-'[3]поточний ремонт'!I98</f>
        <v>18.809999999999999</v>
      </c>
      <c r="J98" s="43">
        <f>'[1]поточний ремонт'!J98+'[2]поточний ремонт'!J98-'[3]поточний ремонт'!J98</f>
        <v>9673</v>
      </c>
      <c r="K98" s="1037"/>
      <c r="L98" s="43">
        <f>'[1]поточний ремонт'!L98+'[2]поточний ремонт'!L98-'[3]поточний ремонт'!L98</f>
        <v>0</v>
      </c>
      <c r="M98" s="43">
        <f>'[1]поточний ремонт'!M98+'[2]поточний ремонт'!M98-'[3]поточний ремонт'!M98</f>
        <v>0</v>
      </c>
      <c r="N98" s="37"/>
      <c r="O98" s="43">
        <f>'[1]поточний ремонт'!O98+'[2]поточний ремонт'!O98-'[3]поточний ремонт'!O98</f>
        <v>83.5</v>
      </c>
      <c r="P98" s="43">
        <f>'[1]поточний ремонт'!P98+'[2]поточний ремонт'!P98-'[3]поточний ремонт'!P98</f>
        <v>26245</v>
      </c>
      <c r="Q98" s="1038"/>
      <c r="R98" s="43">
        <f>'[1]поточний ремонт'!R98+'[2]поточний ремонт'!R98-'[3]поточний ремонт'!R98</f>
        <v>0</v>
      </c>
      <c r="S98" s="43">
        <f>'[1]поточний ремонт'!S98+'[2]поточний ремонт'!S98-'[3]поточний ремонт'!S98</f>
        <v>0</v>
      </c>
      <c r="T98" s="1047"/>
      <c r="U98" s="43">
        <f>'[1]поточний ремонт'!U98+'[2]поточний ремонт'!U98-'[3]поточний ремонт'!U98</f>
        <v>0</v>
      </c>
      <c r="V98" s="43">
        <f>'[1]поточний ремонт'!V98+'[2]поточний ремонт'!V98-'[3]поточний ремонт'!V98</f>
        <v>0</v>
      </c>
      <c r="W98" s="43">
        <f>'[1]поточний ремонт'!W98+'[2]поточний ремонт'!W98-'[3]поточний ремонт'!W98</f>
        <v>4</v>
      </c>
      <c r="X98" s="43">
        <f>'[1]поточний ремонт'!X98+'[2]поточний ремонт'!X98-'[3]поточний ремонт'!X98</f>
        <v>971.77294483778076</v>
      </c>
      <c r="Y98" s="43">
        <f>'[1]поточний ремонт'!Y98+'[2]поточний ремонт'!Y98-'[3]поточний ремонт'!Y98</f>
        <v>2722</v>
      </c>
      <c r="Z98" s="43">
        <f>'[1]поточний ремонт'!Z98+'[2]поточний ремонт'!Z98-'[3]поточний ремонт'!Z98</f>
        <v>0</v>
      </c>
      <c r="AA98" s="43">
        <f>'[1]поточний ремонт'!AA98+'[2]поточний ремонт'!AA98-'[3]поточний ремонт'!AA98</f>
        <v>0</v>
      </c>
      <c r="AB98" s="43">
        <f>'[1]поточний ремонт'!AB98+'[2]поточний ремонт'!AB98-'[3]поточний ремонт'!AB98</f>
        <v>16198</v>
      </c>
      <c r="AC98" s="43">
        <f>'[1]поточний ремонт'!AC98+'[2]поточний ремонт'!AC98-'[3]поточний ремонт'!AC98</f>
        <v>770</v>
      </c>
      <c r="AD98" s="43">
        <f>'[1]поточний ремонт'!AD98+'[2]поточний ремонт'!AD98-'[3]поточний ремонт'!AD98</f>
        <v>5680</v>
      </c>
      <c r="AE98" s="43">
        <f>'[1]поточний ремонт'!AE98+'[2]поточний ремонт'!AE98-'[3]поточний ремонт'!AE98</f>
        <v>1618.0635427981538</v>
      </c>
      <c r="AF98" s="43">
        <f>'[1]поточний ремонт'!AF98+'[2]поточний ремонт'!AF98-'[3]поточний ремонт'!AF98</f>
        <v>1163</v>
      </c>
      <c r="AG98" s="5"/>
      <c r="AH98" s="43">
        <f>'[1]поточний ремонт'!AH98+'[2]поточний ремонт'!AH98-'[3]поточний ремонт'!AH98</f>
        <v>2461.5173043234017</v>
      </c>
      <c r="AI98" s="43">
        <f>'[1]поточний ремонт'!AI98+'[2]поточний ремонт'!AI98-'[3]поточний ремонт'!AI98</f>
        <v>4250</v>
      </c>
      <c r="AJ98" s="5"/>
      <c r="AK98" s="43">
        <f>'[1]поточний ремонт'!AK98+'[2]поточний ремонт'!AK98-'[3]поточний ремонт'!AK98</f>
        <v>2766.0248753394776</v>
      </c>
      <c r="AL98" s="43">
        <f>'[1]поточний ремонт'!AL98+'[2]поточний ремонт'!AL98-'[3]поточний ремонт'!AL98</f>
        <v>0</v>
      </c>
      <c r="AM98" s="5"/>
      <c r="AN98" s="43">
        <f>'[1]поточний ремонт'!AN98+'[2]поточний ремонт'!AN98-'[3]поточний ремонт'!AN98</f>
        <v>1109.4507192130609</v>
      </c>
      <c r="AO98" s="43">
        <f>'[1]поточний ремонт'!AO98+'[2]поточний ремонт'!AO98-'[3]поточний ремонт'!AO98</f>
        <v>1575</v>
      </c>
      <c r="AP98" s="5"/>
      <c r="AQ98" s="43">
        <f>'[1]поточний ремонт'!AQ98+'[2]поточний ремонт'!AQ98-'[3]поточний ремонт'!AQ98</f>
        <v>1169.3389950169108</v>
      </c>
      <c r="AR98" s="43">
        <f>'[1]поточний ремонт'!AR98+'[2]поточний ремонт'!AR98-'[3]поточний ремонт'!AR98</f>
        <v>0</v>
      </c>
      <c r="AS98" s="5"/>
      <c r="AT98" s="43">
        <f>'[1]поточний ремонт'!AT98+'[2]поточний ремонт'!AT98-'[3]поточний ремонт'!AT98</f>
        <v>1923.1874940680241</v>
      </c>
      <c r="AU98" s="43">
        <f>'[1]поточний ремонт'!AU98+'[2]поточний ремонт'!AU98-'[3]поточний ремонт'!AU98</f>
        <v>649.00000000000011</v>
      </c>
      <c r="AV98" s="5"/>
      <c r="AW98" s="43">
        <f>'[1]поточний ремонт'!AW98+'[2]поточний ремонт'!AW98-'[3]поточний ремонт'!AW98</f>
        <v>762.07335091908692</v>
      </c>
      <c r="AX98" s="43">
        <f>'[1]поточний ремонт'!AX98+'[2]поточний ремонт'!AX98-'[3]поточний ремонт'!AX98</f>
        <v>5646</v>
      </c>
      <c r="AY98" s="5"/>
      <c r="AZ98" s="43">
        <f t="shared" si="10"/>
        <v>11809.656281678117</v>
      </c>
      <c r="BA98" s="43">
        <f t="shared" si="11"/>
        <v>13283</v>
      </c>
      <c r="BB98" s="59">
        <f t="shared" si="12"/>
        <v>1473.343718321883</v>
      </c>
      <c r="BD98" s="2">
        <v>1</v>
      </c>
      <c r="BF98" s="30">
        <v>350.80772870491194</v>
      </c>
      <c r="BG98" s="328">
        <v>150000626</v>
      </c>
      <c r="BI98" s="107">
        <v>40.950000000000003</v>
      </c>
      <c r="BJ98" s="107">
        <f t="shared" si="13"/>
        <v>5.7601170899999996</v>
      </c>
      <c r="BK98" s="107">
        <v>47.227053346200002</v>
      </c>
      <c r="BL98" s="39"/>
      <c r="BM98" s="3"/>
      <c r="BN98" s="3">
        <v>0</v>
      </c>
      <c r="BP98" s="3"/>
      <c r="BQ98" s="3"/>
      <c r="BS98" s="43"/>
      <c r="BT98" s="43">
        <v>0</v>
      </c>
      <c r="BU98" s="1037"/>
      <c r="BV98" s="42"/>
      <c r="BW98" s="43"/>
      <c r="BX98" s="37"/>
      <c r="BY98" s="78"/>
      <c r="BZ98" s="43">
        <v>0</v>
      </c>
      <c r="CA98" s="1038"/>
      <c r="CB98" s="42">
        <v>0</v>
      </c>
      <c r="CC98" s="42">
        <v>0</v>
      </c>
      <c r="CD98" s="1047"/>
      <c r="CE98" s="78">
        <v>0</v>
      </c>
      <c r="CF98" s="56"/>
      <c r="CG98" s="42">
        <v>0</v>
      </c>
      <c r="CH98" s="39">
        <v>47.227053346200002</v>
      </c>
      <c r="CI98" s="78">
        <v>0</v>
      </c>
      <c r="CJ98" s="56"/>
      <c r="CK98" s="1034"/>
      <c r="CL98" s="1029"/>
      <c r="CM98" s="1034"/>
      <c r="CN98" s="1029">
        <v>811.52134264233246</v>
      </c>
      <c r="CO98" s="78">
        <v>134.8386285665128</v>
      </c>
      <c r="CP98" s="43">
        <v>3832.0460739747</v>
      </c>
      <c r="CQ98" s="5"/>
      <c r="CR98" s="78">
        <v>205.12644202695014</v>
      </c>
      <c r="CS98" s="1033">
        <v>0</v>
      </c>
      <c r="CT98" s="5"/>
      <c r="CU98" s="78">
        <v>230.50207294495644</v>
      </c>
      <c r="CV98" s="43">
        <v>0</v>
      </c>
      <c r="CW98" s="5"/>
      <c r="CX98" s="78">
        <v>92.454226601088408</v>
      </c>
      <c r="CY98" s="43">
        <v>0</v>
      </c>
      <c r="CZ98" s="5"/>
      <c r="DA98" s="78">
        <v>97.444916251409211</v>
      </c>
      <c r="DB98" s="43">
        <v>0</v>
      </c>
      <c r="DC98" s="5"/>
      <c r="DD98" s="78">
        <v>160.26562450566868</v>
      </c>
      <c r="DE98" s="43">
        <v>619.64272494072293</v>
      </c>
      <c r="DF98" s="5"/>
      <c r="DG98" s="78">
        <v>63.506112576590589</v>
      </c>
      <c r="DH98" s="43"/>
      <c r="DI98" s="5"/>
      <c r="DJ98" s="43">
        <v>984.13802347317619</v>
      </c>
      <c r="DK98" s="43">
        <f t="shared" si="14"/>
        <v>4451.6887989154229</v>
      </c>
      <c r="DL98" s="59">
        <f t="shared" si="15"/>
        <v>3467.550775442247</v>
      </c>
    </row>
    <row r="99" spans="1:116" ht="24.9" customHeight="1" x14ac:dyDescent="0.3">
      <c r="A99" s="328">
        <v>150000603</v>
      </c>
      <c r="B99" s="45" t="s">
        <v>153</v>
      </c>
      <c r="C99" s="1035">
        <v>2</v>
      </c>
      <c r="D99" s="1036" t="s">
        <v>454</v>
      </c>
      <c r="E99" s="1028">
        <f>'побудинковий звіт'!E97</f>
        <v>4911.1499999999996</v>
      </c>
      <c r="F99" s="1029">
        <f>'побудинковий звіт'!AS97</f>
        <v>7229.2440461240376</v>
      </c>
      <c r="G99" s="1029">
        <f t="shared" si="8"/>
        <v>20030</v>
      </c>
      <c r="H99" s="1029">
        <f t="shared" si="9"/>
        <v>12800.755953875963</v>
      </c>
      <c r="I99" s="43">
        <f>'[1]поточний ремонт'!I99+'[2]поточний ремонт'!I99-'[3]поточний ремонт'!I99</f>
        <v>106.35</v>
      </c>
      <c r="J99" s="43">
        <f>'[1]поточний ремонт'!J99+'[2]поточний ремонт'!J99-'[3]поточний ремонт'!J99</f>
        <v>20030</v>
      </c>
      <c r="K99" s="1037"/>
      <c r="L99" s="43">
        <f>'[1]поточний ремонт'!L99+'[2]поточний ремонт'!L99-'[3]поточний ремонт'!L99</f>
        <v>0</v>
      </c>
      <c r="M99" s="43">
        <f>'[1]поточний ремонт'!M99+'[2]поточний ремонт'!M99-'[3]поточний ремонт'!M99</f>
        <v>0</v>
      </c>
      <c r="N99" s="37"/>
      <c r="O99" s="43">
        <f>'[1]поточний ремонт'!O99+'[2]поточний ремонт'!O99-'[3]поточний ремонт'!O99</f>
        <v>0</v>
      </c>
      <c r="P99" s="43">
        <f>'[1]поточний ремонт'!P99+'[2]поточний ремонт'!P99-'[3]поточний ремонт'!P99</f>
        <v>0</v>
      </c>
      <c r="Q99" s="1038"/>
      <c r="R99" s="43">
        <f>'[1]поточний ремонт'!R99+'[2]поточний ремонт'!R99-'[3]поточний ремонт'!R99</f>
        <v>0</v>
      </c>
      <c r="S99" s="43">
        <f>'[1]поточний ремонт'!S99+'[2]поточний ремонт'!S99-'[3]поточний ремонт'!S99</f>
        <v>0</v>
      </c>
      <c r="T99" s="1039"/>
      <c r="U99" s="43">
        <f>'[1]поточний ремонт'!U99+'[2]поточний ремонт'!U99-'[3]поточний ремонт'!U99</f>
        <v>0</v>
      </c>
      <c r="V99" s="43">
        <f>'[1]поточний ремонт'!V99+'[2]поточний ремонт'!V99-'[3]поточний ремонт'!V99</f>
        <v>0</v>
      </c>
      <c r="W99" s="43">
        <f>'[1]поточний ремонт'!W99+'[2]поточний ремонт'!W99-'[3]поточний ремонт'!W99</f>
        <v>0</v>
      </c>
      <c r="X99" s="43">
        <f>'[1]поточний ремонт'!X99+'[2]поточний ремонт'!X99-'[3]поточний ремонт'!X99</f>
        <v>0</v>
      </c>
      <c r="Y99" s="43">
        <f>'[1]поточний ремонт'!Y99+'[2]поточний ремонт'!Y99-'[3]поточний ремонт'!Y99</f>
        <v>0</v>
      </c>
      <c r="Z99" s="43">
        <f>'[1]поточний ремонт'!Z99+'[2]поточний ремонт'!Z99-'[3]поточний ремонт'!Z99</f>
        <v>0</v>
      </c>
      <c r="AA99" s="43">
        <f>'[1]поточний ремонт'!AA99+'[2]поточний ремонт'!AA99-'[3]поточний ремонт'!AA99</f>
        <v>0</v>
      </c>
      <c r="AB99" s="43">
        <f>'[1]поточний ремонт'!AB99+'[2]поточний ремонт'!AB99-'[3]поточний ремонт'!AB99</f>
        <v>0</v>
      </c>
      <c r="AC99" s="43">
        <f>'[1]поточний ремонт'!AC99+'[2]поточний ремонт'!AC99-'[3]поточний ремонт'!AC99</f>
        <v>0</v>
      </c>
      <c r="AD99" s="43">
        <f>'[1]поточний ремонт'!AD99+'[2]поточний ремонт'!AD99-'[3]поточний ремонт'!AD99</f>
        <v>0</v>
      </c>
      <c r="AE99" s="43">
        <f>'[1]поточний ремонт'!AE99+'[2]поточний ремонт'!AE99-'[3]поточний ремонт'!AE99</f>
        <v>393.42988603280094</v>
      </c>
      <c r="AF99" s="43">
        <f>'[1]поточний ремонт'!AF99+'[2]поточний ремонт'!AF99-'[3]поточний ремонт'!AF99</f>
        <v>0</v>
      </c>
      <c r="AG99" s="5"/>
      <c r="AH99" s="43">
        <f>'[1]поточний ремонт'!AH99+'[2]поточний ремонт'!AH99-'[3]поточний ремонт'!AH99</f>
        <v>450.9974636945696</v>
      </c>
      <c r="AI99" s="43">
        <f>'[1]поточний ремонт'!AI99+'[2]поточний ремонт'!AI99-'[3]поточний ремонт'!AI99</f>
        <v>0</v>
      </c>
      <c r="AJ99" s="5"/>
      <c r="AK99" s="43">
        <f>'[1]поточний ремонт'!AK99+'[2]поточний ремонт'!AK99-'[3]поточний ремонт'!AK99</f>
        <v>275.06486022799919</v>
      </c>
      <c r="AL99" s="43">
        <f>'[1]поточний ремонт'!AL99+'[2]поточний ремонт'!AL99-'[3]поточний ремонт'!AL99</f>
        <v>0</v>
      </c>
      <c r="AM99" s="5"/>
      <c r="AN99" s="43">
        <f>'[1]поточний ремонт'!AN99+'[2]поточний ремонт'!AN99-'[3]поточний ремонт'!AN99</f>
        <v>0</v>
      </c>
      <c r="AO99" s="43">
        <f>'[1]поточний ремонт'!AO99+'[2]поточний ремонт'!AO99-'[3]поточний ремонт'!AO99</f>
        <v>0</v>
      </c>
      <c r="AP99" s="5"/>
      <c r="AQ99" s="43">
        <f>'[1]поточний ремонт'!AQ99+'[2]поточний ремонт'!AQ99-'[3]поточний ремонт'!AQ99</f>
        <v>0</v>
      </c>
      <c r="AR99" s="43">
        <f>'[1]поточний ремонт'!AR99+'[2]поточний ремонт'!AR99-'[3]поточний ремонт'!AR99</f>
        <v>0</v>
      </c>
      <c r="AS99" s="5"/>
      <c r="AT99" s="43">
        <f>'[1]поточний ремонт'!AT99+'[2]поточний ремонт'!AT99-'[3]поточний ремонт'!AT99</f>
        <v>79.609844577948294</v>
      </c>
      <c r="AU99" s="43">
        <f>'[1]поточний ремонт'!AU99+'[2]поточний ремонт'!AU99-'[3]поточний ремонт'!AU99</f>
        <v>0</v>
      </c>
      <c r="AV99" s="5"/>
      <c r="AW99" s="43">
        <f>'[1]поточний ремонт'!AW99+'[2]поточний ремонт'!AW99-'[3]поточний ремонт'!AW99</f>
        <v>0</v>
      </c>
      <c r="AX99" s="43">
        <f>'[1]поточний ремонт'!AX99+'[2]поточний ремонт'!AX99-'[3]поточний ремонт'!AX99</f>
        <v>0</v>
      </c>
      <c r="AY99" s="5"/>
      <c r="AZ99" s="43">
        <f t="shared" si="10"/>
        <v>1199.1020545333179</v>
      </c>
      <c r="BA99" s="43">
        <f t="shared" si="11"/>
        <v>0</v>
      </c>
      <c r="BB99" s="59">
        <f t="shared" si="12"/>
        <v>-1199.1020545333179</v>
      </c>
      <c r="BD99" s="2">
        <v>2</v>
      </c>
      <c r="BF99" s="30">
        <v>0.7403580690328454</v>
      </c>
      <c r="BG99" s="328">
        <v>150000603</v>
      </c>
      <c r="BI99" s="107">
        <v>0</v>
      </c>
      <c r="BJ99" s="107">
        <f t="shared" si="13"/>
        <v>0</v>
      </c>
      <c r="BK99" s="107">
        <v>0</v>
      </c>
      <c r="BL99" s="39"/>
      <c r="BM99" s="3"/>
      <c r="BN99" s="3">
        <v>0</v>
      </c>
      <c r="BP99" s="3"/>
      <c r="BQ99" s="3"/>
      <c r="BS99" s="43"/>
      <c r="BT99" s="43">
        <v>0</v>
      </c>
      <c r="BU99" s="1037"/>
      <c r="BV99" s="42"/>
      <c r="BW99" s="43"/>
      <c r="BX99" s="37"/>
      <c r="BY99" s="78"/>
      <c r="BZ99" s="43">
        <v>0</v>
      </c>
      <c r="CA99" s="1038"/>
      <c r="CB99" s="42">
        <v>0</v>
      </c>
      <c r="CC99" s="42">
        <v>0</v>
      </c>
      <c r="CD99" s="1039"/>
      <c r="CE99" s="78">
        <v>0</v>
      </c>
      <c r="CF99" s="56"/>
      <c r="CG99" s="42">
        <v>0</v>
      </c>
      <c r="CH99" s="39">
        <v>0</v>
      </c>
      <c r="CI99" s="78">
        <v>0</v>
      </c>
      <c r="CJ99" s="56"/>
      <c r="CK99" s="1034"/>
      <c r="CL99" s="1029"/>
      <c r="CM99" s="1034"/>
      <c r="CN99" s="1029">
        <v>0</v>
      </c>
      <c r="CO99" s="78">
        <v>32.78582383606674</v>
      </c>
      <c r="CP99" s="43">
        <v>0</v>
      </c>
      <c r="CQ99" s="5"/>
      <c r="CR99" s="78">
        <v>37.583121974547481</v>
      </c>
      <c r="CS99" s="1033">
        <v>0</v>
      </c>
      <c r="CT99" s="5"/>
      <c r="CU99" s="78">
        <v>22.922071685666602</v>
      </c>
      <c r="CV99" s="43">
        <v>0</v>
      </c>
      <c r="CW99" s="5"/>
      <c r="CX99" s="78">
        <v>0</v>
      </c>
      <c r="CY99" s="43">
        <v>0</v>
      </c>
      <c r="CZ99" s="5"/>
      <c r="DA99" s="78">
        <v>0</v>
      </c>
      <c r="DB99" s="43">
        <v>0</v>
      </c>
      <c r="DC99" s="5"/>
      <c r="DD99" s="78">
        <v>6.6341537148290231</v>
      </c>
      <c r="DE99" s="43">
        <v>0</v>
      </c>
      <c r="DF99" s="5"/>
      <c r="DG99" s="78">
        <v>0</v>
      </c>
      <c r="DH99" s="43"/>
      <c r="DI99" s="5"/>
      <c r="DJ99" s="43">
        <v>99.925171211109856</v>
      </c>
      <c r="DK99" s="43">
        <f t="shared" si="14"/>
        <v>0</v>
      </c>
      <c r="DL99" s="59">
        <f t="shared" si="15"/>
        <v>-99.925171211109856</v>
      </c>
    </row>
    <row r="100" spans="1:116" ht="24.9" customHeight="1" x14ac:dyDescent="0.3">
      <c r="A100" s="328">
        <v>150001562</v>
      </c>
      <c r="B100" s="45" t="s">
        <v>208</v>
      </c>
      <c r="C100" s="1035">
        <v>4</v>
      </c>
      <c r="D100" s="1036" t="s">
        <v>454</v>
      </c>
      <c r="E100" s="1028">
        <f>'побудинковий звіт'!E98</f>
        <v>258.5</v>
      </c>
      <c r="F100" s="1029">
        <f>'побудинковий звіт'!AS98</f>
        <v>48803.335737550486</v>
      </c>
      <c r="G100" s="1029">
        <f t="shared" si="8"/>
        <v>84922</v>
      </c>
      <c r="H100" s="1029">
        <f t="shared" si="9"/>
        <v>36118.664262449514</v>
      </c>
      <c r="I100" s="43">
        <f>'[1]поточний ремонт'!I100+'[2]поточний ремонт'!I100-'[3]поточний ремонт'!I100</f>
        <v>22</v>
      </c>
      <c r="J100" s="43">
        <f>'[1]поточний ремонт'!J100+'[2]поточний ремонт'!J100-'[3]поточний ремонт'!J100</f>
        <v>49150</v>
      </c>
      <c r="K100" s="1037"/>
      <c r="L100" s="43">
        <f>'[1]поточний ремонт'!L100+'[2]поточний ремонт'!L100-'[3]поточний ремонт'!L100</f>
        <v>0</v>
      </c>
      <c r="M100" s="43">
        <f>'[1]поточний ремонт'!M100+'[2]поточний ремонт'!M100-'[3]поточний ремонт'!M100</f>
        <v>0</v>
      </c>
      <c r="N100" s="37"/>
      <c r="O100" s="43">
        <f>'[1]поточний ремонт'!O100+'[2]поточний ремонт'!O100-'[3]поточний ремонт'!O100</f>
        <v>0</v>
      </c>
      <c r="P100" s="43">
        <f>'[1]поточний ремонт'!P100+'[2]поточний ремонт'!P100-'[3]поточний ремонт'!P100</f>
        <v>0</v>
      </c>
      <c r="Q100" s="1038"/>
      <c r="R100" s="43">
        <f>'[1]поточний ремонт'!R100+'[2]поточний ремонт'!R100-'[3]поточний ремонт'!R100</f>
        <v>0</v>
      </c>
      <c r="S100" s="43">
        <f>'[1]поточний ремонт'!S100+'[2]поточний ремонт'!S100-'[3]поточний ремонт'!S100</f>
        <v>0</v>
      </c>
      <c r="T100" s="1039"/>
      <c r="U100" s="43">
        <f>'[1]поточний ремонт'!U100+'[2]поточний ремонт'!U100-'[3]поточний ремонт'!U100</f>
        <v>0</v>
      </c>
      <c r="V100" s="43">
        <f>'[1]поточний ремонт'!V100+'[2]поточний ремонт'!V100-'[3]поточний ремонт'!V100</f>
        <v>0</v>
      </c>
      <c r="W100" s="43">
        <f>'[1]поточний ремонт'!W100+'[2]поточний ремонт'!W100-'[3]поточний ремонт'!W100</f>
        <v>0</v>
      </c>
      <c r="X100" s="43">
        <f>'[1]поточний ремонт'!X100+'[2]поточний ремонт'!X100-'[3]поточний ремонт'!X100</f>
        <v>0</v>
      </c>
      <c r="Y100" s="43">
        <f>'[1]поточний ремонт'!Y100+'[2]поточний ремонт'!Y100-'[3]поточний ремонт'!Y100</f>
        <v>0</v>
      </c>
      <c r="Z100" s="43">
        <f>'[1]поточний ремонт'!Z100+'[2]поточний ремонт'!Z100-'[3]поточний ремонт'!Z100</f>
        <v>0</v>
      </c>
      <c r="AA100" s="43">
        <f>'[1]поточний ремонт'!AA100+'[2]поточний ремонт'!AA100-'[3]поточний ремонт'!AA100</f>
        <v>968</v>
      </c>
      <c r="AB100" s="43">
        <f>'[1]поточний ремонт'!AB100+'[2]поточний ремонт'!AB100-'[3]поточний ремонт'!AB100</f>
        <v>0</v>
      </c>
      <c r="AC100" s="43">
        <f>'[1]поточний ремонт'!AC100+'[2]поточний ремонт'!AC100-'[3]поточний ремонт'!AC100</f>
        <v>0</v>
      </c>
      <c r="AD100" s="43">
        <f>'[1]поточний ремонт'!AD100+'[2]поточний ремонт'!AD100-'[3]поточний ремонт'!AD100</f>
        <v>34804</v>
      </c>
      <c r="AE100" s="43">
        <f>'[1]поточний ремонт'!AE100+'[2]поточний ремонт'!AE100-'[3]поточний ремонт'!AE100</f>
        <v>1669.7180592819382</v>
      </c>
      <c r="AF100" s="43">
        <f>'[1]поточний ремонт'!AF100+'[2]поточний ремонт'!AF100-'[3]поточний ремонт'!AF100</f>
        <v>0</v>
      </c>
      <c r="AG100" s="5"/>
      <c r="AH100" s="43">
        <f>'[1]поточний ремонт'!AH100+'[2]поточний ремонт'!AH100-'[3]поточний ремонт'!AH100</f>
        <v>1214.0218303771728</v>
      </c>
      <c r="AI100" s="43">
        <f>'[1]поточний ремонт'!AI100+'[2]поточний ремонт'!AI100-'[3]поточний ремонт'!AI100</f>
        <v>0</v>
      </c>
      <c r="AJ100" s="5"/>
      <c r="AK100" s="43">
        <f>'[1]поточний ремонт'!AK100+'[2]поточний ремонт'!AK100-'[3]поточний ремонт'!AK100</f>
        <v>0</v>
      </c>
      <c r="AL100" s="43">
        <f>'[1]поточний ремонт'!AL100+'[2]поточний ремонт'!AL100-'[3]поточний ремонт'!AL100</f>
        <v>0</v>
      </c>
      <c r="AM100" s="5"/>
      <c r="AN100" s="43">
        <f>'[1]поточний ремонт'!AN100+'[2]поточний ремонт'!AN100-'[3]поточний ремонт'!AN100</f>
        <v>0</v>
      </c>
      <c r="AO100" s="43">
        <f>'[1]поточний ремонт'!AO100+'[2]поточний ремонт'!AO100-'[3]поточний ремонт'!AO100</f>
        <v>0</v>
      </c>
      <c r="AP100" s="5"/>
      <c r="AQ100" s="43">
        <f>'[1]поточний ремонт'!AQ100+'[2]поточний ремонт'!AQ100-'[3]поточний ремонт'!AQ100</f>
        <v>0</v>
      </c>
      <c r="AR100" s="43">
        <f>'[1]поточний ремонт'!AR100+'[2]поточний ремонт'!AR100-'[3]поточний ремонт'!AR100</f>
        <v>0</v>
      </c>
      <c r="AS100" s="5"/>
      <c r="AT100" s="43">
        <f>'[1]поточний ремонт'!AT100+'[2]поточний ремонт'!AT100-'[3]поточний ремонт'!AT100</f>
        <v>726.96398860742875</v>
      </c>
      <c r="AU100" s="43">
        <f>'[1]поточний ремонт'!AU100+'[2]поточний ремонт'!AU100-'[3]поточний ремонт'!AU100</f>
        <v>0</v>
      </c>
      <c r="AV100" s="5"/>
      <c r="AW100" s="43">
        <f>'[1]поточний ремонт'!AW100+'[2]поточний ремонт'!AW100-'[3]поточний ремонт'!AW100</f>
        <v>0</v>
      </c>
      <c r="AX100" s="43">
        <f>'[1]поточний ремонт'!AX100+'[2]поточний ремонт'!AX100-'[3]поточний ремонт'!AX100</f>
        <v>0</v>
      </c>
      <c r="AY100" s="5"/>
      <c r="AZ100" s="43">
        <f t="shared" si="10"/>
        <v>3610.70387826654</v>
      </c>
      <c r="BA100" s="43">
        <f t="shared" si="11"/>
        <v>0</v>
      </c>
      <c r="BB100" s="59">
        <f t="shared" si="12"/>
        <v>-3610.70387826654</v>
      </c>
      <c r="BD100" s="2">
        <v>2</v>
      </c>
      <c r="BF100" s="30">
        <v>3.5564645849180874</v>
      </c>
      <c r="BG100" s="328">
        <v>150001562</v>
      </c>
      <c r="BI100" s="107">
        <v>0</v>
      </c>
      <c r="BJ100" s="107">
        <f t="shared" si="13"/>
        <v>0</v>
      </c>
      <c r="BK100" s="107">
        <v>0</v>
      </c>
      <c r="BL100" s="39"/>
      <c r="BM100" s="3"/>
      <c r="BN100" s="3">
        <v>0</v>
      </c>
      <c r="BP100" s="3"/>
      <c r="BQ100" s="3"/>
      <c r="BS100" s="43"/>
      <c r="BT100" s="43">
        <v>0</v>
      </c>
      <c r="BU100" s="1037"/>
      <c r="BV100" s="42"/>
      <c r="BW100" s="43"/>
      <c r="BX100" s="37"/>
      <c r="BY100" s="78"/>
      <c r="BZ100" s="43">
        <v>0</v>
      </c>
      <c r="CA100" s="1038"/>
      <c r="CB100" s="42">
        <v>0</v>
      </c>
      <c r="CC100" s="42">
        <v>0</v>
      </c>
      <c r="CD100" s="1039"/>
      <c r="CE100" s="78">
        <v>0</v>
      </c>
      <c r="CF100" s="56"/>
      <c r="CG100" s="42">
        <v>0</v>
      </c>
      <c r="CH100" s="39">
        <v>0</v>
      </c>
      <c r="CI100" s="78">
        <v>0</v>
      </c>
      <c r="CJ100" s="56"/>
      <c r="CK100" s="1034"/>
      <c r="CL100" s="1029"/>
      <c r="CM100" s="1034"/>
      <c r="CN100" s="1029">
        <v>0</v>
      </c>
      <c r="CO100" s="78">
        <v>139.14317160682816</v>
      </c>
      <c r="CP100" s="43">
        <v>0</v>
      </c>
      <c r="CQ100" s="5"/>
      <c r="CR100" s="78">
        <v>101.16848586476439</v>
      </c>
      <c r="CS100" s="1033">
        <v>0</v>
      </c>
      <c r="CT100" s="5"/>
      <c r="CU100" s="78">
        <v>0</v>
      </c>
      <c r="CV100" s="43">
        <v>0</v>
      </c>
      <c r="CW100" s="5"/>
      <c r="CX100" s="78">
        <v>0</v>
      </c>
      <c r="CY100" s="43">
        <v>0</v>
      </c>
      <c r="CZ100" s="5"/>
      <c r="DA100" s="78">
        <v>0</v>
      </c>
      <c r="DB100" s="43">
        <v>0</v>
      </c>
      <c r="DC100" s="5"/>
      <c r="DD100" s="78">
        <v>60.580332383952396</v>
      </c>
      <c r="DE100" s="43">
        <v>0</v>
      </c>
      <c r="DF100" s="5"/>
      <c r="DG100" s="78">
        <v>0</v>
      </c>
      <c r="DH100" s="43"/>
      <c r="DI100" s="5"/>
      <c r="DJ100" s="43">
        <v>300.89198985554492</v>
      </c>
      <c r="DK100" s="43">
        <f t="shared" si="14"/>
        <v>0</v>
      </c>
      <c r="DL100" s="59">
        <f t="shared" si="15"/>
        <v>-300.89198985554492</v>
      </c>
    </row>
    <row r="101" spans="1:116" ht="24.9" customHeight="1" x14ac:dyDescent="0.3">
      <c r="A101" s="328">
        <v>150000604</v>
      </c>
      <c r="B101" s="45" t="s">
        <v>154</v>
      </c>
      <c r="C101" s="1035">
        <v>2</v>
      </c>
      <c r="D101" s="1036" t="s">
        <v>454</v>
      </c>
      <c r="E101" s="1028">
        <f>'побудинковий звіт'!E99</f>
        <v>9763</v>
      </c>
      <c r="F101" s="1029">
        <f>'побудинковий звіт'!AS99</f>
        <v>4734.2485606678065</v>
      </c>
      <c r="G101" s="1029">
        <f t="shared" si="8"/>
        <v>17342</v>
      </c>
      <c r="H101" s="1029">
        <f t="shared" si="9"/>
        <v>12607.751439332194</v>
      </c>
      <c r="I101" s="43">
        <f>'[1]поточний ремонт'!I101+'[2]поточний ремонт'!I101-'[3]поточний ремонт'!I101</f>
        <v>29.5</v>
      </c>
      <c r="J101" s="43">
        <f>'[1]поточний ремонт'!J101+'[2]поточний ремонт'!J101-'[3]поточний ремонт'!J101</f>
        <v>17342</v>
      </c>
      <c r="K101" s="1037"/>
      <c r="L101" s="43">
        <f>'[1]поточний ремонт'!L101+'[2]поточний ремонт'!L101-'[3]поточний ремонт'!L101</f>
        <v>0</v>
      </c>
      <c r="M101" s="43">
        <f>'[1]поточний ремонт'!M101+'[2]поточний ремонт'!M101-'[3]поточний ремонт'!M101</f>
        <v>0</v>
      </c>
      <c r="N101" s="37"/>
      <c r="O101" s="43">
        <f>'[1]поточний ремонт'!O101+'[2]поточний ремонт'!O101-'[3]поточний ремонт'!O101</f>
        <v>0</v>
      </c>
      <c r="P101" s="43">
        <f>'[1]поточний ремонт'!P101+'[2]поточний ремонт'!P101-'[3]поточний ремонт'!P101</f>
        <v>0</v>
      </c>
      <c r="Q101" s="1038"/>
      <c r="R101" s="43">
        <f>'[1]поточний ремонт'!R101+'[2]поточний ремонт'!R101-'[3]поточний ремонт'!R101</f>
        <v>0</v>
      </c>
      <c r="S101" s="43">
        <f>'[1]поточний ремонт'!S101+'[2]поточний ремонт'!S101-'[3]поточний ремонт'!S101</f>
        <v>0</v>
      </c>
      <c r="T101" s="1039"/>
      <c r="U101" s="43">
        <f>'[1]поточний ремонт'!U101+'[2]поточний ремонт'!U101-'[3]поточний ремонт'!U101</f>
        <v>0</v>
      </c>
      <c r="V101" s="43">
        <f>'[1]поточний ремонт'!V101+'[2]поточний ремонт'!V101-'[3]поточний ремонт'!V101</f>
        <v>0</v>
      </c>
      <c r="W101" s="43">
        <f>'[1]поточний ремонт'!W101+'[2]поточний ремонт'!W101-'[3]поточний ремонт'!W101</f>
        <v>0</v>
      </c>
      <c r="X101" s="43">
        <f>'[1]поточний ремонт'!X101+'[2]поточний ремонт'!X101-'[3]поточний ремонт'!X101</f>
        <v>0</v>
      </c>
      <c r="Y101" s="43">
        <f>'[1]поточний ремонт'!Y101+'[2]поточний ремонт'!Y101-'[3]поточний ремонт'!Y101</f>
        <v>0</v>
      </c>
      <c r="Z101" s="43">
        <f>'[1]поточний ремонт'!Z101+'[2]поточний ремонт'!Z101-'[3]поточний ремонт'!Z101</f>
        <v>0</v>
      </c>
      <c r="AA101" s="43">
        <f>'[1]поточний ремонт'!AA101+'[2]поточний ремонт'!AA101-'[3]поточний ремонт'!AA101</f>
        <v>0</v>
      </c>
      <c r="AB101" s="43">
        <f>'[1]поточний ремонт'!AB101+'[2]поточний ремонт'!AB101-'[3]поточний ремонт'!AB101</f>
        <v>0</v>
      </c>
      <c r="AC101" s="43">
        <f>'[1]поточний ремонт'!AC101+'[2]поточний ремонт'!AC101-'[3]поточний ремонт'!AC101</f>
        <v>0</v>
      </c>
      <c r="AD101" s="43">
        <f>'[1]поточний ремонт'!AD101+'[2]поточний ремонт'!AD101-'[3]поточний ремонт'!AD101</f>
        <v>0</v>
      </c>
      <c r="AE101" s="43">
        <f>'[1]поточний ремонт'!AE101+'[2]поточний ремонт'!AE101-'[3]поточний ремонт'!AE101</f>
        <v>369.88259994927745</v>
      </c>
      <c r="AF101" s="43">
        <f>'[1]поточний ремонт'!AF101+'[2]поточний ремонт'!AF101-'[3]поточний ремонт'!AF101</f>
        <v>0</v>
      </c>
      <c r="AG101" s="5"/>
      <c r="AH101" s="43">
        <f>'[1]поточний ремонт'!AH101+'[2]поточний ремонт'!AH101-'[3]поточний ремонт'!AH101</f>
        <v>445.34516002577487</v>
      </c>
      <c r="AI101" s="43">
        <f>'[1]поточний ремонт'!AI101+'[2]поточний ремонт'!AI101-'[3]поточний ремонт'!AI101</f>
        <v>0</v>
      </c>
      <c r="AJ101" s="5"/>
      <c r="AK101" s="43">
        <f>'[1]поточний ремонт'!AK101+'[2]поточний ремонт'!AK101-'[3]поточний ремонт'!AK101</f>
        <v>224.88784326123499</v>
      </c>
      <c r="AL101" s="43">
        <f>'[1]поточний ремонт'!AL101+'[2]поточний ремонт'!AL101-'[3]поточний ремонт'!AL101</f>
        <v>0</v>
      </c>
      <c r="AM101" s="5"/>
      <c r="AN101" s="43">
        <f>'[1]поточний ремонт'!AN101+'[2]поточний ремонт'!AN101-'[3]поточний ремонт'!AN101</f>
        <v>0</v>
      </c>
      <c r="AO101" s="43">
        <f>'[1]поточний ремонт'!AO101+'[2]поточний ремонт'!AO101-'[3]поточний ремонт'!AO101</f>
        <v>0</v>
      </c>
      <c r="AP101" s="5"/>
      <c r="AQ101" s="43">
        <f>'[1]поточний ремонт'!AQ101+'[2]поточний ремонт'!AQ101-'[3]поточний ремонт'!AQ101</f>
        <v>0</v>
      </c>
      <c r="AR101" s="43">
        <f>'[1]поточний ремонт'!AR101+'[2]поточний ремонт'!AR101-'[3]поточний ремонт'!AR101</f>
        <v>0</v>
      </c>
      <c r="AS101" s="5"/>
      <c r="AT101" s="43">
        <f>'[1]поточний ремонт'!AT101+'[2]поточний ремонт'!AT101-'[3]поточний ремонт'!AT101</f>
        <v>79.238667330205828</v>
      </c>
      <c r="AU101" s="43">
        <f>'[1]поточний ремонт'!AU101+'[2]поточний ремонт'!AU101-'[3]поточний ремонт'!AU101</f>
        <v>0</v>
      </c>
      <c r="AV101" s="5"/>
      <c r="AW101" s="43">
        <f>'[1]поточний ремонт'!AW101+'[2]поточний ремонт'!AW101-'[3]поточний ремонт'!AW101</f>
        <v>0</v>
      </c>
      <c r="AX101" s="43">
        <f>'[1]поточний ремонт'!AX101+'[2]поточний ремонт'!AX101-'[3]поточний ремонт'!AX101</f>
        <v>0</v>
      </c>
      <c r="AY101" s="5"/>
      <c r="AZ101" s="43">
        <f t="shared" si="10"/>
        <v>1119.3542705664931</v>
      </c>
      <c r="BA101" s="43">
        <f t="shared" si="11"/>
        <v>0</v>
      </c>
      <c r="BB101" s="59">
        <f t="shared" si="12"/>
        <v>-1119.3542705664931</v>
      </c>
      <c r="BD101" s="2">
        <v>2</v>
      </c>
      <c r="BF101" s="30">
        <v>0.66031935886713244</v>
      </c>
      <c r="BG101" s="328">
        <v>150000604</v>
      </c>
      <c r="BI101" s="107">
        <v>0</v>
      </c>
      <c r="BJ101" s="107">
        <f t="shared" si="13"/>
        <v>0</v>
      </c>
      <c r="BK101" s="107">
        <v>0</v>
      </c>
      <c r="BL101" s="39"/>
      <c r="BM101" s="3"/>
      <c r="BN101" s="3">
        <v>0</v>
      </c>
      <c r="BP101" s="3"/>
      <c r="BQ101" s="3"/>
      <c r="BS101" s="43"/>
      <c r="BT101" s="43">
        <v>0</v>
      </c>
      <c r="BU101" s="1037"/>
      <c r="BV101" s="42"/>
      <c r="BW101" s="43"/>
      <c r="BX101" s="37"/>
      <c r="BY101" s="78"/>
      <c r="BZ101" s="43">
        <v>0</v>
      </c>
      <c r="CA101" s="1038"/>
      <c r="CB101" s="42">
        <v>0</v>
      </c>
      <c r="CC101" s="42">
        <v>0</v>
      </c>
      <c r="CD101" s="1039"/>
      <c r="CE101" s="78">
        <v>0</v>
      </c>
      <c r="CF101" s="56"/>
      <c r="CG101" s="42">
        <v>0</v>
      </c>
      <c r="CH101" s="39">
        <v>0</v>
      </c>
      <c r="CI101" s="78">
        <v>0</v>
      </c>
      <c r="CJ101" s="56"/>
      <c r="CK101" s="1034"/>
      <c r="CL101" s="1029"/>
      <c r="CM101" s="1034"/>
      <c r="CN101" s="1029">
        <v>0</v>
      </c>
      <c r="CO101" s="78">
        <v>30.823549995773117</v>
      </c>
      <c r="CP101" s="43">
        <v>0</v>
      </c>
      <c r="CQ101" s="5"/>
      <c r="CR101" s="78">
        <v>37.11209666881458</v>
      </c>
      <c r="CS101" s="1033">
        <v>0</v>
      </c>
      <c r="CT101" s="5"/>
      <c r="CU101" s="78">
        <v>18.740653605102914</v>
      </c>
      <c r="CV101" s="43">
        <v>0</v>
      </c>
      <c r="CW101" s="5"/>
      <c r="CX101" s="78">
        <v>0</v>
      </c>
      <c r="CY101" s="43">
        <v>0</v>
      </c>
      <c r="CZ101" s="5"/>
      <c r="DA101" s="78">
        <v>0</v>
      </c>
      <c r="DB101" s="43">
        <v>0</v>
      </c>
      <c r="DC101" s="5"/>
      <c r="DD101" s="78">
        <v>6.603222277517153</v>
      </c>
      <c r="DE101" s="43">
        <v>0</v>
      </c>
      <c r="DF101" s="5"/>
      <c r="DG101" s="78">
        <v>0</v>
      </c>
      <c r="DH101" s="43"/>
      <c r="DI101" s="5"/>
      <c r="DJ101" s="43">
        <v>93.279522547207762</v>
      </c>
      <c r="DK101" s="43">
        <f t="shared" si="14"/>
        <v>0</v>
      </c>
      <c r="DL101" s="59">
        <f t="shared" si="15"/>
        <v>-93.279522547207762</v>
      </c>
    </row>
    <row r="102" spans="1:116" ht="24.9" customHeight="1" x14ac:dyDescent="0.3">
      <c r="A102" s="328">
        <v>150000605</v>
      </c>
      <c r="B102" s="45" t="s">
        <v>155</v>
      </c>
      <c r="C102" s="1035">
        <v>2</v>
      </c>
      <c r="D102" s="1036" t="s">
        <v>454</v>
      </c>
      <c r="E102" s="1028">
        <f>'побудинковий звіт'!E100</f>
        <v>308.10000000000002</v>
      </c>
      <c r="F102" s="1029">
        <f>'побудинковий звіт'!AS100</f>
        <v>5949.048823664667</v>
      </c>
      <c r="G102" s="1029">
        <f t="shared" si="8"/>
        <v>19215</v>
      </c>
      <c r="H102" s="1029">
        <f t="shared" si="9"/>
        <v>13265.951176335333</v>
      </c>
      <c r="I102" s="43">
        <f>'[1]поточний ремонт'!I102+'[2]поточний ремонт'!I102-'[3]поточний ремонт'!I102</f>
        <v>99.32</v>
      </c>
      <c r="J102" s="43">
        <f>'[1]поточний ремонт'!J102+'[2]поточний ремонт'!J102-'[3]поточний ремонт'!J102</f>
        <v>19215</v>
      </c>
      <c r="K102" s="1037"/>
      <c r="L102" s="43">
        <f>'[1]поточний ремонт'!L102+'[2]поточний ремонт'!L102-'[3]поточний ремонт'!L102</f>
        <v>0</v>
      </c>
      <c r="M102" s="43">
        <f>'[1]поточний ремонт'!M102+'[2]поточний ремонт'!M102-'[3]поточний ремонт'!M102</f>
        <v>0</v>
      </c>
      <c r="N102" s="1040"/>
      <c r="O102" s="43">
        <f>'[1]поточний ремонт'!O102+'[2]поточний ремонт'!O102-'[3]поточний ремонт'!O102</f>
        <v>0</v>
      </c>
      <c r="P102" s="43">
        <f>'[1]поточний ремонт'!P102+'[2]поточний ремонт'!P102-'[3]поточний ремонт'!P102</f>
        <v>0</v>
      </c>
      <c r="Q102" s="1038"/>
      <c r="R102" s="43">
        <f>'[1]поточний ремонт'!R102+'[2]поточний ремонт'!R102-'[3]поточний ремонт'!R102</f>
        <v>0</v>
      </c>
      <c r="S102" s="43">
        <f>'[1]поточний ремонт'!S102+'[2]поточний ремонт'!S102-'[3]поточний ремонт'!S102</f>
        <v>0</v>
      </c>
      <c r="T102" s="1039"/>
      <c r="U102" s="43">
        <f>'[1]поточний ремонт'!U102+'[2]поточний ремонт'!U102-'[3]поточний ремонт'!U102</f>
        <v>0</v>
      </c>
      <c r="V102" s="43">
        <f>'[1]поточний ремонт'!V102+'[2]поточний ремонт'!V102-'[3]поточний ремонт'!V102</f>
        <v>0</v>
      </c>
      <c r="W102" s="43">
        <f>'[1]поточний ремонт'!W102+'[2]поточний ремонт'!W102-'[3]поточний ремонт'!W102</f>
        <v>0</v>
      </c>
      <c r="X102" s="43">
        <f>'[1]поточний ремонт'!X102+'[2]поточний ремонт'!X102-'[3]поточний ремонт'!X102</f>
        <v>0</v>
      </c>
      <c r="Y102" s="43">
        <f>'[1]поточний ремонт'!Y102+'[2]поточний ремонт'!Y102-'[3]поточний ремонт'!Y102</f>
        <v>0</v>
      </c>
      <c r="Z102" s="43">
        <f>'[1]поточний ремонт'!Z102+'[2]поточний ремонт'!Z102-'[3]поточний ремонт'!Z102</f>
        <v>0</v>
      </c>
      <c r="AA102" s="43">
        <f>'[1]поточний ремонт'!AA102+'[2]поточний ремонт'!AA102-'[3]поточний ремонт'!AA102</f>
        <v>0</v>
      </c>
      <c r="AB102" s="43">
        <f>'[1]поточний ремонт'!AB102+'[2]поточний ремонт'!AB102-'[3]поточний ремонт'!AB102</f>
        <v>0</v>
      </c>
      <c r="AC102" s="43">
        <f>'[1]поточний ремонт'!AC102+'[2]поточний ремонт'!AC102-'[3]поточний ремонт'!AC102</f>
        <v>0</v>
      </c>
      <c r="AD102" s="43">
        <f>'[1]поточний ремонт'!AD102+'[2]поточний ремонт'!AD102-'[3]поточний ремонт'!AD102</f>
        <v>0</v>
      </c>
      <c r="AE102" s="43">
        <f>'[1]поточний ремонт'!AE102+'[2]поточний ремонт'!AE102-'[3]поточний ремонт'!AE102</f>
        <v>375.7494945091467</v>
      </c>
      <c r="AF102" s="43">
        <f>'[1]поточний ремонт'!AF102+'[2]поточний ремонт'!AF102-'[3]поточний ремонт'!AF102</f>
        <v>0</v>
      </c>
      <c r="AG102" s="5"/>
      <c r="AH102" s="43">
        <f>'[1]поточний ремонт'!AH102+'[2]поточний ремонт'!AH102-'[3]поточний ремонт'!AH102</f>
        <v>527.03725495094034</v>
      </c>
      <c r="AI102" s="43">
        <f>'[1]поточний ремонт'!AI102+'[2]поточний ремонт'!AI102-'[3]поточний ремонт'!AI102</f>
        <v>0</v>
      </c>
      <c r="AJ102" s="5"/>
      <c r="AK102" s="43">
        <f>'[1]поточний ремонт'!AK102+'[2]поточний ремонт'!AK102-'[3]поточний ремонт'!AK102</f>
        <v>161.57824736809303</v>
      </c>
      <c r="AL102" s="43">
        <f>'[1]поточний ремонт'!AL102+'[2]поточний ремонт'!AL102-'[3]поточний ремонт'!AL102</f>
        <v>0</v>
      </c>
      <c r="AM102" s="5"/>
      <c r="AN102" s="43">
        <f>'[1]поточний ремонт'!AN102+'[2]поточний ремонт'!AN102-'[3]поточний ремонт'!AN102</f>
        <v>0</v>
      </c>
      <c r="AO102" s="43">
        <f>'[1]поточний ремонт'!AO102+'[2]поточний ремонт'!AO102-'[3]поточний ремонт'!AO102</f>
        <v>0</v>
      </c>
      <c r="AP102" s="5"/>
      <c r="AQ102" s="43">
        <f>'[1]поточний ремонт'!AQ102+'[2]поточний ремонт'!AQ102-'[3]поточний ремонт'!AQ102</f>
        <v>0</v>
      </c>
      <c r="AR102" s="43">
        <f>'[1]поточний ремонт'!AR102+'[2]поточний ремонт'!AR102-'[3]поточний ремонт'!AR102</f>
        <v>0</v>
      </c>
      <c r="AS102" s="5"/>
      <c r="AT102" s="43">
        <f>'[1]поточний ремонт'!AT102+'[2]поточний ремонт'!AT102-'[3]поточний ремонт'!AT102</f>
        <v>59.168551776459466</v>
      </c>
      <c r="AU102" s="43">
        <f>'[1]поточний ремонт'!AU102+'[2]поточний ремонт'!AU102-'[3]поточний ремонт'!AU102</f>
        <v>0</v>
      </c>
      <c r="AV102" s="5"/>
      <c r="AW102" s="43">
        <f>'[1]поточний ремонт'!AW102+'[2]поточний ремонт'!AW102-'[3]поточний ремонт'!AW102</f>
        <v>0</v>
      </c>
      <c r="AX102" s="43">
        <f>'[1]поточний ремонт'!AX102+'[2]поточний ремонт'!AX102-'[3]поточний ремонт'!AX102</f>
        <v>0</v>
      </c>
      <c r="AY102" s="5"/>
      <c r="AZ102" s="43">
        <f t="shared" si="10"/>
        <v>1123.5335486046397</v>
      </c>
      <c r="BA102" s="43">
        <f t="shared" si="11"/>
        <v>0</v>
      </c>
      <c r="BB102" s="59">
        <f t="shared" si="12"/>
        <v>-1123.5335486046397</v>
      </c>
      <c r="BD102" s="2">
        <v>2</v>
      </c>
      <c r="BF102" s="30">
        <v>0.55355239329936556</v>
      </c>
      <c r="BG102" s="328">
        <v>150000605</v>
      </c>
      <c r="BI102" s="107">
        <v>0</v>
      </c>
      <c r="BJ102" s="107">
        <f t="shared" si="13"/>
        <v>0</v>
      </c>
      <c r="BK102" s="107">
        <v>0</v>
      </c>
      <c r="BL102" s="39"/>
      <c r="BM102" s="3"/>
      <c r="BN102" s="3">
        <v>0</v>
      </c>
      <c r="BP102" s="3"/>
      <c r="BQ102" s="3"/>
      <c r="BS102" s="43"/>
      <c r="BT102" s="43">
        <v>0</v>
      </c>
      <c r="BU102" s="1037"/>
      <c r="BV102" s="42"/>
      <c r="BW102" s="43"/>
      <c r="BX102" s="1040"/>
      <c r="BY102" s="78"/>
      <c r="BZ102" s="43">
        <v>0</v>
      </c>
      <c r="CA102" s="1038"/>
      <c r="CB102" s="42">
        <v>0</v>
      </c>
      <c r="CC102" s="42">
        <v>0</v>
      </c>
      <c r="CD102" s="1039"/>
      <c r="CE102" s="78">
        <v>0</v>
      </c>
      <c r="CF102" s="56"/>
      <c r="CG102" s="42">
        <v>0</v>
      </c>
      <c r="CH102" s="39">
        <v>0</v>
      </c>
      <c r="CI102" s="78">
        <v>0</v>
      </c>
      <c r="CJ102" s="56"/>
      <c r="CK102" s="1034"/>
      <c r="CL102" s="1029"/>
      <c r="CM102" s="1034"/>
      <c r="CN102" s="1029">
        <v>0</v>
      </c>
      <c r="CO102" s="78">
        <v>31.312457875762227</v>
      </c>
      <c r="CP102" s="43">
        <v>0</v>
      </c>
      <c r="CQ102" s="5"/>
      <c r="CR102" s="78">
        <v>43.91977124591169</v>
      </c>
      <c r="CS102" s="1033">
        <v>0</v>
      </c>
      <c r="CT102" s="5"/>
      <c r="CU102" s="78">
        <v>13.464853947341089</v>
      </c>
      <c r="CV102" s="43">
        <v>0</v>
      </c>
      <c r="CW102" s="5"/>
      <c r="CX102" s="78">
        <v>0</v>
      </c>
      <c r="CY102" s="43">
        <v>0</v>
      </c>
      <c r="CZ102" s="5"/>
      <c r="DA102" s="78">
        <v>0</v>
      </c>
      <c r="DB102" s="43">
        <v>0</v>
      </c>
      <c r="DC102" s="5"/>
      <c r="DD102" s="78">
        <v>4.9307126480382886</v>
      </c>
      <c r="DE102" s="43">
        <v>0</v>
      </c>
      <c r="DF102" s="5"/>
      <c r="DG102" s="78">
        <v>0</v>
      </c>
      <c r="DH102" s="43"/>
      <c r="DI102" s="5"/>
      <c r="DJ102" s="43">
        <v>93.627795717053303</v>
      </c>
      <c r="DK102" s="43">
        <f t="shared" si="14"/>
        <v>0</v>
      </c>
      <c r="DL102" s="59">
        <f t="shared" si="15"/>
        <v>-93.627795717053303</v>
      </c>
    </row>
    <row r="103" spans="1:116" ht="24.9" customHeight="1" x14ac:dyDescent="0.3">
      <c r="A103" s="328">
        <v>150000606</v>
      </c>
      <c r="B103" s="45" t="s">
        <v>156</v>
      </c>
      <c r="C103" s="1035">
        <v>2</v>
      </c>
      <c r="D103" s="1036" t="s">
        <v>454</v>
      </c>
      <c r="E103" s="1028">
        <f>'побудинковий звіт'!E101</f>
        <v>1861.07</v>
      </c>
      <c r="F103" s="1029">
        <f>'побудинковий звіт'!AS101</f>
        <v>13316.438056097235</v>
      </c>
      <c r="G103" s="1029">
        <f t="shared" si="8"/>
        <v>14799</v>
      </c>
      <c r="H103" s="1029">
        <f t="shared" si="9"/>
        <v>1482.5619439027651</v>
      </c>
      <c r="I103" s="43">
        <f>'[1]поточний ремонт'!I103+'[2]поточний ремонт'!I103-'[3]поточний ремонт'!I103</f>
        <v>58</v>
      </c>
      <c r="J103" s="43">
        <f>'[1]поточний ремонт'!J103+'[2]поточний ремонт'!J103-'[3]поточний ремонт'!J103</f>
        <v>14799</v>
      </c>
      <c r="K103" s="1037"/>
      <c r="L103" s="43">
        <f>'[1]поточний ремонт'!L103+'[2]поточний ремонт'!L103-'[3]поточний ремонт'!L103</f>
        <v>0</v>
      </c>
      <c r="M103" s="43">
        <f>'[1]поточний ремонт'!M103+'[2]поточний ремонт'!M103-'[3]поточний ремонт'!M103</f>
        <v>0</v>
      </c>
      <c r="N103" s="37"/>
      <c r="O103" s="43">
        <f>'[1]поточний ремонт'!O103+'[2]поточний ремонт'!O103-'[3]поточний ремонт'!O103</f>
        <v>0</v>
      </c>
      <c r="P103" s="43">
        <f>'[1]поточний ремонт'!P103+'[2]поточний ремонт'!P103-'[3]поточний ремонт'!P103</f>
        <v>0</v>
      </c>
      <c r="Q103" s="1038"/>
      <c r="R103" s="43">
        <f>'[1]поточний ремонт'!R103+'[2]поточний ремонт'!R103-'[3]поточний ремонт'!R103</f>
        <v>0</v>
      </c>
      <c r="S103" s="43">
        <f>'[1]поточний ремонт'!S103+'[2]поточний ремонт'!S103-'[3]поточний ремонт'!S103</f>
        <v>0</v>
      </c>
      <c r="T103" s="1039"/>
      <c r="U103" s="43">
        <f>'[1]поточний ремонт'!U103+'[2]поточний ремонт'!U103-'[3]поточний ремонт'!U103</f>
        <v>0</v>
      </c>
      <c r="V103" s="43">
        <f>'[1]поточний ремонт'!V103+'[2]поточний ремонт'!V103-'[3]поточний ремонт'!V103</f>
        <v>0</v>
      </c>
      <c r="W103" s="43">
        <f>'[1]поточний ремонт'!W103+'[2]поточний ремонт'!W103-'[3]поточний ремонт'!W103</f>
        <v>0</v>
      </c>
      <c r="X103" s="43">
        <f>'[1]поточний ремонт'!X103+'[2]поточний ремонт'!X103-'[3]поточний ремонт'!X103</f>
        <v>0</v>
      </c>
      <c r="Y103" s="43">
        <f>'[1]поточний ремонт'!Y103+'[2]поточний ремонт'!Y103-'[3]поточний ремонт'!Y103</f>
        <v>0</v>
      </c>
      <c r="Z103" s="43">
        <f>'[1]поточний ремонт'!Z103+'[2]поточний ремонт'!Z103-'[3]поточний ремонт'!Z103</f>
        <v>0</v>
      </c>
      <c r="AA103" s="43">
        <f>'[1]поточний ремонт'!AA103+'[2]поточний ремонт'!AA103-'[3]поточний ремонт'!AA103</f>
        <v>0</v>
      </c>
      <c r="AB103" s="43">
        <f>'[1]поточний ремонт'!AB103+'[2]поточний ремонт'!AB103-'[3]поточний ремонт'!AB103</f>
        <v>0</v>
      </c>
      <c r="AC103" s="43">
        <f>'[1]поточний ремонт'!AC103+'[2]поточний ремонт'!AC103-'[3]поточний ремонт'!AC103</f>
        <v>0</v>
      </c>
      <c r="AD103" s="43">
        <f>'[1]поточний ремонт'!AD103+'[2]поточний ремонт'!AD103-'[3]поточний ремонт'!AD103</f>
        <v>0</v>
      </c>
      <c r="AE103" s="43">
        <f>'[1]поточний ремонт'!AE103+'[2]поточний ремонт'!AE103-'[3]поточний ремонт'!AE103</f>
        <v>778.98413731632706</v>
      </c>
      <c r="AF103" s="43">
        <f>'[1]поточний ремонт'!AF103+'[2]поточний ремонт'!AF103-'[3]поточний ремонт'!AF103</f>
        <v>0</v>
      </c>
      <c r="AG103" s="5"/>
      <c r="AH103" s="43">
        <f>'[1]поточний ремонт'!AH103+'[2]поточний ремонт'!AH103-'[3]поточний ремонт'!AH103</f>
        <v>948.60920210246854</v>
      </c>
      <c r="AI103" s="43">
        <f>'[1]поточний ремонт'!AI103+'[2]поточний ремонт'!AI103-'[3]поточний ремонт'!AI103</f>
        <v>0</v>
      </c>
      <c r="AJ103" s="5"/>
      <c r="AK103" s="43">
        <f>'[1]поточний ремонт'!AK103+'[2]поточний ремонт'!AK103-'[3]поточний ремонт'!AK103</f>
        <v>384.71973377700328</v>
      </c>
      <c r="AL103" s="43">
        <f>'[1]поточний ремонт'!AL103+'[2]поточний ремонт'!AL103-'[3]поточний ремонт'!AL103</f>
        <v>0</v>
      </c>
      <c r="AM103" s="5"/>
      <c r="AN103" s="43">
        <f>'[1]поточний ремонт'!AN103+'[2]поточний ремонт'!AN103-'[3]поточний ремонт'!AN103</f>
        <v>0</v>
      </c>
      <c r="AO103" s="43">
        <f>'[1]поточний ремонт'!AO103+'[2]поточний ремонт'!AO103-'[3]поточний ремонт'!AO103</f>
        <v>0</v>
      </c>
      <c r="AP103" s="5"/>
      <c r="AQ103" s="43">
        <f>'[1]поточний ремонт'!AQ103+'[2]поточний ремонт'!AQ103-'[3]поточний ремонт'!AQ103</f>
        <v>0</v>
      </c>
      <c r="AR103" s="43">
        <f>'[1]поточний ремонт'!AR103+'[2]поточний ремонт'!AR103-'[3]поточний ремонт'!AR103</f>
        <v>0</v>
      </c>
      <c r="AS103" s="5"/>
      <c r="AT103" s="43">
        <f>'[1]поточний ремонт'!AT103+'[2]поточний ремонт'!AT103-'[3]поточний ремонт'!AT103</f>
        <v>177.79633895512248</v>
      </c>
      <c r="AU103" s="43">
        <f>'[1]поточний ремонт'!AU103+'[2]поточний ремонт'!AU103-'[3]поточний ремонт'!AU103</f>
        <v>0</v>
      </c>
      <c r="AV103" s="5"/>
      <c r="AW103" s="43">
        <f>'[1]поточний ремонт'!AW103+'[2]поточний ремонт'!AW103-'[3]поточний ремонт'!AW103</f>
        <v>0</v>
      </c>
      <c r="AX103" s="43">
        <f>'[1]поточний ремонт'!AX103+'[2]поточний ремонт'!AX103-'[3]поточний ремонт'!AX103</f>
        <v>0</v>
      </c>
      <c r="AY103" s="5"/>
      <c r="AZ103" s="43">
        <f t="shared" si="10"/>
        <v>2290.1094121509213</v>
      </c>
      <c r="BA103" s="43">
        <f t="shared" si="11"/>
        <v>0</v>
      </c>
      <c r="BB103" s="59">
        <f t="shared" si="12"/>
        <v>-2290.1094121509213</v>
      </c>
      <c r="BD103" s="2">
        <v>2</v>
      </c>
      <c r="BF103" s="30">
        <v>1.1184971577537048</v>
      </c>
      <c r="BG103" s="328">
        <v>150000606</v>
      </c>
      <c r="BI103" s="107">
        <v>0</v>
      </c>
      <c r="BJ103" s="107">
        <f t="shared" si="13"/>
        <v>0</v>
      </c>
      <c r="BK103" s="107">
        <v>0</v>
      </c>
      <c r="BL103" s="39"/>
      <c r="BM103" s="3"/>
      <c r="BN103" s="3">
        <v>0</v>
      </c>
      <c r="BP103" s="3"/>
      <c r="BQ103" s="3"/>
      <c r="BS103" s="43"/>
      <c r="BT103" s="43">
        <v>0</v>
      </c>
      <c r="BU103" s="1037"/>
      <c r="BV103" s="42"/>
      <c r="BW103" s="43"/>
      <c r="BX103" s="37"/>
      <c r="BY103" s="78"/>
      <c r="BZ103" s="43">
        <v>0</v>
      </c>
      <c r="CA103" s="1038"/>
      <c r="CB103" s="42">
        <v>0</v>
      </c>
      <c r="CC103" s="42">
        <v>0</v>
      </c>
      <c r="CD103" s="1039"/>
      <c r="CE103" s="78">
        <v>0</v>
      </c>
      <c r="CF103" s="56"/>
      <c r="CG103" s="42">
        <v>0</v>
      </c>
      <c r="CH103" s="39">
        <v>0</v>
      </c>
      <c r="CI103" s="78">
        <v>0</v>
      </c>
      <c r="CJ103" s="56"/>
      <c r="CK103" s="1034"/>
      <c r="CL103" s="1029"/>
      <c r="CM103" s="1034"/>
      <c r="CN103" s="1029">
        <v>0</v>
      </c>
      <c r="CO103" s="78">
        <v>64.915344776360584</v>
      </c>
      <c r="CP103" s="43">
        <v>0</v>
      </c>
      <c r="CQ103" s="5"/>
      <c r="CR103" s="78">
        <v>79.050766841872388</v>
      </c>
      <c r="CS103" s="1033">
        <v>0</v>
      </c>
      <c r="CT103" s="5"/>
      <c r="CU103" s="78">
        <v>32.059977814750283</v>
      </c>
      <c r="CV103" s="43">
        <v>0</v>
      </c>
      <c r="CW103" s="5"/>
      <c r="CX103" s="78">
        <v>0</v>
      </c>
      <c r="CY103" s="43">
        <v>0</v>
      </c>
      <c r="CZ103" s="5"/>
      <c r="DA103" s="78">
        <v>0</v>
      </c>
      <c r="DB103" s="43">
        <v>0</v>
      </c>
      <c r="DC103" s="5"/>
      <c r="DD103" s="78">
        <v>14.816361579593538</v>
      </c>
      <c r="DE103" s="43">
        <v>0</v>
      </c>
      <c r="DF103" s="5"/>
      <c r="DG103" s="78">
        <v>0</v>
      </c>
      <c r="DH103" s="43"/>
      <c r="DI103" s="5"/>
      <c r="DJ103" s="43">
        <v>190.84245101257679</v>
      </c>
      <c r="DK103" s="43">
        <f t="shared" si="14"/>
        <v>0</v>
      </c>
      <c r="DL103" s="59">
        <f t="shared" si="15"/>
        <v>-190.84245101257679</v>
      </c>
    </row>
    <row r="104" spans="1:116" ht="24.9" customHeight="1" x14ac:dyDescent="0.3">
      <c r="A104" s="328">
        <v>150000607</v>
      </c>
      <c r="B104" s="45" t="s">
        <v>157</v>
      </c>
      <c r="C104" s="1035">
        <v>2</v>
      </c>
      <c r="D104" s="1036" t="s">
        <v>454</v>
      </c>
      <c r="E104" s="1028">
        <f>'побудинковий звіт'!E102</f>
        <v>9458.3499999999985</v>
      </c>
      <c r="F104" s="1029">
        <f>'побудинковий звіт'!AS102</f>
        <v>10759.869337550761</v>
      </c>
      <c r="G104" s="1029">
        <f t="shared" si="8"/>
        <v>1650</v>
      </c>
      <c r="H104" s="1029">
        <f t="shared" si="9"/>
        <v>-9109.869337550761</v>
      </c>
      <c r="I104" s="43">
        <f>'[1]поточний ремонт'!I104+'[2]поточний ремонт'!I104-'[3]поточний ремонт'!I104</f>
        <v>8</v>
      </c>
      <c r="J104" s="43">
        <f>'[1]поточний ремонт'!J104+'[2]поточний ремонт'!J104-'[3]поточний ремонт'!J104</f>
        <v>1650</v>
      </c>
      <c r="K104" s="1037"/>
      <c r="L104" s="43">
        <f>'[1]поточний ремонт'!L104+'[2]поточний ремонт'!L104-'[3]поточний ремонт'!L104</f>
        <v>0</v>
      </c>
      <c r="M104" s="43">
        <f>'[1]поточний ремонт'!M104+'[2]поточний ремонт'!M104-'[3]поточний ремонт'!M104</f>
        <v>0</v>
      </c>
      <c r="N104" s="37"/>
      <c r="O104" s="43">
        <f>'[1]поточний ремонт'!O104+'[2]поточний ремонт'!O104-'[3]поточний ремонт'!O104</f>
        <v>0</v>
      </c>
      <c r="P104" s="43">
        <f>'[1]поточний ремонт'!P104+'[2]поточний ремонт'!P104-'[3]поточний ремонт'!P104</f>
        <v>0</v>
      </c>
      <c r="Q104" s="1038"/>
      <c r="R104" s="43">
        <f>'[1]поточний ремонт'!R104+'[2]поточний ремонт'!R104-'[3]поточний ремонт'!R104</f>
        <v>0</v>
      </c>
      <c r="S104" s="43">
        <f>'[1]поточний ремонт'!S104+'[2]поточний ремонт'!S104-'[3]поточний ремонт'!S104</f>
        <v>0</v>
      </c>
      <c r="T104" s="1039"/>
      <c r="U104" s="43">
        <f>'[1]поточний ремонт'!U104+'[2]поточний ремонт'!U104-'[3]поточний ремонт'!U104</f>
        <v>0</v>
      </c>
      <c r="V104" s="43">
        <f>'[1]поточний ремонт'!V104+'[2]поточний ремонт'!V104-'[3]поточний ремонт'!V104</f>
        <v>0</v>
      </c>
      <c r="W104" s="43">
        <f>'[1]поточний ремонт'!W104+'[2]поточний ремонт'!W104-'[3]поточний ремонт'!W104</f>
        <v>0</v>
      </c>
      <c r="X104" s="43">
        <f>'[1]поточний ремонт'!X104+'[2]поточний ремонт'!X104-'[3]поточний ремонт'!X104</f>
        <v>0</v>
      </c>
      <c r="Y104" s="43">
        <f>'[1]поточний ремонт'!Y104+'[2]поточний ремонт'!Y104-'[3]поточний ремонт'!Y104</f>
        <v>0</v>
      </c>
      <c r="Z104" s="43">
        <f>'[1]поточний ремонт'!Z104+'[2]поточний ремонт'!Z104-'[3]поточний ремонт'!Z104</f>
        <v>0</v>
      </c>
      <c r="AA104" s="43">
        <f>'[1]поточний ремонт'!AA104+'[2]поточний ремонт'!AA104-'[3]поточний ремонт'!AA104</f>
        <v>0</v>
      </c>
      <c r="AB104" s="43">
        <f>'[1]поточний ремонт'!AB104+'[2]поточний ремонт'!AB104-'[3]поточний ремонт'!AB104</f>
        <v>0</v>
      </c>
      <c r="AC104" s="43">
        <f>'[1]поточний ремонт'!AC104+'[2]поточний ремонт'!AC104-'[3]поточний ремонт'!AC104</f>
        <v>0</v>
      </c>
      <c r="AD104" s="43">
        <f>'[1]поточний ремонт'!AD104+'[2]поточний ремонт'!AD104-'[3]поточний ремонт'!AD104</f>
        <v>0</v>
      </c>
      <c r="AE104" s="43">
        <f>'[1]поточний ремонт'!AE104+'[2]поточний ремонт'!AE104-'[3]поточний ремонт'!AE104</f>
        <v>821.24397331095224</v>
      </c>
      <c r="AF104" s="43">
        <f>'[1]поточний ремонт'!AF104+'[2]поточний ремонт'!AF104-'[3]поточний ремонт'!AF104</f>
        <v>0</v>
      </c>
      <c r="AG104" s="5"/>
      <c r="AH104" s="43">
        <f>'[1]поточний ремонт'!AH104+'[2]поточний ремонт'!AH104-'[3]поточний ремонт'!AH104</f>
        <v>1138.2727935986193</v>
      </c>
      <c r="AI104" s="43">
        <f>'[1]поточний ремонт'!AI104+'[2]поточний ремонт'!AI104-'[3]поточний ремонт'!AI104</f>
        <v>0</v>
      </c>
      <c r="AJ104" s="5"/>
      <c r="AK104" s="43">
        <f>'[1]поточний ремонт'!AK104+'[2]поточний ремонт'!AK104-'[3]поточний ремонт'!AK104</f>
        <v>617.3558311371778</v>
      </c>
      <c r="AL104" s="43">
        <f>'[1]поточний ремонт'!AL104+'[2]поточний ремонт'!AL104-'[3]поточний ремонт'!AL104</f>
        <v>0</v>
      </c>
      <c r="AM104" s="5"/>
      <c r="AN104" s="43">
        <f>'[1]поточний ремонт'!AN104+'[2]поточний ремонт'!AN104-'[3]поточний ремонт'!AN104</f>
        <v>0</v>
      </c>
      <c r="AO104" s="43">
        <f>'[1]поточний ремонт'!AO104+'[2]поточний ремонт'!AO104-'[3]поточний ремонт'!AO104</f>
        <v>0</v>
      </c>
      <c r="AP104" s="5"/>
      <c r="AQ104" s="43">
        <f>'[1]поточний ремонт'!AQ104+'[2]поточний ремонт'!AQ104-'[3]поточний ремонт'!AQ104</f>
        <v>0</v>
      </c>
      <c r="AR104" s="43">
        <f>'[1]поточний ремонт'!AR104+'[2]поточний ремонт'!AR104-'[3]поточний ремонт'!AR104</f>
        <v>0</v>
      </c>
      <c r="AS104" s="5"/>
      <c r="AT104" s="43">
        <f>'[1]поточний ремонт'!AT104+'[2]поточний ремонт'!AT104-'[3]поточний ремонт'!AT104</f>
        <v>177.79633895512248</v>
      </c>
      <c r="AU104" s="43">
        <f>'[1]поточний ремонт'!AU104+'[2]поточний ремонт'!AU104-'[3]поточний ремонт'!AU104</f>
        <v>0</v>
      </c>
      <c r="AV104" s="5"/>
      <c r="AW104" s="43">
        <f>'[1]поточний ремонт'!AW104+'[2]поточний ремонт'!AW104-'[3]поточний ремонт'!AW104</f>
        <v>0</v>
      </c>
      <c r="AX104" s="43">
        <f>'[1]поточний ремонт'!AX104+'[2]поточний ремонт'!AX104-'[3]поточний ремонт'!AX104</f>
        <v>0</v>
      </c>
      <c r="AY104" s="5"/>
      <c r="AZ104" s="43">
        <f t="shared" si="10"/>
        <v>2754.6689370018717</v>
      </c>
      <c r="BA104" s="43">
        <f t="shared" si="11"/>
        <v>0</v>
      </c>
      <c r="BB104" s="59">
        <f t="shared" si="12"/>
        <v>-2754.6689370018717</v>
      </c>
      <c r="BD104" s="2">
        <v>2</v>
      </c>
      <c r="BF104" s="30">
        <v>1.4529654903804983</v>
      </c>
      <c r="BG104" s="328">
        <v>150000607</v>
      </c>
      <c r="BI104" s="107">
        <v>0</v>
      </c>
      <c r="BJ104" s="107">
        <f t="shared" si="13"/>
        <v>0</v>
      </c>
      <c r="BK104" s="107">
        <v>0</v>
      </c>
      <c r="BL104" s="39"/>
      <c r="BM104" s="3"/>
      <c r="BN104" s="3">
        <v>0</v>
      </c>
      <c r="BP104" s="3"/>
      <c r="BQ104" s="3"/>
      <c r="BS104" s="43"/>
      <c r="BT104" s="43">
        <v>0</v>
      </c>
      <c r="BU104" s="1037"/>
      <c r="BV104" s="42"/>
      <c r="BW104" s="43"/>
      <c r="BX104" s="37"/>
      <c r="BY104" s="78"/>
      <c r="BZ104" s="43">
        <v>0</v>
      </c>
      <c r="CA104" s="1038"/>
      <c r="CB104" s="42">
        <v>0</v>
      </c>
      <c r="CC104" s="42">
        <v>0</v>
      </c>
      <c r="CD104" s="1039"/>
      <c r="CE104" s="78">
        <v>0</v>
      </c>
      <c r="CF104" s="56"/>
      <c r="CG104" s="42">
        <v>0</v>
      </c>
      <c r="CH104" s="39">
        <v>0</v>
      </c>
      <c r="CI104" s="78">
        <v>0</v>
      </c>
      <c r="CJ104" s="56"/>
      <c r="CK104" s="1034"/>
      <c r="CL104" s="1029"/>
      <c r="CM104" s="1034"/>
      <c r="CN104" s="1029">
        <v>0</v>
      </c>
      <c r="CO104" s="78">
        <v>68.436997775912687</v>
      </c>
      <c r="CP104" s="43">
        <v>0</v>
      </c>
      <c r="CQ104" s="5"/>
      <c r="CR104" s="78">
        <v>94.856066133218263</v>
      </c>
      <c r="CS104" s="1033">
        <v>0</v>
      </c>
      <c r="CT104" s="5"/>
      <c r="CU104" s="78">
        <v>51.446319261431483</v>
      </c>
      <c r="CV104" s="43">
        <v>0</v>
      </c>
      <c r="CW104" s="5"/>
      <c r="CX104" s="78">
        <v>0</v>
      </c>
      <c r="CY104" s="43">
        <v>0</v>
      </c>
      <c r="CZ104" s="5"/>
      <c r="DA104" s="78">
        <v>0</v>
      </c>
      <c r="DB104" s="43">
        <v>0</v>
      </c>
      <c r="DC104" s="5"/>
      <c r="DD104" s="78">
        <v>14.816361579593538</v>
      </c>
      <c r="DE104" s="43">
        <v>0</v>
      </c>
      <c r="DF104" s="5"/>
      <c r="DG104" s="78">
        <v>0</v>
      </c>
      <c r="DH104" s="43"/>
      <c r="DI104" s="5"/>
      <c r="DJ104" s="43">
        <v>229.55574475015598</v>
      </c>
      <c r="DK104" s="43">
        <f t="shared" si="14"/>
        <v>0</v>
      </c>
      <c r="DL104" s="59">
        <f t="shared" si="15"/>
        <v>-229.55574475015598</v>
      </c>
    </row>
    <row r="105" spans="1:116" ht="24.9" customHeight="1" x14ac:dyDescent="0.3">
      <c r="A105" s="328">
        <v>150000608</v>
      </c>
      <c r="B105" s="45" t="s">
        <v>158</v>
      </c>
      <c r="C105" s="1035">
        <v>2</v>
      </c>
      <c r="D105" s="1036" t="s">
        <v>454</v>
      </c>
      <c r="E105" s="1028">
        <f>'побудинковий звіт'!E103</f>
        <v>3844.3500000000004</v>
      </c>
      <c r="F105" s="1029">
        <f>'побудинковий звіт'!AS103</f>
        <v>8464.6761430630268</v>
      </c>
      <c r="G105" s="1029">
        <f t="shared" si="8"/>
        <v>1076</v>
      </c>
      <c r="H105" s="1029">
        <f t="shared" si="9"/>
        <v>-7388.6761430630268</v>
      </c>
      <c r="I105" s="43">
        <f>'[1]поточний ремонт'!I105+'[2]поточний ремонт'!I105-'[3]поточний ремонт'!I105</f>
        <v>4</v>
      </c>
      <c r="J105" s="43">
        <f>'[1]поточний ремонт'!J105+'[2]поточний ремонт'!J105-'[3]поточний ремонт'!J105</f>
        <v>1076</v>
      </c>
      <c r="K105" s="1037"/>
      <c r="L105" s="43">
        <f>'[1]поточний ремонт'!L105+'[2]поточний ремонт'!L105-'[3]поточний ремонт'!L105</f>
        <v>0</v>
      </c>
      <c r="M105" s="43">
        <f>'[1]поточний ремонт'!M105+'[2]поточний ремонт'!M105-'[3]поточний ремонт'!M105</f>
        <v>0</v>
      </c>
      <c r="N105" s="37"/>
      <c r="O105" s="43">
        <f>'[1]поточний ремонт'!O105+'[2]поточний ремонт'!O105-'[3]поточний ремонт'!O105</f>
        <v>0</v>
      </c>
      <c r="P105" s="43">
        <f>'[1]поточний ремонт'!P105+'[2]поточний ремонт'!P105-'[3]поточний ремонт'!P105</f>
        <v>0</v>
      </c>
      <c r="Q105" s="1038"/>
      <c r="R105" s="43">
        <f>'[1]поточний ремонт'!R105+'[2]поточний ремонт'!R105-'[3]поточний ремонт'!R105</f>
        <v>0</v>
      </c>
      <c r="S105" s="43">
        <f>'[1]поточний ремонт'!S105+'[2]поточний ремонт'!S105-'[3]поточний ремонт'!S105</f>
        <v>0</v>
      </c>
      <c r="T105" s="1039"/>
      <c r="U105" s="43">
        <f>'[1]поточний ремонт'!U105+'[2]поточний ремонт'!U105-'[3]поточний ремонт'!U105</f>
        <v>0</v>
      </c>
      <c r="V105" s="43">
        <f>'[1]поточний ремонт'!V105+'[2]поточний ремонт'!V105-'[3]поточний ремонт'!V105</f>
        <v>0</v>
      </c>
      <c r="W105" s="43">
        <f>'[1]поточний ремонт'!W105+'[2]поточний ремонт'!W105-'[3]поточний ремонт'!W105</f>
        <v>0</v>
      </c>
      <c r="X105" s="43">
        <f>'[1]поточний ремонт'!X105+'[2]поточний ремонт'!X105-'[3]поточний ремонт'!X105</f>
        <v>0</v>
      </c>
      <c r="Y105" s="43">
        <f>'[1]поточний ремонт'!Y105+'[2]поточний ремонт'!Y105-'[3]поточний ремонт'!Y105</f>
        <v>0</v>
      </c>
      <c r="Z105" s="43">
        <f>'[1]поточний ремонт'!Z105+'[2]поточний ремонт'!Z105-'[3]поточний ремонт'!Z105</f>
        <v>0</v>
      </c>
      <c r="AA105" s="43">
        <f>'[1]поточний ремонт'!AA105+'[2]поточний ремонт'!AA105-'[3]поточний ремонт'!AA105</f>
        <v>0</v>
      </c>
      <c r="AB105" s="43">
        <f>'[1]поточний ремонт'!AB105+'[2]поточний ремонт'!AB105-'[3]поточний ремонт'!AB105</f>
        <v>0</v>
      </c>
      <c r="AC105" s="43">
        <f>'[1]поточний ремонт'!AC105+'[2]поточний ремонт'!AC105-'[3]поточний ремонт'!AC105</f>
        <v>0</v>
      </c>
      <c r="AD105" s="43">
        <f>'[1]поточний ремонт'!AD105+'[2]поточний ремонт'!AD105-'[3]поточний ремонт'!AD105</f>
        <v>0</v>
      </c>
      <c r="AE105" s="43">
        <f>'[1]поточний ремонт'!AE105+'[2]поточний ремонт'!AE105-'[3]поточний ремонт'!AE105</f>
        <v>628.41888790764006</v>
      </c>
      <c r="AF105" s="43">
        <f>'[1]поточний ремонт'!AF105+'[2]поточний ремонт'!AF105-'[3]поточний ремонт'!AF105</f>
        <v>0</v>
      </c>
      <c r="AG105" s="5"/>
      <c r="AH105" s="43">
        <f>'[1]поточний ремонт'!AH105+'[2]поточний ремонт'!AH105-'[3]поточний ремонт'!AH105</f>
        <v>952.68795817875343</v>
      </c>
      <c r="AI105" s="43">
        <f>'[1]поточний ремонт'!AI105+'[2]поточний ремонт'!AI105-'[3]поточний ремонт'!AI105</f>
        <v>0</v>
      </c>
      <c r="AJ105" s="5"/>
      <c r="AK105" s="43">
        <f>'[1]поточний ремонт'!AK105+'[2]поточний ремонт'!AK105-'[3]поточний ремонт'!AK105</f>
        <v>234.02220349919816</v>
      </c>
      <c r="AL105" s="43">
        <f>'[1]поточний ремонт'!AL105+'[2]поточний ремонт'!AL105-'[3]поточний ремонт'!AL105</f>
        <v>0</v>
      </c>
      <c r="AM105" s="5"/>
      <c r="AN105" s="43">
        <f>'[1]поточний ремонт'!AN105+'[2]поточний ремонт'!AN105-'[3]поточний ремонт'!AN105</f>
        <v>0</v>
      </c>
      <c r="AO105" s="43">
        <f>'[1]поточний ремонт'!AO105+'[2]поточний ремонт'!AO105-'[3]поточний ремонт'!AO105</f>
        <v>0</v>
      </c>
      <c r="AP105" s="5"/>
      <c r="AQ105" s="43">
        <f>'[1]поточний ремонт'!AQ105+'[2]поточний ремонт'!AQ105-'[3]поточний ремонт'!AQ105</f>
        <v>0</v>
      </c>
      <c r="AR105" s="43">
        <f>'[1]поточний ремонт'!AR105+'[2]поточний ремонт'!AR105-'[3]поточний ремонт'!AR105</f>
        <v>0</v>
      </c>
      <c r="AS105" s="5"/>
      <c r="AT105" s="43">
        <f>'[1]поточний ремонт'!AT105+'[2]поточний ремонт'!AT105-'[3]поточний ремонт'!AT105</f>
        <v>118.62780668282814</v>
      </c>
      <c r="AU105" s="43">
        <f>'[1]поточний ремонт'!AU105+'[2]поточний ремонт'!AU105-'[3]поточний ремонт'!AU105</f>
        <v>0</v>
      </c>
      <c r="AV105" s="5"/>
      <c r="AW105" s="43">
        <f>'[1]поточний ремонт'!AW105+'[2]поточний ремонт'!AW105-'[3]поточний ремонт'!AW105</f>
        <v>0</v>
      </c>
      <c r="AX105" s="43">
        <f>'[1]поточний ремонт'!AX105+'[2]поточний ремонт'!AX105-'[3]поточний ремонт'!AX105</f>
        <v>0</v>
      </c>
      <c r="AY105" s="5"/>
      <c r="AZ105" s="43">
        <f t="shared" si="10"/>
        <v>1933.7568562684198</v>
      </c>
      <c r="BA105" s="43">
        <f t="shared" si="11"/>
        <v>0</v>
      </c>
      <c r="BB105" s="59">
        <f t="shared" si="12"/>
        <v>-1933.7568562684198</v>
      </c>
      <c r="BD105" s="2">
        <v>2</v>
      </c>
      <c r="BF105" s="30">
        <v>0.85838595531918249</v>
      </c>
      <c r="BG105" s="328">
        <v>150000608</v>
      </c>
      <c r="BI105" s="107">
        <v>0</v>
      </c>
      <c r="BJ105" s="107">
        <f t="shared" si="13"/>
        <v>0</v>
      </c>
      <c r="BK105" s="107">
        <v>0</v>
      </c>
      <c r="BL105" s="39"/>
      <c r="BM105" s="3"/>
      <c r="BN105" s="3">
        <v>0</v>
      </c>
      <c r="BP105" s="3"/>
      <c r="BQ105" s="3"/>
      <c r="BS105" s="43"/>
      <c r="BT105" s="43">
        <v>0</v>
      </c>
      <c r="BU105" s="1037"/>
      <c r="BV105" s="42"/>
      <c r="BW105" s="43"/>
      <c r="BX105" s="37"/>
      <c r="BY105" s="78"/>
      <c r="BZ105" s="43">
        <v>0</v>
      </c>
      <c r="CA105" s="1038"/>
      <c r="CB105" s="42">
        <v>0</v>
      </c>
      <c r="CC105" s="42">
        <v>0</v>
      </c>
      <c r="CD105" s="1039"/>
      <c r="CE105" s="78">
        <v>0</v>
      </c>
      <c r="CF105" s="56"/>
      <c r="CG105" s="42">
        <v>0</v>
      </c>
      <c r="CH105" s="39">
        <v>0</v>
      </c>
      <c r="CI105" s="78">
        <v>0</v>
      </c>
      <c r="CJ105" s="56"/>
      <c r="CK105" s="1034"/>
      <c r="CL105" s="1029"/>
      <c r="CM105" s="1034"/>
      <c r="CN105" s="1029">
        <v>0</v>
      </c>
      <c r="CO105" s="78">
        <v>52.368240658970002</v>
      </c>
      <c r="CP105" s="43">
        <v>0</v>
      </c>
      <c r="CQ105" s="5"/>
      <c r="CR105" s="78">
        <v>79.390663181562786</v>
      </c>
      <c r="CS105" s="1033">
        <v>0</v>
      </c>
      <c r="CT105" s="5"/>
      <c r="CU105" s="78">
        <v>19.501850291599844</v>
      </c>
      <c r="CV105" s="43">
        <v>0</v>
      </c>
      <c r="CW105" s="5"/>
      <c r="CX105" s="78">
        <v>0</v>
      </c>
      <c r="CY105" s="43">
        <v>0</v>
      </c>
      <c r="CZ105" s="5"/>
      <c r="DA105" s="78">
        <v>0</v>
      </c>
      <c r="DB105" s="43">
        <v>0</v>
      </c>
      <c r="DC105" s="5"/>
      <c r="DD105" s="78">
        <v>9.885650556902343</v>
      </c>
      <c r="DE105" s="43">
        <v>0</v>
      </c>
      <c r="DF105" s="5"/>
      <c r="DG105" s="78">
        <v>0</v>
      </c>
      <c r="DH105" s="43"/>
      <c r="DI105" s="5"/>
      <c r="DJ105" s="43">
        <v>161.14640468903497</v>
      </c>
      <c r="DK105" s="43">
        <f t="shared" si="14"/>
        <v>0</v>
      </c>
      <c r="DL105" s="59">
        <f t="shared" si="15"/>
        <v>-161.14640468903497</v>
      </c>
    </row>
    <row r="106" spans="1:116" ht="24.9" customHeight="1" x14ac:dyDescent="0.3">
      <c r="A106" s="328">
        <v>150000609</v>
      </c>
      <c r="B106" s="45" t="s">
        <v>159</v>
      </c>
      <c r="C106" s="1035">
        <v>2</v>
      </c>
      <c r="D106" s="1036" t="s">
        <v>454</v>
      </c>
      <c r="E106" s="1028">
        <f>'побудинковий звіт'!E104</f>
        <v>4624.96</v>
      </c>
      <c r="F106" s="1029">
        <f>'побудинковий звіт'!AS104</f>
        <v>7391.0732349480368</v>
      </c>
      <c r="G106" s="1029">
        <f t="shared" si="8"/>
        <v>3986</v>
      </c>
      <c r="H106" s="1029">
        <f t="shared" si="9"/>
        <v>-3405.0732349480368</v>
      </c>
      <c r="I106" s="43">
        <f>'[1]поточний ремонт'!I106+'[2]поточний ремонт'!I106-'[3]поточний ремонт'!I106</f>
        <v>12</v>
      </c>
      <c r="J106" s="43">
        <f>'[1]поточний ремонт'!J106+'[2]поточний ремонт'!J106-'[3]поточний ремонт'!J106</f>
        <v>2648</v>
      </c>
      <c r="K106" s="1037"/>
      <c r="L106" s="43">
        <f>'[1]поточний ремонт'!L106+'[2]поточний ремонт'!L106-'[3]поточний ремонт'!L106</f>
        <v>0</v>
      </c>
      <c r="M106" s="43">
        <f>'[1]поточний ремонт'!M106+'[2]поточний ремонт'!M106-'[3]поточний ремонт'!M106</f>
        <v>0</v>
      </c>
      <c r="N106" s="37"/>
      <c r="O106" s="43">
        <f>'[1]поточний ремонт'!O106+'[2]поточний ремонт'!O106-'[3]поточний ремонт'!O106</f>
        <v>0</v>
      </c>
      <c r="P106" s="43">
        <f>'[1]поточний ремонт'!P106+'[2]поточний ремонт'!P106-'[3]поточний ремонт'!P106</f>
        <v>0</v>
      </c>
      <c r="Q106" s="1038"/>
      <c r="R106" s="43">
        <f>'[1]поточний ремонт'!R106+'[2]поточний ремонт'!R106-'[3]поточний ремонт'!R106</f>
        <v>0</v>
      </c>
      <c r="S106" s="43">
        <f>'[1]поточний ремонт'!S106+'[2]поточний ремонт'!S106-'[3]поточний ремонт'!S106</f>
        <v>0</v>
      </c>
      <c r="T106" s="1039"/>
      <c r="U106" s="43">
        <f>'[1]поточний ремонт'!U106+'[2]поточний ремонт'!U106-'[3]поточний ремонт'!U106</f>
        <v>0</v>
      </c>
      <c r="V106" s="43">
        <f>'[1]поточний ремонт'!V106+'[2]поточний ремонт'!V106-'[3]поточний ремонт'!V106</f>
        <v>0</v>
      </c>
      <c r="W106" s="43">
        <f>'[1]поточний ремонт'!W106+'[2]поточний ремонт'!W106-'[3]поточний ремонт'!W106</f>
        <v>0</v>
      </c>
      <c r="X106" s="43">
        <f>'[1]поточний ремонт'!X106+'[2]поточний ремонт'!X106-'[3]поточний ремонт'!X106</f>
        <v>0</v>
      </c>
      <c r="Y106" s="43">
        <f>'[1]поточний ремонт'!Y106+'[2]поточний ремонт'!Y106-'[3]поточний ремонт'!Y106</f>
        <v>0</v>
      </c>
      <c r="Z106" s="43">
        <f>'[1]поточний ремонт'!Z106+'[2]поточний ремонт'!Z106-'[3]поточний ремонт'!Z106</f>
        <v>0</v>
      </c>
      <c r="AA106" s="43">
        <f>'[1]поточний ремонт'!AA106+'[2]поточний ремонт'!AA106-'[3]поточний ремонт'!AA106</f>
        <v>0</v>
      </c>
      <c r="AB106" s="43">
        <f>'[1]поточний ремонт'!AB106+'[2]поточний ремонт'!AB106-'[3]поточний ремонт'!AB106</f>
        <v>0</v>
      </c>
      <c r="AC106" s="43">
        <f>'[1]поточний ремонт'!AC106+'[2]поточний ремонт'!AC106-'[3]поточний ремонт'!AC106</f>
        <v>1338</v>
      </c>
      <c r="AD106" s="43">
        <f>'[1]поточний ремонт'!AD106+'[2]поточний ремонт'!AD106-'[3]поточний ремонт'!AD106</f>
        <v>0</v>
      </c>
      <c r="AE106" s="43">
        <f>'[1]поточний ремонт'!AE106+'[2]поточний ремонт'!AE106-'[3]поточний ремонт'!AE106</f>
        <v>446.27552779950099</v>
      </c>
      <c r="AF106" s="43">
        <f>'[1]поточний ремонт'!AF106+'[2]поточний ремонт'!AF106-'[3]поточний ремонт'!AF106</f>
        <v>0</v>
      </c>
      <c r="AG106" s="5"/>
      <c r="AH106" s="43">
        <f>'[1]поточний ремонт'!AH106+'[2]поточний ремонт'!AH106-'[3]поточний ремонт'!AH106</f>
        <v>914.81368486142617</v>
      </c>
      <c r="AI106" s="43">
        <f>'[1]поточний ремонт'!AI106+'[2]поточний ремонт'!AI106-'[3]поточний ремонт'!AI106</f>
        <v>1385</v>
      </c>
      <c r="AJ106" s="5"/>
      <c r="AK106" s="43">
        <f>'[1]поточний ремонт'!AK106+'[2]поточний ремонт'!AK106-'[3]поточний ремонт'!AK106</f>
        <v>223.81888902281307</v>
      </c>
      <c r="AL106" s="43">
        <f>'[1]поточний ремонт'!AL106+'[2]поточний ремонт'!AL106-'[3]поточний ремонт'!AL106</f>
        <v>0</v>
      </c>
      <c r="AM106" s="5"/>
      <c r="AN106" s="43">
        <f>'[1]поточний ремонт'!AN106+'[2]поточний ремонт'!AN106-'[3]поточний ремонт'!AN106</f>
        <v>0</v>
      </c>
      <c r="AO106" s="43">
        <f>'[1]поточний ремонт'!AO106+'[2]поточний ремонт'!AO106-'[3]поточний ремонт'!AO106</f>
        <v>0</v>
      </c>
      <c r="AP106" s="5"/>
      <c r="AQ106" s="43">
        <f>'[1]поточний ремонт'!AQ106+'[2]поточний ремонт'!AQ106-'[3]поточний ремонт'!AQ106</f>
        <v>0</v>
      </c>
      <c r="AR106" s="43">
        <f>'[1]поточний ремонт'!AR106+'[2]поточний ремонт'!AR106-'[3]поточний ремонт'!AR106</f>
        <v>0</v>
      </c>
      <c r="AS106" s="5"/>
      <c r="AT106" s="43">
        <f>'[1]поточний ремонт'!AT106+'[2]поточний ремонт'!AT106-'[3]поточний ремонт'!AT106</f>
        <v>118.62780668282814</v>
      </c>
      <c r="AU106" s="43">
        <f>'[1]поточний ремонт'!AU106+'[2]поточний ремонт'!AU106-'[3]поточний ремонт'!AU106</f>
        <v>0</v>
      </c>
      <c r="AV106" s="5"/>
      <c r="AW106" s="43">
        <f>'[1]поточний ремонт'!AW106+'[2]поточний ремонт'!AW106-'[3]поточний ремонт'!AW106</f>
        <v>0</v>
      </c>
      <c r="AX106" s="43">
        <f>'[1]поточний ремонт'!AX106+'[2]поточний ремонт'!AX106-'[3]поточний ремонт'!AX106</f>
        <v>0</v>
      </c>
      <c r="AY106" s="5"/>
      <c r="AZ106" s="43">
        <f t="shared" si="10"/>
        <v>1703.5359083665683</v>
      </c>
      <c r="BA106" s="43">
        <f t="shared" si="11"/>
        <v>1385</v>
      </c>
      <c r="BB106" s="59">
        <f t="shared" si="12"/>
        <v>-318.53590836656826</v>
      </c>
      <c r="BD106" s="2">
        <v>2</v>
      </c>
      <c r="BF106" s="30">
        <v>0.67864939194340423</v>
      </c>
      <c r="BG106" s="328">
        <v>150000609</v>
      </c>
      <c r="BI106" s="107">
        <v>0</v>
      </c>
      <c r="BJ106" s="107">
        <f t="shared" si="13"/>
        <v>0</v>
      </c>
      <c r="BK106" s="107">
        <v>0</v>
      </c>
      <c r="BL106" s="39"/>
      <c r="BM106" s="3"/>
      <c r="BN106" s="3">
        <v>0</v>
      </c>
      <c r="BP106" s="3"/>
      <c r="BQ106" s="3"/>
      <c r="BS106" s="43"/>
      <c r="BT106" s="43">
        <v>0</v>
      </c>
      <c r="BU106" s="1037"/>
      <c r="BV106" s="42"/>
      <c r="BW106" s="43"/>
      <c r="BX106" s="37"/>
      <c r="BY106" s="78"/>
      <c r="BZ106" s="43">
        <v>0</v>
      </c>
      <c r="CA106" s="1038"/>
      <c r="CB106" s="42">
        <v>0</v>
      </c>
      <c r="CC106" s="42">
        <v>0</v>
      </c>
      <c r="CD106" s="1039"/>
      <c r="CE106" s="78">
        <v>0</v>
      </c>
      <c r="CF106" s="56"/>
      <c r="CG106" s="42">
        <v>0</v>
      </c>
      <c r="CH106" s="39">
        <v>0</v>
      </c>
      <c r="CI106" s="78">
        <v>0</v>
      </c>
      <c r="CJ106" s="56"/>
      <c r="CK106" s="1034"/>
      <c r="CL106" s="1029"/>
      <c r="CM106" s="1034"/>
      <c r="CN106" s="1029">
        <v>0</v>
      </c>
      <c r="CO106" s="78">
        <v>37.189627316625085</v>
      </c>
      <c r="CP106" s="43">
        <v>0</v>
      </c>
      <c r="CQ106" s="5"/>
      <c r="CR106" s="78">
        <v>76.234473738452195</v>
      </c>
      <c r="CS106" s="1033">
        <v>0</v>
      </c>
      <c r="CT106" s="5"/>
      <c r="CU106" s="78">
        <v>18.651574085234429</v>
      </c>
      <c r="CV106" s="43">
        <v>0</v>
      </c>
      <c r="CW106" s="5"/>
      <c r="CX106" s="78">
        <v>0</v>
      </c>
      <c r="CY106" s="43">
        <v>0</v>
      </c>
      <c r="CZ106" s="5"/>
      <c r="DA106" s="78">
        <v>0</v>
      </c>
      <c r="DB106" s="43">
        <v>0</v>
      </c>
      <c r="DC106" s="5"/>
      <c r="DD106" s="78">
        <v>9.885650556902343</v>
      </c>
      <c r="DE106" s="43">
        <v>0</v>
      </c>
      <c r="DF106" s="5"/>
      <c r="DG106" s="78">
        <v>0</v>
      </c>
      <c r="DH106" s="43"/>
      <c r="DI106" s="5"/>
      <c r="DJ106" s="43">
        <v>141.96132569721405</v>
      </c>
      <c r="DK106" s="43">
        <f t="shared" si="14"/>
        <v>0</v>
      </c>
      <c r="DL106" s="59">
        <f t="shared" si="15"/>
        <v>-141.96132569721405</v>
      </c>
    </row>
    <row r="107" spans="1:116" ht="24.9" customHeight="1" x14ac:dyDescent="0.3">
      <c r="A107" s="328">
        <v>150000610</v>
      </c>
      <c r="B107" s="45" t="s">
        <v>160</v>
      </c>
      <c r="C107" s="1035">
        <v>2</v>
      </c>
      <c r="D107" s="1036" t="s">
        <v>454</v>
      </c>
      <c r="E107" s="1028">
        <f>'побудинковий звіт'!E105</f>
        <v>4786.05</v>
      </c>
      <c r="F107" s="1029">
        <f>'побудинковий звіт'!AS105</f>
        <v>6957.5394283459127</v>
      </c>
      <c r="G107" s="1029">
        <f t="shared" si="8"/>
        <v>23122</v>
      </c>
      <c r="H107" s="1029">
        <f t="shared" si="9"/>
        <v>16164.460571654086</v>
      </c>
      <c r="I107" s="43">
        <f>'[1]поточний ремонт'!I107+'[2]поточний ремонт'!I107-'[3]поточний ремонт'!I107</f>
        <v>114.77</v>
      </c>
      <c r="J107" s="43">
        <f>'[1]поточний ремонт'!J107+'[2]поточний ремонт'!J107-'[3]поточний ремонт'!J107</f>
        <v>22497</v>
      </c>
      <c r="K107" s="1041"/>
      <c r="L107" s="43">
        <f>'[1]поточний ремонт'!L107+'[2]поточний ремонт'!L107-'[3]поточний ремонт'!L107</f>
        <v>0</v>
      </c>
      <c r="M107" s="43">
        <f>'[1]поточний ремонт'!M107+'[2]поточний ремонт'!M107-'[3]поточний ремонт'!M107</f>
        <v>0</v>
      </c>
      <c r="N107" s="37"/>
      <c r="O107" s="43">
        <f>'[1]поточний ремонт'!O107+'[2]поточний ремонт'!O107-'[3]поточний ремонт'!O107</f>
        <v>0</v>
      </c>
      <c r="P107" s="43">
        <f>'[1]поточний ремонт'!P107+'[2]поточний ремонт'!P107-'[3]поточний ремонт'!P107</f>
        <v>0</v>
      </c>
      <c r="Q107" s="1038"/>
      <c r="R107" s="43">
        <f>'[1]поточний ремонт'!R107+'[2]поточний ремонт'!R107-'[3]поточний ремонт'!R107</f>
        <v>0</v>
      </c>
      <c r="S107" s="43">
        <f>'[1]поточний ремонт'!S107+'[2]поточний ремонт'!S107-'[3]поточний ремонт'!S107</f>
        <v>0</v>
      </c>
      <c r="T107" s="1039"/>
      <c r="U107" s="43">
        <f>'[1]поточний ремонт'!U107+'[2]поточний ремонт'!U107-'[3]поточний ремонт'!U107</f>
        <v>0</v>
      </c>
      <c r="V107" s="43">
        <f>'[1]поточний ремонт'!V107+'[2]поточний ремонт'!V107-'[3]поточний ремонт'!V107</f>
        <v>0</v>
      </c>
      <c r="W107" s="43">
        <f>'[1]поточний ремонт'!W107+'[2]поточний ремонт'!W107-'[3]поточний ремонт'!W107</f>
        <v>0</v>
      </c>
      <c r="X107" s="43">
        <f>'[1]поточний ремонт'!X107+'[2]поточний ремонт'!X107-'[3]поточний ремонт'!X107</f>
        <v>0</v>
      </c>
      <c r="Y107" s="43">
        <f>'[1]поточний ремонт'!Y107+'[2]поточний ремонт'!Y107-'[3]поточний ремонт'!Y107</f>
        <v>0</v>
      </c>
      <c r="Z107" s="43">
        <f>'[1]поточний ремонт'!Z107+'[2]поточний ремонт'!Z107-'[3]поточний ремонт'!Z107</f>
        <v>0</v>
      </c>
      <c r="AA107" s="43">
        <f>'[1]поточний ремонт'!AA107+'[2]поточний ремонт'!AA107-'[3]поточний ремонт'!AA107</f>
        <v>0</v>
      </c>
      <c r="AB107" s="43">
        <f>'[1]поточний ремонт'!AB107+'[2]поточний ремонт'!AB107-'[3]поточний ремонт'!AB107</f>
        <v>0</v>
      </c>
      <c r="AC107" s="43">
        <f>'[1]поточний ремонт'!AC107+'[2]поточний ремонт'!AC107-'[3]поточний ремонт'!AC107</f>
        <v>0</v>
      </c>
      <c r="AD107" s="43">
        <f>'[1]поточний ремонт'!AD107+'[2]поточний ремонт'!AD107-'[3]поточний ремонт'!AD107</f>
        <v>625</v>
      </c>
      <c r="AE107" s="43">
        <f>'[1]поточний ремонт'!AE107+'[2]поточний ремонт'!AE107-'[3]поточний ремонт'!AE107</f>
        <v>618.00739330426507</v>
      </c>
      <c r="AF107" s="43">
        <f>'[1]поточний ремонт'!AF107+'[2]поточний ремонт'!AF107-'[3]поточний ремонт'!AF107</f>
        <v>0</v>
      </c>
      <c r="AG107" s="5"/>
      <c r="AH107" s="43">
        <f>'[1]поточний ремонт'!AH107+'[2]поточний ремонт'!AH107-'[3]поточний ремонт'!AH107</f>
        <v>763.02436668260316</v>
      </c>
      <c r="AI107" s="43">
        <f>'[1]поточний ремонт'!AI107+'[2]поточний ремонт'!AI107-'[3]поточний ремонт'!AI107</f>
        <v>0</v>
      </c>
      <c r="AJ107" s="5"/>
      <c r="AK107" s="43">
        <f>'[1]поточний ремонт'!AK107+'[2]поточний ремонт'!AK107-'[3]поточний ремонт'!AK107</f>
        <v>221.28829516597003</v>
      </c>
      <c r="AL107" s="43">
        <f>'[1]поточний ремонт'!AL107+'[2]поточний ремонт'!AL107-'[3]поточний ремонт'!AL107</f>
        <v>0</v>
      </c>
      <c r="AM107" s="5"/>
      <c r="AN107" s="43">
        <f>'[1]поточний ремонт'!AN107+'[2]поточний ремонт'!AN107-'[3]поточний ремонт'!AN107</f>
        <v>0</v>
      </c>
      <c r="AO107" s="43">
        <f>'[1]поточний ремонт'!AO107+'[2]поточний ремонт'!AO107-'[3]поточний ремонт'!AO107</f>
        <v>0</v>
      </c>
      <c r="AP107" s="5"/>
      <c r="AQ107" s="43">
        <f>'[1]поточний ремонт'!AQ107+'[2]поточний ремонт'!AQ107-'[3]поточний ремонт'!AQ107</f>
        <v>0</v>
      </c>
      <c r="AR107" s="43">
        <f>'[1]поточний ремонт'!AR107+'[2]поточний ремонт'!AR107-'[3]поточний ремонт'!AR107</f>
        <v>0</v>
      </c>
      <c r="AS107" s="5"/>
      <c r="AT107" s="43">
        <f>'[1]поточний ремонт'!AT107+'[2]поточний ремонт'!AT107-'[3]поточний ремонт'!AT107</f>
        <v>118.62766249183653</v>
      </c>
      <c r="AU107" s="43">
        <f>'[1]поточний ремонт'!AU107+'[2]поточний ремонт'!AU107-'[3]поточний ремонт'!AU107</f>
        <v>0</v>
      </c>
      <c r="AV107" s="954"/>
      <c r="AW107" s="43">
        <f>'[1]поточний ремонт'!AW107+'[2]поточний ремонт'!AW107-'[3]поточний ремонт'!AW107</f>
        <v>0</v>
      </c>
      <c r="AX107" s="43">
        <f>'[1]поточний ремонт'!AX107+'[2]поточний ремонт'!AX107-'[3]поточний ремонт'!AX107</f>
        <v>0</v>
      </c>
      <c r="AY107" s="5"/>
      <c r="AZ107" s="43">
        <f t="shared" si="10"/>
        <v>1720.9477176446749</v>
      </c>
      <c r="BA107" s="43">
        <f t="shared" si="11"/>
        <v>0</v>
      </c>
      <c r="BB107" s="59">
        <f t="shared" si="12"/>
        <v>-1720.9477176446749</v>
      </c>
      <c r="BD107" s="2">
        <v>2</v>
      </c>
      <c r="BF107" s="30">
        <v>0.69405830421070847</v>
      </c>
      <c r="BG107" s="328">
        <v>150000610</v>
      </c>
      <c r="BI107" s="107">
        <v>0</v>
      </c>
      <c r="BJ107" s="107">
        <f t="shared" si="13"/>
        <v>0</v>
      </c>
      <c r="BK107" s="107">
        <v>0</v>
      </c>
      <c r="BL107" s="39"/>
      <c r="BM107" s="3"/>
      <c r="BN107" s="3">
        <v>0</v>
      </c>
      <c r="BP107" s="3"/>
      <c r="BQ107" s="3"/>
      <c r="BS107" s="43"/>
      <c r="BT107" s="43">
        <v>0</v>
      </c>
      <c r="BU107" s="1041"/>
      <c r="BV107" s="42"/>
      <c r="BW107" s="43"/>
      <c r="BX107" s="37"/>
      <c r="BY107" s="78"/>
      <c r="BZ107" s="43">
        <v>0</v>
      </c>
      <c r="CA107" s="1038"/>
      <c r="CB107" s="42">
        <v>0</v>
      </c>
      <c r="CC107" s="42">
        <v>0</v>
      </c>
      <c r="CD107" s="1039"/>
      <c r="CE107" s="78">
        <v>0</v>
      </c>
      <c r="CF107" s="56"/>
      <c r="CG107" s="42">
        <v>0</v>
      </c>
      <c r="CH107" s="39">
        <v>0</v>
      </c>
      <c r="CI107" s="78">
        <v>0</v>
      </c>
      <c r="CJ107" s="56"/>
      <c r="CK107" s="1034"/>
      <c r="CL107" s="1029"/>
      <c r="CM107" s="1034"/>
      <c r="CN107" s="1029">
        <v>0</v>
      </c>
      <c r="CO107" s="78">
        <v>51.50061610868876</v>
      </c>
      <c r="CP107" s="43">
        <v>0</v>
      </c>
      <c r="CQ107" s="5"/>
      <c r="CR107" s="78">
        <v>63.585363890216911</v>
      </c>
      <c r="CS107" s="1033">
        <v>0</v>
      </c>
      <c r="CT107" s="5"/>
      <c r="CU107" s="78">
        <v>18.440691263830832</v>
      </c>
      <c r="CV107" s="43">
        <v>0</v>
      </c>
      <c r="CW107" s="5"/>
      <c r="CX107" s="78">
        <v>0</v>
      </c>
      <c r="CY107" s="43">
        <v>0</v>
      </c>
      <c r="CZ107" s="5"/>
      <c r="DA107" s="78">
        <v>0</v>
      </c>
      <c r="DB107" s="43">
        <v>0</v>
      </c>
      <c r="DC107" s="5"/>
      <c r="DD107" s="78">
        <v>9.8856385409863776</v>
      </c>
      <c r="DE107" s="43">
        <v>0</v>
      </c>
      <c r="DF107" s="954"/>
      <c r="DG107" s="78">
        <v>0</v>
      </c>
      <c r="DH107" s="43"/>
      <c r="DI107" s="5"/>
      <c r="DJ107" s="43">
        <v>143.41230980372288</v>
      </c>
      <c r="DK107" s="43">
        <f t="shared" si="14"/>
        <v>0</v>
      </c>
      <c r="DL107" s="59">
        <f t="shared" si="15"/>
        <v>-143.41230980372288</v>
      </c>
    </row>
    <row r="108" spans="1:116" ht="24.9" customHeight="1" x14ac:dyDescent="0.3">
      <c r="A108" s="328">
        <v>150000611</v>
      </c>
      <c r="B108" s="45" t="s">
        <v>195</v>
      </c>
      <c r="C108" s="1035">
        <v>3</v>
      </c>
      <c r="D108" s="1036" t="s">
        <v>454</v>
      </c>
      <c r="E108" s="1028">
        <f>'побудинковий звіт'!E106</f>
        <v>9608.24</v>
      </c>
      <c r="F108" s="1029">
        <f>'побудинковий звіт'!AS106</f>
        <v>11454.536671434058</v>
      </c>
      <c r="G108" s="1029">
        <f t="shared" si="8"/>
        <v>5261</v>
      </c>
      <c r="H108" s="1029">
        <f t="shared" si="9"/>
        <v>-6193.536671434058</v>
      </c>
      <c r="I108" s="43">
        <f>'[1]поточний ремонт'!I108+'[2]поточний ремонт'!I108-'[3]поточний ремонт'!I108</f>
        <v>0</v>
      </c>
      <c r="J108" s="43">
        <f>'[1]поточний ремонт'!J108+'[2]поточний ремонт'!J108-'[3]поточний ремонт'!J108</f>
        <v>0</v>
      </c>
      <c r="K108" s="1037"/>
      <c r="L108" s="43">
        <f>'[1]поточний ремонт'!L108+'[2]поточний ремонт'!L108-'[3]поточний ремонт'!L108</f>
        <v>0</v>
      </c>
      <c r="M108" s="43">
        <f>'[1]поточний ремонт'!M108+'[2]поточний ремонт'!M108-'[3]поточний ремонт'!M108</f>
        <v>0</v>
      </c>
      <c r="N108" s="37"/>
      <c r="O108" s="43">
        <f>'[1]поточний ремонт'!O108+'[2]поточний ремонт'!O108-'[3]поточний ремонт'!O108</f>
        <v>0</v>
      </c>
      <c r="P108" s="43">
        <f>'[1]поточний ремонт'!P108+'[2]поточний ремонт'!P108-'[3]поточний ремонт'!P108</f>
        <v>0</v>
      </c>
      <c r="Q108" s="1038"/>
      <c r="R108" s="43">
        <f>'[1]поточний ремонт'!R108+'[2]поточний ремонт'!R108-'[3]поточний ремонт'!R108</f>
        <v>0</v>
      </c>
      <c r="S108" s="43">
        <f>'[1]поточний ремонт'!S108+'[2]поточний ремонт'!S108-'[3]поточний ремонт'!S108</f>
        <v>0</v>
      </c>
      <c r="T108" s="1039"/>
      <c r="U108" s="43">
        <f>'[1]поточний ремонт'!U108+'[2]поточний ремонт'!U108-'[3]поточний ремонт'!U108</f>
        <v>0</v>
      </c>
      <c r="V108" s="43">
        <f>'[1]поточний ремонт'!V108+'[2]поточний ремонт'!V108-'[3]поточний ремонт'!V108</f>
        <v>0</v>
      </c>
      <c r="W108" s="43">
        <f>'[1]поточний ремонт'!W108+'[2]поточний ремонт'!W108-'[3]поточний ремонт'!W108</f>
        <v>0</v>
      </c>
      <c r="X108" s="43">
        <f>'[1]поточний ремонт'!X108+'[2]поточний ремонт'!X108-'[3]поточний ремонт'!X108</f>
        <v>0</v>
      </c>
      <c r="Y108" s="43">
        <f>'[1]поточний ремонт'!Y108+'[2]поточний ремонт'!Y108-'[3]поточний ремонт'!Y108</f>
        <v>0</v>
      </c>
      <c r="Z108" s="43">
        <f>'[1]поточний ремонт'!Z108+'[2]поточний ремонт'!Z108-'[3]поточний ремонт'!Z108</f>
        <v>0</v>
      </c>
      <c r="AA108" s="43">
        <f>'[1]поточний ремонт'!AA108+'[2]поточний ремонт'!AA108-'[3]поточний ремонт'!AA108</f>
        <v>0</v>
      </c>
      <c r="AB108" s="43">
        <f>'[1]поточний ремонт'!AB108+'[2]поточний ремонт'!AB108-'[3]поточний ремонт'!AB108</f>
        <v>0</v>
      </c>
      <c r="AC108" s="43">
        <f>'[1]поточний ремонт'!AC108+'[2]поточний ремонт'!AC108-'[3]поточний ремонт'!AC108</f>
        <v>5261</v>
      </c>
      <c r="AD108" s="43">
        <f>'[1]поточний ремонт'!AD108+'[2]поточний ремонт'!AD108-'[3]поточний ремонт'!AD108</f>
        <v>0</v>
      </c>
      <c r="AE108" s="43">
        <f>'[1]поточний ремонт'!AE108+'[2]поточний ремонт'!AE108-'[3]поточний ремонт'!AE108</f>
        <v>768.58353548401806</v>
      </c>
      <c r="AF108" s="43">
        <f>'[1]поточний ремонт'!AF108+'[2]поточний ремонт'!AF108-'[3]поточний ремонт'!AF108</f>
        <v>0</v>
      </c>
      <c r="AG108" s="5"/>
      <c r="AH108" s="43">
        <f>'[1]поточний ремонт'!AH108+'[2]поточний ремонт'!AH108-'[3]поточний ремонт'!AH108</f>
        <v>1258.7718030201743</v>
      </c>
      <c r="AI108" s="43">
        <f>'[1]поточний ремонт'!AI108+'[2]поточний ремонт'!AI108-'[3]поточний ремонт'!AI108</f>
        <v>0</v>
      </c>
      <c r="AJ108" s="5"/>
      <c r="AK108" s="43">
        <f>'[1]поточний ремонт'!AK108+'[2]поточний ремонт'!AK108-'[3]поточний ремонт'!AK108</f>
        <v>794.11016348623605</v>
      </c>
      <c r="AL108" s="43">
        <f>'[1]поточний ремонт'!AL108+'[2]поточний ремонт'!AL108-'[3]поточний ремонт'!AL108</f>
        <v>0</v>
      </c>
      <c r="AM108" s="5"/>
      <c r="AN108" s="43">
        <f>'[1]поточний ремонт'!AN108+'[2]поточний ремонт'!AN108-'[3]поточний ремонт'!AN108</f>
        <v>0</v>
      </c>
      <c r="AO108" s="43">
        <f>'[1]поточний ремонт'!AO108+'[2]поточний ремонт'!AO108-'[3]поточний ремонт'!AO108</f>
        <v>0</v>
      </c>
      <c r="AP108" s="5"/>
      <c r="AQ108" s="43">
        <f>'[1]поточний ремонт'!AQ108+'[2]поточний ремонт'!AQ108-'[3]поточний ремонт'!AQ108</f>
        <v>0</v>
      </c>
      <c r="AR108" s="43">
        <f>'[1]поточний ремонт'!AR108+'[2]поточний ремонт'!AR108-'[3]поточний ремонт'!AR108</f>
        <v>0</v>
      </c>
      <c r="AS108" s="5"/>
      <c r="AT108" s="43">
        <f>'[1]поточний ремонт'!AT108+'[2]поточний ремонт'!AT108-'[3]поточний ремонт'!AT108</f>
        <v>215.49717539708286</v>
      </c>
      <c r="AU108" s="43">
        <f>'[1]поточний ремонт'!AU108+'[2]поточний ремонт'!AU108-'[3]поточний ремонт'!AU108</f>
        <v>261</v>
      </c>
      <c r="AV108" s="5"/>
      <c r="AW108" s="43">
        <f>'[1]поточний ремонт'!AW108+'[2]поточний ремонт'!AW108-'[3]поточний ремонт'!AW108</f>
        <v>0</v>
      </c>
      <c r="AX108" s="43">
        <f>'[1]поточний ремонт'!AX108+'[2]поточний ремонт'!AX108-'[3]поточний ремонт'!AX108</f>
        <v>0</v>
      </c>
      <c r="AY108" s="5"/>
      <c r="AZ108" s="43">
        <f t="shared" si="10"/>
        <v>3036.9626773875116</v>
      </c>
      <c r="BA108" s="43">
        <f t="shared" si="11"/>
        <v>261</v>
      </c>
      <c r="BB108" s="59">
        <f t="shared" si="12"/>
        <v>-2775.9626773875116</v>
      </c>
      <c r="BD108" s="2">
        <v>2</v>
      </c>
      <c r="BF108" s="30">
        <v>1.618300928168066</v>
      </c>
      <c r="BG108" s="328">
        <v>150000611</v>
      </c>
      <c r="BI108" s="107">
        <v>0</v>
      </c>
      <c r="BJ108" s="107">
        <f t="shared" si="13"/>
        <v>0</v>
      </c>
      <c r="BK108" s="107">
        <v>0</v>
      </c>
      <c r="BL108" s="39"/>
      <c r="BM108" s="3"/>
      <c r="BN108" s="3">
        <v>0</v>
      </c>
      <c r="BP108" s="3"/>
      <c r="BQ108" s="3"/>
      <c r="BS108" s="43"/>
      <c r="BT108" s="43">
        <v>0</v>
      </c>
      <c r="BU108" s="1037"/>
      <c r="BV108" s="42"/>
      <c r="BW108" s="43"/>
      <c r="BX108" s="37"/>
      <c r="BY108" s="78"/>
      <c r="BZ108" s="43">
        <v>0</v>
      </c>
      <c r="CA108" s="1038"/>
      <c r="CB108" s="42">
        <v>0</v>
      </c>
      <c r="CC108" s="42">
        <v>0</v>
      </c>
      <c r="CD108" s="1039"/>
      <c r="CE108" s="78">
        <v>0</v>
      </c>
      <c r="CF108" s="56"/>
      <c r="CG108" s="42">
        <v>0</v>
      </c>
      <c r="CH108" s="39">
        <v>0</v>
      </c>
      <c r="CI108" s="78">
        <v>0</v>
      </c>
      <c r="CJ108" s="1044"/>
      <c r="CK108" s="1034"/>
      <c r="CL108" s="1029"/>
      <c r="CM108" s="1034"/>
      <c r="CN108" s="1029">
        <v>0</v>
      </c>
      <c r="CO108" s="78">
        <v>64.048627957001514</v>
      </c>
      <c r="CP108" s="43">
        <v>0</v>
      </c>
      <c r="CQ108" s="5"/>
      <c r="CR108" s="78">
        <v>104.89765025168121</v>
      </c>
      <c r="CS108" s="1033">
        <v>0</v>
      </c>
      <c r="CT108" s="5"/>
      <c r="CU108" s="78">
        <v>66.175846957186351</v>
      </c>
      <c r="CV108" s="43">
        <v>0</v>
      </c>
      <c r="CW108" s="5"/>
      <c r="CX108" s="78">
        <v>0</v>
      </c>
      <c r="CY108" s="43">
        <v>0</v>
      </c>
      <c r="CZ108" s="5"/>
      <c r="DA108" s="78">
        <v>0</v>
      </c>
      <c r="DB108" s="43">
        <v>0</v>
      </c>
      <c r="DC108" s="5"/>
      <c r="DD108" s="78">
        <v>17.958097949756905</v>
      </c>
      <c r="DE108" s="43">
        <v>0</v>
      </c>
      <c r="DF108" s="5"/>
      <c r="DG108" s="78">
        <v>0</v>
      </c>
      <c r="DH108" s="43"/>
      <c r="DI108" s="5"/>
      <c r="DJ108" s="43">
        <v>253.08022311562598</v>
      </c>
      <c r="DK108" s="43">
        <f t="shared" si="14"/>
        <v>0</v>
      </c>
      <c r="DL108" s="59">
        <f t="shared" si="15"/>
        <v>-253.08022311562598</v>
      </c>
    </row>
    <row r="109" spans="1:116" ht="24.9" customHeight="1" x14ac:dyDescent="0.3">
      <c r="A109" s="328">
        <v>150000623</v>
      </c>
      <c r="B109" s="45" t="s">
        <v>209</v>
      </c>
      <c r="C109" s="1035">
        <v>4</v>
      </c>
      <c r="D109" s="1036" t="s">
        <v>454</v>
      </c>
      <c r="E109" s="1028">
        <f>'побудинковий звіт'!E107</f>
        <v>7600.2300000000005</v>
      </c>
      <c r="F109" s="1029">
        <f>'побудинковий звіт'!AS107</f>
        <v>18925.749168742488</v>
      </c>
      <c r="G109" s="1029">
        <f t="shared" si="8"/>
        <v>68102</v>
      </c>
      <c r="H109" s="1029">
        <f t="shared" si="9"/>
        <v>49176.250831257508</v>
      </c>
      <c r="I109" s="43">
        <f>'[1]поточний ремонт'!I109+'[2]поточний ремонт'!I109-'[3]поточний ремонт'!I109</f>
        <v>0</v>
      </c>
      <c r="J109" s="43">
        <f>'[1]поточний ремонт'!J109+'[2]поточний ремонт'!J109-'[3]поточний ремонт'!J109</f>
        <v>0</v>
      </c>
      <c r="K109" s="1037"/>
      <c r="L109" s="43">
        <f>'[1]поточний ремонт'!L109+'[2]поточний ремонт'!L109-'[3]поточний ремонт'!L109</f>
        <v>1</v>
      </c>
      <c r="M109" s="43">
        <f>'[1]поточний ремонт'!M109+'[2]поточний ремонт'!M109-'[3]поточний ремонт'!M109</f>
        <v>58472</v>
      </c>
      <c r="N109" s="37"/>
      <c r="O109" s="43">
        <f>'[1]поточний ремонт'!O109+'[2]поточний ремонт'!O109-'[3]поточний ремонт'!O109</f>
        <v>0</v>
      </c>
      <c r="P109" s="43">
        <f>'[1]поточний ремонт'!P109+'[2]поточний ремонт'!P109-'[3]поточний ремонт'!P109</f>
        <v>0</v>
      </c>
      <c r="Q109" s="1038"/>
      <c r="R109" s="43">
        <f>'[1]поточний ремонт'!R109+'[2]поточний ремонт'!R109-'[3]поточний ремонт'!R109</f>
        <v>0</v>
      </c>
      <c r="S109" s="43">
        <f>'[1]поточний ремонт'!S109+'[2]поточний ремонт'!S109-'[3]поточний ремонт'!S109</f>
        <v>0</v>
      </c>
      <c r="T109" s="1039"/>
      <c r="U109" s="43">
        <f>'[1]поточний ремонт'!U109+'[2]поточний ремонт'!U109-'[3]поточний ремонт'!U109</f>
        <v>0</v>
      </c>
      <c r="V109" s="43">
        <f>'[1]поточний ремонт'!V109+'[2]поточний ремонт'!V109-'[3]поточний ремонт'!V109</f>
        <v>0</v>
      </c>
      <c r="W109" s="43">
        <f>'[1]поточний ремонт'!W109+'[2]поточний ремонт'!W109-'[3]поточний ремонт'!W109</f>
        <v>0</v>
      </c>
      <c r="X109" s="43">
        <f>'[1]поточний ремонт'!X109+'[2]поточний ремонт'!X109-'[3]поточний ремонт'!X109</f>
        <v>0</v>
      </c>
      <c r="Y109" s="43">
        <f>'[1]поточний ремонт'!Y109+'[2]поточний ремонт'!Y109-'[3]поточний ремонт'!Y109</f>
        <v>0</v>
      </c>
      <c r="Z109" s="43">
        <f>'[1]поточний ремонт'!Z109+'[2]поточний ремонт'!Z109-'[3]поточний ремонт'!Z109</f>
        <v>0</v>
      </c>
      <c r="AA109" s="43">
        <f>'[1]поточний ремонт'!AA109+'[2]поточний ремонт'!AA109-'[3]поточний ремонт'!AA109</f>
        <v>0</v>
      </c>
      <c r="AB109" s="43">
        <f>'[1]поточний ремонт'!AB109+'[2]поточний ремонт'!AB109-'[3]поточний ремонт'!AB109</f>
        <v>0</v>
      </c>
      <c r="AC109" s="43">
        <f>'[1]поточний ремонт'!AC109+'[2]поточний ремонт'!AC109-'[3]поточний ремонт'!AC109</f>
        <v>9320</v>
      </c>
      <c r="AD109" s="43">
        <f>'[1]поточний ремонт'!AD109+'[2]поточний ремонт'!AD109-'[3]поточний ремонт'!AD109</f>
        <v>310</v>
      </c>
      <c r="AE109" s="43">
        <f>'[1]поточний ремонт'!AE109+'[2]поточний ремонт'!AE109-'[3]поточний ремонт'!AE109</f>
        <v>895.65617756303686</v>
      </c>
      <c r="AF109" s="43">
        <f>'[1]поточний ремонт'!AF109+'[2]поточний ремонт'!AF109-'[3]поточний ремонт'!AF109</f>
        <v>1149</v>
      </c>
      <c r="AG109" s="9"/>
      <c r="AH109" s="43">
        <f>'[1]поточний ремонт'!AH109+'[2]поточний ремонт'!AH109-'[3]поточний ремонт'!AH109</f>
        <v>1205.8638280807043</v>
      </c>
      <c r="AI109" s="43">
        <f>'[1]поточний ремонт'!AI109+'[2]поточний ремонт'!AI109-'[3]поточний ремонт'!AI109</f>
        <v>0</v>
      </c>
      <c r="AJ109" s="5"/>
      <c r="AK109" s="43">
        <f>'[1]поточний ремонт'!AK109+'[2]поточний ремонт'!AK109-'[3]поточний ремонт'!AK109</f>
        <v>1000.211501379648</v>
      </c>
      <c r="AL109" s="43">
        <f>'[1]поточний ремонт'!AL109+'[2]поточний ремонт'!AL109-'[3]поточний ремонт'!AL109</f>
        <v>910</v>
      </c>
      <c r="AM109" s="5"/>
      <c r="AN109" s="43">
        <f>'[1]поточний ремонт'!AN109+'[2]поточний ремонт'!AN109-'[3]поточний ремонт'!AN109</f>
        <v>0</v>
      </c>
      <c r="AO109" s="43">
        <f>'[1]поточний ремонт'!AO109+'[2]поточний ремонт'!AO109-'[3]поточний ремонт'!AO109</f>
        <v>0</v>
      </c>
      <c r="AP109" s="5"/>
      <c r="AQ109" s="43">
        <f>'[1]поточний ремонт'!AQ109+'[2]поточний ремонт'!AQ109-'[3]поточний ремонт'!AQ109</f>
        <v>0</v>
      </c>
      <c r="AR109" s="43">
        <f>'[1]поточний ремонт'!AR109+'[2]поточний ремонт'!AR109-'[3]поточний ремонт'!AR109</f>
        <v>0</v>
      </c>
      <c r="AS109" s="5"/>
      <c r="AT109" s="43">
        <f>'[1]поточний ремонт'!AT109+'[2]поточний ремонт'!AT109-'[3]поточний ремонт'!AT109</f>
        <v>362.91232416152599</v>
      </c>
      <c r="AU109" s="43">
        <f>'[1]поточний ремонт'!AU109+'[2]поточний ремонт'!AU109-'[3]поточний ремонт'!AU109</f>
        <v>126</v>
      </c>
      <c r="AV109" s="5"/>
      <c r="AW109" s="43">
        <f>'[1]поточний ремонт'!AW109+'[2]поточний ремонт'!AW109-'[3]поточний ремонт'!AW109</f>
        <v>0</v>
      </c>
      <c r="AX109" s="43">
        <f>'[1]поточний ремонт'!AX109+'[2]поточний ремонт'!AX109-'[3]поточний ремонт'!AX109</f>
        <v>0</v>
      </c>
      <c r="AY109" s="5"/>
      <c r="AZ109" s="43">
        <f t="shared" si="10"/>
        <v>3464.6438311849151</v>
      </c>
      <c r="BA109" s="43">
        <f t="shared" si="11"/>
        <v>2185</v>
      </c>
      <c r="BB109" s="59">
        <f t="shared" si="12"/>
        <v>-1279.6438311849151</v>
      </c>
      <c r="BD109" s="2">
        <v>2</v>
      </c>
      <c r="BF109" s="30">
        <v>2.1487764670765874</v>
      </c>
      <c r="BG109" s="328">
        <v>150000623</v>
      </c>
      <c r="BI109" s="107">
        <v>0</v>
      </c>
      <c r="BJ109" s="107">
        <f t="shared" si="13"/>
        <v>0</v>
      </c>
      <c r="BK109" s="107">
        <v>0</v>
      </c>
      <c r="BL109" s="39"/>
      <c r="BM109" s="3"/>
      <c r="BN109" s="3">
        <v>0</v>
      </c>
      <c r="BP109" s="3"/>
      <c r="BQ109" s="3"/>
      <c r="BS109" s="43"/>
      <c r="BT109" s="43">
        <v>0</v>
      </c>
      <c r="BU109" s="1037"/>
      <c r="BV109" s="42"/>
      <c r="BW109" s="43"/>
      <c r="BX109" s="37"/>
      <c r="BY109" s="78"/>
      <c r="BZ109" s="43">
        <v>0</v>
      </c>
      <c r="CA109" s="1038"/>
      <c r="CB109" s="42">
        <v>0</v>
      </c>
      <c r="CC109" s="42">
        <v>0</v>
      </c>
      <c r="CD109" s="1039"/>
      <c r="CE109" s="78">
        <v>0</v>
      </c>
      <c r="CF109" s="56"/>
      <c r="CG109" s="42">
        <v>0</v>
      </c>
      <c r="CH109" s="39">
        <v>0</v>
      </c>
      <c r="CI109" s="78">
        <v>0</v>
      </c>
      <c r="CJ109" s="56"/>
      <c r="CK109" s="1034"/>
      <c r="CL109" s="1029"/>
      <c r="CM109" s="1034"/>
      <c r="CN109" s="1029">
        <v>0</v>
      </c>
      <c r="CO109" s="78">
        <v>74.638014796919734</v>
      </c>
      <c r="CP109" s="43">
        <v>0</v>
      </c>
      <c r="CQ109" s="9"/>
      <c r="CR109" s="78">
        <v>100.48865234005868</v>
      </c>
      <c r="CS109" s="1033">
        <v>0</v>
      </c>
      <c r="CT109" s="5"/>
      <c r="CU109" s="78">
        <v>83.35095844830397</v>
      </c>
      <c r="CV109" s="43">
        <v>0</v>
      </c>
      <c r="CW109" s="5"/>
      <c r="CX109" s="78">
        <v>0</v>
      </c>
      <c r="CY109" s="43">
        <v>0</v>
      </c>
      <c r="CZ109" s="5"/>
      <c r="DA109" s="78">
        <v>0</v>
      </c>
      <c r="DB109" s="43">
        <v>0</v>
      </c>
      <c r="DC109" s="5"/>
      <c r="DD109" s="78">
        <v>30.242693680127168</v>
      </c>
      <c r="DE109" s="43">
        <v>0</v>
      </c>
      <c r="DF109" s="5"/>
      <c r="DG109" s="78">
        <v>0</v>
      </c>
      <c r="DH109" s="43"/>
      <c r="DI109" s="5"/>
      <c r="DJ109" s="43">
        <v>288.72031926540956</v>
      </c>
      <c r="DK109" s="43">
        <f t="shared" si="14"/>
        <v>0</v>
      </c>
      <c r="DL109" s="59">
        <f t="shared" si="15"/>
        <v>-288.72031926540956</v>
      </c>
    </row>
    <row r="110" spans="1:116" ht="24.9" customHeight="1" x14ac:dyDescent="0.3">
      <c r="A110" s="328">
        <v>150000612</v>
      </c>
      <c r="B110" s="45" t="s">
        <v>161</v>
      </c>
      <c r="C110" s="1035">
        <v>2</v>
      </c>
      <c r="D110" s="1036" t="s">
        <v>454</v>
      </c>
      <c r="E110" s="1028">
        <f>'побудинковий звіт'!E108</f>
        <v>311.60000000000002</v>
      </c>
      <c r="F110" s="1029">
        <f>'побудинковий звіт'!AS108</f>
        <v>10053.439185568323</v>
      </c>
      <c r="G110" s="1029">
        <f t="shared" si="8"/>
        <v>284</v>
      </c>
      <c r="H110" s="1029">
        <f t="shared" si="9"/>
        <v>-9769.4391855683225</v>
      </c>
      <c r="I110" s="43">
        <f>'[1]поточний ремонт'!I110+'[2]поточний ремонт'!I110-'[3]поточний ремонт'!I110</f>
        <v>0</v>
      </c>
      <c r="J110" s="43">
        <f>'[1]поточний ремонт'!J110+'[2]поточний ремонт'!J110-'[3]поточний ремонт'!J110</f>
        <v>0</v>
      </c>
      <c r="K110" s="1037"/>
      <c r="L110" s="43">
        <f>'[1]поточний ремонт'!L110+'[2]поточний ремонт'!L110-'[3]поточний ремонт'!L110</f>
        <v>0</v>
      </c>
      <c r="M110" s="43">
        <f>'[1]поточний ремонт'!M110+'[2]поточний ремонт'!M110-'[3]поточний ремонт'!M110</f>
        <v>0</v>
      </c>
      <c r="N110" s="37"/>
      <c r="O110" s="43">
        <f>'[1]поточний ремонт'!O110+'[2]поточний ремонт'!O110-'[3]поточний ремонт'!O110</f>
        <v>0</v>
      </c>
      <c r="P110" s="43">
        <f>'[1]поточний ремонт'!P110+'[2]поточний ремонт'!P110-'[3]поточний ремонт'!P110</f>
        <v>0</v>
      </c>
      <c r="Q110" s="1038"/>
      <c r="R110" s="43">
        <f>'[1]поточний ремонт'!R110+'[2]поточний ремонт'!R110-'[3]поточний ремонт'!R110</f>
        <v>0</v>
      </c>
      <c r="S110" s="43">
        <f>'[1]поточний ремонт'!S110+'[2]поточний ремонт'!S110-'[3]поточний ремонт'!S110</f>
        <v>0</v>
      </c>
      <c r="T110" s="1039"/>
      <c r="U110" s="43">
        <f>'[1]поточний ремонт'!U110+'[2]поточний ремонт'!U110-'[3]поточний ремонт'!U110</f>
        <v>0</v>
      </c>
      <c r="V110" s="43">
        <f>'[1]поточний ремонт'!V110+'[2]поточний ремонт'!V110-'[3]поточний ремонт'!V110</f>
        <v>0</v>
      </c>
      <c r="W110" s="43">
        <f>'[1]поточний ремонт'!W110+'[2]поточний ремонт'!W110-'[3]поточний ремонт'!W110</f>
        <v>0</v>
      </c>
      <c r="X110" s="43">
        <f>'[1]поточний ремонт'!X110+'[2]поточний ремонт'!X110-'[3]поточний ремонт'!X110</f>
        <v>0</v>
      </c>
      <c r="Y110" s="43">
        <f>'[1]поточний ремонт'!Y110+'[2]поточний ремонт'!Y110-'[3]поточний ремонт'!Y110</f>
        <v>0</v>
      </c>
      <c r="Z110" s="43">
        <f>'[1]поточний ремонт'!Z110+'[2]поточний ремонт'!Z110-'[3]поточний ремонт'!Z110</f>
        <v>0</v>
      </c>
      <c r="AA110" s="43">
        <f>'[1]поточний ремонт'!AA110+'[2]поточний ремонт'!AA110-'[3]поточний ремонт'!AA110</f>
        <v>0</v>
      </c>
      <c r="AB110" s="43">
        <f>'[1]поточний ремонт'!AB110+'[2]поточний ремонт'!AB110-'[3]поточний ремонт'!AB110</f>
        <v>0</v>
      </c>
      <c r="AC110" s="43">
        <f>'[1]поточний ремонт'!AC110+'[2]поточний ремонт'!AC110-'[3]поточний ремонт'!AC110</f>
        <v>284</v>
      </c>
      <c r="AD110" s="43">
        <f>'[1]поточний ремонт'!AD110+'[2]поточний ремонт'!AD110-'[3]поточний ремонт'!AD110</f>
        <v>0</v>
      </c>
      <c r="AE110" s="43">
        <f>'[1]поточний ремонт'!AE110+'[2]поточний ремонт'!AE110-'[3]поточний ремонт'!AE110</f>
        <v>400.76271578958369</v>
      </c>
      <c r="AF110" s="43">
        <f>'[1]поточний ремонт'!AF110+'[2]поточний ремонт'!AF110-'[3]поточний ремонт'!AF110</f>
        <v>0</v>
      </c>
      <c r="AG110" s="5"/>
      <c r="AH110" s="43">
        <f>'[1]поточний ремонт'!AH110+'[2]поточний ремонт'!AH110-'[3]поточний ремонт'!AH110</f>
        <v>889.46692439466983</v>
      </c>
      <c r="AI110" s="43">
        <f>'[1]поточний ремонт'!AI110+'[2]поточний ремонт'!AI110-'[3]поточний ремонт'!AI110</f>
        <v>0</v>
      </c>
      <c r="AJ110" s="5"/>
      <c r="AK110" s="43">
        <f>'[1]поточний ремонт'!AK110+'[2]поточний ремонт'!AK110-'[3]поточний ремонт'!AK110</f>
        <v>165.8791055208878</v>
      </c>
      <c r="AL110" s="43">
        <f>'[1]поточний ремонт'!AL110+'[2]поточний ремонт'!AL110-'[3]поточний ремонт'!AL110</f>
        <v>0</v>
      </c>
      <c r="AM110" s="5"/>
      <c r="AN110" s="43">
        <f>'[1]поточний ремонт'!AN110+'[2]поточний ремонт'!AN110-'[3]поточний ремонт'!AN110</f>
        <v>0</v>
      </c>
      <c r="AO110" s="43">
        <f>'[1]поточний ремонт'!AO110+'[2]поточний ремонт'!AO110-'[3]поточний ремонт'!AO110</f>
        <v>0</v>
      </c>
      <c r="AP110" s="5"/>
      <c r="AQ110" s="43">
        <f>'[1]поточний ремонт'!AQ110+'[2]поточний ремонт'!AQ110-'[3]поточний ремонт'!AQ110</f>
        <v>0</v>
      </c>
      <c r="AR110" s="43">
        <f>'[1]поточний ремонт'!AR110+'[2]поточний ремонт'!AR110-'[3]поточний ремонт'!AR110</f>
        <v>0</v>
      </c>
      <c r="AS110" s="5"/>
      <c r="AT110" s="43">
        <f>'[1]поточний ремонт'!AT110+'[2]поточний ремонт'!AT110-'[3]поточний ремонт'!AT110</f>
        <v>118.62780668282814</v>
      </c>
      <c r="AU110" s="43">
        <f>'[1]поточний ремонт'!AU110+'[2]поточний ремонт'!AU110-'[3]поточний ремонт'!AU110</f>
        <v>0</v>
      </c>
      <c r="AV110" s="5"/>
      <c r="AW110" s="43">
        <f>'[1]поточний ремонт'!AW110+'[2]поточний ремонт'!AW110-'[3]поточний ремонт'!AW110</f>
        <v>0</v>
      </c>
      <c r="AX110" s="43">
        <f>'[1]поточний ремонт'!AX110+'[2]поточний ремонт'!AX110-'[3]поточний ремонт'!AX110</f>
        <v>0</v>
      </c>
      <c r="AY110" s="5"/>
      <c r="AZ110" s="43">
        <f t="shared" si="10"/>
        <v>1574.7365523879696</v>
      </c>
      <c r="BA110" s="43">
        <f t="shared" si="11"/>
        <v>0</v>
      </c>
      <c r="BB110" s="59">
        <f t="shared" si="12"/>
        <v>-1574.7365523879696</v>
      </c>
      <c r="BD110" s="2">
        <v>2</v>
      </c>
      <c r="BF110" s="30">
        <v>0.72849831854843683</v>
      </c>
      <c r="BG110" s="328">
        <v>150000612</v>
      </c>
      <c r="BI110" s="107">
        <v>0</v>
      </c>
      <c r="BJ110" s="107">
        <f t="shared" si="13"/>
        <v>0</v>
      </c>
      <c r="BK110" s="107">
        <v>0</v>
      </c>
      <c r="BL110" s="39"/>
      <c r="BM110" s="3"/>
      <c r="BN110" s="3">
        <v>0</v>
      </c>
      <c r="BP110" s="3"/>
      <c r="BQ110" s="3"/>
      <c r="BS110" s="43"/>
      <c r="BT110" s="43">
        <v>0</v>
      </c>
      <c r="BU110" s="1037"/>
      <c r="BV110" s="42"/>
      <c r="BW110" s="43"/>
      <c r="BX110" s="37"/>
      <c r="BY110" s="78"/>
      <c r="BZ110" s="43">
        <v>0</v>
      </c>
      <c r="CA110" s="1038"/>
      <c r="CB110" s="42">
        <v>0</v>
      </c>
      <c r="CC110" s="42">
        <v>0</v>
      </c>
      <c r="CD110" s="1039"/>
      <c r="CE110" s="78">
        <v>0</v>
      </c>
      <c r="CF110" s="56"/>
      <c r="CG110" s="42">
        <v>0</v>
      </c>
      <c r="CH110" s="39">
        <v>0</v>
      </c>
      <c r="CI110" s="78">
        <v>0</v>
      </c>
      <c r="CJ110" s="56"/>
      <c r="CK110" s="1034"/>
      <c r="CL110" s="1029"/>
      <c r="CM110" s="1034"/>
      <c r="CN110" s="1029">
        <v>0</v>
      </c>
      <c r="CO110" s="78">
        <v>33.396892982465303</v>
      </c>
      <c r="CP110" s="43">
        <v>0</v>
      </c>
      <c r="CQ110" s="5"/>
      <c r="CR110" s="78">
        <v>74.12224369955581</v>
      </c>
      <c r="CS110" s="1033">
        <v>0</v>
      </c>
      <c r="CT110" s="5"/>
      <c r="CU110" s="78">
        <v>13.823258793407316</v>
      </c>
      <c r="CV110" s="43">
        <v>0</v>
      </c>
      <c r="CW110" s="5"/>
      <c r="CX110" s="78">
        <v>0</v>
      </c>
      <c r="CY110" s="43">
        <v>0</v>
      </c>
      <c r="CZ110" s="5"/>
      <c r="DA110" s="78">
        <v>0</v>
      </c>
      <c r="DB110" s="43">
        <v>0</v>
      </c>
      <c r="DC110" s="5"/>
      <c r="DD110" s="78">
        <v>9.885650556902343</v>
      </c>
      <c r="DE110" s="43">
        <v>0</v>
      </c>
      <c r="DF110" s="5"/>
      <c r="DG110" s="78">
        <v>0</v>
      </c>
      <c r="DH110" s="43"/>
      <c r="DI110" s="5"/>
      <c r="DJ110" s="43">
        <v>131.22804603233078</v>
      </c>
      <c r="DK110" s="43">
        <f t="shared" si="14"/>
        <v>0</v>
      </c>
      <c r="DL110" s="59">
        <f t="shared" si="15"/>
        <v>-131.22804603233078</v>
      </c>
    </row>
    <row r="111" spans="1:116" ht="24.9" customHeight="1" x14ac:dyDescent="0.3">
      <c r="A111" s="328">
        <v>150000613</v>
      </c>
      <c r="B111" s="45" t="s">
        <v>210</v>
      </c>
      <c r="C111" s="1035">
        <v>4</v>
      </c>
      <c r="D111" s="1036" t="s">
        <v>454</v>
      </c>
      <c r="E111" s="1028">
        <f>'побудинковий звіт'!E109</f>
        <v>2638.4</v>
      </c>
      <c r="F111" s="1029">
        <f>'побудинковий звіт'!AS109</f>
        <v>15058.062046617279</v>
      </c>
      <c r="G111" s="1029">
        <f t="shared" si="8"/>
        <v>79</v>
      </c>
      <c r="H111" s="1029">
        <f t="shared" si="9"/>
        <v>-14979.062046617279</v>
      </c>
      <c r="I111" s="43">
        <f>'[1]поточний ремонт'!I111+'[2]поточний ремонт'!I111-'[3]поточний ремонт'!I111</f>
        <v>0</v>
      </c>
      <c r="J111" s="43">
        <f>'[1]поточний ремонт'!J111+'[2]поточний ремонт'!J111-'[3]поточний ремонт'!J111</f>
        <v>0</v>
      </c>
      <c r="K111" s="1037"/>
      <c r="L111" s="43">
        <f>'[1]поточний ремонт'!L111+'[2]поточний ремонт'!L111-'[3]поточний ремонт'!L111</f>
        <v>0</v>
      </c>
      <c r="M111" s="43">
        <f>'[1]поточний ремонт'!M111+'[2]поточний ремонт'!M111-'[3]поточний ремонт'!M111</f>
        <v>0</v>
      </c>
      <c r="N111" s="37"/>
      <c r="O111" s="43">
        <f>'[1]поточний ремонт'!O111+'[2]поточний ремонт'!O111-'[3]поточний ремонт'!O111</f>
        <v>0</v>
      </c>
      <c r="P111" s="43">
        <f>'[1]поточний ремонт'!P111+'[2]поточний ремонт'!P111-'[3]поточний ремонт'!P111</f>
        <v>0</v>
      </c>
      <c r="Q111" s="1038"/>
      <c r="R111" s="43">
        <f>'[1]поточний ремонт'!R111+'[2]поточний ремонт'!R111-'[3]поточний ремонт'!R111</f>
        <v>0</v>
      </c>
      <c r="S111" s="43">
        <f>'[1]поточний ремонт'!S111+'[2]поточний ремонт'!S111-'[3]поточний ремонт'!S111</f>
        <v>0</v>
      </c>
      <c r="T111" s="1039"/>
      <c r="U111" s="43">
        <f>'[1]поточний ремонт'!U111+'[2]поточний ремонт'!U111-'[3]поточний ремонт'!U111</f>
        <v>0</v>
      </c>
      <c r="V111" s="43">
        <f>'[1]поточний ремонт'!V111+'[2]поточний ремонт'!V111-'[3]поточний ремонт'!V111</f>
        <v>0</v>
      </c>
      <c r="W111" s="43">
        <f>'[1]поточний ремонт'!W111+'[2]поточний ремонт'!W111-'[3]поточний ремонт'!W111</f>
        <v>0</v>
      </c>
      <c r="X111" s="43">
        <f>'[1]поточний ремонт'!X111+'[2]поточний ремонт'!X111-'[3]поточний ремонт'!X111</f>
        <v>0</v>
      </c>
      <c r="Y111" s="43">
        <f>'[1]поточний ремонт'!Y111+'[2]поточний ремонт'!Y111-'[3]поточний ремонт'!Y111</f>
        <v>0</v>
      </c>
      <c r="Z111" s="43">
        <f>'[1]поточний ремонт'!Z111+'[2]поточний ремонт'!Z111-'[3]поточний ремонт'!Z111</f>
        <v>0</v>
      </c>
      <c r="AA111" s="43">
        <f>'[1]поточний ремонт'!AA111+'[2]поточний ремонт'!AA111-'[3]поточний ремонт'!AA111</f>
        <v>0</v>
      </c>
      <c r="AB111" s="43">
        <f>'[1]поточний ремонт'!AB111+'[2]поточний ремонт'!AB111-'[3]поточний ремонт'!AB111</f>
        <v>0</v>
      </c>
      <c r="AC111" s="43">
        <f>'[1]поточний ремонт'!AC111+'[2]поточний ремонт'!AC111-'[3]поточний ремонт'!AC111</f>
        <v>0</v>
      </c>
      <c r="AD111" s="43">
        <f>'[1]поточний ремонт'!AD111+'[2]поточний ремонт'!AD111-'[3]поточний ремонт'!AD111</f>
        <v>79</v>
      </c>
      <c r="AE111" s="43">
        <f>'[1]поточний ремонт'!AE111+'[2]поточний ремонт'!AE111-'[3]поточний ремонт'!AE111</f>
        <v>878.12142783221839</v>
      </c>
      <c r="AF111" s="43">
        <f>'[1]поточний ремонт'!AF111+'[2]поточний ремонт'!AF111-'[3]поточний ремонт'!AF111</f>
        <v>0</v>
      </c>
      <c r="AG111" s="5"/>
      <c r="AH111" s="43">
        <f>'[1]поточний ремонт'!AH111+'[2]поточний ремонт'!AH111-'[3]поточний ремонт'!AH111</f>
        <v>1199.9207699340923</v>
      </c>
      <c r="AI111" s="43">
        <f>'[1]поточний ремонт'!AI111+'[2]поточний ремонт'!AI111-'[3]поточний ремонт'!AI111</f>
        <v>0</v>
      </c>
      <c r="AJ111" s="5"/>
      <c r="AK111" s="43">
        <f>'[1]поточний ремонт'!AK111+'[2]поточний ремонт'!AK111-'[3]поточний ремонт'!AK111</f>
        <v>987.14380804143707</v>
      </c>
      <c r="AL111" s="43">
        <f>'[1]поточний ремонт'!AL111+'[2]поточний ремонт'!AL111-'[3]поточний ремонт'!AL111</f>
        <v>0</v>
      </c>
      <c r="AM111" s="5"/>
      <c r="AN111" s="43">
        <f>'[1]поточний ремонт'!AN111+'[2]поточний ремонт'!AN111-'[3]поточний ремонт'!AN111</f>
        <v>0</v>
      </c>
      <c r="AO111" s="43">
        <f>'[1]поточний ремонт'!AO111+'[2]поточний ремонт'!AO111-'[3]поточний ремонт'!AO111</f>
        <v>0</v>
      </c>
      <c r="AP111" s="5"/>
      <c r="AQ111" s="43">
        <f>'[1]поточний ремонт'!AQ111+'[2]поточний ремонт'!AQ111-'[3]поточний ремонт'!AQ111</f>
        <v>0</v>
      </c>
      <c r="AR111" s="43">
        <f>'[1]поточний ремонт'!AR111+'[2]поточний ремонт'!AR111-'[3]поточний ремонт'!AR111</f>
        <v>331</v>
      </c>
      <c r="AS111" s="5"/>
      <c r="AT111" s="43">
        <f>'[1]поточний ремонт'!AT111+'[2]поточний ремонт'!AT111-'[3]поточний ремонт'!AT111</f>
        <v>360.33688608548937</v>
      </c>
      <c r="AU111" s="43">
        <f>'[1]поточний ремонт'!AU111+'[2]поточний ремонт'!AU111-'[3]поточний ремонт'!AU111</f>
        <v>0</v>
      </c>
      <c r="AV111" s="5"/>
      <c r="AW111" s="43">
        <f>'[1]поточний ремонт'!AW111+'[2]поточний ремонт'!AW111-'[3]поточний ремонт'!AW111</f>
        <v>0</v>
      </c>
      <c r="AX111" s="43">
        <f>'[1]поточний ремонт'!AX111+'[2]поточний ремонт'!AX111-'[3]поточний ремонт'!AX111</f>
        <v>0</v>
      </c>
      <c r="AY111" s="5"/>
      <c r="AZ111" s="43">
        <f t="shared" si="10"/>
        <v>3425.5228918932376</v>
      </c>
      <c r="BA111" s="43">
        <f t="shared" si="11"/>
        <v>331</v>
      </c>
      <c r="BB111" s="59">
        <f t="shared" si="12"/>
        <v>-3094.5228918932376</v>
      </c>
      <c r="BD111" s="2">
        <v>2</v>
      </c>
      <c r="BF111" s="30">
        <v>2.1648134203178198</v>
      </c>
      <c r="BG111" s="328">
        <v>150000613</v>
      </c>
      <c r="BI111" s="107">
        <v>0</v>
      </c>
      <c r="BJ111" s="107">
        <f t="shared" si="13"/>
        <v>0</v>
      </c>
      <c r="BK111" s="107">
        <v>0</v>
      </c>
      <c r="BL111" s="39"/>
      <c r="BM111" s="3"/>
      <c r="BN111" s="3">
        <v>0</v>
      </c>
      <c r="BP111" s="3"/>
      <c r="BQ111" s="3"/>
      <c r="BS111" s="43"/>
      <c r="BT111" s="43">
        <v>0</v>
      </c>
      <c r="BU111" s="1037"/>
      <c r="BV111" s="42"/>
      <c r="BW111" s="43"/>
      <c r="BX111" s="37"/>
      <c r="BY111" s="78"/>
      <c r="BZ111" s="43">
        <v>0</v>
      </c>
      <c r="CA111" s="1038"/>
      <c r="CB111" s="42">
        <v>0</v>
      </c>
      <c r="CC111" s="42">
        <v>0</v>
      </c>
      <c r="CD111" s="1039"/>
      <c r="CE111" s="78">
        <v>0</v>
      </c>
      <c r="CF111" s="56"/>
      <c r="CG111" s="42">
        <v>0</v>
      </c>
      <c r="CH111" s="39">
        <v>0</v>
      </c>
      <c r="CI111" s="78">
        <v>0</v>
      </c>
      <c r="CJ111" s="56"/>
      <c r="CK111" s="1034"/>
      <c r="CL111" s="1029"/>
      <c r="CM111" s="1034"/>
      <c r="CN111" s="1029">
        <v>0</v>
      </c>
      <c r="CO111" s="78">
        <v>73.17678565268487</v>
      </c>
      <c r="CP111" s="43">
        <v>0</v>
      </c>
      <c r="CQ111" s="5"/>
      <c r="CR111" s="78">
        <v>99.99339749450769</v>
      </c>
      <c r="CS111" s="1033">
        <v>0</v>
      </c>
      <c r="CT111" s="5"/>
      <c r="CU111" s="78">
        <v>82.261984003453094</v>
      </c>
      <c r="CV111" s="43">
        <v>0</v>
      </c>
      <c r="CW111" s="5"/>
      <c r="CX111" s="78">
        <v>0</v>
      </c>
      <c r="CY111" s="43">
        <v>0</v>
      </c>
      <c r="CZ111" s="5"/>
      <c r="DA111" s="78">
        <v>0</v>
      </c>
      <c r="DB111" s="43">
        <v>0</v>
      </c>
      <c r="DC111" s="5"/>
      <c r="DD111" s="78">
        <v>30.028073840457441</v>
      </c>
      <c r="DE111" s="43">
        <v>0</v>
      </c>
      <c r="DF111" s="5"/>
      <c r="DG111" s="78">
        <v>0</v>
      </c>
      <c r="DH111" s="43"/>
      <c r="DI111" s="5"/>
      <c r="DJ111" s="43">
        <v>285.46024099110315</v>
      </c>
      <c r="DK111" s="43">
        <f t="shared" si="14"/>
        <v>0</v>
      </c>
      <c r="DL111" s="59">
        <f t="shared" si="15"/>
        <v>-285.46024099110315</v>
      </c>
    </row>
    <row r="112" spans="1:116" ht="24.9" customHeight="1" x14ac:dyDescent="0.3">
      <c r="A112" s="328">
        <v>150000614</v>
      </c>
      <c r="B112" s="45" t="s">
        <v>162</v>
      </c>
      <c r="C112" s="1035">
        <v>2</v>
      </c>
      <c r="D112" s="1036" t="s">
        <v>454</v>
      </c>
      <c r="E112" s="1028">
        <f>'побудинковий звіт'!E110</f>
        <v>387.5</v>
      </c>
      <c r="F112" s="1029">
        <f>'побудинковий звіт'!AS110</f>
        <v>9543.7682875772225</v>
      </c>
      <c r="G112" s="1029">
        <f t="shared" si="8"/>
        <v>175</v>
      </c>
      <c r="H112" s="1029">
        <f t="shared" si="9"/>
        <v>-9368.7682875772225</v>
      </c>
      <c r="I112" s="43">
        <f>'[1]поточний ремонт'!I112+'[2]поточний ремонт'!I112-'[3]поточний ремонт'!I112</f>
        <v>0</v>
      </c>
      <c r="J112" s="43">
        <f>'[1]поточний ремонт'!J112+'[2]поточний ремонт'!J112-'[3]поточний ремонт'!J112</f>
        <v>0</v>
      </c>
      <c r="K112" s="1037"/>
      <c r="L112" s="43">
        <f>'[1]поточний ремонт'!L112+'[2]поточний ремонт'!L112-'[3]поточний ремонт'!L112</f>
        <v>0</v>
      </c>
      <c r="M112" s="43">
        <f>'[1]поточний ремонт'!M112+'[2]поточний ремонт'!M112-'[3]поточний ремонт'!M112</f>
        <v>0</v>
      </c>
      <c r="N112" s="37"/>
      <c r="O112" s="43">
        <f>'[1]поточний ремонт'!O112+'[2]поточний ремонт'!O112-'[3]поточний ремонт'!O112</f>
        <v>0</v>
      </c>
      <c r="P112" s="43">
        <f>'[1]поточний ремонт'!P112+'[2]поточний ремонт'!P112-'[3]поточний ремонт'!P112</f>
        <v>0</v>
      </c>
      <c r="Q112" s="1038"/>
      <c r="R112" s="43">
        <f>'[1]поточний ремонт'!R112+'[2]поточний ремонт'!R112-'[3]поточний ремонт'!R112</f>
        <v>0</v>
      </c>
      <c r="S112" s="43">
        <f>'[1]поточний ремонт'!S112+'[2]поточний ремонт'!S112-'[3]поточний ремонт'!S112</f>
        <v>0</v>
      </c>
      <c r="T112" s="1039"/>
      <c r="U112" s="43">
        <f>'[1]поточний ремонт'!U112+'[2]поточний ремонт'!U112-'[3]поточний ремонт'!U112</f>
        <v>0</v>
      </c>
      <c r="V112" s="43">
        <f>'[1]поточний ремонт'!V112+'[2]поточний ремонт'!V112-'[3]поточний ремонт'!V112</f>
        <v>0</v>
      </c>
      <c r="W112" s="43">
        <f>'[1]поточний ремонт'!W112+'[2]поточний ремонт'!W112-'[3]поточний ремонт'!W112</f>
        <v>0</v>
      </c>
      <c r="X112" s="43">
        <f>'[1]поточний ремонт'!X112+'[2]поточний ремонт'!X112-'[3]поточний ремонт'!X112</f>
        <v>0</v>
      </c>
      <c r="Y112" s="43">
        <f>'[1]поточний ремонт'!Y112+'[2]поточний ремонт'!Y112-'[3]поточний ремонт'!Y112</f>
        <v>0</v>
      </c>
      <c r="Z112" s="43">
        <f>'[1]поточний ремонт'!Z112+'[2]поточний ремонт'!Z112-'[3]поточний ремонт'!Z112</f>
        <v>0</v>
      </c>
      <c r="AA112" s="43">
        <f>'[1]поточний ремонт'!AA112+'[2]поточний ремонт'!AA112-'[3]поточний ремонт'!AA112</f>
        <v>0</v>
      </c>
      <c r="AB112" s="43">
        <f>'[1]поточний ремонт'!AB112+'[2]поточний ремонт'!AB112-'[3]поточний ремонт'!AB112</f>
        <v>0</v>
      </c>
      <c r="AC112" s="43">
        <f>'[1]поточний ремонт'!AC112+'[2]поточний ремонт'!AC112-'[3]поточний ремонт'!AC112</f>
        <v>175</v>
      </c>
      <c r="AD112" s="43">
        <f>'[1]поточний ремонт'!AD112+'[2]поточний ремонт'!AD112-'[3]поточний ремонт'!AD112</f>
        <v>0</v>
      </c>
      <c r="AE112" s="43">
        <f>'[1]поточний ремонт'!AE112+'[2]поточний ремонт'!AE112-'[3]поточний ремонт'!AE112</f>
        <v>568.80140155377376</v>
      </c>
      <c r="AF112" s="43">
        <f>'[1]поточний ремонт'!AF112+'[2]поточний ремонт'!AF112-'[3]поточний ремонт'!AF112</f>
        <v>0</v>
      </c>
      <c r="AG112" s="5"/>
      <c r="AH112" s="43">
        <f>'[1]поточний ремонт'!AH112+'[2]поточний ремонт'!AH112-'[3]поточний ремонт'!AH112</f>
        <v>706.67854208029485</v>
      </c>
      <c r="AI112" s="43">
        <f>'[1]поточний ремонт'!AI112+'[2]поточний ремонт'!AI112-'[3]поточний ремонт'!AI112</f>
        <v>0</v>
      </c>
      <c r="AJ112" s="5"/>
      <c r="AK112" s="43">
        <f>'[1]поточний ремонт'!AK112+'[2]поточний ремонт'!AK112-'[3]поточний ремонт'!AK112</f>
        <v>298.12881982235933</v>
      </c>
      <c r="AL112" s="43">
        <f>'[1]поточний ремонт'!AL112+'[2]поточний ремонт'!AL112-'[3]поточний ремонт'!AL112</f>
        <v>642.00000000000011</v>
      </c>
      <c r="AM112" s="5"/>
      <c r="AN112" s="43">
        <f>'[1]поточний ремонт'!AN112+'[2]поточний ремонт'!AN112-'[3]поточний ремонт'!AN112</f>
        <v>0</v>
      </c>
      <c r="AO112" s="43">
        <f>'[1]поточний ремонт'!AO112+'[2]поточний ремонт'!AO112-'[3]поточний ремонт'!AO112</f>
        <v>0</v>
      </c>
      <c r="AP112" s="5"/>
      <c r="AQ112" s="43">
        <f>'[1]поточний ремонт'!AQ112+'[2]поточний ремонт'!AQ112-'[3]поточний ремонт'!AQ112</f>
        <v>0</v>
      </c>
      <c r="AR112" s="43">
        <f>'[1]поточний ремонт'!AR112+'[2]поточний ремонт'!AR112-'[3]поточний ремонт'!AR112</f>
        <v>0</v>
      </c>
      <c r="AS112" s="5"/>
      <c r="AT112" s="43">
        <f>'[1]поточний ремонт'!AT112+'[2]поточний ремонт'!AT112-'[3]поточний ремонт'!AT112</f>
        <v>209.02272712943946</v>
      </c>
      <c r="AU112" s="43">
        <f>'[1]поточний ремонт'!AU112+'[2]поточний ремонт'!AU112-'[3]поточний ремонт'!AU112</f>
        <v>208.19931220172629</v>
      </c>
      <c r="AV112" s="5"/>
      <c r="AW112" s="43">
        <f>'[1]поточний ремонт'!AW112+'[2]поточний ремонт'!AW112-'[3]поточний ремонт'!AW112</f>
        <v>0</v>
      </c>
      <c r="AX112" s="43">
        <f>'[1]поточний ремонт'!AX112+'[2]поточний ремонт'!AX112-'[3]поточний ремонт'!AX112</f>
        <v>0</v>
      </c>
      <c r="AY112" s="5"/>
      <c r="AZ112" s="43">
        <f t="shared" si="10"/>
        <v>1782.6314905858674</v>
      </c>
      <c r="BA112" s="43">
        <f t="shared" si="11"/>
        <v>850.19931220172634</v>
      </c>
      <c r="BB112" s="59">
        <f t="shared" si="12"/>
        <v>-932.43217838414103</v>
      </c>
      <c r="BD112" s="2">
        <v>2</v>
      </c>
      <c r="BF112" s="30">
        <v>0.9147489813282127</v>
      </c>
      <c r="BG112" s="328">
        <v>150000614</v>
      </c>
      <c r="BI112" s="107">
        <v>0</v>
      </c>
      <c r="BJ112" s="107">
        <f t="shared" si="13"/>
        <v>0</v>
      </c>
      <c r="BK112" s="107">
        <v>0</v>
      </c>
      <c r="BL112" s="39"/>
      <c r="BM112" s="3"/>
      <c r="BN112" s="3">
        <v>0</v>
      </c>
      <c r="BP112" s="3"/>
      <c r="BQ112" s="3"/>
      <c r="BS112" s="43"/>
      <c r="BT112" s="43">
        <v>0</v>
      </c>
      <c r="BU112" s="1037"/>
      <c r="BV112" s="42"/>
      <c r="BW112" s="43"/>
      <c r="BX112" s="37"/>
      <c r="BY112" s="78"/>
      <c r="BZ112" s="43">
        <v>0</v>
      </c>
      <c r="CA112" s="1038"/>
      <c r="CB112" s="42">
        <v>0</v>
      </c>
      <c r="CC112" s="42">
        <v>0</v>
      </c>
      <c r="CD112" s="1039"/>
      <c r="CE112" s="78">
        <v>0</v>
      </c>
      <c r="CF112" s="56"/>
      <c r="CG112" s="42">
        <v>0</v>
      </c>
      <c r="CH112" s="39">
        <v>0</v>
      </c>
      <c r="CI112" s="78">
        <v>0</v>
      </c>
      <c r="CJ112" s="56"/>
      <c r="CK112" s="1034"/>
      <c r="CL112" s="1029"/>
      <c r="CM112" s="1034"/>
      <c r="CN112" s="1029">
        <v>0</v>
      </c>
      <c r="CO112" s="78">
        <v>47.400116796147813</v>
      </c>
      <c r="CP112" s="43">
        <v>0</v>
      </c>
      <c r="CQ112" s="5"/>
      <c r="CR112" s="78">
        <v>58.889878506691225</v>
      </c>
      <c r="CS112" s="1033">
        <v>0</v>
      </c>
      <c r="CT112" s="5"/>
      <c r="CU112" s="78">
        <v>24.844068318529949</v>
      </c>
      <c r="CV112" s="43">
        <v>0</v>
      </c>
      <c r="CW112" s="5"/>
      <c r="CX112" s="78">
        <v>0</v>
      </c>
      <c r="CY112" s="43">
        <v>0</v>
      </c>
      <c r="CZ112" s="5"/>
      <c r="DA112" s="78">
        <v>0</v>
      </c>
      <c r="DB112" s="43">
        <v>0</v>
      </c>
      <c r="DC112" s="5"/>
      <c r="DD112" s="78">
        <v>17.418560594119956</v>
      </c>
      <c r="DE112" s="43">
        <v>0</v>
      </c>
      <c r="DF112" s="5"/>
      <c r="DG112" s="78">
        <v>0</v>
      </c>
      <c r="DH112" s="43"/>
      <c r="DI112" s="5"/>
      <c r="DJ112" s="43">
        <v>148.55262421548892</v>
      </c>
      <c r="DK112" s="43">
        <f t="shared" si="14"/>
        <v>0</v>
      </c>
      <c r="DL112" s="59">
        <f t="shared" si="15"/>
        <v>-148.55262421548892</v>
      </c>
    </row>
    <row r="113" spans="1:116" ht="24.9" customHeight="1" x14ac:dyDescent="0.3">
      <c r="A113" s="328">
        <v>150000615</v>
      </c>
      <c r="B113" s="45" t="s">
        <v>256</v>
      </c>
      <c r="C113" s="1035">
        <v>5</v>
      </c>
      <c r="D113" s="1036" t="s">
        <v>454</v>
      </c>
      <c r="E113" s="1028">
        <f>'побудинковий звіт'!E111</f>
        <v>453.40000000000003</v>
      </c>
      <c r="F113" s="1029">
        <f>'побудинковий звіт'!AS111</f>
        <v>20760.829840791175</v>
      </c>
      <c r="G113" s="1029">
        <f t="shared" si="8"/>
        <v>64594</v>
      </c>
      <c r="H113" s="1029">
        <f t="shared" si="9"/>
        <v>43833.170159208821</v>
      </c>
      <c r="I113" s="43">
        <f>'[1]поточний ремонт'!I113+'[2]поточний ремонт'!I113-'[3]поточний ремонт'!I113</f>
        <v>0</v>
      </c>
      <c r="J113" s="43">
        <f>'[1]поточний ремонт'!J113+'[2]поточний ремонт'!J113-'[3]поточний ремонт'!J113</f>
        <v>0</v>
      </c>
      <c r="K113" s="1037"/>
      <c r="L113" s="43">
        <f>'[1]поточний ремонт'!L113+'[2]поточний ремонт'!L113-'[3]поточний ремонт'!L113</f>
        <v>1</v>
      </c>
      <c r="M113" s="43">
        <f>'[1]поточний ремонт'!M113+'[2]поточний ремонт'!M113-'[3]поточний ремонт'!M113</f>
        <v>59089</v>
      </c>
      <c r="N113" s="37"/>
      <c r="O113" s="43">
        <f>'[1]поточний ремонт'!O113+'[2]поточний ремонт'!O113-'[3]поточний ремонт'!O113</f>
        <v>0</v>
      </c>
      <c r="P113" s="43">
        <f>'[1]поточний ремонт'!P113+'[2]поточний ремонт'!P113-'[3]поточний ремонт'!P113</f>
        <v>0</v>
      </c>
      <c r="Q113" s="1038"/>
      <c r="R113" s="43">
        <f>'[1]поточний ремонт'!R113+'[2]поточний ремонт'!R113-'[3]поточний ремонт'!R113</f>
        <v>0</v>
      </c>
      <c r="S113" s="43">
        <f>'[1]поточний ремонт'!S113+'[2]поточний ремонт'!S113-'[3]поточний ремонт'!S113</f>
        <v>0</v>
      </c>
      <c r="T113" s="1039"/>
      <c r="U113" s="43">
        <f>'[1]поточний ремонт'!U113+'[2]поточний ремонт'!U113-'[3]поточний ремонт'!U113</f>
        <v>0</v>
      </c>
      <c r="V113" s="43">
        <f>'[1]поточний ремонт'!V113+'[2]поточний ремонт'!V113-'[3]поточний ремонт'!V113</f>
        <v>0</v>
      </c>
      <c r="W113" s="43">
        <f>'[1]поточний ремонт'!W113+'[2]поточний ремонт'!W113-'[3]поточний ремонт'!W113</f>
        <v>0</v>
      </c>
      <c r="X113" s="43">
        <f>'[1]поточний ремонт'!X113+'[2]поточний ремонт'!X113-'[3]поточний ремонт'!X113</f>
        <v>0</v>
      </c>
      <c r="Y113" s="43">
        <f>'[1]поточний ремонт'!Y113+'[2]поточний ремонт'!Y113-'[3]поточний ремонт'!Y113</f>
        <v>3327</v>
      </c>
      <c r="Z113" s="43">
        <f>'[1]поточний ремонт'!Z113+'[2]поточний ремонт'!Z113-'[3]поточний ремонт'!Z113</f>
        <v>0</v>
      </c>
      <c r="AA113" s="43">
        <f>'[1]поточний ремонт'!AA113+'[2]поточний ремонт'!AA113-'[3]поточний ремонт'!AA113</f>
        <v>0</v>
      </c>
      <c r="AB113" s="43">
        <f>'[1]поточний ремонт'!AB113+'[2]поточний ремонт'!AB113-'[3]поточний ремонт'!AB113</f>
        <v>0</v>
      </c>
      <c r="AC113" s="43">
        <f>'[1]поточний ремонт'!AC113+'[2]поточний ремонт'!AC113-'[3]поточний ремонт'!AC113</f>
        <v>2178</v>
      </c>
      <c r="AD113" s="43">
        <f>'[1]поточний ремонт'!AD113+'[2]поточний ремонт'!AD113-'[3]поточний ремонт'!AD113</f>
        <v>0</v>
      </c>
      <c r="AE113" s="43">
        <f>'[1]поточний ремонт'!AE113+'[2]поточний ремонт'!AE113-'[3]поточний ремонт'!AE113</f>
        <v>1466.5742598894792</v>
      </c>
      <c r="AF113" s="43">
        <f>'[1]поточний ремонт'!AF113+'[2]поточний ремонт'!AF113-'[3]поточний ремонт'!AF113</f>
        <v>597.16855885903601</v>
      </c>
      <c r="AG113" s="5"/>
      <c r="AH113" s="43">
        <f>'[1]поточний ремонт'!AH113+'[2]поточний ремонт'!AH113-'[3]поточний ремонт'!AH113</f>
        <v>2225.8525564076244</v>
      </c>
      <c r="AI113" s="43">
        <f>'[1]поточний ремонт'!AI113+'[2]поточний ремонт'!AI113-'[3]поточний ремонт'!AI113</f>
        <v>0</v>
      </c>
      <c r="AJ113" s="5"/>
      <c r="AK113" s="43">
        <f>'[1]поточний ремонт'!AK113+'[2]поточний ремонт'!AK113-'[3]поточний ремонт'!AK113</f>
        <v>1882.0003370704185</v>
      </c>
      <c r="AL113" s="43">
        <f>'[1]поточний ремонт'!AL113+'[2]поточний ремонт'!AL113-'[3]поточний ремонт'!AL113</f>
        <v>0</v>
      </c>
      <c r="AM113" s="5"/>
      <c r="AN113" s="43">
        <f>'[1]поточний ремонт'!AN113+'[2]поточний ремонт'!AN113-'[3]поточний ремонт'!AN113</f>
        <v>0</v>
      </c>
      <c r="AO113" s="43">
        <f>'[1]поточний ремонт'!AO113+'[2]поточний ремонт'!AO113-'[3]поточний ремонт'!AO113</f>
        <v>0</v>
      </c>
      <c r="AP113" s="5"/>
      <c r="AQ113" s="43">
        <f>'[1]поточний ремонт'!AQ113+'[2]поточний ремонт'!AQ113-'[3]поточний ремонт'!AQ113</f>
        <v>0</v>
      </c>
      <c r="AR113" s="43">
        <f>'[1]поточний ремонт'!AR113+'[2]поточний ремонт'!AR113-'[3]поточний ремонт'!AR113</f>
        <v>1120</v>
      </c>
      <c r="AS113" s="5"/>
      <c r="AT113" s="43">
        <f>'[1]поточний ремонт'!AT113+'[2]поточний ремонт'!AT113-'[3]поточний ремонт'!AT113</f>
        <v>649.81614847557319</v>
      </c>
      <c r="AU113" s="43">
        <f>'[1]поточний ремонт'!AU113+'[2]поточний ремонт'!AU113-'[3]поточний ремонт'!AU113</f>
        <v>0</v>
      </c>
      <c r="AV113" s="5"/>
      <c r="AW113" s="43">
        <f>'[1]поточний ремонт'!AW113+'[2]поточний ремонт'!AW113-'[3]поточний ремонт'!AW113</f>
        <v>0</v>
      </c>
      <c r="AX113" s="43">
        <f>'[1]поточний ремонт'!AX113+'[2]поточний ремонт'!AX113-'[3]поточний ремонт'!AX113</f>
        <v>0</v>
      </c>
      <c r="AY113" s="5"/>
      <c r="AZ113" s="43">
        <f t="shared" si="10"/>
        <v>6224.2433018430947</v>
      </c>
      <c r="BA113" s="43">
        <f t="shared" si="11"/>
        <v>1717.168558859036</v>
      </c>
      <c r="BB113" s="59">
        <f t="shared" si="12"/>
        <v>-4507.0747429840585</v>
      </c>
      <c r="BD113" s="2">
        <v>2</v>
      </c>
      <c r="BF113" s="30">
        <v>3.8516584482683114</v>
      </c>
      <c r="BG113" s="328">
        <v>150000615</v>
      </c>
      <c r="BI113" s="107">
        <v>0</v>
      </c>
      <c r="BJ113" s="107">
        <f t="shared" si="13"/>
        <v>0</v>
      </c>
      <c r="BK113" s="107">
        <v>0</v>
      </c>
      <c r="BL113" s="39"/>
      <c r="BM113" s="3"/>
      <c r="BN113" s="3">
        <v>0</v>
      </c>
      <c r="BP113" s="3"/>
      <c r="BQ113" s="3"/>
      <c r="BS113" s="43"/>
      <c r="BT113" s="43">
        <v>0</v>
      </c>
      <c r="BU113" s="1037"/>
      <c r="BV113" s="42"/>
      <c r="BW113" s="43"/>
      <c r="BX113" s="37"/>
      <c r="BY113" s="78"/>
      <c r="BZ113" s="43">
        <v>0</v>
      </c>
      <c r="CA113" s="1038"/>
      <c r="CB113" s="42">
        <v>0</v>
      </c>
      <c r="CC113" s="42">
        <v>0</v>
      </c>
      <c r="CD113" s="1039"/>
      <c r="CE113" s="78">
        <v>0</v>
      </c>
      <c r="CF113" s="56"/>
      <c r="CG113" s="42">
        <v>0</v>
      </c>
      <c r="CH113" s="39">
        <v>0</v>
      </c>
      <c r="CI113" s="78">
        <v>1758.154290728558</v>
      </c>
      <c r="CJ113" s="56"/>
      <c r="CK113" s="1034"/>
      <c r="CL113" s="1029"/>
      <c r="CM113" s="1034">
        <v>970</v>
      </c>
      <c r="CN113" s="1029">
        <v>0</v>
      </c>
      <c r="CO113" s="78">
        <v>122.21452165745661</v>
      </c>
      <c r="CP113" s="43">
        <v>0</v>
      </c>
      <c r="CQ113" s="5"/>
      <c r="CR113" s="78">
        <v>185.4877130339687</v>
      </c>
      <c r="CS113" s="1033">
        <v>0</v>
      </c>
      <c r="CT113" s="5"/>
      <c r="CU113" s="78">
        <v>156.83336142253489</v>
      </c>
      <c r="CV113" s="43">
        <v>0</v>
      </c>
      <c r="CW113" s="5"/>
      <c r="CX113" s="78">
        <v>0</v>
      </c>
      <c r="CY113" s="43">
        <v>0</v>
      </c>
      <c r="CZ113" s="5"/>
      <c r="DA113" s="78">
        <v>0</v>
      </c>
      <c r="DB113" s="43">
        <v>0</v>
      </c>
      <c r="DC113" s="5"/>
      <c r="DD113" s="78">
        <v>54.151345706297761</v>
      </c>
      <c r="DE113" s="43">
        <v>0</v>
      </c>
      <c r="DF113" s="5"/>
      <c r="DG113" s="78">
        <v>0</v>
      </c>
      <c r="DH113" s="43"/>
      <c r="DI113" s="5"/>
      <c r="DJ113" s="43">
        <v>518.68694182025797</v>
      </c>
      <c r="DK113" s="43">
        <f t="shared" si="14"/>
        <v>0</v>
      </c>
      <c r="DL113" s="59">
        <f t="shared" si="15"/>
        <v>-518.68694182025797</v>
      </c>
    </row>
    <row r="114" spans="1:116" ht="24.9" customHeight="1" x14ac:dyDescent="0.3">
      <c r="A114" s="328">
        <v>150000616</v>
      </c>
      <c r="B114" s="45" t="s">
        <v>257</v>
      </c>
      <c r="C114" s="1035">
        <v>5</v>
      </c>
      <c r="D114" s="1036" t="s">
        <v>454</v>
      </c>
      <c r="E114" s="1028">
        <f>'побудинковий звіт'!E112</f>
        <v>774.3</v>
      </c>
      <c r="F114" s="1029">
        <f>'побудинковий звіт'!AS112</f>
        <v>20051.744600658814</v>
      </c>
      <c r="G114" s="1029">
        <f t="shared" si="8"/>
        <v>2088.7110114968668</v>
      </c>
      <c r="H114" s="1029">
        <f t="shared" si="9"/>
        <v>-17963.033589161947</v>
      </c>
      <c r="I114" s="43">
        <f>'[1]поточний ремонт'!I114+'[2]поточний ремонт'!I114-'[3]поточний ремонт'!I114</f>
        <v>0</v>
      </c>
      <c r="J114" s="43">
        <f>'[1]поточний ремонт'!J114+'[2]поточний ремонт'!J114-'[3]поточний ремонт'!J114</f>
        <v>0</v>
      </c>
      <c r="K114" s="1037"/>
      <c r="L114" s="43">
        <f>'[1]поточний ремонт'!L114+'[2]поточний ремонт'!L114-'[3]поточний ремонт'!L114</f>
        <v>0</v>
      </c>
      <c r="M114" s="43">
        <f>'[1]поточний ремонт'!M114+'[2]поточний ремонт'!M114-'[3]поточний ремонт'!M114</f>
        <v>0</v>
      </c>
      <c r="N114" s="37"/>
      <c r="O114" s="43">
        <f>'[1]поточний ремонт'!O114+'[2]поточний ремонт'!O114-'[3]поточний ремонт'!O114</f>
        <v>0</v>
      </c>
      <c r="P114" s="43">
        <f>'[1]поточний ремонт'!P114+'[2]поточний ремонт'!P114-'[3]поточний ремонт'!P114</f>
        <v>0</v>
      </c>
      <c r="Q114" s="1038"/>
      <c r="R114" s="43">
        <f>'[1]поточний ремонт'!R114+'[2]поточний ремонт'!R114-'[3]поточний ремонт'!R114</f>
        <v>0</v>
      </c>
      <c r="S114" s="43">
        <f>'[1]поточний ремонт'!S114+'[2]поточний ремонт'!S114-'[3]поточний ремонт'!S114</f>
        <v>0</v>
      </c>
      <c r="T114" s="1039"/>
      <c r="U114" s="43">
        <f>'[1]поточний ремонт'!U114+'[2]поточний ремонт'!U114-'[3]поточний ремонт'!U114</f>
        <v>0</v>
      </c>
      <c r="V114" s="43">
        <f>'[1]поточний ремонт'!V114+'[2]поточний ремонт'!V114-'[3]поточний ремонт'!V114</f>
        <v>0</v>
      </c>
      <c r="W114" s="43">
        <f>'[1]поточний ремонт'!W114+'[2]поточний ремонт'!W114-'[3]поточний ремонт'!W114</f>
        <v>0</v>
      </c>
      <c r="X114" s="43">
        <f>'[1]поточний ремонт'!X114+'[2]поточний ремонт'!X114-'[3]поточний ремонт'!X114</f>
        <v>140.71101149686686</v>
      </c>
      <c r="Y114" s="43">
        <f>'[1]поточний ремонт'!Y114+'[2]поточний ремонт'!Y114-'[3]поточний ремонт'!Y114</f>
        <v>0</v>
      </c>
      <c r="Z114" s="43">
        <f>'[1]поточний ремонт'!Z114+'[2]поточний ремонт'!Z114-'[3]поточний ремонт'!Z114</f>
        <v>0</v>
      </c>
      <c r="AA114" s="43">
        <f>'[1]поточний ремонт'!AA114+'[2]поточний ремонт'!AA114-'[3]поточний ремонт'!AA114</f>
        <v>0</v>
      </c>
      <c r="AB114" s="43">
        <f>'[1]поточний ремонт'!AB114+'[2]поточний ремонт'!AB114-'[3]поточний ремонт'!AB114</f>
        <v>0</v>
      </c>
      <c r="AC114" s="43">
        <f>'[1]поточний ремонт'!AC114+'[2]поточний ремонт'!AC114-'[3]поточний ремонт'!AC114</f>
        <v>1948</v>
      </c>
      <c r="AD114" s="43">
        <f>'[1]поточний ремонт'!AD114+'[2]поточний ремонт'!AD114-'[3]поточний ремонт'!AD114</f>
        <v>0</v>
      </c>
      <c r="AE114" s="43">
        <f>'[1]поточний ремонт'!AE114+'[2]поточний ремонт'!AE114-'[3]поточний ремонт'!AE114</f>
        <v>1018.7425463430262</v>
      </c>
      <c r="AF114" s="43">
        <f>'[1]поточний ремонт'!AF114+'[2]поточний ремонт'!AF114-'[3]поточний ремонт'!AF114</f>
        <v>0</v>
      </c>
      <c r="AG114" s="5"/>
      <c r="AH114" s="43">
        <f>'[1]поточний ремонт'!AH114+'[2]поточний ремонт'!AH114-'[3]поточний ремонт'!AH114</f>
        <v>1503.4989161478395</v>
      </c>
      <c r="AI114" s="43">
        <f>'[1]поточний ремонт'!AI114+'[2]поточний ремонт'!AI114-'[3]поточний ремонт'!AI114</f>
        <v>0</v>
      </c>
      <c r="AJ114" s="5"/>
      <c r="AK114" s="43">
        <f>'[1]поточний ремонт'!AK114+'[2]поточний ремонт'!AK114-'[3]поточний ремонт'!AK114</f>
        <v>1443.9845843902519</v>
      </c>
      <c r="AL114" s="43">
        <f>'[1]поточний ремонт'!AL114+'[2]поточний ремонт'!AL114-'[3]поточний ремонт'!AL114</f>
        <v>1825</v>
      </c>
      <c r="AM114" s="5"/>
      <c r="AN114" s="43">
        <f>'[1]поточний ремонт'!AN114+'[2]поточний ремонт'!AN114-'[3]поточний ремонт'!AN114</f>
        <v>0</v>
      </c>
      <c r="AO114" s="43">
        <f>'[1]поточний ремонт'!AO114+'[2]поточний ремонт'!AO114-'[3]поточний ремонт'!AO114</f>
        <v>0</v>
      </c>
      <c r="AP114" s="5"/>
      <c r="AQ114" s="43">
        <f>'[1]поточний ремонт'!AQ114+'[2]поточний ремонт'!AQ114-'[3]поточний ремонт'!AQ114</f>
        <v>0</v>
      </c>
      <c r="AR114" s="43">
        <f>'[1]поточний ремонт'!AR114+'[2]поточний ремонт'!AR114-'[3]поточний ремонт'!AR114</f>
        <v>510</v>
      </c>
      <c r="AS114" s="5"/>
      <c r="AT114" s="43">
        <f>'[1]поточний ремонт'!AT114+'[2]поточний ремонт'!AT114-'[3]поточний ремонт'!AT114</f>
        <v>418.16606863024731</v>
      </c>
      <c r="AU114" s="43">
        <f>'[1]поточний ремонт'!AU114+'[2]поточний ремонт'!AU114-'[3]поточний ремонт'!AU114</f>
        <v>0</v>
      </c>
      <c r="AV114" s="5"/>
      <c r="AW114" s="43">
        <f>'[1]поточний ремонт'!AW114+'[2]поточний ремонт'!AW114-'[3]поточний ремонт'!AW114</f>
        <v>0</v>
      </c>
      <c r="AX114" s="43">
        <f>'[1]поточний ремонт'!AX114+'[2]поточний ремонт'!AX114-'[3]поточний ремонт'!AX114</f>
        <v>0</v>
      </c>
      <c r="AY114" s="5"/>
      <c r="AZ114" s="43">
        <f t="shared" si="10"/>
        <v>4384.3921155113649</v>
      </c>
      <c r="BA114" s="43">
        <f t="shared" si="11"/>
        <v>2335</v>
      </c>
      <c r="BB114" s="59">
        <f t="shared" si="12"/>
        <v>-2049.3921155113649</v>
      </c>
      <c r="BD114" s="2">
        <v>2</v>
      </c>
      <c r="BF114" s="30">
        <v>2.7645487336069632</v>
      </c>
      <c r="BG114" s="328">
        <v>150000616</v>
      </c>
      <c r="BI114" s="107">
        <v>10.5</v>
      </c>
      <c r="BJ114" s="107">
        <f t="shared" si="13"/>
        <v>1.4769530999999998</v>
      </c>
      <c r="BK114" s="107">
        <v>12.109500858000001</v>
      </c>
      <c r="BL114" s="39"/>
      <c r="BM114" s="3"/>
      <c r="BN114" s="3">
        <v>0</v>
      </c>
      <c r="BP114" s="3"/>
      <c r="BQ114" s="3"/>
      <c r="BS114" s="43"/>
      <c r="BT114" s="43">
        <v>0</v>
      </c>
      <c r="BU114" s="1037"/>
      <c r="BV114" s="42"/>
      <c r="BW114" s="43"/>
      <c r="BX114" s="37"/>
      <c r="BY114" s="78"/>
      <c r="BZ114" s="43">
        <v>0</v>
      </c>
      <c r="CA114" s="1038"/>
      <c r="CB114" s="42">
        <v>0</v>
      </c>
      <c r="CC114" s="42">
        <v>0</v>
      </c>
      <c r="CD114" s="1039"/>
      <c r="CE114" s="78">
        <v>0</v>
      </c>
      <c r="CF114" s="56"/>
      <c r="CG114" s="42">
        <v>0</v>
      </c>
      <c r="CH114" s="39">
        <v>12.109500858000001</v>
      </c>
      <c r="CI114" s="78">
        <v>0</v>
      </c>
      <c r="CJ114" s="56"/>
      <c r="CK114" s="1034"/>
      <c r="CL114" s="1029"/>
      <c r="CM114" s="1034"/>
      <c r="CN114" s="1029">
        <v>0</v>
      </c>
      <c r="CO114" s="78">
        <v>84.895212195252199</v>
      </c>
      <c r="CP114" s="43">
        <v>0</v>
      </c>
      <c r="CQ114" s="5"/>
      <c r="CR114" s="78">
        <v>125.2915763456533</v>
      </c>
      <c r="CS114" s="1033">
        <v>0</v>
      </c>
      <c r="CT114" s="5"/>
      <c r="CU114" s="78">
        <v>120.33204869918764</v>
      </c>
      <c r="CV114" s="43">
        <v>0</v>
      </c>
      <c r="CW114" s="5"/>
      <c r="CX114" s="78">
        <v>0</v>
      </c>
      <c r="CY114" s="43">
        <v>0</v>
      </c>
      <c r="CZ114" s="5"/>
      <c r="DA114" s="78">
        <v>0</v>
      </c>
      <c r="DB114" s="43">
        <v>0</v>
      </c>
      <c r="DC114" s="5"/>
      <c r="DD114" s="78">
        <v>34.847172385853952</v>
      </c>
      <c r="DE114" s="43">
        <v>0</v>
      </c>
      <c r="DF114" s="5"/>
      <c r="DG114" s="78">
        <v>0</v>
      </c>
      <c r="DH114" s="43"/>
      <c r="DI114" s="5"/>
      <c r="DJ114" s="43">
        <v>365.36600962594707</v>
      </c>
      <c r="DK114" s="43">
        <f t="shared" si="14"/>
        <v>0</v>
      </c>
      <c r="DL114" s="59">
        <f t="shared" si="15"/>
        <v>-365.36600962594707</v>
      </c>
    </row>
    <row r="115" spans="1:116" ht="24.9" customHeight="1" x14ac:dyDescent="0.3">
      <c r="A115" s="328">
        <v>150000618</v>
      </c>
      <c r="B115" s="45" t="s">
        <v>416</v>
      </c>
      <c r="C115" s="1035">
        <v>10</v>
      </c>
      <c r="D115" s="1036" t="s">
        <v>454</v>
      </c>
      <c r="E115" s="1028">
        <f>'побудинковий звіт'!E113</f>
        <v>699</v>
      </c>
      <c r="F115" s="1029">
        <f>'побудинковий звіт'!AS113</f>
        <v>39527.577772903023</v>
      </c>
      <c r="G115" s="1029">
        <f t="shared" si="8"/>
        <v>111136</v>
      </c>
      <c r="H115" s="1029">
        <f t="shared" si="9"/>
        <v>71608.422227096977</v>
      </c>
      <c r="I115" s="43">
        <f>'[1]поточний ремонт'!I115+'[2]поточний ремонт'!I115-'[3]поточний ремонт'!I115</f>
        <v>0</v>
      </c>
      <c r="J115" s="43">
        <f>'[1]поточний ремонт'!J115+'[2]поточний ремонт'!J115-'[3]поточний ремонт'!J115</f>
        <v>0</v>
      </c>
      <c r="K115" s="1037"/>
      <c r="L115" s="43">
        <f>'[1]поточний ремонт'!L115+'[2]поточний ремонт'!L115-'[3]поточний ремонт'!L115</f>
        <v>0</v>
      </c>
      <c r="M115" s="43">
        <f>'[1]поточний ремонт'!M115+'[2]поточний ремонт'!M115-'[3]поточний ремонт'!M115</f>
        <v>0</v>
      </c>
      <c r="N115" s="37"/>
      <c r="O115" s="43">
        <f>'[1]поточний ремонт'!O115+'[2]поточний ремонт'!O115-'[3]поточний ремонт'!O115</f>
        <v>0</v>
      </c>
      <c r="P115" s="43">
        <f>'[1]поточний ремонт'!P115+'[2]поточний ремонт'!P115-'[3]поточний ремонт'!P115</f>
        <v>0</v>
      </c>
      <c r="Q115" s="1038"/>
      <c r="R115" s="43">
        <f>'[1]поточний ремонт'!R115+'[2]поточний ремонт'!R115-'[3]поточний ремонт'!R115</f>
        <v>1</v>
      </c>
      <c r="S115" s="43">
        <f>'[1]поточний ремонт'!S115+'[2]поточний ремонт'!S115-'[3]поточний ремонт'!S115</f>
        <v>104747</v>
      </c>
      <c r="T115" s="1039"/>
      <c r="U115" s="43">
        <f>'[1]поточний ремонт'!U115+'[2]поточний ремонт'!U115-'[3]поточний ремонт'!U115</f>
        <v>0</v>
      </c>
      <c r="V115" s="43">
        <f>'[1]поточний ремонт'!V115+'[2]поточний ремонт'!V115-'[3]поточний ремонт'!V115</f>
        <v>0</v>
      </c>
      <c r="W115" s="43">
        <f>'[1]поточний ремонт'!W115+'[2]поточний ремонт'!W115-'[3]поточний ремонт'!W115</f>
        <v>0</v>
      </c>
      <c r="X115" s="43">
        <f>'[1]поточний ремонт'!X115+'[2]поточний ремонт'!X115-'[3]поточний ремонт'!X115</f>
        <v>0</v>
      </c>
      <c r="Y115" s="43">
        <f>'[1]поточний ремонт'!Y115+'[2]поточний ремонт'!Y115-'[3]поточний ремонт'!Y115</f>
        <v>6269</v>
      </c>
      <c r="Z115" s="43">
        <f>'[1]поточний ремонт'!Z115+'[2]поточний ремонт'!Z115-'[3]поточний ремонт'!Z115</f>
        <v>0</v>
      </c>
      <c r="AA115" s="43">
        <f>'[1]поточний ремонт'!AA115+'[2]поточний ремонт'!AA115-'[3]поточний ремонт'!AA115</f>
        <v>0</v>
      </c>
      <c r="AB115" s="43">
        <f>'[1]поточний ремонт'!AB115+'[2]поточний ремонт'!AB115-'[3]поточний ремонт'!AB115</f>
        <v>0</v>
      </c>
      <c r="AC115" s="43">
        <f>'[1]поточний ремонт'!AC115+'[2]поточний ремонт'!AC115-'[3]поточний ремонт'!AC115</f>
        <v>0</v>
      </c>
      <c r="AD115" s="43">
        <f>'[1]поточний ремонт'!AD115+'[2]поточний ремонт'!AD115-'[3]поточний ремонт'!AD115</f>
        <v>120</v>
      </c>
      <c r="AE115" s="43">
        <f>'[1]поточний ремонт'!AE115+'[2]поточний ремонт'!AE115-'[3]поточний ремонт'!AE115</f>
        <v>631.64397880652859</v>
      </c>
      <c r="AF115" s="43">
        <f>'[1]поточний ремонт'!AF115+'[2]поточний ремонт'!AF115-'[3]поточний ремонт'!AF115</f>
        <v>0</v>
      </c>
      <c r="AG115" s="5"/>
      <c r="AH115" s="43">
        <f>'[1]поточний ремонт'!AH115+'[2]поточний ремонт'!AH115-'[3]поточний ремонт'!AH115</f>
        <v>845.07220410460582</v>
      </c>
      <c r="AI115" s="43">
        <f>'[1]поточний ремонт'!AI115+'[2]поточний ремонт'!AI115-'[3]поточний ремонт'!AI115</f>
        <v>0</v>
      </c>
      <c r="AJ115" s="5"/>
      <c r="AK115" s="43">
        <f>'[1]поточний ремонт'!AK115+'[2]поточний ремонт'!AK115-'[3]поточний ремонт'!AK115</f>
        <v>1035.1799582332012</v>
      </c>
      <c r="AL115" s="43">
        <f>'[1]поточний ремонт'!AL115+'[2]поточний ремонт'!AL115-'[3]поточний ремонт'!AL115</f>
        <v>0</v>
      </c>
      <c r="AM115" s="5"/>
      <c r="AN115" s="43">
        <f>'[1]поточний ремонт'!AN115+'[2]поточний ремонт'!AN115-'[3]поточний ремонт'!AN115</f>
        <v>372.18331362209653</v>
      </c>
      <c r="AO115" s="43">
        <f>'[1]поточний ремонт'!AO115+'[2]поточний ремонт'!AO115-'[3]поточний ремонт'!AO115</f>
        <v>0</v>
      </c>
      <c r="AP115" s="5"/>
      <c r="AQ115" s="43">
        <f>'[1]поточний ремонт'!AQ115+'[2]поточний ремонт'!AQ115-'[3]поточний ремонт'!AQ115</f>
        <v>211.31966959543126</v>
      </c>
      <c r="AR115" s="43">
        <f>'[1]поточний ремонт'!AR115+'[2]поточний ремонт'!AR115-'[3]поточний ремонт'!AR115</f>
        <v>0</v>
      </c>
      <c r="AS115" s="5"/>
      <c r="AT115" s="43">
        <f>'[1]поточний ремонт'!AT115+'[2]поточний ремонт'!AT115-'[3]поточний ремонт'!AT115</f>
        <v>520.07745196582243</v>
      </c>
      <c r="AU115" s="43">
        <f>'[1]поточний ремонт'!AU115+'[2]поточний ремонт'!AU115-'[3]поточний ремонт'!AU115</f>
        <v>3071</v>
      </c>
      <c r="AV115" s="5"/>
      <c r="AW115" s="43">
        <f>'[1]поточний ремонт'!AW115+'[2]поточний ремонт'!AW115-'[3]поточний ремонт'!AW115</f>
        <v>0</v>
      </c>
      <c r="AX115" s="43">
        <f>'[1]поточний ремонт'!AX115+'[2]поточний ремонт'!AX115-'[3]поточний ремонт'!AX115</f>
        <v>0</v>
      </c>
      <c r="AY115" s="5"/>
      <c r="AZ115" s="43">
        <f t="shared" si="10"/>
        <v>3615.476576327686</v>
      </c>
      <c r="BA115" s="43">
        <f t="shared" si="11"/>
        <v>3071</v>
      </c>
      <c r="BB115" s="59">
        <f t="shared" si="12"/>
        <v>-544.47657632768596</v>
      </c>
      <c r="BD115" s="2">
        <v>2</v>
      </c>
      <c r="BF115" s="30">
        <v>4.0080698619844828</v>
      </c>
      <c r="BG115" s="328">
        <v>150000618</v>
      </c>
      <c r="BI115" s="107">
        <v>0</v>
      </c>
      <c r="BJ115" s="107">
        <f t="shared" si="13"/>
        <v>0</v>
      </c>
      <c r="BK115" s="107">
        <v>0</v>
      </c>
      <c r="BL115" s="39"/>
      <c r="BM115" s="3"/>
      <c r="BN115" s="3">
        <v>0</v>
      </c>
      <c r="BP115" s="3"/>
      <c r="BQ115" s="3"/>
      <c r="BS115" s="43"/>
      <c r="BT115" s="43">
        <v>0</v>
      </c>
      <c r="BU115" s="1037"/>
      <c r="BV115" s="42"/>
      <c r="BW115" s="43"/>
      <c r="BX115" s="37"/>
      <c r="BY115" s="78"/>
      <c r="BZ115" s="43">
        <v>0</v>
      </c>
      <c r="CA115" s="1038"/>
      <c r="CB115" s="42">
        <v>0</v>
      </c>
      <c r="CC115" s="42">
        <v>0</v>
      </c>
      <c r="CD115" s="1039"/>
      <c r="CE115" s="78">
        <v>0</v>
      </c>
      <c r="CF115" s="56"/>
      <c r="CG115" s="42">
        <v>0</v>
      </c>
      <c r="CH115" s="39">
        <v>0</v>
      </c>
      <c r="CI115" s="78">
        <v>0</v>
      </c>
      <c r="CJ115" s="56"/>
      <c r="CK115" s="1034"/>
      <c r="CL115" s="1029"/>
      <c r="CM115" s="1034"/>
      <c r="CN115" s="1029">
        <v>0</v>
      </c>
      <c r="CO115" s="78">
        <v>52.636998233877371</v>
      </c>
      <c r="CP115" s="43">
        <v>0</v>
      </c>
      <c r="CQ115" s="5"/>
      <c r="CR115" s="78">
        <v>70.422683675383809</v>
      </c>
      <c r="CS115" s="1033">
        <v>0</v>
      </c>
      <c r="CT115" s="5"/>
      <c r="CU115" s="78">
        <v>86.26499651943341</v>
      </c>
      <c r="CV115" s="43">
        <v>0</v>
      </c>
      <c r="CW115" s="5"/>
      <c r="CX115" s="78">
        <v>31.015276135174716</v>
      </c>
      <c r="CY115" s="43">
        <v>0</v>
      </c>
      <c r="CZ115" s="5"/>
      <c r="DA115" s="78">
        <v>17.609972466285939</v>
      </c>
      <c r="DB115" s="43">
        <v>0</v>
      </c>
      <c r="DC115" s="5"/>
      <c r="DD115" s="78">
        <v>43.339787663818534</v>
      </c>
      <c r="DE115" s="43">
        <v>0</v>
      </c>
      <c r="DF115" s="5"/>
      <c r="DG115" s="78">
        <v>0</v>
      </c>
      <c r="DH115" s="43"/>
      <c r="DI115" s="5"/>
      <c r="DJ115" s="43">
        <v>301.28971469397374</v>
      </c>
      <c r="DK115" s="43">
        <f t="shared" si="14"/>
        <v>0</v>
      </c>
      <c r="DL115" s="59">
        <f t="shared" si="15"/>
        <v>-301.28971469397374</v>
      </c>
    </row>
    <row r="116" spans="1:116" ht="24.9" customHeight="1" x14ac:dyDescent="0.3">
      <c r="A116" s="328">
        <v>150000619</v>
      </c>
      <c r="B116" s="45" t="s">
        <v>359</v>
      </c>
      <c r="C116" s="1035">
        <v>9</v>
      </c>
      <c r="D116" s="1036" t="s">
        <v>454</v>
      </c>
      <c r="E116" s="1028">
        <f>'побудинковий звіт'!E114</f>
        <v>468.01</v>
      </c>
      <c r="F116" s="1029">
        <f>'побудинковий звіт'!AS114</f>
        <v>66711.215682327558</v>
      </c>
      <c r="G116" s="1029">
        <f t="shared" si="8"/>
        <v>19450</v>
      </c>
      <c r="H116" s="1029">
        <f t="shared" si="9"/>
        <v>-47261.215682327558</v>
      </c>
      <c r="I116" s="43">
        <f>'[1]поточний ремонт'!I116+'[2]поточний ремонт'!I116-'[3]поточний ремонт'!I116</f>
        <v>0</v>
      </c>
      <c r="J116" s="43">
        <f>'[1]поточний ремонт'!J116+'[2]поточний ремонт'!J116-'[3]поточний ремонт'!J116</f>
        <v>0</v>
      </c>
      <c r="K116" s="1037"/>
      <c r="L116" s="43">
        <f>'[1]поточний ремонт'!L116+'[2]поточний ремонт'!L116-'[3]поточний ремонт'!L116</f>
        <v>0</v>
      </c>
      <c r="M116" s="43">
        <f>'[1]поточний ремонт'!M116+'[2]поточний ремонт'!M116-'[3]поточний ремонт'!M116</f>
        <v>0</v>
      </c>
      <c r="N116" s="1040"/>
      <c r="O116" s="43">
        <f>'[1]поточний ремонт'!O116+'[2]поточний ремонт'!O116-'[3]поточний ремонт'!O116</f>
        <v>0</v>
      </c>
      <c r="P116" s="43">
        <f>'[1]поточний ремонт'!P116+'[2]поточний ремонт'!P116-'[3]поточний ремонт'!P116</f>
        <v>0</v>
      </c>
      <c r="Q116" s="1038"/>
      <c r="R116" s="43">
        <f>'[1]поточний ремонт'!R116+'[2]поточний ремонт'!R116-'[3]поточний ремонт'!R116</f>
        <v>1</v>
      </c>
      <c r="S116" s="43">
        <f>'[1]поточний ремонт'!S116+'[2]поточний ремонт'!S116-'[3]поточний ремонт'!S116</f>
        <v>16581</v>
      </c>
      <c r="T116" s="1039"/>
      <c r="U116" s="43">
        <f>'[1]поточний ремонт'!U116+'[2]поточний ремонт'!U116-'[3]поточний ремонт'!U116</f>
        <v>0</v>
      </c>
      <c r="V116" s="43">
        <f>'[1]поточний ремонт'!V116+'[2]поточний ремонт'!V116-'[3]поточний ремонт'!V116</f>
        <v>0</v>
      </c>
      <c r="W116" s="43">
        <f>'[1]поточний ремонт'!W116+'[2]поточний ремонт'!W116-'[3]поточний ремонт'!W116</f>
        <v>0</v>
      </c>
      <c r="X116" s="43">
        <f>'[1]поточний ремонт'!X116+'[2]поточний ремонт'!X116-'[3]поточний ремонт'!X116</f>
        <v>0</v>
      </c>
      <c r="Y116" s="43">
        <f>'[1]поточний ремонт'!Y116+'[2]поточний ремонт'!Y116-'[3]поточний ремонт'!Y116</f>
        <v>1021</v>
      </c>
      <c r="Z116" s="43">
        <f>'[1]поточний ремонт'!Z116+'[2]поточний ремонт'!Z116-'[3]поточний ремонт'!Z116</f>
        <v>0</v>
      </c>
      <c r="AA116" s="43">
        <f>'[1]поточний ремонт'!AA116+'[2]поточний ремонт'!AA116-'[3]поточний ремонт'!AA116</f>
        <v>0</v>
      </c>
      <c r="AB116" s="43">
        <f>'[1]поточний ремонт'!AB116+'[2]поточний ремонт'!AB116-'[3]поточний ремонт'!AB116</f>
        <v>0</v>
      </c>
      <c r="AC116" s="43">
        <f>'[1]поточний ремонт'!AC116+'[2]поточний ремонт'!AC116-'[3]поточний ремонт'!AC116</f>
        <v>0</v>
      </c>
      <c r="AD116" s="43">
        <f>'[1]поточний ремонт'!AD116+'[2]поточний ремонт'!AD116-'[3]поточний ремонт'!AD116</f>
        <v>1848</v>
      </c>
      <c r="AE116" s="43">
        <f>'[1]поточний ремонт'!AE116+'[2]поточний ремонт'!AE116-'[3]поточний ремонт'!AE116</f>
        <v>1252.1014524376478</v>
      </c>
      <c r="AF116" s="43">
        <f>'[1]поточний ремонт'!AF116+'[2]поточний ремонт'!AF116-'[3]поточний ремонт'!AF116</f>
        <v>0</v>
      </c>
      <c r="AG116" s="5"/>
      <c r="AH116" s="43">
        <f>'[1]поточний ремонт'!AH116+'[2]поточний ремонт'!AH116-'[3]поточний ремонт'!AH116</f>
        <v>1592.0198949652577</v>
      </c>
      <c r="AI116" s="43">
        <f>'[1]поточний ремонт'!AI116+'[2]поточний ремонт'!AI116-'[3]поточний ремонт'!AI116</f>
        <v>2414</v>
      </c>
      <c r="AJ116" s="5"/>
      <c r="AK116" s="43">
        <f>'[1]поточний ремонт'!AK116+'[2]поточний ремонт'!AK116-'[3]поточний ремонт'!AK116</f>
        <v>1644.2861141645119</v>
      </c>
      <c r="AL116" s="43">
        <f>'[1]поточний ремонт'!AL116+'[2]поточний ремонт'!AL116-'[3]поточний ремонт'!AL116</f>
        <v>0</v>
      </c>
      <c r="AM116" s="5"/>
      <c r="AN116" s="43">
        <f>'[1]поточний ремонт'!AN116+'[2]поточний ремонт'!AN116-'[3]поточний ремонт'!AN116</f>
        <v>686.20535737135094</v>
      </c>
      <c r="AO116" s="43">
        <f>'[1]поточний ремонт'!AO116+'[2]поточний ремонт'!AO116-'[3]поточний ремонт'!AO116</f>
        <v>0</v>
      </c>
      <c r="AP116" s="5"/>
      <c r="AQ116" s="43">
        <f>'[1]поточний ремонт'!AQ116+'[2]поточний ремонт'!AQ116-'[3]поточний ремонт'!AQ116</f>
        <v>395.76741189229665</v>
      </c>
      <c r="AR116" s="43">
        <f>'[1]поточний ремонт'!AR116+'[2]поточний ремонт'!AR116-'[3]поточний ремонт'!AR116</f>
        <v>0</v>
      </c>
      <c r="AS116" s="5"/>
      <c r="AT116" s="43">
        <f>'[1]поточний ремонт'!AT116+'[2]поточний ремонт'!AT116-'[3]поточний ремонт'!AT116</f>
        <v>1038.4043343240171</v>
      </c>
      <c r="AU116" s="43">
        <f>'[1]поточний ремонт'!AU116+'[2]поточний ремонт'!AU116-'[3]поточний ремонт'!AU116</f>
        <v>1017.0996561008632</v>
      </c>
      <c r="AV116" s="5"/>
      <c r="AW116" s="43">
        <f>'[1]поточний ремонт'!AW116+'[2]поточний ремонт'!AW116-'[3]поточний ремонт'!AW116</f>
        <v>0</v>
      </c>
      <c r="AX116" s="43">
        <f>'[1]поточний ремонт'!AX116+'[2]поточний ремонт'!AX116-'[3]поточний ремонт'!AX116</f>
        <v>0</v>
      </c>
      <c r="AY116" s="5"/>
      <c r="AZ116" s="43">
        <f t="shared" si="10"/>
        <v>6608.7845651550824</v>
      </c>
      <c r="BA116" s="43">
        <f t="shared" si="11"/>
        <v>3431.0996561008633</v>
      </c>
      <c r="BB116" s="59">
        <f t="shared" si="12"/>
        <v>-3177.6849090542191</v>
      </c>
      <c r="BD116" s="2">
        <v>2</v>
      </c>
      <c r="BF116" s="30">
        <v>6.2135160727550423</v>
      </c>
      <c r="BG116" s="328">
        <v>150000619</v>
      </c>
      <c r="BI116" s="107">
        <v>0</v>
      </c>
      <c r="BJ116" s="107">
        <f t="shared" si="13"/>
        <v>0</v>
      </c>
      <c r="BK116" s="107">
        <v>0</v>
      </c>
      <c r="BL116" s="39"/>
      <c r="BM116" s="3"/>
      <c r="BN116" s="3">
        <v>0</v>
      </c>
      <c r="BP116" s="3"/>
      <c r="BQ116" s="3"/>
      <c r="BS116" s="43"/>
      <c r="BT116" s="43">
        <v>0</v>
      </c>
      <c r="BU116" s="1037"/>
      <c r="BV116" s="42"/>
      <c r="BW116" s="43"/>
      <c r="BX116" s="1040"/>
      <c r="BY116" s="78"/>
      <c r="BZ116" s="43">
        <v>0</v>
      </c>
      <c r="CA116" s="1038"/>
      <c r="CB116" s="42">
        <v>0</v>
      </c>
      <c r="CC116" s="42">
        <v>0</v>
      </c>
      <c r="CD116" s="1039"/>
      <c r="CE116" s="78">
        <v>0</v>
      </c>
      <c r="CF116" s="56"/>
      <c r="CG116" s="42">
        <v>0</v>
      </c>
      <c r="CH116" s="39">
        <v>0</v>
      </c>
      <c r="CI116" s="78">
        <v>0</v>
      </c>
      <c r="CJ116" s="56"/>
      <c r="CK116" s="1034"/>
      <c r="CL116" s="1029"/>
      <c r="CM116" s="1034"/>
      <c r="CN116" s="1029">
        <v>0</v>
      </c>
      <c r="CO116" s="78">
        <v>104.34178770313731</v>
      </c>
      <c r="CP116" s="43">
        <v>0</v>
      </c>
      <c r="CQ116" s="5"/>
      <c r="CR116" s="78">
        <v>132.66832458043814</v>
      </c>
      <c r="CS116" s="1033">
        <v>0</v>
      </c>
      <c r="CT116" s="5"/>
      <c r="CU116" s="78">
        <v>137.02384284704263</v>
      </c>
      <c r="CV116" s="43">
        <v>0</v>
      </c>
      <c r="CW116" s="5"/>
      <c r="CX116" s="78">
        <v>57.183779780945919</v>
      </c>
      <c r="CY116" s="43">
        <v>0</v>
      </c>
      <c r="CZ116" s="5"/>
      <c r="DA116" s="78">
        <v>32.980617657691397</v>
      </c>
      <c r="DB116" s="43">
        <v>0</v>
      </c>
      <c r="DC116" s="5"/>
      <c r="DD116" s="78">
        <v>86.533694527001416</v>
      </c>
      <c r="DE116" s="43">
        <v>0</v>
      </c>
      <c r="DF116" s="5"/>
      <c r="DG116" s="78">
        <v>0</v>
      </c>
      <c r="DH116" s="43"/>
      <c r="DI116" s="5"/>
      <c r="DJ116" s="43">
        <v>550.73204709625691</v>
      </c>
      <c r="DK116" s="43">
        <f t="shared" si="14"/>
        <v>0</v>
      </c>
      <c r="DL116" s="59">
        <f t="shared" si="15"/>
        <v>-550.73204709625691</v>
      </c>
    </row>
    <row r="117" spans="1:116" ht="24.9" customHeight="1" x14ac:dyDescent="0.3">
      <c r="A117" s="328">
        <v>150000621</v>
      </c>
      <c r="B117" s="45" t="s">
        <v>80</v>
      </c>
      <c r="C117" s="1035">
        <v>1</v>
      </c>
      <c r="D117" s="1036" t="s">
        <v>454</v>
      </c>
      <c r="E117" s="1028">
        <f>'побудинковий звіт'!E115</f>
        <v>349.9</v>
      </c>
      <c r="F117" s="1029">
        <f>'побудинковий звіт'!AS115</f>
        <v>1756.9026178315785</v>
      </c>
      <c r="G117" s="1029">
        <f t="shared" si="8"/>
        <v>0</v>
      </c>
      <c r="H117" s="1029">
        <f t="shared" si="9"/>
        <v>-1756.9026178315785</v>
      </c>
      <c r="I117" s="43">
        <f>'[1]поточний ремонт'!I117+'[2]поточний ремонт'!I117-'[3]поточний ремонт'!I117</f>
        <v>0</v>
      </c>
      <c r="J117" s="43">
        <f>'[1]поточний ремонт'!J117+'[2]поточний ремонт'!J117-'[3]поточний ремонт'!J117</f>
        <v>0</v>
      </c>
      <c r="K117" s="1037"/>
      <c r="L117" s="43">
        <f>'[1]поточний ремонт'!L117+'[2]поточний ремонт'!L117-'[3]поточний ремонт'!L117</f>
        <v>0</v>
      </c>
      <c r="M117" s="43">
        <f>'[1]поточний ремонт'!M117+'[2]поточний ремонт'!M117-'[3]поточний ремонт'!M117</f>
        <v>0</v>
      </c>
      <c r="N117" s="37"/>
      <c r="O117" s="43">
        <f>'[1]поточний ремонт'!O117+'[2]поточний ремонт'!O117-'[3]поточний ремонт'!O117</f>
        <v>0</v>
      </c>
      <c r="P117" s="43">
        <f>'[1]поточний ремонт'!P117+'[2]поточний ремонт'!P117-'[3]поточний ремонт'!P117</f>
        <v>0</v>
      </c>
      <c r="Q117" s="1038"/>
      <c r="R117" s="43">
        <f>'[1]поточний ремонт'!R117+'[2]поточний ремонт'!R117-'[3]поточний ремонт'!R117</f>
        <v>0</v>
      </c>
      <c r="S117" s="43">
        <f>'[1]поточний ремонт'!S117+'[2]поточний ремонт'!S117-'[3]поточний ремонт'!S117</f>
        <v>0</v>
      </c>
      <c r="T117" s="1039"/>
      <c r="U117" s="43">
        <f>'[1]поточний ремонт'!U117+'[2]поточний ремонт'!U117-'[3]поточний ремонт'!U117</f>
        <v>0</v>
      </c>
      <c r="V117" s="43">
        <f>'[1]поточний ремонт'!V117+'[2]поточний ремонт'!V117-'[3]поточний ремонт'!V117</f>
        <v>0</v>
      </c>
      <c r="W117" s="43">
        <f>'[1]поточний ремонт'!W117+'[2]поточний ремонт'!W117-'[3]поточний ремонт'!W117</f>
        <v>0</v>
      </c>
      <c r="X117" s="43">
        <f>'[1]поточний ремонт'!X117+'[2]поточний ремонт'!X117-'[3]поточний ремонт'!X117</f>
        <v>0</v>
      </c>
      <c r="Y117" s="43">
        <f>'[1]поточний ремонт'!Y117+'[2]поточний ремонт'!Y117-'[3]поточний ремонт'!Y117</f>
        <v>0</v>
      </c>
      <c r="Z117" s="43">
        <f>'[1]поточний ремонт'!Z117+'[2]поточний ремонт'!Z117-'[3]поточний ремонт'!Z117</f>
        <v>0</v>
      </c>
      <c r="AA117" s="43">
        <f>'[1]поточний ремонт'!AA117+'[2]поточний ремонт'!AA117-'[3]поточний ремонт'!AA117</f>
        <v>0</v>
      </c>
      <c r="AB117" s="43">
        <f>'[1]поточний ремонт'!AB117+'[2]поточний ремонт'!AB117-'[3]поточний ремонт'!AB117</f>
        <v>0</v>
      </c>
      <c r="AC117" s="43">
        <f>'[1]поточний ремонт'!AC117+'[2]поточний ремонт'!AC117-'[3]поточний ремонт'!AC117</f>
        <v>0</v>
      </c>
      <c r="AD117" s="43">
        <f>'[1]поточний ремонт'!AD117+'[2]поточний ремонт'!AD117-'[3]поточний ремонт'!AD117</f>
        <v>0</v>
      </c>
      <c r="AE117" s="43">
        <f>'[1]поточний ремонт'!AE117+'[2]поточний ремонт'!AE117-'[3]поточний ремонт'!AE117</f>
        <v>0</v>
      </c>
      <c r="AF117" s="43">
        <f>'[1]поточний ремонт'!AF117+'[2]поточний ремонт'!AF117-'[3]поточний ремонт'!AF117</f>
        <v>0</v>
      </c>
      <c r="AG117" s="5"/>
      <c r="AH117" s="43">
        <f>'[1]поточний ремонт'!AH117+'[2]поточний ремонт'!AH117-'[3]поточний ремонт'!AH117</f>
        <v>0</v>
      </c>
      <c r="AI117" s="43">
        <f>'[1]поточний ремонт'!AI117+'[2]поточний ремонт'!AI117-'[3]поточний ремонт'!AI117</f>
        <v>0</v>
      </c>
      <c r="AJ117" s="5"/>
      <c r="AK117" s="43">
        <f>'[1]поточний ремонт'!AK117+'[2]поточний ремонт'!AK117-'[3]поточний ремонт'!AK117</f>
        <v>0</v>
      </c>
      <c r="AL117" s="43">
        <f>'[1]поточний ремонт'!AL117+'[2]поточний ремонт'!AL117-'[3]поточний ремонт'!AL117</f>
        <v>0</v>
      </c>
      <c r="AM117" s="5"/>
      <c r="AN117" s="43">
        <f>'[1]поточний ремонт'!AN117+'[2]поточний ремонт'!AN117-'[3]поточний ремонт'!AN117</f>
        <v>0</v>
      </c>
      <c r="AO117" s="43">
        <f>'[1]поточний ремонт'!AO117+'[2]поточний ремонт'!AO117-'[3]поточний ремонт'!AO117</f>
        <v>0</v>
      </c>
      <c r="AP117" s="5"/>
      <c r="AQ117" s="43">
        <f>'[1]поточний ремонт'!AQ117+'[2]поточний ремонт'!AQ117-'[3]поточний ремонт'!AQ117</f>
        <v>0</v>
      </c>
      <c r="AR117" s="43">
        <f>'[1]поточний ремонт'!AR117+'[2]поточний ремонт'!AR117-'[3]поточний ремонт'!AR117</f>
        <v>0</v>
      </c>
      <c r="AS117" s="5"/>
      <c r="AT117" s="43">
        <f>'[1]поточний ремонт'!AT117+'[2]поточний ремонт'!AT117-'[3]поточний ремонт'!AT117</f>
        <v>0</v>
      </c>
      <c r="AU117" s="43">
        <f>'[1]поточний ремонт'!AU117+'[2]поточний ремонт'!AU117-'[3]поточний ремонт'!AU117</f>
        <v>0</v>
      </c>
      <c r="AV117" s="5"/>
      <c r="AW117" s="43">
        <f>'[1]поточний ремонт'!AW117+'[2]поточний ремонт'!AW117-'[3]поточний ремонт'!AW117</f>
        <v>0</v>
      </c>
      <c r="AX117" s="43">
        <f>'[1]поточний ремонт'!AX117+'[2]поточний ремонт'!AX117-'[3]поточний ремонт'!AX117</f>
        <v>0</v>
      </c>
      <c r="AY117" s="5"/>
      <c r="AZ117" s="43">
        <f t="shared" si="10"/>
        <v>0</v>
      </c>
      <c r="BA117" s="43">
        <f t="shared" si="11"/>
        <v>0</v>
      </c>
      <c r="BB117" s="59">
        <f t="shared" si="12"/>
        <v>0</v>
      </c>
      <c r="BD117" s="2">
        <v>2</v>
      </c>
      <c r="BF117" s="30">
        <v>0</v>
      </c>
      <c r="BG117" s="328">
        <v>150000621</v>
      </c>
      <c r="BI117" s="107">
        <v>0</v>
      </c>
      <c r="BJ117" s="107">
        <f t="shared" si="13"/>
        <v>0</v>
      </c>
      <c r="BK117" s="107">
        <v>0</v>
      </c>
      <c r="BL117" s="39"/>
      <c r="BM117" s="3"/>
      <c r="BN117" s="3">
        <v>0</v>
      </c>
      <c r="BP117" s="3"/>
      <c r="BQ117" s="3"/>
      <c r="BS117" s="43"/>
      <c r="BT117" s="43">
        <v>0</v>
      </c>
      <c r="BU117" s="1037"/>
      <c r="BV117" s="42"/>
      <c r="BW117" s="43"/>
      <c r="BX117" s="37"/>
      <c r="BY117" s="78"/>
      <c r="BZ117" s="43">
        <v>0</v>
      </c>
      <c r="CA117" s="1038"/>
      <c r="CB117" s="42">
        <v>0</v>
      </c>
      <c r="CC117" s="42">
        <v>0</v>
      </c>
      <c r="CD117" s="1039"/>
      <c r="CE117" s="78">
        <v>0</v>
      </c>
      <c r="CF117" s="56"/>
      <c r="CG117" s="42">
        <v>0</v>
      </c>
      <c r="CH117" s="39">
        <v>0</v>
      </c>
      <c r="CI117" s="78">
        <v>0</v>
      </c>
      <c r="CJ117" s="56"/>
      <c r="CK117" s="1034"/>
      <c r="CL117" s="1029"/>
      <c r="CM117" s="1034"/>
      <c r="CN117" s="1029">
        <v>0</v>
      </c>
      <c r="CO117" s="78">
        <v>0</v>
      </c>
      <c r="CP117" s="43">
        <v>0</v>
      </c>
      <c r="CQ117" s="5"/>
      <c r="CR117" s="78">
        <v>0</v>
      </c>
      <c r="CS117" s="1033">
        <v>0</v>
      </c>
      <c r="CT117" s="5"/>
      <c r="CU117" s="78">
        <v>0</v>
      </c>
      <c r="CV117" s="43">
        <v>0</v>
      </c>
      <c r="CW117" s="5"/>
      <c r="CX117" s="78">
        <v>0</v>
      </c>
      <c r="CY117" s="43">
        <v>0</v>
      </c>
      <c r="CZ117" s="5"/>
      <c r="DA117" s="78">
        <v>0</v>
      </c>
      <c r="DB117" s="43">
        <v>0</v>
      </c>
      <c r="DC117" s="5"/>
      <c r="DD117" s="78">
        <v>0</v>
      </c>
      <c r="DE117" s="43">
        <v>0</v>
      </c>
      <c r="DF117" s="5"/>
      <c r="DG117" s="78">
        <v>0</v>
      </c>
      <c r="DH117" s="43"/>
      <c r="DI117" s="5"/>
      <c r="DJ117" s="43">
        <v>0</v>
      </c>
      <c r="DK117" s="43">
        <f t="shared" si="14"/>
        <v>0</v>
      </c>
      <c r="DL117" s="59">
        <f t="shared" si="15"/>
        <v>0</v>
      </c>
    </row>
    <row r="118" spans="1:116" ht="24.9" customHeight="1" x14ac:dyDescent="0.3">
      <c r="A118" s="328">
        <v>150000590</v>
      </c>
      <c r="B118" s="45" t="s">
        <v>163</v>
      </c>
      <c r="C118" s="1035">
        <v>2</v>
      </c>
      <c r="D118" s="1036" t="s">
        <v>454</v>
      </c>
      <c r="E118" s="1028">
        <f>'побудинковий звіт'!E116</f>
        <v>475.2</v>
      </c>
      <c r="F118" s="1029">
        <f>'побудинковий звіт'!AS116</f>
        <v>4756.3643936749895</v>
      </c>
      <c r="G118" s="1029">
        <f t="shared" si="8"/>
        <v>0</v>
      </c>
      <c r="H118" s="1029">
        <f t="shared" si="9"/>
        <v>-4756.3643936749895</v>
      </c>
      <c r="I118" s="43">
        <f>'[1]поточний ремонт'!I118+'[2]поточний ремонт'!I118-'[3]поточний ремонт'!I118</f>
        <v>0</v>
      </c>
      <c r="J118" s="43">
        <f>'[1]поточний ремонт'!J118+'[2]поточний ремонт'!J118-'[3]поточний ремонт'!J118</f>
        <v>0</v>
      </c>
      <c r="K118" s="1037"/>
      <c r="L118" s="43">
        <f>'[1]поточний ремонт'!L118+'[2]поточний ремонт'!L118-'[3]поточний ремонт'!L118</f>
        <v>0</v>
      </c>
      <c r="M118" s="43">
        <f>'[1]поточний ремонт'!M118+'[2]поточний ремонт'!M118-'[3]поточний ремонт'!M118</f>
        <v>0</v>
      </c>
      <c r="N118" s="37"/>
      <c r="O118" s="43">
        <f>'[1]поточний ремонт'!O118+'[2]поточний ремонт'!O118-'[3]поточний ремонт'!O118</f>
        <v>0</v>
      </c>
      <c r="P118" s="43">
        <f>'[1]поточний ремонт'!P118+'[2]поточний ремонт'!P118-'[3]поточний ремонт'!P118</f>
        <v>0</v>
      </c>
      <c r="Q118" s="1038"/>
      <c r="R118" s="43">
        <f>'[1]поточний ремонт'!R118+'[2]поточний ремонт'!R118-'[3]поточний ремонт'!R118</f>
        <v>0</v>
      </c>
      <c r="S118" s="43">
        <f>'[1]поточний ремонт'!S118+'[2]поточний ремонт'!S118-'[3]поточний ремонт'!S118</f>
        <v>0</v>
      </c>
      <c r="T118" s="1039"/>
      <c r="U118" s="43">
        <f>'[1]поточний ремонт'!U118+'[2]поточний ремонт'!U118-'[3]поточний ремонт'!U118</f>
        <v>0</v>
      </c>
      <c r="V118" s="43">
        <f>'[1]поточний ремонт'!V118+'[2]поточний ремонт'!V118-'[3]поточний ремонт'!V118</f>
        <v>0</v>
      </c>
      <c r="W118" s="43">
        <f>'[1]поточний ремонт'!W118+'[2]поточний ремонт'!W118-'[3]поточний ремонт'!W118</f>
        <v>0</v>
      </c>
      <c r="X118" s="43">
        <f>'[1]поточний ремонт'!X118+'[2]поточний ремонт'!X118-'[3]поточний ремонт'!X118</f>
        <v>0</v>
      </c>
      <c r="Y118" s="43">
        <f>'[1]поточний ремонт'!Y118+'[2]поточний ремонт'!Y118-'[3]поточний ремонт'!Y118</f>
        <v>0</v>
      </c>
      <c r="Z118" s="43">
        <f>'[1]поточний ремонт'!Z118+'[2]поточний ремонт'!Z118-'[3]поточний ремонт'!Z118</f>
        <v>0</v>
      </c>
      <c r="AA118" s="43">
        <f>'[1]поточний ремонт'!AA118+'[2]поточний ремонт'!AA118-'[3]поточний ремонт'!AA118</f>
        <v>0</v>
      </c>
      <c r="AB118" s="43">
        <f>'[1]поточний ремонт'!AB118+'[2]поточний ремонт'!AB118-'[3]поточний ремонт'!AB118</f>
        <v>0</v>
      </c>
      <c r="AC118" s="43">
        <f>'[1]поточний ремонт'!AC118+'[2]поточний ремонт'!AC118-'[3]поточний ремонт'!AC118</f>
        <v>0</v>
      </c>
      <c r="AD118" s="43">
        <f>'[1]поточний ремонт'!AD118+'[2]поточний ремонт'!AD118-'[3]поточний ремонт'!AD118</f>
        <v>0</v>
      </c>
      <c r="AE118" s="43">
        <f>'[1]поточний ремонт'!AE118+'[2]поточний ремонт'!AE118-'[3]поточний ремонт'!AE118</f>
        <v>391.70012268032747</v>
      </c>
      <c r="AF118" s="43">
        <f>'[1]поточний ремонт'!AF118+'[2]поточний ремонт'!AF118-'[3]поточний ремонт'!AF118</f>
        <v>0</v>
      </c>
      <c r="AG118" s="5"/>
      <c r="AH118" s="43">
        <f>'[1]поточний ремонт'!AH118+'[2]поточний ремонт'!AH118-'[3]поточний ремонт'!AH118</f>
        <v>541.42956001573725</v>
      </c>
      <c r="AI118" s="43">
        <f>'[1]поточний ремонт'!AI118+'[2]поточний ремонт'!AI118-'[3]поточний ремонт'!AI118</f>
        <v>0</v>
      </c>
      <c r="AJ118" s="5"/>
      <c r="AK118" s="43">
        <f>'[1]поточний ремонт'!AK118+'[2]поточний ремонт'!AK118-'[3]поточний ремонт'!AK118</f>
        <v>0</v>
      </c>
      <c r="AL118" s="43">
        <f>'[1]поточний ремонт'!AL118+'[2]поточний ремонт'!AL118-'[3]поточний ремонт'!AL118</f>
        <v>0</v>
      </c>
      <c r="AM118" s="5"/>
      <c r="AN118" s="43">
        <f>'[1]поточний ремонт'!AN118+'[2]поточний ремонт'!AN118-'[3]поточний ремонт'!AN118</f>
        <v>0</v>
      </c>
      <c r="AO118" s="43">
        <f>'[1]поточний ремонт'!AO118+'[2]поточний ремонт'!AO118-'[3]поточний ремонт'!AO118</f>
        <v>0</v>
      </c>
      <c r="AP118" s="5"/>
      <c r="AQ118" s="43">
        <f>'[1]поточний ремонт'!AQ118+'[2]поточний ремонт'!AQ118-'[3]поточний ремонт'!AQ118</f>
        <v>0</v>
      </c>
      <c r="AR118" s="43">
        <f>'[1]поточний ремонт'!AR118+'[2]поточний ремонт'!AR118-'[3]поточний ремонт'!AR118</f>
        <v>0</v>
      </c>
      <c r="AS118" s="5"/>
      <c r="AT118" s="43">
        <f>'[1]поточний ремонт'!AT118+'[2]поточний ремонт'!AT118-'[3]поточний ремонт'!AT118</f>
        <v>91.330284162915746</v>
      </c>
      <c r="AU118" s="43">
        <f>'[1]поточний ремонт'!AU118+'[2]поточний ремонт'!AU118-'[3]поточний ремонт'!AU118</f>
        <v>0</v>
      </c>
      <c r="AV118" s="5"/>
      <c r="AW118" s="43">
        <f>'[1]поточний ремонт'!AW118+'[2]поточний ремонт'!AW118-'[3]поточний ремонт'!AW118</f>
        <v>0</v>
      </c>
      <c r="AX118" s="43">
        <f>'[1]поточний ремонт'!AX118+'[2]поточний ремонт'!AX118-'[3]поточний ремонт'!AX118</f>
        <v>0</v>
      </c>
      <c r="AY118" s="5"/>
      <c r="AZ118" s="43">
        <f t="shared" si="10"/>
        <v>1024.4599668589804</v>
      </c>
      <c r="BA118" s="43">
        <f t="shared" si="11"/>
        <v>0</v>
      </c>
      <c r="BB118" s="59">
        <f t="shared" si="12"/>
        <v>-1024.4599668589804</v>
      </c>
      <c r="BD118" s="2">
        <v>3</v>
      </c>
      <c r="BF118" s="30">
        <v>27.934829588869619</v>
      </c>
      <c r="BG118" s="328">
        <v>150000590</v>
      </c>
      <c r="BI118" s="107">
        <v>0</v>
      </c>
      <c r="BJ118" s="107">
        <f t="shared" si="13"/>
        <v>0</v>
      </c>
      <c r="BK118" s="107">
        <v>0</v>
      </c>
      <c r="BL118" s="39"/>
      <c r="BM118" s="3"/>
      <c r="BN118" s="3">
        <v>0</v>
      </c>
      <c r="BP118" s="3"/>
      <c r="BQ118" s="3"/>
      <c r="BS118" s="43"/>
      <c r="BT118" s="43">
        <v>0</v>
      </c>
      <c r="BU118" s="1037"/>
      <c r="BV118" s="42"/>
      <c r="BW118" s="43"/>
      <c r="BX118" s="37"/>
      <c r="BY118" s="78"/>
      <c r="BZ118" s="43">
        <v>0</v>
      </c>
      <c r="CA118" s="1038"/>
      <c r="CB118" s="42">
        <v>0</v>
      </c>
      <c r="CC118" s="42">
        <v>0</v>
      </c>
      <c r="CD118" s="1039"/>
      <c r="CE118" s="78">
        <v>0</v>
      </c>
      <c r="CF118" s="56"/>
      <c r="CG118" s="42">
        <v>0</v>
      </c>
      <c r="CH118" s="39">
        <v>0</v>
      </c>
      <c r="CI118" s="78">
        <v>0</v>
      </c>
      <c r="CJ118" s="1044"/>
      <c r="CK118" s="1034"/>
      <c r="CL118" s="1029"/>
      <c r="CM118" s="1034"/>
      <c r="CN118" s="1029">
        <v>0</v>
      </c>
      <c r="CO118" s="78">
        <v>32.641676890027298</v>
      </c>
      <c r="CP118" s="43">
        <v>0</v>
      </c>
      <c r="CQ118" s="5"/>
      <c r="CR118" s="78">
        <v>45.119130001311447</v>
      </c>
      <c r="CS118" s="1033">
        <v>0</v>
      </c>
      <c r="CT118" s="5"/>
      <c r="CU118" s="78">
        <v>0</v>
      </c>
      <c r="CV118" s="43">
        <v>0</v>
      </c>
      <c r="CW118" s="5"/>
      <c r="CX118" s="78">
        <v>0</v>
      </c>
      <c r="CY118" s="43">
        <v>0</v>
      </c>
      <c r="CZ118" s="5"/>
      <c r="DA118" s="78">
        <v>0</v>
      </c>
      <c r="DB118" s="43">
        <v>0</v>
      </c>
      <c r="DC118" s="5"/>
      <c r="DD118" s="78">
        <v>7.6108570135763136</v>
      </c>
      <c r="DE118" s="43">
        <v>0</v>
      </c>
      <c r="DF118" s="5"/>
      <c r="DG118" s="78">
        <v>0</v>
      </c>
      <c r="DH118" s="43"/>
      <c r="DI118" s="5"/>
      <c r="DJ118" s="43">
        <v>85.371663904915053</v>
      </c>
      <c r="DK118" s="43">
        <f t="shared" si="14"/>
        <v>0</v>
      </c>
      <c r="DL118" s="59">
        <f t="shared" si="15"/>
        <v>-85.371663904915053</v>
      </c>
    </row>
    <row r="119" spans="1:116" ht="24.9" customHeight="1" x14ac:dyDescent="0.3">
      <c r="A119" s="328">
        <v>150000578</v>
      </c>
      <c r="B119" s="45" t="s">
        <v>83</v>
      </c>
      <c r="C119" s="1035">
        <v>1</v>
      </c>
      <c r="D119" s="1036" t="s">
        <v>454</v>
      </c>
      <c r="E119" s="1028">
        <f>'побудинковий звіт'!E117</f>
        <v>1053.5</v>
      </c>
      <c r="F119" s="1029">
        <f>'побудинковий звіт'!AS117</f>
        <v>2489.1927430636861</v>
      </c>
      <c r="G119" s="1029">
        <f t="shared" si="8"/>
        <v>0</v>
      </c>
      <c r="H119" s="1029">
        <f t="shared" si="9"/>
        <v>-2489.1927430636861</v>
      </c>
      <c r="I119" s="43">
        <f>'[1]поточний ремонт'!I119+'[2]поточний ремонт'!I119-'[3]поточний ремонт'!I119</f>
        <v>0</v>
      </c>
      <c r="J119" s="43">
        <f>'[1]поточний ремонт'!J119+'[2]поточний ремонт'!J119-'[3]поточний ремонт'!J119</f>
        <v>0</v>
      </c>
      <c r="K119" s="1037"/>
      <c r="L119" s="43">
        <f>'[1]поточний ремонт'!L119+'[2]поточний ремонт'!L119-'[3]поточний ремонт'!L119</f>
        <v>0</v>
      </c>
      <c r="M119" s="43">
        <f>'[1]поточний ремонт'!M119+'[2]поточний ремонт'!M119-'[3]поточний ремонт'!M119</f>
        <v>0</v>
      </c>
      <c r="N119" s="37"/>
      <c r="O119" s="43">
        <f>'[1]поточний ремонт'!O119+'[2]поточний ремонт'!O119-'[3]поточний ремонт'!O119</f>
        <v>0</v>
      </c>
      <c r="P119" s="43">
        <f>'[1]поточний ремонт'!P119+'[2]поточний ремонт'!P119-'[3]поточний ремонт'!P119</f>
        <v>0</v>
      </c>
      <c r="Q119" s="1038"/>
      <c r="R119" s="43">
        <f>'[1]поточний ремонт'!R119+'[2]поточний ремонт'!R119-'[3]поточний ремонт'!R119</f>
        <v>0</v>
      </c>
      <c r="S119" s="43">
        <f>'[1]поточний ремонт'!S119+'[2]поточний ремонт'!S119-'[3]поточний ремонт'!S119</f>
        <v>0</v>
      </c>
      <c r="T119" s="1039"/>
      <c r="U119" s="43">
        <f>'[1]поточний ремонт'!U119+'[2]поточний ремонт'!U119-'[3]поточний ремонт'!U119</f>
        <v>0</v>
      </c>
      <c r="V119" s="43">
        <f>'[1]поточний ремонт'!V119+'[2]поточний ремонт'!V119-'[3]поточний ремонт'!V119</f>
        <v>0</v>
      </c>
      <c r="W119" s="43">
        <f>'[1]поточний ремонт'!W119+'[2]поточний ремонт'!W119-'[3]поточний ремонт'!W119</f>
        <v>0</v>
      </c>
      <c r="X119" s="43">
        <f>'[1]поточний ремонт'!X119+'[2]поточний ремонт'!X119-'[3]поточний ремонт'!X119</f>
        <v>0</v>
      </c>
      <c r="Y119" s="43">
        <f>'[1]поточний ремонт'!Y119+'[2]поточний ремонт'!Y119-'[3]поточний ремонт'!Y119</f>
        <v>0</v>
      </c>
      <c r="Z119" s="43">
        <f>'[1]поточний ремонт'!Z119+'[2]поточний ремонт'!Z119-'[3]поточний ремонт'!Z119</f>
        <v>0</v>
      </c>
      <c r="AA119" s="43">
        <f>'[1]поточний ремонт'!AA119+'[2]поточний ремонт'!AA119-'[3]поточний ремонт'!AA119</f>
        <v>0</v>
      </c>
      <c r="AB119" s="43">
        <f>'[1]поточний ремонт'!AB119+'[2]поточний ремонт'!AB119-'[3]поточний ремонт'!AB119</f>
        <v>0</v>
      </c>
      <c r="AC119" s="43">
        <f>'[1]поточний ремонт'!AC119+'[2]поточний ремонт'!AC119-'[3]поточний ремонт'!AC119</f>
        <v>0</v>
      </c>
      <c r="AD119" s="43">
        <f>'[1]поточний ремонт'!AD119+'[2]поточний ремонт'!AD119-'[3]поточний ремонт'!AD119</f>
        <v>0</v>
      </c>
      <c r="AE119" s="43">
        <f>'[1]поточний ремонт'!AE119+'[2]поточний ремонт'!AE119-'[3]поточний ремонт'!AE119</f>
        <v>0</v>
      </c>
      <c r="AF119" s="43">
        <f>'[1]поточний ремонт'!AF119+'[2]поточний ремонт'!AF119-'[3]поточний ремонт'!AF119</f>
        <v>0</v>
      </c>
      <c r="AG119" s="5"/>
      <c r="AH119" s="43">
        <f>'[1]поточний ремонт'!AH119+'[2]поточний ремонт'!AH119-'[3]поточний ремонт'!AH119</f>
        <v>0</v>
      </c>
      <c r="AI119" s="43">
        <f>'[1]поточний ремонт'!AI119+'[2]поточний ремонт'!AI119-'[3]поточний ремонт'!AI119</f>
        <v>0</v>
      </c>
      <c r="AJ119" s="5"/>
      <c r="AK119" s="43">
        <f>'[1]поточний ремонт'!AK119+'[2]поточний ремонт'!AK119-'[3]поточний ремонт'!AK119</f>
        <v>0</v>
      </c>
      <c r="AL119" s="43">
        <f>'[1]поточний ремонт'!AL119+'[2]поточний ремонт'!AL119-'[3]поточний ремонт'!AL119</f>
        <v>0</v>
      </c>
      <c r="AM119" s="5"/>
      <c r="AN119" s="43">
        <f>'[1]поточний ремонт'!AN119+'[2]поточний ремонт'!AN119-'[3]поточний ремонт'!AN119</f>
        <v>0</v>
      </c>
      <c r="AO119" s="43">
        <f>'[1]поточний ремонт'!AO119+'[2]поточний ремонт'!AO119-'[3]поточний ремонт'!AO119</f>
        <v>0</v>
      </c>
      <c r="AP119" s="5"/>
      <c r="AQ119" s="43">
        <f>'[1]поточний ремонт'!AQ119+'[2]поточний ремонт'!AQ119-'[3]поточний ремонт'!AQ119</f>
        <v>0</v>
      </c>
      <c r="AR119" s="43">
        <f>'[1]поточний ремонт'!AR119+'[2]поточний ремонт'!AR119-'[3]поточний ремонт'!AR119</f>
        <v>0</v>
      </c>
      <c r="AS119" s="5"/>
      <c r="AT119" s="43">
        <f>'[1]поточний ремонт'!AT119+'[2]поточний ремонт'!AT119-'[3]поточний ремонт'!AT119</f>
        <v>0</v>
      </c>
      <c r="AU119" s="43">
        <f>'[1]поточний ремонт'!AU119+'[2]поточний ремонт'!AU119-'[3]поточний ремонт'!AU119</f>
        <v>0</v>
      </c>
      <c r="AV119" s="5"/>
      <c r="AW119" s="43">
        <f>'[1]поточний ремонт'!AW119+'[2]поточний ремонт'!AW119-'[3]поточний ремонт'!AW119</f>
        <v>0</v>
      </c>
      <c r="AX119" s="43">
        <f>'[1]поточний ремонт'!AX119+'[2]поточний ремонт'!AX119-'[3]поточний ремонт'!AX119</f>
        <v>0</v>
      </c>
      <c r="AY119" s="5"/>
      <c r="AZ119" s="43">
        <f t="shared" si="10"/>
        <v>0</v>
      </c>
      <c r="BA119" s="43">
        <f t="shared" si="11"/>
        <v>0</v>
      </c>
      <c r="BB119" s="59">
        <f t="shared" si="12"/>
        <v>0</v>
      </c>
      <c r="BD119" s="2">
        <v>3</v>
      </c>
      <c r="BF119" s="30">
        <v>0</v>
      </c>
      <c r="BG119" s="328">
        <v>150000578</v>
      </c>
      <c r="BI119" s="107">
        <v>0</v>
      </c>
      <c r="BJ119" s="107">
        <f t="shared" si="13"/>
        <v>0</v>
      </c>
      <c r="BK119" s="107">
        <v>0</v>
      </c>
      <c r="BL119" s="39"/>
      <c r="BM119" s="3"/>
      <c r="BN119" s="3">
        <v>0</v>
      </c>
      <c r="BP119" s="3"/>
      <c r="BQ119" s="3"/>
      <c r="BS119" s="43"/>
      <c r="BT119" s="43">
        <v>0</v>
      </c>
      <c r="BU119" s="1037"/>
      <c r="BV119" s="42"/>
      <c r="BW119" s="43"/>
      <c r="BX119" s="37"/>
      <c r="BY119" s="78"/>
      <c r="BZ119" s="43">
        <v>0</v>
      </c>
      <c r="CA119" s="1038"/>
      <c r="CB119" s="42">
        <v>0</v>
      </c>
      <c r="CC119" s="42">
        <v>0</v>
      </c>
      <c r="CD119" s="1039"/>
      <c r="CE119" s="78">
        <v>0</v>
      </c>
      <c r="CF119" s="56"/>
      <c r="CG119" s="42">
        <v>0</v>
      </c>
      <c r="CH119" s="39">
        <v>0</v>
      </c>
      <c r="CI119" s="78">
        <v>0</v>
      </c>
      <c r="CJ119" s="56"/>
      <c r="CK119" s="1034"/>
      <c r="CL119" s="1029"/>
      <c r="CM119" s="1034"/>
      <c r="CN119" s="1029">
        <v>0</v>
      </c>
      <c r="CO119" s="78">
        <v>0</v>
      </c>
      <c r="CP119" s="43">
        <v>0</v>
      </c>
      <c r="CQ119" s="5"/>
      <c r="CR119" s="78">
        <v>0</v>
      </c>
      <c r="CS119" s="1033">
        <v>0</v>
      </c>
      <c r="CT119" s="5"/>
      <c r="CU119" s="78">
        <v>0</v>
      </c>
      <c r="CV119" s="43">
        <v>0</v>
      </c>
      <c r="CW119" s="5"/>
      <c r="CX119" s="78">
        <v>0</v>
      </c>
      <c r="CY119" s="43">
        <v>0</v>
      </c>
      <c r="CZ119" s="5"/>
      <c r="DA119" s="78">
        <v>0</v>
      </c>
      <c r="DB119" s="43">
        <v>0</v>
      </c>
      <c r="DC119" s="5"/>
      <c r="DD119" s="78">
        <v>0</v>
      </c>
      <c r="DE119" s="43">
        <v>0</v>
      </c>
      <c r="DF119" s="5"/>
      <c r="DG119" s="78">
        <v>0</v>
      </c>
      <c r="DH119" s="43"/>
      <c r="DI119" s="5"/>
      <c r="DJ119" s="43">
        <v>0</v>
      </c>
      <c r="DK119" s="43">
        <f t="shared" si="14"/>
        <v>0</v>
      </c>
      <c r="DL119" s="59">
        <f t="shared" si="15"/>
        <v>0</v>
      </c>
    </row>
    <row r="120" spans="1:116" ht="24.9" customHeight="1" x14ac:dyDescent="0.3">
      <c r="A120" s="328">
        <v>150000580</v>
      </c>
      <c r="B120" s="45" t="s">
        <v>84</v>
      </c>
      <c r="C120" s="1035">
        <v>1</v>
      </c>
      <c r="D120" s="1036" t="s">
        <v>454</v>
      </c>
      <c r="E120" s="1028">
        <f>'побудинковий звіт'!E118</f>
        <v>1379.8</v>
      </c>
      <c r="F120" s="1029">
        <f>'побудинковий звіт'!AS118</f>
        <v>2100.6726300617297</v>
      </c>
      <c r="G120" s="1029">
        <f t="shared" si="8"/>
        <v>0</v>
      </c>
      <c r="H120" s="1029">
        <f t="shared" si="9"/>
        <v>-2100.6726300617297</v>
      </c>
      <c r="I120" s="43">
        <f>'[1]поточний ремонт'!I120+'[2]поточний ремонт'!I120-'[3]поточний ремонт'!I120</f>
        <v>0</v>
      </c>
      <c r="J120" s="43">
        <f>'[1]поточний ремонт'!J120+'[2]поточний ремонт'!J120-'[3]поточний ремонт'!J120</f>
        <v>0</v>
      </c>
      <c r="K120" s="1037"/>
      <c r="L120" s="43">
        <f>'[1]поточний ремонт'!L120+'[2]поточний ремонт'!L120-'[3]поточний ремонт'!L120</f>
        <v>0</v>
      </c>
      <c r="M120" s="43">
        <f>'[1]поточний ремонт'!M120+'[2]поточний ремонт'!M120-'[3]поточний ремонт'!M120</f>
        <v>0</v>
      </c>
      <c r="N120" s="37"/>
      <c r="O120" s="43">
        <f>'[1]поточний ремонт'!O120+'[2]поточний ремонт'!O120-'[3]поточний ремонт'!O120</f>
        <v>0</v>
      </c>
      <c r="P120" s="43">
        <f>'[1]поточний ремонт'!P120+'[2]поточний ремонт'!P120-'[3]поточний ремонт'!P120</f>
        <v>0</v>
      </c>
      <c r="Q120" s="1038"/>
      <c r="R120" s="43">
        <f>'[1]поточний ремонт'!R120+'[2]поточний ремонт'!R120-'[3]поточний ремонт'!R120</f>
        <v>0</v>
      </c>
      <c r="S120" s="43">
        <f>'[1]поточний ремонт'!S120+'[2]поточний ремонт'!S120-'[3]поточний ремонт'!S120</f>
        <v>0</v>
      </c>
      <c r="T120" s="1039"/>
      <c r="U120" s="43">
        <f>'[1]поточний ремонт'!U120+'[2]поточний ремонт'!U120-'[3]поточний ремонт'!U120</f>
        <v>0</v>
      </c>
      <c r="V120" s="43">
        <f>'[1]поточний ремонт'!V120+'[2]поточний ремонт'!V120-'[3]поточний ремонт'!V120</f>
        <v>0</v>
      </c>
      <c r="W120" s="43">
        <f>'[1]поточний ремонт'!W120+'[2]поточний ремонт'!W120-'[3]поточний ремонт'!W120</f>
        <v>0</v>
      </c>
      <c r="X120" s="43">
        <f>'[1]поточний ремонт'!X120+'[2]поточний ремонт'!X120-'[3]поточний ремонт'!X120</f>
        <v>0</v>
      </c>
      <c r="Y120" s="43">
        <f>'[1]поточний ремонт'!Y120+'[2]поточний ремонт'!Y120-'[3]поточний ремонт'!Y120</f>
        <v>0</v>
      </c>
      <c r="Z120" s="43">
        <f>'[1]поточний ремонт'!Z120+'[2]поточний ремонт'!Z120-'[3]поточний ремонт'!Z120</f>
        <v>0</v>
      </c>
      <c r="AA120" s="43">
        <f>'[1]поточний ремонт'!AA120+'[2]поточний ремонт'!AA120-'[3]поточний ремонт'!AA120</f>
        <v>0</v>
      </c>
      <c r="AB120" s="43">
        <f>'[1]поточний ремонт'!AB120+'[2]поточний ремонт'!AB120-'[3]поточний ремонт'!AB120</f>
        <v>0</v>
      </c>
      <c r="AC120" s="43">
        <f>'[1]поточний ремонт'!AC120+'[2]поточний ремонт'!AC120-'[3]поточний ремонт'!AC120</f>
        <v>0</v>
      </c>
      <c r="AD120" s="43">
        <f>'[1]поточний ремонт'!AD120+'[2]поточний ремонт'!AD120-'[3]поточний ремонт'!AD120</f>
        <v>0</v>
      </c>
      <c r="AE120" s="43">
        <f>'[1]поточний ремонт'!AE120+'[2]поточний ремонт'!AE120-'[3]поточний ремонт'!AE120</f>
        <v>0</v>
      </c>
      <c r="AF120" s="43">
        <f>'[1]поточний ремонт'!AF120+'[2]поточний ремонт'!AF120-'[3]поточний ремонт'!AF120</f>
        <v>0</v>
      </c>
      <c r="AG120" s="5"/>
      <c r="AH120" s="43">
        <f>'[1]поточний ремонт'!AH120+'[2]поточний ремонт'!AH120-'[3]поточний ремонт'!AH120</f>
        <v>0</v>
      </c>
      <c r="AI120" s="43">
        <f>'[1]поточний ремонт'!AI120+'[2]поточний ремонт'!AI120-'[3]поточний ремонт'!AI120</f>
        <v>0</v>
      </c>
      <c r="AJ120" s="5"/>
      <c r="AK120" s="43">
        <f>'[1]поточний ремонт'!AK120+'[2]поточний ремонт'!AK120-'[3]поточний ремонт'!AK120</f>
        <v>0</v>
      </c>
      <c r="AL120" s="43">
        <f>'[1]поточний ремонт'!AL120+'[2]поточний ремонт'!AL120-'[3]поточний ремонт'!AL120</f>
        <v>0</v>
      </c>
      <c r="AM120" s="5"/>
      <c r="AN120" s="43">
        <f>'[1]поточний ремонт'!AN120+'[2]поточний ремонт'!AN120-'[3]поточний ремонт'!AN120</f>
        <v>0</v>
      </c>
      <c r="AO120" s="43">
        <f>'[1]поточний ремонт'!AO120+'[2]поточний ремонт'!AO120-'[3]поточний ремонт'!AO120</f>
        <v>0</v>
      </c>
      <c r="AP120" s="5"/>
      <c r="AQ120" s="43">
        <f>'[1]поточний ремонт'!AQ120+'[2]поточний ремонт'!AQ120-'[3]поточний ремонт'!AQ120</f>
        <v>0</v>
      </c>
      <c r="AR120" s="43">
        <f>'[1]поточний ремонт'!AR120+'[2]поточний ремонт'!AR120-'[3]поточний ремонт'!AR120</f>
        <v>0</v>
      </c>
      <c r="AS120" s="5"/>
      <c r="AT120" s="43">
        <f>'[1]поточний ремонт'!AT120+'[2]поточний ремонт'!AT120-'[3]поточний ремонт'!AT120</f>
        <v>0</v>
      </c>
      <c r="AU120" s="43">
        <f>'[1]поточний ремонт'!AU120+'[2]поточний ремонт'!AU120-'[3]поточний ремонт'!AU120</f>
        <v>0</v>
      </c>
      <c r="AV120" s="5"/>
      <c r="AW120" s="43">
        <f>'[1]поточний ремонт'!AW120+'[2]поточний ремонт'!AW120-'[3]поточний ремонт'!AW120</f>
        <v>0</v>
      </c>
      <c r="AX120" s="43">
        <f>'[1]поточний ремонт'!AX120+'[2]поточний ремонт'!AX120-'[3]поточний ремонт'!AX120</f>
        <v>0</v>
      </c>
      <c r="AY120" s="5"/>
      <c r="AZ120" s="43">
        <f t="shared" si="10"/>
        <v>0</v>
      </c>
      <c r="BA120" s="43">
        <f t="shared" si="11"/>
        <v>0</v>
      </c>
      <c r="BB120" s="59">
        <f t="shared" si="12"/>
        <v>0</v>
      </c>
      <c r="BD120" s="2">
        <v>3</v>
      </c>
      <c r="BF120" s="30">
        <v>0</v>
      </c>
      <c r="BG120" s="328">
        <v>150000580</v>
      </c>
      <c r="BI120" s="107">
        <v>0</v>
      </c>
      <c r="BJ120" s="107">
        <f t="shared" si="13"/>
        <v>0</v>
      </c>
      <c r="BK120" s="107">
        <v>0</v>
      </c>
      <c r="BL120" s="39"/>
      <c r="BM120" s="3"/>
      <c r="BN120" s="3">
        <v>0</v>
      </c>
      <c r="BP120" s="3"/>
      <c r="BQ120" s="3"/>
      <c r="BS120" s="43"/>
      <c r="BT120" s="43">
        <v>0</v>
      </c>
      <c r="BU120" s="1037"/>
      <c r="BV120" s="42"/>
      <c r="BW120" s="43"/>
      <c r="BX120" s="37"/>
      <c r="BY120" s="78"/>
      <c r="BZ120" s="43">
        <v>0</v>
      </c>
      <c r="CA120" s="1038"/>
      <c r="CB120" s="42">
        <v>0</v>
      </c>
      <c r="CC120" s="42">
        <v>0</v>
      </c>
      <c r="CD120" s="1039"/>
      <c r="CE120" s="78">
        <v>0</v>
      </c>
      <c r="CF120" s="56"/>
      <c r="CG120" s="42">
        <v>0</v>
      </c>
      <c r="CH120" s="39">
        <v>0</v>
      </c>
      <c r="CI120" s="78">
        <v>0</v>
      </c>
      <c r="CJ120" s="56"/>
      <c r="CK120" s="1034"/>
      <c r="CL120" s="1029"/>
      <c r="CM120" s="1034"/>
      <c r="CN120" s="1029">
        <v>0</v>
      </c>
      <c r="CO120" s="78">
        <v>0</v>
      </c>
      <c r="CP120" s="43">
        <v>0</v>
      </c>
      <c r="CQ120" s="5"/>
      <c r="CR120" s="78">
        <v>0</v>
      </c>
      <c r="CS120" s="1033">
        <v>0</v>
      </c>
      <c r="CT120" s="5"/>
      <c r="CU120" s="78">
        <v>0</v>
      </c>
      <c r="CV120" s="43">
        <v>0</v>
      </c>
      <c r="CW120" s="5"/>
      <c r="CX120" s="78">
        <v>0</v>
      </c>
      <c r="CY120" s="43">
        <v>0</v>
      </c>
      <c r="CZ120" s="5"/>
      <c r="DA120" s="78">
        <v>0</v>
      </c>
      <c r="DB120" s="43">
        <v>0</v>
      </c>
      <c r="DC120" s="5"/>
      <c r="DD120" s="78">
        <v>0</v>
      </c>
      <c r="DE120" s="43">
        <v>0</v>
      </c>
      <c r="DF120" s="5"/>
      <c r="DG120" s="78">
        <v>0</v>
      </c>
      <c r="DH120" s="43"/>
      <c r="DI120" s="5"/>
      <c r="DJ120" s="43">
        <v>0</v>
      </c>
      <c r="DK120" s="43">
        <f t="shared" si="14"/>
        <v>0</v>
      </c>
      <c r="DL120" s="59">
        <f t="shared" si="15"/>
        <v>0</v>
      </c>
    </row>
    <row r="121" spans="1:116" ht="24.9" customHeight="1" x14ac:dyDescent="0.3">
      <c r="A121" s="328">
        <v>150001054</v>
      </c>
      <c r="B121" s="45" t="s">
        <v>85</v>
      </c>
      <c r="C121" s="1035">
        <v>1</v>
      </c>
      <c r="D121" s="1036" t="s">
        <v>454</v>
      </c>
      <c r="E121" s="1028">
        <f>'побудинковий звіт'!E119</f>
        <v>498.78</v>
      </c>
      <c r="F121" s="1029">
        <f>'побудинковий звіт'!AS119</f>
        <v>2268.1871834676772</v>
      </c>
      <c r="G121" s="1029">
        <f t="shared" si="8"/>
        <v>0</v>
      </c>
      <c r="H121" s="1029">
        <f t="shared" si="9"/>
        <v>-2268.1871834676772</v>
      </c>
      <c r="I121" s="43">
        <f>'[1]поточний ремонт'!I121+'[2]поточний ремонт'!I121-'[3]поточний ремонт'!I121</f>
        <v>0</v>
      </c>
      <c r="J121" s="43">
        <f>'[1]поточний ремонт'!J121+'[2]поточний ремонт'!J121-'[3]поточний ремонт'!J121</f>
        <v>0</v>
      </c>
      <c r="K121" s="1037"/>
      <c r="L121" s="43">
        <f>'[1]поточний ремонт'!L121+'[2]поточний ремонт'!L121-'[3]поточний ремонт'!L121</f>
        <v>0</v>
      </c>
      <c r="M121" s="43">
        <f>'[1]поточний ремонт'!M121+'[2]поточний ремонт'!M121-'[3]поточний ремонт'!M121</f>
        <v>0</v>
      </c>
      <c r="N121" s="37"/>
      <c r="O121" s="43">
        <f>'[1]поточний ремонт'!O121+'[2]поточний ремонт'!O121-'[3]поточний ремонт'!O121</f>
        <v>0</v>
      </c>
      <c r="P121" s="43">
        <f>'[1]поточний ремонт'!P121+'[2]поточний ремонт'!P121-'[3]поточний ремонт'!P121</f>
        <v>0</v>
      </c>
      <c r="Q121" s="1038"/>
      <c r="R121" s="43">
        <f>'[1]поточний ремонт'!R121+'[2]поточний ремонт'!R121-'[3]поточний ремонт'!R121</f>
        <v>0</v>
      </c>
      <c r="S121" s="43">
        <f>'[1]поточний ремонт'!S121+'[2]поточний ремонт'!S121-'[3]поточний ремонт'!S121</f>
        <v>0</v>
      </c>
      <c r="T121" s="1039"/>
      <c r="U121" s="43">
        <f>'[1]поточний ремонт'!U121+'[2]поточний ремонт'!U121-'[3]поточний ремонт'!U121</f>
        <v>0</v>
      </c>
      <c r="V121" s="43">
        <f>'[1]поточний ремонт'!V121+'[2]поточний ремонт'!V121-'[3]поточний ремонт'!V121</f>
        <v>0</v>
      </c>
      <c r="W121" s="43">
        <f>'[1]поточний ремонт'!W121+'[2]поточний ремонт'!W121-'[3]поточний ремонт'!W121</f>
        <v>0</v>
      </c>
      <c r="X121" s="43">
        <f>'[1]поточний ремонт'!X121+'[2]поточний ремонт'!X121-'[3]поточний ремонт'!X121</f>
        <v>0</v>
      </c>
      <c r="Y121" s="43">
        <f>'[1]поточний ремонт'!Y121+'[2]поточний ремонт'!Y121-'[3]поточний ремонт'!Y121</f>
        <v>0</v>
      </c>
      <c r="Z121" s="43">
        <f>'[1]поточний ремонт'!Z121+'[2]поточний ремонт'!Z121-'[3]поточний ремонт'!Z121</f>
        <v>0</v>
      </c>
      <c r="AA121" s="43">
        <f>'[1]поточний ремонт'!AA121+'[2]поточний ремонт'!AA121-'[3]поточний ремонт'!AA121</f>
        <v>0</v>
      </c>
      <c r="AB121" s="43">
        <f>'[1]поточний ремонт'!AB121+'[2]поточний ремонт'!AB121-'[3]поточний ремонт'!AB121</f>
        <v>0</v>
      </c>
      <c r="AC121" s="43">
        <f>'[1]поточний ремонт'!AC121+'[2]поточний ремонт'!AC121-'[3]поточний ремонт'!AC121</f>
        <v>0</v>
      </c>
      <c r="AD121" s="43">
        <f>'[1]поточний ремонт'!AD121+'[2]поточний ремонт'!AD121-'[3]поточний ремонт'!AD121</f>
        <v>0</v>
      </c>
      <c r="AE121" s="43">
        <f>'[1]поточний ремонт'!AE121+'[2]поточний ремонт'!AE121-'[3]поточний ремонт'!AE121</f>
        <v>0</v>
      </c>
      <c r="AF121" s="43">
        <f>'[1]поточний ремонт'!AF121+'[2]поточний ремонт'!AF121-'[3]поточний ремонт'!AF121</f>
        <v>0</v>
      </c>
      <c r="AG121" s="5"/>
      <c r="AH121" s="43">
        <f>'[1]поточний ремонт'!AH121+'[2]поточний ремонт'!AH121-'[3]поточний ремонт'!AH121</f>
        <v>0</v>
      </c>
      <c r="AI121" s="43">
        <f>'[1]поточний ремонт'!AI121+'[2]поточний ремонт'!AI121-'[3]поточний ремонт'!AI121</f>
        <v>0</v>
      </c>
      <c r="AJ121" s="5"/>
      <c r="AK121" s="43">
        <f>'[1]поточний ремонт'!AK121+'[2]поточний ремонт'!AK121-'[3]поточний ремонт'!AK121</f>
        <v>0</v>
      </c>
      <c r="AL121" s="43">
        <f>'[1]поточний ремонт'!AL121+'[2]поточний ремонт'!AL121-'[3]поточний ремонт'!AL121</f>
        <v>0</v>
      </c>
      <c r="AM121" s="5"/>
      <c r="AN121" s="43">
        <f>'[1]поточний ремонт'!AN121+'[2]поточний ремонт'!AN121-'[3]поточний ремонт'!AN121</f>
        <v>0</v>
      </c>
      <c r="AO121" s="43">
        <f>'[1]поточний ремонт'!AO121+'[2]поточний ремонт'!AO121-'[3]поточний ремонт'!AO121</f>
        <v>0</v>
      </c>
      <c r="AP121" s="5"/>
      <c r="AQ121" s="43">
        <f>'[1]поточний ремонт'!AQ121+'[2]поточний ремонт'!AQ121-'[3]поточний ремонт'!AQ121</f>
        <v>0</v>
      </c>
      <c r="AR121" s="43">
        <f>'[1]поточний ремонт'!AR121+'[2]поточний ремонт'!AR121-'[3]поточний ремонт'!AR121</f>
        <v>0</v>
      </c>
      <c r="AS121" s="5"/>
      <c r="AT121" s="43">
        <f>'[1]поточний ремонт'!AT121+'[2]поточний ремонт'!AT121-'[3]поточний ремонт'!AT121</f>
        <v>0</v>
      </c>
      <c r="AU121" s="43">
        <f>'[1]поточний ремонт'!AU121+'[2]поточний ремонт'!AU121-'[3]поточний ремонт'!AU121</f>
        <v>0</v>
      </c>
      <c r="AV121" s="5"/>
      <c r="AW121" s="43">
        <f>'[1]поточний ремонт'!AW121+'[2]поточний ремонт'!AW121-'[3]поточний ремонт'!AW121</f>
        <v>0</v>
      </c>
      <c r="AX121" s="43">
        <f>'[1]поточний ремонт'!AX121+'[2]поточний ремонт'!AX121-'[3]поточний ремонт'!AX121</f>
        <v>0</v>
      </c>
      <c r="AY121" s="5"/>
      <c r="AZ121" s="43">
        <f t="shared" si="10"/>
        <v>0</v>
      </c>
      <c r="BA121" s="43">
        <f t="shared" si="11"/>
        <v>0</v>
      </c>
      <c r="BB121" s="59">
        <f t="shared" si="12"/>
        <v>0</v>
      </c>
      <c r="BD121" s="2">
        <v>3</v>
      </c>
      <c r="BF121" s="30">
        <v>0</v>
      </c>
      <c r="BG121" s="328">
        <v>150001054</v>
      </c>
      <c r="BI121" s="107">
        <v>0</v>
      </c>
      <c r="BJ121" s="107">
        <f t="shared" si="13"/>
        <v>0</v>
      </c>
      <c r="BK121" s="107">
        <v>0</v>
      </c>
      <c r="BL121" s="39"/>
      <c r="BM121" s="3"/>
      <c r="BN121" s="3">
        <v>0</v>
      </c>
      <c r="BP121" s="3"/>
      <c r="BQ121" s="3"/>
      <c r="BS121" s="43"/>
      <c r="BT121" s="43">
        <v>0</v>
      </c>
      <c r="BU121" s="1037"/>
      <c r="BV121" s="42"/>
      <c r="BW121" s="43"/>
      <c r="BX121" s="37"/>
      <c r="BY121" s="78"/>
      <c r="BZ121" s="43">
        <v>0</v>
      </c>
      <c r="CA121" s="1038"/>
      <c r="CB121" s="42">
        <v>0</v>
      </c>
      <c r="CC121" s="42">
        <v>0</v>
      </c>
      <c r="CD121" s="1039"/>
      <c r="CE121" s="78">
        <v>0</v>
      </c>
      <c r="CF121" s="56"/>
      <c r="CG121" s="42">
        <v>0</v>
      </c>
      <c r="CH121" s="39">
        <v>0</v>
      </c>
      <c r="CI121" s="78">
        <v>0</v>
      </c>
      <c r="CJ121" s="56"/>
      <c r="CK121" s="1034"/>
      <c r="CL121" s="1029"/>
      <c r="CM121" s="1034"/>
      <c r="CN121" s="1029">
        <v>0</v>
      </c>
      <c r="CO121" s="78">
        <v>0</v>
      </c>
      <c r="CP121" s="43">
        <v>0</v>
      </c>
      <c r="CQ121" s="5"/>
      <c r="CR121" s="78">
        <v>0</v>
      </c>
      <c r="CS121" s="1033">
        <v>0</v>
      </c>
      <c r="CT121" s="5"/>
      <c r="CU121" s="78">
        <v>0</v>
      </c>
      <c r="CV121" s="43">
        <v>0</v>
      </c>
      <c r="CW121" s="5"/>
      <c r="CX121" s="78">
        <v>0</v>
      </c>
      <c r="CY121" s="43">
        <v>0</v>
      </c>
      <c r="CZ121" s="5"/>
      <c r="DA121" s="78">
        <v>0</v>
      </c>
      <c r="DB121" s="43">
        <v>0</v>
      </c>
      <c r="DC121" s="5"/>
      <c r="DD121" s="78">
        <v>0</v>
      </c>
      <c r="DE121" s="43">
        <v>0</v>
      </c>
      <c r="DF121" s="5"/>
      <c r="DG121" s="78">
        <v>0</v>
      </c>
      <c r="DH121" s="43"/>
      <c r="DI121" s="5"/>
      <c r="DJ121" s="43">
        <v>0</v>
      </c>
      <c r="DK121" s="43">
        <f t="shared" si="14"/>
        <v>0</v>
      </c>
      <c r="DL121" s="59">
        <f t="shared" si="15"/>
        <v>0</v>
      </c>
    </row>
    <row r="122" spans="1:116" ht="24.9" customHeight="1" x14ac:dyDescent="0.3">
      <c r="A122" s="328">
        <v>150000634</v>
      </c>
      <c r="B122" s="45" t="s">
        <v>1741</v>
      </c>
      <c r="C122" s="1035">
        <v>1</v>
      </c>
      <c r="D122" s="1036" t="s">
        <v>454</v>
      </c>
      <c r="E122" s="1028">
        <f>'побудинковий звіт'!E120</f>
        <v>1269.7</v>
      </c>
      <c r="F122" s="1029">
        <f>'побудинковий звіт'!AS120</f>
        <v>2769.2541397028817</v>
      </c>
      <c r="G122" s="1029">
        <f t="shared" si="8"/>
        <v>1625</v>
      </c>
      <c r="H122" s="1029">
        <f t="shared" si="9"/>
        <v>-1144.2541397028817</v>
      </c>
      <c r="I122" s="43">
        <f>'[1]поточний ремонт'!I122+'[2]поточний ремонт'!I122-'[3]поточний ремонт'!I122</f>
        <v>8.5</v>
      </c>
      <c r="J122" s="43">
        <f>'[1]поточний ремонт'!J122+'[2]поточний ремонт'!J122-'[3]поточний ремонт'!J122</f>
        <v>1625</v>
      </c>
      <c r="K122" s="1037"/>
      <c r="L122" s="43">
        <f>'[1]поточний ремонт'!L122+'[2]поточний ремонт'!L122-'[3]поточний ремонт'!L122</f>
        <v>0</v>
      </c>
      <c r="M122" s="43">
        <f>'[1]поточний ремонт'!M122+'[2]поточний ремонт'!M122-'[3]поточний ремонт'!M122</f>
        <v>0</v>
      </c>
      <c r="N122" s="37"/>
      <c r="O122" s="43">
        <f>'[1]поточний ремонт'!O122+'[2]поточний ремонт'!O122-'[3]поточний ремонт'!O122</f>
        <v>0</v>
      </c>
      <c r="P122" s="43">
        <f>'[1]поточний ремонт'!P122+'[2]поточний ремонт'!P122-'[3]поточний ремонт'!P122</f>
        <v>0</v>
      </c>
      <c r="Q122" s="1038"/>
      <c r="R122" s="43">
        <f>'[1]поточний ремонт'!R122+'[2]поточний ремонт'!R122-'[3]поточний ремонт'!R122</f>
        <v>0</v>
      </c>
      <c r="S122" s="43">
        <f>'[1]поточний ремонт'!S122+'[2]поточний ремонт'!S122-'[3]поточний ремонт'!S122</f>
        <v>0</v>
      </c>
      <c r="T122" s="1039"/>
      <c r="U122" s="43">
        <f>'[1]поточний ремонт'!U122+'[2]поточний ремонт'!U122-'[3]поточний ремонт'!U122</f>
        <v>0</v>
      </c>
      <c r="V122" s="43">
        <f>'[1]поточний ремонт'!V122+'[2]поточний ремонт'!V122-'[3]поточний ремонт'!V122</f>
        <v>0</v>
      </c>
      <c r="W122" s="43">
        <f>'[1]поточний ремонт'!W122+'[2]поточний ремонт'!W122-'[3]поточний ремонт'!W122</f>
        <v>0</v>
      </c>
      <c r="X122" s="43">
        <f>'[1]поточний ремонт'!X122+'[2]поточний ремонт'!X122-'[3]поточний ремонт'!X122</f>
        <v>0</v>
      </c>
      <c r="Y122" s="43">
        <f>'[1]поточний ремонт'!Y122+'[2]поточний ремонт'!Y122-'[3]поточний ремонт'!Y122</f>
        <v>0</v>
      </c>
      <c r="Z122" s="43">
        <f>'[1]поточний ремонт'!Z122+'[2]поточний ремонт'!Z122-'[3]поточний ремонт'!Z122</f>
        <v>0</v>
      </c>
      <c r="AA122" s="43">
        <f>'[1]поточний ремонт'!AA122+'[2]поточний ремонт'!AA122-'[3]поточний ремонт'!AA122</f>
        <v>0</v>
      </c>
      <c r="AB122" s="43">
        <f>'[1]поточний ремонт'!AB122+'[2]поточний ремонт'!AB122-'[3]поточний ремонт'!AB122</f>
        <v>0</v>
      </c>
      <c r="AC122" s="43">
        <f>'[1]поточний ремонт'!AC122+'[2]поточний ремонт'!AC122-'[3]поточний ремонт'!AC122</f>
        <v>0</v>
      </c>
      <c r="AD122" s="43">
        <f>'[1]поточний ремонт'!AD122+'[2]поточний ремонт'!AD122-'[3]поточний ремонт'!AD122</f>
        <v>0</v>
      </c>
      <c r="AE122" s="43">
        <f>'[1]поточний ремонт'!AE122+'[2]поточний ремонт'!AE122-'[3]поточний ремонт'!AE122</f>
        <v>0</v>
      </c>
      <c r="AF122" s="43">
        <f>'[1]поточний ремонт'!AF122+'[2]поточний ремонт'!AF122-'[3]поточний ремонт'!AF122</f>
        <v>0</v>
      </c>
      <c r="AG122" s="5"/>
      <c r="AH122" s="43">
        <f>'[1]поточний ремонт'!AH122+'[2]поточний ремонт'!AH122-'[3]поточний ремонт'!AH122</f>
        <v>0</v>
      </c>
      <c r="AI122" s="43">
        <f>'[1]поточний ремонт'!AI122+'[2]поточний ремонт'!AI122-'[3]поточний ремонт'!AI122</f>
        <v>0</v>
      </c>
      <c r="AJ122" s="5"/>
      <c r="AK122" s="43">
        <f>'[1]поточний ремонт'!AK122+'[2]поточний ремонт'!AK122-'[3]поточний ремонт'!AK122</f>
        <v>0</v>
      </c>
      <c r="AL122" s="43">
        <f>'[1]поточний ремонт'!AL122+'[2]поточний ремонт'!AL122-'[3]поточний ремонт'!AL122</f>
        <v>0</v>
      </c>
      <c r="AM122" s="5"/>
      <c r="AN122" s="43">
        <f>'[1]поточний ремонт'!AN122+'[2]поточний ремонт'!AN122-'[3]поточний ремонт'!AN122</f>
        <v>0</v>
      </c>
      <c r="AO122" s="43">
        <f>'[1]поточний ремонт'!AO122+'[2]поточний ремонт'!AO122-'[3]поточний ремонт'!AO122</f>
        <v>0</v>
      </c>
      <c r="AP122" s="5"/>
      <c r="AQ122" s="43">
        <f>'[1]поточний ремонт'!AQ122+'[2]поточний ремонт'!AQ122-'[3]поточний ремонт'!AQ122</f>
        <v>0</v>
      </c>
      <c r="AR122" s="43">
        <f>'[1]поточний ремонт'!AR122+'[2]поточний ремонт'!AR122-'[3]поточний ремонт'!AR122</f>
        <v>0</v>
      </c>
      <c r="AS122" s="5"/>
      <c r="AT122" s="43">
        <f>'[1]поточний ремонт'!AT122+'[2]поточний ремонт'!AT122-'[3]поточний ремонт'!AT122</f>
        <v>0</v>
      </c>
      <c r="AU122" s="43">
        <f>'[1]поточний ремонт'!AU122+'[2]поточний ремонт'!AU122-'[3]поточний ремонт'!AU122</f>
        <v>0</v>
      </c>
      <c r="AV122" s="5"/>
      <c r="AW122" s="43">
        <f>'[1]поточний ремонт'!AW122+'[2]поточний ремонт'!AW122-'[3]поточний ремонт'!AW122</f>
        <v>0</v>
      </c>
      <c r="AX122" s="43">
        <f>'[1]поточний ремонт'!AX122+'[2]поточний ремонт'!AX122-'[3]поточний ремонт'!AX122</f>
        <v>0</v>
      </c>
      <c r="AY122" s="5"/>
      <c r="AZ122" s="43">
        <f t="shared" si="10"/>
        <v>0</v>
      </c>
      <c r="BA122" s="43">
        <f t="shared" si="11"/>
        <v>0</v>
      </c>
      <c r="BB122" s="59">
        <f t="shared" si="12"/>
        <v>0</v>
      </c>
      <c r="BD122" s="2">
        <v>3</v>
      </c>
      <c r="BF122" s="30">
        <v>0</v>
      </c>
      <c r="BG122" s="328">
        <v>150000634</v>
      </c>
      <c r="BI122" s="107">
        <v>0</v>
      </c>
      <c r="BJ122" s="107">
        <f t="shared" si="13"/>
        <v>0</v>
      </c>
      <c r="BK122" s="107">
        <v>0</v>
      </c>
      <c r="BL122" s="39"/>
      <c r="BM122" s="3"/>
      <c r="BN122" s="3">
        <v>0</v>
      </c>
      <c r="BP122" s="3"/>
      <c r="BQ122" s="3"/>
      <c r="BS122" s="43"/>
      <c r="BT122" s="43">
        <v>0</v>
      </c>
      <c r="BU122" s="1037"/>
      <c r="BV122" s="42"/>
      <c r="BW122" s="43"/>
      <c r="BX122" s="37"/>
      <c r="BY122" s="78"/>
      <c r="BZ122" s="43">
        <v>0</v>
      </c>
      <c r="CA122" s="1038"/>
      <c r="CB122" s="42">
        <v>0</v>
      </c>
      <c r="CC122" s="42">
        <v>0</v>
      </c>
      <c r="CD122" s="1039"/>
      <c r="CE122" s="78">
        <v>0</v>
      </c>
      <c r="CF122" s="56"/>
      <c r="CG122" s="42">
        <v>0</v>
      </c>
      <c r="CH122" s="39">
        <v>0</v>
      </c>
      <c r="CI122" s="78">
        <v>0</v>
      </c>
      <c r="CJ122" s="56"/>
      <c r="CK122" s="1034"/>
      <c r="CL122" s="1029"/>
      <c r="CM122" s="1034"/>
      <c r="CN122" s="1029">
        <v>0</v>
      </c>
      <c r="CO122" s="78">
        <v>0</v>
      </c>
      <c r="CP122" s="43">
        <v>0</v>
      </c>
      <c r="CQ122" s="5"/>
      <c r="CR122" s="78">
        <v>0</v>
      </c>
      <c r="CS122" s="1033">
        <v>0</v>
      </c>
      <c r="CT122" s="5"/>
      <c r="CU122" s="78">
        <v>0</v>
      </c>
      <c r="CV122" s="43">
        <v>0</v>
      </c>
      <c r="CW122" s="5"/>
      <c r="CX122" s="78">
        <v>0</v>
      </c>
      <c r="CY122" s="43">
        <v>0</v>
      </c>
      <c r="CZ122" s="5"/>
      <c r="DA122" s="78">
        <v>0</v>
      </c>
      <c r="DB122" s="43">
        <v>0</v>
      </c>
      <c r="DC122" s="5"/>
      <c r="DD122" s="78">
        <v>0</v>
      </c>
      <c r="DE122" s="43">
        <v>0</v>
      </c>
      <c r="DF122" s="5"/>
      <c r="DG122" s="78">
        <v>0</v>
      </c>
      <c r="DH122" s="43"/>
      <c r="DI122" s="5"/>
      <c r="DJ122" s="43">
        <v>0</v>
      </c>
      <c r="DK122" s="43">
        <f t="shared" si="14"/>
        <v>0</v>
      </c>
      <c r="DL122" s="59">
        <f t="shared" si="15"/>
        <v>0</v>
      </c>
    </row>
    <row r="123" spans="1:116" ht="24.9" customHeight="1" x14ac:dyDescent="0.3">
      <c r="A123" s="328">
        <v>150000636</v>
      </c>
      <c r="B123" s="45" t="s">
        <v>1742</v>
      </c>
      <c r="C123" s="1035">
        <v>5</v>
      </c>
      <c r="D123" s="1036" t="s">
        <v>454</v>
      </c>
      <c r="E123" s="1028">
        <f>'побудинковий звіт'!E121</f>
        <v>626.29999999999995</v>
      </c>
      <c r="F123" s="1029">
        <f>'побудинковий звіт'!AS121</f>
        <v>40434.331771757577</v>
      </c>
      <c r="G123" s="1029">
        <f t="shared" si="8"/>
        <v>123843</v>
      </c>
      <c r="H123" s="1029">
        <f t="shared" si="9"/>
        <v>83408.66822824243</v>
      </c>
      <c r="I123" s="43">
        <f>'[1]поточний ремонт'!I123+'[2]поточний ремонт'!I123-'[3]поточний ремонт'!I123</f>
        <v>10</v>
      </c>
      <c r="J123" s="43">
        <f>'[1]поточний ремонт'!J123+'[2]поточний ремонт'!J123-'[3]поточний ремонт'!J123</f>
        <v>4927</v>
      </c>
      <c r="K123" s="1037"/>
      <c r="L123" s="43">
        <f>'[1]поточний ремонт'!L123+'[2]поточний ремонт'!L123-'[3]поточний ремонт'!L123</f>
        <v>2</v>
      </c>
      <c r="M123" s="43">
        <f>'[1]поточний ремонт'!M123+'[2]поточний ремонт'!M123-'[3]поточний ремонт'!M123</f>
        <v>87667</v>
      </c>
      <c r="N123" s="1039"/>
      <c r="O123" s="43">
        <f>'[1]поточний ремонт'!O123+'[2]поточний ремонт'!O123-'[3]поточний ремонт'!O123</f>
        <v>0</v>
      </c>
      <c r="P123" s="43">
        <f>'[1]поточний ремонт'!P123+'[2]поточний ремонт'!P123-'[3]поточний ремонт'!P123</f>
        <v>0</v>
      </c>
      <c r="Q123" s="1038"/>
      <c r="R123" s="43">
        <f>'[1]поточний ремонт'!R123+'[2]поточний ремонт'!R123-'[3]поточний ремонт'!R123</f>
        <v>0</v>
      </c>
      <c r="S123" s="43">
        <f>'[1]поточний ремонт'!S123+'[2]поточний ремонт'!S123-'[3]поточний ремонт'!S123</f>
        <v>0</v>
      </c>
      <c r="T123" s="1039"/>
      <c r="U123" s="43">
        <f>'[1]поточний ремонт'!U123+'[2]поточний ремонт'!U123-'[3]поточний ремонт'!U123</f>
        <v>0</v>
      </c>
      <c r="V123" s="43">
        <f>'[1]поточний ремонт'!V123+'[2]поточний ремонт'!V123-'[3]поточний ремонт'!V123</f>
        <v>0</v>
      </c>
      <c r="W123" s="43">
        <f>'[1]поточний ремонт'!W123+'[2]поточний ремонт'!W123-'[3]поточний ремонт'!W123</f>
        <v>0</v>
      </c>
      <c r="X123" s="43">
        <f>'[1]поточний ремонт'!X123+'[2]поточний ремонт'!X123-'[3]поточний ремонт'!X123</f>
        <v>0</v>
      </c>
      <c r="Y123" s="43">
        <f>'[1]поточний ремонт'!Y123+'[2]поточний ремонт'!Y123-'[3]поточний ремонт'!Y123</f>
        <v>27095</v>
      </c>
      <c r="Z123" s="43">
        <f>'[1]поточний ремонт'!Z123+'[2]поточний ремонт'!Z123-'[3]поточний ремонт'!Z123</f>
        <v>0</v>
      </c>
      <c r="AA123" s="43">
        <f>'[1]поточний ремонт'!AA123+'[2]поточний ремонт'!AA123-'[3]поточний ремонт'!AA123</f>
        <v>0</v>
      </c>
      <c r="AB123" s="43">
        <f>'[1]поточний ремонт'!AB123+'[2]поточний ремонт'!AB123-'[3]поточний ремонт'!AB123</f>
        <v>0</v>
      </c>
      <c r="AC123" s="43">
        <f>'[1]поточний ремонт'!AC123+'[2]поточний ремонт'!AC123-'[3]поточний ремонт'!AC123</f>
        <v>2711</v>
      </c>
      <c r="AD123" s="43">
        <f>'[1]поточний ремонт'!AD123+'[2]поточний ремонт'!AD123-'[3]поточний ремонт'!AD123</f>
        <v>1443</v>
      </c>
      <c r="AE123" s="43">
        <f>'[1]поточний ремонт'!AE123+'[2]поточний ремонт'!AE123-'[3]поточний ремонт'!AE123</f>
        <v>1760.5062053184095</v>
      </c>
      <c r="AF123" s="43">
        <f>'[1]поточний ремонт'!AF123+'[2]поточний ремонт'!AF123-'[3]поточний ремонт'!AF123</f>
        <v>1941</v>
      </c>
      <c r="AG123" s="5"/>
      <c r="AH123" s="43">
        <f>'[1]поточний ремонт'!AH123+'[2]поточний ремонт'!AH123-'[3]поточний ремонт'!AH123</f>
        <v>2878.690972513285</v>
      </c>
      <c r="AI123" s="43">
        <f>'[1]поточний ремонт'!AI123+'[2]поточний ремонт'!AI123-'[3]поточний ремонт'!AI123</f>
        <v>1800</v>
      </c>
      <c r="AJ123" s="5"/>
      <c r="AK123" s="43">
        <f>'[1]поточний ремонт'!AK123+'[2]поточний ремонт'!AK123-'[3]поточний ремонт'!AK123</f>
        <v>1793.2732745772651</v>
      </c>
      <c r="AL123" s="43">
        <f>'[1]поточний ремонт'!AL123+'[2]поточний ремонт'!AL123-'[3]поточний ремонт'!AL123</f>
        <v>1545</v>
      </c>
      <c r="AM123" s="752"/>
      <c r="AN123" s="43">
        <f>'[1]поточний ремонт'!AN123+'[2]поточний ремонт'!AN123-'[3]поточний ремонт'!AN123</f>
        <v>0</v>
      </c>
      <c r="AO123" s="43">
        <f>'[1]поточний ремонт'!AO123+'[2]поточний ремонт'!AO123-'[3]поточний ремонт'!AO123</f>
        <v>0</v>
      </c>
      <c r="AP123" s="5"/>
      <c r="AQ123" s="43">
        <f>'[1]поточний ремонт'!AQ123+'[2]поточний ремонт'!AQ123-'[3]поточний ремонт'!AQ123</f>
        <v>719.6828414324732</v>
      </c>
      <c r="AR123" s="43">
        <f>'[1]поточний ремонт'!AR123+'[2]поточний ремонт'!AR123-'[3]поточний ремонт'!AR123</f>
        <v>0</v>
      </c>
      <c r="AS123" s="5"/>
      <c r="AT123" s="43">
        <f>'[1]поточний ремонт'!AT123+'[2]поточний ремонт'!AT123-'[3]поточний ремонт'!AT123</f>
        <v>1298.2546461686622</v>
      </c>
      <c r="AU123" s="43">
        <f>'[1]поточний ремонт'!AU123+'[2]поточний ремонт'!AU123-'[3]поточний ремонт'!AU123</f>
        <v>2640</v>
      </c>
      <c r="AV123" s="1054"/>
      <c r="AW123" s="43">
        <f>'[1]поточний ремонт'!AW123+'[2]поточний ремонт'!AW123-'[3]поточний ремонт'!AW123</f>
        <v>0</v>
      </c>
      <c r="AX123" s="43">
        <f>'[1]поточний ремонт'!AX123+'[2]поточний ремонт'!AX123-'[3]поточний ремонт'!AX123</f>
        <v>0</v>
      </c>
      <c r="AY123" s="5"/>
      <c r="AZ123" s="43">
        <f t="shared" si="10"/>
        <v>8450.4079400100945</v>
      </c>
      <c r="BA123" s="43">
        <f t="shared" si="11"/>
        <v>7926</v>
      </c>
      <c r="BB123" s="59">
        <f t="shared" si="12"/>
        <v>-524.40794001009453</v>
      </c>
      <c r="BD123" s="2">
        <v>3</v>
      </c>
      <c r="BF123" s="30">
        <v>237.39522013231061</v>
      </c>
      <c r="BG123" s="328">
        <v>150000636</v>
      </c>
      <c r="BI123" s="107">
        <v>0</v>
      </c>
      <c r="BJ123" s="107">
        <f t="shared" si="13"/>
        <v>0</v>
      </c>
      <c r="BK123" s="107">
        <v>0</v>
      </c>
      <c r="BL123" s="39"/>
      <c r="BM123" s="3"/>
      <c r="BN123" s="3">
        <v>0</v>
      </c>
      <c r="BP123" s="3"/>
      <c r="BQ123" s="3"/>
      <c r="BS123" s="43"/>
      <c r="BT123" s="43">
        <v>0</v>
      </c>
      <c r="BU123" s="1037"/>
      <c r="BV123" s="42"/>
      <c r="BW123" s="43"/>
      <c r="BX123" s="1039"/>
      <c r="BY123" s="78"/>
      <c r="BZ123" s="43">
        <v>0</v>
      </c>
      <c r="CA123" s="1038"/>
      <c r="CB123" s="42">
        <v>0</v>
      </c>
      <c r="CC123" s="42">
        <v>0</v>
      </c>
      <c r="CD123" s="1039"/>
      <c r="CE123" s="78">
        <v>0</v>
      </c>
      <c r="CF123" s="56"/>
      <c r="CG123" s="42">
        <v>0</v>
      </c>
      <c r="CH123" s="39">
        <v>0</v>
      </c>
      <c r="CI123" s="78">
        <v>0</v>
      </c>
      <c r="CJ123" s="56"/>
      <c r="CK123" s="1034"/>
      <c r="CL123" s="1029"/>
      <c r="CM123" s="1034"/>
      <c r="CN123" s="1029">
        <v>0</v>
      </c>
      <c r="CO123" s="78">
        <v>146.70885044320073</v>
      </c>
      <c r="CP123" s="43">
        <v>0</v>
      </c>
      <c r="CQ123" s="5"/>
      <c r="CR123" s="78">
        <v>239.8909143761071</v>
      </c>
      <c r="CS123" s="1033">
        <v>0</v>
      </c>
      <c r="CT123" s="5"/>
      <c r="CU123" s="78">
        <v>149.43943954810544</v>
      </c>
      <c r="CV123" s="43">
        <v>0</v>
      </c>
      <c r="CW123" s="752"/>
      <c r="CX123" s="78">
        <v>0</v>
      </c>
      <c r="CY123" s="43">
        <v>0</v>
      </c>
      <c r="CZ123" s="5"/>
      <c r="DA123" s="78">
        <v>59.973570119372766</v>
      </c>
      <c r="DB123" s="43">
        <v>0</v>
      </c>
      <c r="DC123" s="5"/>
      <c r="DD123" s="78">
        <v>108.18788718072186</v>
      </c>
      <c r="DE123" s="43">
        <v>0</v>
      </c>
      <c r="DF123" s="1054"/>
      <c r="DG123" s="78">
        <v>0</v>
      </c>
      <c r="DH123" s="43"/>
      <c r="DI123" s="5"/>
      <c r="DJ123" s="43">
        <v>704.20066166750792</v>
      </c>
      <c r="DK123" s="43">
        <f t="shared" si="14"/>
        <v>0</v>
      </c>
      <c r="DL123" s="59">
        <f t="shared" si="15"/>
        <v>-704.20066166750792</v>
      </c>
    </row>
    <row r="124" spans="1:116" ht="24.9" customHeight="1" x14ac:dyDescent="0.3">
      <c r="A124" s="328">
        <v>150000556</v>
      </c>
      <c r="B124" s="45" t="s">
        <v>89</v>
      </c>
      <c r="C124" s="1035">
        <v>1</v>
      </c>
      <c r="D124" s="1036" t="s">
        <v>454</v>
      </c>
      <c r="E124" s="1028">
        <f>'побудинковий звіт'!E122</f>
        <v>2504.61</v>
      </c>
      <c r="F124" s="1029">
        <f>'побудинковий звіт'!AS122</f>
        <v>2555.696423132089</v>
      </c>
      <c r="G124" s="1029">
        <f t="shared" si="8"/>
        <v>0</v>
      </c>
      <c r="H124" s="1029">
        <f t="shared" si="9"/>
        <v>-2555.696423132089</v>
      </c>
      <c r="I124" s="43">
        <f>'[1]поточний ремонт'!I124+'[2]поточний ремонт'!I124-'[3]поточний ремонт'!I124</f>
        <v>0</v>
      </c>
      <c r="J124" s="43">
        <f>'[1]поточний ремонт'!J124+'[2]поточний ремонт'!J124-'[3]поточний ремонт'!J124</f>
        <v>0</v>
      </c>
      <c r="K124" s="1037"/>
      <c r="L124" s="43">
        <f>'[1]поточний ремонт'!L124+'[2]поточний ремонт'!L124-'[3]поточний ремонт'!L124</f>
        <v>0</v>
      </c>
      <c r="M124" s="43">
        <f>'[1]поточний ремонт'!M124+'[2]поточний ремонт'!M124-'[3]поточний ремонт'!M124</f>
        <v>0</v>
      </c>
      <c r="N124" s="37"/>
      <c r="O124" s="43">
        <f>'[1]поточний ремонт'!O124+'[2]поточний ремонт'!O124-'[3]поточний ремонт'!O124</f>
        <v>0</v>
      </c>
      <c r="P124" s="43">
        <f>'[1]поточний ремонт'!P124+'[2]поточний ремонт'!P124-'[3]поточний ремонт'!P124</f>
        <v>0</v>
      </c>
      <c r="Q124" s="1038"/>
      <c r="R124" s="43">
        <f>'[1]поточний ремонт'!R124+'[2]поточний ремонт'!R124-'[3]поточний ремонт'!R124</f>
        <v>0</v>
      </c>
      <c r="S124" s="43">
        <f>'[1]поточний ремонт'!S124+'[2]поточний ремонт'!S124-'[3]поточний ремонт'!S124</f>
        <v>0</v>
      </c>
      <c r="T124" s="1039"/>
      <c r="U124" s="43">
        <f>'[1]поточний ремонт'!U124+'[2]поточний ремонт'!U124-'[3]поточний ремонт'!U124</f>
        <v>0</v>
      </c>
      <c r="V124" s="43">
        <f>'[1]поточний ремонт'!V124+'[2]поточний ремонт'!V124-'[3]поточний ремонт'!V124</f>
        <v>0</v>
      </c>
      <c r="W124" s="43">
        <f>'[1]поточний ремонт'!W124+'[2]поточний ремонт'!W124-'[3]поточний ремонт'!W124</f>
        <v>0</v>
      </c>
      <c r="X124" s="43">
        <f>'[1]поточний ремонт'!X124+'[2]поточний ремонт'!X124-'[3]поточний ремонт'!X124</f>
        <v>0</v>
      </c>
      <c r="Y124" s="43">
        <f>'[1]поточний ремонт'!Y124+'[2]поточний ремонт'!Y124-'[3]поточний ремонт'!Y124</f>
        <v>0</v>
      </c>
      <c r="Z124" s="43">
        <f>'[1]поточний ремонт'!Z124+'[2]поточний ремонт'!Z124-'[3]поточний ремонт'!Z124</f>
        <v>0</v>
      </c>
      <c r="AA124" s="43">
        <f>'[1]поточний ремонт'!AA124+'[2]поточний ремонт'!AA124-'[3]поточний ремонт'!AA124</f>
        <v>0</v>
      </c>
      <c r="AB124" s="43">
        <f>'[1]поточний ремонт'!AB124+'[2]поточний ремонт'!AB124-'[3]поточний ремонт'!AB124</f>
        <v>0</v>
      </c>
      <c r="AC124" s="43">
        <f>'[1]поточний ремонт'!AC124+'[2]поточний ремонт'!AC124-'[3]поточний ремонт'!AC124</f>
        <v>0</v>
      </c>
      <c r="AD124" s="43">
        <f>'[1]поточний ремонт'!AD124+'[2]поточний ремонт'!AD124-'[3]поточний ремонт'!AD124</f>
        <v>0</v>
      </c>
      <c r="AE124" s="43">
        <f>'[1]поточний ремонт'!AE124+'[2]поточний ремонт'!AE124-'[3]поточний ремонт'!AE124</f>
        <v>0</v>
      </c>
      <c r="AF124" s="43">
        <f>'[1]поточний ремонт'!AF124+'[2]поточний ремонт'!AF124-'[3]поточний ремонт'!AF124</f>
        <v>0</v>
      </c>
      <c r="AG124" s="5"/>
      <c r="AH124" s="43">
        <f>'[1]поточний ремонт'!AH124+'[2]поточний ремонт'!AH124-'[3]поточний ремонт'!AH124</f>
        <v>0</v>
      </c>
      <c r="AI124" s="43">
        <f>'[1]поточний ремонт'!AI124+'[2]поточний ремонт'!AI124-'[3]поточний ремонт'!AI124</f>
        <v>0</v>
      </c>
      <c r="AJ124" s="5"/>
      <c r="AK124" s="43">
        <f>'[1]поточний ремонт'!AK124+'[2]поточний ремонт'!AK124-'[3]поточний ремонт'!AK124</f>
        <v>0</v>
      </c>
      <c r="AL124" s="43">
        <f>'[1]поточний ремонт'!AL124+'[2]поточний ремонт'!AL124-'[3]поточний ремонт'!AL124</f>
        <v>0</v>
      </c>
      <c r="AM124" s="5"/>
      <c r="AN124" s="43">
        <f>'[1]поточний ремонт'!AN124+'[2]поточний ремонт'!AN124-'[3]поточний ремонт'!AN124</f>
        <v>0</v>
      </c>
      <c r="AO124" s="43">
        <f>'[1]поточний ремонт'!AO124+'[2]поточний ремонт'!AO124-'[3]поточний ремонт'!AO124</f>
        <v>0</v>
      </c>
      <c r="AP124" s="5"/>
      <c r="AQ124" s="43">
        <f>'[1]поточний ремонт'!AQ124+'[2]поточний ремонт'!AQ124-'[3]поточний ремонт'!AQ124</f>
        <v>0</v>
      </c>
      <c r="AR124" s="43">
        <f>'[1]поточний ремонт'!AR124+'[2]поточний ремонт'!AR124-'[3]поточний ремонт'!AR124</f>
        <v>0</v>
      </c>
      <c r="AS124" s="5"/>
      <c r="AT124" s="43">
        <f>'[1]поточний ремонт'!AT124+'[2]поточний ремонт'!AT124-'[3]поточний ремонт'!AT124</f>
        <v>0</v>
      </c>
      <c r="AU124" s="43">
        <f>'[1]поточний ремонт'!AU124+'[2]поточний ремонт'!AU124-'[3]поточний ремонт'!AU124</f>
        <v>0</v>
      </c>
      <c r="AV124" s="5"/>
      <c r="AW124" s="43">
        <f>'[1]поточний ремонт'!AW124+'[2]поточний ремонт'!AW124-'[3]поточний ремонт'!AW124</f>
        <v>0</v>
      </c>
      <c r="AX124" s="43">
        <f>'[1]поточний ремонт'!AX124+'[2]поточний ремонт'!AX124-'[3]поточний ремонт'!AX124</f>
        <v>0</v>
      </c>
      <c r="AY124" s="5"/>
      <c r="AZ124" s="43">
        <f t="shared" si="10"/>
        <v>0</v>
      </c>
      <c r="BA124" s="43">
        <f t="shared" si="11"/>
        <v>0</v>
      </c>
      <c r="BB124" s="59">
        <f t="shared" si="12"/>
        <v>0</v>
      </c>
      <c r="BD124" s="2">
        <v>3</v>
      </c>
      <c r="BF124" s="30">
        <v>0</v>
      </c>
      <c r="BG124" s="328">
        <v>150000556</v>
      </c>
      <c r="BI124" s="107">
        <v>0</v>
      </c>
      <c r="BJ124" s="107">
        <f t="shared" si="13"/>
        <v>0</v>
      </c>
      <c r="BK124" s="107">
        <v>0</v>
      </c>
      <c r="BL124" s="39"/>
      <c r="BM124" s="3"/>
      <c r="BN124" s="3">
        <v>0</v>
      </c>
      <c r="BP124" s="3"/>
      <c r="BQ124" s="3"/>
      <c r="BS124" s="43"/>
      <c r="BT124" s="43">
        <v>0</v>
      </c>
      <c r="BU124" s="1037"/>
      <c r="BV124" s="42"/>
      <c r="BW124" s="43"/>
      <c r="BX124" s="37"/>
      <c r="BY124" s="78"/>
      <c r="BZ124" s="43">
        <v>0</v>
      </c>
      <c r="CA124" s="1038"/>
      <c r="CB124" s="42">
        <v>0</v>
      </c>
      <c r="CC124" s="42">
        <v>0</v>
      </c>
      <c r="CD124" s="1039"/>
      <c r="CE124" s="78">
        <v>0</v>
      </c>
      <c r="CF124" s="56"/>
      <c r="CG124" s="42">
        <v>0</v>
      </c>
      <c r="CH124" s="39">
        <v>0</v>
      </c>
      <c r="CI124" s="78">
        <v>0</v>
      </c>
      <c r="CJ124" s="56"/>
      <c r="CK124" s="1034"/>
      <c r="CL124" s="1029"/>
      <c r="CM124" s="1034"/>
      <c r="CN124" s="1029">
        <v>0</v>
      </c>
      <c r="CO124" s="78">
        <v>0</v>
      </c>
      <c r="CP124" s="43">
        <v>0</v>
      </c>
      <c r="CQ124" s="5"/>
      <c r="CR124" s="78">
        <v>0</v>
      </c>
      <c r="CS124" s="1033">
        <v>0</v>
      </c>
      <c r="CT124" s="5"/>
      <c r="CU124" s="78">
        <v>0</v>
      </c>
      <c r="CV124" s="43">
        <v>0</v>
      </c>
      <c r="CW124" s="5"/>
      <c r="CX124" s="78">
        <v>0</v>
      </c>
      <c r="CY124" s="43">
        <v>0</v>
      </c>
      <c r="CZ124" s="5"/>
      <c r="DA124" s="78">
        <v>0</v>
      </c>
      <c r="DB124" s="43">
        <v>0</v>
      </c>
      <c r="DC124" s="5"/>
      <c r="DD124" s="78">
        <v>0</v>
      </c>
      <c r="DE124" s="43">
        <v>0</v>
      </c>
      <c r="DF124" s="5"/>
      <c r="DG124" s="78">
        <v>0</v>
      </c>
      <c r="DH124" s="43"/>
      <c r="DI124" s="5"/>
      <c r="DJ124" s="43">
        <v>0</v>
      </c>
      <c r="DK124" s="43">
        <f t="shared" si="14"/>
        <v>0</v>
      </c>
      <c r="DL124" s="59">
        <f t="shared" si="15"/>
        <v>0</v>
      </c>
    </row>
    <row r="125" spans="1:116" ht="24.9" customHeight="1" x14ac:dyDescent="0.3">
      <c r="A125" s="328">
        <v>150000557</v>
      </c>
      <c r="B125" s="45" t="s">
        <v>90</v>
      </c>
      <c r="C125" s="1035">
        <v>1</v>
      </c>
      <c r="D125" s="1036" t="s">
        <v>454</v>
      </c>
      <c r="E125" s="1028">
        <f>'побудинковий звіт'!E123</f>
        <v>1804.3</v>
      </c>
      <c r="F125" s="1029">
        <f>'побудинковий звіт'!AS123</f>
        <v>1661.4004179781432</v>
      </c>
      <c r="G125" s="1029">
        <f t="shared" si="8"/>
        <v>0</v>
      </c>
      <c r="H125" s="1029">
        <f t="shared" si="9"/>
        <v>-1661.4004179781432</v>
      </c>
      <c r="I125" s="43">
        <f>'[1]поточний ремонт'!I125+'[2]поточний ремонт'!I125-'[3]поточний ремонт'!I125</f>
        <v>0</v>
      </c>
      <c r="J125" s="43">
        <f>'[1]поточний ремонт'!J125+'[2]поточний ремонт'!J125-'[3]поточний ремонт'!J125</f>
        <v>0</v>
      </c>
      <c r="K125" s="1037"/>
      <c r="L125" s="43">
        <f>'[1]поточний ремонт'!L125+'[2]поточний ремонт'!L125-'[3]поточний ремонт'!L125</f>
        <v>0</v>
      </c>
      <c r="M125" s="43">
        <f>'[1]поточний ремонт'!M125+'[2]поточний ремонт'!M125-'[3]поточний ремонт'!M125</f>
        <v>0</v>
      </c>
      <c r="N125" s="37"/>
      <c r="O125" s="43">
        <f>'[1]поточний ремонт'!O125+'[2]поточний ремонт'!O125-'[3]поточний ремонт'!O125</f>
        <v>0</v>
      </c>
      <c r="P125" s="43">
        <f>'[1]поточний ремонт'!P125+'[2]поточний ремонт'!P125-'[3]поточний ремонт'!P125</f>
        <v>0</v>
      </c>
      <c r="Q125" s="1038"/>
      <c r="R125" s="43">
        <f>'[1]поточний ремонт'!R125+'[2]поточний ремонт'!R125-'[3]поточний ремонт'!R125</f>
        <v>0</v>
      </c>
      <c r="S125" s="43">
        <f>'[1]поточний ремонт'!S125+'[2]поточний ремонт'!S125-'[3]поточний ремонт'!S125</f>
        <v>0</v>
      </c>
      <c r="T125" s="1039"/>
      <c r="U125" s="43">
        <f>'[1]поточний ремонт'!U125+'[2]поточний ремонт'!U125-'[3]поточний ремонт'!U125</f>
        <v>0</v>
      </c>
      <c r="V125" s="43">
        <f>'[1]поточний ремонт'!V125+'[2]поточний ремонт'!V125-'[3]поточний ремонт'!V125</f>
        <v>0</v>
      </c>
      <c r="W125" s="43">
        <f>'[1]поточний ремонт'!W125+'[2]поточний ремонт'!W125-'[3]поточний ремонт'!W125</f>
        <v>0</v>
      </c>
      <c r="X125" s="43">
        <f>'[1]поточний ремонт'!X125+'[2]поточний ремонт'!X125-'[3]поточний ремонт'!X125</f>
        <v>0</v>
      </c>
      <c r="Y125" s="43">
        <f>'[1]поточний ремонт'!Y125+'[2]поточний ремонт'!Y125-'[3]поточний ремонт'!Y125</f>
        <v>0</v>
      </c>
      <c r="Z125" s="43">
        <f>'[1]поточний ремонт'!Z125+'[2]поточний ремонт'!Z125-'[3]поточний ремонт'!Z125</f>
        <v>0</v>
      </c>
      <c r="AA125" s="43">
        <f>'[1]поточний ремонт'!AA125+'[2]поточний ремонт'!AA125-'[3]поточний ремонт'!AA125</f>
        <v>0</v>
      </c>
      <c r="AB125" s="43">
        <f>'[1]поточний ремонт'!AB125+'[2]поточний ремонт'!AB125-'[3]поточний ремонт'!AB125</f>
        <v>0</v>
      </c>
      <c r="AC125" s="43">
        <f>'[1]поточний ремонт'!AC125+'[2]поточний ремонт'!AC125-'[3]поточний ремонт'!AC125</f>
        <v>0</v>
      </c>
      <c r="AD125" s="43">
        <f>'[1]поточний ремонт'!AD125+'[2]поточний ремонт'!AD125-'[3]поточний ремонт'!AD125</f>
        <v>0</v>
      </c>
      <c r="AE125" s="43">
        <f>'[1]поточний ремонт'!AE125+'[2]поточний ремонт'!AE125-'[3]поточний ремонт'!AE125</f>
        <v>0</v>
      </c>
      <c r="AF125" s="43">
        <f>'[1]поточний ремонт'!AF125+'[2]поточний ремонт'!AF125-'[3]поточний ремонт'!AF125</f>
        <v>0</v>
      </c>
      <c r="AG125" s="5"/>
      <c r="AH125" s="43">
        <f>'[1]поточний ремонт'!AH125+'[2]поточний ремонт'!AH125-'[3]поточний ремонт'!AH125</f>
        <v>0</v>
      </c>
      <c r="AI125" s="43">
        <f>'[1]поточний ремонт'!AI125+'[2]поточний ремонт'!AI125-'[3]поточний ремонт'!AI125</f>
        <v>0</v>
      </c>
      <c r="AJ125" s="5"/>
      <c r="AK125" s="43">
        <f>'[1]поточний ремонт'!AK125+'[2]поточний ремонт'!AK125-'[3]поточний ремонт'!AK125</f>
        <v>0</v>
      </c>
      <c r="AL125" s="43">
        <f>'[1]поточний ремонт'!AL125+'[2]поточний ремонт'!AL125-'[3]поточний ремонт'!AL125</f>
        <v>0</v>
      </c>
      <c r="AM125" s="5"/>
      <c r="AN125" s="43">
        <f>'[1]поточний ремонт'!AN125+'[2]поточний ремонт'!AN125-'[3]поточний ремонт'!AN125</f>
        <v>0</v>
      </c>
      <c r="AO125" s="43">
        <f>'[1]поточний ремонт'!AO125+'[2]поточний ремонт'!AO125-'[3]поточний ремонт'!AO125</f>
        <v>0</v>
      </c>
      <c r="AP125" s="5"/>
      <c r="AQ125" s="43">
        <f>'[1]поточний ремонт'!AQ125+'[2]поточний ремонт'!AQ125-'[3]поточний ремонт'!AQ125</f>
        <v>0</v>
      </c>
      <c r="AR125" s="43">
        <f>'[1]поточний ремонт'!AR125+'[2]поточний ремонт'!AR125-'[3]поточний ремонт'!AR125</f>
        <v>0</v>
      </c>
      <c r="AS125" s="5"/>
      <c r="AT125" s="43">
        <f>'[1]поточний ремонт'!AT125+'[2]поточний ремонт'!AT125-'[3]поточний ремонт'!AT125</f>
        <v>0</v>
      </c>
      <c r="AU125" s="43">
        <f>'[1]поточний ремонт'!AU125+'[2]поточний ремонт'!AU125-'[3]поточний ремонт'!AU125</f>
        <v>0</v>
      </c>
      <c r="AV125" s="5"/>
      <c r="AW125" s="43">
        <f>'[1]поточний ремонт'!AW125+'[2]поточний ремонт'!AW125-'[3]поточний ремонт'!AW125</f>
        <v>0</v>
      </c>
      <c r="AX125" s="43">
        <f>'[1]поточний ремонт'!AX125+'[2]поточний ремонт'!AX125-'[3]поточний ремонт'!AX125</f>
        <v>0</v>
      </c>
      <c r="AY125" s="5"/>
      <c r="AZ125" s="43">
        <f t="shared" si="10"/>
        <v>0</v>
      </c>
      <c r="BA125" s="43">
        <f t="shared" si="11"/>
        <v>0</v>
      </c>
      <c r="BB125" s="59">
        <f t="shared" si="12"/>
        <v>0</v>
      </c>
      <c r="BD125" s="2">
        <v>3</v>
      </c>
      <c r="BF125" s="30">
        <v>0</v>
      </c>
      <c r="BG125" s="328">
        <v>150000557</v>
      </c>
      <c r="BI125" s="107">
        <v>0</v>
      </c>
      <c r="BJ125" s="107">
        <f t="shared" si="13"/>
        <v>0</v>
      </c>
      <c r="BK125" s="107">
        <v>0</v>
      </c>
      <c r="BL125" s="39"/>
      <c r="BM125" s="3"/>
      <c r="BN125" s="3">
        <v>0</v>
      </c>
      <c r="BP125" s="3"/>
      <c r="BQ125" s="3"/>
      <c r="BS125" s="43"/>
      <c r="BT125" s="43">
        <v>0</v>
      </c>
      <c r="BU125" s="1037"/>
      <c r="BV125" s="42"/>
      <c r="BW125" s="43"/>
      <c r="BX125" s="37"/>
      <c r="BY125" s="78"/>
      <c r="BZ125" s="43">
        <v>0</v>
      </c>
      <c r="CA125" s="1038"/>
      <c r="CB125" s="42">
        <v>0</v>
      </c>
      <c r="CC125" s="42">
        <v>0</v>
      </c>
      <c r="CD125" s="1039"/>
      <c r="CE125" s="78">
        <v>0</v>
      </c>
      <c r="CF125" s="56"/>
      <c r="CG125" s="42">
        <v>0</v>
      </c>
      <c r="CH125" s="39">
        <v>0</v>
      </c>
      <c r="CI125" s="78">
        <v>0</v>
      </c>
      <c r="CJ125" s="56"/>
      <c r="CK125" s="1034"/>
      <c r="CL125" s="1029"/>
      <c r="CM125" s="1034"/>
      <c r="CN125" s="1029">
        <v>0</v>
      </c>
      <c r="CO125" s="78">
        <v>0</v>
      </c>
      <c r="CP125" s="43">
        <v>0</v>
      </c>
      <c r="CQ125" s="5"/>
      <c r="CR125" s="78">
        <v>0</v>
      </c>
      <c r="CS125" s="1033">
        <v>0</v>
      </c>
      <c r="CT125" s="5"/>
      <c r="CU125" s="78">
        <v>0</v>
      </c>
      <c r="CV125" s="43">
        <v>0</v>
      </c>
      <c r="CW125" s="5"/>
      <c r="CX125" s="78">
        <v>0</v>
      </c>
      <c r="CY125" s="43">
        <v>0</v>
      </c>
      <c r="CZ125" s="5"/>
      <c r="DA125" s="78">
        <v>0</v>
      </c>
      <c r="DB125" s="43">
        <v>0</v>
      </c>
      <c r="DC125" s="5"/>
      <c r="DD125" s="78">
        <v>0</v>
      </c>
      <c r="DE125" s="43">
        <v>0</v>
      </c>
      <c r="DF125" s="5"/>
      <c r="DG125" s="78">
        <v>0</v>
      </c>
      <c r="DH125" s="43"/>
      <c r="DI125" s="5"/>
      <c r="DJ125" s="43">
        <v>0</v>
      </c>
      <c r="DK125" s="43">
        <f t="shared" si="14"/>
        <v>0</v>
      </c>
      <c r="DL125" s="59">
        <f t="shared" si="15"/>
        <v>0</v>
      </c>
    </row>
    <row r="126" spans="1:116" ht="24.9" customHeight="1" x14ac:dyDescent="0.3">
      <c r="A126" s="328">
        <v>150000552</v>
      </c>
      <c r="B126" s="45" t="s">
        <v>91</v>
      </c>
      <c r="C126" s="1035">
        <v>1</v>
      </c>
      <c r="D126" s="1036" t="s">
        <v>454</v>
      </c>
      <c r="E126" s="1028">
        <f>'побудинковий звіт'!E124</f>
        <v>2744.2</v>
      </c>
      <c r="F126" s="1029">
        <f>'побудинковий звіт'!AS124</f>
        <v>1578.9652040362787</v>
      </c>
      <c r="G126" s="1029">
        <f t="shared" si="8"/>
        <v>0</v>
      </c>
      <c r="H126" s="1029">
        <f t="shared" si="9"/>
        <v>-1578.9652040362787</v>
      </c>
      <c r="I126" s="43">
        <f>'[1]поточний ремонт'!I126+'[2]поточний ремонт'!I126-'[3]поточний ремонт'!I126</f>
        <v>0</v>
      </c>
      <c r="J126" s="43">
        <f>'[1]поточний ремонт'!J126+'[2]поточний ремонт'!J126-'[3]поточний ремонт'!J126</f>
        <v>0</v>
      </c>
      <c r="K126" s="1037"/>
      <c r="L126" s="43">
        <f>'[1]поточний ремонт'!L126+'[2]поточний ремонт'!L126-'[3]поточний ремонт'!L126</f>
        <v>0</v>
      </c>
      <c r="M126" s="43">
        <f>'[1]поточний ремонт'!M126+'[2]поточний ремонт'!M126-'[3]поточний ремонт'!M126</f>
        <v>0</v>
      </c>
      <c r="N126" s="37"/>
      <c r="O126" s="43">
        <f>'[1]поточний ремонт'!O126+'[2]поточний ремонт'!O126-'[3]поточний ремонт'!O126</f>
        <v>0</v>
      </c>
      <c r="P126" s="43">
        <f>'[1]поточний ремонт'!P126+'[2]поточний ремонт'!P126-'[3]поточний ремонт'!P126</f>
        <v>0</v>
      </c>
      <c r="Q126" s="1038"/>
      <c r="R126" s="43">
        <f>'[1]поточний ремонт'!R126+'[2]поточний ремонт'!R126-'[3]поточний ремонт'!R126</f>
        <v>0</v>
      </c>
      <c r="S126" s="43">
        <f>'[1]поточний ремонт'!S126+'[2]поточний ремонт'!S126-'[3]поточний ремонт'!S126</f>
        <v>0</v>
      </c>
      <c r="T126" s="1039"/>
      <c r="U126" s="43">
        <f>'[1]поточний ремонт'!U126+'[2]поточний ремонт'!U126-'[3]поточний ремонт'!U126</f>
        <v>0</v>
      </c>
      <c r="V126" s="43">
        <f>'[1]поточний ремонт'!V126+'[2]поточний ремонт'!V126-'[3]поточний ремонт'!V126</f>
        <v>0</v>
      </c>
      <c r="W126" s="43">
        <f>'[1]поточний ремонт'!W126+'[2]поточний ремонт'!W126-'[3]поточний ремонт'!W126</f>
        <v>0</v>
      </c>
      <c r="X126" s="43">
        <f>'[1]поточний ремонт'!X126+'[2]поточний ремонт'!X126-'[3]поточний ремонт'!X126</f>
        <v>0</v>
      </c>
      <c r="Y126" s="43">
        <f>'[1]поточний ремонт'!Y126+'[2]поточний ремонт'!Y126-'[3]поточний ремонт'!Y126</f>
        <v>0</v>
      </c>
      <c r="Z126" s="43">
        <f>'[1]поточний ремонт'!Z126+'[2]поточний ремонт'!Z126-'[3]поточний ремонт'!Z126</f>
        <v>0</v>
      </c>
      <c r="AA126" s="43">
        <f>'[1]поточний ремонт'!AA126+'[2]поточний ремонт'!AA126-'[3]поточний ремонт'!AA126</f>
        <v>0</v>
      </c>
      <c r="AB126" s="43">
        <f>'[1]поточний ремонт'!AB126+'[2]поточний ремонт'!AB126-'[3]поточний ремонт'!AB126</f>
        <v>0</v>
      </c>
      <c r="AC126" s="43">
        <f>'[1]поточний ремонт'!AC126+'[2]поточний ремонт'!AC126-'[3]поточний ремонт'!AC126</f>
        <v>0</v>
      </c>
      <c r="AD126" s="43">
        <f>'[1]поточний ремонт'!AD126+'[2]поточний ремонт'!AD126-'[3]поточний ремонт'!AD126</f>
        <v>0</v>
      </c>
      <c r="AE126" s="43">
        <f>'[1]поточний ремонт'!AE126+'[2]поточний ремонт'!AE126-'[3]поточний ремонт'!AE126</f>
        <v>0</v>
      </c>
      <c r="AF126" s="43">
        <f>'[1]поточний ремонт'!AF126+'[2]поточний ремонт'!AF126-'[3]поточний ремонт'!AF126</f>
        <v>0</v>
      </c>
      <c r="AG126" s="5"/>
      <c r="AH126" s="43">
        <f>'[1]поточний ремонт'!AH126+'[2]поточний ремонт'!AH126-'[3]поточний ремонт'!AH126</f>
        <v>0</v>
      </c>
      <c r="AI126" s="43">
        <f>'[1]поточний ремонт'!AI126+'[2]поточний ремонт'!AI126-'[3]поточний ремонт'!AI126</f>
        <v>0</v>
      </c>
      <c r="AJ126" s="5"/>
      <c r="AK126" s="43">
        <f>'[1]поточний ремонт'!AK126+'[2]поточний ремонт'!AK126-'[3]поточний ремонт'!AK126</f>
        <v>0</v>
      </c>
      <c r="AL126" s="43">
        <f>'[1]поточний ремонт'!AL126+'[2]поточний ремонт'!AL126-'[3]поточний ремонт'!AL126</f>
        <v>0</v>
      </c>
      <c r="AM126" s="5"/>
      <c r="AN126" s="43">
        <f>'[1]поточний ремонт'!AN126+'[2]поточний ремонт'!AN126-'[3]поточний ремонт'!AN126</f>
        <v>0</v>
      </c>
      <c r="AO126" s="43">
        <f>'[1]поточний ремонт'!AO126+'[2]поточний ремонт'!AO126-'[3]поточний ремонт'!AO126</f>
        <v>0</v>
      </c>
      <c r="AP126" s="5"/>
      <c r="AQ126" s="43">
        <f>'[1]поточний ремонт'!AQ126+'[2]поточний ремонт'!AQ126-'[3]поточний ремонт'!AQ126</f>
        <v>0</v>
      </c>
      <c r="AR126" s="43">
        <f>'[1]поточний ремонт'!AR126+'[2]поточний ремонт'!AR126-'[3]поточний ремонт'!AR126</f>
        <v>0</v>
      </c>
      <c r="AS126" s="5"/>
      <c r="AT126" s="43">
        <f>'[1]поточний ремонт'!AT126+'[2]поточний ремонт'!AT126-'[3]поточний ремонт'!AT126</f>
        <v>0</v>
      </c>
      <c r="AU126" s="43">
        <f>'[1]поточний ремонт'!AU126+'[2]поточний ремонт'!AU126-'[3]поточний ремонт'!AU126</f>
        <v>0</v>
      </c>
      <c r="AV126" s="5"/>
      <c r="AW126" s="43">
        <f>'[1]поточний ремонт'!AW126+'[2]поточний ремонт'!AW126-'[3]поточний ремонт'!AW126</f>
        <v>0</v>
      </c>
      <c r="AX126" s="43">
        <f>'[1]поточний ремонт'!AX126+'[2]поточний ремонт'!AX126-'[3]поточний ремонт'!AX126</f>
        <v>0</v>
      </c>
      <c r="AY126" s="5"/>
      <c r="AZ126" s="43">
        <f t="shared" si="10"/>
        <v>0</v>
      </c>
      <c r="BA126" s="43">
        <f t="shared" si="11"/>
        <v>0</v>
      </c>
      <c r="BB126" s="59">
        <f t="shared" si="12"/>
        <v>0</v>
      </c>
      <c r="BD126" s="2">
        <v>3</v>
      </c>
      <c r="BF126" s="30">
        <v>0</v>
      </c>
      <c r="BG126" s="328">
        <v>150000552</v>
      </c>
      <c r="BI126" s="107">
        <v>0</v>
      </c>
      <c r="BJ126" s="107">
        <f t="shared" si="13"/>
        <v>0</v>
      </c>
      <c r="BK126" s="107">
        <v>0</v>
      </c>
      <c r="BL126" s="39"/>
      <c r="BM126" s="3"/>
      <c r="BN126" s="3">
        <v>0</v>
      </c>
      <c r="BP126" s="3"/>
      <c r="BQ126" s="3"/>
      <c r="BS126" s="43"/>
      <c r="BT126" s="43">
        <v>0</v>
      </c>
      <c r="BU126" s="1037"/>
      <c r="BV126" s="42"/>
      <c r="BW126" s="43"/>
      <c r="BX126" s="37"/>
      <c r="BY126" s="78"/>
      <c r="BZ126" s="43">
        <v>0</v>
      </c>
      <c r="CA126" s="1038"/>
      <c r="CB126" s="42">
        <v>0</v>
      </c>
      <c r="CC126" s="42">
        <v>0</v>
      </c>
      <c r="CD126" s="1039"/>
      <c r="CE126" s="78">
        <v>0</v>
      </c>
      <c r="CF126" s="56"/>
      <c r="CG126" s="42">
        <v>0</v>
      </c>
      <c r="CH126" s="39">
        <v>0</v>
      </c>
      <c r="CI126" s="78">
        <v>0</v>
      </c>
      <c r="CJ126" s="56"/>
      <c r="CK126" s="1034"/>
      <c r="CL126" s="1029"/>
      <c r="CM126" s="1034"/>
      <c r="CN126" s="1029">
        <v>0</v>
      </c>
      <c r="CO126" s="78">
        <v>0</v>
      </c>
      <c r="CP126" s="43">
        <v>0</v>
      </c>
      <c r="CQ126" s="5"/>
      <c r="CR126" s="78">
        <v>0</v>
      </c>
      <c r="CS126" s="1033">
        <v>0</v>
      </c>
      <c r="CT126" s="5"/>
      <c r="CU126" s="78">
        <v>0</v>
      </c>
      <c r="CV126" s="43">
        <v>0</v>
      </c>
      <c r="CW126" s="5"/>
      <c r="CX126" s="78">
        <v>0</v>
      </c>
      <c r="CY126" s="43">
        <v>0</v>
      </c>
      <c r="CZ126" s="5"/>
      <c r="DA126" s="78">
        <v>0</v>
      </c>
      <c r="DB126" s="43">
        <v>0</v>
      </c>
      <c r="DC126" s="5"/>
      <c r="DD126" s="78">
        <v>0</v>
      </c>
      <c r="DE126" s="43">
        <v>0</v>
      </c>
      <c r="DF126" s="5"/>
      <c r="DG126" s="78">
        <v>0</v>
      </c>
      <c r="DH126" s="43"/>
      <c r="DI126" s="5"/>
      <c r="DJ126" s="43">
        <v>0</v>
      </c>
      <c r="DK126" s="43">
        <f t="shared" si="14"/>
        <v>0</v>
      </c>
      <c r="DL126" s="59">
        <f t="shared" si="15"/>
        <v>0</v>
      </c>
    </row>
    <row r="127" spans="1:116" ht="24.9" customHeight="1" x14ac:dyDescent="0.3">
      <c r="A127" s="328">
        <v>150000553</v>
      </c>
      <c r="B127" s="45" t="s">
        <v>259</v>
      </c>
      <c r="C127" s="1035">
        <v>5</v>
      </c>
      <c r="D127" s="1036" t="s">
        <v>454</v>
      </c>
      <c r="E127" s="1028">
        <f>'побудинковий звіт'!E125</f>
        <v>4344.2000000000007</v>
      </c>
      <c r="F127" s="1029">
        <f>'побудинковий звіт'!AS125</f>
        <v>42163.677303373763</v>
      </c>
      <c r="G127" s="1029">
        <f t="shared" si="8"/>
        <v>3582.5183524947779</v>
      </c>
      <c r="H127" s="1029">
        <f t="shared" si="9"/>
        <v>-38581.158950878984</v>
      </c>
      <c r="I127" s="43">
        <f>'[1]поточний ремонт'!I127+'[2]поточний ремонт'!I127-'[3]поточний ремонт'!I127</f>
        <v>0.9</v>
      </c>
      <c r="J127" s="43">
        <f>'[1]поточний ремонт'!J127+'[2]поточний ремонт'!J127-'[3]поточний ремонт'!J127</f>
        <v>378</v>
      </c>
      <c r="K127" s="1037"/>
      <c r="L127" s="43">
        <f>'[1]поточний ремонт'!L127+'[2]поточний ремонт'!L127-'[3]поточний ремонт'!L127</f>
        <v>0</v>
      </c>
      <c r="M127" s="43">
        <f>'[1]поточний ремонт'!M127+'[2]поточний ремонт'!M127-'[3]поточний ремонт'!M127</f>
        <v>0</v>
      </c>
      <c r="N127" s="37"/>
      <c r="O127" s="43">
        <f>'[1]поточний ремонт'!O127+'[2]поточний ремонт'!O127-'[3]поточний ремонт'!O127</f>
        <v>0</v>
      </c>
      <c r="P127" s="43">
        <f>'[1]поточний ремонт'!P127+'[2]поточний ремонт'!P127-'[3]поточний ремонт'!P127</f>
        <v>0</v>
      </c>
      <c r="Q127" s="1038"/>
      <c r="R127" s="43">
        <f>'[1]поточний ремонт'!R127+'[2]поточний ремонт'!R127-'[3]поточний ремонт'!R127</f>
        <v>0</v>
      </c>
      <c r="S127" s="43">
        <f>'[1]поточний ремонт'!S127+'[2]поточний ремонт'!S127-'[3]поточний ремонт'!S127</f>
        <v>0</v>
      </c>
      <c r="T127" s="1039"/>
      <c r="U127" s="43">
        <f>'[1]поточний ремонт'!U127+'[2]поточний ремонт'!U127-'[3]поточний ремонт'!U127</f>
        <v>0</v>
      </c>
      <c r="V127" s="43">
        <f>'[1]поточний ремонт'!V127+'[2]поточний ремонт'!V127-'[3]поточний ремонт'!V127</f>
        <v>0</v>
      </c>
      <c r="W127" s="43">
        <f>'[1]поточний ремонт'!W127+'[2]поточний ремонт'!W127-'[3]поточний ремонт'!W127</f>
        <v>9</v>
      </c>
      <c r="X127" s="43">
        <f>'[1]поточний ремонт'!X127+'[2]поточний ремонт'!X127-'[3]поточний ремонт'!X127</f>
        <v>1564.5183524947781</v>
      </c>
      <c r="Y127" s="43">
        <f>'[1]поточний ремонт'!Y127+'[2]поточний ремонт'!Y127-'[3]поточний ремонт'!Y127</f>
        <v>0</v>
      </c>
      <c r="Z127" s="43">
        <f>'[1]поточний ремонт'!Z127+'[2]поточний ремонт'!Z127-'[3]поточний ремонт'!Z127</f>
        <v>0</v>
      </c>
      <c r="AA127" s="43">
        <f>'[1]поточний ремонт'!AA127+'[2]поточний ремонт'!AA127-'[3]поточний ремонт'!AA127</f>
        <v>0</v>
      </c>
      <c r="AB127" s="43">
        <f>'[1]поточний ремонт'!AB127+'[2]поточний ремонт'!AB127-'[3]поточний ремонт'!AB127</f>
        <v>0</v>
      </c>
      <c r="AC127" s="43">
        <f>'[1]поточний ремонт'!AC127+'[2]поточний ремонт'!AC127-'[3]поточний ремонт'!AC127</f>
        <v>0</v>
      </c>
      <c r="AD127" s="43">
        <f>'[1]поточний ремонт'!AD127+'[2]поточний ремонт'!AD127-'[3]поточний ремонт'!AD127</f>
        <v>1640</v>
      </c>
      <c r="AE127" s="43">
        <f>'[1]поточний ремонт'!AE127+'[2]поточний ремонт'!AE127-'[3]поточний ремонт'!AE127</f>
        <v>1864.1579130546475</v>
      </c>
      <c r="AF127" s="43">
        <f>'[1]поточний ремонт'!AF127+'[2]поточний ремонт'!AF127-'[3]поточний ремонт'!AF127</f>
        <v>0</v>
      </c>
      <c r="AG127" s="5"/>
      <c r="AH127" s="43">
        <f>'[1]поточний ремонт'!AH127+'[2]поточний ремонт'!AH127-'[3]поточний ремонт'!AH127</f>
        <v>2941.9120062973689</v>
      </c>
      <c r="AI127" s="43">
        <f>'[1]поточний ремонт'!AI127+'[2]поточний ремонт'!AI127-'[3]поточний ремонт'!AI127</f>
        <v>0</v>
      </c>
      <c r="AJ127" s="9"/>
      <c r="AK127" s="43">
        <f>'[1]поточний ремонт'!AK127+'[2]поточний ремонт'!AK127-'[3]поточний ремонт'!AK127</f>
        <v>1793.8057321216502</v>
      </c>
      <c r="AL127" s="43">
        <f>'[1]поточний ремонт'!AL127+'[2]поточний ремонт'!AL127-'[3]поточний ремонт'!AL127</f>
        <v>0</v>
      </c>
      <c r="AM127" s="9"/>
      <c r="AN127" s="43">
        <f>'[1]поточний ремонт'!AN127+'[2]поточний ремонт'!AN127-'[3]поточний ремонт'!AN127</f>
        <v>0</v>
      </c>
      <c r="AO127" s="43">
        <f>'[1]поточний ремонт'!AO127+'[2]поточний ремонт'!AO127-'[3]поточний ремонт'!AO127</f>
        <v>0</v>
      </c>
      <c r="AP127" s="5"/>
      <c r="AQ127" s="43">
        <f>'[1]поточний ремонт'!AQ127+'[2]поточний ремонт'!AQ127-'[3]поточний ремонт'!AQ127</f>
        <v>0</v>
      </c>
      <c r="AR127" s="43">
        <f>'[1]поточний ремонт'!AR127+'[2]поточний ремонт'!AR127-'[3]поточний ремонт'!AR127</f>
        <v>0</v>
      </c>
      <c r="AS127" s="5"/>
      <c r="AT127" s="43">
        <f>'[1]поточний ремонт'!AT127+'[2]поточний ремонт'!AT127-'[3]поточний ремонт'!AT127</f>
        <v>1558.9163486434295</v>
      </c>
      <c r="AU127" s="43">
        <f>'[1]поточний ремонт'!AU127+'[2]поточний ремонт'!AU127-'[3]поточний ремонт'!AU127</f>
        <v>4954</v>
      </c>
      <c r="AV127" s="1054"/>
      <c r="AW127" s="43">
        <f>'[1]поточний ремонт'!AW127+'[2]поточний ремонт'!AW127-'[3]поточний ремонт'!AW127</f>
        <v>0</v>
      </c>
      <c r="AX127" s="43">
        <f>'[1]поточний ремонт'!AX127+'[2]поточний ремонт'!AX127-'[3]поточний ремонт'!AX127</f>
        <v>0</v>
      </c>
      <c r="AY127" s="5"/>
      <c r="AZ127" s="43">
        <f t="shared" si="10"/>
        <v>8158.7920001170951</v>
      </c>
      <c r="BA127" s="43">
        <f t="shared" si="11"/>
        <v>4954</v>
      </c>
      <c r="BB127" s="59">
        <f t="shared" si="12"/>
        <v>-3204.7920001170951</v>
      </c>
      <c r="BD127" s="2">
        <v>3</v>
      </c>
      <c r="BF127" s="30">
        <v>259.93519649284542</v>
      </c>
      <c r="BG127" s="328">
        <v>150000553</v>
      </c>
      <c r="BI127" s="107">
        <v>17.5</v>
      </c>
      <c r="BJ127" s="107">
        <f t="shared" si="13"/>
        <v>2.4615885</v>
      </c>
      <c r="BK127" s="107">
        <v>20.182501429999999</v>
      </c>
      <c r="BL127" s="39"/>
      <c r="BM127" s="3"/>
      <c r="BN127" s="3">
        <v>0</v>
      </c>
      <c r="BP127" s="3"/>
      <c r="BQ127" s="3"/>
      <c r="BS127" s="43"/>
      <c r="BT127" s="43">
        <v>0</v>
      </c>
      <c r="BU127" s="1037"/>
      <c r="BV127" s="42"/>
      <c r="BW127" s="43"/>
      <c r="BX127" s="37"/>
      <c r="BY127" s="78"/>
      <c r="BZ127" s="43">
        <v>0</v>
      </c>
      <c r="CA127" s="1038"/>
      <c r="CB127" s="42">
        <v>0</v>
      </c>
      <c r="CC127" s="42">
        <v>0</v>
      </c>
      <c r="CD127" s="1039"/>
      <c r="CE127" s="78">
        <v>0</v>
      </c>
      <c r="CF127" s="56"/>
      <c r="CG127" s="42">
        <v>0</v>
      </c>
      <c r="CH127" s="39">
        <v>20.182501429999999</v>
      </c>
      <c r="CI127" s="78">
        <v>0</v>
      </c>
      <c r="CJ127" s="56"/>
      <c r="CK127" s="1034"/>
      <c r="CL127" s="1029"/>
      <c r="CM127" s="1034"/>
      <c r="CN127" s="1029">
        <v>0</v>
      </c>
      <c r="CO127" s="78">
        <v>155.34649275455396</v>
      </c>
      <c r="CP127" s="43">
        <v>0</v>
      </c>
      <c r="CQ127" s="5"/>
      <c r="CR127" s="78">
        <v>245.15933385811405</v>
      </c>
      <c r="CS127" s="1033">
        <v>0</v>
      </c>
      <c r="CT127" s="9"/>
      <c r="CU127" s="78">
        <v>149.48381101013752</v>
      </c>
      <c r="CV127" s="43">
        <v>0</v>
      </c>
      <c r="CW127" s="9"/>
      <c r="CX127" s="78">
        <v>0</v>
      </c>
      <c r="CY127" s="43">
        <v>0</v>
      </c>
      <c r="CZ127" s="5"/>
      <c r="DA127" s="78">
        <v>0</v>
      </c>
      <c r="DB127" s="43">
        <v>0</v>
      </c>
      <c r="DC127" s="5"/>
      <c r="DD127" s="78">
        <v>129.90969572028581</v>
      </c>
      <c r="DE127" s="43">
        <v>0</v>
      </c>
      <c r="DF127" s="1054"/>
      <c r="DG127" s="78">
        <v>0</v>
      </c>
      <c r="DH127" s="43"/>
      <c r="DI127" s="5"/>
      <c r="DJ127" s="43">
        <v>679.89933334309126</v>
      </c>
      <c r="DK127" s="43">
        <f t="shared" si="14"/>
        <v>0</v>
      </c>
      <c r="DL127" s="59">
        <f t="shared" si="15"/>
        <v>-679.89933334309126</v>
      </c>
    </row>
    <row r="128" spans="1:116" ht="24.9" customHeight="1" x14ac:dyDescent="0.3">
      <c r="A128" s="328">
        <v>150000493</v>
      </c>
      <c r="B128" s="45" t="s">
        <v>417</v>
      </c>
      <c r="C128" s="1035">
        <v>10</v>
      </c>
      <c r="D128" s="1036" t="s">
        <v>454</v>
      </c>
      <c r="E128" s="1028">
        <f>'побудинковий звіт'!E126</f>
        <v>130.1</v>
      </c>
      <c r="F128" s="1029">
        <f>'побудинковий звіт'!AS126</f>
        <v>104706.94423218329</v>
      </c>
      <c r="G128" s="1029">
        <f t="shared" si="8"/>
        <v>192487</v>
      </c>
      <c r="H128" s="1029">
        <f t="shared" si="9"/>
        <v>87780.05576781671</v>
      </c>
      <c r="I128" s="43">
        <f>'[1]поточний ремонт'!I128+'[2]поточний ремонт'!I128-'[3]поточний ремонт'!I128</f>
        <v>0</v>
      </c>
      <c r="J128" s="43">
        <f>'[1]поточний ремонт'!J128+'[2]поточний ремонт'!J128-'[3]поточний ремонт'!J128</f>
        <v>0</v>
      </c>
      <c r="K128" s="1037"/>
      <c r="L128" s="43">
        <f>'[1]поточний ремонт'!L128+'[2]поточний ремонт'!L128-'[3]поточний ремонт'!L128</f>
        <v>0</v>
      </c>
      <c r="M128" s="43">
        <f>'[1]поточний ремонт'!M128+'[2]поточний ремонт'!M128-'[3]поточний ремонт'!M128</f>
        <v>0</v>
      </c>
      <c r="N128" s="37"/>
      <c r="O128" s="43">
        <f>'[1]поточний ремонт'!O128+'[2]поточний ремонт'!O128-'[3]поточний ремонт'!O128</f>
        <v>0</v>
      </c>
      <c r="P128" s="43">
        <f>'[1]поточний ремонт'!P128+'[2]поточний ремонт'!P128-'[3]поточний ремонт'!P128</f>
        <v>0</v>
      </c>
      <c r="Q128" s="1038"/>
      <c r="R128" s="43">
        <f>'[1]поточний ремонт'!R128+'[2]поточний ремонт'!R128-'[3]поточний ремонт'!R128</f>
        <v>3</v>
      </c>
      <c r="S128" s="43">
        <f>'[1]поточний ремонт'!S128+'[2]поточний ремонт'!S128-'[3]поточний ремонт'!S128</f>
        <v>131080</v>
      </c>
      <c r="T128" s="1039"/>
      <c r="U128" s="43">
        <f>'[1]поточний ремонт'!U128+'[2]поточний ремонт'!U128-'[3]поточний ремонт'!U128</f>
        <v>36346</v>
      </c>
      <c r="V128" s="43">
        <f>'[1]поточний ремонт'!V128+'[2]поточний ремонт'!V128-'[3]поточний ремонт'!V128</f>
        <v>0</v>
      </c>
      <c r="W128" s="43">
        <f>'[1]поточний ремонт'!W128+'[2]поточний ремонт'!W128-'[3]поточний ремонт'!W128</f>
        <v>0</v>
      </c>
      <c r="X128" s="43">
        <f>'[1]поточний ремонт'!X128+'[2]поточний ремонт'!X128-'[3]поточний ремонт'!X128</f>
        <v>0</v>
      </c>
      <c r="Y128" s="43">
        <f>'[1]поточний ремонт'!Y128+'[2]поточний ремонт'!Y128-'[3]поточний ремонт'!Y128</f>
        <v>0</v>
      </c>
      <c r="Z128" s="43">
        <f>'[1]поточний ремонт'!Z128+'[2]поточний ремонт'!Z128-'[3]поточний ремонт'!Z128</f>
        <v>0</v>
      </c>
      <c r="AA128" s="43">
        <f>'[1]поточний ремонт'!AA128+'[2]поточний ремонт'!AA128-'[3]поточний ремонт'!AA128</f>
        <v>0</v>
      </c>
      <c r="AB128" s="43">
        <f>'[1]поточний ремонт'!AB128+'[2]поточний ремонт'!AB128-'[3]поточний ремонт'!AB128</f>
        <v>2082</v>
      </c>
      <c r="AC128" s="43">
        <f>'[1]поточний ремонт'!AC128+'[2]поточний ремонт'!AC128-'[3]поточний ремонт'!AC128</f>
        <v>15978.999999999998</v>
      </c>
      <c r="AD128" s="43">
        <f>'[1]поточний ремонт'!AD128+'[2]поточний ремонт'!AD128-'[3]поточний ремонт'!AD128</f>
        <v>7000</v>
      </c>
      <c r="AE128" s="43">
        <f>'[1]поточний ремонт'!AE128+'[2]поточний ремонт'!AE128-'[3]поточний ремонт'!AE128</f>
        <v>1970.7759348256154</v>
      </c>
      <c r="AF128" s="43">
        <f>'[1]поточний ремонт'!AF128+'[2]поточний ремонт'!AF128-'[3]поточний ремонт'!AF128</f>
        <v>489</v>
      </c>
      <c r="AG128" s="5"/>
      <c r="AH128" s="43">
        <f>'[1]поточний ремонт'!AH128+'[2]поточний ремонт'!AH128-'[3]поточний ремонт'!AH128</f>
        <v>2353.0803165712614</v>
      </c>
      <c r="AI128" s="43">
        <f>'[1]поточний ремонт'!AI128+'[2]поточний ремонт'!AI128-'[3]поточний ремонт'!AI128</f>
        <v>0</v>
      </c>
      <c r="AJ128" s="5"/>
      <c r="AK128" s="43">
        <f>'[1]поточний ремонт'!AK128+'[2]поточний ремонт'!AK128-'[3]поточний ремонт'!AK128</f>
        <v>2232.0196605652586</v>
      </c>
      <c r="AL128" s="43">
        <f>'[1]поточний ремонт'!AL128+'[2]поточний ремонт'!AL128-'[3]поточний ремонт'!AL128</f>
        <v>0</v>
      </c>
      <c r="AM128" s="5"/>
      <c r="AN128" s="43">
        <f>'[1]поточний ремонт'!AN128+'[2]поточний ремонт'!AN128-'[3]поточний ремонт'!AN128</f>
        <v>1136.8640410315986</v>
      </c>
      <c r="AO128" s="43">
        <f>'[1]поточний ремонт'!AO128+'[2]поточний ремонт'!AO128-'[3]поточний ремонт'!AO128</f>
        <v>0</v>
      </c>
      <c r="AP128" s="5"/>
      <c r="AQ128" s="43">
        <f>'[1]поточний ремонт'!AQ128+'[2]поточний ремонт'!AQ128-'[3]поточний ремонт'!AQ128</f>
        <v>634.10414095325257</v>
      </c>
      <c r="AR128" s="43">
        <f>'[1]поточний ремонт'!AR128+'[2]поточний ремонт'!AR128-'[3]поточний ремонт'!AR128</f>
        <v>0</v>
      </c>
      <c r="AS128" s="5"/>
      <c r="AT128" s="43">
        <f>'[1]поточний ремонт'!AT128+'[2]поточний ремонт'!AT128-'[3]поточний ремонт'!AT128</f>
        <v>1320.4697977905525</v>
      </c>
      <c r="AU128" s="43">
        <f>'[1]поточний ремонт'!AU128+'[2]поточний ремонт'!AU128-'[3]поточний ремонт'!AU128</f>
        <v>6559.1638441736659</v>
      </c>
      <c r="AV128" s="5"/>
      <c r="AW128" s="43">
        <f>'[1]поточний ремонт'!AW128+'[2]поточний ремонт'!AW128-'[3]поточний ремонт'!AW128</f>
        <v>478.61464761695726</v>
      </c>
      <c r="AX128" s="43">
        <f>'[1]поточний ремонт'!AX128+'[2]поточний ремонт'!AX128-'[3]поточний ремонт'!AX128</f>
        <v>0</v>
      </c>
      <c r="AY128" s="5"/>
      <c r="AZ128" s="43">
        <f t="shared" si="10"/>
        <v>10125.928539354496</v>
      </c>
      <c r="BA128" s="43">
        <f t="shared" si="11"/>
        <v>7048.1638441736659</v>
      </c>
      <c r="BB128" s="59">
        <f t="shared" si="12"/>
        <v>-3077.7646951808301</v>
      </c>
      <c r="BD128" s="2">
        <v>1</v>
      </c>
      <c r="BF128" s="30">
        <v>416.27636402405847</v>
      </c>
      <c r="BG128" s="328">
        <v>150000493</v>
      </c>
      <c r="BI128" s="107">
        <v>0</v>
      </c>
      <c r="BJ128" s="107">
        <f t="shared" si="13"/>
        <v>0</v>
      </c>
      <c r="BK128" s="107">
        <v>0</v>
      </c>
      <c r="BL128" s="39"/>
      <c r="BM128" s="3"/>
      <c r="BN128" s="3">
        <v>0</v>
      </c>
      <c r="BP128" s="3"/>
      <c r="BQ128" s="3"/>
      <c r="BS128" s="43">
        <v>7</v>
      </c>
      <c r="BT128" s="43">
        <v>2829.2520825278311</v>
      </c>
      <c r="BU128" s="1037"/>
      <c r="BV128" s="42"/>
      <c r="BW128" s="43"/>
      <c r="BX128" s="37"/>
      <c r="BY128" s="78"/>
      <c r="BZ128" s="43">
        <v>0</v>
      </c>
      <c r="CA128" s="1038"/>
      <c r="CB128" s="42">
        <v>0</v>
      </c>
      <c r="CC128" s="42">
        <v>0</v>
      </c>
      <c r="CD128" s="1039"/>
      <c r="CE128" s="78">
        <v>0</v>
      </c>
      <c r="CF128" s="56"/>
      <c r="CG128" s="42">
        <v>0</v>
      </c>
      <c r="CH128" s="39">
        <v>0</v>
      </c>
      <c r="CI128" s="78">
        <v>0</v>
      </c>
      <c r="CJ128" s="56"/>
      <c r="CK128" s="1034"/>
      <c r="CL128" s="1029"/>
      <c r="CM128" s="1034">
        <v>2705</v>
      </c>
      <c r="CN128" s="1029">
        <v>0</v>
      </c>
      <c r="CO128" s="78">
        <v>164.23132790213461</v>
      </c>
      <c r="CP128" s="43">
        <v>0</v>
      </c>
      <c r="CQ128" s="5"/>
      <c r="CR128" s="78">
        <v>196.09002638093841</v>
      </c>
      <c r="CS128" s="1033">
        <v>0</v>
      </c>
      <c r="CT128" s="5"/>
      <c r="CU128" s="78">
        <v>186.00163838043824</v>
      </c>
      <c r="CV128" s="43">
        <v>0</v>
      </c>
      <c r="CW128" s="5"/>
      <c r="CX128" s="78">
        <v>94.738670085966547</v>
      </c>
      <c r="CY128" s="43">
        <v>0</v>
      </c>
      <c r="CZ128" s="5"/>
      <c r="DA128" s="78">
        <v>52.842011746104383</v>
      </c>
      <c r="DB128" s="43">
        <v>0</v>
      </c>
      <c r="DC128" s="5"/>
      <c r="DD128" s="78">
        <v>110.03914981587937</v>
      </c>
      <c r="DE128" s="43">
        <v>1488.5898785768461</v>
      </c>
      <c r="DF128" s="5"/>
      <c r="DG128" s="78">
        <v>39.884553968079764</v>
      </c>
      <c r="DH128" s="43"/>
      <c r="DI128" s="5"/>
      <c r="DJ128" s="43">
        <v>843.82737827954134</v>
      </c>
      <c r="DK128" s="43">
        <f t="shared" si="14"/>
        <v>1488.5898785768461</v>
      </c>
      <c r="DL128" s="59">
        <f t="shared" si="15"/>
        <v>644.76250029730477</v>
      </c>
    </row>
    <row r="129" spans="1:116" ht="24.9" customHeight="1" x14ac:dyDescent="0.3">
      <c r="A129" s="328">
        <v>150000494</v>
      </c>
      <c r="B129" s="45" t="s">
        <v>418</v>
      </c>
      <c r="C129" s="1035">
        <v>10</v>
      </c>
      <c r="D129" s="1036" t="s">
        <v>454</v>
      </c>
      <c r="E129" s="1028">
        <f>'побудинковий звіт'!E127</f>
        <v>373.5</v>
      </c>
      <c r="F129" s="1029">
        <f>'побудинковий звіт'!AS127</f>
        <v>130382.60750647324</v>
      </c>
      <c r="G129" s="1029">
        <f t="shared" si="8"/>
        <v>246572</v>
      </c>
      <c r="H129" s="1029">
        <f t="shared" si="9"/>
        <v>116189.39249352676</v>
      </c>
      <c r="I129" s="43">
        <f>'[1]поточний ремонт'!I129+'[2]поточний ремонт'!I129-'[3]поточний ремонт'!I129</f>
        <v>0</v>
      </c>
      <c r="J129" s="43">
        <f>'[1]поточний ремонт'!J129+'[2]поточний ремонт'!J129-'[3]поточний ремонт'!J129</f>
        <v>0</v>
      </c>
      <c r="K129" s="1037"/>
      <c r="L129" s="43">
        <f>'[1]поточний ремонт'!L129+'[2]поточний ремонт'!L129-'[3]поточний ремонт'!L129</f>
        <v>0</v>
      </c>
      <c r="M129" s="43">
        <f>'[1]поточний ремонт'!M129+'[2]поточний ремонт'!M129-'[3]поточний ремонт'!M129</f>
        <v>0</v>
      </c>
      <c r="N129" s="1040"/>
      <c r="O129" s="43">
        <f>'[1]поточний ремонт'!O129+'[2]поточний ремонт'!O129-'[3]поточний ремонт'!O129</f>
        <v>0</v>
      </c>
      <c r="P129" s="43">
        <f>'[1]поточний ремонт'!P129+'[2]поточний ремонт'!P129-'[3]поточний ремонт'!P129</f>
        <v>0</v>
      </c>
      <c r="Q129" s="1038"/>
      <c r="R129" s="43">
        <f>'[1]поточний ремонт'!R129+'[2]поточний ремонт'!R129-'[3]поточний ремонт'!R129</f>
        <v>4</v>
      </c>
      <c r="S129" s="43">
        <f>'[1]поточний ремонт'!S129+'[2]поточний ремонт'!S129-'[3]поточний ремонт'!S129</f>
        <v>220753</v>
      </c>
      <c r="T129" s="1042"/>
      <c r="U129" s="43">
        <f>'[1]поточний ремонт'!U129+'[2]поточний ремонт'!U129-'[3]поточний ремонт'!U129</f>
        <v>0</v>
      </c>
      <c r="V129" s="43">
        <f>'[1]поточний ремонт'!V129+'[2]поточний ремонт'!V129-'[3]поточний ремонт'!V129</f>
        <v>0</v>
      </c>
      <c r="W129" s="43">
        <f>'[1]поточний ремонт'!W129+'[2]поточний ремонт'!W129-'[3]поточний ремонт'!W129</f>
        <v>0</v>
      </c>
      <c r="X129" s="43">
        <f>'[1]поточний ремонт'!X129+'[2]поточний ремонт'!X129-'[3]поточний ремонт'!X129</f>
        <v>0</v>
      </c>
      <c r="Y129" s="43">
        <f>'[1]поточний ремонт'!Y129+'[2]поточний ремонт'!Y129-'[3]поточний ремонт'!Y129</f>
        <v>0</v>
      </c>
      <c r="Z129" s="43">
        <f>'[1]поточний ремонт'!Z129+'[2]поточний ремонт'!Z129-'[3]поточний ремонт'!Z129</f>
        <v>0</v>
      </c>
      <c r="AA129" s="43">
        <f>'[1]поточний ремонт'!AA129+'[2]поточний ремонт'!AA129-'[3]поточний ремонт'!AA129</f>
        <v>0</v>
      </c>
      <c r="AB129" s="43">
        <f>'[1]поточний ремонт'!AB129+'[2]поточний ремонт'!AB129-'[3]поточний ремонт'!AB129</f>
        <v>6099</v>
      </c>
      <c r="AC129" s="43">
        <f>'[1]поточний ремонт'!AC129+'[2]поточний ремонт'!AC129-'[3]поточний ремонт'!AC129</f>
        <v>3191</v>
      </c>
      <c r="AD129" s="43">
        <f>'[1]поточний ремонт'!AD129+'[2]поточний ремонт'!AD129-'[3]поточний ремонт'!AD129</f>
        <v>16529</v>
      </c>
      <c r="AE129" s="43">
        <f>'[1]поточний ремонт'!AE129+'[2]поточний ремонт'!AE129-'[3]поточний ремонт'!AE129</f>
        <v>2216.8447038712529</v>
      </c>
      <c r="AF129" s="43">
        <f>'[1]поточний ремонт'!AF129+'[2]поточний ремонт'!AF129-'[3]поточний ремонт'!AF129</f>
        <v>1465</v>
      </c>
      <c r="AG129" s="1045"/>
      <c r="AH129" s="43">
        <f>'[1]поточний ремонт'!AH129+'[2]поточний ремонт'!AH129-'[3]поточний ремонт'!AH129</f>
        <v>2851.1469503383723</v>
      </c>
      <c r="AI129" s="43">
        <f>'[1]поточний ремонт'!AI129+'[2]поточний ремонт'!AI129-'[3]поточний ремонт'!AI129</f>
        <v>0</v>
      </c>
      <c r="AJ129" s="5"/>
      <c r="AK129" s="43">
        <f>'[1]поточний ремонт'!AK129+'[2]поточний ремонт'!AK129-'[3]поточний ремонт'!AK129</f>
        <v>3935.2562316470835</v>
      </c>
      <c r="AL129" s="43">
        <f>'[1]поточний ремонт'!AL129+'[2]поточний ремонт'!AL129-'[3]поточний ремонт'!AL129</f>
        <v>0</v>
      </c>
      <c r="AM129" s="752"/>
      <c r="AN129" s="43">
        <f>'[1]поточний ремонт'!AN129+'[2]поточний ремонт'!AN129-'[3]поточний ремонт'!AN129</f>
        <v>1430.9247220667485</v>
      </c>
      <c r="AO129" s="43">
        <f>'[1]поточний ремонт'!AO129+'[2]поточний ремонт'!AO129-'[3]поточний ремонт'!AO129</f>
        <v>0</v>
      </c>
      <c r="AP129" s="5"/>
      <c r="AQ129" s="43">
        <f>'[1]поточний ремонт'!AQ129+'[2]поточний ремонт'!AQ129-'[3]поточний ремонт'!AQ129</f>
        <v>634.10414095325257</v>
      </c>
      <c r="AR129" s="43">
        <f>'[1]поточний ремонт'!AR129+'[2]поточний ремонт'!AR129-'[3]поточний ремонт'!AR129</f>
        <v>0</v>
      </c>
      <c r="AS129" s="1045"/>
      <c r="AT129" s="43">
        <f>'[1]поточний ремонт'!AT129+'[2]поточний ремонт'!AT129-'[3]поточний ремонт'!AT129</f>
        <v>1341.8675289495609</v>
      </c>
      <c r="AU129" s="43">
        <f>'[1]поточний ремонт'!AU129+'[2]поточний ремонт'!AU129-'[3]поточний ремонт'!AU129</f>
        <v>3556</v>
      </c>
      <c r="AV129" s="5"/>
      <c r="AW129" s="43">
        <f>'[1]поточний ремонт'!AW129+'[2]поточний ремонт'!AW129-'[3]поточний ремонт'!AW129</f>
        <v>490.61628459552355</v>
      </c>
      <c r="AX129" s="43">
        <f>'[1]поточний ремонт'!AX129+'[2]поточний ремонт'!AX129-'[3]поточний ремонт'!AX129</f>
        <v>0</v>
      </c>
      <c r="AY129" s="5"/>
      <c r="AZ129" s="43">
        <f t="shared" si="10"/>
        <v>12900.760562421794</v>
      </c>
      <c r="BA129" s="43">
        <f t="shared" si="11"/>
        <v>5021</v>
      </c>
      <c r="BB129" s="59">
        <f t="shared" si="12"/>
        <v>-7879.760562421794</v>
      </c>
      <c r="BD129" s="2">
        <v>1</v>
      </c>
      <c r="BF129" s="30">
        <v>442.17522241786628</v>
      </c>
      <c r="BG129" s="328">
        <v>150000494</v>
      </c>
      <c r="BI129" s="107">
        <v>0</v>
      </c>
      <c r="BJ129" s="107">
        <f t="shared" si="13"/>
        <v>0</v>
      </c>
      <c r="BK129" s="107">
        <v>0</v>
      </c>
      <c r="BL129" s="39"/>
      <c r="BM129" s="3"/>
      <c r="BN129" s="3">
        <v>0</v>
      </c>
      <c r="BP129" s="3"/>
      <c r="BQ129" s="3"/>
      <c r="BS129" s="43">
        <v>1</v>
      </c>
      <c r="BT129" s="43">
        <v>2885.8327411696209</v>
      </c>
      <c r="BU129" s="1037"/>
      <c r="BV129" s="42"/>
      <c r="BW129" s="43"/>
      <c r="BX129" s="1040"/>
      <c r="BY129" s="78"/>
      <c r="BZ129" s="43">
        <v>0</v>
      </c>
      <c r="CA129" s="1038"/>
      <c r="CB129" s="42">
        <v>1</v>
      </c>
      <c r="CC129" s="42">
        <v>0</v>
      </c>
      <c r="CD129" s="1042"/>
      <c r="CE129" s="78">
        <v>0</v>
      </c>
      <c r="CF129" s="56"/>
      <c r="CG129" s="42">
        <v>0</v>
      </c>
      <c r="CH129" s="39">
        <v>0</v>
      </c>
      <c r="CI129" s="78">
        <v>0</v>
      </c>
      <c r="CJ129" s="56"/>
      <c r="CK129" s="1034"/>
      <c r="CL129" s="1029"/>
      <c r="CM129" s="1034"/>
      <c r="CN129" s="1029">
        <v>0</v>
      </c>
      <c r="CO129" s="78">
        <v>184.73705865593774</v>
      </c>
      <c r="CP129" s="43">
        <v>0</v>
      </c>
      <c r="CQ129" s="1045"/>
      <c r="CR129" s="78">
        <v>237.59557919486434</v>
      </c>
      <c r="CS129" s="1033">
        <v>0</v>
      </c>
      <c r="CT129" s="5"/>
      <c r="CU129" s="78">
        <v>327.93801930392357</v>
      </c>
      <c r="CV129" s="43">
        <v>0</v>
      </c>
      <c r="CW129" s="752"/>
      <c r="CX129" s="78">
        <v>119.2437268388957</v>
      </c>
      <c r="CY129" s="43">
        <v>0</v>
      </c>
      <c r="CZ129" s="5"/>
      <c r="DA129" s="78">
        <v>52.842011746104383</v>
      </c>
      <c r="DB129" s="43">
        <v>0</v>
      </c>
      <c r="DC129" s="1045"/>
      <c r="DD129" s="78">
        <v>111.82229407913007</v>
      </c>
      <c r="DE129" s="43">
        <v>0</v>
      </c>
      <c r="DF129" s="5"/>
      <c r="DG129" s="78">
        <v>40.884690382960294</v>
      </c>
      <c r="DH129" s="43"/>
      <c r="DI129" s="5"/>
      <c r="DJ129" s="43">
        <v>1075.063380201816</v>
      </c>
      <c r="DK129" s="43">
        <f t="shared" si="14"/>
        <v>0</v>
      </c>
      <c r="DL129" s="59">
        <f t="shared" si="15"/>
        <v>-1075.063380201816</v>
      </c>
    </row>
    <row r="130" spans="1:116" ht="24.9" customHeight="1" x14ac:dyDescent="0.3">
      <c r="A130" s="328">
        <v>150000688</v>
      </c>
      <c r="B130" s="45" t="s">
        <v>92</v>
      </c>
      <c r="C130" s="1035">
        <v>1</v>
      </c>
      <c r="D130" s="1036" t="s">
        <v>454</v>
      </c>
      <c r="E130" s="1028">
        <f>'побудинковий звіт'!E128</f>
        <v>173.75</v>
      </c>
      <c r="F130" s="1029">
        <f>'побудинковий звіт'!AS128</f>
        <v>3415.5464534845241</v>
      </c>
      <c r="G130" s="1029">
        <f t="shared" si="8"/>
        <v>0</v>
      </c>
      <c r="H130" s="1029">
        <f t="shared" si="9"/>
        <v>-3415.5464534845241</v>
      </c>
      <c r="I130" s="43">
        <f>'[1]поточний ремонт'!I130+'[2]поточний ремонт'!I130-'[3]поточний ремонт'!I130</f>
        <v>0</v>
      </c>
      <c r="J130" s="43">
        <f>'[1]поточний ремонт'!J130+'[2]поточний ремонт'!J130-'[3]поточний ремонт'!J130</f>
        <v>0</v>
      </c>
      <c r="K130" s="1037"/>
      <c r="L130" s="43">
        <f>'[1]поточний ремонт'!L130+'[2]поточний ремонт'!L130-'[3]поточний ремонт'!L130</f>
        <v>0</v>
      </c>
      <c r="M130" s="43">
        <f>'[1]поточний ремонт'!M130+'[2]поточний ремонт'!M130-'[3]поточний ремонт'!M130</f>
        <v>0</v>
      </c>
      <c r="N130" s="37"/>
      <c r="O130" s="43">
        <f>'[1]поточний ремонт'!O130+'[2]поточний ремонт'!O130-'[3]поточний ремонт'!O130</f>
        <v>0</v>
      </c>
      <c r="P130" s="43">
        <f>'[1]поточний ремонт'!P130+'[2]поточний ремонт'!P130-'[3]поточний ремонт'!P130</f>
        <v>0</v>
      </c>
      <c r="Q130" s="1038"/>
      <c r="R130" s="43">
        <f>'[1]поточний ремонт'!R130+'[2]поточний ремонт'!R130-'[3]поточний ремонт'!R130</f>
        <v>0</v>
      </c>
      <c r="S130" s="43">
        <f>'[1]поточний ремонт'!S130+'[2]поточний ремонт'!S130-'[3]поточний ремонт'!S130</f>
        <v>0</v>
      </c>
      <c r="T130" s="1039"/>
      <c r="U130" s="43">
        <f>'[1]поточний ремонт'!U130+'[2]поточний ремонт'!U130-'[3]поточний ремонт'!U130</f>
        <v>0</v>
      </c>
      <c r="V130" s="43">
        <f>'[1]поточний ремонт'!V130+'[2]поточний ремонт'!V130-'[3]поточний ремонт'!V130</f>
        <v>0</v>
      </c>
      <c r="W130" s="43">
        <f>'[1]поточний ремонт'!W130+'[2]поточний ремонт'!W130-'[3]поточний ремонт'!W130</f>
        <v>0</v>
      </c>
      <c r="X130" s="43">
        <f>'[1]поточний ремонт'!X130+'[2]поточний ремонт'!X130-'[3]поточний ремонт'!X130</f>
        <v>0</v>
      </c>
      <c r="Y130" s="43">
        <f>'[1]поточний ремонт'!Y130+'[2]поточний ремонт'!Y130-'[3]поточний ремонт'!Y130</f>
        <v>0</v>
      </c>
      <c r="Z130" s="43">
        <f>'[1]поточний ремонт'!Z130+'[2]поточний ремонт'!Z130-'[3]поточний ремонт'!Z130</f>
        <v>0</v>
      </c>
      <c r="AA130" s="43">
        <f>'[1]поточний ремонт'!AA130+'[2]поточний ремонт'!AA130-'[3]поточний ремонт'!AA130</f>
        <v>0</v>
      </c>
      <c r="AB130" s="43">
        <f>'[1]поточний ремонт'!AB130+'[2]поточний ремонт'!AB130-'[3]поточний ремонт'!AB130</f>
        <v>0</v>
      </c>
      <c r="AC130" s="43">
        <f>'[1]поточний ремонт'!AC130+'[2]поточний ремонт'!AC130-'[3]поточний ремонт'!AC130</f>
        <v>0</v>
      </c>
      <c r="AD130" s="43">
        <f>'[1]поточний ремонт'!AD130+'[2]поточний ремонт'!AD130-'[3]поточний ремонт'!AD130</f>
        <v>0</v>
      </c>
      <c r="AE130" s="43">
        <f>'[1]поточний ремонт'!AE130+'[2]поточний ремонт'!AE130-'[3]поточний ремонт'!AE130</f>
        <v>0</v>
      </c>
      <c r="AF130" s="43">
        <f>'[1]поточний ремонт'!AF130+'[2]поточний ремонт'!AF130-'[3]поточний ремонт'!AF130</f>
        <v>0</v>
      </c>
      <c r="AG130" s="5"/>
      <c r="AH130" s="43">
        <f>'[1]поточний ремонт'!AH130+'[2]поточний ремонт'!AH130-'[3]поточний ремонт'!AH130</f>
        <v>0</v>
      </c>
      <c r="AI130" s="43">
        <f>'[1]поточний ремонт'!AI130+'[2]поточний ремонт'!AI130-'[3]поточний ремонт'!AI130</f>
        <v>0</v>
      </c>
      <c r="AJ130" s="5"/>
      <c r="AK130" s="43">
        <f>'[1]поточний ремонт'!AK130+'[2]поточний ремонт'!AK130-'[3]поточний ремонт'!AK130</f>
        <v>0</v>
      </c>
      <c r="AL130" s="43">
        <f>'[1]поточний ремонт'!AL130+'[2]поточний ремонт'!AL130-'[3]поточний ремонт'!AL130</f>
        <v>0</v>
      </c>
      <c r="AM130" s="5"/>
      <c r="AN130" s="43">
        <f>'[1]поточний ремонт'!AN130+'[2]поточний ремонт'!AN130-'[3]поточний ремонт'!AN130</f>
        <v>0</v>
      </c>
      <c r="AO130" s="43">
        <f>'[1]поточний ремонт'!AO130+'[2]поточний ремонт'!AO130-'[3]поточний ремонт'!AO130</f>
        <v>0</v>
      </c>
      <c r="AP130" s="5"/>
      <c r="AQ130" s="43">
        <f>'[1]поточний ремонт'!AQ130+'[2]поточний ремонт'!AQ130-'[3]поточний ремонт'!AQ130</f>
        <v>0</v>
      </c>
      <c r="AR130" s="43">
        <f>'[1]поточний ремонт'!AR130+'[2]поточний ремонт'!AR130-'[3]поточний ремонт'!AR130</f>
        <v>0</v>
      </c>
      <c r="AS130" s="5"/>
      <c r="AT130" s="43">
        <f>'[1]поточний ремонт'!AT130+'[2]поточний ремонт'!AT130-'[3]поточний ремонт'!AT130</f>
        <v>0</v>
      </c>
      <c r="AU130" s="43">
        <f>'[1]поточний ремонт'!AU130+'[2]поточний ремонт'!AU130-'[3]поточний ремонт'!AU130</f>
        <v>0</v>
      </c>
      <c r="AV130" s="5"/>
      <c r="AW130" s="43">
        <f>'[1]поточний ремонт'!AW130+'[2]поточний ремонт'!AW130-'[3]поточний ремонт'!AW130</f>
        <v>0</v>
      </c>
      <c r="AX130" s="43">
        <f>'[1]поточний ремонт'!AX130+'[2]поточний ремонт'!AX130-'[3]поточний ремонт'!AX130</f>
        <v>0</v>
      </c>
      <c r="AY130" s="5"/>
      <c r="AZ130" s="43">
        <f t="shared" si="10"/>
        <v>0</v>
      </c>
      <c r="BA130" s="43">
        <f t="shared" si="11"/>
        <v>0</v>
      </c>
      <c r="BB130" s="59">
        <f t="shared" si="12"/>
        <v>0</v>
      </c>
      <c r="BD130" s="2">
        <v>3</v>
      </c>
      <c r="BF130" s="30">
        <v>0</v>
      </c>
      <c r="BG130" s="328">
        <v>150000688</v>
      </c>
      <c r="BI130" s="107">
        <v>0</v>
      </c>
      <c r="BJ130" s="107">
        <f t="shared" si="13"/>
        <v>0</v>
      </c>
      <c r="BK130" s="107">
        <v>0</v>
      </c>
      <c r="BL130" s="39"/>
      <c r="BM130" s="3"/>
      <c r="BN130" s="3">
        <v>0</v>
      </c>
      <c r="BP130" s="3"/>
      <c r="BQ130" s="3"/>
      <c r="BS130" s="43"/>
      <c r="BT130" s="43">
        <v>0</v>
      </c>
      <c r="BU130" s="1037"/>
      <c r="BV130" s="42"/>
      <c r="BW130" s="43"/>
      <c r="BX130" s="37"/>
      <c r="BY130" s="78"/>
      <c r="BZ130" s="43">
        <v>0</v>
      </c>
      <c r="CA130" s="1038"/>
      <c r="CB130" s="42">
        <v>0</v>
      </c>
      <c r="CC130" s="42">
        <v>0</v>
      </c>
      <c r="CD130" s="1039"/>
      <c r="CE130" s="78">
        <v>0</v>
      </c>
      <c r="CF130" s="56"/>
      <c r="CG130" s="42">
        <v>0</v>
      </c>
      <c r="CH130" s="39">
        <v>0</v>
      </c>
      <c r="CI130" s="78">
        <v>0</v>
      </c>
      <c r="CJ130" s="56"/>
      <c r="CK130" s="1034"/>
      <c r="CL130" s="1029"/>
      <c r="CM130" s="1034"/>
      <c r="CN130" s="1029">
        <v>0</v>
      </c>
      <c r="CO130" s="78">
        <v>0</v>
      </c>
      <c r="CP130" s="43">
        <v>0</v>
      </c>
      <c r="CQ130" s="5"/>
      <c r="CR130" s="78">
        <v>0</v>
      </c>
      <c r="CS130" s="1033">
        <v>0</v>
      </c>
      <c r="CT130" s="5"/>
      <c r="CU130" s="78">
        <v>0</v>
      </c>
      <c r="CV130" s="43">
        <v>0</v>
      </c>
      <c r="CW130" s="5"/>
      <c r="CX130" s="78">
        <v>0</v>
      </c>
      <c r="CY130" s="43">
        <v>0</v>
      </c>
      <c r="CZ130" s="5"/>
      <c r="DA130" s="78">
        <v>0</v>
      </c>
      <c r="DB130" s="43">
        <v>0</v>
      </c>
      <c r="DC130" s="5"/>
      <c r="DD130" s="78">
        <v>0</v>
      </c>
      <c r="DE130" s="43">
        <v>0</v>
      </c>
      <c r="DF130" s="5"/>
      <c r="DG130" s="78">
        <v>0</v>
      </c>
      <c r="DH130" s="43"/>
      <c r="DI130" s="5"/>
      <c r="DJ130" s="43">
        <v>0</v>
      </c>
      <c r="DK130" s="43">
        <f t="shared" si="14"/>
        <v>0</v>
      </c>
      <c r="DL130" s="59">
        <f t="shared" si="15"/>
        <v>0</v>
      </c>
    </row>
    <row r="131" spans="1:116" ht="24.9" customHeight="1" x14ac:dyDescent="0.3">
      <c r="A131" s="328">
        <v>150000689</v>
      </c>
      <c r="B131" s="45" t="s">
        <v>93</v>
      </c>
      <c r="C131" s="1035">
        <v>1</v>
      </c>
      <c r="D131" s="1036" t="s">
        <v>454</v>
      </c>
      <c r="E131" s="1028">
        <f>'побудинковий звіт'!E129</f>
        <v>188.4</v>
      </c>
      <c r="F131" s="1029">
        <f>'побудинковий звіт'!AS129</f>
        <v>2290.0588304553385</v>
      </c>
      <c r="G131" s="1029">
        <f t="shared" si="8"/>
        <v>0</v>
      </c>
      <c r="H131" s="1029">
        <f t="shared" si="9"/>
        <v>-2290.0588304553385</v>
      </c>
      <c r="I131" s="43">
        <f>'[1]поточний ремонт'!I131+'[2]поточний ремонт'!I131-'[3]поточний ремонт'!I131</f>
        <v>0</v>
      </c>
      <c r="J131" s="43">
        <f>'[1]поточний ремонт'!J131+'[2]поточний ремонт'!J131-'[3]поточний ремонт'!J131</f>
        <v>0</v>
      </c>
      <c r="K131" s="1037"/>
      <c r="L131" s="43">
        <f>'[1]поточний ремонт'!L131+'[2]поточний ремонт'!L131-'[3]поточний ремонт'!L131</f>
        <v>0</v>
      </c>
      <c r="M131" s="43">
        <f>'[1]поточний ремонт'!M131+'[2]поточний ремонт'!M131-'[3]поточний ремонт'!M131</f>
        <v>0</v>
      </c>
      <c r="N131" s="37"/>
      <c r="O131" s="43">
        <f>'[1]поточний ремонт'!O131+'[2]поточний ремонт'!O131-'[3]поточний ремонт'!O131</f>
        <v>0</v>
      </c>
      <c r="P131" s="43">
        <f>'[1]поточний ремонт'!P131+'[2]поточний ремонт'!P131-'[3]поточний ремонт'!P131</f>
        <v>0</v>
      </c>
      <c r="Q131" s="1038"/>
      <c r="R131" s="43">
        <f>'[1]поточний ремонт'!R131+'[2]поточний ремонт'!R131-'[3]поточний ремонт'!R131</f>
        <v>0</v>
      </c>
      <c r="S131" s="43">
        <f>'[1]поточний ремонт'!S131+'[2]поточний ремонт'!S131-'[3]поточний ремонт'!S131</f>
        <v>0</v>
      </c>
      <c r="T131" s="1039"/>
      <c r="U131" s="43">
        <f>'[1]поточний ремонт'!U131+'[2]поточний ремонт'!U131-'[3]поточний ремонт'!U131</f>
        <v>0</v>
      </c>
      <c r="V131" s="43">
        <f>'[1]поточний ремонт'!V131+'[2]поточний ремонт'!V131-'[3]поточний ремонт'!V131</f>
        <v>0</v>
      </c>
      <c r="W131" s="43">
        <f>'[1]поточний ремонт'!W131+'[2]поточний ремонт'!W131-'[3]поточний ремонт'!W131</f>
        <v>0</v>
      </c>
      <c r="X131" s="43">
        <f>'[1]поточний ремонт'!X131+'[2]поточний ремонт'!X131-'[3]поточний ремонт'!X131</f>
        <v>0</v>
      </c>
      <c r="Y131" s="43">
        <f>'[1]поточний ремонт'!Y131+'[2]поточний ремонт'!Y131-'[3]поточний ремонт'!Y131</f>
        <v>0</v>
      </c>
      <c r="Z131" s="43">
        <f>'[1]поточний ремонт'!Z131+'[2]поточний ремонт'!Z131-'[3]поточний ремонт'!Z131</f>
        <v>0</v>
      </c>
      <c r="AA131" s="43">
        <f>'[1]поточний ремонт'!AA131+'[2]поточний ремонт'!AA131-'[3]поточний ремонт'!AA131</f>
        <v>0</v>
      </c>
      <c r="AB131" s="43">
        <f>'[1]поточний ремонт'!AB131+'[2]поточний ремонт'!AB131-'[3]поточний ремонт'!AB131</f>
        <v>0</v>
      </c>
      <c r="AC131" s="43">
        <f>'[1]поточний ремонт'!AC131+'[2]поточний ремонт'!AC131-'[3]поточний ремонт'!AC131</f>
        <v>0</v>
      </c>
      <c r="AD131" s="43">
        <f>'[1]поточний ремонт'!AD131+'[2]поточний ремонт'!AD131-'[3]поточний ремонт'!AD131</f>
        <v>0</v>
      </c>
      <c r="AE131" s="43">
        <f>'[1]поточний ремонт'!AE131+'[2]поточний ремонт'!AE131-'[3]поточний ремонт'!AE131</f>
        <v>0</v>
      </c>
      <c r="AF131" s="43">
        <f>'[1]поточний ремонт'!AF131+'[2]поточний ремонт'!AF131-'[3]поточний ремонт'!AF131</f>
        <v>0</v>
      </c>
      <c r="AG131" s="5"/>
      <c r="AH131" s="43">
        <f>'[1]поточний ремонт'!AH131+'[2]поточний ремонт'!AH131-'[3]поточний ремонт'!AH131</f>
        <v>0</v>
      </c>
      <c r="AI131" s="43">
        <f>'[1]поточний ремонт'!AI131+'[2]поточний ремонт'!AI131-'[3]поточний ремонт'!AI131</f>
        <v>0</v>
      </c>
      <c r="AJ131" s="5"/>
      <c r="AK131" s="43">
        <f>'[1]поточний ремонт'!AK131+'[2]поточний ремонт'!AK131-'[3]поточний ремонт'!AK131</f>
        <v>0</v>
      </c>
      <c r="AL131" s="43">
        <f>'[1]поточний ремонт'!AL131+'[2]поточний ремонт'!AL131-'[3]поточний ремонт'!AL131</f>
        <v>0</v>
      </c>
      <c r="AM131" s="5"/>
      <c r="AN131" s="43">
        <f>'[1]поточний ремонт'!AN131+'[2]поточний ремонт'!AN131-'[3]поточний ремонт'!AN131</f>
        <v>0</v>
      </c>
      <c r="AO131" s="43">
        <f>'[1]поточний ремонт'!AO131+'[2]поточний ремонт'!AO131-'[3]поточний ремонт'!AO131</f>
        <v>0</v>
      </c>
      <c r="AP131" s="5"/>
      <c r="AQ131" s="43">
        <f>'[1]поточний ремонт'!AQ131+'[2]поточний ремонт'!AQ131-'[3]поточний ремонт'!AQ131</f>
        <v>0</v>
      </c>
      <c r="AR131" s="43">
        <f>'[1]поточний ремонт'!AR131+'[2]поточний ремонт'!AR131-'[3]поточний ремонт'!AR131</f>
        <v>0</v>
      </c>
      <c r="AS131" s="5"/>
      <c r="AT131" s="43">
        <f>'[1]поточний ремонт'!AT131+'[2]поточний ремонт'!AT131-'[3]поточний ремонт'!AT131</f>
        <v>0</v>
      </c>
      <c r="AU131" s="43">
        <f>'[1]поточний ремонт'!AU131+'[2]поточний ремонт'!AU131-'[3]поточний ремонт'!AU131</f>
        <v>0</v>
      </c>
      <c r="AV131" s="5"/>
      <c r="AW131" s="43">
        <f>'[1]поточний ремонт'!AW131+'[2]поточний ремонт'!AW131-'[3]поточний ремонт'!AW131</f>
        <v>0</v>
      </c>
      <c r="AX131" s="43">
        <f>'[1]поточний ремонт'!AX131+'[2]поточний ремонт'!AX131-'[3]поточний ремонт'!AX131</f>
        <v>0</v>
      </c>
      <c r="AY131" s="5"/>
      <c r="AZ131" s="43">
        <f t="shared" si="10"/>
        <v>0</v>
      </c>
      <c r="BA131" s="43">
        <f t="shared" si="11"/>
        <v>0</v>
      </c>
      <c r="BB131" s="59">
        <f t="shared" si="12"/>
        <v>0</v>
      </c>
      <c r="BD131" s="2">
        <v>3</v>
      </c>
      <c r="BF131" s="30">
        <v>0</v>
      </c>
      <c r="BG131" s="328">
        <v>150000689</v>
      </c>
      <c r="BI131" s="107">
        <v>0</v>
      </c>
      <c r="BJ131" s="107">
        <f t="shared" si="13"/>
        <v>0</v>
      </c>
      <c r="BK131" s="107">
        <v>0</v>
      </c>
      <c r="BL131" s="39"/>
      <c r="BM131" s="3"/>
      <c r="BN131" s="3">
        <v>0</v>
      </c>
      <c r="BP131" s="3"/>
      <c r="BQ131" s="3"/>
      <c r="BS131" s="43"/>
      <c r="BT131" s="43">
        <v>0</v>
      </c>
      <c r="BU131" s="1037"/>
      <c r="BV131" s="42"/>
      <c r="BW131" s="43"/>
      <c r="BX131" s="37"/>
      <c r="BY131" s="78"/>
      <c r="BZ131" s="43">
        <v>0</v>
      </c>
      <c r="CA131" s="1038"/>
      <c r="CB131" s="42">
        <v>0</v>
      </c>
      <c r="CC131" s="42">
        <v>0</v>
      </c>
      <c r="CD131" s="1039"/>
      <c r="CE131" s="78">
        <v>0</v>
      </c>
      <c r="CF131" s="56"/>
      <c r="CG131" s="42">
        <v>0</v>
      </c>
      <c r="CH131" s="39">
        <v>0</v>
      </c>
      <c r="CI131" s="78">
        <v>0</v>
      </c>
      <c r="CJ131" s="56"/>
      <c r="CK131" s="1034"/>
      <c r="CL131" s="1029"/>
      <c r="CM131" s="1034"/>
      <c r="CN131" s="1029">
        <v>0</v>
      </c>
      <c r="CO131" s="78">
        <v>0</v>
      </c>
      <c r="CP131" s="43">
        <v>0</v>
      </c>
      <c r="CQ131" s="5"/>
      <c r="CR131" s="78">
        <v>0</v>
      </c>
      <c r="CS131" s="1033">
        <v>0</v>
      </c>
      <c r="CT131" s="5"/>
      <c r="CU131" s="78">
        <v>0</v>
      </c>
      <c r="CV131" s="43">
        <v>0</v>
      </c>
      <c r="CW131" s="5"/>
      <c r="CX131" s="78">
        <v>0</v>
      </c>
      <c r="CY131" s="43">
        <v>0</v>
      </c>
      <c r="CZ131" s="5"/>
      <c r="DA131" s="78">
        <v>0</v>
      </c>
      <c r="DB131" s="43">
        <v>0</v>
      </c>
      <c r="DC131" s="5"/>
      <c r="DD131" s="78">
        <v>0</v>
      </c>
      <c r="DE131" s="43">
        <v>0</v>
      </c>
      <c r="DF131" s="5"/>
      <c r="DG131" s="78">
        <v>0</v>
      </c>
      <c r="DH131" s="43"/>
      <c r="DI131" s="5"/>
      <c r="DJ131" s="43">
        <v>0</v>
      </c>
      <c r="DK131" s="43">
        <f t="shared" si="14"/>
        <v>0</v>
      </c>
      <c r="DL131" s="59">
        <f t="shared" si="15"/>
        <v>0</v>
      </c>
    </row>
    <row r="132" spans="1:116" ht="24.9" customHeight="1" x14ac:dyDescent="0.3">
      <c r="A132" s="328">
        <v>150000690</v>
      </c>
      <c r="B132" s="45" t="s">
        <v>95</v>
      </c>
      <c r="C132" s="1035">
        <v>1</v>
      </c>
      <c r="D132" s="1036" t="s">
        <v>454</v>
      </c>
      <c r="E132" s="1028">
        <f>'побудинковий звіт'!E130</f>
        <v>195.6</v>
      </c>
      <c r="F132" s="1029">
        <f>'побудинковий звіт'!AS130</f>
        <v>1854.3944442377779</v>
      </c>
      <c r="G132" s="1029">
        <f t="shared" si="8"/>
        <v>0</v>
      </c>
      <c r="H132" s="1029">
        <f t="shared" si="9"/>
        <v>-1854.3944442377779</v>
      </c>
      <c r="I132" s="43">
        <f>'[1]поточний ремонт'!I132+'[2]поточний ремонт'!I132-'[3]поточний ремонт'!I132</f>
        <v>0</v>
      </c>
      <c r="J132" s="43">
        <f>'[1]поточний ремонт'!J132+'[2]поточний ремонт'!J132-'[3]поточний ремонт'!J132</f>
        <v>0</v>
      </c>
      <c r="K132" s="1037"/>
      <c r="L132" s="43">
        <f>'[1]поточний ремонт'!L132+'[2]поточний ремонт'!L132-'[3]поточний ремонт'!L132</f>
        <v>0</v>
      </c>
      <c r="M132" s="43">
        <f>'[1]поточний ремонт'!M132+'[2]поточний ремонт'!M132-'[3]поточний ремонт'!M132</f>
        <v>0</v>
      </c>
      <c r="N132" s="37"/>
      <c r="O132" s="43">
        <f>'[1]поточний ремонт'!O132+'[2]поточний ремонт'!O132-'[3]поточний ремонт'!O132</f>
        <v>0</v>
      </c>
      <c r="P132" s="43">
        <f>'[1]поточний ремонт'!P132+'[2]поточний ремонт'!P132-'[3]поточний ремонт'!P132</f>
        <v>0</v>
      </c>
      <c r="Q132" s="1038"/>
      <c r="R132" s="43">
        <f>'[1]поточний ремонт'!R132+'[2]поточний ремонт'!R132-'[3]поточний ремонт'!R132</f>
        <v>0</v>
      </c>
      <c r="S132" s="43">
        <f>'[1]поточний ремонт'!S132+'[2]поточний ремонт'!S132-'[3]поточний ремонт'!S132</f>
        <v>0</v>
      </c>
      <c r="T132" s="1039"/>
      <c r="U132" s="43">
        <f>'[1]поточний ремонт'!U132+'[2]поточний ремонт'!U132-'[3]поточний ремонт'!U132</f>
        <v>0</v>
      </c>
      <c r="V132" s="43">
        <f>'[1]поточний ремонт'!V132+'[2]поточний ремонт'!V132-'[3]поточний ремонт'!V132</f>
        <v>0</v>
      </c>
      <c r="W132" s="43">
        <f>'[1]поточний ремонт'!W132+'[2]поточний ремонт'!W132-'[3]поточний ремонт'!W132</f>
        <v>0</v>
      </c>
      <c r="X132" s="43">
        <f>'[1]поточний ремонт'!X132+'[2]поточний ремонт'!X132-'[3]поточний ремонт'!X132</f>
        <v>0</v>
      </c>
      <c r="Y132" s="43">
        <f>'[1]поточний ремонт'!Y132+'[2]поточний ремонт'!Y132-'[3]поточний ремонт'!Y132</f>
        <v>0</v>
      </c>
      <c r="Z132" s="43">
        <f>'[1]поточний ремонт'!Z132+'[2]поточний ремонт'!Z132-'[3]поточний ремонт'!Z132</f>
        <v>0</v>
      </c>
      <c r="AA132" s="43">
        <f>'[1]поточний ремонт'!AA132+'[2]поточний ремонт'!AA132-'[3]поточний ремонт'!AA132</f>
        <v>0</v>
      </c>
      <c r="AB132" s="43">
        <f>'[1]поточний ремонт'!AB132+'[2]поточний ремонт'!AB132-'[3]поточний ремонт'!AB132</f>
        <v>0</v>
      </c>
      <c r="AC132" s="43">
        <f>'[1]поточний ремонт'!AC132+'[2]поточний ремонт'!AC132-'[3]поточний ремонт'!AC132</f>
        <v>0</v>
      </c>
      <c r="AD132" s="43">
        <f>'[1]поточний ремонт'!AD132+'[2]поточний ремонт'!AD132-'[3]поточний ремонт'!AD132</f>
        <v>0</v>
      </c>
      <c r="AE132" s="43">
        <f>'[1]поточний ремонт'!AE132+'[2]поточний ремонт'!AE132-'[3]поточний ремонт'!AE132</f>
        <v>0</v>
      </c>
      <c r="AF132" s="43">
        <f>'[1]поточний ремонт'!AF132+'[2]поточний ремонт'!AF132-'[3]поточний ремонт'!AF132</f>
        <v>0</v>
      </c>
      <c r="AG132" s="5"/>
      <c r="AH132" s="43">
        <f>'[1]поточний ремонт'!AH132+'[2]поточний ремонт'!AH132-'[3]поточний ремонт'!AH132</f>
        <v>0</v>
      </c>
      <c r="AI132" s="43">
        <f>'[1]поточний ремонт'!AI132+'[2]поточний ремонт'!AI132-'[3]поточний ремонт'!AI132</f>
        <v>0</v>
      </c>
      <c r="AJ132" s="5"/>
      <c r="AK132" s="43">
        <f>'[1]поточний ремонт'!AK132+'[2]поточний ремонт'!AK132-'[3]поточний ремонт'!AK132</f>
        <v>0</v>
      </c>
      <c r="AL132" s="43">
        <f>'[1]поточний ремонт'!AL132+'[2]поточний ремонт'!AL132-'[3]поточний ремонт'!AL132</f>
        <v>0</v>
      </c>
      <c r="AM132" s="5"/>
      <c r="AN132" s="43">
        <f>'[1]поточний ремонт'!AN132+'[2]поточний ремонт'!AN132-'[3]поточний ремонт'!AN132</f>
        <v>0</v>
      </c>
      <c r="AO132" s="43">
        <f>'[1]поточний ремонт'!AO132+'[2]поточний ремонт'!AO132-'[3]поточний ремонт'!AO132</f>
        <v>0</v>
      </c>
      <c r="AP132" s="5"/>
      <c r="AQ132" s="43">
        <f>'[1]поточний ремонт'!AQ132+'[2]поточний ремонт'!AQ132-'[3]поточний ремонт'!AQ132</f>
        <v>0</v>
      </c>
      <c r="AR132" s="43">
        <f>'[1]поточний ремонт'!AR132+'[2]поточний ремонт'!AR132-'[3]поточний ремонт'!AR132</f>
        <v>0</v>
      </c>
      <c r="AS132" s="5"/>
      <c r="AT132" s="43">
        <f>'[1]поточний ремонт'!AT132+'[2]поточний ремонт'!AT132-'[3]поточний ремонт'!AT132</f>
        <v>0</v>
      </c>
      <c r="AU132" s="43">
        <f>'[1]поточний ремонт'!AU132+'[2]поточний ремонт'!AU132-'[3]поточний ремонт'!AU132</f>
        <v>0</v>
      </c>
      <c r="AV132" s="5"/>
      <c r="AW132" s="43">
        <f>'[1]поточний ремонт'!AW132+'[2]поточний ремонт'!AW132-'[3]поточний ремонт'!AW132</f>
        <v>0</v>
      </c>
      <c r="AX132" s="43">
        <f>'[1]поточний ремонт'!AX132+'[2]поточний ремонт'!AX132-'[3]поточний ремонт'!AX132</f>
        <v>0</v>
      </c>
      <c r="AY132" s="5"/>
      <c r="AZ132" s="43">
        <f t="shared" si="10"/>
        <v>0</v>
      </c>
      <c r="BA132" s="43">
        <f t="shared" si="11"/>
        <v>0</v>
      </c>
      <c r="BB132" s="59">
        <f t="shared" si="12"/>
        <v>0</v>
      </c>
      <c r="BD132" s="2">
        <v>3</v>
      </c>
      <c r="BF132" s="30">
        <v>0</v>
      </c>
      <c r="BG132" s="328">
        <v>150000690</v>
      </c>
      <c r="BI132" s="107">
        <v>0</v>
      </c>
      <c r="BJ132" s="107">
        <f t="shared" si="13"/>
        <v>0</v>
      </c>
      <c r="BK132" s="107">
        <v>0</v>
      </c>
      <c r="BL132" s="39"/>
      <c r="BM132" s="3"/>
      <c r="BN132" s="3">
        <v>0</v>
      </c>
      <c r="BP132" s="3"/>
      <c r="BQ132" s="3"/>
      <c r="BS132" s="43"/>
      <c r="BT132" s="43">
        <v>0</v>
      </c>
      <c r="BU132" s="1037"/>
      <c r="BV132" s="42"/>
      <c r="BW132" s="43"/>
      <c r="BX132" s="37"/>
      <c r="BY132" s="78"/>
      <c r="BZ132" s="43">
        <v>0</v>
      </c>
      <c r="CA132" s="1038"/>
      <c r="CB132" s="42">
        <v>0</v>
      </c>
      <c r="CC132" s="42">
        <v>0</v>
      </c>
      <c r="CD132" s="1039"/>
      <c r="CE132" s="78">
        <v>0</v>
      </c>
      <c r="CF132" s="56"/>
      <c r="CG132" s="42">
        <v>0</v>
      </c>
      <c r="CH132" s="39">
        <v>0</v>
      </c>
      <c r="CI132" s="78">
        <v>0</v>
      </c>
      <c r="CJ132" s="56"/>
      <c r="CK132" s="1034"/>
      <c r="CL132" s="1029"/>
      <c r="CM132" s="1034"/>
      <c r="CN132" s="1029">
        <v>0</v>
      </c>
      <c r="CO132" s="78">
        <v>0</v>
      </c>
      <c r="CP132" s="43">
        <v>0</v>
      </c>
      <c r="CQ132" s="5"/>
      <c r="CR132" s="78">
        <v>0</v>
      </c>
      <c r="CS132" s="1033">
        <v>0</v>
      </c>
      <c r="CT132" s="5"/>
      <c r="CU132" s="78">
        <v>0</v>
      </c>
      <c r="CV132" s="43">
        <v>0</v>
      </c>
      <c r="CW132" s="5"/>
      <c r="CX132" s="78">
        <v>0</v>
      </c>
      <c r="CY132" s="43">
        <v>0</v>
      </c>
      <c r="CZ132" s="5"/>
      <c r="DA132" s="78">
        <v>0</v>
      </c>
      <c r="DB132" s="43">
        <v>0</v>
      </c>
      <c r="DC132" s="5"/>
      <c r="DD132" s="78">
        <v>0</v>
      </c>
      <c r="DE132" s="43">
        <v>0</v>
      </c>
      <c r="DF132" s="5"/>
      <c r="DG132" s="78">
        <v>0</v>
      </c>
      <c r="DH132" s="43"/>
      <c r="DI132" s="5"/>
      <c r="DJ132" s="43">
        <v>0</v>
      </c>
      <c r="DK132" s="43">
        <f t="shared" si="14"/>
        <v>0</v>
      </c>
      <c r="DL132" s="59">
        <f t="shared" si="15"/>
        <v>0</v>
      </c>
    </row>
    <row r="133" spans="1:116" ht="24.9" customHeight="1" x14ac:dyDescent="0.3">
      <c r="A133" s="328">
        <v>150000648</v>
      </c>
      <c r="B133" s="45" t="s">
        <v>361</v>
      </c>
      <c r="C133" s="1035">
        <v>9</v>
      </c>
      <c r="D133" s="1036" t="s">
        <v>454</v>
      </c>
      <c r="E133" s="1028">
        <f>'побудинковий звіт'!E131</f>
        <v>196.35</v>
      </c>
      <c r="F133" s="1029">
        <f>'побудинковий звіт'!AS131</f>
        <v>49130.208966203034</v>
      </c>
      <c r="G133" s="1029">
        <f t="shared" si="8"/>
        <v>60836</v>
      </c>
      <c r="H133" s="1029">
        <f t="shared" si="9"/>
        <v>11705.791033796966</v>
      </c>
      <c r="I133" s="43">
        <f>'[1]поточний ремонт'!I133+'[2]поточний ремонт'!I133-'[3]поточний ремонт'!I133</f>
        <v>156</v>
      </c>
      <c r="J133" s="43">
        <f>'[1]поточний ремонт'!J133+'[2]поточний ремонт'!J133-'[3]поточний ремонт'!J133</f>
        <v>48367</v>
      </c>
      <c r="K133" s="1037"/>
      <c r="L133" s="43">
        <f>'[1]поточний ремонт'!L133+'[2]поточний ремонт'!L133-'[3]поточний ремонт'!L133</f>
        <v>0</v>
      </c>
      <c r="M133" s="43">
        <f>'[1]поточний ремонт'!M133+'[2]поточний ремонт'!M133-'[3]поточний ремонт'!M133</f>
        <v>0</v>
      </c>
      <c r="N133" s="37"/>
      <c r="O133" s="43">
        <f>'[1]поточний ремонт'!O133+'[2]поточний ремонт'!O133-'[3]поточний ремонт'!O133</f>
        <v>0</v>
      </c>
      <c r="P133" s="43">
        <f>'[1]поточний ремонт'!P133+'[2]поточний ремонт'!P133-'[3]поточний ремонт'!P133</f>
        <v>0</v>
      </c>
      <c r="Q133" s="1038"/>
      <c r="R133" s="43">
        <f>'[1]поточний ремонт'!R133+'[2]поточний ремонт'!R133-'[3]поточний ремонт'!R133</f>
        <v>1</v>
      </c>
      <c r="S133" s="43">
        <f>'[1]поточний ремонт'!S133+'[2]поточний ремонт'!S133-'[3]поточний ремонт'!S133</f>
        <v>1342</v>
      </c>
      <c r="T133" s="1039"/>
      <c r="U133" s="43">
        <f>'[1]поточний ремонт'!U133+'[2]поточний ремонт'!U133-'[3]поточний ремонт'!U133</f>
        <v>0</v>
      </c>
      <c r="V133" s="43">
        <f>'[1]поточний ремонт'!V133+'[2]поточний ремонт'!V133-'[3]поточний ремонт'!V133</f>
        <v>0</v>
      </c>
      <c r="W133" s="43">
        <f>'[1]поточний ремонт'!W133+'[2]поточний ремонт'!W133-'[3]поточний ремонт'!W133</f>
        <v>0</v>
      </c>
      <c r="X133" s="43">
        <f>'[1]поточний ремонт'!X133+'[2]поточний ремонт'!X133-'[3]поточний ремонт'!X133</f>
        <v>0</v>
      </c>
      <c r="Y133" s="43">
        <f>'[1]поточний ремонт'!Y133+'[2]поточний ремонт'!Y133-'[3]поточний ремонт'!Y133</f>
        <v>11127</v>
      </c>
      <c r="Z133" s="43">
        <f>'[1]поточний ремонт'!Z133+'[2]поточний ремонт'!Z133-'[3]поточний ремонт'!Z133</f>
        <v>0</v>
      </c>
      <c r="AA133" s="43">
        <f>'[1]поточний ремонт'!AA133+'[2]поточний ремонт'!AA133-'[3]поточний ремонт'!AA133</f>
        <v>0</v>
      </c>
      <c r="AB133" s="43">
        <f>'[1]поточний ремонт'!AB133+'[2]поточний ремонт'!AB133-'[3]поточний ремонт'!AB133</f>
        <v>0</v>
      </c>
      <c r="AC133" s="43">
        <f>'[1]поточний ремонт'!AC133+'[2]поточний ремонт'!AC133-'[3]поточний ремонт'!AC133</f>
        <v>0</v>
      </c>
      <c r="AD133" s="43">
        <f>'[1]поточний ремонт'!AD133+'[2]поточний ремонт'!AD133-'[3]поточний ремонт'!AD133</f>
        <v>0</v>
      </c>
      <c r="AE133" s="43">
        <f>'[1]поточний ремонт'!AE133+'[2]поточний ремонт'!AE133-'[3]поточний ремонт'!AE133</f>
        <v>749.97295389459441</v>
      </c>
      <c r="AF133" s="43">
        <f>'[1]поточний ремонт'!AF133+'[2]поточний ремонт'!AF133-'[3]поточний ремонт'!AF133</f>
        <v>368</v>
      </c>
      <c r="AG133" s="5"/>
      <c r="AH133" s="43">
        <f>'[1]поточний ремонт'!AH133+'[2]поточний ремонт'!AH133-'[3]поточний ремонт'!AH133</f>
        <v>918.14046628767005</v>
      </c>
      <c r="AI133" s="43">
        <f>'[1]поточний ремонт'!AI133+'[2]поточний ремонт'!AI133-'[3]поточний ремонт'!AI133</f>
        <v>0</v>
      </c>
      <c r="AJ133" s="5"/>
      <c r="AK133" s="43">
        <f>'[1]поточний ремонт'!AK133+'[2]поточний ремонт'!AK133-'[3]поточний ремонт'!AK133</f>
        <v>2015.3764471703334</v>
      </c>
      <c r="AL133" s="43">
        <f>'[1]поточний ремонт'!AL133+'[2]поточний ремонт'!AL133-'[3]поточний ремонт'!AL133</f>
        <v>0</v>
      </c>
      <c r="AM133" s="5"/>
      <c r="AN133" s="43">
        <f>'[1]поточний ремонт'!AN133+'[2]поточний ремонт'!AN133-'[3]поточний ремонт'!AN133</f>
        <v>669.55845203206354</v>
      </c>
      <c r="AO133" s="43">
        <f>'[1]поточний ремонт'!AO133+'[2]поточний ремонт'!AO133-'[3]поточний ремонт'!AO133</f>
        <v>0</v>
      </c>
      <c r="AP133" s="5"/>
      <c r="AQ133" s="43">
        <f>'[1]поточний ремонт'!AQ133+'[2]поточний ремонт'!AQ133-'[3]поточний ремонт'!AQ133</f>
        <v>197.88370594614832</v>
      </c>
      <c r="AR133" s="43">
        <f>'[1]поточний ремонт'!AR133+'[2]поточний ремонт'!AR133-'[3]поточний ремонт'!AR133</f>
        <v>0</v>
      </c>
      <c r="AS133" s="5"/>
      <c r="AT133" s="43">
        <f>'[1]поточний ремонт'!AT133+'[2]поточний ремонт'!AT133-'[3]поточний ремонт'!AT133</f>
        <v>260.28476034010987</v>
      </c>
      <c r="AU133" s="43">
        <f>'[1]поточний ремонт'!AU133+'[2]поточний ремонт'!AU133-'[3]поточний ремонт'!AU133</f>
        <v>0</v>
      </c>
      <c r="AV133" s="5"/>
      <c r="AW133" s="43">
        <f>'[1]поточний ремонт'!AW133+'[2]поточний ремонт'!AW133-'[3]поточний ремонт'!AW133</f>
        <v>0</v>
      </c>
      <c r="AX133" s="43">
        <f>'[1]поточний ремонт'!AX133+'[2]поточний ремонт'!AX133-'[3]поточний ремонт'!AX133</f>
        <v>0</v>
      </c>
      <c r="AY133" s="5"/>
      <c r="AZ133" s="43">
        <f t="shared" si="10"/>
        <v>4811.2167856709193</v>
      </c>
      <c r="BA133" s="43">
        <f t="shared" si="11"/>
        <v>368</v>
      </c>
      <c r="BB133" s="59">
        <f t="shared" si="12"/>
        <v>-4443.2167856709193</v>
      </c>
      <c r="BD133" s="2">
        <v>3</v>
      </c>
      <c r="BF133" s="30">
        <v>285.17895338918277</v>
      </c>
      <c r="BG133" s="328">
        <v>150000648</v>
      </c>
      <c r="BI133" s="107">
        <v>0</v>
      </c>
      <c r="BJ133" s="107">
        <f t="shared" si="13"/>
        <v>0</v>
      </c>
      <c r="BK133" s="107">
        <v>0</v>
      </c>
      <c r="BL133" s="39"/>
      <c r="BM133" s="3"/>
      <c r="BN133" s="3">
        <v>0</v>
      </c>
      <c r="BP133" s="3"/>
      <c r="BQ133" s="3"/>
      <c r="BS133" s="43"/>
      <c r="BT133" s="43">
        <v>0</v>
      </c>
      <c r="BU133" s="1037"/>
      <c r="BV133" s="42"/>
      <c r="BW133" s="43"/>
      <c r="BX133" s="37"/>
      <c r="BY133" s="78"/>
      <c r="BZ133" s="43">
        <v>0</v>
      </c>
      <c r="CA133" s="1038"/>
      <c r="CB133" s="42">
        <v>0</v>
      </c>
      <c r="CC133" s="42">
        <v>0</v>
      </c>
      <c r="CD133" s="1039"/>
      <c r="CE133" s="78">
        <v>0</v>
      </c>
      <c r="CF133" s="56"/>
      <c r="CG133" s="42">
        <v>0</v>
      </c>
      <c r="CH133" s="39">
        <v>0</v>
      </c>
      <c r="CI133" s="78">
        <v>0</v>
      </c>
      <c r="CJ133" s="56"/>
      <c r="CK133" s="1034"/>
      <c r="CL133" s="1029"/>
      <c r="CM133" s="1034"/>
      <c r="CN133" s="1029">
        <v>0</v>
      </c>
      <c r="CO133" s="78">
        <v>62.497746157882887</v>
      </c>
      <c r="CP133" s="43">
        <v>0</v>
      </c>
      <c r="CQ133" s="5"/>
      <c r="CR133" s="78">
        <v>76.511705523972509</v>
      </c>
      <c r="CS133" s="1033">
        <v>0</v>
      </c>
      <c r="CT133" s="5"/>
      <c r="CU133" s="78">
        <v>167.94803726419445</v>
      </c>
      <c r="CV133" s="43">
        <v>0</v>
      </c>
      <c r="CW133" s="5"/>
      <c r="CX133" s="78">
        <v>55.796537669338626</v>
      </c>
      <c r="CY133" s="43">
        <v>0</v>
      </c>
      <c r="CZ133" s="5"/>
      <c r="DA133" s="78">
        <v>16.490308828845698</v>
      </c>
      <c r="DB133" s="43">
        <v>0</v>
      </c>
      <c r="DC133" s="5"/>
      <c r="DD133" s="78">
        <v>21.690396695009156</v>
      </c>
      <c r="DE133" s="43">
        <v>0</v>
      </c>
      <c r="DF133" s="5"/>
      <c r="DG133" s="78">
        <v>0</v>
      </c>
      <c r="DH133" s="43"/>
      <c r="DI133" s="5"/>
      <c r="DJ133" s="43">
        <v>400.93473213924335</v>
      </c>
      <c r="DK133" s="43">
        <f t="shared" si="14"/>
        <v>0</v>
      </c>
      <c r="DL133" s="59">
        <f t="shared" si="15"/>
        <v>-400.93473213924335</v>
      </c>
    </row>
    <row r="134" spans="1:116" ht="24.9" customHeight="1" x14ac:dyDescent="0.3">
      <c r="A134" s="328">
        <v>150000686</v>
      </c>
      <c r="B134" s="45" t="s">
        <v>97</v>
      </c>
      <c r="C134" s="1035">
        <v>1</v>
      </c>
      <c r="D134" s="1036" t="s">
        <v>454</v>
      </c>
      <c r="E134" s="1028">
        <f>'побудинковий звіт'!E132</f>
        <v>3175.8</v>
      </c>
      <c r="F134" s="1029">
        <f>'побудинковий звіт'!AS132</f>
        <v>2179.095682066808</v>
      </c>
      <c r="G134" s="1029">
        <f t="shared" si="8"/>
        <v>0</v>
      </c>
      <c r="H134" s="1029">
        <f t="shared" si="9"/>
        <v>-2179.095682066808</v>
      </c>
      <c r="I134" s="43">
        <f>'[1]поточний ремонт'!I134+'[2]поточний ремонт'!I134-'[3]поточний ремонт'!I134</f>
        <v>0</v>
      </c>
      <c r="J134" s="43">
        <f>'[1]поточний ремонт'!J134+'[2]поточний ремонт'!J134-'[3]поточний ремонт'!J134</f>
        <v>0</v>
      </c>
      <c r="K134" s="1037"/>
      <c r="L134" s="43">
        <f>'[1]поточний ремонт'!L134+'[2]поточний ремонт'!L134-'[3]поточний ремонт'!L134</f>
        <v>0</v>
      </c>
      <c r="M134" s="43">
        <f>'[1]поточний ремонт'!M134+'[2]поточний ремонт'!M134-'[3]поточний ремонт'!M134</f>
        <v>0</v>
      </c>
      <c r="N134" s="37"/>
      <c r="O134" s="43">
        <f>'[1]поточний ремонт'!O134+'[2]поточний ремонт'!O134-'[3]поточний ремонт'!O134</f>
        <v>0</v>
      </c>
      <c r="P134" s="43">
        <f>'[1]поточний ремонт'!P134+'[2]поточний ремонт'!P134-'[3]поточний ремонт'!P134</f>
        <v>0</v>
      </c>
      <c r="Q134" s="1038"/>
      <c r="R134" s="43">
        <f>'[1]поточний ремонт'!R134+'[2]поточний ремонт'!R134-'[3]поточний ремонт'!R134</f>
        <v>0</v>
      </c>
      <c r="S134" s="43">
        <f>'[1]поточний ремонт'!S134+'[2]поточний ремонт'!S134-'[3]поточний ремонт'!S134</f>
        <v>0</v>
      </c>
      <c r="T134" s="1039"/>
      <c r="U134" s="43">
        <f>'[1]поточний ремонт'!U134+'[2]поточний ремонт'!U134-'[3]поточний ремонт'!U134</f>
        <v>0</v>
      </c>
      <c r="V134" s="43">
        <f>'[1]поточний ремонт'!V134+'[2]поточний ремонт'!V134-'[3]поточний ремонт'!V134</f>
        <v>0</v>
      </c>
      <c r="W134" s="43">
        <f>'[1]поточний ремонт'!W134+'[2]поточний ремонт'!W134-'[3]поточний ремонт'!W134</f>
        <v>0</v>
      </c>
      <c r="X134" s="43">
        <f>'[1]поточний ремонт'!X134+'[2]поточний ремонт'!X134-'[3]поточний ремонт'!X134</f>
        <v>0</v>
      </c>
      <c r="Y134" s="43">
        <f>'[1]поточний ремонт'!Y134+'[2]поточний ремонт'!Y134-'[3]поточний ремонт'!Y134</f>
        <v>0</v>
      </c>
      <c r="Z134" s="43">
        <f>'[1]поточний ремонт'!Z134+'[2]поточний ремонт'!Z134-'[3]поточний ремонт'!Z134</f>
        <v>0</v>
      </c>
      <c r="AA134" s="43">
        <f>'[1]поточний ремонт'!AA134+'[2]поточний ремонт'!AA134-'[3]поточний ремонт'!AA134</f>
        <v>0</v>
      </c>
      <c r="AB134" s="43">
        <f>'[1]поточний ремонт'!AB134+'[2]поточний ремонт'!AB134-'[3]поточний ремонт'!AB134</f>
        <v>0</v>
      </c>
      <c r="AC134" s="43">
        <f>'[1]поточний ремонт'!AC134+'[2]поточний ремонт'!AC134-'[3]поточний ремонт'!AC134</f>
        <v>0</v>
      </c>
      <c r="AD134" s="43">
        <f>'[1]поточний ремонт'!AD134+'[2]поточний ремонт'!AD134-'[3]поточний ремонт'!AD134</f>
        <v>0</v>
      </c>
      <c r="AE134" s="43">
        <f>'[1]поточний ремонт'!AE134+'[2]поточний ремонт'!AE134-'[3]поточний ремонт'!AE134</f>
        <v>0</v>
      </c>
      <c r="AF134" s="43">
        <f>'[1]поточний ремонт'!AF134+'[2]поточний ремонт'!AF134-'[3]поточний ремонт'!AF134</f>
        <v>0</v>
      </c>
      <c r="AG134" s="5"/>
      <c r="AH134" s="43">
        <f>'[1]поточний ремонт'!AH134+'[2]поточний ремонт'!AH134-'[3]поточний ремонт'!AH134</f>
        <v>0</v>
      </c>
      <c r="AI134" s="43">
        <f>'[1]поточний ремонт'!AI134+'[2]поточний ремонт'!AI134-'[3]поточний ремонт'!AI134</f>
        <v>0</v>
      </c>
      <c r="AJ134" s="5"/>
      <c r="AK134" s="43">
        <f>'[1]поточний ремонт'!AK134+'[2]поточний ремонт'!AK134-'[3]поточний ремонт'!AK134</f>
        <v>0</v>
      </c>
      <c r="AL134" s="43">
        <f>'[1]поточний ремонт'!AL134+'[2]поточний ремонт'!AL134-'[3]поточний ремонт'!AL134</f>
        <v>0</v>
      </c>
      <c r="AM134" s="5"/>
      <c r="AN134" s="43">
        <f>'[1]поточний ремонт'!AN134+'[2]поточний ремонт'!AN134-'[3]поточний ремонт'!AN134</f>
        <v>0</v>
      </c>
      <c r="AO134" s="43">
        <f>'[1]поточний ремонт'!AO134+'[2]поточний ремонт'!AO134-'[3]поточний ремонт'!AO134</f>
        <v>0</v>
      </c>
      <c r="AP134" s="5"/>
      <c r="AQ134" s="43">
        <f>'[1]поточний ремонт'!AQ134+'[2]поточний ремонт'!AQ134-'[3]поточний ремонт'!AQ134</f>
        <v>0</v>
      </c>
      <c r="AR134" s="43">
        <f>'[1]поточний ремонт'!AR134+'[2]поточний ремонт'!AR134-'[3]поточний ремонт'!AR134</f>
        <v>0</v>
      </c>
      <c r="AS134" s="5"/>
      <c r="AT134" s="43">
        <f>'[1]поточний ремонт'!AT134+'[2]поточний ремонт'!AT134-'[3]поточний ремонт'!AT134</f>
        <v>0</v>
      </c>
      <c r="AU134" s="43">
        <f>'[1]поточний ремонт'!AU134+'[2]поточний ремонт'!AU134-'[3]поточний ремонт'!AU134</f>
        <v>0</v>
      </c>
      <c r="AV134" s="5"/>
      <c r="AW134" s="43">
        <f>'[1]поточний ремонт'!AW134+'[2]поточний ремонт'!AW134-'[3]поточний ремонт'!AW134</f>
        <v>0</v>
      </c>
      <c r="AX134" s="43">
        <f>'[1]поточний ремонт'!AX134+'[2]поточний ремонт'!AX134-'[3]поточний ремонт'!AX134</f>
        <v>0</v>
      </c>
      <c r="AY134" s="5"/>
      <c r="AZ134" s="43">
        <f t="shared" si="10"/>
        <v>0</v>
      </c>
      <c r="BA134" s="43">
        <f t="shared" si="11"/>
        <v>0</v>
      </c>
      <c r="BB134" s="59">
        <f t="shared" si="12"/>
        <v>0</v>
      </c>
      <c r="BD134" s="2">
        <v>3</v>
      </c>
      <c r="BF134" s="30">
        <v>0</v>
      </c>
      <c r="BG134" s="328">
        <v>150000686</v>
      </c>
      <c r="BI134" s="107">
        <v>0</v>
      </c>
      <c r="BJ134" s="107">
        <f t="shared" si="13"/>
        <v>0</v>
      </c>
      <c r="BK134" s="107">
        <v>0</v>
      </c>
      <c r="BL134" s="39"/>
      <c r="BM134" s="3"/>
      <c r="BN134" s="3">
        <v>0</v>
      </c>
      <c r="BP134" s="3"/>
      <c r="BQ134" s="3"/>
      <c r="BS134" s="43"/>
      <c r="BT134" s="43">
        <v>0</v>
      </c>
      <c r="BU134" s="1037"/>
      <c r="BV134" s="42"/>
      <c r="BW134" s="43"/>
      <c r="BX134" s="37"/>
      <c r="BY134" s="78"/>
      <c r="BZ134" s="43">
        <v>0</v>
      </c>
      <c r="CA134" s="1038"/>
      <c r="CB134" s="42">
        <v>0</v>
      </c>
      <c r="CC134" s="42">
        <v>0</v>
      </c>
      <c r="CD134" s="1039"/>
      <c r="CE134" s="78">
        <v>0</v>
      </c>
      <c r="CF134" s="56"/>
      <c r="CG134" s="42">
        <v>0</v>
      </c>
      <c r="CH134" s="39">
        <v>0</v>
      </c>
      <c r="CI134" s="78">
        <v>0</v>
      </c>
      <c r="CJ134" s="56"/>
      <c r="CK134" s="1034"/>
      <c r="CL134" s="1029"/>
      <c r="CM134" s="1034"/>
      <c r="CN134" s="1029">
        <v>0</v>
      </c>
      <c r="CO134" s="78">
        <v>0</v>
      </c>
      <c r="CP134" s="43">
        <v>0</v>
      </c>
      <c r="CQ134" s="5"/>
      <c r="CR134" s="78">
        <v>0</v>
      </c>
      <c r="CS134" s="1033">
        <v>0</v>
      </c>
      <c r="CT134" s="5"/>
      <c r="CU134" s="78">
        <v>0</v>
      </c>
      <c r="CV134" s="43">
        <v>0</v>
      </c>
      <c r="CW134" s="5"/>
      <c r="CX134" s="78">
        <v>0</v>
      </c>
      <c r="CY134" s="43">
        <v>0</v>
      </c>
      <c r="CZ134" s="5"/>
      <c r="DA134" s="78">
        <v>0</v>
      </c>
      <c r="DB134" s="43">
        <v>0</v>
      </c>
      <c r="DC134" s="5"/>
      <c r="DD134" s="78">
        <v>0</v>
      </c>
      <c r="DE134" s="43">
        <v>0</v>
      </c>
      <c r="DF134" s="5"/>
      <c r="DG134" s="78">
        <v>0</v>
      </c>
      <c r="DH134" s="43"/>
      <c r="DI134" s="5"/>
      <c r="DJ134" s="43">
        <v>0</v>
      </c>
      <c r="DK134" s="43">
        <f t="shared" si="14"/>
        <v>0</v>
      </c>
      <c r="DL134" s="59">
        <f t="shared" si="15"/>
        <v>0</v>
      </c>
    </row>
    <row r="135" spans="1:116" ht="24.9" customHeight="1" x14ac:dyDescent="0.3">
      <c r="A135" s="328">
        <v>150000796</v>
      </c>
      <c r="B135" s="45" t="s">
        <v>98</v>
      </c>
      <c r="C135" s="1035">
        <v>1</v>
      </c>
      <c r="D135" s="1036" t="s">
        <v>454</v>
      </c>
      <c r="E135" s="1028">
        <f>'побудинковий звіт'!E133</f>
        <v>181.9</v>
      </c>
      <c r="F135" s="1029">
        <f>'побудинковий звіт'!AS133</f>
        <v>2256.2843608271974</v>
      </c>
      <c r="G135" s="1029">
        <f t="shared" si="8"/>
        <v>12096</v>
      </c>
      <c r="H135" s="1029">
        <f t="shared" si="9"/>
        <v>9839.7156391728022</v>
      </c>
      <c r="I135" s="43">
        <f>'[1]поточний ремонт'!I135+'[2]поточний ремонт'!I135-'[3]поточний ремонт'!I135</f>
        <v>0</v>
      </c>
      <c r="J135" s="43">
        <f>'[1]поточний ремонт'!J135+'[2]поточний ремонт'!J135-'[3]поточний ремонт'!J135</f>
        <v>0</v>
      </c>
      <c r="K135" s="1037"/>
      <c r="L135" s="43">
        <f>'[1]поточний ремонт'!L135+'[2]поточний ремонт'!L135-'[3]поточний ремонт'!L135</f>
        <v>0</v>
      </c>
      <c r="M135" s="43">
        <f>'[1]поточний ремонт'!M135+'[2]поточний ремонт'!M135-'[3]поточний ремонт'!M135</f>
        <v>0</v>
      </c>
      <c r="N135" s="37"/>
      <c r="O135" s="43">
        <f>'[1]поточний ремонт'!O135+'[2]поточний ремонт'!O135-'[3]поточний ремонт'!O135</f>
        <v>0</v>
      </c>
      <c r="P135" s="43">
        <f>'[1]поточний ремонт'!P135+'[2]поточний ремонт'!P135-'[3]поточний ремонт'!P135</f>
        <v>0</v>
      </c>
      <c r="Q135" s="1038"/>
      <c r="R135" s="43">
        <f>'[1]поточний ремонт'!R135+'[2]поточний ремонт'!R135-'[3]поточний ремонт'!R135</f>
        <v>0</v>
      </c>
      <c r="S135" s="43">
        <f>'[1]поточний ремонт'!S135+'[2]поточний ремонт'!S135-'[3]поточний ремонт'!S135</f>
        <v>0</v>
      </c>
      <c r="T135" s="1039"/>
      <c r="U135" s="43">
        <f>'[1]поточний ремонт'!U135+'[2]поточний ремонт'!U135-'[3]поточний ремонт'!U135</f>
        <v>0</v>
      </c>
      <c r="V135" s="43">
        <f>'[1]поточний ремонт'!V135+'[2]поточний ремонт'!V135-'[3]поточний ремонт'!V135</f>
        <v>0</v>
      </c>
      <c r="W135" s="43">
        <f>'[1]поточний ремонт'!W135+'[2]поточний ремонт'!W135-'[3]поточний ремонт'!W135</f>
        <v>0</v>
      </c>
      <c r="X135" s="43">
        <f>'[1]поточний ремонт'!X135+'[2]поточний ремонт'!X135-'[3]поточний ремонт'!X135</f>
        <v>0</v>
      </c>
      <c r="Y135" s="43">
        <f>'[1]поточний ремонт'!Y135+'[2]поточний ремонт'!Y135-'[3]поточний ремонт'!Y135</f>
        <v>12096</v>
      </c>
      <c r="Z135" s="43">
        <f>'[1]поточний ремонт'!Z135+'[2]поточний ремонт'!Z135-'[3]поточний ремонт'!Z135</f>
        <v>0</v>
      </c>
      <c r="AA135" s="43">
        <f>'[1]поточний ремонт'!AA135+'[2]поточний ремонт'!AA135-'[3]поточний ремонт'!AA135</f>
        <v>0</v>
      </c>
      <c r="AB135" s="43">
        <f>'[1]поточний ремонт'!AB135+'[2]поточний ремонт'!AB135-'[3]поточний ремонт'!AB135</f>
        <v>0</v>
      </c>
      <c r="AC135" s="43">
        <f>'[1]поточний ремонт'!AC135+'[2]поточний ремонт'!AC135-'[3]поточний ремонт'!AC135</f>
        <v>0</v>
      </c>
      <c r="AD135" s="43">
        <f>'[1]поточний ремонт'!AD135+'[2]поточний ремонт'!AD135-'[3]поточний ремонт'!AD135</f>
        <v>0</v>
      </c>
      <c r="AE135" s="43">
        <f>'[1]поточний ремонт'!AE135+'[2]поточний ремонт'!AE135-'[3]поточний ремонт'!AE135</f>
        <v>0</v>
      </c>
      <c r="AF135" s="43">
        <f>'[1]поточний ремонт'!AF135+'[2]поточний ремонт'!AF135-'[3]поточний ремонт'!AF135</f>
        <v>0</v>
      </c>
      <c r="AG135" s="5"/>
      <c r="AH135" s="43">
        <f>'[1]поточний ремонт'!AH135+'[2]поточний ремонт'!AH135-'[3]поточний ремонт'!AH135</f>
        <v>0</v>
      </c>
      <c r="AI135" s="43">
        <f>'[1]поточний ремонт'!AI135+'[2]поточний ремонт'!AI135-'[3]поточний ремонт'!AI135</f>
        <v>0</v>
      </c>
      <c r="AJ135" s="5"/>
      <c r="AK135" s="43">
        <f>'[1]поточний ремонт'!AK135+'[2]поточний ремонт'!AK135-'[3]поточний ремонт'!AK135</f>
        <v>65.048332709546671</v>
      </c>
      <c r="AL135" s="43">
        <f>'[1]поточний ремонт'!AL135+'[2]поточний ремонт'!AL135-'[3]поточний ремонт'!AL135</f>
        <v>0</v>
      </c>
      <c r="AM135" s="5"/>
      <c r="AN135" s="43">
        <f>'[1]поточний ремонт'!AN135+'[2]поточний ремонт'!AN135-'[3]поточний ремонт'!AN135</f>
        <v>0</v>
      </c>
      <c r="AO135" s="43">
        <f>'[1]поточний ремонт'!AO135+'[2]поточний ремонт'!AO135-'[3]поточний ремонт'!AO135</f>
        <v>0</v>
      </c>
      <c r="AP135" s="5"/>
      <c r="AQ135" s="43">
        <f>'[1]поточний ремонт'!AQ135+'[2]поточний ремонт'!AQ135-'[3]поточний ремонт'!AQ135</f>
        <v>0</v>
      </c>
      <c r="AR135" s="43">
        <f>'[1]поточний ремонт'!AR135+'[2]поточний ремонт'!AR135-'[3]поточний ремонт'!AR135</f>
        <v>0</v>
      </c>
      <c r="AS135" s="5"/>
      <c r="AT135" s="43">
        <f>'[1]поточний ремонт'!AT135+'[2]поточний ремонт'!AT135-'[3]поточний ремонт'!AT135</f>
        <v>0</v>
      </c>
      <c r="AU135" s="43">
        <f>'[1]поточний ремонт'!AU135+'[2]поточний ремонт'!AU135-'[3]поточний ремонт'!AU135</f>
        <v>2050</v>
      </c>
      <c r="AV135" s="5"/>
      <c r="AW135" s="43">
        <f>'[1]поточний ремонт'!AW135+'[2]поточний ремонт'!AW135-'[3]поточний ремонт'!AW135</f>
        <v>0</v>
      </c>
      <c r="AX135" s="43">
        <f>'[1]поточний ремонт'!AX135+'[2]поточний ремонт'!AX135-'[3]поточний ремонт'!AX135</f>
        <v>0</v>
      </c>
      <c r="AY135" s="5"/>
      <c r="AZ135" s="43">
        <f t="shared" si="10"/>
        <v>65.048332709546671</v>
      </c>
      <c r="BA135" s="43">
        <f t="shared" si="11"/>
        <v>2050</v>
      </c>
      <c r="BB135" s="59">
        <f t="shared" si="12"/>
        <v>1984.9516672904533</v>
      </c>
      <c r="BD135" s="2">
        <v>3</v>
      </c>
      <c r="BF135" s="30">
        <v>0</v>
      </c>
      <c r="BG135" s="328">
        <v>150000796</v>
      </c>
      <c r="BI135" s="107">
        <v>0</v>
      </c>
      <c r="BJ135" s="107">
        <f t="shared" si="13"/>
        <v>0</v>
      </c>
      <c r="BK135" s="107">
        <v>0</v>
      </c>
      <c r="BL135" s="39"/>
      <c r="BM135" s="3"/>
      <c r="BN135" s="3">
        <v>0</v>
      </c>
      <c r="BP135" s="3"/>
      <c r="BQ135" s="3"/>
      <c r="BS135" s="43"/>
      <c r="BT135" s="43">
        <v>0</v>
      </c>
      <c r="BU135" s="1037"/>
      <c r="BV135" s="42"/>
      <c r="BW135" s="43"/>
      <c r="BX135" s="37"/>
      <c r="BY135" s="78"/>
      <c r="BZ135" s="43">
        <v>0</v>
      </c>
      <c r="CA135" s="1038"/>
      <c r="CB135" s="42">
        <v>0</v>
      </c>
      <c r="CC135" s="42">
        <v>0</v>
      </c>
      <c r="CD135" s="1039"/>
      <c r="CE135" s="78">
        <v>0</v>
      </c>
      <c r="CF135" s="56"/>
      <c r="CG135" s="42">
        <v>0</v>
      </c>
      <c r="CH135" s="39">
        <v>0</v>
      </c>
      <c r="CI135" s="78">
        <v>0</v>
      </c>
      <c r="CJ135" s="56"/>
      <c r="CK135" s="1034"/>
      <c r="CL135" s="1029"/>
      <c r="CM135" s="1034"/>
      <c r="CN135" s="1029">
        <v>0</v>
      </c>
      <c r="CO135" s="78">
        <v>0</v>
      </c>
      <c r="CP135" s="43">
        <v>0</v>
      </c>
      <c r="CQ135" s="5"/>
      <c r="CR135" s="78">
        <v>0</v>
      </c>
      <c r="CS135" s="1033">
        <v>0</v>
      </c>
      <c r="CT135" s="5"/>
      <c r="CU135" s="78">
        <v>5.4206943924622211</v>
      </c>
      <c r="CV135" s="43">
        <v>0</v>
      </c>
      <c r="CW135" s="5"/>
      <c r="CX135" s="78">
        <v>0</v>
      </c>
      <c r="CY135" s="43">
        <v>0</v>
      </c>
      <c r="CZ135" s="5"/>
      <c r="DA135" s="78">
        <v>0</v>
      </c>
      <c r="DB135" s="43">
        <v>0</v>
      </c>
      <c r="DC135" s="5"/>
      <c r="DD135" s="78">
        <v>0</v>
      </c>
      <c r="DE135" s="43">
        <v>0</v>
      </c>
      <c r="DF135" s="5"/>
      <c r="DG135" s="78">
        <v>0</v>
      </c>
      <c r="DH135" s="43"/>
      <c r="DI135" s="5"/>
      <c r="DJ135" s="43">
        <v>5.4206943924622211</v>
      </c>
      <c r="DK135" s="43">
        <f t="shared" si="14"/>
        <v>0</v>
      </c>
      <c r="DL135" s="59">
        <f t="shared" si="15"/>
        <v>-5.4206943924622211</v>
      </c>
    </row>
    <row r="136" spans="1:116" ht="24.9" customHeight="1" x14ac:dyDescent="0.3">
      <c r="A136" s="328">
        <v>150001008</v>
      </c>
      <c r="B136" s="45" t="s">
        <v>211</v>
      </c>
      <c r="C136" s="1035">
        <v>4</v>
      </c>
      <c r="D136" s="1036" t="s">
        <v>454</v>
      </c>
      <c r="E136" s="1028">
        <f>'побудинковий звіт'!E134</f>
        <v>155.19999999999999</v>
      </c>
      <c r="F136" s="1029">
        <f>'побудинковий звіт'!AS134</f>
        <v>14625.516023077911</v>
      </c>
      <c r="G136" s="1029">
        <f t="shared" si="8"/>
        <v>27228.09806642653</v>
      </c>
      <c r="H136" s="1029">
        <f t="shared" si="9"/>
        <v>12602.582043348619</v>
      </c>
      <c r="I136" s="43">
        <f>'[1]поточний ремонт'!I136+'[2]поточний ремонт'!I136-'[3]поточний ремонт'!I136</f>
        <v>60</v>
      </c>
      <c r="J136" s="43">
        <f>'[1]поточний ремонт'!J136+'[2]поточний ремонт'!J136-'[3]поточний ремонт'!J136</f>
        <v>14092</v>
      </c>
      <c r="K136" s="1037"/>
      <c r="L136" s="43">
        <f>'[1]поточний ремонт'!L136+'[2]поточний ремонт'!L136-'[3]поточний ремонт'!L136</f>
        <v>0</v>
      </c>
      <c r="M136" s="43">
        <f>'[1]поточний ремонт'!M136+'[2]поточний ремонт'!M136-'[3]поточний ремонт'!M136</f>
        <v>0</v>
      </c>
      <c r="N136" s="37"/>
      <c r="O136" s="43">
        <f>'[1]поточний ремонт'!O136+'[2]поточний ремонт'!O136-'[3]поточний ремонт'!O136</f>
        <v>0</v>
      </c>
      <c r="P136" s="43">
        <f>'[1]поточний ремонт'!P136+'[2]поточний ремонт'!P136-'[3]поточний ремонт'!P136</f>
        <v>0</v>
      </c>
      <c r="Q136" s="1038"/>
      <c r="R136" s="43">
        <f>'[1]поточний ремонт'!R136+'[2]поточний ремонт'!R136-'[3]поточний ремонт'!R136</f>
        <v>0</v>
      </c>
      <c r="S136" s="43">
        <f>'[1]поточний ремонт'!S136+'[2]поточний ремонт'!S136-'[3]поточний ремонт'!S136</f>
        <v>0</v>
      </c>
      <c r="T136" s="1039"/>
      <c r="U136" s="43">
        <f>'[1]поточний ремонт'!U136+'[2]поточний ремонт'!U136-'[3]поточний ремонт'!U136</f>
        <v>0</v>
      </c>
      <c r="V136" s="43">
        <f>'[1]поточний ремонт'!V136+'[2]поточний ремонт'!V136-'[3]поточний ремонт'!V136</f>
        <v>0</v>
      </c>
      <c r="W136" s="43">
        <f>'[1]поточний ремонт'!W136+'[2]поточний ремонт'!W136-'[3]поточний ремонт'!W136</f>
        <v>0</v>
      </c>
      <c r="X136" s="43">
        <f>'[1]поточний ремонт'!X136+'[2]поточний ремонт'!X136-'[3]поточний ремонт'!X136</f>
        <v>5930.098066426528</v>
      </c>
      <c r="Y136" s="43">
        <f>'[1]поточний ремонт'!Y136+'[2]поточний ремонт'!Y136-'[3]поточний ремонт'!Y136</f>
        <v>2890</v>
      </c>
      <c r="Z136" s="43">
        <f>'[1]поточний ремонт'!Z136+'[2]поточний ремонт'!Z136-'[3]поточний ремонт'!Z136</f>
        <v>0</v>
      </c>
      <c r="AA136" s="43">
        <f>'[1]поточний ремонт'!AA136+'[2]поточний ремонт'!AA136-'[3]поточний ремонт'!AA136</f>
        <v>0</v>
      </c>
      <c r="AB136" s="43">
        <f>'[1]поточний ремонт'!AB136+'[2]поточний ремонт'!AB136-'[3]поточний ремонт'!AB136</f>
        <v>0</v>
      </c>
      <c r="AC136" s="43">
        <f>'[1]поточний ремонт'!AC136+'[2]поточний ремонт'!AC136-'[3]поточний ремонт'!AC136</f>
        <v>3115</v>
      </c>
      <c r="AD136" s="43">
        <f>'[1]поточний ремонт'!AD136+'[2]поточний ремонт'!AD136-'[3]поточний ремонт'!AD136</f>
        <v>1201</v>
      </c>
      <c r="AE136" s="43">
        <f>'[1]поточний ремонт'!AE136+'[2]поточний ремонт'!AE136-'[3]поточний ремонт'!AE136</f>
        <v>860.44005602076572</v>
      </c>
      <c r="AF136" s="43">
        <f>'[1]поточний ремонт'!AF136+'[2]поточний ремонт'!AF136-'[3]поточний ремонт'!AF136</f>
        <v>400</v>
      </c>
      <c r="AG136" s="5"/>
      <c r="AH136" s="43">
        <f>'[1]поточний ремонт'!AH136+'[2]поточний ремонт'!AH136-'[3]поточний ремонт'!AH136</f>
        <v>1174.5740094673354</v>
      </c>
      <c r="AI136" s="43">
        <f>'[1]поточний ремонт'!AI136+'[2]поточний ремонт'!AI136-'[3]поточний ремонт'!AI136</f>
        <v>0</v>
      </c>
      <c r="AJ136" s="5"/>
      <c r="AK136" s="43">
        <f>'[1]поточний ремонт'!AK136+'[2]поточний ремонт'!AK136-'[3]поточний ремонт'!AK136</f>
        <v>1174.9843043850026</v>
      </c>
      <c r="AL136" s="43">
        <f>'[1]поточний ремонт'!AL136+'[2]поточний ремонт'!AL136-'[3]поточний ремонт'!AL136</f>
        <v>0</v>
      </c>
      <c r="AM136" s="5"/>
      <c r="AN136" s="43">
        <f>'[1]поточний ремонт'!AN136+'[2]поточний ремонт'!AN136-'[3]поточний ремонт'!AN136</f>
        <v>0</v>
      </c>
      <c r="AO136" s="43">
        <f>'[1]поточний ремонт'!AO136+'[2]поточний ремонт'!AO136-'[3]поточний ремонт'!AO136</f>
        <v>0</v>
      </c>
      <c r="AP136" s="5"/>
      <c r="AQ136" s="43">
        <f>'[1]поточний ремонт'!AQ136+'[2]поточний ремонт'!AQ136-'[3]поточний ремонт'!AQ136</f>
        <v>0</v>
      </c>
      <c r="AR136" s="43">
        <f>'[1]поточний ремонт'!AR136+'[2]поточний ремонт'!AR136-'[3]поточний ремонт'!AR136</f>
        <v>0</v>
      </c>
      <c r="AS136" s="5"/>
      <c r="AT136" s="43">
        <f>'[1]поточний ремонт'!AT136+'[2]поточний ремонт'!AT136-'[3]поточний ремонт'!AT136</f>
        <v>349.45267117081045</v>
      </c>
      <c r="AU136" s="43">
        <f>'[1]поточний ремонт'!AU136+'[2]поточний ремонт'!AU136-'[3]поточний ремонт'!AU136</f>
        <v>264</v>
      </c>
      <c r="AV136" s="5"/>
      <c r="AW136" s="43">
        <f>'[1]поточний ремонт'!AW136+'[2]поточний ремонт'!AW136-'[3]поточний ремонт'!AW136</f>
        <v>0</v>
      </c>
      <c r="AX136" s="43">
        <f>'[1]поточний ремонт'!AX136+'[2]поточний ремонт'!AX136-'[3]поточний ремонт'!AX136</f>
        <v>0</v>
      </c>
      <c r="AY136" s="5"/>
      <c r="AZ136" s="43">
        <f t="shared" si="10"/>
        <v>3559.4510410439143</v>
      </c>
      <c r="BA136" s="43">
        <f t="shared" si="11"/>
        <v>664</v>
      </c>
      <c r="BB136" s="59">
        <f t="shared" si="12"/>
        <v>-2895.4510410439143</v>
      </c>
      <c r="BD136" s="2">
        <v>2</v>
      </c>
      <c r="BF136" s="30">
        <v>2.1698085369011539</v>
      </c>
      <c r="BG136" s="328">
        <v>150001008</v>
      </c>
      <c r="BI136" s="107">
        <v>442.51</v>
      </c>
      <c r="BJ136" s="107">
        <f t="shared" si="13"/>
        <v>62.24443012199999</v>
      </c>
      <c r="BK136" s="107">
        <v>510.34049758795999</v>
      </c>
      <c r="BL136" s="39"/>
      <c r="BM136" s="3"/>
      <c r="BN136" s="3">
        <v>0</v>
      </c>
      <c r="BP136" s="3"/>
      <c r="BQ136" s="3"/>
      <c r="BS136" s="43"/>
      <c r="BT136" s="43">
        <v>0</v>
      </c>
      <c r="BU136" s="1037"/>
      <c r="BV136" s="42"/>
      <c r="BW136" s="43"/>
      <c r="BX136" s="37"/>
      <c r="BY136" s="78"/>
      <c r="BZ136" s="43">
        <v>0</v>
      </c>
      <c r="CA136" s="1038"/>
      <c r="CB136" s="42"/>
      <c r="CC136" s="42">
        <v>0</v>
      </c>
      <c r="CD136" s="1039"/>
      <c r="CE136" s="78">
        <v>0</v>
      </c>
      <c r="CF136" s="56"/>
      <c r="CG136" s="42">
        <v>0</v>
      </c>
      <c r="CH136" s="39">
        <v>510.34049758795999</v>
      </c>
      <c r="CI136" s="78">
        <v>0</v>
      </c>
      <c r="CJ136" s="56"/>
      <c r="CK136" s="1034"/>
      <c r="CL136" s="1029"/>
      <c r="CM136" s="1034"/>
      <c r="CN136" s="1029">
        <v>0</v>
      </c>
      <c r="CO136" s="78">
        <v>71.703338001730486</v>
      </c>
      <c r="CP136" s="43">
        <v>0</v>
      </c>
      <c r="CQ136" s="5"/>
      <c r="CR136" s="78">
        <v>97.881167455611291</v>
      </c>
      <c r="CS136" s="1033">
        <v>0</v>
      </c>
      <c r="CT136" s="5"/>
      <c r="CU136" s="78">
        <v>97.915358698750211</v>
      </c>
      <c r="CV136" s="43">
        <v>0</v>
      </c>
      <c r="CW136" s="5"/>
      <c r="CX136" s="78">
        <v>0</v>
      </c>
      <c r="CY136" s="43">
        <v>0</v>
      </c>
      <c r="CZ136" s="5"/>
      <c r="DA136" s="78">
        <v>0</v>
      </c>
      <c r="DB136" s="43">
        <v>0</v>
      </c>
      <c r="DC136" s="5"/>
      <c r="DD136" s="78">
        <v>29.121055930900873</v>
      </c>
      <c r="DE136" s="43">
        <v>0</v>
      </c>
      <c r="DF136" s="5"/>
      <c r="DG136" s="78">
        <v>0</v>
      </c>
      <c r="DH136" s="43"/>
      <c r="DI136" s="5"/>
      <c r="DJ136" s="43">
        <v>296.62092008699284</v>
      </c>
      <c r="DK136" s="43">
        <f t="shared" si="14"/>
        <v>0</v>
      </c>
      <c r="DL136" s="59">
        <f t="shared" si="15"/>
        <v>-296.62092008699284</v>
      </c>
    </row>
    <row r="137" spans="1:116" ht="24.9" customHeight="1" x14ac:dyDescent="0.3">
      <c r="A137" s="328">
        <v>150001033</v>
      </c>
      <c r="B137" s="45" t="s">
        <v>362</v>
      </c>
      <c r="C137" s="1035">
        <v>9</v>
      </c>
      <c r="D137" s="1036" t="s">
        <v>454</v>
      </c>
      <c r="E137" s="1028">
        <f>'побудинковий звіт'!E135</f>
        <v>100.2</v>
      </c>
      <c r="F137" s="1029">
        <f>'побудинковий звіт'!AS135</f>
        <v>74458.814502803594</v>
      </c>
      <c r="G137" s="1029">
        <f t="shared" si="8"/>
        <v>32600.305378878493</v>
      </c>
      <c r="H137" s="1029">
        <f t="shared" si="9"/>
        <v>-41858.509123925105</v>
      </c>
      <c r="I137" s="43">
        <f>'[1]поточний ремонт'!I137+'[2]поточний ремонт'!I137-'[3]поточний ремонт'!I137</f>
        <v>0</v>
      </c>
      <c r="J137" s="43">
        <f>'[1]поточний ремонт'!J137+'[2]поточний ремонт'!J137-'[3]поточний ремонт'!J137</f>
        <v>0</v>
      </c>
      <c r="K137" s="1037"/>
      <c r="L137" s="43">
        <f>'[1]поточний ремонт'!L137+'[2]поточний ремонт'!L137-'[3]поточний ремонт'!L137</f>
        <v>0</v>
      </c>
      <c r="M137" s="43">
        <f>'[1]поточний ремонт'!M137+'[2]поточний ремонт'!M137-'[3]поточний ремонт'!M137</f>
        <v>0</v>
      </c>
      <c r="N137" s="37"/>
      <c r="O137" s="43">
        <f>'[1]поточний ремонт'!O137+'[2]поточний ремонт'!O137-'[3]поточний ремонт'!O137</f>
        <v>0</v>
      </c>
      <c r="P137" s="43">
        <f>'[1]поточний ремонт'!P137+'[2]поточний ремонт'!P137-'[3]поточний ремонт'!P137</f>
        <v>0</v>
      </c>
      <c r="Q137" s="1038"/>
      <c r="R137" s="43">
        <f>'[1]поточний ремонт'!R137+'[2]поточний ремонт'!R137-'[3]поточний ремонт'!R137</f>
        <v>5</v>
      </c>
      <c r="S137" s="43">
        <f>'[1]поточний ремонт'!S137+'[2]поточний ремонт'!S137-'[3]поточний ремонт'!S137</f>
        <v>12820</v>
      </c>
      <c r="T137" s="1047"/>
      <c r="U137" s="43">
        <f>'[1]поточний ремонт'!U137+'[2]поточний ремонт'!U137-'[3]поточний ремонт'!U137</f>
        <v>0</v>
      </c>
      <c r="V137" s="43">
        <f>'[1]поточний ремонт'!V137+'[2]поточний ремонт'!V137-'[3]поточний ремонт'!V137</f>
        <v>0</v>
      </c>
      <c r="W137" s="43">
        <f>'[1]поточний ремонт'!W137+'[2]поточний ремонт'!W137-'[3]поточний ремонт'!W137</f>
        <v>4</v>
      </c>
      <c r="X137" s="43">
        <f>'[1]поточний ремонт'!X137+'[2]поточний ремонт'!X137-'[3]поточний ремонт'!X137</f>
        <v>3163.3053788784937</v>
      </c>
      <c r="Y137" s="43">
        <f>'[1]поточний ремонт'!Y137+'[2]поточний ремонт'!Y137-'[3]поточний ремонт'!Y137</f>
        <v>0</v>
      </c>
      <c r="Z137" s="43">
        <f>'[1]поточний ремонт'!Z137+'[2]поточний ремонт'!Z137-'[3]поточний ремонт'!Z137</f>
        <v>0</v>
      </c>
      <c r="AA137" s="43">
        <f>'[1]поточний ремонт'!AA137+'[2]поточний ремонт'!AA137-'[3]поточний ремонт'!AA137</f>
        <v>0</v>
      </c>
      <c r="AB137" s="43">
        <f>'[1]поточний ремонт'!AB137+'[2]поточний ремонт'!AB137-'[3]поточний ремонт'!AB137</f>
        <v>2581</v>
      </c>
      <c r="AC137" s="43">
        <f>'[1]поточний ремонт'!AC137+'[2]поточний ремонт'!AC137-'[3]поточний ремонт'!AC137</f>
        <v>1458</v>
      </c>
      <c r="AD137" s="43">
        <f>'[1]поточний ремонт'!AD137+'[2]поточний ремонт'!AD137-'[3]поточний ремонт'!AD137</f>
        <v>12578</v>
      </c>
      <c r="AE137" s="43">
        <f>'[1]поточний ремонт'!AE137+'[2]поточний ремонт'!AE137-'[3]поточний ремонт'!AE137</f>
        <v>968.61593634290193</v>
      </c>
      <c r="AF137" s="43">
        <f>'[1]поточний ремонт'!AF137+'[2]поточний ремонт'!AF137-'[3]поточний ремонт'!AF137</f>
        <v>610</v>
      </c>
      <c r="AG137" s="5"/>
      <c r="AH137" s="43">
        <f>'[1]поточний ремонт'!AH137+'[2]поточний ремонт'!AH137-'[3]поточний ремонт'!AH137</f>
        <v>1301.1151289848876</v>
      </c>
      <c r="AI137" s="43">
        <f>'[1]поточний ремонт'!AI137+'[2]поточний ремонт'!AI137-'[3]поточний ремонт'!AI137</f>
        <v>0</v>
      </c>
      <c r="AJ137" s="5"/>
      <c r="AK137" s="43">
        <f>'[1]поточний ремонт'!AK137+'[2]поточний ремонт'!AK137-'[3]поточний ремонт'!AK137</f>
        <v>1470.8501088812288</v>
      </c>
      <c r="AL137" s="43">
        <f>'[1]поточний ремонт'!AL137+'[2]поточний ремонт'!AL137-'[3]поточний ремонт'!AL137</f>
        <v>426.6062064460242</v>
      </c>
      <c r="AM137" s="5"/>
      <c r="AN137" s="43">
        <f>'[1]поточний ремонт'!AN137+'[2]поточний ремонт'!AN137-'[3]поточний ремонт'!AN137</f>
        <v>597.02457128481444</v>
      </c>
      <c r="AO137" s="43">
        <f>'[1]поточний ремонт'!AO137+'[2]поточний ремонт'!AO137-'[3]поточний ремонт'!AO137</f>
        <v>0</v>
      </c>
      <c r="AP137" s="5"/>
      <c r="AQ137" s="43">
        <f>'[1]поточний ремонт'!AQ137+'[2]поточний ремонт'!AQ137-'[3]поточний ремонт'!AQ137</f>
        <v>395.76741189229665</v>
      </c>
      <c r="AR137" s="43">
        <f>'[1]поточний ремонт'!AR137+'[2]поточний ремонт'!AR137-'[3]поточний ремонт'!AR137</f>
        <v>0</v>
      </c>
      <c r="AS137" s="5"/>
      <c r="AT137" s="43">
        <f>'[1]поточний ремонт'!AT137+'[2]поточний ремонт'!AT137-'[3]поточний ремонт'!AT137</f>
        <v>863.94389620380832</v>
      </c>
      <c r="AU137" s="43">
        <f>'[1]поточний ремонт'!AU137+'[2]поточний ремонт'!AU137-'[3]поточний ремонт'!AU137</f>
        <v>3939</v>
      </c>
      <c r="AV137" s="5"/>
      <c r="AW137" s="43">
        <f>'[1]поточний ремонт'!AW137+'[2]поточний ремонт'!AW137-'[3]поточний ремонт'!AW137</f>
        <v>394.89345310091193</v>
      </c>
      <c r="AX137" s="43">
        <f>'[1]поточний ремонт'!AX137+'[2]поточний ремонт'!AX137-'[3]поточний ремонт'!AX137</f>
        <v>0</v>
      </c>
      <c r="AY137" s="5"/>
      <c r="AZ137" s="43">
        <f t="shared" si="10"/>
        <v>5992.2105066908498</v>
      </c>
      <c r="BA137" s="43">
        <f t="shared" si="11"/>
        <v>4975.6062064460239</v>
      </c>
      <c r="BB137" s="59">
        <f t="shared" si="12"/>
        <v>-1016.6043002448259</v>
      </c>
      <c r="BD137" s="2">
        <v>1</v>
      </c>
      <c r="BF137" s="30">
        <v>188.00003487136451</v>
      </c>
      <c r="BG137" s="328">
        <v>150001033</v>
      </c>
      <c r="BI137" s="107">
        <v>24.2</v>
      </c>
      <c r="BJ137" s="107">
        <f t="shared" si="13"/>
        <v>3.4040252399999997</v>
      </c>
      <c r="BK137" s="107">
        <v>27.9095162632</v>
      </c>
      <c r="BL137" s="39"/>
      <c r="BM137" s="3"/>
      <c r="BN137" s="3">
        <v>0</v>
      </c>
      <c r="BP137" s="3"/>
      <c r="BQ137" s="3"/>
      <c r="BS137" s="43"/>
      <c r="BT137" s="43">
        <v>0</v>
      </c>
      <c r="BU137" s="1037"/>
      <c r="BV137" s="42"/>
      <c r="BW137" s="43"/>
      <c r="BX137" s="37"/>
      <c r="BY137" s="78"/>
      <c r="BZ137" s="43">
        <v>0</v>
      </c>
      <c r="CA137" s="1038"/>
      <c r="CB137" s="42">
        <v>3</v>
      </c>
      <c r="CC137" s="42">
        <v>138864.01524754686</v>
      </c>
      <c r="CD137" s="1047"/>
      <c r="CE137" s="78">
        <v>406.02120992351928</v>
      </c>
      <c r="CF137" s="56"/>
      <c r="CG137" s="42">
        <v>0</v>
      </c>
      <c r="CH137" s="39">
        <v>27.9095162632</v>
      </c>
      <c r="CI137" s="78">
        <v>0</v>
      </c>
      <c r="CJ137" s="56"/>
      <c r="CK137" s="1034"/>
      <c r="CL137" s="1029"/>
      <c r="CM137" s="1034"/>
      <c r="CN137" s="1029">
        <v>413.69229442551807</v>
      </c>
      <c r="CO137" s="78">
        <v>80.717994695241828</v>
      </c>
      <c r="CP137" s="43">
        <v>0</v>
      </c>
      <c r="CQ137" s="5"/>
      <c r="CR137" s="78">
        <v>108.42626074874063</v>
      </c>
      <c r="CS137" s="1033">
        <v>0</v>
      </c>
      <c r="CT137" s="5"/>
      <c r="CU137" s="78">
        <v>122.57084240676906</v>
      </c>
      <c r="CV137" s="43">
        <v>0</v>
      </c>
      <c r="CW137" s="5"/>
      <c r="CX137" s="78">
        <v>49.752047607067865</v>
      </c>
      <c r="CY137" s="43">
        <v>0</v>
      </c>
      <c r="CZ137" s="5"/>
      <c r="DA137" s="78">
        <v>32.980617657691397</v>
      </c>
      <c r="DB137" s="43">
        <v>0</v>
      </c>
      <c r="DC137" s="5"/>
      <c r="DD137" s="78">
        <v>71.995324683650708</v>
      </c>
      <c r="DE137" s="43">
        <v>0</v>
      </c>
      <c r="DF137" s="5"/>
      <c r="DG137" s="78">
        <v>32.907787758409334</v>
      </c>
      <c r="DH137" s="43"/>
      <c r="DI137" s="5"/>
      <c r="DJ137" s="43">
        <v>499.35087555757076</v>
      </c>
      <c r="DK137" s="43">
        <f t="shared" si="14"/>
        <v>0</v>
      </c>
      <c r="DL137" s="59">
        <f t="shared" si="15"/>
        <v>-499.35087555757076</v>
      </c>
    </row>
    <row r="138" spans="1:116" ht="24.9" customHeight="1" x14ac:dyDescent="0.3">
      <c r="A138" s="328">
        <v>150001009</v>
      </c>
      <c r="B138" s="45" t="s">
        <v>212</v>
      </c>
      <c r="C138" s="1035">
        <v>4</v>
      </c>
      <c r="D138" s="1036" t="s">
        <v>454</v>
      </c>
      <c r="E138" s="1028">
        <f>'побудинковий звіт'!E136</f>
        <v>3162.15</v>
      </c>
      <c r="F138" s="1029">
        <f>'побудинковий звіт'!AS136</f>
        <v>18402.43746795717</v>
      </c>
      <c r="G138" s="1029">
        <f t="shared" si="8"/>
        <v>230</v>
      </c>
      <c r="H138" s="1029">
        <f t="shared" si="9"/>
        <v>-18172.43746795717</v>
      </c>
      <c r="I138" s="43">
        <f>'[1]поточний ремонт'!I138+'[2]поточний ремонт'!I138-'[3]поточний ремонт'!I138</f>
        <v>0</v>
      </c>
      <c r="J138" s="43">
        <f>'[1]поточний ремонт'!J138+'[2]поточний ремонт'!J138-'[3]поточний ремонт'!J138</f>
        <v>0</v>
      </c>
      <c r="K138" s="1041"/>
      <c r="L138" s="43">
        <f>'[1]поточний ремонт'!L138+'[2]поточний ремонт'!L138-'[3]поточний ремонт'!L138</f>
        <v>0</v>
      </c>
      <c r="M138" s="43">
        <f>'[1]поточний ремонт'!M138+'[2]поточний ремонт'!M138-'[3]поточний ремонт'!M138</f>
        <v>0</v>
      </c>
      <c r="N138" s="37"/>
      <c r="O138" s="43">
        <f>'[1]поточний ремонт'!O138+'[2]поточний ремонт'!O138-'[3]поточний ремонт'!O138</f>
        <v>0</v>
      </c>
      <c r="P138" s="43">
        <f>'[1]поточний ремонт'!P138+'[2]поточний ремонт'!P138-'[3]поточний ремонт'!P138</f>
        <v>0</v>
      </c>
      <c r="Q138" s="1038"/>
      <c r="R138" s="43">
        <f>'[1]поточний ремонт'!R138+'[2]поточний ремонт'!R138-'[3]поточний ремонт'!R138</f>
        <v>0</v>
      </c>
      <c r="S138" s="43">
        <f>'[1]поточний ремонт'!S138+'[2]поточний ремонт'!S138-'[3]поточний ремонт'!S138</f>
        <v>0</v>
      </c>
      <c r="T138" s="1039"/>
      <c r="U138" s="43">
        <f>'[1]поточний ремонт'!U138+'[2]поточний ремонт'!U138-'[3]поточний ремонт'!U138</f>
        <v>0</v>
      </c>
      <c r="V138" s="43">
        <f>'[1]поточний ремонт'!V138+'[2]поточний ремонт'!V138-'[3]поточний ремонт'!V138</f>
        <v>0</v>
      </c>
      <c r="W138" s="43">
        <f>'[1]поточний ремонт'!W138+'[2]поточний ремонт'!W138-'[3]поточний ремонт'!W138</f>
        <v>0</v>
      </c>
      <c r="X138" s="43">
        <f>'[1]поточний ремонт'!X138+'[2]поточний ремонт'!X138-'[3]поточний ремонт'!X138</f>
        <v>0</v>
      </c>
      <c r="Y138" s="43">
        <f>'[1]поточний ремонт'!Y138+'[2]поточний ремонт'!Y138-'[3]поточний ремонт'!Y138</f>
        <v>0</v>
      </c>
      <c r="Z138" s="43">
        <f>'[1]поточний ремонт'!Z138+'[2]поточний ремонт'!Z138-'[3]поточний ремонт'!Z138</f>
        <v>0</v>
      </c>
      <c r="AA138" s="43">
        <f>'[1]поточний ремонт'!AA138+'[2]поточний ремонт'!AA138-'[3]поточний ремонт'!AA138</f>
        <v>0</v>
      </c>
      <c r="AB138" s="43">
        <f>'[1]поточний ремонт'!AB138+'[2]поточний ремонт'!AB138-'[3]поточний ремонт'!AB138</f>
        <v>0</v>
      </c>
      <c r="AC138" s="43">
        <f>'[1]поточний ремонт'!AC138+'[2]поточний ремонт'!AC138-'[3]поточний ремонт'!AC138</f>
        <v>230</v>
      </c>
      <c r="AD138" s="43">
        <f>'[1]поточний ремонт'!AD138+'[2]поточний ремонт'!AD138-'[3]поточний ремонт'!AD138</f>
        <v>0</v>
      </c>
      <c r="AE138" s="43">
        <f>'[1]поточний ремонт'!AE138+'[2]поточний ремонт'!AE138-'[3]поточний ремонт'!AE138</f>
        <v>857.03979903924915</v>
      </c>
      <c r="AF138" s="43">
        <f>'[1]поточний ремонт'!AF138+'[2]поточний ремонт'!AF138-'[3]поточний ремонт'!AF138</f>
        <v>0</v>
      </c>
      <c r="AG138" s="5"/>
      <c r="AH138" s="43">
        <f>'[1]поточний ремонт'!AH138+'[2]поточний ремонт'!AH138-'[3]поточний ремонт'!AH138</f>
        <v>1174.5740094673354</v>
      </c>
      <c r="AI138" s="43">
        <f>'[1]поточний ремонт'!AI138+'[2]поточний ремонт'!AI138-'[3]поточний ремонт'!AI138</f>
        <v>0</v>
      </c>
      <c r="AJ138" s="5"/>
      <c r="AK138" s="43">
        <f>'[1]поточний ремонт'!AK138+'[2]поточний ремонт'!AK138-'[3]поточний ремонт'!AK138</f>
        <v>1115.367375233762</v>
      </c>
      <c r="AL138" s="43">
        <f>'[1]поточний ремонт'!AL138+'[2]поточний ремонт'!AL138-'[3]поточний ремонт'!AL138</f>
        <v>0</v>
      </c>
      <c r="AM138" s="5"/>
      <c r="AN138" s="43">
        <f>'[1]поточний ремонт'!AN138+'[2]поточний ремонт'!AN138-'[3]поточний ремонт'!AN138</f>
        <v>0</v>
      </c>
      <c r="AO138" s="43">
        <f>'[1]поточний ремонт'!AO138+'[2]поточний ремонт'!AO138-'[3]поточний ремонт'!AO138</f>
        <v>0</v>
      </c>
      <c r="AP138" s="5"/>
      <c r="AQ138" s="43">
        <f>'[1]поточний ремонт'!AQ138+'[2]поточний ремонт'!AQ138-'[3]поточний ремонт'!AQ138</f>
        <v>0</v>
      </c>
      <c r="AR138" s="43">
        <f>'[1]поточний ремонт'!AR138+'[2]поточний ремонт'!AR138-'[3]поточний ремонт'!AR138</f>
        <v>0</v>
      </c>
      <c r="AS138" s="5"/>
      <c r="AT138" s="43">
        <f>'[1]поточний ремонт'!AT138+'[2]поточний ремонт'!AT138-'[3]поточний ремонт'!AT138</f>
        <v>349.45267117081045</v>
      </c>
      <c r="AU138" s="43">
        <f>'[1]поточний ремонт'!AU138+'[2]поточний ремонт'!AU138-'[3]поточний ремонт'!AU138</f>
        <v>0</v>
      </c>
      <c r="AV138" s="5"/>
      <c r="AW138" s="43">
        <f>'[1]поточний ремонт'!AW138+'[2]поточний ремонт'!AW138-'[3]поточний ремонт'!AW138</f>
        <v>0</v>
      </c>
      <c r="AX138" s="43">
        <f>'[1]поточний ремонт'!AX138+'[2]поточний ремонт'!AX138-'[3]поточний ремонт'!AX138</f>
        <v>0</v>
      </c>
      <c r="AY138" s="5"/>
      <c r="AZ138" s="43">
        <f t="shared" si="10"/>
        <v>3496.4338549111571</v>
      </c>
      <c r="BA138" s="43">
        <f t="shared" si="11"/>
        <v>0</v>
      </c>
      <c r="BB138" s="59">
        <f t="shared" si="12"/>
        <v>-3496.4338549111571</v>
      </c>
      <c r="BD138" s="2">
        <v>2</v>
      </c>
      <c r="BF138" s="30">
        <v>115.74249403253711</v>
      </c>
      <c r="BG138" s="328">
        <v>150001009</v>
      </c>
      <c r="BI138" s="107">
        <v>0</v>
      </c>
      <c r="BJ138" s="107">
        <f t="shared" si="13"/>
        <v>0</v>
      </c>
      <c r="BK138" s="107">
        <v>0</v>
      </c>
      <c r="BL138" s="39"/>
      <c r="BM138" s="3"/>
      <c r="BN138" s="3">
        <v>0</v>
      </c>
      <c r="BP138" s="3"/>
      <c r="BQ138" s="3"/>
      <c r="BS138" s="43"/>
      <c r="BT138" s="43">
        <v>0</v>
      </c>
      <c r="BU138" s="1041"/>
      <c r="BV138" s="42"/>
      <c r="BW138" s="43"/>
      <c r="BX138" s="37"/>
      <c r="BY138" s="78"/>
      <c r="BZ138" s="43">
        <v>0</v>
      </c>
      <c r="CA138" s="1038"/>
      <c r="CB138" s="42"/>
      <c r="CC138" s="42">
        <v>0</v>
      </c>
      <c r="CD138" s="1039"/>
      <c r="CE138" s="78">
        <v>0</v>
      </c>
      <c r="CF138" s="56"/>
      <c r="CG138" s="42">
        <v>0</v>
      </c>
      <c r="CH138" s="39">
        <v>0</v>
      </c>
      <c r="CI138" s="78">
        <v>0</v>
      </c>
      <c r="CJ138" s="56"/>
      <c r="CK138" s="1034"/>
      <c r="CL138" s="1029">
        <v>1245</v>
      </c>
      <c r="CM138" s="1034"/>
      <c r="CN138" s="1029">
        <v>0</v>
      </c>
      <c r="CO138" s="78">
        <v>71.419983253270772</v>
      </c>
      <c r="CP138" s="43">
        <v>0</v>
      </c>
      <c r="CQ138" s="5"/>
      <c r="CR138" s="78">
        <v>97.881167455611291</v>
      </c>
      <c r="CS138" s="1033">
        <v>0</v>
      </c>
      <c r="CT138" s="5"/>
      <c r="CU138" s="78">
        <v>92.947281269480158</v>
      </c>
      <c r="CV138" s="43">
        <v>0</v>
      </c>
      <c r="CW138" s="5"/>
      <c r="CX138" s="78">
        <v>0</v>
      </c>
      <c r="CY138" s="43">
        <v>0</v>
      </c>
      <c r="CZ138" s="5"/>
      <c r="DA138" s="78">
        <v>0</v>
      </c>
      <c r="DB138" s="43">
        <v>0</v>
      </c>
      <c r="DC138" s="5"/>
      <c r="DD138" s="78">
        <v>29.121055930900873</v>
      </c>
      <c r="DE138" s="43">
        <v>0</v>
      </c>
      <c r="DF138" s="5"/>
      <c r="DG138" s="78">
        <v>0</v>
      </c>
      <c r="DH138" s="43"/>
      <c r="DI138" s="5"/>
      <c r="DJ138" s="43">
        <v>291.36948790926306</v>
      </c>
      <c r="DK138" s="43">
        <f t="shared" si="14"/>
        <v>0</v>
      </c>
      <c r="DL138" s="59">
        <f t="shared" si="15"/>
        <v>-291.36948790926306</v>
      </c>
    </row>
    <row r="139" spans="1:116" ht="24.9" customHeight="1" x14ac:dyDescent="0.3">
      <c r="A139" s="328">
        <v>150001010</v>
      </c>
      <c r="B139" s="45" t="s">
        <v>164</v>
      </c>
      <c r="C139" s="1035">
        <v>2</v>
      </c>
      <c r="D139" s="1036" t="s">
        <v>454</v>
      </c>
      <c r="E139" s="1028">
        <f>'побудинковий звіт'!E137</f>
        <v>7316.74</v>
      </c>
      <c r="F139" s="1029">
        <f>'побудинковий звіт'!AS137</f>
        <v>9048.6808015984734</v>
      </c>
      <c r="G139" s="1029">
        <f t="shared" ref="G139:G202" si="16">J139+M139+P139+S139+U139+X139+Y139+AA139+AB139+AC139+AD139</f>
        <v>5680</v>
      </c>
      <c r="H139" s="1029">
        <f t="shared" ref="H139:H202" si="17">G139-F139</f>
        <v>-3368.6808015984734</v>
      </c>
      <c r="I139" s="43">
        <f>'[1]поточний ремонт'!I139+'[2]поточний ремонт'!I139-'[3]поточний ремонт'!I139</f>
        <v>0</v>
      </c>
      <c r="J139" s="43">
        <f>'[1]поточний ремонт'!J139+'[2]поточний ремонт'!J139-'[3]поточний ремонт'!J139</f>
        <v>0</v>
      </c>
      <c r="K139" s="1037"/>
      <c r="L139" s="43">
        <f>'[1]поточний ремонт'!L139+'[2]поточний ремонт'!L139-'[3]поточний ремонт'!L139</f>
        <v>0</v>
      </c>
      <c r="M139" s="43">
        <f>'[1]поточний ремонт'!M139+'[2]поточний ремонт'!M139-'[3]поточний ремонт'!M139</f>
        <v>0</v>
      </c>
      <c r="N139" s="1039"/>
      <c r="O139" s="43">
        <f>'[1]поточний ремонт'!O139+'[2]поточний ремонт'!O139-'[3]поточний ремонт'!O139</f>
        <v>0</v>
      </c>
      <c r="P139" s="43">
        <f>'[1]поточний ремонт'!P139+'[2]поточний ремонт'!P139-'[3]поточний ремонт'!P139</f>
        <v>0</v>
      </c>
      <c r="Q139" s="1038"/>
      <c r="R139" s="43">
        <f>'[1]поточний ремонт'!R139+'[2]поточний ремонт'!R139-'[3]поточний ремонт'!R139</f>
        <v>0</v>
      </c>
      <c r="S139" s="43">
        <f>'[1]поточний ремонт'!S139+'[2]поточний ремонт'!S139-'[3]поточний ремонт'!S139</f>
        <v>0</v>
      </c>
      <c r="T139" s="1039"/>
      <c r="U139" s="43">
        <f>'[1]поточний ремонт'!U139+'[2]поточний ремонт'!U139-'[3]поточний ремонт'!U139</f>
        <v>0</v>
      </c>
      <c r="V139" s="43">
        <f>'[1]поточний ремонт'!V139+'[2]поточний ремонт'!V139-'[3]поточний ремонт'!V139</f>
        <v>0</v>
      </c>
      <c r="W139" s="43">
        <f>'[1]поточний ремонт'!W139+'[2]поточний ремонт'!W139-'[3]поточний ремонт'!W139</f>
        <v>0</v>
      </c>
      <c r="X139" s="43">
        <f>'[1]поточний ремонт'!X139+'[2]поточний ремонт'!X139-'[3]поточний ремонт'!X139</f>
        <v>0</v>
      </c>
      <c r="Y139" s="43">
        <f>'[1]поточний ремонт'!Y139+'[2]поточний ремонт'!Y139-'[3]поточний ремонт'!Y139</f>
        <v>0</v>
      </c>
      <c r="Z139" s="43">
        <f>'[1]поточний ремонт'!Z139+'[2]поточний ремонт'!Z139-'[3]поточний ремонт'!Z139</f>
        <v>0</v>
      </c>
      <c r="AA139" s="43">
        <f>'[1]поточний ремонт'!AA139+'[2]поточний ремонт'!AA139-'[3]поточний ремонт'!AA139</f>
        <v>0</v>
      </c>
      <c r="AB139" s="43">
        <f>'[1]поточний ремонт'!AB139+'[2]поточний ремонт'!AB139-'[3]поточний ремонт'!AB139</f>
        <v>0</v>
      </c>
      <c r="AC139" s="43">
        <f>'[1]поточний ремонт'!AC139+'[2]поточний ремонт'!AC139-'[3]поточний ремонт'!AC139</f>
        <v>5680</v>
      </c>
      <c r="AD139" s="43">
        <f>'[1]поточний ремонт'!AD139+'[2]поточний ремонт'!AD139-'[3]поточний ремонт'!AD139</f>
        <v>0</v>
      </c>
      <c r="AE139" s="43">
        <f>'[1]поточний ремонт'!AE139+'[2]поточний ремонт'!AE139-'[3]поточний ремонт'!AE139</f>
        <v>575.39784503202395</v>
      </c>
      <c r="AF139" s="43">
        <f>'[1]поточний ремонт'!AF139+'[2]поточний ремонт'!AF139-'[3]поточний ремонт'!AF139</f>
        <v>0</v>
      </c>
      <c r="AG139" s="5"/>
      <c r="AH139" s="43">
        <f>'[1]поточний ремонт'!AH139+'[2]поточний ремонт'!AH139-'[3]поточний ремонт'!AH139</f>
        <v>896.34213357644535</v>
      </c>
      <c r="AI139" s="43">
        <f>'[1]поточний ремонт'!AI139+'[2]поточний ремонт'!AI139-'[3]поточний ремонт'!AI139</f>
        <v>0</v>
      </c>
      <c r="AJ139" s="5"/>
      <c r="AK139" s="43">
        <f>'[1]поточний ремонт'!AK139+'[2]поточний ремонт'!AK139-'[3]поточний ремонт'!AK139</f>
        <v>455.88890488936164</v>
      </c>
      <c r="AL139" s="43">
        <f>'[1]поточний ремонт'!AL139+'[2]поточний ремонт'!AL139-'[3]поточний ремонт'!AL139</f>
        <v>0</v>
      </c>
      <c r="AM139" s="5"/>
      <c r="AN139" s="43">
        <f>'[1]поточний ремонт'!AN139+'[2]поточний ремонт'!AN139-'[3]поточний ремонт'!AN139</f>
        <v>0</v>
      </c>
      <c r="AO139" s="43">
        <f>'[1]поточний ремонт'!AO139+'[2]поточний ремонт'!AO139-'[3]поточний ремонт'!AO139</f>
        <v>0</v>
      </c>
      <c r="AP139" s="5"/>
      <c r="AQ139" s="43">
        <f>'[1]поточний ремонт'!AQ139+'[2]поточний ремонт'!AQ139-'[3]поточний ремонт'!AQ139</f>
        <v>0</v>
      </c>
      <c r="AR139" s="43">
        <f>'[1]поточний ремонт'!AR139+'[2]поточний ремонт'!AR139-'[3]поточний ремонт'!AR139</f>
        <v>0</v>
      </c>
      <c r="AS139" s="5"/>
      <c r="AT139" s="43">
        <f>'[1]поточний ремонт'!AT139+'[2]поточний ремонт'!AT139-'[3]поточний ремонт'!AT139</f>
        <v>244.6771623942879</v>
      </c>
      <c r="AU139" s="43">
        <f>'[1]поточний ремонт'!AU139+'[2]поточний ремонт'!AU139-'[3]поточний ремонт'!AU139</f>
        <v>0</v>
      </c>
      <c r="AV139" s="5"/>
      <c r="AW139" s="43">
        <f>'[1]поточний ремонт'!AW139+'[2]поточний ремонт'!AW139-'[3]поточний ремонт'!AW139</f>
        <v>0</v>
      </c>
      <c r="AX139" s="43">
        <f>'[1]поточний ремонт'!AX139+'[2]поточний ремонт'!AX139-'[3]поточний ремонт'!AX139</f>
        <v>0</v>
      </c>
      <c r="AY139" s="5"/>
      <c r="AZ139" s="43">
        <f t="shared" si="10"/>
        <v>2172.3060458921186</v>
      </c>
      <c r="BA139" s="43">
        <f t="shared" si="11"/>
        <v>0</v>
      </c>
      <c r="BB139" s="59">
        <f t="shared" si="12"/>
        <v>-2172.3060458921186</v>
      </c>
      <c r="BD139" s="2">
        <v>2</v>
      </c>
      <c r="BF139" s="30">
        <v>1.1199577181581886</v>
      </c>
      <c r="BG139" s="328">
        <v>150001010</v>
      </c>
      <c r="BI139" s="107">
        <v>0</v>
      </c>
      <c r="BJ139" s="107">
        <f t="shared" si="13"/>
        <v>0</v>
      </c>
      <c r="BK139" s="107">
        <v>0</v>
      </c>
      <c r="BL139" s="39"/>
      <c r="BM139" s="3"/>
      <c r="BN139" s="3">
        <v>0</v>
      </c>
      <c r="BP139" s="3"/>
      <c r="BQ139" s="3"/>
      <c r="BS139" s="43"/>
      <c r="BT139" s="43">
        <v>0</v>
      </c>
      <c r="BU139" s="1037"/>
      <c r="BV139" s="42"/>
      <c r="BW139" s="43"/>
      <c r="BX139" s="1039"/>
      <c r="BY139" s="78"/>
      <c r="BZ139" s="43">
        <v>0</v>
      </c>
      <c r="CA139" s="1038"/>
      <c r="CB139" s="42"/>
      <c r="CC139" s="42">
        <v>0</v>
      </c>
      <c r="CD139" s="1039"/>
      <c r="CE139" s="78">
        <v>0</v>
      </c>
      <c r="CF139" s="56"/>
      <c r="CG139" s="42">
        <v>0</v>
      </c>
      <c r="CH139" s="39">
        <v>0</v>
      </c>
      <c r="CI139" s="78">
        <v>1228.5574146076167</v>
      </c>
      <c r="CJ139" s="56"/>
      <c r="CK139" s="1034"/>
      <c r="CL139" s="1029"/>
      <c r="CM139" s="1034"/>
      <c r="CN139" s="1029">
        <v>0</v>
      </c>
      <c r="CO139" s="78">
        <v>47.949820419335339</v>
      </c>
      <c r="CP139" s="43">
        <v>0</v>
      </c>
      <c r="CQ139" s="5"/>
      <c r="CR139" s="78">
        <v>74.695177798037108</v>
      </c>
      <c r="CS139" s="1033">
        <v>0</v>
      </c>
      <c r="CT139" s="5"/>
      <c r="CU139" s="78">
        <v>37.990742074113463</v>
      </c>
      <c r="CV139" s="43">
        <v>0</v>
      </c>
      <c r="CW139" s="5"/>
      <c r="CX139" s="78">
        <v>0</v>
      </c>
      <c r="CY139" s="43">
        <v>0</v>
      </c>
      <c r="CZ139" s="5"/>
      <c r="DA139" s="78">
        <v>0</v>
      </c>
      <c r="DB139" s="43">
        <v>0</v>
      </c>
      <c r="DC139" s="5"/>
      <c r="DD139" s="78">
        <v>20.389763532857327</v>
      </c>
      <c r="DE139" s="43">
        <v>0</v>
      </c>
      <c r="DF139" s="5"/>
      <c r="DG139" s="78">
        <v>0</v>
      </c>
      <c r="DH139" s="43"/>
      <c r="DI139" s="5"/>
      <c r="DJ139" s="43">
        <v>181.02550382434325</v>
      </c>
      <c r="DK139" s="43">
        <f t="shared" si="14"/>
        <v>0</v>
      </c>
      <c r="DL139" s="59">
        <f t="shared" si="15"/>
        <v>-181.02550382434325</v>
      </c>
    </row>
    <row r="140" spans="1:116" ht="24.9" customHeight="1" x14ac:dyDescent="0.3">
      <c r="A140" s="328">
        <v>150001011</v>
      </c>
      <c r="B140" s="45" t="s">
        <v>165</v>
      </c>
      <c r="C140" s="1035">
        <v>2</v>
      </c>
      <c r="D140" s="1036" t="s">
        <v>454</v>
      </c>
      <c r="E140" s="1028">
        <f>'побудинковий звіт'!E138</f>
        <v>9469.1</v>
      </c>
      <c r="F140" s="1029">
        <f>'побудинковий звіт'!AS138</f>
        <v>6090.1891488953243</v>
      </c>
      <c r="G140" s="1029">
        <f t="shared" si="16"/>
        <v>1558</v>
      </c>
      <c r="H140" s="1029">
        <f t="shared" si="17"/>
        <v>-4532.1891488953243</v>
      </c>
      <c r="I140" s="43">
        <f>'[1]поточний ремонт'!I140+'[2]поточний ремонт'!I140-'[3]поточний ремонт'!I140</f>
        <v>5</v>
      </c>
      <c r="J140" s="43">
        <f>'[1]поточний ремонт'!J140+'[2]поточний ремонт'!J140-'[3]поточний ремонт'!J140</f>
        <v>1020</v>
      </c>
      <c r="K140" s="1037"/>
      <c r="L140" s="43">
        <f>'[1]поточний ремонт'!L140+'[2]поточний ремонт'!L140-'[3]поточний ремонт'!L140</f>
        <v>0</v>
      </c>
      <c r="M140" s="43">
        <f>'[1]поточний ремонт'!M140+'[2]поточний ремонт'!M140-'[3]поточний ремонт'!M140</f>
        <v>0</v>
      </c>
      <c r="N140" s="37"/>
      <c r="O140" s="43">
        <f>'[1]поточний ремонт'!O140+'[2]поточний ремонт'!O140-'[3]поточний ремонт'!O140</f>
        <v>0</v>
      </c>
      <c r="P140" s="43">
        <f>'[1]поточний ремонт'!P140+'[2]поточний ремонт'!P140-'[3]поточний ремонт'!P140</f>
        <v>0</v>
      </c>
      <c r="Q140" s="1038"/>
      <c r="R140" s="43">
        <f>'[1]поточний ремонт'!R140+'[2]поточний ремонт'!R140-'[3]поточний ремонт'!R140</f>
        <v>0</v>
      </c>
      <c r="S140" s="43">
        <f>'[1]поточний ремонт'!S140+'[2]поточний ремонт'!S140-'[3]поточний ремонт'!S140</f>
        <v>0</v>
      </c>
      <c r="T140" s="1039"/>
      <c r="U140" s="43">
        <f>'[1]поточний ремонт'!U140+'[2]поточний ремонт'!U140-'[3]поточний ремонт'!U140</f>
        <v>0</v>
      </c>
      <c r="V140" s="43">
        <f>'[1]поточний ремонт'!V140+'[2]поточний ремонт'!V140-'[3]поточний ремонт'!V140</f>
        <v>0</v>
      </c>
      <c r="W140" s="43">
        <f>'[1]поточний ремонт'!W140+'[2]поточний ремонт'!W140-'[3]поточний ремонт'!W140</f>
        <v>0</v>
      </c>
      <c r="X140" s="43">
        <f>'[1]поточний ремонт'!X140+'[2]поточний ремонт'!X140-'[3]поточний ремонт'!X140</f>
        <v>0</v>
      </c>
      <c r="Y140" s="43">
        <f>'[1]поточний ремонт'!Y140+'[2]поточний ремонт'!Y140-'[3]поточний ремонт'!Y140</f>
        <v>0</v>
      </c>
      <c r="Z140" s="43">
        <f>'[1]поточний ремонт'!Z140+'[2]поточний ремонт'!Z140-'[3]поточний ремонт'!Z140</f>
        <v>0</v>
      </c>
      <c r="AA140" s="43">
        <f>'[1]поточний ремонт'!AA140+'[2]поточний ремонт'!AA140-'[3]поточний ремонт'!AA140</f>
        <v>0</v>
      </c>
      <c r="AB140" s="43">
        <f>'[1]поточний ремонт'!AB140+'[2]поточний ремонт'!AB140-'[3]поточний ремонт'!AB140</f>
        <v>0</v>
      </c>
      <c r="AC140" s="43">
        <f>'[1]поточний ремонт'!AC140+'[2]поточний ремонт'!AC140-'[3]поточний ремонт'!AC140</f>
        <v>0</v>
      </c>
      <c r="AD140" s="43">
        <f>'[1]поточний ремонт'!AD140+'[2]поточний ремонт'!AD140-'[3]поточний ремонт'!AD140</f>
        <v>538</v>
      </c>
      <c r="AE140" s="43">
        <f>'[1]поточний ремонт'!AE140+'[2]поточний ремонт'!AE140-'[3]поточний ремонт'!AE140</f>
        <v>354.51183936379158</v>
      </c>
      <c r="AF140" s="43">
        <f>'[1]поточний ремонт'!AF140+'[2]поточний ремонт'!AF140-'[3]поточний ремонт'!AF140</f>
        <v>0</v>
      </c>
      <c r="AG140" s="5"/>
      <c r="AH140" s="43">
        <f>'[1]поточний ремонт'!AH140+'[2]поточний ремонт'!AH140-'[3]поточний ремонт'!AH140</f>
        <v>432.5264025534882</v>
      </c>
      <c r="AI140" s="43">
        <f>'[1]поточний ремонт'!AI140+'[2]поточний ремонт'!AI140-'[3]поточний ремонт'!AI140</f>
        <v>0</v>
      </c>
      <c r="AJ140" s="5"/>
      <c r="AK140" s="43">
        <f>'[1]поточний ремонт'!AK140+'[2]поточний ремонт'!AK140-'[3]поточний ремонт'!AK140</f>
        <v>265.25455075913317</v>
      </c>
      <c r="AL140" s="43">
        <f>'[1]поточний ремонт'!AL140+'[2]поточний ремонт'!AL140-'[3]поточний ремонт'!AL140</f>
        <v>0</v>
      </c>
      <c r="AM140" s="5"/>
      <c r="AN140" s="43">
        <f>'[1]поточний ремонт'!AN140+'[2]поточний ремонт'!AN140-'[3]поточний ремонт'!AN140</f>
        <v>0</v>
      </c>
      <c r="AO140" s="43">
        <f>'[1]поточний ремонт'!AO140+'[2]поточний ремонт'!AO140-'[3]поточний ремонт'!AO140</f>
        <v>0</v>
      </c>
      <c r="AP140" s="5"/>
      <c r="AQ140" s="43">
        <f>'[1]поточний ремонт'!AQ140+'[2]поточний ремонт'!AQ140-'[3]поточний ремонт'!AQ140</f>
        <v>0</v>
      </c>
      <c r="AR140" s="43">
        <f>'[1]поточний ремонт'!AR140+'[2]поточний ремонт'!AR140-'[3]поточний ремонт'!AR140</f>
        <v>0</v>
      </c>
      <c r="AS140" s="5"/>
      <c r="AT140" s="43">
        <f>'[1]поточний ремонт'!AT140+'[2]поточний ремонт'!AT140-'[3]поточний ремонт'!AT140</f>
        <v>78.787193100235982</v>
      </c>
      <c r="AU140" s="43">
        <f>'[1]поточний ремонт'!AU140+'[2]поточний ремонт'!AU140-'[3]поточний ремонт'!AU140</f>
        <v>0</v>
      </c>
      <c r="AV140" s="5"/>
      <c r="AW140" s="43">
        <f>'[1]поточний ремонт'!AW140+'[2]поточний ремонт'!AW140-'[3]поточний ремонт'!AW140</f>
        <v>0</v>
      </c>
      <c r="AX140" s="43">
        <f>'[1]поточний ремонт'!AX140+'[2]поточний ремонт'!AX140-'[3]поточний ремонт'!AX140</f>
        <v>0</v>
      </c>
      <c r="AY140" s="5"/>
      <c r="AZ140" s="43">
        <f t="shared" ref="AZ140:AZ203" si="18">AE140+AH140+AK140+AN140+AQ140+AT140+AW140</f>
        <v>1131.0799857766488</v>
      </c>
      <c r="BA140" s="43">
        <f t="shared" ref="BA140:BA203" si="19">AF140+AI140+AL140+AO140+AR140+AU140+AX140</f>
        <v>0</v>
      </c>
      <c r="BB140" s="59">
        <f t="shared" ref="BB140:BB203" si="20">BA140-AZ140</f>
        <v>-1131.0799857766488</v>
      </c>
      <c r="BD140" s="2">
        <v>2</v>
      </c>
      <c r="BF140" s="30">
        <v>0.61767099505620493</v>
      </c>
      <c r="BG140" s="328">
        <v>150001011</v>
      </c>
      <c r="BI140" s="107">
        <v>0</v>
      </c>
      <c r="BJ140" s="107">
        <f t="shared" ref="BJ140:BJ203" si="21">BI140*$BJ$10</f>
        <v>0</v>
      </c>
      <c r="BK140" s="107">
        <v>0</v>
      </c>
      <c r="BL140" s="39"/>
      <c r="BM140" s="3"/>
      <c r="BN140" s="3">
        <v>0</v>
      </c>
      <c r="BP140" s="3"/>
      <c r="BQ140" s="3"/>
      <c r="BS140" s="43"/>
      <c r="BT140" s="43">
        <v>0</v>
      </c>
      <c r="BU140" s="1037"/>
      <c r="BV140" s="42"/>
      <c r="BW140" s="43"/>
      <c r="BX140" s="37"/>
      <c r="BY140" s="78"/>
      <c r="BZ140" s="43">
        <v>0</v>
      </c>
      <c r="CA140" s="1038"/>
      <c r="CB140" s="42"/>
      <c r="CC140" s="42">
        <v>0</v>
      </c>
      <c r="CD140" s="1039"/>
      <c r="CE140" s="78">
        <v>0</v>
      </c>
      <c r="CF140" s="56"/>
      <c r="CG140" s="42">
        <v>0</v>
      </c>
      <c r="CH140" s="39">
        <v>0</v>
      </c>
      <c r="CI140" s="78">
        <v>0</v>
      </c>
      <c r="CJ140" s="56"/>
      <c r="CK140" s="1034"/>
      <c r="CL140" s="1029"/>
      <c r="CM140" s="1034"/>
      <c r="CN140" s="1029">
        <v>0</v>
      </c>
      <c r="CO140" s="78">
        <v>29.542653280315967</v>
      </c>
      <c r="CP140" s="43">
        <v>0</v>
      </c>
      <c r="CQ140" s="5"/>
      <c r="CR140" s="78">
        <v>36.04386687945734</v>
      </c>
      <c r="CS140" s="1033">
        <v>0</v>
      </c>
      <c r="CT140" s="5"/>
      <c r="CU140" s="78">
        <v>22.104545896594431</v>
      </c>
      <c r="CV140" s="43">
        <v>0</v>
      </c>
      <c r="CW140" s="5"/>
      <c r="CX140" s="78">
        <v>0</v>
      </c>
      <c r="CY140" s="43">
        <v>0</v>
      </c>
      <c r="CZ140" s="5"/>
      <c r="DA140" s="78">
        <v>0</v>
      </c>
      <c r="DB140" s="43">
        <v>0</v>
      </c>
      <c r="DC140" s="5"/>
      <c r="DD140" s="78">
        <v>6.5655994250196654</v>
      </c>
      <c r="DE140" s="43">
        <v>0</v>
      </c>
      <c r="DF140" s="5"/>
      <c r="DG140" s="78">
        <v>0</v>
      </c>
      <c r="DH140" s="43"/>
      <c r="DI140" s="5"/>
      <c r="DJ140" s="43">
        <v>94.256665481387401</v>
      </c>
      <c r="DK140" s="43">
        <f t="shared" ref="DK140:DK203" si="22">CP140+CS140+CV140+CY140+DB140+DE140+DH140</f>
        <v>0</v>
      </c>
      <c r="DL140" s="59">
        <f t="shared" ref="DL140:DL203" si="23">DK140-DJ140</f>
        <v>-94.256665481387401</v>
      </c>
    </row>
    <row r="141" spans="1:116" ht="24.9" customHeight="1" x14ac:dyDescent="0.3">
      <c r="A141" s="429">
        <v>150001013</v>
      </c>
      <c r="B141" s="45" t="s">
        <v>260</v>
      </c>
      <c r="C141" s="1035">
        <v>5</v>
      </c>
      <c r="D141" s="1036" t="s">
        <v>454</v>
      </c>
      <c r="E141" s="1028">
        <f>'побудинковий звіт'!E139</f>
        <v>1226.4799999999998</v>
      </c>
      <c r="F141" s="1029">
        <f>'побудинковий звіт'!AS139</f>
        <v>32609.581849515518</v>
      </c>
      <c r="G141" s="1029">
        <f t="shared" si="16"/>
        <v>12769</v>
      </c>
      <c r="H141" s="1029">
        <f t="shared" si="17"/>
        <v>-19840.581849515518</v>
      </c>
      <c r="I141" s="43">
        <f>'[1]поточний ремонт'!I141+'[2]поточний ремонт'!I141-'[3]поточний ремонт'!I141</f>
        <v>0</v>
      </c>
      <c r="J141" s="43">
        <f>'[1]поточний ремонт'!J141+'[2]поточний ремонт'!J141-'[3]поточний ремонт'!J141</f>
        <v>0</v>
      </c>
      <c r="K141" s="1041"/>
      <c r="L141" s="43">
        <f>'[1]поточний ремонт'!L141+'[2]поточний ремонт'!L141-'[3]поточний ремонт'!L141</f>
        <v>0</v>
      </c>
      <c r="M141" s="43">
        <f>'[1]поточний ремонт'!M141+'[2]поточний ремонт'!M141-'[3]поточний ремонт'!M141</f>
        <v>0</v>
      </c>
      <c r="N141" s="37"/>
      <c r="O141" s="43">
        <f>'[1]поточний ремонт'!O141+'[2]поточний ремонт'!O141-'[3]поточний ремонт'!O141</f>
        <v>0</v>
      </c>
      <c r="P141" s="43">
        <f>'[1]поточний ремонт'!P141+'[2]поточний ремонт'!P141-'[3]поточний ремонт'!P141</f>
        <v>0</v>
      </c>
      <c r="Q141" s="1038"/>
      <c r="R141" s="43">
        <f>'[1]поточний ремонт'!R141+'[2]поточний ремонт'!R141-'[3]поточний ремонт'!R141</f>
        <v>0</v>
      </c>
      <c r="S141" s="43">
        <f>'[1]поточний ремонт'!S141+'[2]поточний ремонт'!S141-'[3]поточний ремонт'!S141</f>
        <v>0</v>
      </c>
      <c r="T141" s="1039"/>
      <c r="U141" s="43">
        <f>'[1]поточний ремонт'!U141+'[2]поточний ремонт'!U141-'[3]поточний ремонт'!U141</f>
        <v>0</v>
      </c>
      <c r="V141" s="43">
        <f>'[1]поточний ремонт'!V141+'[2]поточний ремонт'!V141-'[3]поточний ремонт'!V141</f>
        <v>0</v>
      </c>
      <c r="W141" s="43">
        <f>'[1]поточний ремонт'!W141+'[2]поточний ремонт'!W141-'[3]поточний ремонт'!W141</f>
        <v>0</v>
      </c>
      <c r="X141" s="43">
        <f>'[1]поточний ремонт'!X141+'[2]поточний ремонт'!X141-'[3]поточний ремонт'!X141</f>
        <v>0</v>
      </c>
      <c r="Y141" s="43">
        <f>'[1]поточний ремонт'!Y141+'[2]поточний ремонт'!Y141-'[3]поточний ремонт'!Y141</f>
        <v>0</v>
      </c>
      <c r="Z141" s="43">
        <f>'[1]поточний ремонт'!Z141+'[2]поточний ремонт'!Z141-'[3]поточний ремонт'!Z141</f>
        <v>0</v>
      </c>
      <c r="AA141" s="43">
        <f>'[1]поточний ремонт'!AA141+'[2]поточний ремонт'!AA141-'[3]поточний ремонт'!AA141</f>
        <v>0</v>
      </c>
      <c r="AB141" s="43">
        <f>'[1]поточний ремонт'!AB141+'[2]поточний ремонт'!AB141-'[3]поточний ремонт'!AB141</f>
        <v>0</v>
      </c>
      <c r="AC141" s="43">
        <f>'[1]поточний ремонт'!AC141+'[2]поточний ремонт'!AC141-'[3]поточний ремонт'!AC141</f>
        <v>12305</v>
      </c>
      <c r="AD141" s="43">
        <f>'[1]поточний ремонт'!AD141+'[2]поточний ремонт'!AD141-'[3]поточний ремонт'!AD141</f>
        <v>464</v>
      </c>
      <c r="AE141" s="43">
        <f>'[1]поточний ремонт'!AE141+'[2]поточний ремонт'!AE141-'[3]поточний ремонт'!AE141</f>
        <v>1855.484670395695</v>
      </c>
      <c r="AF141" s="43">
        <f>'[1]поточний ремонт'!AF141+'[2]поточний ремонт'!AF141-'[3]поточний ремонт'!AF141</f>
        <v>0</v>
      </c>
      <c r="AG141" s="9"/>
      <c r="AH141" s="43">
        <f>'[1]поточний ремонт'!AH141+'[2]поточний ремонт'!AH141-'[3]поточний ремонт'!AH141</f>
        <v>2942.5534028547149</v>
      </c>
      <c r="AI141" s="43">
        <f>'[1]поточний ремонт'!AI141+'[2]поточний ремонт'!AI141-'[3]поточний ремонт'!AI141</f>
        <v>0</v>
      </c>
      <c r="AJ141" s="5"/>
      <c r="AK141" s="43">
        <f>'[1]поточний ремонт'!AK141+'[2]поточний ремонт'!AK141-'[3]поточний ремонт'!AK141</f>
        <v>2585.0395270709578</v>
      </c>
      <c r="AL141" s="43">
        <f>'[1]поточний ремонт'!AL141+'[2]поточний ремонт'!AL141-'[3]поточний ремонт'!AL141</f>
        <v>1472</v>
      </c>
      <c r="AM141" s="5"/>
      <c r="AN141" s="43">
        <f>'[1]поточний ремонт'!AN141+'[2]поточний ремонт'!AN141-'[3]поточний ремонт'!AN141</f>
        <v>0</v>
      </c>
      <c r="AO141" s="43">
        <f>'[1]поточний ремонт'!AO141+'[2]поточний ремонт'!AO141-'[3]поточний ремонт'!AO141</f>
        <v>0</v>
      </c>
      <c r="AP141" s="5"/>
      <c r="AQ141" s="43">
        <f>'[1]поточний ремонт'!AQ141+'[2]поточний ремонт'!AQ141-'[3]поточний ремонт'!AQ141</f>
        <v>0</v>
      </c>
      <c r="AR141" s="43">
        <f>'[1]поточний ремонт'!AR141+'[2]поточний ремонт'!AR141-'[3]поточний ремонт'!AR141</f>
        <v>0</v>
      </c>
      <c r="AS141" s="5"/>
      <c r="AT141" s="43">
        <f>'[1]поточний ремонт'!AT141+'[2]поточний ремонт'!AT141-'[3]поточний ремонт'!AT141</f>
        <v>1046.5117185354666</v>
      </c>
      <c r="AU141" s="43">
        <f>'[1]поточний ремонт'!AU141+'[2]поточний ремонт'!AU141-'[3]поточний ремонт'!AU141</f>
        <v>806</v>
      </c>
      <c r="AV141" s="5"/>
      <c r="AW141" s="43">
        <f>'[1]поточний ремонт'!AW141+'[2]поточний ремонт'!AW141-'[3]поточний ремонт'!AW141</f>
        <v>0</v>
      </c>
      <c r="AX141" s="43">
        <f>'[1]поточний ремонт'!AX141+'[2]поточний ремонт'!AX141-'[3]поточний ремонт'!AX141</f>
        <v>0</v>
      </c>
      <c r="AY141" s="5"/>
      <c r="AZ141" s="43">
        <f t="shared" si="18"/>
        <v>8429.5893188568334</v>
      </c>
      <c r="BA141" s="43">
        <f t="shared" si="19"/>
        <v>2278</v>
      </c>
      <c r="BB141" s="59">
        <f t="shared" si="20"/>
        <v>-6151.5893188568334</v>
      </c>
      <c r="BD141" s="2">
        <v>2</v>
      </c>
      <c r="BF141" s="30">
        <v>5.061586687342702</v>
      </c>
      <c r="BG141" s="429">
        <v>150001013</v>
      </c>
      <c r="BI141" s="107">
        <v>0</v>
      </c>
      <c r="BJ141" s="107">
        <f t="shared" si="21"/>
        <v>0</v>
      </c>
      <c r="BK141" s="107">
        <v>0</v>
      </c>
      <c r="BL141" s="39"/>
      <c r="BM141" s="3"/>
      <c r="BN141" s="3">
        <v>0</v>
      </c>
      <c r="BP141" s="3"/>
      <c r="BQ141" s="3"/>
      <c r="BS141" s="43"/>
      <c r="BT141" s="43">
        <v>0</v>
      </c>
      <c r="BU141" s="1041"/>
      <c r="BV141" s="42"/>
      <c r="BW141" s="43"/>
      <c r="BX141" s="37"/>
      <c r="BY141" s="78"/>
      <c r="BZ141" s="43">
        <v>0</v>
      </c>
      <c r="CA141" s="1038"/>
      <c r="CB141" s="42"/>
      <c r="CC141" s="42">
        <v>0</v>
      </c>
      <c r="CD141" s="1039"/>
      <c r="CE141" s="78">
        <v>0</v>
      </c>
      <c r="CF141" s="56"/>
      <c r="CG141" s="42">
        <v>0</v>
      </c>
      <c r="CH141" s="39">
        <v>0</v>
      </c>
      <c r="CI141" s="78">
        <v>0</v>
      </c>
      <c r="CJ141" s="56"/>
      <c r="CK141" s="1034"/>
      <c r="CL141" s="1029"/>
      <c r="CM141" s="1034"/>
      <c r="CN141" s="1029">
        <v>0</v>
      </c>
      <c r="CO141" s="78">
        <v>154.62372253297457</v>
      </c>
      <c r="CP141" s="43">
        <v>0</v>
      </c>
      <c r="CQ141" s="9"/>
      <c r="CR141" s="78">
        <v>245.21278357122625</v>
      </c>
      <c r="CS141" s="1033">
        <v>0</v>
      </c>
      <c r="CT141" s="5"/>
      <c r="CU141" s="78">
        <v>215.4199605892465</v>
      </c>
      <c r="CV141" s="43">
        <v>0</v>
      </c>
      <c r="CW141" s="5"/>
      <c r="CX141" s="78">
        <v>0</v>
      </c>
      <c r="CY141" s="43">
        <v>0</v>
      </c>
      <c r="CZ141" s="5"/>
      <c r="DA141" s="78">
        <v>0</v>
      </c>
      <c r="DB141" s="43">
        <v>0</v>
      </c>
      <c r="DC141" s="5"/>
      <c r="DD141" s="78">
        <v>87.209309877955548</v>
      </c>
      <c r="DE141" s="43">
        <v>0</v>
      </c>
      <c r="DF141" s="5"/>
      <c r="DG141" s="78">
        <v>0</v>
      </c>
      <c r="DH141" s="43"/>
      <c r="DI141" s="5"/>
      <c r="DJ141" s="43">
        <v>702.46577657140278</v>
      </c>
      <c r="DK141" s="43">
        <f t="shared" si="22"/>
        <v>0</v>
      </c>
      <c r="DL141" s="59">
        <f t="shared" si="23"/>
        <v>-702.46577657140278</v>
      </c>
    </row>
    <row r="142" spans="1:116" ht="24.9" customHeight="1" x14ac:dyDescent="0.3">
      <c r="A142" s="328">
        <v>150001014</v>
      </c>
      <c r="B142" s="45" t="s">
        <v>166</v>
      </c>
      <c r="C142" s="1035">
        <v>2</v>
      </c>
      <c r="D142" s="1036" t="s">
        <v>454</v>
      </c>
      <c r="E142" s="1028">
        <f>'побудинковий звіт'!E140</f>
        <v>188.9</v>
      </c>
      <c r="F142" s="1029">
        <f>'побудинковий звіт'!AS140</f>
        <v>4590.8806844035407</v>
      </c>
      <c r="G142" s="1029">
        <f t="shared" si="16"/>
        <v>1982</v>
      </c>
      <c r="H142" s="1029">
        <f t="shared" si="17"/>
        <v>-2608.8806844035407</v>
      </c>
      <c r="I142" s="43">
        <f>'[1]поточний ремонт'!I142+'[2]поточний ремонт'!I142-'[3]поточний ремонт'!I142</f>
        <v>0</v>
      </c>
      <c r="J142" s="43">
        <f>'[1]поточний ремонт'!J142+'[2]поточний ремонт'!J142-'[3]поточний ремонт'!J142</f>
        <v>0</v>
      </c>
      <c r="K142" s="1037"/>
      <c r="L142" s="43">
        <f>'[1]поточний ремонт'!L142+'[2]поточний ремонт'!L142-'[3]поточний ремонт'!L142</f>
        <v>0</v>
      </c>
      <c r="M142" s="43">
        <f>'[1]поточний ремонт'!M142+'[2]поточний ремонт'!M142-'[3]поточний ремонт'!M142</f>
        <v>0</v>
      </c>
      <c r="N142" s="37"/>
      <c r="O142" s="43">
        <f>'[1]поточний ремонт'!O142+'[2]поточний ремонт'!O142-'[3]поточний ремонт'!O142</f>
        <v>0</v>
      </c>
      <c r="P142" s="43">
        <f>'[1]поточний ремонт'!P142+'[2]поточний ремонт'!P142-'[3]поточний ремонт'!P142</f>
        <v>0</v>
      </c>
      <c r="Q142" s="1038"/>
      <c r="R142" s="43">
        <f>'[1]поточний ремонт'!R142+'[2]поточний ремонт'!R142-'[3]поточний ремонт'!R142</f>
        <v>0</v>
      </c>
      <c r="S142" s="43">
        <f>'[1]поточний ремонт'!S142+'[2]поточний ремонт'!S142-'[3]поточний ремонт'!S142</f>
        <v>0</v>
      </c>
      <c r="T142" s="1039"/>
      <c r="U142" s="43">
        <f>'[1]поточний ремонт'!U142+'[2]поточний ремонт'!U142-'[3]поточний ремонт'!U142</f>
        <v>0</v>
      </c>
      <c r="V142" s="43">
        <f>'[1]поточний ремонт'!V142+'[2]поточний ремонт'!V142-'[3]поточний ремонт'!V142</f>
        <v>0</v>
      </c>
      <c r="W142" s="43">
        <f>'[1]поточний ремонт'!W142+'[2]поточний ремонт'!W142-'[3]поточний ремонт'!W142</f>
        <v>0</v>
      </c>
      <c r="X142" s="43">
        <f>'[1]поточний ремонт'!X142+'[2]поточний ремонт'!X142-'[3]поточний ремонт'!X142</f>
        <v>0</v>
      </c>
      <c r="Y142" s="43">
        <f>'[1]поточний ремонт'!Y142+'[2]поточний ремонт'!Y142-'[3]поточний ремонт'!Y142</f>
        <v>0</v>
      </c>
      <c r="Z142" s="43">
        <f>'[1]поточний ремонт'!Z142+'[2]поточний ремонт'!Z142-'[3]поточний ремонт'!Z142</f>
        <v>0</v>
      </c>
      <c r="AA142" s="43">
        <f>'[1]поточний ремонт'!AA142+'[2]поточний ремонт'!AA142-'[3]поточний ремонт'!AA142</f>
        <v>0</v>
      </c>
      <c r="AB142" s="43">
        <f>'[1]поточний ремонт'!AB142+'[2]поточний ремонт'!AB142-'[3]поточний ремонт'!AB142</f>
        <v>0</v>
      </c>
      <c r="AC142" s="43">
        <f>'[1]поточний ремонт'!AC142+'[2]поточний ремонт'!AC142-'[3]поточний ремонт'!AC142</f>
        <v>0</v>
      </c>
      <c r="AD142" s="43">
        <f>'[1]поточний ремонт'!AD142+'[2]поточний ремонт'!AD142-'[3]поточний ремонт'!AD142</f>
        <v>1982</v>
      </c>
      <c r="AE142" s="43">
        <f>'[1]поточний ремонт'!AE142+'[2]поточний ремонт'!AE142-'[3]поточний ремонт'!AE142</f>
        <v>282.3558587495657</v>
      </c>
      <c r="AF142" s="43">
        <f>'[1]поточний ремонт'!AF142+'[2]поточний ремонт'!AF142-'[3]поточний ремонт'!AF142</f>
        <v>0</v>
      </c>
      <c r="AG142" s="5"/>
      <c r="AH142" s="43">
        <f>'[1]поточний ремонт'!AH142+'[2]поточний ремонт'!AH142-'[3]поточний ремонт'!AH142</f>
        <v>362.42966944372938</v>
      </c>
      <c r="AI142" s="43">
        <f>'[1]поточний ремонт'!AI142+'[2]поточний ремонт'!AI142-'[3]поточний ремонт'!AI142</f>
        <v>0</v>
      </c>
      <c r="AJ142" s="5"/>
      <c r="AK142" s="43">
        <f>'[1]поточний ремонт'!AK142+'[2]поточний ремонт'!AK142-'[3]поточний ремонт'!AK142</f>
        <v>179.3944928587479</v>
      </c>
      <c r="AL142" s="43">
        <f>'[1]поточний ремонт'!AL142+'[2]поточний ремонт'!AL142-'[3]поточний ремонт'!AL142</f>
        <v>0</v>
      </c>
      <c r="AM142" s="5"/>
      <c r="AN142" s="43">
        <f>'[1]поточний ремонт'!AN142+'[2]поточний ремонт'!AN142-'[3]поточний ремонт'!AN142</f>
        <v>0</v>
      </c>
      <c r="AO142" s="43">
        <f>'[1]поточний ремонт'!AO142+'[2]поточний ремонт'!AO142-'[3]поточний ремонт'!AO142</f>
        <v>0</v>
      </c>
      <c r="AP142" s="5"/>
      <c r="AQ142" s="43">
        <f>'[1]поточний ремонт'!AQ142+'[2]поточний ремонт'!AQ142-'[3]поточний ремонт'!AQ142</f>
        <v>0</v>
      </c>
      <c r="AR142" s="43">
        <f>'[1]поточний ремонт'!AR142+'[2]поточний ремонт'!AR142-'[3]поточний ремонт'!AR142</f>
        <v>0</v>
      </c>
      <c r="AS142" s="5"/>
      <c r="AT142" s="43">
        <f>'[1]поточний ремонт'!AT142+'[2]поточний ремонт'!AT142-'[3]поточний ремонт'!AT142</f>
        <v>58.692624500359138</v>
      </c>
      <c r="AU142" s="43">
        <f>'[1]поточний ремонт'!AU142+'[2]поточний ремонт'!AU142-'[3]поточний ремонт'!AU142</f>
        <v>1018.8606752042521</v>
      </c>
      <c r="AV142" s="5"/>
      <c r="AW142" s="43">
        <f>'[1]поточний ремонт'!AW142+'[2]поточний ремонт'!AW142-'[3]поточний ремонт'!AW142</f>
        <v>0</v>
      </c>
      <c r="AX142" s="43">
        <f>'[1]поточний ремонт'!AX142+'[2]поточний ремонт'!AX142-'[3]поточний ремонт'!AX142</f>
        <v>0</v>
      </c>
      <c r="AY142" s="5"/>
      <c r="AZ142" s="43">
        <f t="shared" si="18"/>
        <v>882.87264555240199</v>
      </c>
      <c r="BA142" s="43">
        <f t="shared" si="19"/>
        <v>1018.8606752042521</v>
      </c>
      <c r="BB142" s="59">
        <f t="shared" si="20"/>
        <v>135.98802965185007</v>
      </c>
      <c r="BD142" s="2">
        <v>2</v>
      </c>
      <c r="BF142" s="30">
        <v>0.49556814524135817</v>
      </c>
      <c r="BG142" s="328">
        <v>150001014</v>
      </c>
      <c r="BI142" s="107">
        <v>0</v>
      </c>
      <c r="BJ142" s="107">
        <f t="shared" si="21"/>
        <v>0</v>
      </c>
      <c r="BK142" s="107">
        <v>0</v>
      </c>
      <c r="BL142" s="39"/>
      <c r="BM142" s="3"/>
      <c r="BN142" s="3">
        <v>0</v>
      </c>
      <c r="BP142" s="3"/>
      <c r="BQ142" s="3"/>
      <c r="BS142" s="43"/>
      <c r="BT142" s="43">
        <v>0</v>
      </c>
      <c r="BU142" s="1037"/>
      <c r="BV142" s="42"/>
      <c r="BW142" s="43"/>
      <c r="BX142" s="37"/>
      <c r="BY142" s="78"/>
      <c r="BZ142" s="43">
        <v>0</v>
      </c>
      <c r="CA142" s="1038"/>
      <c r="CB142" s="42"/>
      <c r="CC142" s="42">
        <v>0</v>
      </c>
      <c r="CD142" s="1039"/>
      <c r="CE142" s="78">
        <v>0</v>
      </c>
      <c r="CF142" s="56"/>
      <c r="CG142" s="42">
        <v>0</v>
      </c>
      <c r="CH142" s="39">
        <v>0</v>
      </c>
      <c r="CI142" s="78">
        <v>0</v>
      </c>
      <c r="CJ142" s="56"/>
      <c r="CK142" s="1034"/>
      <c r="CL142" s="1029"/>
      <c r="CM142" s="1034"/>
      <c r="CN142" s="1029">
        <v>0</v>
      </c>
      <c r="CO142" s="78">
        <v>23.52965489579714</v>
      </c>
      <c r="CP142" s="43">
        <v>0</v>
      </c>
      <c r="CQ142" s="5"/>
      <c r="CR142" s="78">
        <v>30.202472453644113</v>
      </c>
      <c r="CS142" s="1033">
        <v>0</v>
      </c>
      <c r="CT142" s="5"/>
      <c r="CU142" s="78">
        <v>14.949541071562326</v>
      </c>
      <c r="CV142" s="43">
        <v>0</v>
      </c>
      <c r="CW142" s="5"/>
      <c r="CX142" s="78">
        <v>0</v>
      </c>
      <c r="CY142" s="43">
        <v>0</v>
      </c>
      <c r="CZ142" s="5"/>
      <c r="DA142" s="78">
        <v>0</v>
      </c>
      <c r="DB142" s="43">
        <v>0</v>
      </c>
      <c r="DC142" s="5"/>
      <c r="DD142" s="78">
        <v>4.891052041696593</v>
      </c>
      <c r="DE142" s="43">
        <v>0</v>
      </c>
      <c r="DF142" s="5"/>
      <c r="DG142" s="78">
        <v>0</v>
      </c>
      <c r="DH142" s="43"/>
      <c r="DI142" s="5"/>
      <c r="DJ142" s="43">
        <v>73.572720462700175</v>
      </c>
      <c r="DK142" s="43">
        <f t="shared" si="22"/>
        <v>0</v>
      </c>
      <c r="DL142" s="59">
        <f t="shared" si="23"/>
        <v>-73.572720462700175</v>
      </c>
    </row>
    <row r="143" spans="1:116" ht="24.9" customHeight="1" x14ac:dyDescent="0.3">
      <c r="A143" s="328">
        <v>150001015</v>
      </c>
      <c r="B143" s="45" t="s">
        <v>99</v>
      </c>
      <c r="C143" s="1035">
        <v>1</v>
      </c>
      <c r="D143" s="1036" t="s">
        <v>454</v>
      </c>
      <c r="E143" s="1028">
        <f>'побудинковий звіт'!E141</f>
        <v>428.70000000000005</v>
      </c>
      <c r="F143" s="1029">
        <f>'побудинковий звіт'!AS141</f>
        <v>3123.0193119924425</v>
      </c>
      <c r="G143" s="1029">
        <f t="shared" si="16"/>
        <v>0</v>
      </c>
      <c r="H143" s="1029">
        <f t="shared" si="17"/>
        <v>-3123.0193119924425</v>
      </c>
      <c r="I143" s="43">
        <f>'[1]поточний ремонт'!I143+'[2]поточний ремонт'!I143-'[3]поточний ремонт'!I143</f>
        <v>0</v>
      </c>
      <c r="J143" s="43">
        <f>'[1]поточний ремонт'!J143+'[2]поточний ремонт'!J143-'[3]поточний ремонт'!J143</f>
        <v>0</v>
      </c>
      <c r="K143" s="1037"/>
      <c r="L143" s="43">
        <f>'[1]поточний ремонт'!L143+'[2]поточний ремонт'!L143-'[3]поточний ремонт'!L143</f>
        <v>0</v>
      </c>
      <c r="M143" s="43">
        <f>'[1]поточний ремонт'!M143+'[2]поточний ремонт'!M143-'[3]поточний ремонт'!M143</f>
        <v>0</v>
      </c>
      <c r="N143" s="37"/>
      <c r="O143" s="43">
        <f>'[1]поточний ремонт'!O143+'[2]поточний ремонт'!O143-'[3]поточний ремонт'!O143</f>
        <v>0</v>
      </c>
      <c r="P143" s="43">
        <f>'[1]поточний ремонт'!P143+'[2]поточний ремонт'!P143-'[3]поточний ремонт'!P143</f>
        <v>0</v>
      </c>
      <c r="Q143" s="1038"/>
      <c r="R143" s="43">
        <f>'[1]поточний ремонт'!R143+'[2]поточний ремонт'!R143-'[3]поточний ремонт'!R143</f>
        <v>0</v>
      </c>
      <c r="S143" s="43">
        <f>'[1]поточний ремонт'!S143+'[2]поточний ремонт'!S143-'[3]поточний ремонт'!S143</f>
        <v>0</v>
      </c>
      <c r="T143" s="1039"/>
      <c r="U143" s="43">
        <f>'[1]поточний ремонт'!U143+'[2]поточний ремонт'!U143-'[3]поточний ремонт'!U143</f>
        <v>0</v>
      </c>
      <c r="V143" s="43">
        <f>'[1]поточний ремонт'!V143+'[2]поточний ремонт'!V143-'[3]поточний ремонт'!V143</f>
        <v>0</v>
      </c>
      <c r="W143" s="43">
        <f>'[1]поточний ремонт'!W143+'[2]поточний ремонт'!W143-'[3]поточний ремонт'!W143</f>
        <v>0</v>
      </c>
      <c r="X143" s="43">
        <f>'[1]поточний ремонт'!X143+'[2]поточний ремонт'!X143-'[3]поточний ремонт'!X143</f>
        <v>0</v>
      </c>
      <c r="Y143" s="43">
        <f>'[1]поточний ремонт'!Y143+'[2]поточний ремонт'!Y143-'[3]поточний ремонт'!Y143</f>
        <v>0</v>
      </c>
      <c r="Z143" s="43">
        <f>'[1]поточний ремонт'!Z143+'[2]поточний ремонт'!Z143-'[3]поточний ремонт'!Z143</f>
        <v>0</v>
      </c>
      <c r="AA143" s="43">
        <f>'[1]поточний ремонт'!AA143+'[2]поточний ремонт'!AA143-'[3]поточний ремонт'!AA143</f>
        <v>0</v>
      </c>
      <c r="AB143" s="43">
        <f>'[1]поточний ремонт'!AB143+'[2]поточний ремонт'!AB143-'[3]поточний ремонт'!AB143</f>
        <v>0</v>
      </c>
      <c r="AC143" s="43">
        <f>'[1]поточний ремонт'!AC143+'[2]поточний ремонт'!AC143-'[3]поточний ремонт'!AC143</f>
        <v>0</v>
      </c>
      <c r="AD143" s="43">
        <f>'[1]поточний ремонт'!AD143+'[2]поточний ремонт'!AD143-'[3]поточний ремонт'!AD143</f>
        <v>0</v>
      </c>
      <c r="AE143" s="43">
        <f>'[1]поточний ремонт'!AE143+'[2]поточний ремонт'!AE143-'[3]поточний ремонт'!AE143</f>
        <v>0</v>
      </c>
      <c r="AF143" s="43">
        <f>'[1]поточний ремонт'!AF143+'[2]поточний ремонт'!AF143-'[3]поточний ремонт'!AF143</f>
        <v>0</v>
      </c>
      <c r="AG143" s="5"/>
      <c r="AH143" s="43">
        <f>'[1]поточний ремонт'!AH143+'[2]поточний ремонт'!AH143-'[3]поточний ремонт'!AH143</f>
        <v>0</v>
      </c>
      <c r="AI143" s="43">
        <f>'[1]поточний ремонт'!AI143+'[2]поточний ремонт'!AI143-'[3]поточний ремонт'!AI143</f>
        <v>0</v>
      </c>
      <c r="AJ143" s="5"/>
      <c r="AK143" s="43">
        <f>'[1]поточний ремонт'!AK143+'[2]поточний ремонт'!AK143-'[3]поточний ремонт'!AK143</f>
        <v>225.05177326440102</v>
      </c>
      <c r="AL143" s="43">
        <f>'[1]поточний ремонт'!AL143+'[2]поточний ремонт'!AL143-'[3]поточний ремонт'!AL143</f>
        <v>0</v>
      </c>
      <c r="AM143" s="5"/>
      <c r="AN143" s="43">
        <f>'[1]поточний ремонт'!AN143+'[2]поточний ремонт'!AN143-'[3]поточний ремонт'!AN143</f>
        <v>0</v>
      </c>
      <c r="AO143" s="43">
        <f>'[1]поточний ремонт'!AO143+'[2]поточний ремонт'!AO143-'[3]поточний ремонт'!AO143</f>
        <v>0</v>
      </c>
      <c r="AP143" s="5"/>
      <c r="AQ143" s="43">
        <f>'[1]поточний ремонт'!AQ143+'[2]поточний ремонт'!AQ143-'[3]поточний ремонт'!AQ143</f>
        <v>0</v>
      </c>
      <c r="AR143" s="43">
        <f>'[1]поточний ремонт'!AR143+'[2]поточний ремонт'!AR143-'[3]поточний ремонт'!AR143</f>
        <v>0</v>
      </c>
      <c r="AS143" s="5"/>
      <c r="AT143" s="43">
        <f>'[1]поточний ремонт'!AT143+'[2]поточний ремонт'!AT143-'[3]поточний ремонт'!AT143</f>
        <v>0</v>
      </c>
      <c r="AU143" s="43">
        <f>'[1]поточний ремонт'!AU143+'[2]поточний ремонт'!AU143-'[3]поточний ремонт'!AU143</f>
        <v>0</v>
      </c>
      <c r="AV143" s="5"/>
      <c r="AW143" s="43">
        <f>'[1]поточний ремонт'!AW143+'[2]поточний ремонт'!AW143-'[3]поточний ремонт'!AW143</f>
        <v>0</v>
      </c>
      <c r="AX143" s="43">
        <f>'[1]поточний ремонт'!AX143+'[2]поточний ремонт'!AX143-'[3]поточний ремонт'!AX143</f>
        <v>0</v>
      </c>
      <c r="AY143" s="5"/>
      <c r="AZ143" s="43">
        <f t="shared" si="18"/>
        <v>225.05177326440102</v>
      </c>
      <c r="BA143" s="43">
        <f t="shared" si="19"/>
        <v>0</v>
      </c>
      <c r="BB143" s="59">
        <f t="shared" si="20"/>
        <v>-225.05177326440102</v>
      </c>
      <c r="BD143" s="2">
        <v>2</v>
      </c>
      <c r="BF143" s="30">
        <v>0</v>
      </c>
      <c r="BG143" s="328">
        <v>150001015</v>
      </c>
      <c r="BI143" s="107">
        <v>0</v>
      </c>
      <c r="BJ143" s="107">
        <f t="shared" si="21"/>
        <v>0</v>
      </c>
      <c r="BK143" s="107">
        <v>0</v>
      </c>
      <c r="BL143" s="39"/>
      <c r="BM143" s="3"/>
      <c r="BN143" s="3">
        <v>0</v>
      </c>
      <c r="BP143" s="3"/>
      <c r="BQ143" s="3"/>
      <c r="BS143" s="43"/>
      <c r="BT143" s="43">
        <v>0</v>
      </c>
      <c r="BU143" s="1037"/>
      <c r="BV143" s="42"/>
      <c r="BW143" s="43"/>
      <c r="BX143" s="37"/>
      <c r="BY143" s="78"/>
      <c r="BZ143" s="43">
        <v>0</v>
      </c>
      <c r="CA143" s="1038"/>
      <c r="CB143" s="42"/>
      <c r="CC143" s="42">
        <v>0</v>
      </c>
      <c r="CD143" s="1039"/>
      <c r="CE143" s="78">
        <v>0</v>
      </c>
      <c r="CF143" s="56"/>
      <c r="CG143" s="42">
        <v>0</v>
      </c>
      <c r="CH143" s="39">
        <v>0</v>
      </c>
      <c r="CI143" s="78">
        <v>0</v>
      </c>
      <c r="CJ143" s="56"/>
      <c r="CK143" s="1034"/>
      <c r="CL143" s="1029"/>
      <c r="CM143" s="1034"/>
      <c r="CN143" s="1029">
        <v>0</v>
      </c>
      <c r="CO143" s="78">
        <v>0</v>
      </c>
      <c r="CP143" s="43">
        <v>0</v>
      </c>
      <c r="CQ143" s="5"/>
      <c r="CR143" s="78">
        <v>0</v>
      </c>
      <c r="CS143" s="1033">
        <v>0</v>
      </c>
      <c r="CT143" s="5"/>
      <c r="CU143" s="78">
        <v>18.754314438700092</v>
      </c>
      <c r="CV143" s="43">
        <v>0</v>
      </c>
      <c r="CW143" s="5"/>
      <c r="CX143" s="78">
        <v>0</v>
      </c>
      <c r="CY143" s="43">
        <v>0</v>
      </c>
      <c r="CZ143" s="5"/>
      <c r="DA143" s="78">
        <v>0</v>
      </c>
      <c r="DB143" s="43">
        <v>0</v>
      </c>
      <c r="DC143" s="5"/>
      <c r="DD143" s="78">
        <v>0</v>
      </c>
      <c r="DE143" s="43">
        <v>0</v>
      </c>
      <c r="DF143" s="5"/>
      <c r="DG143" s="78">
        <v>0</v>
      </c>
      <c r="DH143" s="43"/>
      <c r="DI143" s="5"/>
      <c r="DJ143" s="43">
        <v>18.754314438700092</v>
      </c>
      <c r="DK143" s="43">
        <f t="shared" si="22"/>
        <v>0</v>
      </c>
      <c r="DL143" s="59">
        <f t="shared" si="23"/>
        <v>-18.754314438700092</v>
      </c>
    </row>
    <row r="144" spans="1:116" ht="24.9" customHeight="1" x14ac:dyDescent="0.3">
      <c r="A144" s="328">
        <v>150001016</v>
      </c>
      <c r="B144" s="45" t="s">
        <v>261</v>
      </c>
      <c r="C144" s="1035">
        <v>5</v>
      </c>
      <c r="D144" s="1036" t="s">
        <v>454</v>
      </c>
      <c r="E144" s="1028">
        <f>'побудинковий звіт'!E142</f>
        <v>4942.8999999999996</v>
      </c>
      <c r="F144" s="1029">
        <f>'побудинковий звіт'!AS142</f>
        <v>39971.153413274209</v>
      </c>
      <c r="G144" s="1029">
        <f t="shared" si="16"/>
        <v>22971</v>
      </c>
      <c r="H144" s="1029">
        <f t="shared" si="17"/>
        <v>-17000.153413274209</v>
      </c>
      <c r="I144" s="43">
        <f>'[1]поточний ремонт'!I144+'[2]поточний ремонт'!I144-'[3]поточний ремонт'!I144</f>
        <v>0</v>
      </c>
      <c r="J144" s="43">
        <f>'[1]поточний ремонт'!J144+'[2]поточний ремонт'!J144-'[3]поточний ремонт'!J144</f>
        <v>0</v>
      </c>
      <c r="K144" s="1037"/>
      <c r="L144" s="43">
        <f>'[1]поточний ремонт'!L144+'[2]поточний ремонт'!L144-'[3]поточний ремонт'!L144</f>
        <v>0</v>
      </c>
      <c r="M144" s="43">
        <f>'[1]поточний ремонт'!M144+'[2]поточний ремонт'!M144-'[3]поточний ремонт'!M144</f>
        <v>0</v>
      </c>
      <c r="N144" s="1040"/>
      <c r="O144" s="43">
        <f>'[1]поточний ремонт'!O144+'[2]поточний ремонт'!O144-'[3]поточний ремонт'!O144</f>
        <v>0</v>
      </c>
      <c r="P144" s="43">
        <f>'[1]поточний ремонт'!P144+'[2]поточний ремонт'!P144-'[3]поточний ремонт'!P144</f>
        <v>0</v>
      </c>
      <c r="Q144" s="1038"/>
      <c r="R144" s="43">
        <f>'[1]поточний ремонт'!R144+'[2]поточний ремонт'!R144-'[3]поточний ремонт'!R144</f>
        <v>0</v>
      </c>
      <c r="S144" s="43">
        <f>'[1]поточний ремонт'!S144+'[2]поточний ремонт'!S144-'[3]поточний ремонт'!S144</f>
        <v>0</v>
      </c>
      <c r="T144" s="1039"/>
      <c r="U144" s="43">
        <f>'[1]поточний ремонт'!U144+'[2]поточний ремонт'!U144-'[3]поточний ремонт'!U144</f>
        <v>0</v>
      </c>
      <c r="V144" s="43">
        <f>'[1]поточний ремонт'!V144+'[2]поточний ремонт'!V144-'[3]поточний ремонт'!V144</f>
        <v>0</v>
      </c>
      <c r="W144" s="43">
        <f>'[1]поточний ремонт'!W144+'[2]поточний ремонт'!W144-'[3]поточний ремонт'!W144</f>
        <v>0</v>
      </c>
      <c r="X144" s="43">
        <f>'[1]поточний ремонт'!X144+'[2]поточний ремонт'!X144-'[3]поточний ремонт'!X144</f>
        <v>0</v>
      </c>
      <c r="Y144" s="43">
        <f>'[1]поточний ремонт'!Y144+'[2]поточний ремонт'!Y144-'[3]поточний ремонт'!Y144</f>
        <v>1809.0000000000002</v>
      </c>
      <c r="Z144" s="43">
        <f>'[1]поточний ремонт'!Z144+'[2]поточний ремонт'!Z144-'[3]поточний ремонт'!Z144</f>
        <v>0</v>
      </c>
      <c r="AA144" s="43">
        <f>'[1]поточний ремонт'!AA144+'[2]поточний ремонт'!AA144-'[3]поточний ремонт'!AA144</f>
        <v>0</v>
      </c>
      <c r="AB144" s="43">
        <f>'[1]поточний ремонт'!AB144+'[2]поточний ремонт'!AB144-'[3]поточний ремонт'!AB144</f>
        <v>0</v>
      </c>
      <c r="AC144" s="43">
        <f>'[1]поточний ремонт'!AC144+'[2]поточний ремонт'!AC144-'[3]поточний ремонт'!AC144</f>
        <v>18205</v>
      </c>
      <c r="AD144" s="43">
        <f>'[1]поточний ремонт'!AD144+'[2]поточний ремонт'!AD144-'[3]поточний ремонт'!AD144</f>
        <v>2957</v>
      </c>
      <c r="AE144" s="43">
        <f>'[1]поточний ремонт'!AE144+'[2]поточний ремонт'!AE144-'[3]поточний ремонт'!AE144</f>
        <v>1124.6346405670176</v>
      </c>
      <c r="AF144" s="43">
        <f>'[1]поточний ремонт'!AF144+'[2]поточний ремонт'!AF144-'[3]поточний ремонт'!AF144</f>
        <v>0</v>
      </c>
      <c r="AG144" s="5"/>
      <c r="AH144" s="43">
        <f>'[1]поточний ремонт'!AH144+'[2]поточний ремонт'!AH144-'[3]поточний ремонт'!AH144</f>
        <v>1549.8224363833519</v>
      </c>
      <c r="AI144" s="43">
        <f>'[1]поточний ремонт'!AI144+'[2]поточний ремонт'!AI144-'[3]поточний ремонт'!AI144</f>
        <v>0</v>
      </c>
      <c r="AJ144" s="5"/>
      <c r="AK144" s="43">
        <f>'[1]поточний ремонт'!AK144+'[2]поточний ремонт'!AK144-'[3]поточний ремонт'!AK144</f>
        <v>2505.1613766477335</v>
      </c>
      <c r="AL144" s="43">
        <f>'[1]поточний ремонт'!AL144+'[2]поточний ремонт'!AL144-'[3]поточний ремонт'!AL144</f>
        <v>0</v>
      </c>
      <c r="AM144" s="5"/>
      <c r="AN144" s="43">
        <f>'[1]поточний ремонт'!AN144+'[2]поточний ремонт'!AN144-'[3]поточний ремонт'!AN144</f>
        <v>1409.5264689858579</v>
      </c>
      <c r="AO144" s="43">
        <f>'[1]поточний ремонт'!AO144+'[2]поточний ремонт'!AO144-'[3]поточний ремонт'!AO144</f>
        <v>0</v>
      </c>
      <c r="AP144" s="5"/>
      <c r="AQ144" s="43">
        <f>'[1]поточний ремонт'!AQ144+'[2]поточний ремонт'!AQ144-'[3]поточний ремонт'!AQ144</f>
        <v>0</v>
      </c>
      <c r="AR144" s="43">
        <f>'[1]поточний ремонт'!AR144+'[2]поточний ремонт'!AR144-'[3]поточний ремонт'!AR144</f>
        <v>0</v>
      </c>
      <c r="AS144" s="5"/>
      <c r="AT144" s="43">
        <f>'[1]поточний ремонт'!AT144+'[2]поточний ремонт'!AT144-'[3]поточний ремонт'!AT144</f>
        <v>724.43508708272213</v>
      </c>
      <c r="AU144" s="43">
        <f>'[1]поточний ремонт'!AU144+'[2]поточний ремонт'!AU144-'[3]поточний ремонт'!AU144</f>
        <v>1263.0374459231459</v>
      </c>
      <c r="AV144" s="5"/>
      <c r="AW144" s="43">
        <f>'[1]поточний ремонт'!AW144+'[2]поточний ремонт'!AW144-'[3]поточний ремонт'!AW144</f>
        <v>0</v>
      </c>
      <c r="AX144" s="43">
        <f>'[1]поточний ремонт'!AX144+'[2]поточний ремонт'!AX144-'[3]поточний ремонт'!AX144</f>
        <v>0</v>
      </c>
      <c r="AY144" s="5"/>
      <c r="AZ144" s="43">
        <f t="shared" si="18"/>
        <v>7313.5800096666826</v>
      </c>
      <c r="BA144" s="43">
        <f t="shared" si="19"/>
        <v>1263.0374459231459</v>
      </c>
      <c r="BB144" s="59">
        <f t="shared" si="20"/>
        <v>-6050.5425637435364</v>
      </c>
      <c r="BD144" s="2">
        <v>2</v>
      </c>
      <c r="BF144" s="30">
        <v>4.6999811424005999</v>
      </c>
      <c r="BG144" s="328">
        <v>150001016</v>
      </c>
      <c r="BI144" s="107">
        <v>0</v>
      </c>
      <c r="BJ144" s="107">
        <f t="shared" si="21"/>
        <v>0</v>
      </c>
      <c r="BK144" s="107">
        <v>0</v>
      </c>
      <c r="BL144" s="39"/>
      <c r="BM144" s="3"/>
      <c r="BN144" s="3">
        <v>0</v>
      </c>
      <c r="BP144" s="3"/>
      <c r="BQ144" s="3"/>
      <c r="BS144" s="43"/>
      <c r="BT144" s="43">
        <v>0</v>
      </c>
      <c r="BU144" s="1037"/>
      <c r="BV144" s="42"/>
      <c r="BW144" s="43"/>
      <c r="BX144" s="1040"/>
      <c r="BY144" s="78"/>
      <c r="BZ144" s="43">
        <v>0</v>
      </c>
      <c r="CA144" s="1038"/>
      <c r="CB144" s="42"/>
      <c r="CC144" s="42">
        <v>0</v>
      </c>
      <c r="CD144" s="1039"/>
      <c r="CE144" s="78">
        <v>0</v>
      </c>
      <c r="CF144" s="56"/>
      <c r="CG144" s="42">
        <v>0</v>
      </c>
      <c r="CH144" s="39">
        <v>0</v>
      </c>
      <c r="CI144" s="78">
        <v>0</v>
      </c>
      <c r="CJ144" s="56"/>
      <c r="CK144" s="1034"/>
      <c r="CL144" s="1029"/>
      <c r="CM144" s="1034"/>
      <c r="CN144" s="1029">
        <v>0</v>
      </c>
      <c r="CO144" s="78">
        <v>93.719553380584799</v>
      </c>
      <c r="CP144" s="43">
        <v>0</v>
      </c>
      <c r="CQ144" s="5"/>
      <c r="CR144" s="78">
        <v>129.15186969861264</v>
      </c>
      <c r="CS144" s="1033">
        <v>0</v>
      </c>
      <c r="CT144" s="5"/>
      <c r="CU144" s="78">
        <v>208.76344805397778</v>
      </c>
      <c r="CV144" s="43">
        <v>0</v>
      </c>
      <c r="CW144" s="5"/>
      <c r="CX144" s="78">
        <v>117.46053908215485</v>
      </c>
      <c r="CY144" s="43">
        <v>0</v>
      </c>
      <c r="CZ144" s="5"/>
      <c r="DA144" s="78">
        <v>0</v>
      </c>
      <c r="DB144" s="43">
        <v>0</v>
      </c>
      <c r="DC144" s="5"/>
      <c r="DD144" s="78">
        <v>60.369590590226849</v>
      </c>
      <c r="DE144" s="43">
        <v>0</v>
      </c>
      <c r="DF144" s="5"/>
      <c r="DG144" s="78">
        <v>0</v>
      </c>
      <c r="DH144" s="43"/>
      <c r="DI144" s="5"/>
      <c r="DJ144" s="43">
        <v>609.46500080555688</v>
      </c>
      <c r="DK144" s="43">
        <f t="shared" si="22"/>
        <v>0</v>
      </c>
      <c r="DL144" s="59">
        <f t="shared" si="23"/>
        <v>-609.46500080555688</v>
      </c>
    </row>
    <row r="145" spans="1:116" ht="24.9" customHeight="1" x14ac:dyDescent="0.3">
      <c r="A145" s="328">
        <v>150001007</v>
      </c>
      <c r="B145" s="45" t="s">
        <v>213</v>
      </c>
      <c r="C145" s="1035">
        <v>4</v>
      </c>
      <c r="D145" s="1036" t="s">
        <v>454</v>
      </c>
      <c r="E145" s="1028">
        <f>'побудинковий звіт'!E143</f>
        <v>261</v>
      </c>
      <c r="F145" s="1029">
        <f>'побудинковий звіт'!AS143</f>
        <v>26028.242005534124</v>
      </c>
      <c r="G145" s="1029">
        <f t="shared" si="16"/>
        <v>2926</v>
      </c>
      <c r="H145" s="1029">
        <f t="shared" si="17"/>
        <v>-23102.242005534124</v>
      </c>
      <c r="I145" s="43">
        <f>'[1]поточний ремонт'!I145+'[2]поточний ремонт'!I145-'[3]поточний ремонт'!I145</f>
        <v>0</v>
      </c>
      <c r="J145" s="43">
        <f>'[1]поточний ремонт'!J145+'[2]поточний ремонт'!J145-'[3]поточний ремонт'!J145</f>
        <v>0</v>
      </c>
      <c r="K145" s="1037"/>
      <c r="L145" s="43">
        <f>'[1]поточний ремонт'!L145+'[2]поточний ремонт'!L145-'[3]поточний ремонт'!L145</f>
        <v>0</v>
      </c>
      <c r="M145" s="43">
        <f>'[1]поточний ремонт'!M145+'[2]поточний ремонт'!M145-'[3]поточний ремонт'!M145</f>
        <v>1483</v>
      </c>
      <c r="N145" s="37"/>
      <c r="O145" s="43">
        <f>'[1]поточний ремонт'!O145+'[2]поточний ремонт'!O145-'[3]поточний ремонт'!O145</f>
        <v>0</v>
      </c>
      <c r="P145" s="43">
        <f>'[1]поточний ремонт'!P145+'[2]поточний ремонт'!P145-'[3]поточний ремонт'!P145</f>
        <v>0</v>
      </c>
      <c r="Q145" s="1038"/>
      <c r="R145" s="43">
        <f>'[1]поточний ремонт'!R145+'[2]поточний ремонт'!R145-'[3]поточний ремонт'!R145</f>
        <v>0</v>
      </c>
      <c r="S145" s="43">
        <f>'[1]поточний ремонт'!S145+'[2]поточний ремонт'!S145-'[3]поточний ремонт'!S145</f>
        <v>0</v>
      </c>
      <c r="T145" s="1039"/>
      <c r="U145" s="43">
        <f>'[1]поточний ремонт'!U145+'[2]поточний ремонт'!U145-'[3]поточний ремонт'!U145</f>
        <v>0</v>
      </c>
      <c r="V145" s="43">
        <f>'[1]поточний ремонт'!V145+'[2]поточний ремонт'!V145-'[3]поточний ремонт'!V145</f>
        <v>0</v>
      </c>
      <c r="W145" s="43">
        <f>'[1]поточний ремонт'!W145+'[2]поточний ремонт'!W145-'[3]поточний ремонт'!W145</f>
        <v>0</v>
      </c>
      <c r="X145" s="43">
        <f>'[1]поточний ремонт'!X145+'[2]поточний ремонт'!X145-'[3]поточний ремонт'!X145</f>
        <v>0</v>
      </c>
      <c r="Y145" s="43">
        <f>'[1]поточний ремонт'!Y145+'[2]поточний ремонт'!Y145-'[3]поточний ремонт'!Y145</f>
        <v>0</v>
      </c>
      <c r="Z145" s="43">
        <f>'[1]поточний ремонт'!Z145+'[2]поточний ремонт'!Z145-'[3]поточний ремонт'!Z145</f>
        <v>0</v>
      </c>
      <c r="AA145" s="43">
        <f>'[1]поточний ремонт'!AA145+'[2]поточний ремонт'!AA145-'[3]поточний ремонт'!AA145</f>
        <v>0</v>
      </c>
      <c r="AB145" s="43">
        <f>'[1]поточний ремонт'!AB145+'[2]поточний ремонт'!AB145-'[3]поточний ремонт'!AB145</f>
        <v>0</v>
      </c>
      <c r="AC145" s="43">
        <f>'[1]поточний ремонт'!AC145+'[2]поточний ремонт'!AC145-'[3]поточний ремонт'!AC145</f>
        <v>0</v>
      </c>
      <c r="AD145" s="43">
        <f>'[1]поточний ремонт'!AD145+'[2]поточний ремонт'!AD145-'[3]поточний ремонт'!AD145</f>
        <v>1443</v>
      </c>
      <c r="AE145" s="43">
        <f>'[1]поточний ремонт'!AE145+'[2]поточний ремонт'!AE145-'[3]поточний ремонт'!AE145</f>
        <v>1258.1166188767129</v>
      </c>
      <c r="AF145" s="43">
        <f>'[1]поточний ремонт'!AF145+'[2]поточний ремонт'!AF145-'[3]поточний ремонт'!AF145</f>
        <v>809</v>
      </c>
      <c r="AG145" s="5"/>
      <c r="AH145" s="43">
        <f>'[1]поточний ремонт'!AH145+'[2]поточний ремонт'!AH145-'[3]поточний ремонт'!AH145</f>
        <v>1871.8716437381809</v>
      </c>
      <c r="AI145" s="43">
        <f>'[1]поточний ремонт'!AI145+'[2]поточний ремонт'!AI145-'[3]поточний ремонт'!AI145</f>
        <v>0</v>
      </c>
      <c r="AJ145" s="5"/>
      <c r="AK145" s="43">
        <f>'[1]поточний ремонт'!AK145+'[2]поточний ремонт'!AK145-'[3]поточний ремонт'!AK145</f>
        <v>1414.2557007532516</v>
      </c>
      <c r="AL145" s="43">
        <f>'[1]поточний ремонт'!AL145+'[2]поточний ремонт'!AL145-'[3]поточний ремонт'!AL145</f>
        <v>0</v>
      </c>
      <c r="AM145" s="5"/>
      <c r="AN145" s="43">
        <f>'[1]поточний ремонт'!AN145+'[2]поточний ремонт'!AN145-'[3]поточний ремонт'!AN145</f>
        <v>0</v>
      </c>
      <c r="AO145" s="43">
        <f>'[1]поточний ремонт'!AO145+'[2]поточний ремонт'!AO145-'[3]поточний ремонт'!AO145</f>
        <v>0</v>
      </c>
      <c r="AP145" s="5"/>
      <c r="AQ145" s="43">
        <f>'[1]поточний ремонт'!AQ145+'[2]поточний ремонт'!AQ145-'[3]поточний ремонт'!AQ145</f>
        <v>0</v>
      </c>
      <c r="AR145" s="43">
        <f>'[1]поточний ремонт'!AR145+'[2]поточний ремонт'!AR145-'[3]поточний ремонт'!AR145</f>
        <v>457.81107576101647</v>
      </c>
      <c r="AS145" s="5"/>
      <c r="AT145" s="43">
        <f>'[1]поточний ремонт'!AT145+'[2]поточний ремонт'!AT145-'[3]поточний ремонт'!AT145</f>
        <v>519.14742865626056</v>
      </c>
      <c r="AU145" s="43">
        <f>'[1]поточний ремонт'!AU145+'[2]поточний ремонт'!AU145-'[3]поточний ремонт'!AU145</f>
        <v>795</v>
      </c>
      <c r="AV145" s="5"/>
      <c r="AW145" s="43">
        <f>'[1]поточний ремонт'!AW145+'[2]поточний ремонт'!AW145-'[3]поточний ремонт'!AW145</f>
        <v>0</v>
      </c>
      <c r="AX145" s="43">
        <f>'[1]поточний ремонт'!AX145+'[2]поточний ремонт'!AX145-'[3]поточний ремонт'!AX145</f>
        <v>0</v>
      </c>
      <c r="AY145" s="5"/>
      <c r="AZ145" s="43">
        <f t="shared" si="18"/>
        <v>5063.3913920244058</v>
      </c>
      <c r="BA145" s="43">
        <f t="shared" si="19"/>
        <v>2061.8110757610166</v>
      </c>
      <c r="BB145" s="59">
        <f t="shared" si="20"/>
        <v>-3001.5803162633892</v>
      </c>
      <c r="BD145" s="2">
        <v>2</v>
      </c>
      <c r="BF145" s="30">
        <v>2.9885986996547804</v>
      </c>
      <c r="BG145" s="328">
        <v>150001007</v>
      </c>
      <c r="BI145" s="107">
        <v>0</v>
      </c>
      <c r="BJ145" s="107">
        <f t="shared" si="21"/>
        <v>0</v>
      </c>
      <c r="BK145" s="107">
        <v>0</v>
      </c>
      <c r="BL145" s="39"/>
      <c r="BM145" s="3"/>
      <c r="BN145" s="3">
        <v>0</v>
      </c>
      <c r="BP145" s="3"/>
      <c r="BQ145" s="3"/>
      <c r="BS145" s="43"/>
      <c r="BT145" s="43">
        <v>0</v>
      </c>
      <c r="BU145" s="1037"/>
      <c r="BV145" s="42"/>
      <c r="BW145" s="43"/>
      <c r="BX145" s="37"/>
      <c r="BY145" s="78"/>
      <c r="BZ145" s="43">
        <v>0</v>
      </c>
      <c r="CA145" s="1038"/>
      <c r="CB145" s="42"/>
      <c r="CC145" s="42">
        <v>0</v>
      </c>
      <c r="CD145" s="1039"/>
      <c r="CE145" s="78">
        <v>0</v>
      </c>
      <c r="CF145" s="56"/>
      <c r="CG145" s="42">
        <v>0</v>
      </c>
      <c r="CH145" s="39">
        <v>0</v>
      </c>
      <c r="CI145" s="78">
        <v>0</v>
      </c>
      <c r="CJ145" s="56"/>
      <c r="CK145" s="1034"/>
      <c r="CL145" s="1029"/>
      <c r="CM145" s="1034"/>
      <c r="CN145" s="1029">
        <v>0</v>
      </c>
      <c r="CO145" s="78">
        <v>104.84305157305938</v>
      </c>
      <c r="CP145" s="43">
        <v>0</v>
      </c>
      <c r="CQ145" s="5"/>
      <c r="CR145" s="78">
        <v>155.98930364484841</v>
      </c>
      <c r="CS145" s="1033">
        <v>0</v>
      </c>
      <c r="CT145" s="5"/>
      <c r="CU145" s="78">
        <v>117.85464172943765</v>
      </c>
      <c r="CV145" s="43">
        <v>0</v>
      </c>
      <c r="CW145" s="5"/>
      <c r="CX145" s="78">
        <v>0</v>
      </c>
      <c r="CY145" s="43">
        <v>0</v>
      </c>
      <c r="CZ145" s="5"/>
      <c r="DA145" s="78">
        <v>0</v>
      </c>
      <c r="DB145" s="43">
        <v>574.90813329658079</v>
      </c>
      <c r="DC145" s="5"/>
      <c r="DD145" s="78">
        <v>43.262285721355042</v>
      </c>
      <c r="DE145" s="43">
        <v>0</v>
      </c>
      <c r="DF145" s="5"/>
      <c r="DG145" s="78">
        <v>0</v>
      </c>
      <c r="DH145" s="43"/>
      <c r="DI145" s="5"/>
      <c r="DJ145" s="43">
        <v>421.94928266870045</v>
      </c>
      <c r="DK145" s="43">
        <f t="shared" si="22"/>
        <v>574.90813329658079</v>
      </c>
      <c r="DL145" s="59">
        <f t="shared" si="23"/>
        <v>152.95885062788034</v>
      </c>
    </row>
    <row r="146" spans="1:116" ht="24.9" customHeight="1" x14ac:dyDescent="0.3">
      <c r="A146" s="328">
        <v>150001018</v>
      </c>
      <c r="B146" s="47" t="s">
        <v>429</v>
      </c>
      <c r="C146" s="1055">
        <v>5</v>
      </c>
      <c r="D146" s="1056" t="s">
        <v>822</v>
      </c>
      <c r="E146" s="1028">
        <f>'побудинковий звіт'!E144</f>
        <v>664.88</v>
      </c>
      <c r="F146" s="1029">
        <f>'побудинковий звіт'!AS144</f>
        <v>36208.926701410528</v>
      </c>
      <c r="G146" s="1029">
        <f t="shared" si="16"/>
        <v>199.4076048641312</v>
      </c>
      <c r="H146" s="1029">
        <f t="shared" si="17"/>
        <v>-36009.519096546399</v>
      </c>
      <c r="I146" s="43">
        <f>'[1]поточний ремонт'!I146+'[2]поточний ремонт'!I146-'[3]поточний ремонт'!I146</f>
        <v>0</v>
      </c>
      <c r="J146" s="43">
        <f>'[1]поточний ремонт'!J146+'[2]поточний ремонт'!J146-'[3]поточний ремонт'!J146</f>
        <v>0</v>
      </c>
      <c r="K146" s="1037"/>
      <c r="L146" s="43">
        <f>'[1]поточний ремонт'!L146+'[2]поточний ремонт'!L146-'[3]поточний ремонт'!L146</f>
        <v>0</v>
      </c>
      <c r="M146" s="43">
        <f>'[1]поточний ремонт'!M146+'[2]поточний ремонт'!M146-'[3]поточний ремонт'!M146</f>
        <v>0</v>
      </c>
      <c r="N146" s="37"/>
      <c r="O146" s="43">
        <f>'[1]поточний ремонт'!O146+'[2]поточний ремонт'!O146-'[3]поточний ремонт'!O146</f>
        <v>0</v>
      </c>
      <c r="P146" s="43">
        <f>'[1]поточний ремонт'!P146+'[2]поточний ремонт'!P146-'[3]поточний ремонт'!P146</f>
        <v>0</v>
      </c>
      <c r="Q146" s="1038"/>
      <c r="R146" s="43">
        <f>'[1]поточний ремонт'!R146+'[2]поточний ремонт'!R146-'[3]поточний ремонт'!R146</f>
        <v>0</v>
      </c>
      <c r="S146" s="43">
        <f>'[1]поточний ремонт'!S146+'[2]поточний ремонт'!S146-'[3]поточний ремонт'!S146</f>
        <v>0</v>
      </c>
      <c r="T146" s="1039"/>
      <c r="U146" s="43">
        <f>'[1]поточний ремонт'!U146+'[2]поточний ремонт'!U146-'[3]поточний ремонт'!U146</f>
        <v>0</v>
      </c>
      <c r="V146" s="43">
        <f>'[1]поточний ремонт'!V146+'[2]поточний ремонт'!V146-'[3]поточний ремонт'!V146</f>
        <v>0</v>
      </c>
      <c r="W146" s="43">
        <f>'[1]поточний ремонт'!W146+'[2]поточний ремонт'!W146-'[3]поточний ремонт'!W146</f>
        <v>0</v>
      </c>
      <c r="X146" s="43">
        <f>'[1]поточний ремонт'!X146+'[2]поточний ремонт'!X146-'[3]поточний ремонт'!X146</f>
        <v>199.4076048641312</v>
      </c>
      <c r="Y146" s="43">
        <f>'[1]поточний ремонт'!Y146+'[2]поточний ремонт'!Y146-'[3]поточний ремонт'!Y146</f>
        <v>0</v>
      </c>
      <c r="Z146" s="43">
        <f>'[1]поточний ремонт'!Z146+'[2]поточний ремонт'!Z146-'[3]поточний ремонт'!Z146</f>
        <v>0</v>
      </c>
      <c r="AA146" s="43">
        <f>'[1]поточний ремонт'!AA146+'[2]поточний ремонт'!AA146-'[3]поточний ремонт'!AA146</f>
        <v>0</v>
      </c>
      <c r="AB146" s="43">
        <f>'[1]поточний ремонт'!AB146+'[2]поточний ремонт'!AB146-'[3]поточний ремонт'!AB146</f>
        <v>0</v>
      </c>
      <c r="AC146" s="43">
        <f>'[1]поточний ремонт'!AC146+'[2]поточний ремонт'!AC146-'[3]поточний ремонт'!AC146</f>
        <v>0</v>
      </c>
      <c r="AD146" s="43">
        <f>'[1]поточний ремонт'!AD146+'[2]поточний ремонт'!AD146-'[3]поточний ремонт'!AD146</f>
        <v>0</v>
      </c>
      <c r="AE146" s="43">
        <f>'[1]поточний ремонт'!AE146+'[2]поточний ремонт'!AE146-'[3]поточний ремонт'!AE146</f>
        <v>1110.2083740881446</v>
      </c>
      <c r="AF146" s="43">
        <f>'[1]поточний ремонт'!AF146+'[2]поточний ремонт'!AF146-'[3]поточний ремонт'!AF146</f>
        <v>0</v>
      </c>
      <c r="AG146" s="9"/>
      <c r="AH146" s="43">
        <f>'[1]поточний ремонт'!AH146+'[2]поточний ремонт'!AH146-'[3]поточний ремонт'!AH146</f>
        <v>1656.8612917752732</v>
      </c>
      <c r="AI146" s="43">
        <f>'[1]поточний ремонт'!AI146+'[2]поточний ремонт'!AI146-'[3]поточний ремонт'!AI146</f>
        <v>0</v>
      </c>
      <c r="AJ146" s="5"/>
      <c r="AK146" s="43">
        <f>'[1]поточний ремонт'!AK146+'[2]поточний ремонт'!AK146-'[3]поточний ремонт'!AK146</f>
        <v>2225.5889058904513</v>
      </c>
      <c r="AL146" s="43">
        <f>'[1]поточний ремонт'!AL146+'[2]поточний ремонт'!AL146-'[3]поточний ремонт'!AL146</f>
        <v>0</v>
      </c>
      <c r="AM146" s="5"/>
      <c r="AN146" s="43">
        <f>'[1]поточний ремонт'!AN146+'[2]поточний ремонт'!AN146-'[3]поточний ремонт'!AN146</f>
        <v>1280.8136499215125</v>
      </c>
      <c r="AO146" s="43">
        <f>'[1]поточний ремонт'!AO146+'[2]поточний ремонт'!AO146-'[3]поточний ремонт'!AO146</f>
        <v>0</v>
      </c>
      <c r="AP146" s="5"/>
      <c r="AQ146" s="43">
        <f>'[1]поточний ремонт'!AQ146+'[2]поточний ремонт'!AQ146-'[3]поточний ремонт'!AQ146</f>
        <v>0</v>
      </c>
      <c r="AR146" s="43">
        <f>'[1]поточний ремонт'!AR146+'[2]поточний ремонт'!AR146-'[3]поточний ремонт'!AR146</f>
        <v>382</v>
      </c>
      <c r="AS146" s="5"/>
      <c r="AT146" s="43">
        <f>'[1]поточний ремонт'!AT146+'[2]поточний ремонт'!AT146-'[3]поточний ремонт'!AT146</f>
        <v>709.27539010590624</v>
      </c>
      <c r="AU146" s="43">
        <f>'[1]поточний ремонт'!AU146+'[2]поточний ремонт'!AU146-'[3]поточний ремонт'!AU146</f>
        <v>0</v>
      </c>
      <c r="AV146" s="5"/>
      <c r="AW146" s="43">
        <f>'[1]поточний ремонт'!AW146+'[2]поточний ремонт'!AW146-'[3]поточний ремонт'!AW146</f>
        <v>0</v>
      </c>
      <c r="AX146" s="43">
        <f>'[1]поточний ремонт'!AX146+'[2]поточний ремонт'!AX146-'[3]поточний ремонт'!AX146</f>
        <v>0</v>
      </c>
      <c r="AY146" s="5"/>
      <c r="AZ146" s="43">
        <f t="shared" si="18"/>
        <v>6982.7476117812876</v>
      </c>
      <c r="BA146" s="43">
        <f t="shared" si="19"/>
        <v>382</v>
      </c>
      <c r="BB146" s="59">
        <f t="shared" si="20"/>
        <v>-6600.7476117812876</v>
      </c>
      <c r="BD146" s="2">
        <v>2</v>
      </c>
      <c r="BF146" s="30">
        <v>4.1060296483132124</v>
      </c>
      <c r="BG146" s="328">
        <v>150001018</v>
      </c>
      <c r="BI146" s="107">
        <v>14.88</v>
      </c>
      <c r="BJ146" s="107">
        <f t="shared" si="21"/>
        <v>2.0930535359999998</v>
      </c>
      <c r="BK146" s="107">
        <v>17.160892644480001</v>
      </c>
      <c r="BL146" s="39"/>
      <c r="BM146" s="3"/>
      <c r="BN146" s="3">
        <v>0</v>
      </c>
      <c r="BP146" s="3"/>
      <c r="BQ146" s="3"/>
      <c r="BS146" s="43"/>
      <c r="BT146" s="43">
        <v>0</v>
      </c>
      <c r="BU146" s="1037"/>
      <c r="BV146" s="42"/>
      <c r="BW146" s="43"/>
      <c r="BX146" s="37"/>
      <c r="BY146" s="78"/>
      <c r="BZ146" s="43">
        <v>0</v>
      </c>
      <c r="CA146" s="1038"/>
      <c r="CB146" s="42"/>
      <c r="CC146" s="42">
        <v>0</v>
      </c>
      <c r="CD146" s="1039"/>
      <c r="CE146" s="78">
        <v>0</v>
      </c>
      <c r="CF146" s="56"/>
      <c r="CG146" s="42">
        <v>0</v>
      </c>
      <c r="CH146" s="39">
        <v>17.160892644480001</v>
      </c>
      <c r="CI146" s="78">
        <v>0</v>
      </c>
      <c r="CJ146" s="58"/>
      <c r="CK146" s="1034"/>
      <c r="CL146" s="1029"/>
      <c r="CM146" s="1034"/>
      <c r="CN146" s="1029">
        <v>0</v>
      </c>
      <c r="CO146" s="78">
        <v>92.517364507345363</v>
      </c>
      <c r="CP146" s="43">
        <v>0</v>
      </c>
      <c r="CQ146" s="9"/>
      <c r="CR146" s="78">
        <v>138.07177431460613</v>
      </c>
      <c r="CS146" s="1033">
        <v>0</v>
      </c>
      <c r="CT146" s="5"/>
      <c r="CU146" s="78">
        <v>185.46574215753765</v>
      </c>
      <c r="CV146" s="43">
        <v>0</v>
      </c>
      <c r="CW146" s="5"/>
      <c r="CX146" s="78">
        <v>106.7344708267927</v>
      </c>
      <c r="CY146" s="43">
        <v>0</v>
      </c>
      <c r="CZ146" s="5"/>
      <c r="DA146" s="78">
        <v>0</v>
      </c>
      <c r="DB146" s="43">
        <v>0</v>
      </c>
      <c r="DC146" s="5"/>
      <c r="DD146" s="78">
        <v>59.106282508825508</v>
      </c>
      <c r="DE146" s="43">
        <v>0</v>
      </c>
      <c r="DF146" s="5"/>
      <c r="DG146" s="78">
        <v>0</v>
      </c>
      <c r="DH146" s="43"/>
      <c r="DI146" s="5"/>
      <c r="DJ146" s="43">
        <v>581.89563431510737</v>
      </c>
      <c r="DK146" s="43">
        <f t="shared" si="22"/>
        <v>0</v>
      </c>
      <c r="DL146" s="59">
        <f t="shared" si="23"/>
        <v>-581.89563431510737</v>
      </c>
    </row>
    <row r="147" spans="1:116" ht="24.9" customHeight="1" x14ac:dyDescent="0.3">
      <c r="A147" s="328">
        <v>150001019</v>
      </c>
      <c r="B147" s="45" t="s">
        <v>419</v>
      </c>
      <c r="C147" s="1035">
        <v>10</v>
      </c>
      <c r="D147" s="1036" t="s">
        <v>454</v>
      </c>
      <c r="E147" s="1028">
        <f>'побудинковий звіт'!E145</f>
        <v>1440.1</v>
      </c>
      <c r="F147" s="1029">
        <f>'побудинковий звіт'!AS145</f>
        <v>102928.98718616011</v>
      </c>
      <c r="G147" s="1029">
        <f t="shared" si="16"/>
        <v>62916</v>
      </c>
      <c r="H147" s="1029">
        <f t="shared" si="17"/>
        <v>-40012.987186160113</v>
      </c>
      <c r="I147" s="43">
        <f>'[1]поточний ремонт'!I147+'[2]поточний ремонт'!I147-'[3]поточний ремонт'!I147</f>
        <v>6.94</v>
      </c>
      <c r="J147" s="43">
        <f>'[1]поточний ремонт'!J147+'[2]поточний ремонт'!J147-'[3]поточний ремонт'!J147</f>
        <v>9342</v>
      </c>
      <c r="K147" s="1041"/>
      <c r="L147" s="43">
        <f>'[1]поточний ремонт'!L147+'[2]поточний ремонт'!L147-'[3]поточний ремонт'!L147</f>
        <v>0</v>
      </c>
      <c r="M147" s="43">
        <f>'[1]поточний ремонт'!M147+'[2]поточний ремонт'!M147-'[3]поточний ремонт'!M147</f>
        <v>0</v>
      </c>
      <c r="N147" s="1040"/>
      <c r="O147" s="43">
        <f>'[1]поточний ремонт'!O147+'[2]поточний ремонт'!O147-'[3]поточний ремонт'!O147</f>
        <v>0</v>
      </c>
      <c r="P147" s="43">
        <f>'[1]поточний ремонт'!P147+'[2]поточний ремонт'!P147-'[3]поточний ремонт'!P147</f>
        <v>0</v>
      </c>
      <c r="Q147" s="1038"/>
      <c r="R147" s="43">
        <f>'[1]поточний ремонт'!R147+'[2]поточний ремонт'!R147-'[3]поточний ремонт'!R147</f>
        <v>2</v>
      </c>
      <c r="S147" s="43">
        <f>'[1]поточний ремонт'!S147+'[2]поточний ремонт'!S147-'[3]поточний ремонт'!S147</f>
        <v>16931</v>
      </c>
      <c r="T147" s="1039"/>
      <c r="U147" s="43">
        <f>'[1]поточний ремонт'!U147+'[2]поточний ремонт'!U147-'[3]поточний ремонт'!U147</f>
        <v>0</v>
      </c>
      <c r="V147" s="43">
        <f>'[1]поточний ремонт'!V147+'[2]поточний ремонт'!V147-'[3]поточний ремонт'!V147</f>
        <v>0</v>
      </c>
      <c r="W147" s="43">
        <f>'[1]поточний ремонт'!W147+'[2]поточний ремонт'!W147-'[3]поточний ремонт'!W147</f>
        <v>0</v>
      </c>
      <c r="X147" s="43">
        <f>'[1]поточний ремонт'!X147+'[2]поточний ремонт'!X147-'[3]поточний ремонт'!X147</f>
        <v>0</v>
      </c>
      <c r="Y147" s="43">
        <f>'[1]поточний ремонт'!Y147+'[2]поточний ремонт'!Y147-'[3]поточний ремонт'!Y147</f>
        <v>3418</v>
      </c>
      <c r="Z147" s="43">
        <f>'[1]поточний ремонт'!Z147+'[2]поточний ремонт'!Z147-'[3]поточний ремонт'!Z147</f>
        <v>0</v>
      </c>
      <c r="AA147" s="43">
        <f>'[1]поточний ремонт'!AA147+'[2]поточний ремонт'!AA147-'[3]поточний ремонт'!AA147</f>
        <v>0</v>
      </c>
      <c r="AB147" s="43">
        <f>'[1]поточний ремонт'!AB147+'[2]поточний ремонт'!AB147-'[3]поточний ремонт'!AB147</f>
        <v>0</v>
      </c>
      <c r="AC147" s="43">
        <f>'[1]поточний ремонт'!AC147+'[2]поточний ремонт'!AC147-'[3]поточний ремонт'!AC147</f>
        <v>31302</v>
      </c>
      <c r="AD147" s="43">
        <f>'[1]поточний ремонт'!AD147+'[2]поточний ремонт'!AD147-'[3]поточний ремонт'!AD147</f>
        <v>1923</v>
      </c>
      <c r="AE147" s="43">
        <f>'[1]поточний ремонт'!AE147+'[2]поточний ремонт'!AE147-'[3]поточний ремонт'!AE147</f>
        <v>1967.3756778440991</v>
      </c>
      <c r="AF147" s="43">
        <f>'[1]поточний ремонт'!AF147+'[2]поточний ремонт'!AF147-'[3]поточний ремонт'!AF147</f>
        <v>648</v>
      </c>
      <c r="AG147" s="5"/>
      <c r="AH147" s="43">
        <f>'[1]поточний ремонт'!AH147+'[2]поточний ремонт'!AH147-'[3]поточний ремонт'!AH147</f>
        <v>2340.4438870699346</v>
      </c>
      <c r="AI147" s="43">
        <f>'[1]поточний ремонт'!AI147+'[2]поточний ремонт'!AI147-'[3]поточний ремонт'!AI147</f>
        <v>3296</v>
      </c>
      <c r="AJ147" s="5"/>
      <c r="AK147" s="43">
        <f>'[1]поточний ремонт'!AK147+'[2]поточний ремонт'!AK147-'[3]поточний ремонт'!AK147</f>
        <v>2537.8956901924998</v>
      </c>
      <c r="AL147" s="43">
        <f>'[1]поточний ремонт'!AL147+'[2]поточний ремонт'!AL147-'[3]поточний ремонт'!AL147</f>
        <v>0</v>
      </c>
      <c r="AM147" s="5"/>
      <c r="AN147" s="43">
        <f>'[1]поточний ремонт'!AN147+'[2]поточний ремонт'!AN147-'[3]поточний ремонт'!AN147</f>
        <v>1079.8411689040149</v>
      </c>
      <c r="AO147" s="43">
        <f>'[1]поточний ремонт'!AO147+'[2]поточний ремонт'!AO147-'[3]поточний ремонт'!AO147</f>
        <v>0</v>
      </c>
      <c r="AP147" s="5"/>
      <c r="AQ147" s="43">
        <f>'[1]поточний ремонт'!AQ147+'[2]поточний ремонт'!AQ147-'[3]поточний ремонт'!AQ147</f>
        <v>634.10414095325257</v>
      </c>
      <c r="AR147" s="43">
        <f>'[1]поточний ремонт'!AR147+'[2]поточний ремонт'!AR147-'[3]поточний ремонт'!AR147</f>
        <v>0</v>
      </c>
      <c r="AS147" s="5"/>
      <c r="AT147" s="43">
        <f>'[1]поточний ремонт'!AT147+'[2]поточний ремонт'!AT147-'[3]поточний ремонт'!AT147</f>
        <v>1320.4697890563455</v>
      </c>
      <c r="AU147" s="43">
        <f>'[1]поточний ремонт'!AU147+'[2]поточний ремонт'!AU147-'[3]поточний ремонт'!AU147</f>
        <v>4152.9860736521805</v>
      </c>
      <c r="AV147" s="9"/>
      <c r="AW147" s="43">
        <f>'[1]поточний ремонт'!AW147+'[2]поточний ремонт'!AW147-'[3]поточний ремонт'!AW147</f>
        <v>710.06625734530007</v>
      </c>
      <c r="AX147" s="43">
        <f>'[1]поточний ремонт'!AX147+'[2]поточний ремонт'!AX147-'[3]поточний ремонт'!AX147</f>
        <v>0</v>
      </c>
      <c r="AY147" s="5"/>
      <c r="AZ147" s="43">
        <f t="shared" si="18"/>
        <v>10590.196611365445</v>
      </c>
      <c r="BA147" s="43">
        <f t="shared" si="19"/>
        <v>8096.9860736521805</v>
      </c>
      <c r="BB147" s="59">
        <f t="shared" si="20"/>
        <v>-2493.2105377132648</v>
      </c>
      <c r="BD147" s="2">
        <v>1</v>
      </c>
      <c r="BF147" s="30">
        <v>323.37762570935462</v>
      </c>
      <c r="BG147" s="328">
        <v>150001019</v>
      </c>
      <c r="BI147" s="107">
        <v>0</v>
      </c>
      <c r="BJ147" s="107">
        <f t="shared" si="21"/>
        <v>0</v>
      </c>
      <c r="BK147" s="107">
        <v>0</v>
      </c>
      <c r="BL147" s="39"/>
      <c r="BM147" s="3"/>
      <c r="BN147" s="3">
        <v>0</v>
      </c>
      <c r="BP147" s="3"/>
      <c r="BQ147" s="3"/>
      <c r="BS147" s="43"/>
      <c r="BT147" s="43">
        <v>0</v>
      </c>
      <c r="BU147" s="1041"/>
      <c r="BV147" s="42"/>
      <c r="BW147" s="43"/>
      <c r="BX147" s="1040"/>
      <c r="BY147" s="78"/>
      <c r="BZ147" s="43">
        <v>0</v>
      </c>
      <c r="CA147" s="1038"/>
      <c r="CB147" s="42"/>
      <c r="CC147" s="42">
        <v>0</v>
      </c>
      <c r="CD147" s="1039"/>
      <c r="CE147" s="78">
        <v>0</v>
      </c>
      <c r="CF147" s="56"/>
      <c r="CG147" s="42">
        <v>0</v>
      </c>
      <c r="CH147" s="39">
        <v>0</v>
      </c>
      <c r="CI147" s="78">
        <v>0</v>
      </c>
      <c r="CJ147" s="1044"/>
      <c r="CK147" s="1034"/>
      <c r="CL147" s="1029"/>
      <c r="CM147" s="1034"/>
      <c r="CN147" s="1029">
        <v>0</v>
      </c>
      <c r="CO147" s="78">
        <v>163.94797315367498</v>
      </c>
      <c r="CP147" s="43">
        <v>0</v>
      </c>
      <c r="CQ147" s="5"/>
      <c r="CR147" s="78">
        <v>195.03699058916126</v>
      </c>
      <c r="CS147" s="1033">
        <v>0</v>
      </c>
      <c r="CT147" s="5"/>
      <c r="CU147" s="78">
        <v>211.49130751604164</v>
      </c>
      <c r="CV147" s="43">
        <v>0</v>
      </c>
      <c r="CW147" s="5"/>
      <c r="CX147" s="78">
        <v>89.986764075334577</v>
      </c>
      <c r="CY147" s="43">
        <v>0</v>
      </c>
      <c r="CZ147" s="5"/>
      <c r="DA147" s="78">
        <v>52.842011746104383</v>
      </c>
      <c r="DB147" s="43">
        <v>0</v>
      </c>
      <c r="DC147" s="5"/>
      <c r="DD147" s="78">
        <v>110.03914908802879</v>
      </c>
      <c r="DE147" s="43">
        <v>1142.8902890590398</v>
      </c>
      <c r="DF147" s="9"/>
      <c r="DG147" s="78">
        <v>59.172188112108344</v>
      </c>
      <c r="DH147" s="43"/>
      <c r="DI147" s="5"/>
      <c r="DJ147" s="43">
        <v>882.51638428045396</v>
      </c>
      <c r="DK147" s="43">
        <f t="shared" si="22"/>
        <v>1142.8902890590398</v>
      </c>
      <c r="DL147" s="59">
        <f t="shared" si="23"/>
        <v>260.37390477858582</v>
      </c>
    </row>
    <row r="148" spans="1:116" ht="24.9" customHeight="1" x14ac:dyDescent="0.3">
      <c r="A148" s="328">
        <v>150001020</v>
      </c>
      <c r="B148" s="45" t="s">
        <v>100</v>
      </c>
      <c r="C148" s="1035">
        <v>1</v>
      </c>
      <c r="D148" s="1036" t="s">
        <v>454</v>
      </c>
      <c r="E148" s="1028">
        <f>'побудинковий звіт'!E146</f>
        <v>4024.2</v>
      </c>
      <c r="F148" s="1029">
        <f>'побудинковий звіт'!AS146</f>
        <v>3613.4219715197546</v>
      </c>
      <c r="G148" s="1029">
        <f t="shared" si="16"/>
        <v>2600</v>
      </c>
      <c r="H148" s="1029">
        <f t="shared" si="17"/>
        <v>-1013.4219715197546</v>
      </c>
      <c r="I148" s="43">
        <f>'[1]поточний ремонт'!I148+'[2]поточний ремонт'!I148-'[3]поточний ремонт'!I148</f>
        <v>9</v>
      </c>
      <c r="J148" s="43">
        <f>'[1]поточний ремонт'!J148+'[2]поточний ремонт'!J148-'[3]поточний ремонт'!J148</f>
        <v>2600</v>
      </c>
      <c r="K148" s="1037"/>
      <c r="L148" s="43">
        <f>'[1]поточний ремонт'!L148+'[2]поточний ремонт'!L148-'[3]поточний ремонт'!L148</f>
        <v>0</v>
      </c>
      <c r="M148" s="43">
        <f>'[1]поточний ремонт'!M148+'[2]поточний ремонт'!M148-'[3]поточний ремонт'!M148</f>
        <v>0</v>
      </c>
      <c r="N148" s="37"/>
      <c r="O148" s="43">
        <f>'[1]поточний ремонт'!O148+'[2]поточний ремонт'!O148-'[3]поточний ремонт'!O148</f>
        <v>0</v>
      </c>
      <c r="P148" s="43">
        <f>'[1]поточний ремонт'!P148+'[2]поточний ремонт'!P148-'[3]поточний ремонт'!P148</f>
        <v>0</v>
      </c>
      <c r="Q148" s="1038"/>
      <c r="R148" s="43">
        <f>'[1]поточний ремонт'!R148+'[2]поточний ремонт'!R148-'[3]поточний ремонт'!R148</f>
        <v>0</v>
      </c>
      <c r="S148" s="43">
        <f>'[1]поточний ремонт'!S148+'[2]поточний ремонт'!S148-'[3]поточний ремонт'!S148</f>
        <v>0</v>
      </c>
      <c r="T148" s="1039"/>
      <c r="U148" s="43">
        <f>'[1]поточний ремонт'!U148+'[2]поточний ремонт'!U148-'[3]поточний ремонт'!U148</f>
        <v>0</v>
      </c>
      <c r="V148" s="43">
        <f>'[1]поточний ремонт'!V148+'[2]поточний ремонт'!V148-'[3]поточний ремонт'!V148</f>
        <v>0</v>
      </c>
      <c r="W148" s="43">
        <f>'[1]поточний ремонт'!W148+'[2]поточний ремонт'!W148-'[3]поточний ремонт'!W148</f>
        <v>0</v>
      </c>
      <c r="X148" s="43">
        <f>'[1]поточний ремонт'!X148+'[2]поточний ремонт'!X148-'[3]поточний ремонт'!X148</f>
        <v>0</v>
      </c>
      <c r="Y148" s="43">
        <f>'[1]поточний ремонт'!Y148+'[2]поточний ремонт'!Y148-'[3]поточний ремонт'!Y148</f>
        <v>0</v>
      </c>
      <c r="Z148" s="43">
        <f>'[1]поточний ремонт'!Z148+'[2]поточний ремонт'!Z148-'[3]поточний ремонт'!Z148</f>
        <v>0</v>
      </c>
      <c r="AA148" s="43">
        <f>'[1]поточний ремонт'!AA148+'[2]поточний ремонт'!AA148-'[3]поточний ремонт'!AA148</f>
        <v>0</v>
      </c>
      <c r="AB148" s="43">
        <f>'[1]поточний ремонт'!AB148+'[2]поточний ремонт'!AB148-'[3]поточний ремонт'!AB148</f>
        <v>0</v>
      </c>
      <c r="AC148" s="43">
        <f>'[1]поточний ремонт'!AC148+'[2]поточний ремонт'!AC148-'[3]поточний ремонт'!AC148</f>
        <v>0</v>
      </c>
      <c r="AD148" s="43">
        <f>'[1]поточний ремонт'!AD148+'[2]поточний ремонт'!AD148-'[3]поточний ремонт'!AD148</f>
        <v>0</v>
      </c>
      <c r="AE148" s="43">
        <f>'[1]поточний ремонт'!AE148+'[2]поточний ремонт'!AE148-'[3]поточний ремонт'!AE148</f>
        <v>0</v>
      </c>
      <c r="AF148" s="43">
        <f>'[1]поточний ремонт'!AF148+'[2]поточний ремонт'!AF148-'[3]поточний ремонт'!AF148</f>
        <v>0</v>
      </c>
      <c r="AG148" s="5"/>
      <c r="AH148" s="43">
        <f>'[1]поточний ремонт'!AH148+'[2]поточний ремонт'!AH148-'[3]поточний ремонт'!AH148</f>
        <v>0</v>
      </c>
      <c r="AI148" s="43">
        <f>'[1]поточний ремонт'!AI148+'[2]поточний ремонт'!AI148-'[3]поточний ремонт'!AI148</f>
        <v>0</v>
      </c>
      <c r="AJ148" s="5"/>
      <c r="AK148" s="43">
        <f>'[1]поточний ремонт'!AK148+'[2]поточний ремонт'!AK148-'[3]поточний ремонт'!AK148</f>
        <v>0</v>
      </c>
      <c r="AL148" s="43">
        <f>'[1]поточний ремонт'!AL148+'[2]поточний ремонт'!AL148-'[3]поточний ремонт'!AL148</f>
        <v>0</v>
      </c>
      <c r="AM148" s="5"/>
      <c r="AN148" s="43">
        <f>'[1]поточний ремонт'!AN148+'[2]поточний ремонт'!AN148-'[3]поточний ремонт'!AN148</f>
        <v>0</v>
      </c>
      <c r="AO148" s="43">
        <f>'[1]поточний ремонт'!AO148+'[2]поточний ремонт'!AO148-'[3]поточний ремонт'!AO148</f>
        <v>0</v>
      </c>
      <c r="AP148" s="5"/>
      <c r="AQ148" s="43">
        <f>'[1]поточний ремонт'!AQ148+'[2]поточний ремонт'!AQ148-'[3]поточний ремонт'!AQ148</f>
        <v>0</v>
      </c>
      <c r="AR148" s="43">
        <f>'[1]поточний ремонт'!AR148+'[2]поточний ремонт'!AR148-'[3]поточний ремонт'!AR148</f>
        <v>0</v>
      </c>
      <c r="AS148" s="5"/>
      <c r="AT148" s="43">
        <f>'[1]поточний ремонт'!AT148+'[2]поточний ремонт'!AT148-'[3]поточний ремонт'!AT148</f>
        <v>0</v>
      </c>
      <c r="AU148" s="43">
        <f>'[1]поточний ремонт'!AU148+'[2]поточний ремонт'!AU148-'[3]поточний ремонт'!AU148</f>
        <v>0</v>
      </c>
      <c r="AV148" s="5"/>
      <c r="AW148" s="43">
        <f>'[1]поточний ремонт'!AW148+'[2]поточний ремонт'!AW148-'[3]поточний ремонт'!AW148</f>
        <v>0</v>
      </c>
      <c r="AX148" s="43">
        <f>'[1]поточний ремонт'!AX148+'[2]поточний ремонт'!AX148-'[3]поточний ремонт'!AX148</f>
        <v>0</v>
      </c>
      <c r="AY148" s="5"/>
      <c r="AZ148" s="43">
        <f t="shared" si="18"/>
        <v>0</v>
      </c>
      <c r="BA148" s="43">
        <f t="shared" si="19"/>
        <v>0</v>
      </c>
      <c r="BB148" s="59">
        <f t="shared" si="20"/>
        <v>0</v>
      </c>
      <c r="BD148" s="2">
        <v>2</v>
      </c>
      <c r="BF148" s="30">
        <v>0</v>
      </c>
      <c r="BG148" s="328">
        <v>150001020</v>
      </c>
      <c r="BI148" s="107">
        <v>0</v>
      </c>
      <c r="BJ148" s="107">
        <f t="shared" si="21"/>
        <v>0</v>
      </c>
      <c r="BK148" s="107">
        <v>0</v>
      </c>
      <c r="BL148" s="39"/>
      <c r="BM148" s="3"/>
      <c r="BN148" s="3">
        <v>0</v>
      </c>
      <c r="BP148" s="3"/>
      <c r="BQ148" s="3"/>
      <c r="BS148" s="43"/>
      <c r="BT148" s="43">
        <v>0</v>
      </c>
      <c r="BU148" s="1037"/>
      <c r="BV148" s="42"/>
      <c r="BW148" s="43"/>
      <c r="BX148" s="37"/>
      <c r="BY148" s="78"/>
      <c r="BZ148" s="43">
        <v>0</v>
      </c>
      <c r="CA148" s="1038"/>
      <c r="CB148" s="42"/>
      <c r="CC148" s="42">
        <v>0</v>
      </c>
      <c r="CD148" s="1039"/>
      <c r="CE148" s="78">
        <v>0</v>
      </c>
      <c r="CF148" s="56"/>
      <c r="CG148" s="42">
        <v>0</v>
      </c>
      <c r="CH148" s="39">
        <v>0</v>
      </c>
      <c r="CI148" s="78">
        <v>0</v>
      </c>
      <c r="CJ148" s="56"/>
      <c r="CK148" s="1034"/>
      <c r="CL148" s="1029"/>
      <c r="CM148" s="1034"/>
      <c r="CN148" s="1029">
        <v>0</v>
      </c>
      <c r="CO148" s="78">
        <v>0</v>
      </c>
      <c r="CP148" s="43">
        <v>0</v>
      </c>
      <c r="CQ148" s="5"/>
      <c r="CR148" s="78">
        <v>0</v>
      </c>
      <c r="CS148" s="1033">
        <v>0</v>
      </c>
      <c r="CT148" s="5"/>
      <c r="CU148" s="78">
        <v>0</v>
      </c>
      <c r="CV148" s="43">
        <v>0</v>
      </c>
      <c r="CW148" s="5"/>
      <c r="CX148" s="78">
        <v>0</v>
      </c>
      <c r="CY148" s="43">
        <v>0</v>
      </c>
      <c r="CZ148" s="5"/>
      <c r="DA148" s="78">
        <v>0</v>
      </c>
      <c r="DB148" s="43">
        <v>0</v>
      </c>
      <c r="DC148" s="5"/>
      <c r="DD148" s="78">
        <v>0</v>
      </c>
      <c r="DE148" s="43">
        <v>0</v>
      </c>
      <c r="DF148" s="5"/>
      <c r="DG148" s="78">
        <v>0</v>
      </c>
      <c r="DH148" s="43"/>
      <c r="DI148" s="5"/>
      <c r="DJ148" s="43">
        <v>0</v>
      </c>
      <c r="DK148" s="43">
        <f t="shared" si="22"/>
        <v>0</v>
      </c>
      <c r="DL148" s="59">
        <f t="shared" si="23"/>
        <v>0</v>
      </c>
    </row>
    <row r="149" spans="1:116" ht="24.9" customHeight="1" x14ac:dyDescent="0.3">
      <c r="A149" s="328">
        <v>150001021</v>
      </c>
      <c r="B149" s="45" t="s">
        <v>363</v>
      </c>
      <c r="C149" s="1035">
        <v>9</v>
      </c>
      <c r="D149" s="1036" t="s">
        <v>454</v>
      </c>
      <c r="E149" s="1028">
        <f>'побудинковий звіт'!E147</f>
        <v>1399.9</v>
      </c>
      <c r="F149" s="1029">
        <f>'побудинковий звіт'!AS147</f>
        <v>210868.00857367172</v>
      </c>
      <c r="G149" s="1029">
        <f t="shared" si="16"/>
        <v>170911</v>
      </c>
      <c r="H149" s="1029">
        <f t="shared" si="17"/>
        <v>-39957.008573671716</v>
      </c>
      <c r="I149" s="43">
        <f>'[1]поточний ремонт'!I149+'[2]поточний ремонт'!I149-'[3]поточний ремонт'!I149</f>
        <v>171.13</v>
      </c>
      <c r="J149" s="43">
        <f>'[1]поточний ремонт'!J149+'[2]поточний ремонт'!J149-'[3]поточний ремонт'!J149</f>
        <v>83834</v>
      </c>
      <c r="K149" s="1044"/>
      <c r="L149" s="43">
        <f>'[1]поточний ремонт'!L149+'[2]поточний ремонт'!L149-'[3]поточний ремонт'!L149</f>
        <v>0</v>
      </c>
      <c r="M149" s="43">
        <f>'[1]поточний ремонт'!M149+'[2]поточний ремонт'!M149-'[3]поточний ремонт'!M149</f>
        <v>0</v>
      </c>
      <c r="N149" s="37"/>
      <c r="O149" s="43">
        <f>'[1]поточний ремонт'!O149+'[2]поточний ремонт'!O149-'[3]поточний ремонт'!O149</f>
        <v>0</v>
      </c>
      <c r="P149" s="43">
        <f>'[1]поточний ремонт'!P149+'[2]поточний ремонт'!P149-'[3]поточний ремонт'!P149</f>
        <v>0</v>
      </c>
      <c r="Q149" s="1038"/>
      <c r="R149" s="43">
        <f>'[1]поточний ремонт'!R149+'[2]поточний ремонт'!R149-'[3]поточний ремонт'!R149</f>
        <v>4</v>
      </c>
      <c r="S149" s="43">
        <f>'[1]поточний ремонт'!S149+'[2]поточний ремонт'!S149-'[3]поточний ремонт'!S149</f>
        <v>54334</v>
      </c>
      <c r="T149" s="1048"/>
      <c r="U149" s="43">
        <f>'[1]поточний ремонт'!U149+'[2]поточний ремонт'!U149-'[3]поточний ремонт'!U149</f>
        <v>0</v>
      </c>
      <c r="V149" s="43">
        <f>'[1]поточний ремонт'!V149+'[2]поточний ремонт'!V149-'[3]поточний ремонт'!V149</f>
        <v>0</v>
      </c>
      <c r="W149" s="43">
        <f>'[1]поточний ремонт'!W149+'[2]поточний ремонт'!W149-'[3]поточний ремонт'!W149</f>
        <v>8</v>
      </c>
      <c r="X149" s="43">
        <f>'[1]поточний ремонт'!X149+'[2]поточний ремонт'!X149-'[3]поточний ремонт'!X149</f>
        <v>4759</v>
      </c>
      <c r="Y149" s="43">
        <f>'[1]поточний ремонт'!Y149+'[2]поточний ремонт'!Y149-'[3]поточний ремонт'!Y149</f>
        <v>0</v>
      </c>
      <c r="Z149" s="43">
        <f>'[1]поточний ремонт'!Z149+'[2]поточний ремонт'!Z149-'[3]поточний ремонт'!Z149</f>
        <v>0</v>
      </c>
      <c r="AA149" s="43">
        <f>'[1]поточний ремонт'!AA149+'[2]поточний ремонт'!AA149-'[3]поточний ремонт'!AA149</f>
        <v>0</v>
      </c>
      <c r="AB149" s="43">
        <f>'[1]поточний ремонт'!AB149+'[2]поточний ремонт'!AB149-'[3]поточний ремонт'!AB149</f>
        <v>545</v>
      </c>
      <c r="AC149" s="43">
        <f>'[1]поточний ремонт'!AC149+'[2]поточний ремонт'!AC149-'[3]поточний ремонт'!AC149</f>
        <v>23704</v>
      </c>
      <c r="AD149" s="43">
        <f>'[1]поточний ремонт'!AD149+'[2]поточний ремонт'!AD149-'[3]поточний ремонт'!AD149</f>
        <v>3735</v>
      </c>
      <c r="AE149" s="43">
        <f>'[1]поточний ремонт'!AE149+'[2]поточний ремонт'!AE149-'[3]поточний ремонт'!AE149</f>
        <v>980.427571520019</v>
      </c>
      <c r="AF149" s="43">
        <f>'[1]поточний ремонт'!AF149+'[2]поточний ремонт'!AF149-'[3]поточний ремонт'!AF149</f>
        <v>6559</v>
      </c>
      <c r="AG149" s="9"/>
      <c r="AH149" s="43">
        <f>'[1]поточний ремонт'!AH149+'[2]поточний ремонт'!AH149-'[3]поточний ремонт'!AH149</f>
        <v>2020.9989703454362</v>
      </c>
      <c r="AI149" s="43">
        <f>'[1]поточний ремонт'!AI149+'[2]поточний ремонт'!AI149-'[3]поточний ремонт'!AI149</f>
        <v>44524</v>
      </c>
      <c r="AJ149" s="1045"/>
      <c r="AK149" s="43">
        <f>'[1]поточний ремонт'!AK149+'[2]поточний ремонт'!AK149-'[3]поточний ремонт'!AK149</f>
        <v>1468.3521030800036</v>
      </c>
      <c r="AL149" s="43">
        <f>'[1]поточний ремонт'!AL149+'[2]поточний ремонт'!AL149-'[3]поточний ремонт'!AL149</f>
        <v>0</v>
      </c>
      <c r="AM149" s="5"/>
      <c r="AN149" s="43">
        <f>'[1]поточний ремонт'!AN149+'[2]поточний ремонт'!AN149-'[3]поточний ремонт'!AN149</f>
        <v>618.16010783714466</v>
      </c>
      <c r="AO149" s="43">
        <f>'[1]поточний ремонт'!AO149+'[2]поточний ремонт'!AO149-'[3]поточний ремонт'!AO149</f>
        <v>3046</v>
      </c>
      <c r="AP149" s="5"/>
      <c r="AQ149" s="43">
        <f>'[1]поточний ремонт'!AQ149+'[2]поточний ремонт'!AQ149-'[3]поточний ремонт'!AQ149</f>
        <v>701.57432156236484</v>
      </c>
      <c r="AR149" s="43">
        <f>'[1]поточний ремонт'!AR149+'[2]поточний ремонт'!AR149-'[3]поточний ремонт'!AR149</f>
        <v>1886.8687076802848</v>
      </c>
      <c r="AS149" s="5"/>
      <c r="AT149" s="43">
        <f>'[1]поточний ремонт'!AT149+'[2]поточний ремонт'!AT149-'[3]поточний ремонт'!AT149</f>
        <v>999.6833985752528</v>
      </c>
      <c r="AU149" s="43">
        <f>'[1]поточний ремонт'!AU149+'[2]поточний ремонт'!AU149-'[3]поточний ремонт'!AU149</f>
        <v>13354.486858486063</v>
      </c>
      <c r="AV149" s="5"/>
      <c r="AW149" s="43">
        <f>'[1]поточний ремонт'!AW149+'[2]поточний ремонт'!AW149-'[3]поточний ремонт'!AW149</f>
        <v>1124.9624387438232</v>
      </c>
      <c r="AX149" s="43">
        <f>'[1]поточний ремонт'!AX149+'[2]поточний ремонт'!AX149-'[3]поточний ремонт'!AX149</f>
        <v>1216</v>
      </c>
      <c r="AY149" s="5"/>
      <c r="AZ149" s="43">
        <f t="shared" si="18"/>
        <v>7914.1589116640453</v>
      </c>
      <c r="BA149" s="43">
        <f t="shared" si="19"/>
        <v>70586.355566166341</v>
      </c>
      <c r="BB149" s="59">
        <f t="shared" si="20"/>
        <v>62672.196654502295</v>
      </c>
      <c r="BD149" s="2">
        <v>1</v>
      </c>
      <c r="BF149" s="30">
        <v>541.14409918184197</v>
      </c>
      <c r="BG149" s="328">
        <v>150001021</v>
      </c>
      <c r="BI149" s="107">
        <v>0</v>
      </c>
      <c r="BJ149" s="107">
        <f t="shared" si="21"/>
        <v>0</v>
      </c>
      <c r="BK149" s="107">
        <v>0</v>
      </c>
      <c r="BL149" s="39"/>
      <c r="BM149" s="3"/>
      <c r="BN149" s="3">
        <v>0</v>
      </c>
      <c r="BP149" s="3"/>
      <c r="BQ149" s="3"/>
      <c r="BS149" s="43"/>
      <c r="BT149" s="43">
        <v>0</v>
      </c>
      <c r="BU149" s="1044"/>
      <c r="BV149" s="42"/>
      <c r="BW149" s="43"/>
      <c r="BX149" s="37"/>
      <c r="BY149" s="78"/>
      <c r="BZ149" s="43">
        <v>0</v>
      </c>
      <c r="CA149" s="1038"/>
      <c r="CB149" s="42">
        <v>3</v>
      </c>
      <c r="CC149" s="42">
        <v>10657.183710264879</v>
      </c>
      <c r="CD149" s="1048"/>
      <c r="CE149" s="78">
        <v>0</v>
      </c>
      <c r="CF149" s="56"/>
      <c r="CG149" s="42">
        <v>0</v>
      </c>
      <c r="CH149" s="39">
        <v>0</v>
      </c>
      <c r="CI149" s="78">
        <v>0</v>
      </c>
      <c r="CJ149" s="56"/>
      <c r="CK149" s="1034"/>
      <c r="CL149" s="1029"/>
      <c r="CM149" s="1034"/>
      <c r="CN149" s="1029">
        <v>0</v>
      </c>
      <c r="CO149" s="78">
        <v>81.702297626668241</v>
      </c>
      <c r="CP149" s="43">
        <v>0</v>
      </c>
      <c r="CQ149" s="9"/>
      <c r="CR149" s="78">
        <v>168.4165808621197</v>
      </c>
      <c r="CS149" s="1033">
        <v>0</v>
      </c>
      <c r="CT149" s="1045"/>
      <c r="CU149" s="78">
        <v>122.36267525666695</v>
      </c>
      <c r="CV149" s="43">
        <v>0</v>
      </c>
      <c r="CW149" s="5"/>
      <c r="CX149" s="78">
        <v>51.513342319762067</v>
      </c>
      <c r="CY149" s="43">
        <v>0</v>
      </c>
      <c r="CZ149" s="5"/>
      <c r="DA149" s="78">
        <v>58.46452679686373</v>
      </c>
      <c r="DB149" s="43">
        <v>1364.6302416991139</v>
      </c>
      <c r="DC149" s="5"/>
      <c r="DD149" s="78">
        <v>83.306949881271066</v>
      </c>
      <c r="DE149" s="43">
        <v>0</v>
      </c>
      <c r="DF149" s="5"/>
      <c r="DG149" s="78">
        <v>93.746869895318611</v>
      </c>
      <c r="DH149" s="43"/>
      <c r="DI149" s="5"/>
      <c r="DJ149" s="43">
        <v>659.51324263867025</v>
      </c>
      <c r="DK149" s="43">
        <f t="shared" si="22"/>
        <v>1364.6302416991139</v>
      </c>
      <c r="DL149" s="59">
        <f t="shared" si="23"/>
        <v>705.11699906044362</v>
      </c>
    </row>
    <row r="150" spans="1:116" ht="24.9" customHeight="1" x14ac:dyDescent="0.3">
      <c r="A150" s="328">
        <v>150001035</v>
      </c>
      <c r="B150" s="45" t="s">
        <v>262</v>
      </c>
      <c r="C150" s="1035">
        <v>5</v>
      </c>
      <c r="D150" s="1036" t="s">
        <v>454</v>
      </c>
      <c r="E150" s="1028">
        <f>'побудинковий звіт'!E148</f>
        <v>618.69999999999993</v>
      </c>
      <c r="F150" s="1029">
        <f>'побудинковий звіт'!AS148</f>
        <v>37704.767864327339</v>
      </c>
      <c r="G150" s="1029">
        <f t="shared" si="16"/>
        <v>67771</v>
      </c>
      <c r="H150" s="1029">
        <f t="shared" si="17"/>
        <v>30066.232135672661</v>
      </c>
      <c r="I150" s="43">
        <f>'[1]поточний ремонт'!I150+'[2]поточний ремонт'!I150-'[3]поточний ремонт'!I150</f>
        <v>23.5</v>
      </c>
      <c r="J150" s="43">
        <f>'[1]поточний ремонт'!J150+'[2]поточний ремонт'!J150-'[3]поточний ремонт'!J150</f>
        <v>11671</v>
      </c>
      <c r="K150" s="1041"/>
      <c r="L150" s="43">
        <f>'[1]поточний ремонт'!L150+'[2]поточний ремонт'!L150-'[3]поточний ремонт'!L150</f>
        <v>1</v>
      </c>
      <c r="M150" s="43">
        <f>'[1]поточний ремонт'!M150+'[2]поточний ремонт'!M150-'[3]поточний ремонт'!M150</f>
        <v>54046</v>
      </c>
      <c r="N150" s="1040"/>
      <c r="O150" s="43">
        <f>'[1]поточний ремонт'!O150+'[2]поточний ремонт'!O150-'[3]поточний ремонт'!O150</f>
        <v>0</v>
      </c>
      <c r="P150" s="43">
        <f>'[1]поточний ремонт'!P150+'[2]поточний ремонт'!P150-'[3]поточний ремонт'!P150</f>
        <v>0</v>
      </c>
      <c r="Q150" s="1038"/>
      <c r="R150" s="43">
        <f>'[1]поточний ремонт'!R150+'[2]поточний ремонт'!R150-'[3]поточний ремонт'!R150</f>
        <v>0</v>
      </c>
      <c r="S150" s="43">
        <f>'[1]поточний ремонт'!S150+'[2]поточний ремонт'!S150-'[3]поточний ремонт'!S150</f>
        <v>0</v>
      </c>
      <c r="T150" s="1039"/>
      <c r="U150" s="43">
        <f>'[1]поточний ремонт'!U150+'[2]поточний ремонт'!U150-'[3]поточний ремонт'!U150</f>
        <v>0</v>
      </c>
      <c r="V150" s="43">
        <f>'[1]поточний ремонт'!V150+'[2]поточний ремонт'!V150-'[3]поточний ремонт'!V150</f>
        <v>0</v>
      </c>
      <c r="W150" s="43">
        <f>'[1]поточний ремонт'!W150+'[2]поточний ремонт'!W150-'[3]поточний ремонт'!W150</f>
        <v>0</v>
      </c>
      <c r="X150" s="43">
        <f>'[1]поточний ремонт'!X150+'[2]поточний ремонт'!X150-'[3]поточний ремонт'!X150</f>
        <v>0</v>
      </c>
      <c r="Y150" s="43">
        <f>'[1]поточний ремонт'!Y150+'[2]поточний ремонт'!Y150-'[3]поточний ремонт'!Y150</f>
        <v>0</v>
      </c>
      <c r="Z150" s="43">
        <f>'[1]поточний ремонт'!Z150+'[2]поточний ремонт'!Z150-'[3]поточний ремонт'!Z150</f>
        <v>0</v>
      </c>
      <c r="AA150" s="43">
        <f>'[1]поточний ремонт'!AA150+'[2]поточний ремонт'!AA150-'[3]поточний ремонт'!AA150</f>
        <v>0</v>
      </c>
      <c r="AB150" s="43">
        <f>'[1]поточний ремонт'!AB150+'[2]поточний ремонт'!AB150-'[3]поточний ремонт'!AB150</f>
        <v>0</v>
      </c>
      <c r="AC150" s="43">
        <f>'[1]поточний ремонт'!AC150+'[2]поточний ремонт'!AC150-'[3]поточний ремонт'!AC150</f>
        <v>0</v>
      </c>
      <c r="AD150" s="43">
        <f>'[1]поточний ремонт'!AD150+'[2]поточний ремонт'!AD150-'[3]поточний ремонт'!AD150</f>
        <v>2054</v>
      </c>
      <c r="AE150" s="43">
        <f>'[1]поточний ремонт'!AE150+'[2]поточний ремонт'!AE150-'[3]поточний ремонт'!AE150</f>
        <v>1778.4455992733497</v>
      </c>
      <c r="AF150" s="43">
        <f>'[1]поточний ремонт'!AF150+'[2]поточний ремонт'!AF150-'[3]поточний ремонт'!AF150</f>
        <v>0</v>
      </c>
      <c r="AG150" s="5"/>
      <c r="AH150" s="43">
        <f>'[1]поточний ремонт'!AH150+'[2]поточний ремонт'!AH150-'[3]поточний ремонт'!AH150</f>
        <v>2588.5724901852714</v>
      </c>
      <c r="AI150" s="43">
        <f>'[1]поточний ремонт'!AI150+'[2]поточний ремонт'!AI150-'[3]поточний ремонт'!AI150</f>
        <v>0</v>
      </c>
      <c r="AJ150" s="5"/>
      <c r="AK150" s="43">
        <f>'[1]поточний ремонт'!AK150+'[2]поточний ремонт'!AK150-'[3]поточний ремонт'!AK150</f>
        <v>1740.2053212211663</v>
      </c>
      <c r="AL150" s="43">
        <f>'[1]поточний ремонт'!AL150+'[2]поточний ремонт'!AL150-'[3]поточний ремонт'!AL150</f>
        <v>1688</v>
      </c>
      <c r="AM150" s="5"/>
      <c r="AN150" s="43">
        <f>'[1]поточний ремонт'!AN150+'[2]поточний ремонт'!AN150-'[3]поточний ремонт'!AN150</f>
        <v>865.27994836956782</v>
      </c>
      <c r="AO150" s="43">
        <f>'[1]поточний ремонт'!AO150+'[2]поточний ремонт'!AO150-'[3]поточний ремонт'!AO150</f>
        <v>0</v>
      </c>
      <c r="AP150" s="5"/>
      <c r="AQ150" s="43">
        <f>'[1]поточний ремонт'!AQ150+'[2]поточний ремонт'!AQ150-'[3]поточний ремонт'!AQ150</f>
        <v>719.6828414324732</v>
      </c>
      <c r="AR150" s="43">
        <f>'[1]поточний ремонт'!AR150+'[2]поточний ремонт'!AR150-'[3]поточний ремонт'!AR150</f>
        <v>0</v>
      </c>
      <c r="AS150" s="5"/>
      <c r="AT150" s="43">
        <f>'[1]поточний ремонт'!AT150+'[2]поточний ремонт'!AT150-'[3]поточний ремонт'!AT150</f>
        <v>995.48717196728126</v>
      </c>
      <c r="AU150" s="43">
        <f>'[1]поточний ремонт'!AU150+'[2]поточний ремонт'!AU150-'[3]поточний ремонт'!AU150</f>
        <v>12016</v>
      </c>
      <c r="AV150" s="5"/>
      <c r="AW150" s="43">
        <f>'[1]поточний ремонт'!AW150+'[2]поточний ремонт'!AW150-'[3]поточний ремонт'!AW150</f>
        <v>1396.4533431190202</v>
      </c>
      <c r="AX150" s="43">
        <f>'[1]поточний ремонт'!AX150+'[2]поточний ремонт'!AX150-'[3]поточний ремонт'!AX150</f>
        <v>3063</v>
      </c>
      <c r="AY150" s="5"/>
      <c r="AZ150" s="43">
        <f t="shared" si="18"/>
        <v>10084.126715568131</v>
      </c>
      <c r="BA150" s="43">
        <f t="shared" si="19"/>
        <v>16767</v>
      </c>
      <c r="BB150" s="59">
        <f t="shared" si="20"/>
        <v>6682.8732844318693</v>
      </c>
      <c r="BD150" s="2">
        <v>1</v>
      </c>
      <c r="BF150" s="30">
        <v>133.17720277516</v>
      </c>
      <c r="BG150" s="328">
        <v>150001035</v>
      </c>
      <c r="BI150" s="107">
        <v>0</v>
      </c>
      <c r="BJ150" s="107">
        <f t="shared" si="21"/>
        <v>0</v>
      </c>
      <c r="BK150" s="107">
        <v>0</v>
      </c>
      <c r="BL150" s="39"/>
      <c r="BM150" s="3"/>
      <c r="BN150" s="3">
        <v>0</v>
      </c>
      <c r="BP150" s="3"/>
      <c r="BQ150" s="3"/>
      <c r="BS150" s="43"/>
      <c r="BT150" s="43">
        <v>0</v>
      </c>
      <c r="BU150" s="1041"/>
      <c r="BV150" s="42"/>
      <c r="BW150" s="43"/>
      <c r="BX150" s="1040"/>
      <c r="BY150" s="78"/>
      <c r="BZ150" s="43">
        <v>0</v>
      </c>
      <c r="CA150" s="1038"/>
      <c r="CB150" s="42"/>
      <c r="CC150" s="42">
        <v>0</v>
      </c>
      <c r="CD150" s="1039"/>
      <c r="CE150" s="78">
        <v>0</v>
      </c>
      <c r="CF150" s="56"/>
      <c r="CG150" s="42">
        <v>0</v>
      </c>
      <c r="CH150" s="39">
        <v>0</v>
      </c>
      <c r="CI150" s="78">
        <v>0</v>
      </c>
      <c r="CJ150" s="56"/>
      <c r="CK150" s="1034"/>
      <c r="CL150" s="1029"/>
      <c r="CM150" s="1034"/>
      <c r="CN150" s="1029">
        <v>0</v>
      </c>
      <c r="CO150" s="78">
        <v>148.20379993944582</v>
      </c>
      <c r="CP150" s="43">
        <v>0</v>
      </c>
      <c r="CQ150" s="5"/>
      <c r="CR150" s="78">
        <v>215.71437418210596</v>
      </c>
      <c r="CS150" s="1033">
        <v>2887.1153596711774</v>
      </c>
      <c r="CT150" s="5"/>
      <c r="CU150" s="78">
        <v>145.01711010176388</v>
      </c>
      <c r="CV150" s="43">
        <v>0</v>
      </c>
      <c r="CW150" s="5"/>
      <c r="CX150" s="78">
        <v>72.106662364130642</v>
      </c>
      <c r="CY150" s="43">
        <v>0</v>
      </c>
      <c r="CZ150" s="5"/>
      <c r="DA150" s="78">
        <v>59.973570119372766</v>
      </c>
      <c r="DB150" s="43">
        <v>0</v>
      </c>
      <c r="DC150" s="5"/>
      <c r="DD150" s="78">
        <v>82.957264330606762</v>
      </c>
      <c r="DE150" s="43">
        <v>0</v>
      </c>
      <c r="DF150" s="5"/>
      <c r="DG150" s="78">
        <v>116.37111192658503</v>
      </c>
      <c r="DH150" s="43"/>
      <c r="DI150" s="5"/>
      <c r="DJ150" s="43">
        <v>840.34389296401093</v>
      </c>
      <c r="DK150" s="43">
        <f t="shared" si="22"/>
        <v>2887.1153596711774</v>
      </c>
      <c r="DL150" s="59">
        <f t="shared" si="23"/>
        <v>2046.7714667071664</v>
      </c>
    </row>
    <row r="151" spans="1:116" ht="24.9" customHeight="1" x14ac:dyDescent="0.3">
      <c r="A151" s="328">
        <v>150001022</v>
      </c>
      <c r="B151" s="45" t="s">
        <v>364</v>
      </c>
      <c r="C151" s="1035">
        <v>9</v>
      </c>
      <c r="D151" s="1036" t="s">
        <v>454</v>
      </c>
      <c r="E151" s="1028">
        <f>'побудинковий звіт'!E149</f>
        <v>422.9</v>
      </c>
      <c r="F151" s="1029">
        <f>'побудинковий звіт'!AS149</f>
        <v>68468.787996827901</v>
      </c>
      <c r="G151" s="1029">
        <f t="shared" si="16"/>
        <v>100000</v>
      </c>
      <c r="H151" s="1029">
        <f t="shared" si="17"/>
        <v>31531.212003172099</v>
      </c>
      <c r="I151" s="43">
        <f>'[1]поточний ремонт'!I151+'[2]поточний ремонт'!I151-'[3]поточний ремонт'!I151</f>
        <v>44.940000000000005</v>
      </c>
      <c r="J151" s="43">
        <f>'[1]поточний ремонт'!J151+'[2]поточний ремонт'!J151-'[3]поточний ремонт'!J151</f>
        <v>17347</v>
      </c>
      <c r="K151" s="1037"/>
      <c r="L151" s="43">
        <f>'[1]поточний ремонт'!L151+'[2]поточний ремонт'!L151-'[3]поточний ремонт'!L151</f>
        <v>0</v>
      </c>
      <c r="M151" s="43">
        <f>'[1]поточний ремонт'!M151+'[2]поточний ремонт'!M151-'[3]поточний ремонт'!M151</f>
        <v>0</v>
      </c>
      <c r="N151" s="1040"/>
      <c r="O151" s="43">
        <f>'[1]поточний ремонт'!O151+'[2]поточний ремонт'!O151-'[3]поточний ремонт'!O151</f>
        <v>0</v>
      </c>
      <c r="P151" s="43">
        <f>'[1]поточний ремонт'!P151+'[2]поточний ремонт'!P151-'[3]поточний ремонт'!P151</f>
        <v>0</v>
      </c>
      <c r="Q151" s="1038"/>
      <c r="R151" s="43">
        <f>'[1]поточний ремонт'!R151+'[2]поточний ремонт'!R151-'[3]поточний ремонт'!R151</f>
        <v>5</v>
      </c>
      <c r="S151" s="43">
        <f>'[1]поточний ремонт'!S151+'[2]поточний ремонт'!S151-'[3]поточний ремонт'!S151</f>
        <v>63530</v>
      </c>
      <c r="T151" s="1039"/>
      <c r="U151" s="43">
        <f>'[1]поточний ремонт'!U151+'[2]поточний ремонт'!U151-'[3]поточний ремонт'!U151</f>
        <v>0</v>
      </c>
      <c r="V151" s="43">
        <f>'[1]поточний ремонт'!V151+'[2]поточний ремонт'!V151-'[3]поточний ремонт'!V151</f>
        <v>0</v>
      </c>
      <c r="W151" s="43">
        <f>'[1]поточний ремонт'!W151+'[2]поточний ремонт'!W151-'[3]поточний ремонт'!W151</f>
        <v>1</v>
      </c>
      <c r="X151" s="43">
        <f>'[1]поточний ремонт'!X151+'[2]поточний ремонт'!X151-'[3]поточний ремонт'!X151</f>
        <v>541</v>
      </c>
      <c r="Y151" s="43">
        <f>'[1]поточний ремонт'!Y151+'[2]поточний ремонт'!Y151-'[3]поточний ремонт'!Y151</f>
        <v>0</v>
      </c>
      <c r="Z151" s="43">
        <f>'[1]поточний ремонт'!Z151+'[2]поточний ремонт'!Z151-'[3]поточний ремонт'!Z151</f>
        <v>0</v>
      </c>
      <c r="AA151" s="43">
        <f>'[1]поточний ремонт'!AA151+'[2]поточний ремонт'!AA151-'[3]поточний ремонт'!AA151</f>
        <v>0</v>
      </c>
      <c r="AB151" s="43">
        <f>'[1]поточний ремонт'!AB151+'[2]поточний ремонт'!AB151-'[3]поточний ремонт'!AB151</f>
        <v>2352</v>
      </c>
      <c r="AC151" s="43">
        <f>'[1]поточний ремонт'!AC151+'[2]поточний ремонт'!AC151-'[3]поточний ремонт'!AC151</f>
        <v>13911</v>
      </c>
      <c r="AD151" s="43">
        <f>'[1]поточний ремонт'!AD151+'[2]поточний ремонт'!AD151-'[3]поточний ремонт'!AD151</f>
        <v>2319</v>
      </c>
      <c r="AE151" s="43">
        <f>'[1]поточний ремонт'!AE151+'[2]поточний ремонт'!AE151-'[3]поточний ремонт'!AE151</f>
        <v>827.9733583788003</v>
      </c>
      <c r="AF151" s="43">
        <f>'[1]поточний ремонт'!AF151+'[2]поточний ремонт'!AF151-'[3]поточний ремонт'!AF151</f>
        <v>1544</v>
      </c>
      <c r="AG151" s="5"/>
      <c r="AH151" s="43">
        <f>'[1]поточний ремонт'!AH151+'[2]поточний ремонт'!AH151-'[3]поточний ремонт'!AH151</f>
        <v>1325.1039907172446</v>
      </c>
      <c r="AI151" s="43">
        <f>'[1]поточний ремонт'!AI151+'[2]поточний ремонт'!AI151-'[3]поточний ремонт'!AI151</f>
        <v>14293</v>
      </c>
      <c r="AJ151" s="5"/>
      <c r="AK151" s="43">
        <f>'[1]поточний ремонт'!AK151+'[2]поточний ремонт'!AK151-'[3]поточний ремонт'!AK151</f>
        <v>1064.92192263991</v>
      </c>
      <c r="AL151" s="43">
        <f>'[1]поточний ремонт'!AL151+'[2]поточний ремонт'!AL151-'[3]поточний ремонт'!AL151</f>
        <v>0</v>
      </c>
      <c r="AM151" s="1045"/>
      <c r="AN151" s="43">
        <f>'[1]поточний ремонт'!AN151+'[2]поточний ремонт'!AN151-'[3]поточний ремонт'!AN151</f>
        <v>522.94427701185418</v>
      </c>
      <c r="AO151" s="43">
        <f>'[1]поточний ремонт'!AO151+'[2]поточний ремонт'!AO151-'[3]поточний ремонт'!AO151</f>
        <v>0</v>
      </c>
      <c r="AP151" s="5"/>
      <c r="AQ151" s="43">
        <f>'[1]поточний ремонт'!AQ151+'[2]поточний ремонт'!AQ151-'[3]поточний ремонт'!AQ151</f>
        <v>368.75010735482255</v>
      </c>
      <c r="AR151" s="43">
        <f>'[1]поточний ремонт'!AR151+'[2]поточний ремонт'!AR151-'[3]поточний ремонт'!AR151</f>
        <v>0</v>
      </c>
      <c r="AS151" s="5"/>
      <c r="AT151" s="43">
        <f>'[1]поточний ремонт'!AT151+'[2]поточний ремонт'!AT151-'[3]поточний ремонт'!AT151</f>
        <v>772.73981883861711</v>
      </c>
      <c r="AU151" s="43">
        <f>'[1]поточний ремонт'!AU151+'[2]поточний ремонт'!AU151-'[3]поточний ремонт'!AU151</f>
        <v>11776.409383947635</v>
      </c>
      <c r="AV151" s="5"/>
      <c r="AW151" s="43">
        <f>'[1]поточний ремонт'!AW151+'[2]поточний ремонт'!AW151-'[3]поточний ремонт'!AW151</f>
        <v>390.89290744138987</v>
      </c>
      <c r="AX151" s="43">
        <f>'[1]поточний ремонт'!AX151+'[2]поточний ремонт'!AX151-'[3]поточний ремонт'!AX151</f>
        <v>0</v>
      </c>
      <c r="AY151" s="5"/>
      <c r="AZ151" s="43">
        <f t="shared" si="18"/>
        <v>5273.3263823826392</v>
      </c>
      <c r="BA151" s="43">
        <f t="shared" si="19"/>
        <v>27613.409383947634</v>
      </c>
      <c r="BB151" s="59">
        <f t="shared" si="20"/>
        <v>22340.083001564995</v>
      </c>
      <c r="BD151" s="2">
        <v>1</v>
      </c>
      <c r="BF151" s="30">
        <v>561.74875429558801</v>
      </c>
      <c r="BG151" s="328">
        <v>150001022</v>
      </c>
      <c r="BI151" s="107">
        <v>0</v>
      </c>
      <c r="BJ151" s="107">
        <f t="shared" si="21"/>
        <v>0</v>
      </c>
      <c r="BK151" s="107">
        <v>0</v>
      </c>
      <c r="BL151" s="39"/>
      <c r="BM151" s="3"/>
      <c r="BN151" s="3">
        <v>0</v>
      </c>
      <c r="BP151" s="3"/>
      <c r="BQ151" s="3"/>
      <c r="BS151" s="43"/>
      <c r="BT151" s="43">
        <v>0</v>
      </c>
      <c r="BU151" s="1037"/>
      <c r="BV151" s="42"/>
      <c r="BW151" s="43"/>
      <c r="BX151" s="1040"/>
      <c r="BY151" s="78"/>
      <c r="BZ151" s="43">
        <v>0</v>
      </c>
      <c r="CA151" s="1038"/>
      <c r="CB151" s="42"/>
      <c r="CC151" s="42">
        <v>0</v>
      </c>
      <c r="CD151" s="1039"/>
      <c r="CE151" s="78">
        <v>9892.6719662466021</v>
      </c>
      <c r="CF151" s="56"/>
      <c r="CG151" s="42">
        <v>0</v>
      </c>
      <c r="CH151" s="39">
        <v>0</v>
      </c>
      <c r="CI151" s="78">
        <v>0</v>
      </c>
      <c r="CJ151" s="56"/>
      <c r="CK151" s="1034"/>
      <c r="CL151" s="1029"/>
      <c r="CM151" s="1034"/>
      <c r="CN151" s="1029">
        <v>245.61216980218978</v>
      </c>
      <c r="CO151" s="78">
        <v>68.997779864900011</v>
      </c>
      <c r="CP151" s="43">
        <v>0</v>
      </c>
      <c r="CQ151" s="5"/>
      <c r="CR151" s="78">
        <v>110.42533255977038</v>
      </c>
      <c r="CS151" s="1033">
        <v>0</v>
      </c>
      <c r="CT151" s="5"/>
      <c r="CU151" s="78">
        <v>88.743493553325834</v>
      </c>
      <c r="CV151" s="43">
        <v>0</v>
      </c>
      <c r="CW151" s="1045"/>
      <c r="CX151" s="78">
        <v>43.578689750987849</v>
      </c>
      <c r="CY151" s="43">
        <v>0</v>
      </c>
      <c r="CZ151" s="5"/>
      <c r="DA151" s="78">
        <v>30.729175612901876</v>
      </c>
      <c r="DB151" s="43">
        <v>0</v>
      </c>
      <c r="DC151" s="5"/>
      <c r="DD151" s="78">
        <v>64.394984903218102</v>
      </c>
      <c r="DE151" s="43">
        <v>1097.0013464971196</v>
      </c>
      <c r="DF151" s="5"/>
      <c r="DG151" s="78">
        <v>32.574408953449151</v>
      </c>
      <c r="DH151" s="43"/>
      <c r="DI151" s="5"/>
      <c r="DJ151" s="43">
        <v>439.44386519855323</v>
      </c>
      <c r="DK151" s="43">
        <f t="shared" si="22"/>
        <v>1097.0013464971196</v>
      </c>
      <c r="DL151" s="59">
        <f t="shared" si="23"/>
        <v>657.55748129856636</v>
      </c>
    </row>
    <row r="152" spans="1:116" ht="24.9" customHeight="1" x14ac:dyDescent="0.3">
      <c r="A152" s="328">
        <v>150001023</v>
      </c>
      <c r="B152" s="45" t="s">
        <v>365</v>
      </c>
      <c r="C152" s="1035">
        <v>9</v>
      </c>
      <c r="D152" s="1036" t="s">
        <v>454</v>
      </c>
      <c r="E152" s="1028">
        <f>'побудинковий звіт'!E150</f>
        <v>2612.75</v>
      </c>
      <c r="F152" s="1029">
        <f>'побудинковий звіт'!AS150</f>
        <v>62171.906358242872</v>
      </c>
      <c r="G152" s="1029">
        <f t="shared" si="16"/>
        <v>4649.0321143342771</v>
      </c>
      <c r="H152" s="1029">
        <f t="shared" si="17"/>
        <v>-57522.874243908591</v>
      </c>
      <c r="I152" s="43">
        <f>'[1]поточний ремонт'!I152+'[2]поточний ремонт'!I152-'[3]поточний ремонт'!I152</f>
        <v>0</v>
      </c>
      <c r="J152" s="43">
        <f>'[1]поточний ремонт'!J152+'[2]поточний ремонт'!J152-'[3]поточний ремонт'!J152</f>
        <v>0</v>
      </c>
      <c r="K152" s="1037"/>
      <c r="L152" s="43">
        <f>'[1]поточний ремонт'!L152+'[2]поточний ремонт'!L152-'[3]поточний ремонт'!L152</f>
        <v>0</v>
      </c>
      <c r="M152" s="43">
        <f>'[1]поточний ремонт'!M152+'[2]поточний ремонт'!M152-'[3]поточний ремонт'!M152</f>
        <v>0</v>
      </c>
      <c r="N152" s="1039"/>
      <c r="O152" s="43">
        <f>'[1]поточний ремонт'!O152+'[2]поточний ремонт'!O152-'[3]поточний ремонт'!O152</f>
        <v>0</v>
      </c>
      <c r="P152" s="43">
        <f>'[1]поточний ремонт'!P152+'[2]поточний ремонт'!P152-'[3]поточний ремонт'!P152</f>
        <v>0</v>
      </c>
      <c r="Q152" s="1038"/>
      <c r="R152" s="43">
        <f>'[1]поточний ремонт'!R152+'[2]поточний ремонт'!R152-'[3]поточний ремонт'!R152</f>
        <v>1</v>
      </c>
      <c r="S152" s="43">
        <f>'[1]поточний ремонт'!S152+'[2]поточний ремонт'!S152-'[3]поточний ремонт'!S152</f>
        <v>3209</v>
      </c>
      <c r="T152" s="1047"/>
      <c r="U152" s="43">
        <f>'[1]поточний ремонт'!U152+'[2]поточний ремонт'!U152-'[3]поточний ремонт'!U152</f>
        <v>0</v>
      </c>
      <c r="V152" s="43">
        <f>'[1]поточний ремонт'!V152+'[2]поточний ремонт'!V152-'[3]поточний ремонт'!V152</f>
        <v>0</v>
      </c>
      <c r="W152" s="43">
        <f>'[1]поточний ремонт'!W152+'[2]поточний ремонт'!W152-'[3]поточний ремонт'!W152</f>
        <v>0</v>
      </c>
      <c r="X152" s="43">
        <f>'[1]поточний ремонт'!X152+'[2]поточний ремонт'!X152-'[3]поточний ремонт'!X152</f>
        <v>257.03211433427674</v>
      </c>
      <c r="Y152" s="43">
        <f>'[1]поточний ремонт'!Y152+'[2]поточний ремонт'!Y152-'[3]поточний ремонт'!Y152</f>
        <v>0</v>
      </c>
      <c r="Z152" s="43">
        <f>'[1]поточний ремонт'!Z152+'[2]поточний ремонт'!Z152-'[3]поточний ремонт'!Z152</f>
        <v>0</v>
      </c>
      <c r="AA152" s="43">
        <f>'[1]поточний ремонт'!AA152+'[2]поточний ремонт'!AA152-'[3]поточний ремонт'!AA152</f>
        <v>0</v>
      </c>
      <c r="AB152" s="43">
        <f>'[1]поточний ремонт'!AB152+'[2]поточний ремонт'!AB152-'[3]поточний ремонт'!AB152</f>
        <v>0</v>
      </c>
      <c r="AC152" s="43">
        <f>'[1]поточний ремонт'!AC152+'[2]поточний ремонт'!AC152-'[3]поточний ремонт'!AC152</f>
        <v>783</v>
      </c>
      <c r="AD152" s="43">
        <f>'[1]поточний ремонт'!AD152+'[2]поточний ремонт'!AD152-'[3]поточний ремонт'!AD152</f>
        <v>400</v>
      </c>
      <c r="AE152" s="43">
        <f>'[1]поточний ремонт'!AE152+'[2]поточний ремонт'!AE152-'[3]поточний ремонт'!AE152</f>
        <v>827.9733583788003</v>
      </c>
      <c r="AF152" s="43">
        <f>'[1]поточний ремонт'!AF152+'[2]поточний ремонт'!AF152-'[3]поточний ремонт'!AF152</f>
        <v>351</v>
      </c>
      <c r="AG152" s="5"/>
      <c r="AH152" s="43">
        <f>'[1]поточний ремонт'!AH152+'[2]поточний ремонт'!AH152-'[3]поточний ремонт'!AH152</f>
        <v>1325.1039907172446</v>
      </c>
      <c r="AI152" s="43">
        <f>'[1]поточний ремонт'!AI152+'[2]поточний ремонт'!AI152-'[3]поточний ремонт'!AI152</f>
        <v>1974</v>
      </c>
      <c r="AJ152" s="9"/>
      <c r="AK152" s="43">
        <f>'[1]поточний ремонт'!AK152+'[2]поточний ремонт'!AK152-'[3]поточний ремонт'!AK152</f>
        <v>1903.4152532119219</v>
      </c>
      <c r="AL152" s="43">
        <f>'[1]поточний ремонт'!AL152+'[2]поточний ремонт'!AL152-'[3]поточний ремонт'!AL152</f>
        <v>0</v>
      </c>
      <c r="AM152" s="5"/>
      <c r="AN152" s="43">
        <f>'[1]поточний ремонт'!AN152+'[2]поточний ремонт'!AN152-'[3]поточний ремонт'!AN152</f>
        <v>659.51097617257381</v>
      </c>
      <c r="AO152" s="43">
        <f>'[1]поточний ремонт'!AO152+'[2]поточний ремонт'!AO152-'[3]поточний ремонт'!AO152</f>
        <v>0</v>
      </c>
      <c r="AP152" s="5"/>
      <c r="AQ152" s="43">
        <f>'[1]поточний ремонт'!AQ152+'[2]поточний ремонт'!AQ152-'[3]поточний ремонт'!AQ152</f>
        <v>368.75010735482255</v>
      </c>
      <c r="AR152" s="43">
        <f>'[1]поточний ремонт'!AR152+'[2]поточний ремонт'!AR152-'[3]поточний ремонт'!AR152</f>
        <v>0</v>
      </c>
      <c r="AS152" s="5"/>
      <c r="AT152" s="43">
        <f>'[1]поточний ремонт'!AT152+'[2]поточний ремонт'!AT152-'[3]поточний ремонт'!AT152</f>
        <v>803.28287652192216</v>
      </c>
      <c r="AU152" s="43">
        <f>'[1]поточний ремонт'!AU152+'[2]поточний ремонт'!AU152-'[3]поточний ремонт'!AU152</f>
        <v>492</v>
      </c>
      <c r="AV152" s="5"/>
      <c r="AW152" s="43">
        <f>'[1]поточний ремонт'!AW152+'[2]поточний ремонт'!AW152-'[3]поточний ремонт'!AW152</f>
        <v>378.89127046282334</v>
      </c>
      <c r="AX152" s="43">
        <f>'[1]поточний ремонт'!AX152+'[2]поточний ремонт'!AX152-'[3]поточний ремонт'!AX152</f>
        <v>0</v>
      </c>
      <c r="AY152" s="5"/>
      <c r="AZ152" s="43">
        <f t="shared" si="18"/>
        <v>6266.927832820109</v>
      </c>
      <c r="BA152" s="43">
        <f t="shared" si="19"/>
        <v>2817</v>
      </c>
      <c r="BB152" s="59">
        <f t="shared" si="20"/>
        <v>-3449.927832820109</v>
      </c>
      <c r="BD152" s="2">
        <v>1</v>
      </c>
      <c r="BF152" s="30">
        <v>176.02403742111991</v>
      </c>
      <c r="BG152" s="328">
        <v>150001023</v>
      </c>
      <c r="BI152" s="107">
        <v>19.18</v>
      </c>
      <c r="BJ152" s="107">
        <f t="shared" si="21"/>
        <v>2.6979009959999996</v>
      </c>
      <c r="BK152" s="107">
        <v>22.120021567279998</v>
      </c>
      <c r="BL152" s="39"/>
      <c r="BM152" s="3"/>
      <c r="BN152" s="3">
        <v>0</v>
      </c>
      <c r="BP152" s="3"/>
      <c r="BQ152" s="3"/>
      <c r="BS152" s="43"/>
      <c r="BT152" s="43">
        <v>0</v>
      </c>
      <c r="BU152" s="1037"/>
      <c r="BV152" s="42"/>
      <c r="BW152" s="43"/>
      <c r="BX152" s="1039"/>
      <c r="BY152" s="78"/>
      <c r="BZ152" s="43">
        <v>0</v>
      </c>
      <c r="CA152" s="1038"/>
      <c r="CB152" s="42"/>
      <c r="CC152" s="42">
        <v>0</v>
      </c>
      <c r="CD152" s="1047"/>
      <c r="CE152" s="78">
        <v>0</v>
      </c>
      <c r="CF152" s="56"/>
      <c r="CG152" s="42">
        <v>0</v>
      </c>
      <c r="CH152" s="39">
        <v>22.120021567279998</v>
      </c>
      <c r="CI152" s="78">
        <v>0</v>
      </c>
      <c r="CJ152" s="56"/>
      <c r="CK152" s="1034"/>
      <c r="CL152" s="1029"/>
      <c r="CM152" s="1034"/>
      <c r="CN152" s="1029">
        <v>0</v>
      </c>
      <c r="CO152" s="78">
        <v>68.997779864900011</v>
      </c>
      <c r="CP152" s="43">
        <v>0</v>
      </c>
      <c r="CQ152" s="5"/>
      <c r="CR152" s="78">
        <v>110.42533255977038</v>
      </c>
      <c r="CS152" s="1033">
        <v>0</v>
      </c>
      <c r="CT152" s="9"/>
      <c r="CU152" s="78">
        <v>158.61793776766015</v>
      </c>
      <c r="CV152" s="43">
        <v>0</v>
      </c>
      <c r="CW152" s="5"/>
      <c r="CX152" s="78">
        <v>54.959248014381146</v>
      </c>
      <c r="CY152" s="43">
        <v>0</v>
      </c>
      <c r="CZ152" s="5"/>
      <c r="DA152" s="78">
        <v>30.729175612901876</v>
      </c>
      <c r="DB152" s="43">
        <v>0</v>
      </c>
      <c r="DC152" s="5"/>
      <c r="DD152" s="78">
        <v>66.940239710160171</v>
      </c>
      <c r="DE152" s="43">
        <v>0</v>
      </c>
      <c r="DF152" s="5"/>
      <c r="DG152" s="78">
        <v>31.574272538568618</v>
      </c>
      <c r="DH152" s="43"/>
      <c r="DI152" s="5"/>
      <c r="DJ152" s="43">
        <v>522.24398606834234</v>
      </c>
      <c r="DK152" s="43">
        <f t="shared" si="22"/>
        <v>0</v>
      </c>
      <c r="DL152" s="59">
        <f t="shared" si="23"/>
        <v>-522.24398606834234</v>
      </c>
    </row>
    <row r="153" spans="1:116" ht="24.9" customHeight="1" x14ac:dyDescent="0.3">
      <c r="A153" s="328">
        <v>150001024</v>
      </c>
      <c r="B153" s="45" t="s">
        <v>366</v>
      </c>
      <c r="C153" s="1035">
        <v>9</v>
      </c>
      <c r="D153" s="1036" t="s">
        <v>454</v>
      </c>
      <c r="E153" s="1028">
        <f>'побудинковий звіт'!E151</f>
        <v>829.3</v>
      </c>
      <c r="F153" s="1029">
        <f>'побудинковий звіт'!AS151</f>
        <v>66276.03729887669</v>
      </c>
      <c r="G153" s="1029">
        <f t="shared" si="16"/>
        <v>111420</v>
      </c>
      <c r="H153" s="1029">
        <f t="shared" si="17"/>
        <v>45143.96270112331</v>
      </c>
      <c r="I153" s="43">
        <f>'[1]поточний ремонт'!I153+'[2]поточний ремонт'!I153-'[3]поточний ремонт'!I153</f>
        <v>24.7</v>
      </c>
      <c r="J153" s="43">
        <f>'[1]поточний ремонт'!J153+'[2]поточний ремонт'!J153-'[3]поточний ремонт'!J153</f>
        <v>12967</v>
      </c>
      <c r="K153" s="1037"/>
      <c r="L153" s="43">
        <f>'[1]поточний ремонт'!L153+'[2]поточний ремонт'!L153-'[3]поточний ремонт'!L153</f>
        <v>0</v>
      </c>
      <c r="M153" s="43">
        <f>'[1]поточний ремонт'!M153+'[2]поточний ремонт'!M153-'[3]поточний ремонт'!M153</f>
        <v>0</v>
      </c>
      <c r="N153" s="37"/>
      <c r="O153" s="43">
        <f>'[1]поточний ремонт'!O153+'[2]поточний ремонт'!O153-'[3]поточний ремонт'!O153</f>
        <v>0</v>
      </c>
      <c r="P153" s="43">
        <f>'[1]поточний ремонт'!P153+'[2]поточний ремонт'!P153-'[3]поточний ремонт'!P153</f>
        <v>0</v>
      </c>
      <c r="Q153" s="1038"/>
      <c r="R153" s="43">
        <f>'[1]поточний ремонт'!R153+'[2]поточний ремонт'!R153-'[3]поточний ремонт'!R153</f>
        <v>1</v>
      </c>
      <c r="S153" s="43">
        <f>'[1]поточний ремонт'!S153+'[2]поточний ремонт'!S153-'[3]поточний ремонт'!S153</f>
        <v>62309</v>
      </c>
      <c r="T153" s="1039"/>
      <c r="U153" s="43">
        <f>'[1]поточний ремонт'!U153+'[2]поточний ремонт'!U153-'[3]поточний ремонт'!U153</f>
        <v>30163</v>
      </c>
      <c r="V153" s="43">
        <f>'[1]поточний ремонт'!V153+'[2]поточний ремонт'!V153-'[3]поточний ремонт'!V153</f>
        <v>0</v>
      </c>
      <c r="W153" s="43">
        <f>'[1]поточний ремонт'!W153+'[2]поточний ремонт'!W153-'[3]поточний ремонт'!W153</f>
        <v>0</v>
      </c>
      <c r="X153" s="43">
        <f>'[1]поточний ремонт'!X153+'[2]поточний ремонт'!X153-'[3]поточний ремонт'!X153</f>
        <v>0</v>
      </c>
      <c r="Y153" s="43">
        <f>'[1]поточний ремонт'!Y153+'[2]поточний ремонт'!Y153-'[3]поточний ремонт'!Y153</f>
        <v>0</v>
      </c>
      <c r="Z153" s="43">
        <f>'[1]поточний ремонт'!Z153+'[2]поточний ремонт'!Z153-'[3]поточний ремонт'!Z153</f>
        <v>0</v>
      </c>
      <c r="AA153" s="43">
        <f>'[1]поточний ремонт'!AA153+'[2]поточний ремонт'!AA153-'[3]поточний ремонт'!AA153</f>
        <v>0</v>
      </c>
      <c r="AB153" s="43">
        <f>'[1]поточний ремонт'!AB153+'[2]поточний ремонт'!AB153-'[3]поточний ремонт'!AB153</f>
        <v>0</v>
      </c>
      <c r="AC153" s="43">
        <f>'[1]поточний ремонт'!AC153+'[2]поточний ремонт'!AC153-'[3]поточний ремонт'!AC153</f>
        <v>1367</v>
      </c>
      <c r="AD153" s="43">
        <f>'[1]поточний ремонт'!AD153+'[2]поточний ремонт'!AD153-'[3]поточний ремонт'!AD153</f>
        <v>4614</v>
      </c>
      <c r="AE153" s="43">
        <f>'[1]поточний ремонт'!AE153+'[2]поточний ремонт'!AE153-'[3]поточний ремонт'!AE153</f>
        <v>1240.6791587241366</v>
      </c>
      <c r="AF153" s="43">
        <f>'[1]поточний ремонт'!AF153+'[2]поточний ремонт'!AF153-'[3]поточний ремонт'!AF153</f>
        <v>985</v>
      </c>
      <c r="AG153" s="5"/>
      <c r="AH153" s="43">
        <f>'[1]поточний ремонт'!AH153+'[2]поточний ремонт'!AH153-'[3]поточний ремонт'!AH153</f>
        <v>1498.3557380609514</v>
      </c>
      <c r="AI153" s="43">
        <f>'[1]поточний ремонт'!AI153+'[2]поточний ремонт'!AI153-'[3]поточний ремонт'!AI153</f>
        <v>0</v>
      </c>
      <c r="AJ153" s="5"/>
      <c r="AK153" s="43">
        <f>'[1]поточний ремонт'!AK153+'[2]поточний ремонт'!AK153-'[3]поточний ремонт'!AK153</f>
        <v>1569.9120280542759</v>
      </c>
      <c r="AL153" s="43">
        <f>'[1]поточний ремонт'!AL153+'[2]поточний ремонт'!AL153-'[3]поточний ремонт'!AL153</f>
        <v>0</v>
      </c>
      <c r="AM153" s="5"/>
      <c r="AN153" s="43">
        <f>'[1]поточний ремонт'!AN153+'[2]поточний ремонт'!AN153-'[3]поточний ремонт'!AN153</f>
        <v>817.10735496454504</v>
      </c>
      <c r="AO153" s="43">
        <f>'[1]поточний ремонт'!AO153+'[2]поточний ремонт'!AO153-'[3]поточний ремонт'!AO153</f>
        <v>0</v>
      </c>
      <c r="AP153" s="5"/>
      <c r="AQ153" s="43">
        <f>'[1]поточний ремонт'!AQ153+'[2]поточний ремонт'!AQ153-'[3]поточний ремонт'!AQ153</f>
        <v>395.76741189229665</v>
      </c>
      <c r="AR153" s="43">
        <f>'[1]поточний ремонт'!AR153+'[2]поточний ремонт'!AR153-'[3]поточний ремонт'!AR153</f>
        <v>3860</v>
      </c>
      <c r="AS153" s="5"/>
      <c r="AT153" s="43">
        <f>'[1]поточний ремонт'!AT153+'[2]поточний ремонт'!AT153-'[3]поточний ремонт'!AT153</f>
        <v>763.74009071507896</v>
      </c>
      <c r="AU153" s="43">
        <f>'[1]поточний ремонт'!AU153+'[2]поточний ремонт'!AU153-'[3]поточний ремонт'!AU153</f>
        <v>6771</v>
      </c>
      <c r="AV153" s="5"/>
      <c r="AW153" s="43">
        <f>'[1]поточний ремонт'!AW153+'[2]поточний ремонт'!AW153-'[3]поточний ремонт'!AW153</f>
        <v>382.89181612234574</v>
      </c>
      <c r="AX153" s="43">
        <f>'[1]поточний ремонт'!AX153+'[2]поточний ремонт'!AX153-'[3]поточний ремонт'!AX153</f>
        <v>0</v>
      </c>
      <c r="AY153" s="5"/>
      <c r="AZ153" s="43">
        <f t="shared" si="18"/>
        <v>6668.4535985336297</v>
      </c>
      <c r="BA153" s="43">
        <f t="shared" si="19"/>
        <v>11616</v>
      </c>
      <c r="BB153" s="59">
        <f t="shared" si="20"/>
        <v>4947.5464014663703</v>
      </c>
      <c r="BD153" s="2">
        <v>1</v>
      </c>
      <c r="BF153" s="30">
        <v>200.51561792937321</v>
      </c>
      <c r="BG153" s="328">
        <v>150001024</v>
      </c>
      <c r="BI153" s="107">
        <v>0</v>
      </c>
      <c r="BJ153" s="107">
        <f t="shared" si="21"/>
        <v>0</v>
      </c>
      <c r="BK153" s="107">
        <v>0</v>
      </c>
      <c r="BL153" s="39"/>
      <c r="BM153" s="3"/>
      <c r="BN153" s="3">
        <v>0</v>
      </c>
      <c r="BP153" s="3"/>
      <c r="BQ153" s="3"/>
      <c r="BS153" s="43"/>
      <c r="BT153" s="43">
        <v>0</v>
      </c>
      <c r="BU153" s="1037"/>
      <c r="BV153" s="42"/>
      <c r="BW153" s="43"/>
      <c r="BX153" s="37"/>
      <c r="BY153" s="78"/>
      <c r="BZ153" s="43">
        <v>0</v>
      </c>
      <c r="CA153" s="1038"/>
      <c r="CB153" s="42"/>
      <c r="CC153" s="42">
        <v>0</v>
      </c>
      <c r="CD153" s="1039"/>
      <c r="CE153" s="78">
        <v>0</v>
      </c>
      <c r="CF153" s="56"/>
      <c r="CG153" s="42">
        <v>0</v>
      </c>
      <c r="CH153" s="39">
        <v>0</v>
      </c>
      <c r="CI153" s="78">
        <v>0</v>
      </c>
      <c r="CJ153" s="56"/>
      <c r="CK153" s="1034"/>
      <c r="CL153" s="1029"/>
      <c r="CM153" s="1034"/>
      <c r="CN153" s="1029">
        <v>956.71065312630628</v>
      </c>
      <c r="CO153" s="78">
        <v>103.38992989367803</v>
      </c>
      <c r="CP153" s="43">
        <v>0</v>
      </c>
      <c r="CQ153" s="5"/>
      <c r="CR153" s="78">
        <v>124.86297817174597</v>
      </c>
      <c r="CS153" s="1033">
        <v>0</v>
      </c>
      <c r="CT153" s="5"/>
      <c r="CU153" s="78">
        <v>130.82600233785629</v>
      </c>
      <c r="CV153" s="43">
        <v>0</v>
      </c>
      <c r="CW153" s="5"/>
      <c r="CX153" s="78">
        <v>68.092279580378744</v>
      </c>
      <c r="CY153" s="43">
        <v>0</v>
      </c>
      <c r="CZ153" s="5"/>
      <c r="DA153" s="78">
        <v>32.980617657691397</v>
      </c>
      <c r="DB153" s="43">
        <v>0</v>
      </c>
      <c r="DC153" s="5"/>
      <c r="DD153" s="78">
        <v>63.645007559589921</v>
      </c>
      <c r="DE153" s="43">
        <v>0</v>
      </c>
      <c r="DF153" s="5"/>
      <c r="DG153" s="78">
        <v>31.907651343528812</v>
      </c>
      <c r="DH153" s="43"/>
      <c r="DI153" s="5"/>
      <c r="DJ153" s="43">
        <v>555.70446654446914</v>
      </c>
      <c r="DK153" s="43">
        <f t="shared" si="22"/>
        <v>0</v>
      </c>
      <c r="DL153" s="59">
        <f t="shared" si="23"/>
        <v>-555.70446654446914</v>
      </c>
    </row>
    <row r="154" spans="1:116" ht="24.9" customHeight="1" x14ac:dyDescent="0.3">
      <c r="A154" s="328">
        <v>150001025</v>
      </c>
      <c r="B154" s="45" t="s">
        <v>420</v>
      </c>
      <c r="C154" s="1035">
        <v>10</v>
      </c>
      <c r="D154" s="1036" t="s">
        <v>454</v>
      </c>
      <c r="E154" s="1028">
        <f>'побудинковий звіт'!E152</f>
        <v>416.5</v>
      </c>
      <c r="F154" s="1029">
        <f>'побудинковий звіт'!AS152</f>
        <v>77906.54847371974</v>
      </c>
      <c r="G154" s="1029">
        <f t="shared" si="16"/>
        <v>104801</v>
      </c>
      <c r="H154" s="1029">
        <f t="shared" si="17"/>
        <v>26894.45152628026</v>
      </c>
      <c r="I154" s="43">
        <f>'[1]поточний ремонт'!I154+'[2]поточний ремонт'!I154-'[3]поточний ремонт'!I154</f>
        <v>0</v>
      </c>
      <c r="J154" s="43">
        <f>'[1]поточний ремонт'!J154+'[2]поточний ремонт'!J154-'[3]поточний ремонт'!J154</f>
        <v>0</v>
      </c>
      <c r="K154" s="1037"/>
      <c r="L154" s="43">
        <f>'[1]поточний ремонт'!L154+'[2]поточний ремонт'!L154-'[3]поточний ремонт'!L154</f>
        <v>0</v>
      </c>
      <c r="M154" s="43">
        <f>'[1]поточний ремонт'!M154+'[2]поточний ремонт'!M154-'[3]поточний ремонт'!M154</f>
        <v>0</v>
      </c>
      <c r="N154" s="1040"/>
      <c r="O154" s="43">
        <f>'[1]поточний ремонт'!O154+'[2]поточний ремонт'!O154-'[3]поточний ремонт'!O154</f>
        <v>0</v>
      </c>
      <c r="P154" s="43">
        <f>'[1]поточний ремонт'!P154+'[2]поточний ремонт'!P154-'[3]поточний ремонт'!P154</f>
        <v>0</v>
      </c>
      <c r="Q154" s="1038"/>
      <c r="R154" s="43">
        <f>'[1]поточний ремонт'!R154+'[2]поточний ремонт'!R154-'[3]поточний ремонт'!R154</f>
        <v>2</v>
      </c>
      <c r="S154" s="43">
        <f>'[1]поточний ремонт'!S154+'[2]поточний ремонт'!S154-'[3]поточний ремонт'!S154</f>
        <v>49105</v>
      </c>
      <c r="T154" s="1039"/>
      <c r="U154" s="43">
        <f>'[1]поточний ремонт'!U154+'[2]поточний ремонт'!U154-'[3]поточний ремонт'!U154</f>
        <v>0</v>
      </c>
      <c r="V154" s="43">
        <f>'[1]поточний ремонт'!V154+'[2]поточний ремонт'!V154-'[3]поточний ремонт'!V154</f>
        <v>0</v>
      </c>
      <c r="W154" s="43">
        <f>'[1]поточний ремонт'!W154+'[2]поточний ремонт'!W154-'[3]поточний ремонт'!W154</f>
        <v>0</v>
      </c>
      <c r="X154" s="43">
        <f>'[1]поточний ремонт'!X154+'[2]поточний ремонт'!X154-'[3]поточний ремонт'!X154</f>
        <v>0</v>
      </c>
      <c r="Y154" s="43">
        <f>'[1]поточний ремонт'!Y154+'[2]поточний ремонт'!Y154-'[3]поточний ремонт'!Y154</f>
        <v>0</v>
      </c>
      <c r="Z154" s="43">
        <f>'[1]поточний ремонт'!Z154+'[2]поточний ремонт'!Z154-'[3]поточний ремонт'!Z154</f>
        <v>0</v>
      </c>
      <c r="AA154" s="43">
        <f>'[1]поточний ремонт'!AA154+'[2]поточний ремонт'!AA154-'[3]поточний ремонт'!AA154</f>
        <v>0</v>
      </c>
      <c r="AB154" s="43">
        <f>'[1]поточний ремонт'!AB154+'[2]поточний ремонт'!AB154-'[3]поточний ремонт'!AB154</f>
        <v>8501</v>
      </c>
      <c r="AC154" s="43">
        <f>'[1]поточний ремонт'!AC154+'[2]поточний ремонт'!AC154-'[3]поточний ремонт'!AC154</f>
        <v>42911</v>
      </c>
      <c r="AD154" s="43">
        <f>'[1]поточний ремонт'!AD154+'[2]поточний ремонт'!AD154-'[3]поточний ремонт'!AD154</f>
        <v>4284.0000000000009</v>
      </c>
      <c r="AE154" s="43">
        <f>'[1]поточний ремонт'!AE154+'[2]поточний ремонт'!AE154-'[3]поточний ремонт'!AE154</f>
        <v>1522.7735606482195</v>
      </c>
      <c r="AF154" s="43">
        <f>'[1]поточний ремонт'!AF154+'[2]поточний ремонт'!AF154-'[3]поточний ремонт'!AF154</f>
        <v>358</v>
      </c>
      <c r="AG154" s="5"/>
      <c r="AH154" s="43">
        <f>'[1]поточний ремонт'!AH154+'[2]поточний ремонт'!AH154-'[3]поточний ремонт'!AH154</f>
        <v>1799.1550947066946</v>
      </c>
      <c r="AI154" s="43">
        <f>'[1]поточний ремонт'!AI154+'[2]поточний ремонт'!AI154-'[3]поточний ремонт'!AI154</f>
        <v>0</v>
      </c>
      <c r="AJ154" s="5"/>
      <c r="AK154" s="43">
        <f>'[1]поточний ремонт'!AK154+'[2]поточний ремонт'!AK154-'[3]поточний ремонт'!AK154</f>
        <v>1885.1996056536161</v>
      </c>
      <c r="AL154" s="43">
        <f>'[1]поточний ремонт'!AL154+'[2]поточний ремонт'!AL154-'[3]поточний ремонт'!AL154</f>
        <v>4901</v>
      </c>
      <c r="AM154" s="5"/>
      <c r="AN154" s="43">
        <f>'[1]поточний ремонт'!AN154+'[2]поточний ремонт'!AN154-'[3]поточний ремонт'!AN154</f>
        <v>894.5936359729692</v>
      </c>
      <c r="AO154" s="43">
        <f>'[1]поточний ремонт'!AO154+'[2]поточний ремонт'!AO154-'[3]поточний ремонт'!AO154</f>
        <v>0</v>
      </c>
      <c r="AP154" s="5"/>
      <c r="AQ154" s="43">
        <f>'[1]поточний ремонт'!AQ154+'[2]поточний ремонт'!AQ154-'[3]поточний ремонт'!AQ154</f>
        <v>422.7844713578213</v>
      </c>
      <c r="AR154" s="43">
        <f>'[1]поточний ремонт'!AR154+'[2]поточний ремонт'!AR154-'[3]поточний ремонт'!AR154</f>
        <v>0</v>
      </c>
      <c r="AS154" s="5"/>
      <c r="AT154" s="43">
        <f>'[1]поточний ремонт'!AT154+'[2]поточний ремонт'!AT154-'[3]поточний ремонт'!AT154</f>
        <v>834.81469293796044</v>
      </c>
      <c r="AU154" s="43">
        <f>'[1]поточний ремонт'!AU154+'[2]поточний ремонт'!AU154-'[3]поточний ремонт'!AU154</f>
        <v>8596</v>
      </c>
      <c r="AV154" s="5"/>
      <c r="AW154" s="43">
        <f>'[1]поточний ремонт'!AW154+'[2]поточний ремонт'!AW154-'[3]поточний ремонт'!AW154</f>
        <v>485.26514130904343</v>
      </c>
      <c r="AX154" s="43">
        <f>'[1]поточний ремонт'!AX154+'[2]поточний ремонт'!AX154-'[3]поточний ремонт'!AX154</f>
        <v>0</v>
      </c>
      <c r="AY154" s="5"/>
      <c r="AZ154" s="43">
        <f t="shared" si="18"/>
        <v>7844.5862025863253</v>
      </c>
      <c r="BA154" s="43">
        <f t="shared" si="19"/>
        <v>13855</v>
      </c>
      <c r="BB154" s="59">
        <f t="shared" si="20"/>
        <v>6010.4137974136747</v>
      </c>
      <c r="BD154" s="2">
        <v>1</v>
      </c>
      <c r="BF154" s="30">
        <v>245.98563282433344</v>
      </c>
      <c r="BG154" s="328">
        <v>150001025</v>
      </c>
      <c r="BI154" s="107">
        <v>0</v>
      </c>
      <c r="BJ154" s="107">
        <f t="shared" si="21"/>
        <v>0</v>
      </c>
      <c r="BK154" s="107">
        <v>0</v>
      </c>
      <c r="BL154" s="39"/>
      <c r="BM154" s="3"/>
      <c r="BN154" s="3">
        <v>0</v>
      </c>
      <c r="BP154" s="3"/>
      <c r="BQ154" s="3"/>
      <c r="BS154" s="43"/>
      <c r="BT154" s="43">
        <v>0</v>
      </c>
      <c r="BU154" s="1037"/>
      <c r="BV154" s="42"/>
      <c r="BW154" s="43"/>
      <c r="BX154" s="1040"/>
      <c r="BY154" s="78"/>
      <c r="BZ154" s="43">
        <v>0</v>
      </c>
      <c r="CA154" s="1038"/>
      <c r="CB154" s="42">
        <v>1</v>
      </c>
      <c r="CC154" s="42">
        <v>7382.1943743086003</v>
      </c>
      <c r="CD154" s="1039"/>
      <c r="CE154" s="78">
        <v>0</v>
      </c>
      <c r="CF154" s="56"/>
      <c r="CG154" s="42">
        <v>0</v>
      </c>
      <c r="CH154" s="39">
        <v>0</v>
      </c>
      <c r="CI154" s="78">
        <v>541.72744007671486</v>
      </c>
      <c r="CJ154" s="56"/>
      <c r="CK154" s="1034">
        <v>3806</v>
      </c>
      <c r="CL154" s="1029">
        <v>1006</v>
      </c>
      <c r="CM154" s="1034">
        <v>1955</v>
      </c>
      <c r="CN154" s="1029">
        <v>512.08534162175954</v>
      </c>
      <c r="CO154" s="78">
        <v>126.89779672068497</v>
      </c>
      <c r="CP154" s="43">
        <v>0</v>
      </c>
      <c r="CQ154" s="5"/>
      <c r="CR154" s="78">
        <v>149.92959122555783</v>
      </c>
      <c r="CS154" s="1033">
        <v>3752.7115562517447</v>
      </c>
      <c r="CT154" s="5"/>
      <c r="CU154" s="78">
        <v>157.0999671378014</v>
      </c>
      <c r="CV154" s="43">
        <v>0</v>
      </c>
      <c r="CW154" s="5"/>
      <c r="CX154" s="78">
        <v>74.54946966441409</v>
      </c>
      <c r="CY154" s="43">
        <v>0</v>
      </c>
      <c r="CZ154" s="5"/>
      <c r="DA154" s="78">
        <v>35.232039279818451</v>
      </c>
      <c r="DB154" s="43">
        <v>0</v>
      </c>
      <c r="DC154" s="5"/>
      <c r="DD154" s="78">
        <v>69.56789107816337</v>
      </c>
      <c r="DE154" s="43">
        <v>619.64272494072293</v>
      </c>
      <c r="DF154" s="5"/>
      <c r="DG154" s="78">
        <v>40.438761775753619</v>
      </c>
      <c r="DH154" s="43"/>
      <c r="DI154" s="5"/>
      <c r="DJ154" s="43">
        <v>653.7155168821937</v>
      </c>
      <c r="DK154" s="43">
        <f t="shared" si="22"/>
        <v>4372.3542811924672</v>
      </c>
      <c r="DL154" s="59">
        <f t="shared" si="23"/>
        <v>3718.6387643102735</v>
      </c>
    </row>
    <row r="155" spans="1:116" ht="24.9" customHeight="1" x14ac:dyDescent="0.3">
      <c r="A155" s="328">
        <v>150001026</v>
      </c>
      <c r="B155" s="45" t="s">
        <v>334</v>
      </c>
      <c r="C155" s="1035">
        <v>8</v>
      </c>
      <c r="D155" s="1036" t="s">
        <v>454</v>
      </c>
      <c r="E155" s="1028">
        <f>'побудинковий звіт'!E153</f>
        <v>2162.08</v>
      </c>
      <c r="F155" s="1029">
        <f>'побудинковий звіт'!AS153</f>
        <v>140943.94860369209</v>
      </c>
      <c r="G155" s="1029">
        <f t="shared" si="16"/>
        <v>128080</v>
      </c>
      <c r="H155" s="1029">
        <f t="shared" si="17"/>
        <v>-12863.948603692086</v>
      </c>
      <c r="I155" s="43">
        <f>'[1]поточний ремонт'!I155+'[2]поточний ремонт'!I155-'[3]поточний ремонт'!I155</f>
        <v>75.319999999999993</v>
      </c>
      <c r="J155" s="43">
        <f>'[1]поточний ремонт'!J155+'[2]поточний ремонт'!J155-'[3]поточний ремонт'!J155</f>
        <v>30694.000000000004</v>
      </c>
      <c r="K155" s="1037"/>
      <c r="L155" s="43">
        <f>'[1]поточний ремонт'!L155+'[2]поточний ремонт'!L155-'[3]поточний ремонт'!L155</f>
        <v>0</v>
      </c>
      <c r="M155" s="43">
        <f>'[1]поточний ремонт'!M155+'[2]поточний ремонт'!M155-'[3]поточний ремонт'!M155</f>
        <v>0</v>
      </c>
      <c r="N155" s="37"/>
      <c r="O155" s="43">
        <f>'[1]поточний ремонт'!O155+'[2]поточний ремонт'!O155-'[3]поточний ремонт'!O155</f>
        <v>101</v>
      </c>
      <c r="P155" s="43">
        <f>'[1]поточний ремонт'!P155+'[2]поточний ремонт'!P155-'[3]поточний ремонт'!P155</f>
        <v>34332</v>
      </c>
      <c r="Q155" s="1052"/>
      <c r="R155" s="43">
        <f>'[1]поточний ремонт'!R155+'[2]поточний ремонт'!R155-'[3]поточний ремонт'!R155</f>
        <v>5</v>
      </c>
      <c r="S155" s="43">
        <f>'[1]поточний ремонт'!S155+'[2]поточний ремонт'!S155-'[3]поточний ремонт'!S155</f>
        <v>32332</v>
      </c>
      <c r="T155" s="1047"/>
      <c r="U155" s="43">
        <f>'[1]поточний ремонт'!U155+'[2]поточний ремонт'!U155-'[3]поточний ремонт'!U155</f>
        <v>0</v>
      </c>
      <c r="V155" s="43">
        <f>'[1]поточний ремонт'!V155+'[2]поточний ремонт'!V155-'[3]поточний ремонт'!V155</f>
        <v>0</v>
      </c>
      <c r="W155" s="43">
        <f>'[1]поточний ремонт'!W155+'[2]поточний ремонт'!W155-'[3]поточний ремонт'!W155</f>
        <v>0</v>
      </c>
      <c r="X155" s="43">
        <f>'[1]поточний ремонт'!X155+'[2]поточний ремонт'!X155-'[3]поточний ремонт'!X155</f>
        <v>0</v>
      </c>
      <c r="Y155" s="43">
        <f>'[1]поточний ремонт'!Y155+'[2]поточний ремонт'!Y155-'[3]поточний ремонт'!Y155</f>
        <v>8834</v>
      </c>
      <c r="Z155" s="43">
        <f>'[1]поточний ремонт'!Z155+'[2]поточний ремонт'!Z155-'[3]поточний ремонт'!Z155</f>
        <v>0</v>
      </c>
      <c r="AA155" s="43">
        <f>'[1]поточний ремонт'!AA155+'[2]поточний ремонт'!AA155-'[3]поточний ремонт'!AA155</f>
        <v>0</v>
      </c>
      <c r="AB155" s="43">
        <f>'[1]поточний ремонт'!AB155+'[2]поточний ремонт'!AB155-'[3]поточний ремонт'!AB155</f>
        <v>3663</v>
      </c>
      <c r="AC155" s="43">
        <f>'[1]поточний ремонт'!AC155+'[2]поточний ремонт'!AC155-'[3]поточний ремонт'!AC155</f>
        <v>6350</v>
      </c>
      <c r="AD155" s="43">
        <f>'[1]поточний ремонт'!AD155+'[2]поточний ремонт'!AD155-'[3]поточний ремонт'!AD155</f>
        <v>11874.999999999998</v>
      </c>
      <c r="AE155" s="43">
        <f>'[1]поточний ремонт'!AE155+'[2]поточний ремонт'!AE155-'[3]поточний ремонт'!AE155</f>
        <v>566.60269825880027</v>
      </c>
      <c r="AF155" s="43">
        <f>'[1]поточний ремонт'!AF155+'[2]поточний ремонт'!AF155-'[3]поточний ремонт'!AF155</f>
        <v>38223</v>
      </c>
      <c r="AG155" s="1045"/>
      <c r="AH155" s="43">
        <f>'[1]поточний ремонт'!AH155+'[2]поточний ремонт'!AH155-'[3]поточний ремонт'!AH155</f>
        <v>988.17390963875391</v>
      </c>
      <c r="AI155" s="43">
        <f>'[1]поточний ремонт'!AI155+'[2]поточний ремонт'!AI155-'[3]поточний ремонт'!AI155</f>
        <v>6220</v>
      </c>
      <c r="AJ155" s="1045"/>
      <c r="AK155" s="43">
        <f>'[1]поточний ремонт'!AK155+'[2]поточний ремонт'!AK155-'[3]поточний ремонт'!AK155</f>
        <v>513.13541491922399</v>
      </c>
      <c r="AL155" s="43">
        <f>'[1]поточний ремонт'!AL155+'[2]поточний ремонт'!AL155-'[3]поточний ремонт'!AL155</f>
        <v>1204</v>
      </c>
      <c r="AM155" s="5"/>
      <c r="AN155" s="43">
        <f>'[1]поточний ремонт'!AN155+'[2]поточний ремонт'!AN155-'[3]поточний ремонт'!AN155</f>
        <v>463.01394901605153</v>
      </c>
      <c r="AO155" s="43">
        <f>'[1]поточний ремонт'!AO155+'[2]поточний ремонт'!AO155-'[3]поточний ремонт'!AO155</f>
        <v>0</v>
      </c>
      <c r="AP155" s="5"/>
      <c r="AQ155" s="43">
        <f>'[1]поточний ремонт'!AQ155+'[2]поточний ремонт'!AQ155-'[3]поточний ремонт'!AQ155</f>
        <v>685.39301428766191</v>
      </c>
      <c r="AR155" s="43">
        <f>'[1]поточний ремонт'!AR155+'[2]поточний ремонт'!AR155-'[3]поточний ремонт'!AR155</f>
        <v>0</v>
      </c>
      <c r="AS155" s="5"/>
      <c r="AT155" s="43">
        <f>'[1]поточний ремонт'!AT155+'[2]поточний ремонт'!AT155-'[3]поточний ремонт'!AT155</f>
        <v>706.91428536070816</v>
      </c>
      <c r="AU155" s="43">
        <f>'[1]поточний ремонт'!AU155+'[2]поточний ремонт'!AU155-'[3]поточний ремонт'!AU155</f>
        <v>3471</v>
      </c>
      <c r="AV155" s="1057"/>
      <c r="AW155" s="43">
        <f>'[1]поточний ремонт'!AW155+'[2]поточний ремонт'!AW155-'[3]поточний ремонт'!AW155</f>
        <v>1118.5937498727455</v>
      </c>
      <c r="AX155" s="43">
        <f>'[1]поточний ремонт'!AX155+'[2]поточний ремонт'!AX155-'[3]поточний ремонт'!AX155</f>
        <v>0</v>
      </c>
      <c r="AY155" s="5"/>
      <c r="AZ155" s="43">
        <f t="shared" si="18"/>
        <v>5041.8270213539454</v>
      </c>
      <c r="BA155" s="43">
        <f t="shared" si="19"/>
        <v>49118</v>
      </c>
      <c r="BB155" s="59">
        <f t="shared" si="20"/>
        <v>44076.172978646056</v>
      </c>
      <c r="BD155" s="2">
        <v>1</v>
      </c>
      <c r="BF155" s="30">
        <v>342.03201190580342</v>
      </c>
      <c r="BG155" s="328">
        <v>150001026</v>
      </c>
      <c r="BI155" s="107">
        <v>0</v>
      </c>
      <c r="BJ155" s="107">
        <f t="shared" si="21"/>
        <v>0</v>
      </c>
      <c r="BK155" s="107">
        <v>0</v>
      </c>
      <c r="BL155" s="39"/>
      <c r="BM155" s="3"/>
      <c r="BN155" s="3">
        <v>0</v>
      </c>
      <c r="BP155" s="3"/>
      <c r="BQ155" s="3"/>
      <c r="BS155" s="43">
        <v>9.9</v>
      </c>
      <c r="BT155" s="43">
        <v>5733.766404784652</v>
      </c>
      <c r="BU155" s="1037"/>
      <c r="BV155" s="42"/>
      <c r="BW155" s="43"/>
      <c r="BX155" s="37"/>
      <c r="BY155" s="78"/>
      <c r="BZ155" s="43">
        <v>0</v>
      </c>
      <c r="CA155" s="1052"/>
      <c r="CB155" s="42"/>
      <c r="CC155" s="42">
        <v>0</v>
      </c>
      <c r="CD155" s="1047"/>
      <c r="CE155" s="78">
        <v>0</v>
      </c>
      <c r="CF155" s="56"/>
      <c r="CG155" s="42">
        <v>0</v>
      </c>
      <c r="CH155" s="39">
        <v>0</v>
      </c>
      <c r="CI155" s="78">
        <v>0</v>
      </c>
      <c r="CJ155" s="1044"/>
      <c r="CK155" s="1034"/>
      <c r="CL155" s="1029"/>
      <c r="CM155" s="1034"/>
      <c r="CN155" s="1029">
        <v>181.60506228570671</v>
      </c>
      <c r="CO155" s="78">
        <v>47.21689152156668</v>
      </c>
      <c r="CP155" s="43">
        <v>0</v>
      </c>
      <c r="CQ155" s="1045"/>
      <c r="CR155" s="78">
        <v>82.347825803229483</v>
      </c>
      <c r="CS155" s="1033">
        <v>0</v>
      </c>
      <c r="CT155" s="1045"/>
      <c r="CU155" s="78">
        <v>42.761284576601994</v>
      </c>
      <c r="CV155" s="43">
        <v>0</v>
      </c>
      <c r="CW155" s="5"/>
      <c r="CX155" s="78">
        <v>38.584495751337634</v>
      </c>
      <c r="CY155" s="43">
        <v>0</v>
      </c>
      <c r="CZ155" s="5"/>
      <c r="DA155" s="78">
        <v>57.116084523971821</v>
      </c>
      <c r="DB155" s="43">
        <v>0</v>
      </c>
      <c r="DC155" s="5"/>
      <c r="DD155" s="78">
        <v>58.909523780059018</v>
      </c>
      <c r="DE155" s="43">
        <v>0</v>
      </c>
      <c r="DF155" s="1057"/>
      <c r="DG155" s="78">
        <v>93.216145822728791</v>
      </c>
      <c r="DH155" s="43"/>
      <c r="DI155" s="5"/>
      <c r="DJ155" s="43">
        <v>420.15225177949543</v>
      </c>
      <c r="DK155" s="43">
        <f t="shared" si="22"/>
        <v>0</v>
      </c>
      <c r="DL155" s="59">
        <f t="shared" si="23"/>
        <v>-420.15225177949543</v>
      </c>
    </row>
    <row r="156" spans="1:116" ht="24.9" customHeight="1" x14ac:dyDescent="0.3">
      <c r="A156" s="328">
        <v>150001027</v>
      </c>
      <c r="B156" s="45" t="s">
        <v>367</v>
      </c>
      <c r="C156" s="1035">
        <v>9</v>
      </c>
      <c r="D156" s="1036" t="s">
        <v>454</v>
      </c>
      <c r="E156" s="1028">
        <f>'побудинковий звіт'!E154</f>
        <v>2130.7999999999997</v>
      </c>
      <c r="F156" s="1029">
        <f>'побудинковий звіт'!AS154</f>
        <v>191367.01750452758</v>
      </c>
      <c r="G156" s="1029">
        <f t="shared" si="16"/>
        <v>108682</v>
      </c>
      <c r="H156" s="1029">
        <f t="shared" si="17"/>
        <v>-82685.017504527583</v>
      </c>
      <c r="I156" s="43">
        <f>'[1]поточний ремонт'!I156+'[2]поточний ремонт'!I156-'[3]поточний ремонт'!I156</f>
        <v>0</v>
      </c>
      <c r="J156" s="43">
        <f>'[1]поточний ремонт'!J156+'[2]поточний ремонт'!J156-'[3]поточний ремонт'!J156</f>
        <v>0</v>
      </c>
      <c r="K156" s="1037"/>
      <c r="L156" s="43">
        <f>'[1]поточний ремонт'!L156+'[2]поточний ремонт'!L156-'[3]поточний ремонт'!L156</f>
        <v>0</v>
      </c>
      <c r="M156" s="43">
        <f>'[1]поточний ремонт'!M156+'[2]поточний ремонт'!M156-'[3]поточний ремонт'!M156</f>
        <v>0</v>
      </c>
      <c r="N156" s="37"/>
      <c r="O156" s="43">
        <f>'[1]поточний ремонт'!O156+'[2]поточний ремонт'!O156-'[3]поточний ремонт'!O156</f>
        <v>119.3</v>
      </c>
      <c r="P156" s="43">
        <f>'[1]поточний ремонт'!P156+'[2]поточний ремонт'!P156-'[3]поточний ремонт'!P156</f>
        <v>33570</v>
      </c>
      <c r="Q156" s="1038"/>
      <c r="R156" s="43">
        <f>'[1]поточний ремонт'!R156+'[2]поточний ремонт'!R156-'[3]поточний ремонт'!R156</f>
        <v>2</v>
      </c>
      <c r="S156" s="43">
        <f>'[1]поточний ремонт'!S156+'[2]поточний ремонт'!S156-'[3]поточний ремонт'!S156</f>
        <v>28020</v>
      </c>
      <c r="T156" s="1048"/>
      <c r="U156" s="43">
        <f>'[1]поточний ремонт'!U156+'[2]поточний ремонт'!U156-'[3]поточний ремонт'!U156</f>
        <v>31108</v>
      </c>
      <c r="V156" s="43">
        <f>'[1]поточний ремонт'!V156+'[2]поточний ремонт'!V156-'[3]поточний ремонт'!V156</f>
        <v>0</v>
      </c>
      <c r="W156" s="43">
        <f>'[1]поточний ремонт'!W156+'[2]поточний ремонт'!W156-'[3]поточний ремонт'!W156</f>
        <v>0</v>
      </c>
      <c r="X156" s="43">
        <f>'[1]поточний ремонт'!X156+'[2]поточний ремонт'!X156-'[3]поточний ремонт'!X156</f>
        <v>0</v>
      </c>
      <c r="Y156" s="43">
        <f>'[1]поточний ремонт'!Y156+'[2]поточний ремонт'!Y156-'[3]поточний ремонт'!Y156</f>
        <v>0</v>
      </c>
      <c r="Z156" s="43">
        <f>'[1]поточний ремонт'!Z156+'[2]поточний ремонт'!Z156-'[3]поточний ремонт'!Z156</f>
        <v>0</v>
      </c>
      <c r="AA156" s="43">
        <f>'[1]поточний ремонт'!AA156+'[2]поточний ремонт'!AA156-'[3]поточний ремонт'!AA156</f>
        <v>0</v>
      </c>
      <c r="AB156" s="43">
        <f>'[1]поточний ремонт'!AB156+'[2]поточний ремонт'!AB156-'[3]поточний ремонт'!AB156</f>
        <v>183</v>
      </c>
      <c r="AC156" s="43">
        <f>'[1]поточний ремонт'!AC156+'[2]поточний ремонт'!AC156-'[3]поточний ремонт'!AC156</f>
        <v>7129</v>
      </c>
      <c r="AD156" s="43">
        <f>'[1]поточний ремонт'!AD156+'[2]поточний ремонт'!AD156-'[3]поточний ремонт'!AD156</f>
        <v>8672</v>
      </c>
      <c r="AE156" s="43">
        <f>'[1]поточний ремонт'!AE156+'[2]поточний ремонт'!AE156-'[3]поточний ремонт'!AE156</f>
        <v>1313.0199237000613</v>
      </c>
      <c r="AF156" s="43">
        <f>'[1]поточний ремонт'!AF156+'[2]поточний ремонт'!AF156-'[3]поточний ремонт'!AF156</f>
        <v>6592.9981729397841</v>
      </c>
      <c r="AG156" s="5"/>
      <c r="AH156" s="43">
        <f>'[1]поточний ремонт'!AH156+'[2]поточний ремонт'!AH156-'[3]поточний ремонт'!AH156</f>
        <v>1762.2590807213041</v>
      </c>
      <c r="AI156" s="43">
        <f>'[1]поточний ремонт'!AI156+'[2]поточний ремонт'!AI156-'[3]поточний ремонт'!AI156</f>
        <v>7520.0000000000009</v>
      </c>
      <c r="AJ156" s="9"/>
      <c r="AK156" s="43">
        <f>'[1]поточний ремонт'!AK156+'[2]поточний ремонт'!AK156-'[3]поточний ремонт'!AK156</f>
        <v>2188.1542531115529</v>
      </c>
      <c r="AL156" s="43">
        <f>'[1]поточний ремонт'!AL156+'[2]поточний ремонт'!AL156-'[3]поточний ремонт'!AL156</f>
        <v>0</v>
      </c>
      <c r="AM156" s="1045"/>
      <c r="AN156" s="43">
        <f>'[1]поточний ремонт'!AN156+'[2]поточний ремонт'!AN156-'[3]поточний ремонт'!AN156</f>
        <v>1201.8649330612939</v>
      </c>
      <c r="AO156" s="43">
        <f>'[1]поточний ремонт'!AO156+'[2]поточний ремонт'!AO156-'[3]поточний ремонт'!AO156</f>
        <v>1275</v>
      </c>
      <c r="AP156" s="5"/>
      <c r="AQ156" s="43">
        <f>'[1]поточний ремонт'!AQ156+'[2]поточний ремонт'!AQ156-'[3]поточний ремонт'!AQ156</f>
        <v>1403.1194206337796</v>
      </c>
      <c r="AR156" s="43">
        <f>'[1]поточний ремонт'!AR156+'[2]поточний ремонт'!AR156-'[3]поточний ремонт'!AR156</f>
        <v>0</v>
      </c>
      <c r="AS156" s="5"/>
      <c r="AT156" s="43">
        <f>'[1]поточний ремонт'!AT156+'[2]поточний ремонт'!AT156-'[3]поточний ремонт'!AT156</f>
        <v>1672.3335980942118</v>
      </c>
      <c r="AU156" s="43">
        <f>'[1]поточний ремонт'!AU156+'[2]поточний ремонт'!AU156-'[3]поточний ремонт'!AU156</f>
        <v>9864.475202155365</v>
      </c>
      <c r="AV156" s="5"/>
      <c r="AW156" s="43">
        <f>'[1]поточний ремонт'!AW156+'[2]поточний ремонт'!AW156-'[3]поточний ремонт'!AW156</f>
        <v>762.07335091908692</v>
      </c>
      <c r="AX156" s="43">
        <f>'[1]поточний ремонт'!AX156+'[2]поточний ремонт'!AX156-'[3]поточний ремонт'!AX156</f>
        <v>12972</v>
      </c>
      <c r="AY156" s="5"/>
      <c r="AZ156" s="43">
        <f t="shared" si="18"/>
        <v>10302.82456024129</v>
      </c>
      <c r="BA156" s="43">
        <f t="shared" si="19"/>
        <v>38224.473375095149</v>
      </c>
      <c r="BB156" s="59">
        <f t="shared" si="20"/>
        <v>27921.648814853859</v>
      </c>
      <c r="BD156" s="2">
        <v>1</v>
      </c>
      <c r="BF156" s="30">
        <v>584.6016270116927</v>
      </c>
      <c r="BG156" s="328">
        <v>150001027</v>
      </c>
      <c r="BI156" s="107">
        <v>0</v>
      </c>
      <c r="BJ156" s="107">
        <f t="shared" si="21"/>
        <v>0</v>
      </c>
      <c r="BK156" s="107">
        <v>0</v>
      </c>
      <c r="BL156" s="39"/>
      <c r="BM156" s="3"/>
      <c r="BN156" s="3">
        <v>0</v>
      </c>
      <c r="BP156" s="3"/>
      <c r="BQ156" s="3"/>
      <c r="BS156" s="43">
        <v>16</v>
      </c>
      <c r="BT156" s="43">
        <v>8572.6354311866671</v>
      </c>
      <c r="BU156" s="1037"/>
      <c r="BV156" s="42"/>
      <c r="BW156" s="43"/>
      <c r="BX156" s="37"/>
      <c r="BY156" s="78"/>
      <c r="BZ156" s="43">
        <v>0</v>
      </c>
      <c r="CA156" s="1038"/>
      <c r="CB156" s="42"/>
      <c r="CC156" s="42">
        <v>0</v>
      </c>
      <c r="CD156" s="1048"/>
      <c r="CE156" s="78">
        <v>0</v>
      </c>
      <c r="CF156" s="56"/>
      <c r="CG156" s="42">
        <v>0</v>
      </c>
      <c r="CH156" s="39">
        <v>0</v>
      </c>
      <c r="CI156" s="78">
        <v>0</v>
      </c>
      <c r="CJ156" s="56"/>
      <c r="CK156" s="1034"/>
      <c r="CL156" s="1029"/>
      <c r="CM156" s="1034"/>
      <c r="CN156" s="1029">
        <v>1133.7740400408034</v>
      </c>
      <c r="CO156" s="78">
        <v>109.4183269750051</v>
      </c>
      <c r="CP156" s="43">
        <v>0</v>
      </c>
      <c r="CQ156" s="5"/>
      <c r="CR156" s="78">
        <v>146.85492339344199</v>
      </c>
      <c r="CS156" s="1033">
        <v>0</v>
      </c>
      <c r="CT156" s="9"/>
      <c r="CU156" s="78">
        <v>182.34618775929607</v>
      </c>
      <c r="CV156" s="43">
        <v>0</v>
      </c>
      <c r="CW156" s="1045"/>
      <c r="CX156" s="78">
        <v>100.15541108844116</v>
      </c>
      <c r="CY156" s="43">
        <v>0</v>
      </c>
      <c r="CZ156" s="5"/>
      <c r="DA156" s="78">
        <v>116.92661838614831</v>
      </c>
      <c r="DB156" s="43">
        <v>0</v>
      </c>
      <c r="DC156" s="5"/>
      <c r="DD156" s="78">
        <v>139.36113317451768</v>
      </c>
      <c r="DE156" s="43">
        <v>714.95992562667152</v>
      </c>
      <c r="DF156" s="5"/>
      <c r="DG156" s="78">
        <v>63.506112576590589</v>
      </c>
      <c r="DH156" s="43"/>
      <c r="DI156" s="5"/>
      <c r="DJ156" s="43">
        <v>858.5687133534409</v>
      </c>
      <c r="DK156" s="43">
        <f t="shared" si="22"/>
        <v>714.95992562667152</v>
      </c>
      <c r="DL156" s="59">
        <f t="shared" si="23"/>
        <v>-143.60878772676938</v>
      </c>
    </row>
    <row r="157" spans="1:116" ht="24.9" customHeight="1" x14ac:dyDescent="0.3">
      <c r="A157" s="328">
        <v>150001028</v>
      </c>
      <c r="B157" s="45" t="s">
        <v>101</v>
      </c>
      <c r="C157" s="1035">
        <v>1</v>
      </c>
      <c r="D157" s="1036" t="s">
        <v>454</v>
      </c>
      <c r="E157" s="1028">
        <f>'побудинковий звіт'!E155</f>
        <v>2338.0700000000002</v>
      </c>
      <c r="F157" s="1029">
        <f>'побудинковий звіт'!AS155</f>
        <v>2113.5918291671687</v>
      </c>
      <c r="G157" s="1029">
        <f t="shared" si="16"/>
        <v>0</v>
      </c>
      <c r="H157" s="1029">
        <f t="shared" si="17"/>
        <v>-2113.5918291671687</v>
      </c>
      <c r="I157" s="43">
        <f>'[1]поточний ремонт'!I157+'[2]поточний ремонт'!I157-'[3]поточний ремонт'!I157</f>
        <v>0</v>
      </c>
      <c r="J157" s="43">
        <f>'[1]поточний ремонт'!J157+'[2]поточний ремонт'!J157-'[3]поточний ремонт'!J157</f>
        <v>0</v>
      </c>
      <c r="K157" s="1037"/>
      <c r="L157" s="43">
        <f>'[1]поточний ремонт'!L157+'[2]поточний ремонт'!L157-'[3]поточний ремонт'!L157</f>
        <v>0</v>
      </c>
      <c r="M157" s="43">
        <f>'[1]поточний ремонт'!M157+'[2]поточний ремонт'!M157-'[3]поточний ремонт'!M157</f>
        <v>0</v>
      </c>
      <c r="N157" s="37"/>
      <c r="O157" s="43">
        <f>'[1]поточний ремонт'!O157+'[2]поточний ремонт'!O157-'[3]поточний ремонт'!O157</f>
        <v>0</v>
      </c>
      <c r="P157" s="43">
        <f>'[1]поточний ремонт'!P157+'[2]поточний ремонт'!P157-'[3]поточний ремонт'!P157</f>
        <v>0</v>
      </c>
      <c r="Q157" s="1038"/>
      <c r="R157" s="43">
        <f>'[1]поточний ремонт'!R157+'[2]поточний ремонт'!R157-'[3]поточний ремонт'!R157</f>
        <v>0</v>
      </c>
      <c r="S157" s="43">
        <f>'[1]поточний ремонт'!S157+'[2]поточний ремонт'!S157-'[3]поточний ремонт'!S157</f>
        <v>0</v>
      </c>
      <c r="T157" s="1039"/>
      <c r="U157" s="43">
        <f>'[1]поточний ремонт'!U157+'[2]поточний ремонт'!U157-'[3]поточний ремонт'!U157</f>
        <v>0</v>
      </c>
      <c r="V157" s="43">
        <f>'[1]поточний ремонт'!V157+'[2]поточний ремонт'!V157-'[3]поточний ремонт'!V157</f>
        <v>0</v>
      </c>
      <c r="W157" s="43">
        <f>'[1]поточний ремонт'!W157+'[2]поточний ремонт'!W157-'[3]поточний ремонт'!W157</f>
        <v>0</v>
      </c>
      <c r="X157" s="43">
        <f>'[1]поточний ремонт'!X157+'[2]поточний ремонт'!X157-'[3]поточний ремонт'!X157</f>
        <v>0</v>
      </c>
      <c r="Y157" s="43">
        <f>'[1]поточний ремонт'!Y157+'[2]поточний ремонт'!Y157-'[3]поточний ремонт'!Y157</f>
        <v>0</v>
      </c>
      <c r="Z157" s="43">
        <f>'[1]поточний ремонт'!Z157+'[2]поточний ремонт'!Z157-'[3]поточний ремонт'!Z157</f>
        <v>0</v>
      </c>
      <c r="AA157" s="43">
        <f>'[1]поточний ремонт'!AA157+'[2]поточний ремонт'!AA157-'[3]поточний ремонт'!AA157</f>
        <v>0</v>
      </c>
      <c r="AB157" s="43">
        <f>'[1]поточний ремонт'!AB157+'[2]поточний ремонт'!AB157-'[3]поточний ремонт'!AB157</f>
        <v>0</v>
      </c>
      <c r="AC157" s="43">
        <f>'[1]поточний ремонт'!AC157+'[2]поточний ремонт'!AC157-'[3]поточний ремонт'!AC157</f>
        <v>0</v>
      </c>
      <c r="AD157" s="43">
        <f>'[1]поточний ремонт'!AD157+'[2]поточний ремонт'!AD157-'[3]поточний ремонт'!AD157</f>
        <v>0</v>
      </c>
      <c r="AE157" s="43">
        <f>'[1]поточний ремонт'!AE157+'[2]поточний ремонт'!AE157-'[3]поточний ремонт'!AE157</f>
        <v>0</v>
      </c>
      <c r="AF157" s="43">
        <f>'[1]поточний ремонт'!AF157+'[2]поточний ремонт'!AF157-'[3]поточний ремонт'!AF157</f>
        <v>0</v>
      </c>
      <c r="AG157" s="5"/>
      <c r="AH157" s="43">
        <f>'[1]поточний ремонт'!AH157+'[2]поточний ремонт'!AH157-'[3]поточний ремонт'!AH157</f>
        <v>0</v>
      </c>
      <c r="AI157" s="43">
        <f>'[1]поточний ремонт'!AI157+'[2]поточний ремонт'!AI157-'[3]поточний ремонт'!AI157</f>
        <v>0</v>
      </c>
      <c r="AJ157" s="5"/>
      <c r="AK157" s="43">
        <f>'[1]поточний ремонт'!AK157+'[2]поточний ремонт'!AK157-'[3]поточний ремонт'!AK157</f>
        <v>0</v>
      </c>
      <c r="AL157" s="43">
        <f>'[1]поточний ремонт'!AL157+'[2]поточний ремонт'!AL157-'[3]поточний ремонт'!AL157</f>
        <v>0</v>
      </c>
      <c r="AM157" s="5"/>
      <c r="AN157" s="43">
        <f>'[1]поточний ремонт'!AN157+'[2]поточний ремонт'!AN157-'[3]поточний ремонт'!AN157</f>
        <v>0</v>
      </c>
      <c r="AO157" s="43">
        <f>'[1]поточний ремонт'!AO157+'[2]поточний ремонт'!AO157-'[3]поточний ремонт'!AO157</f>
        <v>0</v>
      </c>
      <c r="AP157" s="5"/>
      <c r="AQ157" s="43">
        <f>'[1]поточний ремонт'!AQ157+'[2]поточний ремонт'!AQ157-'[3]поточний ремонт'!AQ157</f>
        <v>0</v>
      </c>
      <c r="AR157" s="43">
        <f>'[1]поточний ремонт'!AR157+'[2]поточний ремонт'!AR157-'[3]поточний ремонт'!AR157</f>
        <v>0</v>
      </c>
      <c r="AS157" s="5"/>
      <c r="AT157" s="43">
        <f>'[1]поточний ремонт'!AT157+'[2]поточний ремонт'!AT157-'[3]поточний ремонт'!AT157</f>
        <v>0</v>
      </c>
      <c r="AU157" s="43">
        <f>'[1]поточний ремонт'!AU157+'[2]поточний ремонт'!AU157-'[3]поточний ремонт'!AU157</f>
        <v>0</v>
      </c>
      <c r="AV157" s="5"/>
      <c r="AW157" s="43">
        <f>'[1]поточний ремонт'!AW157+'[2]поточний ремонт'!AW157-'[3]поточний ремонт'!AW157</f>
        <v>0</v>
      </c>
      <c r="AX157" s="43">
        <f>'[1]поточний ремонт'!AX157+'[2]поточний ремонт'!AX157-'[3]поточний ремонт'!AX157</f>
        <v>0</v>
      </c>
      <c r="AY157" s="5"/>
      <c r="AZ157" s="43">
        <f t="shared" si="18"/>
        <v>0</v>
      </c>
      <c r="BA157" s="43">
        <f t="shared" si="19"/>
        <v>0</v>
      </c>
      <c r="BB157" s="59">
        <f t="shared" si="20"/>
        <v>0</v>
      </c>
      <c r="BD157" s="2">
        <v>1</v>
      </c>
      <c r="BF157" s="30">
        <v>0</v>
      </c>
      <c r="BG157" s="328">
        <v>150001028</v>
      </c>
      <c r="BI157" s="107">
        <v>0</v>
      </c>
      <c r="BJ157" s="107">
        <f t="shared" si="21"/>
        <v>0</v>
      </c>
      <c r="BK157" s="107">
        <v>0</v>
      </c>
      <c r="BL157" s="39"/>
      <c r="BM157" s="3"/>
      <c r="BN157" s="3">
        <v>0</v>
      </c>
      <c r="BP157" s="3"/>
      <c r="BQ157" s="3"/>
      <c r="BS157" s="43"/>
      <c r="BT157" s="43">
        <v>0</v>
      </c>
      <c r="BU157" s="1037"/>
      <c r="BV157" s="42"/>
      <c r="BW157" s="43"/>
      <c r="BX157" s="37"/>
      <c r="BY157" s="78"/>
      <c r="BZ157" s="43">
        <v>0</v>
      </c>
      <c r="CA157" s="1038"/>
      <c r="CB157" s="42"/>
      <c r="CC157" s="42">
        <v>0</v>
      </c>
      <c r="CD157" s="1039"/>
      <c r="CE157" s="78">
        <v>0</v>
      </c>
      <c r="CF157" s="56"/>
      <c r="CG157" s="42">
        <v>0</v>
      </c>
      <c r="CH157" s="39">
        <v>0</v>
      </c>
      <c r="CI157" s="78">
        <v>0</v>
      </c>
      <c r="CJ157" s="56"/>
      <c r="CK157" s="1034"/>
      <c r="CL157" s="1029"/>
      <c r="CM157" s="1034"/>
      <c r="CN157" s="1029">
        <v>0</v>
      </c>
      <c r="CO157" s="78">
        <v>0</v>
      </c>
      <c r="CP157" s="43">
        <v>0</v>
      </c>
      <c r="CQ157" s="5"/>
      <c r="CR157" s="78">
        <v>0</v>
      </c>
      <c r="CS157" s="1033">
        <v>0</v>
      </c>
      <c r="CT157" s="5"/>
      <c r="CU157" s="78">
        <v>0</v>
      </c>
      <c r="CV157" s="43">
        <v>0</v>
      </c>
      <c r="CW157" s="5"/>
      <c r="CX157" s="78">
        <v>0</v>
      </c>
      <c r="CY157" s="43">
        <v>0</v>
      </c>
      <c r="CZ157" s="5"/>
      <c r="DA157" s="78">
        <v>0</v>
      </c>
      <c r="DB157" s="43">
        <v>0</v>
      </c>
      <c r="DC157" s="5"/>
      <c r="DD157" s="78">
        <v>0</v>
      </c>
      <c r="DE157" s="43">
        <v>0</v>
      </c>
      <c r="DF157" s="5"/>
      <c r="DG157" s="78">
        <v>0</v>
      </c>
      <c r="DH157" s="43"/>
      <c r="DI157" s="5"/>
      <c r="DJ157" s="43">
        <v>0</v>
      </c>
      <c r="DK157" s="43">
        <f t="shared" si="22"/>
        <v>0</v>
      </c>
      <c r="DL157" s="59">
        <f t="shared" si="23"/>
        <v>0</v>
      </c>
    </row>
    <row r="158" spans="1:116" ht="24.9" customHeight="1" x14ac:dyDescent="0.3">
      <c r="A158" s="328">
        <v>150001036</v>
      </c>
      <c r="B158" s="45" t="s">
        <v>102</v>
      </c>
      <c r="C158" s="1035">
        <v>1</v>
      </c>
      <c r="D158" s="1036" t="s">
        <v>454</v>
      </c>
      <c r="E158" s="1028">
        <f>'побудинковий звіт'!E156</f>
        <v>6921.8</v>
      </c>
      <c r="F158" s="1029">
        <f>'побудинковий звіт'!AS156</f>
        <v>2652.696404846834</v>
      </c>
      <c r="G158" s="1029">
        <f t="shared" si="16"/>
        <v>0</v>
      </c>
      <c r="H158" s="1029">
        <f t="shared" si="17"/>
        <v>-2652.696404846834</v>
      </c>
      <c r="I158" s="43">
        <f>'[1]поточний ремонт'!I158+'[2]поточний ремонт'!I158-'[3]поточний ремонт'!I158</f>
        <v>0</v>
      </c>
      <c r="J158" s="43">
        <f>'[1]поточний ремонт'!J158+'[2]поточний ремонт'!J158-'[3]поточний ремонт'!J158</f>
        <v>0</v>
      </c>
      <c r="K158" s="1037"/>
      <c r="L158" s="43">
        <f>'[1]поточний ремонт'!L158+'[2]поточний ремонт'!L158-'[3]поточний ремонт'!L158</f>
        <v>0</v>
      </c>
      <c r="M158" s="43">
        <f>'[1]поточний ремонт'!M158+'[2]поточний ремонт'!M158-'[3]поточний ремонт'!M158</f>
        <v>0</v>
      </c>
      <c r="N158" s="37"/>
      <c r="O158" s="43">
        <f>'[1]поточний ремонт'!O158+'[2]поточний ремонт'!O158-'[3]поточний ремонт'!O158</f>
        <v>0</v>
      </c>
      <c r="P158" s="43">
        <f>'[1]поточний ремонт'!P158+'[2]поточний ремонт'!P158-'[3]поточний ремонт'!P158</f>
        <v>0</v>
      </c>
      <c r="Q158" s="1038"/>
      <c r="R158" s="43">
        <f>'[1]поточний ремонт'!R158+'[2]поточний ремонт'!R158-'[3]поточний ремонт'!R158</f>
        <v>0</v>
      </c>
      <c r="S158" s="43">
        <f>'[1]поточний ремонт'!S158+'[2]поточний ремонт'!S158-'[3]поточний ремонт'!S158</f>
        <v>0</v>
      </c>
      <c r="T158" s="1039"/>
      <c r="U158" s="43">
        <f>'[1]поточний ремонт'!U158+'[2]поточний ремонт'!U158-'[3]поточний ремонт'!U158</f>
        <v>0</v>
      </c>
      <c r="V158" s="43">
        <f>'[1]поточний ремонт'!V158+'[2]поточний ремонт'!V158-'[3]поточний ремонт'!V158</f>
        <v>0</v>
      </c>
      <c r="W158" s="43">
        <f>'[1]поточний ремонт'!W158+'[2]поточний ремонт'!W158-'[3]поточний ремонт'!W158</f>
        <v>0</v>
      </c>
      <c r="X158" s="43">
        <f>'[1]поточний ремонт'!X158+'[2]поточний ремонт'!X158-'[3]поточний ремонт'!X158</f>
        <v>0</v>
      </c>
      <c r="Y158" s="43">
        <f>'[1]поточний ремонт'!Y158+'[2]поточний ремонт'!Y158-'[3]поточний ремонт'!Y158</f>
        <v>0</v>
      </c>
      <c r="Z158" s="43">
        <f>'[1]поточний ремонт'!Z158+'[2]поточний ремонт'!Z158-'[3]поточний ремонт'!Z158</f>
        <v>0</v>
      </c>
      <c r="AA158" s="43">
        <f>'[1]поточний ремонт'!AA158+'[2]поточний ремонт'!AA158-'[3]поточний ремонт'!AA158</f>
        <v>0</v>
      </c>
      <c r="AB158" s="43">
        <f>'[1]поточний ремонт'!AB158+'[2]поточний ремонт'!AB158-'[3]поточний ремонт'!AB158</f>
        <v>0</v>
      </c>
      <c r="AC158" s="43">
        <f>'[1]поточний ремонт'!AC158+'[2]поточний ремонт'!AC158-'[3]поточний ремонт'!AC158</f>
        <v>0</v>
      </c>
      <c r="AD158" s="43">
        <f>'[1]поточний ремонт'!AD158+'[2]поточний ремонт'!AD158-'[3]поточний ремонт'!AD158</f>
        <v>0</v>
      </c>
      <c r="AE158" s="43">
        <f>'[1]поточний ремонт'!AE158+'[2]поточний ремонт'!AE158-'[3]поточний ремонт'!AE158</f>
        <v>0</v>
      </c>
      <c r="AF158" s="43">
        <f>'[1]поточний ремонт'!AF158+'[2]поточний ремонт'!AF158-'[3]поточний ремонт'!AF158</f>
        <v>0</v>
      </c>
      <c r="AG158" s="5"/>
      <c r="AH158" s="43">
        <f>'[1]поточний ремонт'!AH158+'[2]поточний ремонт'!AH158-'[3]поточний ремонт'!AH158</f>
        <v>0</v>
      </c>
      <c r="AI158" s="43">
        <f>'[1]поточний ремонт'!AI158+'[2]поточний ремонт'!AI158-'[3]поточний ремонт'!AI158</f>
        <v>0</v>
      </c>
      <c r="AJ158" s="5"/>
      <c r="AK158" s="43">
        <f>'[1]поточний ремонт'!AK158+'[2]поточний ремонт'!AK158-'[3]поточний ремонт'!AK158</f>
        <v>0</v>
      </c>
      <c r="AL158" s="43">
        <f>'[1]поточний ремонт'!AL158+'[2]поточний ремонт'!AL158-'[3]поточний ремонт'!AL158</f>
        <v>0</v>
      </c>
      <c r="AM158" s="5"/>
      <c r="AN158" s="43">
        <f>'[1]поточний ремонт'!AN158+'[2]поточний ремонт'!AN158-'[3]поточний ремонт'!AN158</f>
        <v>0</v>
      </c>
      <c r="AO158" s="43">
        <f>'[1]поточний ремонт'!AO158+'[2]поточний ремонт'!AO158-'[3]поточний ремонт'!AO158</f>
        <v>0</v>
      </c>
      <c r="AP158" s="5"/>
      <c r="AQ158" s="43">
        <f>'[1]поточний ремонт'!AQ158+'[2]поточний ремонт'!AQ158-'[3]поточний ремонт'!AQ158</f>
        <v>0</v>
      </c>
      <c r="AR158" s="43">
        <f>'[1]поточний ремонт'!AR158+'[2]поточний ремонт'!AR158-'[3]поточний ремонт'!AR158</f>
        <v>0</v>
      </c>
      <c r="AS158" s="5"/>
      <c r="AT158" s="43">
        <f>'[1]поточний ремонт'!AT158+'[2]поточний ремонт'!AT158-'[3]поточний ремонт'!AT158</f>
        <v>0</v>
      </c>
      <c r="AU158" s="43">
        <f>'[1]поточний ремонт'!AU158+'[2]поточний ремонт'!AU158-'[3]поточний ремонт'!AU158</f>
        <v>0</v>
      </c>
      <c r="AV158" s="5"/>
      <c r="AW158" s="43">
        <f>'[1]поточний ремонт'!AW158+'[2]поточний ремонт'!AW158-'[3]поточний ремонт'!AW158</f>
        <v>0</v>
      </c>
      <c r="AX158" s="43">
        <f>'[1]поточний ремонт'!AX158+'[2]поточний ремонт'!AX158-'[3]поточний ремонт'!AX158</f>
        <v>0</v>
      </c>
      <c r="AY158" s="5"/>
      <c r="AZ158" s="43">
        <f t="shared" si="18"/>
        <v>0</v>
      </c>
      <c r="BA158" s="43">
        <f t="shared" si="19"/>
        <v>0</v>
      </c>
      <c r="BB158" s="59">
        <f t="shared" si="20"/>
        <v>0</v>
      </c>
      <c r="BD158" s="2">
        <v>1</v>
      </c>
      <c r="BF158" s="30">
        <v>0</v>
      </c>
      <c r="BG158" s="328">
        <v>150001036</v>
      </c>
      <c r="BI158" s="107">
        <v>0</v>
      </c>
      <c r="BJ158" s="107">
        <f t="shared" si="21"/>
        <v>0</v>
      </c>
      <c r="BK158" s="107">
        <v>0</v>
      </c>
      <c r="BL158" s="39"/>
      <c r="BM158" s="3"/>
      <c r="BN158" s="3">
        <v>0</v>
      </c>
      <c r="BP158" s="3"/>
      <c r="BQ158" s="3"/>
      <c r="BS158" s="43"/>
      <c r="BT158" s="43">
        <v>0</v>
      </c>
      <c r="BU158" s="1037"/>
      <c r="BV158" s="42"/>
      <c r="BW158" s="43"/>
      <c r="BX158" s="37"/>
      <c r="BY158" s="78"/>
      <c r="BZ158" s="43">
        <v>0</v>
      </c>
      <c r="CA158" s="1038"/>
      <c r="CB158" s="42"/>
      <c r="CC158" s="42">
        <v>0</v>
      </c>
      <c r="CD158" s="1039"/>
      <c r="CE158" s="78">
        <v>0</v>
      </c>
      <c r="CF158" s="56"/>
      <c r="CG158" s="42">
        <v>0</v>
      </c>
      <c r="CH158" s="39">
        <v>0</v>
      </c>
      <c r="CI158" s="78">
        <v>0</v>
      </c>
      <c r="CJ158" s="56"/>
      <c r="CK158" s="1034"/>
      <c r="CL158" s="1029"/>
      <c r="CM158" s="1034"/>
      <c r="CN158" s="1029">
        <v>0</v>
      </c>
      <c r="CO158" s="78">
        <v>0</v>
      </c>
      <c r="CP158" s="43">
        <v>0</v>
      </c>
      <c r="CQ158" s="5"/>
      <c r="CR158" s="78">
        <v>0</v>
      </c>
      <c r="CS158" s="1033">
        <v>0</v>
      </c>
      <c r="CT158" s="5"/>
      <c r="CU158" s="78">
        <v>0</v>
      </c>
      <c r="CV158" s="43">
        <v>0</v>
      </c>
      <c r="CW158" s="5"/>
      <c r="CX158" s="78">
        <v>0</v>
      </c>
      <c r="CY158" s="43">
        <v>0</v>
      </c>
      <c r="CZ158" s="5"/>
      <c r="DA158" s="78">
        <v>0</v>
      </c>
      <c r="DB158" s="43">
        <v>0</v>
      </c>
      <c r="DC158" s="5"/>
      <c r="DD158" s="78">
        <v>0</v>
      </c>
      <c r="DE158" s="43">
        <v>0</v>
      </c>
      <c r="DF158" s="5"/>
      <c r="DG158" s="78">
        <v>0</v>
      </c>
      <c r="DH158" s="43"/>
      <c r="DI158" s="5"/>
      <c r="DJ158" s="43">
        <v>0</v>
      </c>
      <c r="DK158" s="43">
        <f t="shared" si="22"/>
        <v>0</v>
      </c>
      <c r="DL158" s="59">
        <f t="shared" si="23"/>
        <v>0</v>
      </c>
    </row>
    <row r="159" spans="1:116" ht="24.9" customHeight="1" x14ac:dyDescent="0.3">
      <c r="A159" s="328">
        <v>150001029</v>
      </c>
      <c r="B159" s="45" t="s">
        <v>368</v>
      </c>
      <c r="C159" s="1035">
        <v>9</v>
      </c>
      <c r="D159" s="1036" t="s">
        <v>454</v>
      </c>
      <c r="E159" s="1028">
        <f>'побудинковий звіт'!E157</f>
        <v>320.5</v>
      </c>
      <c r="F159" s="1029">
        <f>'побудинковий звіт'!AS157</f>
        <v>129933.42574774713</v>
      </c>
      <c r="G159" s="1029">
        <f t="shared" si="16"/>
        <v>118025</v>
      </c>
      <c r="H159" s="1029">
        <f t="shared" si="17"/>
        <v>-11908.425747747126</v>
      </c>
      <c r="I159" s="43">
        <f>'[1]поточний ремонт'!I159+'[2]поточний ремонт'!I159-'[3]поточний ремонт'!I159</f>
        <v>130.9</v>
      </c>
      <c r="J159" s="43">
        <f>'[1]поточний ремонт'!J159+'[2]поточний ремонт'!J159-'[3]поточний ремонт'!J159</f>
        <v>47102</v>
      </c>
      <c r="K159" s="1037"/>
      <c r="L159" s="43">
        <f>'[1]поточний ремонт'!L159+'[2]поточний ремонт'!L159-'[3]поточний ремонт'!L159</f>
        <v>0</v>
      </c>
      <c r="M159" s="43">
        <f>'[1]поточний ремонт'!M159+'[2]поточний ремонт'!M159-'[3]поточний ремонт'!M159</f>
        <v>0</v>
      </c>
      <c r="N159" s="37"/>
      <c r="O159" s="43">
        <f>'[1]поточний ремонт'!O159+'[2]поточний ремонт'!O159-'[3]поточний ремонт'!O159</f>
        <v>0</v>
      </c>
      <c r="P159" s="43">
        <f>'[1]поточний ремонт'!P159+'[2]поточний ремонт'!P159-'[3]поточний ремонт'!P159</f>
        <v>0</v>
      </c>
      <c r="Q159" s="1038"/>
      <c r="R159" s="43">
        <f>'[1]поточний ремонт'!R159+'[2]поточний ремонт'!R159-'[3]поточний ремонт'!R159</f>
        <v>2</v>
      </c>
      <c r="S159" s="43">
        <f>'[1]поточний ремонт'!S159+'[2]поточний ремонт'!S159-'[3]поточний ремонт'!S159</f>
        <v>11770</v>
      </c>
      <c r="T159" s="1047"/>
      <c r="U159" s="43">
        <f>'[1]поточний ремонт'!U159+'[2]поточний ремонт'!U159-'[3]поточний ремонт'!U159</f>
        <v>0</v>
      </c>
      <c r="V159" s="43">
        <f>'[1]поточний ремонт'!V159+'[2]поточний ремонт'!V159-'[3]поточний ремонт'!V159</f>
        <v>0</v>
      </c>
      <c r="W159" s="43">
        <f>'[1]поточний ремонт'!W159+'[2]поточний ремонт'!W159-'[3]поточний ремонт'!W159</f>
        <v>19</v>
      </c>
      <c r="X159" s="43">
        <f>'[1]поточний ремонт'!X159+'[2]поточний ремонт'!X159-'[3]поточний ремонт'!X159</f>
        <v>18597</v>
      </c>
      <c r="Y159" s="43">
        <f>'[1]поточний ремонт'!Y159+'[2]поточний ремонт'!Y159-'[3]поточний ремонт'!Y159</f>
        <v>9799</v>
      </c>
      <c r="Z159" s="43">
        <f>'[1]поточний ремонт'!Z159+'[2]поточний ремонт'!Z159-'[3]поточний ремонт'!Z159</f>
        <v>0</v>
      </c>
      <c r="AA159" s="43">
        <f>'[1]поточний ремонт'!AA159+'[2]поточний ремонт'!AA159-'[3]поточний ремонт'!AA159</f>
        <v>0</v>
      </c>
      <c r="AB159" s="43">
        <f>'[1]поточний ремонт'!AB159+'[2]поточний ремонт'!AB159-'[3]поточний ремонт'!AB159</f>
        <v>0</v>
      </c>
      <c r="AC159" s="43">
        <f>'[1]поточний ремонт'!AC159+'[2]поточний ремонт'!AC159-'[3]поточний ремонт'!AC159</f>
        <v>8430</v>
      </c>
      <c r="AD159" s="43">
        <f>'[1]поточний ремонт'!AD159+'[2]поточний ремонт'!AD159-'[3]поточний ремонт'!AD159</f>
        <v>22327</v>
      </c>
      <c r="AE159" s="43">
        <f>'[1]поточний ремонт'!AE159+'[2]поточний ремонт'!AE159-'[3]поточний ремонт'!AE159</f>
        <v>1713.6354169913027</v>
      </c>
      <c r="AF159" s="43">
        <f>'[1]поточний ремонт'!AF159+'[2]поточний ремонт'!AF159-'[3]поточний ремонт'!AF159</f>
        <v>6907.0000000000018</v>
      </c>
      <c r="AG159" s="5"/>
      <c r="AH159" s="43">
        <f>'[1]поточний ремонт'!AH159+'[2]поточний ремонт'!AH159-'[3]поточний ремонт'!AH159</f>
        <v>2341.9396050431133</v>
      </c>
      <c r="AI159" s="43">
        <f>'[1]поточний ремонт'!AI159+'[2]поточний ремонт'!AI159-'[3]поточний ремонт'!AI159</f>
        <v>15254.999999999998</v>
      </c>
      <c r="AJ159" s="1045"/>
      <c r="AK159" s="43">
        <f>'[1]поточний ремонт'!AK159+'[2]поточний ремонт'!AK159-'[3]поточний ремонт'!AK159</f>
        <v>2746.7723477039435</v>
      </c>
      <c r="AL159" s="43">
        <f>'[1]поточний ремонт'!AL159+'[2]поточний ремонт'!AL159-'[3]поточний ремонт'!AL159</f>
        <v>0</v>
      </c>
      <c r="AM159" s="5"/>
      <c r="AN159" s="43">
        <f>'[1]поточний ремонт'!AN159+'[2]поточний ремонт'!AN159-'[3]поточний ремонт'!AN159</f>
        <v>1143.8677440355241</v>
      </c>
      <c r="AO159" s="43">
        <f>'[1]поточний ремонт'!AO159+'[2]поточний ремонт'!AO159-'[3]поточний ремонт'!AO159</f>
        <v>0</v>
      </c>
      <c r="AP159" s="5"/>
      <c r="AQ159" s="43">
        <f>'[1]поточний ремонт'!AQ159+'[2]поточний ремонт'!AQ159-'[3]поточний ремонт'!AQ159</f>
        <v>1753.9358039059116</v>
      </c>
      <c r="AR159" s="43">
        <f>'[1]поточний ремонт'!AR159+'[2]поточний ремонт'!AR159-'[3]поточний ремонт'!AR159</f>
        <v>0</v>
      </c>
      <c r="AS159" s="5"/>
      <c r="AT159" s="43">
        <f>'[1]поточний ремонт'!AT159+'[2]поточний ремонт'!AT159-'[3]поточний ремонт'!AT159</f>
        <v>1388.5686105247341</v>
      </c>
      <c r="AU159" s="43">
        <f>'[1]поточний ремонт'!AU159+'[2]поточний ремонт'!AU159-'[3]поточний ремонт'!AU159</f>
        <v>17991</v>
      </c>
      <c r="AV159" s="5"/>
      <c r="AW159" s="43">
        <f>'[1]поточний ремонт'!AW159+'[2]поточний ремонт'!AW159-'[3]поточний ремонт'!AW159</f>
        <v>858.12972459995842</v>
      </c>
      <c r="AX159" s="43">
        <f>'[1]поточний ремонт'!AX159+'[2]поточний ремонт'!AX159-'[3]поточний ремонт'!AX159</f>
        <v>0</v>
      </c>
      <c r="AY159" s="5"/>
      <c r="AZ159" s="43">
        <f t="shared" si="18"/>
        <v>11946.849252804486</v>
      </c>
      <c r="BA159" s="43">
        <f t="shared" si="19"/>
        <v>40153</v>
      </c>
      <c r="BB159" s="59">
        <f t="shared" si="20"/>
        <v>28206.150747195512</v>
      </c>
      <c r="BD159" s="2">
        <v>1</v>
      </c>
      <c r="BF159" s="30">
        <v>627.23696795035755</v>
      </c>
      <c r="BG159" s="328">
        <v>150001029</v>
      </c>
      <c r="BI159" s="107">
        <v>0</v>
      </c>
      <c r="BJ159" s="107">
        <f t="shared" si="21"/>
        <v>0</v>
      </c>
      <c r="BK159" s="107">
        <v>0</v>
      </c>
      <c r="BL159" s="39"/>
      <c r="BM159" s="3"/>
      <c r="BN159" s="3">
        <v>0</v>
      </c>
      <c r="BP159" s="3"/>
      <c r="BQ159" s="3"/>
      <c r="BS159" s="43"/>
      <c r="BT159" s="43">
        <v>0</v>
      </c>
      <c r="BU159" s="1037"/>
      <c r="BV159" s="42"/>
      <c r="BW159" s="43"/>
      <c r="BX159" s="37"/>
      <c r="BY159" s="78"/>
      <c r="BZ159" s="43">
        <v>0</v>
      </c>
      <c r="CA159" s="1038"/>
      <c r="CB159" s="42"/>
      <c r="CC159" s="42">
        <v>0</v>
      </c>
      <c r="CD159" s="1047"/>
      <c r="CE159" s="78">
        <v>8818.2485393786446</v>
      </c>
      <c r="CF159" s="56"/>
      <c r="CG159" s="42">
        <v>0</v>
      </c>
      <c r="CH159" s="39">
        <v>0</v>
      </c>
      <c r="CI159" s="78">
        <v>0</v>
      </c>
      <c r="CJ159" s="56"/>
      <c r="CK159" s="1034"/>
      <c r="CL159" s="1029"/>
      <c r="CM159" s="1034"/>
      <c r="CN159" s="1029">
        <v>1153.8373926651952</v>
      </c>
      <c r="CO159" s="78">
        <v>142.80295141594192</v>
      </c>
      <c r="CP159" s="43">
        <v>0</v>
      </c>
      <c r="CQ159" s="5"/>
      <c r="CR159" s="78">
        <v>195.16163375359278</v>
      </c>
      <c r="CS159" s="1033">
        <v>2489.7331696073234</v>
      </c>
      <c r="CT159" s="1045"/>
      <c r="CU159" s="78">
        <v>228.89769564199534</v>
      </c>
      <c r="CV159" s="43">
        <v>0</v>
      </c>
      <c r="CW159" s="5"/>
      <c r="CX159" s="78">
        <v>95.322312002960345</v>
      </c>
      <c r="CY159" s="43">
        <v>0</v>
      </c>
      <c r="CZ159" s="5"/>
      <c r="DA159" s="78">
        <v>146.1613169921593</v>
      </c>
      <c r="DB159" s="43">
        <v>0</v>
      </c>
      <c r="DC159" s="5"/>
      <c r="DD159" s="78">
        <v>115.71405087706115</v>
      </c>
      <c r="DE159" s="43">
        <v>2402.9008855029456</v>
      </c>
      <c r="DF159" s="5"/>
      <c r="DG159" s="78">
        <v>71.510810383329883</v>
      </c>
      <c r="DH159" s="43"/>
      <c r="DI159" s="5"/>
      <c r="DJ159" s="43">
        <v>995.5707710670406</v>
      </c>
      <c r="DK159" s="43">
        <f t="shared" si="22"/>
        <v>4892.6340551102694</v>
      </c>
      <c r="DL159" s="59">
        <f t="shared" si="23"/>
        <v>3897.063284043229</v>
      </c>
    </row>
    <row r="160" spans="1:116" ht="24.9" customHeight="1" x14ac:dyDescent="0.3">
      <c r="A160" s="328">
        <v>150001030</v>
      </c>
      <c r="B160" s="45" t="s">
        <v>335</v>
      </c>
      <c r="C160" s="1035">
        <v>8</v>
      </c>
      <c r="D160" s="1036" t="s">
        <v>454</v>
      </c>
      <c r="E160" s="1028">
        <f>'побудинковий звіт'!E158</f>
        <v>11582.12</v>
      </c>
      <c r="F160" s="1029">
        <f>'побудинковий звіт'!AS158</f>
        <v>115620.46434241463</v>
      </c>
      <c r="G160" s="1029">
        <f t="shared" si="16"/>
        <v>8929.4629753040081</v>
      </c>
      <c r="H160" s="1029">
        <f t="shared" si="17"/>
        <v>-106691.00136711063</v>
      </c>
      <c r="I160" s="43">
        <f>'[1]поточний ремонт'!I160+'[2]поточний ремонт'!I160-'[3]поточний ремонт'!I160</f>
        <v>0</v>
      </c>
      <c r="J160" s="43">
        <f>'[1]поточний ремонт'!J160+'[2]поточний ремонт'!J160-'[3]поточний ремонт'!J160</f>
        <v>0</v>
      </c>
      <c r="K160" s="1037"/>
      <c r="L160" s="43">
        <f>'[1]поточний ремонт'!L160+'[2]поточний ремонт'!L160-'[3]поточний ремонт'!L160</f>
        <v>0</v>
      </c>
      <c r="M160" s="43">
        <f>'[1]поточний ремонт'!M160+'[2]поточний ремонт'!M160-'[3]поточний ремонт'!M160</f>
        <v>0</v>
      </c>
      <c r="N160" s="37"/>
      <c r="O160" s="43">
        <f>'[1]поточний ремонт'!O160+'[2]поточний ремонт'!O160-'[3]поточний ремонт'!O160</f>
        <v>0</v>
      </c>
      <c r="P160" s="43">
        <f>'[1]поточний ремонт'!P160+'[2]поточний ремонт'!P160-'[3]поточний ремонт'!P160</f>
        <v>0</v>
      </c>
      <c r="Q160" s="1038"/>
      <c r="R160" s="43">
        <f>'[1]поточний ремонт'!R160+'[2]поточний ремонт'!R160-'[3]поточний ремонт'!R160</f>
        <v>2</v>
      </c>
      <c r="S160" s="43">
        <f>'[1]поточний ремонт'!S160+'[2]поточний ремонт'!S160-'[3]поточний ремонт'!S160</f>
        <v>4166</v>
      </c>
      <c r="T160" s="1039"/>
      <c r="U160" s="43">
        <f>'[1]поточний ремонт'!U160+'[2]поточний ремонт'!U160-'[3]поточний ремонт'!U160</f>
        <v>0</v>
      </c>
      <c r="V160" s="43">
        <f>'[1]поточний ремонт'!V160+'[2]поточний ремонт'!V160-'[3]поточний ремонт'!V160</f>
        <v>0</v>
      </c>
      <c r="W160" s="43">
        <f>'[1]поточний ремонт'!W160+'[2]поточний ремонт'!W160-'[3]поточний ремонт'!W160</f>
        <v>4</v>
      </c>
      <c r="X160" s="43">
        <f>'[1]поточний ремонт'!X160+'[2]поточний ремонт'!X160-'[3]поточний ремонт'!X160</f>
        <v>281.46297530400818</v>
      </c>
      <c r="Y160" s="43">
        <f>'[1]поточний ремонт'!Y160+'[2]поточний ремонт'!Y160-'[3]поточний ремонт'!Y160</f>
        <v>943</v>
      </c>
      <c r="Z160" s="43">
        <f>'[1]поточний ремонт'!Z160+'[2]поточний ремонт'!Z160-'[3]поточний ремонт'!Z160</f>
        <v>0</v>
      </c>
      <c r="AA160" s="43">
        <f>'[1]поточний ремонт'!AA160+'[2]поточний ремонт'!AA160-'[3]поточний ремонт'!AA160</f>
        <v>0</v>
      </c>
      <c r="AB160" s="43">
        <f>'[1]поточний ремонт'!AB160+'[2]поточний ремонт'!AB160-'[3]поточний ремонт'!AB160</f>
        <v>569</v>
      </c>
      <c r="AC160" s="43">
        <f>'[1]поточний ремонт'!AC160+'[2]поточний ремонт'!AC160-'[3]поточний ремонт'!AC160</f>
        <v>1082</v>
      </c>
      <c r="AD160" s="43">
        <f>'[1]поточний ремонт'!AD160+'[2]поточний ремонт'!AD160-'[3]поточний ремонт'!AD160</f>
        <v>1888</v>
      </c>
      <c r="AE160" s="43">
        <f>'[1]поточний ремонт'!AE160+'[2]поточний ремонт'!AE160-'[3]поточний ремонт'!AE160</f>
        <v>518.65821468004685</v>
      </c>
      <c r="AF160" s="43">
        <f>'[1]поточний ремонт'!AF160+'[2]поточний ремонт'!AF160-'[3]поточний ремонт'!AF160</f>
        <v>659</v>
      </c>
      <c r="AG160" s="5"/>
      <c r="AH160" s="43">
        <f>'[1]поточний ремонт'!AH160+'[2]поточний ремонт'!AH160-'[3]поточний ремонт'!AH160</f>
        <v>720.85312188444175</v>
      </c>
      <c r="AI160" s="43">
        <f>'[1]поточний ремонт'!AI160+'[2]поточний ремонт'!AI160-'[3]поточний ремонт'!AI160</f>
        <v>7923</v>
      </c>
      <c r="AJ160" s="5"/>
      <c r="AK160" s="43">
        <f>'[1]поточний ремонт'!AK160+'[2]поточний ремонт'!AK160-'[3]поточний ремонт'!AK160</f>
        <v>468.10980607454405</v>
      </c>
      <c r="AL160" s="43">
        <f>'[1]поточний ремонт'!AL160+'[2]поточний ремонт'!AL160-'[3]поточний ремонт'!AL160</f>
        <v>0</v>
      </c>
      <c r="AM160" s="5"/>
      <c r="AN160" s="43">
        <f>'[1]поточний ремонт'!AN160+'[2]поточний ремонт'!AN160-'[3]поточний ремонт'!AN160</f>
        <v>384.09316315831461</v>
      </c>
      <c r="AO160" s="43">
        <f>'[1]поточний ремонт'!AO160+'[2]поточний ремонт'!AO160-'[3]поточний ремонт'!AO160</f>
        <v>0</v>
      </c>
      <c r="AP160" s="5"/>
      <c r="AQ160" s="43">
        <f>'[1]поточний ремонт'!AQ160+'[2]поточний ремонт'!AQ160-'[3]поточний ремонт'!AQ160</f>
        <v>331.91870979101282</v>
      </c>
      <c r="AR160" s="43">
        <f>'[1]поточний ремонт'!AR160+'[2]поточний ремонт'!AR160-'[3]поточний ремонт'!AR160</f>
        <v>0</v>
      </c>
      <c r="AS160" s="5"/>
      <c r="AT160" s="43">
        <f>'[1]поточний ремонт'!AT160+'[2]поточний ремонт'!AT160-'[3]поточний ремонт'!AT160</f>
        <v>471.86814018867574</v>
      </c>
      <c r="AU160" s="43">
        <f>'[1]поточний ремонт'!AU160+'[2]поточний ремонт'!AU160-'[3]поточний ремонт'!AU160</f>
        <v>552</v>
      </c>
      <c r="AV160" s="5"/>
      <c r="AW160" s="43">
        <f>'[1]поточний ремонт'!AW160+'[2]поточний ремонт'!AW160-'[3]поточний ремонт'!AW160</f>
        <v>1106.6179815768044</v>
      </c>
      <c r="AX160" s="43">
        <f>'[1]поточний ремонт'!AX160+'[2]поточний ремонт'!AX160-'[3]поточний ремонт'!AX160</f>
        <v>0</v>
      </c>
      <c r="AY160" s="5"/>
      <c r="AZ160" s="43">
        <f t="shared" si="18"/>
        <v>4002.1191373538395</v>
      </c>
      <c r="BA160" s="43">
        <f t="shared" si="19"/>
        <v>9134</v>
      </c>
      <c r="BB160" s="59">
        <f t="shared" si="20"/>
        <v>5131.8808626461605</v>
      </c>
      <c r="BD160" s="2">
        <v>1</v>
      </c>
      <c r="BF160" s="30">
        <v>286.20695135286121</v>
      </c>
      <c r="BG160" s="328">
        <v>150001030</v>
      </c>
      <c r="BI160" s="107">
        <v>0.93</v>
      </c>
      <c r="BJ160" s="107">
        <f t="shared" si="21"/>
        <v>0.13081584599999999</v>
      </c>
      <c r="BK160" s="107">
        <v>1.07255579028</v>
      </c>
      <c r="BL160" s="39"/>
      <c r="BM160" s="3"/>
      <c r="BN160" s="3">
        <v>0</v>
      </c>
      <c r="BP160" s="3"/>
      <c r="BQ160" s="3"/>
      <c r="BS160" s="43"/>
      <c r="BT160" s="43">
        <v>0</v>
      </c>
      <c r="BU160" s="1037"/>
      <c r="BV160" s="42"/>
      <c r="BW160" s="43"/>
      <c r="BX160" s="37"/>
      <c r="BY160" s="78"/>
      <c r="BZ160" s="43">
        <v>0</v>
      </c>
      <c r="CA160" s="1038"/>
      <c r="CB160" s="42"/>
      <c r="CC160" s="42">
        <v>0</v>
      </c>
      <c r="CD160" s="1039"/>
      <c r="CE160" s="78">
        <v>0</v>
      </c>
      <c r="CF160" s="56"/>
      <c r="CG160" s="42">
        <v>0</v>
      </c>
      <c r="CH160" s="39">
        <v>1.07255579028</v>
      </c>
      <c r="CI160" s="78">
        <v>0</v>
      </c>
      <c r="CJ160" s="56"/>
      <c r="CK160" s="1034"/>
      <c r="CL160" s="1029"/>
      <c r="CM160" s="1034"/>
      <c r="CN160" s="1029">
        <v>0</v>
      </c>
      <c r="CO160" s="78">
        <v>43.221517890003916</v>
      </c>
      <c r="CP160" s="43">
        <v>0</v>
      </c>
      <c r="CQ160" s="5"/>
      <c r="CR160" s="78">
        <v>60.071093490370153</v>
      </c>
      <c r="CS160" s="1033">
        <v>0</v>
      </c>
      <c r="CT160" s="5"/>
      <c r="CU160" s="78">
        <v>39.009150506212009</v>
      </c>
      <c r="CV160" s="43">
        <v>0</v>
      </c>
      <c r="CW160" s="5"/>
      <c r="CX160" s="78">
        <v>32.007763596526217</v>
      </c>
      <c r="CY160" s="43">
        <v>0</v>
      </c>
      <c r="CZ160" s="5"/>
      <c r="DA160" s="78">
        <v>27.659892482584404</v>
      </c>
      <c r="DB160" s="43">
        <v>0</v>
      </c>
      <c r="DC160" s="5"/>
      <c r="DD160" s="78">
        <v>39.322345015722981</v>
      </c>
      <c r="DE160" s="43">
        <v>0</v>
      </c>
      <c r="DF160" s="5"/>
      <c r="DG160" s="78">
        <v>92.218165131400369</v>
      </c>
      <c r="DH160" s="43"/>
      <c r="DI160" s="5"/>
      <c r="DJ160" s="43">
        <v>333.50992811282003</v>
      </c>
      <c r="DK160" s="43">
        <f t="shared" si="22"/>
        <v>0</v>
      </c>
      <c r="DL160" s="59">
        <f t="shared" si="23"/>
        <v>-333.50992811282003</v>
      </c>
    </row>
    <row r="161" spans="1:116" ht="24.9" customHeight="1" x14ac:dyDescent="0.3">
      <c r="A161" s="328">
        <v>150001031</v>
      </c>
      <c r="B161" s="45" t="s">
        <v>103</v>
      </c>
      <c r="C161" s="1035">
        <v>1</v>
      </c>
      <c r="D161" s="1036" t="s">
        <v>454</v>
      </c>
      <c r="E161" s="1028">
        <f>'побудинковий звіт'!E159</f>
        <v>2771.3</v>
      </c>
      <c r="F161" s="1029">
        <f>'побудинковий звіт'!AS159</f>
        <v>2036.6853319925362</v>
      </c>
      <c r="G161" s="1029">
        <f t="shared" si="16"/>
        <v>0</v>
      </c>
      <c r="H161" s="1029">
        <f t="shared" si="17"/>
        <v>-2036.6853319925362</v>
      </c>
      <c r="I161" s="43">
        <f>'[1]поточний ремонт'!I161+'[2]поточний ремонт'!I161-'[3]поточний ремонт'!I161</f>
        <v>0</v>
      </c>
      <c r="J161" s="43">
        <f>'[1]поточний ремонт'!J161+'[2]поточний ремонт'!J161-'[3]поточний ремонт'!J161</f>
        <v>0</v>
      </c>
      <c r="K161" s="1037"/>
      <c r="L161" s="43">
        <f>'[1]поточний ремонт'!L161+'[2]поточний ремонт'!L161-'[3]поточний ремонт'!L161</f>
        <v>0</v>
      </c>
      <c r="M161" s="43">
        <f>'[1]поточний ремонт'!M161+'[2]поточний ремонт'!M161-'[3]поточний ремонт'!M161</f>
        <v>0</v>
      </c>
      <c r="N161" s="37"/>
      <c r="O161" s="43">
        <f>'[1]поточний ремонт'!O161+'[2]поточний ремонт'!O161-'[3]поточний ремонт'!O161</f>
        <v>0</v>
      </c>
      <c r="P161" s="43">
        <f>'[1]поточний ремонт'!P161+'[2]поточний ремонт'!P161-'[3]поточний ремонт'!P161</f>
        <v>0</v>
      </c>
      <c r="Q161" s="1038"/>
      <c r="R161" s="43">
        <f>'[1]поточний ремонт'!R161+'[2]поточний ремонт'!R161-'[3]поточний ремонт'!R161</f>
        <v>0</v>
      </c>
      <c r="S161" s="43">
        <f>'[1]поточний ремонт'!S161+'[2]поточний ремонт'!S161-'[3]поточний ремонт'!S161</f>
        <v>0</v>
      </c>
      <c r="T161" s="1039"/>
      <c r="U161" s="43">
        <f>'[1]поточний ремонт'!U161+'[2]поточний ремонт'!U161-'[3]поточний ремонт'!U161</f>
        <v>0</v>
      </c>
      <c r="V161" s="43">
        <f>'[1]поточний ремонт'!V161+'[2]поточний ремонт'!V161-'[3]поточний ремонт'!V161</f>
        <v>0</v>
      </c>
      <c r="W161" s="43">
        <f>'[1]поточний ремонт'!W161+'[2]поточний ремонт'!W161-'[3]поточний ремонт'!W161</f>
        <v>0</v>
      </c>
      <c r="X161" s="43">
        <f>'[1]поточний ремонт'!X161+'[2]поточний ремонт'!X161-'[3]поточний ремонт'!X161</f>
        <v>0</v>
      </c>
      <c r="Y161" s="43">
        <f>'[1]поточний ремонт'!Y161+'[2]поточний ремонт'!Y161-'[3]поточний ремонт'!Y161</f>
        <v>0</v>
      </c>
      <c r="Z161" s="43">
        <f>'[1]поточний ремонт'!Z161+'[2]поточний ремонт'!Z161-'[3]поточний ремонт'!Z161</f>
        <v>0</v>
      </c>
      <c r="AA161" s="43">
        <f>'[1]поточний ремонт'!AA161+'[2]поточний ремонт'!AA161-'[3]поточний ремонт'!AA161</f>
        <v>0</v>
      </c>
      <c r="AB161" s="43">
        <f>'[1]поточний ремонт'!AB161+'[2]поточний ремонт'!AB161-'[3]поточний ремонт'!AB161</f>
        <v>0</v>
      </c>
      <c r="AC161" s="43">
        <f>'[1]поточний ремонт'!AC161+'[2]поточний ремонт'!AC161-'[3]поточний ремонт'!AC161</f>
        <v>0</v>
      </c>
      <c r="AD161" s="43">
        <f>'[1]поточний ремонт'!AD161+'[2]поточний ремонт'!AD161-'[3]поточний ремонт'!AD161</f>
        <v>0</v>
      </c>
      <c r="AE161" s="43">
        <f>'[1]поточний ремонт'!AE161+'[2]поточний ремонт'!AE161-'[3]поточний ремонт'!AE161</f>
        <v>0</v>
      </c>
      <c r="AF161" s="43">
        <f>'[1]поточний ремонт'!AF161+'[2]поточний ремонт'!AF161-'[3]поточний ремонт'!AF161</f>
        <v>0</v>
      </c>
      <c r="AG161" s="5"/>
      <c r="AH161" s="43">
        <f>'[1]поточний ремонт'!AH161+'[2]поточний ремонт'!AH161-'[3]поточний ремонт'!AH161</f>
        <v>0</v>
      </c>
      <c r="AI161" s="43">
        <f>'[1]поточний ремонт'!AI161+'[2]поточний ремонт'!AI161-'[3]поточний ремонт'!AI161</f>
        <v>0</v>
      </c>
      <c r="AJ161" s="5"/>
      <c r="AK161" s="43">
        <f>'[1]поточний ремонт'!AK161+'[2]поточний ремонт'!AK161-'[3]поточний ремонт'!AK161</f>
        <v>0</v>
      </c>
      <c r="AL161" s="43">
        <f>'[1]поточний ремонт'!AL161+'[2]поточний ремонт'!AL161-'[3]поточний ремонт'!AL161</f>
        <v>0</v>
      </c>
      <c r="AM161" s="5"/>
      <c r="AN161" s="43">
        <f>'[1]поточний ремонт'!AN161+'[2]поточний ремонт'!AN161-'[3]поточний ремонт'!AN161</f>
        <v>0</v>
      </c>
      <c r="AO161" s="43">
        <f>'[1]поточний ремонт'!AO161+'[2]поточний ремонт'!AO161-'[3]поточний ремонт'!AO161</f>
        <v>0</v>
      </c>
      <c r="AP161" s="5"/>
      <c r="AQ161" s="43">
        <f>'[1]поточний ремонт'!AQ161+'[2]поточний ремонт'!AQ161-'[3]поточний ремонт'!AQ161</f>
        <v>0</v>
      </c>
      <c r="AR161" s="43">
        <f>'[1]поточний ремонт'!AR161+'[2]поточний ремонт'!AR161-'[3]поточний ремонт'!AR161</f>
        <v>0</v>
      </c>
      <c r="AS161" s="5"/>
      <c r="AT161" s="43">
        <f>'[1]поточний ремонт'!AT161+'[2]поточний ремонт'!AT161-'[3]поточний ремонт'!AT161</f>
        <v>0</v>
      </c>
      <c r="AU161" s="43">
        <f>'[1]поточний ремонт'!AU161+'[2]поточний ремонт'!AU161-'[3]поточний ремонт'!AU161</f>
        <v>0</v>
      </c>
      <c r="AV161" s="5"/>
      <c r="AW161" s="43">
        <f>'[1]поточний ремонт'!AW161+'[2]поточний ремонт'!AW161-'[3]поточний ремонт'!AW161</f>
        <v>0</v>
      </c>
      <c r="AX161" s="43">
        <f>'[1]поточний ремонт'!AX161+'[2]поточний ремонт'!AX161-'[3]поточний ремонт'!AX161</f>
        <v>0</v>
      </c>
      <c r="AY161" s="5"/>
      <c r="AZ161" s="43">
        <f t="shared" si="18"/>
        <v>0</v>
      </c>
      <c r="BA161" s="43">
        <f t="shared" si="19"/>
        <v>0</v>
      </c>
      <c r="BB161" s="59">
        <f t="shared" si="20"/>
        <v>0</v>
      </c>
      <c r="BD161" s="2">
        <v>1</v>
      </c>
      <c r="BF161" s="30">
        <v>0</v>
      </c>
      <c r="BG161" s="328">
        <v>150001031</v>
      </c>
      <c r="BI161" s="107">
        <v>0</v>
      </c>
      <c r="BJ161" s="107">
        <f t="shared" si="21"/>
        <v>0</v>
      </c>
      <c r="BK161" s="107">
        <v>0</v>
      </c>
      <c r="BL161" s="39"/>
      <c r="BM161" s="3"/>
      <c r="BN161" s="3">
        <v>0</v>
      </c>
      <c r="BP161" s="3"/>
      <c r="BQ161" s="3"/>
      <c r="BS161" s="43"/>
      <c r="BT161" s="43">
        <v>0</v>
      </c>
      <c r="BU161" s="1037"/>
      <c r="BV161" s="42"/>
      <c r="BW161" s="43"/>
      <c r="BX161" s="37"/>
      <c r="BY161" s="78"/>
      <c r="BZ161" s="43">
        <v>0</v>
      </c>
      <c r="CA161" s="1038"/>
      <c r="CB161" s="42"/>
      <c r="CC161" s="42">
        <v>0</v>
      </c>
      <c r="CD161" s="1039"/>
      <c r="CE161" s="78">
        <v>0</v>
      </c>
      <c r="CF161" s="56"/>
      <c r="CG161" s="42">
        <v>0</v>
      </c>
      <c r="CH161" s="39">
        <v>0</v>
      </c>
      <c r="CI161" s="78">
        <v>0</v>
      </c>
      <c r="CJ161" s="56"/>
      <c r="CK161" s="1034"/>
      <c r="CL161" s="1029"/>
      <c r="CM161" s="1034"/>
      <c r="CN161" s="1029">
        <v>0</v>
      </c>
      <c r="CO161" s="78">
        <v>0</v>
      </c>
      <c r="CP161" s="43">
        <v>0</v>
      </c>
      <c r="CQ161" s="5"/>
      <c r="CR161" s="78">
        <v>0</v>
      </c>
      <c r="CS161" s="1033">
        <v>0</v>
      </c>
      <c r="CT161" s="5"/>
      <c r="CU161" s="78">
        <v>0</v>
      </c>
      <c r="CV161" s="43">
        <v>0</v>
      </c>
      <c r="CW161" s="5"/>
      <c r="CX161" s="78">
        <v>0</v>
      </c>
      <c r="CY161" s="43">
        <v>0</v>
      </c>
      <c r="CZ161" s="5"/>
      <c r="DA161" s="78">
        <v>0</v>
      </c>
      <c r="DB161" s="43">
        <v>0</v>
      </c>
      <c r="DC161" s="5"/>
      <c r="DD161" s="78">
        <v>0</v>
      </c>
      <c r="DE161" s="43">
        <v>0</v>
      </c>
      <c r="DF161" s="5"/>
      <c r="DG161" s="78">
        <v>0</v>
      </c>
      <c r="DH161" s="43"/>
      <c r="DI161" s="5"/>
      <c r="DJ161" s="43">
        <v>0</v>
      </c>
      <c r="DK161" s="43">
        <f t="shared" si="22"/>
        <v>0</v>
      </c>
      <c r="DL161" s="59">
        <f t="shared" si="23"/>
        <v>0</v>
      </c>
    </row>
    <row r="162" spans="1:116" ht="24.9" customHeight="1" x14ac:dyDescent="0.3">
      <c r="A162" s="328">
        <v>150001037</v>
      </c>
      <c r="B162" s="45" t="s">
        <v>104</v>
      </c>
      <c r="C162" s="1035">
        <v>1</v>
      </c>
      <c r="D162" s="1036" t="s">
        <v>454</v>
      </c>
      <c r="E162" s="1028">
        <f>'побудинковий звіт'!E160</f>
        <v>3771.47</v>
      </c>
      <c r="F162" s="1029">
        <f>'побудинковий звіт'!AS160</f>
        <v>1939.4149335927591</v>
      </c>
      <c r="G162" s="1029">
        <f t="shared" si="16"/>
        <v>0</v>
      </c>
      <c r="H162" s="1029">
        <f t="shared" si="17"/>
        <v>-1939.4149335927591</v>
      </c>
      <c r="I162" s="43">
        <f>'[1]поточний ремонт'!I162+'[2]поточний ремонт'!I162-'[3]поточний ремонт'!I162</f>
        <v>0</v>
      </c>
      <c r="J162" s="43">
        <f>'[1]поточний ремонт'!J162+'[2]поточний ремонт'!J162-'[3]поточний ремонт'!J162</f>
        <v>0</v>
      </c>
      <c r="K162" s="1037"/>
      <c r="L162" s="43">
        <f>'[1]поточний ремонт'!L162+'[2]поточний ремонт'!L162-'[3]поточний ремонт'!L162</f>
        <v>0</v>
      </c>
      <c r="M162" s="43">
        <f>'[1]поточний ремонт'!M162+'[2]поточний ремонт'!M162-'[3]поточний ремонт'!M162</f>
        <v>0</v>
      </c>
      <c r="N162" s="37"/>
      <c r="O162" s="43">
        <f>'[1]поточний ремонт'!O162+'[2]поточний ремонт'!O162-'[3]поточний ремонт'!O162</f>
        <v>0</v>
      </c>
      <c r="P162" s="43">
        <f>'[1]поточний ремонт'!P162+'[2]поточний ремонт'!P162-'[3]поточний ремонт'!P162</f>
        <v>0</v>
      </c>
      <c r="Q162" s="1038"/>
      <c r="R162" s="43">
        <f>'[1]поточний ремонт'!R162+'[2]поточний ремонт'!R162-'[3]поточний ремонт'!R162</f>
        <v>0</v>
      </c>
      <c r="S162" s="43">
        <f>'[1]поточний ремонт'!S162+'[2]поточний ремонт'!S162-'[3]поточний ремонт'!S162</f>
        <v>0</v>
      </c>
      <c r="T162" s="1039"/>
      <c r="U162" s="43">
        <f>'[1]поточний ремонт'!U162+'[2]поточний ремонт'!U162-'[3]поточний ремонт'!U162</f>
        <v>0</v>
      </c>
      <c r="V162" s="43">
        <f>'[1]поточний ремонт'!V162+'[2]поточний ремонт'!V162-'[3]поточний ремонт'!V162</f>
        <v>0</v>
      </c>
      <c r="W162" s="43">
        <f>'[1]поточний ремонт'!W162+'[2]поточний ремонт'!W162-'[3]поточний ремонт'!W162</f>
        <v>0</v>
      </c>
      <c r="X162" s="43">
        <f>'[1]поточний ремонт'!X162+'[2]поточний ремонт'!X162-'[3]поточний ремонт'!X162</f>
        <v>0</v>
      </c>
      <c r="Y162" s="43">
        <f>'[1]поточний ремонт'!Y162+'[2]поточний ремонт'!Y162-'[3]поточний ремонт'!Y162</f>
        <v>0</v>
      </c>
      <c r="Z162" s="43">
        <f>'[1]поточний ремонт'!Z162+'[2]поточний ремонт'!Z162-'[3]поточний ремонт'!Z162</f>
        <v>0</v>
      </c>
      <c r="AA162" s="43">
        <f>'[1]поточний ремонт'!AA162+'[2]поточний ремонт'!AA162-'[3]поточний ремонт'!AA162</f>
        <v>0</v>
      </c>
      <c r="AB162" s="43">
        <f>'[1]поточний ремонт'!AB162+'[2]поточний ремонт'!AB162-'[3]поточний ремонт'!AB162</f>
        <v>0</v>
      </c>
      <c r="AC162" s="43">
        <f>'[1]поточний ремонт'!AC162+'[2]поточний ремонт'!AC162-'[3]поточний ремонт'!AC162</f>
        <v>0</v>
      </c>
      <c r="AD162" s="43">
        <f>'[1]поточний ремонт'!AD162+'[2]поточний ремонт'!AD162-'[3]поточний ремонт'!AD162</f>
        <v>0</v>
      </c>
      <c r="AE162" s="43">
        <f>'[1]поточний ремонт'!AE162+'[2]поточний ремонт'!AE162-'[3]поточний ремонт'!AE162</f>
        <v>0</v>
      </c>
      <c r="AF162" s="43">
        <f>'[1]поточний ремонт'!AF162+'[2]поточний ремонт'!AF162-'[3]поточний ремонт'!AF162</f>
        <v>0</v>
      </c>
      <c r="AG162" s="5"/>
      <c r="AH162" s="43">
        <f>'[1]поточний ремонт'!AH162+'[2]поточний ремонт'!AH162-'[3]поточний ремонт'!AH162</f>
        <v>0</v>
      </c>
      <c r="AI162" s="43">
        <f>'[1]поточний ремонт'!AI162+'[2]поточний ремонт'!AI162-'[3]поточний ремонт'!AI162</f>
        <v>0</v>
      </c>
      <c r="AJ162" s="5"/>
      <c r="AK162" s="43">
        <f>'[1]поточний ремонт'!AK162+'[2]поточний ремонт'!AK162-'[3]поточний ремонт'!AK162</f>
        <v>0</v>
      </c>
      <c r="AL162" s="43">
        <f>'[1]поточний ремонт'!AL162+'[2]поточний ремонт'!AL162-'[3]поточний ремонт'!AL162</f>
        <v>0</v>
      </c>
      <c r="AM162" s="5"/>
      <c r="AN162" s="43">
        <f>'[1]поточний ремонт'!AN162+'[2]поточний ремонт'!AN162-'[3]поточний ремонт'!AN162</f>
        <v>0</v>
      </c>
      <c r="AO162" s="43">
        <f>'[1]поточний ремонт'!AO162+'[2]поточний ремонт'!AO162-'[3]поточний ремонт'!AO162</f>
        <v>0</v>
      </c>
      <c r="AP162" s="5"/>
      <c r="AQ162" s="43">
        <f>'[1]поточний ремонт'!AQ162+'[2]поточний ремонт'!AQ162-'[3]поточний ремонт'!AQ162</f>
        <v>0</v>
      </c>
      <c r="AR162" s="43">
        <f>'[1]поточний ремонт'!AR162+'[2]поточний ремонт'!AR162-'[3]поточний ремонт'!AR162</f>
        <v>0</v>
      </c>
      <c r="AS162" s="5"/>
      <c r="AT162" s="43">
        <f>'[1]поточний ремонт'!AT162+'[2]поточний ремонт'!AT162-'[3]поточний ремонт'!AT162</f>
        <v>0</v>
      </c>
      <c r="AU162" s="43">
        <f>'[1]поточний ремонт'!AU162+'[2]поточний ремонт'!AU162-'[3]поточний ремонт'!AU162</f>
        <v>0</v>
      </c>
      <c r="AV162" s="5"/>
      <c r="AW162" s="43">
        <f>'[1]поточний ремонт'!AW162+'[2]поточний ремонт'!AW162-'[3]поточний ремонт'!AW162</f>
        <v>0</v>
      </c>
      <c r="AX162" s="43">
        <f>'[1]поточний ремонт'!AX162+'[2]поточний ремонт'!AX162-'[3]поточний ремонт'!AX162</f>
        <v>0</v>
      </c>
      <c r="AY162" s="5"/>
      <c r="AZ162" s="43">
        <f t="shared" si="18"/>
        <v>0</v>
      </c>
      <c r="BA162" s="43">
        <f t="shared" si="19"/>
        <v>0</v>
      </c>
      <c r="BB162" s="59">
        <f t="shared" si="20"/>
        <v>0</v>
      </c>
      <c r="BD162" s="2">
        <v>1</v>
      </c>
      <c r="BF162" s="30">
        <v>0</v>
      </c>
      <c r="BG162" s="328">
        <v>150001037</v>
      </c>
      <c r="BI162" s="107">
        <v>0</v>
      </c>
      <c r="BJ162" s="107">
        <f t="shared" si="21"/>
        <v>0</v>
      </c>
      <c r="BK162" s="107">
        <v>0</v>
      </c>
      <c r="BL162" s="39"/>
      <c r="BM162" s="3"/>
      <c r="BN162" s="3">
        <v>0</v>
      </c>
      <c r="BP162" s="3"/>
      <c r="BQ162" s="3"/>
      <c r="BS162" s="43"/>
      <c r="BT162" s="43">
        <v>0</v>
      </c>
      <c r="BU162" s="1037"/>
      <c r="BV162" s="42"/>
      <c r="BW162" s="43"/>
      <c r="BX162" s="37"/>
      <c r="BY162" s="78"/>
      <c r="BZ162" s="43">
        <v>0</v>
      </c>
      <c r="CA162" s="1038"/>
      <c r="CB162" s="42"/>
      <c r="CC162" s="42">
        <v>0</v>
      </c>
      <c r="CD162" s="1039"/>
      <c r="CE162" s="78">
        <v>0</v>
      </c>
      <c r="CF162" s="56"/>
      <c r="CG162" s="42">
        <v>0</v>
      </c>
      <c r="CH162" s="39">
        <v>0</v>
      </c>
      <c r="CI162" s="78">
        <v>0</v>
      </c>
      <c r="CJ162" s="56"/>
      <c r="CK162" s="1034"/>
      <c r="CL162" s="1029"/>
      <c r="CM162" s="1034"/>
      <c r="CN162" s="1029">
        <v>0</v>
      </c>
      <c r="CO162" s="78">
        <v>0</v>
      </c>
      <c r="CP162" s="43">
        <v>0</v>
      </c>
      <c r="CQ162" s="5"/>
      <c r="CR162" s="78">
        <v>0</v>
      </c>
      <c r="CS162" s="1033">
        <v>0</v>
      </c>
      <c r="CT162" s="5"/>
      <c r="CU162" s="78">
        <v>0</v>
      </c>
      <c r="CV162" s="43">
        <v>0</v>
      </c>
      <c r="CW162" s="5"/>
      <c r="CX162" s="78">
        <v>0</v>
      </c>
      <c r="CY162" s="43">
        <v>0</v>
      </c>
      <c r="CZ162" s="5"/>
      <c r="DA162" s="78">
        <v>0</v>
      </c>
      <c r="DB162" s="43">
        <v>0</v>
      </c>
      <c r="DC162" s="5"/>
      <c r="DD162" s="78">
        <v>0</v>
      </c>
      <c r="DE162" s="43">
        <v>0</v>
      </c>
      <c r="DF162" s="5"/>
      <c r="DG162" s="78">
        <v>0</v>
      </c>
      <c r="DH162" s="43"/>
      <c r="DI162" s="5"/>
      <c r="DJ162" s="43">
        <v>0</v>
      </c>
      <c r="DK162" s="43">
        <f t="shared" si="22"/>
        <v>0</v>
      </c>
      <c r="DL162" s="59">
        <f t="shared" si="23"/>
        <v>0</v>
      </c>
    </row>
    <row r="163" spans="1:116" ht="24.9" customHeight="1" x14ac:dyDescent="0.3">
      <c r="A163" s="328">
        <v>150001032</v>
      </c>
      <c r="B163" s="45" t="s">
        <v>369</v>
      </c>
      <c r="C163" s="1035">
        <v>9</v>
      </c>
      <c r="D163" s="1036" t="s">
        <v>454</v>
      </c>
      <c r="E163" s="1028">
        <f>'побудинковий звіт'!E161</f>
        <v>3767.85</v>
      </c>
      <c r="F163" s="1029">
        <f>'побудинковий звіт'!AS161</f>
        <v>105825.06924715194</v>
      </c>
      <c r="G163" s="1029">
        <f t="shared" si="16"/>
        <v>83636</v>
      </c>
      <c r="H163" s="1029">
        <f t="shared" si="17"/>
        <v>-22189.069247151943</v>
      </c>
      <c r="I163" s="43">
        <f>'[1]поточний ремонт'!I163+'[2]поточний ремонт'!I163-'[3]поточний ремонт'!I163</f>
        <v>62.8</v>
      </c>
      <c r="J163" s="43">
        <f>'[1]поточний ремонт'!J163+'[2]поточний ремонт'!J163-'[3]поточний ремонт'!J163</f>
        <v>23802</v>
      </c>
      <c r="K163" s="1037"/>
      <c r="L163" s="43">
        <f>'[1]поточний ремонт'!L163+'[2]поточний ремонт'!L163-'[3]поточний ремонт'!L163</f>
        <v>0</v>
      </c>
      <c r="M163" s="43">
        <f>'[1]поточний ремонт'!M163+'[2]поточний ремонт'!M163-'[3]поточний ремонт'!M163</f>
        <v>0</v>
      </c>
      <c r="N163" s="1039"/>
      <c r="O163" s="43">
        <f>'[1]поточний ремонт'!O163+'[2]поточний ремонт'!O163-'[3]поточний ремонт'!O163</f>
        <v>75</v>
      </c>
      <c r="P163" s="43">
        <f>'[1]поточний ремонт'!P163+'[2]поточний ремонт'!P163-'[3]поточний ремонт'!P163</f>
        <v>20324</v>
      </c>
      <c r="Q163" s="1038"/>
      <c r="R163" s="43">
        <f>'[1]поточний ремонт'!R163+'[2]поточний ремонт'!R163-'[3]поточний ремонт'!R163</f>
        <v>0</v>
      </c>
      <c r="S163" s="43">
        <f>'[1]поточний ремонт'!S163+'[2]поточний ремонт'!S163-'[3]поточний ремонт'!S163</f>
        <v>0</v>
      </c>
      <c r="T163" s="1048"/>
      <c r="U163" s="43">
        <f>'[1]поточний ремонт'!U163+'[2]поточний ремонт'!U163-'[3]поточний ремонт'!U163</f>
        <v>0</v>
      </c>
      <c r="V163" s="43">
        <f>'[1]поточний ремонт'!V163+'[2]поточний ремонт'!V163-'[3]поточний ремонт'!V163</f>
        <v>0</v>
      </c>
      <c r="W163" s="43">
        <f>'[1]поточний ремонт'!W163+'[2]поточний ремонт'!W163-'[3]поточний ремонт'!W163</f>
        <v>20</v>
      </c>
      <c r="X163" s="43">
        <f>'[1]поточний ремонт'!X163+'[2]поточний ремонт'!X163-'[3]поточний ремонт'!X163</f>
        <v>18770</v>
      </c>
      <c r="Y163" s="43">
        <f>'[1]поточний ремонт'!Y163+'[2]поточний ремонт'!Y163-'[3]поточний ремонт'!Y163</f>
        <v>0</v>
      </c>
      <c r="Z163" s="43">
        <f>'[1]поточний ремонт'!Z163+'[2]поточний ремонт'!Z163-'[3]поточний ремонт'!Z163</f>
        <v>0</v>
      </c>
      <c r="AA163" s="43">
        <f>'[1]поточний ремонт'!AA163+'[2]поточний ремонт'!AA163-'[3]поточний ремонт'!AA163</f>
        <v>0</v>
      </c>
      <c r="AB163" s="43">
        <f>'[1]поточний ремонт'!AB163+'[2]поточний ремонт'!AB163-'[3]поточний ремонт'!AB163</f>
        <v>0</v>
      </c>
      <c r="AC163" s="43">
        <f>'[1]поточний ремонт'!AC163+'[2]поточний ремонт'!AC163-'[3]поточний ремонт'!AC163</f>
        <v>12417</v>
      </c>
      <c r="AD163" s="43">
        <f>'[1]поточний ремонт'!AD163+'[2]поточний ремонт'!AD163-'[3]поточний ремонт'!AD163</f>
        <v>8323</v>
      </c>
      <c r="AE163" s="43">
        <f>'[1]поточний ремонт'!AE163+'[2]поточний ремонт'!AE163-'[3]поточний ремонт'!AE163</f>
        <v>1018.8785603844715</v>
      </c>
      <c r="AF163" s="43">
        <f>'[1]поточний ремонт'!AF163+'[2]поточний ремонт'!AF163-'[3]поточний ремонт'!AF163</f>
        <v>1251</v>
      </c>
      <c r="AG163" s="5"/>
      <c r="AH163" s="43">
        <f>'[1]поточний ремонт'!AH163+'[2]поточний ремонт'!AH163-'[3]поточний ремонт'!AH163</f>
        <v>1270.1803176525073</v>
      </c>
      <c r="AI163" s="43">
        <f>'[1]поточний ремонт'!AI163+'[2]поточний ремонт'!AI163-'[3]поточний ремонт'!AI163</f>
        <v>4410</v>
      </c>
      <c r="AJ163" s="5"/>
      <c r="AK163" s="43">
        <f>'[1]поточний ремонт'!AK163+'[2]поточний ремонт'!AK163-'[3]поточний ремонт'!AK163</f>
        <v>2107.4458868333245</v>
      </c>
      <c r="AL163" s="43">
        <f>'[1]поточний ремонт'!AL163+'[2]поточний ремонт'!AL163-'[3]поточний ремонт'!AL163</f>
        <v>0</v>
      </c>
      <c r="AM163" s="5"/>
      <c r="AN163" s="43">
        <f>'[1]поточний ремонт'!AN163+'[2]поточний ремонт'!AN163-'[3]поточний ремонт'!AN163</f>
        <v>796.55683979232253</v>
      </c>
      <c r="AO163" s="43">
        <f>'[1]поточний ремонт'!AO163+'[2]поточний ремонт'!AO163-'[3]поточний ремонт'!AO163</f>
        <v>0</v>
      </c>
      <c r="AP163" s="5"/>
      <c r="AQ163" s="43">
        <f>'[1]поточний ремонт'!AQ163+'[2]поточний ремонт'!AQ163-'[3]поточний ремонт'!AQ163</f>
        <v>876.9679019529558</v>
      </c>
      <c r="AR163" s="43">
        <f>'[1]поточний ремонт'!AR163+'[2]поточний ремонт'!AR163-'[3]поточний ремонт'!AR163</f>
        <v>0</v>
      </c>
      <c r="AS163" s="5"/>
      <c r="AT163" s="43">
        <f>'[1]поточний ремонт'!AT163+'[2]поточний ремонт'!AT163-'[3]поточний ремонт'!AT163</f>
        <v>1392.9619780179046</v>
      </c>
      <c r="AU163" s="43">
        <f>'[1]поточний ремонт'!AU163+'[2]поточний ремонт'!AU163-'[3]поточний ремонт'!AU163</f>
        <v>10932</v>
      </c>
      <c r="AV163" s="9"/>
      <c r="AW163" s="43">
        <f>'[1]поточний ремонт'!AW163+'[2]поточний ремонт'!AW163-'[3]поточний ремонт'!AW163</f>
        <v>1106.6179815768044</v>
      </c>
      <c r="AX163" s="43">
        <f>'[1]поточний ремонт'!AX163+'[2]поточний ремонт'!AX163-'[3]поточний ремонт'!AX163</f>
        <v>0</v>
      </c>
      <c r="AY163" s="5"/>
      <c r="AZ163" s="43">
        <f t="shared" si="18"/>
        <v>8569.6094662102914</v>
      </c>
      <c r="BA163" s="43">
        <f t="shared" si="19"/>
        <v>16593</v>
      </c>
      <c r="BB163" s="59">
        <f t="shared" si="20"/>
        <v>8023.3905337897086</v>
      </c>
      <c r="BD163" s="2">
        <v>1</v>
      </c>
      <c r="BF163" s="30">
        <v>586.81533243532363</v>
      </c>
      <c r="BG163" s="328">
        <v>150001032</v>
      </c>
      <c r="BI163" s="107">
        <v>0</v>
      </c>
      <c r="BJ163" s="107">
        <f t="shared" si="21"/>
        <v>0</v>
      </c>
      <c r="BK163" s="107">
        <v>0</v>
      </c>
      <c r="BL163" s="39"/>
      <c r="BM163" s="3"/>
      <c r="BN163" s="3">
        <v>0</v>
      </c>
      <c r="BP163" s="3"/>
      <c r="BQ163" s="3"/>
      <c r="BS163" s="43"/>
      <c r="BT163" s="43">
        <v>0</v>
      </c>
      <c r="BU163" s="1037"/>
      <c r="BV163" s="42"/>
      <c r="BW163" s="43"/>
      <c r="BX163" s="1039"/>
      <c r="BY163" s="78"/>
      <c r="BZ163" s="43">
        <v>0</v>
      </c>
      <c r="CA163" s="1038"/>
      <c r="CB163" s="42"/>
      <c r="CC163" s="42">
        <v>0</v>
      </c>
      <c r="CD163" s="1048"/>
      <c r="CE163" s="78">
        <v>13461.612756740084</v>
      </c>
      <c r="CF163" s="56"/>
      <c r="CG163" s="42">
        <v>0</v>
      </c>
      <c r="CH163" s="39">
        <v>0</v>
      </c>
      <c r="CI163" s="78">
        <v>0</v>
      </c>
      <c r="CJ163" s="56"/>
      <c r="CK163" s="1034"/>
      <c r="CL163" s="1029"/>
      <c r="CM163" s="1034"/>
      <c r="CN163" s="1029">
        <v>2650.2622043695778</v>
      </c>
      <c r="CO163" s="78">
        <v>84.906546698705966</v>
      </c>
      <c r="CP163" s="43">
        <v>0</v>
      </c>
      <c r="CQ163" s="5"/>
      <c r="CR163" s="78">
        <v>105.8483598043756</v>
      </c>
      <c r="CS163" s="1033">
        <v>0</v>
      </c>
      <c r="CT163" s="5"/>
      <c r="CU163" s="78">
        <v>175.62049056944369</v>
      </c>
      <c r="CV163" s="43">
        <v>0</v>
      </c>
      <c r="CW163" s="5"/>
      <c r="CX163" s="78">
        <v>66.379736649360211</v>
      </c>
      <c r="CY163" s="43">
        <v>0</v>
      </c>
      <c r="CZ163" s="5"/>
      <c r="DA163" s="78">
        <v>73.08065849607965</v>
      </c>
      <c r="DB163" s="43">
        <v>0</v>
      </c>
      <c r="DC163" s="5"/>
      <c r="DD163" s="78">
        <v>116.08016483482538</v>
      </c>
      <c r="DE163" s="43">
        <v>510.20503071795298</v>
      </c>
      <c r="DF163" s="9"/>
      <c r="DG163" s="78">
        <v>92.218165131400369</v>
      </c>
      <c r="DH163" s="43"/>
      <c r="DI163" s="5"/>
      <c r="DJ163" s="43">
        <v>714.13412218419091</v>
      </c>
      <c r="DK163" s="43">
        <f t="shared" si="22"/>
        <v>510.20503071795298</v>
      </c>
      <c r="DL163" s="59">
        <f t="shared" si="23"/>
        <v>-203.92909146623794</v>
      </c>
    </row>
    <row r="164" spans="1:116" ht="24.9" customHeight="1" x14ac:dyDescent="0.3">
      <c r="A164" s="328">
        <v>150000537</v>
      </c>
      <c r="B164" s="45" t="s">
        <v>105</v>
      </c>
      <c r="C164" s="1035">
        <v>1</v>
      </c>
      <c r="D164" s="1036" t="s">
        <v>454</v>
      </c>
      <c r="E164" s="1028">
        <f>'побудинковий звіт'!E162</f>
        <v>4227.22</v>
      </c>
      <c r="F164" s="1029">
        <f>'побудинковий звіт'!AS162</f>
        <v>162.45600000000002</v>
      </c>
      <c r="G164" s="1029">
        <f t="shared" si="16"/>
        <v>769</v>
      </c>
      <c r="H164" s="1029">
        <f t="shared" si="17"/>
        <v>606.54399999999998</v>
      </c>
      <c r="I164" s="43">
        <f>'[1]поточний ремонт'!I164+'[2]поточний ремонт'!I164-'[3]поточний ремонт'!I164</f>
        <v>1.4</v>
      </c>
      <c r="J164" s="43">
        <f>'[1]поточний ремонт'!J164+'[2]поточний ремонт'!J164-'[3]поточний ремонт'!J164</f>
        <v>769</v>
      </c>
      <c r="K164" s="1037"/>
      <c r="L164" s="43">
        <f>'[1]поточний ремонт'!L164+'[2]поточний ремонт'!L164-'[3]поточний ремонт'!L164</f>
        <v>0</v>
      </c>
      <c r="M164" s="43">
        <f>'[1]поточний ремонт'!M164+'[2]поточний ремонт'!M164-'[3]поточний ремонт'!M164</f>
        <v>0</v>
      </c>
      <c r="N164" s="37"/>
      <c r="O164" s="43">
        <f>'[1]поточний ремонт'!O164+'[2]поточний ремонт'!O164-'[3]поточний ремонт'!O164</f>
        <v>0</v>
      </c>
      <c r="P164" s="43">
        <f>'[1]поточний ремонт'!P164+'[2]поточний ремонт'!P164-'[3]поточний ремонт'!P164</f>
        <v>0</v>
      </c>
      <c r="Q164" s="1038"/>
      <c r="R164" s="43">
        <f>'[1]поточний ремонт'!R164+'[2]поточний ремонт'!R164-'[3]поточний ремонт'!R164</f>
        <v>0</v>
      </c>
      <c r="S164" s="43">
        <f>'[1]поточний ремонт'!S164+'[2]поточний ремонт'!S164-'[3]поточний ремонт'!S164</f>
        <v>0</v>
      </c>
      <c r="T164" s="1039"/>
      <c r="U164" s="43">
        <f>'[1]поточний ремонт'!U164+'[2]поточний ремонт'!U164-'[3]поточний ремонт'!U164</f>
        <v>0</v>
      </c>
      <c r="V164" s="43">
        <f>'[1]поточний ремонт'!V164+'[2]поточний ремонт'!V164-'[3]поточний ремонт'!V164</f>
        <v>0</v>
      </c>
      <c r="W164" s="43">
        <f>'[1]поточний ремонт'!W164+'[2]поточний ремонт'!W164-'[3]поточний ремонт'!W164</f>
        <v>0</v>
      </c>
      <c r="X164" s="43">
        <f>'[1]поточний ремонт'!X164+'[2]поточний ремонт'!X164-'[3]поточний ремонт'!X164</f>
        <v>0</v>
      </c>
      <c r="Y164" s="43">
        <f>'[1]поточний ремонт'!Y164+'[2]поточний ремонт'!Y164-'[3]поточний ремонт'!Y164</f>
        <v>0</v>
      </c>
      <c r="Z164" s="43">
        <f>'[1]поточний ремонт'!Z164+'[2]поточний ремонт'!Z164-'[3]поточний ремонт'!Z164</f>
        <v>0</v>
      </c>
      <c r="AA164" s="43">
        <f>'[1]поточний ремонт'!AA164+'[2]поточний ремонт'!AA164-'[3]поточний ремонт'!AA164</f>
        <v>0</v>
      </c>
      <c r="AB164" s="43">
        <f>'[1]поточний ремонт'!AB164+'[2]поточний ремонт'!AB164-'[3]поточний ремонт'!AB164</f>
        <v>0</v>
      </c>
      <c r="AC164" s="43">
        <f>'[1]поточний ремонт'!AC164+'[2]поточний ремонт'!AC164-'[3]поточний ремонт'!AC164</f>
        <v>0</v>
      </c>
      <c r="AD164" s="43">
        <f>'[1]поточний ремонт'!AD164+'[2]поточний ремонт'!AD164-'[3]поточний ремонт'!AD164</f>
        <v>0</v>
      </c>
      <c r="AE164" s="43">
        <f>'[1]поточний ремонт'!AE164+'[2]поточний ремонт'!AE164-'[3]поточний ремонт'!AE164</f>
        <v>0</v>
      </c>
      <c r="AF164" s="43">
        <f>'[1]поточний ремонт'!AF164+'[2]поточний ремонт'!AF164-'[3]поточний ремонт'!AF164</f>
        <v>0</v>
      </c>
      <c r="AG164" s="5"/>
      <c r="AH164" s="43">
        <f>'[1]поточний ремонт'!AH164+'[2]поточний ремонт'!AH164-'[3]поточний ремонт'!AH164</f>
        <v>0</v>
      </c>
      <c r="AI164" s="43">
        <f>'[1]поточний ремонт'!AI164+'[2]поточний ремонт'!AI164-'[3]поточний ремонт'!AI164</f>
        <v>0</v>
      </c>
      <c r="AJ164" s="5"/>
      <c r="AK164" s="43">
        <f>'[1]поточний ремонт'!AK164+'[2]поточний ремонт'!AK164-'[3]поточний ремонт'!AK164</f>
        <v>0</v>
      </c>
      <c r="AL164" s="43">
        <f>'[1]поточний ремонт'!AL164+'[2]поточний ремонт'!AL164-'[3]поточний ремонт'!AL164</f>
        <v>0</v>
      </c>
      <c r="AM164" s="5"/>
      <c r="AN164" s="43">
        <f>'[1]поточний ремонт'!AN164+'[2]поточний ремонт'!AN164-'[3]поточний ремонт'!AN164</f>
        <v>0</v>
      </c>
      <c r="AO164" s="43">
        <f>'[1]поточний ремонт'!AO164+'[2]поточний ремонт'!AO164-'[3]поточний ремонт'!AO164</f>
        <v>0</v>
      </c>
      <c r="AP164" s="5"/>
      <c r="AQ164" s="43">
        <f>'[1]поточний ремонт'!AQ164+'[2]поточний ремонт'!AQ164-'[3]поточний ремонт'!AQ164</f>
        <v>0</v>
      </c>
      <c r="AR164" s="43">
        <f>'[1]поточний ремонт'!AR164+'[2]поточний ремонт'!AR164-'[3]поточний ремонт'!AR164</f>
        <v>0</v>
      </c>
      <c r="AS164" s="5"/>
      <c r="AT164" s="43">
        <f>'[1]поточний ремонт'!AT164+'[2]поточний ремонт'!AT164-'[3]поточний ремонт'!AT164</f>
        <v>0</v>
      </c>
      <c r="AU164" s="43">
        <f>'[1]поточний ремонт'!AU164+'[2]поточний ремонт'!AU164-'[3]поточний ремонт'!AU164</f>
        <v>0</v>
      </c>
      <c r="AV164" s="5"/>
      <c r="AW164" s="43">
        <f>'[1]поточний ремонт'!AW164+'[2]поточний ремонт'!AW164-'[3]поточний ремонт'!AW164</f>
        <v>0</v>
      </c>
      <c r="AX164" s="43">
        <f>'[1]поточний ремонт'!AX164+'[2]поточний ремонт'!AX164-'[3]поточний ремонт'!AX164</f>
        <v>0</v>
      </c>
      <c r="AY164" s="5"/>
      <c r="AZ164" s="43">
        <f t="shared" si="18"/>
        <v>0</v>
      </c>
      <c r="BA164" s="43">
        <f t="shared" si="19"/>
        <v>0</v>
      </c>
      <c r="BB164" s="59">
        <f t="shared" si="20"/>
        <v>0</v>
      </c>
      <c r="BD164" s="2">
        <v>2</v>
      </c>
      <c r="BF164" s="30">
        <v>0</v>
      </c>
      <c r="BG164" s="328">
        <v>150000537</v>
      </c>
      <c r="BI164" s="107">
        <v>0</v>
      </c>
      <c r="BJ164" s="107">
        <f t="shared" si="21"/>
        <v>0</v>
      </c>
      <c r="BK164" s="107">
        <v>0</v>
      </c>
      <c r="BL164" s="39"/>
      <c r="BM164" s="3"/>
      <c r="BN164" s="3">
        <v>0</v>
      </c>
      <c r="BP164" s="3"/>
      <c r="BQ164" s="3"/>
      <c r="BS164" s="43"/>
      <c r="BT164" s="43">
        <v>0</v>
      </c>
      <c r="BU164" s="1037"/>
      <c r="BV164" s="42"/>
      <c r="BW164" s="43"/>
      <c r="BX164" s="37"/>
      <c r="BY164" s="78"/>
      <c r="BZ164" s="43">
        <v>0</v>
      </c>
      <c r="CA164" s="1038"/>
      <c r="CB164" s="42"/>
      <c r="CC164" s="42">
        <v>0</v>
      </c>
      <c r="CD164" s="1039"/>
      <c r="CE164" s="78">
        <v>0</v>
      </c>
      <c r="CF164" s="56"/>
      <c r="CG164" s="42">
        <v>0</v>
      </c>
      <c r="CH164" s="39">
        <v>0</v>
      </c>
      <c r="CI164" s="78">
        <v>0</v>
      </c>
      <c r="CJ164" s="56"/>
      <c r="CK164" s="1034"/>
      <c r="CL164" s="1029"/>
      <c r="CM164" s="1034"/>
      <c r="CN164" s="1029">
        <v>0</v>
      </c>
      <c r="CO164" s="78">
        <v>0</v>
      </c>
      <c r="CP164" s="43">
        <v>0</v>
      </c>
      <c r="CQ164" s="5"/>
      <c r="CR164" s="78">
        <v>0</v>
      </c>
      <c r="CS164" s="1033">
        <v>0</v>
      </c>
      <c r="CT164" s="5"/>
      <c r="CU164" s="78">
        <v>0</v>
      </c>
      <c r="CV164" s="43">
        <v>0</v>
      </c>
      <c r="CW164" s="5"/>
      <c r="CX164" s="78">
        <v>0</v>
      </c>
      <c r="CY164" s="43">
        <v>0</v>
      </c>
      <c r="CZ164" s="5"/>
      <c r="DA164" s="78">
        <v>0</v>
      </c>
      <c r="DB164" s="43">
        <v>0</v>
      </c>
      <c r="DC164" s="5"/>
      <c r="DD164" s="78">
        <v>0</v>
      </c>
      <c r="DE164" s="43">
        <v>0</v>
      </c>
      <c r="DF164" s="5"/>
      <c r="DG164" s="78">
        <v>0</v>
      </c>
      <c r="DH164" s="43"/>
      <c r="DI164" s="5"/>
      <c r="DJ164" s="43">
        <v>0</v>
      </c>
      <c r="DK164" s="43">
        <f t="shared" si="22"/>
        <v>0</v>
      </c>
      <c r="DL164" s="59">
        <f t="shared" si="23"/>
        <v>0</v>
      </c>
    </row>
    <row r="165" spans="1:116" ht="24.9" customHeight="1" x14ac:dyDescent="0.3">
      <c r="A165" s="328">
        <v>150000545</v>
      </c>
      <c r="B165" s="45" t="s">
        <v>106</v>
      </c>
      <c r="C165" s="1035">
        <v>1</v>
      </c>
      <c r="D165" s="1036" t="s">
        <v>454</v>
      </c>
      <c r="E165" s="1028">
        <f>'побудинковий звіт'!E163</f>
        <v>5062.2</v>
      </c>
      <c r="F165" s="1029">
        <f>'побудинковий звіт'!AS163</f>
        <v>517.27528115585164</v>
      </c>
      <c r="G165" s="1029">
        <f t="shared" si="16"/>
        <v>0</v>
      </c>
      <c r="H165" s="1029">
        <f t="shared" si="17"/>
        <v>-517.27528115585164</v>
      </c>
      <c r="I165" s="43">
        <f>'[1]поточний ремонт'!I165+'[2]поточний ремонт'!I165-'[3]поточний ремонт'!I165</f>
        <v>0</v>
      </c>
      <c r="J165" s="43">
        <f>'[1]поточний ремонт'!J165+'[2]поточний ремонт'!J165-'[3]поточний ремонт'!J165</f>
        <v>0</v>
      </c>
      <c r="K165" s="1037"/>
      <c r="L165" s="43">
        <f>'[1]поточний ремонт'!L165+'[2]поточний ремонт'!L165-'[3]поточний ремонт'!L165</f>
        <v>0</v>
      </c>
      <c r="M165" s="43">
        <f>'[1]поточний ремонт'!M165+'[2]поточний ремонт'!M165-'[3]поточний ремонт'!M165</f>
        <v>0</v>
      </c>
      <c r="N165" s="37"/>
      <c r="O165" s="43">
        <f>'[1]поточний ремонт'!O165+'[2]поточний ремонт'!O165-'[3]поточний ремонт'!O165</f>
        <v>0</v>
      </c>
      <c r="P165" s="43">
        <f>'[1]поточний ремонт'!P165+'[2]поточний ремонт'!P165-'[3]поточний ремонт'!P165</f>
        <v>0</v>
      </c>
      <c r="Q165" s="1038"/>
      <c r="R165" s="43">
        <f>'[1]поточний ремонт'!R165+'[2]поточний ремонт'!R165-'[3]поточний ремонт'!R165</f>
        <v>0</v>
      </c>
      <c r="S165" s="43">
        <f>'[1]поточний ремонт'!S165+'[2]поточний ремонт'!S165-'[3]поточний ремонт'!S165</f>
        <v>0</v>
      </c>
      <c r="T165" s="1039"/>
      <c r="U165" s="43">
        <f>'[1]поточний ремонт'!U165+'[2]поточний ремонт'!U165-'[3]поточний ремонт'!U165</f>
        <v>0</v>
      </c>
      <c r="V165" s="43">
        <f>'[1]поточний ремонт'!V165+'[2]поточний ремонт'!V165-'[3]поточний ремонт'!V165</f>
        <v>0</v>
      </c>
      <c r="W165" s="43">
        <f>'[1]поточний ремонт'!W165+'[2]поточний ремонт'!W165-'[3]поточний ремонт'!W165</f>
        <v>0</v>
      </c>
      <c r="X165" s="43">
        <f>'[1]поточний ремонт'!X165+'[2]поточний ремонт'!X165-'[3]поточний ремонт'!X165</f>
        <v>0</v>
      </c>
      <c r="Y165" s="43">
        <f>'[1]поточний ремонт'!Y165+'[2]поточний ремонт'!Y165-'[3]поточний ремонт'!Y165</f>
        <v>0</v>
      </c>
      <c r="Z165" s="43">
        <f>'[1]поточний ремонт'!Z165+'[2]поточний ремонт'!Z165-'[3]поточний ремонт'!Z165</f>
        <v>0</v>
      </c>
      <c r="AA165" s="43">
        <f>'[1]поточний ремонт'!AA165+'[2]поточний ремонт'!AA165-'[3]поточний ремонт'!AA165</f>
        <v>0</v>
      </c>
      <c r="AB165" s="43">
        <f>'[1]поточний ремонт'!AB165+'[2]поточний ремонт'!AB165-'[3]поточний ремонт'!AB165</f>
        <v>0</v>
      </c>
      <c r="AC165" s="43">
        <f>'[1]поточний ремонт'!AC165+'[2]поточний ремонт'!AC165-'[3]поточний ремонт'!AC165</f>
        <v>0</v>
      </c>
      <c r="AD165" s="43">
        <f>'[1]поточний ремонт'!AD165+'[2]поточний ремонт'!AD165-'[3]поточний ремонт'!AD165</f>
        <v>0</v>
      </c>
      <c r="AE165" s="43">
        <f>'[1]поточний ремонт'!AE165+'[2]поточний ремонт'!AE165-'[3]поточний ремонт'!AE165</f>
        <v>0</v>
      </c>
      <c r="AF165" s="43">
        <f>'[1]поточний ремонт'!AF165+'[2]поточний ремонт'!AF165-'[3]поточний ремонт'!AF165</f>
        <v>0</v>
      </c>
      <c r="AG165" s="5"/>
      <c r="AH165" s="43">
        <f>'[1]поточний ремонт'!AH165+'[2]поточний ремонт'!AH165-'[3]поточний ремонт'!AH165</f>
        <v>0</v>
      </c>
      <c r="AI165" s="43">
        <f>'[1]поточний ремонт'!AI165+'[2]поточний ремонт'!AI165-'[3]поточний ремонт'!AI165</f>
        <v>0</v>
      </c>
      <c r="AJ165" s="5"/>
      <c r="AK165" s="43">
        <f>'[1]поточний ремонт'!AK165+'[2]поточний ремонт'!AK165-'[3]поточний ремонт'!AK165</f>
        <v>0</v>
      </c>
      <c r="AL165" s="43">
        <f>'[1]поточний ремонт'!AL165+'[2]поточний ремонт'!AL165-'[3]поточний ремонт'!AL165</f>
        <v>0</v>
      </c>
      <c r="AM165" s="5"/>
      <c r="AN165" s="43">
        <f>'[1]поточний ремонт'!AN165+'[2]поточний ремонт'!AN165-'[3]поточний ремонт'!AN165</f>
        <v>0</v>
      </c>
      <c r="AO165" s="43">
        <f>'[1]поточний ремонт'!AO165+'[2]поточний ремонт'!AO165-'[3]поточний ремонт'!AO165</f>
        <v>0</v>
      </c>
      <c r="AP165" s="5"/>
      <c r="AQ165" s="43">
        <f>'[1]поточний ремонт'!AQ165+'[2]поточний ремонт'!AQ165-'[3]поточний ремонт'!AQ165</f>
        <v>0</v>
      </c>
      <c r="AR165" s="43">
        <f>'[1]поточний ремонт'!AR165+'[2]поточний ремонт'!AR165-'[3]поточний ремонт'!AR165</f>
        <v>0</v>
      </c>
      <c r="AS165" s="5"/>
      <c r="AT165" s="43">
        <f>'[1]поточний ремонт'!AT165+'[2]поточний ремонт'!AT165-'[3]поточний ремонт'!AT165</f>
        <v>0</v>
      </c>
      <c r="AU165" s="43">
        <f>'[1]поточний ремонт'!AU165+'[2]поточний ремонт'!AU165-'[3]поточний ремонт'!AU165</f>
        <v>0</v>
      </c>
      <c r="AV165" s="5"/>
      <c r="AW165" s="43">
        <f>'[1]поточний ремонт'!AW165+'[2]поточний ремонт'!AW165-'[3]поточний ремонт'!AW165</f>
        <v>0</v>
      </c>
      <c r="AX165" s="43">
        <f>'[1]поточний ремонт'!AX165+'[2]поточний ремонт'!AX165-'[3]поточний ремонт'!AX165</f>
        <v>0</v>
      </c>
      <c r="AY165" s="5"/>
      <c r="AZ165" s="43">
        <f t="shared" si="18"/>
        <v>0</v>
      </c>
      <c r="BA165" s="43">
        <f t="shared" si="19"/>
        <v>0</v>
      </c>
      <c r="BB165" s="59">
        <f t="shared" si="20"/>
        <v>0</v>
      </c>
      <c r="BD165" s="2">
        <v>2</v>
      </c>
      <c r="BF165" s="30">
        <v>0</v>
      </c>
      <c r="BG165" s="328">
        <v>150000545</v>
      </c>
      <c r="BI165" s="107">
        <v>0</v>
      </c>
      <c r="BJ165" s="107">
        <f t="shared" si="21"/>
        <v>0</v>
      </c>
      <c r="BK165" s="107">
        <v>0</v>
      </c>
      <c r="BL165" s="39"/>
      <c r="BM165" s="3"/>
      <c r="BN165" s="3">
        <v>0</v>
      </c>
      <c r="BP165" s="3"/>
      <c r="BQ165" s="3"/>
      <c r="BS165" s="43"/>
      <c r="BT165" s="43">
        <v>0</v>
      </c>
      <c r="BU165" s="1037"/>
      <c r="BV165" s="42"/>
      <c r="BW165" s="43"/>
      <c r="BX165" s="37"/>
      <c r="BY165" s="78"/>
      <c r="BZ165" s="43">
        <v>0</v>
      </c>
      <c r="CA165" s="1038"/>
      <c r="CB165" s="42"/>
      <c r="CC165" s="42">
        <v>0</v>
      </c>
      <c r="CD165" s="1039"/>
      <c r="CE165" s="78">
        <v>0</v>
      </c>
      <c r="CF165" s="56"/>
      <c r="CG165" s="42">
        <v>0</v>
      </c>
      <c r="CH165" s="39">
        <v>0</v>
      </c>
      <c r="CI165" s="78">
        <v>0</v>
      </c>
      <c r="CJ165" s="56"/>
      <c r="CK165" s="1034"/>
      <c r="CL165" s="1029"/>
      <c r="CM165" s="1034"/>
      <c r="CN165" s="1029">
        <v>0</v>
      </c>
      <c r="CO165" s="78">
        <v>0</v>
      </c>
      <c r="CP165" s="43">
        <v>0</v>
      </c>
      <c r="CQ165" s="5"/>
      <c r="CR165" s="78">
        <v>0</v>
      </c>
      <c r="CS165" s="1033">
        <v>0</v>
      </c>
      <c r="CT165" s="5"/>
      <c r="CU165" s="78">
        <v>0</v>
      </c>
      <c r="CV165" s="43">
        <v>0</v>
      </c>
      <c r="CW165" s="5"/>
      <c r="CX165" s="78">
        <v>0</v>
      </c>
      <c r="CY165" s="43">
        <v>0</v>
      </c>
      <c r="CZ165" s="5"/>
      <c r="DA165" s="78">
        <v>0</v>
      </c>
      <c r="DB165" s="43">
        <v>0</v>
      </c>
      <c r="DC165" s="5"/>
      <c r="DD165" s="78">
        <v>0</v>
      </c>
      <c r="DE165" s="43">
        <v>0</v>
      </c>
      <c r="DF165" s="5"/>
      <c r="DG165" s="78">
        <v>0</v>
      </c>
      <c r="DH165" s="43"/>
      <c r="DI165" s="5"/>
      <c r="DJ165" s="43">
        <v>0</v>
      </c>
      <c r="DK165" s="43">
        <f t="shared" si="22"/>
        <v>0</v>
      </c>
      <c r="DL165" s="59">
        <f t="shared" si="23"/>
        <v>0</v>
      </c>
    </row>
    <row r="166" spans="1:116" ht="24.9" customHeight="1" x14ac:dyDescent="0.3">
      <c r="A166" s="328">
        <v>150000546</v>
      </c>
      <c r="B166" s="45" t="s">
        <v>107</v>
      </c>
      <c r="C166" s="1035">
        <v>1</v>
      </c>
      <c r="D166" s="1036" t="s">
        <v>454</v>
      </c>
      <c r="E166" s="1028">
        <f>'побудинковий звіт'!E164</f>
        <v>7052.84</v>
      </c>
      <c r="F166" s="1029">
        <f>'побудинковий звіт'!AS164</f>
        <v>708.30275463812609</v>
      </c>
      <c r="G166" s="1029">
        <f t="shared" si="16"/>
        <v>0</v>
      </c>
      <c r="H166" s="1029">
        <f t="shared" si="17"/>
        <v>-708.30275463812609</v>
      </c>
      <c r="I166" s="43">
        <f>'[1]поточний ремонт'!I166+'[2]поточний ремонт'!I166-'[3]поточний ремонт'!I166</f>
        <v>0</v>
      </c>
      <c r="J166" s="43">
        <f>'[1]поточний ремонт'!J166+'[2]поточний ремонт'!J166-'[3]поточний ремонт'!J166</f>
        <v>0</v>
      </c>
      <c r="K166" s="1037"/>
      <c r="L166" s="43">
        <f>'[1]поточний ремонт'!L166+'[2]поточний ремонт'!L166-'[3]поточний ремонт'!L166</f>
        <v>0</v>
      </c>
      <c r="M166" s="43">
        <f>'[1]поточний ремонт'!M166+'[2]поточний ремонт'!M166-'[3]поточний ремонт'!M166</f>
        <v>0</v>
      </c>
      <c r="N166" s="37"/>
      <c r="O166" s="43">
        <f>'[1]поточний ремонт'!O166+'[2]поточний ремонт'!O166-'[3]поточний ремонт'!O166</f>
        <v>0</v>
      </c>
      <c r="P166" s="43">
        <f>'[1]поточний ремонт'!P166+'[2]поточний ремонт'!P166-'[3]поточний ремонт'!P166</f>
        <v>0</v>
      </c>
      <c r="Q166" s="1038"/>
      <c r="R166" s="43">
        <f>'[1]поточний ремонт'!R166+'[2]поточний ремонт'!R166-'[3]поточний ремонт'!R166</f>
        <v>0</v>
      </c>
      <c r="S166" s="43">
        <f>'[1]поточний ремонт'!S166+'[2]поточний ремонт'!S166-'[3]поточний ремонт'!S166</f>
        <v>0</v>
      </c>
      <c r="T166" s="1039"/>
      <c r="U166" s="43">
        <f>'[1]поточний ремонт'!U166+'[2]поточний ремонт'!U166-'[3]поточний ремонт'!U166</f>
        <v>0</v>
      </c>
      <c r="V166" s="43">
        <f>'[1]поточний ремонт'!V166+'[2]поточний ремонт'!V166-'[3]поточний ремонт'!V166</f>
        <v>0</v>
      </c>
      <c r="W166" s="43">
        <f>'[1]поточний ремонт'!W166+'[2]поточний ремонт'!W166-'[3]поточний ремонт'!W166</f>
        <v>0</v>
      </c>
      <c r="X166" s="43">
        <f>'[1]поточний ремонт'!X166+'[2]поточний ремонт'!X166-'[3]поточний ремонт'!X166</f>
        <v>0</v>
      </c>
      <c r="Y166" s="43">
        <f>'[1]поточний ремонт'!Y166+'[2]поточний ремонт'!Y166-'[3]поточний ремонт'!Y166</f>
        <v>0</v>
      </c>
      <c r="Z166" s="43">
        <f>'[1]поточний ремонт'!Z166+'[2]поточний ремонт'!Z166-'[3]поточний ремонт'!Z166</f>
        <v>0</v>
      </c>
      <c r="AA166" s="43">
        <f>'[1]поточний ремонт'!AA166+'[2]поточний ремонт'!AA166-'[3]поточний ремонт'!AA166</f>
        <v>0</v>
      </c>
      <c r="AB166" s="43">
        <f>'[1]поточний ремонт'!AB166+'[2]поточний ремонт'!AB166-'[3]поточний ремонт'!AB166</f>
        <v>0</v>
      </c>
      <c r="AC166" s="43">
        <f>'[1]поточний ремонт'!AC166+'[2]поточний ремонт'!AC166-'[3]поточний ремонт'!AC166</f>
        <v>0</v>
      </c>
      <c r="AD166" s="43">
        <f>'[1]поточний ремонт'!AD166+'[2]поточний ремонт'!AD166-'[3]поточний ремонт'!AD166</f>
        <v>0</v>
      </c>
      <c r="AE166" s="43">
        <f>'[1]поточний ремонт'!AE166+'[2]поточний ремонт'!AE166-'[3]поточний ремонт'!AE166</f>
        <v>0</v>
      </c>
      <c r="AF166" s="43">
        <f>'[1]поточний ремонт'!AF166+'[2]поточний ремонт'!AF166-'[3]поточний ремонт'!AF166</f>
        <v>0</v>
      </c>
      <c r="AG166" s="5"/>
      <c r="AH166" s="43">
        <f>'[1]поточний ремонт'!AH166+'[2]поточний ремонт'!AH166-'[3]поточний ремонт'!AH166</f>
        <v>0</v>
      </c>
      <c r="AI166" s="43">
        <f>'[1]поточний ремонт'!AI166+'[2]поточний ремонт'!AI166-'[3]поточний ремонт'!AI166</f>
        <v>0</v>
      </c>
      <c r="AJ166" s="5"/>
      <c r="AK166" s="43">
        <f>'[1]поточний ремонт'!AK166+'[2]поточний ремонт'!AK166-'[3]поточний ремонт'!AK166</f>
        <v>0</v>
      </c>
      <c r="AL166" s="43">
        <f>'[1]поточний ремонт'!AL166+'[2]поточний ремонт'!AL166-'[3]поточний ремонт'!AL166</f>
        <v>0</v>
      </c>
      <c r="AM166" s="5"/>
      <c r="AN166" s="43">
        <f>'[1]поточний ремонт'!AN166+'[2]поточний ремонт'!AN166-'[3]поточний ремонт'!AN166</f>
        <v>0</v>
      </c>
      <c r="AO166" s="43">
        <f>'[1]поточний ремонт'!AO166+'[2]поточний ремонт'!AO166-'[3]поточний ремонт'!AO166</f>
        <v>0</v>
      </c>
      <c r="AP166" s="5"/>
      <c r="AQ166" s="43">
        <f>'[1]поточний ремонт'!AQ166+'[2]поточний ремонт'!AQ166-'[3]поточний ремонт'!AQ166</f>
        <v>0</v>
      </c>
      <c r="AR166" s="43">
        <f>'[1]поточний ремонт'!AR166+'[2]поточний ремонт'!AR166-'[3]поточний ремонт'!AR166</f>
        <v>0</v>
      </c>
      <c r="AS166" s="5"/>
      <c r="AT166" s="43">
        <f>'[1]поточний ремонт'!AT166+'[2]поточний ремонт'!AT166-'[3]поточний ремонт'!AT166</f>
        <v>0</v>
      </c>
      <c r="AU166" s="43">
        <f>'[1]поточний ремонт'!AU166+'[2]поточний ремонт'!AU166-'[3]поточний ремонт'!AU166</f>
        <v>0</v>
      </c>
      <c r="AV166" s="5"/>
      <c r="AW166" s="43">
        <f>'[1]поточний ремонт'!AW166+'[2]поточний ремонт'!AW166-'[3]поточний ремонт'!AW166</f>
        <v>0</v>
      </c>
      <c r="AX166" s="43">
        <f>'[1]поточний ремонт'!AX166+'[2]поточний ремонт'!AX166-'[3]поточний ремонт'!AX166</f>
        <v>0</v>
      </c>
      <c r="AY166" s="5"/>
      <c r="AZ166" s="43">
        <f t="shared" si="18"/>
        <v>0</v>
      </c>
      <c r="BA166" s="43">
        <f t="shared" si="19"/>
        <v>0</v>
      </c>
      <c r="BB166" s="59">
        <f t="shared" si="20"/>
        <v>0</v>
      </c>
      <c r="BD166" s="2">
        <v>2</v>
      </c>
      <c r="BF166" s="30">
        <v>0</v>
      </c>
      <c r="BG166" s="328">
        <v>150000546</v>
      </c>
      <c r="BI166" s="107">
        <v>0</v>
      </c>
      <c r="BJ166" s="107">
        <f t="shared" si="21"/>
        <v>0</v>
      </c>
      <c r="BK166" s="107">
        <v>0</v>
      </c>
      <c r="BL166" s="39"/>
      <c r="BM166" s="3"/>
      <c r="BN166" s="3">
        <v>0</v>
      </c>
      <c r="BP166" s="3"/>
      <c r="BQ166" s="3"/>
      <c r="BS166" s="43"/>
      <c r="BT166" s="43">
        <v>0</v>
      </c>
      <c r="BU166" s="1037"/>
      <c r="BV166" s="42"/>
      <c r="BW166" s="43"/>
      <c r="BX166" s="37"/>
      <c r="BY166" s="78"/>
      <c r="BZ166" s="43">
        <v>0</v>
      </c>
      <c r="CA166" s="1038"/>
      <c r="CB166" s="42"/>
      <c r="CC166" s="42">
        <v>0</v>
      </c>
      <c r="CD166" s="1039"/>
      <c r="CE166" s="78">
        <v>0</v>
      </c>
      <c r="CF166" s="56"/>
      <c r="CG166" s="42">
        <v>0</v>
      </c>
      <c r="CH166" s="39">
        <v>0</v>
      </c>
      <c r="CI166" s="78">
        <v>0</v>
      </c>
      <c r="CJ166" s="56"/>
      <c r="CK166" s="1034"/>
      <c r="CL166" s="1029"/>
      <c r="CM166" s="1034"/>
      <c r="CN166" s="1029">
        <v>0</v>
      </c>
      <c r="CO166" s="78">
        <v>0</v>
      </c>
      <c r="CP166" s="43">
        <v>0</v>
      </c>
      <c r="CQ166" s="5"/>
      <c r="CR166" s="78">
        <v>0</v>
      </c>
      <c r="CS166" s="1033">
        <v>0</v>
      </c>
      <c r="CT166" s="5"/>
      <c r="CU166" s="78">
        <v>0</v>
      </c>
      <c r="CV166" s="43">
        <v>0</v>
      </c>
      <c r="CW166" s="5"/>
      <c r="CX166" s="78">
        <v>0</v>
      </c>
      <c r="CY166" s="43">
        <v>0</v>
      </c>
      <c r="CZ166" s="5"/>
      <c r="DA166" s="78">
        <v>0</v>
      </c>
      <c r="DB166" s="43">
        <v>0</v>
      </c>
      <c r="DC166" s="5"/>
      <c r="DD166" s="78">
        <v>0</v>
      </c>
      <c r="DE166" s="43">
        <v>0</v>
      </c>
      <c r="DF166" s="5"/>
      <c r="DG166" s="78">
        <v>0</v>
      </c>
      <c r="DH166" s="43"/>
      <c r="DI166" s="5"/>
      <c r="DJ166" s="43">
        <v>0</v>
      </c>
      <c r="DK166" s="43">
        <f t="shared" si="22"/>
        <v>0</v>
      </c>
      <c r="DL166" s="59">
        <f t="shared" si="23"/>
        <v>0</v>
      </c>
    </row>
    <row r="167" spans="1:116" ht="24.9" customHeight="1" x14ac:dyDescent="0.3">
      <c r="A167" s="328">
        <v>150000502</v>
      </c>
      <c r="B167" s="45" t="s">
        <v>108</v>
      </c>
      <c r="C167" s="1035">
        <v>1</v>
      </c>
      <c r="D167" s="1036" t="s">
        <v>454</v>
      </c>
      <c r="E167" s="1028">
        <f>'побудинковий звіт'!E165</f>
        <v>10260.299999999999</v>
      </c>
      <c r="F167" s="1029">
        <f>'побудинковий звіт'!AS165</f>
        <v>1980.3936856804623</v>
      </c>
      <c r="G167" s="1029">
        <f t="shared" si="16"/>
        <v>0</v>
      </c>
      <c r="H167" s="1029">
        <f t="shared" si="17"/>
        <v>-1980.3936856804623</v>
      </c>
      <c r="I167" s="43">
        <f>'[1]поточний ремонт'!I167+'[2]поточний ремонт'!I167-'[3]поточний ремонт'!I167</f>
        <v>0</v>
      </c>
      <c r="J167" s="43">
        <f>'[1]поточний ремонт'!J167+'[2]поточний ремонт'!J167-'[3]поточний ремонт'!J167</f>
        <v>0</v>
      </c>
      <c r="K167" s="1037"/>
      <c r="L167" s="43">
        <f>'[1]поточний ремонт'!L167+'[2]поточний ремонт'!L167-'[3]поточний ремонт'!L167</f>
        <v>0</v>
      </c>
      <c r="M167" s="43">
        <f>'[1]поточний ремонт'!M167+'[2]поточний ремонт'!M167-'[3]поточний ремонт'!M167</f>
        <v>0</v>
      </c>
      <c r="N167" s="37"/>
      <c r="O167" s="43">
        <f>'[1]поточний ремонт'!O167+'[2]поточний ремонт'!O167-'[3]поточний ремонт'!O167</f>
        <v>0</v>
      </c>
      <c r="P167" s="43">
        <f>'[1]поточний ремонт'!P167+'[2]поточний ремонт'!P167-'[3]поточний ремонт'!P167</f>
        <v>0</v>
      </c>
      <c r="Q167" s="1038"/>
      <c r="R167" s="43">
        <f>'[1]поточний ремонт'!R167+'[2]поточний ремонт'!R167-'[3]поточний ремонт'!R167</f>
        <v>0</v>
      </c>
      <c r="S167" s="43">
        <f>'[1]поточний ремонт'!S167+'[2]поточний ремонт'!S167-'[3]поточний ремонт'!S167</f>
        <v>0</v>
      </c>
      <c r="T167" s="1039"/>
      <c r="U167" s="43">
        <f>'[1]поточний ремонт'!U167+'[2]поточний ремонт'!U167-'[3]поточний ремонт'!U167</f>
        <v>0</v>
      </c>
      <c r="V167" s="43">
        <f>'[1]поточний ремонт'!V167+'[2]поточний ремонт'!V167-'[3]поточний ремонт'!V167</f>
        <v>0</v>
      </c>
      <c r="W167" s="43">
        <f>'[1]поточний ремонт'!W167+'[2]поточний ремонт'!W167-'[3]поточний ремонт'!W167</f>
        <v>0</v>
      </c>
      <c r="X167" s="43">
        <f>'[1]поточний ремонт'!X167+'[2]поточний ремонт'!X167-'[3]поточний ремонт'!X167</f>
        <v>0</v>
      </c>
      <c r="Y167" s="43">
        <f>'[1]поточний ремонт'!Y167+'[2]поточний ремонт'!Y167-'[3]поточний ремонт'!Y167</f>
        <v>0</v>
      </c>
      <c r="Z167" s="43">
        <f>'[1]поточний ремонт'!Z167+'[2]поточний ремонт'!Z167-'[3]поточний ремонт'!Z167</f>
        <v>0</v>
      </c>
      <c r="AA167" s="43">
        <f>'[1]поточний ремонт'!AA167+'[2]поточний ремонт'!AA167-'[3]поточний ремонт'!AA167</f>
        <v>0</v>
      </c>
      <c r="AB167" s="43">
        <f>'[1]поточний ремонт'!AB167+'[2]поточний ремонт'!AB167-'[3]поточний ремонт'!AB167</f>
        <v>0</v>
      </c>
      <c r="AC167" s="43">
        <f>'[1]поточний ремонт'!AC167+'[2]поточний ремонт'!AC167-'[3]поточний ремонт'!AC167</f>
        <v>0</v>
      </c>
      <c r="AD167" s="43">
        <f>'[1]поточний ремонт'!AD167+'[2]поточний ремонт'!AD167-'[3]поточний ремонт'!AD167</f>
        <v>0</v>
      </c>
      <c r="AE167" s="43">
        <f>'[1]поточний ремонт'!AE167+'[2]поточний ремонт'!AE167-'[3]поточний ремонт'!AE167</f>
        <v>0</v>
      </c>
      <c r="AF167" s="43">
        <f>'[1]поточний ремонт'!AF167+'[2]поточний ремонт'!AF167-'[3]поточний ремонт'!AF167</f>
        <v>0</v>
      </c>
      <c r="AG167" s="5"/>
      <c r="AH167" s="43">
        <f>'[1]поточний ремонт'!AH167+'[2]поточний ремонт'!AH167-'[3]поточний ремонт'!AH167</f>
        <v>0</v>
      </c>
      <c r="AI167" s="43">
        <f>'[1]поточний ремонт'!AI167+'[2]поточний ремонт'!AI167-'[3]поточний ремонт'!AI167</f>
        <v>0</v>
      </c>
      <c r="AJ167" s="5"/>
      <c r="AK167" s="43">
        <f>'[1]поточний ремонт'!AK167+'[2]поточний ремонт'!AK167-'[3]поточний ремонт'!AK167</f>
        <v>0</v>
      </c>
      <c r="AL167" s="43">
        <f>'[1]поточний ремонт'!AL167+'[2]поточний ремонт'!AL167-'[3]поточний ремонт'!AL167</f>
        <v>0</v>
      </c>
      <c r="AM167" s="5"/>
      <c r="AN167" s="43">
        <f>'[1]поточний ремонт'!AN167+'[2]поточний ремонт'!AN167-'[3]поточний ремонт'!AN167</f>
        <v>0</v>
      </c>
      <c r="AO167" s="43">
        <f>'[1]поточний ремонт'!AO167+'[2]поточний ремонт'!AO167-'[3]поточний ремонт'!AO167</f>
        <v>0</v>
      </c>
      <c r="AP167" s="5"/>
      <c r="AQ167" s="43">
        <f>'[1]поточний ремонт'!AQ167+'[2]поточний ремонт'!AQ167-'[3]поточний ремонт'!AQ167</f>
        <v>0</v>
      </c>
      <c r="AR167" s="43">
        <f>'[1]поточний ремонт'!AR167+'[2]поточний ремонт'!AR167-'[3]поточний ремонт'!AR167</f>
        <v>0</v>
      </c>
      <c r="AS167" s="5"/>
      <c r="AT167" s="43">
        <f>'[1]поточний ремонт'!AT167+'[2]поточний ремонт'!AT167-'[3]поточний ремонт'!AT167</f>
        <v>0</v>
      </c>
      <c r="AU167" s="43">
        <f>'[1]поточний ремонт'!AU167+'[2]поточний ремонт'!AU167-'[3]поточний ремонт'!AU167</f>
        <v>0</v>
      </c>
      <c r="AV167" s="5"/>
      <c r="AW167" s="43">
        <f>'[1]поточний ремонт'!AW167+'[2]поточний ремонт'!AW167-'[3]поточний ремонт'!AW167</f>
        <v>0</v>
      </c>
      <c r="AX167" s="43">
        <f>'[1]поточний ремонт'!AX167+'[2]поточний ремонт'!AX167-'[3]поточний ремонт'!AX167</f>
        <v>0</v>
      </c>
      <c r="AY167" s="5"/>
      <c r="AZ167" s="43">
        <f t="shared" si="18"/>
        <v>0</v>
      </c>
      <c r="BA167" s="43">
        <f t="shared" si="19"/>
        <v>0</v>
      </c>
      <c r="BB167" s="59">
        <f t="shared" si="20"/>
        <v>0</v>
      </c>
      <c r="BD167" s="2">
        <v>3</v>
      </c>
      <c r="BF167" s="30">
        <v>0</v>
      </c>
      <c r="BG167" s="328">
        <v>150000502</v>
      </c>
      <c r="BI167" s="107">
        <v>0</v>
      </c>
      <c r="BJ167" s="107">
        <f t="shared" si="21"/>
        <v>0</v>
      </c>
      <c r="BK167" s="107">
        <v>0</v>
      </c>
      <c r="BL167" s="39"/>
      <c r="BM167" s="3"/>
      <c r="BN167" s="3">
        <v>0</v>
      </c>
      <c r="BP167" s="3"/>
      <c r="BQ167" s="3"/>
      <c r="BS167" s="43"/>
      <c r="BT167" s="43">
        <v>0</v>
      </c>
      <c r="BU167" s="1037"/>
      <c r="BV167" s="42"/>
      <c r="BW167" s="43"/>
      <c r="BX167" s="37"/>
      <c r="BY167" s="78"/>
      <c r="BZ167" s="43">
        <v>0</v>
      </c>
      <c r="CA167" s="1038"/>
      <c r="CB167" s="42"/>
      <c r="CC167" s="42">
        <v>0</v>
      </c>
      <c r="CD167" s="1039"/>
      <c r="CE167" s="78">
        <v>0</v>
      </c>
      <c r="CF167" s="56"/>
      <c r="CG167" s="42">
        <v>0</v>
      </c>
      <c r="CH167" s="39">
        <v>0</v>
      </c>
      <c r="CI167" s="78">
        <v>0</v>
      </c>
      <c r="CJ167" s="56"/>
      <c r="CK167" s="1034"/>
      <c r="CL167" s="1029"/>
      <c r="CM167" s="1034"/>
      <c r="CN167" s="1029">
        <v>0</v>
      </c>
      <c r="CO167" s="78">
        <v>0</v>
      </c>
      <c r="CP167" s="43">
        <v>0</v>
      </c>
      <c r="CQ167" s="5"/>
      <c r="CR167" s="78">
        <v>0</v>
      </c>
      <c r="CS167" s="1033">
        <v>0</v>
      </c>
      <c r="CT167" s="5"/>
      <c r="CU167" s="78">
        <v>0</v>
      </c>
      <c r="CV167" s="43">
        <v>0</v>
      </c>
      <c r="CW167" s="5"/>
      <c r="CX167" s="78">
        <v>0</v>
      </c>
      <c r="CY167" s="43">
        <v>0</v>
      </c>
      <c r="CZ167" s="5"/>
      <c r="DA167" s="78">
        <v>0</v>
      </c>
      <c r="DB167" s="43">
        <v>0</v>
      </c>
      <c r="DC167" s="5"/>
      <c r="DD167" s="78">
        <v>0</v>
      </c>
      <c r="DE167" s="43">
        <v>0</v>
      </c>
      <c r="DF167" s="5"/>
      <c r="DG167" s="78">
        <v>0</v>
      </c>
      <c r="DH167" s="43"/>
      <c r="DI167" s="5"/>
      <c r="DJ167" s="43">
        <v>0</v>
      </c>
      <c r="DK167" s="43">
        <f t="shared" si="22"/>
        <v>0</v>
      </c>
      <c r="DL167" s="59">
        <f t="shared" si="23"/>
        <v>0</v>
      </c>
    </row>
    <row r="168" spans="1:116" ht="24.9" customHeight="1" x14ac:dyDescent="0.3">
      <c r="A168" s="328">
        <v>150000503</v>
      </c>
      <c r="B168" s="45" t="s">
        <v>109</v>
      </c>
      <c r="C168" s="1035">
        <v>1</v>
      </c>
      <c r="D168" s="1036" t="s">
        <v>454</v>
      </c>
      <c r="E168" s="1028">
        <f>'побудинковий звіт'!E166</f>
        <v>110.7</v>
      </c>
      <c r="F168" s="1029">
        <f>'побудинковий звіт'!AS166</f>
        <v>2948.0032961762181</v>
      </c>
      <c r="G168" s="1029">
        <f t="shared" si="16"/>
        <v>0</v>
      </c>
      <c r="H168" s="1029">
        <f t="shared" si="17"/>
        <v>-2948.0032961762181</v>
      </c>
      <c r="I168" s="43">
        <f>'[1]поточний ремонт'!I168+'[2]поточний ремонт'!I168-'[3]поточний ремонт'!I168</f>
        <v>0</v>
      </c>
      <c r="J168" s="43">
        <f>'[1]поточний ремонт'!J168+'[2]поточний ремонт'!J168-'[3]поточний ремонт'!J168</f>
        <v>0</v>
      </c>
      <c r="K168" s="1037"/>
      <c r="L168" s="43">
        <f>'[1]поточний ремонт'!L168+'[2]поточний ремонт'!L168-'[3]поточний ремонт'!L168</f>
        <v>0</v>
      </c>
      <c r="M168" s="43">
        <f>'[1]поточний ремонт'!M168+'[2]поточний ремонт'!M168-'[3]поточний ремонт'!M168</f>
        <v>0</v>
      </c>
      <c r="N168" s="37"/>
      <c r="O168" s="43">
        <f>'[1]поточний ремонт'!O168+'[2]поточний ремонт'!O168-'[3]поточний ремонт'!O168</f>
        <v>0</v>
      </c>
      <c r="P168" s="43">
        <f>'[1]поточний ремонт'!P168+'[2]поточний ремонт'!P168-'[3]поточний ремонт'!P168</f>
        <v>0</v>
      </c>
      <c r="Q168" s="1038"/>
      <c r="R168" s="43">
        <f>'[1]поточний ремонт'!R168+'[2]поточний ремонт'!R168-'[3]поточний ремонт'!R168</f>
        <v>0</v>
      </c>
      <c r="S168" s="43">
        <f>'[1]поточний ремонт'!S168+'[2]поточний ремонт'!S168-'[3]поточний ремонт'!S168</f>
        <v>0</v>
      </c>
      <c r="T168" s="1039"/>
      <c r="U168" s="43">
        <f>'[1]поточний ремонт'!U168+'[2]поточний ремонт'!U168-'[3]поточний ремонт'!U168</f>
        <v>0</v>
      </c>
      <c r="V168" s="43">
        <f>'[1]поточний ремонт'!V168+'[2]поточний ремонт'!V168-'[3]поточний ремонт'!V168</f>
        <v>0</v>
      </c>
      <c r="W168" s="43">
        <f>'[1]поточний ремонт'!W168+'[2]поточний ремонт'!W168-'[3]поточний ремонт'!W168</f>
        <v>0</v>
      </c>
      <c r="X168" s="43">
        <f>'[1]поточний ремонт'!X168+'[2]поточний ремонт'!X168-'[3]поточний ремонт'!X168</f>
        <v>0</v>
      </c>
      <c r="Y168" s="43">
        <f>'[1]поточний ремонт'!Y168+'[2]поточний ремонт'!Y168-'[3]поточний ремонт'!Y168</f>
        <v>0</v>
      </c>
      <c r="Z168" s="43">
        <f>'[1]поточний ремонт'!Z168+'[2]поточний ремонт'!Z168-'[3]поточний ремонт'!Z168</f>
        <v>0</v>
      </c>
      <c r="AA168" s="43">
        <f>'[1]поточний ремонт'!AA168+'[2]поточний ремонт'!AA168-'[3]поточний ремонт'!AA168</f>
        <v>0</v>
      </c>
      <c r="AB168" s="43">
        <f>'[1]поточний ремонт'!AB168+'[2]поточний ремонт'!AB168-'[3]поточний ремонт'!AB168</f>
        <v>0</v>
      </c>
      <c r="AC168" s="43">
        <f>'[1]поточний ремонт'!AC168+'[2]поточний ремонт'!AC168-'[3]поточний ремонт'!AC168</f>
        <v>0</v>
      </c>
      <c r="AD168" s="43">
        <f>'[1]поточний ремонт'!AD168+'[2]поточний ремонт'!AD168-'[3]поточний ремонт'!AD168</f>
        <v>0</v>
      </c>
      <c r="AE168" s="43">
        <f>'[1]поточний ремонт'!AE168+'[2]поточний ремонт'!AE168-'[3]поточний ремонт'!AE168</f>
        <v>1.4844325232435191E-2</v>
      </c>
      <c r="AF168" s="43">
        <f>'[1]поточний ремонт'!AF168+'[2]поточний ремонт'!AF168-'[3]поточний ремонт'!AF168</f>
        <v>0</v>
      </c>
      <c r="AG168" s="5"/>
      <c r="AH168" s="43">
        <f>'[1]поточний ремонт'!AH168+'[2]поточний ремонт'!AH168-'[3]поточний ремонт'!AH168</f>
        <v>0</v>
      </c>
      <c r="AI168" s="43">
        <f>'[1]поточний ремонт'!AI168+'[2]поточний ремонт'!AI168-'[3]поточний ремонт'!AI168</f>
        <v>0</v>
      </c>
      <c r="AJ168" s="5"/>
      <c r="AK168" s="43">
        <f>'[1]поточний ремонт'!AK168+'[2]поточний ремонт'!AK168-'[3]поточний ремонт'!AK168</f>
        <v>0</v>
      </c>
      <c r="AL168" s="43">
        <f>'[1]поточний ремонт'!AL168+'[2]поточний ремонт'!AL168-'[3]поточний ремонт'!AL168</f>
        <v>0</v>
      </c>
      <c r="AM168" s="5"/>
      <c r="AN168" s="43">
        <f>'[1]поточний ремонт'!AN168+'[2]поточний ремонт'!AN168-'[3]поточний ремонт'!AN168</f>
        <v>0</v>
      </c>
      <c r="AO168" s="43">
        <f>'[1]поточний ремонт'!AO168+'[2]поточний ремонт'!AO168-'[3]поточний ремонт'!AO168</f>
        <v>0</v>
      </c>
      <c r="AP168" s="5"/>
      <c r="AQ168" s="43">
        <f>'[1]поточний ремонт'!AQ168+'[2]поточний ремонт'!AQ168-'[3]поточний ремонт'!AQ168</f>
        <v>0</v>
      </c>
      <c r="AR168" s="43">
        <f>'[1]поточний ремонт'!AR168+'[2]поточний ремонт'!AR168-'[3]поточний ремонт'!AR168</f>
        <v>0</v>
      </c>
      <c r="AS168" s="5"/>
      <c r="AT168" s="43">
        <f>'[1]поточний ремонт'!AT168+'[2]поточний ремонт'!AT168-'[3]поточний ремонт'!AT168</f>
        <v>0</v>
      </c>
      <c r="AU168" s="43">
        <f>'[1]поточний ремонт'!AU168+'[2]поточний ремонт'!AU168-'[3]поточний ремонт'!AU168</f>
        <v>0</v>
      </c>
      <c r="AV168" s="5"/>
      <c r="AW168" s="43">
        <f>'[1]поточний ремонт'!AW168+'[2]поточний ремонт'!AW168-'[3]поточний ремонт'!AW168</f>
        <v>0</v>
      </c>
      <c r="AX168" s="43">
        <f>'[1]поточний ремонт'!AX168+'[2]поточний ремонт'!AX168-'[3]поточний ремонт'!AX168</f>
        <v>0</v>
      </c>
      <c r="AY168" s="5"/>
      <c r="AZ168" s="43">
        <f t="shared" si="18"/>
        <v>1.4844325232435191E-2</v>
      </c>
      <c r="BA168" s="43">
        <f t="shared" si="19"/>
        <v>0</v>
      </c>
      <c r="BB168" s="59">
        <f t="shared" si="20"/>
        <v>-1.4844325232435191E-2</v>
      </c>
      <c r="BD168" s="2">
        <v>3</v>
      </c>
      <c r="BF168" s="30">
        <v>0</v>
      </c>
      <c r="BG168" s="328">
        <v>150000503</v>
      </c>
      <c r="BI168" s="107">
        <v>0</v>
      </c>
      <c r="BJ168" s="107">
        <f t="shared" si="21"/>
        <v>0</v>
      </c>
      <c r="BK168" s="107">
        <v>0</v>
      </c>
      <c r="BL168" s="39"/>
      <c r="BM168" s="3"/>
      <c r="BN168" s="3">
        <v>0</v>
      </c>
      <c r="BP168" s="3"/>
      <c r="BQ168" s="3"/>
      <c r="BS168" s="43"/>
      <c r="BT168" s="43">
        <v>0</v>
      </c>
      <c r="BU168" s="1037"/>
      <c r="BV168" s="42"/>
      <c r="BW168" s="43"/>
      <c r="BX168" s="37"/>
      <c r="BY168" s="78"/>
      <c r="BZ168" s="43">
        <v>0</v>
      </c>
      <c r="CA168" s="1038"/>
      <c r="CB168" s="42"/>
      <c r="CC168" s="42">
        <v>0</v>
      </c>
      <c r="CD168" s="1039"/>
      <c r="CE168" s="78">
        <v>0</v>
      </c>
      <c r="CF168" s="56"/>
      <c r="CG168" s="42">
        <v>0</v>
      </c>
      <c r="CH168" s="39">
        <v>0</v>
      </c>
      <c r="CI168" s="78">
        <v>0</v>
      </c>
      <c r="CJ168" s="56"/>
      <c r="CK168" s="1034"/>
      <c r="CL168" s="1029"/>
      <c r="CM168" s="1034"/>
      <c r="CN168" s="1029">
        <v>0</v>
      </c>
      <c r="CO168" s="78">
        <v>1.2370271027029324E-3</v>
      </c>
      <c r="CP168" s="43">
        <v>0</v>
      </c>
      <c r="CQ168" s="5"/>
      <c r="CR168" s="78">
        <v>0</v>
      </c>
      <c r="CS168" s="1033">
        <v>0</v>
      </c>
      <c r="CT168" s="5"/>
      <c r="CU168" s="78">
        <v>0</v>
      </c>
      <c r="CV168" s="43">
        <v>0</v>
      </c>
      <c r="CW168" s="5"/>
      <c r="CX168" s="78">
        <v>0</v>
      </c>
      <c r="CY168" s="43">
        <v>0</v>
      </c>
      <c r="CZ168" s="5"/>
      <c r="DA168" s="78">
        <v>0</v>
      </c>
      <c r="DB168" s="43">
        <v>0</v>
      </c>
      <c r="DC168" s="5"/>
      <c r="DD168" s="78">
        <v>0</v>
      </c>
      <c r="DE168" s="43">
        <v>0</v>
      </c>
      <c r="DF168" s="5"/>
      <c r="DG168" s="78">
        <v>0</v>
      </c>
      <c r="DH168" s="43"/>
      <c r="DI168" s="5"/>
      <c r="DJ168" s="43">
        <v>1.2370271027029324E-3</v>
      </c>
      <c r="DK168" s="43">
        <f t="shared" si="22"/>
        <v>0</v>
      </c>
      <c r="DL168" s="59">
        <f t="shared" si="23"/>
        <v>-1.2370271027029324E-3</v>
      </c>
    </row>
    <row r="169" spans="1:116" ht="24.9" customHeight="1" x14ac:dyDescent="0.3">
      <c r="A169" s="328">
        <v>150000504</v>
      </c>
      <c r="B169" s="45" t="s">
        <v>110</v>
      </c>
      <c r="C169" s="1035">
        <v>1</v>
      </c>
      <c r="D169" s="1036" t="s">
        <v>454</v>
      </c>
      <c r="E169" s="1028">
        <f>'побудинковий звіт'!E167</f>
        <v>211.4</v>
      </c>
      <c r="F169" s="1029">
        <f>'побудинковий звіт'!AS167</f>
        <v>2661.531840831618</v>
      </c>
      <c r="G169" s="1029">
        <f t="shared" si="16"/>
        <v>0</v>
      </c>
      <c r="H169" s="1029">
        <f t="shared" si="17"/>
        <v>-2661.531840831618</v>
      </c>
      <c r="I169" s="43">
        <f>'[1]поточний ремонт'!I169+'[2]поточний ремонт'!I169-'[3]поточний ремонт'!I169</f>
        <v>0</v>
      </c>
      <c r="J169" s="43">
        <f>'[1]поточний ремонт'!J169+'[2]поточний ремонт'!J169-'[3]поточний ремонт'!J169</f>
        <v>0</v>
      </c>
      <c r="K169" s="1037"/>
      <c r="L169" s="43">
        <f>'[1]поточний ремонт'!L169+'[2]поточний ремонт'!L169-'[3]поточний ремонт'!L169</f>
        <v>0</v>
      </c>
      <c r="M169" s="43">
        <f>'[1]поточний ремонт'!M169+'[2]поточний ремонт'!M169-'[3]поточний ремонт'!M169</f>
        <v>0</v>
      </c>
      <c r="N169" s="37"/>
      <c r="O169" s="43">
        <f>'[1]поточний ремонт'!O169+'[2]поточний ремонт'!O169-'[3]поточний ремонт'!O169</f>
        <v>0</v>
      </c>
      <c r="P169" s="43">
        <f>'[1]поточний ремонт'!P169+'[2]поточний ремонт'!P169-'[3]поточний ремонт'!P169</f>
        <v>0</v>
      </c>
      <c r="Q169" s="1038"/>
      <c r="R169" s="43">
        <f>'[1]поточний ремонт'!R169+'[2]поточний ремонт'!R169-'[3]поточний ремонт'!R169</f>
        <v>0</v>
      </c>
      <c r="S169" s="43">
        <f>'[1]поточний ремонт'!S169+'[2]поточний ремонт'!S169-'[3]поточний ремонт'!S169</f>
        <v>0</v>
      </c>
      <c r="T169" s="1039"/>
      <c r="U169" s="43">
        <f>'[1]поточний ремонт'!U169+'[2]поточний ремонт'!U169-'[3]поточний ремонт'!U169</f>
        <v>0</v>
      </c>
      <c r="V169" s="43">
        <f>'[1]поточний ремонт'!V169+'[2]поточний ремонт'!V169-'[3]поточний ремонт'!V169</f>
        <v>0</v>
      </c>
      <c r="W169" s="43">
        <f>'[1]поточний ремонт'!W169+'[2]поточний ремонт'!W169-'[3]поточний ремонт'!W169</f>
        <v>0</v>
      </c>
      <c r="X169" s="43">
        <f>'[1]поточний ремонт'!X169+'[2]поточний ремонт'!X169-'[3]поточний ремонт'!X169</f>
        <v>0</v>
      </c>
      <c r="Y169" s="43">
        <f>'[1]поточний ремонт'!Y169+'[2]поточний ремонт'!Y169-'[3]поточний ремонт'!Y169</f>
        <v>0</v>
      </c>
      <c r="Z169" s="43">
        <f>'[1]поточний ремонт'!Z169+'[2]поточний ремонт'!Z169-'[3]поточний ремонт'!Z169</f>
        <v>0</v>
      </c>
      <c r="AA169" s="43">
        <f>'[1]поточний ремонт'!AA169+'[2]поточний ремонт'!AA169-'[3]поточний ремонт'!AA169</f>
        <v>0</v>
      </c>
      <c r="AB169" s="43">
        <f>'[1]поточний ремонт'!AB169+'[2]поточний ремонт'!AB169-'[3]поточний ремонт'!AB169</f>
        <v>0</v>
      </c>
      <c r="AC169" s="43">
        <f>'[1]поточний ремонт'!AC169+'[2]поточний ремонт'!AC169-'[3]поточний ремонт'!AC169</f>
        <v>0</v>
      </c>
      <c r="AD169" s="43">
        <f>'[1]поточний ремонт'!AD169+'[2]поточний ремонт'!AD169-'[3]поточний ремонт'!AD169</f>
        <v>0</v>
      </c>
      <c r="AE169" s="43">
        <f>'[1]поточний ремонт'!AE169+'[2]поточний ремонт'!AE169-'[3]поточний ремонт'!AE169</f>
        <v>0</v>
      </c>
      <c r="AF169" s="43">
        <f>'[1]поточний ремонт'!AF169+'[2]поточний ремонт'!AF169-'[3]поточний ремонт'!AF169</f>
        <v>0</v>
      </c>
      <c r="AG169" s="5"/>
      <c r="AH169" s="43">
        <f>'[1]поточний ремонт'!AH169+'[2]поточний ремонт'!AH169-'[3]поточний ремонт'!AH169</f>
        <v>0</v>
      </c>
      <c r="AI169" s="43">
        <f>'[1]поточний ремонт'!AI169+'[2]поточний ремонт'!AI169-'[3]поточний ремонт'!AI169</f>
        <v>0</v>
      </c>
      <c r="AJ169" s="5"/>
      <c r="AK169" s="43">
        <f>'[1]поточний ремонт'!AK169+'[2]поточний ремонт'!AK169-'[3]поточний ремонт'!AK169</f>
        <v>0</v>
      </c>
      <c r="AL169" s="43">
        <f>'[1]поточний ремонт'!AL169+'[2]поточний ремонт'!AL169-'[3]поточний ремонт'!AL169</f>
        <v>0</v>
      </c>
      <c r="AM169" s="5"/>
      <c r="AN169" s="43">
        <f>'[1]поточний ремонт'!AN169+'[2]поточний ремонт'!AN169-'[3]поточний ремонт'!AN169</f>
        <v>0</v>
      </c>
      <c r="AO169" s="43">
        <f>'[1]поточний ремонт'!AO169+'[2]поточний ремонт'!AO169-'[3]поточний ремонт'!AO169</f>
        <v>0</v>
      </c>
      <c r="AP169" s="5"/>
      <c r="AQ169" s="43">
        <f>'[1]поточний ремонт'!AQ169+'[2]поточний ремонт'!AQ169-'[3]поточний ремонт'!AQ169</f>
        <v>0</v>
      </c>
      <c r="AR169" s="43">
        <f>'[1]поточний ремонт'!AR169+'[2]поточний ремонт'!AR169-'[3]поточний ремонт'!AR169</f>
        <v>0</v>
      </c>
      <c r="AS169" s="5"/>
      <c r="AT169" s="43">
        <f>'[1]поточний ремонт'!AT169+'[2]поточний ремонт'!AT169-'[3]поточний ремонт'!AT169</f>
        <v>0</v>
      </c>
      <c r="AU169" s="43">
        <f>'[1]поточний ремонт'!AU169+'[2]поточний ремонт'!AU169-'[3]поточний ремонт'!AU169</f>
        <v>0</v>
      </c>
      <c r="AV169" s="5"/>
      <c r="AW169" s="43">
        <f>'[1]поточний ремонт'!AW169+'[2]поточний ремонт'!AW169-'[3]поточний ремонт'!AW169</f>
        <v>0</v>
      </c>
      <c r="AX169" s="43">
        <f>'[1]поточний ремонт'!AX169+'[2]поточний ремонт'!AX169-'[3]поточний ремонт'!AX169</f>
        <v>0</v>
      </c>
      <c r="AY169" s="5"/>
      <c r="AZ169" s="43">
        <f t="shared" si="18"/>
        <v>0</v>
      </c>
      <c r="BA169" s="43">
        <f t="shared" si="19"/>
        <v>0</v>
      </c>
      <c r="BB169" s="59">
        <f t="shared" si="20"/>
        <v>0</v>
      </c>
      <c r="BD169" s="2">
        <v>3</v>
      </c>
      <c r="BF169" s="30">
        <v>0</v>
      </c>
      <c r="BG169" s="328">
        <v>150000504</v>
      </c>
      <c r="BI169" s="107">
        <v>0</v>
      </c>
      <c r="BJ169" s="107">
        <f t="shared" si="21"/>
        <v>0</v>
      </c>
      <c r="BK169" s="107">
        <v>0</v>
      </c>
      <c r="BL169" s="39"/>
      <c r="BM169" s="3"/>
      <c r="BN169" s="3">
        <v>0</v>
      </c>
      <c r="BP169" s="3"/>
      <c r="BQ169" s="3"/>
      <c r="BS169" s="43"/>
      <c r="BT169" s="43">
        <v>0</v>
      </c>
      <c r="BU169" s="1037"/>
      <c r="BV169" s="42"/>
      <c r="BW169" s="43"/>
      <c r="BX169" s="37"/>
      <c r="BY169" s="78"/>
      <c r="BZ169" s="43">
        <v>0</v>
      </c>
      <c r="CA169" s="1038"/>
      <c r="CB169" s="42"/>
      <c r="CC169" s="42">
        <v>0</v>
      </c>
      <c r="CD169" s="1039"/>
      <c r="CE169" s="78">
        <v>0</v>
      </c>
      <c r="CF169" s="56"/>
      <c r="CG169" s="42">
        <v>0</v>
      </c>
      <c r="CH169" s="39">
        <v>0</v>
      </c>
      <c r="CI169" s="78">
        <v>0</v>
      </c>
      <c r="CJ169" s="56"/>
      <c r="CK169" s="1034"/>
      <c r="CL169" s="1029"/>
      <c r="CM169" s="1034"/>
      <c r="CN169" s="1029">
        <v>0</v>
      </c>
      <c r="CO169" s="78">
        <v>0</v>
      </c>
      <c r="CP169" s="43">
        <v>0</v>
      </c>
      <c r="CQ169" s="5"/>
      <c r="CR169" s="78">
        <v>0</v>
      </c>
      <c r="CS169" s="1033">
        <v>0</v>
      </c>
      <c r="CT169" s="5"/>
      <c r="CU169" s="78">
        <v>0</v>
      </c>
      <c r="CV169" s="43">
        <v>0</v>
      </c>
      <c r="CW169" s="5"/>
      <c r="CX169" s="78">
        <v>0</v>
      </c>
      <c r="CY169" s="43">
        <v>0</v>
      </c>
      <c r="CZ169" s="5"/>
      <c r="DA169" s="78">
        <v>0</v>
      </c>
      <c r="DB169" s="43">
        <v>0</v>
      </c>
      <c r="DC169" s="5"/>
      <c r="DD169" s="78">
        <v>0</v>
      </c>
      <c r="DE169" s="43">
        <v>0</v>
      </c>
      <c r="DF169" s="5"/>
      <c r="DG169" s="78">
        <v>0</v>
      </c>
      <c r="DH169" s="43"/>
      <c r="DI169" s="5"/>
      <c r="DJ169" s="43">
        <v>0</v>
      </c>
      <c r="DK169" s="43">
        <f t="shared" si="22"/>
        <v>0</v>
      </c>
      <c r="DL169" s="59">
        <f t="shared" si="23"/>
        <v>0</v>
      </c>
    </row>
    <row r="170" spans="1:116" ht="24.9" customHeight="1" x14ac:dyDescent="0.3">
      <c r="A170" s="328">
        <v>150000506</v>
      </c>
      <c r="B170" s="45" t="s">
        <v>111</v>
      </c>
      <c r="C170" s="1035">
        <v>1</v>
      </c>
      <c r="D170" s="1036" t="s">
        <v>454</v>
      </c>
      <c r="E170" s="1028">
        <f>'побудинковий звіт'!E168</f>
        <v>7425.1</v>
      </c>
      <c r="F170" s="1029">
        <f>'побудинковий звіт'!AS168</f>
        <v>1719.6101674778683</v>
      </c>
      <c r="G170" s="1029">
        <f t="shared" si="16"/>
        <v>0</v>
      </c>
      <c r="H170" s="1029">
        <f t="shared" si="17"/>
        <v>-1719.6101674778683</v>
      </c>
      <c r="I170" s="43">
        <f>'[1]поточний ремонт'!I170+'[2]поточний ремонт'!I170-'[3]поточний ремонт'!I170</f>
        <v>0</v>
      </c>
      <c r="J170" s="43">
        <f>'[1]поточний ремонт'!J170+'[2]поточний ремонт'!J170-'[3]поточний ремонт'!J170</f>
        <v>0</v>
      </c>
      <c r="K170" s="1037"/>
      <c r="L170" s="43">
        <f>'[1]поточний ремонт'!L170+'[2]поточний ремонт'!L170-'[3]поточний ремонт'!L170</f>
        <v>0</v>
      </c>
      <c r="M170" s="43">
        <f>'[1]поточний ремонт'!M170+'[2]поточний ремонт'!M170-'[3]поточний ремонт'!M170</f>
        <v>0</v>
      </c>
      <c r="N170" s="37"/>
      <c r="O170" s="43">
        <f>'[1]поточний ремонт'!O170+'[2]поточний ремонт'!O170-'[3]поточний ремонт'!O170</f>
        <v>0</v>
      </c>
      <c r="P170" s="43">
        <f>'[1]поточний ремонт'!P170+'[2]поточний ремонт'!P170-'[3]поточний ремонт'!P170</f>
        <v>0</v>
      </c>
      <c r="Q170" s="1038"/>
      <c r="R170" s="43">
        <f>'[1]поточний ремонт'!R170+'[2]поточний ремонт'!R170-'[3]поточний ремонт'!R170</f>
        <v>0</v>
      </c>
      <c r="S170" s="43">
        <f>'[1]поточний ремонт'!S170+'[2]поточний ремонт'!S170-'[3]поточний ремонт'!S170</f>
        <v>0</v>
      </c>
      <c r="T170" s="1039"/>
      <c r="U170" s="43">
        <f>'[1]поточний ремонт'!U170+'[2]поточний ремонт'!U170-'[3]поточний ремонт'!U170</f>
        <v>0</v>
      </c>
      <c r="V170" s="43">
        <f>'[1]поточний ремонт'!V170+'[2]поточний ремонт'!V170-'[3]поточний ремонт'!V170</f>
        <v>0</v>
      </c>
      <c r="W170" s="43">
        <f>'[1]поточний ремонт'!W170+'[2]поточний ремонт'!W170-'[3]поточний ремонт'!W170</f>
        <v>0</v>
      </c>
      <c r="X170" s="43">
        <f>'[1]поточний ремонт'!X170+'[2]поточний ремонт'!X170-'[3]поточний ремонт'!X170</f>
        <v>0</v>
      </c>
      <c r="Y170" s="43">
        <f>'[1]поточний ремонт'!Y170+'[2]поточний ремонт'!Y170-'[3]поточний ремонт'!Y170</f>
        <v>0</v>
      </c>
      <c r="Z170" s="43">
        <f>'[1]поточний ремонт'!Z170+'[2]поточний ремонт'!Z170-'[3]поточний ремонт'!Z170</f>
        <v>0</v>
      </c>
      <c r="AA170" s="43">
        <f>'[1]поточний ремонт'!AA170+'[2]поточний ремонт'!AA170-'[3]поточний ремонт'!AA170</f>
        <v>0</v>
      </c>
      <c r="AB170" s="43">
        <f>'[1]поточний ремонт'!AB170+'[2]поточний ремонт'!AB170-'[3]поточний ремонт'!AB170</f>
        <v>0</v>
      </c>
      <c r="AC170" s="43">
        <f>'[1]поточний ремонт'!AC170+'[2]поточний ремонт'!AC170-'[3]поточний ремонт'!AC170</f>
        <v>0</v>
      </c>
      <c r="AD170" s="43">
        <f>'[1]поточний ремонт'!AD170+'[2]поточний ремонт'!AD170-'[3]поточний ремонт'!AD170</f>
        <v>0</v>
      </c>
      <c r="AE170" s="43">
        <f>'[1]поточний ремонт'!AE170+'[2]поточний ремонт'!AE170-'[3]поточний ремонт'!AE170</f>
        <v>0</v>
      </c>
      <c r="AF170" s="43">
        <f>'[1]поточний ремонт'!AF170+'[2]поточний ремонт'!AF170-'[3]поточний ремонт'!AF170</f>
        <v>0</v>
      </c>
      <c r="AG170" s="5"/>
      <c r="AH170" s="43">
        <f>'[1]поточний ремонт'!AH170+'[2]поточний ремонт'!AH170-'[3]поточний ремонт'!AH170</f>
        <v>0</v>
      </c>
      <c r="AI170" s="43">
        <f>'[1]поточний ремонт'!AI170+'[2]поточний ремонт'!AI170-'[3]поточний ремонт'!AI170</f>
        <v>0</v>
      </c>
      <c r="AJ170" s="5"/>
      <c r="AK170" s="43">
        <f>'[1]поточний ремонт'!AK170+'[2]поточний ремонт'!AK170-'[3]поточний ремонт'!AK170</f>
        <v>0</v>
      </c>
      <c r="AL170" s="43">
        <f>'[1]поточний ремонт'!AL170+'[2]поточний ремонт'!AL170-'[3]поточний ремонт'!AL170</f>
        <v>0</v>
      </c>
      <c r="AM170" s="5"/>
      <c r="AN170" s="43">
        <f>'[1]поточний ремонт'!AN170+'[2]поточний ремонт'!AN170-'[3]поточний ремонт'!AN170</f>
        <v>0</v>
      </c>
      <c r="AO170" s="43">
        <f>'[1]поточний ремонт'!AO170+'[2]поточний ремонт'!AO170-'[3]поточний ремонт'!AO170</f>
        <v>0</v>
      </c>
      <c r="AP170" s="5"/>
      <c r="AQ170" s="43">
        <f>'[1]поточний ремонт'!AQ170+'[2]поточний ремонт'!AQ170-'[3]поточний ремонт'!AQ170</f>
        <v>0</v>
      </c>
      <c r="AR170" s="43">
        <f>'[1]поточний ремонт'!AR170+'[2]поточний ремонт'!AR170-'[3]поточний ремонт'!AR170</f>
        <v>0</v>
      </c>
      <c r="AS170" s="5"/>
      <c r="AT170" s="43">
        <f>'[1]поточний ремонт'!AT170+'[2]поточний ремонт'!AT170-'[3]поточний ремонт'!AT170</f>
        <v>0</v>
      </c>
      <c r="AU170" s="43">
        <f>'[1]поточний ремонт'!AU170+'[2]поточний ремонт'!AU170-'[3]поточний ремонт'!AU170</f>
        <v>0</v>
      </c>
      <c r="AV170" s="5"/>
      <c r="AW170" s="43">
        <f>'[1]поточний ремонт'!AW170+'[2]поточний ремонт'!AW170-'[3]поточний ремонт'!AW170</f>
        <v>0</v>
      </c>
      <c r="AX170" s="43">
        <f>'[1]поточний ремонт'!AX170+'[2]поточний ремонт'!AX170-'[3]поточний ремонт'!AX170</f>
        <v>0</v>
      </c>
      <c r="AY170" s="5"/>
      <c r="AZ170" s="43">
        <f t="shared" si="18"/>
        <v>0</v>
      </c>
      <c r="BA170" s="43">
        <f t="shared" si="19"/>
        <v>0</v>
      </c>
      <c r="BB170" s="59">
        <f t="shared" si="20"/>
        <v>0</v>
      </c>
      <c r="BD170" s="2">
        <v>3</v>
      </c>
      <c r="BF170" s="30">
        <v>0</v>
      </c>
      <c r="BG170" s="328">
        <v>150000506</v>
      </c>
      <c r="BI170" s="107">
        <v>0</v>
      </c>
      <c r="BJ170" s="107">
        <f t="shared" si="21"/>
        <v>0</v>
      </c>
      <c r="BK170" s="107">
        <v>0</v>
      </c>
      <c r="BL170" s="39"/>
      <c r="BM170" s="3"/>
      <c r="BN170" s="3">
        <v>0</v>
      </c>
      <c r="BP170" s="3"/>
      <c r="BQ170" s="3"/>
      <c r="BS170" s="43"/>
      <c r="BT170" s="43">
        <v>0</v>
      </c>
      <c r="BU170" s="1037"/>
      <c r="BV170" s="42"/>
      <c r="BW170" s="43"/>
      <c r="BX170" s="37"/>
      <c r="BY170" s="78"/>
      <c r="BZ170" s="43">
        <v>0</v>
      </c>
      <c r="CA170" s="1038"/>
      <c r="CB170" s="42"/>
      <c r="CC170" s="42">
        <v>0</v>
      </c>
      <c r="CD170" s="1039"/>
      <c r="CE170" s="78">
        <v>0</v>
      </c>
      <c r="CF170" s="56"/>
      <c r="CG170" s="42">
        <v>0</v>
      </c>
      <c r="CH170" s="39">
        <v>0</v>
      </c>
      <c r="CI170" s="78">
        <v>0</v>
      </c>
      <c r="CJ170" s="56"/>
      <c r="CK170" s="1034"/>
      <c r="CL170" s="1029"/>
      <c r="CM170" s="1034"/>
      <c r="CN170" s="1029">
        <v>0</v>
      </c>
      <c r="CO170" s="78">
        <v>0</v>
      </c>
      <c r="CP170" s="43">
        <v>0</v>
      </c>
      <c r="CQ170" s="5"/>
      <c r="CR170" s="78">
        <v>0</v>
      </c>
      <c r="CS170" s="1033">
        <v>0</v>
      </c>
      <c r="CT170" s="5"/>
      <c r="CU170" s="78">
        <v>0</v>
      </c>
      <c r="CV170" s="43">
        <v>0</v>
      </c>
      <c r="CW170" s="5"/>
      <c r="CX170" s="78">
        <v>0</v>
      </c>
      <c r="CY170" s="43">
        <v>0</v>
      </c>
      <c r="CZ170" s="5"/>
      <c r="DA170" s="78">
        <v>0</v>
      </c>
      <c r="DB170" s="43">
        <v>0</v>
      </c>
      <c r="DC170" s="5"/>
      <c r="DD170" s="78">
        <v>0</v>
      </c>
      <c r="DE170" s="43">
        <v>0</v>
      </c>
      <c r="DF170" s="5"/>
      <c r="DG170" s="78">
        <v>0</v>
      </c>
      <c r="DH170" s="43"/>
      <c r="DI170" s="5"/>
      <c r="DJ170" s="43">
        <v>0</v>
      </c>
      <c r="DK170" s="43">
        <f t="shared" si="22"/>
        <v>0</v>
      </c>
      <c r="DL170" s="59">
        <f t="shared" si="23"/>
        <v>0</v>
      </c>
    </row>
    <row r="171" spans="1:116" ht="24.9" customHeight="1" x14ac:dyDescent="0.3">
      <c r="A171" s="328">
        <v>150000505</v>
      </c>
      <c r="B171" s="45" t="s">
        <v>112</v>
      </c>
      <c r="C171" s="1035">
        <v>1</v>
      </c>
      <c r="D171" s="1036" t="s">
        <v>454</v>
      </c>
      <c r="E171" s="1028">
        <f>'побудинковий звіт'!E169</f>
        <v>6125.75</v>
      </c>
      <c r="F171" s="1029">
        <f>'побудинковий звіт'!AS169</f>
        <v>2707.0823180135071</v>
      </c>
      <c r="G171" s="1029">
        <f t="shared" si="16"/>
        <v>0</v>
      </c>
      <c r="H171" s="1029">
        <f t="shared" si="17"/>
        <v>-2707.0823180135071</v>
      </c>
      <c r="I171" s="43">
        <f>'[1]поточний ремонт'!I171+'[2]поточний ремонт'!I171-'[3]поточний ремонт'!I171</f>
        <v>0</v>
      </c>
      <c r="J171" s="43">
        <f>'[1]поточний ремонт'!J171+'[2]поточний ремонт'!J171-'[3]поточний ремонт'!J171</f>
        <v>0</v>
      </c>
      <c r="K171" s="1037"/>
      <c r="L171" s="43">
        <f>'[1]поточний ремонт'!L171+'[2]поточний ремонт'!L171-'[3]поточний ремонт'!L171</f>
        <v>0</v>
      </c>
      <c r="M171" s="43">
        <f>'[1]поточний ремонт'!M171+'[2]поточний ремонт'!M171-'[3]поточний ремонт'!M171</f>
        <v>0</v>
      </c>
      <c r="N171" s="37"/>
      <c r="O171" s="43">
        <f>'[1]поточний ремонт'!O171+'[2]поточний ремонт'!O171-'[3]поточний ремонт'!O171</f>
        <v>0</v>
      </c>
      <c r="P171" s="43">
        <f>'[1]поточний ремонт'!P171+'[2]поточний ремонт'!P171-'[3]поточний ремонт'!P171</f>
        <v>0</v>
      </c>
      <c r="Q171" s="1038"/>
      <c r="R171" s="43">
        <f>'[1]поточний ремонт'!R171+'[2]поточний ремонт'!R171-'[3]поточний ремонт'!R171</f>
        <v>0</v>
      </c>
      <c r="S171" s="43">
        <f>'[1]поточний ремонт'!S171+'[2]поточний ремонт'!S171-'[3]поточний ремонт'!S171</f>
        <v>0</v>
      </c>
      <c r="T171" s="1039"/>
      <c r="U171" s="43">
        <f>'[1]поточний ремонт'!U171+'[2]поточний ремонт'!U171-'[3]поточний ремонт'!U171</f>
        <v>0</v>
      </c>
      <c r="V171" s="43">
        <f>'[1]поточний ремонт'!V171+'[2]поточний ремонт'!V171-'[3]поточний ремонт'!V171</f>
        <v>0</v>
      </c>
      <c r="W171" s="43">
        <f>'[1]поточний ремонт'!W171+'[2]поточний ремонт'!W171-'[3]поточний ремонт'!W171</f>
        <v>0</v>
      </c>
      <c r="X171" s="43">
        <f>'[1]поточний ремонт'!X171+'[2]поточний ремонт'!X171-'[3]поточний ремонт'!X171</f>
        <v>0</v>
      </c>
      <c r="Y171" s="43">
        <f>'[1]поточний ремонт'!Y171+'[2]поточний ремонт'!Y171-'[3]поточний ремонт'!Y171</f>
        <v>0</v>
      </c>
      <c r="Z171" s="43">
        <f>'[1]поточний ремонт'!Z171+'[2]поточний ремонт'!Z171-'[3]поточний ремонт'!Z171</f>
        <v>0</v>
      </c>
      <c r="AA171" s="43">
        <f>'[1]поточний ремонт'!AA171+'[2]поточний ремонт'!AA171-'[3]поточний ремонт'!AA171</f>
        <v>0</v>
      </c>
      <c r="AB171" s="43">
        <f>'[1]поточний ремонт'!AB171+'[2]поточний ремонт'!AB171-'[3]поточний ремонт'!AB171</f>
        <v>0</v>
      </c>
      <c r="AC171" s="43">
        <f>'[1]поточний ремонт'!AC171+'[2]поточний ремонт'!AC171-'[3]поточний ремонт'!AC171</f>
        <v>0</v>
      </c>
      <c r="AD171" s="43">
        <f>'[1]поточний ремонт'!AD171+'[2]поточний ремонт'!AD171-'[3]поточний ремонт'!AD171</f>
        <v>0</v>
      </c>
      <c r="AE171" s="43">
        <f>'[1]поточний ремонт'!AE171+'[2]поточний ремонт'!AE171-'[3]поточний ремонт'!AE171</f>
        <v>0</v>
      </c>
      <c r="AF171" s="43">
        <f>'[1]поточний ремонт'!AF171+'[2]поточний ремонт'!AF171-'[3]поточний ремонт'!AF171</f>
        <v>0</v>
      </c>
      <c r="AG171" s="5"/>
      <c r="AH171" s="43">
        <f>'[1]поточний ремонт'!AH171+'[2]поточний ремонт'!AH171-'[3]поточний ремонт'!AH171</f>
        <v>0</v>
      </c>
      <c r="AI171" s="43">
        <f>'[1]поточний ремонт'!AI171+'[2]поточний ремонт'!AI171-'[3]поточний ремонт'!AI171</f>
        <v>0</v>
      </c>
      <c r="AJ171" s="5"/>
      <c r="AK171" s="43">
        <f>'[1]поточний ремонт'!AK171+'[2]поточний ремонт'!AK171-'[3]поточний ремонт'!AK171</f>
        <v>0</v>
      </c>
      <c r="AL171" s="43">
        <f>'[1]поточний ремонт'!AL171+'[2]поточний ремонт'!AL171-'[3]поточний ремонт'!AL171</f>
        <v>0</v>
      </c>
      <c r="AM171" s="5"/>
      <c r="AN171" s="43">
        <f>'[1]поточний ремонт'!AN171+'[2]поточний ремонт'!AN171-'[3]поточний ремонт'!AN171</f>
        <v>0</v>
      </c>
      <c r="AO171" s="43">
        <f>'[1]поточний ремонт'!AO171+'[2]поточний ремонт'!AO171-'[3]поточний ремонт'!AO171</f>
        <v>0</v>
      </c>
      <c r="AP171" s="5"/>
      <c r="AQ171" s="43">
        <f>'[1]поточний ремонт'!AQ171+'[2]поточний ремонт'!AQ171-'[3]поточний ремонт'!AQ171</f>
        <v>0</v>
      </c>
      <c r="AR171" s="43">
        <f>'[1]поточний ремонт'!AR171+'[2]поточний ремонт'!AR171-'[3]поточний ремонт'!AR171</f>
        <v>0</v>
      </c>
      <c r="AS171" s="5"/>
      <c r="AT171" s="43">
        <f>'[1]поточний ремонт'!AT171+'[2]поточний ремонт'!AT171-'[3]поточний ремонт'!AT171</f>
        <v>0</v>
      </c>
      <c r="AU171" s="43">
        <f>'[1]поточний ремонт'!AU171+'[2]поточний ремонт'!AU171-'[3]поточний ремонт'!AU171</f>
        <v>0</v>
      </c>
      <c r="AV171" s="5"/>
      <c r="AW171" s="43">
        <f>'[1]поточний ремонт'!AW171+'[2]поточний ремонт'!AW171-'[3]поточний ремонт'!AW171</f>
        <v>0</v>
      </c>
      <c r="AX171" s="43">
        <f>'[1]поточний ремонт'!AX171+'[2]поточний ремонт'!AX171-'[3]поточний ремонт'!AX171</f>
        <v>0</v>
      </c>
      <c r="AY171" s="5"/>
      <c r="AZ171" s="43">
        <f t="shared" si="18"/>
        <v>0</v>
      </c>
      <c r="BA171" s="43">
        <f t="shared" si="19"/>
        <v>0</v>
      </c>
      <c r="BB171" s="59">
        <f t="shared" si="20"/>
        <v>0</v>
      </c>
      <c r="BD171" s="2">
        <v>3</v>
      </c>
      <c r="BF171" s="30">
        <v>0</v>
      </c>
      <c r="BG171" s="328">
        <v>150000505</v>
      </c>
      <c r="BI171" s="107">
        <v>0</v>
      </c>
      <c r="BJ171" s="107">
        <f t="shared" si="21"/>
        <v>0</v>
      </c>
      <c r="BK171" s="107">
        <v>0</v>
      </c>
      <c r="BL171" s="39"/>
      <c r="BM171" s="3"/>
      <c r="BN171" s="3">
        <v>0</v>
      </c>
      <c r="BP171" s="3"/>
      <c r="BQ171" s="3"/>
      <c r="BS171" s="43"/>
      <c r="BT171" s="43">
        <v>0</v>
      </c>
      <c r="BU171" s="1037"/>
      <c r="BV171" s="42"/>
      <c r="BW171" s="43"/>
      <c r="BX171" s="37"/>
      <c r="BY171" s="78"/>
      <c r="BZ171" s="43">
        <v>0</v>
      </c>
      <c r="CA171" s="1038"/>
      <c r="CB171" s="42"/>
      <c r="CC171" s="42">
        <v>0</v>
      </c>
      <c r="CD171" s="1039"/>
      <c r="CE171" s="78">
        <v>0</v>
      </c>
      <c r="CF171" s="56"/>
      <c r="CG171" s="42">
        <v>0</v>
      </c>
      <c r="CH171" s="39">
        <v>0</v>
      </c>
      <c r="CI171" s="78">
        <v>0</v>
      </c>
      <c r="CJ171" s="56"/>
      <c r="CK171" s="1034"/>
      <c r="CL171" s="1029"/>
      <c r="CM171" s="1034"/>
      <c r="CN171" s="1029">
        <v>0</v>
      </c>
      <c r="CO171" s="78">
        <v>0</v>
      </c>
      <c r="CP171" s="43">
        <v>0</v>
      </c>
      <c r="CQ171" s="5"/>
      <c r="CR171" s="78">
        <v>0</v>
      </c>
      <c r="CS171" s="1033">
        <v>0</v>
      </c>
      <c r="CT171" s="5"/>
      <c r="CU171" s="78">
        <v>0</v>
      </c>
      <c r="CV171" s="43">
        <v>0</v>
      </c>
      <c r="CW171" s="5"/>
      <c r="CX171" s="78">
        <v>0</v>
      </c>
      <c r="CY171" s="43">
        <v>0</v>
      </c>
      <c r="CZ171" s="5"/>
      <c r="DA171" s="78">
        <v>0</v>
      </c>
      <c r="DB171" s="43">
        <v>0</v>
      </c>
      <c r="DC171" s="5"/>
      <c r="DD171" s="78">
        <v>0</v>
      </c>
      <c r="DE171" s="43">
        <v>0</v>
      </c>
      <c r="DF171" s="5"/>
      <c r="DG171" s="78">
        <v>0</v>
      </c>
      <c r="DH171" s="43"/>
      <c r="DI171" s="5"/>
      <c r="DJ171" s="43">
        <v>0</v>
      </c>
      <c r="DK171" s="43">
        <f t="shared" si="22"/>
        <v>0</v>
      </c>
      <c r="DL171" s="59">
        <f t="shared" si="23"/>
        <v>0</v>
      </c>
    </row>
    <row r="172" spans="1:116" ht="24.9" customHeight="1" x14ac:dyDescent="0.3">
      <c r="A172" s="328">
        <v>150000507</v>
      </c>
      <c r="B172" s="45" t="s">
        <v>113</v>
      </c>
      <c r="C172" s="1035">
        <v>1</v>
      </c>
      <c r="D172" s="1036" t="s">
        <v>454</v>
      </c>
      <c r="E172" s="1028">
        <f>'побудинковий звіт'!E170</f>
        <v>211.3</v>
      </c>
      <c r="F172" s="1029">
        <f>'побудинковий звіт'!AS170</f>
        <v>4198.0550126458775</v>
      </c>
      <c r="G172" s="1029">
        <f t="shared" si="16"/>
        <v>0</v>
      </c>
      <c r="H172" s="1029">
        <f t="shared" si="17"/>
        <v>-4198.0550126458775</v>
      </c>
      <c r="I172" s="43">
        <f>'[1]поточний ремонт'!I172+'[2]поточний ремонт'!I172-'[3]поточний ремонт'!I172</f>
        <v>0</v>
      </c>
      <c r="J172" s="43">
        <f>'[1]поточний ремонт'!J172+'[2]поточний ремонт'!J172-'[3]поточний ремонт'!J172</f>
        <v>0</v>
      </c>
      <c r="K172" s="1037"/>
      <c r="L172" s="43">
        <f>'[1]поточний ремонт'!L172+'[2]поточний ремонт'!L172-'[3]поточний ремонт'!L172</f>
        <v>0</v>
      </c>
      <c r="M172" s="43">
        <f>'[1]поточний ремонт'!M172+'[2]поточний ремонт'!M172-'[3]поточний ремонт'!M172</f>
        <v>0</v>
      </c>
      <c r="N172" s="37"/>
      <c r="O172" s="43">
        <f>'[1]поточний ремонт'!O172+'[2]поточний ремонт'!O172-'[3]поточний ремонт'!O172</f>
        <v>0</v>
      </c>
      <c r="P172" s="43">
        <f>'[1]поточний ремонт'!P172+'[2]поточний ремонт'!P172-'[3]поточний ремонт'!P172</f>
        <v>0</v>
      </c>
      <c r="Q172" s="1038"/>
      <c r="R172" s="43">
        <f>'[1]поточний ремонт'!R172+'[2]поточний ремонт'!R172-'[3]поточний ремонт'!R172</f>
        <v>0</v>
      </c>
      <c r="S172" s="43">
        <f>'[1]поточний ремонт'!S172+'[2]поточний ремонт'!S172-'[3]поточний ремонт'!S172</f>
        <v>0</v>
      </c>
      <c r="T172" s="1039"/>
      <c r="U172" s="43">
        <f>'[1]поточний ремонт'!U172+'[2]поточний ремонт'!U172-'[3]поточний ремонт'!U172</f>
        <v>0</v>
      </c>
      <c r="V172" s="43">
        <f>'[1]поточний ремонт'!V172+'[2]поточний ремонт'!V172-'[3]поточний ремонт'!V172</f>
        <v>0</v>
      </c>
      <c r="W172" s="43">
        <f>'[1]поточний ремонт'!W172+'[2]поточний ремонт'!W172-'[3]поточний ремонт'!W172</f>
        <v>0</v>
      </c>
      <c r="X172" s="43">
        <f>'[1]поточний ремонт'!X172+'[2]поточний ремонт'!X172-'[3]поточний ремонт'!X172</f>
        <v>0</v>
      </c>
      <c r="Y172" s="43">
        <f>'[1]поточний ремонт'!Y172+'[2]поточний ремонт'!Y172-'[3]поточний ремонт'!Y172</f>
        <v>0</v>
      </c>
      <c r="Z172" s="43">
        <f>'[1]поточний ремонт'!Z172+'[2]поточний ремонт'!Z172-'[3]поточний ремонт'!Z172</f>
        <v>0</v>
      </c>
      <c r="AA172" s="43">
        <f>'[1]поточний ремонт'!AA172+'[2]поточний ремонт'!AA172-'[3]поточний ремонт'!AA172</f>
        <v>0</v>
      </c>
      <c r="AB172" s="43">
        <f>'[1]поточний ремонт'!AB172+'[2]поточний ремонт'!AB172-'[3]поточний ремонт'!AB172</f>
        <v>0</v>
      </c>
      <c r="AC172" s="43">
        <f>'[1]поточний ремонт'!AC172+'[2]поточний ремонт'!AC172-'[3]поточний ремонт'!AC172</f>
        <v>0</v>
      </c>
      <c r="AD172" s="43">
        <f>'[1]поточний ремонт'!AD172+'[2]поточний ремонт'!AD172-'[3]поточний ремонт'!AD172</f>
        <v>0</v>
      </c>
      <c r="AE172" s="43">
        <f>'[1]поточний ремонт'!AE172+'[2]поточний ремонт'!AE172-'[3]поточний ремонт'!AE172</f>
        <v>0</v>
      </c>
      <c r="AF172" s="43">
        <f>'[1]поточний ремонт'!AF172+'[2]поточний ремонт'!AF172-'[3]поточний ремонт'!AF172</f>
        <v>0</v>
      </c>
      <c r="AG172" s="5"/>
      <c r="AH172" s="43">
        <f>'[1]поточний ремонт'!AH172+'[2]поточний ремонт'!AH172-'[3]поточний ремонт'!AH172</f>
        <v>0</v>
      </c>
      <c r="AI172" s="43">
        <f>'[1]поточний ремонт'!AI172+'[2]поточний ремонт'!AI172-'[3]поточний ремонт'!AI172</f>
        <v>0</v>
      </c>
      <c r="AJ172" s="5"/>
      <c r="AK172" s="43">
        <f>'[1]поточний ремонт'!AK172+'[2]поточний ремонт'!AK172-'[3]поточний ремонт'!AK172</f>
        <v>0</v>
      </c>
      <c r="AL172" s="43">
        <f>'[1]поточний ремонт'!AL172+'[2]поточний ремонт'!AL172-'[3]поточний ремонт'!AL172</f>
        <v>0</v>
      </c>
      <c r="AM172" s="5"/>
      <c r="AN172" s="43">
        <f>'[1]поточний ремонт'!AN172+'[2]поточний ремонт'!AN172-'[3]поточний ремонт'!AN172</f>
        <v>0</v>
      </c>
      <c r="AO172" s="43">
        <f>'[1]поточний ремонт'!AO172+'[2]поточний ремонт'!AO172-'[3]поточний ремонт'!AO172</f>
        <v>0</v>
      </c>
      <c r="AP172" s="5"/>
      <c r="AQ172" s="43">
        <f>'[1]поточний ремонт'!AQ172+'[2]поточний ремонт'!AQ172-'[3]поточний ремонт'!AQ172</f>
        <v>0</v>
      </c>
      <c r="AR172" s="43">
        <f>'[1]поточний ремонт'!AR172+'[2]поточний ремонт'!AR172-'[3]поточний ремонт'!AR172</f>
        <v>0</v>
      </c>
      <c r="AS172" s="5"/>
      <c r="AT172" s="43">
        <f>'[1]поточний ремонт'!AT172+'[2]поточний ремонт'!AT172-'[3]поточний ремонт'!AT172</f>
        <v>0</v>
      </c>
      <c r="AU172" s="43">
        <f>'[1]поточний ремонт'!AU172+'[2]поточний ремонт'!AU172-'[3]поточний ремонт'!AU172</f>
        <v>0</v>
      </c>
      <c r="AV172" s="5"/>
      <c r="AW172" s="43">
        <f>'[1]поточний ремонт'!AW172+'[2]поточний ремонт'!AW172-'[3]поточний ремонт'!AW172</f>
        <v>0</v>
      </c>
      <c r="AX172" s="43">
        <f>'[1]поточний ремонт'!AX172+'[2]поточний ремонт'!AX172-'[3]поточний ремонт'!AX172</f>
        <v>0</v>
      </c>
      <c r="AY172" s="5"/>
      <c r="AZ172" s="43">
        <f t="shared" si="18"/>
        <v>0</v>
      </c>
      <c r="BA172" s="43">
        <f t="shared" si="19"/>
        <v>0</v>
      </c>
      <c r="BB172" s="59">
        <f t="shared" si="20"/>
        <v>0</v>
      </c>
      <c r="BD172" s="2">
        <v>3</v>
      </c>
      <c r="BF172" s="30">
        <v>0</v>
      </c>
      <c r="BG172" s="328">
        <v>150000507</v>
      </c>
      <c r="BI172" s="107">
        <v>0</v>
      </c>
      <c r="BJ172" s="107">
        <f t="shared" si="21"/>
        <v>0</v>
      </c>
      <c r="BK172" s="107">
        <v>0</v>
      </c>
      <c r="BL172" s="39"/>
      <c r="BM172" s="3"/>
      <c r="BN172" s="3">
        <v>0</v>
      </c>
      <c r="BP172" s="3"/>
      <c r="BQ172" s="3"/>
      <c r="BS172" s="43"/>
      <c r="BT172" s="43">
        <v>0</v>
      </c>
      <c r="BU172" s="1037"/>
      <c r="BV172" s="42"/>
      <c r="BW172" s="43"/>
      <c r="BX172" s="37"/>
      <c r="BY172" s="78"/>
      <c r="BZ172" s="43">
        <v>0</v>
      </c>
      <c r="CA172" s="1038"/>
      <c r="CB172" s="42"/>
      <c r="CC172" s="42">
        <v>0</v>
      </c>
      <c r="CD172" s="1039"/>
      <c r="CE172" s="78">
        <v>0</v>
      </c>
      <c r="CF172" s="56"/>
      <c r="CG172" s="42">
        <v>0</v>
      </c>
      <c r="CH172" s="39">
        <v>0</v>
      </c>
      <c r="CI172" s="78">
        <v>0</v>
      </c>
      <c r="CJ172" s="56"/>
      <c r="CK172" s="1034"/>
      <c r="CL172" s="1029"/>
      <c r="CM172" s="1034"/>
      <c r="CN172" s="1029">
        <v>0</v>
      </c>
      <c r="CO172" s="78">
        <v>0</v>
      </c>
      <c r="CP172" s="43">
        <v>0</v>
      </c>
      <c r="CQ172" s="5"/>
      <c r="CR172" s="78">
        <v>0</v>
      </c>
      <c r="CS172" s="1033">
        <v>0</v>
      </c>
      <c r="CT172" s="5"/>
      <c r="CU172" s="78">
        <v>0</v>
      </c>
      <c r="CV172" s="43">
        <v>0</v>
      </c>
      <c r="CW172" s="5"/>
      <c r="CX172" s="78">
        <v>0</v>
      </c>
      <c r="CY172" s="43">
        <v>0</v>
      </c>
      <c r="CZ172" s="5"/>
      <c r="DA172" s="78">
        <v>0</v>
      </c>
      <c r="DB172" s="43">
        <v>0</v>
      </c>
      <c r="DC172" s="5"/>
      <c r="DD172" s="78">
        <v>0</v>
      </c>
      <c r="DE172" s="43">
        <v>0</v>
      </c>
      <c r="DF172" s="5"/>
      <c r="DG172" s="78">
        <v>0</v>
      </c>
      <c r="DH172" s="43"/>
      <c r="DI172" s="5"/>
      <c r="DJ172" s="43">
        <v>0</v>
      </c>
      <c r="DK172" s="43">
        <f t="shared" si="22"/>
        <v>0</v>
      </c>
      <c r="DL172" s="59">
        <f t="shared" si="23"/>
        <v>0</v>
      </c>
    </row>
    <row r="173" spans="1:116" ht="24.9" customHeight="1" x14ac:dyDescent="0.3">
      <c r="A173" s="328">
        <v>150000508</v>
      </c>
      <c r="B173" s="45" t="s">
        <v>114</v>
      </c>
      <c r="C173" s="1035">
        <v>1</v>
      </c>
      <c r="D173" s="1036" t="s">
        <v>454</v>
      </c>
      <c r="E173" s="1028">
        <f>'побудинковий звіт'!E171</f>
        <v>161.4</v>
      </c>
      <c r="F173" s="1029">
        <f>'побудинковий звіт'!AS171</f>
        <v>1758.8982184726769</v>
      </c>
      <c r="G173" s="1029">
        <f t="shared" si="16"/>
        <v>0</v>
      </c>
      <c r="H173" s="1029">
        <f t="shared" si="17"/>
        <v>-1758.8982184726769</v>
      </c>
      <c r="I173" s="43">
        <f>'[1]поточний ремонт'!I173+'[2]поточний ремонт'!I173-'[3]поточний ремонт'!I173</f>
        <v>0</v>
      </c>
      <c r="J173" s="43">
        <f>'[1]поточний ремонт'!J173+'[2]поточний ремонт'!J173-'[3]поточний ремонт'!J173</f>
        <v>0</v>
      </c>
      <c r="K173" s="1037"/>
      <c r="L173" s="43">
        <f>'[1]поточний ремонт'!L173+'[2]поточний ремонт'!L173-'[3]поточний ремонт'!L173</f>
        <v>0</v>
      </c>
      <c r="M173" s="43">
        <f>'[1]поточний ремонт'!M173+'[2]поточний ремонт'!M173-'[3]поточний ремонт'!M173</f>
        <v>0</v>
      </c>
      <c r="N173" s="37"/>
      <c r="O173" s="43">
        <f>'[1]поточний ремонт'!O173+'[2]поточний ремонт'!O173-'[3]поточний ремонт'!O173</f>
        <v>0</v>
      </c>
      <c r="P173" s="43">
        <f>'[1]поточний ремонт'!P173+'[2]поточний ремонт'!P173-'[3]поточний ремонт'!P173</f>
        <v>0</v>
      </c>
      <c r="Q173" s="1038"/>
      <c r="R173" s="43">
        <f>'[1]поточний ремонт'!R173+'[2]поточний ремонт'!R173-'[3]поточний ремонт'!R173</f>
        <v>0</v>
      </c>
      <c r="S173" s="43">
        <f>'[1]поточний ремонт'!S173+'[2]поточний ремонт'!S173-'[3]поточний ремонт'!S173</f>
        <v>0</v>
      </c>
      <c r="T173" s="1039"/>
      <c r="U173" s="43">
        <f>'[1]поточний ремонт'!U173+'[2]поточний ремонт'!U173-'[3]поточний ремонт'!U173</f>
        <v>0</v>
      </c>
      <c r="V173" s="43">
        <f>'[1]поточний ремонт'!V173+'[2]поточний ремонт'!V173-'[3]поточний ремонт'!V173</f>
        <v>0</v>
      </c>
      <c r="W173" s="43">
        <f>'[1]поточний ремонт'!W173+'[2]поточний ремонт'!W173-'[3]поточний ремонт'!W173</f>
        <v>0</v>
      </c>
      <c r="X173" s="43">
        <f>'[1]поточний ремонт'!X173+'[2]поточний ремонт'!X173-'[3]поточний ремонт'!X173</f>
        <v>0</v>
      </c>
      <c r="Y173" s="43">
        <f>'[1]поточний ремонт'!Y173+'[2]поточний ремонт'!Y173-'[3]поточний ремонт'!Y173</f>
        <v>0</v>
      </c>
      <c r="Z173" s="43">
        <f>'[1]поточний ремонт'!Z173+'[2]поточний ремонт'!Z173-'[3]поточний ремонт'!Z173</f>
        <v>0</v>
      </c>
      <c r="AA173" s="43">
        <f>'[1]поточний ремонт'!AA173+'[2]поточний ремонт'!AA173-'[3]поточний ремонт'!AA173</f>
        <v>0</v>
      </c>
      <c r="AB173" s="43">
        <f>'[1]поточний ремонт'!AB173+'[2]поточний ремонт'!AB173-'[3]поточний ремонт'!AB173</f>
        <v>0</v>
      </c>
      <c r="AC173" s="43">
        <f>'[1]поточний ремонт'!AC173+'[2]поточний ремонт'!AC173-'[3]поточний ремонт'!AC173</f>
        <v>0</v>
      </c>
      <c r="AD173" s="43">
        <f>'[1]поточний ремонт'!AD173+'[2]поточний ремонт'!AD173-'[3]поточний ремонт'!AD173</f>
        <v>0</v>
      </c>
      <c r="AE173" s="43">
        <f>'[1]поточний ремонт'!AE173+'[2]поточний ремонт'!AE173-'[3]поточний ремонт'!AE173</f>
        <v>0</v>
      </c>
      <c r="AF173" s="43">
        <f>'[1]поточний ремонт'!AF173+'[2]поточний ремонт'!AF173-'[3]поточний ремонт'!AF173</f>
        <v>0</v>
      </c>
      <c r="AG173" s="5"/>
      <c r="AH173" s="43">
        <f>'[1]поточний ремонт'!AH173+'[2]поточний ремонт'!AH173-'[3]поточний ремонт'!AH173</f>
        <v>0</v>
      </c>
      <c r="AI173" s="43">
        <f>'[1]поточний ремонт'!AI173+'[2]поточний ремонт'!AI173-'[3]поточний ремонт'!AI173</f>
        <v>0</v>
      </c>
      <c r="AJ173" s="5"/>
      <c r="AK173" s="43">
        <f>'[1]поточний ремонт'!AK173+'[2]поточний ремонт'!AK173-'[3]поточний ремонт'!AK173</f>
        <v>0</v>
      </c>
      <c r="AL173" s="43">
        <f>'[1]поточний ремонт'!AL173+'[2]поточний ремонт'!AL173-'[3]поточний ремонт'!AL173</f>
        <v>0</v>
      </c>
      <c r="AM173" s="5"/>
      <c r="AN173" s="43">
        <f>'[1]поточний ремонт'!AN173+'[2]поточний ремонт'!AN173-'[3]поточний ремонт'!AN173</f>
        <v>0</v>
      </c>
      <c r="AO173" s="43">
        <f>'[1]поточний ремонт'!AO173+'[2]поточний ремонт'!AO173-'[3]поточний ремонт'!AO173</f>
        <v>0</v>
      </c>
      <c r="AP173" s="5"/>
      <c r="AQ173" s="43">
        <f>'[1]поточний ремонт'!AQ173+'[2]поточний ремонт'!AQ173-'[3]поточний ремонт'!AQ173</f>
        <v>0</v>
      </c>
      <c r="AR173" s="43">
        <f>'[1]поточний ремонт'!AR173+'[2]поточний ремонт'!AR173-'[3]поточний ремонт'!AR173</f>
        <v>0</v>
      </c>
      <c r="AS173" s="5"/>
      <c r="AT173" s="43">
        <f>'[1]поточний ремонт'!AT173+'[2]поточний ремонт'!AT173-'[3]поточний ремонт'!AT173</f>
        <v>0</v>
      </c>
      <c r="AU173" s="43">
        <f>'[1]поточний ремонт'!AU173+'[2]поточний ремонт'!AU173-'[3]поточний ремонт'!AU173</f>
        <v>0</v>
      </c>
      <c r="AV173" s="5"/>
      <c r="AW173" s="43">
        <f>'[1]поточний ремонт'!AW173+'[2]поточний ремонт'!AW173-'[3]поточний ремонт'!AW173</f>
        <v>0</v>
      </c>
      <c r="AX173" s="43">
        <f>'[1]поточний ремонт'!AX173+'[2]поточний ремонт'!AX173-'[3]поточний ремонт'!AX173</f>
        <v>0</v>
      </c>
      <c r="AY173" s="5"/>
      <c r="AZ173" s="43">
        <f t="shared" si="18"/>
        <v>0</v>
      </c>
      <c r="BA173" s="43">
        <f t="shared" si="19"/>
        <v>0</v>
      </c>
      <c r="BB173" s="59">
        <f t="shared" si="20"/>
        <v>0</v>
      </c>
      <c r="BD173" s="2">
        <v>3</v>
      </c>
      <c r="BF173" s="30">
        <v>0</v>
      </c>
      <c r="BG173" s="328">
        <v>150000508</v>
      </c>
      <c r="BI173" s="107">
        <v>0</v>
      </c>
      <c r="BJ173" s="107">
        <f t="shared" si="21"/>
        <v>0</v>
      </c>
      <c r="BK173" s="107">
        <v>0</v>
      </c>
      <c r="BL173" s="39"/>
      <c r="BM173" s="3"/>
      <c r="BN173" s="3">
        <v>0</v>
      </c>
      <c r="BP173" s="3"/>
      <c r="BQ173" s="3"/>
      <c r="BS173" s="43"/>
      <c r="BT173" s="43">
        <v>0</v>
      </c>
      <c r="BU173" s="1037"/>
      <c r="BV173" s="42"/>
      <c r="BW173" s="43"/>
      <c r="BX173" s="37"/>
      <c r="BY173" s="78"/>
      <c r="BZ173" s="43">
        <v>0</v>
      </c>
      <c r="CA173" s="1038"/>
      <c r="CB173" s="42"/>
      <c r="CC173" s="42">
        <v>0</v>
      </c>
      <c r="CD173" s="1039"/>
      <c r="CE173" s="78">
        <v>0</v>
      </c>
      <c r="CF173" s="56"/>
      <c r="CG173" s="42">
        <v>0</v>
      </c>
      <c r="CH173" s="39">
        <v>0</v>
      </c>
      <c r="CI173" s="78">
        <v>0</v>
      </c>
      <c r="CJ173" s="56"/>
      <c r="CK173" s="1034"/>
      <c r="CL173" s="1029"/>
      <c r="CM173" s="1034"/>
      <c r="CN173" s="1029">
        <v>0</v>
      </c>
      <c r="CO173" s="78">
        <v>0</v>
      </c>
      <c r="CP173" s="43">
        <v>0</v>
      </c>
      <c r="CQ173" s="5"/>
      <c r="CR173" s="78">
        <v>0</v>
      </c>
      <c r="CS173" s="1033">
        <v>0</v>
      </c>
      <c r="CT173" s="5"/>
      <c r="CU173" s="78">
        <v>0</v>
      </c>
      <c r="CV173" s="43">
        <v>0</v>
      </c>
      <c r="CW173" s="5"/>
      <c r="CX173" s="78">
        <v>0</v>
      </c>
      <c r="CY173" s="43">
        <v>0</v>
      </c>
      <c r="CZ173" s="5"/>
      <c r="DA173" s="78">
        <v>0</v>
      </c>
      <c r="DB173" s="43">
        <v>0</v>
      </c>
      <c r="DC173" s="5"/>
      <c r="DD173" s="78">
        <v>0</v>
      </c>
      <c r="DE173" s="43">
        <v>0</v>
      </c>
      <c r="DF173" s="5"/>
      <c r="DG173" s="78">
        <v>0</v>
      </c>
      <c r="DH173" s="43"/>
      <c r="DI173" s="5"/>
      <c r="DJ173" s="43">
        <v>0</v>
      </c>
      <c r="DK173" s="43">
        <f t="shared" si="22"/>
        <v>0</v>
      </c>
      <c r="DL173" s="59">
        <f t="shared" si="23"/>
        <v>0</v>
      </c>
    </row>
    <row r="174" spans="1:116" ht="24.9" customHeight="1" x14ac:dyDescent="0.3">
      <c r="A174" s="328">
        <v>150000501</v>
      </c>
      <c r="B174" s="45" t="s">
        <v>263</v>
      </c>
      <c r="C174" s="1035">
        <v>5</v>
      </c>
      <c r="D174" s="1036" t="s">
        <v>454</v>
      </c>
      <c r="E174" s="1028">
        <f>'побудинковий звіт'!E172</f>
        <v>6060.6</v>
      </c>
      <c r="F174" s="1029">
        <f>'побудинковий звіт'!AS172</f>
        <v>62546.713719935142</v>
      </c>
      <c r="G174" s="1029">
        <f t="shared" si="16"/>
        <v>38970</v>
      </c>
      <c r="H174" s="1029">
        <f t="shared" si="17"/>
        <v>-23576.713719935142</v>
      </c>
      <c r="I174" s="43">
        <f>'[1]поточний ремонт'!I174+'[2]поточний ремонт'!I174-'[3]поточний ремонт'!I174</f>
        <v>6</v>
      </c>
      <c r="J174" s="43">
        <f>'[1]поточний ремонт'!J174+'[2]поточний ремонт'!J174-'[3]поточний ремонт'!J174</f>
        <v>1408</v>
      </c>
      <c r="K174" s="1041"/>
      <c r="L174" s="43">
        <f>'[1]поточний ремонт'!L174+'[2]поточний ремонт'!L174-'[3]поточний ремонт'!L174</f>
        <v>0</v>
      </c>
      <c r="M174" s="43">
        <f>'[1]поточний ремонт'!M174+'[2]поточний ремонт'!M174-'[3]поточний ремонт'!M174</f>
        <v>0</v>
      </c>
      <c r="N174" s="37"/>
      <c r="O174" s="43">
        <f>'[1]поточний ремонт'!O174+'[2]поточний ремонт'!O174-'[3]поточний ремонт'!O174</f>
        <v>0</v>
      </c>
      <c r="P174" s="43">
        <f>'[1]поточний ремонт'!P174+'[2]поточний ремонт'!P174-'[3]поточний ремонт'!P174</f>
        <v>0</v>
      </c>
      <c r="Q174" s="1038"/>
      <c r="R174" s="43">
        <f>'[1]поточний ремонт'!R174+'[2]поточний ремонт'!R174-'[3]поточний ремонт'!R174</f>
        <v>0</v>
      </c>
      <c r="S174" s="43">
        <f>'[1]поточний ремонт'!S174+'[2]поточний ремонт'!S174-'[3]поточний ремонт'!S174</f>
        <v>0</v>
      </c>
      <c r="T174" s="1039"/>
      <c r="U174" s="43">
        <f>'[1]поточний ремонт'!U174+'[2]поточний ремонт'!U174-'[3]поточний ремонт'!U174</f>
        <v>0</v>
      </c>
      <c r="V174" s="43">
        <f>'[1]поточний ремонт'!V174+'[2]поточний ремонт'!V174-'[3]поточний ремонт'!V174</f>
        <v>0</v>
      </c>
      <c r="W174" s="43">
        <f>'[1]поточний ремонт'!W174+'[2]поточний ремонт'!W174-'[3]поточний ремонт'!W174</f>
        <v>0</v>
      </c>
      <c r="X174" s="43">
        <f>'[1]поточний ремонт'!X174+'[2]поточний ремонт'!X174-'[3]поточний ремонт'!X174</f>
        <v>0</v>
      </c>
      <c r="Y174" s="43">
        <f>'[1]поточний ремонт'!Y174+'[2]поточний ремонт'!Y174-'[3]поточний ремонт'!Y174</f>
        <v>31935</v>
      </c>
      <c r="Z174" s="43">
        <f>'[1]поточний ремонт'!Z174+'[2]поточний ремонт'!Z174-'[3]поточний ремонт'!Z174</f>
        <v>0</v>
      </c>
      <c r="AA174" s="43">
        <f>'[1]поточний ремонт'!AA174+'[2]поточний ремонт'!AA174-'[3]поточний ремонт'!AA174</f>
        <v>0</v>
      </c>
      <c r="AB174" s="43">
        <f>'[1]поточний ремонт'!AB174+'[2]поточний ремонт'!AB174-'[3]поточний ремонт'!AB174</f>
        <v>0</v>
      </c>
      <c r="AC174" s="43">
        <f>'[1]поточний ремонт'!AC174+'[2]поточний ремонт'!AC174-'[3]поточний ремонт'!AC174</f>
        <v>4184</v>
      </c>
      <c r="AD174" s="43">
        <f>'[1]поточний ремонт'!AD174+'[2]поточний ремонт'!AD174-'[3]поточний ремонт'!AD174</f>
        <v>1443</v>
      </c>
      <c r="AE174" s="43">
        <f>'[1]поточний ремонт'!AE174+'[2]поточний ремонт'!AE174-'[3]поточний ремонт'!AE174</f>
        <v>2728.3265049784609</v>
      </c>
      <c r="AF174" s="43">
        <f>'[1]поточний ремонт'!AF174+'[2]поточний ремонт'!AF174-'[3]поточний ремонт'!AF174</f>
        <v>2567</v>
      </c>
      <c r="AG174" s="5"/>
      <c r="AH174" s="43">
        <f>'[1]поточний ремонт'!AH174+'[2]поточний ремонт'!AH174-'[3]поточний ремонт'!AH174</f>
        <v>4450.1310750788462</v>
      </c>
      <c r="AI174" s="43">
        <f>'[1]поточний ремонт'!AI174+'[2]поточний ремонт'!AI174-'[3]поточний ремонт'!AI174</f>
        <v>923</v>
      </c>
      <c r="AJ174" s="5"/>
      <c r="AK174" s="43">
        <f>'[1]поточний ремонт'!AK174+'[2]поточний ремонт'!AK174-'[3]поточний ремонт'!AK174</f>
        <v>3665.0130763925531</v>
      </c>
      <c r="AL174" s="43">
        <f>'[1]поточний ремонт'!AL174+'[2]поточний ремонт'!AL174-'[3]поточний ремонт'!AL174</f>
        <v>2189</v>
      </c>
      <c r="AM174" s="5"/>
      <c r="AN174" s="43">
        <f>'[1]поточний ремонт'!AN174+'[2]поточний ремонт'!AN174-'[3]поточний ремонт'!AN174</f>
        <v>0</v>
      </c>
      <c r="AO174" s="43">
        <f>'[1]поточний ремонт'!AO174+'[2]поточний ремонт'!AO174-'[3]поточний ремонт'!AO174</f>
        <v>0</v>
      </c>
      <c r="AP174" s="5"/>
      <c r="AQ174" s="43">
        <f>'[1]поточний ремонт'!AQ174+'[2]поточний ремонт'!AQ174-'[3]поточний ремонт'!AQ174</f>
        <v>0</v>
      </c>
      <c r="AR174" s="43">
        <f>'[1]поточний ремонт'!AR174+'[2]поточний ремонт'!AR174-'[3]поточний ремонт'!AR174</f>
        <v>0</v>
      </c>
      <c r="AS174" s="5"/>
      <c r="AT174" s="43">
        <f>'[1]поточний ремонт'!AT174+'[2]поточний ремонт'!AT174-'[3]поточний ремонт'!AT174</f>
        <v>1918.0614651354695</v>
      </c>
      <c r="AU174" s="43">
        <f>'[1]поточний ремонт'!AU174+'[2]поточний ремонт'!AU174-'[3]поточний ремонт'!AU174</f>
        <v>976</v>
      </c>
      <c r="AV174" s="5"/>
      <c r="AW174" s="43">
        <f>'[1]поточний ремонт'!AW174+'[2]поточний ремонт'!AW174-'[3]поточний ремонт'!AW174</f>
        <v>0</v>
      </c>
      <c r="AX174" s="43">
        <f>'[1]поточний ремонт'!AX174+'[2]поточний ремонт'!AX174-'[3]поточний ремонт'!AX174</f>
        <v>0</v>
      </c>
      <c r="AY174" s="5"/>
      <c r="AZ174" s="43">
        <f t="shared" si="18"/>
        <v>12761.532121585331</v>
      </c>
      <c r="BA174" s="43">
        <f t="shared" si="19"/>
        <v>6655</v>
      </c>
      <c r="BB174" s="59">
        <f t="shared" si="20"/>
        <v>-6106.532121585331</v>
      </c>
      <c r="BD174" s="2">
        <v>2</v>
      </c>
      <c r="BF174" s="30">
        <v>6.6344057645151429</v>
      </c>
      <c r="BG174" s="328">
        <v>150000501</v>
      </c>
      <c r="BI174" s="107">
        <v>0</v>
      </c>
      <c r="BJ174" s="107">
        <f t="shared" si="21"/>
        <v>0</v>
      </c>
      <c r="BK174" s="107">
        <v>0</v>
      </c>
      <c r="BL174" s="39"/>
      <c r="BM174" s="3"/>
      <c r="BN174" s="3">
        <v>0</v>
      </c>
      <c r="BP174" s="3"/>
      <c r="BQ174" s="3"/>
      <c r="BS174" s="43"/>
      <c r="BT174" s="43">
        <v>0</v>
      </c>
      <c r="BU174" s="1041"/>
      <c r="BV174" s="42"/>
      <c r="BW174" s="43"/>
      <c r="BX174" s="37"/>
      <c r="BY174" s="78"/>
      <c r="BZ174" s="43">
        <v>0</v>
      </c>
      <c r="CA174" s="1038"/>
      <c r="CB174" s="42"/>
      <c r="CC174" s="42">
        <v>0</v>
      </c>
      <c r="CD174" s="1039"/>
      <c r="CE174" s="78">
        <v>0</v>
      </c>
      <c r="CF174" s="56"/>
      <c r="CG174" s="42">
        <v>0</v>
      </c>
      <c r="CH174" s="39">
        <v>0</v>
      </c>
      <c r="CI174" s="78">
        <v>0</v>
      </c>
      <c r="CJ174" s="56"/>
      <c r="CK174" s="1034"/>
      <c r="CL174" s="1029"/>
      <c r="CM174" s="1034"/>
      <c r="CN174" s="1029">
        <v>0</v>
      </c>
      <c r="CO174" s="78">
        <v>227.36054208153843</v>
      </c>
      <c r="CP174" s="43">
        <v>0</v>
      </c>
      <c r="CQ174" s="5"/>
      <c r="CR174" s="78">
        <v>370.84425625657047</v>
      </c>
      <c r="CS174" s="1033">
        <v>0</v>
      </c>
      <c r="CT174" s="5"/>
      <c r="CU174" s="78">
        <v>305.41775636604615</v>
      </c>
      <c r="CV174" s="43">
        <v>0</v>
      </c>
      <c r="CW174" s="5"/>
      <c r="CX174" s="78">
        <v>0</v>
      </c>
      <c r="CY174" s="43">
        <v>0</v>
      </c>
      <c r="CZ174" s="5"/>
      <c r="DA174" s="78">
        <v>0</v>
      </c>
      <c r="DB174" s="43">
        <v>0</v>
      </c>
      <c r="DC174" s="5"/>
      <c r="DD174" s="78">
        <v>159.83845542795581</v>
      </c>
      <c r="DE174" s="43">
        <v>0</v>
      </c>
      <c r="DF174" s="5"/>
      <c r="DG174" s="78">
        <v>0</v>
      </c>
      <c r="DH174" s="43"/>
      <c r="DI174" s="5"/>
      <c r="DJ174" s="43">
        <v>1063.4610101321109</v>
      </c>
      <c r="DK174" s="43">
        <f t="shared" si="22"/>
        <v>0</v>
      </c>
      <c r="DL174" s="59">
        <f t="shared" si="23"/>
        <v>-1063.4610101321109</v>
      </c>
    </row>
    <row r="175" spans="1:116" ht="24.9" customHeight="1" x14ac:dyDescent="0.3">
      <c r="A175" s="328">
        <v>150000778</v>
      </c>
      <c r="B175" s="45" t="s">
        <v>214</v>
      </c>
      <c r="C175" s="1035">
        <v>4</v>
      </c>
      <c r="D175" s="1036" t="s">
        <v>454</v>
      </c>
      <c r="E175" s="1028">
        <f>'побудинковий звіт'!E173</f>
        <v>108.3</v>
      </c>
      <c r="F175" s="1029">
        <f>'побудинковий звіт'!AS173</f>
        <v>25833.173347294232</v>
      </c>
      <c r="G175" s="1029">
        <f t="shared" si="16"/>
        <v>56437</v>
      </c>
      <c r="H175" s="1029">
        <f t="shared" si="17"/>
        <v>30603.826652705768</v>
      </c>
      <c r="I175" s="43">
        <f>'[1]поточний ремонт'!I175+'[2]поточний ремонт'!I175-'[3]поточний ремонт'!I175</f>
        <v>17.600000000000001</v>
      </c>
      <c r="J175" s="43">
        <f>'[1]поточний ремонт'!J175+'[2]поточний ремонт'!J175-'[3]поточний ремонт'!J175</f>
        <v>3980</v>
      </c>
      <c r="K175" s="1037"/>
      <c r="L175" s="43">
        <f>'[1]поточний ремонт'!L175+'[2]поточний ремонт'!L175-'[3]поточний ремонт'!L175</f>
        <v>0</v>
      </c>
      <c r="M175" s="43">
        <f>'[1]поточний ремонт'!M175+'[2]поточний ремонт'!M175-'[3]поточний ремонт'!M175</f>
        <v>12021</v>
      </c>
      <c r="N175" s="37"/>
      <c r="O175" s="43">
        <f>'[1]поточний ремонт'!O175+'[2]поточний ремонт'!O175-'[3]поточний ремонт'!O175</f>
        <v>0</v>
      </c>
      <c r="P175" s="43">
        <f>'[1]поточний ремонт'!P175+'[2]поточний ремонт'!P175-'[3]поточний ремонт'!P175</f>
        <v>0</v>
      </c>
      <c r="Q175" s="1038"/>
      <c r="R175" s="43">
        <f>'[1]поточний ремонт'!R175+'[2]поточний ремонт'!R175-'[3]поточний ремонт'!R175</f>
        <v>0</v>
      </c>
      <c r="S175" s="43">
        <f>'[1]поточний ремонт'!S175+'[2]поточний ремонт'!S175-'[3]поточний ремонт'!S175</f>
        <v>0</v>
      </c>
      <c r="T175" s="1039"/>
      <c r="U175" s="43">
        <f>'[1]поточний ремонт'!U175+'[2]поточний ремонт'!U175-'[3]поточний ремонт'!U175</f>
        <v>0</v>
      </c>
      <c r="V175" s="43">
        <f>'[1]поточний ремонт'!V175+'[2]поточний ремонт'!V175-'[3]поточний ремонт'!V175</f>
        <v>0</v>
      </c>
      <c r="W175" s="43">
        <f>'[1]поточний ремонт'!W175+'[2]поточний ремонт'!W175-'[3]поточний ремонт'!W175</f>
        <v>0</v>
      </c>
      <c r="X175" s="43">
        <f>'[1]поточний ремонт'!X175+'[2]поточний ремонт'!X175-'[3]поточний ремонт'!X175</f>
        <v>0</v>
      </c>
      <c r="Y175" s="43">
        <f>'[1]поточний ремонт'!Y175+'[2]поточний ремонт'!Y175-'[3]поточний ремонт'!Y175</f>
        <v>430</v>
      </c>
      <c r="Z175" s="43">
        <f>'[1]поточний ремонт'!Z175+'[2]поточний ремонт'!Z175-'[3]поточний ремонт'!Z175</f>
        <v>0</v>
      </c>
      <c r="AA175" s="43">
        <f>'[1]поточний ремонт'!AA175+'[2]поточний ремонт'!AA175-'[3]поточний ремонт'!AA175</f>
        <v>0</v>
      </c>
      <c r="AB175" s="43">
        <f>'[1]поточний ремонт'!AB175+'[2]поточний ремонт'!AB175-'[3]поточний ремонт'!AB175</f>
        <v>0</v>
      </c>
      <c r="AC175" s="43">
        <f>'[1]поточний ремонт'!AC175+'[2]поточний ремонт'!AC175-'[3]поточний ремонт'!AC175</f>
        <v>39197</v>
      </c>
      <c r="AD175" s="43">
        <f>'[1]поточний ремонт'!AD175+'[2]поточний ремонт'!AD175-'[3]поточний ремонт'!AD175</f>
        <v>809</v>
      </c>
      <c r="AE175" s="43">
        <f>'[1]поточний ремонт'!AE175+'[2]поточний ремонт'!AE175-'[3]поточний ремонт'!AE175</f>
        <v>1144.7436804979795</v>
      </c>
      <c r="AF175" s="43">
        <f>'[1]поточний ремонт'!AF175+'[2]поточний ремонт'!AF175-'[3]поточний ремонт'!AF175</f>
        <v>0</v>
      </c>
      <c r="AG175" s="5"/>
      <c r="AH175" s="43">
        <f>'[1]поточний ремонт'!AH175+'[2]поточний ремонт'!AH175-'[3]поточний ремонт'!AH175</f>
        <v>1744.4969349909506</v>
      </c>
      <c r="AI175" s="43">
        <f>'[1]поточний ремонт'!AI175+'[2]поточний ремонт'!AI175-'[3]поточний ремонт'!AI175</f>
        <v>1858</v>
      </c>
      <c r="AJ175" s="5"/>
      <c r="AK175" s="43">
        <f>'[1]поточний ремонт'!AK175+'[2]поточний ремонт'!AK175-'[3]поточний ремонт'!AK175</f>
        <v>1224.9330211872611</v>
      </c>
      <c r="AL175" s="43">
        <f>'[1]поточний ремонт'!AL175+'[2]поточний ремонт'!AL175-'[3]поточний ремонт'!AL175</f>
        <v>767</v>
      </c>
      <c r="AM175" s="5"/>
      <c r="AN175" s="43">
        <f>'[1]поточний ремонт'!AN175+'[2]поточний ремонт'!AN175-'[3]поточний ремонт'!AN175</f>
        <v>696.27999111277632</v>
      </c>
      <c r="AO175" s="43">
        <f>'[1]поточний ремонт'!AO175+'[2]поточний ремонт'!AO175-'[3]поточний ремонт'!AO175</f>
        <v>0</v>
      </c>
      <c r="AP175" s="5"/>
      <c r="AQ175" s="43">
        <f>'[1]поточний ремонт'!AQ175+'[2]поточний ремонт'!AQ175-'[3]поточний ремонт'!AQ175</f>
        <v>0</v>
      </c>
      <c r="AR175" s="43">
        <f>'[1]поточний ремонт'!AR175+'[2]поточний ремонт'!AR175-'[3]поточний ремонт'!AR175</f>
        <v>0</v>
      </c>
      <c r="AS175" s="5"/>
      <c r="AT175" s="43">
        <f>'[1]поточний ремонт'!AT175+'[2]поточний ремонт'!AT175-'[3]поточний ремонт'!AT175</f>
        <v>1116.5477701656484</v>
      </c>
      <c r="AU175" s="43">
        <f>'[1]поточний ремонт'!AU175+'[2]поточний ремонт'!AU175-'[3]поточний ремонт'!AU175</f>
        <v>0</v>
      </c>
      <c r="AV175" s="5"/>
      <c r="AW175" s="43">
        <f>'[1]поточний ремонт'!AW175+'[2]поточний ремонт'!AW175-'[3]поточний ремонт'!AW175</f>
        <v>0</v>
      </c>
      <c r="AX175" s="43">
        <f>'[1]поточний ремонт'!AX175+'[2]поточний ремонт'!AX175-'[3]поточний ремонт'!AX175</f>
        <v>0</v>
      </c>
      <c r="AY175" s="5"/>
      <c r="AZ175" s="43">
        <f t="shared" si="18"/>
        <v>5927.0013979546156</v>
      </c>
      <c r="BA175" s="43">
        <f t="shared" si="19"/>
        <v>2625</v>
      </c>
      <c r="BB175" s="59">
        <f t="shared" si="20"/>
        <v>-3302.0013979546156</v>
      </c>
      <c r="BD175" s="2">
        <v>3</v>
      </c>
      <c r="BF175" s="30">
        <v>155.97008813801568</v>
      </c>
      <c r="BG175" s="328">
        <v>150000778</v>
      </c>
      <c r="BI175" s="107">
        <v>0</v>
      </c>
      <c r="BJ175" s="107">
        <f t="shared" si="21"/>
        <v>0</v>
      </c>
      <c r="BK175" s="107">
        <v>0</v>
      </c>
      <c r="BL175" s="39"/>
      <c r="BM175" s="3"/>
      <c r="BN175" s="3">
        <v>0</v>
      </c>
      <c r="BP175" s="3"/>
      <c r="BQ175" s="3"/>
      <c r="BS175" s="43"/>
      <c r="BT175" s="43">
        <v>0</v>
      </c>
      <c r="BU175" s="1037"/>
      <c r="BV175" s="42"/>
      <c r="BW175" s="43"/>
      <c r="BX175" s="37"/>
      <c r="BY175" s="78"/>
      <c r="BZ175" s="43">
        <v>0</v>
      </c>
      <c r="CA175" s="1038"/>
      <c r="CB175" s="42"/>
      <c r="CC175" s="42">
        <v>0</v>
      </c>
      <c r="CD175" s="1039"/>
      <c r="CE175" s="78">
        <v>0</v>
      </c>
      <c r="CF175" s="56"/>
      <c r="CG175" s="42">
        <v>0</v>
      </c>
      <c r="CH175" s="39">
        <v>0</v>
      </c>
      <c r="CI175" s="78">
        <v>0</v>
      </c>
      <c r="CJ175" s="1051"/>
      <c r="CK175" s="1034"/>
      <c r="CL175" s="1029"/>
      <c r="CM175" s="1034"/>
      <c r="CN175" s="1029">
        <v>0</v>
      </c>
      <c r="CO175" s="78">
        <v>95.395306708164938</v>
      </c>
      <c r="CP175" s="43">
        <v>0</v>
      </c>
      <c r="CQ175" s="5"/>
      <c r="CR175" s="78">
        <v>145.37474458257918</v>
      </c>
      <c r="CS175" s="1033">
        <v>0</v>
      </c>
      <c r="CT175" s="5"/>
      <c r="CU175" s="78">
        <v>102.0777517656051</v>
      </c>
      <c r="CV175" s="43">
        <v>0</v>
      </c>
      <c r="CW175" s="5"/>
      <c r="CX175" s="78">
        <v>58.023332592731379</v>
      </c>
      <c r="CY175" s="43">
        <v>0</v>
      </c>
      <c r="CZ175" s="5"/>
      <c r="DA175" s="78">
        <v>0</v>
      </c>
      <c r="DB175" s="43">
        <v>0</v>
      </c>
      <c r="DC175" s="5"/>
      <c r="DD175" s="78">
        <v>93.045647513804042</v>
      </c>
      <c r="DE175" s="43">
        <v>0</v>
      </c>
      <c r="DF175" s="5"/>
      <c r="DG175" s="78">
        <v>0</v>
      </c>
      <c r="DH175" s="43"/>
      <c r="DI175" s="5"/>
      <c r="DJ175" s="43">
        <v>493.91678316288466</v>
      </c>
      <c r="DK175" s="43">
        <f t="shared" si="22"/>
        <v>0</v>
      </c>
      <c r="DL175" s="59">
        <f t="shared" si="23"/>
        <v>-493.91678316288466</v>
      </c>
    </row>
    <row r="176" spans="1:116" ht="24.9" customHeight="1" x14ac:dyDescent="0.3">
      <c r="A176" s="328">
        <v>150001071</v>
      </c>
      <c r="B176" s="45" t="s">
        <v>167</v>
      </c>
      <c r="C176" s="1035">
        <v>2</v>
      </c>
      <c r="D176" s="1036" t="s">
        <v>454</v>
      </c>
      <c r="E176" s="1028">
        <f>'побудинковий звіт'!E174</f>
        <v>0</v>
      </c>
      <c r="F176" s="1029">
        <f>'побудинковий звіт'!AS174</f>
        <v>5034.5294386225805</v>
      </c>
      <c r="G176" s="1029">
        <f t="shared" si="16"/>
        <v>2888</v>
      </c>
      <c r="H176" s="1029">
        <f t="shared" si="17"/>
        <v>-2146.5294386225805</v>
      </c>
      <c r="I176" s="43">
        <f>'[1]поточний ремонт'!I176+'[2]поточний ремонт'!I176-'[3]поточний ремонт'!I176</f>
        <v>4.5</v>
      </c>
      <c r="J176" s="43">
        <f>'[1]поточний ремонт'!J176+'[2]поточний ремонт'!J176-'[3]поточний ремонт'!J176</f>
        <v>1654</v>
      </c>
      <c r="K176" s="1041"/>
      <c r="L176" s="43">
        <f>'[1]поточний ремонт'!L176+'[2]поточний ремонт'!L176-'[3]поточний ремонт'!L176</f>
        <v>0</v>
      </c>
      <c r="M176" s="43">
        <f>'[1]поточний ремонт'!M176+'[2]поточний ремонт'!M176-'[3]поточний ремонт'!M176</f>
        <v>0</v>
      </c>
      <c r="N176" s="37"/>
      <c r="O176" s="43">
        <f>'[1]поточний ремонт'!O176+'[2]поточний ремонт'!O176-'[3]поточний ремонт'!O176</f>
        <v>0</v>
      </c>
      <c r="P176" s="43">
        <f>'[1]поточний ремонт'!P176+'[2]поточний ремонт'!P176-'[3]поточний ремонт'!P176</f>
        <v>0</v>
      </c>
      <c r="Q176" s="1038"/>
      <c r="R176" s="43">
        <f>'[1]поточний ремонт'!R176+'[2]поточний ремонт'!R176-'[3]поточний ремонт'!R176</f>
        <v>0</v>
      </c>
      <c r="S176" s="43">
        <f>'[1]поточний ремонт'!S176+'[2]поточний ремонт'!S176-'[3]поточний ремонт'!S176</f>
        <v>0</v>
      </c>
      <c r="T176" s="1039"/>
      <c r="U176" s="43">
        <f>'[1]поточний ремонт'!U176+'[2]поточний ремонт'!U176-'[3]поточний ремонт'!U176</f>
        <v>0</v>
      </c>
      <c r="V176" s="43">
        <f>'[1]поточний ремонт'!V176+'[2]поточний ремонт'!V176-'[3]поточний ремонт'!V176</f>
        <v>0</v>
      </c>
      <c r="W176" s="43">
        <f>'[1]поточний ремонт'!W176+'[2]поточний ремонт'!W176-'[3]поточний ремонт'!W176</f>
        <v>0</v>
      </c>
      <c r="X176" s="43">
        <f>'[1]поточний ремонт'!X176+'[2]поточний ремонт'!X176-'[3]поточний ремонт'!X176</f>
        <v>0</v>
      </c>
      <c r="Y176" s="43">
        <f>'[1]поточний ремонт'!Y176+'[2]поточний ремонт'!Y176-'[3]поточний ремонт'!Y176</f>
        <v>0</v>
      </c>
      <c r="Z176" s="43">
        <f>'[1]поточний ремонт'!Z176+'[2]поточний ремонт'!Z176-'[3]поточний ремонт'!Z176</f>
        <v>0</v>
      </c>
      <c r="AA176" s="43">
        <f>'[1]поточний ремонт'!AA176+'[2]поточний ремонт'!AA176-'[3]поточний ремонт'!AA176</f>
        <v>566</v>
      </c>
      <c r="AB176" s="43">
        <f>'[1]поточний ремонт'!AB176+'[2]поточний ремонт'!AB176-'[3]поточний ремонт'!AB176</f>
        <v>0</v>
      </c>
      <c r="AC176" s="43">
        <f>'[1]поточний ремонт'!AC176+'[2]поточний ремонт'!AC176-'[3]поточний ремонт'!AC176</f>
        <v>668</v>
      </c>
      <c r="AD176" s="43">
        <f>'[1]поточний ремонт'!AD176+'[2]поточний ремонт'!AD176-'[3]поточний ремонт'!AD176</f>
        <v>0</v>
      </c>
      <c r="AE176" s="43">
        <f>'[1]поточний ремонт'!AE176+'[2]поточний ремонт'!AE176-'[3]поточний ремонт'!AE176</f>
        <v>307.32114445056493</v>
      </c>
      <c r="AF176" s="43">
        <f>'[1]поточний ремонт'!AF176+'[2]поточний ремонт'!AF176-'[3]поточний ремонт'!AF176</f>
        <v>0</v>
      </c>
      <c r="AG176" s="5"/>
      <c r="AH176" s="43">
        <f>'[1]поточний ремонт'!AH176+'[2]поточний ремонт'!AH176-'[3]поточний ремонт'!AH176</f>
        <v>371.81057725317874</v>
      </c>
      <c r="AI176" s="43">
        <f>'[1]поточний ремонт'!AI176+'[2]поточний ремонт'!AI176-'[3]поточний ремонт'!AI176</f>
        <v>0</v>
      </c>
      <c r="AJ176" s="5"/>
      <c r="AK176" s="43">
        <f>'[1]поточний ремонт'!AK176+'[2]поточний ремонт'!AK176-'[3]поточний ремонт'!AK176</f>
        <v>212.5921125036071</v>
      </c>
      <c r="AL176" s="43">
        <f>'[1]поточний ремонт'!AL176+'[2]поточний ремонт'!AL176-'[3]поточний ремонт'!AL176</f>
        <v>0</v>
      </c>
      <c r="AM176" s="5"/>
      <c r="AN176" s="43">
        <f>'[1]поточний ремонт'!AN176+'[2]поточний ремонт'!AN176-'[3]поточний ремонт'!AN176</f>
        <v>0</v>
      </c>
      <c r="AO176" s="43">
        <f>'[1]поточний ремонт'!AO176+'[2]поточний ремонт'!AO176-'[3]поточний ремонт'!AO176</f>
        <v>0</v>
      </c>
      <c r="AP176" s="5"/>
      <c r="AQ176" s="43">
        <f>'[1]поточний ремонт'!AQ176+'[2]поточний ремонт'!AQ176-'[3]поточний ремонт'!AQ176</f>
        <v>0</v>
      </c>
      <c r="AR176" s="43">
        <f>'[1]поточний ремонт'!AR176+'[2]поточний ремонт'!AR176-'[3]поточний ремонт'!AR176</f>
        <v>0</v>
      </c>
      <c r="AS176" s="5"/>
      <c r="AT176" s="43">
        <f>'[1]поточний ремонт'!AT176+'[2]поточний ремонт'!AT176-'[3]поточний ремонт'!AT176</f>
        <v>230.53118778196281</v>
      </c>
      <c r="AU176" s="43">
        <f>'[1]поточний ремонт'!AU176+'[2]поточний ремонт'!AU176-'[3]поточний ремонт'!AU176</f>
        <v>0</v>
      </c>
      <c r="AV176" s="5"/>
      <c r="AW176" s="43">
        <f>'[1]поточний ремонт'!AW176+'[2]поточний ремонт'!AW176-'[3]поточний ремонт'!AW176</f>
        <v>108.71887928658182</v>
      </c>
      <c r="AX176" s="43">
        <f>'[1]поточний ремонт'!AX176+'[2]поточний ремонт'!AX176-'[3]поточний ремонт'!AX176</f>
        <v>0</v>
      </c>
      <c r="AY176" s="5"/>
      <c r="AZ176" s="43">
        <f t="shared" si="18"/>
        <v>1230.9739012758955</v>
      </c>
      <c r="BA176" s="43">
        <f t="shared" si="19"/>
        <v>0</v>
      </c>
      <c r="BB176" s="59">
        <f t="shared" si="20"/>
        <v>-1230.9739012758955</v>
      </c>
      <c r="BD176" s="2">
        <v>3</v>
      </c>
      <c r="BF176" s="30">
        <v>27.944547351370431</v>
      </c>
      <c r="BG176" s="328">
        <v>150001071</v>
      </c>
      <c r="BI176" s="107">
        <v>0</v>
      </c>
      <c r="BJ176" s="107">
        <f t="shared" si="21"/>
        <v>0</v>
      </c>
      <c r="BK176" s="107">
        <v>0</v>
      </c>
      <c r="BL176" s="39"/>
      <c r="BM176" s="3"/>
      <c r="BN176" s="3">
        <v>0</v>
      </c>
      <c r="BP176" s="3"/>
      <c r="BQ176" s="3"/>
      <c r="BS176" s="43"/>
      <c r="BT176" s="43">
        <v>0</v>
      </c>
      <c r="BU176" s="1041"/>
      <c r="BV176" s="42"/>
      <c r="BW176" s="43"/>
      <c r="BX176" s="37"/>
      <c r="BY176" s="78"/>
      <c r="BZ176" s="43">
        <v>0</v>
      </c>
      <c r="CA176" s="1038"/>
      <c r="CB176" s="42"/>
      <c r="CC176" s="42">
        <v>0</v>
      </c>
      <c r="CD176" s="1039"/>
      <c r="CE176" s="78">
        <v>0</v>
      </c>
      <c r="CF176" s="56"/>
      <c r="CG176" s="42">
        <v>0</v>
      </c>
      <c r="CH176" s="39">
        <v>0</v>
      </c>
      <c r="CI176" s="78">
        <v>0</v>
      </c>
      <c r="CJ176" s="56"/>
      <c r="CK176" s="1034"/>
      <c r="CL176" s="1029"/>
      <c r="CM176" s="1034"/>
      <c r="CN176" s="1029">
        <v>0</v>
      </c>
      <c r="CO176" s="78">
        <v>25.610095370880416</v>
      </c>
      <c r="CP176" s="43">
        <v>0</v>
      </c>
      <c r="CQ176" s="5"/>
      <c r="CR176" s="78">
        <v>30.98421477109823</v>
      </c>
      <c r="CS176" s="1033">
        <v>0</v>
      </c>
      <c r="CT176" s="5"/>
      <c r="CU176" s="78">
        <v>17.716009375300594</v>
      </c>
      <c r="CV176" s="43">
        <v>0</v>
      </c>
      <c r="CW176" s="5"/>
      <c r="CX176" s="78">
        <v>0</v>
      </c>
      <c r="CY176" s="43">
        <v>0</v>
      </c>
      <c r="CZ176" s="5"/>
      <c r="DA176" s="78">
        <v>0</v>
      </c>
      <c r="DB176" s="43">
        <v>0</v>
      </c>
      <c r="DC176" s="5"/>
      <c r="DD176" s="78">
        <v>19.210932315163561</v>
      </c>
      <c r="DE176" s="43">
        <v>0</v>
      </c>
      <c r="DF176" s="5"/>
      <c r="DG176" s="78">
        <v>9.0599066072151508</v>
      </c>
      <c r="DH176" s="43"/>
      <c r="DI176" s="5"/>
      <c r="DJ176" s="43">
        <v>102.58115843965795</v>
      </c>
      <c r="DK176" s="43">
        <f t="shared" si="22"/>
        <v>0</v>
      </c>
      <c r="DL176" s="59">
        <f t="shared" si="23"/>
        <v>-102.58115843965795</v>
      </c>
    </row>
    <row r="177" spans="1:116" ht="24.9" customHeight="1" x14ac:dyDescent="0.3">
      <c r="A177" s="328">
        <v>150000768</v>
      </c>
      <c r="B177" s="45" t="s">
        <v>116</v>
      </c>
      <c r="C177" s="1035">
        <v>1</v>
      </c>
      <c r="D177" s="1036" t="s">
        <v>454</v>
      </c>
      <c r="E177" s="1028">
        <f>'побудинковий звіт'!E175</f>
        <v>0</v>
      </c>
      <c r="F177" s="1029">
        <f>'побудинковий звіт'!AS175</f>
        <v>2097.0382102120825</v>
      </c>
      <c r="G177" s="1029">
        <f t="shared" si="16"/>
        <v>0</v>
      </c>
      <c r="H177" s="1029">
        <f t="shared" si="17"/>
        <v>-2097.0382102120825</v>
      </c>
      <c r="I177" s="43">
        <f>'[1]поточний ремонт'!I177+'[2]поточний ремонт'!I177-'[3]поточний ремонт'!I177</f>
        <v>0</v>
      </c>
      <c r="J177" s="43">
        <f>'[1]поточний ремонт'!J177+'[2]поточний ремонт'!J177-'[3]поточний ремонт'!J177</f>
        <v>0</v>
      </c>
      <c r="K177" s="1037"/>
      <c r="L177" s="43">
        <f>'[1]поточний ремонт'!L177+'[2]поточний ремонт'!L177-'[3]поточний ремонт'!L177</f>
        <v>0</v>
      </c>
      <c r="M177" s="43">
        <f>'[1]поточний ремонт'!M177+'[2]поточний ремонт'!M177-'[3]поточний ремонт'!M177</f>
        <v>0</v>
      </c>
      <c r="N177" s="37"/>
      <c r="O177" s="43">
        <f>'[1]поточний ремонт'!O177+'[2]поточний ремонт'!O177-'[3]поточний ремонт'!O177</f>
        <v>0</v>
      </c>
      <c r="P177" s="43">
        <f>'[1]поточний ремонт'!P177+'[2]поточний ремонт'!P177-'[3]поточний ремонт'!P177</f>
        <v>0</v>
      </c>
      <c r="Q177" s="1038"/>
      <c r="R177" s="43">
        <f>'[1]поточний ремонт'!R177+'[2]поточний ремонт'!R177-'[3]поточний ремонт'!R177</f>
        <v>0</v>
      </c>
      <c r="S177" s="43">
        <f>'[1]поточний ремонт'!S177+'[2]поточний ремонт'!S177-'[3]поточний ремонт'!S177</f>
        <v>0</v>
      </c>
      <c r="T177" s="1039"/>
      <c r="U177" s="43">
        <f>'[1]поточний ремонт'!U177+'[2]поточний ремонт'!U177-'[3]поточний ремонт'!U177</f>
        <v>0</v>
      </c>
      <c r="V177" s="43">
        <f>'[1]поточний ремонт'!V177+'[2]поточний ремонт'!V177-'[3]поточний ремонт'!V177</f>
        <v>0</v>
      </c>
      <c r="W177" s="43">
        <f>'[1]поточний ремонт'!W177+'[2]поточний ремонт'!W177-'[3]поточний ремонт'!W177</f>
        <v>0</v>
      </c>
      <c r="X177" s="43">
        <f>'[1]поточний ремонт'!X177+'[2]поточний ремонт'!X177-'[3]поточний ремонт'!X177</f>
        <v>0</v>
      </c>
      <c r="Y177" s="43">
        <f>'[1]поточний ремонт'!Y177+'[2]поточний ремонт'!Y177-'[3]поточний ремонт'!Y177</f>
        <v>0</v>
      </c>
      <c r="Z177" s="43">
        <f>'[1]поточний ремонт'!Z177+'[2]поточний ремонт'!Z177-'[3]поточний ремонт'!Z177</f>
        <v>0</v>
      </c>
      <c r="AA177" s="43">
        <f>'[1]поточний ремонт'!AA177+'[2]поточний ремонт'!AA177-'[3]поточний ремонт'!AA177</f>
        <v>0</v>
      </c>
      <c r="AB177" s="43">
        <f>'[1]поточний ремонт'!AB177+'[2]поточний ремонт'!AB177-'[3]поточний ремонт'!AB177</f>
        <v>0</v>
      </c>
      <c r="AC177" s="43">
        <f>'[1]поточний ремонт'!AC177+'[2]поточний ремонт'!AC177-'[3]поточний ремонт'!AC177</f>
        <v>0</v>
      </c>
      <c r="AD177" s="43">
        <f>'[1]поточний ремонт'!AD177+'[2]поточний ремонт'!AD177-'[3]поточний ремонт'!AD177</f>
        <v>0</v>
      </c>
      <c r="AE177" s="43">
        <f>'[1]поточний ремонт'!AE177+'[2]поточний ремонт'!AE177-'[3]поточний ремонт'!AE177</f>
        <v>0</v>
      </c>
      <c r="AF177" s="43">
        <f>'[1]поточний ремонт'!AF177+'[2]поточний ремонт'!AF177-'[3]поточний ремонт'!AF177</f>
        <v>0</v>
      </c>
      <c r="AG177" s="5"/>
      <c r="AH177" s="43">
        <f>'[1]поточний ремонт'!AH177+'[2]поточний ремонт'!AH177-'[3]поточний ремонт'!AH177</f>
        <v>0</v>
      </c>
      <c r="AI177" s="43">
        <f>'[1]поточний ремонт'!AI177+'[2]поточний ремонт'!AI177-'[3]поточний ремонт'!AI177</f>
        <v>0</v>
      </c>
      <c r="AJ177" s="5"/>
      <c r="AK177" s="43">
        <f>'[1]поточний ремонт'!AK177+'[2]поточний ремонт'!AK177-'[3]поточний ремонт'!AK177</f>
        <v>0</v>
      </c>
      <c r="AL177" s="43">
        <f>'[1]поточний ремонт'!AL177+'[2]поточний ремонт'!AL177-'[3]поточний ремонт'!AL177</f>
        <v>0</v>
      </c>
      <c r="AM177" s="5"/>
      <c r="AN177" s="43">
        <f>'[1]поточний ремонт'!AN177+'[2]поточний ремонт'!AN177-'[3]поточний ремонт'!AN177</f>
        <v>0</v>
      </c>
      <c r="AO177" s="43">
        <f>'[1]поточний ремонт'!AO177+'[2]поточний ремонт'!AO177-'[3]поточний ремонт'!AO177</f>
        <v>0</v>
      </c>
      <c r="AP177" s="5"/>
      <c r="AQ177" s="43">
        <f>'[1]поточний ремонт'!AQ177+'[2]поточний ремонт'!AQ177-'[3]поточний ремонт'!AQ177</f>
        <v>0</v>
      </c>
      <c r="AR177" s="43">
        <f>'[1]поточний ремонт'!AR177+'[2]поточний ремонт'!AR177-'[3]поточний ремонт'!AR177</f>
        <v>0</v>
      </c>
      <c r="AS177" s="5"/>
      <c r="AT177" s="43">
        <f>'[1]поточний ремонт'!AT177+'[2]поточний ремонт'!AT177-'[3]поточний ремонт'!AT177</f>
        <v>0</v>
      </c>
      <c r="AU177" s="43">
        <f>'[1]поточний ремонт'!AU177+'[2]поточний ремонт'!AU177-'[3]поточний ремонт'!AU177</f>
        <v>0</v>
      </c>
      <c r="AV177" s="5"/>
      <c r="AW177" s="43">
        <f>'[1]поточний ремонт'!AW177+'[2]поточний ремонт'!AW177-'[3]поточний ремонт'!AW177</f>
        <v>0</v>
      </c>
      <c r="AX177" s="43">
        <f>'[1]поточний ремонт'!AX177+'[2]поточний ремонт'!AX177-'[3]поточний ремонт'!AX177</f>
        <v>0</v>
      </c>
      <c r="AY177" s="5"/>
      <c r="AZ177" s="43">
        <f t="shared" si="18"/>
        <v>0</v>
      </c>
      <c r="BA177" s="43">
        <f t="shared" si="19"/>
        <v>0</v>
      </c>
      <c r="BB177" s="59">
        <f t="shared" si="20"/>
        <v>0</v>
      </c>
      <c r="BD177" s="2">
        <v>3</v>
      </c>
      <c r="BF177" s="30">
        <v>0</v>
      </c>
      <c r="BG177" s="328">
        <v>150000768</v>
      </c>
      <c r="BI177" s="107">
        <v>0</v>
      </c>
      <c r="BJ177" s="107">
        <f t="shared" si="21"/>
        <v>0</v>
      </c>
      <c r="BK177" s="107">
        <v>0</v>
      </c>
      <c r="BL177" s="39"/>
      <c r="BM177" s="3"/>
      <c r="BN177" s="3">
        <v>0</v>
      </c>
      <c r="BP177" s="3"/>
      <c r="BQ177" s="3"/>
      <c r="BS177" s="43"/>
      <c r="BT177" s="43">
        <v>0</v>
      </c>
      <c r="BU177" s="1037"/>
      <c r="BV177" s="42"/>
      <c r="BW177" s="43"/>
      <c r="BX177" s="37"/>
      <c r="BY177" s="78"/>
      <c r="BZ177" s="43">
        <v>0</v>
      </c>
      <c r="CA177" s="1038"/>
      <c r="CB177" s="42"/>
      <c r="CC177" s="42">
        <v>0</v>
      </c>
      <c r="CD177" s="1039"/>
      <c r="CE177" s="78">
        <v>0</v>
      </c>
      <c r="CF177" s="56"/>
      <c r="CG177" s="42">
        <v>0</v>
      </c>
      <c r="CH177" s="39">
        <v>0</v>
      </c>
      <c r="CI177" s="78">
        <v>0</v>
      </c>
      <c r="CJ177" s="56"/>
      <c r="CK177" s="1034"/>
      <c r="CL177" s="1029"/>
      <c r="CM177" s="1034"/>
      <c r="CN177" s="1029">
        <v>0</v>
      </c>
      <c r="CO177" s="78">
        <v>0</v>
      </c>
      <c r="CP177" s="43">
        <v>0</v>
      </c>
      <c r="CQ177" s="5"/>
      <c r="CR177" s="78">
        <v>0</v>
      </c>
      <c r="CS177" s="1033">
        <v>0</v>
      </c>
      <c r="CT177" s="5"/>
      <c r="CU177" s="78">
        <v>0</v>
      </c>
      <c r="CV177" s="43">
        <v>0</v>
      </c>
      <c r="CW177" s="5"/>
      <c r="CX177" s="78">
        <v>0</v>
      </c>
      <c r="CY177" s="43">
        <v>0</v>
      </c>
      <c r="CZ177" s="5"/>
      <c r="DA177" s="78">
        <v>0</v>
      </c>
      <c r="DB177" s="43">
        <v>0</v>
      </c>
      <c r="DC177" s="5"/>
      <c r="DD177" s="78">
        <v>0</v>
      </c>
      <c r="DE177" s="43">
        <v>0</v>
      </c>
      <c r="DF177" s="5"/>
      <c r="DG177" s="78">
        <v>0</v>
      </c>
      <c r="DH177" s="43"/>
      <c r="DI177" s="5"/>
      <c r="DJ177" s="43">
        <v>0</v>
      </c>
      <c r="DK177" s="43">
        <f t="shared" si="22"/>
        <v>0</v>
      </c>
      <c r="DL177" s="59">
        <f t="shared" si="23"/>
        <v>0</v>
      </c>
    </row>
    <row r="178" spans="1:116" ht="24.9" customHeight="1" x14ac:dyDescent="0.3">
      <c r="A178" s="328">
        <v>150000763</v>
      </c>
      <c r="B178" s="45" t="s">
        <v>117</v>
      </c>
      <c r="C178" s="1035">
        <v>1</v>
      </c>
      <c r="D178" s="1036" t="s">
        <v>454</v>
      </c>
      <c r="E178" s="1028">
        <f>'побудинковий звіт'!E176</f>
        <v>137.30000000000001</v>
      </c>
      <c r="F178" s="1029">
        <f>'побудинковий звіт'!AS176</f>
        <v>2407.8772772934531</v>
      </c>
      <c r="G178" s="1029">
        <f t="shared" si="16"/>
        <v>0</v>
      </c>
      <c r="H178" s="1029">
        <f t="shared" si="17"/>
        <v>-2407.8772772934531</v>
      </c>
      <c r="I178" s="43">
        <f>'[1]поточний ремонт'!I178+'[2]поточний ремонт'!I178-'[3]поточний ремонт'!I178</f>
        <v>0</v>
      </c>
      <c r="J178" s="43">
        <f>'[1]поточний ремонт'!J178+'[2]поточний ремонт'!J178-'[3]поточний ремонт'!J178</f>
        <v>0</v>
      </c>
      <c r="K178" s="1037"/>
      <c r="L178" s="43">
        <f>'[1]поточний ремонт'!L178+'[2]поточний ремонт'!L178-'[3]поточний ремонт'!L178</f>
        <v>0</v>
      </c>
      <c r="M178" s="43">
        <f>'[1]поточний ремонт'!M178+'[2]поточний ремонт'!M178-'[3]поточний ремонт'!M178</f>
        <v>0</v>
      </c>
      <c r="N178" s="37"/>
      <c r="O178" s="43">
        <f>'[1]поточний ремонт'!O178+'[2]поточний ремонт'!O178-'[3]поточний ремонт'!O178</f>
        <v>0</v>
      </c>
      <c r="P178" s="43">
        <f>'[1]поточний ремонт'!P178+'[2]поточний ремонт'!P178-'[3]поточний ремонт'!P178</f>
        <v>0</v>
      </c>
      <c r="Q178" s="1038"/>
      <c r="R178" s="43">
        <f>'[1]поточний ремонт'!R178+'[2]поточний ремонт'!R178-'[3]поточний ремонт'!R178</f>
        <v>0</v>
      </c>
      <c r="S178" s="43">
        <f>'[1]поточний ремонт'!S178+'[2]поточний ремонт'!S178-'[3]поточний ремонт'!S178</f>
        <v>0</v>
      </c>
      <c r="T178" s="1039"/>
      <c r="U178" s="43">
        <f>'[1]поточний ремонт'!U178+'[2]поточний ремонт'!U178-'[3]поточний ремонт'!U178</f>
        <v>0</v>
      </c>
      <c r="V178" s="43">
        <f>'[1]поточний ремонт'!V178+'[2]поточний ремонт'!V178-'[3]поточний ремонт'!V178</f>
        <v>0</v>
      </c>
      <c r="W178" s="43">
        <f>'[1]поточний ремонт'!W178+'[2]поточний ремонт'!W178-'[3]поточний ремонт'!W178</f>
        <v>0</v>
      </c>
      <c r="X178" s="43">
        <f>'[1]поточний ремонт'!X178+'[2]поточний ремонт'!X178-'[3]поточний ремонт'!X178</f>
        <v>0</v>
      </c>
      <c r="Y178" s="43">
        <f>'[1]поточний ремонт'!Y178+'[2]поточний ремонт'!Y178-'[3]поточний ремонт'!Y178</f>
        <v>0</v>
      </c>
      <c r="Z178" s="43">
        <f>'[1]поточний ремонт'!Z178+'[2]поточний ремонт'!Z178-'[3]поточний ремонт'!Z178</f>
        <v>0</v>
      </c>
      <c r="AA178" s="43">
        <f>'[1]поточний ремонт'!AA178+'[2]поточний ремонт'!AA178-'[3]поточний ремонт'!AA178</f>
        <v>0</v>
      </c>
      <c r="AB178" s="43">
        <f>'[1]поточний ремонт'!AB178+'[2]поточний ремонт'!AB178-'[3]поточний ремонт'!AB178</f>
        <v>0</v>
      </c>
      <c r="AC178" s="43">
        <f>'[1]поточний ремонт'!AC178+'[2]поточний ремонт'!AC178-'[3]поточний ремонт'!AC178</f>
        <v>0</v>
      </c>
      <c r="AD178" s="43">
        <f>'[1]поточний ремонт'!AD178+'[2]поточний ремонт'!AD178-'[3]поточний ремонт'!AD178</f>
        <v>0</v>
      </c>
      <c r="AE178" s="43">
        <f>'[1]поточний ремонт'!AE178+'[2]поточний ремонт'!AE178-'[3]поточний ремонт'!AE178</f>
        <v>0</v>
      </c>
      <c r="AF178" s="43">
        <f>'[1]поточний ремонт'!AF178+'[2]поточний ремонт'!AF178-'[3]поточний ремонт'!AF178</f>
        <v>0</v>
      </c>
      <c r="AG178" s="5"/>
      <c r="AH178" s="43">
        <f>'[1]поточний ремонт'!AH178+'[2]поточний ремонт'!AH178-'[3]поточний ремонт'!AH178</f>
        <v>0</v>
      </c>
      <c r="AI178" s="43">
        <f>'[1]поточний ремонт'!AI178+'[2]поточний ремонт'!AI178-'[3]поточний ремонт'!AI178</f>
        <v>0</v>
      </c>
      <c r="AJ178" s="5"/>
      <c r="AK178" s="43">
        <f>'[1]поточний ремонт'!AK178+'[2]поточний ремонт'!AK178-'[3]поточний ремонт'!AK178</f>
        <v>0</v>
      </c>
      <c r="AL178" s="43">
        <f>'[1]поточний ремонт'!AL178+'[2]поточний ремонт'!AL178-'[3]поточний ремонт'!AL178</f>
        <v>0</v>
      </c>
      <c r="AM178" s="5"/>
      <c r="AN178" s="43">
        <f>'[1]поточний ремонт'!AN178+'[2]поточний ремонт'!AN178-'[3]поточний ремонт'!AN178</f>
        <v>0</v>
      </c>
      <c r="AO178" s="43">
        <f>'[1]поточний ремонт'!AO178+'[2]поточний ремонт'!AO178-'[3]поточний ремонт'!AO178</f>
        <v>0</v>
      </c>
      <c r="AP178" s="5"/>
      <c r="AQ178" s="43">
        <f>'[1]поточний ремонт'!AQ178+'[2]поточний ремонт'!AQ178-'[3]поточний ремонт'!AQ178</f>
        <v>0</v>
      </c>
      <c r="AR178" s="43">
        <f>'[1]поточний ремонт'!AR178+'[2]поточний ремонт'!AR178-'[3]поточний ремонт'!AR178</f>
        <v>0</v>
      </c>
      <c r="AS178" s="5"/>
      <c r="AT178" s="43">
        <f>'[1]поточний ремонт'!AT178+'[2]поточний ремонт'!AT178-'[3]поточний ремонт'!AT178</f>
        <v>0</v>
      </c>
      <c r="AU178" s="43">
        <f>'[1]поточний ремонт'!AU178+'[2]поточний ремонт'!AU178-'[3]поточний ремонт'!AU178</f>
        <v>0</v>
      </c>
      <c r="AV178" s="5"/>
      <c r="AW178" s="43">
        <f>'[1]поточний ремонт'!AW178+'[2]поточний ремонт'!AW178-'[3]поточний ремонт'!AW178</f>
        <v>0</v>
      </c>
      <c r="AX178" s="43">
        <f>'[1]поточний ремонт'!AX178+'[2]поточний ремонт'!AX178-'[3]поточний ремонт'!AX178</f>
        <v>0</v>
      </c>
      <c r="AY178" s="5"/>
      <c r="AZ178" s="43">
        <f t="shared" si="18"/>
        <v>0</v>
      </c>
      <c r="BA178" s="43">
        <f t="shared" si="19"/>
        <v>0</v>
      </c>
      <c r="BB178" s="59">
        <f t="shared" si="20"/>
        <v>0</v>
      </c>
      <c r="BD178" s="2">
        <v>3</v>
      </c>
      <c r="BF178" s="30">
        <v>0</v>
      </c>
      <c r="BG178" s="328">
        <v>150000763</v>
      </c>
      <c r="BI178" s="107">
        <v>0</v>
      </c>
      <c r="BJ178" s="107">
        <f t="shared" si="21"/>
        <v>0</v>
      </c>
      <c r="BK178" s="107">
        <v>0</v>
      </c>
      <c r="BL178" s="39"/>
      <c r="BM178" s="3"/>
      <c r="BN178" s="3">
        <v>0</v>
      </c>
      <c r="BP178" s="3"/>
      <c r="BQ178" s="3"/>
      <c r="BS178" s="43"/>
      <c r="BT178" s="43">
        <v>0</v>
      </c>
      <c r="BU178" s="1037"/>
      <c r="BV178" s="42"/>
      <c r="BW178" s="43"/>
      <c r="BX178" s="37"/>
      <c r="BY178" s="78"/>
      <c r="BZ178" s="43">
        <v>0</v>
      </c>
      <c r="CA178" s="1038"/>
      <c r="CB178" s="42"/>
      <c r="CC178" s="42">
        <v>0</v>
      </c>
      <c r="CD178" s="1039"/>
      <c r="CE178" s="78">
        <v>0</v>
      </c>
      <c r="CF178" s="56"/>
      <c r="CG178" s="42">
        <v>0</v>
      </c>
      <c r="CH178" s="39">
        <v>0</v>
      </c>
      <c r="CI178" s="78">
        <v>0</v>
      </c>
      <c r="CJ178" s="56"/>
      <c r="CK178" s="1034"/>
      <c r="CL178" s="1029"/>
      <c r="CM178" s="1034"/>
      <c r="CN178" s="1029">
        <v>0</v>
      </c>
      <c r="CO178" s="78">
        <v>0</v>
      </c>
      <c r="CP178" s="43">
        <v>0</v>
      </c>
      <c r="CQ178" s="5"/>
      <c r="CR178" s="78">
        <v>0</v>
      </c>
      <c r="CS178" s="1033">
        <v>0</v>
      </c>
      <c r="CT178" s="5"/>
      <c r="CU178" s="78">
        <v>0</v>
      </c>
      <c r="CV178" s="43">
        <v>0</v>
      </c>
      <c r="CW178" s="5"/>
      <c r="CX178" s="78">
        <v>0</v>
      </c>
      <c r="CY178" s="43">
        <v>0</v>
      </c>
      <c r="CZ178" s="5"/>
      <c r="DA178" s="78">
        <v>0</v>
      </c>
      <c r="DB178" s="43">
        <v>0</v>
      </c>
      <c r="DC178" s="5"/>
      <c r="DD178" s="78">
        <v>0</v>
      </c>
      <c r="DE178" s="43">
        <v>0</v>
      </c>
      <c r="DF178" s="5"/>
      <c r="DG178" s="78">
        <v>0</v>
      </c>
      <c r="DH178" s="43"/>
      <c r="DI178" s="5"/>
      <c r="DJ178" s="43">
        <v>0</v>
      </c>
      <c r="DK178" s="43">
        <f t="shared" si="22"/>
        <v>0</v>
      </c>
      <c r="DL178" s="59">
        <f t="shared" si="23"/>
        <v>0</v>
      </c>
    </row>
    <row r="179" spans="1:116" ht="24.9" customHeight="1" x14ac:dyDescent="0.3">
      <c r="A179" s="328">
        <v>150000764</v>
      </c>
      <c r="B179" s="45" t="s">
        <v>118</v>
      </c>
      <c r="C179" s="1035">
        <v>1</v>
      </c>
      <c r="D179" s="1036" t="s">
        <v>454</v>
      </c>
      <c r="E179" s="1028">
        <f>'побудинковий звіт'!E177</f>
        <v>211.6</v>
      </c>
      <c r="F179" s="1029">
        <f>'побудинковий звіт'!AS177</f>
        <v>3113.6093182281193</v>
      </c>
      <c r="G179" s="1029">
        <f t="shared" si="16"/>
        <v>0</v>
      </c>
      <c r="H179" s="1029">
        <f t="shared" si="17"/>
        <v>-3113.6093182281193</v>
      </c>
      <c r="I179" s="43">
        <f>'[1]поточний ремонт'!I179+'[2]поточний ремонт'!I179-'[3]поточний ремонт'!I179</f>
        <v>0</v>
      </c>
      <c r="J179" s="43">
        <f>'[1]поточний ремонт'!J179+'[2]поточний ремонт'!J179-'[3]поточний ремонт'!J179</f>
        <v>0</v>
      </c>
      <c r="K179" s="1037"/>
      <c r="L179" s="43">
        <f>'[1]поточний ремонт'!L179+'[2]поточний ремонт'!L179-'[3]поточний ремонт'!L179</f>
        <v>0</v>
      </c>
      <c r="M179" s="43">
        <f>'[1]поточний ремонт'!M179+'[2]поточний ремонт'!M179-'[3]поточний ремонт'!M179</f>
        <v>0</v>
      </c>
      <c r="N179" s="37"/>
      <c r="O179" s="43">
        <f>'[1]поточний ремонт'!O179+'[2]поточний ремонт'!O179-'[3]поточний ремонт'!O179</f>
        <v>0</v>
      </c>
      <c r="P179" s="43">
        <f>'[1]поточний ремонт'!P179+'[2]поточний ремонт'!P179-'[3]поточний ремонт'!P179</f>
        <v>0</v>
      </c>
      <c r="Q179" s="1038"/>
      <c r="R179" s="43">
        <f>'[1]поточний ремонт'!R179+'[2]поточний ремонт'!R179-'[3]поточний ремонт'!R179</f>
        <v>0</v>
      </c>
      <c r="S179" s="43">
        <f>'[1]поточний ремонт'!S179+'[2]поточний ремонт'!S179-'[3]поточний ремонт'!S179</f>
        <v>0</v>
      </c>
      <c r="T179" s="1039"/>
      <c r="U179" s="43">
        <f>'[1]поточний ремонт'!U179+'[2]поточний ремонт'!U179-'[3]поточний ремонт'!U179</f>
        <v>0</v>
      </c>
      <c r="V179" s="43">
        <f>'[1]поточний ремонт'!V179+'[2]поточний ремонт'!V179-'[3]поточний ремонт'!V179</f>
        <v>0</v>
      </c>
      <c r="W179" s="43">
        <f>'[1]поточний ремонт'!W179+'[2]поточний ремонт'!W179-'[3]поточний ремонт'!W179</f>
        <v>0</v>
      </c>
      <c r="X179" s="43">
        <f>'[1]поточний ремонт'!X179+'[2]поточний ремонт'!X179-'[3]поточний ремонт'!X179</f>
        <v>0</v>
      </c>
      <c r="Y179" s="43">
        <f>'[1]поточний ремонт'!Y179+'[2]поточний ремонт'!Y179-'[3]поточний ремонт'!Y179</f>
        <v>0</v>
      </c>
      <c r="Z179" s="43">
        <f>'[1]поточний ремонт'!Z179+'[2]поточний ремонт'!Z179-'[3]поточний ремонт'!Z179</f>
        <v>0</v>
      </c>
      <c r="AA179" s="43">
        <f>'[1]поточний ремонт'!AA179+'[2]поточний ремонт'!AA179-'[3]поточний ремонт'!AA179</f>
        <v>0</v>
      </c>
      <c r="AB179" s="43">
        <f>'[1]поточний ремонт'!AB179+'[2]поточний ремонт'!AB179-'[3]поточний ремонт'!AB179</f>
        <v>0</v>
      </c>
      <c r="AC179" s="43">
        <f>'[1]поточний ремонт'!AC179+'[2]поточний ремонт'!AC179-'[3]поточний ремонт'!AC179</f>
        <v>0</v>
      </c>
      <c r="AD179" s="43">
        <f>'[1]поточний ремонт'!AD179+'[2]поточний ремонт'!AD179-'[3]поточний ремонт'!AD179</f>
        <v>0</v>
      </c>
      <c r="AE179" s="43">
        <f>'[1]поточний ремонт'!AE179+'[2]поточний ремонт'!AE179-'[3]поточний ремонт'!AE179</f>
        <v>0</v>
      </c>
      <c r="AF179" s="43">
        <f>'[1]поточний ремонт'!AF179+'[2]поточний ремонт'!AF179-'[3]поточний ремонт'!AF179</f>
        <v>0</v>
      </c>
      <c r="AG179" s="5"/>
      <c r="AH179" s="43">
        <f>'[1]поточний ремонт'!AH179+'[2]поточний ремонт'!AH179-'[3]поточний ремонт'!AH179</f>
        <v>0</v>
      </c>
      <c r="AI179" s="43">
        <f>'[1]поточний ремонт'!AI179+'[2]поточний ремонт'!AI179-'[3]поточний ремонт'!AI179</f>
        <v>0</v>
      </c>
      <c r="AJ179" s="5"/>
      <c r="AK179" s="43">
        <f>'[1]поточний ремонт'!AK179+'[2]поточний ремонт'!AK179-'[3]поточний ремонт'!AK179</f>
        <v>0</v>
      </c>
      <c r="AL179" s="43">
        <f>'[1]поточний ремонт'!AL179+'[2]поточний ремонт'!AL179-'[3]поточний ремонт'!AL179</f>
        <v>0</v>
      </c>
      <c r="AM179" s="5"/>
      <c r="AN179" s="43">
        <f>'[1]поточний ремонт'!AN179+'[2]поточний ремонт'!AN179-'[3]поточний ремонт'!AN179</f>
        <v>0</v>
      </c>
      <c r="AO179" s="43">
        <f>'[1]поточний ремонт'!AO179+'[2]поточний ремонт'!AO179-'[3]поточний ремонт'!AO179</f>
        <v>0</v>
      </c>
      <c r="AP179" s="5"/>
      <c r="AQ179" s="43">
        <f>'[1]поточний ремонт'!AQ179+'[2]поточний ремонт'!AQ179-'[3]поточний ремонт'!AQ179</f>
        <v>0</v>
      </c>
      <c r="AR179" s="43">
        <f>'[1]поточний ремонт'!AR179+'[2]поточний ремонт'!AR179-'[3]поточний ремонт'!AR179</f>
        <v>0</v>
      </c>
      <c r="AS179" s="5"/>
      <c r="AT179" s="43">
        <f>'[1]поточний ремонт'!AT179+'[2]поточний ремонт'!AT179-'[3]поточний ремонт'!AT179</f>
        <v>0</v>
      </c>
      <c r="AU179" s="43">
        <f>'[1]поточний ремонт'!AU179+'[2]поточний ремонт'!AU179-'[3]поточний ремонт'!AU179</f>
        <v>0</v>
      </c>
      <c r="AV179" s="5"/>
      <c r="AW179" s="43">
        <f>'[1]поточний ремонт'!AW179+'[2]поточний ремонт'!AW179-'[3]поточний ремонт'!AW179</f>
        <v>0</v>
      </c>
      <c r="AX179" s="43">
        <f>'[1]поточний ремонт'!AX179+'[2]поточний ремонт'!AX179-'[3]поточний ремонт'!AX179</f>
        <v>0</v>
      </c>
      <c r="AY179" s="5"/>
      <c r="AZ179" s="43">
        <f t="shared" si="18"/>
        <v>0</v>
      </c>
      <c r="BA179" s="43">
        <f t="shared" si="19"/>
        <v>0</v>
      </c>
      <c r="BB179" s="59">
        <f t="shared" si="20"/>
        <v>0</v>
      </c>
      <c r="BD179" s="2">
        <v>3</v>
      </c>
      <c r="BF179" s="30">
        <v>0</v>
      </c>
      <c r="BG179" s="328">
        <v>150000764</v>
      </c>
      <c r="BI179" s="107">
        <v>0</v>
      </c>
      <c r="BJ179" s="107">
        <f t="shared" si="21"/>
        <v>0</v>
      </c>
      <c r="BK179" s="107">
        <v>0</v>
      </c>
      <c r="BL179" s="39"/>
      <c r="BM179" s="3"/>
      <c r="BN179" s="3">
        <v>0</v>
      </c>
      <c r="BP179" s="3"/>
      <c r="BQ179" s="3"/>
      <c r="BS179" s="43"/>
      <c r="BT179" s="43">
        <v>0</v>
      </c>
      <c r="BU179" s="1037"/>
      <c r="BV179" s="42"/>
      <c r="BW179" s="43"/>
      <c r="BX179" s="37"/>
      <c r="BY179" s="78"/>
      <c r="BZ179" s="43">
        <v>0</v>
      </c>
      <c r="CA179" s="1038"/>
      <c r="CB179" s="42"/>
      <c r="CC179" s="42">
        <v>0</v>
      </c>
      <c r="CD179" s="1039"/>
      <c r="CE179" s="78">
        <v>0</v>
      </c>
      <c r="CF179" s="56"/>
      <c r="CG179" s="42">
        <v>0</v>
      </c>
      <c r="CH179" s="39">
        <v>0</v>
      </c>
      <c r="CI179" s="78">
        <v>0</v>
      </c>
      <c r="CJ179" s="56"/>
      <c r="CK179" s="1034"/>
      <c r="CL179" s="1029"/>
      <c r="CM179" s="1034"/>
      <c r="CN179" s="1029">
        <v>0</v>
      </c>
      <c r="CO179" s="78">
        <v>0</v>
      </c>
      <c r="CP179" s="43">
        <v>0</v>
      </c>
      <c r="CQ179" s="5"/>
      <c r="CR179" s="78">
        <v>0</v>
      </c>
      <c r="CS179" s="1033">
        <v>0</v>
      </c>
      <c r="CT179" s="5"/>
      <c r="CU179" s="78">
        <v>0</v>
      </c>
      <c r="CV179" s="43">
        <v>0</v>
      </c>
      <c r="CW179" s="5"/>
      <c r="CX179" s="78">
        <v>0</v>
      </c>
      <c r="CY179" s="43">
        <v>0</v>
      </c>
      <c r="CZ179" s="5"/>
      <c r="DA179" s="78">
        <v>0</v>
      </c>
      <c r="DB179" s="43">
        <v>0</v>
      </c>
      <c r="DC179" s="5"/>
      <c r="DD179" s="78">
        <v>0</v>
      </c>
      <c r="DE179" s="43">
        <v>0</v>
      </c>
      <c r="DF179" s="5"/>
      <c r="DG179" s="78">
        <v>0</v>
      </c>
      <c r="DH179" s="43"/>
      <c r="DI179" s="5"/>
      <c r="DJ179" s="43">
        <v>0</v>
      </c>
      <c r="DK179" s="43">
        <f t="shared" si="22"/>
        <v>0</v>
      </c>
      <c r="DL179" s="59">
        <f t="shared" si="23"/>
        <v>0</v>
      </c>
    </row>
    <row r="180" spans="1:116" ht="24.9" customHeight="1" x14ac:dyDescent="0.3">
      <c r="A180" s="328">
        <v>150000770</v>
      </c>
      <c r="B180" s="45" t="s">
        <v>119</v>
      </c>
      <c r="C180" s="1035">
        <v>1</v>
      </c>
      <c r="D180" s="1036" t="s">
        <v>454</v>
      </c>
      <c r="E180" s="1028">
        <f>'побудинковий звіт'!E178</f>
        <v>180.6</v>
      </c>
      <c r="F180" s="1029">
        <f>'побудинковий звіт'!AS178</f>
        <v>2349.0642402983476</v>
      </c>
      <c r="G180" s="1029">
        <f t="shared" si="16"/>
        <v>0</v>
      </c>
      <c r="H180" s="1029">
        <f t="shared" si="17"/>
        <v>-2349.0642402983476</v>
      </c>
      <c r="I180" s="43">
        <f>'[1]поточний ремонт'!I180+'[2]поточний ремонт'!I180-'[3]поточний ремонт'!I180</f>
        <v>0</v>
      </c>
      <c r="J180" s="43">
        <f>'[1]поточний ремонт'!J180+'[2]поточний ремонт'!J180-'[3]поточний ремонт'!J180</f>
        <v>0</v>
      </c>
      <c r="K180" s="1037"/>
      <c r="L180" s="43">
        <f>'[1]поточний ремонт'!L180+'[2]поточний ремонт'!L180-'[3]поточний ремонт'!L180</f>
        <v>0</v>
      </c>
      <c r="M180" s="43">
        <f>'[1]поточний ремонт'!M180+'[2]поточний ремонт'!M180-'[3]поточний ремонт'!M180</f>
        <v>0</v>
      </c>
      <c r="N180" s="37"/>
      <c r="O180" s="43">
        <f>'[1]поточний ремонт'!O180+'[2]поточний ремонт'!O180-'[3]поточний ремонт'!O180</f>
        <v>0</v>
      </c>
      <c r="P180" s="43">
        <f>'[1]поточний ремонт'!P180+'[2]поточний ремонт'!P180-'[3]поточний ремонт'!P180</f>
        <v>0</v>
      </c>
      <c r="Q180" s="1038"/>
      <c r="R180" s="43">
        <f>'[1]поточний ремонт'!R180+'[2]поточний ремонт'!R180-'[3]поточний ремонт'!R180</f>
        <v>0</v>
      </c>
      <c r="S180" s="43">
        <f>'[1]поточний ремонт'!S180+'[2]поточний ремонт'!S180-'[3]поточний ремонт'!S180</f>
        <v>0</v>
      </c>
      <c r="T180" s="1039"/>
      <c r="U180" s="43">
        <f>'[1]поточний ремонт'!U180+'[2]поточний ремонт'!U180-'[3]поточний ремонт'!U180</f>
        <v>0</v>
      </c>
      <c r="V180" s="43">
        <f>'[1]поточний ремонт'!V180+'[2]поточний ремонт'!V180-'[3]поточний ремонт'!V180</f>
        <v>0</v>
      </c>
      <c r="W180" s="43">
        <f>'[1]поточний ремонт'!W180+'[2]поточний ремонт'!W180-'[3]поточний ремонт'!W180</f>
        <v>0</v>
      </c>
      <c r="X180" s="43">
        <f>'[1]поточний ремонт'!X180+'[2]поточний ремонт'!X180-'[3]поточний ремонт'!X180</f>
        <v>0</v>
      </c>
      <c r="Y180" s="43">
        <f>'[1]поточний ремонт'!Y180+'[2]поточний ремонт'!Y180-'[3]поточний ремонт'!Y180</f>
        <v>0</v>
      </c>
      <c r="Z180" s="43">
        <f>'[1]поточний ремонт'!Z180+'[2]поточний ремонт'!Z180-'[3]поточний ремонт'!Z180</f>
        <v>0</v>
      </c>
      <c r="AA180" s="43">
        <f>'[1]поточний ремонт'!AA180+'[2]поточний ремонт'!AA180-'[3]поточний ремонт'!AA180</f>
        <v>0</v>
      </c>
      <c r="AB180" s="43">
        <f>'[1]поточний ремонт'!AB180+'[2]поточний ремонт'!AB180-'[3]поточний ремонт'!AB180</f>
        <v>0</v>
      </c>
      <c r="AC180" s="43">
        <f>'[1]поточний ремонт'!AC180+'[2]поточний ремонт'!AC180-'[3]поточний ремонт'!AC180</f>
        <v>0</v>
      </c>
      <c r="AD180" s="43">
        <f>'[1]поточний ремонт'!AD180+'[2]поточний ремонт'!AD180-'[3]поточний ремонт'!AD180</f>
        <v>0</v>
      </c>
      <c r="AE180" s="43">
        <f>'[1]поточний ремонт'!AE180+'[2]поточний ремонт'!AE180-'[3]поточний ремонт'!AE180</f>
        <v>0</v>
      </c>
      <c r="AF180" s="43">
        <f>'[1]поточний ремонт'!AF180+'[2]поточний ремонт'!AF180-'[3]поточний ремонт'!AF180</f>
        <v>0</v>
      </c>
      <c r="AG180" s="5"/>
      <c r="AH180" s="43">
        <f>'[1]поточний ремонт'!AH180+'[2]поточний ремонт'!AH180-'[3]поточний ремонт'!AH180</f>
        <v>0</v>
      </c>
      <c r="AI180" s="43">
        <f>'[1]поточний ремонт'!AI180+'[2]поточний ремонт'!AI180-'[3]поточний ремонт'!AI180</f>
        <v>0</v>
      </c>
      <c r="AJ180" s="5"/>
      <c r="AK180" s="43">
        <f>'[1]поточний ремонт'!AK180+'[2]поточний ремонт'!AK180-'[3]поточний ремонт'!AK180</f>
        <v>0</v>
      </c>
      <c r="AL180" s="43">
        <f>'[1]поточний ремонт'!AL180+'[2]поточний ремонт'!AL180-'[3]поточний ремонт'!AL180</f>
        <v>0</v>
      </c>
      <c r="AM180" s="5"/>
      <c r="AN180" s="43">
        <f>'[1]поточний ремонт'!AN180+'[2]поточний ремонт'!AN180-'[3]поточний ремонт'!AN180</f>
        <v>0</v>
      </c>
      <c r="AO180" s="43">
        <f>'[1]поточний ремонт'!AO180+'[2]поточний ремонт'!AO180-'[3]поточний ремонт'!AO180</f>
        <v>0</v>
      </c>
      <c r="AP180" s="5"/>
      <c r="AQ180" s="43">
        <f>'[1]поточний ремонт'!AQ180+'[2]поточний ремонт'!AQ180-'[3]поточний ремонт'!AQ180</f>
        <v>0</v>
      </c>
      <c r="AR180" s="43">
        <f>'[1]поточний ремонт'!AR180+'[2]поточний ремонт'!AR180-'[3]поточний ремонт'!AR180</f>
        <v>0</v>
      </c>
      <c r="AS180" s="5"/>
      <c r="AT180" s="43">
        <f>'[1]поточний ремонт'!AT180+'[2]поточний ремонт'!AT180-'[3]поточний ремонт'!AT180</f>
        <v>0</v>
      </c>
      <c r="AU180" s="43">
        <f>'[1]поточний ремонт'!AU180+'[2]поточний ремонт'!AU180-'[3]поточний ремонт'!AU180</f>
        <v>0</v>
      </c>
      <c r="AV180" s="5"/>
      <c r="AW180" s="43">
        <f>'[1]поточний ремонт'!AW180+'[2]поточний ремонт'!AW180-'[3]поточний ремонт'!AW180</f>
        <v>0</v>
      </c>
      <c r="AX180" s="43">
        <f>'[1]поточний ремонт'!AX180+'[2]поточний ремонт'!AX180-'[3]поточний ремонт'!AX180</f>
        <v>0</v>
      </c>
      <c r="AY180" s="5"/>
      <c r="AZ180" s="43">
        <f t="shared" si="18"/>
        <v>0</v>
      </c>
      <c r="BA180" s="43">
        <f t="shared" si="19"/>
        <v>0</v>
      </c>
      <c r="BB180" s="59">
        <f t="shared" si="20"/>
        <v>0</v>
      </c>
      <c r="BD180" s="2">
        <v>3</v>
      </c>
      <c r="BF180" s="30">
        <v>0</v>
      </c>
      <c r="BG180" s="328">
        <v>150000770</v>
      </c>
      <c r="BI180" s="107">
        <v>0</v>
      </c>
      <c r="BJ180" s="107">
        <f t="shared" si="21"/>
        <v>0</v>
      </c>
      <c r="BK180" s="107">
        <v>0</v>
      </c>
      <c r="BL180" s="39"/>
      <c r="BM180" s="3"/>
      <c r="BN180" s="3">
        <v>0</v>
      </c>
      <c r="BP180" s="3"/>
      <c r="BQ180" s="3"/>
      <c r="BS180" s="43"/>
      <c r="BT180" s="43">
        <v>0</v>
      </c>
      <c r="BU180" s="1037"/>
      <c r="BV180" s="42"/>
      <c r="BW180" s="43"/>
      <c r="BX180" s="37"/>
      <c r="BY180" s="78"/>
      <c r="BZ180" s="43">
        <v>0</v>
      </c>
      <c r="CA180" s="1038"/>
      <c r="CB180" s="42"/>
      <c r="CC180" s="42">
        <v>0</v>
      </c>
      <c r="CD180" s="1039"/>
      <c r="CE180" s="78">
        <v>0</v>
      </c>
      <c r="CF180" s="56"/>
      <c r="CG180" s="42">
        <v>0</v>
      </c>
      <c r="CH180" s="39">
        <v>0</v>
      </c>
      <c r="CI180" s="78">
        <v>0</v>
      </c>
      <c r="CJ180" s="56"/>
      <c r="CK180" s="1034"/>
      <c r="CL180" s="1029"/>
      <c r="CM180" s="1034"/>
      <c r="CN180" s="1029">
        <v>0</v>
      </c>
      <c r="CO180" s="78">
        <v>0</v>
      </c>
      <c r="CP180" s="43">
        <v>0</v>
      </c>
      <c r="CQ180" s="5"/>
      <c r="CR180" s="78">
        <v>0</v>
      </c>
      <c r="CS180" s="1033">
        <v>0</v>
      </c>
      <c r="CT180" s="5"/>
      <c r="CU180" s="78">
        <v>0</v>
      </c>
      <c r="CV180" s="43">
        <v>0</v>
      </c>
      <c r="CW180" s="5"/>
      <c r="CX180" s="78">
        <v>0</v>
      </c>
      <c r="CY180" s="43">
        <v>0</v>
      </c>
      <c r="CZ180" s="5"/>
      <c r="DA180" s="78">
        <v>0</v>
      </c>
      <c r="DB180" s="43">
        <v>0</v>
      </c>
      <c r="DC180" s="5"/>
      <c r="DD180" s="78">
        <v>0</v>
      </c>
      <c r="DE180" s="43">
        <v>0</v>
      </c>
      <c r="DF180" s="5"/>
      <c r="DG180" s="78">
        <v>0</v>
      </c>
      <c r="DH180" s="43"/>
      <c r="DI180" s="5"/>
      <c r="DJ180" s="43">
        <v>0</v>
      </c>
      <c r="DK180" s="43">
        <f t="shared" si="22"/>
        <v>0</v>
      </c>
      <c r="DL180" s="59">
        <f t="shared" si="23"/>
        <v>0</v>
      </c>
    </row>
    <row r="181" spans="1:116" ht="24.9" customHeight="1" x14ac:dyDescent="0.3">
      <c r="A181" s="328">
        <v>150000777</v>
      </c>
      <c r="B181" s="45" t="s">
        <v>168</v>
      </c>
      <c r="C181" s="1035">
        <v>2</v>
      </c>
      <c r="D181" s="1036" t="s">
        <v>454</v>
      </c>
      <c r="E181" s="1028">
        <f>'побудинковий звіт'!E179</f>
        <v>102.4</v>
      </c>
      <c r="F181" s="1029">
        <f>'побудинковий звіт'!AS179</f>
        <v>4379.1196356314958</v>
      </c>
      <c r="G181" s="1029">
        <f t="shared" si="16"/>
        <v>730</v>
      </c>
      <c r="H181" s="1029">
        <f t="shared" si="17"/>
        <v>-3649.1196356314958</v>
      </c>
      <c r="I181" s="43">
        <f>'[1]поточний ремонт'!I181+'[2]поточний ремонт'!I181-'[3]поточний ремонт'!I181</f>
        <v>2</v>
      </c>
      <c r="J181" s="43">
        <f>'[1]поточний ремонт'!J181+'[2]поточний ремонт'!J181-'[3]поточний ремонт'!J181</f>
        <v>730</v>
      </c>
      <c r="K181" s="1037"/>
      <c r="L181" s="43">
        <f>'[1]поточний ремонт'!L181+'[2]поточний ремонт'!L181-'[3]поточний ремонт'!L181</f>
        <v>0</v>
      </c>
      <c r="M181" s="43">
        <f>'[1]поточний ремонт'!M181+'[2]поточний ремонт'!M181-'[3]поточний ремонт'!M181</f>
        <v>0</v>
      </c>
      <c r="N181" s="37"/>
      <c r="O181" s="43">
        <f>'[1]поточний ремонт'!O181+'[2]поточний ремонт'!O181-'[3]поточний ремонт'!O181</f>
        <v>0</v>
      </c>
      <c r="P181" s="43">
        <f>'[1]поточний ремонт'!P181+'[2]поточний ремонт'!P181-'[3]поточний ремонт'!P181</f>
        <v>0</v>
      </c>
      <c r="Q181" s="1038"/>
      <c r="R181" s="43">
        <f>'[1]поточний ремонт'!R181+'[2]поточний ремонт'!R181-'[3]поточний ремонт'!R181</f>
        <v>0</v>
      </c>
      <c r="S181" s="43">
        <f>'[1]поточний ремонт'!S181+'[2]поточний ремонт'!S181-'[3]поточний ремонт'!S181</f>
        <v>0</v>
      </c>
      <c r="T181" s="1039"/>
      <c r="U181" s="43">
        <f>'[1]поточний ремонт'!U181+'[2]поточний ремонт'!U181-'[3]поточний ремонт'!U181</f>
        <v>0</v>
      </c>
      <c r="V181" s="43">
        <f>'[1]поточний ремонт'!V181+'[2]поточний ремонт'!V181-'[3]поточний ремонт'!V181</f>
        <v>0</v>
      </c>
      <c r="W181" s="43">
        <f>'[1]поточний ремонт'!W181+'[2]поточний ремонт'!W181-'[3]поточний ремонт'!W181</f>
        <v>0</v>
      </c>
      <c r="X181" s="43">
        <f>'[1]поточний ремонт'!X181+'[2]поточний ремонт'!X181-'[3]поточний ремонт'!X181</f>
        <v>0</v>
      </c>
      <c r="Y181" s="43">
        <f>'[1]поточний ремонт'!Y181+'[2]поточний ремонт'!Y181-'[3]поточний ремонт'!Y181</f>
        <v>0</v>
      </c>
      <c r="Z181" s="43">
        <f>'[1]поточний ремонт'!Z181+'[2]поточний ремонт'!Z181-'[3]поточний ремонт'!Z181</f>
        <v>0</v>
      </c>
      <c r="AA181" s="43">
        <f>'[1]поточний ремонт'!AA181+'[2]поточний ремонт'!AA181-'[3]поточний ремонт'!AA181</f>
        <v>0</v>
      </c>
      <c r="AB181" s="43">
        <f>'[1]поточний ремонт'!AB181+'[2]поточний ремонт'!AB181-'[3]поточний ремонт'!AB181</f>
        <v>0</v>
      </c>
      <c r="AC181" s="43">
        <f>'[1]поточний ремонт'!AC181+'[2]поточний ремонт'!AC181-'[3]поточний ремонт'!AC181</f>
        <v>0</v>
      </c>
      <c r="AD181" s="43">
        <f>'[1]поточний ремонт'!AD181+'[2]поточний ремонт'!AD181-'[3]поточний ремонт'!AD181</f>
        <v>0</v>
      </c>
      <c r="AE181" s="43">
        <f>'[1]поточний ремонт'!AE181+'[2]поточний ремонт'!AE181-'[3]поточний ремонт'!AE181</f>
        <v>276.41195827442459</v>
      </c>
      <c r="AF181" s="43">
        <f>'[1]поточний ремонт'!AF181+'[2]поточний ремонт'!AF181-'[3]поточний ремонт'!AF181</f>
        <v>0</v>
      </c>
      <c r="AG181" s="5"/>
      <c r="AH181" s="43">
        <f>'[1]поточний ремонт'!AH181+'[2]поточний ремонт'!AH181-'[3]поточний ремонт'!AH181</f>
        <v>293.55584184695147</v>
      </c>
      <c r="AI181" s="43">
        <f>'[1]поточний ремонт'!AI181+'[2]поточний ремонт'!AI181-'[3]поточний ремонт'!AI181</f>
        <v>0</v>
      </c>
      <c r="AJ181" s="5"/>
      <c r="AK181" s="43">
        <f>'[1]поточний ремонт'!AK181+'[2]поточний ремонт'!AK181-'[3]поточний ремонт'!AK181</f>
        <v>133.88218512556958</v>
      </c>
      <c r="AL181" s="43">
        <f>'[1]поточний ремонт'!AL181+'[2]поточний ремонт'!AL181-'[3]поточний ремонт'!AL181</f>
        <v>0</v>
      </c>
      <c r="AM181" s="5"/>
      <c r="AN181" s="43">
        <f>'[1]поточний ремонт'!AN181+'[2]поточний ремонт'!AN181-'[3]поточний ремонт'!AN181</f>
        <v>171.95374160253516</v>
      </c>
      <c r="AO181" s="43">
        <f>'[1]поточний ремонт'!AO181+'[2]поточний ремонт'!AO181-'[3]поточний ремонт'!AO181</f>
        <v>0</v>
      </c>
      <c r="AP181" s="5"/>
      <c r="AQ181" s="43">
        <f>'[1]поточний ремонт'!AQ181+'[2]поточний ремонт'!AQ181-'[3]поточний ремонт'!AQ181</f>
        <v>0</v>
      </c>
      <c r="AR181" s="43">
        <f>'[1]поточний ремонт'!AR181+'[2]поточний ремонт'!AR181-'[3]поточний ремонт'!AR181</f>
        <v>0</v>
      </c>
      <c r="AS181" s="5"/>
      <c r="AT181" s="43">
        <f>'[1]поточний ремонт'!AT181+'[2]поточний ремонт'!AT181-'[3]поточний ремонт'!AT181</f>
        <v>78.348245973730187</v>
      </c>
      <c r="AU181" s="43">
        <f>'[1]поточний ремонт'!AU181+'[2]поточний ремонт'!AU181-'[3]поточний ремонт'!AU181</f>
        <v>0</v>
      </c>
      <c r="AV181" s="5"/>
      <c r="AW181" s="43">
        <f>'[1]поточний ремонт'!AW181+'[2]поточний ремонт'!AW181-'[3]поточний ремонт'!AW181</f>
        <v>0</v>
      </c>
      <c r="AX181" s="43">
        <f>'[1]поточний ремонт'!AX181+'[2]поточний ремонт'!AX181-'[3]поточний ремонт'!AX181</f>
        <v>0</v>
      </c>
      <c r="AY181" s="5"/>
      <c r="AZ181" s="43">
        <f t="shared" si="18"/>
        <v>954.15197282321094</v>
      </c>
      <c r="BA181" s="43">
        <f t="shared" si="19"/>
        <v>0</v>
      </c>
      <c r="BB181" s="59">
        <f t="shared" si="20"/>
        <v>-954.15197282321094</v>
      </c>
      <c r="BD181" s="2">
        <v>3</v>
      </c>
      <c r="BF181" s="30">
        <v>29.377543560143863</v>
      </c>
      <c r="BG181" s="328">
        <v>150000777</v>
      </c>
      <c r="BI181" s="107">
        <v>0</v>
      </c>
      <c r="BJ181" s="107">
        <f t="shared" si="21"/>
        <v>0</v>
      </c>
      <c r="BK181" s="107">
        <v>0</v>
      </c>
      <c r="BL181" s="39"/>
      <c r="BM181" s="3"/>
      <c r="BN181" s="3">
        <v>0</v>
      </c>
      <c r="BP181" s="3"/>
      <c r="BQ181" s="3"/>
      <c r="BS181" s="43"/>
      <c r="BT181" s="43">
        <v>0</v>
      </c>
      <c r="BU181" s="1037"/>
      <c r="BV181" s="42"/>
      <c r="BW181" s="43"/>
      <c r="BX181" s="37"/>
      <c r="BY181" s="78"/>
      <c r="BZ181" s="43">
        <v>0</v>
      </c>
      <c r="CA181" s="1038"/>
      <c r="CB181" s="42"/>
      <c r="CC181" s="42">
        <v>0</v>
      </c>
      <c r="CD181" s="1039"/>
      <c r="CE181" s="78">
        <v>0</v>
      </c>
      <c r="CF181" s="56"/>
      <c r="CG181" s="42">
        <v>0</v>
      </c>
      <c r="CH181" s="39">
        <v>0</v>
      </c>
      <c r="CI181" s="78">
        <v>0</v>
      </c>
      <c r="CJ181" s="56"/>
      <c r="CK181" s="1034"/>
      <c r="CL181" s="1029"/>
      <c r="CM181" s="1034"/>
      <c r="CN181" s="1029">
        <v>0</v>
      </c>
      <c r="CO181" s="78">
        <v>23.034329856202049</v>
      </c>
      <c r="CP181" s="43">
        <v>0</v>
      </c>
      <c r="CQ181" s="5"/>
      <c r="CR181" s="78">
        <v>24.462986820579289</v>
      </c>
      <c r="CS181" s="1033">
        <v>0</v>
      </c>
      <c r="CT181" s="5"/>
      <c r="CU181" s="78">
        <v>11.156848760464133</v>
      </c>
      <c r="CV181" s="43">
        <v>0</v>
      </c>
      <c r="CW181" s="5"/>
      <c r="CX181" s="78">
        <v>14.32947846687793</v>
      </c>
      <c r="CY181" s="43">
        <v>0</v>
      </c>
      <c r="CZ181" s="5"/>
      <c r="DA181" s="78">
        <v>0</v>
      </c>
      <c r="DB181" s="43">
        <v>0</v>
      </c>
      <c r="DC181" s="5"/>
      <c r="DD181" s="78">
        <v>6.5290204978108486</v>
      </c>
      <c r="DE181" s="43">
        <v>0</v>
      </c>
      <c r="DF181" s="5"/>
      <c r="DG181" s="78">
        <v>0</v>
      </c>
      <c r="DH181" s="43"/>
      <c r="DI181" s="5"/>
      <c r="DJ181" s="43">
        <v>79.512664401934245</v>
      </c>
      <c r="DK181" s="43">
        <f t="shared" si="22"/>
        <v>0</v>
      </c>
      <c r="DL181" s="59">
        <f t="shared" si="23"/>
        <v>-79.512664401934245</v>
      </c>
    </row>
    <row r="182" spans="1:116" ht="24.9" customHeight="1" x14ac:dyDescent="0.3">
      <c r="A182" s="328">
        <v>150000765</v>
      </c>
      <c r="B182" s="45" t="s">
        <v>264</v>
      </c>
      <c r="C182" s="1035">
        <v>5</v>
      </c>
      <c r="D182" s="1036" t="s">
        <v>454</v>
      </c>
      <c r="E182" s="1028">
        <f>'побудинковий звіт'!E180</f>
        <v>180.22</v>
      </c>
      <c r="F182" s="1029">
        <f>'побудинковий звіт'!AS180</f>
        <v>56114.131644006571</v>
      </c>
      <c r="G182" s="1029">
        <f t="shared" si="16"/>
        <v>3495.1697394801567</v>
      </c>
      <c r="H182" s="1029">
        <f t="shared" si="17"/>
        <v>-52618.961904526412</v>
      </c>
      <c r="I182" s="43">
        <f>'[1]поточний ремонт'!I182+'[2]поточний ремонт'!I182-'[3]поточний ремонт'!I182</f>
        <v>0</v>
      </c>
      <c r="J182" s="43">
        <f>'[1]поточний ремонт'!J182+'[2]поточний ремонт'!J182-'[3]поточний ремонт'!J182</f>
        <v>0</v>
      </c>
      <c r="K182" s="1041"/>
      <c r="L182" s="43">
        <f>'[1]поточний ремонт'!L182+'[2]поточний ремонт'!L182-'[3]поточний ремонт'!L182</f>
        <v>0</v>
      </c>
      <c r="M182" s="43">
        <f>'[1]поточний ремонт'!M182+'[2]поточний ремонт'!M182-'[3]поточний ремонт'!M182</f>
        <v>0</v>
      </c>
      <c r="N182" s="37"/>
      <c r="O182" s="43">
        <f>'[1]поточний ремонт'!O182+'[2]поточний ремонт'!O182-'[3]поточний ремонт'!O182</f>
        <v>0</v>
      </c>
      <c r="P182" s="43">
        <f>'[1]поточний ремонт'!P182+'[2]поточний ремонт'!P182-'[3]поточний ремонт'!P182</f>
        <v>0</v>
      </c>
      <c r="Q182" s="1038"/>
      <c r="R182" s="43">
        <f>'[1]поточний ремонт'!R182+'[2]поточний ремонт'!R182-'[3]поточний ремонт'!R182</f>
        <v>0</v>
      </c>
      <c r="S182" s="43">
        <f>'[1]поточний ремонт'!S182+'[2]поточний ремонт'!S182-'[3]поточний ремонт'!S182</f>
        <v>0</v>
      </c>
      <c r="T182" s="1039"/>
      <c r="U182" s="43">
        <f>'[1]поточний ремонт'!U182+'[2]поточний ремонт'!U182-'[3]поточний ремонт'!U182</f>
        <v>0</v>
      </c>
      <c r="V182" s="43">
        <f>'[1]поточний ремонт'!V182+'[2]поточний ремонт'!V182-'[3]поточний ремонт'!V182</f>
        <v>0</v>
      </c>
      <c r="W182" s="43">
        <f>'[1]поточний ремонт'!W182+'[2]поточний ремонт'!W182-'[3]поточний ремонт'!W182</f>
        <v>0</v>
      </c>
      <c r="X182" s="43">
        <f>'[1]поточний ремонт'!X182+'[2]поточний ремонт'!X182-'[3]поточний ремонт'!X182</f>
        <v>891.16973948015652</v>
      </c>
      <c r="Y182" s="43">
        <f>'[1]поточний ремонт'!Y182+'[2]поточний ремонт'!Y182-'[3]поточний ремонт'!Y182</f>
        <v>288</v>
      </c>
      <c r="Z182" s="43">
        <f>'[1]поточний ремонт'!Z182+'[2]поточний ремонт'!Z182-'[3]поточний ремонт'!Z182</f>
        <v>0</v>
      </c>
      <c r="AA182" s="43">
        <f>'[1]поточний ремонт'!AA182+'[2]поточний ремонт'!AA182-'[3]поточний ремонт'!AA182</f>
        <v>0</v>
      </c>
      <c r="AB182" s="43">
        <f>'[1]поточний ремонт'!AB182+'[2]поточний ремонт'!AB182-'[3]поточний ремонт'!AB182</f>
        <v>0</v>
      </c>
      <c r="AC182" s="43">
        <f>'[1]поточний ремонт'!AC182+'[2]поточний ремонт'!AC182-'[3]поточний ремонт'!AC182</f>
        <v>715</v>
      </c>
      <c r="AD182" s="43">
        <f>'[1]поточний ремонт'!AD182+'[2]поточний ремонт'!AD182-'[3]поточний ремонт'!AD182</f>
        <v>1601</v>
      </c>
      <c r="AE182" s="43">
        <f>'[1]поточний ремонт'!AE182+'[2]поточний ремонт'!AE182-'[3]поточний ремонт'!AE182</f>
        <v>2580.5496832475001</v>
      </c>
      <c r="AF182" s="43">
        <f>'[1]поточний ремонт'!AF182+'[2]поточний ремонт'!AF182-'[3]поточний ремонт'!AF182</f>
        <v>843</v>
      </c>
      <c r="AG182" s="5"/>
      <c r="AH182" s="43">
        <f>'[1]поточний ремонт'!AH182+'[2]поточний ремонт'!AH182-'[3]поточний ремонт'!AH182</f>
        <v>4229.1776649693138</v>
      </c>
      <c r="AI182" s="43">
        <f>'[1]поточний ремонт'!AI182+'[2]поточний ремонт'!AI182-'[3]поточний ремонт'!AI182</f>
        <v>0</v>
      </c>
      <c r="AJ182" s="5"/>
      <c r="AK182" s="43">
        <f>'[1]поточний ремонт'!AK182+'[2]поточний ремонт'!AK182-'[3]поточний ремонт'!AK182</f>
        <v>3657.461409625545</v>
      </c>
      <c r="AL182" s="43">
        <f>'[1]поточний ремонт'!AL182+'[2]поточний ремонт'!AL182-'[3]поточний ремонт'!AL182</f>
        <v>0</v>
      </c>
      <c r="AM182" s="5"/>
      <c r="AN182" s="43">
        <f>'[1]поточний ремонт'!AN182+'[2]поточний ремонт'!AN182-'[3]поточний ремонт'!AN182</f>
        <v>0</v>
      </c>
      <c r="AO182" s="43">
        <f>'[1]поточний ремонт'!AO182+'[2]поточний ремонт'!AO182-'[3]поточний ремонт'!AO182</f>
        <v>0</v>
      </c>
      <c r="AP182" s="5"/>
      <c r="AQ182" s="43">
        <f>'[1]поточний ремонт'!AQ182+'[2]поточний ремонт'!AQ182-'[3]поточний ремонт'!AQ182</f>
        <v>1313.1883369600605</v>
      </c>
      <c r="AR182" s="43">
        <f>'[1]поточний ремонт'!AR182+'[2]поточний ремонт'!AR182-'[3]поточний ремонт'!AR182</f>
        <v>0</v>
      </c>
      <c r="AS182" s="5"/>
      <c r="AT182" s="43">
        <f>'[1]поточний ремонт'!AT182+'[2]поточний ремонт'!AT182-'[3]поточний ремонт'!AT182</f>
        <v>1720.850668314974</v>
      </c>
      <c r="AU182" s="43">
        <f>'[1]поточний ремонт'!AU182+'[2]поточний ремонт'!AU182-'[3]поточний ремонт'!AU182</f>
        <v>2207</v>
      </c>
      <c r="AV182" s="5"/>
      <c r="AW182" s="43">
        <f>'[1]поточний ремонт'!AW182+'[2]поточний ремонт'!AW182-'[3]поточний ремонт'!AW182</f>
        <v>0</v>
      </c>
      <c r="AX182" s="43">
        <f>'[1]поточний ремонт'!AX182+'[2]поточний ремонт'!AX182-'[3]поточний ремонт'!AX182</f>
        <v>0</v>
      </c>
      <c r="AY182" s="5"/>
      <c r="AZ182" s="43">
        <f t="shared" si="18"/>
        <v>13501.227763117393</v>
      </c>
      <c r="BA182" s="43">
        <f t="shared" si="19"/>
        <v>3050</v>
      </c>
      <c r="BB182" s="59">
        <f t="shared" si="20"/>
        <v>-10451.227763117393</v>
      </c>
      <c r="BD182" s="2">
        <v>2</v>
      </c>
      <c r="BF182" s="30">
        <v>6.6070202569310714</v>
      </c>
      <c r="BG182" s="328">
        <v>150000765</v>
      </c>
      <c r="BI182" s="107">
        <v>66.5</v>
      </c>
      <c r="BJ182" s="107">
        <f t="shared" si="21"/>
        <v>9.3540362999999989</v>
      </c>
      <c r="BK182" s="107">
        <v>76.693505434000002</v>
      </c>
      <c r="BL182" s="39"/>
      <c r="BM182" s="3"/>
      <c r="BN182" s="3">
        <v>0</v>
      </c>
      <c r="BP182" s="3"/>
      <c r="BQ182" s="3"/>
      <c r="BS182" s="43"/>
      <c r="BT182" s="43">
        <v>0</v>
      </c>
      <c r="BU182" s="1041"/>
      <c r="BV182" s="42"/>
      <c r="BW182" s="43"/>
      <c r="BX182" s="37"/>
      <c r="BY182" s="78"/>
      <c r="BZ182" s="43">
        <v>0</v>
      </c>
      <c r="CA182" s="1038"/>
      <c r="CB182" s="42"/>
      <c r="CC182" s="42">
        <v>0</v>
      </c>
      <c r="CD182" s="1039"/>
      <c r="CE182" s="78">
        <v>0</v>
      </c>
      <c r="CF182" s="56"/>
      <c r="CG182" s="42">
        <v>0</v>
      </c>
      <c r="CH182" s="39">
        <v>76.693505434000002</v>
      </c>
      <c r="CI182" s="78">
        <v>1054.2373736551594</v>
      </c>
      <c r="CJ182" s="56"/>
      <c r="CK182" s="1034"/>
      <c r="CL182" s="1029"/>
      <c r="CM182" s="1034"/>
      <c r="CN182" s="1029">
        <v>0</v>
      </c>
      <c r="CO182" s="78">
        <v>215.04580693729167</v>
      </c>
      <c r="CP182" s="43">
        <v>0</v>
      </c>
      <c r="CQ182" s="5"/>
      <c r="CR182" s="78">
        <v>352.43147208077619</v>
      </c>
      <c r="CS182" s="1033">
        <v>0</v>
      </c>
      <c r="CT182" s="5"/>
      <c r="CU182" s="78">
        <v>304.78845080212869</v>
      </c>
      <c r="CV182" s="43">
        <v>0</v>
      </c>
      <c r="CW182" s="5"/>
      <c r="CX182" s="78">
        <v>0</v>
      </c>
      <c r="CY182" s="43">
        <v>0</v>
      </c>
      <c r="CZ182" s="5"/>
      <c r="DA182" s="78">
        <v>109.43236141333836</v>
      </c>
      <c r="DB182" s="43">
        <v>0</v>
      </c>
      <c r="DC182" s="5"/>
      <c r="DD182" s="78">
        <v>143.40422235958118</v>
      </c>
      <c r="DE182" s="43">
        <v>0</v>
      </c>
      <c r="DF182" s="5"/>
      <c r="DG182" s="78">
        <v>0</v>
      </c>
      <c r="DH182" s="43"/>
      <c r="DI182" s="5"/>
      <c r="DJ182" s="43">
        <v>1125.1023135931162</v>
      </c>
      <c r="DK182" s="43">
        <f t="shared" si="22"/>
        <v>0</v>
      </c>
      <c r="DL182" s="59">
        <f t="shared" si="23"/>
        <v>-1125.1023135931162</v>
      </c>
    </row>
    <row r="183" spans="1:116" ht="24.9" customHeight="1" x14ac:dyDescent="0.3">
      <c r="A183" s="328">
        <v>150000696</v>
      </c>
      <c r="B183" s="45" t="s">
        <v>370</v>
      </c>
      <c r="C183" s="1035">
        <v>9</v>
      </c>
      <c r="D183" s="1036" t="s">
        <v>454</v>
      </c>
      <c r="E183" s="1028">
        <f>'побудинковий звіт'!E181</f>
        <v>278.3</v>
      </c>
      <c r="F183" s="1029">
        <f>'побудинковий звіт'!AS181</f>
        <v>167426.28</v>
      </c>
      <c r="G183" s="1029">
        <f t="shared" si="16"/>
        <v>171452.05209911571</v>
      </c>
      <c r="H183" s="1029">
        <f t="shared" si="17"/>
        <v>4025.7720991157112</v>
      </c>
      <c r="I183" s="43">
        <f>'[1]поточний ремонт'!I183+'[2]поточний ремонт'!I183-'[3]поточний ремонт'!I183</f>
        <v>58.5</v>
      </c>
      <c r="J183" s="43">
        <f>'[1]поточний ремонт'!J183+'[2]поточний ремонт'!J183-'[3]поточний ремонт'!J183</f>
        <v>132099</v>
      </c>
      <c r="K183" s="1037"/>
      <c r="L183" s="43">
        <f>'[1]поточний ремонт'!L183+'[2]поточний ремонт'!L183-'[3]поточний ремонт'!L183</f>
        <v>0</v>
      </c>
      <c r="M183" s="43">
        <f>'[1]поточний ремонт'!M183+'[2]поточний ремонт'!M183-'[3]поточний ремонт'!M183</f>
        <v>0</v>
      </c>
      <c r="N183" s="1040"/>
      <c r="O183" s="43">
        <f>'[1]поточний ремонт'!O183+'[2]поточний ремонт'!O183-'[3]поточний ремонт'!O183</f>
        <v>29</v>
      </c>
      <c r="P183" s="43">
        <f>'[1]поточний ремонт'!P183+'[2]поточний ремонт'!P183-'[3]поточний ремонт'!P183</f>
        <v>9943</v>
      </c>
      <c r="Q183" s="1038"/>
      <c r="R183" s="43">
        <f>'[1]поточний ремонт'!R183+'[2]поточний ремонт'!R183-'[3]поточний ремонт'!R183</f>
        <v>0</v>
      </c>
      <c r="S183" s="43">
        <f>'[1]поточний ремонт'!S183+'[2]поточний ремонт'!S183-'[3]поточний ремонт'!S183</f>
        <v>0</v>
      </c>
      <c r="T183" s="1039"/>
      <c r="U183" s="43">
        <f>'[1]поточний ремонт'!U183+'[2]поточний ремонт'!U183-'[3]поточний ремонт'!U183</f>
        <v>0</v>
      </c>
      <c r="V183" s="43">
        <f>'[1]поточний ремонт'!V183+'[2]поточний ремонт'!V183-'[3]поточний ремонт'!V183</f>
        <v>0</v>
      </c>
      <c r="W183" s="43">
        <f>'[1]поточний ремонт'!W183+'[2]поточний ремонт'!W183-'[3]поточний ремонт'!W183</f>
        <v>17</v>
      </c>
      <c r="X183" s="43">
        <f>'[1]поточний ремонт'!X183+'[2]поточний ремонт'!X183-'[3]поточний ремонт'!X183</f>
        <v>1217.052099115698</v>
      </c>
      <c r="Y183" s="43">
        <f>'[1]поточний ремонт'!Y183+'[2]поточний ремонт'!Y183-'[3]поточний ремонт'!Y183</f>
        <v>15962</v>
      </c>
      <c r="Z183" s="43">
        <f>'[1]поточний ремонт'!Z183+'[2]поточний ремонт'!Z183-'[3]поточний ремонт'!Z183</f>
        <v>0</v>
      </c>
      <c r="AA183" s="43">
        <f>'[1]поточний ремонт'!AA183+'[2]поточний ремонт'!AA183-'[3]поточний ремонт'!AA183</f>
        <v>0</v>
      </c>
      <c r="AB183" s="43">
        <f>'[1]поточний ремонт'!AB183+'[2]поточний ремонт'!AB183-'[3]поточний ремонт'!AB183</f>
        <v>5535</v>
      </c>
      <c r="AC183" s="43">
        <f>'[1]поточний ремонт'!AC183+'[2]поточний ремонт'!AC183-'[3]поточний ремонт'!AC183</f>
        <v>6150</v>
      </c>
      <c r="AD183" s="43">
        <f>'[1]поточний ремонт'!AD183+'[2]поточний ремонт'!AD183-'[3]поточний ремонт'!AD183</f>
        <v>546</v>
      </c>
      <c r="AE183" s="43">
        <f>'[1]поточний ремонт'!AE183+'[2]поточний ремонт'!AE183-'[3]поточний ремонт'!AE183</f>
        <v>1942.6684336048625</v>
      </c>
      <c r="AF183" s="43">
        <f>'[1]поточний ремонт'!AF183+'[2]поточний ремонт'!AF183-'[3]поточний ремонт'!AF183</f>
        <v>4463</v>
      </c>
      <c r="AG183" s="5"/>
      <c r="AH183" s="43">
        <f>'[1]поточний ремонт'!AH183+'[2]поточний ремонт'!AH183-'[3]поточний ремонт'!AH183</f>
        <v>2729.3950916029771</v>
      </c>
      <c r="AI183" s="43">
        <f>'[1]поточний ремонт'!AI183+'[2]поточний ремонт'!AI183-'[3]поточний ремонт'!AI183</f>
        <v>0</v>
      </c>
      <c r="AJ183" s="5"/>
      <c r="AK183" s="43">
        <f>'[1]поточний ремонт'!AK183+'[2]поточний ремонт'!AK183-'[3]поточний ремонт'!AK183</f>
        <v>3285.0079130438471</v>
      </c>
      <c r="AL183" s="43">
        <f>'[1]поточний ремонт'!AL183+'[2]поточний ремонт'!AL183-'[3]поточний ремонт'!AL183</f>
        <v>1906</v>
      </c>
      <c r="AM183" s="1045"/>
      <c r="AN183" s="43">
        <f>'[1]поточний ремонт'!AN183+'[2]поточний ремонт'!AN183-'[3]поточний ремонт'!AN183</f>
        <v>1117.4018823354661</v>
      </c>
      <c r="AO183" s="43">
        <f>'[1]поточний ремонт'!AO183+'[2]поточний ремонт'!AO183-'[3]поточний ремонт'!AO183</f>
        <v>0</v>
      </c>
      <c r="AP183" s="5"/>
      <c r="AQ183" s="43">
        <f>'[1]поточний ремонт'!AQ183+'[2]поточний ремонт'!AQ183-'[3]поточний ремонт'!AQ183</f>
        <v>593.65087276649558</v>
      </c>
      <c r="AR183" s="43">
        <f>'[1]поточний ремонт'!AR183+'[2]поточний ремонт'!AR183-'[3]поточний ремонт'!AR183</f>
        <v>2325</v>
      </c>
      <c r="AS183" s="5"/>
      <c r="AT183" s="43">
        <f>'[1]поточний ремонт'!AT183+'[2]поточний ремонт'!AT183-'[3]поточний ремонт'!AT183</f>
        <v>1409.5133746895701</v>
      </c>
      <c r="AU183" s="43">
        <f>'[1]поточний ремонт'!AU183+'[2]поточний ремонт'!AU183-'[3]поточний ремонт'!AU183</f>
        <v>2173</v>
      </c>
      <c r="AV183" s="5"/>
      <c r="AW183" s="43">
        <f>'[1]поточний ремонт'!AW183+'[2]поточний ремонт'!AW183-'[3]поточний ремонт'!AW183</f>
        <v>0</v>
      </c>
      <c r="AX183" s="43">
        <f>'[1]поточний ремонт'!AX183+'[2]поточний ремонт'!AX183-'[3]поточний ремонт'!AX183</f>
        <v>0</v>
      </c>
      <c r="AY183" s="5"/>
      <c r="AZ183" s="43">
        <f t="shared" si="18"/>
        <v>11077.637568043217</v>
      </c>
      <c r="BA183" s="43">
        <f t="shared" si="19"/>
        <v>10867</v>
      </c>
      <c r="BB183" s="59">
        <f t="shared" si="20"/>
        <v>-210.63756804321747</v>
      </c>
      <c r="BD183" s="2">
        <v>3</v>
      </c>
      <c r="BF183" s="30">
        <v>471.23299166913205</v>
      </c>
      <c r="BG183" s="328">
        <v>150000696</v>
      </c>
      <c r="BI183" s="107">
        <v>9.6300000000000008</v>
      </c>
      <c r="BJ183" s="107">
        <f t="shared" si="21"/>
        <v>1.3545769860000001</v>
      </c>
      <c r="BK183" s="107">
        <v>11.10614221548</v>
      </c>
      <c r="BL183" s="39"/>
      <c r="BM183" s="3"/>
      <c r="BN183" s="3">
        <v>0</v>
      </c>
      <c r="BP183" s="3"/>
      <c r="BQ183" s="3"/>
      <c r="BS183" s="43"/>
      <c r="BT183" s="43">
        <v>0</v>
      </c>
      <c r="BU183" s="1037"/>
      <c r="BV183" s="42"/>
      <c r="BW183" s="43"/>
      <c r="BX183" s="1040"/>
      <c r="BY183" s="78"/>
      <c r="BZ183" s="43">
        <v>0</v>
      </c>
      <c r="CA183" s="1038"/>
      <c r="CB183" s="42"/>
      <c r="CC183" s="42">
        <v>0</v>
      </c>
      <c r="CD183" s="1039"/>
      <c r="CE183" s="78">
        <v>0</v>
      </c>
      <c r="CF183" s="56"/>
      <c r="CG183" s="42">
        <v>0</v>
      </c>
      <c r="CH183" s="39">
        <v>11.10614221548</v>
      </c>
      <c r="CI183" s="78">
        <v>0</v>
      </c>
      <c r="CJ183" s="56"/>
      <c r="CK183" s="1034"/>
      <c r="CL183" s="1029"/>
      <c r="CM183" s="1034"/>
      <c r="CN183" s="1029">
        <v>0</v>
      </c>
      <c r="CO183" s="78">
        <v>161.88903613373856</v>
      </c>
      <c r="CP183" s="43">
        <v>0</v>
      </c>
      <c r="CQ183" s="5"/>
      <c r="CR183" s="78">
        <v>227.44959096691474</v>
      </c>
      <c r="CS183" s="1033">
        <v>0</v>
      </c>
      <c r="CT183" s="5"/>
      <c r="CU183" s="78">
        <v>273.75065942032063</v>
      </c>
      <c r="CV183" s="43">
        <v>0</v>
      </c>
      <c r="CW183" s="1045"/>
      <c r="CX183" s="78">
        <v>93.116823527955518</v>
      </c>
      <c r="CY183" s="43">
        <v>0</v>
      </c>
      <c r="CZ183" s="5"/>
      <c r="DA183" s="78">
        <v>49.470906063874629</v>
      </c>
      <c r="DB183" s="43">
        <v>0</v>
      </c>
      <c r="DC183" s="5"/>
      <c r="DD183" s="78">
        <v>117.45944789079753</v>
      </c>
      <c r="DE183" s="43">
        <v>0</v>
      </c>
      <c r="DF183" s="5"/>
      <c r="DG183" s="78">
        <v>0</v>
      </c>
      <c r="DH183" s="43"/>
      <c r="DI183" s="5"/>
      <c r="DJ183" s="43">
        <v>923.13646400360153</v>
      </c>
      <c r="DK183" s="43">
        <f t="shared" si="22"/>
        <v>0</v>
      </c>
      <c r="DL183" s="59">
        <f t="shared" si="23"/>
        <v>-923.13646400360153</v>
      </c>
    </row>
    <row r="184" spans="1:116" ht="24.9" customHeight="1" x14ac:dyDescent="0.3">
      <c r="A184" s="328">
        <v>150000697</v>
      </c>
      <c r="B184" s="45" t="s">
        <v>265</v>
      </c>
      <c r="C184" s="1035">
        <v>5</v>
      </c>
      <c r="D184" s="1036" t="s">
        <v>454</v>
      </c>
      <c r="E184" s="1028">
        <f>'побудинковий звіт'!E182</f>
        <v>151.80000000000001</v>
      </c>
      <c r="F184" s="1029">
        <f>'побудинковий звіт'!AS182</f>
        <v>49149.42088606122</v>
      </c>
      <c r="G184" s="1029">
        <f t="shared" si="16"/>
        <v>165313</v>
      </c>
      <c r="H184" s="1029">
        <f t="shared" si="17"/>
        <v>116163.57911393879</v>
      </c>
      <c r="I184" s="43">
        <f>'[1]поточний ремонт'!I184+'[2]поточний ремонт'!I184-'[3]поточний ремонт'!I184</f>
        <v>322</v>
      </c>
      <c r="J184" s="43">
        <f>'[1]поточний ремонт'!J184+'[2]поточний ремонт'!J184-'[3]поточний ремонт'!J184</f>
        <v>88307</v>
      </c>
      <c r="K184" s="1037"/>
      <c r="L184" s="43">
        <f>'[1]поточний ремонт'!L184+'[2]поточний ремонт'!L184-'[3]поточний ремонт'!L184</f>
        <v>0</v>
      </c>
      <c r="M184" s="43">
        <f>'[1]поточний ремонт'!M184+'[2]поточний ремонт'!M184-'[3]поточний ремонт'!M184</f>
        <v>0</v>
      </c>
      <c r="N184" s="37"/>
      <c r="O184" s="43">
        <f>'[1]поточний ремонт'!O184+'[2]поточний ремонт'!O184-'[3]поточний ремонт'!O184</f>
        <v>0</v>
      </c>
      <c r="P184" s="43">
        <f>'[1]поточний ремонт'!P184+'[2]поточний ремонт'!P184-'[3]поточний ремонт'!P184</f>
        <v>0</v>
      </c>
      <c r="Q184" s="1038"/>
      <c r="R184" s="43">
        <f>'[1]поточний ремонт'!R184+'[2]поточний ремонт'!R184-'[3]поточний ремонт'!R184</f>
        <v>0</v>
      </c>
      <c r="S184" s="43">
        <f>'[1]поточний ремонт'!S184+'[2]поточний ремонт'!S184-'[3]поточний ремонт'!S184</f>
        <v>0</v>
      </c>
      <c r="T184" s="1039"/>
      <c r="U184" s="43">
        <f>'[1]поточний ремонт'!U184+'[2]поточний ремонт'!U184-'[3]поточний ремонт'!U184</f>
        <v>0</v>
      </c>
      <c r="V184" s="43">
        <f>'[1]поточний ремонт'!V184+'[2]поточний ремонт'!V184-'[3]поточний ремонт'!V184</f>
        <v>0</v>
      </c>
      <c r="W184" s="43">
        <f>'[1]поточний ремонт'!W184+'[2]поточний ремонт'!W184-'[3]поточний ремонт'!W184</f>
        <v>0</v>
      </c>
      <c r="X184" s="43">
        <f>'[1]поточний ремонт'!X184+'[2]поточний ремонт'!X184-'[3]поточний ремонт'!X184</f>
        <v>0</v>
      </c>
      <c r="Y184" s="43">
        <f>'[1]поточний ремонт'!Y184+'[2]поточний ремонт'!Y184-'[3]поточний ремонт'!Y184</f>
        <v>16242</v>
      </c>
      <c r="Z184" s="43">
        <f>'[1]поточний ремонт'!Z184+'[2]поточний ремонт'!Z184-'[3]поточний ремонт'!Z184</f>
        <v>0</v>
      </c>
      <c r="AA184" s="43">
        <f>'[1]поточний ремонт'!AA184+'[2]поточний ремонт'!AA184-'[3]поточний ремонт'!AA184</f>
        <v>0</v>
      </c>
      <c r="AB184" s="43">
        <f>'[1]поточний ремонт'!AB184+'[2]поточний ремонт'!AB184-'[3]поточний ремонт'!AB184</f>
        <v>4739</v>
      </c>
      <c r="AC184" s="43">
        <f>'[1]поточний ремонт'!AC184+'[2]поточний ремонт'!AC184-'[3]поточний ремонт'!AC184</f>
        <v>54242</v>
      </c>
      <c r="AD184" s="43">
        <f>'[1]поточний ремонт'!AD184+'[2]поточний ремонт'!AD184-'[3]поточний ремонт'!AD184</f>
        <v>1783</v>
      </c>
      <c r="AE184" s="43">
        <f>'[1]поточний ремонт'!AE184+'[2]поточний ремонт'!AE184-'[3]поточний ремонт'!AE184</f>
        <v>1786.6581775625391</v>
      </c>
      <c r="AF184" s="43">
        <f>'[1]поточний ремонт'!AF184+'[2]поточний ремонт'!AF184-'[3]поточний ремонт'!AF184</f>
        <v>1356</v>
      </c>
      <c r="AG184" s="1045"/>
      <c r="AH184" s="43">
        <f>'[1]поточний ремонт'!AH184+'[2]поточний ремонт'!AH184-'[3]поточний ремонт'!AH184</f>
        <v>3440.1651412626084</v>
      </c>
      <c r="AI184" s="43">
        <f>'[1]поточний ремонт'!AI184+'[2]поточний ремонт'!AI184-'[3]поточний ремонт'!AI184</f>
        <v>0</v>
      </c>
      <c r="AJ184" s="5"/>
      <c r="AK184" s="43">
        <f>'[1]поточний ремонт'!AK184+'[2]поточний ремонт'!AK184-'[3]поточний ремонт'!AK184</f>
        <v>1482.2087925686596</v>
      </c>
      <c r="AL184" s="43">
        <f>'[1]поточний ремонт'!AL184+'[2]поточний ремонт'!AL184-'[3]поточний ремонт'!AL184</f>
        <v>0</v>
      </c>
      <c r="AM184" s="5"/>
      <c r="AN184" s="43">
        <f>'[1]поточний ремонт'!AN184+'[2]поточний ремонт'!AN184-'[3]поточний ремонт'!AN184</f>
        <v>1015.4632336225515</v>
      </c>
      <c r="AO184" s="43">
        <f>'[1]поточний ремонт'!AO184+'[2]поточний ремонт'!AO184-'[3]поточний ремонт'!AO184</f>
        <v>0</v>
      </c>
      <c r="AP184" s="5"/>
      <c r="AQ184" s="43">
        <f>'[1]поточний ремонт'!AQ184+'[2]поточний ремонт'!AQ184-'[3]поточний ремонт'!AQ184</f>
        <v>719.6828414324732</v>
      </c>
      <c r="AR184" s="43">
        <f>'[1]поточний ремонт'!AR184+'[2]поточний ремонт'!AR184-'[3]поточний ремонт'!AR184</f>
        <v>0</v>
      </c>
      <c r="AS184" s="5"/>
      <c r="AT184" s="43">
        <f>'[1]поточний ремонт'!AT184+'[2]поточний ремонт'!AT184-'[3]поточний ремонт'!AT184</f>
        <v>1078.9051097586912</v>
      </c>
      <c r="AU184" s="43">
        <f>'[1]поточний ремонт'!AU184+'[2]поточний ремонт'!AU184-'[3]поточний ремонт'!AU184</f>
        <v>0</v>
      </c>
      <c r="AV184" s="5"/>
      <c r="AW184" s="43">
        <f>'[1]поточний ремонт'!AW184+'[2]поточний ремонт'!AW184-'[3]поточний ремонт'!AW184</f>
        <v>0</v>
      </c>
      <c r="AX184" s="43">
        <f>'[1]поточний ремонт'!AX184+'[2]поточний ремонт'!AX184-'[3]поточний ремонт'!AX184</f>
        <v>0</v>
      </c>
      <c r="AY184" s="5"/>
      <c r="AZ184" s="43">
        <f t="shared" si="18"/>
        <v>9523.0832962075219</v>
      </c>
      <c r="BA184" s="43">
        <f t="shared" si="19"/>
        <v>1356</v>
      </c>
      <c r="BB184" s="59">
        <f t="shared" si="20"/>
        <v>-8167.0832962075219</v>
      </c>
      <c r="BD184" s="2">
        <v>3</v>
      </c>
      <c r="BF184" s="30">
        <v>205.14944159404277</v>
      </c>
      <c r="BG184" s="328">
        <v>150000697</v>
      </c>
      <c r="BI184" s="107">
        <v>0</v>
      </c>
      <c r="BJ184" s="107">
        <f t="shared" si="21"/>
        <v>0</v>
      </c>
      <c r="BK184" s="107">
        <v>0</v>
      </c>
      <c r="BL184" s="39"/>
      <c r="BM184" s="3"/>
      <c r="BN184" s="3">
        <v>0</v>
      </c>
      <c r="BP184" s="3"/>
      <c r="BQ184" s="3"/>
      <c r="BS184" s="43"/>
      <c r="BT184" s="43">
        <v>0</v>
      </c>
      <c r="BU184" s="1037"/>
      <c r="BV184" s="42"/>
      <c r="BW184" s="43"/>
      <c r="BX184" s="37"/>
      <c r="BY184" s="78"/>
      <c r="BZ184" s="43">
        <v>0</v>
      </c>
      <c r="CA184" s="1038"/>
      <c r="CB184" s="42"/>
      <c r="CC184" s="42">
        <v>0</v>
      </c>
      <c r="CD184" s="1039"/>
      <c r="CE184" s="78">
        <v>0</v>
      </c>
      <c r="CF184" s="56"/>
      <c r="CG184" s="42">
        <v>0</v>
      </c>
      <c r="CH184" s="39">
        <v>0</v>
      </c>
      <c r="CI184" s="78">
        <v>0</v>
      </c>
      <c r="CJ184" s="56"/>
      <c r="CK184" s="1034"/>
      <c r="CL184" s="1029"/>
      <c r="CM184" s="1034"/>
      <c r="CN184" s="1029">
        <v>0</v>
      </c>
      <c r="CO184" s="78">
        <v>148.88818146354492</v>
      </c>
      <c r="CP184" s="43">
        <v>0</v>
      </c>
      <c r="CQ184" s="1045"/>
      <c r="CR184" s="78">
        <v>286.68042843855068</v>
      </c>
      <c r="CS184" s="1033">
        <v>0</v>
      </c>
      <c r="CT184" s="5"/>
      <c r="CU184" s="78">
        <v>123.51739938072166</v>
      </c>
      <c r="CV184" s="43">
        <v>0</v>
      </c>
      <c r="CW184" s="5"/>
      <c r="CX184" s="78">
        <v>84.621936135212607</v>
      </c>
      <c r="CY184" s="43">
        <v>1652.6465544279599</v>
      </c>
      <c r="CZ184" s="5"/>
      <c r="DA184" s="78">
        <v>59.973570119372766</v>
      </c>
      <c r="DB184" s="43">
        <v>0</v>
      </c>
      <c r="DC184" s="5"/>
      <c r="DD184" s="78">
        <v>89.9087591465576</v>
      </c>
      <c r="DE184" s="43">
        <v>0</v>
      </c>
      <c r="DF184" s="5"/>
      <c r="DG184" s="78">
        <v>0</v>
      </c>
      <c r="DH184" s="43"/>
      <c r="DI184" s="5"/>
      <c r="DJ184" s="43">
        <v>793.59027468396027</v>
      </c>
      <c r="DK184" s="43">
        <f t="shared" si="22"/>
        <v>1652.6465544279599</v>
      </c>
      <c r="DL184" s="59">
        <f t="shared" si="23"/>
        <v>859.05627974399965</v>
      </c>
    </row>
    <row r="185" spans="1:116" ht="24.9" customHeight="1" x14ac:dyDescent="0.3">
      <c r="A185" s="328">
        <v>150000694</v>
      </c>
      <c r="B185" s="45" t="s">
        <v>371</v>
      </c>
      <c r="C185" s="1035">
        <v>9</v>
      </c>
      <c r="D185" s="1036" t="s">
        <v>454</v>
      </c>
      <c r="E185" s="1028">
        <f>'побудинковий звіт'!E183</f>
        <v>4489.03</v>
      </c>
      <c r="F185" s="1029">
        <f>'побудинковий звіт'!AS183</f>
        <v>163160.76</v>
      </c>
      <c r="G185" s="1029">
        <f t="shared" si="16"/>
        <v>22416.036704989558</v>
      </c>
      <c r="H185" s="1029">
        <f t="shared" si="17"/>
        <v>-140744.72329501045</v>
      </c>
      <c r="I185" s="43">
        <f>'[1]поточний ремонт'!I185+'[2]поточний ремонт'!I185-'[3]поточний ремонт'!I185</f>
        <v>3.5</v>
      </c>
      <c r="J185" s="43">
        <f>'[1]поточний ремонт'!J185+'[2]поточний ремонт'!J185-'[3]поточний ремонт'!J185</f>
        <v>231</v>
      </c>
      <c r="K185" s="1037"/>
      <c r="L185" s="43">
        <f>'[1]поточний ремонт'!L185+'[2]поточний ремонт'!L185-'[3]поточний ремонт'!L185</f>
        <v>0</v>
      </c>
      <c r="M185" s="43">
        <f>'[1]поточний ремонт'!M185+'[2]поточний ремонт'!M185-'[3]поточний ремонт'!M185</f>
        <v>0</v>
      </c>
      <c r="N185" s="1040"/>
      <c r="O185" s="43">
        <f>'[1]поточний ремонт'!O185+'[2]поточний ремонт'!O185-'[3]поточний ремонт'!O185</f>
        <v>0</v>
      </c>
      <c r="P185" s="43">
        <f>'[1]поточний ремонт'!P185+'[2]поточний ремонт'!P185-'[3]поточний ремонт'!P185</f>
        <v>0</v>
      </c>
      <c r="Q185" s="1038"/>
      <c r="R185" s="43">
        <f>'[1]поточний ремонт'!R185+'[2]поточний ремонт'!R185-'[3]поточний ремонт'!R185</f>
        <v>1</v>
      </c>
      <c r="S185" s="43">
        <f>'[1]поточний ремонт'!S185+'[2]поточний ремонт'!S185-'[3]поточний ремонт'!S185</f>
        <v>1236</v>
      </c>
      <c r="T185" s="1047"/>
      <c r="U185" s="43">
        <f>'[1]поточний ремонт'!U185+'[2]поточний ремонт'!U185-'[3]поточний ремонт'!U185</f>
        <v>18366</v>
      </c>
      <c r="V185" s="43">
        <f>'[1]поточний ремонт'!V185+'[2]поточний ремонт'!V185-'[3]поточний ремонт'!V185</f>
        <v>0</v>
      </c>
      <c r="W185" s="43">
        <f>'[1]поточний ремонт'!W185+'[2]поточний ремонт'!W185-'[3]поточний ремонт'!W185</f>
        <v>0</v>
      </c>
      <c r="X185" s="43">
        <f>'[1]поточний ремонт'!X185+'[2]поточний ремонт'!X185-'[3]поточний ремонт'!X185</f>
        <v>469.03670498955609</v>
      </c>
      <c r="Y185" s="43">
        <f>'[1]поточний ремонт'!Y185+'[2]поточний ремонт'!Y185-'[3]поточний ремонт'!Y185</f>
        <v>0</v>
      </c>
      <c r="Z185" s="43">
        <f>'[1]поточний ремонт'!Z185+'[2]поточний ремонт'!Z185-'[3]поточний ремонт'!Z185</f>
        <v>0</v>
      </c>
      <c r="AA185" s="43">
        <f>'[1]поточний ремонт'!AA185+'[2]поточний ремонт'!AA185-'[3]поточний ремонт'!AA185</f>
        <v>0</v>
      </c>
      <c r="AB185" s="43">
        <f>'[1]поточний ремонт'!AB185+'[2]поточний ремонт'!AB185-'[3]поточний ремонт'!AB185</f>
        <v>0</v>
      </c>
      <c r="AC185" s="43">
        <f>'[1]поточний ремонт'!AC185+'[2]поточний ремонт'!AC185-'[3]поточний ремонт'!AC185</f>
        <v>1716</v>
      </c>
      <c r="AD185" s="43">
        <f>'[1]поточний ремонт'!AD185+'[2]поточний ремонт'!AD185-'[3]поточний ремонт'!AD185</f>
        <v>398</v>
      </c>
      <c r="AE185" s="43">
        <f>'[1]поточний ремонт'!AE185+'[2]поточний ремонт'!AE185-'[3]поточний ремонт'!AE185</f>
        <v>1941.5379193614231</v>
      </c>
      <c r="AF185" s="43">
        <f>'[1]поточний ремонт'!AF185+'[2]поточний ремонт'!AF185-'[3]поточний ремонт'!AF185</f>
        <v>6137</v>
      </c>
      <c r="AG185" s="1045"/>
      <c r="AH185" s="43">
        <f>'[1]поточний ремонт'!AH185+'[2]поточний ремонт'!AH185-'[3]поточний ремонт'!AH185</f>
        <v>2727.9968650502351</v>
      </c>
      <c r="AI185" s="43">
        <f>'[1]поточний ремонт'!AI185+'[2]поточний ремонт'!AI185-'[3]поточний ремонт'!AI185</f>
        <v>3832</v>
      </c>
      <c r="AJ185" s="5"/>
      <c r="AK185" s="43">
        <f>'[1]поточний ремонт'!AK185+'[2]поточний ремонт'!AK185-'[3]поточний ремонт'!AK185</f>
        <v>3185.3594306036866</v>
      </c>
      <c r="AL185" s="43">
        <f>'[1]поточний ремонт'!AL185+'[2]поточний ремонт'!AL185-'[3]поточний ремонт'!AL185</f>
        <v>0</v>
      </c>
      <c r="AM185" s="5"/>
      <c r="AN185" s="43">
        <f>'[1]поточний ремонт'!AN185+'[2]поточний ремонт'!AN185-'[3]поточний ремонт'!AN185</f>
        <v>1077.1662485258355</v>
      </c>
      <c r="AO185" s="43">
        <f>'[1]поточний ремонт'!AO185+'[2]поточний ремонт'!AO185-'[3]поточний ремонт'!AO185</f>
        <v>0</v>
      </c>
      <c r="AP185" s="5"/>
      <c r="AQ185" s="43">
        <f>'[1]поточний ремонт'!AQ185+'[2]поточний ремонт'!AQ185-'[3]поточний ремонт'!AQ185</f>
        <v>593.65087276649558</v>
      </c>
      <c r="AR185" s="43">
        <f>'[1]поточний ремонт'!AR185+'[2]поточний ремонт'!AR185-'[3]поточний ремонт'!AR185</f>
        <v>0</v>
      </c>
      <c r="AS185" s="1045"/>
      <c r="AT185" s="43">
        <f>'[1]поточний ремонт'!AT185+'[2]поточний ремонт'!AT185-'[3]поточний ремонт'!AT185</f>
        <v>1378.455443689438</v>
      </c>
      <c r="AU185" s="43">
        <f>'[1]поточний ремонт'!AU185+'[2]поточний ремонт'!AU185-'[3]поточний ремонт'!AU185</f>
        <v>0</v>
      </c>
      <c r="AV185" s="9"/>
      <c r="AW185" s="43">
        <f>'[1]поточний ремонт'!AW185+'[2]поточний ремонт'!AW185-'[3]поточний ремонт'!AW185</f>
        <v>0</v>
      </c>
      <c r="AX185" s="43">
        <f>'[1]поточний ремонт'!AX185+'[2]поточний ремонт'!AX185-'[3]поточний ремонт'!AX185</f>
        <v>0</v>
      </c>
      <c r="AY185" s="5"/>
      <c r="AZ185" s="43">
        <f t="shared" si="18"/>
        <v>10904.166779997113</v>
      </c>
      <c r="BA185" s="43">
        <f t="shared" si="19"/>
        <v>9969</v>
      </c>
      <c r="BB185" s="59">
        <f t="shared" si="20"/>
        <v>-935.16677999711283</v>
      </c>
      <c r="BD185" s="2">
        <v>3</v>
      </c>
      <c r="BF185" s="30">
        <v>458.8562998440608</v>
      </c>
      <c r="BG185" s="328">
        <v>150000694</v>
      </c>
      <c r="BI185" s="107">
        <v>35</v>
      </c>
      <c r="BJ185" s="107">
        <f t="shared" si="21"/>
        <v>4.9231769999999999</v>
      </c>
      <c r="BK185" s="107">
        <v>40.365002859999997</v>
      </c>
      <c r="BL185" s="39"/>
      <c r="BM185" s="3">
        <v>3</v>
      </c>
      <c r="BN185" s="3">
        <v>280.74098863141546</v>
      </c>
      <c r="BP185" s="3"/>
      <c r="BQ185" s="3"/>
      <c r="BS185" s="43"/>
      <c r="BT185" s="43">
        <v>0</v>
      </c>
      <c r="BU185" s="1037"/>
      <c r="BV185" s="42"/>
      <c r="BW185" s="43"/>
      <c r="BX185" s="1040"/>
      <c r="BY185" s="78"/>
      <c r="BZ185" s="43">
        <v>0</v>
      </c>
      <c r="CA185" s="1038"/>
      <c r="CB185" s="42"/>
      <c r="CC185" s="42">
        <v>0</v>
      </c>
      <c r="CD185" s="1047"/>
      <c r="CE185" s="78">
        <v>0</v>
      </c>
      <c r="CF185" s="56"/>
      <c r="CG185" s="42">
        <v>3</v>
      </c>
      <c r="CH185" s="39">
        <v>321.10599149141547</v>
      </c>
      <c r="CI185" s="78">
        <v>0</v>
      </c>
      <c r="CJ185" s="56"/>
      <c r="CK185" s="1034"/>
      <c r="CL185" s="1029"/>
      <c r="CM185" s="1034"/>
      <c r="CN185" s="1029">
        <v>0</v>
      </c>
      <c r="CO185" s="78">
        <v>161.7948266134519</v>
      </c>
      <c r="CP185" s="43">
        <v>0</v>
      </c>
      <c r="CQ185" s="1045"/>
      <c r="CR185" s="78">
        <v>227.33307208751955</v>
      </c>
      <c r="CS185" s="1033">
        <v>0</v>
      </c>
      <c r="CT185" s="5"/>
      <c r="CU185" s="78">
        <v>265.44661921697389</v>
      </c>
      <c r="CV185" s="43">
        <v>0</v>
      </c>
      <c r="CW185" s="5"/>
      <c r="CX185" s="78">
        <v>89.763854043819649</v>
      </c>
      <c r="CY185" s="43">
        <v>0</v>
      </c>
      <c r="CZ185" s="5"/>
      <c r="DA185" s="78">
        <v>49.470906063874629</v>
      </c>
      <c r="DB185" s="43">
        <v>0</v>
      </c>
      <c r="DC185" s="1045"/>
      <c r="DD185" s="78">
        <v>114.87128697411984</v>
      </c>
      <c r="DE185" s="43">
        <v>0</v>
      </c>
      <c r="DF185" s="9"/>
      <c r="DG185" s="78">
        <v>0</v>
      </c>
      <c r="DH185" s="43"/>
      <c r="DI185" s="5"/>
      <c r="DJ185" s="43">
        <v>908.68056499975933</v>
      </c>
      <c r="DK185" s="43">
        <f t="shared" si="22"/>
        <v>0</v>
      </c>
      <c r="DL185" s="59">
        <f t="shared" si="23"/>
        <v>-908.68056499975933</v>
      </c>
    </row>
    <row r="186" spans="1:116" ht="24.9" customHeight="1" x14ac:dyDescent="0.3">
      <c r="A186" s="328">
        <v>150000695</v>
      </c>
      <c r="B186" s="45" t="s">
        <v>372</v>
      </c>
      <c r="C186" s="1035">
        <v>9</v>
      </c>
      <c r="D186" s="1036" t="s">
        <v>454</v>
      </c>
      <c r="E186" s="1028">
        <f>'побудинковий звіт'!E184</f>
        <v>2055.6</v>
      </c>
      <c r="F186" s="1029">
        <f>'побудинковий звіт'!AS184</f>
        <v>160692</v>
      </c>
      <c r="G186" s="1029">
        <f t="shared" si="16"/>
        <v>227309.57831358994</v>
      </c>
      <c r="H186" s="1029">
        <f t="shared" si="17"/>
        <v>66617.57831358994</v>
      </c>
      <c r="I186" s="43">
        <f>'[1]поточний ремонт'!I186+'[2]поточний ремонт'!I186-'[3]поточний ремонт'!I186</f>
        <v>21.5</v>
      </c>
      <c r="J186" s="43">
        <f>'[1]поточний ремонт'!J186+'[2]поточний ремонт'!J186-'[3]поточний ремонт'!J186</f>
        <v>5298</v>
      </c>
      <c r="K186" s="1037"/>
      <c r="L186" s="43">
        <f>'[1]поточний ремонт'!L186+'[2]поточний ремонт'!L186-'[3]поточний ремонт'!L186</f>
        <v>2</v>
      </c>
      <c r="M186" s="43">
        <f>'[1]поточний ремонт'!M186+'[2]поточний ремонт'!M186-'[3]поточний ремонт'!M186</f>
        <v>144454</v>
      </c>
      <c r="N186" s="37"/>
      <c r="O186" s="43">
        <f>'[1]поточний ремонт'!O186+'[2]поточний ремонт'!O186-'[3]поточний ремонт'!O186</f>
        <v>55.5</v>
      </c>
      <c r="P186" s="43">
        <f>'[1]поточний ремонт'!P186+'[2]поточний ремонт'!P186-'[3]поточний ремонт'!P186</f>
        <v>16167</v>
      </c>
      <c r="Q186" s="1058"/>
      <c r="R186" s="43">
        <f>'[1]поточний ремонт'!R186+'[2]поточний ремонт'!R186-'[3]поточний ремонт'!R186</f>
        <v>2</v>
      </c>
      <c r="S186" s="43">
        <f>'[1]поточний ремонт'!S186+'[2]поточний ремонт'!S186-'[3]поточний ремонт'!S186</f>
        <v>3741.0000000000005</v>
      </c>
      <c r="T186" s="1047"/>
      <c r="U186" s="43">
        <f>'[1]поточний ремонт'!U186+'[2]поточний ремонт'!U186-'[3]поточний ремонт'!U186</f>
        <v>0</v>
      </c>
      <c r="V186" s="43">
        <f>'[1]поточний ремонт'!V186+'[2]поточний ремонт'!V186-'[3]поточний ремонт'!V186</f>
        <v>0</v>
      </c>
      <c r="W186" s="43">
        <f>'[1]поточний ремонт'!W186+'[2]поточний ремонт'!W186-'[3]поточний ремонт'!W186</f>
        <v>26</v>
      </c>
      <c r="X186" s="43">
        <f>'[1]поточний ремонт'!X186+'[2]поточний ремонт'!X186-'[3]поточний ремонт'!X186</f>
        <v>3732.5783135899337</v>
      </c>
      <c r="Y186" s="43">
        <f>'[1]поточний ремонт'!Y186+'[2]поточний ремонт'!Y186-'[3]поточний ремонт'!Y186</f>
        <v>19802</v>
      </c>
      <c r="Z186" s="43">
        <f>'[1]поточний ремонт'!Z186+'[2]поточний ремонт'!Z186-'[3]поточний ремонт'!Z186</f>
        <v>0</v>
      </c>
      <c r="AA186" s="43">
        <f>'[1]поточний ремонт'!AA186+'[2]поточний ремонт'!AA186-'[3]поточний ремонт'!AA186</f>
        <v>0</v>
      </c>
      <c r="AB186" s="43">
        <f>'[1]поточний ремонт'!AB186+'[2]поточний ремонт'!AB186-'[3]поточний ремонт'!AB186</f>
        <v>3290</v>
      </c>
      <c r="AC186" s="43">
        <f>'[1]поточний ремонт'!AC186+'[2]поточний ремонт'!AC186-'[3]поточний ремонт'!AC186</f>
        <v>29483</v>
      </c>
      <c r="AD186" s="43">
        <f>'[1]поточний ремонт'!AD186+'[2]поточний ремонт'!AD186-'[3]поточний ремонт'!AD186</f>
        <v>1342</v>
      </c>
      <c r="AE186" s="43">
        <f>'[1]поточний ремонт'!AE186+'[2]поточний ремонт'!AE186-'[3]поточний ремонт'!AE186</f>
        <v>1555.9009358339169</v>
      </c>
      <c r="AF186" s="43">
        <f>'[1]поточний ремонт'!AF186+'[2]поточний ремонт'!AF186-'[3]поточний ремонт'!AF186</f>
        <v>6120</v>
      </c>
      <c r="AG186" s="5"/>
      <c r="AH186" s="43">
        <f>'[1]поточний ремонт'!AH186+'[2]поточний ремонт'!AH186-'[3]поточний ремонт'!AH186</f>
        <v>2103.21782314858</v>
      </c>
      <c r="AI186" s="43">
        <f>'[1]поточний ремонт'!AI186+'[2]поточний ремонт'!AI186-'[3]поточний ремонт'!AI186</f>
        <v>1095</v>
      </c>
      <c r="AJ186" s="9"/>
      <c r="AK186" s="43">
        <f>'[1]поточний ремонт'!AK186+'[2]поточний ремонт'!AK186-'[3]поточний ремонт'!AK186</f>
        <v>2628.0063304350779</v>
      </c>
      <c r="AL186" s="43">
        <f>'[1]поточний ремонт'!AL186+'[2]поточний ремонт'!AL186-'[3]поточний ремонт'!AL186</f>
        <v>6427</v>
      </c>
      <c r="AM186" s="5"/>
      <c r="AN186" s="43">
        <f>'[1]поточний ремонт'!AN186+'[2]поточний ремонт'!AN186-'[3]поточний ремонт'!AN186</f>
        <v>893.92150586837317</v>
      </c>
      <c r="AO186" s="43">
        <f>'[1]поточний ремонт'!AO186+'[2]поточний ремонт'!AO186-'[3]поточний ремонт'!AO186</f>
        <v>0</v>
      </c>
      <c r="AP186" s="5"/>
      <c r="AQ186" s="43">
        <f>'[1]поточний ремонт'!AQ186+'[2]поточний ремонт'!AQ186-'[3]поточний ремонт'!AQ186</f>
        <v>474.92069821319637</v>
      </c>
      <c r="AR186" s="43">
        <f>'[1]поточний ремонт'!AR186+'[2]поточний ремонт'!AR186-'[3]поточний ремонт'!AR186</f>
        <v>2325</v>
      </c>
      <c r="AS186" s="5"/>
      <c r="AT186" s="43">
        <f>'[1]поточний ремонт'!AT186+'[2]поточний ремонт'!AT186-'[3]поточний ремонт'!AT186</f>
        <v>1121.7607321388466</v>
      </c>
      <c r="AU186" s="43">
        <f>'[1]поточний ремонт'!AU186+'[2]поточний ремонт'!AU186-'[3]поточний ремонт'!AU186</f>
        <v>752</v>
      </c>
      <c r="AV186" s="5"/>
      <c r="AW186" s="43">
        <f>'[1]поточний ремонт'!AW186+'[2]поточний ремонт'!AW186-'[3]поточний ремонт'!AW186</f>
        <v>0</v>
      </c>
      <c r="AX186" s="43">
        <f>'[1]поточний ремонт'!AX186+'[2]поточний ремонт'!AX186-'[3]поточний ремонт'!AX186</f>
        <v>0</v>
      </c>
      <c r="AY186" s="5"/>
      <c r="AZ186" s="43">
        <f t="shared" si="18"/>
        <v>8777.7280256379909</v>
      </c>
      <c r="BA186" s="43">
        <f t="shared" si="19"/>
        <v>16719</v>
      </c>
      <c r="BB186" s="59">
        <f t="shared" si="20"/>
        <v>7941.2719743620091</v>
      </c>
      <c r="BD186" s="2">
        <v>3</v>
      </c>
      <c r="BF186" s="30">
        <v>471.26064991624969</v>
      </c>
      <c r="BG186" s="328">
        <v>150000695</v>
      </c>
      <c r="BI186" s="107">
        <v>19.37</v>
      </c>
      <c r="BJ186" s="107">
        <f t="shared" si="21"/>
        <v>2.7246268140000001</v>
      </c>
      <c r="BK186" s="107">
        <v>22.339145868519999</v>
      </c>
      <c r="BL186" s="39"/>
      <c r="BM186" s="3"/>
      <c r="BN186" s="3">
        <v>0</v>
      </c>
      <c r="BP186" s="3"/>
      <c r="BQ186" s="3"/>
      <c r="BS186" s="43"/>
      <c r="BT186" s="43">
        <v>0</v>
      </c>
      <c r="BU186" s="1037"/>
      <c r="BV186" s="42"/>
      <c r="BW186" s="43"/>
      <c r="BX186" s="37"/>
      <c r="BY186" s="78"/>
      <c r="BZ186" s="43">
        <v>0</v>
      </c>
      <c r="CA186" s="1058"/>
      <c r="CB186" s="42">
        <v>1</v>
      </c>
      <c r="CC186" s="42">
        <v>3818.3437539668803</v>
      </c>
      <c r="CD186" s="1047"/>
      <c r="CE186" s="78">
        <v>0</v>
      </c>
      <c r="CF186" s="56"/>
      <c r="CG186" s="42">
        <v>0</v>
      </c>
      <c r="CH186" s="39">
        <v>22.339145868519999</v>
      </c>
      <c r="CI186" s="78">
        <v>0</v>
      </c>
      <c r="CJ186" s="56"/>
      <c r="CK186" s="1034"/>
      <c r="CL186" s="1029"/>
      <c r="CM186" s="1034">
        <v>1196</v>
      </c>
      <c r="CN186" s="1029">
        <v>0</v>
      </c>
      <c r="CO186" s="78">
        <v>129.65841131949307</v>
      </c>
      <c r="CP186" s="43">
        <v>0</v>
      </c>
      <c r="CQ186" s="5"/>
      <c r="CR186" s="78">
        <v>175.26815192904829</v>
      </c>
      <c r="CS186" s="1033">
        <v>1284.1236036374539</v>
      </c>
      <c r="CT186" s="9"/>
      <c r="CU186" s="78">
        <v>219.00052753625653</v>
      </c>
      <c r="CV186" s="43">
        <v>0</v>
      </c>
      <c r="CW186" s="5"/>
      <c r="CX186" s="78">
        <v>74.493458822364417</v>
      </c>
      <c r="CY186" s="43">
        <v>0</v>
      </c>
      <c r="CZ186" s="5"/>
      <c r="DA186" s="78">
        <v>39.576724851099698</v>
      </c>
      <c r="DB186" s="43">
        <v>0</v>
      </c>
      <c r="DC186" s="5"/>
      <c r="DD186" s="78">
        <v>93.480061011570541</v>
      </c>
      <c r="DE186" s="43">
        <v>0</v>
      </c>
      <c r="DF186" s="5"/>
      <c r="DG186" s="78">
        <v>0</v>
      </c>
      <c r="DH186" s="43"/>
      <c r="DI186" s="5"/>
      <c r="DJ186" s="43">
        <v>731.47733546983261</v>
      </c>
      <c r="DK186" s="43">
        <f t="shared" si="22"/>
        <v>1284.1236036374539</v>
      </c>
      <c r="DL186" s="59">
        <f t="shared" si="23"/>
        <v>552.64626816762132</v>
      </c>
    </row>
    <row r="187" spans="1:116" ht="24.9" customHeight="1" x14ac:dyDescent="0.3">
      <c r="A187" s="328">
        <v>150000699</v>
      </c>
      <c r="B187" s="45" t="s">
        <v>373</v>
      </c>
      <c r="C187" s="1035">
        <v>9</v>
      </c>
      <c r="D187" s="1036" t="s">
        <v>454</v>
      </c>
      <c r="E187" s="1028">
        <f>'побудинковий звіт'!E185</f>
        <v>373.83</v>
      </c>
      <c r="F187" s="1029">
        <f>'побудинковий звіт'!AS185</f>
        <v>59349.770628693266</v>
      </c>
      <c r="G187" s="1029">
        <f t="shared" si="16"/>
        <v>99302.32569349269</v>
      </c>
      <c r="H187" s="1029">
        <f t="shared" si="17"/>
        <v>39952.555064799424</v>
      </c>
      <c r="I187" s="43">
        <f>'[1]поточний ремонт'!I187+'[2]поточний ремонт'!I187-'[3]поточний ремонт'!I187</f>
        <v>0</v>
      </c>
      <c r="J187" s="43">
        <f>'[1]поточний ремонт'!J187+'[2]поточний ремонт'!J187-'[3]поточний ремонт'!J187</f>
        <v>0</v>
      </c>
      <c r="K187" s="1037"/>
      <c r="L187" s="43">
        <f>'[1]поточний ремонт'!L187+'[2]поточний ремонт'!L187-'[3]поточний ремонт'!L187</f>
        <v>0</v>
      </c>
      <c r="M187" s="43">
        <f>'[1]поточний ремонт'!M187+'[2]поточний ремонт'!M187-'[3]поточний ремонт'!M187</f>
        <v>0</v>
      </c>
      <c r="N187" s="37"/>
      <c r="O187" s="43">
        <f>'[1]поточний ремонт'!O187+'[2]поточний ремонт'!O187-'[3]поточний ремонт'!O187</f>
        <v>0</v>
      </c>
      <c r="P187" s="43">
        <f>'[1]поточний ремонт'!P187+'[2]поточний ремонт'!P187-'[3]поточний ремонт'!P187</f>
        <v>0</v>
      </c>
      <c r="Q187" s="1038"/>
      <c r="R187" s="43">
        <f>'[1]поточний ремонт'!R187+'[2]поточний ремонт'!R187-'[3]поточний ремонт'!R187</f>
        <v>2</v>
      </c>
      <c r="S187" s="43">
        <f>'[1]поточний ремонт'!S187+'[2]поточний ремонт'!S187-'[3]поточний ремонт'!S187</f>
        <v>76095</v>
      </c>
      <c r="T187" s="1047"/>
      <c r="U187" s="43">
        <f>'[1]поточний ремонт'!U187+'[2]поточний ремонт'!U187-'[3]поточний ремонт'!U187</f>
        <v>0</v>
      </c>
      <c r="V187" s="43">
        <f>'[1]поточний ремонт'!V187+'[2]поточний ремонт'!V187-'[3]поточний ремонт'!V187</f>
        <v>0</v>
      </c>
      <c r="W187" s="43">
        <f>'[1]поточний ремонт'!W187+'[2]поточний ремонт'!W187-'[3]поточний ремонт'!W187</f>
        <v>0</v>
      </c>
      <c r="X187" s="43">
        <f>'[1]поточний ремонт'!X187+'[2]поточний ремонт'!X187-'[3]поточний ремонт'!X187</f>
        <v>328.32569349268931</v>
      </c>
      <c r="Y187" s="43">
        <f>'[1]поточний ремонт'!Y187+'[2]поточний ремонт'!Y187-'[3]поточний ремонт'!Y187</f>
        <v>9093</v>
      </c>
      <c r="Z187" s="43">
        <f>'[1]поточний ремонт'!Z187+'[2]поточний ремонт'!Z187-'[3]поточний ремонт'!Z187</f>
        <v>0</v>
      </c>
      <c r="AA187" s="43">
        <f>'[1]поточний ремонт'!AA187+'[2]поточний ремонт'!AA187-'[3]поточний ремонт'!AA187</f>
        <v>0</v>
      </c>
      <c r="AB187" s="43">
        <f>'[1]поточний ремонт'!AB187+'[2]поточний ремонт'!AB187-'[3]поточний ремонт'!AB187</f>
        <v>0</v>
      </c>
      <c r="AC187" s="43">
        <f>'[1]поточний ремонт'!AC187+'[2]поточний ремонт'!AC187-'[3]поточний ремонт'!AC187</f>
        <v>12756</v>
      </c>
      <c r="AD187" s="43">
        <f>'[1]поточний ремонт'!AD187+'[2]поточний ремонт'!AD187-'[3]поточний ремонт'!AD187</f>
        <v>1030</v>
      </c>
      <c r="AE187" s="43">
        <f>'[1]поточний ремонт'!AE187+'[2]поточний ремонт'!AE187-'[3]поточний ремонт'!AE187</f>
        <v>1038.1512894669315</v>
      </c>
      <c r="AF187" s="43">
        <f>'[1]поточний ремонт'!AF187+'[2]поточний ремонт'!AF187-'[3]поточний ремонт'!AF187</f>
        <v>0</v>
      </c>
      <c r="AG187" s="1045"/>
      <c r="AH187" s="43">
        <f>'[1]поточний ремонт'!AH187+'[2]поточний ремонт'!AH187-'[3]поточний ремонт'!AH187</f>
        <v>1143.6391981349548</v>
      </c>
      <c r="AI187" s="43">
        <f>'[1]поточний ремонт'!AI187+'[2]поточний ремонт'!AI187-'[3]поточний ремонт'!AI187</f>
        <v>3193</v>
      </c>
      <c r="AJ187" s="5"/>
      <c r="AK187" s="43">
        <f>'[1]поточний ремонт'!AK187+'[2]поточний ремонт'!AK187-'[3]поточний ремонт'!AK187</f>
        <v>2085.4564293650801</v>
      </c>
      <c r="AL187" s="43">
        <f>'[1]поточний ремонт'!AL187+'[2]поточний ремонт'!AL187-'[3]поточний ремонт'!AL187</f>
        <v>5849.7921815835853</v>
      </c>
      <c r="AM187" s="1045"/>
      <c r="AN187" s="43">
        <f>'[1]поточний ремонт'!AN187+'[2]поточний ремонт'!AN187-'[3]поточний ремонт'!AN187</f>
        <v>813.43272506184121</v>
      </c>
      <c r="AO187" s="43">
        <f>'[1]поточний ремонт'!AO187+'[2]поточний ремонт'!AO187-'[3]поточний ремонт'!AO187</f>
        <v>0</v>
      </c>
      <c r="AP187" s="5"/>
      <c r="AQ187" s="43">
        <f>'[1]поточний ремонт'!AQ187+'[2]поточний ремонт'!AQ187-'[3]поточний ремонт'!AQ187</f>
        <v>395.76741189229665</v>
      </c>
      <c r="AR187" s="43">
        <f>'[1]поточний ремонт'!AR187+'[2]поточний ремонт'!AR187-'[3]поточний ремонт'!AR187</f>
        <v>0</v>
      </c>
      <c r="AS187" s="1045"/>
      <c r="AT187" s="43">
        <f>'[1]поточний ремонт'!AT187+'[2]поточний ремонт'!AT187-'[3]поточний ремонт'!AT187</f>
        <v>976.96134145785277</v>
      </c>
      <c r="AU187" s="43">
        <f>'[1]поточний ремонт'!AU187+'[2]поточний ремонт'!AU187-'[3]поточний ремонт'!AU187</f>
        <v>2583</v>
      </c>
      <c r="AV187" s="5"/>
      <c r="AW187" s="43">
        <f>'[1]поточний ремонт'!AW187+'[2]поточний ремонт'!AW187-'[3]поточний ремонт'!AW187</f>
        <v>0</v>
      </c>
      <c r="AX187" s="43">
        <f>'[1]поточний ремонт'!AX187+'[2]поточний ремонт'!AX187-'[3]поточний ремонт'!AX187</f>
        <v>0</v>
      </c>
      <c r="AY187" s="5"/>
      <c r="AZ187" s="43">
        <f t="shared" si="18"/>
        <v>6453.4083953789577</v>
      </c>
      <c r="BA187" s="43">
        <f t="shared" si="19"/>
        <v>11625.792181583585</v>
      </c>
      <c r="BB187" s="59">
        <f t="shared" si="20"/>
        <v>5172.3837862046275</v>
      </c>
      <c r="BD187" s="2">
        <v>3</v>
      </c>
      <c r="BF187" s="30">
        <v>313.25581181460268</v>
      </c>
      <c r="BG187" s="328">
        <v>150000699</v>
      </c>
      <c r="BI187" s="107">
        <v>24.5</v>
      </c>
      <c r="BJ187" s="107">
        <f t="shared" si="21"/>
        <v>3.4462238999999997</v>
      </c>
      <c r="BK187" s="107">
        <v>28.255502002</v>
      </c>
      <c r="BL187" s="39"/>
      <c r="BM187" s="3"/>
      <c r="BN187" s="3">
        <v>0</v>
      </c>
      <c r="BP187" s="3"/>
      <c r="BQ187" s="3"/>
      <c r="BS187" s="43"/>
      <c r="BT187" s="43">
        <v>0</v>
      </c>
      <c r="BU187" s="1037"/>
      <c r="BV187" s="42"/>
      <c r="BW187" s="43"/>
      <c r="BX187" s="37"/>
      <c r="BY187" s="78"/>
      <c r="BZ187" s="43">
        <v>0</v>
      </c>
      <c r="CA187" s="1038"/>
      <c r="CB187" s="42">
        <v>1</v>
      </c>
      <c r="CC187" s="42">
        <v>20407.963051507482</v>
      </c>
      <c r="CD187" s="1047"/>
      <c r="CE187" s="78">
        <v>0</v>
      </c>
      <c r="CF187" s="56"/>
      <c r="CG187" s="42">
        <v>0</v>
      </c>
      <c r="CH187" s="39">
        <v>28.255502002</v>
      </c>
      <c r="CI187" s="78">
        <v>0</v>
      </c>
      <c r="CJ187" s="1044"/>
      <c r="CK187" s="1034"/>
      <c r="CL187" s="1029"/>
      <c r="CM187" s="1034"/>
      <c r="CN187" s="1029">
        <v>733.73013034969563</v>
      </c>
      <c r="CO187" s="78">
        <v>86.512607455577651</v>
      </c>
      <c r="CP187" s="43">
        <v>0</v>
      </c>
      <c r="CQ187" s="1045"/>
      <c r="CR187" s="78">
        <v>95.30326651124625</v>
      </c>
      <c r="CS187" s="1033">
        <v>0</v>
      </c>
      <c r="CT187" s="5"/>
      <c r="CU187" s="78">
        <v>173.78803578042334</v>
      </c>
      <c r="CV187" s="43">
        <v>0</v>
      </c>
      <c r="CW187" s="1045"/>
      <c r="CX187" s="78">
        <v>67.786060421820082</v>
      </c>
      <c r="CY187" s="43">
        <v>0</v>
      </c>
      <c r="CZ187" s="5"/>
      <c r="DA187" s="78">
        <v>32.980617657691397</v>
      </c>
      <c r="DB187" s="43">
        <v>0</v>
      </c>
      <c r="DC187" s="1045"/>
      <c r="DD187" s="78">
        <v>81.41344512148774</v>
      </c>
      <c r="DE187" s="43">
        <v>0</v>
      </c>
      <c r="DF187" s="5"/>
      <c r="DG187" s="78">
        <v>0</v>
      </c>
      <c r="DH187" s="43"/>
      <c r="DI187" s="5"/>
      <c r="DJ187" s="43">
        <v>537.78403294824648</v>
      </c>
      <c r="DK187" s="43">
        <f t="shared" si="22"/>
        <v>0</v>
      </c>
      <c r="DL187" s="59">
        <f t="shared" si="23"/>
        <v>-537.78403294824648</v>
      </c>
    </row>
    <row r="188" spans="1:116" ht="24.9" customHeight="1" x14ac:dyDescent="0.3">
      <c r="A188" s="328">
        <v>150000928</v>
      </c>
      <c r="B188" s="45" t="s">
        <v>169</v>
      </c>
      <c r="C188" s="1035">
        <v>2</v>
      </c>
      <c r="D188" s="1036" t="s">
        <v>454</v>
      </c>
      <c r="E188" s="1028">
        <f>'побудинковий звіт'!E186</f>
        <v>362.2</v>
      </c>
      <c r="F188" s="1029">
        <f>'побудинковий звіт'!AS186</f>
        <v>6339.0902419702734</v>
      </c>
      <c r="G188" s="1029">
        <f t="shared" si="16"/>
        <v>2815</v>
      </c>
      <c r="H188" s="1029">
        <f t="shared" si="17"/>
        <v>-3524.0902419702734</v>
      </c>
      <c r="I188" s="43">
        <f>'[1]поточний ремонт'!I188+'[2]поточний ремонт'!I188-'[3]поточний ремонт'!I188</f>
        <v>28.3</v>
      </c>
      <c r="J188" s="43">
        <f>'[1]поточний ремонт'!J188+'[2]поточний ремонт'!J188-'[3]поточний ремонт'!J188</f>
        <v>2815</v>
      </c>
      <c r="K188" s="1037"/>
      <c r="L188" s="43">
        <f>'[1]поточний ремонт'!L188+'[2]поточний ремонт'!L188-'[3]поточний ремонт'!L188</f>
        <v>0</v>
      </c>
      <c r="M188" s="43">
        <f>'[1]поточний ремонт'!M188+'[2]поточний ремонт'!M188-'[3]поточний ремонт'!M188</f>
        <v>0</v>
      </c>
      <c r="N188" s="37"/>
      <c r="O188" s="43">
        <f>'[1]поточний ремонт'!O188+'[2]поточний ремонт'!O188-'[3]поточний ремонт'!O188</f>
        <v>0</v>
      </c>
      <c r="P188" s="43">
        <f>'[1]поточний ремонт'!P188+'[2]поточний ремонт'!P188-'[3]поточний ремонт'!P188</f>
        <v>0</v>
      </c>
      <c r="Q188" s="1038"/>
      <c r="R188" s="43">
        <f>'[1]поточний ремонт'!R188+'[2]поточний ремонт'!R188-'[3]поточний ремонт'!R188</f>
        <v>0</v>
      </c>
      <c r="S188" s="43">
        <f>'[1]поточний ремонт'!S188+'[2]поточний ремонт'!S188-'[3]поточний ремонт'!S188</f>
        <v>0</v>
      </c>
      <c r="T188" s="1039"/>
      <c r="U188" s="43">
        <f>'[1]поточний ремонт'!U188+'[2]поточний ремонт'!U188-'[3]поточний ремонт'!U188</f>
        <v>0</v>
      </c>
      <c r="V188" s="43">
        <f>'[1]поточний ремонт'!V188+'[2]поточний ремонт'!V188-'[3]поточний ремонт'!V188</f>
        <v>0</v>
      </c>
      <c r="W188" s="43">
        <f>'[1]поточний ремонт'!W188+'[2]поточний ремонт'!W188-'[3]поточний ремонт'!W188</f>
        <v>0</v>
      </c>
      <c r="X188" s="43">
        <f>'[1]поточний ремонт'!X188+'[2]поточний ремонт'!X188-'[3]поточний ремонт'!X188</f>
        <v>0</v>
      </c>
      <c r="Y188" s="43">
        <f>'[1]поточний ремонт'!Y188+'[2]поточний ремонт'!Y188-'[3]поточний ремонт'!Y188</f>
        <v>0</v>
      </c>
      <c r="Z188" s="43">
        <f>'[1]поточний ремонт'!Z188+'[2]поточний ремонт'!Z188-'[3]поточний ремонт'!Z188</f>
        <v>0</v>
      </c>
      <c r="AA188" s="43">
        <f>'[1]поточний ремонт'!AA188+'[2]поточний ремонт'!AA188-'[3]поточний ремонт'!AA188</f>
        <v>0</v>
      </c>
      <c r="AB188" s="43">
        <f>'[1]поточний ремонт'!AB188+'[2]поточний ремонт'!AB188-'[3]поточний ремонт'!AB188</f>
        <v>0</v>
      </c>
      <c r="AC188" s="43">
        <f>'[1]поточний ремонт'!AC188+'[2]поточний ремонт'!AC188-'[3]поточний ремонт'!AC188</f>
        <v>0</v>
      </c>
      <c r="AD188" s="43">
        <f>'[1]поточний ремонт'!AD188+'[2]поточний ремонт'!AD188-'[3]поточний ремонт'!AD188</f>
        <v>0</v>
      </c>
      <c r="AE188" s="43">
        <f>'[1]поточний ремонт'!AE188+'[2]поточний ремонт'!AE188-'[3]поточний ремонт'!AE188</f>
        <v>498.45033674497461</v>
      </c>
      <c r="AF188" s="43">
        <f>'[1]поточний ремонт'!AF188+'[2]поточний ремонт'!AF188-'[3]поточний ремонт'!AF188</f>
        <v>0</v>
      </c>
      <c r="AG188" s="5"/>
      <c r="AH188" s="43">
        <f>'[1]поточний ремонт'!AH188+'[2]поточний ремонт'!AH188-'[3]поточний ремонт'!AH188</f>
        <v>725.15009336527589</v>
      </c>
      <c r="AI188" s="43">
        <f>'[1]поточний ремонт'!AI188+'[2]поточний ремонт'!AI188-'[3]поточний ремонт'!AI188</f>
        <v>920</v>
      </c>
      <c r="AJ188" s="5"/>
      <c r="AK188" s="43">
        <f>'[1]поточний ремонт'!AK188+'[2]поточний ремонт'!AK188-'[3]поточний ремонт'!AK188</f>
        <v>301.53362018930937</v>
      </c>
      <c r="AL188" s="43">
        <f>'[1]поточний ремонт'!AL188+'[2]поточний ремонт'!AL188-'[3]поточний ремонт'!AL188</f>
        <v>471</v>
      </c>
      <c r="AM188" s="5"/>
      <c r="AN188" s="43">
        <f>'[1]поточний ремонт'!AN188+'[2]поточний ремонт'!AN188-'[3]поточний ремонт'!AN188</f>
        <v>0</v>
      </c>
      <c r="AO188" s="43">
        <f>'[1]поточний ремонт'!AO188+'[2]поточний ремонт'!AO188-'[3]поточний ремонт'!AO188</f>
        <v>0</v>
      </c>
      <c r="AP188" s="5"/>
      <c r="AQ188" s="43">
        <f>'[1]поточний ремонт'!AQ188+'[2]поточний ремонт'!AQ188-'[3]поточний ремонт'!AQ188</f>
        <v>0</v>
      </c>
      <c r="AR188" s="43">
        <f>'[1]поточний ремонт'!AR188+'[2]поточний ремонт'!AR188-'[3]поточний ремонт'!AR188</f>
        <v>0</v>
      </c>
      <c r="AS188" s="5"/>
      <c r="AT188" s="43">
        <f>'[1]поточний ремонт'!AT188+'[2]поточний ремонт'!AT188-'[3]поточний ремонт'!AT188</f>
        <v>118.62766249183653</v>
      </c>
      <c r="AU188" s="43">
        <f>'[1]поточний ремонт'!AU188+'[2]поточний ремонт'!AU188-'[3]поточний ремонт'!AU188</f>
        <v>1604</v>
      </c>
      <c r="AV188" s="5"/>
      <c r="AW188" s="43">
        <f>'[1]поточний ремонт'!AW188+'[2]поточний ремонт'!AW188-'[3]поточний ремонт'!AW188</f>
        <v>0</v>
      </c>
      <c r="AX188" s="43">
        <f>'[1]поточний ремонт'!AX188+'[2]поточний ремонт'!AX188-'[3]поточний ремонт'!AX188</f>
        <v>0</v>
      </c>
      <c r="AY188" s="5"/>
      <c r="AZ188" s="43">
        <f t="shared" si="18"/>
        <v>1643.7617127913963</v>
      </c>
      <c r="BA188" s="43">
        <f t="shared" si="19"/>
        <v>2995</v>
      </c>
      <c r="BB188" s="59">
        <f t="shared" si="20"/>
        <v>1351.2382872086037</v>
      </c>
      <c r="BD188" s="2">
        <v>2</v>
      </c>
      <c r="BF188" s="30">
        <v>0.70194533039492113</v>
      </c>
      <c r="BG188" s="328">
        <v>150000928</v>
      </c>
      <c r="BI188" s="107">
        <v>0</v>
      </c>
      <c r="BJ188" s="107">
        <f t="shared" si="21"/>
        <v>0</v>
      </c>
      <c r="BK188" s="107">
        <v>0</v>
      </c>
      <c r="BL188" s="39"/>
      <c r="BM188" s="3"/>
      <c r="BN188" s="3">
        <v>0</v>
      </c>
      <c r="BP188" s="3"/>
      <c r="BQ188" s="3"/>
      <c r="BS188" s="43"/>
      <c r="BT188" s="43">
        <v>0</v>
      </c>
      <c r="BU188" s="1037"/>
      <c r="BV188" s="42"/>
      <c r="BW188" s="43"/>
      <c r="BX188" s="37"/>
      <c r="BY188" s="78"/>
      <c r="BZ188" s="43">
        <v>0</v>
      </c>
      <c r="CA188" s="1038"/>
      <c r="CB188" s="42"/>
      <c r="CC188" s="42">
        <v>0</v>
      </c>
      <c r="CD188" s="1039"/>
      <c r="CE188" s="78">
        <v>0</v>
      </c>
      <c r="CF188" s="56"/>
      <c r="CG188" s="42">
        <v>0</v>
      </c>
      <c r="CH188" s="39">
        <v>0</v>
      </c>
      <c r="CI188" s="78">
        <v>0</v>
      </c>
      <c r="CJ188" s="56"/>
      <c r="CK188" s="1034"/>
      <c r="CL188" s="1029"/>
      <c r="CM188" s="1034"/>
      <c r="CN188" s="1029">
        <v>0</v>
      </c>
      <c r="CO188" s="78">
        <v>41.537528062081215</v>
      </c>
      <c r="CP188" s="43">
        <v>0</v>
      </c>
      <c r="CQ188" s="5"/>
      <c r="CR188" s="78">
        <v>60.429174447106327</v>
      </c>
      <c r="CS188" s="1033">
        <v>0</v>
      </c>
      <c r="CT188" s="5"/>
      <c r="CU188" s="78">
        <v>25.127801682442445</v>
      </c>
      <c r="CV188" s="43">
        <v>0</v>
      </c>
      <c r="CW188" s="5"/>
      <c r="CX188" s="78">
        <v>0</v>
      </c>
      <c r="CY188" s="43">
        <v>0</v>
      </c>
      <c r="CZ188" s="5"/>
      <c r="DA188" s="78">
        <v>0</v>
      </c>
      <c r="DB188" s="43">
        <v>0</v>
      </c>
      <c r="DC188" s="5"/>
      <c r="DD188" s="78">
        <v>9.8856385409863776</v>
      </c>
      <c r="DE188" s="43">
        <v>0</v>
      </c>
      <c r="DF188" s="5"/>
      <c r="DG188" s="78">
        <v>0</v>
      </c>
      <c r="DH188" s="43"/>
      <c r="DI188" s="5"/>
      <c r="DJ188" s="43">
        <v>136.98014273261637</v>
      </c>
      <c r="DK188" s="43">
        <f t="shared" si="22"/>
        <v>0</v>
      </c>
      <c r="DL188" s="59">
        <f t="shared" si="23"/>
        <v>-136.98014273261637</v>
      </c>
    </row>
    <row r="189" spans="1:116" ht="24.9" customHeight="1" x14ac:dyDescent="0.3">
      <c r="A189" s="328">
        <v>150000951</v>
      </c>
      <c r="B189" s="45" t="s">
        <v>170</v>
      </c>
      <c r="C189" s="1035">
        <v>2</v>
      </c>
      <c r="D189" s="1036" t="s">
        <v>454</v>
      </c>
      <c r="E189" s="1028">
        <f>'побудинковий звіт'!E187</f>
        <v>182.8</v>
      </c>
      <c r="F189" s="1029">
        <f>'побудинковий звіт'!AS187</f>
        <v>5044.0528940971808</v>
      </c>
      <c r="G189" s="1029">
        <f t="shared" si="16"/>
        <v>26068</v>
      </c>
      <c r="H189" s="1029">
        <f t="shared" si="17"/>
        <v>21023.947105902818</v>
      </c>
      <c r="I189" s="43">
        <f>'[1]поточний ремонт'!I189+'[2]поточний ремонт'!I189-'[3]поточний ремонт'!I189</f>
        <v>35.619999999999997</v>
      </c>
      <c r="J189" s="43">
        <f>'[1]поточний ремонт'!J189+'[2]поточний ремонт'!J189-'[3]поточний ремонт'!J189</f>
        <v>26068</v>
      </c>
      <c r="K189" s="1037"/>
      <c r="L189" s="43">
        <f>'[1]поточний ремонт'!L189+'[2]поточний ремонт'!L189-'[3]поточний ремонт'!L189</f>
        <v>0</v>
      </c>
      <c r="M189" s="43">
        <f>'[1]поточний ремонт'!M189+'[2]поточний ремонт'!M189-'[3]поточний ремонт'!M189</f>
        <v>0</v>
      </c>
      <c r="N189" s="37"/>
      <c r="O189" s="43">
        <f>'[1]поточний ремонт'!O189+'[2]поточний ремонт'!O189-'[3]поточний ремонт'!O189</f>
        <v>0</v>
      </c>
      <c r="P189" s="43">
        <f>'[1]поточний ремонт'!P189+'[2]поточний ремонт'!P189-'[3]поточний ремонт'!P189</f>
        <v>0</v>
      </c>
      <c r="Q189" s="1038"/>
      <c r="R189" s="43">
        <f>'[1]поточний ремонт'!R189+'[2]поточний ремонт'!R189-'[3]поточний ремонт'!R189</f>
        <v>0</v>
      </c>
      <c r="S189" s="43">
        <f>'[1]поточний ремонт'!S189+'[2]поточний ремонт'!S189-'[3]поточний ремонт'!S189</f>
        <v>0</v>
      </c>
      <c r="T189" s="1039"/>
      <c r="U189" s="43">
        <f>'[1]поточний ремонт'!U189+'[2]поточний ремонт'!U189-'[3]поточний ремонт'!U189</f>
        <v>0</v>
      </c>
      <c r="V189" s="43">
        <f>'[1]поточний ремонт'!V189+'[2]поточний ремонт'!V189-'[3]поточний ремонт'!V189</f>
        <v>0</v>
      </c>
      <c r="W189" s="43">
        <f>'[1]поточний ремонт'!W189+'[2]поточний ремонт'!W189-'[3]поточний ремонт'!W189</f>
        <v>0</v>
      </c>
      <c r="X189" s="43">
        <f>'[1]поточний ремонт'!X189+'[2]поточний ремонт'!X189-'[3]поточний ремонт'!X189</f>
        <v>0</v>
      </c>
      <c r="Y189" s="43">
        <f>'[1]поточний ремонт'!Y189+'[2]поточний ремонт'!Y189-'[3]поточний ремонт'!Y189</f>
        <v>0</v>
      </c>
      <c r="Z189" s="43">
        <f>'[1]поточний ремонт'!Z189+'[2]поточний ремонт'!Z189-'[3]поточний ремонт'!Z189</f>
        <v>0</v>
      </c>
      <c r="AA189" s="43">
        <f>'[1]поточний ремонт'!AA189+'[2]поточний ремонт'!AA189-'[3]поточний ремонт'!AA189</f>
        <v>0</v>
      </c>
      <c r="AB189" s="43">
        <f>'[1]поточний ремонт'!AB189+'[2]поточний ремонт'!AB189-'[3]поточний ремонт'!AB189</f>
        <v>0</v>
      </c>
      <c r="AC189" s="43">
        <f>'[1]поточний ремонт'!AC189+'[2]поточний ремонт'!AC189-'[3]поточний ремонт'!AC189</f>
        <v>0</v>
      </c>
      <c r="AD189" s="43">
        <f>'[1]поточний ремонт'!AD189+'[2]поточний ремонт'!AD189-'[3]поточний ремонт'!AD189</f>
        <v>0</v>
      </c>
      <c r="AE189" s="43">
        <f>'[1]поточний ремонт'!AE189+'[2]поточний ремонт'!AE189-'[3]поточний ремонт'!AE189</f>
        <v>0</v>
      </c>
      <c r="AF189" s="43">
        <f>'[1]поточний ремонт'!AF189+'[2]поточний ремонт'!AF189-'[3]поточний ремонт'!AF189</f>
        <v>0</v>
      </c>
      <c r="AG189" s="5"/>
      <c r="AH189" s="43">
        <f>'[1]поточний ремонт'!AH189+'[2]поточний ремонт'!AH189-'[3]поточний ремонт'!AH189</f>
        <v>0</v>
      </c>
      <c r="AI189" s="43">
        <f>'[1]поточний ремонт'!AI189+'[2]поточний ремонт'!AI189-'[3]поточний ремонт'!AI189</f>
        <v>0</v>
      </c>
      <c r="AJ189" s="5"/>
      <c r="AK189" s="43">
        <f>'[1]поточний ремонт'!AK189+'[2]поточний ремонт'!AK189-'[3]поточний ремонт'!AK189</f>
        <v>0</v>
      </c>
      <c r="AL189" s="43">
        <f>'[1]поточний ремонт'!AL189+'[2]поточний ремонт'!AL189-'[3]поточний ремонт'!AL189</f>
        <v>0</v>
      </c>
      <c r="AM189" s="5"/>
      <c r="AN189" s="43">
        <f>'[1]поточний ремонт'!AN189+'[2]поточний ремонт'!AN189-'[3]поточний ремонт'!AN189</f>
        <v>0</v>
      </c>
      <c r="AO189" s="43">
        <f>'[1]поточний ремонт'!AO189+'[2]поточний ремонт'!AO189-'[3]поточний ремонт'!AO189</f>
        <v>0</v>
      </c>
      <c r="AP189" s="5"/>
      <c r="AQ189" s="43">
        <f>'[1]поточний ремонт'!AQ189+'[2]поточний ремонт'!AQ189-'[3]поточний ремонт'!AQ189</f>
        <v>0</v>
      </c>
      <c r="AR189" s="43">
        <f>'[1]поточний ремонт'!AR189+'[2]поточний ремонт'!AR189-'[3]поточний ремонт'!AR189</f>
        <v>0</v>
      </c>
      <c r="AS189" s="5"/>
      <c r="AT189" s="43">
        <f>'[1]поточний ремонт'!AT189+'[2]поточний ремонт'!AT189-'[3]поточний ремонт'!AT189</f>
        <v>70.795438516160814</v>
      </c>
      <c r="AU189" s="43">
        <f>'[1]поточний ремонт'!AU189+'[2]поточний ремонт'!AU189-'[3]поточний ремонт'!AU189</f>
        <v>0</v>
      </c>
      <c r="AV189" s="5"/>
      <c r="AW189" s="43">
        <f>'[1]поточний ремонт'!AW189+'[2]поточний ремонт'!AW189-'[3]поточний ремонт'!AW189</f>
        <v>113.06715224674898</v>
      </c>
      <c r="AX189" s="43">
        <f>'[1]поточний ремонт'!AX189+'[2]поточний ремонт'!AX189-'[3]поточний ремонт'!AX189</f>
        <v>0</v>
      </c>
      <c r="AY189" s="5"/>
      <c r="AZ189" s="43">
        <f t="shared" si="18"/>
        <v>183.8625907629098</v>
      </c>
      <c r="BA189" s="43">
        <f t="shared" si="19"/>
        <v>0</v>
      </c>
      <c r="BB189" s="59">
        <f t="shared" si="20"/>
        <v>-183.8625907629098</v>
      </c>
      <c r="BD189" s="2">
        <v>1</v>
      </c>
      <c r="BF189" s="30">
        <v>25.844048330311328</v>
      </c>
      <c r="BG189" s="328">
        <v>150000951</v>
      </c>
      <c r="BI189" s="107">
        <v>0</v>
      </c>
      <c r="BJ189" s="107">
        <f t="shared" si="21"/>
        <v>0</v>
      </c>
      <c r="BK189" s="107">
        <v>0</v>
      </c>
      <c r="BL189" s="39"/>
      <c r="BM189" s="3"/>
      <c r="BN189" s="3">
        <v>0</v>
      </c>
      <c r="BP189" s="3"/>
      <c r="BQ189" s="3"/>
      <c r="BS189" s="43"/>
      <c r="BT189" s="43">
        <v>0</v>
      </c>
      <c r="BU189" s="1037"/>
      <c r="BV189" s="42"/>
      <c r="BW189" s="43"/>
      <c r="BX189" s="37"/>
      <c r="BY189" s="78"/>
      <c r="BZ189" s="43">
        <v>0</v>
      </c>
      <c r="CA189" s="1038"/>
      <c r="CB189" s="42"/>
      <c r="CC189" s="42">
        <v>0</v>
      </c>
      <c r="CD189" s="1039"/>
      <c r="CE189" s="78">
        <v>0</v>
      </c>
      <c r="CF189" s="56"/>
      <c r="CG189" s="42">
        <v>0</v>
      </c>
      <c r="CH189" s="39">
        <v>0</v>
      </c>
      <c r="CI189" s="78">
        <v>0</v>
      </c>
      <c r="CJ189" s="56"/>
      <c r="CK189" s="1034"/>
      <c r="CL189" s="1029"/>
      <c r="CM189" s="1034"/>
      <c r="CN189" s="1029">
        <v>0</v>
      </c>
      <c r="CO189" s="78">
        <v>0</v>
      </c>
      <c r="CP189" s="43">
        <v>0</v>
      </c>
      <c r="CQ189" s="5"/>
      <c r="CR189" s="78">
        <v>0</v>
      </c>
      <c r="CS189" s="1033">
        <v>0</v>
      </c>
      <c r="CT189" s="5"/>
      <c r="CU189" s="78">
        <v>0</v>
      </c>
      <c r="CV189" s="43">
        <v>0</v>
      </c>
      <c r="CW189" s="5"/>
      <c r="CX189" s="78">
        <v>0</v>
      </c>
      <c r="CY189" s="43">
        <v>0</v>
      </c>
      <c r="CZ189" s="5"/>
      <c r="DA189" s="78">
        <v>0</v>
      </c>
      <c r="DB189" s="43">
        <v>0</v>
      </c>
      <c r="DC189" s="5"/>
      <c r="DD189" s="78">
        <v>5.8996198763467351</v>
      </c>
      <c r="DE189" s="43">
        <v>0</v>
      </c>
      <c r="DF189" s="5"/>
      <c r="DG189" s="78">
        <v>9.4222626872290824</v>
      </c>
      <c r="DH189" s="43"/>
      <c r="DI189" s="5"/>
      <c r="DJ189" s="43">
        <v>15.321882563575818</v>
      </c>
      <c r="DK189" s="43">
        <f t="shared" si="22"/>
        <v>0</v>
      </c>
      <c r="DL189" s="59">
        <f t="shared" si="23"/>
        <v>-15.321882563575818</v>
      </c>
    </row>
    <row r="190" spans="1:116" ht="24.9" customHeight="1" x14ac:dyDescent="0.3">
      <c r="A190" s="328">
        <v>150000954</v>
      </c>
      <c r="B190" s="45" t="s">
        <v>171</v>
      </c>
      <c r="C190" s="1035">
        <v>2</v>
      </c>
      <c r="D190" s="1036" t="s">
        <v>454</v>
      </c>
      <c r="E190" s="1028">
        <f>'побудинковий звіт'!E188</f>
        <v>229</v>
      </c>
      <c r="F190" s="1029">
        <f>'побудинковий звіт'!AS188</f>
        <v>7479.1881030821114</v>
      </c>
      <c r="G190" s="1029">
        <f t="shared" si="16"/>
        <v>0</v>
      </c>
      <c r="H190" s="1029">
        <f t="shared" si="17"/>
        <v>-7479.1881030821114</v>
      </c>
      <c r="I190" s="43">
        <f>'[1]поточний ремонт'!I190+'[2]поточний ремонт'!I190-'[3]поточний ремонт'!I190</f>
        <v>0</v>
      </c>
      <c r="J190" s="43">
        <f>'[1]поточний ремонт'!J190+'[2]поточний ремонт'!J190-'[3]поточний ремонт'!J190</f>
        <v>0</v>
      </c>
      <c r="K190" s="1037"/>
      <c r="L190" s="43">
        <f>'[1]поточний ремонт'!L190+'[2]поточний ремонт'!L190-'[3]поточний ремонт'!L190</f>
        <v>0</v>
      </c>
      <c r="M190" s="43">
        <f>'[1]поточний ремонт'!M190+'[2]поточний ремонт'!M190-'[3]поточний ремонт'!M190</f>
        <v>0</v>
      </c>
      <c r="N190" s="37"/>
      <c r="O190" s="43">
        <f>'[1]поточний ремонт'!O190+'[2]поточний ремонт'!O190-'[3]поточний ремонт'!O190</f>
        <v>0</v>
      </c>
      <c r="P190" s="43">
        <f>'[1]поточний ремонт'!P190+'[2]поточний ремонт'!P190-'[3]поточний ремонт'!P190</f>
        <v>0</v>
      </c>
      <c r="Q190" s="1038"/>
      <c r="R190" s="43">
        <f>'[1]поточний ремонт'!R190+'[2]поточний ремонт'!R190-'[3]поточний ремонт'!R190</f>
        <v>0</v>
      </c>
      <c r="S190" s="43">
        <f>'[1]поточний ремонт'!S190+'[2]поточний ремонт'!S190-'[3]поточний ремонт'!S190</f>
        <v>0</v>
      </c>
      <c r="T190" s="1039"/>
      <c r="U190" s="43">
        <f>'[1]поточний ремонт'!U190+'[2]поточний ремонт'!U190-'[3]поточний ремонт'!U190</f>
        <v>0</v>
      </c>
      <c r="V190" s="43">
        <f>'[1]поточний ремонт'!V190+'[2]поточний ремонт'!V190-'[3]поточний ремонт'!V190</f>
        <v>0</v>
      </c>
      <c r="W190" s="43">
        <f>'[1]поточний ремонт'!W190+'[2]поточний ремонт'!W190-'[3]поточний ремонт'!W190</f>
        <v>0</v>
      </c>
      <c r="X190" s="43">
        <f>'[1]поточний ремонт'!X190+'[2]поточний ремонт'!X190-'[3]поточний ремонт'!X190</f>
        <v>0</v>
      </c>
      <c r="Y190" s="43">
        <f>'[1]поточний ремонт'!Y190+'[2]поточний ремонт'!Y190-'[3]поточний ремонт'!Y190</f>
        <v>0</v>
      </c>
      <c r="Z190" s="43">
        <f>'[1]поточний ремонт'!Z190+'[2]поточний ремонт'!Z190-'[3]поточний ремонт'!Z190</f>
        <v>0</v>
      </c>
      <c r="AA190" s="43">
        <f>'[1]поточний ремонт'!AA190+'[2]поточний ремонт'!AA190-'[3]поточний ремонт'!AA190</f>
        <v>0</v>
      </c>
      <c r="AB190" s="43">
        <f>'[1]поточний ремонт'!AB190+'[2]поточний ремонт'!AB190-'[3]поточний ремонт'!AB190</f>
        <v>0</v>
      </c>
      <c r="AC190" s="43">
        <f>'[1]поточний ремонт'!AC190+'[2]поточний ремонт'!AC190-'[3]поточний ремонт'!AC190</f>
        <v>0</v>
      </c>
      <c r="AD190" s="43">
        <f>'[1]поточний ремонт'!AD190+'[2]поточний ремонт'!AD190-'[3]поточний ремонт'!AD190</f>
        <v>0</v>
      </c>
      <c r="AE190" s="43">
        <f>'[1]поточний ремонт'!AE190+'[2]поточний ремонт'!AE190-'[3]поточний ремонт'!AE190</f>
        <v>239.12420602741548</v>
      </c>
      <c r="AF190" s="43">
        <f>'[1]поточний ремонт'!AF190+'[2]поточний ремонт'!AF190-'[3]поточний ремонт'!AF190</f>
        <v>0</v>
      </c>
      <c r="AG190" s="5"/>
      <c r="AH190" s="43">
        <f>'[1]поточний ремонт'!AH190+'[2]поточний ремонт'!AH190-'[3]поточний ремонт'!AH190</f>
        <v>312.02690298803327</v>
      </c>
      <c r="AI190" s="43">
        <f>'[1]поточний ремонт'!AI190+'[2]поточний ремонт'!AI190-'[3]поточний ремонт'!AI190</f>
        <v>0</v>
      </c>
      <c r="AJ190" s="5"/>
      <c r="AK190" s="43">
        <f>'[1]поточний ремонт'!AK190+'[2]поточний ремонт'!AK190-'[3]поточний ремонт'!AK190</f>
        <v>245.49003678860259</v>
      </c>
      <c r="AL190" s="43">
        <f>'[1]поточний ремонт'!AL190+'[2]поточний ремонт'!AL190-'[3]поточний ремонт'!AL190</f>
        <v>0</v>
      </c>
      <c r="AM190" s="5"/>
      <c r="AN190" s="43">
        <f>'[1]поточний ремонт'!AN190+'[2]поточний ремонт'!AN190-'[3]поточний ремонт'!AN190</f>
        <v>0</v>
      </c>
      <c r="AO190" s="43">
        <f>'[1]поточний ремонт'!AO190+'[2]поточний ремонт'!AO190-'[3]поточний ремонт'!AO190</f>
        <v>0</v>
      </c>
      <c r="AP190" s="5"/>
      <c r="AQ190" s="43">
        <f>'[1]поточний ремонт'!AQ190+'[2]поточний ремонт'!AQ190-'[3]поточний ремонт'!AQ190</f>
        <v>0</v>
      </c>
      <c r="AR190" s="43">
        <f>'[1]поточний ремонт'!AR190+'[2]поточний ремонт'!AR190-'[3]поточний ремонт'!AR190</f>
        <v>0</v>
      </c>
      <c r="AS190" s="5"/>
      <c r="AT190" s="43">
        <f>'[1]поточний ремонт'!AT190+'[2]поточний ремонт'!AT190-'[3]поточний ремонт'!AT190</f>
        <v>220.05809326649597</v>
      </c>
      <c r="AU190" s="43">
        <f>'[1]поточний ремонт'!AU190+'[2]поточний ремонт'!AU190-'[3]поточний ремонт'!AU190</f>
        <v>0</v>
      </c>
      <c r="AV190" s="5"/>
      <c r="AW190" s="43">
        <f>'[1]поточний ремонт'!AW190+'[2]поточний ремонт'!AW190-'[3]поточний ремонт'!AW190</f>
        <v>167.44238903209089</v>
      </c>
      <c r="AX190" s="43">
        <f>'[1]поточний ремонт'!AX190+'[2]поточний ремонт'!AX190-'[3]поточний ремонт'!AX190</f>
        <v>0</v>
      </c>
      <c r="AY190" s="5"/>
      <c r="AZ190" s="43">
        <f t="shared" si="18"/>
        <v>1184.1416281026382</v>
      </c>
      <c r="BA190" s="43">
        <f t="shared" si="19"/>
        <v>0</v>
      </c>
      <c r="BB190" s="59">
        <f t="shared" si="20"/>
        <v>-1184.1416281026382</v>
      </c>
      <c r="BD190" s="2">
        <v>1</v>
      </c>
      <c r="BF190" s="30">
        <v>16.764060561910551</v>
      </c>
      <c r="BG190" s="328">
        <v>150000954</v>
      </c>
      <c r="BI190" s="107">
        <v>0</v>
      </c>
      <c r="BJ190" s="107">
        <f t="shared" si="21"/>
        <v>0</v>
      </c>
      <c r="BK190" s="107">
        <v>0</v>
      </c>
      <c r="BL190" s="39"/>
      <c r="BM190" s="3"/>
      <c r="BN190" s="3">
        <v>0</v>
      </c>
      <c r="BP190" s="3"/>
      <c r="BQ190" s="3"/>
      <c r="BS190" s="43"/>
      <c r="BT190" s="43">
        <v>0</v>
      </c>
      <c r="BU190" s="1037"/>
      <c r="BV190" s="42"/>
      <c r="BW190" s="43"/>
      <c r="BX190" s="37"/>
      <c r="BY190" s="78"/>
      <c r="BZ190" s="43">
        <v>0</v>
      </c>
      <c r="CA190" s="1038"/>
      <c r="CB190" s="42"/>
      <c r="CC190" s="42">
        <v>0</v>
      </c>
      <c r="CD190" s="1039"/>
      <c r="CE190" s="78">
        <v>0</v>
      </c>
      <c r="CF190" s="56"/>
      <c r="CG190" s="42">
        <v>0</v>
      </c>
      <c r="CH190" s="39">
        <v>0</v>
      </c>
      <c r="CI190" s="78">
        <v>0</v>
      </c>
      <c r="CJ190" s="56"/>
      <c r="CK190" s="1034"/>
      <c r="CL190" s="1029"/>
      <c r="CM190" s="1034"/>
      <c r="CN190" s="1029">
        <v>0</v>
      </c>
      <c r="CO190" s="78">
        <v>19.927017168951291</v>
      </c>
      <c r="CP190" s="43">
        <v>0</v>
      </c>
      <c r="CQ190" s="5"/>
      <c r="CR190" s="78">
        <v>26.002241915669433</v>
      </c>
      <c r="CS190" s="1033">
        <v>0</v>
      </c>
      <c r="CT190" s="5"/>
      <c r="CU190" s="78">
        <v>20.457503065716885</v>
      </c>
      <c r="CV190" s="43">
        <v>0</v>
      </c>
      <c r="CW190" s="5"/>
      <c r="CX190" s="78">
        <v>0</v>
      </c>
      <c r="CY190" s="43">
        <v>0</v>
      </c>
      <c r="CZ190" s="5"/>
      <c r="DA190" s="78">
        <v>0</v>
      </c>
      <c r="DB190" s="43">
        <v>0</v>
      </c>
      <c r="DC190" s="5"/>
      <c r="DD190" s="78">
        <v>18.338174438874663</v>
      </c>
      <c r="DE190" s="43">
        <v>0</v>
      </c>
      <c r="DF190" s="5"/>
      <c r="DG190" s="78">
        <v>13.953532419340904</v>
      </c>
      <c r="DH190" s="43"/>
      <c r="DI190" s="5"/>
      <c r="DJ190" s="43">
        <v>98.678469008553165</v>
      </c>
      <c r="DK190" s="43">
        <f t="shared" si="22"/>
        <v>0</v>
      </c>
      <c r="DL190" s="59">
        <f t="shared" si="23"/>
        <v>-98.678469008553165</v>
      </c>
    </row>
    <row r="191" spans="1:116" ht="24.9" customHeight="1" x14ac:dyDescent="0.3">
      <c r="A191" s="328">
        <v>150000929</v>
      </c>
      <c r="B191" s="45" t="s">
        <v>1096</v>
      </c>
      <c r="C191" s="1035">
        <v>2</v>
      </c>
      <c r="D191" s="1036" t="s">
        <v>454</v>
      </c>
      <c r="E191" s="1028">
        <f>'побудинковий звіт'!E189</f>
        <v>463.1</v>
      </c>
      <c r="F191" s="1029">
        <f>'побудинковий звіт'!AS189</f>
        <v>8133.1981569316067</v>
      </c>
      <c r="G191" s="1029">
        <f t="shared" si="16"/>
        <v>9539.0147479623774</v>
      </c>
      <c r="H191" s="1029">
        <f t="shared" si="17"/>
        <v>1405.8165910307707</v>
      </c>
      <c r="I191" s="43">
        <f>'[1]поточний ремонт'!I191+'[2]поточний ремонт'!I191-'[3]поточний ремонт'!I191</f>
        <v>32</v>
      </c>
      <c r="J191" s="43">
        <f>'[1]поточний ремонт'!J191+'[2]поточний ремонт'!J191-'[3]поточний ремонт'!J191</f>
        <v>7519</v>
      </c>
      <c r="K191" s="1037"/>
      <c r="L191" s="43">
        <f>'[1]поточний ремонт'!L191+'[2]поточний ремонт'!L191-'[3]поточний ремонт'!L191</f>
        <v>0</v>
      </c>
      <c r="M191" s="43">
        <f>'[1]поточний ремонт'!M191+'[2]поточний ремонт'!M191-'[3]поточний ремонт'!M191</f>
        <v>0</v>
      </c>
      <c r="N191" s="37"/>
      <c r="O191" s="43">
        <f>'[1]поточний ремонт'!O191+'[2]поточний ремонт'!O191-'[3]поточний ремонт'!O191</f>
        <v>0</v>
      </c>
      <c r="P191" s="43">
        <f>'[1]поточний ремонт'!P191+'[2]поточний ремонт'!P191-'[3]поточний ремонт'!P191</f>
        <v>0</v>
      </c>
      <c r="Q191" s="1038"/>
      <c r="R191" s="43">
        <f>'[1]поточний ремонт'!R191+'[2]поточний ремонт'!R191-'[3]поточний ремонт'!R191</f>
        <v>0</v>
      </c>
      <c r="S191" s="43">
        <f>'[1]поточний ремонт'!S191+'[2]поточний ремонт'!S191-'[3]поточний ремонт'!S191</f>
        <v>0</v>
      </c>
      <c r="T191" s="1039"/>
      <c r="U191" s="43">
        <f>'[1]поточний ремонт'!U191+'[2]поточний ремонт'!U191-'[3]поточний ремонт'!U191</f>
        <v>0</v>
      </c>
      <c r="V191" s="43">
        <f>'[1]поточний ремонт'!V191+'[2]поточний ремонт'!V191-'[3]поточний ремонт'!V191</f>
        <v>0</v>
      </c>
      <c r="W191" s="43">
        <f>'[1]поточний ремонт'!W191+'[2]поточний ремонт'!W191-'[3]поточний ремонт'!W191</f>
        <v>0</v>
      </c>
      <c r="X191" s="43">
        <f>'[1]поточний ремонт'!X191+'[2]поточний ремонт'!X191-'[3]поточний ремонт'!X191</f>
        <v>214.01474796237744</v>
      </c>
      <c r="Y191" s="43">
        <f>'[1]поточний ремонт'!Y191+'[2]поточний ремонт'!Y191-'[3]поточний ремонт'!Y191</f>
        <v>0</v>
      </c>
      <c r="Z191" s="43">
        <f>'[1]поточний ремонт'!Z191+'[2]поточний ремонт'!Z191-'[3]поточний ремонт'!Z191</f>
        <v>0</v>
      </c>
      <c r="AA191" s="43">
        <f>'[1]поточний ремонт'!AA191+'[2]поточний ремонт'!AA191-'[3]поточний ремонт'!AA191</f>
        <v>0</v>
      </c>
      <c r="AB191" s="43">
        <f>'[1]поточний ремонт'!AB191+'[2]поточний ремонт'!AB191-'[3]поточний ремонт'!AB191</f>
        <v>0</v>
      </c>
      <c r="AC191" s="43">
        <f>'[1]поточний ремонт'!AC191+'[2]поточний ремонт'!AC191-'[3]поточний ремонт'!AC191</f>
        <v>1806</v>
      </c>
      <c r="AD191" s="43">
        <f>'[1]поточний ремонт'!AD191+'[2]поточний ремонт'!AD191-'[3]поточний ремонт'!AD191</f>
        <v>0</v>
      </c>
      <c r="AE191" s="43">
        <f>'[1]поточний ремонт'!AE191+'[2]поточний ремонт'!AE191-'[3]поточний ремонт'!AE191</f>
        <v>558.74578225816219</v>
      </c>
      <c r="AF191" s="43">
        <f>'[1]поточний ремонт'!AF191+'[2]поточний ремонт'!AF191-'[3]поточний ремонт'!AF191</f>
        <v>0</v>
      </c>
      <c r="AG191" s="5"/>
      <c r="AH191" s="43">
        <f>'[1]поточний ремонт'!AH191+'[2]поточний ремонт'!AH191-'[3]поточний ремонт'!AH191</f>
        <v>725.15009336527589</v>
      </c>
      <c r="AI191" s="43">
        <f>'[1]поточний ремонт'!AI191+'[2]поточний ремонт'!AI191-'[3]поточний ремонт'!AI191</f>
        <v>0</v>
      </c>
      <c r="AJ191" s="5"/>
      <c r="AK191" s="43">
        <f>'[1]поточний ремонт'!AK191+'[2]поточний ремонт'!AK191-'[3]поточний ремонт'!AK191</f>
        <v>0</v>
      </c>
      <c r="AL191" s="43">
        <f>'[1]поточний ремонт'!AL191+'[2]поточний ремонт'!AL191-'[3]поточний ремонт'!AL191</f>
        <v>0</v>
      </c>
      <c r="AM191" s="5"/>
      <c r="AN191" s="43">
        <f>'[1]поточний ремонт'!AN191+'[2]поточний ремонт'!AN191-'[3]поточний ремонт'!AN191</f>
        <v>0</v>
      </c>
      <c r="AO191" s="43">
        <f>'[1]поточний ремонт'!AO191+'[2]поточний ремонт'!AO191-'[3]поточний ремонт'!AO191</f>
        <v>0</v>
      </c>
      <c r="AP191" s="5"/>
      <c r="AQ191" s="43">
        <f>'[1]поточний ремонт'!AQ191+'[2]поточний ремонт'!AQ191-'[3]поточний ремонт'!AQ191</f>
        <v>0</v>
      </c>
      <c r="AR191" s="43">
        <f>'[1]поточний ремонт'!AR191+'[2]поточний ремонт'!AR191-'[3]поточний ремонт'!AR191</f>
        <v>0</v>
      </c>
      <c r="AS191" s="5"/>
      <c r="AT191" s="43">
        <f>'[1]поточний ремонт'!AT191+'[2]поточний ремонт'!AT191-'[3]поточний ремонт'!AT191</f>
        <v>118.62766249183653</v>
      </c>
      <c r="AU191" s="43">
        <f>'[1]поточний ремонт'!AU191+'[2]поточний ремонт'!AU191-'[3]поточний ремонт'!AU191</f>
        <v>2874</v>
      </c>
      <c r="AV191" s="5"/>
      <c r="AW191" s="43">
        <f>'[1]поточний ремонт'!AW191+'[2]поточний ремонт'!AW191-'[3]поточний ремонт'!AW191</f>
        <v>0</v>
      </c>
      <c r="AX191" s="43">
        <f>'[1]поточний ремонт'!AX191+'[2]поточний ремонт'!AX191-'[3]поточний ремонт'!AX191</f>
        <v>0</v>
      </c>
      <c r="AY191" s="5"/>
      <c r="AZ191" s="43">
        <f t="shared" si="18"/>
        <v>1402.5235381152747</v>
      </c>
      <c r="BA191" s="43">
        <f t="shared" si="19"/>
        <v>2874</v>
      </c>
      <c r="BB191" s="59">
        <f t="shared" si="20"/>
        <v>1471.4764618847253</v>
      </c>
      <c r="BD191" s="2">
        <v>2</v>
      </c>
      <c r="BF191" s="30">
        <v>0.71392192571168833</v>
      </c>
      <c r="BG191" s="328">
        <v>150000929</v>
      </c>
      <c r="BI191" s="107">
        <v>15.97</v>
      </c>
      <c r="BJ191" s="107">
        <f t="shared" si="21"/>
        <v>2.2463753339999997</v>
      </c>
      <c r="BK191" s="107">
        <v>18.41797416212</v>
      </c>
      <c r="BL191" s="39"/>
      <c r="BM191" s="3"/>
      <c r="BN191" s="3">
        <v>0</v>
      </c>
      <c r="BP191" s="3"/>
      <c r="BQ191" s="3"/>
      <c r="BS191" s="43"/>
      <c r="BT191" s="43">
        <v>0</v>
      </c>
      <c r="BU191" s="1037"/>
      <c r="BV191" s="42"/>
      <c r="BW191" s="43"/>
      <c r="BX191" s="37"/>
      <c r="BY191" s="78"/>
      <c r="BZ191" s="43">
        <v>0</v>
      </c>
      <c r="CA191" s="1038"/>
      <c r="CB191" s="42"/>
      <c r="CC191" s="42">
        <v>0</v>
      </c>
      <c r="CD191" s="1039"/>
      <c r="CE191" s="78">
        <v>0</v>
      </c>
      <c r="CF191" s="56"/>
      <c r="CG191" s="42">
        <v>0</v>
      </c>
      <c r="CH191" s="39">
        <v>18.41797416212</v>
      </c>
      <c r="CI191" s="78">
        <v>0</v>
      </c>
      <c r="CJ191" s="56"/>
      <c r="CK191" s="1034"/>
      <c r="CL191" s="1029"/>
      <c r="CM191" s="1034"/>
      <c r="CN191" s="1029">
        <v>0</v>
      </c>
      <c r="CO191" s="78">
        <v>46.562148521513521</v>
      </c>
      <c r="CP191" s="43">
        <v>0</v>
      </c>
      <c r="CQ191" s="5"/>
      <c r="CR191" s="78">
        <v>60.429174447106327</v>
      </c>
      <c r="CS191" s="1033">
        <v>0</v>
      </c>
      <c r="CT191" s="5"/>
      <c r="CU191" s="78">
        <v>0</v>
      </c>
      <c r="CV191" s="43">
        <v>0</v>
      </c>
      <c r="CW191" s="5"/>
      <c r="CX191" s="78">
        <v>0</v>
      </c>
      <c r="CY191" s="43">
        <v>0</v>
      </c>
      <c r="CZ191" s="5"/>
      <c r="DA191" s="78">
        <v>0</v>
      </c>
      <c r="DB191" s="43">
        <v>0</v>
      </c>
      <c r="DC191" s="5"/>
      <c r="DD191" s="78">
        <v>9.8856385409863776</v>
      </c>
      <c r="DE191" s="43">
        <v>0</v>
      </c>
      <c r="DF191" s="5"/>
      <c r="DG191" s="78">
        <v>0</v>
      </c>
      <c r="DH191" s="43"/>
      <c r="DI191" s="5"/>
      <c r="DJ191" s="43">
        <v>116.87696150960622</v>
      </c>
      <c r="DK191" s="43">
        <f t="shared" si="22"/>
        <v>0</v>
      </c>
      <c r="DL191" s="59">
        <f t="shared" si="23"/>
        <v>-116.87696150960622</v>
      </c>
    </row>
    <row r="192" spans="1:116" ht="24.9" customHeight="1" x14ac:dyDescent="0.3">
      <c r="A192" s="328">
        <v>150000930</v>
      </c>
      <c r="B192" s="45" t="s">
        <v>172</v>
      </c>
      <c r="C192" s="1035">
        <v>2</v>
      </c>
      <c r="D192" s="1036" t="s">
        <v>454</v>
      </c>
      <c r="E192" s="1028">
        <f>'побудинковий звіт'!E190</f>
        <v>539</v>
      </c>
      <c r="F192" s="1029">
        <f>'побудинковий звіт'!AS190</f>
        <v>3978.1685929491509</v>
      </c>
      <c r="G192" s="1029">
        <f t="shared" si="16"/>
        <v>6621</v>
      </c>
      <c r="H192" s="1029">
        <f t="shared" si="17"/>
        <v>2642.8314070508491</v>
      </c>
      <c r="I192" s="43">
        <f>'[1]поточний ремонт'!I192+'[2]поточний ремонт'!I192-'[3]поточний ремонт'!I192</f>
        <v>17</v>
      </c>
      <c r="J192" s="43">
        <f>'[1]поточний ремонт'!J192+'[2]поточний ремонт'!J192-'[3]поточний ремонт'!J192</f>
        <v>6621</v>
      </c>
      <c r="K192" s="1037"/>
      <c r="L192" s="43">
        <f>'[1]поточний ремонт'!L192+'[2]поточний ремонт'!L192-'[3]поточний ремонт'!L192</f>
        <v>0</v>
      </c>
      <c r="M192" s="43">
        <f>'[1]поточний ремонт'!M192+'[2]поточний ремонт'!M192-'[3]поточний ремонт'!M192</f>
        <v>0</v>
      </c>
      <c r="N192" s="37"/>
      <c r="O192" s="43">
        <f>'[1]поточний ремонт'!O192+'[2]поточний ремонт'!O192-'[3]поточний ремонт'!O192</f>
        <v>0</v>
      </c>
      <c r="P192" s="43">
        <f>'[1]поточний ремонт'!P192+'[2]поточний ремонт'!P192-'[3]поточний ремонт'!P192</f>
        <v>0</v>
      </c>
      <c r="Q192" s="1038"/>
      <c r="R192" s="43">
        <f>'[1]поточний ремонт'!R192+'[2]поточний ремонт'!R192-'[3]поточний ремонт'!R192</f>
        <v>0</v>
      </c>
      <c r="S192" s="43">
        <f>'[1]поточний ремонт'!S192+'[2]поточний ремонт'!S192-'[3]поточний ремонт'!S192</f>
        <v>0</v>
      </c>
      <c r="T192" s="1039"/>
      <c r="U192" s="43">
        <f>'[1]поточний ремонт'!U192+'[2]поточний ремонт'!U192-'[3]поточний ремонт'!U192</f>
        <v>0</v>
      </c>
      <c r="V192" s="43">
        <f>'[1]поточний ремонт'!V192+'[2]поточний ремонт'!V192-'[3]поточний ремонт'!V192</f>
        <v>0</v>
      </c>
      <c r="W192" s="43">
        <f>'[1]поточний ремонт'!W192+'[2]поточний ремонт'!W192-'[3]поточний ремонт'!W192</f>
        <v>0</v>
      </c>
      <c r="X192" s="43">
        <f>'[1]поточний ремонт'!X192+'[2]поточний ремонт'!X192-'[3]поточний ремонт'!X192</f>
        <v>0</v>
      </c>
      <c r="Y192" s="43">
        <f>'[1]поточний ремонт'!Y192+'[2]поточний ремонт'!Y192-'[3]поточний ремонт'!Y192</f>
        <v>0</v>
      </c>
      <c r="Z192" s="43">
        <f>'[1]поточний ремонт'!Z192+'[2]поточний ремонт'!Z192-'[3]поточний ремонт'!Z192</f>
        <v>0</v>
      </c>
      <c r="AA192" s="43">
        <f>'[1]поточний ремонт'!AA192+'[2]поточний ремонт'!AA192-'[3]поточний ремонт'!AA192</f>
        <v>0</v>
      </c>
      <c r="AB192" s="43">
        <f>'[1]поточний ремонт'!AB192+'[2]поточний ремонт'!AB192-'[3]поточний ремонт'!AB192</f>
        <v>0</v>
      </c>
      <c r="AC192" s="43">
        <f>'[1]поточний ремонт'!AC192+'[2]поточний ремонт'!AC192-'[3]поточний ремонт'!AC192</f>
        <v>0</v>
      </c>
      <c r="AD192" s="43">
        <f>'[1]поточний ремонт'!AD192+'[2]поточний ремонт'!AD192-'[3]поточний ремонт'!AD192</f>
        <v>0</v>
      </c>
      <c r="AE192" s="43">
        <f>'[1]поточний ремонт'!AE192+'[2]поточний ремонт'!AE192-'[3]поточний ремонт'!AE192</f>
        <v>331.90210098938223</v>
      </c>
      <c r="AF192" s="43">
        <f>'[1]поточний ремонт'!AF192+'[2]поточний ремонт'!AF192-'[3]поточний ремонт'!AF192</f>
        <v>389</v>
      </c>
      <c r="AG192" s="5"/>
      <c r="AH192" s="43">
        <f>'[1]поточний ремонт'!AH192+'[2]поточний ремонт'!AH192-'[3]поточний ремонт'!AH192</f>
        <v>438.46946070009994</v>
      </c>
      <c r="AI192" s="43">
        <f>'[1]поточний ремонт'!AI192+'[2]поточний ремонт'!AI192-'[3]поточний ремонт'!AI192</f>
        <v>0</v>
      </c>
      <c r="AJ192" s="5"/>
      <c r="AK192" s="43">
        <f>'[1]поточний ремонт'!AK192+'[2]поточний ремонт'!AK192-'[3]поточний ремонт'!AK192</f>
        <v>236.00725537516388</v>
      </c>
      <c r="AL192" s="43">
        <f>'[1]поточний ремонт'!AL192+'[2]поточний ремонт'!AL192-'[3]поточний ремонт'!AL192</f>
        <v>0</v>
      </c>
      <c r="AM192" s="5"/>
      <c r="AN192" s="43">
        <f>'[1]поточний ремонт'!AN192+'[2]поточний ремонт'!AN192-'[3]поточний ремонт'!AN192</f>
        <v>0</v>
      </c>
      <c r="AO192" s="43">
        <f>'[1]поточний ремонт'!AO192+'[2]поточний ремонт'!AO192-'[3]поточний ремонт'!AO192</f>
        <v>0</v>
      </c>
      <c r="AP192" s="5"/>
      <c r="AQ192" s="43">
        <f>'[1]поточний ремонт'!AQ192+'[2]поточний ремонт'!AQ192-'[3]поточний ремонт'!AQ192</f>
        <v>0</v>
      </c>
      <c r="AR192" s="43">
        <f>'[1]поточний ремонт'!AR192+'[2]поточний ремонт'!AR192-'[3]поточний ремонт'!AR192</f>
        <v>0</v>
      </c>
      <c r="AS192" s="5"/>
      <c r="AT192" s="43">
        <f>'[1]поточний ремонт'!AT192+'[2]поточний ремонт'!AT192-'[3]поточний ремонт'!AT192</f>
        <v>59.168551776459466</v>
      </c>
      <c r="AU192" s="43">
        <f>'[1]поточний ремонт'!AU192+'[2]поточний ремонт'!AU192-'[3]поточний ремонт'!AU192</f>
        <v>0</v>
      </c>
      <c r="AV192" s="5"/>
      <c r="AW192" s="43">
        <f>'[1]поточний ремонт'!AW192+'[2]поточний ремонт'!AW192-'[3]поточний ремонт'!AW192</f>
        <v>0</v>
      </c>
      <c r="AX192" s="43">
        <f>'[1]поточний ремонт'!AX192+'[2]поточний ремонт'!AX192-'[3]поточний ремонт'!AX192</f>
        <v>0</v>
      </c>
      <c r="AY192" s="5"/>
      <c r="AZ192" s="43">
        <f t="shared" si="18"/>
        <v>1065.5473688411055</v>
      </c>
      <c r="BA192" s="43">
        <f t="shared" si="19"/>
        <v>389</v>
      </c>
      <c r="BB192" s="59">
        <f t="shared" si="20"/>
        <v>-676.54736884110548</v>
      </c>
      <c r="BD192" s="2">
        <v>2</v>
      </c>
      <c r="BF192" s="30">
        <v>0.47307551501230738</v>
      </c>
      <c r="BG192" s="328">
        <v>150000930</v>
      </c>
      <c r="BI192" s="107">
        <v>0</v>
      </c>
      <c r="BJ192" s="107">
        <f t="shared" si="21"/>
        <v>0</v>
      </c>
      <c r="BK192" s="107">
        <v>0</v>
      </c>
      <c r="BL192" s="39"/>
      <c r="BM192" s="3"/>
      <c r="BN192" s="3">
        <v>0</v>
      </c>
      <c r="BP192" s="3"/>
      <c r="BQ192" s="3"/>
      <c r="BS192" s="43"/>
      <c r="BT192" s="43">
        <v>0</v>
      </c>
      <c r="BU192" s="1037"/>
      <c r="BV192" s="42"/>
      <c r="BW192" s="43"/>
      <c r="BX192" s="37"/>
      <c r="BY192" s="78"/>
      <c r="BZ192" s="43">
        <v>0</v>
      </c>
      <c r="CA192" s="1038"/>
      <c r="CB192" s="42"/>
      <c r="CC192" s="42">
        <v>0</v>
      </c>
      <c r="CD192" s="1039"/>
      <c r="CE192" s="78">
        <v>0</v>
      </c>
      <c r="CF192" s="56"/>
      <c r="CG192" s="42">
        <v>0</v>
      </c>
      <c r="CH192" s="39">
        <v>0</v>
      </c>
      <c r="CI192" s="78">
        <v>0</v>
      </c>
      <c r="CJ192" s="56"/>
      <c r="CK192" s="1034"/>
      <c r="CL192" s="1029"/>
      <c r="CM192" s="1034"/>
      <c r="CN192" s="1029">
        <v>0</v>
      </c>
      <c r="CO192" s="78">
        <v>27.658508415781853</v>
      </c>
      <c r="CP192" s="43">
        <v>0</v>
      </c>
      <c r="CQ192" s="5"/>
      <c r="CR192" s="78">
        <v>36.539121725008329</v>
      </c>
      <c r="CS192" s="1033">
        <v>0</v>
      </c>
      <c r="CT192" s="5"/>
      <c r="CU192" s="78">
        <v>19.667271281263659</v>
      </c>
      <c r="CV192" s="43">
        <v>0</v>
      </c>
      <c r="CW192" s="5"/>
      <c r="CX192" s="78">
        <v>0</v>
      </c>
      <c r="CY192" s="43">
        <v>0</v>
      </c>
      <c r="CZ192" s="5"/>
      <c r="DA192" s="78">
        <v>0</v>
      </c>
      <c r="DB192" s="43">
        <v>0</v>
      </c>
      <c r="DC192" s="5"/>
      <c r="DD192" s="78">
        <v>4.9307126480382886</v>
      </c>
      <c r="DE192" s="43">
        <v>0</v>
      </c>
      <c r="DF192" s="5"/>
      <c r="DG192" s="78">
        <v>0</v>
      </c>
      <c r="DH192" s="43"/>
      <c r="DI192" s="5"/>
      <c r="DJ192" s="43">
        <v>88.795614070092128</v>
      </c>
      <c r="DK192" s="43">
        <f t="shared" si="22"/>
        <v>0</v>
      </c>
      <c r="DL192" s="59">
        <f t="shared" si="23"/>
        <v>-88.795614070092128</v>
      </c>
    </row>
    <row r="193" spans="1:116" ht="24.9" customHeight="1" x14ac:dyDescent="0.3">
      <c r="A193" s="328">
        <v>150000931</v>
      </c>
      <c r="B193" s="45" t="s">
        <v>266</v>
      </c>
      <c r="C193" s="1035">
        <v>5</v>
      </c>
      <c r="D193" s="1036" t="s">
        <v>454</v>
      </c>
      <c r="E193" s="1028">
        <f>'побудинковий звіт'!E191</f>
        <v>4687.91</v>
      </c>
      <c r="F193" s="1029">
        <f>'побудинковий звіт'!AS191</f>
        <v>22433.01226621597</v>
      </c>
      <c r="G193" s="1029">
        <f t="shared" si="16"/>
        <v>728</v>
      </c>
      <c r="H193" s="1029">
        <f t="shared" si="17"/>
        <v>-21705.01226621597</v>
      </c>
      <c r="I193" s="43">
        <f>'[1]поточний ремонт'!I193+'[2]поточний ремонт'!I193-'[3]поточний ремонт'!I193</f>
        <v>0</v>
      </c>
      <c r="J193" s="43">
        <f>'[1]поточний ремонт'!J193+'[2]поточний ремонт'!J193-'[3]поточний ремонт'!J193</f>
        <v>0</v>
      </c>
      <c r="K193" s="1037"/>
      <c r="L193" s="43">
        <f>'[1]поточний ремонт'!L193+'[2]поточний ремонт'!L193-'[3]поточний ремонт'!L193</f>
        <v>0</v>
      </c>
      <c r="M193" s="43">
        <f>'[1]поточний ремонт'!M193+'[2]поточний ремонт'!M193-'[3]поточний ремонт'!M193</f>
        <v>0</v>
      </c>
      <c r="N193" s="37"/>
      <c r="O193" s="43">
        <f>'[1]поточний ремонт'!O193+'[2]поточний ремонт'!O193-'[3]поточний ремонт'!O193</f>
        <v>0</v>
      </c>
      <c r="P193" s="43">
        <f>'[1]поточний ремонт'!P193+'[2]поточний ремонт'!P193-'[3]поточний ремонт'!P193</f>
        <v>0</v>
      </c>
      <c r="Q193" s="1038"/>
      <c r="R193" s="43">
        <f>'[1]поточний ремонт'!R193+'[2]поточний ремонт'!R193-'[3]поточний ремонт'!R193</f>
        <v>0</v>
      </c>
      <c r="S193" s="43">
        <f>'[1]поточний ремонт'!S193+'[2]поточний ремонт'!S193-'[3]поточний ремонт'!S193</f>
        <v>0</v>
      </c>
      <c r="T193" s="1039"/>
      <c r="U193" s="43">
        <f>'[1]поточний ремонт'!U193+'[2]поточний ремонт'!U193-'[3]поточний ремонт'!U193</f>
        <v>0</v>
      </c>
      <c r="V193" s="43">
        <f>'[1]поточний ремонт'!V193+'[2]поточний ремонт'!V193-'[3]поточний ремонт'!V193</f>
        <v>0</v>
      </c>
      <c r="W193" s="43">
        <f>'[1]поточний ремонт'!W193+'[2]поточний ремонт'!W193-'[3]поточний ремонт'!W193</f>
        <v>0</v>
      </c>
      <c r="X193" s="43">
        <f>'[1]поточний ремонт'!X193+'[2]поточний ремонт'!X193-'[3]поточний ремонт'!X193</f>
        <v>0</v>
      </c>
      <c r="Y193" s="43">
        <f>'[1]поточний ремонт'!Y193+'[2]поточний ремонт'!Y193-'[3]поточний ремонт'!Y193</f>
        <v>583</v>
      </c>
      <c r="Z193" s="43">
        <f>'[1]поточний ремонт'!Z193+'[2]поточний ремонт'!Z193-'[3]поточний ремонт'!Z193</f>
        <v>0</v>
      </c>
      <c r="AA193" s="43">
        <f>'[1]поточний ремонт'!AA193+'[2]поточний ремонт'!AA193-'[3]поточний ремонт'!AA193</f>
        <v>0</v>
      </c>
      <c r="AB193" s="43">
        <f>'[1]поточний ремонт'!AB193+'[2]поточний ремонт'!AB193-'[3]поточний ремонт'!AB193</f>
        <v>0</v>
      </c>
      <c r="AC193" s="43">
        <f>'[1]поточний ремонт'!AC193+'[2]поточний ремонт'!AC193-'[3]поточний ремонт'!AC193</f>
        <v>0</v>
      </c>
      <c r="AD193" s="43">
        <f>'[1]поточний ремонт'!AD193+'[2]поточний ремонт'!AD193-'[3]поточний ремонт'!AD193</f>
        <v>145</v>
      </c>
      <c r="AE193" s="43">
        <f>'[1]поточний ремонт'!AE193+'[2]поточний ремонт'!AE193-'[3]поточний ремонт'!AE193</f>
        <v>1409.0055861071714</v>
      </c>
      <c r="AF193" s="43">
        <f>'[1]поточний ремонт'!AF193+'[2]поточний ремонт'!AF193-'[3]поточний ремонт'!AF193</f>
        <v>0</v>
      </c>
      <c r="AG193" s="1045"/>
      <c r="AH193" s="43">
        <f>'[1]поточний ремонт'!AH193+'[2]поточний ремонт'!AH193-'[3]поточний ремонт'!AH193</f>
        <v>2131.6319683440897</v>
      </c>
      <c r="AI193" s="43">
        <f>'[1]поточний ремонт'!AI193+'[2]поточний ремонт'!AI193-'[3]поточний ремонт'!AI193</f>
        <v>2040</v>
      </c>
      <c r="AJ193" s="9"/>
      <c r="AK193" s="43">
        <f>'[1]поточний ремонт'!AK193+'[2]поточний ремонт'!AK193-'[3]поточний ремонт'!AK193</f>
        <v>1751.3065641979583</v>
      </c>
      <c r="AL193" s="43">
        <f>'[1]поточний ремонт'!AL193+'[2]поточний ремонт'!AL193-'[3]поточний ремонт'!AL193</f>
        <v>0</v>
      </c>
      <c r="AM193" s="5"/>
      <c r="AN193" s="43">
        <f>'[1]поточний ремонт'!AN193+'[2]поточний ремонт'!AN193-'[3]поточний ремонт'!AN193</f>
        <v>892.53005789860288</v>
      </c>
      <c r="AO193" s="43">
        <f>'[1]поточний ремонт'!AO193+'[2]поточний ремонт'!AO193-'[3]поточний ремонт'!AO193</f>
        <v>0</v>
      </c>
      <c r="AP193" s="5"/>
      <c r="AQ193" s="43">
        <f>'[1]поточний ремонт'!AQ193+'[2]поточний ремонт'!AQ193-'[3]поточний ремонт'!AQ193</f>
        <v>539.76213107435467</v>
      </c>
      <c r="AR193" s="43">
        <f>'[1]поточний ремонт'!AR193+'[2]поточний ремонт'!AR193-'[3]поточний ремонт'!AR193</f>
        <v>0</v>
      </c>
      <c r="AS193" s="5"/>
      <c r="AT193" s="43">
        <f>'[1]поточний ремонт'!AT193+'[2]поточний ремонт'!AT193-'[3]поточний ремонт'!AT193</f>
        <v>778.36614519151806</v>
      </c>
      <c r="AU193" s="43">
        <f>'[1]поточний ремонт'!AU193+'[2]поточний ремонт'!AU193-'[3]поточний ремонт'!AU193</f>
        <v>387</v>
      </c>
      <c r="AV193" s="5"/>
      <c r="AW193" s="43">
        <f>'[1]поточний ремонт'!AW193+'[2]поточний ремонт'!AW193-'[3]поточний ремонт'!AW193</f>
        <v>0</v>
      </c>
      <c r="AX193" s="43">
        <f>'[1]поточний ремонт'!AX193+'[2]поточний ремонт'!AX193-'[3]поточний ремонт'!AX193</f>
        <v>0</v>
      </c>
      <c r="AY193" s="5"/>
      <c r="AZ193" s="43">
        <f t="shared" si="18"/>
        <v>7502.6024528136941</v>
      </c>
      <c r="BA193" s="43">
        <f t="shared" si="19"/>
        <v>2427</v>
      </c>
      <c r="BB193" s="59">
        <f t="shared" si="20"/>
        <v>-5075.6024528136941</v>
      </c>
      <c r="BD193" s="2">
        <v>2</v>
      </c>
      <c r="BF193" s="30">
        <v>3.3480864320103816</v>
      </c>
      <c r="BG193" s="328">
        <v>150000931</v>
      </c>
      <c r="BI193" s="107">
        <v>0</v>
      </c>
      <c r="BJ193" s="107">
        <f t="shared" si="21"/>
        <v>0</v>
      </c>
      <c r="BK193" s="107">
        <v>0</v>
      </c>
      <c r="BL193" s="39"/>
      <c r="BM193" s="3"/>
      <c r="BN193" s="3">
        <v>0</v>
      </c>
      <c r="BP193" s="3"/>
      <c r="BQ193" s="3"/>
      <c r="BS193" s="43"/>
      <c r="BT193" s="43">
        <v>0</v>
      </c>
      <c r="BU193" s="1037"/>
      <c r="BV193" s="42"/>
      <c r="BW193" s="43"/>
      <c r="BX193" s="37"/>
      <c r="BY193" s="78"/>
      <c r="BZ193" s="43">
        <v>0</v>
      </c>
      <c r="CA193" s="1038"/>
      <c r="CB193" s="42"/>
      <c r="CC193" s="42">
        <v>0</v>
      </c>
      <c r="CD193" s="1039"/>
      <c r="CE193" s="78">
        <v>0</v>
      </c>
      <c r="CF193" s="56"/>
      <c r="CG193" s="42">
        <v>0</v>
      </c>
      <c r="CH193" s="39">
        <v>0</v>
      </c>
      <c r="CI193" s="78">
        <v>1256.9911154579975</v>
      </c>
      <c r="CJ193" s="56"/>
      <c r="CK193" s="1034"/>
      <c r="CL193" s="1029"/>
      <c r="CM193" s="1034"/>
      <c r="CN193" s="1029">
        <v>0</v>
      </c>
      <c r="CO193" s="78">
        <v>117.41713217559764</v>
      </c>
      <c r="CP193" s="43">
        <v>0</v>
      </c>
      <c r="CQ193" s="1045"/>
      <c r="CR193" s="78">
        <v>177.63599736200752</v>
      </c>
      <c r="CS193" s="1033">
        <v>0</v>
      </c>
      <c r="CT193" s="9"/>
      <c r="CU193" s="78">
        <v>145.94221368316323</v>
      </c>
      <c r="CV193" s="43">
        <v>0</v>
      </c>
      <c r="CW193" s="5"/>
      <c r="CX193" s="78">
        <v>74.377504824883587</v>
      </c>
      <c r="CY193" s="43">
        <v>0</v>
      </c>
      <c r="CZ193" s="5"/>
      <c r="DA193" s="78">
        <v>44.980177589529568</v>
      </c>
      <c r="DB193" s="43">
        <v>0</v>
      </c>
      <c r="DC193" s="5"/>
      <c r="DD193" s="78">
        <v>64.863845432626519</v>
      </c>
      <c r="DE193" s="43">
        <v>0</v>
      </c>
      <c r="DF193" s="5"/>
      <c r="DG193" s="78">
        <v>0</v>
      </c>
      <c r="DH193" s="43"/>
      <c r="DI193" s="5"/>
      <c r="DJ193" s="43">
        <v>625.21687106780803</v>
      </c>
      <c r="DK193" s="43">
        <f t="shared" si="22"/>
        <v>0</v>
      </c>
      <c r="DL193" s="59">
        <f t="shared" si="23"/>
        <v>-625.21687106780803</v>
      </c>
    </row>
    <row r="194" spans="1:116" ht="24.9" customHeight="1" x14ac:dyDescent="0.3">
      <c r="A194" s="328">
        <v>150000932</v>
      </c>
      <c r="B194" s="45" t="s">
        <v>173</v>
      </c>
      <c r="C194" s="1035">
        <v>2</v>
      </c>
      <c r="D194" s="1036" t="s">
        <v>454</v>
      </c>
      <c r="E194" s="1028">
        <f>'побудинковий звіт'!E192</f>
        <v>6306.37</v>
      </c>
      <c r="F194" s="1029">
        <f>'побудинковий звіт'!AS192</f>
        <v>2689.1297874743759</v>
      </c>
      <c r="G194" s="1029">
        <f t="shared" si="16"/>
        <v>0</v>
      </c>
      <c r="H194" s="1029">
        <f t="shared" si="17"/>
        <v>-2689.1297874743759</v>
      </c>
      <c r="I194" s="43">
        <f>'[1]поточний ремонт'!I194+'[2]поточний ремонт'!I194-'[3]поточний ремонт'!I194</f>
        <v>0</v>
      </c>
      <c r="J194" s="43">
        <f>'[1]поточний ремонт'!J194+'[2]поточний ремонт'!J194-'[3]поточний ремонт'!J194</f>
        <v>0</v>
      </c>
      <c r="K194" s="1037"/>
      <c r="L194" s="43">
        <f>'[1]поточний ремонт'!L194+'[2]поточний ремонт'!L194-'[3]поточний ремонт'!L194</f>
        <v>0</v>
      </c>
      <c r="M194" s="43">
        <f>'[1]поточний ремонт'!M194+'[2]поточний ремонт'!M194-'[3]поточний ремонт'!M194</f>
        <v>0</v>
      </c>
      <c r="N194" s="37"/>
      <c r="O194" s="43">
        <f>'[1]поточний ремонт'!O194+'[2]поточний ремонт'!O194-'[3]поточний ремонт'!O194</f>
        <v>0</v>
      </c>
      <c r="P194" s="43">
        <f>'[1]поточний ремонт'!P194+'[2]поточний ремонт'!P194-'[3]поточний ремонт'!P194</f>
        <v>0</v>
      </c>
      <c r="Q194" s="1038"/>
      <c r="R194" s="43">
        <f>'[1]поточний ремонт'!R194+'[2]поточний ремонт'!R194-'[3]поточний ремонт'!R194</f>
        <v>0</v>
      </c>
      <c r="S194" s="43">
        <f>'[1]поточний ремонт'!S194+'[2]поточний ремонт'!S194-'[3]поточний ремонт'!S194</f>
        <v>0</v>
      </c>
      <c r="T194" s="1039"/>
      <c r="U194" s="43">
        <f>'[1]поточний ремонт'!U194+'[2]поточний ремонт'!U194-'[3]поточний ремонт'!U194</f>
        <v>0</v>
      </c>
      <c r="V194" s="43">
        <f>'[1]поточний ремонт'!V194+'[2]поточний ремонт'!V194-'[3]поточний ремонт'!V194</f>
        <v>0</v>
      </c>
      <c r="W194" s="43">
        <f>'[1]поточний ремонт'!W194+'[2]поточний ремонт'!W194-'[3]поточний ремонт'!W194</f>
        <v>0</v>
      </c>
      <c r="X194" s="43">
        <f>'[1]поточний ремонт'!X194+'[2]поточний ремонт'!X194-'[3]поточний ремонт'!X194</f>
        <v>0</v>
      </c>
      <c r="Y194" s="43">
        <f>'[1]поточний ремонт'!Y194+'[2]поточний ремонт'!Y194-'[3]поточний ремонт'!Y194</f>
        <v>0</v>
      </c>
      <c r="Z194" s="43">
        <f>'[1]поточний ремонт'!Z194+'[2]поточний ремонт'!Z194-'[3]поточний ремонт'!Z194</f>
        <v>0</v>
      </c>
      <c r="AA194" s="43">
        <f>'[1]поточний ремонт'!AA194+'[2]поточний ремонт'!AA194-'[3]поточний ремонт'!AA194</f>
        <v>0</v>
      </c>
      <c r="AB194" s="43">
        <f>'[1]поточний ремонт'!AB194+'[2]поточний ремонт'!AB194-'[3]поточний ремонт'!AB194</f>
        <v>0</v>
      </c>
      <c r="AC194" s="43">
        <f>'[1]поточний ремонт'!AC194+'[2]поточний ремонт'!AC194-'[3]поточний ремонт'!AC194</f>
        <v>0</v>
      </c>
      <c r="AD194" s="43">
        <f>'[1]поточний ремонт'!AD194+'[2]поточний ремонт'!AD194-'[3]поточний ремонт'!AD194</f>
        <v>0</v>
      </c>
      <c r="AE194" s="43">
        <f>'[1]поточний ремонт'!AE194+'[2]поточний ремонт'!AE194-'[3]поточний ремонт'!AE194</f>
        <v>302.14115608652634</v>
      </c>
      <c r="AF194" s="43">
        <f>'[1]поточний ремонт'!AF194+'[2]поточний ремонт'!AF194-'[3]поточний ремонт'!AF194</f>
        <v>0</v>
      </c>
      <c r="AG194" s="5"/>
      <c r="AH194" s="43">
        <f>'[1]поточний ремонт'!AH194+'[2]поточний ремонт'!AH194-'[3]поточний ремонт'!AH194</f>
        <v>312.02690298803327</v>
      </c>
      <c r="AI194" s="43">
        <f>'[1]поточний ремонт'!AI194+'[2]поточний ремонт'!AI194-'[3]поточний ремонт'!AI194</f>
        <v>0</v>
      </c>
      <c r="AJ194" s="5"/>
      <c r="AK194" s="43">
        <f>'[1]поточний ремонт'!AK194+'[2]поточний ремонт'!AK194-'[3]поточний ремонт'!AK194</f>
        <v>251.31447327278585</v>
      </c>
      <c r="AL194" s="43">
        <f>'[1]поточний ремонт'!AL194+'[2]поточний ремонт'!AL194-'[3]поточний ремонт'!AL194</f>
        <v>0</v>
      </c>
      <c r="AM194" s="5"/>
      <c r="AN194" s="43">
        <f>'[1]поточний ремонт'!AN194+'[2]поточний ремонт'!AN194-'[3]поточний ремонт'!AN194</f>
        <v>0</v>
      </c>
      <c r="AO194" s="43">
        <f>'[1]поточний ремонт'!AO194+'[2]поточний ремонт'!AO194-'[3]поточний ремонт'!AO194</f>
        <v>0</v>
      </c>
      <c r="AP194" s="5"/>
      <c r="AQ194" s="43">
        <f>'[1]поточний ремонт'!AQ194+'[2]поточний ремонт'!AQ194-'[3]поточний ремонт'!AQ194</f>
        <v>0</v>
      </c>
      <c r="AR194" s="43">
        <f>'[1]поточний ремонт'!AR194+'[2]поточний ремонт'!AR194-'[3]поточний ремонт'!AR194</f>
        <v>0</v>
      </c>
      <c r="AS194" s="5"/>
      <c r="AT194" s="43">
        <f>'[1]поточний ремонт'!AT194+'[2]поточний ремонт'!AT194-'[3]поточний ремонт'!AT194</f>
        <v>1.6992893375900495</v>
      </c>
      <c r="AU194" s="43">
        <f>'[1]поточний ремонт'!AU194+'[2]поточний ремонт'!AU194-'[3]поточний ремонт'!AU194</f>
        <v>0</v>
      </c>
      <c r="AV194" s="5"/>
      <c r="AW194" s="43">
        <f>'[1]поточний ремонт'!AW194+'[2]поточний ремонт'!AW194-'[3]поточний ремонт'!AW194</f>
        <v>0</v>
      </c>
      <c r="AX194" s="43">
        <f>'[1]поточний ремонт'!AX194+'[2]поточний ремонт'!AX194-'[3]поточний ремонт'!AX194</f>
        <v>0</v>
      </c>
      <c r="AY194" s="5"/>
      <c r="AZ194" s="43">
        <f t="shared" si="18"/>
        <v>867.18182168493536</v>
      </c>
      <c r="BA194" s="43">
        <f t="shared" si="19"/>
        <v>0</v>
      </c>
      <c r="BB194" s="59">
        <f t="shared" si="20"/>
        <v>-867.18182168493536</v>
      </c>
      <c r="BD194" s="2">
        <v>2</v>
      </c>
      <c r="BF194" s="30">
        <v>0.51747655130861536</v>
      </c>
      <c r="BG194" s="328">
        <v>150000932</v>
      </c>
      <c r="BI194" s="107">
        <v>0</v>
      </c>
      <c r="BJ194" s="107">
        <f t="shared" si="21"/>
        <v>0</v>
      </c>
      <c r="BK194" s="107">
        <v>0</v>
      </c>
      <c r="BL194" s="39"/>
      <c r="BM194" s="3"/>
      <c r="BN194" s="3">
        <v>0</v>
      </c>
      <c r="BP194" s="3"/>
      <c r="BQ194" s="3"/>
      <c r="BS194" s="43"/>
      <c r="BT194" s="43">
        <v>0</v>
      </c>
      <c r="BU194" s="1037"/>
      <c r="BV194" s="42"/>
      <c r="BW194" s="43"/>
      <c r="BX194" s="37"/>
      <c r="BY194" s="78"/>
      <c r="BZ194" s="43">
        <v>0</v>
      </c>
      <c r="CA194" s="1038"/>
      <c r="CB194" s="42"/>
      <c r="CC194" s="42">
        <v>0</v>
      </c>
      <c r="CD194" s="1039"/>
      <c r="CE194" s="78">
        <v>0</v>
      </c>
      <c r="CF194" s="56"/>
      <c r="CG194" s="42">
        <v>0</v>
      </c>
      <c r="CH194" s="39">
        <v>0</v>
      </c>
      <c r="CI194" s="78">
        <v>0</v>
      </c>
      <c r="CJ194" s="56"/>
      <c r="CK194" s="1034"/>
      <c r="CL194" s="1029"/>
      <c r="CM194" s="1034"/>
      <c r="CN194" s="1029">
        <v>0</v>
      </c>
      <c r="CO194" s="78">
        <v>25.178429673877201</v>
      </c>
      <c r="CP194" s="43">
        <v>0</v>
      </c>
      <c r="CQ194" s="5"/>
      <c r="CR194" s="78">
        <v>26.002241915669433</v>
      </c>
      <c r="CS194" s="1033">
        <v>0</v>
      </c>
      <c r="CT194" s="5"/>
      <c r="CU194" s="78">
        <v>20.942872772732155</v>
      </c>
      <c r="CV194" s="43">
        <v>0</v>
      </c>
      <c r="CW194" s="5"/>
      <c r="CX194" s="78">
        <v>0</v>
      </c>
      <c r="CY194" s="43">
        <v>0</v>
      </c>
      <c r="CZ194" s="5"/>
      <c r="DA194" s="78">
        <v>0</v>
      </c>
      <c r="DB194" s="43">
        <v>0</v>
      </c>
      <c r="DC194" s="5"/>
      <c r="DD194" s="78">
        <v>0.14160744479917076</v>
      </c>
      <c r="DE194" s="43">
        <v>0</v>
      </c>
      <c r="DF194" s="5"/>
      <c r="DG194" s="78">
        <v>0</v>
      </c>
      <c r="DH194" s="43"/>
      <c r="DI194" s="5"/>
      <c r="DJ194" s="43">
        <v>72.26515180707797</v>
      </c>
      <c r="DK194" s="43">
        <f t="shared" si="22"/>
        <v>0</v>
      </c>
      <c r="DL194" s="59">
        <f t="shared" si="23"/>
        <v>-72.26515180707797</v>
      </c>
    </row>
    <row r="195" spans="1:116" ht="24.9" customHeight="1" x14ac:dyDescent="0.3">
      <c r="A195" s="328">
        <v>150000924</v>
      </c>
      <c r="B195" s="45" t="s">
        <v>174</v>
      </c>
      <c r="C195" s="1035">
        <v>2</v>
      </c>
      <c r="D195" s="1036" t="s">
        <v>454</v>
      </c>
      <c r="E195" s="1028">
        <f>'побудинковий звіт'!E193</f>
        <v>2821.2000000000003</v>
      </c>
      <c r="F195" s="1029">
        <f>'побудинковий звіт'!AS193</f>
        <v>5705.6292066297428</v>
      </c>
      <c r="G195" s="1029">
        <f t="shared" si="16"/>
        <v>1816</v>
      </c>
      <c r="H195" s="1029">
        <f t="shared" si="17"/>
        <v>-3889.6292066297428</v>
      </c>
      <c r="I195" s="43">
        <f>'[1]поточний ремонт'!I195+'[2]поточний ремонт'!I195-'[3]поточний ремонт'!I195</f>
        <v>0</v>
      </c>
      <c r="J195" s="43">
        <f>'[1]поточний ремонт'!J195+'[2]поточний ремонт'!J195-'[3]поточний ремонт'!J195</f>
        <v>0</v>
      </c>
      <c r="K195" s="1037"/>
      <c r="L195" s="43">
        <f>'[1]поточний ремонт'!L195+'[2]поточний ремонт'!L195-'[3]поточний ремонт'!L195</f>
        <v>0</v>
      </c>
      <c r="M195" s="43">
        <f>'[1]поточний ремонт'!M195+'[2]поточний ремонт'!M195-'[3]поточний ремонт'!M195</f>
        <v>0</v>
      </c>
      <c r="N195" s="37"/>
      <c r="O195" s="43">
        <f>'[1]поточний ремонт'!O195+'[2]поточний ремонт'!O195-'[3]поточний ремонт'!O195</f>
        <v>0</v>
      </c>
      <c r="P195" s="43">
        <f>'[1]поточний ремонт'!P195+'[2]поточний ремонт'!P195-'[3]поточний ремонт'!P195</f>
        <v>0</v>
      </c>
      <c r="Q195" s="1038"/>
      <c r="R195" s="43">
        <f>'[1]поточний ремонт'!R195+'[2]поточний ремонт'!R195-'[3]поточний ремонт'!R195</f>
        <v>0</v>
      </c>
      <c r="S195" s="43">
        <f>'[1]поточний ремонт'!S195+'[2]поточний ремонт'!S195-'[3]поточний ремонт'!S195</f>
        <v>0</v>
      </c>
      <c r="T195" s="1039"/>
      <c r="U195" s="43">
        <f>'[1]поточний ремонт'!U195+'[2]поточний ремонт'!U195-'[3]поточний ремонт'!U195</f>
        <v>0</v>
      </c>
      <c r="V195" s="43">
        <f>'[1]поточний ремонт'!V195+'[2]поточний ремонт'!V195-'[3]поточний ремонт'!V195</f>
        <v>0</v>
      </c>
      <c r="W195" s="43">
        <f>'[1]поточний ремонт'!W195+'[2]поточний ремонт'!W195-'[3]поточний ремонт'!W195</f>
        <v>0</v>
      </c>
      <c r="X195" s="43">
        <f>'[1]поточний ремонт'!X195+'[2]поточний ремонт'!X195-'[3]поточний ремонт'!X195</f>
        <v>0</v>
      </c>
      <c r="Y195" s="43">
        <f>'[1]поточний ремонт'!Y195+'[2]поточний ремонт'!Y195-'[3]поточний ремонт'!Y195</f>
        <v>0</v>
      </c>
      <c r="Z195" s="43">
        <f>'[1]поточний ремонт'!Z195+'[2]поточний ремонт'!Z195-'[3]поточний ремонт'!Z195</f>
        <v>0</v>
      </c>
      <c r="AA195" s="43">
        <f>'[1]поточний ремонт'!AA195+'[2]поточний ремонт'!AA195-'[3]поточний ремонт'!AA195</f>
        <v>0</v>
      </c>
      <c r="AB195" s="43">
        <f>'[1]поточний ремонт'!AB195+'[2]поточний ремонт'!AB195-'[3]поточний ремонт'!AB195</f>
        <v>0</v>
      </c>
      <c r="AC195" s="43">
        <f>'[1]поточний ремонт'!AC195+'[2]поточний ремонт'!AC195-'[3]поточний ремонт'!AC195</f>
        <v>0</v>
      </c>
      <c r="AD195" s="43">
        <f>'[1]поточний ремонт'!AD195+'[2]поточний ремонт'!AD195-'[3]поточний ремонт'!AD195</f>
        <v>1816</v>
      </c>
      <c r="AE195" s="43">
        <f>'[1]поточний ремонт'!AE195+'[2]поточний ремонт'!AE195-'[3]поточний ремонт'!AE195</f>
        <v>412.42731479678213</v>
      </c>
      <c r="AF195" s="43">
        <f>'[1]поточний ремонт'!AF195+'[2]поточний ремонт'!AF195-'[3]поточний ремонт'!AF195</f>
        <v>0</v>
      </c>
      <c r="AG195" s="5"/>
      <c r="AH195" s="43">
        <f>'[1]поточний ремонт'!AH195+'[2]поточний ремонт'!AH195-'[3]поточний ремонт'!AH195</f>
        <v>845.64910278683158</v>
      </c>
      <c r="AI195" s="43">
        <f>'[1]поточний ремонт'!AI195+'[2]поточний ремонт'!AI195-'[3]поточний ремонт'!AI195</f>
        <v>0</v>
      </c>
      <c r="AJ195" s="5"/>
      <c r="AK195" s="43">
        <f>'[1]поточний ремонт'!AK195+'[2]поточний ремонт'!AK195-'[3]поточний ремонт'!AK195</f>
        <v>300.39950777795787</v>
      </c>
      <c r="AL195" s="43">
        <f>'[1]поточний ремонт'!AL195+'[2]поточний ремонт'!AL195-'[3]поточний ремонт'!AL195</f>
        <v>0</v>
      </c>
      <c r="AM195" s="5"/>
      <c r="AN195" s="43">
        <f>'[1]поточний ремонт'!AN195+'[2]поточний ремонт'!AN195-'[3]поточний ремонт'!AN195</f>
        <v>0</v>
      </c>
      <c r="AO195" s="43">
        <f>'[1]поточний ремонт'!AO195+'[2]поточний ремонт'!AO195-'[3]поточний ремонт'!AO195</f>
        <v>0</v>
      </c>
      <c r="AP195" s="5"/>
      <c r="AQ195" s="43">
        <f>'[1]поточний ремонт'!AQ195+'[2]поточний ремонт'!AQ195-'[3]поточний ремонт'!AQ195</f>
        <v>0</v>
      </c>
      <c r="AR195" s="43">
        <f>'[1]поточний ремонт'!AR195+'[2]поточний ремонт'!AR195-'[3]поточний ремонт'!AR195</f>
        <v>0</v>
      </c>
      <c r="AS195" s="5"/>
      <c r="AT195" s="43">
        <f>'[1]поточний ремонт'!AT195+'[2]поточний ремонт'!AT195-'[3]поточний ремонт'!AT195</f>
        <v>118.62780668282814</v>
      </c>
      <c r="AU195" s="43">
        <f>'[1]поточний ремонт'!AU195+'[2]поточний ремонт'!AU195-'[3]поточний ремонт'!AU195</f>
        <v>0</v>
      </c>
      <c r="AV195" s="5"/>
      <c r="AW195" s="43">
        <f>'[1]поточний ремонт'!AW195+'[2]поточний ремонт'!AW195-'[3]поточний ремонт'!AW195</f>
        <v>0</v>
      </c>
      <c r="AX195" s="43">
        <f>'[1]поточний ремонт'!AX195+'[2]поточний ремонт'!AX195-'[3]поточний ремонт'!AX195</f>
        <v>0</v>
      </c>
      <c r="AY195" s="5"/>
      <c r="AZ195" s="43">
        <f t="shared" si="18"/>
        <v>1677.1037320443997</v>
      </c>
      <c r="BA195" s="43">
        <f t="shared" si="19"/>
        <v>0</v>
      </c>
      <c r="BB195" s="59">
        <f t="shared" si="20"/>
        <v>-1677.1037320443997</v>
      </c>
      <c r="BD195" s="2">
        <v>2</v>
      </c>
      <c r="BF195" s="30">
        <v>0.692743799846673</v>
      </c>
      <c r="BG195" s="328">
        <v>150000924</v>
      </c>
      <c r="BI195" s="107">
        <v>0</v>
      </c>
      <c r="BJ195" s="107">
        <f t="shared" si="21"/>
        <v>0</v>
      </c>
      <c r="BK195" s="107">
        <v>0</v>
      </c>
      <c r="BL195" s="39"/>
      <c r="BM195" s="3"/>
      <c r="BN195" s="3">
        <v>0</v>
      </c>
      <c r="BP195" s="3"/>
      <c r="BQ195" s="3"/>
      <c r="BS195" s="43"/>
      <c r="BT195" s="43">
        <v>0</v>
      </c>
      <c r="BU195" s="1037"/>
      <c r="BV195" s="42"/>
      <c r="BW195" s="43"/>
      <c r="BX195" s="37"/>
      <c r="BY195" s="78"/>
      <c r="BZ195" s="43">
        <v>0</v>
      </c>
      <c r="CA195" s="1038"/>
      <c r="CB195" s="42"/>
      <c r="CC195" s="42">
        <v>0</v>
      </c>
      <c r="CD195" s="1039"/>
      <c r="CE195" s="78">
        <v>0</v>
      </c>
      <c r="CF195" s="56"/>
      <c r="CG195" s="42">
        <v>0</v>
      </c>
      <c r="CH195" s="39">
        <v>0</v>
      </c>
      <c r="CI195" s="78">
        <v>0</v>
      </c>
      <c r="CJ195" s="56"/>
      <c r="CK195" s="1034"/>
      <c r="CL195" s="1029"/>
      <c r="CM195" s="1034"/>
      <c r="CN195" s="1029">
        <v>0</v>
      </c>
      <c r="CO195" s="78">
        <v>34.368942899731842</v>
      </c>
      <c r="CP195" s="43">
        <v>0</v>
      </c>
      <c r="CQ195" s="5"/>
      <c r="CR195" s="78">
        <v>70.470758565569284</v>
      </c>
      <c r="CS195" s="1033">
        <v>0</v>
      </c>
      <c r="CT195" s="5"/>
      <c r="CU195" s="78">
        <v>25.033292314829822</v>
      </c>
      <c r="CV195" s="43">
        <v>0</v>
      </c>
      <c r="CW195" s="5"/>
      <c r="CX195" s="78">
        <v>0</v>
      </c>
      <c r="CY195" s="43">
        <v>0</v>
      </c>
      <c r="CZ195" s="5"/>
      <c r="DA195" s="78">
        <v>0</v>
      </c>
      <c r="DB195" s="43">
        <v>0</v>
      </c>
      <c r="DC195" s="5"/>
      <c r="DD195" s="78">
        <v>9.885650556902343</v>
      </c>
      <c r="DE195" s="43">
        <v>0</v>
      </c>
      <c r="DF195" s="5"/>
      <c r="DG195" s="78">
        <v>0</v>
      </c>
      <c r="DH195" s="43"/>
      <c r="DI195" s="5"/>
      <c r="DJ195" s="43">
        <v>139.75864433703327</v>
      </c>
      <c r="DK195" s="43">
        <f t="shared" si="22"/>
        <v>0</v>
      </c>
      <c r="DL195" s="59">
        <f t="shared" si="23"/>
        <v>-139.75864433703327</v>
      </c>
    </row>
    <row r="196" spans="1:116" ht="24.9" customHeight="1" x14ac:dyDescent="0.3">
      <c r="A196" s="328">
        <v>150000933</v>
      </c>
      <c r="B196" s="45" t="s">
        <v>267</v>
      </c>
      <c r="C196" s="1035">
        <v>5</v>
      </c>
      <c r="D196" s="1036" t="s">
        <v>454</v>
      </c>
      <c r="E196" s="1028">
        <f>'побудинковий звіт'!E194</f>
        <v>6514.68</v>
      </c>
      <c r="F196" s="1029">
        <f>'побудинковий звіт'!AS194</f>
        <v>52578.414744901522</v>
      </c>
      <c r="G196" s="1029">
        <f t="shared" si="16"/>
        <v>16261</v>
      </c>
      <c r="H196" s="1029">
        <f t="shared" si="17"/>
        <v>-36317.414744901522</v>
      </c>
      <c r="I196" s="43">
        <f>'[1]поточний ремонт'!I196+'[2]поточний ремонт'!I196-'[3]поточний ремонт'!I196</f>
        <v>0</v>
      </c>
      <c r="J196" s="43">
        <f>'[1]поточний ремонт'!J196+'[2]поточний ремонт'!J196-'[3]поточний ремонт'!J196</f>
        <v>0</v>
      </c>
      <c r="K196" s="1037"/>
      <c r="L196" s="43">
        <f>'[1]поточний ремонт'!L196+'[2]поточний ремонт'!L196-'[3]поточний ремонт'!L196</f>
        <v>0</v>
      </c>
      <c r="M196" s="43">
        <f>'[1]поточний ремонт'!M196+'[2]поточний ремонт'!M196-'[3]поточний ремонт'!M196</f>
        <v>0</v>
      </c>
      <c r="N196" s="37"/>
      <c r="O196" s="43">
        <f>'[1]поточний ремонт'!O196+'[2]поточний ремонт'!O196-'[3]поточний ремонт'!O196</f>
        <v>0</v>
      </c>
      <c r="P196" s="43">
        <f>'[1]поточний ремонт'!P196+'[2]поточний ремонт'!P196-'[3]поточний ремонт'!P196</f>
        <v>0</v>
      </c>
      <c r="Q196" s="1038"/>
      <c r="R196" s="43">
        <f>'[1]поточний ремонт'!R196+'[2]поточний ремонт'!R196-'[3]поточний ремонт'!R196</f>
        <v>0</v>
      </c>
      <c r="S196" s="43">
        <f>'[1]поточний ремонт'!S196+'[2]поточний ремонт'!S196-'[3]поточний ремонт'!S196</f>
        <v>0</v>
      </c>
      <c r="T196" s="1039"/>
      <c r="U196" s="43">
        <f>'[1]поточний ремонт'!U196+'[2]поточний ремонт'!U196-'[3]поточний ремонт'!U196</f>
        <v>0</v>
      </c>
      <c r="V196" s="43">
        <f>'[1]поточний ремонт'!V196+'[2]поточний ремонт'!V196-'[3]поточний ремонт'!V196</f>
        <v>0</v>
      </c>
      <c r="W196" s="43">
        <f>'[1]поточний ремонт'!W196+'[2]поточний ремонт'!W196-'[3]поточний ремонт'!W196</f>
        <v>0</v>
      </c>
      <c r="X196" s="43">
        <f>'[1]поточний ремонт'!X196+'[2]поточний ремонт'!X196-'[3]поточний ремонт'!X196</f>
        <v>0</v>
      </c>
      <c r="Y196" s="43">
        <f>'[1]поточний ремонт'!Y196+'[2]поточний ремонт'!Y196-'[3]поточний ремонт'!Y196</f>
        <v>1204</v>
      </c>
      <c r="Z196" s="43">
        <f>'[1]поточний ремонт'!Z196+'[2]поточний ремонт'!Z196-'[3]поточний ремонт'!Z196</f>
        <v>0</v>
      </c>
      <c r="AA196" s="43">
        <f>'[1]поточний ремонт'!AA196+'[2]поточний ремонт'!AA196-'[3]поточний ремонт'!AA196</f>
        <v>0</v>
      </c>
      <c r="AB196" s="43">
        <f>'[1]поточний ремонт'!AB196+'[2]поточний ремонт'!AB196-'[3]поточний ремонт'!AB196</f>
        <v>14067</v>
      </c>
      <c r="AC196" s="43">
        <f>'[1]поточний ремонт'!AC196+'[2]поточний ремонт'!AC196-'[3]поточний ремонт'!AC196</f>
        <v>0</v>
      </c>
      <c r="AD196" s="43">
        <f>'[1]поточний ремонт'!AD196+'[2]поточний ремонт'!AD196-'[3]поточний ремонт'!AD196</f>
        <v>990</v>
      </c>
      <c r="AE196" s="43">
        <f>'[1]поточний ремонт'!AE196+'[2]поточний ремонт'!AE196-'[3]поточний ремонт'!AE196</f>
        <v>2342.030850270276</v>
      </c>
      <c r="AF196" s="43">
        <f>'[1]поточний ремонт'!AF196+'[2]поточний ремонт'!AF196-'[3]поточний ремонт'!AF196</f>
        <v>0</v>
      </c>
      <c r="AG196" s="5"/>
      <c r="AH196" s="43">
        <f>'[1]поточний ремонт'!AH196+'[2]поточний ремонт'!AH196-'[3]поточний ремонт'!AH196</f>
        <v>3722.4757732297958</v>
      </c>
      <c r="AI196" s="43">
        <f>'[1]поточний ремонт'!AI196+'[2]поточний ремонт'!AI196-'[3]поточний ремонт'!AI196</f>
        <v>279</v>
      </c>
      <c r="AJ196" s="5"/>
      <c r="AK196" s="43">
        <f>'[1]поточний ремонт'!AK196+'[2]поточний ремонт'!AK196-'[3]поточний ремонт'!AK196</f>
        <v>3452.7002900652524</v>
      </c>
      <c r="AL196" s="43">
        <f>'[1]поточний ремонт'!AL196+'[2]поточний ремонт'!AL196-'[3]поточний ремонт'!AL196</f>
        <v>0</v>
      </c>
      <c r="AM196" s="5"/>
      <c r="AN196" s="43">
        <f>'[1]поточний ремонт'!AN196+'[2]поточний ремонт'!AN196-'[3]поточний ремонт'!AN196</f>
        <v>1627.8648436196604</v>
      </c>
      <c r="AO196" s="43">
        <f>'[1]поточний ремонт'!AO196+'[2]поточний ремонт'!AO196-'[3]поточний ремонт'!AO196</f>
        <v>0</v>
      </c>
      <c r="AP196" s="5"/>
      <c r="AQ196" s="43">
        <f>'[1]поточний ремонт'!AQ196+'[2]поточний ремонт'!AQ196-'[3]поточний ремонт'!AQ196</f>
        <v>899.3123071688749</v>
      </c>
      <c r="AR196" s="43">
        <f>'[1]поточний ремонт'!AR196+'[2]поточний ремонт'!AR196-'[3]поточний ремонт'!AR196</f>
        <v>0</v>
      </c>
      <c r="AS196" s="5"/>
      <c r="AT196" s="43">
        <f>'[1]поточний ремонт'!AT196+'[2]поточний ремонт'!AT196-'[3]поточний ремонт'!AT196</f>
        <v>1514.2830787293956</v>
      </c>
      <c r="AU196" s="43">
        <f>'[1]поточний ремонт'!AU196+'[2]поточний ремонт'!AU196-'[3]поточний ремонт'!AU196</f>
        <v>1355</v>
      </c>
      <c r="AV196" s="5"/>
      <c r="AW196" s="43">
        <f>'[1]поточний ремонт'!AW196+'[2]поточний ремонт'!AW196-'[3]поточний ремонт'!AW196</f>
        <v>0</v>
      </c>
      <c r="AX196" s="43">
        <f>'[1]поточний ремонт'!AX196+'[2]поточний ремонт'!AX196-'[3]поточний ремонт'!AX196</f>
        <v>0</v>
      </c>
      <c r="AY196" s="5"/>
      <c r="AZ196" s="43">
        <f t="shared" si="18"/>
        <v>13558.667143083256</v>
      </c>
      <c r="BA196" s="43">
        <f t="shared" si="19"/>
        <v>1634</v>
      </c>
      <c r="BB196" s="59">
        <f t="shared" si="20"/>
        <v>-11924.667143083256</v>
      </c>
      <c r="BD196" s="2">
        <v>2</v>
      </c>
      <c r="BF196" s="30">
        <v>6.8879590507335333</v>
      </c>
      <c r="BG196" s="328">
        <v>150000933</v>
      </c>
      <c r="BI196" s="107">
        <v>0</v>
      </c>
      <c r="BJ196" s="107">
        <f t="shared" si="21"/>
        <v>0</v>
      </c>
      <c r="BK196" s="107">
        <v>0</v>
      </c>
      <c r="BL196" s="39"/>
      <c r="BM196" s="3"/>
      <c r="BN196" s="3">
        <v>0</v>
      </c>
      <c r="BP196" s="3"/>
      <c r="BQ196" s="3"/>
      <c r="BS196" s="43"/>
      <c r="BT196" s="43">
        <v>0</v>
      </c>
      <c r="BU196" s="1037"/>
      <c r="BV196" s="42"/>
      <c r="BW196" s="43"/>
      <c r="BX196" s="37"/>
      <c r="BY196" s="78"/>
      <c r="BZ196" s="43">
        <v>0</v>
      </c>
      <c r="CA196" s="1038"/>
      <c r="CB196" s="42"/>
      <c r="CC196" s="42">
        <v>0</v>
      </c>
      <c r="CD196" s="1039"/>
      <c r="CE196" s="78">
        <v>0</v>
      </c>
      <c r="CF196" s="56"/>
      <c r="CG196" s="42">
        <v>0</v>
      </c>
      <c r="CH196" s="39">
        <v>0</v>
      </c>
      <c r="CI196" s="78">
        <v>0</v>
      </c>
      <c r="CJ196" s="56"/>
      <c r="CK196" s="1034"/>
      <c r="CL196" s="1029"/>
      <c r="CM196" s="1034"/>
      <c r="CN196" s="1029">
        <v>0</v>
      </c>
      <c r="CO196" s="78">
        <v>195.16923752252302</v>
      </c>
      <c r="CP196" s="43">
        <v>0</v>
      </c>
      <c r="CQ196" s="5"/>
      <c r="CR196" s="78">
        <v>310.2063144358163</v>
      </c>
      <c r="CS196" s="1033">
        <v>0</v>
      </c>
      <c r="CT196" s="5"/>
      <c r="CU196" s="78">
        <v>287.72502417210433</v>
      </c>
      <c r="CV196" s="43">
        <v>0</v>
      </c>
      <c r="CW196" s="5"/>
      <c r="CX196" s="78">
        <v>135.65540363497172</v>
      </c>
      <c r="CY196" s="43">
        <v>0</v>
      </c>
      <c r="CZ196" s="5"/>
      <c r="DA196" s="78">
        <v>74.942692264072917</v>
      </c>
      <c r="DB196" s="43">
        <v>0</v>
      </c>
      <c r="DC196" s="5"/>
      <c r="DD196" s="78">
        <v>126.19025656078298</v>
      </c>
      <c r="DE196" s="43">
        <v>0</v>
      </c>
      <c r="DF196" s="5"/>
      <c r="DG196" s="78">
        <v>0</v>
      </c>
      <c r="DH196" s="43"/>
      <c r="DI196" s="5"/>
      <c r="DJ196" s="43">
        <v>1129.8889285902712</v>
      </c>
      <c r="DK196" s="43">
        <f t="shared" si="22"/>
        <v>0</v>
      </c>
      <c r="DL196" s="59">
        <f t="shared" si="23"/>
        <v>-1129.8889285902712</v>
      </c>
    </row>
    <row r="197" spans="1:116" ht="24.9" customHeight="1" x14ac:dyDescent="0.3">
      <c r="A197" s="328">
        <v>150000934</v>
      </c>
      <c r="B197" s="45" t="s">
        <v>215</v>
      </c>
      <c r="C197" s="1035">
        <v>4</v>
      </c>
      <c r="D197" s="1036" t="s">
        <v>454</v>
      </c>
      <c r="E197" s="1028">
        <f>'побудинковий звіт'!E195</f>
        <v>6304.12</v>
      </c>
      <c r="F197" s="1029">
        <f>'побудинковий звіт'!AS195</f>
        <v>17929.542342492292</v>
      </c>
      <c r="G197" s="1029">
        <f t="shared" si="16"/>
        <v>1485</v>
      </c>
      <c r="H197" s="1029">
        <f t="shared" si="17"/>
        <v>-16444.542342492292</v>
      </c>
      <c r="I197" s="43">
        <f>'[1]поточний ремонт'!I197+'[2]поточний ремонт'!I197-'[3]поточний ремонт'!I197</f>
        <v>0</v>
      </c>
      <c r="J197" s="43">
        <f>'[1]поточний ремонт'!J197+'[2]поточний ремонт'!J197-'[3]поточний ремонт'!J197</f>
        <v>0</v>
      </c>
      <c r="K197" s="1037"/>
      <c r="L197" s="43">
        <f>'[1]поточний ремонт'!L197+'[2]поточний ремонт'!L197-'[3]поточний ремонт'!L197</f>
        <v>0</v>
      </c>
      <c r="M197" s="43">
        <f>'[1]поточний ремонт'!M197+'[2]поточний ремонт'!M197-'[3]поточний ремонт'!M197</f>
        <v>0</v>
      </c>
      <c r="N197" s="37"/>
      <c r="O197" s="43">
        <f>'[1]поточний ремонт'!O197+'[2]поточний ремонт'!O197-'[3]поточний ремонт'!O197</f>
        <v>0</v>
      </c>
      <c r="P197" s="43">
        <f>'[1]поточний ремонт'!P197+'[2]поточний ремонт'!P197-'[3]поточний ремонт'!P197</f>
        <v>0</v>
      </c>
      <c r="Q197" s="1038"/>
      <c r="R197" s="43">
        <f>'[1]поточний ремонт'!R197+'[2]поточний ремонт'!R197-'[3]поточний ремонт'!R197</f>
        <v>0</v>
      </c>
      <c r="S197" s="43">
        <f>'[1]поточний ремонт'!S197+'[2]поточний ремонт'!S197-'[3]поточний ремонт'!S197</f>
        <v>0</v>
      </c>
      <c r="T197" s="1039"/>
      <c r="U197" s="43">
        <f>'[1]поточний ремонт'!U197+'[2]поточний ремонт'!U197-'[3]поточний ремонт'!U197</f>
        <v>0</v>
      </c>
      <c r="V197" s="43">
        <f>'[1]поточний ремонт'!V197+'[2]поточний ремонт'!V197-'[3]поточний ремонт'!V197</f>
        <v>0</v>
      </c>
      <c r="W197" s="43">
        <f>'[1]поточний ремонт'!W197+'[2]поточний ремонт'!W197-'[3]поточний ремонт'!W197</f>
        <v>0</v>
      </c>
      <c r="X197" s="43">
        <f>'[1]поточний ремонт'!X197+'[2]поточний ремонт'!X197-'[3]поточний ремонт'!X197</f>
        <v>0</v>
      </c>
      <c r="Y197" s="43">
        <f>'[1]поточний ремонт'!Y197+'[2]поточний ремонт'!Y197-'[3]поточний ремонт'!Y197</f>
        <v>0</v>
      </c>
      <c r="Z197" s="43">
        <f>'[1]поточний ремонт'!Z197+'[2]поточний ремонт'!Z197-'[3]поточний ремонт'!Z197</f>
        <v>0</v>
      </c>
      <c r="AA197" s="43">
        <f>'[1]поточний ремонт'!AA197+'[2]поточний ремонт'!AA197-'[3]поточний ремонт'!AA197</f>
        <v>0</v>
      </c>
      <c r="AB197" s="43">
        <f>'[1]поточний ремонт'!AB197+'[2]поточний ремонт'!AB197-'[3]поточний ремонт'!AB197</f>
        <v>0</v>
      </c>
      <c r="AC197" s="43">
        <f>'[1]поточний ремонт'!AC197+'[2]поточний ремонт'!AC197-'[3]поточний ремонт'!AC197</f>
        <v>0</v>
      </c>
      <c r="AD197" s="43">
        <f>'[1]поточний ремонт'!AD197+'[2]поточний ремонт'!AD197-'[3]поточний ремонт'!AD197</f>
        <v>1485</v>
      </c>
      <c r="AE197" s="43">
        <f>'[1]поточний ремонт'!AE197+'[2]поточний ремонт'!AE197-'[3]поточний ремонт'!AE197</f>
        <v>1127.6788241314471</v>
      </c>
      <c r="AF197" s="43">
        <f>'[1]поточний ремонт'!AF197+'[2]поточний ремонт'!AF197-'[3]поточний ремонт'!AF197</f>
        <v>0</v>
      </c>
      <c r="AG197" s="9"/>
      <c r="AH197" s="43">
        <f>'[1]поточний ремонт'!AH197+'[2]поточний ремонт'!AH197-'[3]поточний ремонт'!AH197</f>
        <v>1208.3695267083779</v>
      </c>
      <c r="AI197" s="43">
        <f>'[1]поточний ремонт'!AI197+'[2]поточний ремонт'!AI197-'[3]поточний ремонт'!AI197</f>
        <v>0</v>
      </c>
      <c r="AJ197" s="5"/>
      <c r="AK197" s="43">
        <f>'[1]поточний ремонт'!AK197+'[2]поточний ремонт'!AK197-'[3]поточний ремонт'!AK197</f>
        <v>1566.8766719750254</v>
      </c>
      <c r="AL197" s="43">
        <f>'[1]поточний ремонт'!AL197+'[2]поточний ремонт'!AL197-'[3]поточний ремонт'!AL197</f>
        <v>0</v>
      </c>
      <c r="AM197" s="5"/>
      <c r="AN197" s="43">
        <f>'[1]поточний ремонт'!AN197+'[2]поточний ремонт'!AN197-'[3]поточний ремонт'!AN197</f>
        <v>0</v>
      </c>
      <c r="AO197" s="43">
        <f>'[1]поточний ремонт'!AO197+'[2]поточний ремонт'!AO197-'[3]поточний ремонт'!AO197</f>
        <v>0</v>
      </c>
      <c r="AP197" s="5"/>
      <c r="AQ197" s="43">
        <f>'[1]поточний ремонт'!AQ197+'[2]поточний ремонт'!AQ197-'[3]поточний ремонт'!AQ197</f>
        <v>0</v>
      </c>
      <c r="AR197" s="43">
        <f>'[1]поточний ремонт'!AR197+'[2]поточний ремонт'!AR197-'[3]поточний ремонт'!AR197</f>
        <v>0</v>
      </c>
      <c r="AS197" s="5"/>
      <c r="AT197" s="43">
        <f>'[1]поточний ремонт'!AT197+'[2]поточний ремонт'!AT197-'[3]поточний ремонт'!AT197</f>
        <v>593.6268608144552</v>
      </c>
      <c r="AU197" s="43">
        <f>'[1]поточний ремонт'!AU197+'[2]поточний ремонт'!AU197-'[3]поточний ремонт'!AU197</f>
        <v>0</v>
      </c>
      <c r="AV197" s="5"/>
      <c r="AW197" s="43">
        <f>'[1]поточний ремонт'!AW197+'[2]поточний ремонт'!AW197-'[3]поточний ремонт'!AW197</f>
        <v>0</v>
      </c>
      <c r="AX197" s="43">
        <f>'[1]поточний ремонт'!AX197+'[2]поточний ремонт'!AX197-'[3]поточний ремонт'!AX197</f>
        <v>0</v>
      </c>
      <c r="AY197" s="5"/>
      <c r="AZ197" s="43">
        <f t="shared" si="18"/>
        <v>4496.5518836293058</v>
      </c>
      <c r="BA197" s="43">
        <f t="shared" si="19"/>
        <v>0</v>
      </c>
      <c r="BB197" s="59">
        <f t="shared" si="20"/>
        <v>-4496.5518836293058</v>
      </c>
      <c r="BD197" s="2">
        <v>2</v>
      </c>
      <c r="BF197" s="30">
        <v>2.8936184565511982</v>
      </c>
      <c r="BG197" s="328">
        <v>150000934</v>
      </c>
      <c r="BI197" s="107">
        <v>0</v>
      </c>
      <c r="BJ197" s="107">
        <f t="shared" si="21"/>
        <v>0</v>
      </c>
      <c r="BK197" s="107">
        <v>0</v>
      </c>
      <c r="BL197" s="39"/>
      <c r="BM197" s="3"/>
      <c r="BN197" s="3">
        <v>0</v>
      </c>
      <c r="BP197" s="3"/>
      <c r="BQ197" s="3"/>
      <c r="BS197" s="43"/>
      <c r="BT197" s="43">
        <v>0</v>
      </c>
      <c r="BU197" s="1037"/>
      <c r="BV197" s="42"/>
      <c r="BW197" s="43"/>
      <c r="BX197" s="37"/>
      <c r="BY197" s="78"/>
      <c r="BZ197" s="43">
        <v>0</v>
      </c>
      <c r="CA197" s="1038"/>
      <c r="CB197" s="42"/>
      <c r="CC197" s="42">
        <v>0</v>
      </c>
      <c r="CD197" s="1039"/>
      <c r="CE197" s="78">
        <v>0</v>
      </c>
      <c r="CF197" s="56"/>
      <c r="CG197" s="42">
        <v>0</v>
      </c>
      <c r="CH197" s="39">
        <v>0</v>
      </c>
      <c r="CI197" s="78">
        <v>0</v>
      </c>
      <c r="CJ197" s="56"/>
      <c r="CK197" s="1034"/>
      <c r="CL197" s="1029"/>
      <c r="CM197" s="1034"/>
      <c r="CN197" s="1029">
        <v>0</v>
      </c>
      <c r="CO197" s="78">
        <v>93.973235344287261</v>
      </c>
      <c r="CP197" s="43">
        <v>0</v>
      </c>
      <c r="CQ197" s="9"/>
      <c r="CR197" s="78">
        <v>100.6974605590315</v>
      </c>
      <c r="CS197" s="1033">
        <v>0</v>
      </c>
      <c r="CT197" s="5"/>
      <c r="CU197" s="78">
        <v>130.57305599791877</v>
      </c>
      <c r="CV197" s="43">
        <v>0</v>
      </c>
      <c r="CW197" s="5"/>
      <c r="CX197" s="78">
        <v>0</v>
      </c>
      <c r="CY197" s="43">
        <v>0</v>
      </c>
      <c r="CZ197" s="5"/>
      <c r="DA197" s="78">
        <v>0</v>
      </c>
      <c r="DB197" s="43">
        <v>0</v>
      </c>
      <c r="DC197" s="5"/>
      <c r="DD197" s="78">
        <v>49.468905067871262</v>
      </c>
      <c r="DE197" s="43">
        <v>0</v>
      </c>
      <c r="DF197" s="5"/>
      <c r="DG197" s="78">
        <v>0</v>
      </c>
      <c r="DH197" s="43"/>
      <c r="DI197" s="5"/>
      <c r="DJ197" s="43">
        <v>374.71265696910876</v>
      </c>
      <c r="DK197" s="43">
        <f t="shared" si="22"/>
        <v>0</v>
      </c>
      <c r="DL197" s="59">
        <f t="shared" si="23"/>
        <v>-374.71265696910876</v>
      </c>
    </row>
    <row r="198" spans="1:116" ht="24.9" customHeight="1" x14ac:dyDescent="0.3">
      <c r="A198" s="328">
        <v>150000935</v>
      </c>
      <c r="B198" s="45" t="s">
        <v>175</v>
      </c>
      <c r="C198" s="1035">
        <v>2</v>
      </c>
      <c r="D198" s="1036" t="s">
        <v>454</v>
      </c>
      <c r="E198" s="1028">
        <f>'побудинковий звіт'!E196</f>
        <v>4191.3999999999996</v>
      </c>
      <c r="F198" s="1029">
        <f>'побудинковий звіт'!AS196</f>
        <v>4506.3953391134428</v>
      </c>
      <c r="G198" s="1029">
        <f t="shared" si="16"/>
        <v>0</v>
      </c>
      <c r="H198" s="1029">
        <f t="shared" si="17"/>
        <v>-4506.3953391134428</v>
      </c>
      <c r="I198" s="43">
        <f>'[1]поточний ремонт'!I198+'[2]поточний ремонт'!I198-'[3]поточний ремонт'!I198</f>
        <v>0</v>
      </c>
      <c r="J198" s="43">
        <f>'[1]поточний ремонт'!J198+'[2]поточний ремонт'!J198-'[3]поточний ремонт'!J198</f>
        <v>0</v>
      </c>
      <c r="K198" s="1037"/>
      <c r="L198" s="43">
        <f>'[1]поточний ремонт'!L198+'[2]поточний ремонт'!L198-'[3]поточний ремонт'!L198</f>
        <v>0</v>
      </c>
      <c r="M198" s="43">
        <f>'[1]поточний ремонт'!M198+'[2]поточний ремонт'!M198-'[3]поточний ремонт'!M198</f>
        <v>0</v>
      </c>
      <c r="N198" s="37"/>
      <c r="O198" s="43">
        <f>'[1]поточний ремонт'!O198+'[2]поточний ремонт'!O198-'[3]поточний ремонт'!O198</f>
        <v>0</v>
      </c>
      <c r="P198" s="43">
        <f>'[1]поточний ремонт'!P198+'[2]поточний ремонт'!P198-'[3]поточний ремонт'!P198</f>
        <v>0</v>
      </c>
      <c r="Q198" s="1038"/>
      <c r="R198" s="43">
        <f>'[1]поточний ремонт'!R198+'[2]поточний ремонт'!R198-'[3]поточний ремонт'!R198</f>
        <v>0</v>
      </c>
      <c r="S198" s="43">
        <f>'[1]поточний ремонт'!S198+'[2]поточний ремонт'!S198-'[3]поточний ремонт'!S198</f>
        <v>0</v>
      </c>
      <c r="T198" s="1039"/>
      <c r="U198" s="43">
        <f>'[1]поточний ремонт'!U198+'[2]поточний ремонт'!U198-'[3]поточний ремонт'!U198</f>
        <v>0</v>
      </c>
      <c r="V198" s="43">
        <f>'[1]поточний ремонт'!V198+'[2]поточний ремонт'!V198-'[3]поточний ремонт'!V198</f>
        <v>0</v>
      </c>
      <c r="W198" s="43">
        <f>'[1]поточний ремонт'!W198+'[2]поточний ремонт'!W198-'[3]поточний ремонт'!W198</f>
        <v>0</v>
      </c>
      <c r="X198" s="43">
        <f>'[1]поточний ремонт'!X198+'[2]поточний ремонт'!X198-'[3]поточний ремонт'!X198</f>
        <v>0</v>
      </c>
      <c r="Y198" s="43">
        <f>'[1]поточний ремонт'!Y198+'[2]поточний ремонт'!Y198-'[3]поточний ремонт'!Y198</f>
        <v>0</v>
      </c>
      <c r="Z198" s="43">
        <f>'[1]поточний ремонт'!Z198+'[2]поточний ремонт'!Z198-'[3]поточний ремонт'!Z198</f>
        <v>0</v>
      </c>
      <c r="AA198" s="43">
        <f>'[1]поточний ремонт'!AA198+'[2]поточний ремонт'!AA198-'[3]поточний ремонт'!AA198</f>
        <v>0</v>
      </c>
      <c r="AB198" s="43">
        <f>'[1]поточний ремонт'!AB198+'[2]поточний ремонт'!AB198-'[3]поточний ремонт'!AB198</f>
        <v>0</v>
      </c>
      <c r="AC198" s="43">
        <f>'[1]поточний ремонт'!AC198+'[2]поточний ремонт'!AC198-'[3]поточний ремонт'!AC198</f>
        <v>0</v>
      </c>
      <c r="AD198" s="43">
        <f>'[1]поточний ремонт'!AD198+'[2]поточний ремонт'!AD198-'[3]поточний ремонт'!AD198</f>
        <v>0</v>
      </c>
      <c r="AE198" s="43">
        <f>'[1]поточний ремонт'!AE198+'[2]поточний ремонт'!AE198-'[3]поточний ремонт'!AE198</f>
        <v>366.5099274166389</v>
      </c>
      <c r="AF198" s="43">
        <f>'[1]поточний ремонт'!AF198+'[2]поточний ремонт'!AF198-'[3]поточний ремонт'!AF198</f>
        <v>0</v>
      </c>
      <c r="AG198" s="5"/>
      <c r="AH198" s="43">
        <f>'[1]поточний ремонт'!AH198+'[2]поточний ремонт'!AH198-'[3]поточний ремонт'!AH198</f>
        <v>360.85612185121926</v>
      </c>
      <c r="AI198" s="43">
        <f>'[1]поточний ремонт'!AI198+'[2]поточний ремонт'!AI198-'[3]поточний ремонт'!AI198</f>
        <v>0</v>
      </c>
      <c r="AJ198" s="5"/>
      <c r="AK198" s="43">
        <f>'[1]поточний ремонт'!AK198+'[2]поточний ремонт'!AK198-'[3]поточний ремонт'!AK198</f>
        <v>155.13983125017546</v>
      </c>
      <c r="AL198" s="43">
        <f>'[1]поточний ремонт'!AL198+'[2]поточний ремонт'!AL198-'[3]поточний ремонт'!AL198</f>
        <v>0</v>
      </c>
      <c r="AM198" s="5"/>
      <c r="AN198" s="43">
        <f>'[1]поточний ремонт'!AN198+'[2]поточний ремонт'!AN198-'[3]поточний ремонт'!AN198</f>
        <v>0</v>
      </c>
      <c r="AO198" s="43">
        <f>'[1]поточний ремонт'!AO198+'[2]поточний ремонт'!AO198-'[3]поточний ремонт'!AO198</f>
        <v>0</v>
      </c>
      <c r="AP198" s="5"/>
      <c r="AQ198" s="43">
        <f>'[1]поточний ремонт'!AQ198+'[2]поточний ремонт'!AQ198-'[3]поточний ремонт'!AQ198</f>
        <v>0</v>
      </c>
      <c r="AR198" s="43">
        <f>'[1]поточний ремонт'!AR198+'[2]поточний ремонт'!AR198-'[3]поточний ремонт'!AR198</f>
        <v>0</v>
      </c>
      <c r="AS198" s="5"/>
      <c r="AT198" s="43">
        <f>'[1]поточний ремонт'!AT198+'[2]поточний ремонт'!AT198-'[3]поточний ремонт'!AT198</f>
        <v>59.16845961250992</v>
      </c>
      <c r="AU198" s="43">
        <f>'[1]поточний ремонт'!AU198+'[2]поточний ремонт'!AU198-'[3]поточний ремонт'!AU198</f>
        <v>0</v>
      </c>
      <c r="AV198" s="5"/>
      <c r="AW198" s="43">
        <f>'[1]поточний ремонт'!AW198+'[2]поточний ремонт'!AW198-'[3]поточний ремонт'!AW198</f>
        <v>0</v>
      </c>
      <c r="AX198" s="43">
        <f>'[1]поточний ремонт'!AX198+'[2]поточний ремонт'!AX198-'[3]поточний ремонт'!AX198</f>
        <v>0</v>
      </c>
      <c r="AY198" s="5"/>
      <c r="AZ198" s="43">
        <f t="shared" si="18"/>
        <v>941.67434013054356</v>
      </c>
      <c r="BA198" s="43">
        <f t="shared" si="19"/>
        <v>0</v>
      </c>
      <c r="BB198" s="59">
        <f t="shared" si="20"/>
        <v>-941.67434013054356</v>
      </c>
      <c r="BD198" s="2">
        <v>2</v>
      </c>
      <c r="BF198" s="30">
        <v>0.4180123877632676</v>
      </c>
      <c r="BG198" s="328">
        <v>150000935</v>
      </c>
      <c r="BI198" s="107">
        <v>0</v>
      </c>
      <c r="BJ198" s="107">
        <f t="shared" si="21"/>
        <v>0</v>
      </c>
      <c r="BK198" s="107">
        <v>0</v>
      </c>
      <c r="BL198" s="39"/>
      <c r="BM198" s="3"/>
      <c r="BN198" s="3">
        <v>0</v>
      </c>
      <c r="BP198" s="3"/>
      <c r="BQ198" s="3"/>
      <c r="BS198" s="43"/>
      <c r="BT198" s="43">
        <v>0</v>
      </c>
      <c r="BU198" s="1037"/>
      <c r="BV198" s="42"/>
      <c r="BW198" s="43"/>
      <c r="BX198" s="37"/>
      <c r="BY198" s="78"/>
      <c r="BZ198" s="43">
        <v>0</v>
      </c>
      <c r="CA198" s="1038"/>
      <c r="CB198" s="42"/>
      <c r="CC198" s="42">
        <v>0</v>
      </c>
      <c r="CD198" s="1039"/>
      <c r="CE198" s="78">
        <v>0</v>
      </c>
      <c r="CF198" s="56"/>
      <c r="CG198" s="42">
        <v>0</v>
      </c>
      <c r="CH198" s="39">
        <v>0</v>
      </c>
      <c r="CI198" s="78">
        <v>0</v>
      </c>
      <c r="CJ198" s="1051"/>
      <c r="CK198" s="1034"/>
      <c r="CL198" s="1029"/>
      <c r="CM198" s="1034"/>
      <c r="CN198" s="1029">
        <v>0</v>
      </c>
      <c r="CO198" s="78">
        <v>30.542493951386575</v>
      </c>
      <c r="CP198" s="43">
        <v>0</v>
      </c>
      <c r="CQ198" s="5"/>
      <c r="CR198" s="78">
        <v>30.071343487601602</v>
      </c>
      <c r="CS198" s="1033">
        <v>0</v>
      </c>
      <c r="CT198" s="5"/>
      <c r="CU198" s="78">
        <v>12.928319270847954</v>
      </c>
      <c r="CV198" s="43">
        <v>0</v>
      </c>
      <c r="CW198" s="5"/>
      <c r="CX198" s="78">
        <v>0</v>
      </c>
      <c r="CY198" s="43">
        <v>0</v>
      </c>
      <c r="CZ198" s="5"/>
      <c r="DA198" s="78">
        <v>0</v>
      </c>
      <c r="DB198" s="43">
        <v>0</v>
      </c>
      <c r="DC198" s="5"/>
      <c r="DD198" s="78">
        <v>4.9307049677091603</v>
      </c>
      <c r="DE198" s="43">
        <v>0</v>
      </c>
      <c r="DF198" s="5"/>
      <c r="DG198" s="78">
        <v>0</v>
      </c>
      <c r="DH198" s="43"/>
      <c r="DI198" s="5"/>
      <c r="DJ198" s="43">
        <v>78.472861677545296</v>
      </c>
      <c r="DK198" s="43">
        <f t="shared" si="22"/>
        <v>0</v>
      </c>
      <c r="DL198" s="59">
        <f t="shared" si="23"/>
        <v>-78.472861677545296</v>
      </c>
    </row>
    <row r="199" spans="1:116" ht="24.9" customHeight="1" x14ac:dyDescent="0.3">
      <c r="A199" s="328">
        <v>150000937</v>
      </c>
      <c r="B199" s="45" t="s">
        <v>374</v>
      </c>
      <c r="C199" s="1035">
        <v>9</v>
      </c>
      <c r="D199" s="1036" t="s">
        <v>454</v>
      </c>
      <c r="E199" s="1028">
        <f>'побудинковий звіт'!E197</f>
        <v>234.6</v>
      </c>
      <c r="F199" s="1029">
        <f>'побудинковий звіт'!AS197</f>
        <v>61705.078213439047</v>
      </c>
      <c r="G199" s="1029">
        <f t="shared" si="16"/>
        <v>62938</v>
      </c>
      <c r="H199" s="1029">
        <f t="shared" si="17"/>
        <v>1232.9217865609535</v>
      </c>
      <c r="I199" s="43">
        <f>'[1]поточний ремонт'!I199+'[2]поточний ремонт'!I199-'[3]поточний ремонт'!I199</f>
        <v>150</v>
      </c>
      <c r="J199" s="43">
        <f>'[1]поточний ремонт'!J199+'[2]поточний ремонт'!J199-'[3]поточний ремонт'!J199</f>
        <v>57286</v>
      </c>
      <c r="K199" s="1037"/>
      <c r="L199" s="43">
        <f>'[1]поточний ремонт'!L199+'[2]поточний ремонт'!L199-'[3]поточний ремонт'!L199</f>
        <v>0</v>
      </c>
      <c r="M199" s="43">
        <f>'[1]поточний ремонт'!M199+'[2]поточний ремонт'!M199-'[3]поточний ремонт'!M199</f>
        <v>0</v>
      </c>
      <c r="N199" s="37"/>
      <c r="O199" s="43">
        <f>'[1]поточний ремонт'!O199+'[2]поточний ремонт'!O199-'[3]поточний ремонт'!O199</f>
        <v>0</v>
      </c>
      <c r="P199" s="43">
        <f>'[1]поточний ремонт'!P199+'[2]поточний ремонт'!P199-'[3]поточний ремонт'!P199</f>
        <v>0</v>
      </c>
      <c r="Q199" s="1038"/>
      <c r="R199" s="43">
        <f>'[1]поточний ремонт'!R199+'[2]поточний ремонт'!R199-'[3]поточний ремонт'!R199</f>
        <v>2</v>
      </c>
      <c r="S199" s="43">
        <f>'[1]поточний ремонт'!S199+'[2]поточний ремонт'!S199-'[3]поточний ремонт'!S199</f>
        <v>3983</v>
      </c>
      <c r="T199" s="1039"/>
      <c r="U199" s="43">
        <f>'[1]поточний ремонт'!U199+'[2]поточний ремонт'!U199-'[3]поточний ремонт'!U199</f>
        <v>0</v>
      </c>
      <c r="V199" s="43">
        <f>'[1]поточний ремонт'!V199+'[2]поточний ремонт'!V199-'[3]поточний ремонт'!V199</f>
        <v>0</v>
      </c>
      <c r="W199" s="43">
        <f>'[1]поточний ремонт'!W199+'[2]поточний ремонт'!W199-'[3]поточний ремонт'!W199</f>
        <v>0</v>
      </c>
      <c r="X199" s="43">
        <f>'[1]поточний ремонт'!X199+'[2]поточний ремонт'!X199-'[3]поточний ремонт'!X199</f>
        <v>0</v>
      </c>
      <c r="Y199" s="43">
        <f>'[1]поточний ремонт'!Y199+'[2]поточний ремонт'!Y199-'[3]поточний ремонт'!Y199</f>
        <v>866</v>
      </c>
      <c r="Z199" s="43">
        <f>'[1]поточний ремонт'!Z199+'[2]поточний ремонт'!Z199-'[3]поточний ремонт'!Z199</f>
        <v>0</v>
      </c>
      <c r="AA199" s="43">
        <f>'[1]поточний ремонт'!AA199+'[2]поточний ремонт'!AA199-'[3]поточний ремонт'!AA199</f>
        <v>0</v>
      </c>
      <c r="AB199" s="43">
        <f>'[1]поточний ремонт'!AB199+'[2]поточний ремонт'!AB199-'[3]поточний ремонт'!AB199</f>
        <v>0</v>
      </c>
      <c r="AC199" s="43">
        <f>'[1]поточний ремонт'!AC199+'[2]поточний ремонт'!AC199-'[3]поточний ремонт'!AC199</f>
        <v>391</v>
      </c>
      <c r="AD199" s="43">
        <f>'[1]поточний ремонт'!AD199+'[2]поточний ремонт'!AD199-'[3]поточний ремонт'!AD199</f>
        <v>412</v>
      </c>
      <c r="AE199" s="43">
        <f>'[1]поточний ремонт'!AE199+'[2]поточний ремонт'!AE199-'[3]поточний ремонт'!AE199</f>
        <v>609.01725000937734</v>
      </c>
      <c r="AF199" s="43">
        <f>'[1]поточний ремонт'!AF199+'[2]поточний ремонт'!AF199-'[3]поточний ремонт'!AF199</f>
        <v>1033</v>
      </c>
      <c r="AG199" s="5"/>
      <c r="AH199" s="43">
        <f>'[1]поточний ремонт'!AH199+'[2]поточний ремонт'!AH199-'[3]поточний ремонт'!AH199</f>
        <v>1322.1322165719887</v>
      </c>
      <c r="AI199" s="43">
        <f>'[1]поточний ремонт'!AI199+'[2]поточний ремонт'!AI199-'[3]поточний ремонт'!AI199</f>
        <v>2798</v>
      </c>
      <c r="AJ199" s="5"/>
      <c r="AK199" s="43">
        <f>'[1]поточний ремонт'!AK199+'[2]поточний ремонт'!AK199-'[3]поточний ремонт'!AK199</f>
        <v>1382.5564143997758</v>
      </c>
      <c r="AL199" s="43">
        <f>'[1]поточний ремонт'!AL199+'[2]поточний ремонт'!AL199-'[3]поточний ремонт'!AL199</f>
        <v>0</v>
      </c>
      <c r="AM199" s="5"/>
      <c r="AN199" s="43">
        <f>'[1]поточний ремонт'!AN199+'[2]поточний ремонт'!AN199-'[3]поточний ремонт'!AN199</f>
        <v>672.46542194277424</v>
      </c>
      <c r="AO199" s="43">
        <f>'[1]поточний ремонт'!AO199+'[2]поточний ремонт'!AO199-'[3]поточний ремонт'!AO199</f>
        <v>0</v>
      </c>
      <c r="AP199" s="5"/>
      <c r="AQ199" s="43">
        <f>'[1]поточний ремонт'!AQ199+'[2]поточний ремонт'!AQ199-'[3]поточний ремонт'!AQ199</f>
        <v>584.59680888900095</v>
      </c>
      <c r="AR199" s="43">
        <f>'[1]поточний ремонт'!AR199+'[2]поточний ремонт'!AR199-'[3]поточний ремонт'!AR199</f>
        <v>0</v>
      </c>
      <c r="AS199" s="5"/>
      <c r="AT199" s="43">
        <f>'[1]поточний ремонт'!AT199+'[2]поточний ремонт'!AT199-'[3]поточний ремонт'!AT199</f>
        <v>857.28084435898234</v>
      </c>
      <c r="AU199" s="43">
        <f>'[1]поточний ремонт'!AU199+'[2]поточний ремонт'!AU199-'[3]поточний ремонт'!AU199</f>
        <v>2327</v>
      </c>
      <c r="AV199" s="5"/>
      <c r="AW199" s="43">
        <f>'[1]поточний ремонт'!AW199+'[2]поточний ремонт'!AW199-'[3]поточний ремонт'!AW199</f>
        <v>579.97937687586591</v>
      </c>
      <c r="AX199" s="43">
        <f>'[1]поточний ремонт'!AX199+'[2]поточний ремонт'!AX199-'[3]поточний ремонт'!AX199</f>
        <v>0</v>
      </c>
      <c r="AY199" s="5"/>
      <c r="AZ199" s="43">
        <f t="shared" si="18"/>
        <v>6008.028333047765</v>
      </c>
      <c r="BA199" s="43">
        <f t="shared" si="19"/>
        <v>6158</v>
      </c>
      <c r="BB199" s="59">
        <f t="shared" si="20"/>
        <v>149.97166695223495</v>
      </c>
      <c r="BD199" s="2">
        <v>1</v>
      </c>
      <c r="BF199" s="30">
        <v>178.14734182569811</v>
      </c>
      <c r="BG199" s="328">
        <v>150000937</v>
      </c>
      <c r="BI199" s="107">
        <v>0</v>
      </c>
      <c r="BJ199" s="107">
        <f t="shared" si="21"/>
        <v>0</v>
      </c>
      <c r="BK199" s="107">
        <v>0</v>
      </c>
      <c r="BL199" s="39"/>
      <c r="BM199" s="3"/>
      <c r="BN199" s="3">
        <v>0</v>
      </c>
      <c r="BP199" s="3"/>
      <c r="BQ199" s="3"/>
      <c r="BS199" s="43"/>
      <c r="BT199" s="43">
        <v>0</v>
      </c>
      <c r="BU199" s="1037"/>
      <c r="BV199" s="42"/>
      <c r="BW199" s="43"/>
      <c r="BX199" s="37"/>
      <c r="BY199" s="78"/>
      <c r="BZ199" s="43">
        <v>0</v>
      </c>
      <c r="CA199" s="1038"/>
      <c r="CB199" s="42"/>
      <c r="CC199" s="42">
        <v>0</v>
      </c>
      <c r="CD199" s="1039"/>
      <c r="CE199" s="78">
        <v>0</v>
      </c>
      <c r="CF199" s="56"/>
      <c r="CG199" s="42">
        <v>0</v>
      </c>
      <c r="CH199" s="39">
        <v>0</v>
      </c>
      <c r="CI199" s="78">
        <v>0</v>
      </c>
      <c r="CJ199" s="1044"/>
      <c r="CK199" s="1034"/>
      <c r="CL199" s="1029"/>
      <c r="CM199" s="1034"/>
      <c r="CN199" s="1029">
        <v>0</v>
      </c>
      <c r="CO199" s="78">
        <v>50.751437500781456</v>
      </c>
      <c r="CP199" s="43">
        <v>0</v>
      </c>
      <c r="CQ199" s="5"/>
      <c r="CR199" s="78">
        <v>110.17768471433241</v>
      </c>
      <c r="CS199" s="1033">
        <v>0</v>
      </c>
      <c r="CT199" s="5"/>
      <c r="CU199" s="78">
        <v>115.21303453331467</v>
      </c>
      <c r="CV199" s="43">
        <v>0</v>
      </c>
      <c r="CW199" s="5"/>
      <c r="CX199" s="78">
        <v>56.038785161897842</v>
      </c>
      <c r="CY199" s="43">
        <v>0</v>
      </c>
      <c r="CZ199" s="5"/>
      <c r="DA199" s="78">
        <v>48.716400740750082</v>
      </c>
      <c r="DB199" s="43">
        <v>0</v>
      </c>
      <c r="DC199" s="5"/>
      <c r="DD199" s="78">
        <v>71.440070363248523</v>
      </c>
      <c r="DE199" s="43">
        <v>0</v>
      </c>
      <c r="DF199" s="5"/>
      <c r="DG199" s="78">
        <v>48.331614739655492</v>
      </c>
      <c r="DH199" s="43"/>
      <c r="DI199" s="5"/>
      <c r="DJ199" s="43">
        <v>500.66902775398052</v>
      </c>
      <c r="DK199" s="43">
        <f t="shared" si="22"/>
        <v>0</v>
      </c>
      <c r="DL199" s="59">
        <f t="shared" si="23"/>
        <v>-500.66902775398052</v>
      </c>
    </row>
    <row r="200" spans="1:116" ht="24.9" customHeight="1" x14ac:dyDescent="0.3">
      <c r="A200" s="328">
        <v>150000938</v>
      </c>
      <c r="B200" s="45" t="s">
        <v>375</v>
      </c>
      <c r="C200" s="1035">
        <v>9</v>
      </c>
      <c r="D200" s="1036" t="s">
        <v>454</v>
      </c>
      <c r="E200" s="1028">
        <f>'побудинковий звіт'!E198</f>
        <v>1414</v>
      </c>
      <c r="F200" s="1029">
        <f>'побудинковий звіт'!AS198</f>
        <v>230014.71734259636</v>
      </c>
      <c r="G200" s="1029">
        <f t="shared" si="16"/>
        <v>141022.67989341181</v>
      </c>
      <c r="H200" s="1029">
        <f t="shared" si="17"/>
        <v>-88992.037449184543</v>
      </c>
      <c r="I200" s="43">
        <f>'[1]поточний ремонт'!I200+'[2]поточний ремонт'!I200-'[3]поточний ремонт'!I200</f>
        <v>16.96</v>
      </c>
      <c r="J200" s="43">
        <f>'[1]поточний ремонт'!J200+'[2]поточний ремонт'!J200-'[3]поточний ремонт'!J200</f>
        <v>9492</v>
      </c>
      <c r="K200" s="1037"/>
      <c r="L200" s="43">
        <f>'[1]поточний ремонт'!L200+'[2]поточний ремонт'!L200-'[3]поточний ремонт'!L200</f>
        <v>0</v>
      </c>
      <c r="M200" s="43">
        <f>'[1]поточний ремонт'!M200+'[2]поточний ремонт'!M200-'[3]поточний ремонт'!M200</f>
        <v>0</v>
      </c>
      <c r="N200" s="1040"/>
      <c r="O200" s="43">
        <f>'[1]поточний ремонт'!O200+'[2]поточний ремонт'!O200-'[3]поточний ремонт'!O200</f>
        <v>0</v>
      </c>
      <c r="P200" s="43">
        <f>'[1]поточний ремонт'!P200+'[2]поточний ремонт'!P200-'[3]поточний ремонт'!P200</f>
        <v>0</v>
      </c>
      <c r="Q200" s="1038"/>
      <c r="R200" s="43">
        <f>'[1]поточний ремонт'!R200+'[2]поточний ремонт'!R200-'[3]поточний ремонт'!R200</f>
        <v>7</v>
      </c>
      <c r="S200" s="43">
        <f>'[1]поточний ремонт'!S200+'[2]поточний ремонт'!S200-'[3]поточний ремонт'!S200</f>
        <v>68964</v>
      </c>
      <c r="T200" s="1047"/>
      <c r="U200" s="43">
        <f>'[1]поточний ремонт'!U200+'[2]поточний ремонт'!U200-'[3]поточний ремонт'!U200</f>
        <v>0</v>
      </c>
      <c r="V200" s="43">
        <f>'[1]поточний ремонт'!V200+'[2]поточний ремонт'!V200-'[3]поточний ремонт'!V200</f>
        <v>0</v>
      </c>
      <c r="W200" s="43">
        <f>'[1]поточний ремонт'!W200+'[2]поточний ремонт'!W200-'[3]поточний ремонт'!W200</f>
        <v>2</v>
      </c>
      <c r="X200" s="43">
        <f>'[1]поточний ремонт'!X200+'[2]поточний ремонт'!X200-'[3]поточний ремонт'!X200</f>
        <v>838.67989341180839</v>
      </c>
      <c r="Y200" s="43">
        <f>'[1]поточний ремонт'!Y200+'[2]поточний ремонт'!Y200-'[3]поточний ремонт'!Y200</f>
        <v>5497</v>
      </c>
      <c r="Z200" s="43">
        <f>'[1]поточний ремонт'!Z200+'[2]поточний ремонт'!Z200-'[3]поточний ремонт'!Z200</f>
        <v>0</v>
      </c>
      <c r="AA200" s="43">
        <f>'[1]поточний ремонт'!AA200+'[2]поточний ремонт'!AA200-'[3]поточний ремонт'!AA200</f>
        <v>0</v>
      </c>
      <c r="AB200" s="43">
        <f>'[1]поточний ремонт'!AB200+'[2]поточний ремонт'!AB200-'[3]поточний ремонт'!AB200</f>
        <v>32530</v>
      </c>
      <c r="AC200" s="43">
        <f>'[1]поточний ремонт'!AC200+'[2]поточний ремонт'!AC200-'[3]поточний ремонт'!AC200</f>
        <v>9665</v>
      </c>
      <c r="AD200" s="43">
        <f>'[1]поточний ремонт'!AD200+'[2]поточний ремонт'!AD200-'[3]поточний ремонт'!AD200</f>
        <v>14036</v>
      </c>
      <c r="AE200" s="43">
        <f>'[1]поточний ремонт'!AE200+'[2]поточний ремонт'!AE200-'[3]поточний ремонт'!AE200</f>
        <v>4125.413561988581</v>
      </c>
      <c r="AF200" s="43">
        <f>'[1]поточний ремонт'!AF200+'[2]поточний ремонт'!AF200-'[3]поточний ремонт'!AF200</f>
        <v>3036.8637594825686</v>
      </c>
      <c r="AG200" s="1045"/>
      <c r="AH200" s="43">
        <f>'[1]поточний ремонт'!AH200+'[2]поточний ремонт'!AH200-'[3]поточний ремонт'!AH200</f>
        <v>5116.4025963034574</v>
      </c>
      <c r="AI200" s="43">
        <f>'[1]поточний ремонт'!AI200+'[2]поточний ремонт'!AI200-'[3]поточний ремонт'!AI200</f>
        <v>12461</v>
      </c>
      <c r="AJ200" s="1045"/>
      <c r="AK200" s="43">
        <f>'[1]поточний ремонт'!AK200+'[2]поточний ремонт'!AK200-'[3]поточний ремонт'!AK200</f>
        <v>4911.5911368776024</v>
      </c>
      <c r="AL200" s="43">
        <f>'[1]поточний ремонт'!AL200+'[2]поточний ремонт'!AL200-'[3]поточний ремонт'!AL200</f>
        <v>0</v>
      </c>
      <c r="AM200" s="1045"/>
      <c r="AN200" s="43">
        <f>'[1]поточний ремонт'!AN200+'[2]поточний ремонт'!AN200-'[3]поточний ремонт'!AN200</f>
        <v>2714.8521991340513</v>
      </c>
      <c r="AO200" s="43">
        <f>'[1]поточний ремонт'!AO200+'[2]поточний ремонт'!AO200-'[3]поточний ремонт'!AO200</f>
        <v>0</v>
      </c>
      <c r="AP200" s="5"/>
      <c r="AQ200" s="43">
        <f>'[1]поточний ремонт'!AQ200+'[2]поточний ремонт'!AQ200-'[3]поточний ремонт'!AQ200</f>
        <v>1385.1854514791391</v>
      </c>
      <c r="AR200" s="43">
        <f>'[1]поточний ремонт'!AR200+'[2]поточний ремонт'!AR200-'[3]поточний ремонт'!AR200</f>
        <v>0</v>
      </c>
      <c r="AS200" s="1045"/>
      <c r="AT200" s="43">
        <f>'[1]поточний ремонт'!AT200+'[2]поточний ремонт'!AT200-'[3]поточний ремонт'!AT200</f>
        <v>4373.8545356393488</v>
      </c>
      <c r="AU200" s="43">
        <f>'[1]поточний ремонт'!AU200+'[2]поточний ремонт'!AU200-'[3]поточний ремонт'!AU200</f>
        <v>1098</v>
      </c>
      <c r="AV200" s="5"/>
      <c r="AW200" s="43">
        <f>'[1]поточний ремонт'!AW200+'[2]поточний ремонт'!AW200-'[3]поточний ремонт'!AW200</f>
        <v>1414.4304200481445</v>
      </c>
      <c r="AX200" s="43">
        <f>'[1]поточний ремонт'!AX200+'[2]поточний ремонт'!AX200-'[3]поточний ремонт'!AX200</f>
        <v>0</v>
      </c>
      <c r="AY200" s="5"/>
      <c r="AZ200" s="43">
        <f t="shared" si="18"/>
        <v>24041.72990147032</v>
      </c>
      <c r="BA200" s="43">
        <f t="shared" si="19"/>
        <v>16595.86375948257</v>
      </c>
      <c r="BB200" s="59">
        <f t="shared" si="20"/>
        <v>-7445.8661419877499</v>
      </c>
      <c r="BD200" s="2">
        <v>1</v>
      </c>
      <c r="BF200" s="30">
        <v>720.86675067799956</v>
      </c>
      <c r="BG200" s="328">
        <v>150000938</v>
      </c>
      <c r="BI200" s="107">
        <v>51.39</v>
      </c>
      <c r="BJ200" s="107">
        <f t="shared" si="21"/>
        <v>7.2286304579999996</v>
      </c>
      <c r="BK200" s="107">
        <v>59.267357056439998</v>
      </c>
      <c r="BL200" s="39"/>
      <c r="BM200" s="3"/>
      <c r="BN200" s="3">
        <v>0</v>
      </c>
      <c r="BP200" s="3"/>
      <c r="BQ200" s="3"/>
      <c r="BS200" s="43"/>
      <c r="BT200" s="43">
        <v>0</v>
      </c>
      <c r="BU200" s="1037"/>
      <c r="BV200" s="42"/>
      <c r="BW200" s="43"/>
      <c r="BX200" s="1040"/>
      <c r="BY200" s="78"/>
      <c r="BZ200" s="43">
        <v>0</v>
      </c>
      <c r="CA200" s="1038"/>
      <c r="CB200" s="42"/>
      <c r="CC200" s="42">
        <v>0</v>
      </c>
      <c r="CD200" s="1047"/>
      <c r="CE200" s="78">
        <v>0</v>
      </c>
      <c r="CF200" s="56"/>
      <c r="CG200" s="42">
        <v>0</v>
      </c>
      <c r="CH200" s="39">
        <v>59.267357056439998</v>
      </c>
      <c r="CI200" s="78">
        <v>0</v>
      </c>
      <c r="CJ200" s="58"/>
      <c r="CK200" s="1034"/>
      <c r="CL200" s="1029"/>
      <c r="CM200" s="1034"/>
      <c r="CN200" s="1029">
        <v>0</v>
      </c>
      <c r="CO200" s="78">
        <v>343.7844634990484</v>
      </c>
      <c r="CP200" s="43">
        <v>0</v>
      </c>
      <c r="CQ200" s="1045"/>
      <c r="CR200" s="78">
        <v>426.36688302528813</v>
      </c>
      <c r="CS200" s="1033">
        <v>3206.1438621391771</v>
      </c>
      <c r="CT200" s="1045"/>
      <c r="CU200" s="78">
        <v>409.29926140646683</v>
      </c>
      <c r="CV200" s="43">
        <v>0</v>
      </c>
      <c r="CW200" s="1045"/>
      <c r="CX200" s="78">
        <v>226.23768326117096</v>
      </c>
      <c r="CY200" s="43">
        <v>0</v>
      </c>
      <c r="CZ200" s="5"/>
      <c r="DA200" s="78">
        <v>115.43212095659494</v>
      </c>
      <c r="DB200" s="43">
        <v>0</v>
      </c>
      <c r="DC200" s="1045"/>
      <c r="DD200" s="78">
        <v>364.48787796994583</v>
      </c>
      <c r="DE200" s="43">
        <v>0</v>
      </c>
      <c r="DF200" s="5"/>
      <c r="DG200" s="78">
        <v>117.86920167067872</v>
      </c>
      <c r="DH200" s="43"/>
      <c r="DI200" s="5"/>
      <c r="DJ200" s="43">
        <v>2003.4774917891939</v>
      </c>
      <c r="DK200" s="43">
        <f t="shared" si="22"/>
        <v>3206.1438621391771</v>
      </c>
      <c r="DL200" s="59">
        <f t="shared" si="23"/>
        <v>1202.6663703499833</v>
      </c>
    </row>
    <row r="201" spans="1:116" ht="24.9" customHeight="1" x14ac:dyDescent="0.3">
      <c r="A201" s="328">
        <v>150000925</v>
      </c>
      <c r="B201" s="45" t="s">
        <v>176</v>
      </c>
      <c r="C201" s="1035">
        <v>2</v>
      </c>
      <c r="D201" s="1036" t="s">
        <v>454</v>
      </c>
      <c r="E201" s="1028">
        <f>'побудинковий звіт'!E199</f>
        <v>472.24</v>
      </c>
      <c r="F201" s="1029">
        <f>'побудинковий звіт'!AS199</f>
        <v>7065.6256210970987</v>
      </c>
      <c r="G201" s="1029">
        <f t="shared" si="16"/>
        <v>21334</v>
      </c>
      <c r="H201" s="1029">
        <f t="shared" si="17"/>
        <v>14268.374378902901</v>
      </c>
      <c r="I201" s="43">
        <f>'[1]поточний ремонт'!I201+'[2]поточний ремонт'!I201-'[3]поточний ремонт'!I201</f>
        <v>28.5</v>
      </c>
      <c r="J201" s="43">
        <f>'[1]поточний ремонт'!J201+'[2]поточний ремонт'!J201-'[3]поточний ремонт'!J201</f>
        <v>21334</v>
      </c>
      <c r="K201" s="1037"/>
      <c r="L201" s="43">
        <f>'[1]поточний ремонт'!L201+'[2]поточний ремонт'!L201-'[3]поточний ремонт'!L201</f>
        <v>0</v>
      </c>
      <c r="M201" s="43">
        <f>'[1]поточний ремонт'!M201+'[2]поточний ремонт'!M201-'[3]поточний ремонт'!M201</f>
        <v>0</v>
      </c>
      <c r="N201" s="37"/>
      <c r="O201" s="43">
        <f>'[1]поточний ремонт'!O201+'[2]поточний ремонт'!O201-'[3]поточний ремонт'!O201</f>
        <v>0</v>
      </c>
      <c r="P201" s="43">
        <f>'[1]поточний ремонт'!P201+'[2]поточний ремонт'!P201-'[3]поточний ремонт'!P201</f>
        <v>0</v>
      </c>
      <c r="Q201" s="1038"/>
      <c r="R201" s="43">
        <f>'[1]поточний ремонт'!R201+'[2]поточний ремонт'!R201-'[3]поточний ремонт'!R201</f>
        <v>0</v>
      </c>
      <c r="S201" s="43">
        <f>'[1]поточний ремонт'!S201+'[2]поточний ремонт'!S201-'[3]поточний ремонт'!S201</f>
        <v>0</v>
      </c>
      <c r="T201" s="1039"/>
      <c r="U201" s="43">
        <f>'[1]поточний ремонт'!U201+'[2]поточний ремонт'!U201-'[3]поточний ремонт'!U201</f>
        <v>0</v>
      </c>
      <c r="V201" s="43">
        <f>'[1]поточний ремонт'!V201+'[2]поточний ремонт'!V201-'[3]поточний ремонт'!V201</f>
        <v>0</v>
      </c>
      <c r="W201" s="43">
        <f>'[1]поточний ремонт'!W201+'[2]поточний ремонт'!W201-'[3]поточний ремонт'!W201</f>
        <v>0</v>
      </c>
      <c r="X201" s="43">
        <f>'[1]поточний ремонт'!X201+'[2]поточний ремонт'!X201-'[3]поточний ремонт'!X201</f>
        <v>0</v>
      </c>
      <c r="Y201" s="43">
        <f>'[1]поточний ремонт'!Y201+'[2]поточний ремонт'!Y201-'[3]поточний ремонт'!Y201</f>
        <v>0</v>
      </c>
      <c r="Z201" s="43">
        <f>'[1]поточний ремонт'!Z201+'[2]поточний ремонт'!Z201-'[3]поточний ремонт'!Z201</f>
        <v>0</v>
      </c>
      <c r="AA201" s="43">
        <f>'[1]поточний ремонт'!AA201+'[2]поточний ремонт'!AA201-'[3]поточний ремонт'!AA201</f>
        <v>0</v>
      </c>
      <c r="AB201" s="43">
        <f>'[1]поточний ремонт'!AB201+'[2]поточний ремонт'!AB201-'[3]поточний ремонт'!AB201</f>
        <v>0</v>
      </c>
      <c r="AC201" s="43">
        <f>'[1]поточний ремонт'!AC201+'[2]поточний ремонт'!AC201-'[3]поточний ремонт'!AC201</f>
        <v>0</v>
      </c>
      <c r="AD201" s="43">
        <f>'[1]поточний ремонт'!AD201+'[2]поточний ремонт'!AD201-'[3]поточний ремонт'!AD201</f>
        <v>0</v>
      </c>
      <c r="AE201" s="43">
        <f>'[1]поточний ремонт'!AE201+'[2]поточний ремонт'!AE201-'[3]поточний ремонт'!AE201</f>
        <v>463.52496968052026</v>
      </c>
      <c r="AF201" s="43">
        <f>'[1]поточний ремонт'!AF201+'[2]поточний ремонт'!AF201-'[3]поточний ремонт'!AF201</f>
        <v>0</v>
      </c>
      <c r="AG201" s="9"/>
      <c r="AH201" s="43">
        <f>'[1]поточний ремонт'!AH201+'[2]поточний ремонт'!AH201-'[3]поточний ремонт'!AH201</f>
        <v>693.859784608008</v>
      </c>
      <c r="AI201" s="43">
        <f>'[1]поточний ремонт'!AI201+'[2]поточний ремонт'!AI201-'[3]поточний ремонт'!AI201</f>
        <v>0</v>
      </c>
      <c r="AJ201" s="5"/>
      <c r="AK201" s="43">
        <f>'[1]поточний ремонт'!AK201+'[2]поточний ремонт'!AK201-'[3]поточний ремонт'!AK201</f>
        <v>322.09581520189704</v>
      </c>
      <c r="AL201" s="43">
        <f>'[1]поточний ремонт'!AL201+'[2]поточний ремонт'!AL201-'[3]поточний ремонт'!AL201</f>
        <v>1862.6327068002674</v>
      </c>
      <c r="AM201" s="5"/>
      <c r="AN201" s="43">
        <f>'[1]поточний ремонт'!AN201+'[2]поточний ремонт'!AN201-'[3]поточний ремонт'!AN201</f>
        <v>0</v>
      </c>
      <c r="AO201" s="43">
        <f>'[1]поточний ремонт'!AO201+'[2]поточний ремонт'!AO201-'[3]поточний ремонт'!AO201</f>
        <v>0</v>
      </c>
      <c r="AP201" s="5"/>
      <c r="AQ201" s="43">
        <f>'[1]поточний ремонт'!AQ201+'[2]поточний ремонт'!AQ201-'[3]поточний ремонт'!AQ201</f>
        <v>0</v>
      </c>
      <c r="AR201" s="43">
        <f>'[1]поточний ремонт'!AR201+'[2]поточний ремонт'!AR201-'[3]поточний ремонт'!AR201</f>
        <v>0</v>
      </c>
      <c r="AS201" s="5"/>
      <c r="AT201" s="43">
        <f>'[1]поточний ремонт'!AT201+'[2]поточний ремонт'!AT201-'[3]поточний ремонт'!AT201</f>
        <v>118.62766249183653</v>
      </c>
      <c r="AU201" s="43">
        <f>'[1]поточний ремонт'!AU201+'[2]поточний ремонт'!AU201-'[3]поточний ремонт'!AU201</f>
        <v>0</v>
      </c>
      <c r="AV201" s="5"/>
      <c r="AW201" s="43">
        <f>'[1]поточний ремонт'!AW201+'[2]поточний ремонт'!AW201-'[3]поточний ремонт'!AW201</f>
        <v>0</v>
      </c>
      <c r="AX201" s="43">
        <f>'[1]поточний ремонт'!AX201+'[2]поточний ремонт'!AX201-'[3]поточний ремонт'!AX201</f>
        <v>0</v>
      </c>
      <c r="AY201" s="5"/>
      <c r="AZ201" s="43">
        <f t="shared" si="18"/>
        <v>1598.1082319822617</v>
      </c>
      <c r="BA201" s="43">
        <f t="shared" si="19"/>
        <v>1862.6327068002674</v>
      </c>
      <c r="BB201" s="59">
        <f t="shared" si="20"/>
        <v>264.52447481800573</v>
      </c>
      <c r="BD201" s="2">
        <v>2</v>
      </c>
      <c r="BF201" s="30">
        <v>0.62044605982472423</v>
      </c>
      <c r="BG201" s="328">
        <v>150000925</v>
      </c>
      <c r="BI201" s="107">
        <v>0</v>
      </c>
      <c r="BJ201" s="107">
        <f t="shared" si="21"/>
        <v>0</v>
      </c>
      <c r="BK201" s="107">
        <v>0</v>
      </c>
      <c r="BL201" s="39"/>
      <c r="BM201" s="3"/>
      <c r="BN201" s="3">
        <v>0</v>
      </c>
      <c r="BP201" s="3"/>
      <c r="BQ201" s="3"/>
      <c r="BS201" s="43"/>
      <c r="BT201" s="43">
        <v>0</v>
      </c>
      <c r="BU201" s="1037"/>
      <c r="BV201" s="42"/>
      <c r="BW201" s="43"/>
      <c r="BX201" s="37"/>
      <c r="BY201" s="78"/>
      <c r="BZ201" s="43">
        <v>0</v>
      </c>
      <c r="CA201" s="1038"/>
      <c r="CB201" s="42"/>
      <c r="CC201" s="42">
        <v>0</v>
      </c>
      <c r="CD201" s="1039"/>
      <c r="CE201" s="78">
        <v>0</v>
      </c>
      <c r="CF201" s="56"/>
      <c r="CG201" s="42">
        <v>0</v>
      </c>
      <c r="CH201" s="39">
        <v>0</v>
      </c>
      <c r="CI201" s="78">
        <v>0</v>
      </c>
      <c r="CJ201" s="56"/>
      <c r="CK201" s="1034"/>
      <c r="CL201" s="1029"/>
      <c r="CM201" s="1034"/>
      <c r="CN201" s="1029">
        <v>0</v>
      </c>
      <c r="CO201" s="78">
        <v>38.627080806710019</v>
      </c>
      <c r="CP201" s="43">
        <v>0</v>
      </c>
      <c r="CQ201" s="9"/>
      <c r="CR201" s="78">
        <v>57.821648717333993</v>
      </c>
      <c r="CS201" s="1033">
        <v>0</v>
      </c>
      <c r="CT201" s="5"/>
      <c r="CU201" s="78">
        <v>26.841317933491421</v>
      </c>
      <c r="CV201" s="43">
        <v>0</v>
      </c>
      <c r="CW201" s="5"/>
      <c r="CX201" s="78">
        <v>0</v>
      </c>
      <c r="CY201" s="43">
        <v>0</v>
      </c>
      <c r="CZ201" s="5"/>
      <c r="DA201" s="78">
        <v>0</v>
      </c>
      <c r="DB201" s="43">
        <v>0</v>
      </c>
      <c r="DC201" s="5"/>
      <c r="DD201" s="78">
        <v>9.8856385409863776</v>
      </c>
      <c r="DE201" s="43">
        <v>0</v>
      </c>
      <c r="DF201" s="5"/>
      <c r="DG201" s="78">
        <v>0</v>
      </c>
      <c r="DH201" s="43"/>
      <c r="DI201" s="5"/>
      <c r="DJ201" s="43">
        <v>133.17568599852183</v>
      </c>
      <c r="DK201" s="43">
        <f t="shared" si="22"/>
        <v>0</v>
      </c>
      <c r="DL201" s="59">
        <f t="shared" si="23"/>
        <v>-133.17568599852183</v>
      </c>
    </row>
    <row r="202" spans="1:116" ht="24.9" customHeight="1" x14ac:dyDescent="0.3">
      <c r="A202" s="328">
        <v>150000939</v>
      </c>
      <c r="B202" s="45" t="s">
        <v>336</v>
      </c>
      <c r="C202" s="1035">
        <v>8</v>
      </c>
      <c r="D202" s="1036" t="s">
        <v>454</v>
      </c>
      <c r="E202" s="1028">
        <f>'побудинковий звіт'!E200</f>
        <v>170.2</v>
      </c>
      <c r="F202" s="1029">
        <f>'побудинковий звіт'!AS200</f>
        <v>86885.73969581275</v>
      </c>
      <c r="G202" s="1029">
        <f t="shared" si="16"/>
        <v>50281</v>
      </c>
      <c r="H202" s="1029">
        <f t="shared" si="17"/>
        <v>-36604.73969581275</v>
      </c>
      <c r="I202" s="43">
        <f>'[1]поточний ремонт'!I202+'[2]поточний ремонт'!I202-'[3]поточний ремонт'!I202</f>
        <v>13.5</v>
      </c>
      <c r="J202" s="43">
        <f>'[1]поточний ремонт'!J202+'[2]поточний ремонт'!J202-'[3]поточний ремонт'!J202</f>
        <v>5019</v>
      </c>
      <c r="K202" s="1037"/>
      <c r="L202" s="43">
        <f>'[1]поточний ремонт'!L202+'[2]поточний ремонт'!L202-'[3]поточний ремонт'!L202</f>
        <v>0</v>
      </c>
      <c r="M202" s="43">
        <f>'[1]поточний ремонт'!M202+'[2]поточний ремонт'!M202-'[3]поточний ремонт'!M202</f>
        <v>0</v>
      </c>
      <c r="N202" s="37"/>
      <c r="O202" s="43">
        <f>'[1]поточний ремонт'!O202+'[2]поточний ремонт'!O202-'[3]поточний ремонт'!O202</f>
        <v>115.8</v>
      </c>
      <c r="P202" s="43">
        <f>'[1]поточний ремонт'!P202+'[2]поточний ремонт'!P202-'[3]поточний ремонт'!P202</f>
        <v>36967</v>
      </c>
      <c r="Q202" s="1038"/>
      <c r="R202" s="43">
        <f>'[1]поточний ремонт'!R202+'[2]поточний ремонт'!R202-'[3]поточний ремонт'!R202</f>
        <v>1</v>
      </c>
      <c r="S202" s="43">
        <f>'[1]поточний ремонт'!S202+'[2]поточний ремонт'!S202-'[3]поточний ремонт'!S202</f>
        <v>2062</v>
      </c>
      <c r="T202" s="1039"/>
      <c r="U202" s="43">
        <f>'[1]поточний ремонт'!U202+'[2]поточний ремонт'!U202-'[3]поточний ремонт'!U202</f>
        <v>0</v>
      </c>
      <c r="V202" s="43">
        <f>'[1]поточний ремонт'!V202+'[2]поточний ремонт'!V202-'[3]поточний ремонт'!V202</f>
        <v>0</v>
      </c>
      <c r="W202" s="43">
        <f>'[1]поточний ремонт'!W202+'[2]поточний ремонт'!W202-'[3]поточний ремонт'!W202</f>
        <v>0</v>
      </c>
      <c r="X202" s="43">
        <f>'[1]поточний ремонт'!X202+'[2]поточний ремонт'!X202-'[3]поточний ремонт'!X202</f>
        <v>0</v>
      </c>
      <c r="Y202" s="43">
        <f>'[1]поточний ремонт'!Y202+'[2]поточний ремонт'!Y202-'[3]поточний ремонт'!Y202</f>
        <v>0</v>
      </c>
      <c r="Z202" s="43">
        <f>'[1]поточний ремонт'!Z202+'[2]поточний ремонт'!Z202-'[3]поточний ремонт'!Z202</f>
        <v>0</v>
      </c>
      <c r="AA202" s="43">
        <f>'[1]поточний ремонт'!AA202+'[2]поточний ремонт'!AA202-'[3]поточний ремонт'!AA202</f>
        <v>0</v>
      </c>
      <c r="AB202" s="43">
        <f>'[1]поточний ремонт'!AB202+'[2]поточний ремонт'!AB202-'[3]поточний ремонт'!AB202</f>
        <v>0</v>
      </c>
      <c r="AC202" s="43">
        <f>'[1]поточний ремонт'!AC202+'[2]поточний ремонт'!AC202-'[3]поточний ремонт'!AC202</f>
        <v>759</v>
      </c>
      <c r="AD202" s="43">
        <f>'[1]поточний ремонт'!AD202+'[2]поточний ремонт'!AD202-'[3]поточний ремонт'!AD202</f>
        <v>5474</v>
      </c>
      <c r="AE202" s="43">
        <f>'[1]поточний ремонт'!AE202+'[2]поточний ремонт'!AE202-'[3]поточний ремонт'!AE202</f>
        <v>662.30371474064452</v>
      </c>
      <c r="AF202" s="43">
        <f>'[1]поточний ремонт'!AF202+'[2]поточний ремонт'!AF202-'[3]поточний ремонт'!AF202</f>
        <v>408</v>
      </c>
      <c r="AG202" s="5"/>
      <c r="AH202" s="43">
        <f>'[1]поточний ремонт'!AH202+'[2]поточний ремонт'!AH202-'[3]поточний ремонт'!AH202</f>
        <v>885.25732630034918</v>
      </c>
      <c r="AI202" s="43">
        <f>'[1]поточний ремонт'!AI202+'[2]поточний ремонт'!AI202-'[3]поточний ремонт'!AI202</f>
        <v>13468</v>
      </c>
      <c r="AJ202" s="5"/>
      <c r="AK202" s="43">
        <f>'[1]поточний ремонт'!AK202+'[2]поточний ремонт'!AK202-'[3]поточний ремонт'!AK202</f>
        <v>1298.9721867050841</v>
      </c>
      <c r="AL202" s="43">
        <f>'[1]поточний ремонт'!AL202+'[2]поточний ремонт'!AL202-'[3]поточний ремонт'!AL202</f>
        <v>0</v>
      </c>
      <c r="AM202" s="5"/>
      <c r="AN202" s="43">
        <f>'[1]поточний ремонт'!AN202+'[2]поточний ремонт'!AN202-'[3]поточний ремонт'!AN202</f>
        <v>345.26973320305052</v>
      </c>
      <c r="AO202" s="43">
        <f>'[1]поточний ремонт'!AO202+'[2]поточний ремонт'!AO202-'[3]поточний ремонт'!AO202</f>
        <v>0</v>
      </c>
      <c r="AP202" s="5"/>
      <c r="AQ202" s="43">
        <f>'[1]поточний ремонт'!AQ202+'[2]поточний ремонт'!AQ202-'[3]поточний ремонт'!AQ202</f>
        <v>685.39301428766191</v>
      </c>
      <c r="AR202" s="43">
        <f>'[1]поточний ремонт'!AR202+'[2]поточний ремонт'!AR202-'[3]поточний ремонт'!AR202</f>
        <v>0</v>
      </c>
      <c r="AS202" s="5"/>
      <c r="AT202" s="43">
        <f>'[1]поточний ремонт'!AT202+'[2]поточний ремонт'!AT202-'[3]поточний ремонт'!AT202</f>
        <v>451.18739287290265</v>
      </c>
      <c r="AU202" s="43">
        <f>'[1]поточний ремонт'!AU202+'[2]поточний ремонт'!AU202-'[3]поточний ремонт'!AU202</f>
        <v>1936</v>
      </c>
      <c r="AV202" s="5"/>
      <c r="AW202" s="43">
        <f>'[1]поточний ремонт'!AW202+'[2]поточний ремонт'!AW202-'[3]поточний ремонт'!AW202</f>
        <v>591.6733403507975</v>
      </c>
      <c r="AX202" s="43">
        <f>'[1]поточний ремонт'!AX202+'[2]поточний ремонт'!AX202-'[3]поточний ремонт'!AX202</f>
        <v>0</v>
      </c>
      <c r="AY202" s="5"/>
      <c r="AZ202" s="43">
        <f t="shared" si="18"/>
        <v>4920.0567084604909</v>
      </c>
      <c r="BA202" s="43">
        <f t="shared" si="19"/>
        <v>15812</v>
      </c>
      <c r="BB202" s="59">
        <f t="shared" si="20"/>
        <v>10891.943291539508</v>
      </c>
      <c r="BD202" s="2">
        <v>1</v>
      </c>
      <c r="BF202" s="30">
        <v>240.19267911327304</v>
      </c>
      <c r="BG202" s="328">
        <v>150000939</v>
      </c>
      <c r="BI202" s="107">
        <v>0</v>
      </c>
      <c r="BJ202" s="107">
        <f t="shared" si="21"/>
        <v>0</v>
      </c>
      <c r="BK202" s="107">
        <v>0</v>
      </c>
      <c r="BL202" s="39"/>
      <c r="BM202" s="3"/>
      <c r="BN202" s="3">
        <v>0</v>
      </c>
      <c r="BP202" s="3"/>
      <c r="BQ202" s="3"/>
      <c r="BS202" s="43"/>
      <c r="BT202" s="43">
        <v>0</v>
      </c>
      <c r="BU202" s="1037"/>
      <c r="BV202" s="42"/>
      <c r="BW202" s="43"/>
      <c r="BX202" s="37"/>
      <c r="BY202" s="78"/>
      <c r="BZ202" s="43">
        <v>0</v>
      </c>
      <c r="CA202" s="1038"/>
      <c r="CB202" s="42"/>
      <c r="CC202" s="42">
        <v>0</v>
      </c>
      <c r="CD202" s="1039"/>
      <c r="CE202" s="78">
        <v>0</v>
      </c>
      <c r="CF202" s="56"/>
      <c r="CG202" s="42">
        <v>0</v>
      </c>
      <c r="CH202" s="39">
        <v>0</v>
      </c>
      <c r="CI202" s="78">
        <v>0</v>
      </c>
      <c r="CJ202" s="56"/>
      <c r="CK202" s="1034"/>
      <c r="CL202" s="1029"/>
      <c r="CM202" s="1034"/>
      <c r="CN202" s="1029">
        <v>0</v>
      </c>
      <c r="CO202" s="78">
        <v>55.191976228387048</v>
      </c>
      <c r="CP202" s="43">
        <v>0</v>
      </c>
      <c r="CQ202" s="5"/>
      <c r="CR202" s="78">
        <v>73.771443858362431</v>
      </c>
      <c r="CS202" s="1033">
        <v>0</v>
      </c>
      <c r="CT202" s="5"/>
      <c r="CU202" s="78">
        <v>108.2476822254237</v>
      </c>
      <c r="CV202" s="43">
        <v>0</v>
      </c>
      <c r="CW202" s="5"/>
      <c r="CX202" s="78">
        <v>28.772477766920876</v>
      </c>
      <c r="CY202" s="43">
        <v>0</v>
      </c>
      <c r="CZ202" s="5"/>
      <c r="DA202" s="78">
        <v>57.116084523971821</v>
      </c>
      <c r="DB202" s="43">
        <v>0</v>
      </c>
      <c r="DC202" s="5"/>
      <c r="DD202" s="78">
        <v>37.598949406075214</v>
      </c>
      <c r="DE202" s="43">
        <v>0</v>
      </c>
      <c r="DF202" s="5"/>
      <c r="DG202" s="78">
        <v>49.306111695899787</v>
      </c>
      <c r="DH202" s="43"/>
      <c r="DI202" s="5"/>
      <c r="DJ202" s="43">
        <v>410.00472570504093</v>
      </c>
      <c r="DK202" s="43">
        <f t="shared" si="22"/>
        <v>0</v>
      </c>
      <c r="DL202" s="59">
        <f t="shared" si="23"/>
        <v>-410.00472570504093</v>
      </c>
    </row>
    <row r="203" spans="1:116" ht="24.9" customHeight="1" x14ac:dyDescent="0.3">
      <c r="A203" s="328">
        <v>150000926</v>
      </c>
      <c r="B203" s="45" t="s">
        <v>177</v>
      </c>
      <c r="C203" s="1035">
        <v>2</v>
      </c>
      <c r="D203" s="1036" t="s">
        <v>454</v>
      </c>
      <c r="E203" s="1028">
        <f>'побудинковий звіт'!E201</f>
        <v>359.9</v>
      </c>
      <c r="F203" s="1029">
        <f>'побудинковий звіт'!AS201</f>
        <v>6926.3796466665381</v>
      </c>
      <c r="G203" s="1029">
        <f t="shared" ref="G203:G266" si="24">J203+M203+P203+S203+U203+X203+Y203+AA203+AB203+AC203+AD203</f>
        <v>54355</v>
      </c>
      <c r="H203" s="1029">
        <f t="shared" ref="H203:H266" si="25">G203-F203</f>
        <v>47428.620353333463</v>
      </c>
      <c r="I203" s="43">
        <f>'[1]поточний ремонт'!I203+'[2]поточний ремонт'!I203-'[3]поточний ремонт'!I203</f>
        <v>251.6</v>
      </c>
      <c r="J203" s="43">
        <f>'[1]поточний ремонт'!J203+'[2]поточний ремонт'!J203-'[3]поточний ремонт'!J203</f>
        <v>54355</v>
      </c>
      <c r="K203" s="1037"/>
      <c r="L203" s="43">
        <f>'[1]поточний ремонт'!L203+'[2]поточний ремонт'!L203-'[3]поточний ремонт'!L203</f>
        <v>0</v>
      </c>
      <c r="M203" s="43">
        <f>'[1]поточний ремонт'!M203+'[2]поточний ремонт'!M203-'[3]поточний ремонт'!M203</f>
        <v>0</v>
      </c>
      <c r="N203" s="37"/>
      <c r="O203" s="43">
        <f>'[1]поточний ремонт'!O203+'[2]поточний ремонт'!O203-'[3]поточний ремонт'!O203</f>
        <v>0</v>
      </c>
      <c r="P203" s="43">
        <f>'[1]поточний ремонт'!P203+'[2]поточний ремонт'!P203-'[3]поточний ремонт'!P203</f>
        <v>0</v>
      </c>
      <c r="Q203" s="1038"/>
      <c r="R203" s="43">
        <f>'[1]поточний ремонт'!R203+'[2]поточний ремонт'!R203-'[3]поточний ремонт'!R203</f>
        <v>0</v>
      </c>
      <c r="S203" s="43">
        <f>'[1]поточний ремонт'!S203+'[2]поточний ремонт'!S203-'[3]поточний ремонт'!S203</f>
        <v>0</v>
      </c>
      <c r="T203" s="1039"/>
      <c r="U203" s="43">
        <f>'[1]поточний ремонт'!U203+'[2]поточний ремонт'!U203-'[3]поточний ремонт'!U203</f>
        <v>0</v>
      </c>
      <c r="V203" s="43">
        <f>'[1]поточний ремонт'!V203+'[2]поточний ремонт'!V203-'[3]поточний ремонт'!V203</f>
        <v>0</v>
      </c>
      <c r="W203" s="43">
        <f>'[1]поточний ремонт'!W203+'[2]поточний ремонт'!W203-'[3]поточний ремонт'!W203</f>
        <v>0</v>
      </c>
      <c r="X203" s="43">
        <f>'[1]поточний ремонт'!X203+'[2]поточний ремонт'!X203-'[3]поточний ремонт'!X203</f>
        <v>0</v>
      </c>
      <c r="Y203" s="43">
        <f>'[1]поточний ремонт'!Y203+'[2]поточний ремонт'!Y203-'[3]поточний ремонт'!Y203</f>
        <v>0</v>
      </c>
      <c r="Z203" s="43">
        <f>'[1]поточний ремонт'!Z203+'[2]поточний ремонт'!Z203-'[3]поточний ремонт'!Z203</f>
        <v>0</v>
      </c>
      <c r="AA203" s="43">
        <f>'[1]поточний ремонт'!AA203+'[2]поточний ремонт'!AA203-'[3]поточний ремонт'!AA203</f>
        <v>0</v>
      </c>
      <c r="AB203" s="43">
        <f>'[1]поточний ремонт'!AB203+'[2]поточний ремонт'!AB203-'[3]поточний ремонт'!AB203</f>
        <v>0</v>
      </c>
      <c r="AC203" s="43">
        <f>'[1]поточний ремонт'!AC203+'[2]поточний ремонт'!AC203-'[3]поточний ремонт'!AC203</f>
        <v>0</v>
      </c>
      <c r="AD203" s="43">
        <f>'[1]поточний ремонт'!AD203+'[2]поточний ремонт'!AD203-'[3]поточний ремонт'!AD203</f>
        <v>0</v>
      </c>
      <c r="AE203" s="43">
        <f>'[1]поточний ремонт'!AE203+'[2]поточний ремонт'!AE203-'[3]поточний ремонт'!AE203</f>
        <v>319.40568632445223</v>
      </c>
      <c r="AF203" s="43">
        <f>'[1]поточний ремонт'!AF203+'[2]поточний ремонт'!AF203-'[3]поточний ремонт'!AF203</f>
        <v>0</v>
      </c>
      <c r="AG203" s="5"/>
      <c r="AH203" s="43">
        <f>'[1]поточний ремонт'!AH203+'[2]поточний ремонт'!AH203-'[3]поточний ремонт'!AH203</f>
        <v>693.859784608008</v>
      </c>
      <c r="AI203" s="43">
        <f>'[1]поточний ремонт'!AI203+'[2]поточний ремонт'!AI203-'[3]поточний ремонт'!AI203</f>
        <v>0</v>
      </c>
      <c r="AJ203" s="5"/>
      <c r="AK203" s="43">
        <f>'[1]поточний ремонт'!AK203+'[2]поточний ремонт'!AK203-'[3]поточний ремонт'!AK203</f>
        <v>0</v>
      </c>
      <c r="AL203" s="43">
        <f>'[1]поточний ремонт'!AL203+'[2]поточний ремонт'!AL203-'[3]поточний ремонт'!AL203</f>
        <v>0</v>
      </c>
      <c r="AM203" s="5"/>
      <c r="AN203" s="43">
        <f>'[1]поточний ремонт'!AN203+'[2]поточний ремонт'!AN203-'[3]поточний ремонт'!AN203</f>
        <v>0</v>
      </c>
      <c r="AO203" s="43">
        <f>'[1]поточний ремонт'!AO203+'[2]поточний ремонт'!AO203-'[3]поточний ремонт'!AO203</f>
        <v>0</v>
      </c>
      <c r="AP203" s="5"/>
      <c r="AQ203" s="43">
        <f>'[1]поточний ремонт'!AQ203+'[2]поточний ремонт'!AQ203-'[3]поточний ремонт'!AQ203</f>
        <v>0</v>
      </c>
      <c r="AR203" s="43">
        <f>'[1]поточний ремонт'!AR203+'[2]поточний ремонт'!AR203-'[3]поточний ремонт'!AR203</f>
        <v>0</v>
      </c>
      <c r="AS203" s="5"/>
      <c r="AT203" s="43">
        <f>'[1]поточний ремонт'!AT203+'[2]поточний ремонт'!AT203-'[3]поточний ремонт'!AT203</f>
        <v>118.62766249183653</v>
      </c>
      <c r="AU203" s="43">
        <f>'[1]поточний ремонт'!AU203+'[2]поточний ремонт'!AU203-'[3]поточний ремонт'!AU203</f>
        <v>0</v>
      </c>
      <c r="AV203" s="5"/>
      <c r="AW203" s="43">
        <f>'[1]поточний ремонт'!AW203+'[2]поточний ремонт'!AW203-'[3]поточний ремонт'!AW203</f>
        <v>0</v>
      </c>
      <c r="AX203" s="43">
        <f>'[1]поточний ремонт'!AX203+'[2]поточний ремонт'!AX203-'[3]поточний ремонт'!AX203</f>
        <v>0</v>
      </c>
      <c r="AY203" s="5"/>
      <c r="AZ203" s="43">
        <f t="shared" si="18"/>
        <v>1131.8931334242966</v>
      </c>
      <c r="BA203" s="43">
        <f t="shared" si="19"/>
        <v>0</v>
      </c>
      <c r="BB203" s="59">
        <f t="shared" si="20"/>
        <v>-1131.8931334242966</v>
      </c>
      <c r="BD203" s="2">
        <v>2</v>
      </c>
      <c r="BF203" s="30">
        <v>0.59138090777549635</v>
      </c>
      <c r="BG203" s="328">
        <v>150000926</v>
      </c>
      <c r="BI203" s="107">
        <v>0</v>
      </c>
      <c r="BJ203" s="107">
        <f t="shared" si="21"/>
        <v>0</v>
      </c>
      <c r="BK203" s="107">
        <v>0</v>
      </c>
      <c r="BL203" s="39"/>
      <c r="BM203" s="3"/>
      <c r="BN203" s="3">
        <v>0</v>
      </c>
      <c r="BP203" s="3"/>
      <c r="BQ203" s="3"/>
      <c r="BS203" s="43"/>
      <c r="BT203" s="43">
        <v>0</v>
      </c>
      <c r="BU203" s="1037"/>
      <c r="BV203" s="42"/>
      <c r="BW203" s="43"/>
      <c r="BX203" s="37"/>
      <c r="BY203" s="78"/>
      <c r="BZ203" s="43">
        <v>0</v>
      </c>
      <c r="CA203" s="1038"/>
      <c r="CB203" s="42"/>
      <c r="CC203" s="42">
        <v>0</v>
      </c>
      <c r="CD203" s="1039"/>
      <c r="CE203" s="78">
        <v>0</v>
      </c>
      <c r="CF203" s="56"/>
      <c r="CG203" s="42">
        <v>0</v>
      </c>
      <c r="CH203" s="39">
        <v>0</v>
      </c>
      <c r="CI203" s="78">
        <v>0</v>
      </c>
      <c r="CJ203" s="56"/>
      <c r="CK203" s="1034"/>
      <c r="CL203" s="1029"/>
      <c r="CM203" s="1034"/>
      <c r="CN203" s="1029">
        <v>0</v>
      </c>
      <c r="CO203" s="78">
        <v>26.61714052703768</v>
      </c>
      <c r="CP203" s="43">
        <v>0</v>
      </c>
      <c r="CQ203" s="5"/>
      <c r="CR203" s="78">
        <v>57.821648717333993</v>
      </c>
      <c r="CS203" s="1033">
        <v>0</v>
      </c>
      <c r="CT203" s="5"/>
      <c r="CU203" s="78">
        <v>0</v>
      </c>
      <c r="CV203" s="43">
        <v>0</v>
      </c>
      <c r="CW203" s="5"/>
      <c r="CX203" s="78">
        <v>0</v>
      </c>
      <c r="CY203" s="43">
        <v>0</v>
      </c>
      <c r="CZ203" s="5"/>
      <c r="DA203" s="78">
        <v>0</v>
      </c>
      <c r="DB203" s="43">
        <v>0</v>
      </c>
      <c r="DC203" s="5"/>
      <c r="DD203" s="78">
        <v>9.8856385409863776</v>
      </c>
      <c r="DE203" s="43">
        <v>0</v>
      </c>
      <c r="DF203" s="5"/>
      <c r="DG203" s="78">
        <v>0</v>
      </c>
      <c r="DH203" s="43"/>
      <c r="DI203" s="5"/>
      <c r="DJ203" s="43">
        <v>94.324427785358054</v>
      </c>
      <c r="DK203" s="43">
        <f t="shared" si="22"/>
        <v>0</v>
      </c>
      <c r="DL203" s="59">
        <f t="shared" si="23"/>
        <v>-94.324427785358054</v>
      </c>
    </row>
    <row r="204" spans="1:116" ht="24.9" customHeight="1" x14ac:dyDescent="0.3">
      <c r="A204" s="328">
        <v>150000940</v>
      </c>
      <c r="B204" s="45" t="s">
        <v>376</v>
      </c>
      <c r="C204" s="1035">
        <v>9</v>
      </c>
      <c r="D204" s="1036" t="s">
        <v>454</v>
      </c>
      <c r="E204" s="1028">
        <f>'побудинковий звіт'!E202</f>
        <v>2128.4299999999998</v>
      </c>
      <c r="F204" s="1029">
        <f>'побудинковий звіт'!AS202</f>
        <v>119099.64795409072</v>
      </c>
      <c r="G204" s="1029">
        <f t="shared" si="24"/>
        <v>218183</v>
      </c>
      <c r="H204" s="1029">
        <f t="shared" si="25"/>
        <v>99083.352045909283</v>
      </c>
      <c r="I204" s="43">
        <f>'[1]поточний ремонт'!I204+'[2]поточний ремонт'!I204-'[3]поточний ремонт'!I204</f>
        <v>44.8</v>
      </c>
      <c r="J204" s="43">
        <f>'[1]поточний ремонт'!J204+'[2]поточний ремонт'!J204-'[3]поточний ремонт'!J204</f>
        <v>13991</v>
      </c>
      <c r="K204" s="1037"/>
      <c r="L204" s="43">
        <f>'[1]поточний ремонт'!L204+'[2]поточний ремонт'!L204-'[3]поточний ремонт'!L204</f>
        <v>1</v>
      </c>
      <c r="M204" s="43">
        <f>'[1]поточний ремонт'!M204+'[2]поточний ремонт'!M204-'[3]поточний ремонт'!M204</f>
        <v>130856</v>
      </c>
      <c r="N204" s="1040"/>
      <c r="O204" s="43">
        <f>'[1]поточний ремонт'!O204+'[2]поточний ремонт'!O204-'[3]поточний ремонт'!O204</f>
        <v>113</v>
      </c>
      <c r="P204" s="43">
        <f>'[1]поточний ремонт'!P204+'[2]поточний ремонт'!P204-'[3]поточний ремонт'!P204</f>
        <v>33517</v>
      </c>
      <c r="Q204" s="1038"/>
      <c r="R204" s="43">
        <f>'[1]поточний ремонт'!R204+'[2]поточний ремонт'!R204-'[3]поточний ремонт'!R204</f>
        <v>1</v>
      </c>
      <c r="S204" s="43">
        <f>'[1]поточний ремонт'!S204+'[2]поточний ремонт'!S204-'[3]поточний ремонт'!S204</f>
        <v>3272</v>
      </c>
      <c r="T204" s="1048"/>
      <c r="U204" s="43">
        <f>'[1]поточний ремонт'!U204+'[2]поточний ремонт'!U204-'[3]поточний ремонт'!U204</f>
        <v>0</v>
      </c>
      <c r="V204" s="43">
        <f>'[1]поточний ремонт'!V204+'[2]поточний ремонт'!V204-'[3]поточний ремонт'!V204</f>
        <v>0</v>
      </c>
      <c r="W204" s="43">
        <f>'[1]поточний ремонт'!W204+'[2]поточний ремонт'!W204-'[3]поточний ремонт'!W204</f>
        <v>0</v>
      </c>
      <c r="X204" s="43">
        <f>'[1]поточний ремонт'!X204+'[2]поточний ремонт'!X204-'[3]поточний ремонт'!X204</f>
        <v>0</v>
      </c>
      <c r="Y204" s="43">
        <f>'[1]поточний ремонт'!Y204+'[2]поточний ремонт'!Y204-'[3]поточний ремонт'!Y204</f>
        <v>19229</v>
      </c>
      <c r="Z204" s="43">
        <f>'[1]поточний ремонт'!Z204+'[2]поточний ремонт'!Z204-'[3]поточний ремонт'!Z204</f>
        <v>0</v>
      </c>
      <c r="AA204" s="43">
        <f>'[1]поточний ремонт'!AA204+'[2]поточний ремонт'!AA204-'[3]поточний ремонт'!AA204</f>
        <v>0</v>
      </c>
      <c r="AB204" s="43">
        <f>'[1]поточний ремонт'!AB204+'[2]поточний ремонт'!AB204-'[3]поточний ремонт'!AB204</f>
        <v>0</v>
      </c>
      <c r="AC204" s="43">
        <f>'[1]поточний ремонт'!AC204+'[2]поточний ремонт'!AC204-'[3]поточний ремонт'!AC204</f>
        <v>11241</v>
      </c>
      <c r="AD204" s="43">
        <f>'[1]поточний ремонт'!AD204+'[2]поточний ремонт'!AD204-'[3]поточний ремонт'!AD204</f>
        <v>6077</v>
      </c>
      <c r="AE204" s="43">
        <f>'[1]поточний ремонт'!AE204+'[2]поточний ремонт'!AE204-'[3]поточний ремонт'!AE204</f>
        <v>1711.9350434285948</v>
      </c>
      <c r="AF204" s="43">
        <f>'[1]поточний ремонт'!AF204+'[2]поточний ремонт'!AF204-'[3]поточний ремонт'!AF204</f>
        <v>1882</v>
      </c>
      <c r="AG204" s="5"/>
      <c r="AH204" s="43">
        <f>'[1]поточний ремонт'!AH204+'[2]поточний ремонт'!AH204-'[3]поточний ремонт'!AH204</f>
        <v>2341.9396050431133</v>
      </c>
      <c r="AI204" s="43">
        <f>'[1]поточний ремонт'!AI204+'[2]поточний ремонт'!AI204-'[3]поточний ремонт'!AI204</f>
        <v>2462</v>
      </c>
      <c r="AJ204" s="5"/>
      <c r="AK204" s="43">
        <f>'[1]поточний ремонт'!AK204+'[2]поточний ремонт'!AK204-'[3]поточний ремонт'!AK204</f>
        <v>2924.9722644413009</v>
      </c>
      <c r="AL204" s="43">
        <f>'[1]поточний ремонт'!AL204+'[2]поточний ремонт'!AL204-'[3]поточний ремонт'!AL204</f>
        <v>0</v>
      </c>
      <c r="AM204" s="5"/>
      <c r="AN204" s="43">
        <f>'[1]поточний ремонт'!AN204+'[2]поточний ремонт'!AN204-'[3]поточний ремонт'!AN204</f>
        <v>1204.5640437955815</v>
      </c>
      <c r="AO204" s="43">
        <f>'[1]поточний ремонт'!AO204+'[2]поточний ремонт'!AO204-'[3]поточний ремонт'!AO204</f>
        <v>0</v>
      </c>
      <c r="AP204" s="5"/>
      <c r="AQ204" s="43">
        <f>'[1]поточний ремонт'!AQ204+'[2]поточний ремонт'!AQ204-'[3]поточний ремонт'!AQ204</f>
        <v>593.65087276649558</v>
      </c>
      <c r="AR204" s="43">
        <f>'[1]поточний ремонт'!AR204+'[2]поточний ремонт'!AR204-'[3]поточний ремонт'!AR204</f>
        <v>293</v>
      </c>
      <c r="AS204" s="5"/>
      <c r="AT204" s="43">
        <f>'[1]поточний ремонт'!AT204+'[2]поточний ремонт'!AT204-'[3]поточний ремонт'!AT204</f>
        <v>1921.9578725387271</v>
      </c>
      <c r="AU204" s="43">
        <f>'[1]поточний ремонт'!AU204+'[2]поточний ремонт'!AU204-'[3]поточний ремонт'!AU204</f>
        <v>4010</v>
      </c>
      <c r="AV204" s="5"/>
      <c r="AW204" s="43">
        <f>'[1]поточний ремонт'!AW204+'[2]поточний ремонт'!AW204-'[3]поточний ремонт'!AW204</f>
        <v>858.12972459995842</v>
      </c>
      <c r="AX204" s="43">
        <f>'[1]поточний ремонт'!AX204+'[2]поточний ремонт'!AX204-'[3]поточний ремонт'!AX204</f>
        <v>0</v>
      </c>
      <c r="AY204" s="5"/>
      <c r="AZ204" s="43">
        <f t="shared" ref="AZ204:AZ267" si="26">AE204+AH204+AK204+AN204+AQ204+AT204+AW204</f>
        <v>11557.149426613771</v>
      </c>
      <c r="BA204" s="43">
        <f t="shared" ref="BA204:BA267" si="27">AF204+AI204+AL204+AO204+AR204+AU204+AX204</f>
        <v>8647</v>
      </c>
      <c r="BB204" s="59">
        <f t="shared" ref="BB204:BB267" si="28">BA204-AZ204</f>
        <v>-2910.1494266137706</v>
      </c>
      <c r="BD204" s="2">
        <v>1</v>
      </c>
      <c r="BF204" s="30">
        <v>399.77985821925358</v>
      </c>
      <c r="BG204" s="328">
        <v>150000940</v>
      </c>
      <c r="BI204" s="107">
        <v>0</v>
      </c>
      <c r="BJ204" s="107">
        <f t="shared" ref="BJ204:BJ267" si="29">BI204*$BJ$10</f>
        <v>0</v>
      </c>
      <c r="BK204" s="107">
        <v>0</v>
      </c>
      <c r="BL204" s="39"/>
      <c r="BM204" s="3"/>
      <c r="BN204" s="3">
        <v>0</v>
      </c>
      <c r="BP204" s="3"/>
      <c r="BQ204" s="3"/>
      <c r="BS204" s="43"/>
      <c r="BT204" s="43">
        <v>0</v>
      </c>
      <c r="BU204" s="1037"/>
      <c r="BV204" s="42"/>
      <c r="BW204" s="43"/>
      <c r="BX204" s="1040"/>
      <c r="BY204" s="78"/>
      <c r="BZ204" s="43">
        <v>0</v>
      </c>
      <c r="CA204" s="1038"/>
      <c r="CB204" s="42"/>
      <c r="CC204" s="42">
        <v>0</v>
      </c>
      <c r="CD204" s="1048"/>
      <c r="CE204" s="78">
        <v>0</v>
      </c>
      <c r="CF204" s="56"/>
      <c r="CG204" s="42">
        <v>0</v>
      </c>
      <c r="CH204" s="39">
        <v>0</v>
      </c>
      <c r="CI204" s="78">
        <v>0</v>
      </c>
      <c r="CJ204" s="56"/>
      <c r="CK204" s="1034"/>
      <c r="CL204" s="1029">
        <v>691</v>
      </c>
      <c r="CM204" s="1034"/>
      <c r="CN204" s="1029">
        <v>0</v>
      </c>
      <c r="CO204" s="78">
        <v>142.66125361904955</v>
      </c>
      <c r="CP204" s="43">
        <v>0</v>
      </c>
      <c r="CQ204" s="5"/>
      <c r="CR204" s="78">
        <v>195.16163375359278</v>
      </c>
      <c r="CS204" s="1033">
        <v>0</v>
      </c>
      <c r="CT204" s="5"/>
      <c r="CU204" s="78">
        <v>243.74768870344172</v>
      </c>
      <c r="CV204" s="43">
        <v>0</v>
      </c>
      <c r="CW204" s="5"/>
      <c r="CX204" s="78">
        <v>100.38033698296513</v>
      </c>
      <c r="CY204" s="43">
        <v>0</v>
      </c>
      <c r="CZ204" s="5"/>
      <c r="DA204" s="78">
        <v>49.470906063874629</v>
      </c>
      <c r="DB204" s="43">
        <v>0</v>
      </c>
      <c r="DC204" s="5"/>
      <c r="DD204" s="78">
        <v>160.16315604489395</v>
      </c>
      <c r="DE204" s="43">
        <v>1912.0284114463725</v>
      </c>
      <c r="DF204" s="5"/>
      <c r="DG204" s="78">
        <v>71.510810383329883</v>
      </c>
      <c r="DH204" s="43"/>
      <c r="DI204" s="5"/>
      <c r="DJ204" s="43">
        <v>963.09578555114763</v>
      </c>
      <c r="DK204" s="43">
        <f t="shared" ref="DK204:DK267" si="30">CP204+CS204+CV204+CY204+DB204+DE204+DH204</f>
        <v>1912.0284114463725</v>
      </c>
      <c r="DL204" s="59">
        <f t="shared" ref="DL204:DL267" si="31">DK204-DJ204</f>
        <v>948.93262589522487</v>
      </c>
    </row>
    <row r="205" spans="1:116" ht="24.9" customHeight="1" x14ac:dyDescent="0.3">
      <c r="A205" s="328">
        <v>150000941</v>
      </c>
      <c r="B205" s="45" t="s">
        <v>337</v>
      </c>
      <c r="C205" s="1035">
        <v>8</v>
      </c>
      <c r="D205" s="1036" t="s">
        <v>454</v>
      </c>
      <c r="E205" s="1028">
        <f>'побудинковий звіт'!E203</f>
        <v>354.3</v>
      </c>
      <c r="F205" s="1029">
        <f>'побудинковий звіт'!AS203</f>
        <v>116695.30522629039</v>
      </c>
      <c r="G205" s="1029">
        <f t="shared" si="24"/>
        <v>147114</v>
      </c>
      <c r="H205" s="1029">
        <f t="shared" si="25"/>
        <v>30418.694773709605</v>
      </c>
      <c r="I205" s="43">
        <f>'[1]поточний ремонт'!I205+'[2]поточний ремонт'!I205-'[3]поточний ремонт'!I205</f>
        <v>0</v>
      </c>
      <c r="J205" s="43">
        <f>'[1]поточний ремонт'!J205+'[2]поточний ремонт'!J205-'[3]поточний ремонт'!J205</f>
        <v>0</v>
      </c>
      <c r="K205" s="1037"/>
      <c r="L205" s="43">
        <f>'[1]поточний ремонт'!L205+'[2]поточний ремонт'!L205-'[3]поточний ремонт'!L205</f>
        <v>1</v>
      </c>
      <c r="M205" s="43">
        <f>'[1]поточний ремонт'!M205+'[2]поточний ремонт'!M205-'[3]поточний ремонт'!M205</f>
        <v>70697</v>
      </c>
      <c r="N205" s="37"/>
      <c r="O205" s="43">
        <f>'[1]поточний ремонт'!O205+'[2]поточний ремонт'!O205-'[3]поточний ремонт'!O205</f>
        <v>180</v>
      </c>
      <c r="P205" s="43">
        <f>'[1]поточний ремонт'!P205+'[2]поточний ремонт'!P205-'[3]поточний ремонт'!P205</f>
        <v>51505</v>
      </c>
      <c r="Q205" s="1038"/>
      <c r="R205" s="43">
        <f>'[1]поточний ремонт'!R205+'[2]поточний ремонт'!R205-'[3]поточний ремонт'!R205</f>
        <v>1</v>
      </c>
      <c r="S205" s="43">
        <f>'[1]поточний ремонт'!S205+'[2]поточний ремонт'!S205-'[3]поточний ремонт'!S205</f>
        <v>18772</v>
      </c>
      <c r="T205" s="1047"/>
      <c r="U205" s="43">
        <f>'[1]поточний ремонт'!U205+'[2]поточний ремонт'!U205-'[3]поточний ремонт'!U205</f>
        <v>0</v>
      </c>
      <c r="V205" s="43">
        <f>'[1]поточний ремонт'!V205+'[2]поточний ремонт'!V205-'[3]поточний ремонт'!V205</f>
        <v>0</v>
      </c>
      <c r="W205" s="43">
        <f>'[1]поточний ремонт'!W205+'[2]поточний ремонт'!W205-'[3]поточний ремонт'!W205</f>
        <v>0</v>
      </c>
      <c r="X205" s="43">
        <f>'[1]поточний ремонт'!X205+'[2]поточний ремонт'!X205-'[3]поточний ремонт'!X205</f>
        <v>0</v>
      </c>
      <c r="Y205" s="43">
        <f>'[1]поточний ремонт'!Y205+'[2]поточний ремонт'!Y205-'[3]поточний ремонт'!Y205</f>
        <v>0</v>
      </c>
      <c r="Z205" s="43">
        <f>'[1]поточний ремонт'!Z205+'[2]поточний ремонт'!Z205-'[3]поточний ремонт'!Z205</f>
        <v>0</v>
      </c>
      <c r="AA205" s="43">
        <f>'[1]поточний ремонт'!AA205+'[2]поточний ремонт'!AA205-'[3]поточний ремонт'!AA205</f>
        <v>0</v>
      </c>
      <c r="AB205" s="43">
        <f>'[1]поточний ремонт'!AB205+'[2]поточний ремонт'!AB205-'[3]поточний ремонт'!AB205</f>
        <v>0</v>
      </c>
      <c r="AC205" s="43">
        <f>'[1]поточний ремонт'!AC205+'[2]поточний ремонт'!AC205-'[3]поточний ремонт'!AC205</f>
        <v>2355</v>
      </c>
      <c r="AD205" s="43">
        <f>'[1]поточний ремонт'!AD205+'[2]поточний ремонт'!AD205-'[3]поточний ремонт'!AD205</f>
        <v>3785</v>
      </c>
      <c r="AE205" s="43">
        <f>'[1]поточний ремонт'!AE205+'[2]поточний ремонт'!AE205-'[3]поточний ремонт'!AE205</f>
        <v>518.65821468004685</v>
      </c>
      <c r="AF205" s="43">
        <f>'[1]поточний ремонт'!AF205+'[2]поточний ремонт'!AF205-'[3]поточний ремонт'!AF205</f>
        <v>1068</v>
      </c>
      <c r="AG205" s="5"/>
      <c r="AH205" s="43">
        <f>'[1]поточний ремонт'!AH205+'[2]поточний ремонт'!AH205-'[3]поточний ремонт'!AH205</f>
        <v>720.85312188444175</v>
      </c>
      <c r="AI205" s="43">
        <f>'[1]поточний ремонт'!AI205+'[2]поточний ремонт'!AI205-'[3]поточний ремонт'!AI205</f>
        <v>9494</v>
      </c>
      <c r="AJ205" s="5"/>
      <c r="AK205" s="43">
        <f>'[1]поточний ремонт'!AK205+'[2]поточний ремонт'!AK205-'[3]поточний ремонт'!AK205</f>
        <v>460.44911046176537</v>
      </c>
      <c r="AL205" s="43">
        <f>'[1]поточний ремонт'!AL205+'[2]поточний ремонт'!AL205-'[3]поточний ремонт'!AL205</f>
        <v>417.83672428403412</v>
      </c>
      <c r="AM205" s="5"/>
      <c r="AN205" s="43">
        <f>'[1]поточний ремонт'!AN205+'[2]поточний ремонт'!AN205-'[3]поточний ремонт'!AN205</f>
        <v>427.96207125221179</v>
      </c>
      <c r="AO205" s="43">
        <f>'[1]поточний ремонт'!AO205+'[2]поточний ремонт'!AO205-'[3]поточний ремонт'!AO205</f>
        <v>0</v>
      </c>
      <c r="AP205" s="5"/>
      <c r="AQ205" s="43">
        <f>'[1]поточний ремонт'!AQ205+'[2]поточний ремонт'!AQ205-'[3]поточний ремонт'!AQ205</f>
        <v>331.91870979101282</v>
      </c>
      <c r="AR205" s="43">
        <f>'[1]поточний ремонт'!AR205+'[2]поточний ремонт'!AR205-'[3]поточний ремонт'!AR205</f>
        <v>0</v>
      </c>
      <c r="AS205" s="5"/>
      <c r="AT205" s="43">
        <f>'[1]поточний ремонт'!AT205+'[2]поточний ремонт'!AT205-'[3]поточний ремонт'!AT205</f>
        <v>685.16561559866182</v>
      </c>
      <c r="AU205" s="43">
        <f>'[1]поточний ремонт'!AU205+'[2]поточний ремонт'!AU205-'[3]поточний ремонт'!AU205</f>
        <v>6186</v>
      </c>
      <c r="AV205" s="5"/>
      <c r="AW205" s="43">
        <f>'[1]поточний ремонт'!AW205+'[2]поточний ремонт'!AW205-'[3]поточний ремонт'!AW205</f>
        <v>1083.9309770510965</v>
      </c>
      <c r="AX205" s="43">
        <f>'[1]поточний ремонт'!AX205+'[2]поточний ремонт'!AX205-'[3]поточний ремонт'!AX205</f>
        <v>0</v>
      </c>
      <c r="AY205" s="5"/>
      <c r="AZ205" s="43">
        <f t="shared" si="26"/>
        <v>4228.9378207192367</v>
      </c>
      <c r="BA205" s="43">
        <f t="shared" si="27"/>
        <v>17165.836724284032</v>
      </c>
      <c r="BB205" s="59">
        <f t="shared" si="28"/>
        <v>12936.898903564796</v>
      </c>
      <c r="BD205" s="2">
        <v>1</v>
      </c>
      <c r="BF205" s="30">
        <v>298.55495995692252</v>
      </c>
      <c r="BG205" s="328">
        <v>150000941</v>
      </c>
      <c r="BI205" s="107">
        <v>0</v>
      </c>
      <c r="BJ205" s="107">
        <f t="shared" si="29"/>
        <v>0</v>
      </c>
      <c r="BK205" s="107">
        <v>0</v>
      </c>
      <c r="BL205" s="39"/>
      <c r="BM205" s="3"/>
      <c r="BN205" s="3">
        <v>0</v>
      </c>
      <c r="BP205" s="3"/>
      <c r="BQ205" s="3"/>
      <c r="BS205" s="43">
        <v>11.8</v>
      </c>
      <c r="BT205" s="43">
        <v>5670.1800437171096</v>
      </c>
      <c r="BU205" s="1037"/>
      <c r="BV205" s="42"/>
      <c r="BW205" s="43"/>
      <c r="BX205" s="37"/>
      <c r="BY205" s="78"/>
      <c r="BZ205" s="43">
        <v>0</v>
      </c>
      <c r="CA205" s="1038"/>
      <c r="CB205" s="42"/>
      <c r="CC205" s="42">
        <v>0</v>
      </c>
      <c r="CD205" s="1047"/>
      <c r="CE205" s="78">
        <v>0</v>
      </c>
      <c r="CF205" s="56"/>
      <c r="CG205" s="42">
        <v>0</v>
      </c>
      <c r="CH205" s="39">
        <v>0</v>
      </c>
      <c r="CI205" s="78">
        <v>0</v>
      </c>
      <c r="CJ205" s="56"/>
      <c r="CK205" s="1034"/>
      <c r="CL205" s="1029"/>
      <c r="CM205" s="1034"/>
      <c r="CN205" s="1029">
        <v>172.95297588114539</v>
      </c>
      <c r="CO205" s="78">
        <v>43.221517890003916</v>
      </c>
      <c r="CP205" s="43">
        <v>0</v>
      </c>
      <c r="CQ205" s="5"/>
      <c r="CR205" s="78">
        <v>60.071093490370153</v>
      </c>
      <c r="CS205" s="1033">
        <v>3217.4169540991775</v>
      </c>
      <c r="CT205" s="5"/>
      <c r="CU205" s="78">
        <v>38.37075920514711</v>
      </c>
      <c r="CV205" s="43">
        <v>0</v>
      </c>
      <c r="CW205" s="5"/>
      <c r="CX205" s="78">
        <v>35.66350593768432</v>
      </c>
      <c r="CY205" s="43">
        <v>1147.1165379870235</v>
      </c>
      <c r="CZ205" s="5"/>
      <c r="DA205" s="78">
        <v>27.659892482584404</v>
      </c>
      <c r="DB205" s="43">
        <v>0</v>
      </c>
      <c r="DC205" s="5"/>
      <c r="DD205" s="78">
        <v>57.097134633221827</v>
      </c>
      <c r="DE205" s="43">
        <v>0</v>
      </c>
      <c r="DF205" s="5"/>
      <c r="DG205" s="78">
        <v>90.327581420924687</v>
      </c>
      <c r="DH205" s="43"/>
      <c r="DI205" s="5"/>
      <c r="DJ205" s="43">
        <v>352.41148505993641</v>
      </c>
      <c r="DK205" s="43">
        <f t="shared" si="30"/>
        <v>4364.5334920862006</v>
      </c>
      <c r="DL205" s="59">
        <f t="shared" si="31"/>
        <v>4012.1220070262643</v>
      </c>
    </row>
    <row r="206" spans="1:116" ht="24.9" customHeight="1" x14ac:dyDescent="0.3">
      <c r="A206" s="328">
        <v>150000957</v>
      </c>
      <c r="B206" s="45" t="s">
        <v>377</v>
      </c>
      <c r="C206" s="1035">
        <v>9</v>
      </c>
      <c r="D206" s="1036" t="s">
        <v>454</v>
      </c>
      <c r="E206" s="1028">
        <f>'побудинковий звіт'!E204</f>
        <v>397.4</v>
      </c>
      <c r="F206" s="1029">
        <f>'побудинковий звіт'!AS204</f>
        <v>32768.194578228235</v>
      </c>
      <c r="G206" s="1029">
        <f t="shared" si="24"/>
        <v>32380.391887656107</v>
      </c>
      <c r="H206" s="1029">
        <f t="shared" si="25"/>
        <v>-387.80269057212718</v>
      </c>
      <c r="I206" s="43">
        <f>'[1]поточний ремонт'!I206+'[2]поточний ремонт'!I206-'[3]поточний ремонт'!I206</f>
        <v>0</v>
      </c>
      <c r="J206" s="43">
        <f>'[1]поточний ремонт'!J206+'[2]поточний ремонт'!J206-'[3]поточний ремонт'!J206</f>
        <v>0</v>
      </c>
      <c r="K206" s="1037"/>
      <c r="L206" s="43">
        <f>'[1]поточний ремонт'!L206+'[2]поточний ремонт'!L206-'[3]поточний ремонт'!L206</f>
        <v>0</v>
      </c>
      <c r="M206" s="43">
        <f>'[1]поточний ремонт'!M206+'[2]поточний ремонт'!M206-'[3]поточний ремонт'!M206</f>
        <v>0</v>
      </c>
      <c r="N206" s="37"/>
      <c r="O206" s="43">
        <f>'[1]поточний ремонт'!O206+'[2]поточний ремонт'!O206-'[3]поточний ремонт'!O206</f>
        <v>0</v>
      </c>
      <c r="P206" s="43">
        <f>'[1]поточний ремонт'!P206+'[2]поточний ремонт'!P206-'[3]поточний ремонт'!P206</f>
        <v>0</v>
      </c>
      <c r="Q206" s="1038"/>
      <c r="R206" s="43">
        <f>'[1]поточний ремонт'!R206+'[2]поточний ремонт'!R206-'[3]поточний ремонт'!R206</f>
        <v>2</v>
      </c>
      <c r="S206" s="43">
        <f>'[1]поточний ремонт'!S206+'[2]поточний ремонт'!S206-'[3]поточний ремонт'!S206</f>
        <v>22874</v>
      </c>
      <c r="T206" s="1039"/>
      <c r="U206" s="43">
        <f>'[1]поточний ремонт'!U206+'[2]поточний ремонт'!U206-'[3]поточний ремонт'!U206</f>
        <v>0</v>
      </c>
      <c r="V206" s="43">
        <f>'[1]поточний ремонт'!V206+'[2]поточний ремонт'!V206-'[3]поточний ремонт'!V206</f>
        <v>0</v>
      </c>
      <c r="W206" s="43">
        <f>'[1]поточний ремонт'!W206+'[2]поточний ремонт'!W206-'[3]поточний ремонт'!W206</f>
        <v>1</v>
      </c>
      <c r="X206" s="43">
        <f>'[1]поточний ремонт'!X206+'[2]поточний ремонт'!X206-'[3]поточний ремонт'!X206</f>
        <v>897.39188765610743</v>
      </c>
      <c r="Y206" s="43">
        <f>'[1]поточний ремонт'!Y206+'[2]поточний ремонт'!Y206-'[3]поточний ремонт'!Y206</f>
        <v>0</v>
      </c>
      <c r="Z206" s="43">
        <f>'[1]поточний ремонт'!Z206+'[2]поточний ремонт'!Z206-'[3]поточний ремонт'!Z206</f>
        <v>0</v>
      </c>
      <c r="AA206" s="43">
        <f>'[1]поточний ремонт'!AA206+'[2]поточний ремонт'!AA206-'[3]поточний ремонт'!AA206</f>
        <v>0</v>
      </c>
      <c r="AB206" s="43">
        <f>'[1]поточний ремонт'!AB206+'[2]поточний ремонт'!AB206-'[3]поточний ремонт'!AB206</f>
        <v>0</v>
      </c>
      <c r="AC206" s="43">
        <f>'[1]поточний ремонт'!AC206+'[2]поточний ремонт'!AC206-'[3]поточний ремонт'!AC206</f>
        <v>5449</v>
      </c>
      <c r="AD206" s="43">
        <f>'[1]поточний ремонт'!AD206+'[2]поточний ремонт'!AD206-'[3]поточний ремонт'!AD206</f>
        <v>3160</v>
      </c>
      <c r="AE206" s="43">
        <f>'[1]поточний ремонт'!AE206+'[2]поточний ремонт'!AE206-'[3]поточний ремонт'!AE206</f>
        <v>638.76026908335007</v>
      </c>
      <c r="AF206" s="43">
        <f>'[1]поточний ремонт'!AF206+'[2]поточний ремонт'!AF206-'[3]поточний ремонт'!AF206</f>
        <v>306</v>
      </c>
      <c r="AG206" s="1045"/>
      <c r="AH206" s="43">
        <f>'[1]поточний ремонт'!AH206+'[2]поточний ремонт'!AH206-'[3]поточний ремонт'!AH206</f>
        <v>797.49583455525658</v>
      </c>
      <c r="AI206" s="43">
        <f>'[1]поточний ремонт'!AI206+'[2]поточний ремонт'!AI206-'[3]поточний ремонт'!AI206</f>
        <v>0</v>
      </c>
      <c r="AJ206" s="1045"/>
      <c r="AK206" s="43">
        <f>'[1]поточний ремонт'!AK206+'[2]поточний ремонт'!AK206-'[3]поточний ремонт'!AK206</f>
        <v>578.97626593541065</v>
      </c>
      <c r="AL206" s="43">
        <f>'[1]поточний ремонт'!AL206+'[2]поточний ремонт'!AL206-'[3]поточний ремонт'!AL206</f>
        <v>2097.6072908387187</v>
      </c>
      <c r="AM206" s="5"/>
      <c r="AN206" s="43">
        <f>'[1]поточний ремонт'!AN206+'[2]поточний ремонт'!AN206-'[3]поточний ремонт'!AN206</f>
        <v>409.86745939380518</v>
      </c>
      <c r="AO206" s="43">
        <f>'[1]поточний ремонт'!AO206+'[2]поточний ремонт'!AO206-'[3]поточний ремонт'!AO206</f>
        <v>402</v>
      </c>
      <c r="AP206" s="5"/>
      <c r="AQ206" s="43">
        <f>'[1]поточний ремонт'!AQ206+'[2]поточний ремонт'!AQ206-'[3]поточний ремонт'!AQ206</f>
        <v>197.88370594614832</v>
      </c>
      <c r="AR206" s="43">
        <f>'[1]поточний ремонт'!AR206+'[2]поточний ремонт'!AR206-'[3]поточний ремонт'!AR206</f>
        <v>0</v>
      </c>
      <c r="AS206" s="5"/>
      <c r="AT206" s="43">
        <f>'[1]поточний ремонт'!AT206+'[2]поточний ремонт'!AT206-'[3]поточний ремонт'!AT206</f>
        <v>261.75775971467539</v>
      </c>
      <c r="AU206" s="43">
        <f>'[1]поточний ремонт'!AU206+'[2]поточний ремонт'!AU206-'[3]поточний ремонт'!AU206</f>
        <v>1263</v>
      </c>
      <c r="AV206" s="9"/>
      <c r="AW206" s="43">
        <f>'[1]поточний ремонт'!AW206+'[2]поточний ремонт'!AW206-'[3]поточний ремонт'!AW206</f>
        <v>230.79347501263138</v>
      </c>
      <c r="AX206" s="43">
        <f>'[1]поточний ремонт'!AX206+'[2]поточний ремонт'!AX206-'[3]поточний ремонт'!AX206</f>
        <v>0</v>
      </c>
      <c r="AY206" s="5"/>
      <c r="AZ206" s="43">
        <f t="shared" si="26"/>
        <v>3115.5347696412782</v>
      </c>
      <c r="BA206" s="43">
        <f t="shared" si="27"/>
        <v>4068.6072908387187</v>
      </c>
      <c r="BB206" s="59">
        <f t="shared" si="28"/>
        <v>953.07252119744044</v>
      </c>
      <c r="BD206" s="2">
        <v>1</v>
      </c>
      <c r="BF206" s="30">
        <v>197.82515482680583</v>
      </c>
      <c r="BG206" s="328">
        <v>150000957</v>
      </c>
      <c r="BI206" s="107">
        <v>60.920000000000009</v>
      </c>
      <c r="BJ206" s="107">
        <f t="shared" si="29"/>
        <v>8.5691412240000009</v>
      </c>
      <c r="BK206" s="107">
        <v>70.258170692320007</v>
      </c>
      <c r="BL206" s="39"/>
      <c r="BM206" s="3"/>
      <c r="BN206" s="3">
        <v>0</v>
      </c>
      <c r="BP206" s="3"/>
      <c r="BQ206" s="3"/>
      <c r="BS206" s="43"/>
      <c r="BT206" s="43">
        <v>0</v>
      </c>
      <c r="BU206" s="1037"/>
      <c r="BV206" s="42"/>
      <c r="BW206" s="43"/>
      <c r="BX206" s="37"/>
      <c r="BY206" s="78"/>
      <c r="BZ206" s="43">
        <v>0</v>
      </c>
      <c r="CA206" s="1038"/>
      <c r="CB206" s="42"/>
      <c r="CC206" s="42">
        <v>0</v>
      </c>
      <c r="CD206" s="1039"/>
      <c r="CE206" s="78">
        <v>0</v>
      </c>
      <c r="CF206" s="56"/>
      <c r="CG206" s="42">
        <v>0</v>
      </c>
      <c r="CH206" s="39">
        <v>70.258170692320007</v>
      </c>
      <c r="CI206" s="78">
        <v>0</v>
      </c>
      <c r="CJ206" s="56"/>
      <c r="CK206" s="1034"/>
      <c r="CL206" s="1029"/>
      <c r="CM206" s="1034">
        <v>9369</v>
      </c>
      <c r="CN206" s="1029">
        <v>1724.0983644152097</v>
      </c>
      <c r="CO206" s="78">
        <v>53.230022423612517</v>
      </c>
      <c r="CP206" s="43">
        <v>0</v>
      </c>
      <c r="CQ206" s="1045"/>
      <c r="CR206" s="78">
        <v>66.457986212938039</v>
      </c>
      <c r="CS206" s="1033">
        <v>0</v>
      </c>
      <c r="CT206" s="1045"/>
      <c r="CU206" s="78">
        <v>48.248022161284226</v>
      </c>
      <c r="CV206" s="43">
        <v>0</v>
      </c>
      <c r="CW206" s="5"/>
      <c r="CX206" s="78">
        <v>34.155621616150434</v>
      </c>
      <c r="CY206" s="43">
        <v>0</v>
      </c>
      <c r="CZ206" s="5"/>
      <c r="DA206" s="78">
        <v>16.490308828845698</v>
      </c>
      <c r="DB206" s="43">
        <v>0</v>
      </c>
      <c r="DC206" s="5"/>
      <c r="DD206" s="78">
        <v>21.813146642889613</v>
      </c>
      <c r="DE206" s="43">
        <v>0</v>
      </c>
      <c r="DF206" s="9"/>
      <c r="DG206" s="78">
        <v>19.232789584385941</v>
      </c>
      <c r="DH206" s="43"/>
      <c r="DI206" s="5"/>
      <c r="DJ206" s="43">
        <v>259.62789747010646</v>
      </c>
      <c r="DK206" s="43">
        <f t="shared" si="30"/>
        <v>0</v>
      </c>
      <c r="DL206" s="59">
        <f t="shared" si="31"/>
        <v>-259.62789747010646</v>
      </c>
    </row>
    <row r="207" spans="1:116" ht="24.9" customHeight="1" x14ac:dyDescent="0.3">
      <c r="A207" s="328">
        <v>150000960</v>
      </c>
      <c r="B207" s="45" t="s">
        <v>378</v>
      </c>
      <c r="C207" s="1035">
        <v>9</v>
      </c>
      <c r="D207" s="1036" t="s">
        <v>454</v>
      </c>
      <c r="E207" s="1028">
        <f>'побудинковий звіт'!E205</f>
        <v>4358.7700000000004</v>
      </c>
      <c r="F207" s="1029">
        <f>'побудинковий звіт'!AS205</f>
        <v>60931.288465785219</v>
      </c>
      <c r="G207" s="1029">
        <f t="shared" si="24"/>
        <v>46502.141226302832</v>
      </c>
      <c r="H207" s="1029">
        <f t="shared" si="25"/>
        <v>-14429.147239482387</v>
      </c>
      <c r="I207" s="43">
        <f>'[1]поточний ремонт'!I207+'[2]поточний ремонт'!I207-'[3]поточний ремонт'!I207</f>
        <v>0</v>
      </c>
      <c r="J207" s="43">
        <f>'[1]поточний ремонт'!J207+'[2]поточний ремонт'!J207-'[3]поточний ремонт'!J207</f>
        <v>0</v>
      </c>
      <c r="K207" s="1037"/>
      <c r="L207" s="43">
        <f>'[1]поточний ремонт'!L207+'[2]поточний ремонт'!L207-'[3]поточний ремонт'!L207</f>
        <v>0</v>
      </c>
      <c r="M207" s="43">
        <f>'[1]поточний ремонт'!M207+'[2]поточний ремонт'!M207-'[3]поточний ремонт'!M207</f>
        <v>0</v>
      </c>
      <c r="N207" s="37"/>
      <c r="O207" s="43">
        <f>'[1]поточний ремонт'!O207+'[2]поточний ремонт'!O207-'[3]поточний ремонт'!O207</f>
        <v>0</v>
      </c>
      <c r="P207" s="43">
        <f>'[1]поточний ремонт'!P207+'[2]поточний ремонт'!P207-'[3]поточний ремонт'!P207</f>
        <v>0</v>
      </c>
      <c r="Q207" s="1038"/>
      <c r="R207" s="43">
        <f>'[1]поточний ремонт'!R207+'[2]поточний ремонт'!R207-'[3]поточний ремонт'!R207</f>
        <v>4</v>
      </c>
      <c r="S207" s="43">
        <f>'[1]поточний ремонт'!S207+'[2]поточний ремонт'!S207-'[3]поточний ремонт'!S207</f>
        <v>28219</v>
      </c>
      <c r="T207" s="1048"/>
      <c r="U207" s="43">
        <f>'[1]поточний ремонт'!U207+'[2]поточний ремонт'!U207-'[3]поточний ремонт'!U207</f>
        <v>0</v>
      </c>
      <c r="V207" s="43">
        <f>'[1]поточний ремонт'!V207+'[2]поточний ремонт'!V207-'[3]поточний ремонт'!V207</f>
        <v>0</v>
      </c>
      <c r="W207" s="43">
        <f>'[1]поточний ремонт'!W207+'[2]поточний ремонт'!W207-'[3]поточний ремонт'!W207</f>
        <v>8</v>
      </c>
      <c r="X207" s="43">
        <f>'[1]поточний ремонт'!X207+'[2]поточний ремонт'!X207-'[3]поточний ремонт'!X207</f>
        <v>2603.1412263028342</v>
      </c>
      <c r="Y207" s="43">
        <f>'[1]поточний ремонт'!Y207+'[2]поточний ремонт'!Y207-'[3]поточний ремонт'!Y207</f>
        <v>3847</v>
      </c>
      <c r="Z207" s="43">
        <f>'[1]поточний ремонт'!Z207+'[2]поточний ремонт'!Z207-'[3]поточний ремонт'!Z207</f>
        <v>0</v>
      </c>
      <c r="AA207" s="43">
        <f>'[1]поточний ремонт'!AA207+'[2]поточний ремонт'!AA207-'[3]поточний ремонт'!AA207</f>
        <v>0</v>
      </c>
      <c r="AB207" s="43">
        <f>'[1]поточний ремонт'!AB207+'[2]поточний ремонт'!AB207-'[3]поточний ремонт'!AB207</f>
        <v>1419</v>
      </c>
      <c r="AC207" s="43">
        <f>'[1]поточний ремонт'!AC207+'[2]поточний ремонт'!AC207-'[3]поточний ремонт'!AC207</f>
        <v>6582</v>
      </c>
      <c r="AD207" s="43">
        <f>'[1]поточний ремонт'!AD207+'[2]поточний ремонт'!AD207-'[3]поточний ремонт'!AD207</f>
        <v>3832</v>
      </c>
      <c r="AE207" s="43">
        <f>'[1]поточний ремонт'!AE207+'[2]поточний ремонт'!AE207-'[3]поточний ремонт'!AE207</f>
        <v>992.46698347594918</v>
      </c>
      <c r="AF207" s="43">
        <f>'[1]поточний ремонт'!AF207+'[2]поточний ремонт'!AF207-'[3]поточний ремонт'!AF207</f>
        <v>2687</v>
      </c>
      <c r="AG207" s="9"/>
      <c r="AH207" s="43">
        <f>'[1]поточний ремонт'!AH207+'[2]поточний ремонт'!AH207-'[3]поточний ремонт'!AH207</f>
        <v>1275.9933352884084</v>
      </c>
      <c r="AI207" s="43">
        <f>'[1]поточний ремонт'!AI207+'[2]поточний ремонт'!AI207-'[3]поточний ремонт'!AI207</f>
        <v>11908</v>
      </c>
      <c r="AJ207" s="9"/>
      <c r="AK207" s="43">
        <f>'[1]поточний ремонт'!AK207+'[2]поточний ремонт'!AK207-'[3]поточний ремонт'!AK207</f>
        <v>952.55758379960264</v>
      </c>
      <c r="AL207" s="43">
        <f>'[1]поточний ремонт'!AL207+'[2]поточний ремонт'!AL207-'[3]поточний ремонт'!AL207</f>
        <v>0</v>
      </c>
      <c r="AM207" s="1045"/>
      <c r="AN207" s="43">
        <f>'[1]поточний ремонт'!AN207+'[2]поточний ремонт'!AN207-'[3]поточний ремонт'!AN207</f>
        <v>565.86085561064021</v>
      </c>
      <c r="AO207" s="43">
        <f>'[1]поточний ремонт'!AO207+'[2]поточний ремонт'!AO207-'[3]поточний ремонт'!AO207</f>
        <v>0</v>
      </c>
      <c r="AP207" s="5"/>
      <c r="AQ207" s="43">
        <f>'[1]поточний ремонт'!AQ207+'[2]поточний ремонт'!AQ207-'[3]поточний ремонт'!AQ207</f>
        <v>316.61392951383749</v>
      </c>
      <c r="AR207" s="43">
        <f>'[1]поточний ремонт'!AR207+'[2]поточний ремонт'!AR207-'[3]поточний ремонт'!AR207</f>
        <v>0</v>
      </c>
      <c r="AS207" s="5"/>
      <c r="AT207" s="43">
        <f>'[1]поточний ремонт'!AT207+'[2]поточний ремонт'!AT207-'[3]поточний ремонт'!AT207</f>
        <v>468.24530116215197</v>
      </c>
      <c r="AU207" s="43">
        <f>'[1]поточний ремонт'!AU207+'[2]поточний ремонт'!AU207-'[3]поточний ремонт'!AU207</f>
        <v>12590</v>
      </c>
      <c r="AV207" s="5"/>
      <c r="AW207" s="43">
        <f>'[1]поточний ремонт'!AW207+'[2]поточний ремонт'!AW207-'[3]поточний ремонт'!AW207</f>
        <v>479.27278233266935</v>
      </c>
      <c r="AX207" s="43">
        <f>'[1]поточний ремонт'!AX207+'[2]поточний ремонт'!AX207-'[3]поточний ремонт'!AX207</f>
        <v>0</v>
      </c>
      <c r="AY207" s="5"/>
      <c r="AZ207" s="43">
        <f t="shared" si="26"/>
        <v>5051.0107711832588</v>
      </c>
      <c r="BA207" s="43">
        <f t="shared" si="27"/>
        <v>27185</v>
      </c>
      <c r="BB207" s="59">
        <f t="shared" si="28"/>
        <v>22133.989228816739</v>
      </c>
      <c r="BD207" s="2">
        <v>1</v>
      </c>
      <c r="BF207" s="30">
        <v>201.55461220787302</v>
      </c>
      <c r="BG207" s="328">
        <v>150000960</v>
      </c>
      <c r="BI207" s="107">
        <v>33.590000000000003</v>
      </c>
      <c r="BJ207" s="107">
        <f t="shared" si="29"/>
        <v>4.7248432979999997</v>
      </c>
      <c r="BK207" s="107">
        <v>38.738869887640007</v>
      </c>
      <c r="BL207" s="39"/>
      <c r="BM207" s="3"/>
      <c r="BN207" s="3">
        <v>0</v>
      </c>
      <c r="BP207" s="3"/>
      <c r="BQ207" s="3"/>
      <c r="BS207" s="43">
        <v>0.5</v>
      </c>
      <c r="BT207" s="43">
        <v>856.17455074909435</v>
      </c>
      <c r="BU207" s="1037"/>
      <c r="BV207" s="42"/>
      <c r="BW207" s="43"/>
      <c r="BX207" s="37"/>
      <c r="BY207" s="78"/>
      <c r="BZ207" s="43">
        <v>0</v>
      </c>
      <c r="CA207" s="1038"/>
      <c r="CB207" s="42"/>
      <c r="CC207" s="42">
        <v>0</v>
      </c>
      <c r="CD207" s="1048"/>
      <c r="CE207" s="78">
        <v>0</v>
      </c>
      <c r="CF207" s="56"/>
      <c r="CG207" s="42">
        <v>0</v>
      </c>
      <c r="CH207" s="39">
        <v>38.738869887640007</v>
      </c>
      <c r="CI207" s="78">
        <v>0</v>
      </c>
      <c r="CJ207" s="56"/>
      <c r="CK207" s="1034"/>
      <c r="CL207" s="1029"/>
      <c r="CM207" s="1034">
        <v>400</v>
      </c>
      <c r="CN207" s="1029">
        <v>55.382297109073171</v>
      </c>
      <c r="CO207" s="78">
        <v>82.705581956329112</v>
      </c>
      <c r="CP207" s="43">
        <v>0</v>
      </c>
      <c r="CQ207" s="9"/>
      <c r="CR207" s="78">
        <v>106.33277794070069</v>
      </c>
      <c r="CS207" s="1033">
        <v>0</v>
      </c>
      <c r="CT207" s="9"/>
      <c r="CU207" s="78">
        <v>79.379798649966872</v>
      </c>
      <c r="CV207" s="43">
        <v>0</v>
      </c>
      <c r="CW207" s="1045"/>
      <c r="CX207" s="78">
        <v>47.155071300886689</v>
      </c>
      <c r="CY207" s="43">
        <v>0</v>
      </c>
      <c r="CZ207" s="5"/>
      <c r="DA207" s="78">
        <v>26.384494126153122</v>
      </c>
      <c r="DB207" s="43">
        <v>0</v>
      </c>
      <c r="DC207" s="5"/>
      <c r="DD207" s="78">
        <v>39.020441763512657</v>
      </c>
      <c r="DE207" s="43">
        <v>2818.3886636153293</v>
      </c>
      <c r="DF207" s="5"/>
      <c r="DG207" s="78">
        <v>39.939398527722432</v>
      </c>
      <c r="DH207" s="43"/>
      <c r="DI207" s="5"/>
      <c r="DJ207" s="43">
        <v>420.91756426527161</v>
      </c>
      <c r="DK207" s="43">
        <f t="shared" si="30"/>
        <v>2818.3886636153293</v>
      </c>
      <c r="DL207" s="59">
        <f t="shared" si="31"/>
        <v>2397.4710993500576</v>
      </c>
    </row>
    <row r="208" spans="1:116" ht="24.9" customHeight="1" x14ac:dyDescent="0.3">
      <c r="A208" s="328">
        <v>150000963</v>
      </c>
      <c r="B208" s="45" t="s">
        <v>379</v>
      </c>
      <c r="C208" s="1035">
        <v>9</v>
      </c>
      <c r="D208" s="1036" t="s">
        <v>454</v>
      </c>
      <c r="E208" s="1028">
        <f>'побудинковий звіт'!E206</f>
        <v>1981.17</v>
      </c>
      <c r="F208" s="1029">
        <f>'побудинковий звіт'!AS206</f>
        <v>35191.024019126038</v>
      </c>
      <c r="G208" s="1029">
        <f t="shared" si="24"/>
        <v>20382.777528742165</v>
      </c>
      <c r="H208" s="1029">
        <f t="shared" si="25"/>
        <v>-14808.246490383874</v>
      </c>
      <c r="I208" s="43">
        <f>'[1]поточний ремонт'!I208+'[2]поточний ремонт'!I208-'[3]поточний ремонт'!I208</f>
        <v>0</v>
      </c>
      <c r="J208" s="43">
        <f>'[1]поточний ремонт'!J208+'[2]поточний ремонт'!J208-'[3]поточний ремонт'!J208</f>
        <v>0</v>
      </c>
      <c r="K208" s="1041"/>
      <c r="L208" s="43">
        <f>'[1]поточний ремонт'!L208+'[2]поточний ремонт'!L208-'[3]поточний ремонт'!L208</f>
        <v>0</v>
      </c>
      <c r="M208" s="43">
        <f>'[1]поточний ремонт'!M208+'[2]поточний ремонт'!M208-'[3]поточний ремонт'!M208</f>
        <v>0</v>
      </c>
      <c r="N208" s="37"/>
      <c r="O208" s="43">
        <f>'[1]поточний ремонт'!O208+'[2]поточний ремонт'!O208-'[3]поточний ремонт'!O208</f>
        <v>0</v>
      </c>
      <c r="P208" s="43">
        <f>'[1]поточний ремонт'!P208+'[2]поточний ремонт'!P208-'[3]поточний ремонт'!P208</f>
        <v>0</v>
      </c>
      <c r="Q208" s="1038"/>
      <c r="R208" s="43">
        <f>'[1]поточний ремонт'!R208+'[2]поточний ремонт'!R208-'[3]поточний ремонт'!R208</f>
        <v>2</v>
      </c>
      <c r="S208" s="43">
        <f>'[1]поточний ремонт'!S208+'[2]поточний ремонт'!S208-'[3]поточний ремонт'!S208</f>
        <v>15963.999999999998</v>
      </c>
      <c r="T208" s="1039"/>
      <c r="U208" s="43">
        <f>'[1]поточний ремонт'!U208+'[2]поточний ремонт'!U208-'[3]поточний ремонт'!U208</f>
        <v>0</v>
      </c>
      <c r="V208" s="43">
        <f>'[1]поточний ремонт'!V208+'[2]поточний ремонт'!V208-'[3]поточний ремонт'!V208</f>
        <v>0</v>
      </c>
      <c r="W208" s="43">
        <f>'[1]поточний ремонт'!W208+'[2]поточний ремонт'!W208-'[3]поточний ремонт'!W208</f>
        <v>4</v>
      </c>
      <c r="X208" s="43">
        <f>'[1]поточний ремонт'!X208+'[2]поточний ремонт'!X208-'[3]поточний ремонт'!X208</f>
        <v>2507.7775287421669</v>
      </c>
      <c r="Y208" s="43">
        <f>'[1]поточний ремонт'!Y208+'[2]поточний ремонт'!Y208-'[3]поточний ремонт'!Y208</f>
        <v>0</v>
      </c>
      <c r="Z208" s="43">
        <f>'[1]поточний ремонт'!Z208+'[2]поточний ремонт'!Z208-'[3]поточний ремонт'!Z208</f>
        <v>0</v>
      </c>
      <c r="AA208" s="43">
        <f>'[1]поточний ремонт'!AA208+'[2]поточний ремонт'!AA208-'[3]поточний ремонт'!AA208</f>
        <v>0</v>
      </c>
      <c r="AB208" s="43">
        <f>'[1]поточний ремонт'!AB208+'[2]поточний ремонт'!AB208-'[3]поточний ремонт'!AB208</f>
        <v>0</v>
      </c>
      <c r="AC208" s="43">
        <f>'[1]поточний ремонт'!AC208+'[2]поточний ремонт'!AC208-'[3]поточний ремонт'!AC208</f>
        <v>214</v>
      </c>
      <c r="AD208" s="43">
        <f>'[1]поточний ремонт'!AD208+'[2]поточний ремонт'!AD208-'[3]поточний ремонт'!AD208</f>
        <v>1697</v>
      </c>
      <c r="AE208" s="43">
        <f>'[1]поточний ремонт'!AE208+'[2]поточний ремонт'!AE208-'[3]поточний ремонт'!AE208</f>
        <v>638.76026908335007</v>
      </c>
      <c r="AF208" s="43">
        <f>'[1]поточний ремонт'!AF208+'[2]поточний ремонт'!AF208-'[3]поточний ремонт'!AF208</f>
        <v>575</v>
      </c>
      <c r="AG208" s="5"/>
      <c r="AH208" s="43">
        <f>'[1]поточний ремонт'!AH208+'[2]поточний ремонт'!AH208-'[3]поточний ремонт'!AH208</f>
        <v>797.49583455525658</v>
      </c>
      <c r="AI208" s="43">
        <f>'[1]поточний ремонт'!AI208+'[2]поточний ремонт'!AI208-'[3]поточний ремонт'!AI208</f>
        <v>6789</v>
      </c>
      <c r="AJ208" s="5"/>
      <c r="AK208" s="43">
        <f>'[1]поточний ремонт'!AK208+'[2]поточний ремонт'!AK208-'[3]поточний ремонт'!AK208</f>
        <v>558.74912333515374</v>
      </c>
      <c r="AL208" s="43">
        <f>'[1]поточний ремонт'!AL208+'[2]поточний ремонт'!AL208-'[3]поточний ремонт'!AL208</f>
        <v>0</v>
      </c>
      <c r="AM208" s="5"/>
      <c r="AN208" s="43">
        <f>'[1]поточний ремонт'!AN208+'[2]поточний ремонт'!AN208-'[3]поточний ремонт'!AN208</f>
        <v>387.40208663076743</v>
      </c>
      <c r="AO208" s="43">
        <f>'[1]поточний ремонт'!AO208+'[2]поточний ремонт'!AO208-'[3]поточний ремонт'!AO208</f>
        <v>0</v>
      </c>
      <c r="AP208" s="5"/>
      <c r="AQ208" s="43">
        <f>'[1]поточний ремонт'!AQ208+'[2]поточний ремонт'!AQ208-'[3]поточний ремонт'!AQ208</f>
        <v>197.88370594614832</v>
      </c>
      <c r="AR208" s="43">
        <f>'[1]поточний ремонт'!AR208+'[2]поточний ремонт'!AR208-'[3]поточний ремонт'!AR208</f>
        <v>0</v>
      </c>
      <c r="AS208" s="5"/>
      <c r="AT208" s="43">
        <f>'[1]поточний ремонт'!AT208+'[2]поточний ремонт'!AT208-'[3]поточний ремонт'!AT208</f>
        <v>261.75775971467539</v>
      </c>
      <c r="AU208" s="43">
        <f>'[1]поточний ремонт'!AU208+'[2]поточний ремонт'!AU208-'[3]поточний ремонт'!AU208</f>
        <v>4375</v>
      </c>
      <c r="AV208" s="5"/>
      <c r="AW208" s="43">
        <f>'[1]поточний ремонт'!AW208+'[2]поточний ремонт'!AW208-'[3]поточний ремонт'!AW208</f>
        <v>167.44238903209089</v>
      </c>
      <c r="AX208" s="43">
        <f>'[1]поточний ремонт'!AX208+'[2]поточний ремонт'!AX208-'[3]поточний ремонт'!AX208</f>
        <v>0</v>
      </c>
      <c r="AY208" s="5"/>
      <c r="AZ208" s="43">
        <f t="shared" si="26"/>
        <v>3009.4911682974425</v>
      </c>
      <c r="BA208" s="43">
        <f t="shared" si="27"/>
        <v>11739</v>
      </c>
      <c r="BB208" s="59">
        <f t="shared" si="28"/>
        <v>8729.5088317025584</v>
      </c>
      <c r="BD208" s="2">
        <v>1</v>
      </c>
      <c r="BF208" s="30">
        <v>151.59897624264008</v>
      </c>
      <c r="BG208" s="328">
        <v>150000963</v>
      </c>
      <c r="BI208" s="107">
        <v>26.25</v>
      </c>
      <c r="BJ208" s="107">
        <f t="shared" si="29"/>
        <v>3.6923827499999997</v>
      </c>
      <c r="BK208" s="107">
        <v>30.273752145</v>
      </c>
      <c r="BL208" s="39"/>
      <c r="BM208" s="3"/>
      <c r="BN208" s="3">
        <v>0</v>
      </c>
      <c r="BP208" s="3"/>
      <c r="BQ208" s="3"/>
      <c r="BS208" s="43"/>
      <c r="BT208" s="43">
        <v>0</v>
      </c>
      <c r="BU208" s="1041"/>
      <c r="BV208" s="42"/>
      <c r="BW208" s="43"/>
      <c r="BX208" s="37"/>
      <c r="BY208" s="78"/>
      <c r="BZ208" s="43">
        <v>0</v>
      </c>
      <c r="CA208" s="1038"/>
      <c r="CB208" s="42"/>
      <c r="CC208" s="42">
        <v>0</v>
      </c>
      <c r="CD208" s="1039"/>
      <c r="CE208" s="78">
        <v>0</v>
      </c>
      <c r="CF208" s="56"/>
      <c r="CG208" s="42">
        <v>0</v>
      </c>
      <c r="CH208" s="39">
        <v>30.273752145</v>
      </c>
      <c r="CI208" s="78">
        <v>0</v>
      </c>
      <c r="CJ208" s="1044"/>
      <c r="CK208" s="1034"/>
      <c r="CL208" s="1029"/>
      <c r="CM208" s="1034"/>
      <c r="CN208" s="1029">
        <v>0</v>
      </c>
      <c r="CO208" s="78">
        <v>53.230022423612517</v>
      </c>
      <c r="CP208" s="43">
        <v>0</v>
      </c>
      <c r="CQ208" s="5"/>
      <c r="CR208" s="78">
        <v>66.457986212938039</v>
      </c>
      <c r="CS208" s="1033">
        <v>0</v>
      </c>
      <c r="CT208" s="5"/>
      <c r="CU208" s="78">
        <v>46.562426944596147</v>
      </c>
      <c r="CV208" s="43">
        <v>0</v>
      </c>
      <c r="CW208" s="5"/>
      <c r="CX208" s="78">
        <v>32.283507219230621</v>
      </c>
      <c r="CY208" s="43">
        <v>0</v>
      </c>
      <c r="CZ208" s="5"/>
      <c r="DA208" s="78">
        <v>16.490308828845698</v>
      </c>
      <c r="DB208" s="43">
        <v>0</v>
      </c>
      <c r="DC208" s="5"/>
      <c r="DD208" s="78">
        <v>21.813146642889613</v>
      </c>
      <c r="DE208" s="43">
        <v>0</v>
      </c>
      <c r="DF208" s="5"/>
      <c r="DG208" s="78">
        <v>13.953532419340904</v>
      </c>
      <c r="DH208" s="43"/>
      <c r="DI208" s="5"/>
      <c r="DJ208" s="43">
        <v>250.79093069145358</v>
      </c>
      <c r="DK208" s="43">
        <f t="shared" si="30"/>
        <v>0</v>
      </c>
      <c r="DL208" s="59">
        <f t="shared" si="31"/>
        <v>-250.79093069145358</v>
      </c>
    </row>
    <row r="209" spans="1:116" ht="24.9" customHeight="1" x14ac:dyDescent="0.3">
      <c r="A209" s="328">
        <v>150000927</v>
      </c>
      <c r="B209" s="45" t="s">
        <v>178</v>
      </c>
      <c r="C209" s="1035">
        <v>2</v>
      </c>
      <c r="D209" s="1036" t="s">
        <v>454</v>
      </c>
      <c r="E209" s="1028">
        <f>'побудинковий звіт'!E207</f>
        <v>525.79999999999995</v>
      </c>
      <c r="F209" s="1029">
        <f>'побудинковий звіт'!AS207</f>
        <v>7854.1532242102548</v>
      </c>
      <c r="G209" s="1029">
        <f t="shared" si="24"/>
        <v>0</v>
      </c>
      <c r="H209" s="1029">
        <f t="shared" si="25"/>
        <v>-7854.1532242102548</v>
      </c>
      <c r="I209" s="43">
        <f>'[1]поточний ремонт'!I209+'[2]поточний ремонт'!I209-'[3]поточний ремонт'!I209</f>
        <v>0</v>
      </c>
      <c r="J209" s="43">
        <f>'[1]поточний ремонт'!J209+'[2]поточний ремонт'!J209-'[3]поточний ремонт'!J209</f>
        <v>0</v>
      </c>
      <c r="K209" s="1037"/>
      <c r="L209" s="43">
        <f>'[1]поточний ремонт'!L209+'[2]поточний ремонт'!L209-'[3]поточний ремонт'!L209</f>
        <v>0</v>
      </c>
      <c r="M209" s="43">
        <f>'[1]поточний ремонт'!M209+'[2]поточний ремонт'!M209-'[3]поточний ремонт'!M209</f>
        <v>0</v>
      </c>
      <c r="N209" s="37"/>
      <c r="O209" s="43">
        <f>'[1]поточний ремонт'!O209+'[2]поточний ремонт'!O209-'[3]поточний ремонт'!O209</f>
        <v>0</v>
      </c>
      <c r="P209" s="43">
        <f>'[1]поточний ремонт'!P209+'[2]поточний ремонт'!P209-'[3]поточний ремонт'!P209</f>
        <v>0</v>
      </c>
      <c r="Q209" s="1038"/>
      <c r="R209" s="43">
        <f>'[1]поточний ремонт'!R209+'[2]поточний ремонт'!R209-'[3]поточний ремонт'!R209</f>
        <v>0</v>
      </c>
      <c r="S209" s="43">
        <f>'[1]поточний ремонт'!S209+'[2]поточний ремонт'!S209-'[3]поточний ремонт'!S209</f>
        <v>0</v>
      </c>
      <c r="T209" s="1039"/>
      <c r="U209" s="43">
        <f>'[1]поточний ремонт'!U209+'[2]поточний ремонт'!U209-'[3]поточний ремонт'!U209</f>
        <v>0</v>
      </c>
      <c r="V209" s="43">
        <f>'[1]поточний ремонт'!V209+'[2]поточний ремонт'!V209-'[3]поточний ремонт'!V209</f>
        <v>0</v>
      </c>
      <c r="W209" s="43">
        <f>'[1]поточний ремонт'!W209+'[2]поточний ремонт'!W209-'[3]поточний ремонт'!W209</f>
        <v>0</v>
      </c>
      <c r="X209" s="43">
        <f>'[1]поточний ремонт'!X209+'[2]поточний ремонт'!X209-'[3]поточний ремонт'!X209</f>
        <v>0</v>
      </c>
      <c r="Y209" s="43">
        <f>'[1]поточний ремонт'!Y209+'[2]поточний ремонт'!Y209-'[3]поточний ремонт'!Y209</f>
        <v>0</v>
      </c>
      <c r="Z209" s="43">
        <f>'[1]поточний ремонт'!Z209+'[2]поточний ремонт'!Z209-'[3]поточний ремонт'!Z209</f>
        <v>0</v>
      </c>
      <c r="AA209" s="43">
        <f>'[1]поточний ремонт'!AA209+'[2]поточний ремонт'!AA209-'[3]поточний ремонт'!AA209</f>
        <v>0</v>
      </c>
      <c r="AB209" s="43">
        <f>'[1]поточний ремонт'!AB209+'[2]поточний ремонт'!AB209-'[3]поточний ремонт'!AB209</f>
        <v>0</v>
      </c>
      <c r="AC209" s="43">
        <f>'[1]поточний ремонт'!AC209+'[2]поточний ремонт'!AC209-'[3]поточний ремонт'!AC209</f>
        <v>0</v>
      </c>
      <c r="AD209" s="43">
        <f>'[1]поточний ремонт'!AD209+'[2]поточний ремонт'!AD209-'[3]поточний ремонт'!AD209</f>
        <v>0</v>
      </c>
      <c r="AE209" s="43">
        <f>'[1]поточний ремонт'!AE209+'[2]поточний ремонт'!AE209-'[3]поточний ремонт'!AE209</f>
        <v>549.93657365564115</v>
      </c>
      <c r="AF209" s="43">
        <f>'[1]поточний ремонт'!AF209+'[2]поточний ремонт'!AF209-'[3]поточний ремонт'!AF209</f>
        <v>0</v>
      </c>
      <c r="AG209" s="5"/>
      <c r="AH209" s="43">
        <f>'[1]поточний ремонт'!AH209+'[2]поточний ремонт'!AH209-'[3]поточний ремонт'!AH209</f>
        <v>917.31938348910012</v>
      </c>
      <c r="AI209" s="43">
        <f>'[1]поточний ремонт'!AI209+'[2]поточний ремонт'!AI209-'[3]поточний ремонт'!AI209</f>
        <v>0</v>
      </c>
      <c r="AJ209" s="5"/>
      <c r="AK209" s="43">
        <f>'[1]поточний ремонт'!AK209+'[2]поточний ремонт'!AK209-'[3]поточний ремонт'!AK209</f>
        <v>465.46474878650031</v>
      </c>
      <c r="AL209" s="43">
        <f>'[1]поточний ремонт'!AL209+'[2]поточний ремонт'!AL209-'[3]поточний ремонт'!AL209</f>
        <v>0</v>
      </c>
      <c r="AM209" s="5"/>
      <c r="AN209" s="43">
        <f>'[1]поточний ремонт'!AN209+'[2]поточний ремонт'!AN209-'[3]поточний ремонт'!AN209</f>
        <v>0</v>
      </c>
      <c r="AO209" s="43">
        <f>'[1]поточний ремонт'!AO209+'[2]поточний ремонт'!AO209-'[3]поточний ремонт'!AO209</f>
        <v>0</v>
      </c>
      <c r="AP209" s="5"/>
      <c r="AQ209" s="43">
        <f>'[1]поточний ремонт'!AQ209+'[2]поточний ремонт'!AQ209-'[3]поточний ремонт'!AQ209</f>
        <v>0</v>
      </c>
      <c r="AR209" s="43">
        <f>'[1]поточний ремонт'!AR209+'[2]поточний ремонт'!AR209-'[3]поточний ремонт'!AR209</f>
        <v>0</v>
      </c>
      <c r="AS209" s="5"/>
      <c r="AT209" s="43">
        <f>'[1]поточний ремонт'!AT209+'[2]поточний ремонт'!AT209-'[3]поточний ремонт'!AT209</f>
        <v>118.62780668282814</v>
      </c>
      <c r="AU209" s="43">
        <f>'[1]поточний ремонт'!AU209+'[2]поточний ремонт'!AU209-'[3]поточний ремонт'!AU209</f>
        <v>9709</v>
      </c>
      <c r="AV209" s="5"/>
      <c r="AW209" s="43">
        <f>'[1]поточний ремонт'!AW209+'[2]поточний ремонт'!AW209-'[3]поточний ремонт'!AW209</f>
        <v>0</v>
      </c>
      <c r="AX209" s="43">
        <f>'[1]поточний ремонт'!AX209+'[2]поточний ремонт'!AX209-'[3]поточний ремонт'!AX209</f>
        <v>0</v>
      </c>
      <c r="AY209" s="5"/>
      <c r="AZ209" s="43">
        <f t="shared" si="26"/>
        <v>2051.3485126140699</v>
      </c>
      <c r="BA209" s="43">
        <f t="shared" si="27"/>
        <v>9709</v>
      </c>
      <c r="BB209" s="59">
        <f t="shared" si="28"/>
        <v>7657.6514873859305</v>
      </c>
      <c r="BD209" s="2">
        <v>2</v>
      </c>
      <c r="BF209" s="30">
        <v>1.0362676069812662</v>
      </c>
      <c r="BG209" s="328">
        <v>150000927</v>
      </c>
      <c r="BI209" s="107">
        <v>0</v>
      </c>
      <c r="BJ209" s="107">
        <f t="shared" si="29"/>
        <v>0</v>
      </c>
      <c r="BK209" s="107">
        <v>0</v>
      </c>
      <c r="BL209" s="39"/>
      <c r="BM209" s="3"/>
      <c r="BN209" s="3">
        <v>0</v>
      </c>
      <c r="BP209" s="3"/>
      <c r="BQ209" s="3"/>
      <c r="BS209" s="43"/>
      <c r="BT209" s="43">
        <v>0</v>
      </c>
      <c r="BU209" s="1037"/>
      <c r="BV209" s="42"/>
      <c r="BW209" s="43"/>
      <c r="BX209" s="37"/>
      <c r="BY209" s="78"/>
      <c r="BZ209" s="43">
        <v>0</v>
      </c>
      <c r="CA209" s="1038"/>
      <c r="CB209" s="42"/>
      <c r="CC209" s="42">
        <v>0</v>
      </c>
      <c r="CD209" s="1039"/>
      <c r="CE209" s="78">
        <v>0</v>
      </c>
      <c r="CF209" s="56"/>
      <c r="CG209" s="42">
        <v>0</v>
      </c>
      <c r="CH209" s="39">
        <v>0</v>
      </c>
      <c r="CI209" s="78">
        <v>0</v>
      </c>
      <c r="CJ209" s="56"/>
      <c r="CK209" s="1034"/>
      <c r="CL209" s="1029"/>
      <c r="CM209" s="1034"/>
      <c r="CN209" s="1029">
        <v>0</v>
      </c>
      <c r="CO209" s="78">
        <v>45.828047804636768</v>
      </c>
      <c r="CP209" s="43">
        <v>0</v>
      </c>
      <c r="CQ209" s="5"/>
      <c r="CR209" s="78">
        <v>76.443281957425015</v>
      </c>
      <c r="CS209" s="1033">
        <v>0</v>
      </c>
      <c r="CT209" s="5"/>
      <c r="CU209" s="78">
        <v>38.788729065541695</v>
      </c>
      <c r="CV209" s="43">
        <v>0</v>
      </c>
      <c r="CW209" s="5"/>
      <c r="CX209" s="78">
        <v>0</v>
      </c>
      <c r="CY209" s="43">
        <v>0</v>
      </c>
      <c r="CZ209" s="5"/>
      <c r="DA209" s="78">
        <v>0</v>
      </c>
      <c r="DB209" s="43">
        <v>0</v>
      </c>
      <c r="DC209" s="5"/>
      <c r="DD209" s="78">
        <v>9.885650556902343</v>
      </c>
      <c r="DE209" s="43">
        <v>0</v>
      </c>
      <c r="DF209" s="5"/>
      <c r="DG209" s="78">
        <v>0</v>
      </c>
      <c r="DH209" s="43"/>
      <c r="DI209" s="5"/>
      <c r="DJ209" s="43">
        <v>170.94570938450582</v>
      </c>
      <c r="DK209" s="43">
        <f t="shared" si="30"/>
        <v>0</v>
      </c>
      <c r="DL209" s="59">
        <f t="shared" si="31"/>
        <v>-170.94570938450582</v>
      </c>
    </row>
    <row r="210" spans="1:116" ht="24.9" customHeight="1" x14ac:dyDescent="0.3">
      <c r="A210" s="328">
        <v>150000958</v>
      </c>
      <c r="B210" s="45" t="s">
        <v>380</v>
      </c>
      <c r="C210" s="1035">
        <v>9</v>
      </c>
      <c r="D210" s="1036" t="s">
        <v>454</v>
      </c>
      <c r="E210" s="1028">
        <f>'побудинковий звіт'!E208</f>
        <v>3813.3</v>
      </c>
      <c r="F210" s="1029">
        <f>'побудинковий звіт'!AS208</f>
        <v>32911.605427138922</v>
      </c>
      <c r="G210" s="1029">
        <f t="shared" si="24"/>
        <v>28192.422022993735</v>
      </c>
      <c r="H210" s="1029">
        <f t="shared" si="25"/>
        <v>-4719.1834041451875</v>
      </c>
      <c r="I210" s="43">
        <f>'[1]поточний ремонт'!I210+'[2]поточний ремонт'!I210-'[3]поточний ремонт'!I210</f>
        <v>0</v>
      </c>
      <c r="J210" s="43">
        <f>'[1]поточний ремонт'!J210+'[2]поточний ремонт'!J210-'[3]поточний ремонт'!J210</f>
        <v>0</v>
      </c>
      <c r="K210" s="1037"/>
      <c r="L210" s="43">
        <f>'[1]поточний ремонт'!L210+'[2]поточний ремонт'!L210-'[3]поточний ремонт'!L210</f>
        <v>0</v>
      </c>
      <c r="M210" s="43">
        <f>'[1]поточний ремонт'!M210+'[2]поточний ремонт'!M210-'[3]поточний ремонт'!M210</f>
        <v>0</v>
      </c>
      <c r="N210" s="37"/>
      <c r="O210" s="43">
        <f>'[1]поточний ремонт'!O210+'[2]поточний ремонт'!O210-'[3]поточний ремонт'!O210</f>
        <v>0</v>
      </c>
      <c r="P210" s="43">
        <f>'[1]поточний ремонт'!P210+'[2]поточний ремонт'!P210-'[3]поточний ремонт'!P210</f>
        <v>0</v>
      </c>
      <c r="Q210" s="1038"/>
      <c r="R210" s="43">
        <f>'[1]поточний ремонт'!R210+'[2]поточний ремонт'!R210-'[3]поточний ремонт'!R210</f>
        <v>3</v>
      </c>
      <c r="S210" s="43">
        <f>'[1]поточний ремонт'!S210+'[2]поточний ремонт'!S210-'[3]поточний ремонт'!S210</f>
        <v>25116</v>
      </c>
      <c r="T210" s="1039"/>
      <c r="U210" s="43">
        <f>'[1]поточний ремонт'!U210+'[2]поточний ремонт'!U210-'[3]поточний ремонт'!U210</f>
        <v>0</v>
      </c>
      <c r="V210" s="43">
        <f>'[1]поточний ремонт'!V210+'[2]поточний ремонт'!V210-'[3]поточний ремонт'!V210</f>
        <v>0</v>
      </c>
      <c r="W210" s="43">
        <f>'[1]поточний ремонт'!W210+'[2]поточний ремонт'!W210-'[3]поточний ремонт'!W210</f>
        <v>3</v>
      </c>
      <c r="X210" s="43">
        <f>'[1]поточний ремонт'!X210+'[2]поточний ремонт'!X210-'[3]поточний ремонт'!X210</f>
        <v>1148.4220229937334</v>
      </c>
      <c r="Y210" s="43">
        <f>'[1]поточний ремонт'!Y210+'[2]поточний ремонт'!Y210-'[3]поточний ремонт'!Y210</f>
        <v>0</v>
      </c>
      <c r="Z210" s="43">
        <f>'[1]поточний ремонт'!Z210+'[2]поточний ремонт'!Z210-'[3]поточний ремонт'!Z210</f>
        <v>0</v>
      </c>
      <c r="AA210" s="43">
        <f>'[1]поточний ремонт'!AA210+'[2]поточний ремонт'!AA210-'[3]поточний ремонт'!AA210</f>
        <v>0</v>
      </c>
      <c r="AB210" s="43">
        <f>'[1]поточний ремонт'!AB210+'[2]поточний ремонт'!AB210-'[3]поточний ремонт'!AB210</f>
        <v>0</v>
      </c>
      <c r="AC210" s="43">
        <f>'[1]поточний ремонт'!AC210+'[2]поточний ремонт'!AC210-'[3]поточний ремонт'!AC210</f>
        <v>0</v>
      </c>
      <c r="AD210" s="43">
        <f>'[1]поточний ремонт'!AD210+'[2]поточний ремонт'!AD210-'[3]поточний ремонт'!AD210</f>
        <v>1928</v>
      </c>
      <c r="AE210" s="43">
        <f>'[1]поточний ремонт'!AE210+'[2]поточний ремонт'!AE210-'[3]поточний ремонт'!AE210</f>
        <v>638.76026908335007</v>
      </c>
      <c r="AF210" s="43">
        <f>'[1]поточний ремонт'!AF210+'[2]поточний ремонт'!AF210-'[3]поточний ремонт'!AF210</f>
        <v>0</v>
      </c>
      <c r="AG210" s="5"/>
      <c r="AH210" s="43">
        <f>'[1]поточний ремонт'!AH210+'[2]поточний ремонт'!AH210-'[3]поточний ремонт'!AH210</f>
        <v>797.49583455525658</v>
      </c>
      <c r="AI210" s="43">
        <f>'[1]поточний ремонт'!AI210+'[2]поточний ремонт'!AI210-'[3]поточний ремонт'!AI210</f>
        <v>0</v>
      </c>
      <c r="AJ210" s="5"/>
      <c r="AK210" s="43">
        <f>'[1]поточний ремонт'!AK210+'[2]поточний ремонт'!AK210-'[3]поточний ремонт'!AK210</f>
        <v>548.06749701471347</v>
      </c>
      <c r="AL210" s="43">
        <f>'[1]поточний ремонт'!AL210+'[2]поточний ремонт'!AL210-'[3]поточний ремонт'!AL210</f>
        <v>0</v>
      </c>
      <c r="AM210" s="5"/>
      <c r="AN210" s="43">
        <f>'[1]поточний ремонт'!AN210+'[2]поточний ремонт'!AN210-'[3]поточний ремонт'!AN210</f>
        <v>358.88112544912764</v>
      </c>
      <c r="AO210" s="43">
        <f>'[1]поточний ремонт'!AO210+'[2]поточний ремонт'!AO210-'[3]поточний ремонт'!AO210</f>
        <v>0</v>
      </c>
      <c r="AP210" s="5"/>
      <c r="AQ210" s="43">
        <f>'[1]поточний ремонт'!AQ210+'[2]поточний ремонт'!AQ210-'[3]поточний ремонт'!AQ210</f>
        <v>197.88370594614832</v>
      </c>
      <c r="AR210" s="43">
        <f>'[1]поточний ремонт'!AR210+'[2]поточний ремонт'!AR210-'[3]поточний ремонт'!AR210</f>
        <v>0</v>
      </c>
      <c r="AS210" s="5"/>
      <c r="AT210" s="43">
        <f>'[1]поточний ремонт'!AT210+'[2]поточний ремонт'!AT210-'[3]поточний ремонт'!AT210</f>
        <v>261.75775971467539</v>
      </c>
      <c r="AU210" s="43">
        <f>'[1]поточний ремонт'!AU210+'[2]поточний ремонт'!AU210-'[3]поточний ремонт'!AU210</f>
        <v>2315.7129793396789</v>
      </c>
      <c r="AV210" s="5"/>
      <c r="AW210" s="43">
        <f>'[1]поточний ремонт'!AW210+'[2]поточний ремонт'!AW210-'[3]поточний ремонт'!AW210</f>
        <v>310.83025688569774</v>
      </c>
      <c r="AX210" s="43">
        <f>'[1]поточний ремонт'!AX210+'[2]поточний ремонт'!AX210-'[3]поточний ремонт'!AX210</f>
        <v>0</v>
      </c>
      <c r="AY210" s="5"/>
      <c r="AZ210" s="43">
        <f t="shared" si="26"/>
        <v>3113.6764486489692</v>
      </c>
      <c r="BA210" s="43">
        <f t="shared" si="27"/>
        <v>2315.7129793396789</v>
      </c>
      <c r="BB210" s="59">
        <f t="shared" si="28"/>
        <v>-797.9634693092903</v>
      </c>
      <c r="BD210" s="2">
        <v>1</v>
      </c>
      <c r="BF210" s="30">
        <v>99.788299409878874</v>
      </c>
      <c r="BG210" s="328">
        <v>150000958</v>
      </c>
      <c r="BI210" s="107">
        <v>21</v>
      </c>
      <c r="BJ210" s="107">
        <f t="shared" si="29"/>
        <v>2.9539061999999996</v>
      </c>
      <c r="BK210" s="107">
        <v>24.219001716000001</v>
      </c>
      <c r="BL210" s="39"/>
      <c r="BM210" s="3"/>
      <c r="BN210" s="3">
        <v>0</v>
      </c>
      <c r="BP210" s="3"/>
      <c r="BQ210" s="3"/>
      <c r="BS210" s="43"/>
      <c r="BT210" s="43">
        <v>0</v>
      </c>
      <c r="BU210" s="1037"/>
      <c r="BV210" s="42"/>
      <c r="BW210" s="43"/>
      <c r="BX210" s="37"/>
      <c r="BY210" s="78"/>
      <c r="BZ210" s="43">
        <v>0</v>
      </c>
      <c r="CA210" s="1038"/>
      <c r="CB210" s="42"/>
      <c r="CC210" s="42">
        <v>0</v>
      </c>
      <c r="CD210" s="1039"/>
      <c r="CE210" s="78">
        <v>0</v>
      </c>
      <c r="CF210" s="56"/>
      <c r="CG210" s="42">
        <v>0</v>
      </c>
      <c r="CH210" s="39">
        <v>24.219001716000001</v>
      </c>
      <c r="CI210" s="78">
        <v>0</v>
      </c>
      <c r="CJ210" s="56"/>
      <c r="CK210" s="1034"/>
      <c r="CL210" s="1029"/>
      <c r="CM210" s="1034"/>
      <c r="CN210" s="1029">
        <v>0</v>
      </c>
      <c r="CO210" s="78">
        <v>53.230022423612517</v>
      </c>
      <c r="CP210" s="43">
        <v>0</v>
      </c>
      <c r="CQ210" s="5"/>
      <c r="CR210" s="78">
        <v>66.457986212938039</v>
      </c>
      <c r="CS210" s="1033">
        <v>0</v>
      </c>
      <c r="CT210" s="5"/>
      <c r="CU210" s="78">
        <v>45.672291417892794</v>
      </c>
      <c r="CV210" s="43">
        <v>0</v>
      </c>
      <c r="CW210" s="5"/>
      <c r="CX210" s="78">
        <v>29.906760454093973</v>
      </c>
      <c r="CY210" s="43">
        <v>0</v>
      </c>
      <c r="CZ210" s="5"/>
      <c r="DA210" s="78">
        <v>16.490308828845698</v>
      </c>
      <c r="DB210" s="43">
        <v>0</v>
      </c>
      <c r="DC210" s="5"/>
      <c r="DD210" s="78">
        <v>21.813146642889613</v>
      </c>
      <c r="DE210" s="43">
        <v>0</v>
      </c>
      <c r="DF210" s="5"/>
      <c r="DG210" s="78">
        <v>25.902521407141478</v>
      </c>
      <c r="DH210" s="43"/>
      <c r="DI210" s="5"/>
      <c r="DJ210" s="43">
        <v>259.47303738741414</v>
      </c>
      <c r="DK210" s="43">
        <f t="shared" si="30"/>
        <v>0</v>
      </c>
      <c r="DL210" s="59">
        <f t="shared" si="31"/>
        <v>-259.47303738741414</v>
      </c>
    </row>
    <row r="211" spans="1:116" ht="24.9" customHeight="1" x14ac:dyDescent="0.3">
      <c r="A211" s="328">
        <v>150000961</v>
      </c>
      <c r="B211" s="45" t="s">
        <v>381</v>
      </c>
      <c r="C211" s="1035">
        <v>9</v>
      </c>
      <c r="D211" s="1036" t="s">
        <v>454</v>
      </c>
      <c r="E211" s="1028">
        <f>'побудинковий звіт'!E209</f>
        <v>14576.67</v>
      </c>
      <c r="F211" s="1029">
        <f>'побудинковий звіт'!AS209</f>
        <v>59186.520766499991</v>
      </c>
      <c r="G211" s="1029">
        <f t="shared" si="24"/>
        <v>19027.706097759707</v>
      </c>
      <c r="H211" s="1029">
        <f t="shared" si="25"/>
        <v>-40158.814668740284</v>
      </c>
      <c r="I211" s="43">
        <f>'[1]поточний ремонт'!I211+'[2]поточний ремонт'!I211-'[3]поточний ремонт'!I211</f>
        <v>0</v>
      </c>
      <c r="J211" s="43">
        <f>'[1]поточний ремонт'!J211+'[2]поточний ремонт'!J211-'[3]поточний ремонт'!J211</f>
        <v>0</v>
      </c>
      <c r="K211" s="1037"/>
      <c r="L211" s="43">
        <f>'[1]поточний ремонт'!L211+'[2]поточний ремонт'!L211-'[3]поточний ремонт'!L211</f>
        <v>0</v>
      </c>
      <c r="M211" s="43">
        <f>'[1]поточний ремонт'!M211+'[2]поточний ремонт'!M211-'[3]поточний ремонт'!M211</f>
        <v>0</v>
      </c>
      <c r="N211" s="1048"/>
      <c r="O211" s="43">
        <f>'[1]поточний ремонт'!O211+'[2]поточний ремонт'!O211-'[3]поточний ремонт'!O211</f>
        <v>0</v>
      </c>
      <c r="P211" s="43">
        <f>'[1]поточний ремонт'!P211+'[2]поточний ремонт'!P211-'[3]поточний ремонт'!P211</f>
        <v>0</v>
      </c>
      <c r="Q211" s="1038"/>
      <c r="R211" s="43">
        <f>'[1]поточний ремонт'!R211+'[2]поточний ремонт'!R211-'[3]поточний ремонт'!R211</f>
        <v>1</v>
      </c>
      <c r="S211" s="43">
        <f>'[1]поточний ремонт'!S211+'[2]поточний ремонт'!S211-'[3]поточний ремонт'!S211</f>
        <v>891</v>
      </c>
      <c r="T211" s="1048"/>
      <c r="U211" s="43">
        <f>'[1]поточний ремонт'!U211+'[2]поточний ремонт'!U211-'[3]поточний ремонт'!U211</f>
        <v>0</v>
      </c>
      <c r="V211" s="43">
        <f>'[1]поточний ремонт'!V211+'[2]поточний ремонт'!V211-'[3]поточний ремонт'!V211</f>
        <v>0</v>
      </c>
      <c r="W211" s="43">
        <f>'[1]поточний ремонт'!W211+'[2]поточний ремонт'!W211-'[3]поточний ремонт'!W211</f>
        <v>2</v>
      </c>
      <c r="X211" s="43">
        <f>'[1]поточний ремонт'!X211+'[2]поточний ремонт'!X211-'[3]поточний ремонт'!X211</f>
        <v>1010.7060977597052</v>
      </c>
      <c r="Y211" s="43">
        <f>'[1]поточний ремонт'!Y211+'[2]поточний ремонт'!Y211-'[3]поточний ремонт'!Y211</f>
        <v>0</v>
      </c>
      <c r="Z211" s="43">
        <f>'[1]поточний ремонт'!Z211+'[2]поточний ремонт'!Z211-'[3]поточний ремонт'!Z211</f>
        <v>0</v>
      </c>
      <c r="AA211" s="43">
        <f>'[1]поточний ремонт'!AA211+'[2]поточний ремонт'!AA211-'[3]поточний ремонт'!AA211</f>
        <v>0</v>
      </c>
      <c r="AB211" s="43">
        <f>'[1]поточний ремонт'!AB211+'[2]поточний ремонт'!AB211-'[3]поточний ремонт'!AB211</f>
        <v>6809</v>
      </c>
      <c r="AC211" s="43">
        <f>'[1]поточний ремонт'!AC211+'[2]поточний ремонт'!AC211-'[3]поточний ремонт'!AC211</f>
        <v>4478</v>
      </c>
      <c r="AD211" s="43">
        <f>'[1]поточний ремонт'!AD211+'[2]поточний ремонт'!AD211-'[3]поточний ремонт'!AD211</f>
        <v>5839.0000000000009</v>
      </c>
      <c r="AE211" s="43">
        <f>'[1]поточний ремонт'!AE211+'[2]поточний ремонт'!AE211-'[3]поточний ремонт'!AE211</f>
        <v>1238.8836008541793</v>
      </c>
      <c r="AF211" s="43">
        <f>'[1]поточний ремонт'!AF211+'[2]поточний ремонт'!AF211-'[3]поточний ремонт'!AF211</f>
        <v>631</v>
      </c>
      <c r="AG211" s="5"/>
      <c r="AH211" s="43">
        <f>'[1]поточний ремонт'!AH211+'[2]поточний ремонт'!AH211-'[3]поточний ремонт'!AH211</f>
        <v>1594.9916691105104</v>
      </c>
      <c r="AI211" s="43">
        <f>'[1]поточний ремонт'!AI211+'[2]поточний ремонт'!AI211-'[3]поточний ремонт'!AI211</f>
        <v>0</v>
      </c>
      <c r="AJ211" s="5"/>
      <c r="AK211" s="43">
        <f>'[1]поточний ремонт'!AK211+'[2]поточний ремонт'!AK211-'[3]поточний ремонт'!AK211</f>
        <v>1211.5484121475738</v>
      </c>
      <c r="AL211" s="43">
        <f>'[1]поточний ремонт'!AL211+'[2]поточний ремонт'!AL211-'[3]поточний ремонт'!AL211</f>
        <v>0</v>
      </c>
      <c r="AM211" s="1045"/>
      <c r="AN211" s="43">
        <f>'[1]поточний ремонт'!AN211+'[2]поточний ремонт'!AN211-'[3]поточний ремонт'!AN211</f>
        <v>660.95696655596566</v>
      </c>
      <c r="AO211" s="43">
        <f>'[1]поточний ремонт'!AO211+'[2]поточний ремонт'!AO211-'[3]поточний ремонт'!AO211</f>
        <v>0</v>
      </c>
      <c r="AP211" s="5"/>
      <c r="AQ211" s="43">
        <f>'[1]поточний ремонт'!AQ211+'[2]поточний ремонт'!AQ211-'[3]поточний ремонт'!AQ211</f>
        <v>395.76741189229665</v>
      </c>
      <c r="AR211" s="43">
        <f>'[1]поточний ремонт'!AR211+'[2]поточний ремонт'!AR211-'[3]поточний ремонт'!AR211</f>
        <v>0</v>
      </c>
      <c r="AS211" s="5"/>
      <c r="AT211" s="43">
        <f>'[1]поточний ремонт'!AT211+'[2]поточний ремонт'!AT211-'[3]поточний ремонт'!AT211</f>
        <v>586.08917204556553</v>
      </c>
      <c r="AU211" s="43">
        <f>'[1]поточний ремонт'!AU211+'[2]поточний ремонт'!AU211-'[3]поточний ремонт'!AU211</f>
        <v>11522</v>
      </c>
      <c r="AV211" s="5"/>
      <c r="AW211" s="43">
        <f>'[1]поточний ремонт'!AW211+'[2]поточний ремонт'!AW211-'[3]поточний ремонт'!AW211</f>
        <v>331.17498688247656</v>
      </c>
      <c r="AX211" s="43">
        <f>'[1]поточний ремонт'!AX211+'[2]поточний ремонт'!AX211-'[3]поточний ремонт'!AX211</f>
        <v>0</v>
      </c>
      <c r="AY211" s="5"/>
      <c r="AZ211" s="43">
        <f t="shared" si="26"/>
        <v>6019.4122194885686</v>
      </c>
      <c r="BA211" s="43">
        <f t="shared" si="27"/>
        <v>12153</v>
      </c>
      <c r="BB211" s="59">
        <f t="shared" si="28"/>
        <v>6133.5877805114314</v>
      </c>
      <c r="BD211" s="2">
        <v>1</v>
      </c>
      <c r="BF211" s="30">
        <v>370.7380818366255</v>
      </c>
      <c r="BG211" s="328">
        <v>150000961</v>
      </c>
      <c r="BI211" s="107">
        <v>15.35</v>
      </c>
      <c r="BJ211" s="107">
        <f t="shared" si="29"/>
        <v>2.1591647699999998</v>
      </c>
      <c r="BK211" s="107">
        <v>17.7029369686</v>
      </c>
      <c r="BL211" s="39"/>
      <c r="BM211" s="3">
        <v>6</v>
      </c>
      <c r="BN211" s="3">
        <v>1233.1510047500969</v>
      </c>
      <c r="BP211" s="3"/>
      <c r="BQ211" s="3"/>
      <c r="BS211" s="43"/>
      <c r="BT211" s="43">
        <v>0</v>
      </c>
      <c r="BU211" s="1037"/>
      <c r="BV211" s="42"/>
      <c r="BW211" s="43"/>
      <c r="BX211" s="1048"/>
      <c r="BY211" s="78"/>
      <c r="BZ211" s="43">
        <v>0</v>
      </c>
      <c r="CA211" s="1038"/>
      <c r="CB211" s="42">
        <v>2</v>
      </c>
      <c r="CC211" s="42">
        <v>17526.045894508799</v>
      </c>
      <c r="CD211" s="1048"/>
      <c r="CE211" s="78">
        <v>0</v>
      </c>
      <c r="CF211" s="56"/>
      <c r="CG211" s="42">
        <v>6</v>
      </c>
      <c r="CH211" s="39">
        <v>1250.8539417186969</v>
      </c>
      <c r="CI211" s="78">
        <v>0</v>
      </c>
      <c r="CJ211" s="56"/>
      <c r="CK211" s="1034"/>
      <c r="CL211" s="1029"/>
      <c r="CM211" s="1034">
        <v>182255</v>
      </c>
      <c r="CN211" s="1029">
        <v>2802.2875647775736</v>
      </c>
      <c r="CO211" s="78">
        <v>103.24030007118162</v>
      </c>
      <c r="CP211" s="43">
        <v>0</v>
      </c>
      <c r="CQ211" s="5"/>
      <c r="CR211" s="78">
        <v>132.91597242587585</v>
      </c>
      <c r="CS211" s="1033">
        <v>0</v>
      </c>
      <c r="CT211" s="5"/>
      <c r="CU211" s="78">
        <v>100.96236767896448</v>
      </c>
      <c r="CV211" s="43">
        <v>0</v>
      </c>
      <c r="CW211" s="1045"/>
      <c r="CX211" s="78">
        <v>55.079747212997127</v>
      </c>
      <c r="CY211" s="43">
        <v>0</v>
      </c>
      <c r="CZ211" s="5"/>
      <c r="DA211" s="78">
        <v>32.980617657691397</v>
      </c>
      <c r="DB211" s="43">
        <v>0</v>
      </c>
      <c r="DC211" s="5"/>
      <c r="DD211" s="78">
        <v>48.840764337130459</v>
      </c>
      <c r="DE211" s="43">
        <v>0</v>
      </c>
      <c r="DF211" s="5"/>
      <c r="DG211" s="78">
        <v>27.597915573539716</v>
      </c>
      <c r="DH211" s="43"/>
      <c r="DI211" s="5"/>
      <c r="DJ211" s="43">
        <v>501.61768495738062</v>
      </c>
      <c r="DK211" s="43">
        <f t="shared" si="30"/>
        <v>0</v>
      </c>
      <c r="DL211" s="59">
        <f t="shared" si="31"/>
        <v>-501.61768495738062</v>
      </c>
    </row>
    <row r="212" spans="1:116" ht="24.9" customHeight="1" x14ac:dyDescent="0.3">
      <c r="A212" s="328">
        <v>150000964</v>
      </c>
      <c r="B212" s="45" t="s">
        <v>382</v>
      </c>
      <c r="C212" s="1035">
        <v>9</v>
      </c>
      <c r="D212" s="1036" t="s">
        <v>454</v>
      </c>
      <c r="E212" s="1028">
        <f>'побудинковий звіт'!E210</f>
        <v>366</v>
      </c>
      <c r="F212" s="1029">
        <f>'побудинковий звіт'!AS210</f>
        <v>29856.859433811882</v>
      </c>
      <c r="G212" s="1029">
        <f t="shared" si="24"/>
        <v>1756.8987567617942</v>
      </c>
      <c r="H212" s="1029">
        <f t="shared" si="25"/>
        <v>-28099.960677050087</v>
      </c>
      <c r="I212" s="43">
        <f>'[1]поточний ремонт'!I212+'[2]поточний ремонт'!I212-'[3]поточний ремонт'!I212</f>
        <v>0</v>
      </c>
      <c r="J212" s="43">
        <f>'[1]поточний ремонт'!J212+'[2]поточний ремонт'!J212-'[3]поточний ремонт'!J212</f>
        <v>0</v>
      </c>
      <c r="K212" s="1037"/>
      <c r="L212" s="43">
        <f>'[1]поточний ремонт'!L212+'[2]поточний ремонт'!L212-'[3]поточний ремонт'!L212</f>
        <v>0</v>
      </c>
      <c r="M212" s="43">
        <f>'[1]поточний ремонт'!M212+'[2]поточний ремонт'!M212-'[3]поточний ремонт'!M212</f>
        <v>0</v>
      </c>
      <c r="N212" s="37"/>
      <c r="O212" s="43">
        <f>'[1]поточний ремонт'!O212+'[2]поточний ремонт'!O212-'[3]поточний ремонт'!O212</f>
        <v>0</v>
      </c>
      <c r="P212" s="43">
        <f>'[1]поточний ремонт'!P212+'[2]поточний ремонт'!P212-'[3]поточний ремонт'!P212</f>
        <v>0</v>
      </c>
      <c r="Q212" s="1038"/>
      <c r="R212" s="43">
        <f>'[1]поточний ремонт'!R212+'[2]поточний ремонт'!R212-'[3]поточний ремонт'!R212</f>
        <v>0</v>
      </c>
      <c r="S212" s="43">
        <f>'[1]поточний ремонт'!S212+'[2]поточний ремонт'!S212-'[3]поточний ремонт'!S212</f>
        <v>0</v>
      </c>
      <c r="T212" s="1039"/>
      <c r="U212" s="43">
        <f>'[1]поточний ремонт'!U212+'[2]поточний ремонт'!U212-'[3]поточний ремонт'!U212</f>
        <v>0</v>
      </c>
      <c r="V212" s="43">
        <f>'[1]поточний ремонт'!V212+'[2]поточний ремонт'!V212-'[3]поточний ремонт'!V212</f>
        <v>0</v>
      </c>
      <c r="W212" s="43">
        <f>'[1]поточний ремонт'!W212+'[2]поточний ремонт'!W212-'[3]поточний ремонт'!W212</f>
        <v>1</v>
      </c>
      <c r="X212" s="43">
        <f>'[1]поточний ремонт'!X212+'[2]поточний ремонт'!X212-'[3]поточний ремонт'!X212</f>
        <v>821.89875676179429</v>
      </c>
      <c r="Y212" s="43">
        <f>'[1]поточний ремонт'!Y212+'[2]поточний ремонт'!Y212-'[3]поточний ремонт'!Y212</f>
        <v>0</v>
      </c>
      <c r="Z212" s="43">
        <f>'[1]поточний ремонт'!Z212+'[2]поточний ремонт'!Z212-'[3]поточний ремонт'!Z212</f>
        <v>0</v>
      </c>
      <c r="AA212" s="43">
        <f>'[1]поточний ремонт'!AA212+'[2]поточний ремонт'!AA212-'[3]поточний ремонт'!AA212</f>
        <v>0</v>
      </c>
      <c r="AB212" s="43">
        <f>'[1]поточний ремонт'!AB212+'[2]поточний ремонт'!AB212-'[3]поточний ремонт'!AB212</f>
        <v>0</v>
      </c>
      <c r="AC212" s="43">
        <f>'[1]поточний ремонт'!AC212+'[2]поточний ремонт'!AC212-'[3]поточний ремонт'!AC212</f>
        <v>330</v>
      </c>
      <c r="AD212" s="43">
        <f>'[1]поточний ремонт'!AD212+'[2]поточний ремонт'!AD212-'[3]поточний ремонт'!AD212</f>
        <v>605</v>
      </c>
      <c r="AE212" s="43">
        <f>'[1]поточний ремонт'!AE212+'[2]поточний ремонт'!AE212-'[3]поточний ремонт'!AE212</f>
        <v>255.50410763334017</v>
      </c>
      <c r="AF212" s="43">
        <f>'[1]поточний ремонт'!AF212+'[2]поточний ремонт'!AF212-'[3]поточний ремонт'!AF212</f>
        <v>0</v>
      </c>
      <c r="AG212" s="5"/>
      <c r="AH212" s="43">
        <f>'[1]поточний ремонт'!AH212+'[2]поточний ремонт'!AH212-'[3]поточний ремонт'!AH212</f>
        <v>318.99833382210267</v>
      </c>
      <c r="AI212" s="43">
        <f>'[1]поточний ремонт'!AI212+'[2]поточний ремонт'!AI212-'[3]поточний ремонт'!AI212</f>
        <v>0</v>
      </c>
      <c r="AJ212" s="5"/>
      <c r="AK212" s="43">
        <f>'[1]поточний ремонт'!AK212+'[2]поточний ремонт'!AK212-'[3]поточний ремонт'!AK212</f>
        <v>264.03866605016998</v>
      </c>
      <c r="AL212" s="43">
        <f>'[1]поточний ремонт'!AL212+'[2]поточний ремонт'!AL212-'[3]поточний ремонт'!AL212</f>
        <v>0</v>
      </c>
      <c r="AM212" s="5"/>
      <c r="AN212" s="43">
        <f>'[1]поточний ремонт'!AN212+'[2]поточний ремонт'!AN212-'[3]поточний ремонт'!AN212</f>
        <v>141.53335086074676</v>
      </c>
      <c r="AO212" s="43">
        <f>'[1]поточний ремонт'!AO212+'[2]поточний ремонт'!AO212-'[3]поточний ремонт'!AO212</f>
        <v>0</v>
      </c>
      <c r="AP212" s="5"/>
      <c r="AQ212" s="43">
        <f>'[1]поточний ремонт'!AQ212+'[2]поточний ремонт'!AQ212-'[3]поточний ремонт'!AQ212</f>
        <v>79.153482378459373</v>
      </c>
      <c r="AR212" s="43">
        <f>'[1]поточний ремонт'!AR212+'[2]поточний ремонт'!AR212-'[3]поточний ремонт'!AR212</f>
        <v>0</v>
      </c>
      <c r="AS212" s="5"/>
      <c r="AT212" s="43">
        <f>'[1]поточний ремонт'!AT212+'[2]поточний ремонт'!AT212-'[3]поточний ремонт'!AT212</f>
        <v>104.70310388587016</v>
      </c>
      <c r="AU212" s="43">
        <f>'[1]поточний ремонт'!AU212+'[2]поточний ремонт'!AU212-'[3]поточний ремонт'!AU212</f>
        <v>0</v>
      </c>
      <c r="AV212" s="5"/>
      <c r="AW212" s="43">
        <f>'[1]поточний ремонт'!AW212+'[2]поточний ремонт'!AW212-'[3]поточний ремонт'!AW212</f>
        <v>167.44238903209089</v>
      </c>
      <c r="AX212" s="43">
        <f>'[1]поточний ремонт'!AX212+'[2]поточний ремонт'!AX212-'[3]поточний ремонт'!AX212</f>
        <v>0</v>
      </c>
      <c r="AY212" s="5"/>
      <c r="AZ212" s="43">
        <f t="shared" si="26"/>
        <v>1331.3734336627801</v>
      </c>
      <c r="BA212" s="43">
        <f t="shared" si="27"/>
        <v>0</v>
      </c>
      <c r="BB212" s="59">
        <f t="shared" si="28"/>
        <v>-1331.3734336627801</v>
      </c>
      <c r="BD212" s="2">
        <v>1</v>
      </c>
      <c r="BF212" s="30">
        <v>99.610773409056051</v>
      </c>
      <c r="BG212" s="328">
        <v>150000964</v>
      </c>
      <c r="BI212" s="107">
        <v>8.35</v>
      </c>
      <c r="BJ212" s="107">
        <f t="shared" si="29"/>
        <v>1.1745293699999999</v>
      </c>
      <c r="BK212" s="107">
        <v>9.6299363965999998</v>
      </c>
      <c r="BL212" s="39"/>
      <c r="BM212" s="3"/>
      <c r="BN212" s="3">
        <v>0</v>
      </c>
      <c r="BP212" s="3"/>
      <c r="BQ212" s="3"/>
      <c r="BS212" s="43"/>
      <c r="BT212" s="43">
        <v>0</v>
      </c>
      <c r="BU212" s="1037"/>
      <c r="BV212" s="42"/>
      <c r="BW212" s="43"/>
      <c r="BX212" s="37"/>
      <c r="BY212" s="78"/>
      <c r="BZ212" s="43">
        <v>0</v>
      </c>
      <c r="CA212" s="1038"/>
      <c r="CB212" s="42"/>
      <c r="CC212" s="42">
        <v>0</v>
      </c>
      <c r="CD212" s="1039"/>
      <c r="CE212" s="78">
        <v>0</v>
      </c>
      <c r="CF212" s="56"/>
      <c r="CG212" s="42">
        <v>0</v>
      </c>
      <c r="CH212" s="39">
        <v>9.6299363965999998</v>
      </c>
      <c r="CI212" s="78">
        <v>0</v>
      </c>
      <c r="CJ212" s="56"/>
      <c r="CK212" s="1034"/>
      <c r="CL212" s="1029"/>
      <c r="CM212" s="1034"/>
      <c r="CN212" s="1029">
        <v>0</v>
      </c>
      <c r="CO212" s="78">
        <v>21.292008969445007</v>
      </c>
      <c r="CP212" s="43">
        <v>0</v>
      </c>
      <c r="CQ212" s="5"/>
      <c r="CR212" s="78">
        <v>26.58319448517522</v>
      </c>
      <c r="CS212" s="1033">
        <v>0</v>
      </c>
      <c r="CT212" s="5"/>
      <c r="CU212" s="78">
        <v>22.003222170847501</v>
      </c>
      <c r="CV212" s="43">
        <v>0</v>
      </c>
      <c r="CW212" s="5"/>
      <c r="CX212" s="78">
        <v>11.794445905062231</v>
      </c>
      <c r="CY212" s="43">
        <v>0</v>
      </c>
      <c r="CZ212" s="5"/>
      <c r="DA212" s="78">
        <v>6.5961235315382805</v>
      </c>
      <c r="DB212" s="43">
        <v>0</v>
      </c>
      <c r="DC212" s="5"/>
      <c r="DD212" s="78">
        <v>8.7252586571558464</v>
      </c>
      <c r="DE212" s="43">
        <v>0</v>
      </c>
      <c r="DF212" s="5"/>
      <c r="DG212" s="78">
        <v>13.953532419340904</v>
      </c>
      <c r="DH212" s="43"/>
      <c r="DI212" s="5"/>
      <c r="DJ212" s="43">
        <v>110.94778613856499</v>
      </c>
      <c r="DK212" s="43">
        <f t="shared" si="30"/>
        <v>0</v>
      </c>
      <c r="DL212" s="59">
        <f t="shared" si="31"/>
        <v>-110.94778613856499</v>
      </c>
    </row>
    <row r="213" spans="1:116" ht="24.9" customHeight="1" x14ac:dyDescent="0.3">
      <c r="A213" s="328">
        <v>150000943</v>
      </c>
      <c r="B213" s="45" t="s">
        <v>122</v>
      </c>
      <c r="C213" s="1035">
        <v>1</v>
      </c>
      <c r="D213" s="1036" t="s">
        <v>454</v>
      </c>
      <c r="E213" s="1028">
        <f>'побудинковий звіт'!E211</f>
        <v>5138.55</v>
      </c>
      <c r="F213" s="1029">
        <f>'побудинковий звіт'!AS211</f>
        <v>1577.144690062951</v>
      </c>
      <c r="G213" s="1029">
        <f t="shared" si="24"/>
        <v>0</v>
      </c>
      <c r="H213" s="1029">
        <f t="shared" si="25"/>
        <v>-1577.144690062951</v>
      </c>
      <c r="I213" s="43">
        <f>'[1]поточний ремонт'!I213+'[2]поточний ремонт'!I213-'[3]поточний ремонт'!I213</f>
        <v>0</v>
      </c>
      <c r="J213" s="43">
        <f>'[1]поточний ремонт'!J213+'[2]поточний ремонт'!J213-'[3]поточний ремонт'!J213</f>
        <v>0</v>
      </c>
      <c r="K213" s="1037"/>
      <c r="L213" s="43">
        <f>'[1]поточний ремонт'!L213+'[2]поточний ремонт'!L213-'[3]поточний ремонт'!L213</f>
        <v>0</v>
      </c>
      <c r="M213" s="43">
        <f>'[1]поточний ремонт'!M213+'[2]поточний ремонт'!M213-'[3]поточний ремонт'!M213</f>
        <v>0</v>
      </c>
      <c r="N213" s="37"/>
      <c r="O213" s="43">
        <f>'[1]поточний ремонт'!O213+'[2]поточний ремонт'!O213-'[3]поточний ремонт'!O213</f>
        <v>0</v>
      </c>
      <c r="P213" s="43">
        <f>'[1]поточний ремонт'!P213+'[2]поточний ремонт'!P213-'[3]поточний ремонт'!P213</f>
        <v>0</v>
      </c>
      <c r="Q213" s="1038"/>
      <c r="R213" s="43">
        <f>'[1]поточний ремонт'!R213+'[2]поточний ремонт'!R213-'[3]поточний ремонт'!R213</f>
        <v>0</v>
      </c>
      <c r="S213" s="43">
        <f>'[1]поточний ремонт'!S213+'[2]поточний ремонт'!S213-'[3]поточний ремонт'!S213</f>
        <v>0</v>
      </c>
      <c r="T213" s="1039"/>
      <c r="U213" s="43">
        <f>'[1]поточний ремонт'!U213+'[2]поточний ремонт'!U213-'[3]поточний ремонт'!U213</f>
        <v>0</v>
      </c>
      <c r="V213" s="43">
        <f>'[1]поточний ремонт'!V213+'[2]поточний ремонт'!V213-'[3]поточний ремонт'!V213</f>
        <v>0</v>
      </c>
      <c r="W213" s="43">
        <f>'[1]поточний ремонт'!W213+'[2]поточний ремонт'!W213-'[3]поточний ремонт'!W213</f>
        <v>0</v>
      </c>
      <c r="X213" s="43">
        <f>'[1]поточний ремонт'!X213+'[2]поточний ремонт'!X213-'[3]поточний ремонт'!X213</f>
        <v>0</v>
      </c>
      <c r="Y213" s="43">
        <f>'[1]поточний ремонт'!Y213+'[2]поточний ремонт'!Y213-'[3]поточний ремонт'!Y213</f>
        <v>0</v>
      </c>
      <c r="Z213" s="43">
        <f>'[1]поточний ремонт'!Z213+'[2]поточний ремонт'!Z213-'[3]поточний ремонт'!Z213</f>
        <v>0</v>
      </c>
      <c r="AA213" s="43">
        <f>'[1]поточний ремонт'!AA213+'[2]поточний ремонт'!AA213-'[3]поточний ремонт'!AA213</f>
        <v>0</v>
      </c>
      <c r="AB213" s="43">
        <f>'[1]поточний ремонт'!AB213+'[2]поточний ремонт'!AB213-'[3]поточний ремонт'!AB213</f>
        <v>0</v>
      </c>
      <c r="AC213" s="43">
        <f>'[1]поточний ремонт'!AC213+'[2]поточний ремонт'!AC213-'[3]поточний ремонт'!AC213</f>
        <v>0</v>
      </c>
      <c r="AD213" s="43">
        <f>'[1]поточний ремонт'!AD213+'[2]поточний ремонт'!AD213-'[3]поточний ремонт'!AD213</f>
        <v>0</v>
      </c>
      <c r="AE213" s="43">
        <f>'[1]поточний ремонт'!AE213+'[2]поточний ремонт'!AE213-'[3]поточний ремонт'!AE213</f>
        <v>0</v>
      </c>
      <c r="AF213" s="43">
        <f>'[1]поточний ремонт'!AF213+'[2]поточний ремонт'!AF213-'[3]поточний ремонт'!AF213</f>
        <v>0</v>
      </c>
      <c r="AG213" s="5"/>
      <c r="AH213" s="43">
        <f>'[1]поточний ремонт'!AH213+'[2]поточний ремонт'!AH213-'[3]поточний ремонт'!AH213</f>
        <v>0</v>
      </c>
      <c r="AI213" s="43">
        <f>'[1]поточний ремонт'!AI213+'[2]поточний ремонт'!AI213-'[3]поточний ремонт'!AI213</f>
        <v>0</v>
      </c>
      <c r="AJ213" s="5"/>
      <c r="AK213" s="43">
        <f>'[1]поточний ремонт'!AK213+'[2]поточний ремонт'!AK213-'[3]поточний ремонт'!AK213</f>
        <v>0</v>
      </c>
      <c r="AL213" s="43">
        <f>'[1]поточний ремонт'!AL213+'[2]поточний ремонт'!AL213-'[3]поточний ремонт'!AL213</f>
        <v>0</v>
      </c>
      <c r="AM213" s="5"/>
      <c r="AN213" s="43">
        <f>'[1]поточний ремонт'!AN213+'[2]поточний ремонт'!AN213-'[3]поточний ремонт'!AN213</f>
        <v>0</v>
      </c>
      <c r="AO213" s="43">
        <f>'[1]поточний ремонт'!AO213+'[2]поточний ремонт'!AO213-'[3]поточний ремонт'!AO213</f>
        <v>0</v>
      </c>
      <c r="AP213" s="5"/>
      <c r="AQ213" s="43">
        <f>'[1]поточний ремонт'!AQ213+'[2]поточний ремонт'!AQ213-'[3]поточний ремонт'!AQ213</f>
        <v>0</v>
      </c>
      <c r="AR213" s="43">
        <f>'[1]поточний ремонт'!AR213+'[2]поточний ремонт'!AR213-'[3]поточний ремонт'!AR213</f>
        <v>0</v>
      </c>
      <c r="AS213" s="5"/>
      <c r="AT213" s="43">
        <f>'[1]поточний ремонт'!AT213+'[2]поточний ремонт'!AT213-'[3]поточний ремонт'!AT213</f>
        <v>0</v>
      </c>
      <c r="AU213" s="43">
        <f>'[1]поточний ремонт'!AU213+'[2]поточний ремонт'!AU213-'[3]поточний ремонт'!AU213</f>
        <v>0</v>
      </c>
      <c r="AV213" s="5"/>
      <c r="AW213" s="43">
        <f>'[1]поточний ремонт'!AW213+'[2]поточний ремонт'!AW213-'[3]поточний ремонт'!AW213</f>
        <v>0</v>
      </c>
      <c r="AX213" s="43">
        <f>'[1]поточний ремонт'!AX213+'[2]поточний ремонт'!AX213-'[3]поточний ремонт'!AX213</f>
        <v>0</v>
      </c>
      <c r="AY213" s="5"/>
      <c r="AZ213" s="43">
        <f t="shared" si="26"/>
        <v>0</v>
      </c>
      <c r="BA213" s="43">
        <f t="shared" si="27"/>
        <v>0</v>
      </c>
      <c r="BB213" s="59">
        <f t="shared" si="28"/>
        <v>0</v>
      </c>
      <c r="BD213" s="2">
        <v>1</v>
      </c>
      <c r="BF213" s="30">
        <v>0</v>
      </c>
      <c r="BG213" s="328">
        <v>150000943</v>
      </c>
      <c r="BI213" s="107">
        <v>0</v>
      </c>
      <c r="BJ213" s="107">
        <f t="shared" si="29"/>
        <v>0</v>
      </c>
      <c r="BK213" s="107">
        <v>0</v>
      </c>
      <c r="BL213" s="39"/>
      <c r="BM213" s="3"/>
      <c r="BN213" s="3">
        <v>0</v>
      </c>
      <c r="BP213" s="3"/>
      <c r="BQ213" s="3"/>
      <c r="BS213" s="43"/>
      <c r="BT213" s="43">
        <v>0</v>
      </c>
      <c r="BU213" s="1037"/>
      <c r="BV213" s="42"/>
      <c r="BW213" s="43"/>
      <c r="BX213" s="37"/>
      <c r="BY213" s="78"/>
      <c r="BZ213" s="43">
        <v>0</v>
      </c>
      <c r="CA213" s="1038"/>
      <c r="CB213" s="42"/>
      <c r="CC213" s="42">
        <v>0</v>
      </c>
      <c r="CD213" s="1039"/>
      <c r="CE213" s="78">
        <v>0</v>
      </c>
      <c r="CF213" s="56"/>
      <c r="CG213" s="42">
        <v>0</v>
      </c>
      <c r="CH213" s="39">
        <v>0</v>
      </c>
      <c r="CI213" s="78">
        <v>0</v>
      </c>
      <c r="CJ213" s="56"/>
      <c r="CK213" s="1034"/>
      <c r="CL213" s="1029"/>
      <c r="CM213" s="1034"/>
      <c r="CN213" s="1029">
        <v>0</v>
      </c>
      <c r="CO213" s="78">
        <v>0</v>
      </c>
      <c r="CP213" s="43">
        <v>0</v>
      </c>
      <c r="CQ213" s="5"/>
      <c r="CR213" s="78">
        <v>0</v>
      </c>
      <c r="CS213" s="1033">
        <v>0</v>
      </c>
      <c r="CT213" s="5"/>
      <c r="CU213" s="78">
        <v>0</v>
      </c>
      <c r="CV213" s="43">
        <v>0</v>
      </c>
      <c r="CW213" s="5"/>
      <c r="CX213" s="78">
        <v>0</v>
      </c>
      <c r="CY213" s="43">
        <v>0</v>
      </c>
      <c r="CZ213" s="5"/>
      <c r="DA213" s="78">
        <v>0</v>
      </c>
      <c r="DB213" s="43">
        <v>0</v>
      </c>
      <c r="DC213" s="5"/>
      <c r="DD213" s="78">
        <v>0</v>
      </c>
      <c r="DE213" s="43">
        <v>0</v>
      </c>
      <c r="DF213" s="5"/>
      <c r="DG213" s="78">
        <v>0</v>
      </c>
      <c r="DH213" s="43"/>
      <c r="DI213" s="5"/>
      <c r="DJ213" s="43">
        <v>0</v>
      </c>
      <c r="DK213" s="43">
        <f t="shared" si="30"/>
        <v>0</v>
      </c>
      <c r="DL213" s="59">
        <f t="shared" si="31"/>
        <v>0</v>
      </c>
    </row>
    <row r="214" spans="1:116" ht="24.9" customHeight="1" x14ac:dyDescent="0.3">
      <c r="A214" s="328">
        <v>150000944</v>
      </c>
      <c r="B214" s="45" t="s">
        <v>123</v>
      </c>
      <c r="C214" s="1035">
        <v>1</v>
      </c>
      <c r="D214" s="1036" t="s">
        <v>454</v>
      </c>
      <c r="E214" s="1028">
        <f>'побудинковий звіт'!E212</f>
        <v>284.10000000000002</v>
      </c>
      <c r="F214" s="1029">
        <f>'побудинковий звіт'!AS212</f>
        <v>1758.4511114495358</v>
      </c>
      <c r="G214" s="1029">
        <f t="shared" si="24"/>
        <v>0</v>
      </c>
      <c r="H214" s="1029">
        <f t="shared" si="25"/>
        <v>-1758.4511114495358</v>
      </c>
      <c r="I214" s="43">
        <f>'[1]поточний ремонт'!I214+'[2]поточний ремонт'!I214-'[3]поточний ремонт'!I214</f>
        <v>0</v>
      </c>
      <c r="J214" s="43">
        <f>'[1]поточний ремонт'!J214+'[2]поточний ремонт'!J214-'[3]поточний ремонт'!J214</f>
        <v>0</v>
      </c>
      <c r="K214" s="1037"/>
      <c r="L214" s="43">
        <f>'[1]поточний ремонт'!L214+'[2]поточний ремонт'!L214-'[3]поточний ремонт'!L214</f>
        <v>0</v>
      </c>
      <c r="M214" s="43">
        <f>'[1]поточний ремонт'!M214+'[2]поточний ремонт'!M214-'[3]поточний ремонт'!M214</f>
        <v>0</v>
      </c>
      <c r="N214" s="37"/>
      <c r="O214" s="43">
        <f>'[1]поточний ремонт'!O214+'[2]поточний ремонт'!O214-'[3]поточний ремонт'!O214</f>
        <v>0</v>
      </c>
      <c r="P214" s="43">
        <f>'[1]поточний ремонт'!P214+'[2]поточний ремонт'!P214-'[3]поточний ремонт'!P214</f>
        <v>0</v>
      </c>
      <c r="Q214" s="1038"/>
      <c r="R214" s="43">
        <f>'[1]поточний ремонт'!R214+'[2]поточний ремонт'!R214-'[3]поточний ремонт'!R214</f>
        <v>0</v>
      </c>
      <c r="S214" s="43">
        <f>'[1]поточний ремонт'!S214+'[2]поточний ремонт'!S214-'[3]поточний ремонт'!S214</f>
        <v>0</v>
      </c>
      <c r="T214" s="1039"/>
      <c r="U214" s="43">
        <f>'[1]поточний ремонт'!U214+'[2]поточний ремонт'!U214-'[3]поточний ремонт'!U214</f>
        <v>0</v>
      </c>
      <c r="V214" s="43">
        <f>'[1]поточний ремонт'!V214+'[2]поточний ремонт'!V214-'[3]поточний ремонт'!V214</f>
        <v>0</v>
      </c>
      <c r="W214" s="43">
        <f>'[1]поточний ремонт'!W214+'[2]поточний ремонт'!W214-'[3]поточний ремонт'!W214</f>
        <v>0</v>
      </c>
      <c r="X214" s="43">
        <f>'[1]поточний ремонт'!X214+'[2]поточний ремонт'!X214-'[3]поточний ремонт'!X214</f>
        <v>0</v>
      </c>
      <c r="Y214" s="43">
        <f>'[1]поточний ремонт'!Y214+'[2]поточний ремонт'!Y214-'[3]поточний ремонт'!Y214</f>
        <v>0</v>
      </c>
      <c r="Z214" s="43">
        <f>'[1]поточний ремонт'!Z214+'[2]поточний ремонт'!Z214-'[3]поточний ремонт'!Z214</f>
        <v>0</v>
      </c>
      <c r="AA214" s="43">
        <f>'[1]поточний ремонт'!AA214+'[2]поточний ремонт'!AA214-'[3]поточний ремонт'!AA214</f>
        <v>0</v>
      </c>
      <c r="AB214" s="43">
        <f>'[1]поточний ремонт'!AB214+'[2]поточний ремонт'!AB214-'[3]поточний ремонт'!AB214</f>
        <v>0</v>
      </c>
      <c r="AC214" s="43">
        <f>'[1]поточний ремонт'!AC214+'[2]поточний ремонт'!AC214-'[3]поточний ремонт'!AC214</f>
        <v>0</v>
      </c>
      <c r="AD214" s="43">
        <f>'[1]поточний ремонт'!AD214+'[2]поточний ремонт'!AD214-'[3]поточний ремонт'!AD214</f>
        <v>0</v>
      </c>
      <c r="AE214" s="43">
        <f>'[1]поточний ремонт'!AE214+'[2]поточний ремонт'!AE214-'[3]поточний ремонт'!AE214</f>
        <v>0</v>
      </c>
      <c r="AF214" s="43">
        <f>'[1]поточний ремонт'!AF214+'[2]поточний ремонт'!AF214-'[3]поточний ремонт'!AF214</f>
        <v>0</v>
      </c>
      <c r="AG214" s="5"/>
      <c r="AH214" s="43">
        <f>'[1]поточний ремонт'!AH214+'[2]поточний ремонт'!AH214-'[3]поточний ремонт'!AH214</f>
        <v>0</v>
      </c>
      <c r="AI214" s="43">
        <f>'[1]поточний ремонт'!AI214+'[2]поточний ремонт'!AI214-'[3]поточний ремонт'!AI214</f>
        <v>0</v>
      </c>
      <c r="AJ214" s="5"/>
      <c r="AK214" s="43">
        <f>'[1]поточний ремонт'!AK214+'[2]поточний ремонт'!AK214-'[3]поточний ремонт'!AK214</f>
        <v>0</v>
      </c>
      <c r="AL214" s="43">
        <f>'[1]поточний ремонт'!AL214+'[2]поточний ремонт'!AL214-'[3]поточний ремонт'!AL214</f>
        <v>0</v>
      </c>
      <c r="AM214" s="5"/>
      <c r="AN214" s="43">
        <f>'[1]поточний ремонт'!AN214+'[2]поточний ремонт'!AN214-'[3]поточний ремонт'!AN214</f>
        <v>0</v>
      </c>
      <c r="AO214" s="43">
        <f>'[1]поточний ремонт'!AO214+'[2]поточний ремонт'!AO214-'[3]поточний ремонт'!AO214</f>
        <v>0</v>
      </c>
      <c r="AP214" s="5"/>
      <c r="AQ214" s="43">
        <f>'[1]поточний ремонт'!AQ214+'[2]поточний ремонт'!AQ214-'[3]поточний ремонт'!AQ214</f>
        <v>0</v>
      </c>
      <c r="AR214" s="43">
        <f>'[1]поточний ремонт'!AR214+'[2]поточний ремонт'!AR214-'[3]поточний ремонт'!AR214</f>
        <v>0</v>
      </c>
      <c r="AS214" s="5"/>
      <c r="AT214" s="43">
        <f>'[1]поточний ремонт'!AT214+'[2]поточний ремонт'!AT214-'[3]поточний ремонт'!AT214</f>
        <v>0</v>
      </c>
      <c r="AU214" s="43">
        <f>'[1]поточний ремонт'!AU214+'[2]поточний ремонт'!AU214-'[3]поточний ремонт'!AU214</f>
        <v>0</v>
      </c>
      <c r="AV214" s="5"/>
      <c r="AW214" s="43">
        <f>'[1]поточний ремонт'!AW214+'[2]поточний ремонт'!AW214-'[3]поточний ремонт'!AW214</f>
        <v>0</v>
      </c>
      <c r="AX214" s="43">
        <f>'[1]поточний ремонт'!AX214+'[2]поточний ремонт'!AX214-'[3]поточний ремонт'!AX214</f>
        <v>0</v>
      </c>
      <c r="AY214" s="5"/>
      <c r="AZ214" s="43">
        <f t="shared" si="26"/>
        <v>0</v>
      </c>
      <c r="BA214" s="43">
        <f t="shared" si="27"/>
        <v>0</v>
      </c>
      <c r="BB214" s="59">
        <f t="shared" si="28"/>
        <v>0</v>
      </c>
      <c r="BD214" s="2">
        <v>1</v>
      </c>
      <c r="BF214" s="30">
        <v>0</v>
      </c>
      <c r="BG214" s="328">
        <v>150000944</v>
      </c>
      <c r="BI214" s="107">
        <v>0</v>
      </c>
      <c r="BJ214" s="107">
        <f t="shared" si="29"/>
        <v>0</v>
      </c>
      <c r="BK214" s="107">
        <v>0</v>
      </c>
      <c r="BL214" s="39"/>
      <c r="BM214" s="3"/>
      <c r="BN214" s="3">
        <v>0</v>
      </c>
      <c r="BP214" s="3"/>
      <c r="BQ214" s="3"/>
      <c r="BS214" s="43"/>
      <c r="BT214" s="43">
        <v>0</v>
      </c>
      <c r="BU214" s="1037"/>
      <c r="BV214" s="42"/>
      <c r="BW214" s="43"/>
      <c r="BX214" s="37"/>
      <c r="BY214" s="78"/>
      <c r="BZ214" s="43">
        <v>0</v>
      </c>
      <c r="CA214" s="1038"/>
      <c r="CB214" s="42"/>
      <c r="CC214" s="42">
        <v>0</v>
      </c>
      <c r="CD214" s="1039"/>
      <c r="CE214" s="78">
        <v>0</v>
      </c>
      <c r="CF214" s="56"/>
      <c r="CG214" s="42">
        <v>0</v>
      </c>
      <c r="CH214" s="39">
        <v>0</v>
      </c>
      <c r="CI214" s="78">
        <v>0</v>
      </c>
      <c r="CJ214" s="56"/>
      <c r="CK214" s="1034"/>
      <c r="CL214" s="1029"/>
      <c r="CM214" s="1034"/>
      <c r="CN214" s="1029">
        <v>0</v>
      </c>
      <c r="CO214" s="78">
        <v>0</v>
      </c>
      <c r="CP214" s="43">
        <v>0</v>
      </c>
      <c r="CQ214" s="5"/>
      <c r="CR214" s="78">
        <v>0</v>
      </c>
      <c r="CS214" s="1033">
        <v>0</v>
      </c>
      <c r="CT214" s="5"/>
      <c r="CU214" s="78">
        <v>0</v>
      </c>
      <c r="CV214" s="43">
        <v>0</v>
      </c>
      <c r="CW214" s="5"/>
      <c r="CX214" s="78">
        <v>0</v>
      </c>
      <c r="CY214" s="43">
        <v>0</v>
      </c>
      <c r="CZ214" s="5"/>
      <c r="DA214" s="78">
        <v>0</v>
      </c>
      <c r="DB214" s="43">
        <v>0</v>
      </c>
      <c r="DC214" s="5"/>
      <c r="DD214" s="78">
        <v>0</v>
      </c>
      <c r="DE214" s="43">
        <v>0</v>
      </c>
      <c r="DF214" s="5"/>
      <c r="DG214" s="78">
        <v>0</v>
      </c>
      <c r="DH214" s="43"/>
      <c r="DI214" s="5"/>
      <c r="DJ214" s="43">
        <v>0</v>
      </c>
      <c r="DK214" s="43">
        <f t="shared" si="30"/>
        <v>0</v>
      </c>
      <c r="DL214" s="59">
        <f t="shared" si="31"/>
        <v>0</v>
      </c>
    </row>
    <row r="215" spans="1:116" ht="24.9" customHeight="1" x14ac:dyDescent="0.3">
      <c r="A215" s="328">
        <v>150000945</v>
      </c>
      <c r="B215" s="45" t="s">
        <v>421</v>
      </c>
      <c r="C215" s="1035">
        <v>10</v>
      </c>
      <c r="D215" s="1036" t="s">
        <v>454</v>
      </c>
      <c r="E215" s="1028">
        <f>'побудинковий звіт'!E213</f>
        <v>7515.72</v>
      </c>
      <c r="F215" s="1029">
        <f>'побудинковий звіт'!AS213</f>
        <v>103124.78832055992</v>
      </c>
      <c r="G215" s="1029">
        <f t="shared" si="24"/>
        <v>107018</v>
      </c>
      <c r="H215" s="1029">
        <f t="shared" si="25"/>
        <v>3893.211679440079</v>
      </c>
      <c r="I215" s="43">
        <f>'[1]поточний ремонт'!I215+'[2]поточний ремонт'!I215-'[3]поточний ремонт'!I215</f>
        <v>0</v>
      </c>
      <c r="J215" s="43">
        <f>'[1]поточний ремонт'!J215+'[2]поточний ремонт'!J215-'[3]поточний ремонт'!J215</f>
        <v>0</v>
      </c>
      <c r="K215" s="1041"/>
      <c r="L215" s="43">
        <f>'[1]поточний ремонт'!L215+'[2]поточний ремонт'!L215-'[3]поточний ремонт'!L215</f>
        <v>0</v>
      </c>
      <c r="M215" s="43">
        <f>'[1]поточний ремонт'!M215+'[2]поточний ремонт'!M215-'[3]поточний ремонт'!M215</f>
        <v>0</v>
      </c>
      <c r="N215" s="37"/>
      <c r="O215" s="43">
        <f>'[1]поточний ремонт'!O215+'[2]поточний ремонт'!O215-'[3]поточний ремонт'!O215</f>
        <v>0</v>
      </c>
      <c r="P215" s="43">
        <f>'[1]поточний ремонт'!P215+'[2]поточний ремонт'!P215-'[3]поточний ремонт'!P215</f>
        <v>0</v>
      </c>
      <c r="Q215" s="1038"/>
      <c r="R215" s="43">
        <f>'[1]поточний ремонт'!R215+'[2]поточний ремонт'!R215-'[3]поточний ремонт'!R215</f>
        <v>2</v>
      </c>
      <c r="S215" s="43">
        <f>'[1]поточний ремонт'!S215+'[2]поточний ремонт'!S215-'[3]поточний ремонт'!S215</f>
        <v>15604.000000000002</v>
      </c>
      <c r="T215" s="1047"/>
      <c r="U215" s="43">
        <f>'[1]поточний ремонт'!U215+'[2]поточний ремонт'!U215-'[3]поточний ремонт'!U215</f>
        <v>0</v>
      </c>
      <c r="V215" s="43">
        <f>'[1]поточний ремонт'!V215+'[2]поточний ремонт'!V215-'[3]поточний ремонт'!V215</f>
        <v>0</v>
      </c>
      <c r="W215" s="43">
        <f>'[1]поточний ремонт'!W215+'[2]поточний ремонт'!W215-'[3]поточний ремонт'!W215</f>
        <v>0</v>
      </c>
      <c r="X215" s="43">
        <f>'[1]поточний ремонт'!X215+'[2]поточний ремонт'!X215-'[3]поточний ремонт'!X215</f>
        <v>0</v>
      </c>
      <c r="Y215" s="43">
        <f>'[1]поточний ремонт'!Y215+'[2]поточний ремонт'!Y215-'[3]поточний ремонт'!Y215</f>
        <v>63347</v>
      </c>
      <c r="Z215" s="43">
        <f>'[1]поточний ремонт'!Z215+'[2]поточний ремонт'!Z215-'[3]поточний ремонт'!Z215</f>
        <v>0</v>
      </c>
      <c r="AA215" s="43">
        <f>'[1]поточний ремонт'!AA215+'[2]поточний ремонт'!AA215-'[3]поточний ремонт'!AA215</f>
        <v>0</v>
      </c>
      <c r="AB215" s="43">
        <f>'[1]поточний ремонт'!AB215+'[2]поточний ремонт'!AB215-'[3]поточний ремонт'!AB215</f>
        <v>8781</v>
      </c>
      <c r="AC215" s="43">
        <f>'[1]поточний ремонт'!AC215+'[2]поточний ремонт'!AC215-'[3]поточний ремонт'!AC215</f>
        <v>4667</v>
      </c>
      <c r="AD215" s="43">
        <f>'[1]поточний ремонт'!AD215+'[2]поточний ремонт'!AD215-'[3]поточний ремонт'!AD215</f>
        <v>14619</v>
      </c>
      <c r="AE215" s="43">
        <f>'[1]поточний ремонт'!AE215+'[2]поточний ремонт'!AE215-'[3]поточний ремонт'!AE215</f>
        <v>1962.2750472998771</v>
      </c>
      <c r="AF215" s="43">
        <f>'[1]поточний ремонт'!AF215+'[2]поточний ремонт'!AF215-'[3]поточний ремонт'!AF215</f>
        <v>1854</v>
      </c>
      <c r="AG215" s="5"/>
      <c r="AH215" s="43">
        <f>'[1]поточний ремонт'!AH215+'[2]поточний ремонт'!AH215-'[3]поточний ремонт'!AH215</f>
        <v>2393.4827366160052</v>
      </c>
      <c r="AI215" s="43">
        <f>'[1]поточний ремонт'!AI215+'[2]поточний ремонт'!AI215-'[3]поточний ремонт'!AI215</f>
        <v>0</v>
      </c>
      <c r="AJ215" s="5"/>
      <c r="AK215" s="43">
        <f>'[1]поточний ремонт'!AK215+'[2]поточний ремонт'!AK215-'[3]поточний ремонт'!AK215</f>
        <v>2752.0241968388818</v>
      </c>
      <c r="AL215" s="43">
        <f>'[1]поточний ремонт'!AL215+'[2]поточний ремонт'!AL215-'[3]поточний ремонт'!AL215</f>
        <v>208</v>
      </c>
      <c r="AM215" s="5"/>
      <c r="AN215" s="43">
        <f>'[1]поточний ремонт'!AN215+'[2]поточний ремонт'!AN215-'[3]поточний ремонт'!AN215</f>
        <v>1166.5131219594202</v>
      </c>
      <c r="AO215" s="43">
        <f>'[1]поточний ремонт'!AO215+'[2]поточний ремонт'!AO215-'[3]поточний ремонт'!AO215</f>
        <v>1769</v>
      </c>
      <c r="AP215" s="5"/>
      <c r="AQ215" s="43">
        <f>'[1]поточний ремонт'!AQ215+'[2]поточний ремонт'!AQ215-'[3]поточний ремонт'!AQ215</f>
        <v>634.10414095325257</v>
      </c>
      <c r="AR215" s="43">
        <f>'[1]поточний ремонт'!AR215+'[2]поточний ремонт'!AR215-'[3]поточний ремонт'!AR215</f>
        <v>0</v>
      </c>
      <c r="AS215" s="5"/>
      <c r="AT215" s="43">
        <f>'[1]поточний ремонт'!AT215+'[2]поточний ремонт'!AT215-'[3]поточний ремонт'!AT215</f>
        <v>1231.5713742880057</v>
      </c>
      <c r="AU215" s="43">
        <f>'[1]поточний ремонт'!AU215+'[2]поточний ремонт'!AU215-'[3]поточний ремонт'!AU215</f>
        <v>13353</v>
      </c>
      <c r="AV215" s="1057"/>
      <c r="AW215" s="43">
        <f>'[1]поточний ремонт'!AW215+'[2]поточний ремонт'!AW215-'[3]поточний ремонт'!AW215</f>
        <v>716.05861632167455</v>
      </c>
      <c r="AX215" s="43">
        <f>'[1]поточний ремонт'!AX215+'[2]поточний ремонт'!AX215-'[3]поточний ремонт'!AX215</f>
        <v>0</v>
      </c>
      <c r="AY215" s="5"/>
      <c r="AZ215" s="43">
        <f t="shared" si="26"/>
        <v>10856.029234277115</v>
      </c>
      <c r="BA215" s="43">
        <f t="shared" si="27"/>
        <v>17184</v>
      </c>
      <c r="BB215" s="59">
        <f t="shared" si="28"/>
        <v>6327.9707657228846</v>
      </c>
      <c r="BD215" s="2">
        <v>1</v>
      </c>
      <c r="BF215" s="30">
        <v>366.59464258123239</v>
      </c>
      <c r="BG215" s="328">
        <v>150000945</v>
      </c>
      <c r="BI215" s="107">
        <v>0</v>
      </c>
      <c r="BJ215" s="107">
        <f t="shared" si="29"/>
        <v>0</v>
      </c>
      <c r="BK215" s="107">
        <v>0</v>
      </c>
      <c r="BL215" s="39"/>
      <c r="BM215" s="3"/>
      <c r="BN215" s="3">
        <v>0</v>
      </c>
      <c r="BP215" s="3"/>
      <c r="BQ215" s="3"/>
      <c r="BS215" s="43"/>
      <c r="BT215" s="43">
        <v>0</v>
      </c>
      <c r="BU215" s="1041"/>
      <c r="BV215" s="42"/>
      <c r="BW215" s="43"/>
      <c r="BX215" s="37"/>
      <c r="BY215" s="78"/>
      <c r="BZ215" s="43">
        <v>0</v>
      </c>
      <c r="CA215" s="1038"/>
      <c r="CB215" s="42"/>
      <c r="CC215" s="42">
        <v>0</v>
      </c>
      <c r="CD215" s="1047"/>
      <c r="CE215" s="78">
        <v>0</v>
      </c>
      <c r="CF215" s="56"/>
      <c r="CG215" s="42">
        <v>0</v>
      </c>
      <c r="CH215" s="39">
        <v>0</v>
      </c>
      <c r="CI215" s="78">
        <v>0</v>
      </c>
      <c r="CJ215" s="56"/>
      <c r="CK215" s="1034"/>
      <c r="CL215" s="1029"/>
      <c r="CM215" s="1034">
        <v>451</v>
      </c>
      <c r="CN215" s="1029">
        <v>670.64196623833709</v>
      </c>
      <c r="CO215" s="78">
        <v>163.52292060832303</v>
      </c>
      <c r="CP215" s="43">
        <v>0</v>
      </c>
      <c r="CQ215" s="5"/>
      <c r="CR215" s="78">
        <v>199.4568947180004</v>
      </c>
      <c r="CS215" s="1033">
        <v>0</v>
      </c>
      <c r="CT215" s="5"/>
      <c r="CU215" s="78">
        <v>229.33534973657356</v>
      </c>
      <c r="CV215" s="43">
        <v>0</v>
      </c>
      <c r="CW215" s="5"/>
      <c r="CX215" s="78">
        <v>97.209426829951681</v>
      </c>
      <c r="CY215" s="43">
        <v>0</v>
      </c>
      <c r="CZ215" s="5"/>
      <c r="DA215" s="78">
        <v>52.842011746104383</v>
      </c>
      <c r="DB215" s="43">
        <v>0</v>
      </c>
      <c r="DC215" s="5"/>
      <c r="DD215" s="78">
        <v>102.63094785733381</v>
      </c>
      <c r="DE215" s="43">
        <v>0</v>
      </c>
      <c r="DF215" s="1057"/>
      <c r="DG215" s="78">
        <v>59.671551360139539</v>
      </c>
      <c r="DH215" s="43"/>
      <c r="DI215" s="5"/>
      <c r="DJ215" s="43">
        <v>904.66910285642643</v>
      </c>
      <c r="DK215" s="43">
        <f t="shared" si="30"/>
        <v>0</v>
      </c>
      <c r="DL215" s="59">
        <f t="shared" si="31"/>
        <v>-904.66910285642643</v>
      </c>
    </row>
    <row r="216" spans="1:116" ht="25.5" customHeight="1" x14ac:dyDescent="0.3">
      <c r="A216" s="328">
        <v>150000947</v>
      </c>
      <c r="B216" s="45" t="s">
        <v>268</v>
      </c>
      <c r="C216" s="1035">
        <v>5</v>
      </c>
      <c r="D216" s="1036" t="s">
        <v>454</v>
      </c>
      <c r="E216" s="1028">
        <f>'побудинковий звіт'!E214</f>
        <v>6120.05</v>
      </c>
      <c r="F216" s="1029">
        <f>'побудинковий звіт'!AS214</f>
        <v>45540.27132344347</v>
      </c>
      <c r="G216" s="1029">
        <f t="shared" si="24"/>
        <v>3423</v>
      </c>
      <c r="H216" s="1029">
        <f t="shared" si="25"/>
        <v>-42117.27132344347</v>
      </c>
      <c r="I216" s="43">
        <f>'[1]поточний ремонт'!I216+'[2]поточний ремонт'!I216-'[3]поточний ремонт'!I216</f>
        <v>0</v>
      </c>
      <c r="J216" s="43">
        <f>'[1]поточний ремонт'!J216+'[2]поточний ремонт'!J216-'[3]поточний ремонт'!J216</f>
        <v>0</v>
      </c>
      <c r="K216" s="1037"/>
      <c r="L216" s="43">
        <f>'[1]поточний ремонт'!L216+'[2]поточний ремонт'!L216-'[3]поточний ремонт'!L216</f>
        <v>0</v>
      </c>
      <c r="M216" s="43">
        <f>'[1]поточний ремонт'!M216+'[2]поточний ремонт'!M216-'[3]поточний ремонт'!M216</f>
        <v>0</v>
      </c>
      <c r="N216" s="37"/>
      <c r="O216" s="43">
        <f>'[1]поточний ремонт'!O216+'[2]поточний ремонт'!O216-'[3]поточний ремонт'!O216</f>
        <v>0</v>
      </c>
      <c r="P216" s="43">
        <f>'[1]поточний ремонт'!P216+'[2]поточний ремонт'!P216-'[3]поточний ремонт'!P216</f>
        <v>0</v>
      </c>
      <c r="Q216" s="1038"/>
      <c r="R216" s="43">
        <f>'[1]поточний ремонт'!R216+'[2]поточний ремонт'!R216-'[3]поточний ремонт'!R216</f>
        <v>0</v>
      </c>
      <c r="S216" s="43">
        <f>'[1]поточний ремонт'!S216+'[2]поточний ремонт'!S216-'[3]поточний ремонт'!S216</f>
        <v>0</v>
      </c>
      <c r="T216" s="1039"/>
      <c r="U216" s="43">
        <f>'[1]поточний ремонт'!U216+'[2]поточний ремонт'!U216-'[3]поточний ремонт'!U216</f>
        <v>0</v>
      </c>
      <c r="V216" s="43">
        <f>'[1]поточний ремонт'!V216+'[2]поточний ремонт'!V216-'[3]поточний ремонт'!V216</f>
        <v>0</v>
      </c>
      <c r="W216" s="43">
        <f>'[1]поточний ремонт'!W216+'[2]поточний ремонт'!W216-'[3]поточний ремонт'!W216</f>
        <v>0</v>
      </c>
      <c r="X216" s="43">
        <f>'[1]поточний ремонт'!X216+'[2]поточний ремонт'!X216-'[3]поточний ремонт'!X216</f>
        <v>0</v>
      </c>
      <c r="Y216" s="43">
        <f>'[1]поточний ремонт'!Y216+'[2]поточний ремонт'!Y216-'[3]поточний ремонт'!Y216</f>
        <v>0</v>
      </c>
      <c r="Z216" s="43">
        <f>'[1]поточний ремонт'!Z216+'[2]поточний ремонт'!Z216-'[3]поточний ремонт'!Z216</f>
        <v>0</v>
      </c>
      <c r="AA216" s="43">
        <f>'[1]поточний ремонт'!AA216+'[2]поточний ремонт'!AA216-'[3]поточний ремонт'!AA216</f>
        <v>0</v>
      </c>
      <c r="AB216" s="43">
        <f>'[1]поточний ремонт'!AB216+'[2]поточний ремонт'!AB216-'[3]поточний ремонт'!AB216</f>
        <v>0</v>
      </c>
      <c r="AC216" s="43">
        <f>'[1]поточний ремонт'!AC216+'[2]поточний ремонт'!AC216-'[3]поточний ремонт'!AC216</f>
        <v>3179</v>
      </c>
      <c r="AD216" s="43">
        <f>'[1]поточний ремонт'!AD216+'[2]поточний ремонт'!AD216-'[3]поточний ремонт'!AD216</f>
        <v>244</v>
      </c>
      <c r="AE216" s="43">
        <f>'[1]поточний ремонт'!AE216+'[2]поточний ремонт'!AE216-'[3]поточний ремонт'!AE216</f>
        <v>2012.9473341933779</v>
      </c>
      <c r="AF216" s="43">
        <f>'[1]поточний ремонт'!AF216+'[2]поточний ремонт'!AF216-'[3]поточний ремонт'!AF216</f>
        <v>0</v>
      </c>
      <c r="AG216" s="5"/>
      <c r="AH216" s="43">
        <f>'[1]поточний ремонт'!AH216+'[2]поточний ремонт'!AH216-'[3]поточний ремонт'!AH216</f>
        <v>3018.5931941110848</v>
      </c>
      <c r="AI216" s="43">
        <f>'[1]поточний ремонт'!AI216+'[2]поточний ремонт'!AI216-'[3]поточний ремонт'!AI216</f>
        <v>8978</v>
      </c>
      <c r="AJ216" s="5"/>
      <c r="AK216" s="43">
        <f>'[1]поточний ремонт'!AK216+'[2]поточний ремонт'!AK216-'[3]поточний ремонт'!AK216</f>
        <v>2097.5000345903368</v>
      </c>
      <c r="AL216" s="43">
        <f>'[1]поточний ремонт'!AL216+'[2]поточний ремонт'!AL216-'[3]поточний ремонт'!AL216</f>
        <v>342</v>
      </c>
      <c r="AM216" s="5"/>
      <c r="AN216" s="43">
        <f>'[1]поточний ремонт'!AN216+'[2]поточний ремонт'!AN216-'[3]поточний ремонт'!AN216</f>
        <v>1211.2783983132217</v>
      </c>
      <c r="AO216" s="43">
        <f>'[1]поточний ремонт'!AO216+'[2]поточний ремонт'!AO216-'[3]поточний ремонт'!AO216</f>
        <v>0</v>
      </c>
      <c r="AP216" s="5"/>
      <c r="AQ216" s="43">
        <f>'[1]поточний ремонт'!AQ216+'[2]поточний ремонт'!AQ216-'[3]поточний ремонт'!AQ216</f>
        <v>719.6828414324732</v>
      </c>
      <c r="AR216" s="43">
        <f>'[1]поточний ремонт'!AR216+'[2]поточний ремонт'!AR216-'[3]поточний ремонт'!AR216</f>
        <v>0</v>
      </c>
      <c r="AS216" s="5"/>
      <c r="AT216" s="43">
        <f>'[1]поточний ремонт'!AT216+'[2]поточний ремонт'!AT216-'[3]поточний ремонт'!AT216</f>
        <v>1123.0484366790481</v>
      </c>
      <c r="AU216" s="43">
        <f>'[1]поточний ремонт'!AU216+'[2]поточний ремонт'!AU216-'[3]поточний ремонт'!AU216</f>
        <v>4419.1547551024414</v>
      </c>
      <c r="AV216" s="5"/>
      <c r="AW216" s="43">
        <f>'[1]поточний ремонт'!AW216+'[2]поточний ремонт'!AW216-'[3]поточний ремонт'!AW216</f>
        <v>646.34779112686533</v>
      </c>
      <c r="AX216" s="43">
        <f>'[1]поточний ремонт'!AX216+'[2]поточний ремонт'!AX216-'[3]поточний ремонт'!AX216</f>
        <v>0</v>
      </c>
      <c r="AY216" s="5"/>
      <c r="AZ216" s="43">
        <f t="shared" si="26"/>
        <v>10829.398030446408</v>
      </c>
      <c r="BA216" s="43">
        <f t="shared" si="27"/>
        <v>13739.154755102441</v>
      </c>
      <c r="BB216" s="59">
        <f t="shared" si="28"/>
        <v>2909.7567246560338</v>
      </c>
      <c r="BD216" s="2">
        <v>1</v>
      </c>
      <c r="BF216" s="30">
        <v>152.63965854957738</v>
      </c>
      <c r="BG216" s="328">
        <v>150000947</v>
      </c>
      <c r="BI216" s="107">
        <v>0</v>
      </c>
      <c r="BJ216" s="107">
        <f t="shared" si="29"/>
        <v>0</v>
      </c>
      <c r="BK216" s="107">
        <v>0</v>
      </c>
      <c r="BL216" s="39"/>
      <c r="BM216" s="3"/>
      <c r="BN216" s="3">
        <v>0</v>
      </c>
      <c r="BP216" s="3"/>
      <c r="BQ216" s="3"/>
      <c r="BS216" s="43"/>
      <c r="BT216" s="43">
        <v>0</v>
      </c>
      <c r="BU216" s="1037"/>
      <c r="BV216" s="42"/>
      <c r="BW216" s="43"/>
      <c r="BX216" s="37"/>
      <c r="BY216" s="78"/>
      <c r="BZ216" s="43">
        <v>0</v>
      </c>
      <c r="CA216" s="1038"/>
      <c r="CB216" s="42"/>
      <c r="CC216" s="42">
        <v>0</v>
      </c>
      <c r="CD216" s="1039"/>
      <c r="CE216" s="78">
        <v>0</v>
      </c>
      <c r="CF216" s="56"/>
      <c r="CG216" s="42">
        <v>0</v>
      </c>
      <c r="CH216" s="39">
        <v>0</v>
      </c>
      <c r="CI216" s="78">
        <v>0</v>
      </c>
      <c r="CJ216" s="56"/>
      <c r="CK216" s="1034"/>
      <c r="CL216" s="1029"/>
      <c r="CM216" s="1034"/>
      <c r="CN216" s="1029">
        <v>0</v>
      </c>
      <c r="CO216" s="78">
        <v>167.74561118278154</v>
      </c>
      <c r="CP216" s="43">
        <v>0</v>
      </c>
      <c r="CQ216" s="5"/>
      <c r="CR216" s="78">
        <v>251.54943284259048</v>
      </c>
      <c r="CS216" s="1033">
        <v>0</v>
      </c>
      <c r="CT216" s="5"/>
      <c r="CU216" s="78">
        <v>174.79166954919475</v>
      </c>
      <c r="CV216" s="43">
        <v>0</v>
      </c>
      <c r="CW216" s="5"/>
      <c r="CX216" s="78">
        <v>100.93986652610181</v>
      </c>
      <c r="CY216" s="43">
        <v>0</v>
      </c>
      <c r="CZ216" s="5"/>
      <c r="DA216" s="78">
        <v>59.973570119372766</v>
      </c>
      <c r="DB216" s="43">
        <v>0</v>
      </c>
      <c r="DC216" s="5"/>
      <c r="DD216" s="78">
        <v>93.587369723254</v>
      </c>
      <c r="DE216" s="43">
        <v>2526.9928032236958</v>
      </c>
      <c r="DF216" s="5"/>
      <c r="DG216" s="78">
        <v>53.862315927238768</v>
      </c>
      <c r="DH216" s="43"/>
      <c r="DI216" s="5"/>
      <c r="DJ216" s="43">
        <v>902.44983587053423</v>
      </c>
      <c r="DK216" s="43">
        <f t="shared" si="30"/>
        <v>2526.9928032236958</v>
      </c>
      <c r="DL216" s="59">
        <f t="shared" si="31"/>
        <v>1624.5429673531617</v>
      </c>
    </row>
    <row r="217" spans="1:116" ht="24.9" customHeight="1" x14ac:dyDescent="0.3">
      <c r="A217" s="328">
        <v>150000948</v>
      </c>
      <c r="B217" s="45" t="s">
        <v>383</v>
      </c>
      <c r="C217" s="1035">
        <v>9</v>
      </c>
      <c r="D217" s="1036" t="s">
        <v>454</v>
      </c>
      <c r="E217" s="1028">
        <f>'побудинковий звіт'!E215</f>
        <v>2163.8200000000002</v>
      </c>
      <c r="F217" s="1029">
        <f>'побудинковий звіт'!AS215</f>
        <v>104727.43492588287</v>
      </c>
      <c r="G217" s="1029">
        <f t="shared" si="24"/>
        <v>74031.344709028461</v>
      </c>
      <c r="H217" s="1029">
        <f t="shared" si="25"/>
        <v>-30696.090216854413</v>
      </c>
      <c r="I217" s="43">
        <f>'[1]поточний ремонт'!I217+'[2]поточний ремонт'!I217-'[3]поточний ремонт'!I217</f>
        <v>0</v>
      </c>
      <c r="J217" s="43">
        <f>'[1]поточний ремонт'!J217+'[2]поточний ремонт'!J217-'[3]поточний ремонт'!J217</f>
        <v>48045</v>
      </c>
      <c r="K217" s="1037"/>
      <c r="L217" s="43">
        <f>'[1]поточний ремонт'!L217+'[2]поточний ремонт'!L217-'[3]поточний ремонт'!L217</f>
        <v>0</v>
      </c>
      <c r="M217" s="43">
        <f>'[1]поточний ремонт'!M217+'[2]поточний ремонт'!M217-'[3]поточний ремонт'!M217</f>
        <v>0</v>
      </c>
      <c r="N217" s="37"/>
      <c r="O217" s="43">
        <f>'[1]поточний ремонт'!O217+'[2]поточний ремонт'!O217-'[3]поточний ремонт'!O217</f>
        <v>14</v>
      </c>
      <c r="P217" s="43">
        <f>'[1]поточний ремонт'!P217+'[2]поточний ремонт'!P217-'[3]поточний ремонт'!P217</f>
        <v>5063</v>
      </c>
      <c r="Q217" s="1038"/>
      <c r="R217" s="43">
        <f>'[1]поточний ремонт'!R217+'[2]поточний ремонт'!R217-'[3]поточний ремонт'!R217</f>
        <v>1</v>
      </c>
      <c r="S217" s="43">
        <f>'[1]поточний ремонт'!S217+'[2]поточний ремонт'!S217-'[3]поточний ремонт'!S217</f>
        <v>1364</v>
      </c>
      <c r="T217" s="1047"/>
      <c r="U217" s="43">
        <f>'[1]поточний ремонт'!U217+'[2]поточний ремонт'!U217-'[3]поточний ремонт'!U217</f>
        <v>0</v>
      </c>
      <c r="V217" s="43">
        <f>'[1]поточний ремонт'!V217+'[2]поточний ремонт'!V217-'[3]поточний ремонт'!V217</f>
        <v>0</v>
      </c>
      <c r="W217" s="43">
        <f>'[1]поточний ремонт'!W217+'[2]поточний ремонт'!W217-'[3]поточний ремонт'!W217</f>
        <v>2</v>
      </c>
      <c r="X217" s="43">
        <f>'[1]поточний ремонт'!X217+'[2]поточний ремонт'!X217-'[3]поточний ремонт'!X217</f>
        <v>1709.344709028464</v>
      </c>
      <c r="Y217" s="43">
        <f>'[1]поточний ремонт'!Y217+'[2]поточний ремонт'!Y217-'[3]поточний ремонт'!Y217</f>
        <v>0</v>
      </c>
      <c r="Z217" s="43">
        <f>'[1]поточний ремонт'!Z217+'[2]поточний ремонт'!Z217-'[3]поточний ремонт'!Z217</f>
        <v>0</v>
      </c>
      <c r="AA217" s="43">
        <f>'[1]поточний ремонт'!AA217+'[2]поточний ремонт'!AA217-'[3]поточний ремонт'!AA217</f>
        <v>0</v>
      </c>
      <c r="AB217" s="43">
        <f>'[1]поточний ремонт'!AB217+'[2]поточний ремонт'!AB217-'[3]поточний ремонт'!AB217</f>
        <v>0</v>
      </c>
      <c r="AC217" s="43">
        <f>'[1]поточний ремонт'!AC217+'[2]поточний ремонт'!AC217-'[3]поточний ремонт'!AC217</f>
        <v>10625</v>
      </c>
      <c r="AD217" s="43">
        <f>'[1]поточний ремонт'!AD217+'[2]поточний ремонт'!AD217-'[3]поточний ремонт'!AD217</f>
        <v>7225</v>
      </c>
      <c r="AE217" s="43">
        <f>'[1]поточний ремонт'!AE217+'[2]поточний ремонт'!AE217-'[3]поточний ремонт'!AE217</f>
        <v>1405.1963901911304</v>
      </c>
      <c r="AF217" s="43">
        <f>'[1]поточний ремонт'!AF217+'[2]поточний ремонт'!AF217-'[3]поточний ремонт'!AF217</f>
        <v>0</v>
      </c>
      <c r="AG217" s="9"/>
      <c r="AH217" s="43">
        <f>'[1]поточний ремонт'!AH217+'[2]поточний ремонт'!AH217-'[3]поточний ремонт'!AH217</f>
        <v>2042.365147209324</v>
      </c>
      <c r="AI217" s="43">
        <f>'[1]поточний ремонт'!AI217+'[2]поточний ремонт'!AI217-'[3]поточний ремонт'!AI217</f>
        <v>9229.5210449493679</v>
      </c>
      <c r="AJ217" s="5"/>
      <c r="AK217" s="43">
        <f>'[1]поточний ремонт'!AK217+'[2]поточний ремонт'!AK217-'[3]поточний ремонт'!AK217</f>
        <v>2263.9534977092271</v>
      </c>
      <c r="AL217" s="43">
        <f>'[1]поточний ремонт'!AL217+'[2]поточний ремонт'!AL217-'[3]поточний ремонт'!AL217</f>
        <v>2022</v>
      </c>
      <c r="AM217" s="1045"/>
      <c r="AN217" s="43">
        <f>'[1]поточний ремонт'!AN217+'[2]поточний ремонт'!AN217-'[3]поточний ремонт'!AN217</f>
        <v>1050.7185398515492</v>
      </c>
      <c r="AO217" s="43">
        <f>'[1]поточний ремонт'!AO217+'[2]поточний ремонт'!AO217-'[3]поточний ремонт'!AO217</f>
        <v>0</v>
      </c>
      <c r="AP217" s="5"/>
      <c r="AQ217" s="43">
        <f>'[1]поточний ремонт'!AQ217+'[2]поточний ремонт'!AQ217-'[3]поточний ремонт'!AQ217</f>
        <v>440.7474669458515</v>
      </c>
      <c r="AR217" s="43">
        <f>'[1]поточний ремонт'!AR217+'[2]поточний ремонт'!AR217-'[3]поточний ремонт'!AR217</f>
        <v>0</v>
      </c>
      <c r="AS217" s="5"/>
      <c r="AT217" s="43">
        <f>'[1]поточний ремонт'!AT217+'[2]поточний ремонт'!AT217-'[3]поточний ремонт'!AT217</f>
        <v>1397.3555544636613</v>
      </c>
      <c r="AU217" s="43">
        <f>'[1]поточний ремонт'!AU217+'[2]поточний ремонт'!AU217-'[3]поточний ремонт'!AU217</f>
        <v>4255.7964664524316</v>
      </c>
      <c r="AV217" s="1057"/>
      <c r="AW217" s="43">
        <f>'[1]поточний ремонт'!AW217+'[2]поточний ремонт'!AW217-'[3]поточний ремонт'!AW217</f>
        <v>846.14500664720993</v>
      </c>
      <c r="AX217" s="43">
        <f>'[1]поточний ремонт'!AX217+'[2]поточний ремонт'!AX217-'[3]поточний ремонт'!AX217</f>
        <v>0</v>
      </c>
      <c r="AY217" s="5"/>
      <c r="AZ217" s="43">
        <f t="shared" si="26"/>
        <v>9446.4816030179536</v>
      </c>
      <c r="BA217" s="43">
        <f t="shared" si="27"/>
        <v>15507.317511401799</v>
      </c>
      <c r="BB217" s="59">
        <f t="shared" si="28"/>
        <v>6060.8359083838459</v>
      </c>
      <c r="BD217" s="2">
        <v>1</v>
      </c>
      <c r="BF217" s="30">
        <v>386.62061200928684</v>
      </c>
      <c r="BG217" s="328">
        <v>150000948</v>
      </c>
      <c r="BI217" s="107">
        <v>76.960000000000008</v>
      </c>
      <c r="BJ217" s="107">
        <f t="shared" si="29"/>
        <v>10.825362912000001</v>
      </c>
      <c r="BK217" s="107">
        <v>88.756874860160011</v>
      </c>
      <c r="BL217" s="39"/>
      <c r="BM217" s="3"/>
      <c r="BN217" s="3">
        <v>0</v>
      </c>
      <c r="BP217" s="3"/>
      <c r="BQ217" s="3"/>
      <c r="BS217" s="43"/>
      <c r="BT217" s="43">
        <v>0</v>
      </c>
      <c r="BU217" s="1037"/>
      <c r="BV217" s="42"/>
      <c r="BW217" s="43"/>
      <c r="BX217" s="37"/>
      <c r="BY217" s="78"/>
      <c r="BZ217" s="43">
        <v>0</v>
      </c>
      <c r="CA217" s="1038"/>
      <c r="CB217" s="42"/>
      <c r="CC217" s="42">
        <v>0</v>
      </c>
      <c r="CD217" s="1047"/>
      <c r="CE217" s="78">
        <v>0</v>
      </c>
      <c r="CF217" s="56"/>
      <c r="CG217" s="42">
        <v>0</v>
      </c>
      <c r="CH217" s="39">
        <v>88.756874860160011</v>
      </c>
      <c r="CI217" s="78">
        <v>0</v>
      </c>
      <c r="CJ217" s="1051"/>
      <c r="CK217" s="1034"/>
      <c r="CL217" s="1029"/>
      <c r="CM217" s="1034"/>
      <c r="CN217" s="1029">
        <v>1842.3025907146143</v>
      </c>
      <c r="CO217" s="78">
        <v>117.09969918259424</v>
      </c>
      <c r="CP217" s="43">
        <v>0</v>
      </c>
      <c r="CQ217" s="9"/>
      <c r="CR217" s="78">
        <v>170.19709560077703</v>
      </c>
      <c r="CS217" s="1033">
        <v>0</v>
      </c>
      <c r="CT217" s="5"/>
      <c r="CU217" s="78">
        <v>188.66279147576893</v>
      </c>
      <c r="CV217" s="43">
        <v>0</v>
      </c>
      <c r="CW217" s="1045"/>
      <c r="CX217" s="78">
        <v>87.55987832096244</v>
      </c>
      <c r="CY217" s="43">
        <v>0</v>
      </c>
      <c r="CZ217" s="5"/>
      <c r="DA217" s="78">
        <v>36.728955578820965</v>
      </c>
      <c r="DB217" s="43">
        <v>0</v>
      </c>
      <c r="DC217" s="5"/>
      <c r="DD217" s="78">
        <v>116.44629620530513</v>
      </c>
      <c r="DE217" s="43">
        <v>1129.8477556586763</v>
      </c>
      <c r="DF217" s="1057"/>
      <c r="DG217" s="78">
        <v>70.51208388726748</v>
      </c>
      <c r="DH217" s="43"/>
      <c r="DI217" s="5"/>
      <c r="DJ217" s="43">
        <v>787.20680025149625</v>
      </c>
      <c r="DK217" s="43">
        <f t="shared" si="30"/>
        <v>1129.8477556586763</v>
      </c>
      <c r="DL217" s="59">
        <f t="shared" si="31"/>
        <v>342.64095540718006</v>
      </c>
    </row>
    <row r="218" spans="1:116" ht="24.9" customHeight="1" x14ac:dyDescent="0.3">
      <c r="A218" s="328">
        <v>150000949</v>
      </c>
      <c r="B218" s="45" t="s">
        <v>384</v>
      </c>
      <c r="C218" s="1035">
        <v>9</v>
      </c>
      <c r="D218" s="1036" t="s">
        <v>454</v>
      </c>
      <c r="E218" s="1028">
        <f>'побудинковий звіт'!E216</f>
        <v>4314</v>
      </c>
      <c r="F218" s="1029">
        <f>'побудинковий звіт'!AS216</f>
        <v>170676.28769850367</v>
      </c>
      <c r="G218" s="1029">
        <f t="shared" si="24"/>
        <v>68419.070778067806</v>
      </c>
      <c r="H218" s="1029">
        <f t="shared" si="25"/>
        <v>-102257.21692043587</v>
      </c>
      <c r="I218" s="43">
        <f>'[1]поточний ремонт'!I218+'[2]поточний ремонт'!I218-'[3]поточний ремонт'!I218</f>
        <v>0</v>
      </c>
      <c r="J218" s="43">
        <f>'[1]поточний ремонт'!J218+'[2]поточний ремонт'!J218-'[3]поточний ремонт'!J218</f>
        <v>0</v>
      </c>
      <c r="K218" s="1037"/>
      <c r="L218" s="43">
        <f>'[1]поточний ремонт'!L218+'[2]поточний ремонт'!L218-'[3]поточний ремонт'!L218</f>
        <v>0</v>
      </c>
      <c r="M218" s="43">
        <f>'[1]поточний ремонт'!M218+'[2]поточний ремонт'!M218-'[3]поточний ремонт'!M218</f>
        <v>0</v>
      </c>
      <c r="N218" s="37"/>
      <c r="O218" s="43">
        <f>'[1]поточний ремонт'!O218+'[2]поточний ремонт'!O218-'[3]поточний ремонт'!O218</f>
        <v>0</v>
      </c>
      <c r="P218" s="43">
        <f>'[1]поточний ремонт'!P218+'[2]поточний ремонт'!P218-'[3]поточний ремонт'!P218</f>
        <v>0</v>
      </c>
      <c r="Q218" s="1038"/>
      <c r="R218" s="43">
        <f>'[1]поточний ремонт'!R218+'[2]поточний ремонт'!R218-'[3]поточний ремонт'!R218</f>
        <v>1</v>
      </c>
      <c r="S218" s="43">
        <f>'[1]поточний ремонт'!S218+'[2]поточний ремонт'!S218-'[3]поточний ремонт'!S218</f>
        <v>1031</v>
      </c>
      <c r="T218" s="1047"/>
      <c r="U218" s="43">
        <f>'[1]поточний ремонт'!U218+'[2]поточний ремонт'!U218-'[3]поточний ремонт'!U218</f>
        <v>0</v>
      </c>
      <c r="V218" s="43">
        <f>'[1]поточний ремонт'!V218+'[2]поточний ремонт'!V218-'[3]поточний ремонт'!V218</f>
        <v>0</v>
      </c>
      <c r="W218" s="43">
        <f>'[1]поточний ремонт'!W218+'[2]поточний ремонт'!W218-'[3]поточний ремонт'!W218</f>
        <v>0</v>
      </c>
      <c r="X218" s="43">
        <f>'[1]поточний ремонт'!X218+'[2]поточний ремонт'!X218-'[3]поточний ремонт'!X218</f>
        <v>291.07077806780455</v>
      </c>
      <c r="Y218" s="43">
        <f>'[1]поточний ремонт'!Y218+'[2]поточний ремонт'!Y218-'[3]поточний ремонт'!Y218</f>
        <v>0</v>
      </c>
      <c r="Z218" s="43">
        <f>'[1]поточний ремонт'!Z218+'[2]поточний ремонт'!Z218-'[3]поточний ремонт'!Z218</f>
        <v>0</v>
      </c>
      <c r="AA218" s="43">
        <f>'[1]поточний ремонт'!AA218+'[2]поточний ремонт'!AA218-'[3]поточний ремонт'!AA218</f>
        <v>0</v>
      </c>
      <c r="AB218" s="43">
        <f>'[1]поточний ремонт'!AB218+'[2]поточний ремонт'!AB218-'[3]поточний ремонт'!AB218</f>
        <v>12811</v>
      </c>
      <c r="AC218" s="43">
        <f>'[1]поточний ремонт'!AC218+'[2]поточний ремонт'!AC218-'[3]поточний ремонт'!AC218</f>
        <v>42154</v>
      </c>
      <c r="AD218" s="43">
        <f>'[1]поточний ремонт'!AD218+'[2]поточний ремонт'!AD218-'[3]поточний ремонт'!AD218</f>
        <v>12132</v>
      </c>
      <c r="AE218" s="43">
        <f>'[1]поточний ремонт'!AE218+'[2]поточний ремонт'!AE218-'[3]поточний ремонт'!AE218</f>
        <v>789.96670899985133</v>
      </c>
      <c r="AF218" s="43">
        <f>'[1]поточний ремонт'!AF218+'[2]поточний ремонт'!AF218-'[3]поточний ремонт'!AF218</f>
        <v>1321</v>
      </c>
      <c r="AG218" s="5"/>
      <c r="AH218" s="43">
        <f>'[1]поточний ремонт'!AH218+'[2]поточний ремонт'!AH218-'[3]поточний ремонт'!AH218</f>
        <v>1163.0761038274982</v>
      </c>
      <c r="AI218" s="43">
        <f>'[1]поточний ремонт'!AI218+'[2]поточний ремонт'!AI218-'[3]поточний ремонт'!AI218</f>
        <v>13209.819484086689</v>
      </c>
      <c r="AJ218" s="5"/>
      <c r="AK218" s="43">
        <f>'[1]поточний ремонт'!AK218+'[2]поточний ремонт'!AK218-'[3]поточний ремонт'!AK218</f>
        <v>1290.984104581348</v>
      </c>
      <c r="AL218" s="43">
        <f>'[1]поточний ремонт'!AL218+'[2]поточний ремонт'!AL218-'[3]поточний ремонт'!AL218</f>
        <v>1052.2451267106485</v>
      </c>
      <c r="AM218" s="1045"/>
      <c r="AN218" s="43">
        <f>'[1]поточний ремонт'!AN218+'[2]поточний ремонт'!AN218-'[3]поточний ремонт'!AN218</f>
        <v>608.34948959688325</v>
      </c>
      <c r="AO218" s="43">
        <f>'[1]поточний ремонт'!AO218+'[2]поточний ремонт'!AO218-'[3]поточний ремонт'!AO218</f>
        <v>0</v>
      </c>
      <c r="AP218" s="5"/>
      <c r="AQ218" s="43">
        <f>'[1]поточний ремонт'!AQ218+'[2]поточний ремонт'!AQ218-'[3]поточний ремонт'!AQ218</f>
        <v>584.62588433678263</v>
      </c>
      <c r="AR218" s="43">
        <f>'[1]поточний ремонт'!AR218+'[2]поточний ремонт'!AR218-'[3]поточний ремонт'!AR218</f>
        <v>0</v>
      </c>
      <c r="AS218" s="5"/>
      <c r="AT218" s="43">
        <f>'[1]поточний ремонт'!AT218+'[2]поточний ремонт'!AT218-'[3]поточний ремонт'!AT218</f>
        <v>983.0645063729587</v>
      </c>
      <c r="AU218" s="43">
        <f>'[1]поточний ремонт'!AU218+'[2]поточний ремонт'!AU218-'[3]поточний ремонт'!AU218</f>
        <v>2070</v>
      </c>
      <c r="AV218" s="5"/>
      <c r="AW218" s="43">
        <f>'[1]поточний ремонт'!AW218+'[2]поточний ремонт'!AW218-'[3]поточний ремонт'!AW218</f>
        <v>941.51737692974382</v>
      </c>
      <c r="AX218" s="43">
        <f>'[1]поточний ремонт'!AX218+'[2]поточний ремонт'!AX218-'[3]поточний ремонт'!AX218</f>
        <v>0</v>
      </c>
      <c r="AY218" s="5"/>
      <c r="AZ218" s="43">
        <f t="shared" si="26"/>
        <v>6361.584174645066</v>
      </c>
      <c r="BA218" s="43">
        <f t="shared" si="27"/>
        <v>17653.064610797337</v>
      </c>
      <c r="BB218" s="59">
        <f t="shared" si="28"/>
        <v>11291.480436152271</v>
      </c>
      <c r="BD218" s="2">
        <v>1</v>
      </c>
      <c r="BF218" s="30">
        <v>490.25505019123011</v>
      </c>
      <c r="BG218" s="328">
        <v>150000949</v>
      </c>
      <c r="BI218" s="107">
        <v>21.72</v>
      </c>
      <c r="BJ218" s="107">
        <f t="shared" si="29"/>
        <v>3.0551829839999995</v>
      </c>
      <c r="BK218" s="107">
        <v>25.049367489119998</v>
      </c>
      <c r="BL218" s="39"/>
      <c r="BM218" s="3"/>
      <c r="BN218" s="3">
        <v>0</v>
      </c>
      <c r="BP218" s="3"/>
      <c r="BQ218" s="3"/>
      <c r="BS218" s="43"/>
      <c r="BT218" s="43">
        <v>0</v>
      </c>
      <c r="BU218" s="1037"/>
      <c r="BV218" s="42"/>
      <c r="BW218" s="43"/>
      <c r="BX218" s="37"/>
      <c r="BY218" s="78"/>
      <c r="BZ218" s="43">
        <v>0</v>
      </c>
      <c r="CA218" s="1038"/>
      <c r="CB218" s="42"/>
      <c r="CC218" s="42">
        <v>0</v>
      </c>
      <c r="CD218" s="1047"/>
      <c r="CE218" s="78">
        <v>0</v>
      </c>
      <c r="CF218" s="56"/>
      <c r="CG218" s="42">
        <v>0</v>
      </c>
      <c r="CH218" s="39">
        <v>25.049367489119998</v>
      </c>
      <c r="CI218" s="78">
        <v>0</v>
      </c>
      <c r="CJ218" s="56"/>
      <c r="CK218" s="1034"/>
      <c r="CL218" s="1029"/>
      <c r="CM218" s="1034"/>
      <c r="CN218" s="1029">
        <v>558.70055587972422</v>
      </c>
      <c r="CO218" s="78">
        <v>65.830559083320935</v>
      </c>
      <c r="CP218" s="43">
        <v>0</v>
      </c>
      <c r="CQ218" s="5"/>
      <c r="CR218" s="78">
        <v>96.923008652291514</v>
      </c>
      <c r="CS218" s="1033">
        <v>0</v>
      </c>
      <c r="CT218" s="5"/>
      <c r="CU218" s="78">
        <v>107.58200871511234</v>
      </c>
      <c r="CV218" s="43">
        <v>0</v>
      </c>
      <c r="CW218" s="1045"/>
      <c r="CX218" s="78">
        <v>50.695790799740266</v>
      </c>
      <c r="CY218" s="43">
        <v>0</v>
      </c>
      <c r="CZ218" s="5"/>
      <c r="DA218" s="78">
        <v>48.718823694731888</v>
      </c>
      <c r="DB218" s="43">
        <v>0</v>
      </c>
      <c r="DC218" s="5"/>
      <c r="DD218" s="78">
        <v>81.922042197746549</v>
      </c>
      <c r="DE218" s="43">
        <v>0</v>
      </c>
      <c r="DF218" s="5"/>
      <c r="DG218" s="78">
        <v>78.459781410812013</v>
      </c>
      <c r="DH218" s="43"/>
      <c r="DI218" s="5"/>
      <c r="DJ218" s="43">
        <v>530.13201455375543</v>
      </c>
      <c r="DK218" s="43">
        <f t="shared" si="30"/>
        <v>0</v>
      </c>
      <c r="DL218" s="59">
        <f t="shared" si="31"/>
        <v>-530.13201455375543</v>
      </c>
    </row>
    <row r="219" spans="1:116" ht="24.9" customHeight="1" x14ac:dyDescent="0.3">
      <c r="A219" s="328">
        <v>150001044</v>
      </c>
      <c r="B219" s="45" t="s">
        <v>269</v>
      </c>
      <c r="C219" s="1035">
        <v>5</v>
      </c>
      <c r="D219" s="1036" t="s">
        <v>454</v>
      </c>
      <c r="E219" s="1028">
        <f>'побудинковий звіт'!E217</f>
        <v>2417.4399999999996</v>
      </c>
      <c r="F219" s="1029">
        <f>'побудинковий звіт'!AS217</f>
        <v>33460.181551837923</v>
      </c>
      <c r="G219" s="1029">
        <f t="shared" si="24"/>
        <v>1739</v>
      </c>
      <c r="H219" s="1029">
        <f t="shared" si="25"/>
        <v>-31721.181551837923</v>
      </c>
      <c r="I219" s="43">
        <f>'[1]поточний ремонт'!I219+'[2]поточний ремонт'!I219-'[3]поточний ремонт'!I219</f>
        <v>1.6</v>
      </c>
      <c r="J219" s="43">
        <f>'[1]поточний ремонт'!J219+'[2]поточний ремонт'!J219-'[3]поточний ремонт'!J219</f>
        <v>296</v>
      </c>
      <c r="K219" s="1037"/>
      <c r="L219" s="43">
        <f>'[1]поточний ремонт'!L219+'[2]поточний ремонт'!L219-'[3]поточний ремонт'!L219</f>
        <v>0</v>
      </c>
      <c r="M219" s="43">
        <f>'[1]поточний ремонт'!M219+'[2]поточний ремонт'!M219-'[3]поточний ремонт'!M219</f>
        <v>0</v>
      </c>
      <c r="N219" s="37"/>
      <c r="O219" s="43">
        <f>'[1]поточний ремонт'!O219+'[2]поточний ремонт'!O219-'[3]поточний ремонт'!O219</f>
        <v>0</v>
      </c>
      <c r="P219" s="43">
        <f>'[1]поточний ремонт'!P219+'[2]поточний ремонт'!P219-'[3]поточний ремонт'!P219</f>
        <v>0</v>
      </c>
      <c r="Q219" s="1038"/>
      <c r="R219" s="43">
        <f>'[1]поточний ремонт'!R219+'[2]поточний ремонт'!R219-'[3]поточний ремонт'!R219</f>
        <v>0</v>
      </c>
      <c r="S219" s="43">
        <f>'[1]поточний ремонт'!S219+'[2]поточний ремонт'!S219-'[3]поточний ремонт'!S219</f>
        <v>0</v>
      </c>
      <c r="T219" s="1039"/>
      <c r="U219" s="43">
        <f>'[1]поточний ремонт'!U219+'[2]поточний ремонт'!U219-'[3]поточний ремонт'!U219</f>
        <v>0</v>
      </c>
      <c r="V219" s="43">
        <f>'[1]поточний ремонт'!V219+'[2]поточний ремонт'!V219-'[3]поточний ремонт'!V219</f>
        <v>0</v>
      </c>
      <c r="W219" s="43">
        <f>'[1]поточний ремонт'!W219+'[2]поточний ремонт'!W219-'[3]поточний ремонт'!W219</f>
        <v>0</v>
      </c>
      <c r="X219" s="43">
        <f>'[1]поточний ремонт'!X219+'[2]поточний ремонт'!X219-'[3]поточний ремонт'!X219</f>
        <v>0</v>
      </c>
      <c r="Y219" s="43">
        <f>'[1]поточний ремонт'!Y219+'[2]поточний ремонт'!Y219-'[3]поточний ремонт'!Y219</f>
        <v>0</v>
      </c>
      <c r="Z219" s="43">
        <f>'[1]поточний ремонт'!Z219+'[2]поточний ремонт'!Z219-'[3]поточний ремонт'!Z219</f>
        <v>0</v>
      </c>
      <c r="AA219" s="43">
        <f>'[1]поточний ремонт'!AA219+'[2]поточний ремонт'!AA219-'[3]поточний ремонт'!AA219</f>
        <v>0</v>
      </c>
      <c r="AB219" s="43">
        <f>'[1]поточний ремонт'!AB219+'[2]поточний ремонт'!AB219-'[3]поточний ремонт'!AB219</f>
        <v>0</v>
      </c>
      <c r="AC219" s="43">
        <f>'[1]поточний ремонт'!AC219+'[2]поточний ремонт'!AC219-'[3]поточний ремонт'!AC219</f>
        <v>0</v>
      </c>
      <c r="AD219" s="43">
        <f>'[1]поточний ремонт'!AD219+'[2]поточний ремонт'!AD219-'[3]поточний ремонт'!AD219</f>
        <v>1443</v>
      </c>
      <c r="AE219" s="43">
        <f>'[1]поточний ремонт'!AE219+'[2]поточний ремонт'!AE219-'[3]поточний ремонт'!AE219</f>
        <v>1923.7560697138592</v>
      </c>
      <c r="AF219" s="43">
        <f>'[1]поточний ремонт'!AF219+'[2]поточний ремонт'!AF219-'[3]поточний ремонт'!AF219</f>
        <v>0</v>
      </c>
      <c r="AG219" s="5"/>
      <c r="AH219" s="43">
        <f>'[1]поточний ремонт'!AH219+'[2]поточний ремонт'!AH219-'[3]поточний ремонт'!AH219</f>
        <v>2957.8778589546764</v>
      </c>
      <c r="AI219" s="43">
        <f>'[1]поточний ремонт'!AI219+'[2]поточний ремонт'!AI219-'[3]поточний ремонт'!AI219</f>
        <v>0</v>
      </c>
      <c r="AJ219" s="5"/>
      <c r="AK219" s="43">
        <f>'[1]поточний ремонт'!AK219+'[2]поточний ремонт'!AK219-'[3]поточний ремонт'!AK219</f>
        <v>2551.4679524894482</v>
      </c>
      <c r="AL219" s="43">
        <f>'[1]поточний ремонт'!AL219+'[2]поточний ремонт'!AL219-'[3]поточний ремонт'!AL219</f>
        <v>0</v>
      </c>
      <c r="AM219" s="5"/>
      <c r="AN219" s="43">
        <f>'[1]поточний ремонт'!AN219+'[2]поточний ремонт'!AN219-'[3]поточний ремонт'!AN219</f>
        <v>0</v>
      </c>
      <c r="AO219" s="43">
        <f>'[1]поточний ремонт'!AO219+'[2]поточний ремонт'!AO219-'[3]поточний ремонт'!AO219</f>
        <v>0</v>
      </c>
      <c r="AP219" s="5"/>
      <c r="AQ219" s="43">
        <f>'[1]поточний ремонт'!AQ219+'[2]поточний ремонт'!AQ219-'[3]поточний ремонт'!AQ219</f>
        <v>0</v>
      </c>
      <c r="AR219" s="43">
        <f>'[1]поточний ремонт'!AR219+'[2]поточний ремонт'!AR219-'[3]поточний ремонт'!AR219</f>
        <v>1128</v>
      </c>
      <c r="AS219" s="5"/>
      <c r="AT219" s="43">
        <f>'[1]поточний ремонт'!AT219+'[2]поточний ремонт'!AT219-'[3]поточний ремонт'!AT219</f>
        <v>1061.5635798953522</v>
      </c>
      <c r="AU219" s="43">
        <f>'[1]поточний ремонт'!AU219+'[2]поточний ремонт'!AU219-'[3]поточний ремонт'!AU219</f>
        <v>471</v>
      </c>
      <c r="AV219" s="5"/>
      <c r="AW219" s="43">
        <f>'[1]поточний ремонт'!AW219+'[2]поточний ремонт'!AW219-'[3]поточний ремонт'!AW219</f>
        <v>0</v>
      </c>
      <c r="AX219" s="43">
        <f>'[1]поточний ремонт'!AX219+'[2]поточний ремонт'!AX219-'[3]поточний ремонт'!AX219</f>
        <v>0</v>
      </c>
      <c r="AY219" s="5"/>
      <c r="AZ219" s="43">
        <f t="shared" si="26"/>
        <v>8494.6654610533369</v>
      </c>
      <c r="BA219" s="43">
        <f t="shared" si="27"/>
        <v>1599</v>
      </c>
      <c r="BB219" s="59">
        <f t="shared" si="28"/>
        <v>-6895.6654610533369</v>
      </c>
      <c r="BD219" s="2">
        <v>2</v>
      </c>
      <c r="BF219" s="30">
        <v>5.1211629462415971</v>
      </c>
      <c r="BG219" s="328">
        <v>150001044</v>
      </c>
      <c r="BI219" s="107">
        <v>0</v>
      </c>
      <c r="BJ219" s="107">
        <f t="shared" si="29"/>
        <v>0</v>
      </c>
      <c r="BK219" s="107">
        <v>0</v>
      </c>
      <c r="BL219" s="39"/>
      <c r="BM219" s="3"/>
      <c r="BN219" s="3">
        <v>0</v>
      </c>
      <c r="BP219" s="3"/>
      <c r="BQ219" s="3"/>
      <c r="BS219" s="43"/>
      <c r="BT219" s="43">
        <v>0</v>
      </c>
      <c r="BU219" s="1037"/>
      <c r="BV219" s="42"/>
      <c r="BW219" s="43"/>
      <c r="BX219" s="37"/>
      <c r="BY219" s="78"/>
      <c r="BZ219" s="43">
        <v>0</v>
      </c>
      <c r="CA219" s="1038"/>
      <c r="CB219" s="42"/>
      <c r="CC219" s="42">
        <v>0</v>
      </c>
      <c r="CD219" s="1039"/>
      <c r="CE219" s="78">
        <v>0</v>
      </c>
      <c r="CF219" s="56"/>
      <c r="CG219" s="42">
        <v>0</v>
      </c>
      <c r="CH219" s="39">
        <v>0</v>
      </c>
      <c r="CI219" s="78">
        <v>0</v>
      </c>
      <c r="CJ219" s="56"/>
      <c r="CK219" s="1034"/>
      <c r="CL219" s="1029"/>
      <c r="CM219" s="1034"/>
      <c r="CN219" s="1029">
        <v>0</v>
      </c>
      <c r="CO219" s="78">
        <v>160.31300580948829</v>
      </c>
      <c r="CP219" s="43">
        <v>0</v>
      </c>
      <c r="CQ219" s="5"/>
      <c r="CR219" s="78">
        <v>246.48982157955629</v>
      </c>
      <c r="CS219" s="1033">
        <v>0</v>
      </c>
      <c r="CT219" s="5"/>
      <c r="CU219" s="78">
        <v>212.62232937412068</v>
      </c>
      <c r="CV219" s="43">
        <v>0</v>
      </c>
      <c r="CW219" s="5"/>
      <c r="CX219" s="78">
        <v>0</v>
      </c>
      <c r="CY219" s="43">
        <v>0</v>
      </c>
      <c r="CZ219" s="5"/>
      <c r="DA219" s="78">
        <v>0</v>
      </c>
      <c r="DB219" s="43">
        <v>600.34286806121088</v>
      </c>
      <c r="DC219" s="5"/>
      <c r="DD219" s="78">
        <v>88.463631657945996</v>
      </c>
      <c r="DE219" s="43">
        <v>0</v>
      </c>
      <c r="DF219" s="5"/>
      <c r="DG219" s="78">
        <v>0</v>
      </c>
      <c r="DH219" s="43"/>
      <c r="DI219" s="5"/>
      <c r="DJ219" s="43">
        <v>707.88878842111126</v>
      </c>
      <c r="DK219" s="43">
        <f t="shared" si="30"/>
        <v>600.34286806121088</v>
      </c>
      <c r="DL219" s="59">
        <f t="shared" si="31"/>
        <v>-107.54592035990038</v>
      </c>
    </row>
    <row r="220" spans="1:116" ht="24.9" customHeight="1" x14ac:dyDescent="0.3">
      <c r="A220" s="328">
        <v>150001050</v>
      </c>
      <c r="B220" s="45" t="s">
        <v>270</v>
      </c>
      <c r="C220" s="1035">
        <v>5</v>
      </c>
      <c r="D220" s="1036" t="s">
        <v>454</v>
      </c>
      <c r="E220" s="1028">
        <f>'побудинковий звіт'!E218</f>
        <v>418.2</v>
      </c>
      <c r="F220" s="1029">
        <f>'побудинковий звіт'!AS218</f>
        <v>54971.819103875612</v>
      </c>
      <c r="G220" s="1029">
        <f t="shared" si="24"/>
        <v>475</v>
      </c>
      <c r="H220" s="1029">
        <f t="shared" si="25"/>
        <v>-54496.819103875612</v>
      </c>
      <c r="I220" s="43">
        <f>'[1]поточний ремонт'!I220+'[2]поточний ремонт'!I220-'[3]поточний ремонт'!I220</f>
        <v>0</v>
      </c>
      <c r="J220" s="43">
        <f>'[1]поточний ремонт'!J220+'[2]поточний ремонт'!J220-'[3]поточний ремонт'!J220</f>
        <v>0</v>
      </c>
      <c r="K220" s="1037"/>
      <c r="L220" s="43">
        <f>'[1]поточний ремонт'!L220+'[2]поточний ремонт'!L220-'[3]поточний ремонт'!L220</f>
        <v>0</v>
      </c>
      <c r="M220" s="43">
        <f>'[1]поточний ремонт'!M220+'[2]поточний ремонт'!M220-'[3]поточний ремонт'!M220</f>
        <v>0</v>
      </c>
      <c r="N220" s="37"/>
      <c r="O220" s="43">
        <f>'[1]поточний ремонт'!O220+'[2]поточний ремонт'!O220-'[3]поточний ремонт'!O220</f>
        <v>0</v>
      </c>
      <c r="P220" s="43">
        <f>'[1]поточний ремонт'!P220+'[2]поточний ремонт'!P220-'[3]поточний ремонт'!P220</f>
        <v>0</v>
      </c>
      <c r="Q220" s="1038"/>
      <c r="R220" s="43">
        <f>'[1]поточний ремонт'!R220+'[2]поточний ремонт'!R220-'[3]поточний ремонт'!R220</f>
        <v>0</v>
      </c>
      <c r="S220" s="43">
        <f>'[1]поточний ремонт'!S220+'[2]поточний ремонт'!S220-'[3]поточний ремонт'!S220</f>
        <v>0</v>
      </c>
      <c r="T220" s="1039"/>
      <c r="U220" s="43">
        <f>'[1]поточний ремонт'!U220+'[2]поточний ремонт'!U220-'[3]поточний ремонт'!U220</f>
        <v>0</v>
      </c>
      <c r="V220" s="43">
        <f>'[1]поточний ремонт'!V220+'[2]поточний ремонт'!V220-'[3]поточний ремонт'!V220</f>
        <v>0</v>
      </c>
      <c r="W220" s="43">
        <f>'[1]поточний ремонт'!W220+'[2]поточний ремонт'!W220-'[3]поточний ремонт'!W220</f>
        <v>0</v>
      </c>
      <c r="X220" s="43">
        <f>'[1]поточний ремонт'!X220+'[2]поточний ремонт'!X220-'[3]поточний ремонт'!X220</f>
        <v>0</v>
      </c>
      <c r="Y220" s="43">
        <f>'[1]поточний ремонт'!Y220+'[2]поточний ремонт'!Y220-'[3]поточний ремонт'!Y220</f>
        <v>0</v>
      </c>
      <c r="Z220" s="43">
        <f>'[1]поточний ремонт'!Z220+'[2]поточний ремонт'!Z220-'[3]поточний ремонт'!Z220</f>
        <v>0</v>
      </c>
      <c r="AA220" s="43">
        <f>'[1]поточний ремонт'!AA220+'[2]поточний ремонт'!AA220-'[3]поточний ремонт'!AA220</f>
        <v>0</v>
      </c>
      <c r="AB220" s="43">
        <f>'[1]поточний ремонт'!AB220+'[2]поточний ремонт'!AB220-'[3]поточний ремонт'!AB220</f>
        <v>0</v>
      </c>
      <c r="AC220" s="43">
        <f>'[1]поточний ремонт'!AC220+'[2]поточний ремонт'!AC220-'[3]поточний ремонт'!AC220</f>
        <v>0</v>
      </c>
      <c r="AD220" s="43">
        <f>'[1]поточний ремонт'!AD220+'[2]поточний ремонт'!AD220-'[3]поточний ремонт'!AD220</f>
        <v>475</v>
      </c>
      <c r="AE220" s="43">
        <f>'[1]поточний ремонт'!AE220+'[2]поточний ремонт'!AE220-'[3]поточний ремонт'!AE220</f>
        <v>1940.8522748715295</v>
      </c>
      <c r="AF220" s="43">
        <f>'[1]поточний ремонт'!AF220+'[2]поточний ремонт'!AF220-'[3]поточний ремонт'!AF220</f>
        <v>0</v>
      </c>
      <c r="AG220" s="5"/>
      <c r="AH220" s="43">
        <f>'[1]поточний ремонт'!AH220+'[2]поточний ремонт'!AH220-'[3]поточний ремонт'!AH220</f>
        <v>2669.3329242191721</v>
      </c>
      <c r="AI220" s="43">
        <f>'[1]поточний ремонт'!AI220+'[2]поточний ремонт'!AI220-'[3]поточний ремонт'!AI220</f>
        <v>0</v>
      </c>
      <c r="AJ220" s="5"/>
      <c r="AK220" s="43">
        <f>'[1]поточний ремонт'!AK220+'[2]поточний ремонт'!AK220-'[3]поточний ремонт'!AK220</f>
        <v>2590.053937561087</v>
      </c>
      <c r="AL220" s="43">
        <f>'[1]поточний ремонт'!AL220+'[2]поточний ремонт'!AL220-'[3]поточний ремонт'!AL220</f>
        <v>0</v>
      </c>
      <c r="AM220" s="5"/>
      <c r="AN220" s="43">
        <f>'[1]поточний ремонт'!AN220+'[2]поточний ремонт'!AN220-'[3]поточний ремонт'!AN220</f>
        <v>0</v>
      </c>
      <c r="AO220" s="43">
        <f>'[1]поточний ремонт'!AO220+'[2]поточний ремонт'!AO220-'[3]поточний ремонт'!AO220</f>
        <v>0</v>
      </c>
      <c r="AP220" s="5"/>
      <c r="AQ220" s="43">
        <f>'[1]поточний ремонт'!AQ220+'[2]поточний ремонт'!AQ220-'[3]поточний ремонт'!AQ220</f>
        <v>0</v>
      </c>
      <c r="AR220" s="43">
        <f>'[1]поточний ремонт'!AR220+'[2]поточний ремонт'!AR220-'[3]поточний ремонт'!AR220</f>
        <v>0</v>
      </c>
      <c r="AS220" s="5"/>
      <c r="AT220" s="43">
        <f>'[1]поточний ремонт'!AT220+'[2]поточний ремонт'!AT220-'[3]поточний ремонт'!AT220</f>
        <v>1077.1086257719292</v>
      </c>
      <c r="AU220" s="43">
        <f>'[1]поточний ремонт'!AU220+'[2]поточний ремонт'!AU220-'[3]поточний ремонт'!AU220</f>
        <v>25785</v>
      </c>
      <c r="AV220" s="5"/>
      <c r="AW220" s="43">
        <f>'[1]поточний ремонт'!AW220+'[2]поточний ремонт'!AW220-'[3]поточний ремонт'!AW220</f>
        <v>0</v>
      </c>
      <c r="AX220" s="43">
        <f>'[1]поточний ремонт'!AX220+'[2]поточний ремонт'!AX220-'[3]поточний ремонт'!AX220</f>
        <v>0</v>
      </c>
      <c r="AY220" s="5"/>
      <c r="AZ220" s="43">
        <f t="shared" si="26"/>
        <v>8277.3477624237185</v>
      </c>
      <c r="BA220" s="43">
        <f t="shared" si="27"/>
        <v>25785</v>
      </c>
      <c r="BB220" s="59">
        <f t="shared" si="28"/>
        <v>17507.65223757628</v>
      </c>
      <c r="BD220" s="2">
        <v>2</v>
      </c>
      <c r="BF220" s="30">
        <v>5.2047070013780719</v>
      </c>
      <c r="BG220" s="328">
        <v>150001050</v>
      </c>
      <c r="BI220" s="107">
        <v>0</v>
      </c>
      <c r="BJ220" s="107">
        <f t="shared" si="29"/>
        <v>0</v>
      </c>
      <c r="BK220" s="107">
        <v>0</v>
      </c>
      <c r="BL220" s="39"/>
      <c r="BM220" s="3"/>
      <c r="BN220" s="3">
        <v>0</v>
      </c>
      <c r="BP220" s="3"/>
      <c r="BQ220" s="3"/>
      <c r="BS220" s="43"/>
      <c r="BT220" s="43">
        <v>0</v>
      </c>
      <c r="BU220" s="1037"/>
      <c r="BV220" s="42"/>
      <c r="BW220" s="43"/>
      <c r="BX220" s="37"/>
      <c r="BY220" s="78"/>
      <c r="BZ220" s="43">
        <v>0</v>
      </c>
      <c r="CA220" s="1038"/>
      <c r="CB220" s="42"/>
      <c r="CC220" s="42">
        <v>0</v>
      </c>
      <c r="CD220" s="1039"/>
      <c r="CE220" s="78">
        <v>0</v>
      </c>
      <c r="CF220" s="56"/>
      <c r="CG220" s="42">
        <v>0</v>
      </c>
      <c r="CH220" s="39">
        <v>0</v>
      </c>
      <c r="CI220" s="78">
        <v>0</v>
      </c>
      <c r="CJ220" s="56"/>
      <c r="CK220" s="1034"/>
      <c r="CL220" s="1029"/>
      <c r="CM220" s="1034"/>
      <c r="CN220" s="1029">
        <v>0</v>
      </c>
      <c r="CO220" s="78">
        <v>161.73768957262746</v>
      </c>
      <c r="CP220" s="43">
        <v>0</v>
      </c>
      <c r="CQ220" s="5"/>
      <c r="CR220" s="78">
        <v>222.44441035159772</v>
      </c>
      <c r="CS220" s="1033">
        <v>0</v>
      </c>
      <c r="CT220" s="5"/>
      <c r="CU220" s="78">
        <v>215.83782813009054</v>
      </c>
      <c r="CV220" s="43">
        <v>0</v>
      </c>
      <c r="CW220" s="5"/>
      <c r="CX220" s="78">
        <v>0</v>
      </c>
      <c r="CY220" s="43">
        <v>0</v>
      </c>
      <c r="CZ220" s="5"/>
      <c r="DA220" s="78">
        <v>0</v>
      </c>
      <c r="DB220" s="43">
        <v>0</v>
      </c>
      <c r="DC220" s="5"/>
      <c r="DD220" s="78">
        <v>89.759052147660768</v>
      </c>
      <c r="DE220" s="43">
        <v>0</v>
      </c>
      <c r="DF220" s="5"/>
      <c r="DG220" s="78">
        <v>0</v>
      </c>
      <c r="DH220" s="43"/>
      <c r="DI220" s="5"/>
      <c r="DJ220" s="43">
        <v>689.77898020197654</v>
      </c>
      <c r="DK220" s="43">
        <f t="shared" si="30"/>
        <v>0</v>
      </c>
      <c r="DL220" s="59">
        <f t="shared" si="31"/>
        <v>-689.77898020197654</v>
      </c>
    </row>
    <row r="221" spans="1:116" ht="24.9" customHeight="1" x14ac:dyDescent="0.3">
      <c r="A221" s="328">
        <v>150001045</v>
      </c>
      <c r="B221" s="45" t="s">
        <v>271</v>
      </c>
      <c r="C221" s="1035">
        <v>5</v>
      </c>
      <c r="D221" s="1036" t="s">
        <v>454</v>
      </c>
      <c r="E221" s="1028">
        <f>'побудинковий звіт'!E219</f>
        <v>2135.1</v>
      </c>
      <c r="F221" s="1029">
        <f>'побудинковий звіт'!AS219</f>
        <v>55837.528169614998</v>
      </c>
      <c r="G221" s="1029">
        <f t="shared" si="24"/>
        <v>44423.000000000007</v>
      </c>
      <c r="H221" s="1029">
        <f t="shared" si="25"/>
        <v>-11414.52816961499</v>
      </c>
      <c r="I221" s="43">
        <f>'[1]поточний ремонт'!I221+'[2]поточний ремонт'!I221-'[3]поточний ремонт'!I221</f>
        <v>0</v>
      </c>
      <c r="J221" s="43">
        <f>'[1]поточний ремонт'!J221+'[2]поточний ремонт'!J221-'[3]поточний ремонт'!J221</f>
        <v>0</v>
      </c>
      <c r="K221" s="1049"/>
      <c r="L221" s="43">
        <f>'[1]поточний ремонт'!L221+'[2]поточний ремонт'!L221-'[3]поточний ремонт'!L221</f>
        <v>1</v>
      </c>
      <c r="M221" s="43">
        <f>'[1]поточний ремонт'!M221+'[2]поточний ремонт'!M221-'[3]поточний ремонт'!M221</f>
        <v>40041.000000000007</v>
      </c>
      <c r="N221" s="37"/>
      <c r="O221" s="43">
        <f>'[1]поточний ремонт'!O221+'[2]поточний ремонт'!O221-'[3]поточний ремонт'!O221</f>
        <v>0</v>
      </c>
      <c r="P221" s="43">
        <f>'[1]поточний ремонт'!P221+'[2]поточний ремонт'!P221-'[3]поточний ремонт'!P221</f>
        <v>0</v>
      </c>
      <c r="Q221" s="1058"/>
      <c r="R221" s="43">
        <f>'[1]поточний ремонт'!R221+'[2]поточний ремонт'!R221-'[3]поточний ремонт'!R221</f>
        <v>0</v>
      </c>
      <c r="S221" s="43">
        <f>'[1]поточний ремонт'!S221+'[2]поточний ремонт'!S221-'[3]поточний ремонт'!S221</f>
        <v>0</v>
      </c>
      <c r="T221" s="1039"/>
      <c r="U221" s="43">
        <f>'[1]поточний ремонт'!U221+'[2]поточний ремонт'!U221-'[3]поточний ремонт'!U221</f>
        <v>0</v>
      </c>
      <c r="V221" s="43">
        <f>'[1]поточний ремонт'!V221+'[2]поточний ремонт'!V221-'[3]поточний ремонт'!V221</f>
        <v>0</v>
      </c>
      <c r="W221" s="43">
        <f>'[1]поточний ремонт'!W221+'[2]поточний ремонт'!W221-'[3]поточний ремонт'!W221</f>
        <v>0</v>
      </c>
      <c r="X221" s="43">
        <f>'[1]поточний ремонт'!X221+'[2]поточний ремонт'!X221-'[3]поточний ремонт'!X221</f>
        <v>0</v>
      </c>
      <c r="Y221" s="43">
        <f>'[1]поточний ремонт'!Y221+'[2]поточний ремонт'!Y221-'[3]поточний ремонт'!Y221</f>
        <v>1108</v>
      </c>
      <c r="Z221" s="43">
        <f>'[1]поточний ремонт'!Z221+'[2]поточний ремонт'!Z221-'[3]поточний ремонт'!Z221</f>
        <v>0</v>
      </c>
      <c r="AA221" s="43">
        <f>'[1]поточний ремонт'!AA221+'[2]поточний ремонт'!AA221-'[3]поточний ремонт'!AA221</f>
        <v>0</v>
      </c>
      <c r="AB221" s="43">
        <f>'[1]поточний ремонт'!AB221+'[2]поточний ремонт'!AB221-'[3]поточний ремонт'!AB221</f>
        <v>0</v>
      </c>
      <c r="AC221" s="43">
        <f>'[1]поточний ремонт'!AC221+'[2]поточний ремонт'!AC221-'[3]поточний ремонт'!AC221</f>
        <v>1358</v>
      </c>
      <c r="AD221" s="43">
        <f>'[1]поточний ремонт'!AD221+'[2]поточний ремонт'!AD221-'[3]поточний ремонт'!AD221</f>
        <v>1916</v>
      </c>
      <c r="AE221" s="43">
        <f>'[1]поточний ремонт'!AE221+'[2]поточний ремонт'!AE221-'[3]поточний ремонт'!AE221</f>
        <v>1855.2655009093594</v>
      </c>
      <c r="AF221" s="43">
        <f>'[1]поточний ремонт'!AF221+'[2]поточний ремонт'!AF221-'[3]поточний ремонт'!AF221</f>
        <v>0</v>
      </c>
      <c r="AG221" s="1045"/>
      <c r="AH221" s="43">
        <f>'[1]поточний ремонт'!AH221+'[2]поточний ремонт'!AH221-'[3]поточний ремонт'!AH221</f>
        <v>2669.3329242191721</v>
      </c>
      <c r="AI221" s="43">
        <f>'[1]поточний ремонт'!AI221+'[2]поточний ремонт'!AI221-'[3]поточний ремонт'!AI221</f>
        <v>0</v>
      </c>
      <c r="AJ221" s="5"/>
      <c r="AK221" s="43">
        <f>'[1]поточний ремонт'!AK221+'[2]поточний ремонт'!AK221-'[3]поточний ремонт'!AK221</f>
        <v>2824.0459151017808</v>
      </c>
      <c r="AL221" s="43">
        <f>'[1]поточний ремонт'!AL221+'[2]поточний ремонт'!AL221-'[3]поточний ремонт'!AL221</f>
        <v>0</v>
      </c>
      <c r="AM221" s="5"/>
      <c r="AN221" s="43">
        <f>'[1]поточний ремонт'!AN221+'[2]поточний ремонт'!AN221-'[3]поточний ремонт'!AN221</f>
        <v>0</v>
      </c>
      <c r="AO221" s="43">
        <f>'[1]поточний ремонт'!AO221+'[2]поточний ремонт'!AO221-'[3]поточний ремонт'!AO221</f>
        <v>0</v>
      </c>
      <c r="AP221" s="5"/>
      <c r="AQ221" s="43">
        <f>'[1]поточний ремонт'!AQ221+'[2]поточний ремонт'!AQ221-'[3]поточний ремонт'!AQ221</f>
        <v>0</v>
      </c>
      <c r="AR221" s="43">
        <f>'[1]поточний ремонт'!AR221+'[2]поточний ремонт'!AR221-'[3]поточний ремонт'!AR221</f>
        <v>0</v>
      </c>
      <c r="AS221" s="5"/>
      <c r="AT221" s="43">
        <f>'[1]поточний ремонт'!AT221+'[2]поточний ремонт'!AT221-'[3]поточний ремонт'!AT221</f>
        <v>1077.1086257719292</v>
      </c>
      <c r="AU221" s="43">
        <f>'[1]поточний ремонт'!AU221+'[2]поточний ремонт'!AU221-'[3]поточний ремонт'!AU221</f>
        <v>2254</v>
      </c>
      <c r="AV221" s="5"/>
      <c r="AW221" s="43">
        <f>'[1]поточний ремонт'!AW221+'[2]поточний ремонт'!AW221-'[3]поточний ремонт'!AW221</f>
        <v>0</v>
      </c>
      <c r="AX221" s="43">
        <f>'[1]поточний ремонт'!AX221+'[2]поточний ремонт'!AX221-'[3]поточний ремонт'!AX221</f>
        <v>0</v>
      </c>
      <c r="AY221" s="5"/>
      <c r="AZ221" s="43">
        <f t="shared" si="26"/>
        <v>8425.752966002241</v>
      </c>
      <c r="BA221" s="43">
        <f t="shared" si="27"/>
        <v>2254</v>
      </c>
      <c r="BB221" s="59">
        <f t="shared" si="28"/>
        <v>-6171.752966002241</v>
      </c>
      <c r="BD221" s="2">
        <v>2</v>
      </c>
      <c r="BF221" s="30">
        <v>133.95139148461394</v>
      </c>
      <c r="BG221" s="328">
        <v>150001045</v>
      </c>
      <c r="BI221" s="107">
        <v>0</v>
      </c>
      <c r="BJ221" s="107">
        <f t="shared" si="29"/>
        <v>0</v>
      </c>
      <c r="BK221" s="107">
        <v>0</v>
      </c>
      <c r="BL221" s="39"/>
      <c r="BM221" s="3"/>
      <c r="BN221" s="3">
        <v>0</v>
      </c>
      <c r="BP221" s="3"/>
      <c r="BQ221" s="3"/>
      <c r="BS221" s="43"/>
      <c r="BT221" s="43">
        <v>0</v>
      </c>
      <c r="BU221" s="1049"/>
      <c r="BV221" s="42">
        <v>1</v>
      </c>
      <c r="BW221" s="43">
        <v>45640</v>
      </c>
      <c r="BX221" s="37"/>
      <c r="BY221" s="78"/>
      <c r="BZ221" s="43">
        <v>0</v>
      </c>
      <c r="CA221" s="1058"/>
      <c r="CB221" s="42"/>
      <c r="CC221" s="42">
        <v>0</v>
      </c>
      <c r="CD221" s="1039"/>
      <c r="CE221" s="78">
        <v>0</v>
      </c>
      <c r="CF221" s="56"/>
      <c r="CG221" s="42">
        <v>0</v>
      </c>
      <c r="CH221" s="39">
        <v>0</v>
      </c>
      <c r="CI221" s="78">
        <v>0</v>
      </c>
      <c r="CJ221" s="56"/>
      <c r="CK221" s="1034"/>
      <c r="CL221" s="1029"/>
      <c r="CM221" s="1034">
        <v>557</v>
      </c>
      <c r="CN221" s="1029">
        <v>1031.2792808293468</v>
      </c>
      <c r="CO221" s="78">
        <v>154.60545840911331</v>
      </c>
      <c r="CP221" s="43">
        <v>0</v>
      </c>
      <c r="CQ221" s="1045"/>
      <c r="CR221" s="78">
        <v>222.44441035159772</v>
      </c>
      <c r="CS221" s="1033">
        <v>0</v>
      </c>
      <c r="CT221" s="5"/>
      <c r="CU221" s="78">
        <v>235.33715959181504</v>
      </c>
      <c r="CV221" s="43">
        <v>0</v>
      </c>
      <c r="CW221" s="5"/>
      <c r="CX221" s="78">
        <v>0</v>
      </c>
      <c r="CY221" s="43">
        <v>0</v>
      </c>
      <c r="CZ221" s="5"/>
      <c r="DA221" s="78">
        <v>0</v>
      </c>
      <c r="DB221" s="43">
        <v>0</v>
      </c>
      <c r="DC221" s="5"/>
      <c r="DD221" s="78">
        <v>89.759052147660768</v>
      </c>
      <c r="DE221" s="43">
        <v>1790.2980175778043</v>
      </c>
      <c r="DF221" s="5"/>
      <c r="DG221" s="78">
        <v>0</v>
      </c>
      <c r="DH221" s="43"/>
      <c r="DI221" s="5"/>
      <c r="DJ221" s="43">
        <v>702.14608050018683</v>
      </c>
      <c r="DK221" s="43">
        <f t="shared" si="30"/>
        <v>1790.2980175778043</v>
      </c>
      <c r="DL221" s="59">
        <f t="shared" si="31"/>
        <v>1088.1519370776175</v>
      </c>
    </row>
    <row r="222" spans="1:116" ht="24.9" customHeight="1" x14ac:dyDescent="0.3">
      <c r="A222" s="328">
        <v>150001046</v>
      </c>
      <c r="B222" s="45" t="s">
        <v>272</v>
      </c>
      <c r="C222" s="1035">
        <v>5</v>
      </c>
      <c r="D222" s="1036" t="s">
        <v>454</v>
      </c>
      <c r="E222" s="1028">
        <f>'побудинковий звіт'!E220</f>
        <v>4626.5999999999995</v>
      </c>
      <c r="F222" s="1029">
        <f>'побудинковий звіт'!AS220</f>
        <v>30450.635308543093</v>
      </c>
      <c r="G222" s="1029">
        <f t="shared" si="24"/>
        <v>3902</v>
      </c>
      <c r="H222" s="1029">
        <f t="shared" si="25"/>
        <v>-26548.635308543093</v>
      </c>
      <c r="I222" s="43">
        <f>'[1]поточний ремонт'!I222+'[2]поточний ремонт'!I222-'[3]поточний ремонт'!I222</f>
        <v>0</v>
      </c>
      <c r="J222" s="43">
        <f>'[1]поточний ремонт'!J222+'[2]поточний ремонт'!J222-'[3]поточний ремонт'!J222</f>
        <v>0</v>
      </c>
      <c r="K222" s="1049"/>
      <c r="L222" s="43">
        <f>'[1]поточний ремонт'!L222+'[2]поточний ремонт'!L222-'[3]поточний ремонт'!L222</f>
        <v>0</v>
      </c>
      <c r="M222" s="43">
        <f>'[1]поточний ремонт'!M222+'[2]поточний ремонт'!M222-'[3]поточний ремонт'!M222</f>
        <v>0</v>
      </c>
      <c r="N222" s="37"/>
      <c r="O222" s="43">
        <f>'[1]поточний ремонт'!O222+'[2]поточний ремонт'!O222-'[3]поточний ремонт'!O222</f>
        <v>0</v>
      </c>
      <c r="P222" s="43">
        <f>'[1]поточний ремонт'!P222+'[2]поточний ремонт'!P222-'[3]поточний ремонт'!P222</f>
        <v>0</v>
      </c>
      <c r="Q222" s="1038"/>
      <c r="R222" s="43">
        <f>'[1]поточний ремонт'!R222+'[2]поточний ремонт'!R222-'[3]поточний ремонт'!R222</f>
        <v>0</v>
      </c>
      <c r="S222" s="43">
        <f>'[1]поточний ремонт'!S222+'[2]поточний ремонт'!S222-'[3]поточний ремонт'!S222</f>
        <v>0</v>
      </c>
      <c r="T222" s="1039"/>
      <c r="U222" s="43">
        <f>'[1]поточний ремонт'!U222+'[2]поточний ремонт'!U222-'[3]поточний ремонт'!U222</f>
        <v>0</v>
      </c>
      <c r="V222" s="43">
        <f>'[1]поточний ремонт'!V222+'[2]поточний ремонт'!V222-'[3]поточний ремонт'!V222</f>
        <v>0</v>
      </c>
      <c r="W222" s="43">
        <f>'[1]поточний ремонт'!W222+'[2]поточний ремонт'!W222-'[3]поточний ремонт'!W222</f>
        <v>0</v>
      </c>
      <c r="X222" s="43">
        <f>'[1]поточний ремонт'!X222+'[2]поточний ремонт'!X222-'[3]поточний ремонт'!X222</f>
        <v>0</v>
      </c>
      <c r="Y222" s="43">
        <f>'[1]поточний ремонт'!Y222+'[2]поточний ремонт'!Y222-'[3]поточний ремонт'!Y222</f>
        <v>1764</v>
      </c>
      <c r="Z222" s="43">
        <f>'[1]поточний ремонт'!Z222+'[2]поточний ремонт'!Z222-'[3]поточний ремонт'!Z222</f>
        <v>0</v>
      </c>
      <c r="AA222" s="43">
        <f>'[1]поточний ремонт'!AA222+'[2]поточний ремонт'!AA222-'[3]поточний ремонт'!AA222</f>
        <v>0</v>
      </c>
      <c r="AB222" s="43">
        <f>'[1]поточний ремонт'!AB222+'[2]поточний ремонт'!AB222-'[3]поточний ремонт'!AB222</f>
        <v>0</v>
      </c>
      <c r="AC222" s="43">
        <f>'[1]поточний ремонт'!AC222+'[2]поточний ремонт'!AC222-'[3]поточний ремонт'!AC222</f>
        <v>414</v>
      </c>
      <c r="AD222" s="43">
        <f>'[1]поточний ремонт'!AD222+'[2]поточний ремонт'!AD222-'[3]поточний ремонт'!AD222</f>
        <v>1724</v>
      </c>
      <c r="AE222" s="43">
        <f>'[1]поточний ремонт'!AE222+'[2]поточний ремонт'!AE222-'[3]поточний ремонт'!AE222</f>
        <v>1363.3381440640351</v>
      </c>
      <c r="AF222" s="43">
        <f>'[1]поточний ремонт'!AF222+'[2]поточний ремонт'!AF222-'[3]поточний ремонт'!AF222</f>
        <v>1401</v>
      </c>
      <c r="AG222" s="9"/>
      <c r="AH222" s="43">
        <f>'[1]поточний ремонт'!AH222+'[2]поточний ремонт'!AH222-'[3]поточний ремонт'!AH222</f>
        <v>2327.2391081307514</v>
      </c>
      <c r="AI222" s="43">
        <f>'[1]поточний ремонт'!AI222+'[2]поточний ремонт'!AI222-'[3]поточний ремонт'!AI222</f>
        <v>0</v>
      </c>
      <c r="AJ222" s="5"/>
      <c r="AK222" s="43">
        <f>'[1]поточний ремонт'!AK222+'[2]поточний ремонт'!AK222-'[3]поточний ремонт'!AK222</f>
        <v>1794.1681606997543</v>
      </c>
      <c r="AL222" s="43">
        <f>'[1]поточний ремонт'!AL222+'[2]поточний ремонт'!AL222-'[3]поточний ремонт'!AL222</f>
        <v>0</v>
      </c>
      <c r="AM222" s="5"/>
      <c r="AN222" s="43">
        <f>'[1]поточний ремонт'!AN222+'[2]поточний ремонт'!AN222-'[3]поточний ремонт'!AN222</f>
        <v>0</v>
      </c>
      <c r="AO222" s="43">
        <f>'[1]поточний ремонт'!AO222+'[2]поточний ремонт'!AO222-'[3]поточний ремонт'!AO222</f>
        <v>0</v>
      </c>
      <c r="AP222" s="5"/>
      <c r="AQ222" s="43">
        <f>'[1]поточний ремонт'!AQ222+'[2]поточний ремонт'!AQ222-'[3]поточний ремонт'!AQ222</f>
        <v>0</v>
      </c>
      <c r="AR222" s="43">
        <f>'[1]поточний ремонт'!AR222+'[2]поточний ремонт'!AR222-'[3]поточний ремонт'!AR222</f>
        <v>0</v>
      </c>
      <c r="AS222" s="5"/>
      <c r="AT222" s="43">
        <f>'[1]поточний ремонт'!AT222+'[2]поточний ремонт'!AT222-'[3]поточний ремонт'!AT222</f>
        <v>782.97212660668436</v>
      </c>
      <c r="AU222" s="43">
        <f>'[1]поточний ремонт'!AU222+'[2]поточний ремонт'!AU222-'[3]поточний ремонт'!AU222</f>
        <v>534</v>
      </c>
      <c r="AV222" s="5"/>
      <c r="AW222" s="43">
        <f>'[1]поточний ремонт'!AW222+'[2]поточний ремонт'!AW222-'[3]поточний ремонт'!AW222</f>
        <v>0</v>
      </c>
      <c r="AX222" s="43">
        <f>'[1]поточний ремонт'!AX222+'[2]поточний ремонт'!AX222-'[3]поточний ремонт'!AX222</f>
        <v>0</v>
      </c>
      <c r="AY222" s="5"/>
      <c r="AZ222" s="43">
        <f t="shared" si="26"/>
        <v>6267.7175395012255</v>
      </c>
      <c r="BA222" s="43">
        <f t="shared" si="27"/>
        <v>1935</v>
      </c>
      <c r="BB222" s="59">
        <f t="shared" si="28"/>
        <v>-4332.7175395012255</v>
      </c>
      <c r="BD222" s="2">
        <v>2</v>
      </c>
      <c r="BF222" s="30">
        <v>3.8589466446866854</v>
      </c>
      <c r="BG222" s="328">
        <v>150001046</v>
      </c>
      <c r="BI222" s="107">
        <v>0</v>
      </c>
      <c r="BJ222" s="107">
        <f t="shared" si="29"/>
        <v>0</v>
      </c>
      <c r="BK222" s="107">
        <v>0</v>
      </c>
      <c r="BL222" s="39"/>
      <c r="BM222" s="3"/>
      <c r="BN222" s="3">
        <v>0</v>
      </c>
      <c r="BP222" s="3"/>
      <c r="BQ222" s="3"/>
      <c r="BS222" s="43"/>
      <c r="BT222" s="43">
        <v>0</v>
      </c>
      <c r="BU222" s="1049"/>
      <c r="BV222" s="42"/>
      <c r="BW222" s="43"/>
      <c r="BX222" s="37"/>
      <c r="BY222" s="78"/>
      <c r="BZ222" s="43">
        <v>0</v>
      </c>
      <c r="CA222" s="1038"/>
      <c r="CB222" s="42"/>
      <c r="CC222" s="42">
        <v>0</v>
      </c>
      <c r="CD222" s="1039"/>
      <c r="CE222" s="78">
        <v>0</v>
      </c>
      <c r="CF222" s="56"/>
      <c r="CG222" s="42">
        <v>0</v>
      </c>
      <c r="CH222" s="39">
        <v>0</v>
      </c>
      <c r="CI222" s="78">
        <v>0</v>
      </c>
      <c r="CJ222" s="56"/>
      <c r="CK222" s="1034"/>
      <c r="CL222" s="1029"/>
      <c r="CM222" s="1034"/>
      <c r="CN222" s="1029">
        <v>0</v>
      </c>
      <c r="CO222" s="78">
        <v>113.61151200533625</v>
      </c>
      <c r="CP222" s="43">
        <v>0</v>
      </c>
      <c r="CQ222" s="9"/>
      <c r="CR222" s="78">
        <v>193.93659234422933</v>
      </c>
      <c r="CS222" s="1033">
        <v>0</v>
      </c>
      <c r="CT222" s="5"/>
      <c r="CU222" s="78">
        <v>149.51401339164624</v>
      </c>
      <c r="CV222" s="43">
        <v>0</v>
      </c>
      <c r="CW222" s="5"/>
      <c r="CX222" s="78">
        <v>0</v>
      </c>
      <c r="CY222" s="43">
        <v>0</v>
      </c>
      <c r="CZ222" s="5"/>
      <c r="DA222" s="78">
        <v>0</v>
      </c>
      <c r="DB222" s="43">
        <v>608.35803644477073</v>
      </c>
      <c r="DC222" s="5"/>
      <c r="DD222" s="78">
        <v>65.24767721722371</v>
      </c>
      <c r="DE222" s="43">
        <v>0</v>
      </c>
      <c r="DF222" s="5"/>
      <c r="DG222" s="78">
        <v>0</v>
      </c>
      <c r="DH222" s="43"/>
      <c r="DI222" s="5"/>
      <c r="DJ222" s="43">
        <v>522.30979495843553</v>
      </c>
      <c r="DK222" s="43">
        <f t="shared" si="30"/>
        <v>608.35803644477073</v>
      </c>
      <c r="DL222" s="59">
        <f t="shared" si="31"/>
        <v>86.048241486335201</v>
      </c>
    </row>
    <row r="223" spans="1:116" ht="23.1" customHeight="1" x14ac:dyDescent="0.3">
      <c r="A223" s="328">
        <v>150001040</v>
      </c>
      <c r="B223" s="45" t="s">
        <v>216</v>
      </c>
      <c r="C223" s="1035">
        <v>4</v>
      </c>
      <c r="D223" s="1036" t="s">
        <v>454</v>
      </c>
      <c r="E223" s="1028">
        <f>'побудинковий звіт'!E221</f>
        <v>2643.05</v>
      </c>
      <c r="F223" s="1029">
        <f>'побудинковий звіт'!AS221</f>
        <v>41367.686205396662</v>
      </c>
      <c r="G223" s="1029">
        <f t="shared" si="24"/>
        <v>2877</v>
      </c>
      <c r="H223" s="1029">
        <f t="shared" si="25"/>
        <v>-38490.686205396662</v>
      </c>
      <c r="I223" s="43">
        <f>'[1]поточний ремонт'!I223+'[2]поточний ремонт'!I223-'[3]поточний ремонт'!I223</f>
        <v>0</v>
      </c>
      <c r="J223" s="43">
        <f>'[1]поточний ремонт'!J223+'[2]поточний ремонт'!J223-'[3]поточний ремонт'!J223</f>
        <v>0</v>
      </c>
      <c r="K223" s="1037"/>
      <c r="L223" s="43">
        <f>'[1]поточний ремонт'!L223+'[2]поточний ремонт'!L223-'[3]поточний ремонт'!L223</f>
        <v>0</v>
      </c>
      <c r="M223" s="43">
        <f>'[1]поточний ремонт'!M223+'[2]поточний ремонт'!M223-'[3]поточний ремонт'!M223</f>
        <v>0</v>
      </c>
      <c r="N223" s="37"/>
      <c r="O223" s="43">
        <f>'[1]поточний ремонт'!O223+'[2]поточний ремонт'!O223-'[3]поточний ремонт'!O223</f>
        <v>0</v>
      </c>
      <c r="P223" s="43">
        <f>'[1]поточний ремонт'!P223+'[2]поточний ремонт'!P223-'[3]поточний ремонт'!P223</f>
        <v>0</v>
      </c>
      <c r="Q223" s="1038"/>
      <c r="R223" s="43">
        <f>'[1]поточний ремонт'!R223+'[2]поточний ремонт'!R223-'[3]поточний ремонт'!R223</f>
        <v>0</v>
      </c>
      <c r="S223" s="43">
        <f>'[1]поточний ремонт'!S223+'[2]поточний ремонт'!S223-'[3]поточний ремонт'!S223</f>
        <v>0</v>
      </c>
      <c r="T223" s="1039"/>
      <c r="U223" s="43">
        <f>'[1]поточний ремонт'!U223+'[2]поточний ремонт'!U223-'[3]поточний ремонт'!U223</f>
        <v>0</v>
      </c>
      <c r="V223" s="43">
        <f>'[1]поточний ремонт'!V223+'[2]поточний ремонт'!V223-'[3]поточний ремонт'!V223</f>
        <v>0</v>
      </c>
      <c r="W223" s="43">
        <f>'[1]поточний ремонт'!W223+'[2]поточний ремонт'!W223-'[3]поточний ремонт'!W223</f>
        <v>0</v>
      </c>
      <c r="X223" s="43">
        <f>'[1]поточний ремонт'!X223+'[2]поточний ремонт'!X223-'[3]поточний ремонт'!X223</f>
        <v>0</v>
      </c>
      <c r="Y223" s="43">
        <f>'[1]поточний ремонт'!Y223+'[2]поточний ремонт'!Y223-'[3]поточний ремонт'!Y223</f>
        <v>0</v>
      </c>
      <c r="Z223" s="43">
        <f>'[1]поточний ремонт'!Z223+'[2]поточний ремонт'!Z223-'[3]поточний ремонт'!Z223</f>
        <v>0</v>
      </c>
      <c r="AA223" s="43">
        <f>'[1]поточний ремонт'!AA223+'[2]поточний ремонт'!AA223-'[3]поточний ремонт'!AA223</f>
        <v>0</v>
      </c>
      <c r="AB223" s="43">
        <f>'[1]поточний ремонт'!AB223+'[2]поточний ремонт'!AB223-'[3]поточний ремонт'!AB223</f>
        <v>0</v>
      </c>
      <c r="AC223" s="43">
        <f>'[1]поточний ремонт'!AC223+'[2]поточний ремонт'!AC223-'[3]поточний ремонт'!AC223</f>
        <v>389</v>
      </c>
      <c r="AD223" s="43">
        <f>'[1]поточний ремонт'!AD223+'[2]поточний ремонт'!AD223-'[3]поточний ремонт'!AD223</f>
        <v>2488</v>
      </c>
      <c r="AE223" s="43">
        <f>'[1]поточний ремонт'!AE223+'[2]поточний ремонт'!AE223-'[3]поточний ремонт'!AE223</f>
        <v>1611.810537359202</v>
      </c>
      <c r="AF223" s="43">
        <f>'[1]поточний ремонт'!AF223+'[2]поточний ремонт'!AF223-'[3]поточний ремонт'!AF223</f>
        <v>461</v>
      </c>
      <c r="AG223" s="9"/>
      <c r="AH223" s="43">
        <f>'[1]поточний ремонт'!AH223+'[2]поточний ремонт'!AH223-'[3]поточний ремонт'!AH223</f>
        <v>2936.6098545642039</v>
      </c>
      <c r="AI223" s="43">
        <f>'[1]поточний ремонт'!AI223+'[2]поточний ремонт'!AI223-'[3]поточний ремонт'!AI223</f>
        <v>0</v>
      </c>
      <c r="AJ223" s="5"/>
      <c r="AK223" s="43">
        <f>'[1]поточний ремонт'!AK223+'[2]поточний ремонт'!AK223-'[3]поточний ремонт'!AK223</f>
        <v>1479.2203057050619</v>
      </c>
      <c r="AL223" s="43">
        <f>'[1]поточний ремонт'!AL223+'[2]поточний ремонт'!AL223-'[3]поточний ремонт'!AL223</f>
        <v>0</v>
      </c>
      <c r="AM223" s="5"/>
      <c r="AN223" s="43">
        <f>'[1]поточний ремонт'!AN223+'[2]поточний ремонт'!AN223-'[3]поточний ремонт'!AN223</f>
        <v>0</v>
      </c>
      <c r="AO223" s="43">
        <f>'[1]поточний ремонт'!AO223+'[2]поточний ремонт'!AO223-'[3]поточний ремонт'!AO223</f>
        <v>0</v>
      </c>
      <c r="AP223" s="5"/>
      <c r="AQ223" s="43">
        <f>'[1]поточний ремонт'!AQ223+'[2]поточний ремонт'!AQ223-'[3]поточний ремонт'!AQ223</f>
        <v>0</v>
      </c>
      <c r="AR223" s="43">
        <f>'[1]поточний ремонт'!AR223+'[2]поточний ремонт'!AR223-'[3]поточний ремонт'!AR223</f>
        <v>0</v>
      </c>
      <c r="AS223" s="5"/>
      <c r="AT223" s="43">
        <f>'[1]поточний ремонт'!AT223+'[2]поточний ремонт'!AT223-'[3]поточний ремонт'!AT223</f>
        <v>1336.9813191081344</v>
      </c>
      <c r="AU223" s="43">
        <f>'[1]поточний ремонт'!AU223+'[2]поточний ремонт'!AU223-'[3]поточний ремонт'!AU223</f>
        <v>953</v>
      </c>
      <c r="AV223" s="5"/>
      <c r="AW223" s="43">
        <f>'[1]поточний ремонт'!AW223+'[2]поточний ремонт'!AW223-'[3]поточний ремонт'!AW223</f>
        <v>0</v>
      </c>
      <c r="AX223" s="43">
        <f>'[1]поточний ремонт'!AX223+'[2]поточний ремонт'!AX223-'[3]поточний ремонт'!AX223</f>
        <v>0</v>
      </c>
      <c r="AY223" s="5"/>
      <c r="AZ223" s="43">
        <f t="shared" si="26"/>
        <v>7364.6220167366027</v>
      </c>
      <c r="BA223" s="43">
        <f t="shared" si="27"/>
        <v>1414</v>
      </c>
      <c r="BB223" s="59">
        <f t="shared" si="28"/>
        <v>-5950.6220167366027</v>
      </c>
      <c r="BD223" s="2">
        <v>2</v>
      </c>
      <c r="BF223" s="30">
        <v>3.5147217685579402</v>
      </c>
      <c r="BG223" s="328">
        <v>150001040</v>
      </c>
      <c r="BI223" s="107">
        <v>0</v>
      </c>
      <c r="BJ223" s="107">
        <f t="shared" si="29"/>
        <v>0</v>
      </c>
      <c r="BK223" s="107">
        <v>0</v>
      </c>
      <c r="BL223" s="39"/>
      <c r="BM223" s="3"/>
      <c r="BN223" s="3">
        <v>0</v>
      </c>
      <c r="BP223" s="3"/>
      <c r="BQ223" s="3"/>
      <c r="BS223" s="43"/>
      <c r="BT223" s="43">
        <v>0</v>
      </c>
      <c r="BU223" s="1037"/>
      <c r="BV223" s="42"/>
      <c r="BW223" s="43"/>
      <c r="BX223" s="37"/>
      <c r="BY223" s="78"/>
      <c r="BZ223" s="43">
        <v>0</v>
      </c>
      <c r="CA223" s="1038"/>
      <c r="CB223" s="42"/>
      <c r="CC223" s="42">
        <v>0</v>
      </c>
      <c r="CD223" s="1039"/>
      <c r="CE223" s="78">
        <v>0</v>
      </c>
      <c r="CF223" s="56"/>
      <c r="CG223" s="42">
        <v>0</v>
      </c>
      <c r="CH223" s="39">
        <v>0</v>
      </c>
      <c r="CI223" s="78">
        <v>0</v>
      </c>
      <c r="CJ223" s="56"/>
      <c r="CK223" s="1034"/>
      <c r="CL223" s="1029"/>
      <c r="CM223" s="1034"/>
      <c r="CN223" s="1029">
        <v>0</v>
      </c>
      <c r="CO223" s="78">
        <v>134.31754477993348</v>
      </c>
      <c r="CP223" s="43">
        <v>0</v>
      </c>
      <c r="CQ223" s="9"/>
      <c r="CR223" s="78">
        <v>244.71748788035035</v>
      </c>
      <c r="CS223" s="1033">
        <v>0</v>
      </c>
      <c r="CT223" s="5"/>
      <c r="CU223" s="78">
        <v>123.26835880875514</v>
      </c>
      <c r="CV223" s="43">
        <v>0</v>
      </c>
      <c r="CW223" s="5"/>
      <c r="CX223" s="78">
        <v>0</v>
      </c>
      <c r="CY223" s="43">
        <v>0</v>
      </c>
      <c r="CZ223" s="5"/>
      <c r="DA223" s="78">
        <v>0</v>
      </c>
      <c r="DB223" s="43">
        <v>0</v>
      </c>
      <c r="DC223" s="5"/>
      <c r="DD223" s="78">
        <v>111.41510992567788</v>
      </c>
      <c r="DE223" s="43">
        <v>0</v>
      </c>
      <c r="DF223" s="5"/>
      <c r="DG223" s="78">
        <v>0</v>
      </c>
      <c r="DH223" s="43"/>
      <c r="DI223" s="5"/>
      <c r="DJ223" s="43">
        <v>613.7185013947169</v>
      </c>
      <c r="DK223" s="43">
        <f t="shared" si="30"/>
        <v>0</v>
      </c>
      <c r="DL223" s="59">
        <f t="shared" si="31"/>
        <v>-613.7185013947169</v>
      </c>
    </row>
    <row r="224" spans="1:116" ht="24.9" customHeight="1" x14ac:dyDescent="0.3">
      <c r="A224" s="328">
        <v>150001047</v>
      </c>
      <c r="B224" s="45" t="s">
        <v>179</v>
      </c>
      <c r="C224" s="1035">
        <v>2</v>
      </c>
      <c r="D224" s="1036" t="s">
        <v>454</v>
      </c>
      <c r="E224" s="1028">
        <f>'побудинковий звіт'!E222</f>
        <v>381.7</v>
      </c>
      <c r="F224" s="1029">
        <f>'побудинковий звіт'!AS222</f>
        <v>9874.8214638166846</v>
      </c>
      <c r="G224" s="1029">
        <f t="shared" si="24"/>
        <v>121977</v>
      </c>
      <c r="H224" s="1029">
        <f t="shared" si="25"/>
        <v>112102.17853618332</v>
      </c>
      <c r="I224" s="43">
        <f>'[1]поточний ремонт'!I224+'[2]поточний ремонт'!I224-'[3]поточний ремонт'!I224</f>
        <v>0</v>
      </c>
      <c r="J224" s="43">
        <f>'[1]поточний ремонт'!J224+'[2]поточний ремонт'!J224-'[3]поточний ремонт'!J224</f>
        <v>0</v>
      </c>
      <c r="K224" s="1037"/>
      <c r="L224" s="43">
        <f>'[1]поточний ремонт'!L224+'[2]поточний ремонт'!L224-'[3]поточний ремонт'!L224</f>
        <v>1</v>
      </c>
      <c r="M224" s="43">
        <f>'[1]поточний ремонт'!M224+'[2]поточний ремонт'!M224-'[3]поточний ремонт'!M224</f>
        <v>121012</v>
      </c>
      <c r="N224" s="37"/>
      <c r="O224" s="43">
        <f>'[1]поточний ремонт'!O224+'[2]поточний ремонт'!O224-'[3]поточний ремонт'!O224</f>
        <v>0</v>
      </c>
      <c r="P224" s="43">
        <f>'[1]поточний ремонт'!P224+'[2]поточний ремонт'!P224-'[3]поточний ремонт'!P224</f>
        <v>0</v>
      </c>
      <c r="Q224" s="1038"/>
      <c r="R224" s="43">
        <f>'[1]поточний ремонт'!R224+'[2]поточний ремонт'!R224-'[3]поточний ремонт'!R224</f>
        <v>0</v>
      </c>
      <c r="S224" s="43">
        <f>'[1]поточний ремонт'!S224+'[2]поточний ремонт'!S224-'[3]поточний ремонт'!S224</f>
        <v>0</v>
      </c>
      <c r="T224" s="1039"/>
      <c r="U224" s="43">
        <f>'[1]поточний ремонт'!U224+'[2]поточний ремонт'!U224-'[3]поточний ремонт'!U224</f>
        <v>0</v>
      </c>
      <c r="V224" s="43">
        <f>'[1]поточний ремонт'!V224+'[2]поточний ремонт'!V224-'[3]поточний ремонт'!V224</f>
        <v>0</v>
      </c>
      <c r="W224" s="43">
        <f>'[1]поточний ремонт'!W224+'[2]поточний ремонт'!W224-'[3]поточний ремонт'!W224</f>
        <v>0</v>
      </c>
      <c r="X224" s="43">
        <f>'[1]поточний ремонт'!X224+'[2]поточний ремонт'!X224-'[3]поточний ремонт'!X224</f>
        <v>0</v>
      </c>
      <c r="Y224" s="43">
        <f>'[1]поточний ремонт'!Y224+'[2]поточний ремонт'!Y224-'[3]поточний ремонт'!Y224</f>
        <v>0</v>
      </c>
      <c r="Z224" s="43">
        <f>'[1]поточний ремонт'!Z224+'[2]поточний ремонт'!Z224-'[3]поточний ремонт'!Z224</f>
        <v>0</v>
      </c>
      <c r="AA224" s="43">
        <f>'[1]поточний ремонт'!AA224+'[2]поточний ремонт'!AA224-'[3]поточний ремонт'!AA224</f>
        <v>0</v>
      </c>
      <c r="AB224" s="43">
        <f>'[1]поточний ремонт'!AB224+'[2]поточний ремонт'!AB224-'[3]поточний ремонт'!AB224</f>
        <v>0</v>
      </c>
      <c r="AC224" s="43">
        <f>'[1]поточний ремонт'!AC224+'[2]поточний ремонт'!AC224-'[3]поточний ремонт'!AC224</f>
        <v>0</v>
      </c>
      <c r="AD224" s="43">
        <f>'[1]поточний ремонт'!AD224+'[2]поточний ремонт'!AD224-'[3]поточний ремонт'!AD224</f>
        <v>965</v>
      </c>
      <c r="AE224" s="43">
        <f>'[1]поточний ремонт'!AE224+'[2]поточний ремонт'!AE224-'[3]поточний ремонт'!AE224</f>
        <v>496.00628644749196</v>
      </c>
      <c r="AF224" s="43">
        <f>'[1]поточний ремонт'!AF224+'[2]поточний ремонт'!AF224-'[3]поточний ремонт'!AF224</f>
        <v>0</v>
      </c>
      <c r="AG224" s="5"/>
      <c r="AH224" s="43">
        <f>'[1]поточний ремонт'!AH224+'[2]поточний ремонт'!AH224-'[3]поточний ремонт'!AH224</f>
        <v>547.08186368453232</v>
      </c>
      <c r="AI224" s="43">
        <f>'[1]поточний ремонт'!AI224+'[2]поточний ремонт'!AI224-'[3]поточний ремонт'!AI224</f>
        <v>0</v>
      </c>
      <c r="AJ224" s="5"/>
      <c r="AK224" s="43">
        <f>'[1]поточний ремонт'!AK224+'[2]поточний ремонт'!AK224-'[3]поточний ремонт'!AK224</f>
        <v>498.03729157470104</v>
      </c>
      <c r="AL224" s="43">
        <f>'[1]поточний ремонт'!AL224+'[2]поточний ремонт'!AL224-'[3]поточний ремонт'!AL224</f>
        <v>0</v>
      </c>
      <c r="AM224" s="5"/>
      <c r="AN224" s="43">
        <f>'[1]поточний ремонт'!AN224+'[2]поточний ремонт'!AN224-'[3]поточний ремонт'!AN224</f>
        <v>0</v>
      </c>
      <c r="AO224" s="43">
        <f>'[1]поточний ремонт'!AO224+'[2]поточний ремонт'!AO224-'[3]поточний ремонт'!AO224</f>
        <v>0</v>
      </c>
      <c r="AP224" s="5"/>
      <c r="AQ224" s="43">
        <f>'[1]поточний ремонт'!AQ224+'[2]поточний ремонт'!AQ224-'[3]поточний ремонт'!AQ224</f>
        <v>0</v>
      </c>
      <c r="AR224" s="43">
        <f>'[1]поточний ремонт'!AR224+'[2]поточний ремонт'!AR224-'[3]поточний ремонт'!AR224</f>
        <v>0</v>
      </c>
      <c r="AS224" s="5"/>
      <c r="AT224" s="43">
        <f>'[1]поточний ремонт'!AT224+'[2]поточний ремонт'!AT224-'[3]поточний ремонт'!AT224</f>
        <v>86.286321688121376</v>
      </c>
      <c r="AU224" s="43">
        <f>'[1]поточний ремонт'!AU224+'[2]поточний ремонт'!AU224-'[3]поточний ремонт'!AU224</f>
        <v>0</v>
      </c>
      <c r="AV224" s="9"/>
      <c r="AW224" s="43">
        <f>'[1]поточний ремонт'!AW224+'[2]поточний ремонт'!AW224-'[3]поточний ремонт'!AW224</f>
        <v>0</v>
      </c>
      <c r="AX224" s="43">
        <f>'[1]поточний ремонт'!AX224+'[2]поточний ремонт'!AX224-'[3]поточний ремонт'!AX224</f>
        <v>0</v>
      </c>
      <c r="AY224" s="5"/>
      <c r="AZ224" s="43">
        <f t="shared" si="26"/>
        <v>1627.4117633948467</v>
      </c>
      <c r="BA224" s="43">
        <f t="shared" si="27"/>
        <v>0</v>
      </c>
      <c r="BB224" s="59">
        <f t="shared" si="28"/>
        <v>-1627.4117633948467</v>
      </c>
      <c r="BD224" s="2">
        <v>2</v>
      </c>
      <c r="BF224" s="30">
        <v>1.1141300821442983</v>
      </c>
      <c r="BG224" s="328">
        <v>150001047</v>
      </c>
      <c r="BI224" s="107">
        <v>0</v>
      </c>
      <c r="BJ224" s="107">
        <f t="shared" si="29"/>
        <v>0</v>
      </c>
      <c r="BK224" s="107">
        <v>0</v>
      </c>
      <c r="BL224" s="39"/>
      <c r="BM224" s="3"/>
      <c r="BN224" s="3">
        <v>0</v>
      </c>
      <c r="BP224" s="3"/>
      <c r="BQ224" s="3"/>
      <c r="BS224" s="43"/>
      <c r="BT224" s="43">
        <v>0</v>
      </c>
      <c r="BU224" s="1037"/>
      <c r="BV224" s="42"/>
      <c r="BW224" s="43"/>
      <c r="BX224" s="37"/>
      <c r="BY224" s="78"/>
      <c r="BZ224" s="43">
        <v>0</v>
      </c>
      <c r="CA224" s="1038"/>
      <c r="CB224" s="42"/>
      <c r="CC224" s="42">
        <v>0</v>
      </c>
      <c r="CD224" s="1039"/>
      <c r="CE224" s="78">
        <v>0</v>
      </c>
      <c r="CF224" s="56"/>
      <c r="CG224" s="42">
        <v>0</v>
      </c>
      <c r="CH224" s="39">
        <v>0</v>
      </c>
      <c r="CI224" s="78">
        <v>0</v>
      </c>
      <c r="CJ224" s="56"/>
      <c r="CK224" s="1034"/>
      <c r="CL224" s="1029"/>
      <c r="CM224" s="1034"/>
      <c r="CN224" s="1029">
        <v>0</v>
      </c>
      <c r="CO224" s="78">
        <v>41.333857203957649</v>
      </c>
      <c r="CP224" s="43">
        <v>0</v>
      </c>
      <c r="CQ224" s="5"/>
      <c r="CR224" s="78">
        <v>45.590155307044348</v>
      </c>
      <c r="CS224" s="1033">
        <v>0</v>
      </c>
      <c r="CT224" s="5"/>
      <c r="CU224" s="78">
        <v>41.503107631225085</v>
      </c>
      <c r="CV224" s="43">
        <v>0</v>
      </c>
      <c r="CW224" s="5"/>
      <c r="CX224" s="78">
        <v>0</v>
      </c>
      <c r="CY224" s="43">
        <v>0</v>
      </c>
      <c r="CZ224" s="5"/>
      <c r="DA224" s="78">
        <v>0</v>
      </c>
      <c r="DB224" s="43">
        <v>0</v>
      </c>
      <c r="DC224" s="5"/>
      <c r="DD224" s="78">
        <v>7.1905268073434492</v>
      </c>
      <c r="DE224" s="43">
        <v>0</v>
      </c>
      <c r="DF224" s="9"/>
      <c r="DG224" s="78">
        <v>0</v>
      </c>
      <c r="DH224" s="43"/>
      <c r="DI224" s="5"/>
      <c r="DJ224" s="43">
        <v>135.61764694957051</v>
      </c>
      <c r="DK224" s="43">
        <f t="shared" si="30"/>
        <v>0</v>
      </c>
      <c r="DL224" s="59">
        <f t="shared" si="31"/>
        <v>-135.61764694957051</v>
      </c>
    </row>
    <row r="225" spans="1:116" ht="24.9" customHeight="1" x14ac:dyDescent="0.3">
      <c r="A225" s="328">
        <v>150001048</v>
      </c>
      <c r="B225" s="45" t="s">
        <v>125</v>
      </c>
      <c r="C225" s="1035">
        <v>1</v>
      </c>
      <c r="D225" s="1036" t="s">
        <v>454</v>
      </c>
      <c r="E225" s="1028">
        <f>'побудинковий звіт'!E223</f>
        <v>140.69999999999999</v>
      </c>
      <c r="F225" s="1029">
        <f>'побудинковий звіт'!AS223</f>
        <v>1131.4896348573834</v>
      </c>
      <c r="G225" s="1029">
        <f t="shared" si="24"/>
        <v>0</v>
      </c>
      <c r="H225" s="1029">
        <f t="shared" si="25"/>
        <v>-1131.4896348573834</v>
      </c>
      <c r="I225" s="43">
        <f>'[1]поточний ремонт'!I225+'[2]поточний ремонт'!I225-'[3]поточний ремонт'!I225</f>
        <v>0</v>
      </c>
      <c r="J225" s="43">
        <f>'[1]поточний ремонт'!J225+'[2]поточний ремонт'!J225-'[3]поточний ремонт'!J225</f>
        <v>0</v>
      </c>
      <c r="K225" s="1037"/>
      <c r="L225" s="43">
        <f>'[1]поточний ремонт'!L225+'[2]поточний ремонт'!L225-'[3]поточний ремонт'!L225</f>
        <v>0</v>
      </c>
      <c r="M225" s="43">
        <f>'[1]поточний ремонт'!M225+'[2]поточний ремонт'!M225-'[3]поточний ремонт'!M225</f>
        <v>0</v>
      </c>
      <c r="N225" s="37"/>
      <c r="O225" s="43">
        <f>'[1]поточний ремонт'!O225+'[2]поточний ремонт'!O225-'[3]поточний ремонт'!O225</f>
        <v>0</v>
      </c>
      <c r="P225" s="43">
        <f>'[1]поточний ремонт'!P225+'[2]поточний ремонт'!P225-'[3]поточний ремонт'!P225</f>
        <v>0</v>
      </c>
      <c r="Q225" s="1038"/>
      <c r="R225" s="43">
        <f>'[1]поточний ремонт'!R225+'[2]поточний ремонт'!R225-'[3]поточний ремонт'!R225</f>
        <v>0</v>
      </c>
      <c r="S225" s="43">
        <f>'[1]поточний ремонт'!S225+'[2]поточний ремонт'!S225-'[3]поточний ремонт'!S225</f>
        <v>0</v>
      </c>
      <c r="T225" s="1039"/>
      <c r="U225" s="43">
        <f>'[1]поточний ремонт'!U225+'[2]поточний ремонт'!U225-'[3]поточний ремонт'!U225</f>
        <v>0</v>
      </c>
      <c r="V225" s="43">
        <f>'[1]поточний ремонт'!V225+'[2]поточний ремонт'!V225-'[3]поточний ремонт'!V225</f>
        <v>0</v>
      </c>
      <c r="W225" s="43">
        <f>'[1]поточний ремонт'!W225+'[2]поточний ремонт'!W225-'[3]поточний ремонт'!W225</f>
        <v>0</v>
      </c>
      <c r="X225" s="43">
        <f>'[1]поточний ремонт'!X225+'[2]поточний ремонт'!X225-'[3]поточний ремонт'!X225</f>
        <v>0</v>
      </c>
      <c r="Y225" s="43">
        <f>'[1]поточний ремонт'!Y225+'[2]поточний ремонт'!Y225-'[3]поточний ремонт'!Y225</f>
        <v>0</v>
      </c>
      <c r="Z225" s="43">
        <f>'[1]поточний ремонт'!Z225+'[2]поточний ремонт'!Z225-'[3]поточний ремонт'!Z225</f>
        <v>0</v>
      </c>
      <c r="AA225" s="43">
        <f>'[1]поточний ремонт'!AA225+'[2]поточний ремонт'!AA225-'[3]поточний ремонт'!AA225</f>
        <v>0</v>
      </c>
      <c r="AB225" s="43">
        <f>'[1]поточний ремонт'!AB225+'[2]поточний ремонт'!AB225-'[3]поточний ремонт'!AB225</f>
        <v>0</v>
      </c>
      <c r="AC225" s="43">
        <f>'[1]поточний ремонт'!AC225+'[2]поточний ремонт'!AC225-'[3]поточний ремонт'!AC225</f>
        <v>0</v>
      </c>
      <c r="AD225" s="43">
        <f>'[1]поточний ремонт'!AD225+'[2]поточний ремонт'!AD225-'[3]поточний ремонт'!AD225</f>
        <v>0</v>
      </c>
      <c r="AE225" s="43">
        <f>'[1]поточний ремонт'!AE225+'[2]поточний ремонт'!AE225-'[3]поточний ремонт'!AE225</f>
        <v>0</v>
      </c>
      <c r="AF225" s="43">
        <f>'[1]поточний ремонт'!AF225+'[2]поточний ремонт'!AF225-'[3]поточний ремонт'!AF225</f>
        <v>0</v>
      </c>
      <c r="AG225" s="5"/>
      <c r="AH225" s="43">
        <f>'[1]поточний ремонт'!AH225+'[2]поточний ремонт'!AH225-'[3]поточний ремонт'!AH225</f>
        <v>0</v>
      </c>
      <c r="AI225" s="43">
        <f>'[1]поточний ремонт'!AI225+'[2]поточний ремонт'!AI225-'[3]поточний ремонт'!AI225</f>
        <v>0</v>
      </c>
      <c r="AJ225" s="5"/>
      <c r="AK225" s="43">
        <f>'[1]поточний ремонт'!AK225+'[2]поточний ремонт'!AK225-'[3]поточний ремонт'!AK225</f>
        <v>0</v>
      </c>
      <c r="AL225" s="43">
        <f>'[1]поточний ремонт'!AL225+'[2]поточний ремонт'!AL225-'[3]поточний ремонт'!AL225</f>
        <v>0</v>
      </c>
      <c r="AM225" s="5"/>
      <c r="AN225" s="43">
        <f>'[1]поточний ремонт'!AN225+'[2]поточний ремонт'!AN225-'[3]поточний ремонт'!AN225</f>
        <v>0</v>
      </c>
      <c r="AO225" s="43">
        <f>'[1]поточний ремонт'!AO225+'[2]поточний ремонт'!AO225-'[3]поточний ремонт'!AO225</f>
        <v>0</v>
      </c>
      <c r="AP225" s="5"/>
      <c r="AQ225" s="43">
        <f>'[1]поточний ремонт'!AQ225+'[2]поточний ремонт'!AQ225-'[3]поточний ремонт'!AQ225</f>
        <v>0</v>
      </c>
      <c r="AR225" s="43">
        <f>'[1]поточний ремонт'!AR225+'[2]поточний ремонт'!AR225-'[3]поточний ремонт'!AR225</f>
        <v>0</v>
      </c>
      <c r="AS225" s="5"/>
      <c r="AT225" s="43">
        <f>'[1]поточний ремонт'!AT225+'[2]поточний ремонт'!AT225-'[3]поточний ремонт'!AT225</f>
        <v>0</v>
      </c>
      <c r="AU225" s="43">
        <f>'[1]поточний ремонт'!AU225+'[2]поточний ремонт'!AU225-'[3]поточний ремонт'!AU225</f>
        <v>0</v>
      </c>
      <c r="AV225" s="5"/>
      <c r="AW225" s="43">
        <f>'[1]поточний ремонт'!AW225+'[2]поточний ремонт'!AW225-'[3]поточний ремонт'!AW225</f>
        <v>0</v>
      </c>
      <c r="AX225" s="43">
        <f>'[1]поточний ремонт'!AX225+'[2]поточний ремонт'!AX225-'[3]поточний ремонт'!AX225</f>
        <v>0</v>
      </c>
      <c r="AY225" s="5"/>
      <c r="AZ225" s="43">
        <f t="shared" si="26"/>
        <v>0</v>
      </c>
      <c r="BA225" s="43">
        <f t="shared" si="27"/>
        <v>0</v>
      </c>
      <c r="BB225" s="59">
        <f t="shared" si="28"/>
        <v>0</v>
      </c>
      <c r="BD225" s="2">
        <v>2</v>
      </c>
      <c r="BF225" s="30">
        <v>0</v>
      </c>
      <c r="BG225" s="328">
        <v>150001048</v>
      </c>
      <c r="BI225" s="107">
        <v>0</v>
      </c>
      <c r="BJ225" s="107">
        <f t="shared" si="29"/>
        <v>0</v>
      </c>
      <c r="BK225" s="107">
        <v>0</v>
      </c>
      <c r="BL225" s="39"/>
      <c r="BM225" s="3"/>
      <c r="BN225" s="3">
        <v>0</v>
      </c>
      <c r="BP225" s="3"/>
      <c r="BQ225" s="3"/>
      <c r="BS225" s="43"/>
      <c r="BT225" s="43">
        <v>0</v>
      </c>
      <c r="BU225" s="1037"/>
      <c r="BV225" s="42"/>
      <c r="BW225" s="43"/>
      <c r="BX225" s="37"/>
      <c r="BY225" s="78"/>
      <c r="BZ225" s="43">
        <v>0</v>
      </c>
      <c r="CA225" s="1038"/>
      <c r="CB225" s="42"/>
      <c r="CC225" s="42">
        <v>0</v>
      </c>
      <c r="CD225" s="1039"/>
      <c r="CE225" s="78">
        <v>0</v>
      </c>
      <c r="CF225" s="56"/>
      <c r="CG225" s="42">
        <v>0</v>
      </c>
      <c r="CH225" s="39">
        <v>0</v>
      </c>
      <c r="CI225" s="78">
        <v>0</v>
      </c>
      <c r="CJ225" s="56"/>
      <c r="CK225" s="1034"/>
      <c r="CL225" s="1029"/>
      <c r="CM225" s="1034"/>
      <c r="CN225" s="1029">
        <v>0</v>
      </c>
      <c r="CO225" s="78">
        <v>0</v>
      </c>
      <c r="CP225" s="43">
        <v>0</v>
      </c>
      <c r="CQ225" s="5"/>
      <c r="CR225" s="78">
        <v>0</v>
      </c>
      <c r="CS225" s="1033">
        <v>0</v>
      </c>
      <c r="CT225" s="5"/>
      <c r="CU225" s="78">
        <v>0</v>
      </c>
      <c r="CV225" s="43">
        <v>0</v>
      </c>
      <c r="CW225" s="5"/>
      <c r="CX225" s="78">
        <v>0</v>
      </c>
      <c r="CY225" s="43">
        <v>0</v>
      </c>
      <c r="CZ225" s="5"/>
      <c r="DA225" s="78">
        <v>0</v>
      </c>
      <c r="DB225" s="43">
        <v>0</v>
      </c>
      <c r="DC225" s="5"/>
      <c r="DD225" s="78">
        <v>0</v>
      </c>
      <c r="DE225" s="43">
        <v>0</v>
      </c>
      <c r="DF225" s="5"/>
      <c r="DG225" s="78">
        <v>0</v>
      </c>
      <c r="DH225" s="43"/>
      <c r="DI225" s="5"/>
      <c r="DJ225" s="43">
        <v>0</v>
      </c>
      <c r="DK225" s="43">
        <f t="shared" si="30"/>
        <v>0</v>
      </c>
      <c r="DL225" s="59">
        <f t="shared" si="31"/>
        <v>0</v>
      </c>
    </row>
    <row r="226" spans="1:116" ht="24.9" customHeight="1" x14ac:dyDescent="0.3">
      <c r="A226" s="328">
        <v>150001049</v>
      </c>
      <c r="B226" s="45" t="s">
        <v>180</v>
      </c>
      <c r="C226" s="1035">
        <v>2</v>
      </c>
      <c r="D226" s="1036" t="s">
        <v>454</v>
      </c>
      <c r="E226" s="1028">
        <f>'побудинковий звіт'!E224</f>
        <v>6677.85</v>
      </c>
      <c r="F226" s="1029">
        <f>'побудинковий звіт'!AS224</f>
        <v>3602.1924818801854</v>
      </c>
      <c r="G226" s="1029">
        <f t="shared" si="24"/>
        <v>0</v>
      </c>
      <c r="H226" s="1029">
        <f t="shared" si="25"/>
        <v>-3602.1924818801854</v>
      </c>
      <c r="I226" s="43">
        <f>'[1]поточний ремонт'!I226+'[2]поточний ремонт'!I226-'[3]поточний ремонт'!I226</f>
        <v>0</v>
      </c>
      <c r="J226" s="43">
        <f>'[1]поточний ремонт'!J226+'[2]поточний ремонт'!J226-'[3]поточний ремонт'!J226</f>
        <v>0</v>
      </c>
      <c r="K226" s="1037"/>
      <c r="L226" s="43">
        <f>'[1]поточний ремонт'!L226+'[2]поточний ремонт'!L226-'[3]поточний ремонт'!L226</f>
        <v>0</v>
      </c>
      <c r="M226" s="43">
        <f>'[1]поточний ремонт'!M226+'[2]поточний ремонт'!M226-'[3]поточний ремонт'!M226</f>
        <v>0</v>
      </c>
      <c r="N226" s="37"/>
      <c r="O226" s="43">
        <f>'[1]поточний ремонт'!O226+'[2]поточний ремонт'!O226-'[3]поточний ремонт'!O226</f>
        <v>0</v>
      </c>
      <c r="P226" s="43">
        <f>'[1]поточний ремонт'!P226+'[2]поточний ремонт'!P226-'[3]поточний ремонт'!P226</f>
        <v>0</v>
      </c>
      <c r="Q226" s="1038"/>
      <c r="R226" s="43">
        <f>'[1]поточний ремонт'!R226+'[2]поточний ремонт'!R226-'[3]поточний ремонт'!R226</f>
        <v>0</v>
      </c>
      <c r="S226" s="43">
        <f>'[1]поточний ремонт'!S226+'[2]поточний ремонт'!S226-'[3]поточний ремонт'!S226</f>
        <v>0</v>
      </c>
      <c r="T226" s="1039"/>
      <c r="U226" s="43">
        <f>'[1]поточний ремонт'!U226+'[2]поточний ремонт'!U226-'[3]поточний ремонт'!U226</f>
        <v>0</v>
      </c>
      <c r="V226" s="43">
        <f>'[1]поточний ремонт'!V226+'[2]поточний ремонт'!V226-'[3]поточний ремонт'!V226</f>
        <v>0</v>
      </c>
      <c r="W226" s="43">
        <f>'[1]поточний ремонт'!W226+'[2]поточний ремонт'!W226-'[3]поточний ремонт'!W226</f>
        <v>0</v>
      </c>
      <c r="X226" s="43">
        <f>'[1]поточний ремонт'!X226+'[2]поточний ремонт'!X226-'[3]поточний ремонт'!X226</f>
        <v>0</v>
      </c>
      <c r="Y226" s="43">
        <f>'[1]поточний ремонт'!Y226+'[2]поточний ремонт'!Y226-'[3]поточний ремонт'!Y226</f>
        <v>0</v>
      </c>
      <c r="Z226" s="43">
        <f>'[1]поточний ремонт'!Z226+'[2]поточний ремонт'!Z226-'[3]поточний ремонт'!Z226</f>
        <v>0</v>
      </c>
      <c r="AA226" s="43">
        <f>'[1]поточний ремонт'!AA226+'[2]поточний ремонт'!AA226-'[3]поточний ремонт'!AA226</f>
        <v>0</v>
      </c>
      <c r="AB226" s="43">
        <f>'[1]поточний ремонт'!AB226+'[2]поточний ремонт'!AB226-'[3]поточний ремонт'!AB226</f>
        <v>0</v>
      </c>
      <c r="AC226" s="43">
        <f>'[1]поточний ремонт'!AC226+'[2]поточний ремонт'!AC226-'[3]поточний ремонт'!AC226</f>
        <v>0</v>
      </c>
      <c r="AD226" s="43">
        <f>'[1]поточний ремонт'!AD226+'[2]поточний ремонт'!AD226-'[3]поточний ремонт'!AD226</f>
        <v>0</v>
      </c>
      <c r="AE226" s="43">
        <f>'[1]поточний ремонт'!AE226+'[2]поточний ремонт'!AE226-'[3]поточний ремонт'!AE226</f>
        <v>257.68528249792439</v>
      </c>
      <c r="AF226" s="43">
        <f>'[1]поточний ремонт'!AF226+'[2]поточний ремонт'!AF226-'[3]поточний ремонт'!AF226</f>
        <v>0</v>
      </c>
      <c r="AG226" s="5"/>
      <c r="AH226" s="43">
        <f>'[1]поточний ремонт'!AH226+'[2]поточний ремонт'!AH226-'[3]поточний ремонт'!AH226</f>
        <v>299.20814551574625</v>
      </c>
      <c r="AI226" s="43">
        <f>'[1]поточний ремонт'!AI226+'[2]поточний ремонт'!AI226-'[3]поточний ремонт'!AI226</f>
        <v>0</v>
      </c>
      <c r="AJ226" s="5"/>
      <c r="AK226" s="43">
        <f>'[1]поточний ремонт'!AK226+'[2]поточний ремонт'!AK226-'[3]поточний ремонт'!AK226</f>
        <v>0</v>
      </c>
      <c r="AL226" s="43">
        <f>'[1]поточний ремонт'!AL226+'[2]поточний ремонт'!AL226-'[3]поточний ремонт'!AL226</f>
        <v>0</v>
      </c>
      <c r="AM226" s="5"/>
      <c r="AN226" s="43">
        <f>'[1]поточний ремонт'!AN226+'[2]поточний ремонт'!AN226-'[3]поточний ремонт'!AN226</f>
        <v>0</v>
      </c>
      <c r="AO226" s="43">
        <f>'[1]поточний ремонт'!AO226+'[2]поточний ремонт'!AO226-'[3]поточний ремонт'!AO226</f>
        <v>0</v>
      </c>
      <c r="AP226" s="5"/>
      <c r="AQ226" s="43">
        <f>'[1]поточний ремонт'!AQ226+'[2]поточний ремонт'!AQ226-'[3]поточний ремонт'!AQ226</f>
        <v>0</v>
      </c>
      <c r="AR226" s="43">
        <f>'[1]поточний ремонт'!AR226+'[2]поточний ремонт'!AR226-'[3]поточний ремонт'!AR226</f>
        <v>0</v>
      </c>
      <c r="AS226" s="5"/>
      <c r="AT226" s="43">
        <f>'[1]поточний ремонт'!AT226+'[2]поточний ремонт'!AT226-'[3]поточний ремонт'!AT226</f>
        <v>59.168446210100242</v>
      </c>
      <c r="AU226" s="43">
        <f>'[1]поточний ремонт'!AU226+'[2]поточний ремонт'!AU226-'[3]поточний ремонт'!AU226</f>
        <v>0</v>
      </c>
      <c r="AV226" s="5"/>
      <c r="AW226" s="43">
        <f>'[1]поточний ремонт'!AW226+'[2]поточний ремонт'!AW226-'[3]поточний ремонт'!AW226</f>
        <v>0</v>
      </c>
      <c r="AX226" s="43">
        <f>'[1]поточний ремонт'!AX226+'[2]поточний ремонт'!AX226-'[3]поточний ремонт'!AX226</f>
        <v>0</v>
      </c>
      <c r="AY226" s="5"/>
      <c r="AZ226" s="43">
        <f t="shared" si="26"/>
        <v>616.06187422377093</v>
      </c>
      <c r="BA226" s="43">
        <f t="shared" si="27"/>
        <v>0</v>
      </c>
      <c r="BB226" s="59">
        <f t="shared" si="28"/>
        <v>-616.06187422377093</v>
      </c>
      <c r="BD226" s="2">
        <v>2</v>
      </c>
      <c r="BF226" s="30">
        <v>0.37054417461754363</v>
      </c>
      <c r="BG226" s="328">
        <v>150001049</v>
      </c>
      <c r="BI226" s="107">
        <v>0</v>
      </c>
      <c r="BJ226" s="107">
        <f t="shared" si="29"/>
        <v>0</v>
      </c>
      <c r="BK226" s="107">
        <v>0</v>
      </c>
      <c r="BL226" s="39"/>
      <c r="BM226" s="3"/>
      <c r="BN226" s="3">
        <v>0</v>
      </c>
      <c r="BP226" s="3"/>
      <c r="BQ226" s="3"/>
      <c r="BS226" s="43"/>
      <c r="BT226" s="43">
        <v>0</v>
      </c>
      <c r="BU226" s="1037"/>
      <c r="BV226" s="42"/>
      <c r="BW226" s="43"/>
      <c r="BX226" s="37"/>
      <c r="BY226" s="78"/>
      <c r="BZ226" s="43">
        <v>0</v>
      </c>
      <c r="CA226" s="1038"/>
      <c r="CB226" s="42"/>
      <c r="CC226" s="42">
        <v>0</v>
      </c>
      <c r="CD226" s="1039"/>
      <c r="CE226" s="78">
        <v>0</v>
      </c>
      <c r="CF226" s="56"/>
      <c r="CG226" s="42">
        <v>0</v>
      </c>
      <c r="CH226" s="39">
        <v>0</v>
      </c>
      <c r="CI226" s="78">
        <v>0</v>
      </c>
      <c r="CJ226" s="56"/>
      <c r="CK226" s="1034"/>
      <c r="CL226" s="1029"/>
      <c r="CM226" s="1034"/>
      <c r="CN226" s="1029">
        <v>0</v>
      </c>
      <c r="CO226" s="78">
        <v>21.473773541493699</v>
      </c>
      <c r="CP226" s="43">
        <v>0</v>
      </c>
      <c r="CQ226" s="5"/>
      <c r="CR226" s="78">
        <v>24.93401212631219</v>
      </c>
      <c r="CS226" s="1033">
        <v>0</v>
      </c>
      <c r="CT226" s="5"/>
      <c r="CU226" s="78">
        <v>0</v>
      </c>
      <c r="CV226" s="43">
        <v>0</v>
      </c>
      <c r="CW226" s="5"/>
      <c r="CX226" s="78">
        <v>0</v>
      </c>
      <c r="CY226" s="43">
        <v>0</v>
      </c>
      <c r="CZ226" s="5"/>
      <c r="DA226" s="78">
        <v>0</v>
      </c>
      <c r="DB226" s="43">
        <v>0</v>
      </c>
      <c r="DC226" s="5"/>
      <c r="DD226" s="78">
        <v>4.9307038508416863</v>
      </c>
      <c r="DE226" s="43">
        <v>0</v>
      </c>
      <c r="DF226" s="5"/>
      <c r="DG226" s="78">
        <v>0</v>
      </c>
      <c r="DH226" s="43"/>
      <c r="DI226" s="5"/>
      <c r="DJ226" s="43">
        <v>51.338489518647577</v>
      </c>
      <c r="DK226" s="43">
        <f t="shared" si="30"/>
        <v>0</v>
      </c>
      <c r="DL226" s="59">
        <f t="shared" si="31"/>
        <v>-51.338489518647577</v>
      </c>
    </row>
    <row r="227" spans="1:116" ht="24.9" customHeight="1" x14ac:dyDescent="0.3">
      <c r="A227" s="328">
        <v>150001041</v>
      </c>
      <c r="B227" s="45" t="s">
        <v>196</v>
      </c>
      <c r="C227" s="1035">
        <v>3</v>
      </c>
      <c r="D227" s="1036" t="s">
        <v>454</v>
      </c>
      <c r="E227" s="1028">
        <f>'побудинковий звіт'!E225</f>
        <v>3267.3</v>
      </c>
      <c r="F227" s="1029">
        <f>'побудинковий звіт'!AS225</f>
        <v>8257.3594598138716</v>
      </c>
      <c r="G227" s="1029">
        <f t="shared" si="24"/>
        <v>0</v>
      </c>
      <c r="H227" s="1029">
        <f t="shared" si="25"/>
        <v>-8257.3594598138716</v>
      </c>
      <c r="I227" s="43">
        <f>'[1]поточний ремонт'!I227+'[2]поточний ремонт'!I227-'[3]поточний ремонт'!I227</f>
        <v>0</v>
      </c>
      <c r="J227" s="43">
        <f>'[1]поточний ремонт'!J227+'[2]поточний ремонт'!J227-'[3]поточний ремонт'!J227</f>
        <v>0</v>
      </c>
      <c r="K227" s="1037"/>
      <c r="L227" s="43">
        <f>'[1]поточний ремонт'!L227+'[2]поточний ремонт'!L227-'[3]поточний ремонт'!L227</f>
        <v>0</v>
      </c>
      <c r="M227" s="43">
        <f>'[1]поточний ремонт'!M227+'[2]поточний ремонт'!M227-'[3]поточний ремонт'!M227</f>
        <v>0</v>
      </c>
      <c r="N227" s="37"/>
      <c r="O227" s="43">
        <f>'[1]поточний ремонт'!O227+'[2]поточний ремонт'!O227-'[3]поточний ремонт'!O227</f>
        <v>0</v>
      </c>
      <c r="P227" s="43">
        <f>'[1]поточний ремонт'!P227+'[2]поточний ремонт'!P227-'[3]поточний ремонт'!P227</f>
        <v>0</v>
      </c>
      <c r="Q227" s="1038"/>
      <c r="R227" s="43">
        <f>'[1]поточний ремонт'!R227+'[2]поточний ремонт'!R227-'[3]поточний ремонт'!R227</f>
        <v>0</v>
      </c>
      <c r="S227" s="43">
        <f>'[1]поточний ремонт'!S227+'[2]поточний ремонт'!S227-'[3]поточний ремонт'!S227</f>
        <v>0</v>
      </c>
      <c r="T227" s="1039"/>
      <c r="U227" s="43">
        <f>'[1]поточний ремонт'!U227+'[2]поточний ремонт'!U227-'[3]поточний ремонт'!U227</f>
        <v>0</v>
      </c>
      <c r="V227" s="43">
        <f>'[1]поточний ремонт'!V227+'[2]поточний ремонт'!V227-'[3]поточний ремонт'!V227</f>
        <v>0</v>
      </c>
      <c r="W227" s="43">
        <f>'[1]поточний ремонт'!W227+'[2]поточний ремонт'!W227-'[3]поточний ремонт'!W227</f>
        <v>0</v>
      </c>
      <c r="X227" s="43">
        <f>'[1]поточний ремонт'!X227+'[2]поточний ремонт'!X227-'[3]поточний ремонт'!X227</f>
        <v>0</v>
      </c>
      <c r="Y227" s="43">
        <f>'[1]поточний ремонт'!Y227+'[2]поточний ремонт'!Y227-'[3]поточний ремонт'!Y227</f>
        <v>0</v>
      </c>
      <c r="Z227" s="43">
        <f>'[1]поточний ремонт'!Z227+'[2]поточний ремонт'!Z227-'[3]поточний ремонт'!Z227</f>
        <v>0</v>
      </c>
      <c r="AA227" s="43">
        <f>'[1]поточний ремонт'!AA227+'[2]поточний ремонт'!AA227-'[3]поточний ремонт'!AA227</f>
        <v>0</v>
      </c>
      <c r="AB227" s="43">
        <f>'[1]поточний ремонт'!AB227+'[2]поточний ремонт'!AB227-'[3]поточний ремонт'!AB227</f>
        <v>0</v>
      </c>
      <c r="AC227" s="43">
        <f>'[1]поточний ремонт'!AC227+'[2]поточний ремонт'!AC227-'[3]поточний ремонт'!AC227</f>
        <v>0</v>
      </c>
      <c r="AD227" s="43">
        <f>'[1]поточний ремонт'!AD227+'[2]поточний ремонт'!AD227-'[3]поточний ремонт'!AD227</f>
        <v>0</v>
      </c>
      <c r="AE227" s="43">
        <f>'[1]поточний ремонт'!AE227+'[2]поточний ремонт'!AE227-'[3]поточний ремонт'!AE227</f>
        <v>446.40561436294365</v>
      </c>
      <c r="AF227" s="43">
        <f>'[1]поточний ремонт'!AF227+'[2]поточний ремонт'!AF227-'[3]поточний ремонт'!AF227</f>
        <v>0</v>
      </c>
      <c r="AG227" s="5"/>
      <c r="AH227" s="43">
        <f>'[1]поточний ремонт'!AH227+'[2]поточний ремонт'!AH227-'[3]поточний ремонт'!AH227</f>
        <v>475.41207312616251</v>
      </c>
      <c r="AI227" s="43">
        <f>'[1]поточний ремонт'!AI227+'[2]поточний ремонт'!AI227-'[3]поточний ремонт'!AI227</f>
        <v>0</v>
      </c>
      <c r="AJ227" s="5"/>
      <c r="AK227" s="43">
        <f>'[1]поточний ремонт'!AK227+'[2]поточний ремонт'!AK227-'[3]поточний ремонт'!AK227</f>
        <v>409.68558631223772</v>
      </c>
      <c r="AL227" s="43">
        <f>'[1]поточний ремонт'!AL227+'[2]поточний ремонт'!AL227-'[3]поточний ремонт'!AL227</f>
        <v>0</v>
      </c>
      <c r="AM227" s="5"/>
      <c r="AN227" s="43">
        <f>'[1]поточний ремонт'!AN227+'[2]поточний ремонт'!AN227-'[3]поточний ремонт'!AN227</f>
        <v>0</v>
      </c>
      <c r="AO227" s="43">
        <f>'[1]поточний ремонт'!AO227+'[2]поточний ремонт'!AO227-'[3]поточний ремонт'!AO227</f>
        <v>0</v>
      </c>
      <c r="AP227" s="5"/>
      <c r="AQ227" s="43">
        <f>'[1]поточний ремонт'!AQ227+'[2]поточний ремонт'!AQ227-'[3]поточний ремонт'!AQ227</f>
        <v>0</v>
      </c>
      <c r="AR227" s="43">
        <f>'[1]поточний ремонт'!AR227+'[2]поточний ремонт'!AR227-'[3]поточний ремонт'!AR227</f>
        <v>0</v>
      </c>
      <c r="AS227" s="5"/>
      <c r="AT227" s="43">
        <f>'[1]поточний ремонт'!AT227+'[2]поточний ремонт'!AT227-'[3]поточний ремонт'!AT227</f>
        <v>88.461351592753303</v>
      </c>
      <c r="AU227" s="43">
        <f>'[1]поточний ремонт'!AU227+'[2]поточний ремонт'!AU227-'[3]поточний ремонт'!AU227</f>
        <v>0</v>
      </c>
      <c r="AV227" s="5"/>
      <c r="AW227" s="43">
        <f>'[1]поточний ремонт'!AW227+'[2]поточний ремонт'!AW227-'[3]поточний ремонт'!AW227</f>
        <v>0</v>
      </c>
      <c r="AX227" s="43">
        <f>'[1]поточний ремонт'!AX227+'[2]поточний ремонт'!AX227-'[3]поточний ремонт'!AX227</f>
        <v>0</v>
      </c>
      <c r="AY227" s="5"/>
      <c r="AZ227" s="43">
        <f t="shared" si="26"/>
        <v>1419.9646253940973</v>
      </c>
      <c r="BA227" s="43">
        <f t="shared" si="27"/>
        <v>0</v>
      </c>
      <c r="BB227" s="59">
        <f t="shared" si="28"/>
        <v>-1419.9646253940973</v>
      </c>
      <c r="BD227" s="2">
        <v>2</v>
      </c>
      <c r="BF227" s="30">
        <v>0.87838102725656575</v>
      </c>
      <c r="BG227" s="328">
        <v>150001041</v>
      </c>
      <c r="BI227" s="107">
        <v>0</v>
      </c>
      <c r="BJ227" s="107">
        <f t="shared" si="29"/>
        <v>0</v>
      </c>
      <c r="BK227" s="107">
        <v>0</v>
      </c>
      <c r="BL227" s="39"/>
      <c r="BM227" s="3"/>
      <c r="BN227" s="3">
        <v>0</v>
      </c>
      <c r="BP227" s="3"/>
      <c r="BQ227" s="3"/>
      <c r="BS227" s="43"/>
      <c r="BT227" s="43">
        <v>0</v>
      </c>
      <c r="BU227" s="1037"/>
      <c r="BV227" s="42"/>
      <c r="BW227" s="43"/>
      <c r="BX227" s="37"/>
      <c r="BY227" s="78"/>
      <c r="BZ227" s="43">
        <v>0</v>
      </c>
      <c r="CA227" s="1038"/>
      <c r="CB227" s="42"/>
      <c r="CC227" s="42">
        <v>0</v>
      </c>
      <c r="CD227" s="1039"/>
      <c r="CE227" s="78">
        <v>0</v>
      </c>
      <c r="CF227" s="56"/>
      <c r="CG227" s="42">
        <v>0</v>
      </c>
      <c r="CH227" s="39">
        <v>0</v>
      </c>
      <c r="CI227" s="78">
        <v>0</v>
      </c>
      <c r="CJ227" s="56"/>
      <c r="CK227" s="1034"/>
      <c r="CL227" s="1029"/>
      <c r="CM227" s="1034"/>
      <c r="CN227" s="1029">
        <v>0</v>
      </c>
      <c r="CO227" s="78">
        <v>37.200467863578638</v>
      </c>
      <c r="CP227" s="43">
        <v>0</v>
      </c>
      <c r="CQ227" s="5"/>
      <c r="CR227" s="78">
        <v>39.617672760513557</v>
      </c>
      <c r="CS227" s="1033">
        <v>0</v>
      </c>
      <c r="CT227" s="5"/>
      <c r="CU227" s="78">
        <v>34.140465526019817</v>
      </c>
      <c r="CV227" s="43">
        <v>0</v>
      </c>
      <c r="CW227" s="5"/>
      <c r="CX227" s="78">
        <v>0</v>
      </c>
      <c r="CY227" s="43">
        <v>0</v>
      </c>
      <c r="CZ227" s="5"/>
      <c r="DA227" s="78">
        <v>0</v>
      </c>
      <c r="DB227" s="43">
        <v>0</v>
      </c>
      <c r="DC227" s="5"/>
      <c r="DD227" s="78">
        <v>7.3717792993961071</v>
      </c>
      <c r="DE227" s="43">
        <v>0</v>
      </c>
      <c r="DF227" s="5"/>
      <c r="DG227" s="78">
        <v>0</v>
      </c>
      <c r="DH227" s="43"/>
      <c r="DI227" s="5"/>
      <c r="DJ227" s="43">
        <v>118.33038544950813</v>
      </c>
      <c r="DK227" s="43">
        <f t="shared" si="30"/>
        <v>0</v>
      </c>
      <c r="DL227" s="59">
        <f t="shared" si="31"/>
        <v>-118.33038544950813</v>
      </c>
    </row>
    <row r="228" spans="1:116" ht="24.9" customHeight="1" x14ac:dyDescent="0.3">
      <c r="A228" s="328">
        <v>150001042</v>
      </c>
      <c r="B228" s="45" t="s">
        <v>181</v>
      </c>
      <c r="C228" s="1035">
        <v>2</v>
      </c>
      <c r="D228" s="1036" t="s">
        <v>454</v>
      </c>
      <c r="E228" s="1028">
        <f>'побудинковий звіт'!E226</f>
        <v>6615</v>
      </c>
      <c r="F228" s="1029">
        <f>'побудинковий звіт'!AS226</f>
        <v>4947.2418703101212</v>
      </c>
      <c r="G228" s="1029">
        <f t="shared" si="24"/>
        <v>0</v>
      </c>
      <c r="H228" s="1029">
        <f t="shared" si="25"/>
        <v>-4947.2418703101212</v>
      </c>
      <c r="I228" s="43">
        <f>'[1]поточний ремонт'!I228+'[2]поточний ремонт'!I228-'[3]поточний ремонт'!I228</f>
        <v>0</v>
      </c>
      <c r="J228" s="43">
        <f>'[1]поточний ремонт'!J228+'[2]поточний ремонт'!J228-'[3]поточний ремонт'!J228</f>
        <v>0</v>
      </c>
      <c r="K228" s="1037"/>
      <c r="L228" s="43">
        <f>'[1]поточний ремонт'!L228+'[2]поточний ремонт'!L228-'[3]поточний ремонт'!L228</f>
        <v>0</v>
      </c>
      <c r="M228" s="43">
        <f>'[1]поточний ремонт'!M228+'[2]поточний ремонт'!M228-'[3]поточний ремонт'!M228</f>
        <v>0</v>
      </c>
      <c r="N228" s="1050"/>
      <c r="O228" s="43">
        <f>'[1]поточний ремонт'!O228+'[2]поточний ремонт'!O228-'[3]поточний ремонт'!O228</f>
        <v>0</v>
      </c>
      <c r="P228" s="43">
        <f>'[1]поточний ремонт'!P228+'[2]поточний ремонт'!P228-'[3]поточний ремонт'!P228</f>
        <v>0</v>
      </c>
      <c r="Q228" s="1038"/>
      <c r="R228" s="43">
        <f>'[1]поточний ремонт'!R228+'[2]поточний ремонт'!R228-'[3]поточний ремонт'!R228</f>
        <v>0</v>
      </c>
      <c r="S228" s="43">
        <f>'[1]поточний ремонт'!S228+'[2]поточний ремонт'!S228-'[3]поточний ремонт'!S228</f>
        <v>0</v>
      </c>
      <c r="T228" s="1039"/>
      <c r="U228" s="43">
        <f>'[1]поточний ремонт'!U228+'[2]поточний ремонт'!U228-'[3]поточний ремонт'!U228</f>
        <v>0</v>
      </c>
      <c r="V228" s="43">
        <f>'[1]поточний ремонт'!V228+'[2]поточний ремонт'!V228-'[3]поточний ремонт'!V228</f>
        <v>0</v>
      </c>
      <c r="W228" s="43">
        <f>'[1]поточний ремонт'!W228+'[2]поточний ремонт'!W228-'[3]поточний ремонт'!W228</f>
        <v>0</v>
      </c>
      <c r="X228" s="43">
        <f>'[1]поточний ремонт'!X228+'[2]поточний ремонт'!X228-'[3]поточний ремонт'!X228</f>
        <v>0</v>
      </c>
      <c r="Y228" s="43">
        <f>'[1]поточний ремонт'!Y228+'[2]поточний ремонт'!Y228-'[3]поточний ремонт'!Y228</f>
        <v>0</v>
      </c>
      <c r="Z228" s="43">
        <f>'[1]поточний ремонт'!Z228+'[2]поточний ремонт'!Z228-'[3]поточний ремонт'!Z228</f>
        <v>0</v>
      </c>
      <c r="AA228" s="43">
        <f>'[1]поточний ремонт'!AA228+'[2]поточний ремонт'!AA228-'[3]поточний ремонт'!AA228</f>
        <v>0</v>
      </c>
      <c r="AB228" s="43">
        <f>'[1]поточний ремонт'!AB228+'[2]поточний ремонт'!AB228-'[3]поточний ремонт'!AB228</f>
        <v>0</v>
      </c>
      <c r="AC228" s="43">
        <f>'[1]поточний ремонт'!AC228+'[2]поточний ремонт'!AC228-'[3]поточний ремонт'!AC228</f>
        <v>0</v>
      </c>
      <c r="AD228" s="43">
        <f>'[1]поточний ремонт'!AD228+'[2]поточний ремонт'!AD228-'[3]поточний ремонт'!AD228</f>
        <v>0</v>
      </c>
      <c r="AE228" s="43">
        <f>'[1]поточний ремонт'!AE228+'[2]поточний ремонт'!AE228-'[3]поточний ремонт'!AE228</f>
        <v>431.76439172274848</v>
      </c>
      <c r="AF228" s="43">
        <f>'[1]поточний ремонт'!AF228+'[2]поточний ремонт'!AF228-'[3]поточний ремонт'!AF228</f>
        <v>0</v>
      </c>
      <c r="AG228" s="5"/>
      <c r="AH228" s="43">
        <f>'[1]поточний ремонт'!AH228+'[2]поточний ремонт'!AH228-'[3]поточний ремонт'!AH228</f>
        <v>537.05955931773622</v>
      </c>
      <c r="AI228" s="43">
        <f>'[1]поточний ремонт'!AI228+'[2]поточний ремонт'!AI228-'[3]поточний ремонт'!AI228</f>
        <v>0</v>
      </c>
      <c r="AJ228" s="5"/>
      <c r="AK228" s="43">
        <f>'[1]поточний ремонт'!AK228+'[2]поточний ремонт'!AK228-'[3]поточний ремонт'!AK228</f>
        <v>283.66741716210674</v>
      </c>
      <c r="AL228" s="43">
        <f>'[1]поточний ремонт'!AL228+'[2]поточний ремонт'!AL228-'[3]поточний ремонт'!AL228</f>
        <v>0</v>
      </c>
      <c r="AM228" s="5"/>
      <c r="AN228" s="43">
        <f>'[1]поточний ремонт'!AN228+'[2]поточний ремонт'!AN228-'[3]поточний ремонт'!AN228</f>
        <v>0</v>
      </c>
      <c r="AO228" s="43">
        <f>'[1]поточний ремонт'!AO228+'[2]поточний ремонт'!AO228-'[3]поточний ремонт'!AO228</f>
        <v>0</v>
      </c>
      <c r="AP228" s="5"/>
      <c r="AQ228" s="43">
        <f>'[1]поточний ремонт'!AQ228+'[2]поточний ремонт'!AQ228-'[3]поточний ремонт'!AQ228</f>
        <v>0</v>
      </c>
      <c r="AR228" s="43">
        <f>'[1]поточний ремонт'!AR228+'[2]поточний ремонт'!AR228-'[3]поточний ремонт'!AR228</f>
        <v>0</v>
      </c>
      <c r="AS228" s="5"/>
      <c r="AT228" s="43">
        <f>'[1]поточний ремонт'!AT228+'[2]поточний ремонт'!AT228-'[3]поточний ремонт'!AT228</f>
        <v>118.62766249183653</v>
      </c>
      <c r="AU228" s="43">
        <f>'[1]поточний ремонт'!AU228+'[2]поточний ремонт'!AU228-'[3]поточний ремонт'!AU228</f>
        <v>0</v>
      </c>
      <c r="AV228" s="5"/>
      <c r="AW228" s="43">
        <f>'[1]поточний ремонт'!AW228+'[2]поточний ремонт'!AW228-'[3]поточний ремонт'!AW228</f>
        <v>0</v>
      </c>
      <c r="AX228" s="43">
        <f>'[1]поточний ремонт'!AX228+'[2]поточний ремонт'!AX228-'[3]поточний ремонт'!AX228</f>
        <v>0</v>
      </c>
      <c r="AY228" s="5"/>
      <c r="AZ228" s="43">
        <f t="shared" si="26"/>
        <v>1371.1190306944277</v>
      </c>
      <c r="BA228" s="43">
        <f t="shared" si="27"/>
        <v>0</v>
      </c>
      <c r="BB228" s="59">
        <f t="shared" si="28"/>
        <v>-1371.1190306944277</v>
      </c>
      <c r="BD228" s="2">
        <v>2</v>
      </c>
      <c r="BF228" s="30">
        <v>0.62380534875503701</v>
      </c>
      <c r="BG228" s="328">
        <v>150001042</v>
      </c>
      <c r="BI228" s="107">
        <v>0</v>
      </c>
      <c r="BJ228" s="107">
        <f t="shared" si="29"/>
        <v>0</v>
      </c>
      <c r="BK228" s="107">
        <v>0</v>
      </c>
      <c r="BL228" s="39"/>
      <c r="BM228" s="3"/>
      <c r="BN228" s="3">
        <v>0</v>
      </c>
      <c r="BP228" s="3"/>
      <c r="BQ228" s="3"/>
      <c r="BS228" s="43"/>
      <c r="BT228" s="43">
        <v>0</v>
      </c>
      <c r="BU228" s="1037"/>
      <c r="BV228" s="42"/>
      <c r="BW228" s="43"/>
      <c r="BX228" s="1050"/>
      <c r="BY228" s="78"/>
      <c r="BZ228" s="43">
        <v>0</v>
      </c>
      <c r="CA228" s="1038"/>
      <c r="CB228" s="42"/>
      <c r="CC228" s="42">
        <v>0</v>
      </c>
      <c r="CD228" s="1039"/>
      <c r="CE228" s="78">
        <v>0</v>
      </c>
      <c r="CF228" s="56"/>
      <c r="CG228" s="42">
        <v>0</v>
      </c>
      <c r="CH228" s="39">
        <v>0</v>
      </c>
      <c r="CI228" s="78">
        <v>0</v>
      </c>
      <c r="CJ228" s="56"/>
      <c r="CK228" s="1034"/>
      <c r="CL228" s="1029"/>
      <c r="CM228" s="1034"/>
      <c r="CN228" s="1029">
        <v>0</v>
      </c>
      <c r="CO228" s="78">
        <v>35.980365976895705</v>
      </c>
      <c r="CP228" s="43">
        <v>0</v>
      </c>
      <c r="CQ228" s="5"/>
      <c r="CR228" s="78">
        <v>44.754963276478016</v>
      </c>
      <c r="CS228" s="1033">
        <v>0</v>
      </c>
      <c r="CT228" s="5"/>
      <c r="CU228" s="78">
        <v>23.638951430175567</v>
      </c>
      <c r="CV228" s="43">
        <v>0</v>
      </c>
      <c r="CW228" s="5"/>
      <c r="CX228" s="78">
        <v>0</v>
      </c>
      <c r="CY228" s="43">
        <v>0</v>
      </c>
      <c r="CZ228" s="5"/>
      <c r="DA228" s="78">
        <v>0</v>
      </c>
      <c r="DB228" s="43">
        <v>0</v>
      </c>
      <c r="DC228" s="5"/>
      <c r="DD228" s="78">
        <v>9.8856385409863776</v>
      </c>
      <c r="DE228" s="43">
        <v>0</v>
      </c>
      <c r="DF228" s="5"/>
      <c r="DG228" s="78">
        <v>0</v>
      </c>
      <c r="DH228" s="43"/>
      <c r="DI228" s="5"/>
      <c r="DJ228" s="43">
        <v>114.25991922453566</v>
      </c>
      <c r="DK228" s="43">
        <f t="shared" si="30"/>
        <v>0</v>
      </c>
      <c r="DL228" s="59">
        <f t="shared" si="31"/>
        <v>-114.25991922453566</v>
      </c>
    </row>
    <row r="229" spans="1:116" ht="24.9" customHeight="1" x14ac:dyDescent="0.3">
      <c r="A229" s="328">
        <v>150001043</v>
      </c>
      <c r="B229" s="45" t="s">
        <v>217</v>
      </c>
      <c r="C229" s="1035">
        <v>4</v>
      </c>
      <c r="D229" s="1036" t="s">
        <v>454</v>
      </c>
      <c r="E229" s="1028">
        <f>'побудинковий звіт'!E227</f>
        <v>9392.7999999999993</v>
      </c>
      <c r="F229" s="1029">
        <f>'побудинковий звіт'!AS227</f>
        <v>12135.48709974452</v>
      </c>
      <c r="G229" s="1029">
        <f t="shared" si="24"/>
        <v>3443</v>
      </c>
      <c r="H229" s="1029">
        <f t="shared" si="25"/>
        <v>-8692.4870997445196</v>
      </c>
      <c r="I229" s="43">
        <f>'[1]поточний ремонт'!I229+'[2]поточний ремонт'!I229-'[3]поточний ремонт'!I229</f>
        <v>2</v>
      </c>
      <c r="J229" s="43">
        <f>'[1]поточний ремонт'!J229+'[2]поточний ремонт'!J229-'[3]поточний ремонт'!J229</f>
        <v>1555</v>
      </c>
      <c r="K229" s="1041"/>
      <c r="L229" s="43">
        <f>'[1]поточний ремонт'!L229+'[2]поточний ремонт'!L229-'[3]поточний ремонт'!L229</f>
        <v>0</v>
      </c>
      <c r="M229" s="43">
        <f>'[1]поточний ремонт'!M229+'[2]поточний ремонт'!M229-'[3]поточний ремонт'!M229</f>
        <v>0</v>
      </c>
      <c r="N229" s="37"/>
      <c r="O229" s="43">
        <f>'[1]поточний ремонт'!O229+'[2]поточний ремонт'!O229-'[3]поточний ремонт'!O229</f>
        <v>0</v>
      </c>
      <c r="P229" s="43">
        <f>'[1]поточний ремонт'!P229+'[2]поточний ремонт'!P229-'[3]поточний ремонт'!P229</f>
        <v>0</v>
      </c>
      <c r="Q229" s="1038"/>
      <c r="R229" s="43">
        <f>'[1]поточний ремонт'!R229+'[2]поточний ремонт'!R229-'[3]поточний ремонт'!R229</f>
        <v>0</v>
      </c>
      <c r="S229" s="43">
        <f>'[1]поточний ремонт'!S229+'[2]поточний ремонт'!S229-'[3]поточний ремонт'!S229</f>
        <v>0</v>
      </c>
      <c r="T229" s="1039"/>
      <c r="U229" s="43">
        <f>'[1]поточний ремонт'!U229+'[2]поточний ремонт'!U229-'[3]поточний ремонт'!U229</f>
        <v>0</v>
      </c>
      <c r="V229" s="43">
        <f>'[1]поточний ремонт'!V229+'[2]поточний ремонт'!V229-'[3]поточний ремонт'!V229</f>
        <v>0</v>
      </c>
      <c r="W229" s="43">
        <f>'[1]поточний ремонт'!W229+'[2]поточний ремонт'!W229-'[3]поточний ремонт'!W229</f>
        <v>0</v>
      </c>
      <c r="X229" s="43">
        <f>'[1]поточний ремонт'!X229+'[2]поточний ремонт'!X229-'[3]поточний ремонт'!X229</f>
        <v>0</v>
      </c>
      <c r="Y229" s="43">
        <f>'[1]поточний ремонт'!Y229+'[2]поточний ремонт'!Y229-'[3]поточний ремонт'!Y229</f>
        <v>445</v>
      </c>
      <c r="Z229" s="43">
        <f>'[1]поточний ремонт'!Z229+'[2]поточний ремонт'!Z229-'[3]поточний ремонт'!Z229</f>
        <v>0</v>
      </c>
      <c r="AA229" s="43">
        <f>'[1]поточний ремонт'!AA229+'[2]поточний ремонт'!AA229-'[3]поточний ремонт'!AA229</f>
        <v>0</v>
      </c>
      <c r="AB229" s="43">
        <f>'[1]поточний ремонт'!AB229+'[2]поточний ремонт'!AB229-'[3]поточний ремонт'!AB229</f>
        <v>0</v>
      </c>
      <c r="AC229" s="43">
        <f>'[1]поточний ремонт'!AC229+'[2]поточний ремонт'!AC229-'[3]поточний ремонт'!AC229</f>
        <v>0</v>
      </c>
      <c r="AD229" s="43">
        <f>'[1]поточний ремонт'!AD229+'[2]поточний ремонт'!AD229-'[3]поточний ремонт'!AD229</f>
        <v>1443</v>
      </c>
      <c r="AE229" s="43">
        <f>'[1]поточний ремонт'!AE229+'[2]поточний ремонт'!AE229-'[3]поточний ремонт'!AE229</f>
        <v>829.54551827760827</v>
      </c>
      <c r="AF229" s="43">
        <f>'[1]поточний ремонт'!AF229+'[2]поточний ремонт'!AF229-'[3]поточний ремонт'!AF229</f>
        <v>914</v>
      </c>
      <c r="AG229" s="5"/>
      <c r="AH229" s="43">
        <f>'[1]поточний ремонт'!AH229+'[2]поточний ремонт'!AH229-'[3]поточний ремонт'!AH229</f>
        <v>1174.5740094673354</v>
      </c>
      <c r="AI229" s="43">
        <f>'[1]поточний ремонт'!AI229+'[2]поточний ремонт'!AI229-'[3]поточний ремонт'!AI229</f>
        <v>0</v>
      </c>
      <c r="AJ229" s="5"/>
      <c r="AK229" s="43">
        <f>'[1]поточний ремонт'!AK229+'[2]поточний ремонт'!AK229-'[3]поточний ремонт'!AK229</f>
        <v>869.50420069008499</v>
      </c>
      <c r="AL229" s="43">
        <f>'[1]поточний ремонт'!AL229+'[2]поточний ремонт'!AL229-'[3]поточний ремонт'!AL229</f>
        <v>610</v>
      </c>
      <c r="AM229" s="5"/>
      <c r="AN229" s="43">
        <f>'[1]поточний ремонт'!AN229+'[2]поточний ремонт'!AN229-'[3]поточний ремонт'!AN229</f>
        <v>0</v>
      </c>
      <c r="AO229" s="43">
        <f>'[1]поточний ремонт'!AO229+'[2]поточний ремонт'!AO229-'[3]поточний ремонт'!AO229</f>
        <v>0</v>
      </c>
      <c r="AP229" s="5"/>
      <c r="AQ229" s="43">
        <f>'[1]поточний ремонт'!AQ229+'[2]поточний ремонт'!AQ229-'[3]поточний ремонт'!AQ229</f>
        <v>0</v>
      </c>
      <c r="AR229" s="43">
        <f>'[1]поточний ремонт'!AR229+'[2]поточний ремонт'!AR229-'[3]поточний ремонт'!AR229</f>
        <v>740.44140585755144</v>
      </c>
      <c r="AS229" s="5"/>
      <c r="AT229" s="43">
        <f>'[1]поточний ремонт'!AT229+'[2]поточний ремонт'!AT229-'[3]поточний ремонт'!AT229</f>
        <v>349.45249236472927</v>
      </c>
      <c r="AU229" s="43">
        <f>'[1]поточний ремонт'!AU229+'[2]поточний ремонт'!AU229-'[3]поточний ремонт'!AU229</f>
        <v>0</v>
      </c>
      <c r="AV229" s="5"/>
      <c r="AW229" s="43">
        <f>'[1]поточний ремонт'!AW229+'[2]поточний ремонт'!AW229-'[3]поточний ремонт'!AW229</f>
        <v>0</v>
      </c>
      <c r="AX229" s="43">
        <f>'[1]поточний ремонт'!AX229+'[2]поточний ремонт'!AX229-'[3]поточний ремонт'!AX229</f>
        <v>0</v>
      </c>
      <c r="AY229" s="5"/>
      <c r="AZ229" s="43">
        <f t="shared" si="26"/>
        <v>3223.0762207997577</v>
      </c>
      <c r="BA229" s="43">
        <f t="shared" si="27"/>
        <v>2264.4414058575512</v>
      </c>
      <c r="BB229" s="59">
        <f t="shared" si="28"/>
        <v>-958.6348149422065</v>
      </c>
      <c r="BD229" s="2">
        <v>2</v>
      </c>
      <c r="BF229" s="30">
        <v>1.872584494588698</v>
      </c>
      <c r="BG229" s="328">
        <v>150001043</v>
      </c>
      <c r="BI229" s="107">
        <v>0</v>
      </c>
      <c r="BJ229" s="107">
        <f t="shared" si="29"/>
        <v>0</v>
      </c>
      <c r="BK229" s="107">
        <v>0</v>
      </c>
      <c r="BL229" s="39"/>
      <c r="BM229" s="3"/>
      <c r="BN229" s="3">
        <v>0</v>
      </c>
      <c r="BP229" s="3"/>
      <c r="BQ229" s="3"/>
      <c r="BS229" s="43"/>
      <c r="BT229" s="43">
        <v>0</v>
      </c>
      <c r="BU229" s="1041"/>
      <c r="BV229" s="42"/>
      <c r="BW229" s="43"/>
      <c r="BX229" s="37"/>
      <c r="BY229" s="78"/>
      <c r="BZ229" s="43">
        <v>0</v>
      </c>
      <c r="CA229" s="1038"/>
      <c r="CB229" s="42"/>
      <c r="CC229" s="42">
        <v>0</v>
      </c>
      <c r="CD229" s="1039"/>
      <c r="CE229" s="78">
        <v>0</v>
      </c>
      <c r="CF229" s="56"/>
      <c r="CG229" s="42">
        <v>0</v>
      </c>
      <c r="CH229" s="39">
        <v>0</v>
      </c>
      <c r="CI229" s="78">
        <v>0</v>
      </c>
      <c r="CJ229" s="56"/>
      <c r="CK229" s="1034"/>
      <c r="CL229" s="1029"/>
      <c r="CM229" s="1034"/>
      <c r="CN229" s="1029">
        <v>0</v>
      </c>
      <c r="CO229" s="78">
        <v>69.128793189800675</v>
      </c>
      <c r="CP229" s="43">
        <v>0</v>
      </c>
      <c r="CQ229" s="5"/>
      <c r="CR229" s="78">
        <v>97.881167455611291</v>
      </c>
      <c r="CS229" s="1033">
        <v>0</v>
      </c>
      <c r="CT229" s="5"/>
      <c r="CU229" s="78">
        <v>72.45868339084042</v>
      </c>
      <c r="CV229" s="43">
        <v>0</v>
      </c>
      <c r="CW229" s="5"/>
      <c r="CX229" s="78">
        <v>0</v>
      </c>
      <c r="CY229" s="43">
        <v>0</v>
      </c>
      <c r="CZ229" s="5"/>
      <c r="DA229" s="78">
        <v>0</v>
      </c>
      <c r="DB229" s="43">
        <v>0</v>
      </c>
      <c r="DC229" s="5"/>
      <c r="DD229" s="78">
        <v>29.121041030394103</v>
      </c>
      <c r="DE229" s="43">
        <v>0</v>
      </c>
      <c r="DF229" s="5"/>
      <c r="DG229" s="78">
        <v>0</v>
      </c>
      <c r="DH229" s="43"/>
      <c r="DI229" s="5"/>
      <c r="DJ229" s="43">
        <v>268.5896850666465</v>
      </c>
      <c r="DK229" s="43">
        <f t="shared" si="30"/>
        <v>0</v>
      </c>
      <c r="DL229" s="59">
        <f t="shared" si="31"/>
        <v>-268.5896850666465</v>
      </c>
    </row>
    <row r="230" spans="1:116" ht="24.9" customHeight="1" x14ac:dyDescent="0.3">
      <c r="A230" s="328">
        <v>150000672</v>
      </c>
      <c r="B230" s="47" t="s">
        <v>1743</v>
      </c>
      <c r="C230" s="1055">
        <v>5</v>
      </c>
      <c r="D230" s="1056" t="s">
        <v>822</v>
      </c>
      <c r="E230" s="1028">
        <f>'побудинковий звіт'!E228</f>
        <v>3295.8</v>
      </c>
      <c r="F230" s="1029">
        <f>'побудинковий звіт'!AS228</f>
        <v>44009.938971672447</v>
      </c>
      <c r="G230" s="1029">
        <f t="shared" si="24"/>
        <v>6594.2958812369452</v>
      </c>
      <c r="H230" s="1029">
        <f t="shared" si="25"/>
        <v>-37415.6430904355</v>
      </c>
      <c r="I230" s="43">
        <f>'[1]поточний ремонт'!I230+'[2]поточний ремонт'!I230-'[3]поточний ремонт'!I230</f>
        <v>0</v>
      </c>
      <c r="J230" s="43">
        <f>'[1]поточний ремонт'!J230+'[2]поточний ремонт'!J230-'[3]поточний ремонт'!J230</f>
        <v>980</v>
      </c>
      <c r="K230" s="1037"/>
      <c r="L230" s="43">
        <f>'[1]поточний ремонт'!L230+'[2]поточний ремонт'!L230-'[3]поточний ремонт'!L230</f>
        <v>0</v>
      </c>
      <c r="M230" s="43">
        <f>'[1]поточний ремонт'!M230+'[2]поточний ремонт'!M230-'[3]поточний ремонт'!M230</f>
        <v>0</v>
      </c>
      <c r="N230" s="37"/>
      <c r="O230" s="43">
        <f>'[1]поточний ремонт'!O230+'[2]поточний ремонт'!O230-'[3]поточний ремонт'!O230</f>
        <v>0</v>
      </c>
      <c r="P230" s="43">
        <f>'[1]поточний ремонт'!P230+'[2]поточний ремонт'!P230-'[3]поточний ремонт'!P230</f>
        <v>0</v>
      </c>
      <c r="Q230" s="1038"/>
      <c r="R230" s="43">
        <f>'[1]поточний ремонт'!R230+'[2]поточний ремонт'!R230-'[3]поточний ремонт'!R230</f>
        <v>0</v>
      </c>
      <c r="S230" s="43">
        <f>'[1]поточний ремонт'!S230+'[2]поточний ремонт'!S230-'[3]поточний ремонт'!S230</f>
        <v>0</v>
      </c>
      <c r="T230" s="1039"/>
      <c r="U230" s="43">
        <f>'[1]поточний ремонт'!U230+'[2]поточний ремонт'!U230-'[3]поточний ремонт'!U230</f>
        <v>0</v>
      </c>
      <c r="V230" s="43">
        <f>'[1]поточний ремонт'!V230+'[2]поточний ремонт'!V230-'[3]поточний ремонт'!V230</f>
        <v>0</v>
      </c>
      <c r="W230" s="43">
        <f>'[1]поточний ремонт'!W230+'[2]поточний ремонт'!W230-'[3]поточний ремонт'!W230</f>
        <v>0</v>
      </c>
      <c r="X230" s="43">
        <f>'[1]поточний ремонт'!X230+'[2]поточний ремонт'!X230-'[3]поточний ремонт'!X230</f>
        <v>586.29588123694521</v>
      </c>
      <c r="Y230" s="43">
        <f>'[1]поточний ремонт'!Y230+'[2]поточний ремонт'!Y230-'[3]поточний ремонт'!Y230</f>
        <v>470</v>
      </c>
      <c r="Z230" s="43">
        <f>'[1]поточний ремонт'!Z230+'[2]поточний ремонт'!Z230-'[3]поточний ремонт'!Z230</f>
        <v>0</v>
      </c>
      <c r="AA230" s="43">
        <f>'[1]поточний ремонт'!AA230+'[2]поточний ремонт'!AA230-'[3]поточний ремонт'!AA230</f>
        <v>0</v>
      </c>
      <c r="AB230" s="43">
        <f>'[1]поточний ремонт'!AB230+'[2]поточний ремонт'!AB230-'[3]поточний ремонт'!AB230</f>
        <v>0</v>
      </c>
      <c r="AC230" s="43">
        <f>'[1]поточний ремонт'!AC230+'[2]поточний ремонт'!AC230-'[3]поточний ремонт'!AC230</f>
        <v>3115</v>
      </c>
      <c r="AD230" s="43">
        <f>'[1]поточний ремонт'!AD230+'[2]поточний ремонт'!AD230-'[3]поточний ремонт'!AD230</f>
        <v>1443</v>
      </c>
      <c r="AE230" s="43">
        <f>'[1]поточний ремонт'!AE230+'[2]поточний ремонт'!AE230-'[3]поточний ремонт'!AE230</f>
        <v>2030.1109963515742</v>
      </c>
      <c r="AF230" s="43">
        <f>'[1]поточний ремонт'!AF230+'[2]поточний ремонт'!AF230-'[3]поточний ремонт'!AF230</f>
        <v>0</v>
      </c>
      <c r="AG230" s="9"/>
      <c r="AH230" s="43">
        <f>'[1]поточний ремонт'!AH230+'[2]поточний ремонт'!AH230-'[3]поточний ремонт'!AH230</f>
        <v>3322.1713403248259</v>
      </c>
      <c r="AI230" s="43">
        <f>'[1]поточний ремонт'!AI230+'[2]поточний ремонт'!AI230-'[3]поточний ремонт'!AI230</f>
        <v>0</v>
      </c>
      <c r="AJ230" s="5"/>
      <c r="AK230" s="43">
        <f>'[1]поточний ремонт'!AK230+'[2]поточний ремонт'!AK230-'[3]поточний ремонт'!AK230</f>
        <v>2375.0202441269494</v>
      </c>
      <c r="AL230" s="43">
        <f>'[1]поточний ремонт'!AL230+'[2]поточний ремонт'!AL230-'[3]поточний ремонт'!AL230</f>
        <v>743.80445450565026</v>
      </c>
      <c r="AM230" s="5"/>
      <c r="AN230" s="43">
        <f>'[1]поточний ремонт'!AN230+'[2]поточний ремонт'!AN230-'[3]поточний ремонт'!AN230</f>
        <v>0</v>
      </c>
      <c r="AO230" s="43">
        <f>'[1]поточний ремонт'!AO230+'[2]поточний ремонт'!AO230-'[3]поточний ремонт'!AO230</f>
        <v>0</v>
      </c>
      <c r="AP230" s="5"/>
      <c r="AQ230" s="43">
        <f>'[1]поточний ремонт'!AQ230+'[2]поточний ремонт'!AQ230-'[3]поточний ремонт'!AQ230</f>
        <v>0</v>
      </c>
      <c r="AR230" s="43">
        <f>'[1]поточний ремонт'!AR230+'[2]поточний ремонт'!AR230-'[3]поточний ремонт'!AR230</f>
        <v>0</v>
      </c>
      <c r="AS230" s="5"/>
      <c r="AT230" s="43">
        <f>'[1]поточний ремонт'!AT230+'[2]поточний ремонт'!AT230-'[3]поточний ремонт'!AT230</f>
        <v>1046.5116144968702</v>
      </c>
      <c r="AU230" s="43">
        <f>'[1]поточний ремонт'!AU230+'[2]поточний ремонт'!AU230-'[3]поточний ремонт'!AU230</f>
        <v>0</v>
      </c>
      <c r="AV230" s="5"/>
      <c r="AW230" s="43">
        <f>'[1]поточний ремонт'!AW230+'[2]поточний ремонт'!AW230-'[3]поточний ремонт'!AW230</f>
        <v>1205.3153536334314</v>
      </c>
      <c r="AX230" s="43">
        <f>'[1]поточний ремонт'!AX230+'[2]поточний ремонт'!AX230-'[3]поточний ремонт'!AX230</f>
        <v>0</v>
      </c>
      <c r="AY230" s="5"/>
      <c r="AZ230" s="43">
        <f t="shared" si="26"/>
        <v>9979.1295489336517</v>
      </c>
      <c r="BA230" s="43">
        <f t="shared" si="27"/>
        <v>743.80445450565026</v>
      </c>
      <c r="BB230" s="59">
        <f t="shared" si="28"/>
        <v>-9235.3250944280007</v>
      </c>
      <c r="BD230" s="2">
        <v>2</v>
      </c>
      <c r="BF230" s="30">
        <v>4.6945332520918761</v>
      </c>
      <c r="BG230" s="328">
        <v>150000672</v>
      </c>
      <c r="BI230" s="107">
        <v>43.75</v>
      </c>
      <c r="BJ230" s="107">
        <f t="shared" si="29"/>
        <v>6.1539712499999997</v>
      </c>
      <c r="BK230" s="107">
        <v>50.456253574999998</v>
      </c>
      <c r="BL230" s="39"/>
      <c r="BM230" s="3"/>
      <c r="BN230" s="3">
        <v>0</v>
      </c>
      <c r="BP230" s="3"/>
      <c r="BQ230" s="3"/>
      <c r="BS230" s="43"/>
      <c r="BT230" s="43">
        <v>0</v>
      </c>
      <c r="BU230" s="1037"/>
      <c r="BV230" s="42"/>
      <c r="BW230" s="43"/>
      <c r="BX230" s="37"/>
      <c r="BY230" s="78"/>
      <c r="BZ230" s="43">
        <v>0</v>
      </c>
      <c r="CA230" s="1038"/>
      <c r="CB230" s="42"/>
      <c r="CC230" s="42">
        <v>0</v>
      </c>
      <c r="CD230" s="1039"/>
      <c r="CE230" s="78">
        <v>0</v>
      </c>
      <c r="CF230" s="56"/>
      <c r="CG230" s="42">
        <v>0</v>
      </c>
      <c r="CH230" s="39">
        <v>50.456253574999998</v>
      </c>
      <c r="CI230" s="78">
        <v>0</v>
      </c>
      <c r="CJ230" s="56"/>
      <c r="CK230" s="1034"/>
      <c r="CL230" s="1029"/>
      <c r="CM230" s="1034"/>
      <c r="CN230" s="1029">
        <v>0</v>
      </c>
      <c r="CO230" s="78">
        <v>169.1759163626312</v>
      </c>
      <c r="CP230" s="43">
        <v>0</v>
      </c>
      <c r="CQ230" s="9"/>
      <c r="CR230" s="78">
        <v>276.84761169373553</v>
      </c>
      <c r="CS230" s="1033">
        <v>0</v>
      </c>
      <c r="CT230" s="5"/>
      <c r="CU230" s="78">
        <v>197.91835367724582</v>
      </c>
      <c r="CV230" s="43">
        <v>0</v>
      </c>
      <c r="CW230" s="5"/>
      <c r="CX230" s="78">
        <v>0</v>
      </c>
      <c r="CY230" s="43">
        <v>0</v>
      </c>
      <c r="CZ230" s="5"/>
      <c r="DA230" s="78">
        <v>0</v>
      </c>
      <c r="DB230" s="43">
        <v>0</v>
      </c>
      <c r="DC230" s="5"/>
      <c r="DD230" s="78">
        <v>87.209301208072532</v>
      </c>
      <c r="DE230" s="43">
        <v>0</v>
      </c>
      <c r="DF230" s="5"/>
      <c r="DG230" s="78">
        <v>100.44294613611928</v>
      </c>
      <c r="DH230" s="43"/>
      <c r="DI230" s="5"/>
      <c r="DJ230" s="43">
        <v>831.59412907780427</v>
      </c>
      <c r="DK230" s="43">
        <f t="shared" si="30"/>
        <v>0</v>
      </c>
      <c r="DL230" s="59">
        <f t="shared" si="31"/>
        <v>-831.59412907780427</v>
      </c>
    </row>
    <row r="231" spans="1:116" ht="24.9" customHeight="1" x14ac:dyDescent="0.3">
      <c r="A231" s="328">
        <v>150000673</v>
      </c>
      <c r="B231" s="45" t="s">
        <v>1745</v>
      </c>
      <c r="C231" s="1035">
        <v>2</v>
      </c>
      <c r="D231" s="1036" t="s">
        <v>454</v>
      </c>
      <c r="E231" s="1028">
        <f>'побудинковий звіт'!E229</f>
        <v>3564.3</v>
      </c>
      <c r="F231" s="1029">
        <f>'побудинковий звіт'!AS229</f>
        <v>9077.5663841859478</v>
      </c>
      <c r="G231" s="1029">
        <f t="shared" si="24"/>
        <v>2499</v>
      </c>
      <c r="H231" s="1029">
        <f t="shared" si="25"/>
        <v>-6578.5663841859478</v>
      </c>
      <c r="I231" s="43">
        <f>'[1]поточний ремонт'!I231+'[2]поточний ремонт'!I231-'[3]поточний ремонт'!I231</f>
        <v>0</v>
      </c>
      <c r="J231" s="43">
        <f>'[1]поточний ремонт'!J231+'[2]поточний ремонт'!J231-'[3]поточний ремонт'!J231</f>
        <v>0</v>
      </c>
      <c r="K231" s="1041"/>
      <c r="L231" s="43">
        <f>'[1]поточний ремонт'!L231+'[2]поточний ремонт'!L231-'[3]поточний ремонт'!L231</f>
        <v>0</v>
      </c>
      <c r="M231" s="43">
        <f>'[1]поточний ремонт'!M231+'[2]поточний ремонт'!M231-'[3]поточний ремонт'!M231</f>
        <v>0</v>
      </c>
      <c r="N231" s="37"/>
      <c r="O231" s="43">
        <f>'[1]поточний ремонт'!O231+'[2]поточний ремонт'!O231-'[3]поточний ремонт'!O231</f>
        <v>0</v>
      </c>
      <c r="P231" s="43">
        <f>'[1]поточний ремонт'!P231+'[2]поточний ремонт'!P231-'[3]поточний ремонт'!P231</f>
        <v>0</v>
      </c>
      <c r="Q231" s="1038"/>
      <c r="R231" s="43">
        <f>'[1]поточний ремонт'!R231+'[2]поточний ремонт'!R231-'[3]поточний ремонт'!R231</f>
        <v>0</v>
      </c>
      <c r="S231" s="43">
        <f>'[1]поточний ремонт'!S231+'[2]поточний ремонт'!S231-'[3]поточний ремонт'!S231</f>
        <v>0</v>
      </c>
      <c r="T231" s="1039"/>
      <c r="U231" s="43">
        <f>'[1]поточний ремонт'!U231+'[2]поточний ремонт'!U231-'[3]поточний ремонт'!U231</f>
        <v>0</v>
      </c>
      <c r="V231" s="43">
        <f>'[1]поточний ремонт'!V231+'[2]поточний ремонт'!V231-'[3]поточний ремонт'!V231</f>
        <v>0</v>
      </c>
      <c r="W231" s="43">
        <f>'[1]поточний ремонт'!W231+'[2]поточний ремонт'!W231-'[3]поточний ремонт'!W231</f>
        <v>0</v>
      </c>
      <c r="X231" s="43">
        <f>'[1]поточний ремонт'!X231+'[2]поточний ремонт'!X231-'[3]поточний ремонт'!X231</f>
        <v>0</v>
      </c>
      <c r="Y231" s="43">
        <f>'[1]поточний ремонт'!Y231+'[2]поточний ремонт'!Y231-'[3]поточний ремонт'!Y231</f>
        <v>0</v>
      </c>
      <c r="Z231" s="43">
        <f>'[1]поточний ремонт'!Z231+'[2]поточний ремонт'!Z231-'[3]поточний ремонт'!Z231</f>
        <v>0</v>
      </c>
      <c r="AA231" s="43">
        <f>'[1]поточний ремонт'!AA231+'[2]поточний ремонт'!AA231-'[3]поточний ремонт'!AA231</f>
        <v>0</v>
      </c>
      <c r="AB231" s="43">
        <f>'[1]поточний ремонт'!AB231+'[2]поточний ремонт'!AB231-'[3]поточний ремонт'!AB231</f>
        <v>0</v>
      </c>
      <c r="AC231" s="43">
        <f>'[1]поточний ремонт'!AC231+'[2]поточний ремонт'!AC231-'[3]поточний ремонт'!AC231</f>
        <v>820</v>
      </c>
      <c r="AD231" s="43">
        <f>'[1]поточний ремонт'!AD231+'[2]поточний ремонт'!AD231-'[3]поточний ремонт'!AD231</f>
        <v>1679</v>
      </c>
      <c r="AE231" s="43">
        <f>'[1]поточний ремонт'!AE231+'[2]поточний ремонт'!AE231-'[3]поточний ремонт'!AE231</f>
        <v>638.54415346269059</v>
      </c>
      <c r="AF231" s="43">
        <f>'[1]поточний ремонт'!AF231+'[2]поточний ремонт'!AF231-'[3]поточний ремонт'!AF231</f>
        <v>0</v>
      </c>
      <c r="AG231" s="5"/>
      <c r="AH231" s="43">
        <f>'[1]поточний ремонт'!AH231+'[2]поточний ремонт'!AH231-'[3]поточний ремонт'!AH231</f>
        <v>794.95558185331788</v>
      </c>
      <c r="AI231" s="43">
        <f>'[1]поточний ремонт'!AI231+'[2]поточний ремонт'!AI231-'[3]поточний ремонт'!AI231</f>
        <v>0</v>
      </c>
      <c r="AJ231" s="5"/>
      <c r="AK231" s="43">
        <f>'[1]поточний ремонт'!AK231+'[2]поточний ремонт'!AK231-'[3]поточний ремонт'!AK231</f>
        <v>399.37909082510834</v>
      </c>
      <c r="AL231" s="43">
        <f>'[1]поточний ремонт'!AL231+'[2]поточний ремонт'!AL231-'[3]поточний ремонт'!AL231</f>
        <v>0</v>
      </c>
      <c r="AM231" s="5"/>
      <c r="AN231" s="43">
        <f>'[1]поточний ремонт'!AN231+'[2]поточний ремонт'!AN231-'[3]поточний ремонт'!AN231</f>
        <v>0</v>
      </c>
      <c r="AO231" s="43">
        <f>'[1]поточний ремонт'!AO231+'[2]поточний ремонт'!AO231-'[3]поточний ремонт'!AO231</f>
        <v>0</v>
      </c>
      <c r="AP231" s="5"/>
      <c r="AQ231" s="43">
        <f>'[1]поточний ремонт'!AQ231+'[2]поточний ремонт'!AQ231-'[3]поточний ремонт'!AQ231</f>
        <v>0</v>
      </c>
      <c r="AR231" s="43">
        <f>'[1]поточний ремонт'!AR231+'[2]поточний ремонт'!AR231-'[3]поточний ремонт'!AR231</f>
        <v>0</v>
      </c>
      <c r="AS231" s="5"/>
      <c r="AT231" s="43">
        <f>'[1]поточний ремонт'!AT231+'[2]поточний ремонт'!AT231-'[3]поточний ремонт'!AT231</f>
        <v>118.62780668282814</v>
      </c>
      <c r="AU231" s="43">
        <f>'[1]поточний ремонт'!AU231+'[2]поточний ремонт'!AU231-'[3]поточний ремонт'!AU231</f>
        <v>0</v>
      </c>
      <c r="AV231" s="5"/>
      <c r="AW231" s="43">
        <f>'[1]поточний ремонт'!AW231+'[2]поточний ремонт'!AW231-'[3]поточний ремонт'!AW231</f>
        <v>0</v>
      </c>
      <c r="AX231" s="43">
        <f>'[1]поточний ремонт'!AX231+'[2]поточний ремонт'!AX231-'[3]поточний ремонт'!AX231</f>
        <v>0</v>
      </c>
      <c r="AY231" s="5"/>
      <c r="AZ231" s="43">
        <f t="shared" si="26"/>
        <v>1951.5066328239448</v>
      </c>
      <c r="BA231" s="43">
        <f t="shared" si="27"/>
        <v>0</v>
      </c>
      <c r="BB231" s="59">
        <f t="shared" si="28"/>
        <v>-1951.5066328239448</v>
      </c>
      <c r="BD231" s="2">
        <v>2</v>
      </c>
      <c r="BF231" s="30">
        <v>0.88115609202508505</v>
      </c>
      <c r="BG231" s="328">
        <v>150000673</v>
      </c>
      <c r="BI231" s="107">
        <v>0</v>
      </c>
      <c r="BJ231" s="107">
        <f t="shared" si="29"/>
        <v>0</v>
      </c>
      <c r="BK231" s="107">
        <v>0</v>
      </c>
      <c r="BL231" s="39"/>
      <c r="BM231" s="3"/>
      <c r="BN231" s="3">
        <v>0</v>
      </c>
      <c r="BP231" s="3"/>
      <c r="BQ231" s="3"/>
      <c r="BS231" s="43"/>
      <c r="BT231" s="43">
        <v>0</v>
      </c>
      <c r="BU231" s="1041"/>
      <c r="BV231" s="42"/>
      <c r="BW231" s="43"/>
      <c r="BX231" s="37"/>
      <c r="BY231" s="78"/>
      <c r="BZ231" s="43">
        <v>0</v>
      </c>
      <c r="CA231" s="1038"/>
      <c r="CB231" s="42"/>
      <c r="CC231" s="42">
        <v>0</v>
      </c>
      <c r="CD231" s="1039"/>
      <c r="CE231" s="78">
        <v>0</v>
      </c>
      <c r="CF231" s="56"/>
      <c r="CG231" s="42">
        <v>0</v>
      </c>
      <c r="CH231" s="39">
        <v>0</v>
      </c>
      <c r="CI231" s="78">
        <v>0</v>
      </c>
      <c r="CJ231" s="56"/>
      <c r="CK231" s="1034"/>
      <c r="CL231" s="1029"/>
      <c r="CM231" s="1034"/>
      <c r="CN231" s="1029">
        <v>0</v>
      </c>
      <c r="CO231" s="78">
        <v>53.212012788557537</v>
      </c>
      <c r="CP231" s="43">
        <v>0</v>
      </c>
      <c r="CQ231" s="5"/>
      <c r="CR231" s="78">
        <v>66.2462984877765</v>
      </c>
      <c r="CS231" s="1033">
        <v>0</v>
      </c>
      <c r="CT231" s="5"/>
      <c r="CU231" s="78">
        <v>33.281590902092354</v>
      </c>
      <c r="CV231" s="43">
        <v>0</v>
      </c>
      <c r="CW231" s="5"/>
      <c r="CX231" s="78">
        <v>0</v>
      </c>
      <c r="CY231" s="43">
        <v>0</v>
      </c>
      <c r="CZ231" s="5"/>
      <c r="DA231" s="78">
        <v>0</v>
      </c>
      <c r="DB231" s="43">
        <v>0</v>
      </c>
      <c r="DC231" s="5"/>
      <c r="DD231" s="78">
        <v>9.885650556902343</v>
      </c>
      <c r="DE231" s="43">
        <v>0</v>
      </c>
      <c r="DF231" s="5"/>
      <c r="DG231" s="78">
        <v>0</v>
      </c>
      <c r="DH231" s="43"/>
      <c r="DI231" s="5"/>
      <c r="DJ231" s="43">
        <v>162.62555273532871</v>
      </c>
      <c r="DK231" s="43">
        <f t="shared" si="30"/>
        <v>0</v>
      </c>
      <c r="DL231" s="59">
        <f t="shared" si="31"/>
        <v>-162.62555273532871</v>
      </c>
    </row>
    <row r="232" spans="1:116" ht="24.9" customHeight="1" x14ac:dyDescent="0.3">
      <c r="A232" s="328">
        <v>150000676</v>
      </c>
      <c r="B232" s="45" t="s">
        <v>1747</v>
      </c>
      <c r="C232" s="1035">
        <v>9</v>
      </c>
      <c r="D232" s="1036" t="s">
        <v>454</v>
      </c>
      <c r="E232" s="1028">
        <f>'побудинковий звіт'!E230</f>
        <v>3571.4</v>
      </c>
      <c r="F232" s="1029">
        <f>'побудинковий звіт'!AS230</f>
        <v>64506.322216330678</v>
      </c>
      <c r="G232" s="1029">
        <f t="shared" si="24"/>
        <v>3694</v>
      </c>
      <c r="H232" s="1029">
        <f t="shared" si="25"/>
        <v>-60812.322216330678</v>
      </c>
      <c r="I232" s="43">
        <f>'[1]поточний ремонт'!I232+'[2]поточний ремонт'!I232-'[3]поточний ремонт'!I232</f>
        <v>0</v>
      </c>
      <c r="J232" s="43">
        <f>'[1]поточний ремонт'!J232+'[2]поточний ремонт'!J232-'[3]поточний ремонт'!J232</f>
        <v>0</v>
      </c>
      <c r="K232" s="1037"/>
      <c r="L232" s="43">
        <f>'[1]поточний ремонт'!L232+'[2]поточний ремонт'!L232-'[3]поточний ремонт'!L232</f>
        <v>0</v>
      </c>
      <c r="M232" s="43">
        <f>'[1]поточний ремонт'!M232+'[2]поточний ремонт'!M232-'[3]поточний ремонт'!M232</f>
        <v>0</v>
      </c>
      <c r="N232" s="37"/>
      <c r="O232" s="43">
        <f>'[1]поточний ремонт'!O232+'[2]поточний ремонт'!O232-'[3]поточний ремонт'!O232</f>
        <v>0</v>
      </c>
      <c r="P232" s="43">
        <f>'[1]поточний ремонт'!P232+'[2]поточний ремонт'!P232-'[3]поточний ремонт'!P232</f>
        <v>0</v>
      </c>
      <c r="Q232" s="1038"/>
      <c r="R232" s="43">
        <f>'[1]поточний ремонт'!R232+'[2]поточний ремонт'!R232-'[3]поточний ремонт'!R232</f>
        <v>0</v>
      </c>
      <c r="S232" s="43">
        <f>'[1]поточний ремонт'!S232+'[2]поточний ремонт'!S232-'[3]поточний ремонт'!S232</f>
        <v>0</v>
      </c>
      <c r="T232" s="1047"/>
      <c r="U232" s="43">
        <f>'[1]поточний ремонт'!U232+'[2]поточний ремонт'!U232-'[3]поточний ремонт'!U232</f>
        <v>0</v>
      </c>
      <c r="V232" s="43">
        <f>'[1]поточний ремонт'!V232+'[2]поточний ремонт'!V232-'[3]поточний ремонт'!V232</f>
        <v>0</v>
      </c>
      <c r="W232" s="43">
        <f>'[1]поточний ремонт'!W232+'[2]поточний ремонт'!W232-'[3]поточний ремонт'!W232</f>
        <v>0</v>
      </c>
      <c r="X232" s="43">
        <f>'[1]поточний ремонт'!X232+'[2]поточний ремонт'!X232-'[3]поточний ремонт'!X232</f>
        <v>0</v>
      </c>
      <c r="Y232" s="43">
        <f>'[1]поточний ремонт'!Y232+'[2]поточний ремонт'!Y232-'[3]поточний ремонт'!Y232</f>
        <v>0</v>
      </c>
      <c r="Z232" s="43">
        <f>'[1]поточний ремонт'!Z232+'[2]поточний ремонт'!Z232-'[3]поточний ремонт'!Z232</f>
        <v>0</v>
      </c>
      <c r="AA232" s="43">
        <f>'[1]поточний ремонт'!AA232+'[2]поточний ремонт'!AA232-'[3]поточний ремонт'!AA232</f>
        <v>0</v>
      </c>
      <c r="AB232" s="43">
        <f>'[1]поточний ремонт'!AB232+'[2]поточний ремонт'!AB232-'[3]поточний ремонт'!AB232</f>
        <v>0</v>
      </c>
      <c r="AC232" s="43">
        <f>'[1]поточний ремонт'!AC232+'[2]поточний ремонт'!AC232-'[3]поточний ремонт'!AC232</f>
        <v>2666</v>
      </c>
      <c r="AD232" s="43">
        <f>'[1]поточний ремонт'!AD232+'[2]поточний ремонт'!AD232-'[3]поточний ремонт'!AD232</f>
        <v>1028</v>
      </c>
      <c r="AE232" s="43">
        <f>'[1]поточний ремонт'!AE232+'[2]поточний ремонт'!AE232-'[3]поточний ремонт'!AE232</f>
        <v>1234.6387689054209</v>
      </c>
      <c r="AF232" s="43">
        <f>'[1]поточний ремонт'!AF232+'[2]поточний ремонт'!AF232-'[3]поточний ремонт'!AF232</f>
        <v>0</v>
      </c>
      <c r="AG232" s="1045"/>
      <c r="AH232" s="43">
        <f>'[1]поточний ремонт'!AH232+'[2]поточний ремонт'!AH232-'[3]поточний ремонт'!AH232</f>
        <v>1576.0542873798991</v>
      </c>
      <c r="AI232" s="43">
        <f>'[1]поточний ремонт'!AI232+'[2]поточний ремонт'!AI232-'[3]поточний ремонт'!AI232</f>
        <v>0</v>
      </c>
      <c r="AJ232" s="5"/>
      <c r="AK232" s="43">
        <f>'[1]поточний ремонт'!AK232+'[2]поточний ремонт'!AK232-'[3]поточний ремонт'!AK232</f>
        <v>1589.1311367167064</v>
      </c>
      <c r="AL232" s="43">
        <f>'[1]поточний ремонт'!AL232+'[2]поточний ремонт'!AL232-'[3]поточний ремонт'!AL232</f>
        <v>0</v>
      </c>
      <c r="AM232" s="5"/>
      <c r="AN232" s="43">
        <f>'[1]поточний ремонт'!AN232+'[2]поточний ремонт'!AN232-'[3]поточний ремонт'!AN232</f>
        <v>874.33747876044481</v>
      </c>
      <c r="AO232" s="43">
        <f>'[1]поточний ремонт'!AO232+'[2]поточний ремонт'!AO232-'[3]поточний ремонт'!AO232</f>
        <v>0</v>
      </c>
      <c r="AP232" s="5"/>
      <c r="AQ232" s="43">
        <f>'[1]поточний ремонт'!AQ232+'[2]поточний ремонт'!AQ232-'[3]поточний ремонт'!AQ232</f>
        <v>395.76741189229665</v>
      </c>
      <c r="AR232" s="43">
        <f>'[1]поточний ремонт'!AR232+'[2]поточний ремонт'!AR232-'[3]поточний ремонт'!AR232</f>
        <v>0</v>
      </c>
      <c r="AS232" s="5"/>
      <c r="AT232" s="43">
        <f>'[1]поточний ремонт'!AT232+'[2]поточний ремонт'!AT232-'[3]поточний ремонт'!AT232</f>
        <v>1028.8017596543923</v>
      </c>
      <c r="AU232" s="43">
        <f>'[1]поточний ремонт'!AU232+'[2]поточний ремонт'!AU232-'[3]поточний ремонт'!AU232</f>
        <v>1489</v>
      </c>
      <c r="AV232" s="5"/>
      <c r="AW232" s="43">
        <f>'[1]поточний ремонт'!AW232+'[2]поточний ремонт'!AW232-'[3]поточний ремонт'!AW232</f>
        <v>0</v>
      </c>
      <c r="AX232" s="43">
        <f>'[1]поточний ремонт'!AX232+'[2]поточний ремонт'!AX232-'[3]поточний ремонт'!AX232</f>
        <v>0</v>
      </c>
      <c r="AY232" s="5"/>
      <c r="AZ232" s="43">
        <f t="shared" si="26"/>
        <v>6698.7308433091603</v>
      </c>
      <c r="BA232" s="43">
        <f t="shared" si="27"/>
        <v>1489</v>
      </c>
      <c r="BB232" s="59">
        <f t="shared" si="28"/>
        <v>-5209.7308433091603</v>
      </c>
      <c r="BD232" s="2">
        <v>2</v>
      </c>
      <c r="BF232" s="30">
        <v>6.1318707461443971</v>
      </c>
      <c r="BG232" s="328">
        <v>150000676</v>
      </c>
      <c r="BI232" s="107">
        <v>0</v>
      </c>
      <c r="BJ232" s="107">
        <f t="shared" si="29"/>
        <v>0</v>
      </c>
      <c r="BK232" s="107">
        <v>0</v>
      </c>
      <c r="BL232" s="39"/>
      <c r="BM232" s="3"/>
      <c r="BN232" s="3">
        <v>0</v>
      </c>
      <c r="BP232" s="3"/>
      <c r="BQ232" s="3"/>
      <c r="BS232" s="43"/>
      <c r="BT232" s="43">
        <v>0</v>
      </c>
      <c r="BU232" s="1037"/>
      <c r="BV232" s="42"/>
      <c r="BW232" s="43"/>
      <c r="BX232" s="37"/>
      <c r="BY232" s="78"/>
      <c r="BZ232" s="43">
        <v>0</v>
      </c>
      <c r="CA232" s="1038"/>
      <c r="CB232" s="42"/>
      <c r="CC232" s="42">
        <v>0</v>
      </c>
      <c r="CD232" s="1047"/>
      <c r="CE232" s="78">
        <v>0</v>
      </c>
      <c r="CF232" s="56"/>
      <c r="CG232" s="42">
        <v>0</v>
      </c>
      <c r="CH232" s="39">
        <v>0</v>
      </c>
      <c r="CI232" s="78">
        <v>0</v>
      </c>
      <c r="CJ232" s="56"/>
      <c r="CK232" s="1034"/>
      <c r="CL232" s="1029"/>
      <c r="CM232" s="1034"/>
      <c r="CN232" s="1029">
        <v>0</v>
      </c>
      <c r="CO232" s="78">
        <v>102.88656407545174</v>
      </c>
      <c r="CP232" s="43">
        <v>0</v>
      </c>
      <c r="CQ232" s="1045"/>
      <c r="CR232" s="78">
        <v>131.33785728165827</v>
      </c>
      <c r="CS232" s="1033">
        <v>0</v>
      </c>
      <c r="CT232" s="5"/>
      <c r="CU232" s="78">
        <v>132.42759472639216</v>
      </c>
      <c r="CV232" s="43">
        <v>0</v>
      </c>
      <c r="CW232" s="5"/>
      <c r="CX232" s="78">
        <v>72.861456563370382</v>
      </c>
      <c r="CY232" s="43">
        <v>0</v>
      </c>
      <c r="CZ232" s="5"/>
      <c r="DA232" s="78">
        <v>32.980617657691397</v>
      </c>
      <c r="DB232" s="43">
        <v>0</v>
      </c>
      <c r="DC232" s="5"/>
      <c r="DD232" s="78">
        <v>85.733479971199358</v>
      </c>
      <c r="DE232" s="43">
        <v>0</v>
      </c>
      <c r="DF232" s="5"/>
      <c r="DG232" s="78">
        <v>0</v>
      </c>
      <c r="DH232" s="43"/>
      <c r="DI232" s="5"/>
      <c r="DJ232" s="43">
        <v>558.22757027576336</v>
      </c>
      <c r="DK232" s="43">
        <f t="shared" si="30"/>
        <v>0</v>
      </c>
      <c r="DL232" s="59">
        <f t="shared" si="31"/>
        <v>-558.22757027576336</v>
      </c>
    </row>
    <row r="233" spans="1:116" ht="24.9" customHeight="1" x14ac:dyDescent="0.3">
      <c r="A233" s="328">
        <v>150000671</v>
      </c>
      <c r="B233" s="45" t="s">
        <v>1749</v>
      </c>
      <c r="C233" s="1035">
        <v>1</v>
      </c>
      <c r="D233" s="1036" t="s">
        <v>454</v>
      </c>
      <c r="E233" s="1028">
        <f>'побудинковий звіт'!E231</f>
        <v>2470.9</v>
      </c>
      <c r="F233" s="1029">
        <f>'побудинковий звіт'!AS231</f>
        <v>3284.905260764182</v>
      </c>
      <c r="G233" s="1029">
        <f t="shared" si="24"/>
        <v>0</v>
      </c>
      <c r="H233" s="1029">
        <f t="shared" si="25"/>
        <v>-3284.905260764182</v>
      </c>
      <c r="I233" s="43">
        <f>'[1]поточний ремонт'!I233+'[2]поточний ремонт'!I233-'[3]поточний ремонт'!I233</f>
        <v>0</v>
      </c>
      <c r="J233" s="43">
        <f>'[1]поточний ремонт'!J233+'[2]поточний ремонт'!J233-'[3]поточний ремонт'!J233</f>
        <v>0</v>
      </c>
      <c r="K233" s="1037"/>
      <c r="L233" s="43">
        <f>'[1]поточний ремонт'!L233+'[2]поточний ремонт'!L233-'[3]поточний ремонт'!L233</f>
        <v>0</v>
      </c>
      <c r="M233" s="43">
        <f>'[1]поточний ремонт'!M233+'[2]поточний ремонт'!M233-'[3]поточний ремонт'!M233</f>
        <v>0</v>
      </c>
      <c r="N233" s="37"/>
      <c r="O233" s="43">
        <f>'[1]поточний ремонт'!O233+'[2]поточний ремонт'!O233-'[3]поточний ремонт'!O233</f>
        <v>0</v>
      </c>
      <c r="P233" s="43">
        <f>'[1]поточний ремонт'!P233+'[2]поточний ремонт'!P233-'[3]поточний ремонт'!P233</f>
        <v>0</v>
      </c>
      <c r="Q233" s="1038"/>
      <c r="R233" s="43">
        <f>'[1]поточний ремонт'!R233+'[2]поточний ремонт'!R233-'[3]поточний ремонт'!R233</f>
        <v>0</v>
      </c>
      <c r="S233" s="43">
        <f>'[1]поточний ремонт'!S233+'[2]поточний ремонт'!S233-'[3]поточний ремонт'!S233</f>
        <v>0</v>
      </c>
      <c r="T233" s="1039"/>
      <c r="U233" s="43">
        <f>'[1]поточний ремонт'!U233+'[2]поточний ремонт'!U233-'[3]поточний ремонт'!U233</f>
        <v>0</v>
      </c>
      <c r="V233" s="43">
        <f>'[1]поточний ремонт'!V233+'[2]поточний ремонт'!V233-'[3]поточний ремонт'!V233</f>
        <v>0</v>
      </c>
      <c r="W233" s="43">
        <f>'[1]поточний ремонт'!W233+'[2]поточний ремонт'!W233-'[3]поточний ремонт'!W233</f>
        <v>0</v>
      </c>
      <c r="X233" s="43">
        <f>'[1]поточний ремонт'!X233+'[2]поточний ремонт'!X233-'[3]поточний ремонт'!X233</f>
        <v>0</v>
      </c>
      <c r="Y233" s="43">
        <f>'[1]поточний ремонт'!Y233+'[2]поточний ремонт'!Y233-'[3]поточний ремонт'!Y233</f>
        <v>0</v>
      </c>
      <c r="Z233" s="43">
        <f>'[1]поточний ремонт'!Z233+'[2]поточний ремонт'!Z233-'[3]поточний ремонт'!Z233</f>
        <v>0</v>
      </c>
      <c r="AA233" s="43">
        <f>'[1]поточний ремонт'!AA233+'[2]поточний ремонт'!AA233-'[3]поточний ремонт'!AA233</f>
        <v>0</v>
      </c>
      <c r="AB233" s="43">
        <f>'[1]поточний ремонт'!AB233+'[2]поточний ремонт'!AB233-'[3]поточний ремонт'!AB233</f>
        <v>0</v>
      </c>
      <c r="AC233" s="43">
        <f>'[1]поточний ремонт'!AC233+'[2]поточний ремонт'!AC233-'[3]поточний ремонт'!AC233</f>
        <v>0</v>
      </c>
      <c r="AD233" s="43">
        <f>'[1]поточний ремонт'!AD233+'[2]поточний ремонт'!AD233-'[3]поточний ремонт'!AD233</f>
        <v>0</v>
      </c>
      <c r="AE233" s="43">
        <f>'[1]поточний ремонт'!AE233+'[2]поточний ремонт'!AE233-'[3]поточний ремонт'!AE233</f>
        <v>0</v>
      </c>
      <c r="AF233" s="43">
        <f>'[1]поточний ремонт'!AF233+'[2]поточний ремонт'!AF233-'[3]поточний ремонт'!AF233</f>
        <v>0</v>
      </c>
      <c r="AG233" s="5"/>
      <c r="AH233" s="43">
        <f>'[1]поточний ремонт'!AH233+'[2]поточний ремонт'!AH233-'[3]поточний ремонт'!AH233</f>
        <v>0</v>
      </c>
      <c r="AI233" s="43">
        <f>'[1]поточний ремонт'!AI233+'[2]поточний ремонт'!AI233-'[3]поточний ремонт'!AI233</f>
        <v>0</v>
      </c>
      <c r="AJ233" s="5"/>
      <c r="AK233" s="43">
        <f>'[1]поточний ремонт'!AK233+'[2]поточний ремонт'!AK233-'[3]поточний ремонт'!AK233</f>
        <v>0</v>
      </c>
      <c r="AL233" s="43">
        <f>'[1]поточний ремонт'!AL233+'[2]поточний ремонт'!AL233-'[3]поточний ремонт'!AL233</f>
        <v>0</v>
      </c>
      <c r="AM233" s="5"/>
      <c r="AN233" s="43">
        <f>'[1]поточний ремонт'!AN233+'[2]поточний ремонт'!AN233-'[3]поточний ремонт'!AN233</f>
        <v>0</v>
      </c>
      <c r="AO233" s="43">
        <f>'[1]поточний ремонт'!AO233+'[2]поточний ремонт'!AO233-'[3]поточний ремонт'!AO233</f>
        <v>0</v>
      </c>
      <c r="AP233" s="5"/>
      <c r="AQ233" s="43">
        <f>'[1]поточний ремонт'!AQ233+'[2]поточний ремонт'!AQ233-'[3]поточний ремонт'!AQ233</f>
        <v>0</v>
      </c>
      <c r="AR233" s="43">
        <f>'[1]поточний ремонт'!AR233+'[2]поточний ремонт'!AR233-'[3]поточний ремонт'!AR233</f>
        <v>0</v>
      </c>
      <c r="AS233" s="5"/>
      <c r="AT233" s="43">
        <f>'[1]поточний ремонт'!AT233+'[2]поточний ремонт'!AT233-'[3]поточний ремонт'!AT233</f>
        <v>0</v>
      </c>
      <c r="AU233" s="43">
        <f>'[1]поточний ремонт'!AU233+'[2]поточний ремонт'!AU233-'[3]поточний ремонт'!AU233</f>
        <v>0</v>
      </c>
      <c r="AV233" s="5"/>
      <c r="AW233" s="43">
        <f>'[1]поточний ремонт'!AW233+'[2]поточний ремонт'!AW233-'[3]поточний ремонт'!AW233</f>
        <v>0</v>
      </c>
      <c r="AX233" s="43">
        <f>'[1]поточний ремонт'!AX233+'[2]поточний ремонт'!AX233-'[3]поточний ремонт'!AX233</f>
        <v>0</v>
      </c>
      <c r="AY233" s="5"/>
      <c r="AZ233" s="43">
        <f t="shared" si="26"/>
        <v>0</v>
      </c>
      <c r="BA233" s="43">
        <f t="shared" si="27"/>
        <v>0</v>
      </c>
      <c r="BB233" s="59">
        <f t="shared" si="28"/>
        <v>0</v>
      </c>
      <c r="BD233" s="2">
        <v>2</v>
      </c>
      <c r="BF233" s="30">
        <v>0</v>
      </c>
      <c r="BG233" s="328">
        <v>150000671</v>
      </c>
      <c r="BI233" s="107">
        <v>0</v>
      </c>
      <c r="BJ233" s="107">
        <f t="shared" si="29"/>
        <v>0</v>
      </c>
      <c r="BK233" s="107">
        <v>0</v>
      </c>
      <c r="BL233" s="39"/>
      <c r="BM233" s="3"/>
      <c r="BN233" s="3">
        <v>0</v>
      </c>
      <c r="BP233" s="3"/>
      <c r="BQ233" s="3"/>
      <c r="BS233" s="43"/>
      <c r="BT233" s="43">
        <v>0</v>
      </c>
      <c r="BU233" s="1037"/>
      <c r="BV233" s="42"/>
      <c r="BW233" s="43"/>
      <c r="BX233" s="37"/>
      <c r="BY233" s="78"/>
      <c r="BZ233" s="43">
        <v>0</v>
      </c>
      <c r="CA233" s="1038"/>
      <c r="CB233" s="42"/>
      <c r="CC233" s="42">
        <v>0</v>
      </c>
      <c r="CD233" s="1039"/>
      <c r="CE233" s="78">
        <v>0</v>
      </c>
      <c r="CF233" s="56"/>
      <c r="CG233" s="42">
        <v>0</v>
      </c>
      <c r="CH233" s="39">
        <v>0</v>
      </c>
      <c r="CI233" s="78">
        <v>0</v>
      </c>
      <c r="CJ233" s="56"/>
      <c r="CK233" s="1034"/>
      <c r="CL233" s="1029"/>
      <c r="CM233" s="1034"/>
      <c r="CN233" s="1029">
        <v>0</v>
      </c>
      <c r="CO233" s="78">
        <v>0</v>
      </c>
      <c r="CP233" s="43">
        <v>0</v>
      </c>
      <c r="CQ233" s="5"/>
      <c r="CR233" s="78">
        <v>0</v>
      </c>
      <c r="CS233" s="1033">
        <v>0</v>
      </c>
      <c r="CT233" s="5"/>
      <c r="CU233" s="78">
        <v>0</v>
      </c>
      <c r="CV233" s="43">
        <v>0</v>
      </c>
      <c r="CW233" s="5"/>
      <c r="CX233" s="78">
        <v>0</v>
      </c>
      <c r="CY233" s="43">
        <v>0</v>
      </c>
      <c r="CZ233" s="5"/>
      <c r="DA233" s="78">
        <v>0</v>
      </c>
      <c r="DB233" s="43">
        <v>0</v>
      </c>
      <c r="DC233" s="5"/>
      <c r="DD233" s="78">
        <v>0</v>
      </c>
      <c r="DE233" s="43">
        <v>0</v>
      </c>
      <c r="DF233" s="5"/>
      <c r="DG233" s="78">
        <v>0</v>
      </c>
      <c r="DH233" s="43"/>
      <c r="DI233" s="5"/>
      <c r="DJ233" s="43">
        <v>0</v>
      </c>
      <c r="DK233" s="43">
        <f t="shared" si="30"/>
        <v>0</v>
      </c>
      <c r="DL233" s="59">
        <f t="shared" si="31"/>
        <v>0</v>
      </c>
    </row>
    <row r="234" spans="1:116" ht="24.9" customHeight="1" x14ac:dyDescent="0.3">
      <c r="A234" s="328">
        <v>150000726</v>
      </c>
      <c r="B234" s="45" t="s">
        <v>1751</v>
      </c>
      <c r="C234" s="1035">
        <v>2</v>
      </c>
      <c r="D234" s="1036" t="s">
        <v>454</v>
      </c>
      <c r="E234" s="1028">
        <f>'побудинковий звіт'!E232</f>
        <v>2013</v>
      </c>
      <c r="F234" s="1029">
        <f>'побудинковий звіт'!AS232</f>
        <v>5590.043375413542</v>
      </c>
      <c r="G234" s="1029">
        <f t="shared" si="24"/>
        <v>30</v>
      </c>
      <c r="H234" s="1029">
        <f t="shared" si="25"/>
        <v>-5560.043375413542</v>
      </c>
      <c r="I234" s="43">
        <f>'[1]поточний ремонт'!I234+'[2]поточний ремонт'!I234-'[3]поточний ремонт'!I234</f>
        <v>0</v>
      </c>
      <c r="J234" s="43">
        <f>'[1]поточний ремонт'!J234+'[2]поточний ремонт'!J234-'[3]поточний ремонт'!J234</f>
        <v>0</v>
      </c>
      <c r="K234" s="1037"/>
      <c r="L234" s="43">
        <f>'[1]поточний ремонт'!L234+'[2]поточний ремонт'!L234-'[3]поточний ремонт'!L234</f>
        <v>0</v>
      </c>
      <c r="M234" s="43">
        <f>'[1]поточний ремонт'!M234+'[2]поточний ремонт'!M234-'[3]поточний ремонт'!M234</f>
        <v>0</v>
      </c>
      <c r="N234" s="37"/>
      <c r="O234" s="43">
        <f>'[1]поточний ремонт'!O234+'[2]поточний ремонт'!O234-'[3]поточний ремонт'!O234</f>
        <v>0</v>
      </c>
      <c r="P234" s="43">
        <f>'[1]поточний ремонт'!P234+'[2]поточний ремонт'!P234-'[3]поточний ремонт'!P234</f>
        <v>0</v>
      </c>
      <c r="Q234" s="1038"/>
      <c r="R234" s="43">
        <f>'[1]поточний ремонт'!R234+'[2]поточний ремонт'!R234-'[3]поточний ремонт'!R234</f>
        <v>0</v>
      </c>
      <c r="S234" s="43">
        <f>'[1]поточний ремонт'!S234+'[2]поточний ремонт'!S234-'[3]поточний ремонт'!S234</f>
        <v>0</v>
      </c>
      <c r="T234" s="1039"/>
      <c r="U234" s="43">
        <f>'[1]поточний ремонт'!U234+'[2]поточний ремонт'!U234-'[3]поточний ремонт'!U234</f>
        <v>0</v>
      </c>
      <c r="V234" s="43">
        <f>'[1]поточний ремонт'!V234+'[2]поточний ремонт'!V234-'[3]поточний ремонт'!V234</f>
        <v>0</v>
      </c>
      <c r="W234" s="43">
        <f>'[1]поточний ремонт'!W234+'[2]поточний ремонт'!W234-'[3]поточний ремонт'!W234</f>
        <v>0</v>
      </c>
      <c r="X234" s="43">
        <f>'[1]поточний ремонт'!X234+'[2]поточний ремонт'!X234-'[3]поточний ремонт'!X234</f>
        <v>0</v>
      </c>
      <c r="Y234" s="43">
        <f>'[1]поточний ремонт'!Y234+'[2]поточний ремонт'!Y234-'[3]поточний ремонт'!Y234</f>
        <v>30</v>
      </c>
      <c r="Z234" s="43">
        <f>'[1]поточний ремонт'!Z234+'[2]поточний ремонт'!Z234-'[3]поточний ремонт'!Z234</f>
        <v>0</v>
      </c>
      <c r="AA234" s="43">
        <f>'[1]поточний ремонт'!AA234+'[2]поточний ремонт'!AA234-'[3]поточний ремонт'!AA234</f>
        <v>0</v>
      </c>
      <c r="AB234" s="43">
        <f>'[1]поточний ремонт'!AB234+'[2]поточний ремонт'!AB234-'[3]поточний ремонт'!AB234</f>
        <v>0</v>
      </c>
      <c r="AC234" s="43">
        <f>'[1]поточний ремонт'!AC234+'[2]поточний ремонт'!AC234-'[3]поточний ремонт'!AC234</f>
        <v>0</v>
      </c>
      <c r="AD234" s="43">
        <f>'[1]поточний ремонт'!AD234+'[2]поточний ремонт'!AD234-'[3]поточний ремонт'!AD234</f>
        <v>0</v>
      </c>
      <c r="AE234" s="43">
        <f>'[1]поточний ремонт'!AE234+'[2]поточний ремонт'!AE234-'[3]поточний ремонт'!AE234</f>
        <v>330.2834567508126</v>
      </c>
      <c r="AF234" s="43">
        <f>'[1]поточний ремонт'!AF234+'[2]поточний ремонт'!AF234-'[3]поточний ремонт'!AF234</f>
        <v>3883</v>
      </c>
      <c r="AG234" s="5"/>
      <c r="AH234" s="43">
        <f>'[1]поточний ремонт'!AH234+'[2]поточний ремонт'!AH234-'[3]поточний ремонт'!AH234</f>
        <v>432.5264025534882</v>
      </c>
      <c r="AI234" s="43">
        <f>'[1]поточний ремонт'!AI234+'[2]поточний ремонт'!AI234-'[3]поточний ремонт'!AI234</f>
        <v>0</v>
      </c>
      <c r="AJ234" s="5"/>
      <c r="AK234" s="43">
        <f>'[1]поточний ремонт'!AK234+'[2]поточний ремонт'!AK234-'[3]поточний ремонт'!AK234</f>
        <v>286.66466480475628</v>
      </c>
      <c r="AL234" s="43">
        <f>'[1]поточний ремонт'!AL234+'[2]поточний ремонт'!AL234-'[3]поточний ремонт'!AL234</f>
        <v>2019</v>
      </c>
      <c r="AM234" s="5"/>
      <c r="AN234" s="43">
        <f>'[1]поточний ремонт'!AN234+'[2]поточний ремонт'!AN234-'[3]поточний ремонт'!AN234</f>
        <v>0</v>
      </c>
      <c r="AO234" s="43">
        <f>'[1]поточний ремонт'!AO234+'[2]поточний ремонт'!AO234-'[3]поточний ремонт'!AO234</f>
        <v>0</v>
      </c>
      <c r="AP234" s="5"/>
      <c r="AQ234" s="43">
        <f>'[1]поточний ремонт'!AQ234+'[2]поточний ремонт'!AQ234-'[3]поточний ремонт'!AQ234</f>
        <v>0</v>
      </c>
      <c r="AR234" s="43">
        <f>'[1]поточний ремонт'!AR234+'[2]поточний ремонт'!AR234-'[3]поточний ремонт'!AR234</f>
        <v>0</v>
      </c>
      <c r="AS234" s="5"/>
      <c r="AT234" s="43">
        <f>'[1]поточний ремонт'!AT234+'[2]поточний ремонт'!AT234-'[3]поточний ремонт'!AT234</f>
        <v>78.787193100235982</v>
      </c>
      <c r="AU234" s="43">
        <f>'[1]поточний ремонт'!AU234+'[2]поточний ремонт'!AU234-'[3]поточний ремонт'!AU234</f>
        <v>0</v>
      </c>
      <c r="AV234" s="5"/>
      <c r="AW234" s="43">
        <f>'[1]поточний ремонт'!AW234+'[2]поточний ремонт'!AW234-'[3]поточний ремонт'!AW234</f>
        <v>0</v>
      </c>
      <c r="AX234" s="43">
        <f>'[1]поточний ремонт'!AX234+'[2]поточний ремонт'!AX234-'[3]поточний ремонт'!AX234</f>
        <v>0</v>
      </c>
      <c r="AY234" s="5"/>
      <c r="AZ234" s="43">
        <f t="shared" si="26"/>
        <v>1128.261717209293</v>
      </c>
      <c r="BA234" s="43">
        <f t="shared" si="27"/>
        <v>5902</v>
      </c>
      <c r="BB234" s="59">
        <f t="shared" si="28"/>
        <v>4773.7382827907068</v>
      </c>
      <c r="BD234" s="2">
        <v>2</v>
      </c>
      <c r="BF234" s="30">
        <v>0.59693103731253483</v>
      </c>
      <c r="BG234" s="328">
        <v>150000726</v>
      </c>
      <c r="BI234" s="107">
        <v>0</v>
      </c>
      <c r="BJ234" s="107">
        <f t="shared" si="29"/>
        <v>0</v>
      </c>
      <c r="BK234" s="107">
        <v>0</v>
      </c>
      <c r="BL234" s="39"/>
      <c r="BM234" s="3"/>
      <c r="BN234" s="3">
        <v>0</v>
      </c>
      <c r="BP234" s="3"/>
      <c r="BQ234" s="3"/>
      <c r="BS234" s="43"/>
      <c r="BT234" s="43">
        <v>0</v>
      </c>
      <c r="BU234" s="1037"/>
      <c r="BV234" s="42"/>
      <c r="BW234" s="43"/>
      <c r="BX234" s="37"/>
      <c r="BY234" s="78"/>
      <c r="BZ234" s="43">
        <v>0</v>
      </c>
      <c r="CA234" s="1038"/>
      <c r="CB234" s="42"/>
      <c r="CC234" s="42">
        <v>0</v>
      </c>
      <c r="CD234" s="1039"/>
      <c r="CE234" s="78">
        <v>0</v>
      </c>
      <c r="CF234" s="56"/>
      <c r="CG234" s="42">
        <v>0</v>
      </c>
      <c r="CH234" s="39">
        <v>0</v>
      </c>
      <c r="CI234" s="78">
        <v>0</v>
      </c>
      <c r="CJ234" s="56"/>
      <c r="CK234" s="1034"/>
      <c r="CL234" s="1029"/>
      <c r="CM234" s="1034"/>
      <c r="CN234" s="1029">
        <v>0</v>
      </c>
      <c r="CO234" s="78">
        <v>27.523621395901053</v>
      </c>
      <c r="CP234" s="43">
        <v>0</v>
      </c>
      <c r="CQ234" s="5"/>
      <c r="CR234" s="78">
        <v>36.04386687945734</v>
      </c>
      <c r="CS234" s="1033">
        <v>0</v>
      </c>
      <c r="CT234" s="5"/>
      <c r="CU234" s="78">
        <v>23.888722067063025</v>
      </c>
      <c r="CV234" s="43">
        <v>0</v>
      </c>
      <c r="CW234" s="5"/>
      <c r="CX234" s="78">
        <v>0</v>
      </c>
      <c r="CY234" s="43">
        <v>0</v>
      </c>
      <c r="CZ234" s="5"/>
      <c r="DA234" s="78">
        <v>0</v>
      </c>
      <c r="DB234" s="43">
        <v>0</v>
      </c>
      <c r="DC234" s="5"/>
      <c r="DD234" s="78">
        <v>6.5655994250196654</v>
      </c>
      <c r="DE234" s="43">
        <v>0</v>
      </c>
      <c r="DF234" s="5"/>
      <c r="DG234" s="78">
        <v>0</v>
      </c>
      <c r="DH234" s="43"/>
      <c r="DI234" s="5"/>
      <c r="DJ234" s="43">
        <v>94.021809767441084</v>
      </c>
      <c r="DK234" s="43">
        <f t="shared" si="30"/>
        <v>0</v>
      </c>
      <c r="DL234" s="59">
        <f t="shared" si="31"/>
        <v>-94.021809767441084</v>
      </c>
    </row>
    <row r="235" spans="1:116" ht="24.9" customHeight="1" x14ac:dyDescent="0.3">
      <c r="A235" s="328">
        <v>150000728</v>
      </c>
      <c r="B235" s="45" t="s">
        <v>1752</v>
      </c>
      <c r="C235" s="1035">
        <v>2</v>
      </c>
      <c r="D235" s="1036" t="s">
        <v>454</v>
      </c>
      <c r="E235" s="1028">
        <f>'побудинковий звіт'!E233</f>
        <v>699.21</v>
      </c>
      <c r="F235" s="1029">
        <f>'побудинковий звіт'!AS233</f>
        <v>4019.6880665971303</v>
      </c>
      <c r="G235" s="1029">
        <f t="shared" si="24"/>
        <v>0</v>
      </c>
      <c r="H235" s="1029">
        <f t="shared" si="25"/>
        <v>-4019.6880665971303</v>
      </c>
      <c r="I235" s="43">
        <f>'[1]поточний ремонт'!I235+'[2]поточний ремонт'!I235-'[3]поточний ремонт'!I235</f>
        <v>0</v>
      </c>
      <c r="J235" s="43">
        <f>'[1]поточний ремонт'!J235+'[2]поточний ремонт'!J235-'[3]поточний ремонт'!J235</f>
        <v>0</v>
      </c>
      <c r="K235" s="1037"/>
      <c r="L235" s="43">
        <f>'[1]поточний ремонт'!L235+'[2]поточний ремонт'!L235-'[3]поточний ремонт'!L235</f>
        <v>0</v>
      </c>
      <c r="M235" s="43">
        <f>'[1]поточний ремонт'!M235+'[2]поточний ремонт'!M235-'[3]поточний ремонт'!M235</f>
        <v>0</v>
      </c>
      <c r="N235" s="37"/>
      <c r="O235" s="43">
        <f>'[1]поточний ремонт'!O235+'[2]поточний ремонт'!O235-'[3]поточний ремонт'!O235</f>
        <v>0</v>
      </c>
      <c r="P235" s="43">
        <f>'[1]поточний ремонт'!P235+'[2]поточний ремонт'!P235-'[3]поточний ремонт'!P235</f>
        <v>0</v>
      </c>
      <c r="Q235" s="1038"/>
      <c r="R235" s="43">
        <f>'[1]поточний ремонт'!R235+'[2]поточний ремонт'!R235-'[3]поточний ремонт'!R235</f>
        <v>0</v>
      </c>
      <c r="S235" s="43">
        <f>'[1]поточний ремонт'!S235+'[2]поточний ремонт'!S235-'[3]поточний ремонт'!S235</f>
        <v>0</v>
      </c>
      <c r="T235" s="1039"/>
      <c r="U235" s="43">
        <f>'[1]поточний ремонт'!U235+'[2]поточний ремонт'!U235-'[3]поточний ремонт'!U235</f>
        <v>0</v>
      </c>
      <c r="V235" s="43">
        <f>'[1]поточний ремонт'!V235+'[2]поточний ремонт'!V235-'[3]поточний ремонт'!V235</f>
        <v>0</v>
      </c>
      <c r="W235" s="43">
        <f>'[1]поточний ремонт'!W235+'[2]поточний ремонт'!W235-'[3]поточний ремонт'!W235</f>
        <v>0</v>
      </c>
      <c r="X235" s="43">
        <f>'[1]поточний ремонт'!X235+'[2]поточний ремонт'!X235-'[3]поточний ремонт'!X235</f>
        <v>0</v>
      </c>
      <c r="Y235" s="43">
        <f>'[1]поточний ремонт'!Y235+'[2]поточний ремонт'!Y235-'[3]поточний ремонт'!Y235</f>
        <v>0</v>
      </c>
      <c r="Z235" s="43">
        <f>'[1]поточний ремонт'!Z235+'[2]поточний ремонт'!Z235-'[3]поточний ремонт'!Z235</f>
        <v>0</v>
      </c>
      <c r="AA235" s="43">
        <f>'[1]поточний ремонт'!AA235+'[2]поточний ремонт'!AA235-'[3]поточний ремонт'!AA235</f>
        <v>0</v>
      </c>
      <c r="AB235" s="43">
        <f>'[1]поточний ремонт'!AB235+'[2]поточний ремонт'!AB235-'[3]поточний ремонт'!AB235</f>
        <v>0</v>
      </c>
      <c r="AC235" s="43">
        <f>'[1]поточний ремонт'!AC235+'[2]поточний ремонт'!AC235-'[3]поточний ремонт'!AC235</f>
        <v>0</v>
      </c>
      <c r="AD235" s="43">
        <f>'[1]поточний ремонт'!AD235+'[2]поточний ремонт'!AD235-'[3]поточний ремонт'!AD235</f>
        <v>0</v>
      </c>
      <c r="AE235" s="43">
        <f>'[1]поточний ремонт'!AE235+'[2]поточний ремонт'!AE235-'[3]поточний ремонт'!AE235</f>
        <v>349.31330119830955</v>
      </c>
      <c r="AF235" s="43">
        <f>'[1]поточний ремонт'!AF235+'[2]поточний ремонт'!AF235-'[3]поточний ремонт'!AF235</f>
        <v>0</v>
      </c>
      <c r="AG235" s="5"/>
      <c r="AH235" s="43">
        <f>'[1]поточний ремонт'!AH235+'[2]поточний ремонт'!AH235-'[3]поточний ремонт'!AH235</f>
        <v>432.5264025534882</v>
      </c>
      <c r="AI235" s="43">
        <f>'[1]поточний ремонт'!AI235+'[2]поточний ремонт'!AI235-'[3]поточний ремонт'!AI235</f>
        <v>0</v>
      </c>
      <c r="AJ235" s="5"/>
      <c r="AK235" s="43">
        <f>'[1]поточний ремонт'!AK235+'[2]поточний ремонт'!AK235-'[3]поточний ремонт'!AK235</f>
        <v>323.16543218430274</v>
      </c>
      <c r="AL235" s="43">
        <f>'[1]поточний ремонт'!AL235+'[2]поточний ремонт'!AL235-'[3]поточний ремонт'!AL235</f>
        <v>0</v>
      </c>
      <c r="AM235" s="5"/>
      <c r="AN235" s="43">
        <f>'[1]поточний ремонт'!AN235+'[2]поточний ремонт'!AN235-'[3]поточний ремонт'!AN235</f>
        <v>0</v>
      </c>
      <c r="AO235" s="43">
        <f>'[1]поточний ремонт'!AO235+'[2]поточний ремонт'!AO235-'[3]поточний ремонт'!AO235</f>
        <v>0</v>
      </c>
      <c r="AP235" s="5"/>
      <c r="AQ235" s="43">
        <f>'[1]поточний ремонт'!AQ235+'[2]поточний ремонт'!AQ235-'[3]поточний ремонт'!AQ235</f>
        <v>0</v>
      </c>
      <c r="AR235" s="43">
        <f>'[1]поточний ремонт'!AR235+'[2]поточний ремонт'!AR235-'[3]поточний ремонт'!AR235</f>
        <v>0</v>
      </c>
      <c r="AS235" s="5"/>
      <c r="AT235" s="43">
        <f>'[1]поточний ремонт'!AT235+'[2]поточний ремонт'!AT235-'[3]поточний ремонт'!AT235</f>
        <v>78.787193100235982</v>
      </c>
      <c r="AU235" s="43">
        <f>'[1]поточний ремонт'!AU235+'[2]поточний ремонт'!AU235-'[3]поточний ремонт'!AU235</f>
        <v>700</v>
      </c>
      <c r="AV235" s="5"/>
      <c r="AW235" s="43">
        <f>'[1]поточний ремонт'!AW235+'[2]поточний ремонт'!AW235-'[3]поточний ремонт'!AW235</f>
        <v>0</v>
      </c>
      <c r="AX235" s="43">
        <f>'[1]поточний ремонт'!AX235+'[2]поточний ремонт'!AX235-'[3]поточний ремонт'!AX235</f>
        <v>0</v>
      </c>
      <c r="AY235" s="5"/>
      <c r="AZ235" s="43">
        <f t="shared" si="26"/>
        <v>1183.7923290363365</v>
      </c>
      <c r="BA235" s="43">
        <f t="shared" si="27"/>
        <v>700</v>
      </c>
      <c r="BB235" s="59">
        <f t="shared" si="28"/>
        <v>-483.79232903633647</v>
      </c>
      <c r="BD235" s="2">
        <v>2</v>
      </c>
      <c r="BF235" s="30">
        <v>0.65812851826040664</v>
      </c>
      <c r="BG235" s="328">
        <v>150000728</v>
      </c>
      <c r="BI235" s="107">
        <v>0</v>
      </c>
      <c r="BJ235" s="107">
        <f t="shared" si="29"/>
        <v>0</v>
      </c>
      <c r="BK235" s="107">
        <v>0</v>
      </c>
      <c r="BL235" s="39"/>
      <c r="BM235" s="3"/>
      <c r="BN235" s="3">
        <v>0</v>
      </c>
      <c r="BP235" s="3"/>
      <c r="BQ235" s="3"/>
      <c r="BS235" s="43"/>
      <c r="BT235" s="43">
        <v>0</v>
      </c>
      <c r="BU235" s="1037"/>
      <c r="BV235" s="42"/>
      <c r="BW235" s="43"/>
      <c r="BX235" s="37"/>
      <c r="BY235" s="78"/>
      <c r="BZ235" s="43">
        <v>0</v>
      </c>
      <c r="CA235" s="1038"/>
      <c r="CB235" s="42"/>
      <c r="CC235" s="42">
        <v>0</v>
      </c>
      <c r="CD235" s="1039"/>
      <c r="CE235" s="78">
        <v>0</v>
      </c>
      <c r="CF235" s="56"/>
      <c r="CG235" s="42">
        <v>0</v>
      </c>
      <c r="CH235" s="39">
        <v>0</v>
      </c>
      <c r="CI235" s="78">
        <v>0</v>
      </c>
      <c r="CJ235" s="56"/>
      <c r="CK235" s="1034"/>
      <c r="CL235" s="1029"/>
      <c r="CM235" s="1034"/>
      <c r="CN235" s="1029">
        <v>0</v>
      </c>
      <c r="CO235" s="78">
        <v>29.109441766525801</v>
      </c>
      <c r="CP235" s="43">
        <v>0</v>
      </c>
      <c r="CQ235" s="5"/>
      <c r="CR235" s="78">
        <v>36.04386687945734</v>
      </c>
      <c r="CS235" s="1033">
        <v>0</v>
      </c>
      <c r="CT235" s="5"/>
      <c r="CU235" s="78">
        <v>26.930452682025226</v>
      </c>
      <c r="CV235" s="43">
        <v>0</v>
      </c>
      <c r="CW235" s="5"/>
      <c r="CX235" s="78">
        <v>0</v>
      </c>
      <c r="CY235" s="43">
        <v>0</v>
      </c>
      <c r="CZ235" s="5"/>
      <c r="DA235" s="78">
        <v>0</v>
      </c>
      <c r="DB235" s="43">
        <v>0</v>
      </c>
      <c r="DC235" s="5"/>
      <c r="DD235" s="78">
        <v>6.5655994250196654</v>
      </c>
      <c r="DE235" s="43">
        <v>0</v>
      </c>
      <c r="DF235" s="5"/>
      <c r="DG235" s="78">
        <v>0</v>
      </c>
      <c r="DH235" s="43"/>
      <c r="DI235" s="5"/>
      <c r="DJ235" s="43">
        <v>98.649360753028034</v>
      </c>
      <c r="DK235" s="43">
        <f t="shared" si="30"/>
        <v>0</v>
      </c>
      <c r="DL235" s="59">
        <f t="shared" si="31"/>
        <v>-98.649360753028034</v>
      </c>
    </row>
    <row r="236" spans="1:116" ht="24.9" customHeight="1" x14ac:dyDescent="0.3">
      <c r="A236" s="328">
        <v>150000729</v>
      </c>
      <c r="B236" s="45" t="s">
        <v>1753</v>
      </c>
      <c r="C236" s="1035">
        <v>5</v>
      </c>
      <c r="D236" s="1036" t="s">
        <v>454</v>
      </c>
      <c r="E236" s="1028">
        <f>'побудинковий звіт'!E234</f>
        <v>63</v>
      </c>
      <c r="F236" s="1029">
        <f>'побудинковий звіт'!AS234</f>
        <v>28158.610268269338</v>
      </c>
      <c r="G236" s="1029">
        <f t="shared" si="24"/>
        <v>9500</v>
      </c>
      <c r="H236" s="1029">
        <f t="shared" si="25"/>
        <v>-18658.610268269338</v>
      </c>
      <c r="I236" s="43">
        <f>'[1]поточний ремонт'!I236+'[2]поточний ремонт'!I236-'[3]поточний ремонт'!I236</f>
        <v>5.6</v>
      </c>
      <c r="J236" s="43">
        <f>'[1]поточний ремонт'!J236+'[2]поточний ремонт'!J236-'[3]поточний ремонт'!J236</f>
        <v>1071</v>
      </c>
      <c r="K236" s="1049"/>
      <c r="L236" s="43">
        <f>'[1]поточний ремонт'!L236+'[2]поточний ремонт'!L236-'[3]поточний ремонт'!L236</f>
        <v>0</v>
      </c>
      <c r="M236" s="43">
        <f>'[1]поточний ремонт'!M236+'[2]поточний ремонт'!M236-'[3]поточний ремонт'!M236</f>
        <v>0</v>
      </c>
      <c r="N236" s="37"/>
      <c r="O236" s="43">
        <f>'[1]поточний ремонт'!O236+'[2]поточний ремонт'!O236-'[3]поточний ремонт'!O236</f>
        <v>0</v>
      </c>
      <c r="P236" s="43">
        <f>'[1]поточний ремонт'!P236+'[2]поточний ремонт'!P236-'[3]поточний ремонт'!P236</f>
        <v>0</v>
      </c>
      <c r="Q236" s="1038"/>
      <c r="R236" s="43">
        <f>'[1]поточний ремонт'!R236+'[2]поточний ремонт'!R236-'[3]поточний ремонт'!R236</f>
        <v>0</v>
      </c>
      <c r="S236" s="43">
        <f>'[1]поточний ремонт'!S236+'[2]поточний ремонт'!S236-'[3]поточний ремонт'!S236</f>
        <v>0</v>
      </c>
      <c r="T236" s="1039"/>
      <c r="U236" s="43">
        <f>'[1]поточний ремонт'!U236+'[2]поточний ремонт'!U236-'[3]поточний ремонт'!U236</f>
        <v>0</v>
      </c>
      <c r="V236" s="43">
        <f>'[1]поточний ремонт'!V236+'[2]поточний ремонт'!V236-'[3]поточний ремонт'!V236</f>
        <v>0</v>
      </c>
      <c r="W236" s="43">
        <f>'[1]поточний ремонт'!W236+'[2]поточний ремонт'!W236-'[3]поточний ремонт'!W236</f>
        <v>0</v>
      </c>
      <c r="X236" s="43">
        <f>'[1]поточний ремонт'!X236+'[2]поточний ремонт'!X236-'[3]поточний ремонт'!X236</f>
        <v>0</v>
      </c>
      <c r="Y236" s="43">
        <f>'[1]поточний ремонт'!Y236+'[2]поточний ремонт'!Y236-'[3]поточний ремонт'!Y236</f>
        <v>5965</v>
      </c>
      <c r="Z236" s="43">
        <f>'[1]поточний ремонт'!Z236+'[2]поточний ремонт'!Z236-'[3]поточний ремонт'!Z236</f>
        <v>0</v>
      </c>
      <c r="AA236" s="43">
        <f>'[1]поточний ремонт'!AA236+'[2]поточний ремонт'!AA236-'[3]поточний ремонт'!AA236</f>
        <v>0</v>
      </c>
      <c r="AB236" s="43">
        <f>'[1]поточний ремонт'!AB236+'[2]поточний ремонт'!AB236-'[3]поточний ремонт'!AB236</f>
        <v>0</v>
      </c>
      <c r="AC236" s="43">
        <f>'[1]поточний ремонт'!AC236+'[2]поточний ремонт'!AC236-'[3]поточний ремонт'!AC236</f>
        <v>0</v>
      </c>
      <c r="AD236" s="43">
        <f>'[1]поточний ремонт'!AD236+'[2]поточний ремонт'!AD236-'[3]поточний ремонт'!AD236</f>
        <v>2464</v>
      </c>
      <c r="AE236" s="43">
        <f>'[1]поточний ремонт'!AE236+'[2]поточний ремонт'!AE236-'[3]поточний ремонт'!AE236</f>
        <v>1498.8275399726422</v>
      </c>
      <c r="AF236" s="43">
        <f>'[1]поточний ремонт'!AF236+'[2]поточний ремонт'!AF236-'[3]поточний ремонт'!AF236</f>
        <v>1250</v>
      </c>
      <c r="AG236" s="9"/>
      <c r="AH236" s="43">
        <f>'[1]поточний ремонт'!AH236+'[2]поточний ремонт'!AH236-'[3]поточний ремонт'!AH236</f>
        <v>2314.420350658464</v>
      </c>
      <c r="AI236" s="43">
        <f>'[1]поточний ремонт'!AI236+'[2]поточний ремонт'!AI236-'[3]поточний ремонт'!AI236</f>
        <v>0</v>
      </c>
      <c r="AJ236" s="5"/>
      <c r="AK236" s="43">
        <f>'[1]поточний ремонт'!AK236+'[2]поточний ремонт'!AK236-'[3]поточний ремонт'!AK236</f>
        <v>1350.1942452430567</v>
      </c>
      <c r="AL236" s="43">
        <f>'[1]поточний ремонт'!AL236+'[2]поточний ремонт'!AL236-'[3]поточний ремонт'!AL236</f>
        <v>0</v>
      </c>
      <c r="AM236" s="5"/>
      <c r="AN236" s="43">
        <f>'[1]поточний ремонт'!AN236+'[2]поточний ремонт'!AN236-'[3]поточний ремонт'!AN236</f>
        <v>0</v>
      </c>
      <c r="AO236" s="43">
        <f>'[1]поточний ремонт'!AO236+'[2]поточний ремонт'!AO236-'[3]поточний ремонт'!AO236</f>
        <v>0</v>
      </c>
      <c r="AP236" s="5"/>
      <c r="AQ236" s="43">
        <f>'[1]поточний ремонт'!AQ236+'[2]поточний ремонт'!AQ236-'[3]поточний ремонт'!AQ236</f>
        <v>0</v>
      </c>
      <c r="AR236" s="43">
        <f>'[1]поточний ремонт'!AR236+'[2]поточний ремонт'!AR236-'[3]поточний ремонт'!AR236</f>
        <v>0</v>
      </c>
      <c r="AS236" s="5"/>
      <c r="AT236" s="43">
        <f>'[1]поточний ремонт'!AT236+'[2]поточний ремонт'!AT236-'[3]поточний ремонт'!AT236</f>
        <v>773.76019889967279</v>
      </c>
      <c r="AU236" s="43">
        <f>'[1]поточний ремонт'!AU236+'[2]поточний ремонт'!AU236-'[3]поточний ремонт'!AU236</f>
        <v>6461</v>
      </c>
      <c r="AV236" s="5"/>
      <c r="AW236" s="43">
        <f>'[1]поточний ремонт'!AW236+'[2]поточний ремонт'!AW236-'[3]поточний ремонт'!AW236</f>
        <v>0</v>
      </c>
      <c r="AX236" s="43">
        <f>'[1]поточний ремонт'!AX236+'[2]поточний ремонт'!AX236-'[3]поточний ремонт'!AX236</f>
        <v>0</v>
      </c>
      <c r="AY236" s="5"/>
      <c r="AZ236" s="43">
        <f t="shared" si="26"/>
        <v>5937.2023347738359</v>
      </c>
      <c r="BA236" s="43">
        <f t="shared" si="27"/>
        <v>7711</v>
      </c>
      <c r="BB236" s="59">
        <f t="shared" si="28"/>
        <v>1773.7976652261641</v>
      </c>
      <c r="BD236" s="2">
        <v>2</v>
      </c>
      <c r="BF236" s="30">
        <v>3.075502043721567</v>
      </c>
      <c r="BG236" s="328">
        <v>150000729</v>
      </c>
      <c r="BI236" s="107">
        <v>0</v>
      </c>
      <c r="BJ236" s="107">
        <f t="shared" si="29"/>
        <v>0</v>
      </c>
      <c r="BK236" s="107">
        <v>0</v>
      </c>
      <c r="BL236" s="39"/>
      <c r="BM236" s="3"/>
      <c r="BN236" s="3">
        <v>0</v>
      </c>
      <c r="BP236" s="3"/>
      <c r="BQ236" s="3"/>
      <c r="BS236" s="43"/>
      <c r="BT236" s="43">
        <v>0</v>
      </c>
      <c r="BU236" s="1049"/>
      <c r="BV236" s="42"/>
      <c r="BW236" s="43"/>
      <c r="BX236" s="37"/>
      <c r="BY236" s="78"/>
      <c r="BZ236" s="43">
        <v>0</v>
      </c>
      <c r="CA236" s="1038"/>
      <c r="CB236" s="42"/>
      <c r="CC236" s="42">
        <v>0</v>
      </c>
      <c r="CD236" s="1039"/>
      <c r="CE236" s="78">
        <v>0</v>
      </c>
      <c r="CF236" s="56"/>
      <c r="CG236" s="42">
        <v>0</v>
      </c>
      <c r="CH236" s="39">
        <v>0</v>
      </c>
      <c r="CI236" s="78">
        <v>0</v>
      </c>
      <c r="CJ236" s="56"/>
      <c r="CK236" s="1034"/>
      <c r="CL236" s="1029"/>
      <c r="CM236" s="1034"/>
      <c r="CN236" s="1029">
        <v>0</v>
      </c>
      <c r="CO236" s="78">
        <v>124.90229499772016</v>
      </c>
      <c r="CP236" s="43">
        <v>0</v>
      </c>
      <c r="CQ236" s="9"/>
      <c r="CR236" s="78">
        <v>192.86836255487205</v>
      </c>
      <c r="CS236" s="1033">
        <v>0</v>
      </c>
      <c r="CT236" s="5"/>
      <c r="CU236" s="78">
        <v>112.51618710358807</v>
      </c>
      <c r="CV236" s="43">
        <v>0</v>
      </c>
      <c r="CW236" s="5"/>
      <c r="CX236" s="78">
        <v>0</v>
      </c>
      <c r="CY236" s="43">
        <v>0</v>
      </c>
      <c r="CZ236" s="5"/>
      <c r="DA236" s="78">
        <v>0</v>
      </c>
      <c r="DB236" s="43">
        <v>0</v>
      </c>
      <c r="DC236" s="5"/>
      <c r="DD236" s="78">
        <v>64.480016574972723</v>
      </c>
      <c r="DE236" s="43">
        <v>0</v>
      </c>
      <c r="DF236" s="5"/>
      <c r="DG236" s="78">
        <v>0</v>
      </c>
      <c r="DH236" s="43"/>
      <c r="DI236" s="5"/>
      <c r="DJ236" s="43">
        <v>494.76686123115303</v>
      </c>
      <c r="DK236" s="43">
        <f t="shared" si="30"/>
        <v>0</v>
      </c>
      <c r="DL236" s="59">
        <f t="shared" si="31"/>
        <v>-494.76686123115303</v>
      </c>
    </row>
    <row r="237" spans="1:116" ht="24.9" customHeight="1" x14ac:dyDescent="0.3">
      <c r="A237" s="328">
        <v>150000721</v>
      </c>
      <c r="B237" s="45" t="s">
        <v>1754</v>
      </c>
      <c r="C237" s="1035">
        <v>4</v>
      </c>
      <c r="D237" s="1036" t="s">
        <v>454</v>
      </c>
      <c r="E237" s="1028">
        <f>'побудинковий звіт'!E235</f>
        <v>320.39999999999998</v>
      </c>
      <c r="F237" s="1029">
        <f>'побудинковий звіт'!AS235</f>
        <v>31649.352892887349</v>
      </c>
      <c r="G237" s="1029">
        <f t="shared" si="24"/>
        <v>1642.8368369226662</v>
      </c>
      <c r="H237" s="1029">
        <f t="shared" si="25"/>
        <v>-30006.516055964683</v>
      </c>
      <c r="I237" s="43">
        <f>'[1]поточний ремонт'!I237+'[2]поточний ремонт'!I237-'[3]поточний ремонт'!I237</f>
        <v>0</v>
      </c>
      <c r="J237" s="43">
        <f>'[1]поточний ремонт'!J237+'[2]поточний ремонт'!J237-'[3]поточний ремонт'!J237</f>
        <v>0</v>
      </c>
      <c r="K237" s="1037"/>
      <c r="L237" s="43">
        <f>'[1]поточний ремонт'!L237+'[2]поточний ремонт'!L237-'[3]поточний ремонт'!L237</f>
        <v>0</v>
      </c>
      <c r="M237" s="43">
        <f>'[1]поточний ремонт'!M237+'[2]поточний ремонт'!M237-'[3]поточний ремонт'!M237</f>
        <v>0</v>
      </c>
      <c r="N237" s="37"/>
      <c r="O237" s="43">
        <f>'[1]поточний ремонт'!O237+'[2]поточний ремонт'!O237-'[3]поточний ремонт'!O237</f>
        <v>0</v>
      </c>
      <c r="P237" s="43">
        <f>'[1]поточний ремонт'!P237+'[2]поточний ремонт'!P237-'[3]поточний ремонт'!P237</f>
        <v>0</v>
      </c>
      <c r="Q237" s="1038"/>
      <c r="R237" s="43">
        <f>'[1]поточний ремонт'!R237+'[2]поточний ремонт'!R237-'[3]поточний ремонт'!R237</f>
        <v>0</v>
      </c>
      <c r="S237" s="43">
        <f>'[1]поточний ремонт'!S237+'[2]поточний ремонт'!S237-'[3]поточний ремонт'!S237</f>
        <v>0</v>
      </c>
      <c r="T237" s="1039"/>
      <c r="U237" s="43">
        <f>'[1]поточний ремонт'!U237+'[2]поточний ремонт'!U237-'[3]поточний ремонт'!U237</f>
        <v>0</v>
      </c>
      <c r="V237" s="43">
        <f>'[1]поточний ремонт'!V237+'[2]поточний ремонт'!V237-'[3]поточний ремонт'!V237</f>
        <v>0</v>
      </c>
      <c r="W237" s="43">
        <f>'[1]поточний ремонт'!W237+'[2]поточний ремонт'!W237-'[3]поточний ремонт'!W237</f>
        <v>0</v>
      </c>
      <c r="X237" s="43">
        <f>'[1]поточний ремонт'!X237+'[2]поточний ремонт'!X237-'[3]поточний ремонт'!X237</f>
        <v>521.83683692266618</v>
      </c>
      <c r="Y237" s="43">
        <f>'[1]поточний ремонт'!Y237+'[2]поточний ремонт'!Y237-'[3]поточний ремонт'!Y237</f>
        <v>963</v>
      </c>
      <c r="Z237" s="43">
        <f>'[1]поточний ремонт'!Z237+'[2]поточний ремонт'!Z237-'[3]поточний ремонт'!Z237</f>
        <v>0</v>
      </c>
      <c r="AA237" s="43">
        <f>'[1]поточний ремонт'!AA237+'[2]поточний ремонт'!AA237-'[3]поточний ремонт'!AA237</f>
        <v>0</v>
      </c>
      <c r="AB237" s="43">
        <f>'[1]поточний ремонт'!AB237+'[2]поточний ремонт'!AB237-'[3]поточний ремонт'!AB237</f>
        <v>0</v>
      </c>
      <c r="AC237" s="43">
        <f>'[1]поточний ремонт'!AC237+'[2]поточний ремонт'!AC237-'[3]поточний ремонт'!AC237</f>
        <v>158</v>
      </c>
      <c r="AD237" s="43">
        <f>'[1]поточний ремонт'!AD237+'[2]поточний ремонт'!AD237-'[3]поточний ремонт'!AD237</f>
        <v>0</v>
      </c>
      <c r="AE237" s="43">
        <f>'[1]поточний ремонт'!AE237+'[2]поточний ремонт'!AE237-'[3]поточний ремонт'!AE237</f>
        <v>1660.7203621814174</v>
      </c>
      <c r="AF237" s="43">
        <f>'[1]поточний ремонт'!AF237+'[2]поточний ремонт'!AF237-'[3]поточний ремонт'!AF237</f>
        <v>766</v>
      </c>
      <c r="AG237" s="5"/>
      <c r="AH237" s="43">
        <f>'[1]поточний ремонт'!AH237+'[2]поточний ремонт'!AH237-'[3]поточний ремонт'!AH237</f>
        <v>1914.1159177535096</v>
      </c>
      <c r="AI237" s="43">
        <f>'[1]поточний ремонт'!AI237+'[2]поточний ремонт'!AI237-'[3]поточний ремонт'!AI237</f>
        <v>0</v>
      </c>
      <c r="AJ237" s="5"/>
      <c r="AK237" s="43">
        <f>'[1]поточний ремонт'!AK237+'[2]поточний ремонт'!AK237-'[3]поточний ремонт'!AK237</f>
        <v>2076.7730066581944</v>
      </c>
      <c r="AL237" s="43">
        <f>'[1]поточний ремонт'!AL237+'[2]поточний ремонт'!AL237-'[3]поточний ремонт'!AL237</f>
        <v>0</v>
      </c>
      <c r="AM237" s="5"/>
      <c r="AN237" s="43">
        <f>'[1]поточний ремонт'!AN237+'[2]поточний ремонт'!AN237-'[3]поточний ремонт'!AN237</f>
        <v>0</v>
      </c>
      <c r="AO237" s="43">
        <f>'[1]поточний ремонт'!AO237+'[2]поточний ремонт'!AO237-'[3]поточний ремонт'!AO237</f>
        <v>0</v>
      </c>
      <c r="AP237" s="5"/>
      <c r="AQ237" s="43">
        <f>'[1]поточний ремонт'!AQ237+'[2]поточний ремонт'!AQ237-'[3]поточний ремонт'!AQ237</f>
        <v>0</v>
      </c>
      <c r="AR237" s="43">
        <f>'[1]поточний ремонт'!AR237+'[2]поточний ремонт'!AR237-'[3]поточний ремонт'!AR237</f>
        <v>0</v>
      </c>
      <c r="AS237" s="5"/>
      <c r="AT237" s="43">
        <f>'[1]поточний ремонт'!AT237+'[2]поточний ремонт'!AT237-'[3]поточний ремонт'!AT237</f>
        <v>679.3953435316173</v>
      </c>
      <c r="AU237" s="43">
        <f>'[1]поточний ремонт'!AU237+'[2]поточний ремонт'!AU237-'[3]поточний ремонт'!AU237</f>
        <v>1076.550315131127</v>
      </c>
      <c r="AV237" s="5"/>
      <c r="AW237" s="43">
        <f>'[1]поточний ремонт'!AW237+'[2]поточний ремонт'!AW237-'[3]поточний ремонт'!AW237</f>
        <v>0</v>
      </c>
      <c r="AX237" s="43">
        <f>'[1]поточний ремонт'!AX237+'[2]поточний ремонт'!AX237-'[3]поточний ремонт'!AX237</f>
        <v>0</v>
      </c>
      <c r="AY237" s="5"/>
      <c r="AZ237" s="43">
        <f t="shared" si="26"/>
        <v>6331.0046301247385</v>
      </c>
      <c r="BA237" s="43">
        <f t="shared" si="27"/>
        <v>1842.550315131127</v>
      </c>
      <c r="BB237" s="59">
        <f t="shared" si="28"/>
        <v>-4488.4543149936117</v>
      </c>
      <c r="BD237" s="2">
        <v>2</v>
      </c>
      <c r="BF237" s="30">
        <v>4.0742332483075998</v>
      </c>
      <c r="BG237" s="328">
        <v>150000721</v>
      </c>
      <c r="BI237" s="107">
        <v>38.94</v>
      </c>
      <c r="BJ237" s="107">
        <f t="shared" si="29"/>
        <v>5.4773860679999995</v>
      </c>
      <c r="BK237" s="107">
        <v>44.908948896239998</v>
      </c>
      <c r="BL237" s="39"/>
      <c r="BM237" s="3"/>
      <c r="BN237" s="3">
        <v>0</v>
      </c>
      <c r="BP237" s="3"/>
      <c r="BQ237" s="3"/>
      <c r="BS237" s="43"/>
      <c r="BT237" s="43">
        <v>0</v>
      </c>
      <c r="BU237" s="1037"/>
      <c r="BV237" s="42"/>
      <c r="BW237" s="43"/>
      <c r="BX237" s="37"/>
      <c r="BY237" s="78"/>
      <c r="BZ237" s="43">
        <v>0</v>
      </c>
      <c r="CA237" s="1038"/>
      <c r="CB237" s="42"/>
      <c r="CC237" s="42">
        <v>0</v>
      </c>
      <c r="CD237" s="1039"/>
      <c r="CE237" s="78">
        <v>0</v>
      </c>
      <c r="CF237" s="56"/>
      <c r="CG237" s="42">
        <v>0</v>
      </c>
      <c r="CH237" s="39">
        <v>44.908948896239998</v>
      </c>
      <c r="CI237" s="78">
        <v>0</v>
      </c>
      <c r="CJ237" s="56"/>
      <c r="CK237" s="1034"/>
      <c r="CL237" s="1029"/>
      <c r="CM237" s="1034"/>
      <c r="CN237" s="1029">
        <v>0</v>
      </c>
      <c r="CO237" s="78">
        <v>138.3933635151181</v>
      </c>
      <c r="CP237" s="43">
        <v>0</v>
      </c>
      <c r="CQ237" s="5"/>
      <c r="CR237" s="78">
        <v>159.50965981279245</v>
      </c>
      <c r="CS237" s="1033">
        <v>0</v>
      </c>
      <c r="CT237" s="5"/>
      <c r="CU237" s="78">
        <v>173.06441722151624</v>
      </c>
      <c r="CV237" s="43">
        <v>0</v>
      </c>
      <c r="CW237" s="5"/>
      <c r="CX237" s="78">
        <v>0</v>
      </c>
      <c r="CY237" s="43">
        <v>0</v>
      </c>
      <c r="CZ237" s="5"/>
      <c r="DA237" s="78">
        <v>0</v>
      </c>
      <c r="DB237" s="43">
        <v>0</v>
      </c>
      <c r="DC237" s="5"/>
      <c r="DD237" s="78">
        <v>56.616278627634784</v>
      </c>
      <c r="DE237" s="43">
        <v>0</v>
      </c>
      <c r="DF237" s="5"/>
      <c r="DG237" s="78">
        <v>0</v>
      </c>
      <c r="DH237" s="43"/>
      <c r="DI237" s="5"/>
      <c r="DJ237" s="43">
        <v>527.58371917706154</v>
      </c>
      <c r="DK237" s="43">
        <f t="shared" si="30"/>
        <v>0</v>
      </c>
      <c r="DL237" s="59">
        <f t="shared" si="31"/>
        <v>-527.58371917706154</v>
      </c>
    </row>
    <row r="238" spans="1:116" ht="24.9" customHeight="1" x14ac:dyDescent="0.3">
      <c r="A238" s="328">
        <v>150000722</v>
      </c>
      <c r="B238" s="45" t="s">
        <v>1755</v>
      </c>
      <c r="C238" s="1035">
        <v>5</v>
      </c>
      <c r="D238" s="1036" t="s">
        <v>454</v>
      </c>
      <c r="E238" s="1028">
        <f>'побудинковий звіт'!E236</f>
        <v>601.4</v>
      </c>
      <c r="F238" s="1029">
        <f>'побудинковий звіт'!AS236</f>
        <v>57807.459922215552</v>
      </c>
      <c r="G238" s="1029">
        <f t="shared" si="24"/>
        <v>23551</v>
      </c>
      <c r="H238" s="1029">
        <f t="shared" si="25"/>
        <v>-34256.459922215552</v>
      </c>
      <c r="I238" s="43">
        <f>'[1]поточний ремонт'!I238+'[2]поточний ремонт'!I238-'[3]поточний ремонт'!I238</f>
        <v>80</v>
      </c>
      <c r="J238" s="43">
        <f>'[1]поточний ремонт'!J238+'[2]поточний ремонт'!J238-'[3]поточний ремонт'!J238</f>
        <v>21753</v>
      </c>
      <c r="K238" s="1037"/>
      <c r="L238" s="43">
        <f>'[1]поточний ремонт'!L238+'[2]поточний ремонт'!L238-'[3]поточний ремонт'!L238</f>
        <v>0</v>
      </c>
      <c r="M238" s="43">
        <f>'[1]поточний ремонт'!M238+'[2]поточний ремонт'!M238-'[3]поточний ремонт'!M238</f>
        <v>0</v>
      </c>
      <c r="N238" s="37"/>
      <c r="O238" s="43">
        <f>'[1]поточний ремонт'!O238+'[2]поточний ремонт'!O238-'[3]поточний ремонт'!O238</f>
        <v>0</v>
      </c>
      <c r="P238" s="43">
        <f>'[1]поточний ремонт'!P238+'[2]поточний ремонт'!P238-'[3]поточний ремонт'!P238</f>
        <v>0</v>
      </c>
      <c r="Q238" s="1058"/>
      <c r="R238" s="43">
        <f>'[1]поточний ремонт'!R238+'[2]поточний ремонт'!R238-'[3]поточний ремонт'!R238</f>
        <v>0</v>
      </c>
      <c r="S238" s="43">
        <f>'[1]поточний ремонт'!S238+'[2]поточний ремонт'!S238-'[3]поточний ремонт'!S238</f>
        <v>0</v>
      </c>
      <c r="T238" s="1039"/>
      <c r="U238" s="43">
        <f>'[1]поточний ремонт'!U238+'[2]поточний ремонт'!U238-'[3]поточний ремонт'!U238</f>
        <v>0</v>
      </c>
      <c r="V238" s="43">
        <f>'[1]поточний ремонт'!V238+'[2]поточний ремонт'!V238-'[3]поточний ремонт'!V238</f>
        <v>0</v>
      </c>
      <c r="W238" s="43">
        <f>'[1]поточний ремонт'!W238+'[2]поточний ремонт'!W238-'[3]поточний ремонт'!W238</f>
        <v>0</v>
      </c>
      <c r="X238" s="43">
        <f>'[1]поточний ремонт'!X238+'[2]поточний ремонт'!X238-'[3]поточний ремонт'!X238</f>
        <v>0</v>
      </c>
      <c r="Y238" s="43">
        <f>'[1]поточний ремонт'!Y238+'[2]поточний ремонт'!Y238-'[3]поточний ремонт'!Y238</f>
        <v>278</v>
      </c>
      <c r="Z238" s="43">
        <f>'[1]поточний ремонт'!Z238+'[2]поточний ремонт'!Z238-'[3]поточний ремонт'!Z238</f>
        <v>0</v>
      </c>
      <c r="AA238" s="43">
        <f>'[1]поточний ремонт'!AA238+'[2]поточний ремонт'!AA238-'[3]поточний ремонт'!AA238</f>
        <v>0</v>
      </c>
      <c r="AB238" s="43">
        <f>'[1]поточний ремонт'!AB238+'[2]поточний ремонт'!AB238-'[3]поточний ремонт'!AB238</f>
        <v>0</v>
      </c>
      <c r="AC238" s="43">
        <f>'[1]поточний ремонт'!AC238+'[2]поточний ремонт'!AC238-'[3]поточний ремонт'!AC238</f>
        <v>0</v>
      </c>
      <c r="AD238" s="43">
        <f>'[1]поточний ремонт'!AD238+'[2]поточний ремонт'!AD238-'[3]поточний ремонт'!AD238</f>
        <v>1520</v>
      </c>
      <c r="AE238" s="43">
        <f>'[1]поточний ремонт'!AE238+'[2]поточний ремонт'!AE238-'[3]поточний ремонт'!AE238</f>
        <v>1940.8217125497981</v>
      </c>
      <c r="AF238" s="43">
        <f>'[1]поточний ремонт'!AF238+'[2]поточний ремонт'!AF238-'[3]поточний ремонт'!AF238</f>
        <v>6755</v>
      </c>
      <c r="AG238" s="5"/>
      <c r="AH238" s="43">
        <f>'[1]поточний ремонт'!AH238+'[2]поточний ремонт'!AH238-'[3]поточний ремонт'!AH238</f>
        <v>2669.3329242191721</v>
      </c>
      <c r="AI238" s="43">
        <f>'[1]поточний ремонт'!AI238+'[2]поточний ремонт'!AI238-'[3]поточний ремонт'!AI238</f>
        <v>0</v>
      </c>
      <c r="AJ238" s="5"/>
      <c r="AK238" s="43">
        <f>'[1]поточний ремонт'!AK238+'[2]поточний ремонт'!AK238-'[3]поточний ремонт'!AK238</f>
        <v>2819.8391242299531</v>
      </c>
      <c r="AL238" s="43">
        <f>'[1]поточний ремонт'!AL238+'[2]поточний ремонт'!AL238-'[3]поточний ремонт'!AL238</f>
        <v>0</v>
      </c>
      <c r="AM238" s="5"/>
      <c r="AN238" s="43">
        <f>'[1]поточний ремонт'!AN238+'[2]поточний ремонт'!AN238-'[3]поточний ремонт'!AN238</f>
        <v>0</v>
      </c>
      <c r="AO238" s="43">
        <f>'[1]поточний ремонт'!AO238+'[2]поточний ремонт'!AO238-'[3]поточний ремонт'!AO238</f>
        <v>0</v>
      </c>
      <c r="AP238" s="5"/>
      <c r="AQ238" s="43">
        <f>'[1]поточний ремонт'!AQ238+'[2]поточний ремонт'!AQ238-'[3]поточний ремонт'!AQ238</f>
        <v>0</v>
      </c>
      <c r="AR238" s="43">
        <f>'[1]поточний ремонт'!AR238+'[2]поточний ремонт'!AR238-'[3]поточний ремонт'!AR238</f>
        <v>0</v>
      </c>
      <c r="AS238" s="5"/>
      <c r="AT238" s="43">
        <f>'[1]поточний ремонт'!AT238+'[2]поточний ремонт'!AT238-'[3]поточний ремонт'!AT238</f>
        <v>1077.0682812303669</v>
      </c>
      <c r="AU238" s="43">
        <f>'[1]поточний ремонт'!AU238+'[2]поточний ремонт'!AU238-'[3]поточний ремонт'!AU238</f>
        <v>913</v>
      </c>
      <c r="AV238" s="5"/>
      <c r="AW238" s="43">
        <f>'[1]поточний ремонт'!AW238+'[2]поточний ремонт'!AW238-'[3]поточний ремонт'!AW238</f>
        <v>0</v>
      </c>
      <c r="AX238" s="43">
        <f>'[1]поточний ремонт'!AX238+'[2]поточний ремонт'!AX238-'[3]поточний ремонт'!AX238</f>
        <v>0</v>
      </c>
      <c r="AY238" s="5"/>
      <c r="AZ238" s="43">
        <f t="shared" si="26"/>
        <v>8507.0620422292905</v>
      </c>
      <c r="BA238" s="43">
        <f t="shared" si="27"/>
        <v>7668</v>
      </c>
      <c r="BB238" s="59">
        <f t="shared" si="28"/>
        <v>-839.06204222929045</v>
      </c>
      <c r="BD238" s="2">
        <v>2</v>
      </c>
      <c r="BF238" s="30">
        <v>5.1988647597601361</v>
      </c>
      <c r="BG238" s="328">
        <v>150000722</v>
      </c>
      <c r="BI238" s="107">
        <v>0</v>
      </c>
      <c r="BJ238" s="107">
        <f t="shared" si="29"/>
        <v>0</v>
      </c>
      <c r="BK238" s="107">
        <v>0</v>
      </c>
      <c r="BL238" s="39"/>
      <c r="BM238" s="3">
        <v>4</v>
      </c>
      <c r="BN238" s="3">
        <v>314.20208540987488</v>
      </c>
      <c r="BP238" s="3"/>
      <c r="BQ238" s="3"/>
      <c r="BS238" s="43"/>
      <c r="BT238" s="43">
        <v>0</v>
      </c>
      <c r="BU238" s="1037"/>
      <c r="BV238" s="42"/>
      <c r="BW238" s="43"/>
      <c r="BX238" s="37"/>
      <c r="BY238" s="78">
        <v>17</v>
      </c>
      <c r="BZ238" s="43">
        <v>5577.0998514638895</v>
      </c>
      <c r="CA238" s="1058"/>
      <c r="CB238" s="42"/>
      <c r="CC238" s="42">
        <v>0</v>
      </c>
      <c r="CD238" s="1039"/>
      <c r="CE238" s="78">
        <v>0</v>
      </c>
      <c r="CF238" s="56"/>
      <c r="CG238" s="42">
        <v>4</v>
      </c>
      <c r="CH238" s="39">
        <v>314.20208540987488</v>
      </c>
      <c r="CI238" s="78">
        <v>0</v>
      </c>
      <c r="CJ238" s="1051"/>
      <c r="CK238" s="1034"/>
      <c r="CL238" s="1029"/>
      <c r="CM238" s="1034"/>
      <c r="CN238" s="1029">
        <v>0</v>
      </c>
      <c r="CO238" s="78">
        <v>161.7351427124832</v>
      </c>
      <c r="CP238" s="43">
        <v>0</v>
      </c>
      <c r="CQ238" s="5"/>
      <c r="CR238" s="78">
        <v>222.44441035159772</v>
      </c>
      <c r="CS238" s="1033">
        <v>0</v>
      </c>
      <c r="CT238" s="5"/>
      <c r="CU238" s="78">
        <v>234.98659368582938</v>
      </c>
      <c r="CV238" s="43">
        <v>0</v>
      </c>
      <c r="CW238" s="5"/>
      <c r="CX238" s="78">
        <v>0</v>
      </c>
      <c r="CY238" s="43">
        <v>0</v>
      </c>
      <c r="CZ238" s="5"/>
      <c r="DA238" s="78">
        <v>0</v>
      </c>
      <c r="DB238" s="43">
        <v>0</v>
      </c>
      <c r="DC238" s="5"/>
      <c r="DD238" s="78">
        <v>89.755690102530579</v>
      </c>
      <c r="DE238" s="43">
        <v>0</v>
      </c>
      <c r="DF238" s="5"/>
      <c r="DG238" s="78">
        <v>0</v>
      </c>
      <c r="DH238" s="43"/>
      <c r="DI238" s="5"/>
      <c r="DJ238" s="43">
        <v>708.92183685244083</v>
      </c>
      <c r="DK238" s="43">
        <f t="shared" si="30"/>
        <v>0</v>
      </c>
      <c r="DL238" s="59">
        <f t="shared" si="31"/>
        <v>-708.92183685244083</v>
      </c>
    </row>
    <row r="239" spans="1:116" ht="24.9" customHeight="1" x14ac:dyDescent="0.3">
      <c r="A239" s="328">
        <v>150000723</v>
      </c>
      <c r="B239" s="45" t="s">
        <v>1756</v>
      </c>
      <c r="C239" s="1035">
        <v>5</v>
      </c>
      <c r="D239" s="1036" t="s">
        <v>454</v>
      </c>
      <c r="E239" s="1028">
        <f>'побудинковий звіт'!E237</f>
        <v>427.1</v>
      </c>
      <c r="F239" s="1029">
        <f>'побудинковий звіт'!AS237</f>
        <v>57920.574094346528</v>
      </c>
      <c r="G239" s="1029">
        <f t="shared" si="24"/>
        <v>47298.319891520594</v>
      </c>
      <c r="H239" s="1029">
        <f t="shared" si="25"/>
        <v>-10622.254202825934</v>
      </c>
      <c r="I239" s="43">
        <f>'[1]поточний ремонт'!I239+'[2]поточний ремонт'!I239-'[3]поточний ремонт'!I239</f>
        <v>0</v>
      </c>
      <c r="J239" s="43">
        <f>'[1]поточний ремонт'!J239+'[2]поточний ремонт'!J239-'[3]поточний ремонт'!J239</f>
        <v>0</v>
      </c>
      <c r="K239" s="1037"/>
      <c r="L239" s="43">
        <f>'[1]поточний ремонт'!L239+'[2]поточний ремонт'!L239-'[3]поточний ремонт'!L239</f>
        <v>0</v>
      </c>
      <c r="M239" s="43">
        <f>'[1]поточний ремонт'!M239+'[2]поточний ремонт'!M239-'[3]поточний ремонт'!M239</f>
        <v>0</v>
      </c>
      <c r="N239" s="37"/>
      <c r="O239" s="43">
        <f>'[1]поточний ремонт'!O239+'[2]поточний ремонт'!O239-'[3]поточний ремонт'!O239</f>
        <v>10</v>
      </c>
      <c r="P239" s="43">
        <f>'[1]поточний ремонт'!P239+'[2]поточний ремонт'!P239-'[3]поточний ремонт'!P239</f>
        <v>2415</v>
      </c>
      <c r="Q239" s="1058"/>
      <c r="R239" s="43">
        <f>'[1]поточний ремонт'!R239+'[2]поточний ремонт'!R239-'[3]поточний ремонт'!R239</f>
        <v>0</v>
      </c>
      <c r="S239" s="43">
        <f>'[1]поточний ремонт'!S239+'[2]поточний ремонт'!S239-'[3]поточний ремонт'!S239</f>
        <v>0</v>
      </c>
      <c r="T239" s="1039"/>
      <c r="U239" s="43">
        <f>'[1]поточний ремонт'!U239+'[2]поточний ремонт'!U239-'[3]поточний ремонт'!U239</f>
        <v>0</v>
      </c>
      <c r="V239" s="43">
        <f>'[1]поточний ремонт'!V239+'[2]поточний ремонт'!V239-'[3]поточний ремонт'!V239</f>
        <v>0</v>
      </c>
      <c r="W239" s="43">
        <f>'[1]поточний ремонт'!W239+'[2]поточний ремонт'!W239-'[3]поточний ремонт'!W239</f>
        <v>0</v>
      </c>
      <c r="X239" s="43">
        <f>'[1]поточний ремонт'!X239+'[2]поточний ремонт'!X239-'[3]поточний ремонт'!X239</f>
        <v>6132.3198915205958</v>
      </c>
      <c r="Y239" s="43">
        <f>'[1]поточний ремонт'!Y239+'[2]поточний ремонт'!Y239-'[3]поточний ремонт'!Y239</f>
        <v>30048</v>
      </c>
      <c r="Z239" s="43">
        <f>'[1]поточний ремонт'!Z239+'[2]поточний ремонт'!Z239-'[3]поточний ремонт'!Z239</f>
        <v>0</v>
      </c>
      <c r="AA239" s="43">
        <f>'[1]поточний ремонт'!AA239+'[2]поточний ремонт'!AA239-'[3]поточний ремонт'!AA239</f>
        <v>0</v>
      </c>
      <c r="AB239" s="43">
        <f>'[1]поточний ремонт'!AB239+'[2]поточний ремонт'!AB239-'[3]поточний ремонт'!AB239</f>
        <v>4826</v>
      </c>
      <c r="AC239" s="43">
        <f>'[1]поточний ремонт'!AC239+'[2]поточний ремонт'!AC239-'[3]поточний ремонт'!AC239</f>
        <v>0</v>
      </c>
      <c r="AD239" s="43">
        <f>'[1]поточний ремонт'!AD239+'[2]поточний ремонт'!AD239-'[3]поточний ремонт'!AD239</f>
        <v>3877</v>
      </c>
      <c r="AE239" s="43">
        <f>'[1]поточний ремонт'!AE239+'[2]поточний ремонт'!AE239-'[3]поточний ремонт'!AE239</f>
        <v>1941.1583105102109</v>
      </c>
      <c r="AF239" s="43">
        <f>'[1]поточний ремонт'!AF239+'[2]поточний ремонт'!AF239-'[3]поточний ремонт'!AF239</f>
        <v>1093</v>
      </c>
      <c r="AG239" s="9"/>
      <c r="AH239" s="43">
        <f>'[1]поточний ремонт'!AH239+'[2]поточний ремонт'!AH239-'[3]поточний ремонт'!AH239</f>
        <v>2669.3329242191721</v>
      </c>
      <c r="AI239" s="43">
        <f>'[1]поточний ремонт'!AI239+'[2]поточний ремонт'!AI239-'[3]поточний ремонт'!AI239</f>
        <v>0</v>
      </c>
      <c r="AJ239" s="5"/>
      <c r="AK239" s="43">
        <f>'[1]поточний ремонт'!AK239+'[2]поточний ремонт'!AK239-'[3]поточний ремонт'!AK239</f>
        <v>2836.7505904415775</v>
      </c>
      <c r="AL239" s="43">
        <f>'[1]поточний ремонт'!AL239+'[2]поточний ремонт'!AL239-'[3]поточний ремонт'!AL239</f>
        <v>0</v>
      </c>
      <c r="AM239" s="5"/>
      <c r="AN239" s="43">
        <f>'[1]поточний ремонт'!AN239+'[2]поточний ремонт'!AN239-'[3]поточний ремонт'!AN239</f>
        <v>0</v>
      </c>
      <c r="AO239" s="43">
        <f>'[1]поточний ремонт'!AO239+'[2]поточний ремонт'!AO239-'[3]поточний ремонт'!AO239</f>
        <v>0</v>
      </c>
      <c r="AP239" s="5"/>
      <c r="AQ239" s="43">
        <f>'[1]поточний ремонт'!AQ239+'[2]поточний ремонт'!AQ239-'[3]поточний ремонт'!AQ239</f>
        <v>0</v>
      </c>
      <c r="AR239" s="43">
        <f>'[1]поточний ремонт'!AR239+'[2]поточний ремонт'!AR239-'[3]поточний ремонт'!AR239</f>
        <v>0</v>
      </c>
      <c r="AS239" s="5"/>
      <c r="AT239" s="43">
        <f>'[1]поточний ремонт'!AT239+'[2]поточний ремонт'!AT239-'[3]поточний ремонт'!AT239</f>
        <v>1077.1086257719292</v>
      </c>
      <c r="AU239" s="43">
        <f>'[1]поточний ремонт'!AU239+'[2]поточний ремонт'!AU239-'[3]поточний ремонт'!AU239</f>
        <v>1393.007111349609</v>
      </c>
      <c r="AV239" s="5"/>
      <c r="AW239" s="43">
        <f>'[1]поточний ремонт'!AW239+'[2]поточний ремонт'!AW239-'[3]поточний ремонт'!AW239</f>
        <v>0</v>
      </c>
      <c r="AX239" s="43">
        <f>'[1]поточний ремонт'!AX239+'[2]поточний ремонт'!AX239-'[3]поточний ремонт'!AX239</f>
        <v>0</v>
      </c>
      <c r="AY239" s="5"/>
      <c r="AZ239" s="43">
        <f t="shared" si="26"/>
        <v>8524.3504509428894</v>
      </c>
      <c r="BA239" s="43">
        <f t="shared" si="27"/>
        <v>2486.0071113496087</v>
      </c>
      <c r="BB239" s="59">
        <f t="shared" si="28"/>
        <v>-6038.3433395932807</v>
      </c>
      <c r="BD239" s="2">
        <v>2</v>
      </c>
      <c r="BF239" s="30">
        <v>5.2220876701914296</v>
      </c>
      <c r="BG239" s="328">
        <v>150000723</v>
      </c>
      <c r="BI239" s="107">
        <v>457.6</v>
      </c>
      <c r="BJ239" s="107">
        <f t="shared" si="29"/>
        <v>64.367022719999994</v>
      </c>
      <c r="BK239" s="107">
        <v>527.74358024959997</v>
      </c>
      <c r="BL239" s="39"/>
      <c r="BM239" s="3"/>
      <c r="BN239" s="3">
        <v>0</v>
      </c>
      <c r="BP239" s="3"/>
      <c r="BQ239" s="3"/>
      <c r="BS239" s="43"/>
      <c r="BT239" s="43">
        <v>0</v>
      </c>
      <c r="BU239" s="1037"/>
      <c r="BV239" s="42"/>
      <c r="BW239" s="43"/>
      <c r="BX239" s="37"/>
      <c r="BY239" s="78"/>
      <c r="BZ239" s="43">
        <v>0</v>
      </c>
      <c r="CA239" s="1058"/>
      <c r="CB239" s="42"/>
      <c r="CC239" s="42">
        <v>0</v>
      </c>
      <c r="CD239" s="1039"/>
      <c r="CE239" s="78">
        <v>0</v>
      </c>
      <c r="CF239" s="56"/>
      <c r="CG239" s="42">
        <v>0</v>
      </c>
      <c r="CH239" s="39">
        <v>527.74358024959997</v>
      </c>
      <c r="CI239" s="78">
        <v>0</v>
      </c>
      <c r="CJ239" s="56"/>
      <c r="CK239" s="1034"/>
      <c r="CL239" s="1029"/>
      <c r="CM239" s="1034"/>
      <c r="CN239" s="1029">
        <v>0</v>
      </c>
      <c r="CO239" s="78">
        <v>161.76319254251757</v>
      </c>
      <c r="CP239" s="43">
        <v>0</v>
      </c>
      <c r="CQ239" s="9"/>
      <c r="CR239" s="78">
        <v>222.44441035159772</v>
      </c>
      <c r="CS239" s="1033">
        <v>0</v>
      </c>
      <c r="CT239" s="5"/>
      <c r="CU239" s="78">
        <v>236.39588253679813</v>
      </c>
      <c r="CV239" s="43">
        <v>0</v>
      </c>
      <c r="CW239" s="5"/>
      <c r="CX239" s="78">
        <v>0</v>
      </c>
      <c r="CY239" s="43">
        <v>0</v>
      </c>
      <c r="CZ239" s="5"/>
      <c r="DA239" s="78">
        <v>0</v>
      </c>
      <c r="DB239" s="43">
        <v>0</v>
      </c>
      <c r="DC239" s="5"/>
      <c r="DD239" s="78">
        <v>89.759052147660768</v>
      </c>
      <c r="DE239" s="43">
        <v>0</v>
      </c>
      <c r="DF239" s="5"/>
      <c r="DG239" s="78">
        <v>0</v>
      </c>
      <c r="DH239" s="43"/>
      <c r="DI239" s="5"/>
      <c r="DJ239" s="43">
        <v>710.36253757857423</v>
      </c>
      <c r="DK239" s="43">
        <f t="shared" si="30"/>
        <v>0</v>
      </c>
      <c r="DL239" s="59">
        <f t="shared" si="31"/>
        <v>-710.36253757857423</v>
      </c>
    </row>
    <row r="240" spans="1:116" ht="24.9" customHeight="1" x14ac:dyDescent="0.3">
      <c r="A240" s="328">
        <v>150000724</v>
      </c>
      <c r="B240" s="45" t="s">
        <v>1757</v>
      </c>
      <c r="C240" s="1035">
        <v>5</v>
      </c>
      <c r="D240" s="1036" t="s">
        <v>454</v>
      </c>
      <c r="E240" s="1028">
        <f>'побудинковий звіт'!E238</f>
        <v>1282.0999999999999</v>
      </c>
      <c r="F240" s="1029">
        <f>'побудинковий звіт'!AS238</f>
        <v>52698.378885483238</v>
      </c>
      <c r="G240" s="1029">
        <f t="shared" si="24"/>
        <v>17927</v>
      </c>
      <c r="H240" s="1029">
        <f t="shared" si="25"/>
        <v>-34771.378885483238</v>
      </c>
      <c r="I240" s="43">
        <f>'[1]поточний ремонт'!I240+'[2]поточний ремонт'!I240-'[3]поточний ремонт'!I240</f>
        <v>1</v>
      </c>
      <c r="J240" s="43">
        <f>'[1]поточний ремонт'!J240+'[2]поточний ремонт'!J240-'[3]поточний ремонт'!J240</f>
        <v>383</v>
      </c>
      <c r="K240" s="1037"/>
      <c r="L240" s="43">
        <f>'[1]поточний ремонт'!L240+'[2]поточний ремонт'!L240-'[3]поточний ремонт'!L240</f>
        <v>0</v>
      </c>
      <c r="M240" s="43">
        <f>'[1]поточний ремонт'!M240+'[2]поточний ремонт'!M240-'[3]поточний ремонт'!M240</f>
        <v>0</v>
      </c>
      <c r="N240" s="37"/>
      <c r="O240" s="43">
        <f>'[1]поточний ремонт'!O240+'[2]поточний ремонт'!O240-'[3]поточний ремонт'!O240</f>
        <v>0</v>
      </c>
      <c r="P240" s="43">
        <f>'[1]поточний ремонт'!P240+'[2]поточний ремонт'!P240-'[3]поточний ремонт'!P240</f>
        <v>0</v>
      </c>
      <c r="Q240" s="1058"/>
      <c r="R240" s="43">
        <f>'[1]поточний ремонт'!R240+'[2]поточний ремонт'!R240-'[3]поточний ремонт'!R240</f>
        <v>0</v>
      </c>
      <c r="S240" s="43">
        <f>'[1]поточний ремонт'!S240+'[2]поточний ремонт'!S240-'[3]поточний ремонт'!S240</f>
        <v>0</v>
      </c>
      <c r="T240" s="1039"/>
      <c r="U240" s="43">
        <f>'[1]поточний ремонт'!U240+'[2]поточний ремонт'!U240-'[3]поточний ремонт'!U240</f>
        <v>0</v>
      </c>
      <c r="V240" s="43">
        <f>'[1]поточний ремонт'!V240+'[2]поточний ремонт'!V240-'[3]поточний ремонт'!V240</f>
        <v>0</v>
      </c>
      <c r="W240" s="43">
        <f>'[1]поточний ремонт'!W240+'[2]поточний ремонт'!W240-'[3]поточний ремонт'!W240</f>
        <v>0</v>
      </c>
      <c r="X240" s="43">
        <f>'[1]поточний ремонт'!X240+'[2]поточний ремонт'!X240-'[3]поточний ремонт'!X240</f>
        <v>0</v>
      </c>
      <c r="Y240" s="43">
        <f>'[1]поточний ремонт'!Y240+'[2]поточний ремонт'!Y240-'[3]поточний ремонт'!Y240</f>
        <v>14324</v>
      </c>
      <c r="Z240" s="43">
        <f>'[1]поточний ремонт'!Z240+'[2]поточний ремонт'!Z240-'[3]поточний ремонт'!Z240</f>
        <v>0</v>
      </c>
      <c r="AA240" s="43">
        <f>'[1]поточний ремонт'!AA240+'[2]поточний ремонт'!AA240-'[3]поточний ремонт'!AA240</f>
        <v>0</v>
      </c>
      <c r="AB240" s="43">
        <f>'[1]поточний ремонт'!AB240+'[2]поточний ремонт'!AB240-'[3]поточний ремонт'!AB240</f>
        <v>0</v>
      </c>
      <c r="AC240" s="43">
        <f>'[1]поточний ремонт'!AC240+'[2]поточний ремонт'!AC240-'[3]поточний ремонт'!AC240</f>
        <v>63</v>
      </c>
      <c r="AD240" s="43">
        <f>'[1]поточний ремонт'!AD240+'[2]поточний ремонт'!AD240-'[3]поточний ремонт'!AD240</f>
        <v>3157</v>
      </c>
      <c r="AE240" s="43">
        <f>'[1]поточний ремонт'!AE240+'[2]поточний ремонт'!AE240-'[3]поточний ремонт'!AE240</f>
        <v>1940.8522748715295</v>
      </c>
      <c r="AF240" s="43">
        <f>'[1]поточний ремонт'!AF240+'[2]поточний ремонт'!AF240-'[3]поточний ремонт'!AF240</f>
        <v>5684.2802304249271</v>
      </c>
      <c r="AG240" s="5"/>
      <c r="AH240" s="43">
        <f>'[1]поточний ремонт'!AH240+'[2]поточний ремонт'!AH240-'[3]поточний ремонт'!AH240</f>
        <v>2669.3329242191721</v>
      </c>
      <c r="AI240" s="43">
        <f>'[1]поточний ремонт'!AI240+'[2]поточний ремонт'!AI240-'[3]поточний ремонт'!AI240</f>
        <v>0</v>
      </c>
      <c r="AJ240" s="5"/>
      <c r="AK240" s="43">
        <f>'[1]поточний ремонт'!AK240+'[2]поточний ремонт'!AK240-'[3]поточний ремонт'!AK240</f>
        <v>2836.7505904415775</v>
      </c>
      <c r="AL240" s="43">
        <f>'[1]поточний ремонт'!AL240+'[2]поточний ремонт'!AL240-'[3]поточний ремонт'!AL240</f>
        <v>0</v>
      </c>
      <c r="AM240" s="5"/>
      <c r="AN240" s="43">
        <f>'[1]поточний ремонт'!AN240+'[2]поточний ремонт'!AN240-'[3]поточний ремонт'!AN240</f>
        <v>0</v>
      </c>
      <c r="AO240" s="43">
        <f>'[1]поточний ремонт'!AO240+'[2]поточний ремонт'!AO240-'[3]поточний ремонт'!AO240</f>
        <v>0</v>
      </c>
      <c r="AP240" s="5"/>
      <c r="AQ240" s="43">
        <f>'[1]поточний ремонт'!AQ240+'[2]поточний ремонт'!AQ240-'[3]поточний ремонт'!AQ240</f>
        <v>0</v>
      </c>
      <c r="AR240" s="43">
        <f>'[1]поточний ремонт'!AR240+'[2]поточний ремонт'!AR240-'[3]поточний ремонт'!AR240</f>
        <v>0</v>
      </c>
      <c r="AS240" s="5"/>
      <c r="AT240" s="43">
        <f>'[1]поточний ремонт'!AT240+'[2]поточний ремонт'!AT240-'[3]поточний ремонт'!AT240</f>
        <v>1077.1086257719292</v>
      </c>
      <c r="AU240" s="43">
        <f>'[1]поточний ремонт'!AU240+'[2]поточний ремонт'!AU240-'[3]поточний ремонт'!AU240</f>
        <v>124</v>
      </c>
      <c r="AV240" s="5"/>
      <c r="AW240" s="43">
        <f>'[1]поточний ремонт'!AW240+'[2]поточний ремонт'!AW240-'[3]поточний ремонт'!AW240</f>
        <v>0</v>
      </c>
      <c r="AX240" s="43">
        <f>'[1]поточний ремонт'!AX240+'[2]поточний ремонт'!AX240-'[3]поточний ремонт'!AX240</f>
        <v>0</v>
      </c>
      <c r="AY240" s="5"/>
      <c r="AZ240" s="43">
        <f t="shared" si="26"/>
        <v>8524.0444153042081</v>
      </c>
      <c r="BA240" s="43">
        <f t="shared" si="27"/>
        <v>5808.2802304249271</v>
      </c>
      <c r="BB240" s="59">
        <f t="shared" si="28"/>
        <v>-2715.7641848792809</v>
      </c>
      <c r="BD240" s="2">
        <v>2</v>
      </c>
      <c r="BF240" s="30">
        <v>5.2068978419847971</v>
      </c>
      <c r="BG240" s="328">
        <v>150000724</v>
      </c>
      <c r="BI240" s="107">
        <v>0</v>
      </c>
      <c r="BJ240" s="107">
        <f t="shared" si="29"/>
        <v>0</v>
      </c>
      <c r="BK240" s="107">
        <v>0</v>
      </c>
      <c r="BL240" s="39"/>
      <c r="BM240" s="3"/>
      <c r="BN240" s="3">
        <v>0</v>
      </c>
      <c r="BP240" s="3"/>
      <c r="BQ240" s="3"/>
      <c r="BS240" s="43"/>
      <c r="BT240" s="43">
        <v>0</v>
      </c>
      <c r="BU240" s="1037"/>
      <c r="BV240" s="42"/>
      <c r="BW240" s="43"/>
      <c r="BX240" s="37"/>
      <c r="BY240" s="78"/>
      <c r="BZ240" s="43">
        <v>0</v>
      </c>
      <c r="CA240" s="1058"/>
      <c r="CB240" s="42"/>
      <c r="CC240" s="42">
        <v>0</v>
      </c>
      <c r="CD240" s="1039"/>
      <c r="CE240" s="78">
        <v>0</v>
      </c>
      <c r="CF240" s="56"/>
      <c r="CG240" s="42">
        <v>0</v>
      </c>
      <c r="CH240" s="39">
        <v>0</v>
      </c>
      <c r="CI240" s="78">
        <v>0</v>
      </c>
      <c r="CJ240" s="56"/>
      <c r="CK240" s="1034"/>
      <c r="CL240" s="1029"/>
      <c r="CM240" s="1034"/>
      <c r="CN240" s="1029">
        <v>0</v>
      </c>
      <c r="CO240" s="78">
        <v>161.73768957262746</v>
      </c>
      <c r="CP240" s="43">
        <v>1292.5792133935711</v>
      </c>
      <c r="CQ240" s="5"/>
      <c r="CR240" s="78">
        <v>222.44441035159772</v>
      </c>
      <c r="CS240" s="1033">
        <v>0</v>
      </c>
      <c r="CT240" s="5"/>
      <c r="CU240" s="78">
        <v>236.39588253679813</v>
      </c>
      <c r="CV240" s="43">
        <v>0</v>
      </c>
      <c r="CW240" s="5"/>
      <c r="CX240" s="78">
        <v>0</v>
      </c>
      <c r="CY240" s="43">
        <v>0</v>
      </c>
      <c r="CZ240" s="5"/>
      <c r="DA240" s="78">
        <v>0</v>
      </c>
      <c r="DB240" s="43">
        <v>0</v>
      </c>
      <c r="DC240" s="5"/>
      <c r="DD240" s="78">
        <v>89.759052147660768</v>
      </c>
      <c r="DE240" s="43">
        <v>0</v>
      </c>
      <c r="DF240" s="5"/>
      <c r="DG240" s="78">
        <v>0</v>
      </c>
      <c r="DH240" s="43"/>
      <c r="DI240" s="5"/>
      <c r="DJ240" s="43">
        <v>710.33703460868412</v>
      </c>
      <c r="DK240" s="43">
        <f t="shared" si="30"/>
        <v>1292.5792133935711</v>
      </c>
      <c r="DL240" s="59">
        <f t="shared" si="31"/>
        <v>582.24217878488696</v>
      </c>
    </row>
    <row r="241" spans="1:116" ht="24.9" customHeight="1" x14ac:dyDescent="0.3">
      <c r="A241" s="328">
        <v>150000725</v>
      </c>
      <c r="B241" s="45" t="s">
        <v>1758</v>
      </c>
      <c r="C241" s="1035">
        <v>5</v>
      </c>
      <c r="D241" s="1036" t="s">
        <v>454</v>
      </c>
      <c r="E241" s="1028">
        <f>'побудинковий звіт'!E239</f>
        <v>3107.5</v>
      </c>
      <c r="F241" s="1029">
        <f>'побудинковий звіт'!AS239</f>
        <v>57733.034533392478</v>
      </c>
      <c r="G241" s="1029">
        <f t="shared" si="24"/>
        <v>6203</v>
      </c>
      <c r="H241" s="1029">
        <f t="shared" si="25"/>
        <v>-51530.034533392478</v>
      </c>
      <c r="I241" s="43">
        <f>'[1]поточний ремонт'!I241+'[2]поточний ремонт'!I241-'[3]поточний ремонт'!I241</f>
        <v>2.4</v>
      </c>
      <c r="J241" s="43">
        <f>'[1]поточний ремонт'!J241+'[2]поточний ремонт'!J241-'[3]поточний ремонт'!J241</f>
        <v>1310</v>
      </c>
      <c r="K241" s="1037"/>
      <c r="L241" s="43">
        <f>'[1]поточний ремонт'!L241+'[2]поточний ремонт'!L241-'[3]поточний ремонт'!L241</f>
        <v>0</v>
      </c>
      <c r="M241" s="43">
        <f>'[1]поточний ремонт'!M241+'[2]поточний ремонт'!M241-'[3]поточний ремонт'!M241</f>
        <v>0</v>
      </c>
      <c r="N241" s="37"/>
      <c r="O241" s="43">
        <f>'[1]поточний ремонт'!O241+'[2]поточний ремонт'!O241-'[3]поточний ремонт'!O241</f>
        <v>0</v>
      </c>
      <c r="P241" s="43">
        <f>'[1]поточний ремонт'!P241+'[2]поточний ремонт'!P241-'[3]поточний ремонт'!P241</f>
        <v>0</v>
      </c>
      <c r="Q241" s="1038"/>
      <c r="R241" s="43">
        <f>'[1]поточний ремонт'!R241+'[2]поточний ремонт'!R241-'[3]поточний ремонт'!R241</f>
        <v>0</v>
      </c>
      <c r="S241" s="43">
        <f>'[1]поточний ремонт'!S241+'[2]поточний ремонт'!S241-'[3]поточний ремонт'!S241</f>
        <v>0</v>
      </c>
      <c r="T241" s="1039"/>
      <c r="U241" s="43">
        <f>'[1]поточний ремонт'!U241+'[2]поточний ремонт'!U241-'[3]поточний ремонт'!U241</f>
        <v>0</v>
      </c>
      <c r="V241" s="43">
        <f>'[1]поточний ремонт'!V241+'[2]поточний ремонт'!V241-'[3]поточний ремонт'!V241</f>
        <v>0</v>
      </c>
      <c r="W241" s="43">
        <f>'[1]поточний ремонт'!W241+'[2]поточний ремонт'!W241-'[3]поточний ремонт'!W241</f>
        <v>0</v>
      </c>
      <c r="X241" s="43">
        <f>'[1]поточний ремонт'!X241+'[2]поточний ремонт'!X241-'[3]поточний ремонт'!X241</f>
        <v>0</v>
      </c>
      <c r="Y241" s="43">
        <f>'[1]поточний ремонт'!Y241+'[2]поточний ремонт'!Y241-'[3]поточний ремонт'!Y241</f>
        <v>0</v>
      </c>
      <c r="Z241" s="43">
        <f>'[1]поточний ремонт'!Z241+'[2]поточний ремонт'!Z241-'[3]поточний ремонт'!Z241</f>
        <v>0</v>
      </c>
      <c r="AA241" s="43">
        <f>'[1]поточний ремонт'!AA241+'[2]поточний ремонт'!AA241-'[3]поточний ремонт'!AA241</f>
        <v>0</v>
      </c>
      <c r="AB241" s="43">
        <f>'[1]поточний ремонт'!AB241+'[2]поточний ремонт'!AB241-'[3]поточний ремонт'!AB241</f>
        <v>3985</v>
      </c>
      <c r="AC241" s="43">
        <f>'[1]поточний ремонт'!AC241+'[2]поточний ремонт'!AC241-'[3]поточний ремонт'!AC241</f>
        <v>220</v>
      </c>
      <c r="AD241" s="43">
        <f>'[1]поточний ремонт'!AD241+'[2]поточний ремонт'!AD241-'[3]поточний ремонт'!AD241</f>
        <v>688</v>
      </c>
      <c r="AE241" s="43">
        <f>'[1]поточний ремонт'!AE241+'[2]поточний ремонт'!AE241-'[3]поточний ремонт'!AE241</f>
        <v>1940.8522748715295</v>
      </c>
      <c r="AF241" s="43">
        <f>'[1]поточний ремонт'!AF241+'[2]поточний ремонт'!AF241-'[3]поточний ремонт'!AF241</f>
        <v>0</v>
      </c>
      <c r="AG241" s="5"/>
      <c r="AH241" s="43">
        <f>'[1]поточний ремонт'!AH241+'[2]поточний ремонт'!AH241-'[3]поточний ремонт'!AH241</f>
        <v>2669.3329242191721</v>
      </c>
      <c r="AI241" s="43">
        <f>'[1]поточний ремонт'!AI241+'[2]поточний ремонт'!AI241-'[3]поточний ремонт'!AI241</f>
        <v>0</v>
      </c>
      <c r="AJ241" s="5"/>
      <c r="AK241" s="43">
        <f>'[1]поточний ремонт'!AK241+'[2]поточний ремонт'!AK241-'[3]поточний ремонт'!AK241</f>
        <v>2816.399268264744</v>
      </c>
      <c r="AL241" s="43">
        <f>'[1]поточний ремонт'!AL241+'[2]поточний ремонт'!AL241-'[3]поточний ремонт'!AL241</f>
        <v>0</v>
      </c>
      <c r="AM241" s="5"/>
      <c r="AN241" s="43">
        <f>'[1]поточний ремонт'!AN241+'[2]поточний ремонт'!AN241-'[3]поточний ремонт'!AN241</f>
        <v>0</v>
      </c>
      <c r="AO241" s="43">
        <f>'[1]поточний ремонт'!AO241+'[2]поточний ремонт'!AO241-'[3]поточний ремонт'!AO241</f>
        <v>0</v>
      </c>
      <c r="AP241" s="5"/>
      <c r="AQ241" s="43">
        <f>'[1]поточний ремонт'!AQ241+'[2]поточний ремонт'!AQ241-'[3]поточний ремонт'!AQ241</f>
        <v>0</v>
      </c>
      <c r="AR241" s="43">
        <f>'[1]поточний ремонт'!AR241+'[2]поточний ремонт'!AR241-'[3]поточний ремонт'!AR241</f>
        <v>0</v>
      </c>
      <c r="AS241" s="5"/>
      <c r="AT241" s="43">
        <f>'[1]поточний ремонт'!AT241+'[2]поточний ремонт'!AT241-'[3]поточний ремонт'!AT241</f>
        <v>1077.1086257719292</v>
      </c>
      <c r="AU241" s="43">
        <f>'[1]поточний ремонт'!AU241+'[2]поточний ремонт'!AU241-'[3]поточний ремонт'!AU241</f>
        <v>0</v>
      </c>
      <c r="AV241" s="5"/>
      <c r="AW241" s="43">
        <f>'[1]поточний ремонт'!AW241+'[2]поточний ремонт'!AW241-'[3]поточний ремонт'!AW241</f>
        <v>0</v>
      </c>
      <c r="AX241" s="43">
        <f>'[1]поточний ремонт'!AX241+'[2]поточний ремонт'!AX241-'[3]поточний ремонт'!AX241</f>
        <v>0</v>
      </c>
      <c r="AY241" s="5"/>
      <c r="AZ241" s="43">
        <f t="shared" si="26"/>
        <v>8503.6930931273746</v>
      </c>
      <c r="BA241" s="43">
        <f t="shared" si="27"/>
        <v>0</v>
      </c>
      <c r="BB241" s="59">
        <f t="shared" si="28"/>
        <v>-8503.6930931273746</v>
      </c>
      <c r="BD241" s="2">
        <v>2</v>
      </c>
      <c r="BF241" s="30">
        <v>5.2173554544809013</v>
      </c>
      <c r="BG241" s="328">
        <v>150000725</v>
      </c>
      <c r="BI241" s="107">
        <v>0</v>
      </c>
      <c r="BJ241" s="107">
        <f t="shared" si="29"/>
        <v>0</v>
      </c>
      <c r="BK241" s="107">
        <v>0</v>
      </c>
      <c r="BL241" s="39"/>
      <c r="BM241" s="3"/>
      <c r="BN241" s="3">
        <v>0</v>
      </c>
      <c r="BP241" s="3">
        <v>16</v>
      </c>
      <c r="BQ241" s="3">
        <v>15575</v>
      </c>
      <c r="BS241" s="43"/>
      <c r="BT241" s="43">
        <v>0</v>
      </c>
      <c r="BU241" s="1037"/>
      <c r="BV241" s="42"/>
      <c r="BW241" s="43"/>
      <c r="BX241" s="37"/>
      <c r="BY241" s="78"/>
      <c r="BZ241" s="43">
        <v>0</v>
      </c>
      <c r="CA241" s="1038"/>
      <c r="CB241" s="42"/>
      <c r="CC241" s="42">
        <v>0</v>
      </c>
      <c r="CD241" s="1039"/>
      <c r="CE241" s="78">
        <v>0</v>
      </c>
      <c r="CF241" s="56"/>
      <c r="CG241" s="42">
        <v>16</v>
      </c>
      <c r="CH241" s="39">
        <v>15575</v>
      </c>
      <c r="CI241" s="78">
        <v>0</v>
      </c>
      <c r="CJ241" s="56"/>
      <c r="CK241" s="1034"/>
      <c r="CL241" s="1029"/>
      <c r="CM241" s="1034"/>
      <c r="CN241" s="1029">
        <v>0</v>
      </c>
      <c r="CO241" s="78">
        <v>161.73768957262746</v>
      </c>
      <c r="CP241" s="43">
        <v>0</v>
      </c>
      <c r="CQ241" s="5"/>
      <c r="CR241" s="78">
        <v>222.44441035159772</v>
      </c>
      <c r="CS241" s="1033">
        <v>0</v>
      </c>
      <c r="CT241" s="5"/>
      <c r="CU241" s="78">
        <v>234.69993902206198</v>
      </c>
      <c r="CV241" s="43">
        <v>0</v>
      </c>
      <c r="CW241" s="5"/>
      <c r="CX241" s="78">
        <v>0</v>
      </c>
      <c r="CY241" s="43">
        <v>0</v>
      </c>
      <c r="CZ241" s="5"/>
      <c r="DA241" s="78">
        <v>0</v>
      </c>
      <c r="DB241" s="43">
        <v>0</v>
      </c>
      <c r="DC241" s="5"/>
      <c r="DD241" s="78">
        <v>89.759052147660768</v>
      </c>
      <c r="DE241" s="43">
        <v>0</v>
      </c>
      <c r="DF241" s="5"/>
      <c r="DG241" s="78">
        <v>0</v>
      </c>
      <c r="DH241" s="43"/>
      <c r="DI241" s="5"/>
      <c r="DJ241" s="43">
        <v>708.64109109394792</v>
      </c>
      <c r="DK241" s="43">
        <f t="shared" si="30"/>
        <v>0</v>
      </c>
      <c r="DL241" s="59">
        <f t="shared" si="31"/>
        <v>-708.64109109394792</v>
      </c>
    </row>
    <row r="242" spans="1:116" ht="24.9" customHeight="1" x14ac:dyDescent="0.3">
      <c r="A242" s="328">
        <v>150000710</v>
      </c>
      <c r="B242" s="45" t="s">
        <v>1759</v>
      </c>
      <c r="C242" s="1035">
        <v>5</v>
      </c>
      <c r="D242" s="1036" t="s">
        <v>454</v>
      </c>
      <c r="E242" s="1028">
        <f>'побудинковий звіт'!E240</f>
        <v>704.09999999999991</v>
      </c>
      <c r="F242" s="1029">
        <f>'побудинковий звіт'!AS240</f>
        <v>60237.709106676331</v>
      </c>
      <c r="G242" s="1029">
        <f t="shared" si="24"/>
        <v>8828</v>
      </c>
      <c r="H242" s="1029">
        <f t="shared" si="25"/>
        <v>-51409.709106676331</v>
      </c>
      <c r="I242" s="43">
        <f>'[1]поточний ремонт'!I242+'[2]поточний ремонт'!I242-'[3]поточний ремонт'!I242</f>
        <v>0</v>
      </c>
      <c r="J242" s="43">
        <f>'[1]поточний ремонт'!J242+'[2]поточний ремонт'!J242-'[3]поточний ремонт'!J242</f>
        <v>0</v>
      </c>
      <c r="K242" s="1037"/>
      <c r="L242" s="43">
        <f>'[1]поточний ремонт'!L242+'[2]поточний ремонт'!L242-'[3]поточний ремонт'!L242</f>
        <v>0</v>
      </c>
      <c r="M242" s="43">
        <f>'[1]поточний ремонт'!M242+'[2]поточний ремонт'!M242-'[3]поточний ремонт'!M242</f>
        <v>0</v>
      </c>
      <c r="N242" s="37"/>
      <c r="O242" s="43">
        <f>'[1]поточний ремонт'!O242+'[2]поточний ремонт'!O242-'[3]поточний ремонт'!O242</f>
        <v>0</v>
      </c>
      <c r="P242" s="43">
        <f>'[1]поточний ремонт'!P242+'[2]поточний ремонт'!P242-'[3]поточний ремонт'!P242</f>
        <v>0</v>
      </c>
      <c r="Q242" s="1038"/>
      <c r="R242" s="43">
        <f>'[1]поточний ремонт'!R242+'[2]поточний ремонт'!R242-'[3]поточний ремонт'!R242</f>
        <v>0</v>
      </c>
      <c r="S242" s="43">
        <f>'[1]поточний ремонт'!S242+'[2]поточний ремонт'!S242-'[3]поточний ремонт'!S242</f>
        <v>0</v>
      </c>
      <c r="T242" s="1039"/>
      <c r="U242" s="43">
        <f>'[1]поточний ремонт'!U242+'[2]поточний ремонт'!U242-'[3]поточний ремонт'!U242</f>
        <v>0</v>
      </c>
      <c r="V242" s="43">
        <f>'[1]поточний ремонт'!V242+'[2]поточний ремонт'!V242-'[3]поточний ремонт'!V242</f>
        <v>0</v>
      </c>
      <c r="W242" s="43">
        <f>'[1]поточний ремонт'!W242+'[2]поточний ремонт'!W242-'[3]поточний ремонт'!W242</f>
        <v>7</v>
      </c>
      <c r="X242" s="43">
        <f>'[1]поточний ремонт'!X242+'[2]поточний ремонт'!X242-'[3]поточний ремонт'!X242</f>
        <v>900</v>
      </c>
      <c r="Y242" s="43">
        <f>'[1]поточний ремонт'!Y242+'[2]поточний ремонт'!Y242-'[3]поточний ремонт'!Y242</f>
        <v>6029</v>
      </c>
      <c r="Z242" s="43">
        <f>'[1]поточний ремонт'!Z242+'[2]поточний ремонт'!Z242-'[3]поточний ремонт'!Z242</f>
        <v>0</v>
      </c>
      <c r="AA242" s="43">
        <f>'[1]поточний ремонт'!AA242+'[2]поточний ремонт'!AA242-'[3]поточний ремонт'!AA242</f>
        <v>0</v>
      </c>
      <c r="AB242" s="43">
        <f>'[1]поточний ремонт'!AB242+'[2]поточний ремонт'!AB242-'[3]поточний ремонт'!AB242</f>
        <v>438</v>
      </c>
      <c r="AC242" s="43">
        <f>'[1]поточний ремонт'!AC242+'[2]поточний ремонт'!AC242-'[3]поточний ремонт'!AC242</f>
        <v>0</v>
      </c>
      <c r="AD242" s="43">
        <f>'[1]поточний ремонт'!AD242+'[2]поточний ремонт'!AD242-'[3]поточний ремонт'!AD242</f>
        <v>1461</v>
      </c>
      <c r="AE242" s="43">
        <f>'[1]поточний ремонт'!AE242+'[2]поточний ремонт'!AE242-'[3]поточний ремонт'!AE242</f>
        <v>2718.9857743579223</v>
      </c>
      <c r="AF242" s="43">
        <f>'[1]поточний ремонт'!AF242+'[2]поточний ремонт'!AF242-'[3]поточний ремонт'!AF242</f>
        <v>4726.6464957170501</v>
      </c>
      <c r="AG242" s="9"/>
      <c r="AH242" s="43">
        <f>'[1]поточний ремонт'!AH242+'[2]поточний ремонт'!AH242-'[3]поточний ремонт'!AH242</f>
        <v>4381.8986440394083</v>
      </c>
      <c r="AI242" s="43">
        <f>'[1]поточний ремонт'!AI242+'[2]поточний ремонт'!AI242-'[3]поточний ремонт'!AI242</f>
        <v>0</v>
      </c>
      <c r="AJ242" s="9"/>
      <c r="AK242" s="43">
        <f>'[1]поточний ремонт'!AK242+'[2]поточний ремонт'!AK242-'[3]поточний ремонт'!AK242</f>
        <v>2483.0060505546044</v>
      </c>
      <c r="AL242" s="43">
        <f>'[1]поточний ремонт'!AL242+'[2]поточний ремонт'!AL242-'[3]поточний ремонт'!AL242</f>
        <v>0</v>
      </c>
      <c r="AM242" s="5"/>
      <c r="AN242" s="43">
        <f>'[1]поточний ремонт'!AN242+'[2]поточний ремонт'!AN242-'[3]поточний ремонт'!AN242</f>
        <v>0</v>
      </c>
      <c r="AO242" s="43">
        <f>'[1]поточний ремонт'!AO242+'[2]поточний ремонт'!AO242-'[3]поточний ремонт'!AO242</f>
        <v>0</v>
      </c>
      <c r="AP242" s="5"/>
      <c r="AQ242" s="43">
        <f>'[1]поточний ремонт'!AQ242+'[2]поточний ремонт'!AQ242-'[3]поточний ремонт'!AQ242</f>
        <v>0</v>
      </c>
      <c r="AR242" s="43">
        <f>'[1]поточний ремонт'!AR242+'[2]поточний ремонт'!AR242-'[3]поточний ремонт'!AR242</f>
        <v>0</v>
      </c>
      <c r="AS242" s="5"/>
      <c r="AT242" s="43">
        <f>'[1]поточний ремонт'!AT242+'[2]поточний ремонт'!AT242-'[3]поточний ремонт'!AT242</f>
        <v>1996.057755365166</v>
      </c>
      <c r="AU242" s="43">
        <f>'[1]поточний ремонт'!AU242+'[2]поточний ремонт'!AU242-'[3]поточний ремонт'!AU242</f>
        <v>0</v>
      </c>
      <c r="AV242" s="5"/>
      <c r="AW242" s="43">
        <f>'[1]поточний ремонт'!AW242+'[2]поточний ремонт'!AW242-'[3]поточний ремонт'!AW242</f>
        <v>0</v>
      </c>
      <c r="AX242" s="43">
        <f>'[1]поточний ремонт'!AX242+'[2]поточний ремонт'!AX242-'[3]поточний ремонт'!AX242</f>
        <v>0</v>
      </c>
      <c r="AY242" s="5"/>
      <c r="AZ242" s="43">
        <f t="shared" si="26"/>
        <v>11579.948224317101</v>
      </c>
      <c r="BA242" s="43">
        <f t="shared" si="27"/>
        <v>4726.6464957170501</v>
      </c>
      <c r="BB242" s="59">
        <f t="shared" si="28"/>
        <v>-6853.3017286000504</v>
      </c>
      <c r="BD242" s="2">
        <v>3</v>
      </c>
      <c r="BF242" s="30">
        <v>340.51787323033926</v>
      </c>
      <c r="BG242" s="328">
        <v>150000710</v>
      </c>
      <c r="BI242" s="107">
        <v>0</v>
      </c>
      <c r="BJ242" s="107">
        <f t="shared" si="29"/>
        <v>0</v>
      </c>
      <c r="BK242" s="107">
        <v>0</v>
      </c>
      <c r="BL242" s="39"/>
      <c r="BM242" s="3"/>
      <c r="BN242" s="3">
        <v>0</v>
      </c>
      <c r="BP242" s="3"/>
      <c r="BQ242" s="3"/>
      <c r="BS242" s="43"/>
      <c r="BT242" s="43">
        <v>0</v>
      </c>
      <c r="BU242" s="1037"/>
      <c r="BV242" s="42"/>
      <c r="BW242" s="43"/>
      <c r="BX242" s="37"/>
      <c r="BY242" s="78"/>
      <c r="BZ242" s="43">
        <v>0</v>
      </c>
      <c r="CA242" s="1038"/>
      <c r="CB242" s="42"/>
      <c r="CC242" s="42">
        <v>0</v>
      </c>
      <c r="CD242" s="1039"/>
      <c r="CE242" s="78">
        <v>0</v>
      </c>
      <c r="CF242" s="56"/>
      <c r="CG242" s="42">
        <v>0</v>
      </c>
      <c r="CH242" s="39">
        <v>0</v>
      </c>
      <c r="CI242" s="78">
        <v>0</v>
      </c>
      <c r="CJ242" s="56"/>
      <c r="CK242" s="1034"/>
      <c r="CL242" s="1029"/>
      <c r="CM242" s="1034"/>
      <c r="CN242" s="1029">
        <v>0</v>
      </c>
      <c r="CO242" s="78">
        <v>226.58214786316023</v>
      </c>
      <c r="CP242" s="43">
        <v>0</v>
      </c>
      <c r="CQ242" s="9"/>
      <c r="CR242" s="78">
        <v>365.15822033661738</v>
      </c>
      <c r="CS242" s="1033">
        <v>0</v>
      </c>
      <c r="CT242" s="9"/>
      <c r="CU242" s="78">
        <v>206.91717087955041</v>
      </c>
      <c r="CV242" s="43">
        <v>0</v>
      </c>
      <c r="CW242" s="5"/>
      <c r="CX242" s="78">
        <v>0</v>
      </c>
      <c r="CY242" s="43">
        <v>0</v>
      </c>
      <c r="CZ242" s="5"/>
      <c r="DA242" s="78">
        <v>0</v>
      </c>
      <c r="DB242" s="43">
        <v>0</v>
      </c>
      <c r="DC242" s="5"/>
      <c r="DD242" s="78">
        <v>166.33814628043049</v>
      </c>
      <c r="DE242" s="43">
        <v>0</v>
      </c>
      <c r="DF242" s="5"/>
      <c r="DG242" s="78">
        <v>0</v>
      </c>
      <c r="DH242" s="43"/>
      <c r="DI242" s="5"/>
      <c r="DJ242" s="43">
        <v>964.99568535975845</v>
      </c>
      <c r="DK242" s="43">
        <f t="shared" si="30"/>
        <v>0</v>
      </c>
      <c r="DL242" s="59">
        <f t="shared" si="31"/>
        <v>-964.99568535975845</v>
      </c>
    </row>
    <row r="243" spans="1:116" ht="24.9" customHeight="1" x14ac:dyDescent="0.3">
      <c r="A243" s="328">
        <v>150000711</v>
      </c>
      <c r="B243" s="45" t="s">
        <v>1760</v>
      </c>
      <c r="C243" s="1035">
        <v>5</v>
      </c>
      <c r="D243" s="1036" t="s">
        <v>454</v>
      </c>
      <c r="E243" s="1028">
        <f>'побудинковий звіт'!E241</f>
        <v>4238</v>
      </c>
      <c r="F243" s="1029">
        <f>'побудинковий звіт'!AS241</f>
        <v>68701.142956935088</v>
      </c>
      <c r="G243" s="1029">
        <f t="shared" si="24"/>
        <v>122866</v>
      </c>
      <c r="H243" s="1029">
        <f t="shared" si="25"/>
        <v>54164.857043064912</v>
      </c>
      <c r="I243" s="43">
        <f>'[1]поточний ремонт'!I243+'[2]поточний ремонт'!I243-'[3]поточний ремонт'!I243</f>
        <v>400</v>
      </c>
      <c r="J243" s="43">
        <f>'[1]поточний ремонт'!J243+'[2]поточний ремонт'!J243-'[3]поточний ремонт'!J243</f>
        <v>96425</v>
      </c>
      <c r="K243" s="1037"/>
      <c r="L243" s="43">
        <f>'[1]поточний ремонт'!L243+'[2]поточний ремонт'!L243-'[3]поточний ремонт'!L243</f>
        <v>0</v>
      </c>
      <c r="M243" s="43">
        <f>'[1]поточний ремонт'!M243+'[2]поточний ремонт'!M243-'[3]поточний ремонт'!M243</f>
        <v>0</v>
      </c>
      <c r="N243" s="37"/>
      <c r="O243" s="43">
        <f>'[1]поточний ремонт'!O243+'[2]поточний ремонт'!O243-'[3]поточний ремонт'!O243</f>
        <v>0</v>
      </c>
      <c r="P243" s="43">
        <f>'[1]поточний ремонт'!P243+'[2]поточний ремонт'!P243-'[3]поточний ремонт'!P243</f>
        <v>0</v>
      </c>
      <c r="Q243" s="1038"/>
      <c r="R243" s="43">
        <f>'[1]поточний ремонт'!R243+'[2]поточний ремонт'!R243-'[3]поточний ремонт'!R243</f>
        <v>0</v>
      </c>
      <c r="S243" s="43">
        <f>'[1]поточний ремонт'!S243+'[2]поточний ремонт'!S243-'[3]поточний ремонт'!S243</f>
        <v>0</v>
      </c>
      <c r="T243" s="1039"/>
      <c r="U243" s="43">
        <f>'[1]поточний ремонт'!U243+'[2]поточний ремонт'!U243-'[3]поточний ремонт'!U243</f>
        <v>0</v>
      </c>
      <c r="V243" s="43">
        <f>'[1]поточний ремонт'!V243+'[2]поточний ремонт'!V243-'[3]поточний ремонт'!V243</f>
        <v>0</v>
      </c>
      <c r="W243" s="43">
        <f>'[1]поточний ремонт'!W243+'[2]поточний ремонт'!W243-'[3]поточний ремонт'!W243</f>
        <v>4</v>
      </c>
      <c r="X243" s="43">
        <f>'[1]поточний ремонт'!X243+'[2]поточний ремонт'!X243-'[3]поточний ремонт'!X243</f>
        <v>245.99999999999994</v>
      </c>
      <c r="Y243" s="43">
        <f>'[1]поточний ремонт'!Y243+'[2]поточний ремонт'!Y243-'[3]поточний ремонт'!Y243</f>
        <v>7375</v>
      </c>
      <c r="Z243" s="43">
        <f>'[1]поточний ремонт'!Z243+'[2]поточний ремонт'!Z243-'[3]поточний ремонт'!Z243</f>
        <v>0</v>
      </c>
      <c r="AA243" s="43">
        <f>'[1]поточний ремонт'!AA243+'[2]поточний ремонт'!AA243-'[3]поточний ремонт'!AA243</f>
        <v>5396</v>
      </c>
      <c r="AB243" s="43">
        <f>'[1]поточний ремонт'!AB243+'[2]поточний ремонт'!AB243-'[3]поточний ремонт'!AB243</f>
        <v>0</v>
      </c>
      <c r="AC243" s="43">
        <f>'[1]поточний ремонт'!AC243+'[2]поточний ремонт'!AC243-'[3]поточний ремонт'!AC243</f>
        <v>11504</v>
      </c>
      <c r="AD243" s="43">
        <f>'[1]поточний ремонт'!AD243+'[2]поточний ремонт'!AD243-'[3]поточний ремонт'!AD243</f>
        <v>1920</v>
      </c>
      <c r="AE243" s="43">
        <f>'[1]поточний ремонт'!AE243+'[2]поточний ремонт'!AE243-'[3]поточний ремонт'!AE243</f>
        <v>2719.7205850661035</v>
      </c>
      <c r="AF243" s="43">
        <f>'[1]поточний ремонт'!AF243+'[2]поточний ремонт'!AF243-'[3]поточний ремонт'!AF243</f>
        <v>0</v>
      </c>
      <c r="AG243" s="5"/>
      <c r="AH243" s="43">
        <f>'[1]поточний ремонт'!AH243+'[2]поточний ремонт'!AH243-'[3]поточний ремонт'!AH243</f>
        <v>4382.8307950745648</v>
      </c>
      <c r="AI243" s="43">
        <f>'[1]поточний ремонт'!AI243+'[2]поточний ремонт'!AI243-'[3]поточний ремонт'!AI243</f>
        <v>1508</v>
      </c>
      <c r="AJ243" s="5"/>
      <c r="AK243" s="43">
        <f>'[1]поточний ремонт'!AK243+'[2]поточний ремонт'!AK243-'[3]поточний ремонт'!AK243</f>
        <v>2466.0344534120486</v>
      </c>
      <c r="AL243" s="43">
        <f>'[1]поточний ремонт'!AL243+'[2]поточний ремонт'!AL243-'[3]поточний ремонт'!AL243</f>
        <v>0</v>
      </c>
      <c r="AM243" s="5"/>
      <c r="AN243" s="43">
        <f>'[1]поточний ремонт'!AN243+'[2]поточний ремонт'!AN243-'[3]поточний ремонт'!AN243</f>
        <v>0</v>
      </c>
      <c r="AO243" s="43">
        <f>'[1]поточний ремонт'!AO243+'[2]поточний ремонт'!AO243-'[3]поточний ремонт'!AO243</f>
        <v>0</v>
      </c>
      <c r="AP243" s="5"/>
      <c r="AQ243" s="43">
        <f>'[1]поточний ремонт'!AQ243+'[2]поточний ремонт'!AQ243-'[3]поточний ремонт'!AQ243</f>
        <v>1313.1883369600605</v>
      </c>
      <c r="AR243" s="43">
        <f>'[1]поточний ремонт'!AR243+'[2]поточний ремонт'!AR243-'[3]поточний ремонт'!AR243</f>
        <v>0</v>
      </c>
      <c r="AS243" s="5"/>
      <c r="AT243" s="43">
        <f>'[1]поточний ремонт'!AT243+'[2]поточний ремонт'!AT243-'[3]поточний ремонт'!AT243</f>
        <v>1997.2923467174544</v>
      </c>
      <c r="AU243" s="43">
        <f>'[1]поточний ремонт'!AU243+'[2]поточний ремонт'!AU243-'[3]поточний ремонт'!AU243</f>
        <v>0</v>
      </c>
      <c r="AV243" s="5"/>
      <c r="AW243" s="43">
        <f>'[1]поточний ремонт'!AW243+'[2]поточний ремонт'!AW243-'[3]поточний ремонт'!AW243</f>
        <v>0</v>
      </c>
      <c r="AX243" s="43">
        <f>'[1]поточний ремонт'!AX243+'[2]поточний ремонт'!AX243-'[3]поточний ремонт'!AX243</f>
        <v>0</v>
      </c>
      <c r="AY243" s="5"/>
      <c r="AZ243" s="43">
        <f t="shared" si="26"/>
        <v>12879.066517230232</v>
      </c>
      <c r="BA243" s="43">
        <f t="shared" si="27"/>
        <v>1508</v>
      </c>
      <c r="BB243" s="59">
        <f t="shared" si="28"/>
        <v>-11371.066517230232</v>
      </c>
      <c r="BD243" s="2">
        <v>3</v>
      </c>
      <c r="BF243" s="30">
        <v>342.15494245162972</v>
      </c>
      <c r="BG243" s="328">
        <v>150000711</v>
      </c>
      <c r="BI243" s="107">
        <v>0</v>
      </c>
      <c r="BJ243" s="107">
        <f t="shared" si="29"/>
        <v>0</v>
      </c>
      <c r="BK243" s="107">
        <v>0</v>
      </c>
      <c r="BL243" s="39"/>
      <c r="BM243" s="3"/>
      <c r="BN243" s="3">
        <v>0</v>
      </c>
      <c r="BP243" s="3"/>
      <c r="BQ243" s="3"/>
      <c r="BS243" s="43"/>
      <c r="BT243" s="43">
        <v>0</v>
      </c>
      <c r="BU243" s="1037"/>
      <c r="BV243" s="42"/>
      <c r="BW243" s="43"/>
      <c r="BX243" s="37"/>
      <c r="BY243" s="78"/>
      <c r="BZ243" s="43">
        <v>0</v>
      </c>
      <c r="CA243" s="1038"/>
      <c r="CB243" s="42"/>
      <c r="CC243" s="42">
        <v>0</v>
      </c>
      <c r="CD243" s="1039"/>
      <c r="CE243" s="78">
        <v>0</v>
      </c>
      <c r="CF243" s="56"/>
      <c r="CG243" s="42">
        <v>0</v>
      </c>
      <c r="CH243" s="39">
        <v>0</v>
      </c>
      <c r="CI243" s="78">
        <v>1054.2373736551594</v>
      </c>
      <c r="CJ243" s="56"/>
      <c r="CK243" s="1034"/>
      <c r="CL243" s="1029"/>
      <c r="CM243" s="1034"/>
      <c r="CN243" s="1029">
        <v>0</v>
      </c>
      <c r="CO243" s="78">
        <v>226.64338208884197</v>
      </c>
      <c r="CP243" s="43">
        <v>0</v>
      </c>
      <c r="CQ243" s="5"/>
      <c r="CR243" s="78">
        <v>365.2358995895471</v>
      </c>
      <c r="CS243" s="1033">
        <v>0</v>
      </c>
      <c r="CT243" s="5"/>
      <c r="CU243" s="78">
        <v>205.50287111767076</v>
      </c>
      <c r="CV243" s="43">
        <v>0</v>
      </c>
      <c r="CW243" s="5"/>
      <c r="CX243" s="78">
        <v>0</v>
      </c>
      <c r="CY243" s="43">
        <v>0</v>
      </c>
      <c r="CZ243" s="5"/>
      <c r="DA243" s="78">
        <v>109.43236141333836</v>
      </c>
      <c r="DB243" s="43">
        <v>0</v>
      </c>
      <c r="DC243" s="5"/>
      <c r="DD243" s="78">
        <v>166.44102889312117</v>
      </c>
      <c r="DE243" s="43">
        <v>0</v>
      </c>
      <c r="DF243" s="5"/>
      <c r="DG243" s="78">
        <v>0</v>
      </c>
      <c r="DH243" s="43"/>
      <c r="DI243" s="5"/>
      <c r="DJ243" s="43">
        <v>1073.2555431025196</v>
      </c>
      <c r="DK243" s="43">
        <f t="shared" si="30"/>
        <v>0</v>
      </c>
      <c r="DL243" s="59">
        <f t="shared" si="31"/>
        <v>-1073.2555431025196</v>
      </c>
    </row>
    <row r="244" spans="1:116" ht="24.9" customHeight="1" x14ac:dyDescent="0.3">
      <c r="A244" s="328">
        <v>150000712</v>
      </c>
      <c r="B244" s="45" t="s">
        <v>1761</v>
      </c>
      <c r="C244" s="1035">
        <v>5</v>
      </c>
      <c r="D244" s="1036" t="s">
        <v>454</v>
      </c>
      <c r="E244" s="1028">
        <f>'побудинковий звіт'!E242</f>
        <v>229.7</v>
      </c>
      <c r="F244" s="1029">
        <f>'побудинковий звіт'!AS242</f>
        <v>41070.643391573001</v>
      </c>
      <c r="G244" s="1029">
        <f t="shared" si="24"/>
        <v>11522</v>
      </c>
      <c r="H244" s="1029">
        <f t="shared" si="25"/>
        <v>-29548.643391573001</v>
      </c>
      <c r="I244" s="43">
        <f>'[1]поточний ремонт'!I244+'[2]поточний ремонт'!I244-'[3]поточний ремонт'!I244</f>
        <v>0</v>
      </c>
      <c r="J244" s="43">
        <f>'[1]поточний ремонт'!J244+'[2]поточний ремонт'!J244-'[3]поточний ремонт'!J244</f>
        <v>0</v>
      </c>
      <c r="K244" s="1037"/>
      <c r="L244" s="43">
        <f>'[1]поточний ремонт'!L244+'[2]поточний ремонт'!L244-'[3]поточний ремонт'!L244</f>
        <v>0</v>
      </c>
      <c r="M244" s="43">
        <f>'[1]поточний ремонт'!M244+'[2]поточний ремонт'!M244-'[3]поточний ремонт'!M244</f>
        <v>0</v>
      </c>
      <c r="N244" s="37"/>
      <c r="O244" s="43">
        <f>'[1]поточний ремонт'!O244+'[2]поточний ремонт'!O244-'[3]поточний ремонт'!O244</f>
        <v>0</v>
      </c>
      <c r="P244" s="43">
        <f>'[1]поточний ремонт'!P244+'[2]поточний ремонт'!P244-'[3]поточний ремонт'!P244</f>
        <v>0</v>
      </c>
      <c r="Q244" s="1038"/>
      <c r="R244" s="43">
        <f>'[1]поточний ремонт'!R244+'[2]поточний ремонт'!R244-'[3]поточний ремонт'!R244</f>
        <v>0</v>
      </c>
      <c r="S244" s="43">
        <f>'[1]поточний ремонт'!S244+'[2]поточний ремонт'!S244-'[3]поточний ремонт'!S244</f>
        <v>0</v>
      </c>
      <c r="T244" s="1039"/>
      <c r="U244" s="43">
        <f>'[1]поточний ремонт'!U244+'[2]поточний ремонт'!U244-'[3]поточний ремонт'!U244</f>
        <v>0</v>
      </c>
      <c r="V244" s="43">
        <f>'[1]поточний ремонт'!V244+'[2]поточний ремонт'!V244-'[3]поточний ремонт'!V244</f>
        <v>0</v>
      </c>
      <c r="W244" s="43">
        <f>'[1]поточний ремонт'!W244+'[2]поточний ремонт'!W244-'[3]поточний ремонт'!W244</f>
        <v>9.1000000000000014</v>
      </c>
      <c r="X244" s="43">
        <f>'[1]поточний ремонт'!X244+'[2]поточний ремонт'!X244-'[3]поточний ремонт'!X244</f>
        <v>1997</v>
      </c>
      <c r="Y244" s="43">
        <f>'[1]поточний ремонт'!Y244+'[2]поточний ремонт'!Y244-'[3]поточний ремонт'!Y244</f>
        <v>5617</v>
      </c>
      <c r="Z244" s="43">
        <f>'[1]поточний ремонт'!Z244+'[2]поточний ремонт'!Z244-'[3]поточний ремонт'!Z244</f>
        <v>0</v>
      </c>
      <c r="AA244" s="43">
        <f>'[1]поточний ремонт'!AA244+'[2]поточний ремонт'!AA244-'[3]поточний ремонт'!AA244</f>
        <v>0</v>
      </c>
      <c r="AB244" s="43">
        <f>'[1]поточний ремонт'!AB244+'[2]поточний ремонт'!AB244-'[3]поточний ремонт'!AB244</f>
        <v>0</v>
      </c>
      <c r="AC244" s="43">
        <f>'[1]поточний ремонт'!AC244+'[2]поточний ремонт'!AC244-'[3]поточний ремонт'!AC244</f>
        <v>1097</v>
      </c>
      <c r="AD244" s="43">
        <f>'[1]поточний ремонт'!AD244+'[2]поточний ремонт'!AD244-'[3]поточний ремонт'!AD244</f>
        <v>2811</v>
      </c>
      <c r="AE244" s="43">
        <f>'[1]поточний ремонт'!AE244+'[2]поточний ремонт'!AE244-'[3]поточний ремонт'!AE244</f>
        <v>1872.4864454471726</v>
      </c>
      <c r="AF244" s="43">
        <f>'[1]поточний ремонт'!AF244+'[2]поточний ремонт'!AF244-'[3]поточний ремонт'!AF244</f>
        <v>0</v>
      </c>
      <c r="AG244" s="1045"/>
      <c r="AH244" s="43">
        <f>'[1]поточний ремонт'!AH244+'[2]поточний ремонт'!AH244-'[3]поточний ремонт'!AH244</f>
        <v>2942.5534028547149</v>
      </c>
      <c r="AI244" s="43">
        <f>'[1]поточний ремонт'!AI244+'[2]поточний ремонт'!AI244-'[3]поточний ремонт'!AI244</f>
        <v>3509</v>
      </c>
      <c r="AJ244" s="9"/>
      <c r="AK244" s="43">
        <f>'[1]поточний ремонт'!AK244+'[2]поточний ремонт'!AK244-'[3]поточний ремонт'!AK244</f>
        <v>1770.2885804307066</v>
      </c>
      <c r="AL244" s="43">
        <f>'[1]поточний ремонт'!AL244+'[2]поточний ремонт'!AL244-'[3]поточний ремонт'!AL244</f>
        <v>0</v>
      </c>
      <c r="AM244" s="5"/>
      <c r="AN244" s="43">
        <f>'[1]поточний ремонт'!AN244+'[2]поточний ремонт'!AN244-'[3]поточний ремонт'!AN244</f>
        <v>0</v>
      </c>
      <c r="AO244" s="43">
        <f>'[1]поточний ремонт'!AO244+'[2]поточний ремонт'!AO244-'[3]поточний ремонт'!AO244</f>
        <v>0</v>
      </c>
      <c r="AP244" s="752"/>
      <c r="AQ244" s="43">
        <f>'[1]поточний ремонт'!AQ244+'[2]поточний ремонт'!AQ244-'[3]поточний ремонт'!AQ244</f>
        <v>0</v>
      </c>
      <c r="AR244" s="43">
        <f>'[1]поточний ремонт'!AR244+'[2]поточний ремонт'!AR244-'[3]поточний ремонт'!AR244</f>
        <v>0</v>
      </c>
      <c r="AS244" s="5"/>
      <c r="AT244" s="43">
        <f>'[1]поточний ремонт'!AT244+'[2]поточний ремонт'!AT244-'[3]поточний ремонт'!AT244</f>
        <v>1125.4035227710551</v>
      </c>
      <c r="AU244" s="43">
        <f>'[1]поточний ремонт'!AU244+'[2]поточний ремонт'!AU244-'[3]поточний ремонт'!AU244</f>
        <v>1463</v>
      </c>
      <c r="AV244" s="5"/>
      <c r="AW244" s="43">
        <f>'[1]поточний ремонт'!AW244+'[2]поточний ремонт'!AW244-'[3]поточний ремонт'!AW244</f>
        <v>0</v>
      </c>
      <c r="AX244" s="43">
        <f>'[1]поточний ремонт'!AX244+'[2]поточний ремонт'!AX244-'[3]поточний ремонт'!AX244</f>
        <v>0</v>
      </c>
      <c r="AY244" s="5"/>
      <c r="AZ244" s="43">
        <f t="shared" si="26"/>
        <v>7710.7319515036488</v>
      </c>
      <c r="BA244" s="43">
        <f t="shared" si="27"/>
        <v>4972</v>
      </c>
      <c r="BB244" s="59">
        <f t="shared" si="28"/>
        <v>-2738.7319515036488</v>
      </c>
      <c r="BD244" s="2">
        <v>3</v>
      </c>
      <c r="BF244" s="30">
        <v>239.87399709020974</v>
      </c>
      <c r="BG244" s="328">
        <v>150000712</v>
      </c>
      <c r="BI244" s="107">
        <v>0</v>
      </c>
      <c r="BJ244" s="107">
        <f t="shared" si="29"/>
        <v>0</v>
      </c>
      <c r="BK244" s="107">
        <v>0</v>
      </c>
      <c r="BL244" s="39"/>
      <c r="BM244" s="3"/>
      <c r="BN244" s="3">
        <v>0</v>
      </c>
      <c r="BP244" s="3"/>
      <c r="BQ244" s="3"/>
      <c r="BS244" s="43">
        <v>1.6</v>
      </c>
      <c r="BT244" s="43">
        <v>265.67012131864072</v>
      </c>
      <c r="BU244" s="1037"/>
      <c r="BV244" s="42"/>
      <c r="BW244" s="43"/>
      <c r="BX244" s="37"/>
      <c r="BY244" s="78"/>
      <c r="BZ244" s="43">
        <v>0</v>
      </c>
      <c r="CA244" s="1038"/>
      <c r="CB244" s="42"/>
      <c r="CC244" s="42">
        <v>0</v>
      </c>
      <c r="CD244" s="1039"/>
      <c r="CE244" s="78">
        <v>0</v>
      </c>
      <c r="CF244" s="56"/>
      <c r="CG244" s="42">
        <v>0</v>
      </c>
      <c r="CH244" s="39">
        <v>0</v>
      </c>
      <c r="CI244" s="78">
        <v>0</v>
      </c>
      <c r="CJ244" s="56"/>
      <c r="CK244" s="1034"/>
      <c r="CL244" s="1029"/>
      <c r="CM244" s="1034"/>
      <c r="CN244" s="1029">
        <v>0</v>
      </c>
      <c r="CO244" s="78">
        <v>156.04053712059772</v>
      </c>
      <c r="CP244" s="43">
        <v>0</v>
      </c>
      <c r="CQ244" s="1045"/>
      <c r="CR244" s="78">
        <v>245.21278357122625</v>
      </c>
      <c r="CS244" s="1033">
        <v>0</v>
      </c>
      <c r="CT244" s="9"/>
      <c r="CU244" s="78">
        <v>147.52404836922557</v>
      </c>
      <c r="CV244" s="43">
        <v>0</v>
      </c>
      <c r="CW244" s="5"/>
      <c r="CX244" s="78">
        <v>0</v>
      </c>
      <c r="CY244" s="43">
        <v>0</v>
      </c>
      <c r="CZ244" s="752"/>
      <c r="DA244" s="78">
        <v>0</v>
      </c>
      <c r="DB244" s="43">
        <v>0</v>
      </c>
      <c r="DC244" s="5"/>
      <c r="DD244" s="78">
        <v>93.783626897587908</v>
      </c>
      <c r="DE244" s="43">
        <v>0</v>
      </c>
      <c r="DF244" s="5"/>
      <c r="DG244" s="78">
        <v>0</v>
      </c>
      <c r="DH244" s="43"/>
      <c r="DI244" s="5"/>
      <c r="DJ244" s="43">
        <v>642.56099595863748</v>
      </c>
      <c r="DK244" s="43">
        <f t="shared" si="30"/>
        <v>0</v>
      </c>
      <c r="DL244" s="59">
        <f t="shared" si="31"/>
        <v>-642.56099595863748</v>
      </c>
    </row>
    <row r="245" spans="1:116" ht="24.9" customHeight="1" x14ac:dyDescent="0.3">
      <c r="A245" s="328">
        <v>150000713</v>
      </c>
      <c r="B245" s="45" t="s">
        <v>1762</v>
      </c>
      <c r="C245" s="1035">
        <v>5</v>
      </c>
      <c r="D245" s="1036" t="s">
        <v>454</v>
      </c>
      <c r="E245" s="1028">
        <f>'побудинковий звіт'!E243</f>
        <v>1532.1999999999998</v>
      </c>
      <c r="F245" s="1029">
        <f>'побудинковий звіт'!AS243</f>
        <v>92220.446755540339</v>
      </c>
      <c r="G245" s="1029">
        <f t="shared" si="24"/>
        <v>24345</v>
      </c>
      <c r="H245" s="1029">
        <f t="shared" si="25"/>
        <v>-67875.446755540339</v>
      </c>
      <c r="I245" s="43">
        <f>'[1]поточний ремонт'!I245+'[2]поточний ремонт'!I245-'[3]поточний ремонт'!I245</f>
        <v>0</v>
      </c>
      <c r="J245" s="43">
        <f>'[1]поточний ремонт'!J245+'[2]поточний ремонт'!J245-'[3]поточний ремонт'!J245</f>
        <v>0</v>
      </c>
      <c r="K245" s="1037"/>
      <c r="L245" s="43">
        <f>'[1]поточний ремонт'!L245+'[2]поточний ремонт'!L245-'[3]поточний ремонт'!L245</f>
        <v>0</v>
      </c>
      <c r="M245" s="43">
        <f>'[1]поточний ремонт'!M245+'[2]поточний ремонт'!M245-'[3]поточний ремонт'!M245</f>
        <v>0</v>
      </c>
      <c r="N245" s="37"/>
      <c r="O245" s="43">
        <f>'[1]поточний ремонт'!O245+'[2]поточний ремонт'!O245-'[3]поточний ремонт'!O245</f>
        <v>0</v>
      </c>
      <c r="P245" s="43">
        <f>'[1]поточний ремонт'!P245+'[2]поточний ремонт'!P245-'[3]поточний ремонт'!P245</f>
        <v>0</v>
      </c>
      <c r="Q245" s="1038"/>
      <c r="R245" s="43">
        <f>'[1]поточний ремонт'!R245+'[2]поточний ремонт'!R245-'[3]поточний ремонт'!R245</f>
        <v>0</v>
      </c>
      <c r="S245" s="43">
        <f>'[1]поточний ремонт'!S245+'[2]поточний ремонт'!S245-'[3]поточний ремонт'!S245</f>
        <v>0</v>
      </c>
      <c r="T245" s="1039"/>
      <c r="U245" s="43">
        <f>'[1]поточний ремонт'!U245+'[2]поточний ремонт'!U245-'[3]поточний ремонт'!U245</f>
        <v>0</v>
      </c>
      <c r="V245" s="43">
        <f>'[1]поточний ремонт'!V245+'[2]поточний ремонт'!V245-'[3]поточний ремонт'!V245</f>
        <v>0</v>
      </c>
      <c r="W245" s="43">
        <f>'[1]поточний ремонт'!W245+'[2]поточний ремонт'!W245-'[3]поточний ремонт'!W245</f>
        <v>20.6</v>
      </c>
      <c r="X245" s="43">
        <f>'[1]поточний ремонт'!X245+'[2]поточний ремонт'!X245-'[3]поточний ремонт'!X245</f>
        <v>1396</v>
      </c>
      <c r="Y245" s="43">
        <f>'[1]поточний ремонт'!Y245+'[2]поточний ремонт'!Y245-'[3]поточний ремонт'!Y245</f>
        <v>6808</v>
      </c>
      <c r="Z245" s="43">
        <f>'[1]поточний ремонт'!Z245+'[2]поточний ремонт'!Z245-'[3]поточний ремонт'!Z245</f>
        <v>0</v>
      </c>
      <c r="AA245" s="43">
        <f>'[1]поточний ремонт'!AA245+'[2]поточний ремонт'!AA245-'[3]поточний ремонт'!AA245</f>
        <v>0</v>
      </c>
      <c r="AB245" s="43">
        <f>'[1]поточний ремонт'!AB245+'[2]поточний ремонт'!AB245-'[3]поточний ремонт'!AB245</f>
        <v>0</v>
      </c>
      <c r="AC245" s="43">
        <f>'[1]поточний ремонт'!AC245+'[2]поточний ремонт'!AC245-'[3]поточний ремонт'!AC245</f>
        <v>15595</v>
      </c>
      <c r="AD245" s="43">
        <f>'[1]поточний ремонт'!AD245+'[2]поточний ремонт'!AD245-'[3]поточний ремонт'!AD245</f>
        <v>546</v>
      </c>
      <c r="AE245" s="43">
        <f>'[1]поточний ремонт'!AE245+'[2]поточний ремонт'!AE245-'[3]поточний ремонт'!AE245</f>
        <v>3586.2517104456761</v>
      </c>
      <c r="AF245" s="43">
        <f>'[1]поточний ремонт'!AF245+'[2]поточний ремонт'!AF245-'[3]поточний ремонт'!AF245</f>
        <v>29837.4245853256</v>
      </c>
      <c r="AG245" s="5"/>
      <c r="AH245" s="43">
        <f>'[1]поточний ремонт'!AH245+'[2]поточний ремонт'!AH245-'[3]поточний ремонт'!AH245</f>
        <v>5849.096344318531</v>
      </c>
      <c r="AI245" s="43">
        <f>'[1]поточний ремонт'!AI245+'[2]поточний ремонт'!AI245-'[3]поточний ремонт'!AI245</f>
        <v>1997</v>
      </c>
      <c r="AJ245" s="1045"/>
      <c r="AK245" s="43">
        <f>'[1]поточний ремонт'!AK245+'[2]поточний ремонт'!AK245-'[3]поточний ремонт'!AK245</f>
        <v>3405.6976121344578</v>
      </c>
      <c r="AL245" s="43">
        <f>'[1]поточний ремонт'!AL245+'[2]поточний ремонт'!AL245-'[3]поточний ремонт'!AL245</f>
        <v>0</v>
      </c>
      <c r="AM245" s="5"/>
      <c r="AN245" s="43">
        <f>'[1]поточний ремонт'!AN245+'[2]поточний ремонт'!AN245-'[3]поточний ремонт'!AN245</f>
        <v>0</v>
      </c>
      <c r="AO245" s="43">
        <f>'[1]поточний ремонт'!AO245+'[2]поточний ремонт'!AO245-'[3]поточний ремонт'!AO245</f>
        <v>0</v>
      </c>
      <c r="AP245" s="5"/>
      <c r="AQ245" s="43">
        <f>'[1]поточний ремонт'!AQ245+'[2]поточний ремонт'!AQ245-'[3]поточний ремонт'!AQ245</f>
        <v>2032.8706882486335</v>
      </c>
      <c r="AR245" s="43">
        <f>'[1]поточний ремонт'!AR245+'[2]поточний ремонт'!AR245-'[3]поточний ремонт'!AR245</f>
        <v>0</v>
      </c>
      <c r="AS245" s="5"/>
      <c r="AT245" s="43">
        <f>'[1]поточний ремонт'!AT245+'[2]поточний ремонт'!AT245-'[3]поточний ремонт'!AT245</f>
        <v>3130.1207916871576</v>
      </c>
      <c r="AU245" s="43">
        <f>'[1]поточний ремонт'!AU245+'[2]поточний ремонт'!AU245-'[3]поточний ремонт'!AU245</f>
        <v>617</v>
      </c>
      <c r="AV245" s="5"/>
      <c r="AW245" s="43">
        <f>'[1]поточний ремонт'!AW245+'[2]поточний ремонт'!AW245-'[3]поточний ремонт'!AW245</f>
        <v>0</v>
      </c>
      <c r="AX245" s="43">
        <f>'[1]поточний ремонт'!AX245+'[2]поточний ремонт'!AX245-'[3]поточний ремонт'!AX245</f>
        <v>0</v>
      </c>
      <c r="AY245" s="5"/>
      <c r="AZ245" s="43">
        <f t="shared" si="26"/>
        <v>18004.037146834457</v>
      </c>
      <c r="BA245" s="43">
        <f t="shared" si="27"/>
        <v>32451.4245853256</v>
      </c>
      <c r="BB245" s="59">
        <f t="shared" si="28"/>
        <v>14447.387438491143</v>
      </c>
      <c r="BD245" s="2">
        <v>3</v>
      </c>
      <c r="BF245" s="30">
        <v>463.76152734639317</v>
      </c>
      <c r="BG245" s="328">
        <v>150000713</v>
      </c>
      <c r="BI245" s="107">
        <v>0</v>
      </c>
      <c r="BJ245" s="107">
        <f t="shared" si="29"/>
        <v>0</v>
      </c>
      <c r="BK245" s="107">
        <v>0</v>
      </c>
      <c r="BL245" s="39"/>
      <c r="BM245" s="3"/>
      <c r="BN245" s="3">
        <v>0</v>
      </c>
      <c r="BP245" s="3"/>
      <c r="BQ245" s="3"/>
      <c r="BS245" s="43"/>
      <c r="BT245" s="43">
        <v>0</v>
      </c>
      <c r="BU245" s="1037"/>
      <c r="BV245" s="42"/>
      <c r="BW245" s="43"/>
      <c r="BX245" s="37"/>
      <c r="BY245" s="78"/>
      <c r="BZ245" s="43">
        <v>0</v>
      </c>
      <c r="CA245" s="1038"/>
      <c r="CB245" s="42"/>
      <c r="CC245" s="42">
        <v>0</v>
      </c>
      <c r="CD245" s="1039"/>
      <c r="CE245" s="78">
        <v>0</v>
      </c>
      <c r="CF245" s="56"/>
      <c r="CG245" s="42">
        <v>0</v>
      </c>
      <c r="CH245" s="39">
        <v>0</v>
      </c>
      <c r="CI245" s="78">
        <v>0</v>
      </c>
      <c r="CJ245" s="56"/>
      <c r="CK245" s="1034"/>
      <c r="CL245" s="1029"/>
      <c r="CM245" s="1034"/>
      <c r="CN245" s="1029">
        <v>3162.3587716376001</v>
      </c>
      <c r="CO245" s="78">
        <v>298.85430920380639</v>
      </c>
      <c r="CP245" s="43">
        <v>0</v>
      </c>
      <c r="CQ245" s="5"/>
      <c r="CR245" s="78">
        <v>487.42469535987755</v>
      </c>
      <c r="CS245" s="1033">
        <v>0</v>
      </c>
      <c r="CT245" s="1045"/>
      <c r="CU245" s="78">
        <v>283.80813434453808</v>
      </c>
      <c r="CV245" s="43">
        <v>0</v>
      </c>
      <c r="CW245" s="5"/>
      <c r="CX245" s="78">
        <v>0</v>
      </c>
      <c r="CY245" s="43">
        <v>0</v>
      </c>
      <c r="CZ245" s="5"/>
      <c r="DA245" s="78">
        <v>169.40589068738615</v>
      </c>
      <c r="DB245" s="43">
        <v>0</v>
      </c>
      <c r="DC245" s="5"/>
      <c r="DD245" s="78">
        <v>260.84339930726316</v>
      </c>
      <c r="DE245" s="43">
        <v>0</v>
      </c>
      <c r="DF245" s="5"/>
      <c r="DG245" s="78">
        <v>0</v>
      </c>
      <c r="DH245" s="43"/>
      <c r="DI245" s="5"/>
      <c r="DJ245" s="43">
        <v>1500.3364289028711</v>
      </c>
      <c r="DK245" s="43">
        <f t="shared" si="30"/>
        <v>0</v>
      </c>
      <c r="DL245" s="59">
        <f t="shared" si="31"/>
        <v>-1500.3364289028711</v>
      </c>
    </row>
    <row r="246" spans="1:116" ht="24.9" customHeight="1" x14ac:dyDescent="0.3">
      <c r="A246" s="328">
        <v>150000714</v>
      </c>
      <c r="B246" s="45" t="s">
        <v>1763</v>
      </c>
      <c r="C246" s="1035">
        <v>5</v>
      </c>
      <c r="D246" s="1036" t="s">
        <v>454</v>
      </c>
      <c r="E246" s="1028">
        <f>'побудинковий звіт'!E244</f>
        <v>386.5</v>
      </c>
      <c r="F246" s="1029">
        <f>'побудинковий звіт'!AS244</f>
        <v>47306.824999313518</v>
      </c>
      <c r="G246" s="1029">
        <f t="shared" si="24"/>
        <v>12893</v>
      </c>
      <c r="H246" s="1029">
        <f t="shared" si="25"/>
        <v>-34413.824999313518</v>
      </c>
      <c r="I246" s="43">
        <f>'[1]поточний ремонт'!I246+'[2]поточний ремонт'!I246-'[3]поточний ремонт'!I246</f>
        <v>56.5</v>
      </c>
      <c r="J246" s="43">
        <f>'[1]поточний ремонт'!J246+'[2]поточний ремонт'!J246-'[3]поточний ремонт'!J246</f>
        <v>5158</v>
      </c>
      <c r="K246" s="1037"/>
      <c r="L246" s="43">
        <f>'[1]поточний ремонт'!L246+'[2]поточний ремонт'!L246-'[3]поточний ремонт'!L246</f>
        <v>0</v>
      </c>
      <c r="M246" s="43">
        <f>'[1]поточний ремонт'!M246+'[2]поточний ремонт'!M246-'[3]поточний ремонт'!M246</f>
        <v>0</v>
      </c>
      <c r="N246" s="37"/>
      <c r="O246" s="43">
        <f>'[1]поточний ремонт'!O246+'[2]поточний ремонт'!O246-'[3]поточний ремонт'!O246</f>
        <v>0</v>
      </c>
      <c r="P246" s="43">
        <f>'[1]поточний ремонт'!P246+'[2]поточний ремонт'!P246-'[3]поточний ремонт'!P246</f>
        <v>0</v>
      </c>
      <c r="Q246" s="1038"/>
      <c r="R246" s="43">
        <f>'[1]поточний ремонт'!R246+'[2]поточний ремонт'!R246-'[3]поточний ремонт'!R246</f>
        <v>0</v>
      </c>
      <c r="S246" s="43">
        <f>'[1]поточний ремонт'!S246+'[2]поточний ремонт'!S246-'[3]поточний ремонт'!S246</f>
        <v>0</v>
      </c>
      <c r="T246" s="1039"/>
      <c r="U246" s="43">
        <f>'[1]поточний ремонт'!U246+'[2]поточний ремонт'!U246-'[3]поточний ремонт'!U246</f>
        <v>0</v>
      </c>
      <c r="V246" s="43">
        <f>'[1]поточний ремонт'!V246+'[2]поточний ремонт'!V246-'[3]поточний ремонт'!V246</f>
        <v>0</v>
      </c>
      <c r="W246" s="43">
        <f>'[1]поточний ремонт'!W246+'[2]поточний ремонт'!W246-'[3]поточний ремонт'!W246</f>
        <v>5</v>
      </c>
      <c r="X246" s="43">
        <f>'[1]поточний ремонт'!X246+'[2]поточний ремонт'!X246-'[3]поточний ремонт'!X246</f>
        <v>332</v>
      </c>
      <c r="Y246" s="43">
        <f>'[1]поточний ремонт'!Y246+'[2]поточний ремонт'!Y246-'[3]поточний ремонт'!Y246</f>
        <v>615</v>
      </c>
      <c r="Z246" s="43">
        <f>'[1]поточний ремонт'!Z246+'[2]поточний ремонт'!Z246-'[3]поточний ремонт'!Z246</f>
        <v>0</v>
      </c>
      <c r="AA246" s="43">
        <f>'[1]поточний ремонт'!AA246+'[2]поточний ремонт'!AA246-'[3]поточний ремонт'!AA246</f>
        <v>0</v>
      </c>
      <c r="AB246" s="43">
        <f>'[1]поточний ремонт'!AB246+'[2]поточний ремонт'!AB246-'[3]поточний ремонт'!AB246</f>
        <v>203</v>
      </c>
      <c r="AC246" s="43">
        <f>'[1]поточний ремонт'!AC246+'[2]поточний ремонт'!AC246-'[3]поточний ремонт'!AC246</f>
        <v>2757</v>
      </c>
      <c r="AD246" s="43">
        <f>'[1]поточний ремонт'!AD246+'[2]поточний ремонт'!AD246-'[3]поточний ремонт'!AD246</f>
        <v>3828</v>
      </c>
      <c r="AE246" s="43">
        <f>'[1]поточний ремонт'!AE246+'[2]поточний ремонт'!AE246-'[3]поточний ремонт'!AE246</f>
        <v>1761.7417485155004</v>
      </c>
      <c r="AF246" s="43">
        <f>'[1]поточний ремонт'!AF246+'[2]поточний ремонт'!AF246-'[3]поточний ремонт'!AF246</f>
        <v>3782</v>
      </c>
      <c r="AG246" s="1045"/>
      <c r="AH246" s="43">
        <f>'[1]поточний ремонт'!AH246+'[2]поточний ремонт'!AH246-'[3]поточний ремонт'!AH246</f>
        <v>2874.3209718152839</v>
      </c>
      <c r="AI246" s="43">
        <f>'[1]поточний ремонт'!AI246+'[2]поточний ремонт'!AI246-'[3]поточний ремонт'!AI246</f>
        <v>1976</v>
      </c>
      <c r="AJ246" s="5"/>
      <c r="AK246" s="43">
        <f>'[1]поточний ремонт'!AK246+'[2]поточний ремонт'!AK246-'[3]поточний ремонт'!AK246</f>
        <v>1510.7208812997071</v>
      </c>
      <c r="AL246" s="43">
        <f>'[1]поточний ремонт'!AL246+'[2]поточний ремонт'!AL246-'[3]поточний ремонт'!AL246</f>
        <v>0</v>
      </c>
      <c r="AM246" s="5"/>
      <c r="AN246" s="43">
        <f>'[1]поточний ремонт'!AN246+'[2]поточний ремонт'!AN246-'[3]поточний ремонт'!AN246</f>
        <v>0</v>
      </c>
      <c r="AO246" s="43">
        <f>'[1]поточний ремонт'!AO246+'[2]поточний ремонт'!AO246-'[3]поточний ремонт'!AO246</f>
        <v>0</v>
      </c>
      <c r="AP246" s="5"/>
      <c r="AQ246" s="43">
        <f>'[1]поточний ремонт'!AQ246+'[2]поточний ремонт'!AQ246-'[3]поточний ремонт'!AQ246</f>
        <v>0</v>
      </c>
      <c r="AR246" s="43">
        <f>'[1]поточний ремонт'!AR246+'[2]поточний ремонт'!AR246-'[3]поточний ремонт'!AR246</f>
        <v>0</v>
      </c>
      <c r="AS246" s="5"/>
      <c r="AT246" s="43">
        <f>'[1]поточний ремонт'!AT246+'[2]поточний ремонт'!AT246-'[3]поточний ремонт'!AT246</f>
        <v>1056.6837643250167</v>
      </c>
      <c r="AU246" s="43">
        <f>'[1]поточний ремонт'!AU246+'[2]поточний ремонт'!AU246-'[3]поточний ремонт'!AU246</f>
        <v>0</v>
      </c>
      <c r="AV246" s="5"/>
      <c r="AW246" s="43">
        <f>'[1]поточний ремонт'!AW246+'[2]поточний ремонт'!AW246-'[3]поточний ремонт'!AW246</f>
        <v>0</v>
      </c>
      <c r="AX246" s="43">
        <f>'[1]поточний ремонт'!AX246+'[2]поточний ремонт'!AX246-'[3]поточний ремонт'!AX246</f>
        <v>0</v>
      </c>
      <c r="AY246" s="5"/>
      <c r="AZ246" s="43">
        <f t="shared" si="26"/>
        <v>7203.4673659555074</v>
      </c>
      <c r="BA246" s="43">
        <f t="shared" si="27"/>
        <v>5758</v>
      </c>
      <c r="BB246" s="59">
        <f t="shared" si="28"/>
        <v>-1445.4673659555074</v>
      </c>
      <c r="BD246" s="2">
        <v>3</v>
      </c>
      <c r="BF246" s="30">
        <v>206.77903561340952</v>
      </c>
      <c r="BG246" s="328">
        <v>150000714</v>
      </c>
      <c r="BI246" s="107">
        <v>0</v>
      </c>
      <c r="BJ246" s="107">
        <f t="shared" si="29"/>
        <v>0</v>
      </c>
      <c r="BK246" s="107">
        <v>0</v>
      </c>
      <c r="BL246" s="39"/>
      <c r="BM246" s="3"/>
      <c r="BN246" s="3">
        <v>0</v>
      </c>
      <c r="BP246" s="3"/>
      <c r="BQ246" s="3"/>
      <c r="BS246" s="43"/>
      <c r="BT246" s="43">
        <v>0</v>
      </c>
      <c r="BU246" s="1037"/>
      <c r="BV246" s="42"/>
      <c r="BW246" s="43"/>
      <c r="BX246" s="37"/>
      <c r="BY246" s="78"/>
      <c r="BZ246" s="43">
        <v>0</v>
      </c>
      <c r="CA246" s="1038"/>
      <c r="CB246" s="42"/>
      <c r="CC246" s="42">
        <v>0</v>
      </c>
      <c r="CD246" s="1039"/>
      <c r="CE246" s="78">
        <v>0</v>
      </c>
      <c r="CF246" s="56"/>
      <c r="CG246" s="42">
        <v>0</v>
      </c>
      <c r="CH246" s="39">
        <v>0</v>
      </c>
      <c r="CI246" s="78">
        <v>0</v>
      </c>
      <c r="CJ246" s="56"/>
      <c r="CK246" s="1034"/>
      <c r="CL246" s="1029"/>
      <c r="CM246" s="1034"/>
      <c r="CN246" s="1029">
        <v>0</v>
      </c>
      <c r="CO246" s="78">
        <v>146.81181237629167</v>
      </c>
      <c r="CP246" s="43">
        <v>1258.4350889463108</v>
      </c>
      <c r="CQ246" s="1045"/>
      <c r="CR246" s="78">
        <v>239.52674765127369</v>
      </c>
      <c r="CS246" s="1033">
        <v>0</v>
      </c>
      <c r="CT246" s="5"/>
      <c r="CU246" s="78">
        <v>125.89340677497562</v>
      </c>
      <c r="CV246" s="43">
        <v>0</v>
      </c>
      <c r="CW246" s="5"/>
      <c r="CX246" s="78">
        <v>0</v>
      </c>
      <c r="CY246" s="43">
        <v>0</v>
      </c>
      <c r="CZ246" s="5"/>
      <c r="DA246" s="78">
        <v>0</v>
      </c>
      <c r="DB246" s="43">
        <v>0</v>
      </c>
      <c r="DC246" s="5"/>
      <c r="DD246" s="78">
        <v>88.056980360418066</v>
      </c>
      <c r="DE246" s="43">
        <v>0</v>
      </c>
      <c r="DF246" s="5"/>
      <c r="DG246" s="78">
        <v>0</v>
      </c>
      <c r="DH246" s="43"/>
      <c r="DI246" s="5"/>
      <c r="DJ246" s="43">
        <v>600.28894716295895</v>
      </c>
      <c r="DK246" s="43">
        <f t="shared" si="30"/>
        <v>1258.4350889463108</v>
      </c>
      <c r="DL246" s="59">
        <f t="shared" si="31"/>
        <v>658.14614178335182</v>
      </c>
    </row>
    <row r="247" spans="1:116" ht="24.9" customHeight="1" x14ac:dyDescent="0.3">
      <c r="A247" s="328">
        <v>150000715</v>
      </c>
      <c r="B247" s="45" t="s">
        <v>1764</v>
      </c>
      <c r="C247" s="1035">
        <v>5</v>
      </c>
      <c r="D247" s="1036" t="s">
        <v>454</v>
      </c>
      <c r="E247" s="1028">
        <f>'побудинковий звіт'!E245</f>
        <v>2102.6</v>
      </c>
      <c r="F247" s="1029">
        <f>'побудинковий звіт'!AS245</f>
        <v>67767.605680559791</v>
      </c>
      <c r="G247" s="1029">
        <f t="shared" si="24"/>
        <v>5066</v>
      </c>
      <c r="H247" s="1029">
        <f t="shared" si="25"/>
        <v>-62701.605680559791</v>
      </c>
      <c r="I247" s="43">
        <f>'[1]поточний ремонт'!I247+'[2]поточний ремонт'!I247-'[3]поточний ремонт'!I247</f>
        <v>0</v>
      </c>
      <c r="J247" s="43">
        <f>'[1]поточний ремонт'!J247+'[2]поточний ремонт'!J247-'[3]поточний ремонт'!J247</f>
        <v>0</v>
      </c>
      <c r="K247" s="1037"/>
      <c r="L247" s="43">
        <f>'[1]поточний ремонт'!L247+'[2]поточний ремонт'!L247-'[3]поточний ремонт'!L247</f>
        <v>0</v>
      </c>
      <c r="M247" s="43">
        <f>'[1]поточний ремонт'!M247+'[2]поточний ремонт'!M247-'[3]поточний ремонт'!M247</f>
        <v>0</v>
      </c>
      <c r="N247" s="37"/>
      <c r="O247" s="43">
        <f>'[1]поточний ремонт'!O247+'[2]поточний ремонт'!O247-'[3]поточний ремонт'!O247</f>
        <v>0</v>
      </c>
      <c r="P247" s="43">
        <f>'[1]поточний ремонт'!P247+'[2]поточний ремонт'!P247-'[3]поточний ремонт'!P247</f>
        <v>0</v>
      </c>
      <c r="Q247" s="1038"/>
      <c r="R247" s="43">
        <f>'[1]поточний ремонт'!R247+'[2]поточний ремонт'!R247-'[3]поточний ремонт'!R247</f>
        <v>0</v>
      </c>
      <c r="S247" s="43">
        <f>'[1]поточний ремонт'!S247+'[2]поточний ремонт'!S247-'[3]поточний ремонт'!S247</f>
        <v>0</v>
      </c>
      <c r="T247" s="1039"/>
      <c r="U247" s="43">
        <f>'[1]поточний ремонт'!U247+'[2]поточний ремонт'!U247-'[3]поточний ремонт'!U247</f>
        <v>0</v>
      </c>
      <c r="V247" s="43">
        <f>'[1]поточний ремонт'!V247+'[2]поточний ремонт'!V247-'[3]поточний ремонт'!V247</f>
        <v>0</v>
      </c>
      <c r="W247" s="43">
        <f>'[1]поточний ремонт'!W247+'[2]поточний ремонт'!W247-'[3]поточний ремонт'!W247</f>
        <v>20</v>
      </c>
      <c r="X247" s="43">
        <f>'[1]поточний ремонт'!X247+'[2]поточний ремонт'!X247-'[3]поточний ремонт'!X247</f>
        <v>4494</v>
      </c>
      <c r="Y247" s="43">
        <f>'[1]поточний ремонт'!Y247+'[2]поточний ремонт'!Y247-'[3]поточний ремонт'!Y247</f>
        <v>0</v>
      </c>
      <c r="Z247" s="43">
        <f>'[1]поточний ремонт'!Z247+'[2]поточний ремонт'!Z247-'[3]поточний ремонт'!Z247</f>
        <v>0</v>
      </c>
      <c r="AA247" s="43">
        <f>'[1]поточний ремонт'!AA247+'[2]поточний ремонт'!AA247-'[3]поточний ремонт'!AA247</f>
        <v>0</v>
      </c>
      <c r="AB247" s="43">
        <f>'[1]поточний ремонт'!AB247+'[2]поточний ремонт'!AB247-'[3]поточний ремонт'!AB247</f>
        <v>0</v>
      </c>
      <c r="AC247" s="43">
        <f>'[1]поточний ремонт'!AC247+'[2]поточний ремонт'!AC247-'[3]поточний ремонт'!AC247</f>
        <v>0</v>
      </c>
      <c r="AD247" s="43">
        <f>'[1]поточний ремонт'!AD247+'[2]поточний ремонт'!AD247-'[3]поточний ремонт'!AD247</f>
        <v>572</v>
      </c>
      <c r="AE247" s="43">
        <f>'[1]поточний ремонт'!AE247+'[2]поточний ремонт'!AE247-'[3]поточний ремонт'!AE247</f>
        <v>2726.0289986663761</v>
      </c>
      <c r="AF247" s="43">
        <f>'[1]поточний ремонт'!AF247+'[2]поточний ремонт'!AF247-'[3]поточний ремонт'!AF247</f>
        <v>0</v>
      </c>
      <c r="AG247" s="5"/>
      <c r="AH247" s="43">
        <f>'[1]поточний ремонт'!AH247+'[2]поточний ремонт'!AH247-'[3]поточний ремонт'!AH247</f>
        <v>4387.842192329912</v>
      </c>
      <c r="AI247" s="43">
        <f>'[1]поточний ремонт'!AI247+'[2]поточний ремонт'!AI247-'[3]поточний ремонт'!AI247</f>
        <v>2072</v>
      </c>
      <c r="AJ247" s="5"/>
      <c r="AK247" s="43">
        <f>'[1]поточний ремонт'!AK247+'[2]поточний ремонт'!AK247-'[3]поточний ремонт'!AK247</f>
        <v>2515.8781281670199</v>
      </c>
      <c r="AL247" s="43">
        <f>'[1]поточний ремонт'!AL247+'[2]поточний ремонт'!AL247-'[3]поточний ремонт'!AL247</f>
        <v>8630</v>
      </c>
      <c r="AM247" s="1059"/>
      <c r="AN247" s="43">
        <f>'[1]поточний ремонт'!AN247+'[2]поточний ремонт'!AN247-'[3]поточний ремонт'!AN247</f>
        <v>0</v>
      </c>
      <c r="AO247" s="43">
        <f>'[1]поточний ремонт'!AO247+'[2]поточний ремонт'!AO247-'[3]поточний ремонт'!AO247</f>
        <v>0</v>
      </c>
      <c r="AP247" s="5"/>
      <c r="AQ247" s="43">
        <f>'[1]поточний ремонт'!AQ247+'[2]поточний ремонт'!AQ247-'[3]поточний ремонт'!AQ247</f>
        <v>1340.0602642586261</v>
      </c>
      <c r="AR247" s="43">
        <f>'[1]поточний ремонт'!AR247+'[2]поточний ремонт'!AR247-'[3]поточний ремонт'!AR247</f>
        <v>0</v>
      </c>
      <c r="AS247" s="5"/>
      <c r="AT247" s="43">
        <f>'[1]поточний ремонт'!AT247+'[2]поточний ремонт'!AT247-'[3]поточний ремонт'!AT247</f>
        <v>2005.6681296940276</v>
      </c>
      <c r="AU247" s="43">
        <f>'[1]поточний ремонт'!AU247+'[2]поточний ремонт'!AU247-'[3]поточний ремонт'!AU247</f>
        <v>0</v>
      </c>
      <c r="AV247" s="9"/>
      <c r="AW247" s="43">
        <f>'[1]поточний ремонт'!AW247+'[2]поточний ремонт'!AW247-'[3]поточний ремонт'!AW247</f>
        <v>0</v>
      </c>
      <c r="AX247" s="43">
        <f>'[1]поточний ремонт'!AX247+'[2]поточний ремонт'!AX247-'[3]поточний ремонт'!AX247</f>
        <v>506</v>
      </c>
      <c r="AY247" s="5"/>
      <c r="AZ247" s="43">
        <f t="shared" si="26"/>
        <v>12975.477713115961</v>
      </c>
      <c r="BA247" s="43">
        <f t="shared" si="27"/>
        <v>11208</v>
      </c>
      <c r="BB247" s="59">
        <f t="shared" si="28"/>
        <v>-1767.4777131159608</v>
      </c>
      <c r="BD247" s="2">
        <v>3</v>
      </c>
      <c r="BF247" s="30">
        <v>342.38667371126445</v>
      </c>
      <c r="BG247" s="328">
        <v>150000715</v>
      </c>
      <c r="BI247" s="107">
        <v>0</v>
      </c>
      <c r="BJ247" s="107">
        <f t="shared" si="29"/>
        <v>0</v>
      </c>
      <c r="BK247" s="107">
        <v>0</v>
      </c>
      <c r="BL247" s="39"/>
      <c r="BM247" s="3"/>
      <c r="BN247" s="3">
        <v>0</v>
      </c>
      <c r="BP247" s="3"/>
      <c r="BQ247" s="3"/>
      <c r="BS247" s="43"/>
      <c r="BT247" s="43">
        <v>0</v>
      </c>
      <c r="BU247" s="1037"/>
      <c r="BV247" s="42"/>
      <c r="BW247" s="43"/>
      <c r="BX247" s="37"/>
      <c r="BY247" s="78"/>
      <c r="BZ247" s="43">
        <v>0</v>
      </c>
      <c r="CA247" s="1038"/>
      <c r="CB247" s="42"/>
      <c r="CC247" s="42">
        <v>0</v>
      </c>
      <c r="CD247" s="1039"/>
      <c r="CE247" s="78">
        <v>0</v>
      </c>
      <c r="CF247" s="56"/>
      <c r="CG247" s="42">
        <v>0</v>
      </c>
      <c r="CH247" s="39">
        <v>0</v>
      </c>
      <c r="CI247" s="78">
        <v>0</v>
      </c>
      <c r="CJ247" s="56"/>
      <c r="CK247" s="1034"/>
      <c r="CL247" s="1029"/>
      <c r="CM247" s="1034"/>
      <c r="CN247" s="1029">
        <v>0</v>
      </c>
      <c r="CO247" s="78">
        <v>227.169083222198</v>
      </c>
      <c r="CP247" s="43">
        <v>0</v>
      </c>
      <c r="CQ247" s="5"/>
      <c r="CR247" s="78">
        <v>365.65351602749274</v>
      </c>
      <c r="CS247" s="1033">
        <v>0</v>
      </c>
      <c r="CT247" s="5"/>
      <c r="CU247" s="78">
        <v>209.65651068058494</v>
      </c>
      <c r="CV247" s="43">
        <v>0</v>
      </c>
      <c r="CW247" s="1059"/>
      <c r="CX247" s="78">
        <v>0</v>
      </c>
      <c r="CY247" s="43">
        <v>0</v>
      </c>
      <c r="CZ247" s="5"/>
      <c r="DA247" s="78">
        <v>111.67168868821882</v>
      </c>
      <c r="DB247" s="43">
        <v>0</v>
      </c>
      <c r="DC247" s="5"/>
      <c r="DD247" s="78">
        <v>167.13901080783566</v>
      </c>
      <c r="DE247" s="43">
        <v>0</v>
      </c>
      <c r="DF247" s="9"/>
      <c r="DG247" s="78">
        <v>0</v>
      </c>
      <c r="DH247" s="43"/>
      <c r="DI247" s="5"/>
      <c r="DJ247" s="43">
        <v>1081.2898094263301</v>
      </c>
      <c r="DK247" s="43">
        <f t="shared" si="30"/>
        <v>0</v>
      </c>
      <c r="DL247" s="59">
        <f t="shared" si="31"/>
        <v>-1081.2898094263301</v>
      </c>
    </row>
    <row r="248" spans="1:116" ht="24.9" customHeight="1" x14ac:dyDescent="0.3">
      <c r="A248" s="328">
        <v>150000719</v>
      </c>
      <c r="B248" s="45" t="s">
        <v>1765</v>
      </c>
      <c r="C248" s="1035">
        <v>5</v>
      </c>
      <c r="D248" s="1036" t="s">
        <v>454</v>
      </c>
      <c r="E248" s="1028">
        <f>'побудинковий звіт'!E246</f>
        <v>2959.2000000000003</v>
      </c>
      <c r="F248" s="1029">
        <f>'побудинковий звіт'!AS246</f>
        <v>77749.597419176484</v>
      </c>
      <c r="G248" s="1029">
        <f t="shared" si="24"/>
        <v>59680</v>
      </c>
      <c r="H248" s="1029">
        <f t="shared" si="25"/>
        <v>-18069.597419176484</v>
      </c>
      <c r="I248" s="43">
        <f>'[1]поточний ремонт'!I248+'[2]поточний ремонт'!I248-'[3]поточний ремонт'!I248</f>
        <v>0</v>
      </c>
      <c r="J248" s="43">
        <f>'[1]поточний ремонт'!J248+'[2]поточний ремонт'!J248-'[3]поточний ремонт'!J248</f>
        <v>0</v>
      </c>
      <c r="K248" s="1037"/>
      <c r="L248" s="43">
        <f>'[1]поточний ремонт'!L248+'[2]поточний ремонт'!L248-'[3]поточний ремонт'!L248</f>
        <v>1</v>
      </c>
      <c r="M248" s="43">
        <f>'[1]поточний ремонт'!M248+'[2]поточний ремонт'!M248-'[3]поточний ремонт'!M248</f>
        <v>52285</v>
      </c>
      <c r="N248" s="1048"/>
      <c r="O248" s="43">
        <f>'[1]поточний ремонт'!O248+'[2]поточний ремонт'!O248-'[3]поточний ремонт'!O248</f>
        <v>0</v>
      </c>
      <c r="P248" s="43">
        <f>'[1]поточний ремонт'!P248+'[2]поточний ремонт'!P248-'[3]поточний ремонт'!P248</f>
        <v>0</v>
      </c>
      <c r="Q248" s="1038"/>
      <c r="R248" s="43">
        <f>'[1]поточний ремонт'!R248+'[2]поточний ремонт'!R248-'[3]поточний ремонт'!R248</f>
        <v>0</v>
      </c>
      <c r="S248" s="43">
        <f>'[1]поточний ремонт'!S248+'[2]поточний ремонт'!S248-'[3]поточний ремонт'!S248</f>
        <v>0</v>
      </c>
      <c r="T248" s="1039"/>
      <c r="U248" s="43">
        <f>'[1]поточний ремонт'!U248+'[2]поточний ремонт'!U248-'[3]поточний ремонт'!U248</f>
        <v>0</v>
      </c>
      <c r="V248" s="43">
        <f>'[1]поточний ремонт'!V248+'[2]поточний ремонт'!V248-'[3]поточний ремонт'!V248</f>
        <v>0</v>
      </c>
      <c r="W248" s="43">
        <f>'[1]поточний ремонт'!W248+'[2]поточний ремонт'!W248-'[3]поточний ремонт'!W248</f>
        <v>14</v>
      </c>
      <c r="X248" s="43">
        <f>'[1]поточний ремонт'!X248+'[2]поточний ремонт'!X248-'[3]поточний ремонт'!X248</f>
        <v>1016</v>
      </c>
      <c r="Y248" s="43">
        <f>'[1]поточний ремонт'!Y248+'[2]поточний ремонт'!Y248-'[3]поточний ремонт'!Y248</f>
        <v>351</v>
      </c>
      <c r="Z248" s="43">
        <f>'[1]поточний ремонт'!Z248+'[2]поточний ремонт'!Z248-'[3]поточний ремонт'!Z248</f>
        <v>0</v>
      </c>
      <c r="AA248" s="43">
        <f>'[1]поточний ремонт'!AA248+'[2]поточний ремонт'!AA248-'[3]поточний ремонт'!AA248</f>
        <v>0</v>
      </c>
      <c r="AB248" s="43">
        <f>'[1]поточний ремонт'!AB248+'[2]поточний ремонт'!AB248-'[3]поточний ремонт'!AB248</f>
        <v>4186</v>
      </c>
      <c r="AC248" s="43">
        <f>'[1]поточний ремонт'!AC248+'[2]поточний ремонт'!AC248-'[3]поточний ремонт'!AC248</f>
        <v>405.99999999999977</v>
      </c>
      <c r="AD248" s="43">
        <f>'[1]поточний ремонт'!AD248+'[2]поточний ремонт'!AD248-'[3]поточний ремонт'!AD248</f>
        <v>1436</v>
      </c>
      <c r="AE248" s="43">
        <f>'[1]поточний ремонт'!AE248+'[2]поточний ремонт'!AE248-'[3]поточний ремонт'!AE248</f>
        <v>3591.3880761832252</v>
      </c>
      <c r="AF248" s="43">
        <f>'[1]поточний ремонт'!AF248+'[2]поточний ремонт'!AF248-'[3]поточний ремонт'!AF248</f>
        <v>0</v>
      </c>
      <c r="AG248" s="9"/>
      <c r="AH248" s="43">
        <f>'[1]поточний ремонт'!AH248+'[2]поточний ремонт'!AH248-'[3]поточний ремонт'!AH248</f>
        <v>5853.1755905387199</v>
      </c>
      <c r="AI248" s="43">
        <f>'[1]поточний ремонт'!AI248+'[2]поточний ремонт'!AI248-'[3]поточний ремонт'!AI248</f>
        <v>858</v>
      </c>
      <c r="AJ248" s="9"/>
      <c r="AK248" s="43">
        <f>'[1]поточний ремонт'!AK248+'[2]поточний ремонт'!AK248-'[3]поточний ремонт'!AK248</f>
        <v>3411.6345498281385</v>
      </c>
      <c r="AL248" s="43">
        <f>'[1]поточний ремонт'!AL248+'[2]поточний ремонт'!AL248-'[3]поточний ремонт'!AL248</f>
        <v>311</v>
      </c>
      <c r="AM248" s="5"/>
      <c r="AN248" s="43">
        <f>'[1]поточний ремонт'!AN248+'[2]поточний ремонт'!AN248-'[3]поточний ремонт'!AN248</f>
        <v>0</v>
      </c>
      <c r="AO248" s="43">
        <f>'[1]поточний ремонт'!AO248+'[2]поточний ремонт'!AO248-'[3]поточний ремонт'!AO248</f>
        <v>0</v>
      </c>
      <c r="AP248" s="5"/>
      <c r="AQ248" s="43">
        <f>'[1]поточний ремонт'!AQ248+'[2]поточний ремонт'!AQ248-'[3]поточний ремонт'!AQ248</f>
        <v>2032.8706882486335</v>
      </c>
      <c r="AR248" s="43">
        <f>'[1]поточний ремонт'!AR248+'[2]поточний ремонт'!AR248-'[3]поточний ремонт'!AR248</f>
        <v>1602</v>
      </c>
      <c r="AS248" s="5"/>
      <c r="AT248" s="43">
        <f>'[1]поточний ремонт'!AT248+'[2]поточний ремонт'!AT248-'[3]поточний ремонт'!AT248</f>
        <v>3257.9610079019617</v>
      </c>
      <c r="AU248" s="43">
        <f>'[1]поточний ремонт'!AU248+'[2]поточний ремонт'!AU248-'[3]поточний ремонт'!AU248</f>
        <v>916.99999999999955</v>
      </c>
      <c r="AV248" s="9"/>
      <c r="AW248" s="43">
        <f>'[1]поточний ремонт'!AW248+'[2]поточний ремонт'!AW248-'[3]поточний ремонт'!AW248</f>
        <v>0</v>
      </c>
      <c r="AX248" s="43">
        <f>'[1]поточний ремонт'!AX248+'[2]поточний ремонт'!AX248-'[3]поточний ремонт'!AX248</f>
        <v>0</v>
      </c>
      <c r="AY248" s="5"/>
      <c r="AZ248" s="43">
        <f t="shared" si="26"/>
        <v>18147.029912700677</v>
      </c>
      <c r="BA248" s="43">
        <f t="shared" si="27"/>
        <v>3687.9999999999995</v>
      </c>
      <c r="BB248" s="59">
        <f t="shared" si="28"/>
        <v>-14459.029912700677</v>
      </c>
      <c r="BD248" s="2">
        <v>3</v>
      </c>
      <c r="BF248" s="30">
        <v>477.67079148105228</v>
      </c>
      <c r="BG248" s="328">
        <v>150000719</v>
      </c>
      <c r="BI248" s="107">
        <v>0</v>
      </c>
      <c r="BJ248" s="107">
        <f t="shared" si="29"/>
        <v>0</v>
      </c>
      <c r="BK248" s="107">
        <v>0</v>
      </c>
      <c r="BL248" s="39"/>
      <c r="BM248" s="3"/>
      <c r="BN248" s="3">
        <v>0</v>
      </c>
      <c r="BP248" s="3"/>
      <c r="BQ248" s="3"/>
      <c r="BS248" s="43"/>
      <c r="BT248" s="43">
        <v>0</v>
      </c>
      <c r="BU248" s="1037"/>
      <c r="BV248" s="42"/>
      <c r="BW248" s="43"/>
      <c r="BX248" s="1048"/>
      <c r="BY248" s="78"/>
      <c r="BZ248" s="43">
        <v>0</v>
      </c>
      <c r="CA248" s="1038"/>
      <c r="CB248" s="42"/>
      <c r="CC248" s="42">
        <v>0</v>
      </c>
      <c r="CD248" s="1039"/>
      <c r="CE248" s="78">
        <v>0</v>
      </c>
      <c r="CF248" s="56"/>
      <c r="CG248" s="42">
        <v>0</v>
      </c>
      <c r="CH248" s="39">
        <v>0</v>
      </c>
      <c r="CI248" s="78">
        <v>5404.7241582060624</v>
      </c>
      <c r="CJ248" s="1044"/>
      <c r="CK248" s="1034"/>
      <c r="CL248" s="1029"/>
      <c r="CM248" s="1034"/>
      <c r="CN248" s="1029">
        <v>0</v>
      </c>
      <c r="CO248" s="78">
        <v>299.28233968193547</v>
      </c>
      <c r="CP248" s="43">
        <v>0</v>
      </c>
      <c r="CQ248" s="9"/>
      <c r="CR248" s="78">
        <v>487.7646325448934</v>
      </c>
      <c r="CS248" s="1033">
        <v>0</v>
      </c>
      <c r="CT248" s="9"/>
      <c r="CU248" s="78">
        <v>284.30287915234493</v>
      </c>
      <c r="CV248" s="43">
        <v>0</v>
      </c>
      <c r="CW248" s="5"/>
      <c r="CX248" s="78">
        <v>0</v>
      </c>
      <c r="CY248" s="43">
        <v>0</v>
      </c>
      <c r="CZ248" s="5"/>
      <c r="DA248" s="78">
        <v>169.40589068738615</v>
      </c>
      <c r="DB248" s="43">
        <v>0</v>
      </c>
      <c r="DC248" s="5"/>
      <c r="DD248" s="78">
        <v>271.49675065849686</v>
      </c>
      <c r="DE248" s="43">
        <v>0</v>
      </c>
      <c r="DF248" s="9"/>
      <c r="DG248" s="78">
        <v>0</v>
      </c>
      <c r="DH248" s="43"/>
      <c r="DI248" s="5"/>
      <c r="DJ248" s="43">
        <v>1512.2524927250568</v>
      </c>
      <c r="DK248" s="43">
        <f t="shared" si="30"/>
        <v>0</v>
      </c>
      <c r="DL248" s="59">
        <f t="shared" si="31"/>
        <v>-1512.2524927250568</v>
      </c>
    </row>
    <row r="249" spans="1:116" ht="24.9" customHeight="1" x14ac:dyDescent="0.3">
      <c r="A249" s="328">
        <v>150000716</v>
      </c>
      <c r="B249" s="45" t="s">
        <v>1766</v>
      </c>
      <c r="C249" s="1035">
        <v>5</v>
      </c>
      <c r="D249" s="1036" t="s">
        <v>454</v>
      </c>
      <c r="E249" s="1028">
        <f>'побудинковий звіт'!E247</f>
        <v>4052.32</v>
      </c>
      <c r="F249" s="1029">
        <f>'побудинковий звіт'!AS247</f>
        <v>47054.131836328685</v>
      </c>
      <c r="G249" s="1029">
        <f t="shared" si="24"/>
        <v>104432</v>
      </c>
      <c r="H249" s="1029">
        <f t="shared" si="25"/>
        <v>57377.868163671315</v>
      </c>
      <c r="I249" s="43">
        <f>'[1]поточний ремонт'!I249+'[2]поточний ремонт'!I249-'[3]поточний ремонт'!I249</f>
        <v>9</v>
      </c>
      <c r="J249" s="43">
        <f>'[1]поточний ремонт'!J249+'[2]поточний ремонт'!J249-'[3]поточний ремонт'!J249</f>
        <v>2358</v>
      </c>
      <c r="K249" s="1037"/>
      <c r="L249" s="43">
        <f>'[1]поточний ремонт'!L249+'[2]поточний ремонт'!L249-'[3]поточний ремонт'!L249</f>
        <v>1</v>
      </c>
      <c r="M249" s="43">
        <f>'[1]поточний ремонт'!M249+'[2]поточний ремонт'!M249-'[3]поточний ремонт'!M249</f>
        <v>38572</v>
      </c>
      <c r="N249" s="37"/>
      <c r="O249" s="43">
        <f>'[1]поточний ремонт'!O249+'[2]поточний ремонт'!O249-'[3]поточний ремонт'!O249</f>
        <v>0</v>
      </c>
      <c r="P249" s="43">
        <f>'[1]поточний ремонт'!P249+'[2]поточний ремонт'!P249-'[3]поточний ремонт'!P249</f>
        <v>0</v>
      </c>
      <c r="Q249" s="1038"/>
      <c r="R249" s="43">
        <f>'[1]поточний ремонт'!R249+'[2]поточний ремонт'!R249-'[3]поточний ремонт'!R249</f>
        <v>0</v>
      </c>
      <c r="S249" s="43">
        <f>'[1]поточний ремонт'!S249+'[2]поточний ремонт'!S249-'[3]поточний ремонт'!S249</f>
        <v>0</v>
      </c>
      <c r="T249" s="1039"/>
      <c r="U249" s="43">
        <f>'[1]поточний ремонт'!U249+'[2]поточний ремонт'!U249-'[3]поточний ремонт'!U249</f>
        <v>0</v>
      </c>
      <c r="V249" s="43">
        <f>'[1]поточний ремонт'!V249+'[2]поточний ремонт'!V249-'[3]поточний ремонт'!V249</f>
        <v>0</v>
      </c>
      <c r="W249" s="43">
        <f>'[1]поточний ремонт'!W249+'[2]поточний ремонт'!W249-'[3]поточний ремонт'!W249</f>
        <v>0</v>
      </c>
      <c r="X249" s="43">
        <f>'[1]поточний ремонт'!X249+'[2]поточний ремонт'!X249-'[3]поточний ремонт'!X249</f>
        <v>0</v>
      </c>
      <c r="Y249" s="43">
        <f>'[1]поточний ремонт'!Y249+'[2]поточний ремонт'!Y249-'[3]поточний ремонт'!Y249</f>
        <v>4398</v>
      </c>
      <c r="Z249" s="43">
        <f>'[1]поточний ремонт'!Z249+'[2]поточний ремонт'!Z249-'[3]поточний ремонт'!Z249</f>
        <v>0</v>
      </c>
      <c r="AA249" s="43">
        <f>'[1]поточний ремонт'!AA249+'[2]поточний ремонт'!AA249-'[3]поточний ремонт'!AA249</f>
        <v>0</v>
      </c>
      <c r="AB249" s="43">
        <f>'[1]поточний ремонт'!AB249+'[2]поточний ремонт'!AB249-'[3]поточний ремонт'!AB249</f>
        <v>0</v>
      </c>
      <c r="AC249" s="43">
        <f>'[1]поточний ремонт'!AC249+'[2]поточний ремонт'!AC249-'[3]поточний ремонт'!AC249</f>
        <v>55188</v>
      </c>
      <c r="AD249" s="43">
        <f>'[1]поточний ремонт'!AD249+'[2]поточний ремонт'!AD249-'[3]поточний ремонт'!AD249</f>
        <v>3916</v>
      </c>
      <c r="AE249" s="43">
        <f>'[1]поточний ремонт'!AE249+'[2]поточний ремонт'!AE249-'[3]поточний ремонт'!AE249</f>
        <v>2196.5301685076433</v>
      </c>
      <c r="AF249" s="43">
        <f>'[1]поточний ремонт'!AF249+'[2]поточний ремонт'!AF249-'[3]поточний ремонт'!AF249</f>
        <v>0</v>
      </c>
      <c r="AG249" s="5"/>
      <c r="AH249" s="43">
        <f>'[1]поточний ремонт'!AH249+'[2]поточний ремонт'!AH249-'[3]поточний ремонт'!AH249</f>
        <v>2941.9120062973689</v>
      </c>
      <c r="AI249" s="43">
        <f>'[1]поточний ремонт'!AI249+'[2]поточний ремонт'!AI249-'[3]поточний ремонт'!AI249</f>
        <v>1741</v>
      </c>
      <c r="AJ249" s="5"/>
      <c r="AK249" s="43">
        <f>'[1]поточний ремонт'!AK249+'[2]поточний ремонт'!AK249-'[3]поточний ремонт'!AK249</f>
        <v>1847.4865521523909</v>
      </c>
      <c r="AL249" s="43">
        <f>'[1]поточний ремонт'!AL249+'[2]поточний ремонт'!AL249-'[3]поточний ремонт'!AL249</f>
        <v>5092</v>
      </c>
      <c r="AM249" s="5"/>
      <c r="AN249" s="43">
        <f>'[1]поточний ремонт'!AN249+'[2]поточний ремонт'!AN249-'[3]поточний ремонт'!AN249</f>
        <v>0</v>
      </c>
      <c r="AO249" s="43">
        <f>'[1]поточний ремонт'!AO249+'[2]поточний ремонт'!AO249-'[3]поточний ремонт'!AO249</f>
        <v>0</v>
      </c>
      <c r="AP249" s="5"/>
      <c r="AQ249" s="43">
        <f>'[1]поточний ремонт'!AQ249+'[2]поточний ремонт'!AQ249-'[3]поточний ремонт'!AQ249</f>
        <v>0</v>
      </c>
      <c r="AR249" s="43">
        <f>'[1]поточний ремонт'!AR249+'[2]поточний ремонт'!AR249-'[3]поточний ремонт'!AR249</f>
        <v>0</v>
      </c>
      <c r="AS249" s="5"/>
      <c r="AT249" s="43">
        <f>'[1]поточний ремонт'!AT249+'[2]поточний ремонт'!AT249-'[3]поточний ремонт'!AT249</f>
        <v>1203.324112177607</v>
      </c>
      <c r="AU249" s="43">
        <f>'[1]поточний ремонт'!AU249+'[2]поточний ремонт'!AU249-'[3]поточний ремонт'!AU249</f>
        <v>3183</v>
      </c>
      <c r="AV249" s="5"/>
      <c r="AW249" s="43">
        <f>'[1]поточний ремонт'!AW249+'[2]поточний ремонт'!AW249-'[3]поточний ремонт'!AW249</f>
        <v>0</v>
      </c>
      <c r="AX249" s="43">
        <f>'[1]поточний ремонт'!AX249+'[2]поточний ремонт'!AX249-'[3]поточний ремонт'!AX249</f>
        <v>0</v>
      </c>
      <c r="AY249" s="5"/>
      <c r="AZ249" s="43">
        <f t="shared" si="26"/>
        <v>8189.2528391350097</v>
      </c>
      <c r="BA249" s="43">
        <f t="shared" si="27"/>
        <v>10016</v>
      </c>
      <c r="BB249" s="59">
        <f t="shared" si="28"/>
        <v>1826.7471608649903</v>
      </c>
      <c r="BD249" s="2">
        <v>3</v>
      </c>
      <c r="BF249" s="30">
        <v>239.30513422381614</v>
      </c>
      <c r="BG249" s="328">
        <v>150000716</v>
      </c>
      <c r="BI249" s="107">
        <v>0</v>
      </c>
      <c r="BJ249" s="107">
        <f t="shared" si="29"/>
        <v>0</v>
      </c>
      <c r="BK249" s="107">
        <v>0</v>
      </c>
      <c r="BL249" s="39"/>
      <c r="BM249" s="3"/>
      <c r="BN249" s="3">
        <v>0</v>
      </c>
      <c r="BP249" s="3"/>
      <c r="BQ249" s="3"/>
      <c r="BS249" s="43"/>
      <c r="BT249" s="43">
        <v>0</v>
      </c>
      <c r="BU249" s="1037"/>
      <c r="BV249" s="42"/>
      <c r="BW249" s="43"/>
      <c r="BX249" s="37"/>
      <c r="BY249" s="78"/>
      <c r="BZ249" s="43">
        <v>0</v>
      </c>
      <c r="CA249" s="1038"/>
      <c r="CB249" s="42"/>
      <c r="CC249" s="42">
        <v>0</v>
      </c>
      <c r="CD249" s="1039"/>
      <c r="CE249" s="78">
        <v>0</v>
      </c>
      <c r="CF249" s="56"/>
      <c r="CG249" s="42">
        <v>0</v>
      </c>
      <c r="CH249" s="39">
        <v>0</v>
      </c>
      <c r="CI249" s="78">
        <v>0</v>
      </c>
      <c r="CJ249" s="56"/>
      <c r="CK249" s="1034"/>
      <c r="CL249" s="1029"/>
      <c r="CM249" s="1034"/>
      <c r="CN249" s="1029">
        <v>0</v>
      </c>
      <c r="CO249" s="78">
        <v>183.04418070897029</v>
      </c>
      <c r="CP249" s="43">
        <v>0</v>
      </c>
      <c r="CQ249" s="5"/>
      <c r="CR249" s="78">
        <v>245.15933385811405</v>
      </c>
      <c r="CS249" s="1033">
        <v>0</v>
      </c>
      <c r="CT249" s="5"/>
      <c r="CU249" s="78">
        <v>153.95721267936585</v>
      </c>
      <c r="CV249" s="43">
        <v>0</v>
      </c>
      <c r="CW249" s="5"/>
      <c r="CX249" s="78">
        <v>0</v>
      </c>
      <c r="CY249" s="43">
        <v>0</v>
      </c>
      <c r="CZ249" s="5"/>
      <c r="DA249" s="78">
        <v>0</v>
      </c>
      <c r="DB249" s="43">
        <v>0</v>
      </c>
      <c r="DC249" s="5"/>
      <c r="DD249" s="78">
        <v>100.27700934813392</v>
      </c>
      <c r="DE249" s="43">
        <v>0</v>
      </c>
      <c r="DF249" s="5"/>
      <c r="DG249" s="78">
        <v>0</v>
      </c>
      <c r="DH249" s="43"/>
      <c r="DI249" s="5"/>
      <c r="DJ249" s="43">
        <v>682.43773659458407</v>
      </c>
      <c r="DK249" s="43">
        <f t="shared" si="30"/>
        <v>0</v>
      </c>
      <c r="DL249" s="59">
        <f t="shared" si="31"/>
        <v>-682.43773659458407</v>
      </c>
    </row>
    <row r="250" spans="1:116" ht="24.9" customHeight="1" x14ac:dyDescent="0.3">
      <c r="A250" s="328">
        <v>150000717</v>
      </c>
      <c r="B250" s="45" t="s">
        <v>1767</v>
      </c>
      <c r="C250" s="1035">
        <v>5</v>
      </c>
      <c r="D250" s="1036" t="s">
        <v>454</v>
      </c>
      <c r="E250" s="1028">
        <f>'побудинковий звіт'!E248</f>
        <v>4147.0999999999995</v>
      </c>
      <c r="F250" s="1029">
        <f>'побудинковий звіт'!AS248</f>
        <v>42987.131350440148</v>
      </c>
      <c r="G250" s="1029">
        <f t="shared" si="24"/>
        <v>3437</v>
      </c>
      <c r="H250" s="1029">
        <f t="shared" si="25"/>
        <v>-39550.131350440148</v>
      </c>
      <c r="I250" s="43">
        <f>'[1]поточний ремонт'!I250+'[2]поточний ремонт'!I250-'[3]поточний ремонт'!I250</f>
        <v>0</v>
      </c>
      <c r="J250" s="43">
        <f>'[1]поточний ремонт'!J250+'[2]поточний ремонт'!J250-'[3]поточний ремонт'!J250</f>
        <v>0</v>
      </c>
      <c r="K250" s="1037"/>
      <c r="L250" s="43">
        <f>'[1]поточний ремонт'!L250+'[2]поточний ремонт'!L250-'[3]поточний ремонт'!L250</f>
        <v>0</v>
      </c>
      <c r="M250" s="43">
        <f>'[1]поточний ремонт'!M250+'[2]поточний ремонт'!M250-'[3]поточний ремонт'!M250</f>
        <v>0</v>
      </c>
      <c r="N250" s="37"/>
      <c r="O250" s="43">
        <f>'[1]поточний ремонт'!O250+'[2]поточний ремонт'!O250-'[3]поточний ремонт'!O250</f>
        <v>0</v>
      </c>
      <c r="P250" s="43">
        <f>'[1]поточний ремонт'!P250+'[2]поточний ремонт'!P250-'[3]поточний ремонт'!P250</f>
        <v>0</v>
      </c>
      <c r="Q250" s="1038"/>
      <c r="R250" s="43">
        <f>'[1]поточний ремонт'!R250+'[2]поточний ремонт'!R250-'[3]поточний ремонт'!R250</f>
        <v>0</v>
      </c>
      <c r="S250" s="43">
        <f>'[1]поточний ремонт'!S250+'[2]поточний ремонт'!S250-'[3]поточний ремонт'!S250</f>
        <v>0</v>
      </c>
      <c r="T250" s="1039"/>
      <c r="U250" s="43">
        <f>'[1]поточний ремонт'!U250+'[2]поточний ремонт'!U250-'[3]поточний ремонт'!U250</f>
        <v>0</v>
      </c>
      <c r="V250" s="43">
        <f>'[1]поточний ремонт'!V250+'[2]поточний ремонт'!V250-'[3]поточний ремонт'!V250</f>
        <v>0</v>
      </c>
      <c r="W250" s="43">
        <f>'[1]поточний ремонт'!W250+'[2]поточний ремонт'!W250-'[3]поточний ремонт'!W250</f>
        <v>0</v>
      </c>
      <c r="X250" s="43">
        <f>'[1]поточний ремонт'!X250+'[2]поточний ремонт'!X250-'[3]поточний ремонт'!X250</f>
        <v>0</v>
      </c>
      <c r="Y250" s="43">
        <f>'[1]поточний ремонт'!Y250+'[2]поточний ремонт'!Y250-'[3]поточний ремонт'!Y250</f>
        <v>0</v>
      </c>
      <c r="Z250" s="43">
        <f>'[1]поточний ремонт'!Z250+'[2]поточний ремонт'!Z250-'[3]поточний ремонт'!Z250</f>
        <v>0</v>
      </c>
      <c r="AA250" s="43">
        <f>'[1]поточний ремонт'!AA250+'[2]поточний ремонт'!AA250-'[3]поточний ремонт'!AA250</f>
        <v>0</v>
      </c>
      <c r="AB250" s="43">
        <f>'[1]поточний ремонт'!AB250+'[2]поточний ремонт'!AB250-'[3]поточний ремонт'!AB250</f>
        <v>1535</v>
      </c>
      <c r="AC250" s="43">
        <f>'[1]поточний ремонт'!AC250+'[2]поточний ремонт'!AC250-'[3]поточний ремонт'!AC250</f>
        <v>1307</v>
      </c>
      <c r="AD250" s="43">
        <f>'[1]поточний ремонт'!AD250+'[2]поточний ремонт'!AD250-'[3]поточний ремонт'!AD250</f>
        <v>595</v>
      </c>
      <c r="AE250" s="43">
        <f>'[1]поточний ремонт'!AE250+'[2]поточний ремонт'!AE250-'[3]поточний ремонт'!AE250</f>
        <v>2183.3875509932777</v>
      </c>
      <c r="AF250" s="43">
        <f>'[1]поточний ремонт'!AF250+'[2]поточний ремонт'!AF250-'[3]поточний ремонт'!AF250</f>
        <v>0</v>
      </c>
      <c r="AG250" s="1045"/>
      <c r="AH250" s="43">
        <f>'[1]поточний ремонт'!AH250+'[2]поточний ремонт'!AH250-'[3]поточний ремонт'!AH250</f>
        <v>2941.9120062973689</v>
      </c>
      <c r="AI250" s="43">
        <f>'[1]поточний ремонт'!AI250+'[2]поточний ремонт'!AI250-'[3]поточний ремонт'!AI250</f>
        <v>5336</v>
      </c>
      <c r="AJ250" s="5"/>
      <c r="AK250" s="43">
        <f>'[1]поточний ремонт'!AK250+'[2]поточний ремонт'!AK250-'[3]поточний ремонт'!AK250</f>
        <v>1862.3329164126912</v>
      </c>
      <c r="AL250" s="43">
        <f>'[1]поточний ремонт'!AL250+'[2]поточний ремонт'!AL250-'[3]поточний ремонт'!AL250</f>
        <v>0</v>
      </c>
      <c r="AM250" s="5"/>
      <c r="AN250" s="43">
        <f>'[1]поточний ремонт'!AN250+'[2]поточний ремонт'!AN250-'[3]поточний ремонт'!AN250</f>
        <v>0</v>
      </c>
      <c r="AO250" s="43">
        <f>'[1]поточний ремонт'!AO250+'[2]поточний ремонт'!AO250-'[3]поточний ремонт'!AO250</f>
        <v>0</v>
      </c>
      <c r="AP250" s="5"/>
      <c r="AQ250" s="43">
        <f>'[1]поточний ремонт'!AQ250+'[2]поточний ремонт'!AQ250-'[3]поточний ремонт'!AQ250</f>
        <v>0</v>
      </c>
      <c r="AR250" s="43">
        <f>'[1]поточний ремонт'!AR250+'[2]поточний ремонт'!AR250-'[3]поточний ремонт'!AR250</f>
        <v>0</v>
      </c>
      <c r="AS250" s="5"/>
      <c r="AT250" s="43">
        <f>'[1]поточний ремонт'!AT250+'[2]поточний ремонт'!AT250-'[3]поточний ремонт'!AT250</f>
        <v>1203.7497185719883</v>
      </c>
      <c r="AU250" s="43">
        <f>'[1]поточний ремонт'!AU250+'[2]поточний ремонт'!AU250-'[3]поточний ремонт'!AU250</f>
        <v>0</v>
      </c>
      <c r="AV250" s="5"/>
      <c r="AW250" s="43">
        <f>'[1]поточний ремонт'!AW250+'[2]поточний ремонт'!AW250-'[3]поточний ремонт'!AW250</f>
        <v>0</v>
      </c>
      <c r="AX250" s="43">
        <f>'[1]поточний ремонт'!AX250+'[2]поточний ремонт'!AX250-'[3]поточний ремонт'!AX250</f>
        <v>0</v>
      </c>
      <c r="AY250" s="5"/>
      <c r="AZ250" s="43">
        <f t="shared" si="26"/>
        <v>8191.3821922753259</v>
      </c>
      <c r="BA250" s="43">
        <f t="shared" si="27"/>
        <v>5336</v>
      </c>
      <c r="BB250" s="59">
        <f t="shared" si="28"/>
        <v>-2855.3821922753259</v>
      </c>
      <c r="BD250" s="2">
        <v>3</v>
      </c>
      <c r="BF250" s="30">
        <v>236.61480905147624</v>
      </c>
      <c r="BG250" s="328">
        <v>150000717</v>
      </c>
      <c r="BI250" s="107">
        <v>0</v>
      </c>
      <c r="BJ250" s="107">
        <f t="shared" si="29"/>
        <v>0</v>
      </c>
      <c r="BK250" s="107">
        <v>0</v>
      </c>
      <c r="BL250" s="39"/>
      <c r="BM250" s="3"/>
      <c r="BN250" s="3">
        <v>0</v>
      </c>
      <c r="BP250" s="3"/>
      <c r="BQ250" s="3"/>
      <c r="BS250" s="43"/>
      <c r="BT250" s="43">
        <v>0</v>
      </c>
      <c r="BU250" s="1037"/>
      <c r="BV250" s="42"/>
      <c r="BW250" s="43"/>
      <c r="BX250" s="37"/>
      <c r="BY250" s="78"/>
      <c r="BZ250" s="43">
        <v>0</v>
      </c>
      <c r="CA250" s="1038"/>
      <c r="CB250" s="42"/>
      <c r="CC250" s="42">
        <v>0</v>
      </c>
      <c r="CD250" s="1039"/>
      <c r="CE250" s="78">
        <v>0</v>
      </c>
      <c r="CF250" s="56"/>
      <c r="CG250" s="42">
        <v>0</v>
      </c>
      <c r="CH250" s="39">
        <v>0</v>
      </c>
      <c r="CI250" s="78">
        <v>0</v>
      </c>
      <c r="CJ250" s="56"/>
      <c r="CK250" s="1034"/>
      <c r="CL250" s="1029"/>
      <c r="CM250" s="1034">
        <v>1881</v>
      </c>
      <c r="CN250" s="1029">
        <v>0</v>
      </c>
      <c r="CO250" s="78">
        <v>181.94896258277311</v>
      </c>
      <c r="CP250" s="43">
        <v>0</v>
      </c>
      <c r="CQ250" s="1045"/>
      <c r="CR250" s="78">
        <v>245.15933385811405</v>
      </c>
      <c r="CS250" s="1033">
        <v>0</v>
      </c>
      <c r="CT250" s="5"/>
      <c r="CU250" s="78">
        <v>155.19440970105759</v>
      </c>
      <c r="CV250" s="43">
        <v>5120.1731266781435</v>
      </c>
      <c r="CW250" s="5"/>
      <c r="CX250" s="78">
        <v>0</v>
      </c>
      <c r="CY250" s="43">
        <v>0</v>
      </c>
      <c r="CZ250" s="5"/>
      <c r="DA250" s="78">
        <v>0</v>
      </c>
      <c r="DB250" s="43">
        <v>0</v>
      </c>
      <c r="DC250" s="5"/>
      <c r="DD250" s="78">
        <v>100.3124765476657</v>
      </c>
      <c r="DE250" s="43">
        <v>0</v>
      </c>
      <c r="DF250" s="5"/>
      <c r="DG250" s="78">
        <v>0</v>
      </c>
      <c r="DH250" s="43"/>
      <c r="DI250" s="5"/>
      <c r="DJ250" s="43">
        <v>682.61518268961049</v>
      </c>
      <c r="DK250" s="43">
        <f t="shared" si="30"/>
        <v>5120.1731266781435</v>
      </c>
      <c r="DL250" s="59">
        <f t="shared" si="31"/>
        <v>4437.5579439885332</v>
      </c>
    </row>
    <row r="251" spans="1:116" ht="24.9" customHeight="1" x14ac:dyDescent="0.3">
      <c r="A251" s="328">
        <v>150000718</v>
      </c>
      <c r="B251" s="45" t="s">
        <v>1768</v>
      </c>
      <c r="C251" s="1035">
        <v>5</v>
      </c>
      <c r="D251" s="1036" t="s">
        <v>454</v>
      </c>
      <c r="E251" s="1028">
        <f>'побудинковий звіт'!E249</f>
        <v>3564.2</v>
      </c>
      <c r="F251" s="1029">
        <f>'побудинковий звіт'!AS249</f>
        <v>61497.728358749897</v>
      </c>
      <c r="G251" s="1029">
        <f t="shared" si="24"/>
        <v>7023.7719688412417</v>
      </c>
      <c r="H251" s="1029">
        <f t="shared" si="25"/>
        <v>-54473.956389908657</v>
      </c>
      <c r="I251" s="43">
        <f>'[1]поточний ремонт'!I251+'[2]поточний ремонт'!I251-'[3]поточний ремонт'!I251</f>
        <v>0</v>
      </c>
      <c r="J251" s="43">
        <f>'[1]поточний ремонт'!J251+'[2]поточний ремонт'!J251-'[3]поточний ремонт'!J251</f>
        <v>0</v>
      </c>
      <c r="K251" s="1037"/>
      <c r="L251" s="43">
        <f>'[1]поточний ремонт'!L251+'[2]поточний ремонт'!L251-'[3]поточний ремонт'!L251</f>
        <v>0</v>
      </c>
      <c r="M251" s="43">
        <f>'[1]поточний ремонт'!M251+'[2]поточний ремонт'!M251-'[3]поточний ремонт'!M251</f>
        <v>0</v>
      </c>
      <c r="N251" s="37"/>
      <c r="O251" s="43">
        <f>'[1]поточний ремонт'!O251+'[2]поточний ремонт'!O251-'[3]поточний ремонт'!O251</f>
        <v>0</v>
      </c>
      <c r="P251" s="43">
        <f>'[1]поточний ремонт'!P251+'[2]поточний ремонт'!P251-'[3]поточний ремонт'!P251</f>
        <v>0</v>
      </c>
      <c r="Q251" s="1038"/>
      <c r="R251" s="43">
        <f>'[1]поточний ремонт'!R251+'[2]поточний ремонт'!R251-'[3]поточний ремонт'!R251</f>
        <v>0</v>
      </c>
      <c r="S251" s="43">
        <f>'[1]поточний ремонт'!S251+'[2]поточний ремонт'!S251-'[3]поточний ремонт'!S251</f>
        <v>0</v>
      </c>
      <c r="T251" s="1039"/>
      <c r="U251" s="43">
        <f>'[1]поточний ремонт'!U251+'[2]поточний ремонт'!U251-'[3]поточний ремонт'!U251</f>
        <v>0</v>
      </c>
      <c r="V251" s="43">
        <f>'[1]поточний ремонт'!V251+'[2]поточний ремонт'!V251-'[3]поточний ремонт'!V251</f>
        <v>0</v>
      </c>
      <c r="W251" s="43">
        <f>'[1]поточний ремонт'!W251+'[2]поточний ремонт'!W251-'[3]поточний ремонт'!W251</f>
        <v>8.8000000000000007</v>
      </c>
      <c r="X251" s="43">
        <f>'[1]поточний ремонт'!X251+'[2]поточний ремонт'!X251-'[3]поточний ремонт'!X251</f>
        <v>1508.7719688412412</v>
      </c>
      <c r="Y251" s="43">
        <f>'[1]поточний ремонт'!Y251+'[2]поточний ремонт'!Y251-'[3]поточний ремонт'!Y251</f>
        <v>0</v>
      </c>
      <c r="Z251" s="43">
        <f>'[1]поточний ремонт'!Z251+'[2]поточний ремонт'!Z251-'[3]поточний ремонт'!Z251</f>
        <v>0</v>
      </c>
      <c r="AA251" s="43">
        <f>'[1]поточний ремонт'!AA251+'[2]поточний ремонт'!AA251-'[3]поточний ремонт'!AA251</f>
        <v>0</v>
      </c>
      <c r="AB251" s="43">
        <f>'[1]поточний ремонт'!AB251+'[2]поточний ремонт'!AB251-'[3]поточний ремонт'!AB251</f>
        <v>0</v>
      </c>
      <c r="AC251" s="43">
        <f>'[1]поточний ремонт'!AC251+'[2]поточний ремонт'!AC251-'[3]поточний ремонт'!AC251</f>
        <v>567</v>
      </c>
      <c r="AD251" s="43">
        <f>'[1]поточний ремонт'!AD251+'[2]поточний ремонт'!AD251-'[3]поточний ремонт'!AD251</f>
        <v>4948</v>
      </c>
      <c r="AE251" s="43">
        <f>'[1]поточний ремонт'!AE251+'[2]поточний ремонт'!AE251-'[3]поточний ремонт'!AE251</f>
        <v>2649.9189143213425</v>
      </c>
      <c r="AF251" s="43">
        <f>'[1]поточний ремонт'!AF251+'[2]поточний ремонт'!AF251-'[3]поточний ремонт'!AF251</f>
        <v>0</v>
      </c>
      <c r="AG251" s="5"/>
      <c r="AH251" s="43">
        <f>'[1]поточний ремонт'!AH251+'[2]поточний ремонт'!AH251-'[3]поточний ремонт'!AH251</f>
        <v>4350.6088254260403</v>
      </c>
      <c r="AI251" s="43">
        <f>'[1]поточний ремонт'!AI251+'[2]поточний ремонт'!AI251-'[3]поточний ремонт'!AI251</f>
        <v>0</v>
      </c>
      <c r="AJ251" s="5"/>
      <c r="AK251" s="43">
        <f>'[1]поточний ремонт'!AK251+'[2]поточний ремонт'!AK251-'[3]поточний ремонт'!AK251</f>
        <v>2475.7371298877242</v>
      </c>
      <c r="AL251" s="43">
        <f>'[1]поточний ремонт'!AL251+'[2]поточний ремонт'!AL251-'[3]поточний ремонт'!AL251</f>
        <v>2702</v>
      </c>
      <c r="AM251" s="5"/>
      <c r="AN251" s="43">
        <f>'[1]поточний ремонт'!AN251+'[2]поточний ремонт'!AN251-'[3]поточний ремонт'!AN251</f>
        <v>0</v>
      </c>
      <c r="AO251" s="43">
        <f>'[1]поточний ремонт'!AO251+'[2]поточний ремонт'!AO251-'[3]поточний ремонт'!AO251</f>
        <v>0</v>
      </c>
      <c r="AP251" s="5"/>
      <c r="AQ251" s="43">
        <f>'[1]поточний ремонт'!AQ251+'[2]поточний ремонт'!AQ251-'[3]поточний ремонт'!AQ251</f>
        <v>1313.1883369600605</v>
      </c>
      <c r="AR251" s="43">
        <f>'[1]поточний ремонт'!AR251+'[2]поточний ремонт'!AR251-'[3]поточний ремонт'!AR251</f>
        <v>0</v>
      </c>
      <c r="AS251" s="5"/>
      <c r="AT251" s="43">
        <f>'[1]поточний ремонт'!AT251+'[2]поточний ремонт'!AT251-'[3]поточний ремонт'!AT251</f>
        <v>1948.3121048901874</v>
      </c>
      <c r="AU251" s="43">
        <f>'[1]поточний ремонт'!AU251+'[2]поточний ремонт'!AU251-'[3]поточний ремонт'!AU251</f>
        <v>0</v>
      </c>
      <c r="AV251" s="5"/>
      <c r="AW251" s="43">
        <f>'[1]поточний ремонт'!AW251+'[2]поточний ремонт'!AW251-'[3]поточний ремонт'!AW251</f>
        <v>0</v>
      </c>
      <c r="AX251" s="43">
        <f>'[1]поточний ремонт'!AX251+'[2]поточний ремонт'!AX251-'[3]поточний ремонт'!AX251</f>
        <v>0</v>
      </c>
      <c r="AY251" s="5"/>
      <c r="AZ251" s="43">
        <f t="shared" si="26"/>
        <v>12737.765311485353</v>
      </c>
      <c r="BA251" s="43">
        <f t="shared" si="27"/>
        <v>2702</v>
      </c>
      <c r="BB251" s="59">
        <f t="shared" si="28"/>
        <v>-10035.765311485353</v>
      </c>
      <c r="BD251" s="2">
        <v>3</v>
      </c>
      <c r="BF251" s="30">
        <v>333.14732413357035</v>
      </c>
      <c r="BG251" s="328">
        <v>150000718</v>
      </c>
      <c r="BI251" s="107">
        <v>72.44</v>
      </c>
      <c r="BJ251" s="107">
        <f t="shared" si="29"/>
        <v>10.189569767999998</v>
      </c>
      <c r="BK251" s="107">
        <v>83.544023062240001</v>
      </c>
      <c r="BL251" s="39"/>
      <c r="BM251" s="3">
        <v>4</v>
      </c>
      <c r="BN251" s="3">
        <v>314.20208540987488</v>
      </c>
      <c r="BP251" s="3"/>
      <c r="BQ251" s="3"/>
      <c r="BS251" s="43"/>
      <c r="BT251" s="43">
        <v>0</v>
      </c>
      <c r="BU251" s="1037"/>
      <c r="BV251" s="42"/>
      <c r="BW251" s="43"/>
      <c r="BX251" s="37"/>
      <c r="BY251" s="78"/>
      <c r="BZ251" s="43">
        <v>0</v>
      </c>
      <c r="CA251" s="1038"/>
      <c r="CB251" s="42"/>
      <c r="CC251" s="42">
        <v>0</v>
      </c>
      <c r="CD251" s="1039"/>
      <c r="CE251" s="78">
        <v>0</v>
      </c>
      <c r="CF251" s="56"/>
      <c r="CG251" s="42">
        <v>4</v>
      </c>
      <c r="CH251" s="39">
        <v>397.74610847211488</v>
      </c>
      <c r="CI251" s="78">
        <v>0</v>
      </c>
      <c r="CJ251" s="56"/>
      <c r="CK251" s="1034"/>
      <c r="CL251" s="1029"/>
      <c r="CM251" s="1034"/>
      <c r="CN251" s="1029">
        <v>0</v>
      </c>
      <c r="CO251" s="78">
        <v>220.82657619344522</v>
      </c>
      <c r="CP251" s="43">
        <v>0</v>
      </c>
      <c r="CQ251" s="5"/>
      <c r="CR251" s="78">
        <v>362.55073545216993</v>
      </c>
      <c r="CS251" s="1033">
        <v>0</v>
      </c>
      <c r="CT251" s="5"/>
      <c r="CU251" s="78">
        <v>206.31142749064364</v>
      </c>
      <c r="CV251" s="43">
        <v>0</v>
      </c>
      <c r="CW251" s="5"/>
      <c r="CX251" s="78">
        <v>0</v>
      </c>
      <c r="CY251" s="43">
        <v>0</v>
      </c>
      <c r="CZ251" s="5"/>
      <c r="DA251" s="78">
        <v>109.43236141333836</v>
      </c>
      <c r="DB251" s="43">
        <v>0</v>
      </c>
      <c r="DC251" s="5"/>
      <c r="DD251" s="78">
        <v>162.35934207418234</v>
      </c>
      <c r="DE251" s="43">
        <v>0</v>
      </c>
      <c r="DF251" s="5"/>
      <c r="DG251" s="78">
        <v>0</v>
      </c>
      <c r="DH251" s="43"/>
      <c r="DI251" s="5"/>
      <c r="DJ251" s="43">
        <v>1061.4804426237793</v>
      </c>
      <c r="DK251" s="43">
        <f t="shared" si="30"/>
        <v>0</v>
      </c>
      <c r="DL251" s="59">
        <f t="shared" si="31"/>
        <v>-1061.4804426237793</v>
      </c>
    </row>
    <row r="252" spans="1:116" ht="24.9" customHeight="1" x14ac:dyDescent="0.3">
      <c r="A252" s="328">
        <v>150000720</v>
      </c>
      <c r="B252" s="45" t="s">
        <v>1769</v>
      </c>
      <c r="C252" s="1035">
        <v>5</v>
      </c>
      <c r="D252" s="1036" t="s">
        <v>454</v>
      </c>
      <c r="E252" s="1028">
        <f>'побудинковий звіт'!E250</f>
        <v>3672.96</v>
      </c>
      <c r="F252" s="1029">
        <f>'побудинковий звіт'!AS250</f>
        <v>30661.917425691652</v>
      </c>
      <c r="G252" s="1029">
        <f t="shared" si="24"/>
        <v>15569</v>
      </c>
      <c r="H252" s="1029">
        <f t="shared" si="25"/>
        <v>-15092.917425691652</v>
      </c>
      <c r="I252" s="43">
        <f>'[1]поточний ремонт'!I252+'[2]поточний ремонт'!I252-'[3]поточний ремонт'!I252</f>
        <v>20.7</v>
      </c>
      <c r="J252" s="43">
        <f>'[1]поточний ремонт'!J252+'[2]поточний ремонт'!J252-'[3]поточний ремонт'!J252</f>
        <v>12036</v>
      </c>
      <c r="K252" s="1041"/>
      <c r="L252" s="43">
        <f>'[1]поточний ремонт'!L252+'[2]поточний ремонт'!L252-'[3]поточний ремонт'!L252</f>
        <v>0</v>
      </c>
      <c r="M252" s="43">
        <f>'[1]поточний ремонт'!M252+'[2]поточний ремонт'!M252-'[3]поточний ремонт'!M252</f>
        <v>0</v>
      </c>
      <c r="N252" s="37"/>
      <c r="O252" s="43">
        <f>'[1]поточний ремонт'!O252+'[2]поточний ремонт'!O252-'[3]поточний ремонт'!O252</f>
        <v>0</v>
      </c>
      <c r="P252" s="43">
        <f>'[1]поточний ремонт'!P252+'[2]поточний ремонт'!P252-'[3]поточний ремонт'!P252</f>
        <v>0</v>
      </c>
      <c r="Q252" s="1038"/>
      <c r="R252" s="43">
        <f>'[1]поточний ремонт'!R252+'[2]поточний ремонт'!R252-'[3]поточний ремонт'!R252</f>
        <v>0</v>
      </c>
      <c r="S252" s="43">
        <f>'[1]поточний ремонт'!S252+'[2]поточний ремонт'!S252-'[3]поточний ремонт'!S252</f>
        <v>0</v>
      </c>
      <c r="T252" s="1039"/>
      <c r="U252" s="43">
        <f>'[1]поточний ремонт'!U252+'[2]поточний ремонт'!U252-'[3]поточний ремонт'!U252</f>
        <v>0</v>
      </c>
      <c r="V252" s="43">
        <f>'[1]поточний ремонт'!V252+'[2]поточний ремонт'!V252-'[3]поточний ремонт'!V252</f>
        <v>0</v>
      </c>
      <c r="W252" s="43">
        <f>'[1]поточний ремонт'!W252+'[2]поточний ремонт'!W252-'[3]поточний ремонт'!W252</f>
        <v>0</v>
      </c>
      <c r="X252" s="43">
        <f>'[1]поточний ремонт'!X252+'[2]поточний ремонт'!X252-'[3]поточний ремонт'!X252</f>
        <v>0</v>
      </c>
      <c r="Y252" s="43">
        <f>'[1]поточний ремонт'!Y252+'[2]поточний ремонт'!Y252-'[3]поточний ремонт'!Y252</f>
        <v>1315</v>
      </c>
      <c r="Z252" s="43">
        <f>'[1]поточний ремонт'!Z252+'[2]поточний ремонт'!Z252-'[3]поточний ремонт'!Z252</f>
        <v>0</v>
      </c>
      <c r="AA252" s="43">
        <f>'[1]поточний ремонт'!AA252+'[2]поточний ремонт'!AA252-'[3]поточний ремонт'!AA252</f>
        <v>0</v>
      </c>
      <c r="AB252" s="43">
        <f>'[1]поточний ремонт'!AB252+'[2]поточний ремонт'!AB252-'[3]поточний ремонт'!AB252</f>
        <v>0</v>
      </c>
      <c r="AC252" s="43">
        <f>'[1]поточний ремонт'!AC252+'[2]поточний ремонт'!AC252-'[3]поточний ремонт'!AC252</f>
        <v>1341</v>
      </c>
      <c r="AD252" s="43">
        <f>'[1]поточний ремонт'!AD252+'[2]поточний ремонт'!AD252-'[3]поточний ремонт'!AD252</f>
        <v>877</v>
      </c>
      <c r="AE252" s="43">
        <f>'[1]поточний ремонт'!AE252+'[2]поточний ремонт'!AE252-'[3]поточний ремонт'!AE252</f>
        <v>1828.4897654681938</v>
      </c>
      <c r="AF252" s="43">
        <f>'[1]поточний ремонт'!AF252+'[2]поточний ремонт'!AF252-'[3]поточний ремонт'!AF252</f>
        <v>0</v>
      </c>
      <c r="AG252" s="5"/>
      <c r="AH252" s="43">
        <f>'[1]поточний ремонт'!AH252+'[2]поточний ремонт'!AH252-'[3]поточний ремонт'!AH252</f>
        <v>2822.0543934331595</v>
      </c>
      <c r="AI252" s="43">
        <f>'[1]поточний ремонт'!AI252+'[2]поточний ремонт'!AI252-'[3]поточний ремонт'!AI252</f>
        <v>0</v>
      </c>
      <c r="AJ252" s="5"/>
      <c r="AK252" s="43">
        <f>'[1]поточний ремонт'!AK252+'[2]поточний ремонт'!AK252-'[3]поточний ремонт'!AK252</f>
        <v>2259.0427486137705</v>
      </c>
      <c r="AL252" s="43">
        <f>'[1]поточний ремонт'!AL252+'[2]поточний ремонт'!AL252-'[3]поточний ремонт'!AL252</f>
        <v>0</v>
      </c>
      <c r="AM252" s="5"/>
      <c r="AN252" s="43">
        <f>'[1]поточний ремонт'!AN252+'[2]поточний ремонт'!AN252-'[3]поточний ремонт'!AN252</f>
        <v>1355.1322550396417</v>
      </c>
      <c r="AO252" s="43">
        <f>'[1]поточний ремонт'!AO252+'[2]поточний ремонт'!AO252-'[3]поточний ремонт'!AO252</f>
        <v>0</v>
      </c>
      <c r="AP252" s="5"/>
      <c r="AQ252" s="43">
        <f>'[1]поточний ремонт'!AQ252+'[2]поточний ремонт'!AQ252-'[3]поточний ремонт'!AQ252</f>
        <v>0</v>
      </c>
      <c r="AR252" s="43">
        <f>'[1]поточний ремонт'!AR252+'[2]поточний ремонт'!AR252-'[3]поточний ремонт'!AR252</f>
        <v>0</v>
      </c>
      <c r="AS252" s="5"/>
      <c r="AT252" s="43">
        <f>'[1]поточний ремонт'!AT252+'[2]поточний ремонт'!AT252-'[3]поточний ремонт'!AT252</f>
        <v>1131.8305790749851</v>
      </c>
      <c r="AU252" s="43">
        <f>'[1]поточний ремонт'!AU252+'[2]поточний ремонт'!AU252-'[3]поточний ремонт'!AU252</f>
        <v>752</v>
      </c>
      <c r="AV252" s="5"/>
      <c r="AW252" s="43">
        <f>'[1]поточний ремонт'!AW252+'[2]поточний ремонт'!AW252-'[3]поточний ремонт'!AW252</f>
        <v>0</v>
      </c>
      <c r="AX252" s="43">
        <f>'[1]поточний ремонт'!AX252+'[2]поточний ремонт'!AX252-'[3]поточний ремонт'!AX252</f>
        <v>0</v>
      </c>
      <c r="AY252" s="5"/>
      <c r="AZ252" s="43">
        <f t="shared" si="26"/>
        <v>9396.5497416297512</v>
      </c>
      <c r="BA252" s="43">
        <f t="shared" si="27"/>
        <v>752</v>
      </c>
      <c r="BB252" s="59">
        <f t="shared" si="28"/>
        <v>-8644.5497416297512</v>
      </c>
      <c r="BD252" s="2">
        <v>3</v>
      </c>
      <c r="BF252" s="30">
        <v>274.34738580174042</v>
      </c>
      <c r="BG252" s="328">
        <v>150000720</v>
      </c>
      <c r="BI252" s="107">
        <v>0</v>
      </c>
      <c r="BJ252" s="107">
        <f t="shared" si="29"/>
        <v>0</v>
      </c>
      <c r="BK252" s="107">
        <v>0</v>
      </c>
      <c r="BL252" s="39"/>
      <c r="BM252" s="3"/>
      <c r="BN252" s="3">
        <v>0</v>
      </c>
      <c r="BP252" s="3"/>
      <c r="BQ252" s="3"/>
      <c r="BS252" s="43"/>
      <c r="BT252" s="43">
        <v>0</v>
      </c>
      <c r="BU252" s="1041"/>
      <c r="BV252" s="42"/>
      <c r="BW252" s="43"/>
      <c r="BX252" s="37"/>
      <c r="BY252" s="78"/>
      <c r="BZ252" s="43">
        <v>0</v>
      </c>
      <c r="CA252" s="1038"/>
      <c r="CB252" s="42"/>
      <c r="CC252" s="42">
        <v>0</v>
      </c>
      <c r="CD252" s="1039"/>
      <c r="CE252" s="78">
        <v>0</v>
      </c>
      <c r="CF252" s="56"/>
      <c r="CG252" s="42">
        <v>0</v>
      </c>
      <c r="CH252" s="39">
        <v>0</v>
      </c>
      <c r="CI252" s="78">
        <v>0</v>
      </c>
      <c r="CJ252" s="56"/>
      <c r="CK252" s="1034"/>
      <c r="CL252" s="1029"/>
      <c r="CM252" s="1034"/>
      <c r="CN252" s="1029">
        <v>0</v>
      </c>
      <c r="CO252" s="78">
        <v>152.37414712234946</v>
      </c>
      <c r="CP252" s="43">
        <v>0</v>
      </c>
      <c r="CQ252" s="5"/>
      <c r="CR252" s="78">
        <v>235.17119945276332</v>
      </c>
      <c r="CS252" s="1033">
        <v>0</v>
      </c>
      <c r="CT252" s="5"/>
      <c r="CU252" s="78">
        <v>188.25356238448089</v>
      </c>
      <c r="CV252" s="43">
        <v>0</v>
      </c>
      <c r="CW252" s="5"/>
      <c r="CX252" s="78">
        <v>112.92768791997014</v>
      </c>
      <c r="CY252" s="43">
        <v>0</v>
      </c>
      <c r="CZ252" s="5"/>
      <c r="DA252" s="78">
        <v>0</v>
      </c>
      <c r="DB252" s="43">
        <v>0</v>
      </c>
      <c r="DC252" s="5"/>
      <c r="DD252" s="78">
        <v>94.319214922915421</v>
      </c>
      <c r="DE252" s="43">
        <v>0</v>
      </c>
      <c r="DF252" s="5"/>
      <c r="DG252" s="78">
        <v>0</v>
      </c>
      <c r="DH252" s="43"/>
      <c r="DI252" s="5"/>
      <c r="DJ252" s="43">
        <v>783.04581180247919</v>
      </c>
      <c r="DK252" s="43">
        <f t="shared" si="30"/>
        <v>0</v>
      </c>
      <c r="DL252" s="59">
        <f t="shared" si="31"/>
        <v>-783.04581180247919</v>
      </c>
    </row>
    <row r="253" spans="1:116" ht="24.9" customHeight="1" x14ac:dyDescent="0.3">
      <c r="A253" s="328">
        <v>150000750</v>
      </c>
      <c r="B253" s="45" t="s">
        <v>129</v>
      </c>
      <c r="C253" s="1035">
        <v>1</v>
      </c>
      <c r="D253" s="1036" t="s">
        <v>454</v>
      </c>
      <c r="E253" s="1028">
        <f>'побудинковий звіт'!E251</f>
        <v>4471.5</v>
      </c>
      <c r="F253" s="1029">
        <f>'побудинковий звіт'!AS251</f>
        <v>3903.4659180532931</v>
      </c>
      <c r="G253" s="1029">
        <f t="shared" si="24"/>
        <v>2579</v>
      </c>
      <c r="H253" s="1029">
        <f t="shared" si="25"/>
        <v>-1324.4659180532931</v>
      </c>
      <c r="I253" s="43">
        <f>'[1]поточний ремонт'!I253+'[2]поточний ремонт'!I253-'[3]поточний ремонт'!I253</f>
        <v>0</v>
      </c>
      <c r="J253" s="43">
        <f>'[1]поточний ремонт'!J253+'[2]поточний ремонт'!J253-'[3]поточний ремонт'!J253</f>
        <v>0</v>
      </c>
      <c r="K253" s="1037"/>
      <c r="L253" s="43">
        <f>'[1]поточний ремонт'!L253+'[2]поточний ремонт'!L253-'[3]поточний ремонт'!L253</f>
        <v>0</v>
      </c>
      <c r="M253" s="43">
        <f>'[1]поточний ремонт'!M253+'[2]поточний ремонт'!M253-'[3]поточний ремонт'!M253</f>
        <v>0</v>
      </c>
      <c r="N253" s="37"/>
      <c r="O253" s="43">
        <f>'[1]поточний ремонт'!O253+'[2]поточний ремонт'!O253-'[3]поточний ремонт'!O253</f>
        <v>0</v>
      </c>
      <c r="P253" s="43">
        <f>'[1]поточний ремонт'!P253+'[2]поточний ремонт'!P253-'[3]поточний ремонт'!P253</f>
        <v>0</v>
      </c>
      <c r="Q253" s="1038"/>
      <c r="R253" s="43">
        <f>'[1]поточний ремонт'!R253+'[2]поточний ремонт'!R253-'[3]поточний ремонт'!R253</f>
        <v>0</v>
      </c>
      <c r="S253" s="43">
        <f>'[1]поточний ремонт'!S253+'[2]поточний ремонт'!S253-'[3]поточний ремонт'!S253</f>
        <v>0</v>
      </c>
      <c r="T253" s="1039"/>
      <c r="U253" s="43">
        <f>'[1]поточний ремонт'!U253+'[2]поточний ремонт'!U253-'[3]поточний ремонт'!U253</f>
        <v>0</v>
      </c>
      <c r="V253" s="43">
        <f>'[1]поточний ремонт'!V253+'[2]поточний ремонт'!V253-'[3]поточний ремонт'!V253</f>
        <v>0</v>
      </c>
      <c r="W253" s="43">
        <f>'[1]поточний ремонт'!W253+'[2]поточний ремонт'!W253-'[3]поточний ремонт'!W253</f>
        <v>6</v>
      </c>
      <c r="X253" s="43">
        <f>'[1]поточний ремонт'!X253+'[2]поточний ремонт'!X253-'[3]поточний ремонт'!X253</f>
        <v>2579</v>
      </c>
      <c r="Y253" s="43">
        <f>'[1]поточний ремонт'!Y253+'[2]поточний ремонт'!Y253-'[3]поточний ремонт'!Y253</f>
        <v>0</v>
      </c>
      <c r="Z253" s="43">
        <f>'[1]поточний ремонт'!Z253+'[2]поточний ремонт'!Z253-'[3]поточний ремонт'!Z253</f>
        <v>0</v>
      </c>
      <c r="AA253" s="43">
        <f>'[1]поточний ремонт'!AA253+'[2]поточний ремонт'!AA253-'[3]поточний ремонт'!AA253</f>
        <v>0</v>
      </c>
      <c r="AB253" s="43">
        <f>'[1]поточний ремонт'!AB253+'[2]поточний ремонт'!AB253-'[3]поточний ремонт'!AB253</f>
        <v>0</v>
      </c>
      <c r="AC253" s="43">
        <f>'[1]поточний ремонт'!AC253+'[2]поточний ремонт'!AC253-'[3]поточний ремонт'!AC253</f>
        <v>0</v>
      </c>
      <c r="AD253" s="43">
        <f>'[1]поточний ремонт'!AD253+'[2]поточний ремонт'!AD253-'[3]поточний ремонт'!AD253</f>
        <v>0</v>
      </c>
      <c r="AE253" s="43">
        <f>'[1]поточний ремонт'!AE253+'[2]поточний ремонт'!AE253-'[3]поточний ремонт'!AE253</f>
        <v>0</v>
      </c>
      <c r="AF253" s="43">
        <f>'[1]поточний ремонт'!AF253+'[2]поточний ремонт'!AF253-'[3]поточний ремонт'!AF253</f>
        <v>0</v>
      </c>
      <c r="AG253" s="5"/>
      <c r="AH253" s="43">
        <f>'[1]поточний ремонт'!AH253+'[2]поточний ремонт'!AH253-'[3]поточний ремонт'!AH253</f>
        <v>0</v>
      </c>
      <c r="AI253" s="43">
        <f>'[1]поточний ремонт'!AI253+'[2]поточний ремонт'!AI253-'[3]поточний ремонт'!AI253</f>
        <v>0</v>
      </c>
      <c r="AJ253" s="5"/>
      <c r="AK253" s="43">
        <f>'[1]поточний ремонт'!AK253+'[2]поточний ремонт'!AK253-'[3]поточний ремонт'!AK253</f>
        <v>0</v>
      </c>
      <c r="AL253" s="43">
        <f>'[1]поточний ремонт'!AL253+'[2]поточний ремонт'!AL253-'[3]поточний ремонт'!AL253</f>
        <v>0</v>
      </c>
      <c r="AM253" s="5"/>
      <c r="AN253" s="43">
        <f>'[1]поточний ремонт'!AN253+'[2]поточний ремонт'!AN253-'[3]поточний ремонт'!AN253</f>
        <v>0</v>
      </c>
      <c r="AO253" s="43">
        <f>'[1]поточний ремонт'!AO253+'[2]поточний ремонт'!AO253-'[3]поточний ремонт'!AO253</f>
        <v>0</v>
      </c>
      <c r="AP253" s="5"/>
      <c r="AQ253" s="43">
        <f>'[1]поточний ремонт'!AQ253+'[2]поточний ремонт'!AQ253-'[3]поточний ремонт'!AQ253</f>
        <v>0</v>
      </c>
      <c r="AR253" s="43">
        <f>'[1]поточний ремонт'!AR253+'[2]поточний ремонт'!AR253-'[3]поточний ремонт'!AR253</f>
        <v>0</v>
      </c>
      <c r="AS253" s="5"/>
      <c r="AT253" s="43">
        <f>'[1]поточний ремонт'!AT253+'[2]поточний ремонт'!AT253-'[3]поточний ремонт'!AT253</f>
        <v>0</v>
      </c>
      <c r="AU253" s="43">
        <f>'[1]поточний ремонт'!AU253+'[2]поточний ремонт'!AU253-'[3]поточний ремонт'!AU253</f>
        <v>0</v>
      </c>
      <c r="AV253" s="5"/>
      <c r="AW253" s="43">
        <f>'[1]поточний ремонт'!AW253+'[2]поточний ремонт'!AW253-'[3]поточний ремонт'!AW253</f>
        <v>0</v>
      </c>
      <c r="AX253" s="43">
        <f>'[1]поточний ремонт'!AX253+'[2]поточний ремонт'!AX253-'[3]поточний ремонт'!AX253</f>
        <v>0</v>
      </c>
      <c r="AY253" s="5"/>
      <c r="AZ253" s="43">
        <f t="shared" si="26"/>
        <v>0</v>
      </c>
      <c r="BA253" s="43">
        <f t="shared" si="27"/>
        <v>0</v>
      </c>
      <c r="BB253" s="59">
        <f t="shared" si="28"/>
        <v>0</v>
      </c>
      <c r="BD253" s="2">
        <v>1</v>
      </c>
      <c r="BF253" s="30">
        <v>0</v>
      </c>
      <c r="BG253" s="328">
        <v>150000750</v>
      </c>
      <c r="BI253" s="107">
        <v>0</v>
      </c>
      <c r="BJ253" s="107">
        <f t="shared" si="29"/>
        <v>0</v>
      </c>
      <c r="BK253" s="107">
        <v>0</v>
      </c>
      <c r="BL253" s="39"/>
      <c r="BM253" s="3"/>
      <c r="BN253" s="3">
        <v>0</v>
      </c>
      <c r="BP253" s="3"/>
      <c r="BQ253" s="3"/>
      <c r="BS253" s="43"/>
      <c r="BT253" s="43">
        <v>0</v>
      </c>
      <c r="BU253" s="1037"/>
      <c r="BV253" s="42"/>
      <c r="BW253" s="43"/>
      <c r="BX253" s="37"/>
      <c r="BY253" s="78"/>
      <c r="BZ253" s="43">
        <v>0</v>
      </c>
      <c r="CA253" s="1038"/>
      <c r="CB253" s="42"/>
      <c r="CC253" s="42">
        <v>0</v>
      </c>
      <c r="CD253" s="1039"/>
      <c r="CE253" s="78">
        <v>0</v>
      </c>
      <c r="CF253" s="56"/>
      <c r="CG253" s="42">
        <v>0</v>
      </c>
      <c r="CH253" s="39">
        <v>0</v>
      </c>
      <c r="CI253" s="78">
        <v>0</v>
      </c>
      <c r="CJ253" s="56"/>
      <c r="CK253" s="1034"/>
      <c r="CL253" s="1029"/>
      <c r="CM253" s="1034"/>
      <c r="CN253" s="1029">
        <v>0</v>
      </c>
      <c r="CO253" s="78">
        <v>0</v>
      </c>
      <c r="CP253" s="43">
        <v>0</v>
      </c>
      <c r="CQ253" s="5"/>
      <c r="CR253" s="78">
        <v>0</v>
      </c>
      <c r="CS253" s="1033">
        <v>0</v>
      </c>
      <c r="CT253" s="5"/>
      <c r="CU253" s="78">
        <v>0</v>
      </c>
      <c r="CV253" s="43">
        <v>0</v>
      </c>
      <c r="CW253" s="5"/>
      <c r="CX253" s="78">
        <v>0</v>
      </c>
      <c r="CY253" s="43">
        <v>0</v>
      </c>
      <c r="CZ253" s="5"/>
      <c r="DA253" s="78">
        <v>0</v>
      </c>
      <c r="DB253" s="43">
        <v>0</v>
      </c>
      <c r="DC253" s="5"/>
      <c r="DD253" s="78">
        <v>0</v>
      </c>
      <c r="DE253" s="43">
        <v>0</v>
      </c>
      <c r="DF253" s="5"/>
      <c r="DG253" s="78">
        <v>0</v>
      </c>
      <c r="DH253" s="43"/>
      <c r="DI253" s="5"/>
      <c r="DJ253" s="43">
        <v>0</v>
      </c>
      <c r="DK253" s="43">
        <f t="shared" si="30"/>
        <v>0</v>
      </c>
      <c r="DL253" s="59">
        <f t="shared" si="31"/>
        <v>0</v>
      </c>
    </row>
    <row r="254" spans="1:116" ht="24.9" customHeight="1" x14ac:dyDescent="0.3">
      <c r="A254" s="328">
        <v>150000751</v>
      </c>
      <c r="B254" s="45" t="s">
        <v>130</v>
      </c>
      <c r="C254" s="1035">
        <v>1</v>
      </c>
      <c r="D254" s="1036" t="s">
        <v>454</v>
      </c>
      <c r="E254" s="1028">
        <f>'побудинковий звіт'!E252</f>
        <v>4538</v>
      </c>
      <c r="F254" s="1029">
        <f>'побудинковий звіт'!AS252</f>
        <v>1812.8902300686082</v>
      </c>
      <c r="G254" s="1029">
        <f t="shared" si="24"/>
        <v>0</v>
      </c>
      <c r="H254" s="1029">
        <f t="shared" si="25"/>
        <v>-1812.8902300686082</v>
      </c>
      <c r="I254" s="43">
        <f>'[1]поточний ремонт'!I254+'[2]поточний ремонт'!I254-'[3]поточний ремонт'!I254</f>
        <v>0</v>
      </c>
      <c r="J254" s="43">
        <f>'[1]поточний ремонт'!J254+'[2]поточний ремонт'!J254-'[3]поточний ремонт'!J254</f>
        <v>0</v>
      </c>
      <c r="K254" s="1037"/>
      <c r="L254" s="43">
        <f>'[1]поточний ремонт'!L254+'[2]поточний ремонт'!L254-'[3]поточний ремонт'!L254</f>
        <v>0</v>
      </c>
      <c r="M254" s="43">
        <f>'[1]поточний ремонт'!M254+'[2]поточний ремонт'!M254-'[3]поточний ремонт'!M254</f>
        <v>0</v>
      </c>
      <c r="N254" s="37"/>
      <c r="O254" s="43">
        <f>'[1]поточний ремонт'!O254+'[2]поточний ремонт'!O254-'[3]поточний ремонт'!O254</f>
        <v>0</v>
      </c>
      <c r="P254" s="43">
        <f>'[1]поточний ремонт'!P254+'[2]поточний ремонт'!P254-'[3]поточний ремонт'!P254</f>
        <v>0</v>
      </c>
      <c r="Q254" s="1038"/>
      <c r="R254" s="43">
        <f>'[1]поточний ремонт'!R254+'[2]поточний ремонт'!R254-'[3]поточний ремонт'!R254</f>
        <v>0</v>
      </c>
      <c r="S254" s="43">
        <f>'[1]поточний ремонт'!S254+'[2]поточний ремонт'!S254-'[3]поточний ремонт'!S254</f>
        <v>0</v>
      </c>
      <c r="T254" s="1039"/>
      <c r="U254" s="43">
        <f>'[1]поточний ремонт'!U254+'[2]поточний ремонт'!U254-'[3]поточний ремонт'!U254</f>
        <v>0</v>
      </c>
      <c r="V254" s="43">
        <f>'[1]поточний ремонт'!V254+'[2]поточний ремонт'!V254-'[3]поточний ремонт'!V254</f>
        <v>0</v>
      </c>
      <c r="W254" s="43">
        <f>'[1]поточний ремонт'!W254+'[2]поточний ремонт'!W254-'[3]поточний ремонт'!W254</f>
        <v>0</v>
      </c>
      <c r="X254" s="43">
        <f>'[1]поточний ремонт'!X254+'[2]поточний ремонт'!X254-'[3]поточний ремонт'!X254</f>
        <v>0</v>
      </c>
      <c r="Y254" s="43">
        <f>'[1]поточний ремонт'!Y254+'[2]поточний ремонт'!Y254-'[3]поточний ремонт'!Y254</f>
        <v>0</v>
      </c>
      <c r="Z254" s="43">
        <f>'[1]поточний ремонт'!Z254+'[2]поточний ремонт'!Z254-'[3]поточний ремонт'!Z254</f>
        <v>0</v>
      </c>
      <c r="AA254" s="43">
        <f>'[1]поточний ремонт'!AA254+'[2]поточний ремонт'!AA254-'[3]поточний ремонт'!AA254</f>
        <v>0</v>
      </c>
      <c r="AB254" s="43">
        <f>'[1]поточний ремонт'!AB254+'[2]поточний ремонт'!AB254-'[3]поточний ремонт'!AB254</f>
        <v>0</v>
      </c>
      <c r="AC254" s="43">
        <f>'[1]поточний ремонт'!AC254+'[2]поточний ремонт'!AC254-'[3]поточний ремонт'!AC254</f>
        <v>0</v>
      </c>
      <c r="AD254" s="43">
        <f>'[1]поточний ремонт'!AD254+'[2]поточний ремонт'!AD254-'[3]поточний ремонт'!AD254</f>
        <v>0</v>
      </c>
      <c r="AE254" s="43">
        <f>'[1]поточний ремонт'!AE254+'[2]поточний ремонт'!AE254-'[3]поточний ремонт'!AE254</f>
        <v>0</v>
      </c>
      <c r="AF254" s="43">
        <f>'[1]поточний ремонт'!AF254+'[2]поточний ремонт'!AF254-'[3]поточний ремонт'!AF254</f>
        <v>0</v>
      </c>
      <c r="AG254" s="5"/>
      <c r="AH254" s="43">
        <f>'[1]поточний ремонт'!AH254+'[2]поточний ремонт'!AH254-'[3]поточний ремонт'!AH254</f>
        <v>0</v>
      </c>
      <c r="AI254" s="43">
        <f>'[1]поточний ремонт'!AI254+'[2]поточний ремонт'!AI254-'[3]поточний ремонт'!AI254</f>
        <v>0</v>
      </c>
      <c r="AJ254" s="5"/>
      <c r="AK254" s="43">
        <f>'[1]поточний ремонт'!AK254+'[2]поточний ремонт'!AK254-'[3]поточний ремонт'!AK254</f>
        <v>0</v>
      </c>
      <c r="AL254" s="43">
        <f>'[1]поточний ремонт'!AL254+'[2]поточний ремонт'!AL254-'[3]поточний ремонт'!AL254</f>
        <v>0</v>
      </c>
      <c r="AM254" s="5"/>
      <c r="AN254" s="43">
        <f>'[1]поточний ремонт'!AN254+'[2]поточний ремонт'!AN254-'[3]поточний ремонт'!AN254</f>
        <v>0</v>
      </c>
      <c r="AO254" s="43">
        <f>'[1]поточний ремонт'!AO254+'[2]поточний ремонт'!AO254-'[3]поточний ремонт'!AO254</f>
        <v>0</v>
      </c>
      <c r="AP254" s="5"/>
      <c r="AQ254" s="43">
        <f>'[1]поточний ремонт'!AQ254+'[2]поточний ремонт'!AQ254-'[3]поточний ремонт'!AQ254</f>
        <v>0</v>
      </c>
      <c r="AR254" s="43">
        <f>'[1]поточний ремонт'!AR254+'[2]поточний ремонт'!AR254-'[3]поточний ремонт'!AR254</f>
        <v>0</v>
      </c>
      <c r="AS254" s="5"/>
      <c r="AT254" s="43">
        <f>'[1]поточний ремонт'!AT254+'[2]поточний ремонт'!AT254-'[3]поточний ремонт'!AT254</f>
        <v>0</v>
      </c>
      <c r="AU254" s="43">
        <f>'[1]поточний ремонт'!AU254+'[2]поточний ремонт'!AU254-'[3]поточний ремонт'!AU254</f>
        <v>0</v>
      </c>
      <c r="AV254" s="5"/>
      <c r="AW254" s="43">
        <f>'[1]поточний ремонт'!AW254+'[2]поточний ремонт'!AW254-'[3]поточний ремонт'!AW254</f>
        <v>0</v>
      </c>
      <c r="AX254" s="43">
        <f>'[1]поточний ремонт'!AX254+'[2]поточний ремонт'!AX254-'[3]поточний ремонт'!AX254</f>
        <v>0</v>
      </c>
      <c r="AY254" s="5"/>
      <c r="AZ254" s="43">
        <f t="shared" si="26"/>
        <v>0</v>
      </c>
      <c r="BA254" s="43">
        <f t="shared" si="27"/>
        <v>0</v>
      </c>
      <c r="BB254" s="59">
        <f t="shared" si="28"/>
        <v>0</v>
      </c>
      <c r="BD254" s="2">
        <v>1</v>
      </c>
      <c r="BF254" s="30">
        <v>0</v>
      </c>
      <c r="BG254" s="328">
        <v>150000751</v>
      </c>
      <c r="BI254" s="107">
        <v>0</v>
      </c>
      <c r="BJ254" s="107">
        <f t="shared" si="29"/>
        <v>0</v>
      </c>
      <c r="BK254" s="107">
        <v>0</v>
      </c>
      <c r="BL254" s="39"/>
      <c r="BM254" s="3"/>
      <c r="BN254" s="3">
        <v>0</v>
      </c>
      <c r="BP254" s="3"/>
      <c r="BQ254" s="3"/>
      <c r="BS254" s="43"/>
      <c r="BT254" s="43">
        <v>0</v>
      </c>
      <c r="BU254" s="1037"/>
      <c r="BV254" s="42"/>
      <c r="BW254" s="43"/>
      <c r="BX254" s="37"/>
      <c r="BY254" s="78"/>
      <c r="BZ254" s="43">
        <v>0</v>
      </c>
      <c r="CA254" s="1038"/>
      <c r="CB254" s="42"/>
      <c r="CC254" s="42">
        <v>0</v>
      </c>
      <c r="CD254" s="1039"/>
      <c r="CE254" s="78">
        <v>0</v>
      </c>
      <c r="CF254" s="56"/>
      <c r="CG254" s="42">
        <v>0</v>
      </c>
      <c r="CH254" s="39">
        <v>0</v>
      </c>
      <c r="CI254" s="78">
        <v>0</v>
      </c>
      <c r="CJ254" s="56"/>
      <c r="CK254" s="1034"/>
      <c r="CL254" s="1029"/>
      <c r="CM254" s="1034"/>
      <c r="CN254" s="1029">
        <v>0</v>
      </c>
      <c r="CO254" s="78">
        <v>0</v>
      </c>
      <c r="CP254" s="43">
        <v>0</v>
      </c>
      <c r="CQ254" s="5"/>
      <c r="CR254" s="78">
        <v>0</v>
      </c>
      <c r="CS254" s="1033">
        <v>0</v>
      </c>
      <c r="CT254" s="5"/>
      <c r="CU254" s="78">
        <v>0</v>
      </c>
      <c r="CV254" s="43">
        <v>0</v>
      </c>
      <c r="CW254" s="5"/>
      <c r="CX254" s="78">
        <v>0</v>
      </c>
      <c r="CY254" s="43">
        <v>0</v>
      </c>
      <c r="CZ254" s="5"/>
      <c r="DA254" s="78">
        <v>0</v>
      </c>
      <c r="DB254" s="43">
        <v>0</v>
      </c>
      <c r="DC254" s="5"/>
      <c r="DD254" s="78">
        <v>0</v>
      </c>
      <c r="DE254" s="43">
        <v>0</v>
      </c>
      <c r="DF254" s="5"/>
      <c r="DG254" s="78">
        <v>0</v>
      </c>
      <c r="DH254" s="43"/>
      <c r="DI254" s="5"/>
      <c r="DJ254" s="43">
        <v>0</v>
      </c>
      <c r="DK254" s="43">
        <f t="shared" si="30"/>
        <v>0</v>
      </c>
      <c r="DL254" s="59">
        <f t="shared" si="31"/>
        <v>0</v>
      </c>
    </row>
    <row r="255" spans="1:116" ht="24.9" customHeight="1" x14ac:dyDescent="0.3">
      <c r="A255" s="328">
        <v>150000752</v>
      </c>
      <c r="B255" s="45" t="s">
        <v>386</v>
      </c>
      <c r="C255" s="1035">
        <v>9</v>
      </c>
      <c r="D255" s="1036" t="s">
        <v>454</v>
      </c>
      <c r="E255" s="1028">
        <f>'побудинковий звіт'!E253</f>
        <v>3381.24</v>
      </c>
      <c r="F255" s="1029">
        <f>'побудинковий звіт'!AS253</f>
        <v>74602.500155427479</v>
      </c>
      <c r="G255" s="1029">
        <f t="shared" si="24"/>
        <v>113634</v>
      </c>
      <c r="H255" s="1029">
        <f t="shared" si="25"/>
        <v>39031.499844572521</v>
      </c>
      <c r="I255" s="43">
        <f>'[1]поточний ремонт'!I255+'[2]поточний ремонт'!I255-'[3]поточний ремонт'!I255</f>
        <v>0</v>
      </c>
      <c r="J255" s="43">
        <f>'[1]поточний ремонт'!J255+'[2]поточний ремонт'!J255-'[3]поточний ремонт'!J255</f>
        <v>20635</v>
      </c>
      <c r="K255" s="1037"/>
      <c r="L255" s="43">
        <f>'[1]поточний ремонт'!L255+'[2]поточний ремонт'!L255-'[3]поточний ремонт'!L255</f>
        <v>0</v>
      </c>
      <c r="M255" s="43">
        <f>'[1]поточний ремонт'!M255+'[2]поточний ремонт'!M255-'[3]поточний ремонт'!M255</f>
        <v>0</v>
      </c>
      <c r="N255" s="37"/>
      <c r="O255" s="43">
        <f>'[1]поточний ремонт'!O255+'[2]поточний ремонт'!O255-'[3]поточний ремонт'!O255</f>
        <v>54</v>
      </c>
      <c r="P255" s="43">
        <f>'[1]поточний ремонт'!P255+'[2]поточний ремонт'!P255-'[3]поточний ремонт'!P255</f>
        <v>15651</v>
      </c>
      <c r="Q255" s="1038"/>
      <c r="R255" s="43">
        <f>'[1]поточний ремонт'!R255+'[2]поточний ремонт'!R255-'[3]поточний ремонт'!R255</f>
        <v>2</v>
      </c>
      <c r="S255" s="43">
        <f>'[1]поточний ремонт'!S255+'[2]поточний ремонт'!S255-'[3]поточний ремонт'!S255</f>
        <v>72251</v>
      </c>
      <c r="T255" s="1047"/>
      <c r="U255" s="43">
        <f>'[1]поточний ремонт'!U255+'[2]поточний ремонт'!U255-'[3]поточний ремонт'!U255</f>
        <v>0</v>
      </c>
      <c r="V255" s="43">
        <f>'[1]поточний ремонт'!V255+'[2]поточний ремонт'!V255-'[3]поточний ремонт'!V255</f>
        <v>0</v>
      </c>
      <c r="W255" s="43">
        <f>'[1]поточний ремонт'!W255+'[2]поточний ремонт'!W255-'[3]поточний ремонт'!W255</f>
        <v>0</v>
      </c>
      <c r="X255" s="43">
        <f>'[1]поточний ремонт'!X255+'[2]поточний ремонт'!X255-'[3]поточний ремонт'!X255</f>
        <v>0</v>
      </c>
      <c r="Y255" s="43">
        <f>'[1]поточний ремонт'!Y255+'[2]поточний ремонт'!Y255-'[3]поточний ремонт'!Y255</f>
        <v>0</v>
      </c>
      <c r="Z255" s="43">
        <f>'[1]поточний ремонт'!Z255+'[2]поточний ремонт'!Z255-'[3]поточний ремонт'!Z255</f>
        <v>0</v>
      </c>
      <c r="AA255" s="43">
        <f>'[1]поточний ремонт'!AA255+'[2]поточний ремонт'!AA255-'[3]поточний ремонт'!AA255</f>
        <v>0</v>
      </c>
      <c r="AB255" s="43">
        <f>'[1]поточний ремонт'!AB255+'[2]поточний ремонт'!AB255-'[3]поточний ремонт'!AB255</f>
        <v>542</v>
      </c>
      <c r="AC255" s="43">
        <f>'[1]поточний ремонт'!AC255+'[2]поточний ремонт'!AC255-'[3]поточний ремонт'!AC255</f>
        <v>0</v>
      </c>
      <c r="AD255" s="43">
        <f>'[1]поточний ремонт'!AD255+'[2]поточний ремонт'!AD255-'[3]поточний ремонт'!AD255</f>
        <v>4555</v>
      </c>
      <c r="AE255" s="43">
        <f>'[1]поточний ремонт'!AE255+'[2]поточний ремонт'!AE255-'[3]поточний ремонт'!AE255</f>
        <v>961.69406720715926</v>
      </c>
      <c r="AF255" s="43">
        <f>'[1]поточний ремонт'!AF255+'[2]поточний ремонт'!AF255-'[3]поточний ремонт'!AF255</f>
        <v>950</v>
      </c>
      <c r="AG255" s="5"/>
      <c r="AH255" s="43">
        <f>'[1]поточний ремонт'!AH255+'[2]поточний ремонт'!AH255-'[3]поточний ремонт'!AH255</f>
        <v>1297.8229016329078</v>
      </c>
      <c r="AI255" s="43">
        <f>'[1]поточний ремонт'!AI255+'[2]поточний ремонт'!AI255-'[3]поточний ремонт'!AI255</f>
        <v>0</v>
      </c>
      <c r="AJ255" s="5"/>
      <c r="AK255" s="43">
        <f>'[1]поточний ремонт'!AK255+'[2]поточний ремонт'!AK255-'[3]поточний ремонт'!AK255</f>
        <v>1804.883735314449</v>
      </c>
      <c r="AL255" s="43">
        <f>'[1]поточний ремонт'!AL255+'[2]поточний ремонт'!AL255-'[3]поточний ремонт'!AL255</f>
        <v>0</v>
      </c>
      <c r="AM255" s="5"/>
      <c r="AN255" s="43">
        <f>'[1]поточний ремонт'!AN255+'[2]поточний ремонт'!AN255-'[3]поточний ремонт'!AN255</f>
        <v>656.49589741022794</v>
      </c>
      <c r="AO255" s="43">
        <f>'[1]поточний ремонт'!AO255+'[2]поточний ремонт'!AO255-'[3]поточний ремонт'!AO255</f>
        <v>0</v>
      </c>
      <c r="AP255" s="5"/>
      <c r="AQ255" s="43">
        <f>'[1]поточний ремонт'!AQ255+'[2]поточний ремонт'!AQ255-'[3]поточний ремонт'!AQ255</f>
        <v>395.76741189229665</v>
      </c>
      <c r="AR255" s="43">
        <f>'[1]поточний ремонт'!AR255+'[2]поточний ремонт'!AR255-'[3]поточний ремонт'!AR255</f>
        <v>0</v>
      </c>
      <c r="AS255" s="9"/>
      <c r="AT255" s="43">
        <f>'[1]поточний ремонт'!AT255+'[2]поточний ремонт'!AT255-'[3]поточний ремонт'!AT255</f>
        <v>1092.5591927780767</v>
      </c>
      <c r="AU255" s="43">
        <f>'[1]поточний ремонт'!AU255+'[2]поточний ремонт'!AU255-'[3]поточний ремонт'!AU255</f>
        <v>5132</v>
      </c>
      <c r="AV255" s="5"/>
      <c r="AW255" s="43">
        <f>'[1]поточний ремонт'!AW255+'[2]поточний ремонт'!AW255-'[3]поточний ремонт'!AW255</f>
        <v>564.96887113974969</v>
      </c>
      <c r="AX255" s="43">
        <f>'[1]поточний ремонт'!AX255+'[2]поточний ремонт'!AX255-'[3]поточний ремонт'!AX255</f>
        <v>0</v>
      </c>
      <c r="AY255" s="5"/>
      <c r="AZ255" s="43">
        <f t="shared" si="26"/>
        <v>6774.192077374867</v>
      </c>
      <c r="BA255" s="43">
        <f t="shared" si="27"/>
        <v>6082</v>
      </c>
      <c r="BB255" s="59">
        <f t="shared" si="28"/>
        <v>-692.19207737486704</v>
      </c>
      <c r="BD255" s="2">
        <v>1</v>
      </c>
      <c r="BF255" s="30">
        <v>243.82040302200542</v>
      </c>
      <c r="BG255" s="328">
        <v>150000752</v>
      </c>
      <c r="BI255" s="107">
        <v>0</v>
      </c>
      <c r="BJ255" s="107">
        <f t="shared" si="29"/>
        <v>0</v>
      </c>
      <c r="BK255" s="107">
        <v>0</v>
      </c>
      <c r="BL255" s="39"/>
      <c r="BM255" s="3"/>
      <c r="BN255" s="3">
        <v>0</v>
      </c>
      <c r="BP255" s="3"/>
      <c r="BQ255" s="3"/>
      <c r="BS255" s="43"/>
      <c r="BT255" s="43">
        <v>0</v>
      </c>
      <c r="BU255" s="1037"/>
      <c r="BV255" s="42"/>
      <c r="BW255" s="43"/>
      <c r="BX255" s="37"/>
      <c r="BY255" s="78"/>
      <c r="BZ255" s="43">
        <v>0</v>
      </c>
      <c r="CA255" s="1038"/>
      <c r="CB255" s="42"/>
      <c r="CC255" s="42">
        <v>0</v>
      </c>
      <c r="CD255" s="1047"/>
      <c r="CE255" s="78">
        <v>0</v>
      </c>
      <c r="CF255" s="56"/>
      <c r="CG255" s="42">
        <v>0</v>
      </c>
      <c r="CH255" s="39">
        <v>0</v>
      </c>
      <c r="CI255" s="78">
        <v>0</v>
      </c>
      <c r="CJ255" s="56"/>
      <c r="CK255" s="1034"/>
      <c r="CL255" s="1029"/>
      <c r="CM255" s="1034"/>
      <c r="CN255" s="1029">
        <v>657.68733117899058</v>
      </c>
      <c r="CO255" s="78">
        <v>80.141172267263244</v>
      </c>
      <c r="CP255" s="43">
        <v>0</v>
      </c>
      <c r="CQ255" s="5"/>
      <c r="CR255" s="78">
        <v>108.15190846940901</v>
      </c>
      <c r="CS255" s="1033">
        <v>0</v>
      </c>
      <c r="CT255" s="5"/>
      <c r="CU255" s="78">
        <v>150.40697794287075</v>
      </c>
      <c r="CV255" s="43">
        <v>0</v>
      </c>
      <c r="CW255" s="5"/>
      <c r="CX255" s="78">
        <v>54.70799145085234</v>
      </c>
      <c r="CY255" s="43">
        <v>0</v>
      </c>
      <c r="CZ255" s="5"/>
      <c r="DA255" s="78">
        <v>32.980617657691397</v>
      </c>
      <c r="DB255" s="43">
        <v>0</v>
      </c>
      <c r="DC255" s="9"/>
      <c r="DD255" s="78">
        <v>91.046599398173072</v>
      </c>
      <c r="DE255" s="43">
        <v>2125.7673942490133</v>
      </c>
      <c r="DF255" s="5"/>
      <c r="DG255" s="78">
        <v>47.080739261645796</v>
      </c>
      <c r="DH255" s="43"/>
      <c r="DI255" s="5"/>
      <c r="DJ255" s="43">
        <v>564.51600644790562</v>
      </c>
      <c r="DK255" s="43">
        <f t="shared" si="30"/>
        <v>2125.7673942490133</v>
      </c>
      <c r="DL255" s="59">
        <f t="shared" si="31"/>
        <v>1561.2513878011077</v>
      </c>
    </row>
    <row r="256" spans="1:116" ht="24.9" customHeight="1" x14ac:dyDescent="0.3">
      <c r="A256" s="328">
        <v>150000760</v>
      </c>
      <c r="B256" s="45" t="s">
        <v>387</v>
      </c>
      <c r="C256" s="1035">
        <v>9</v>
      </c>
      <c r="D256" s="1036" t="s">
        <v>454</v>
      </c>
      <c r="E256" s="1028">
        <f>'побудинковий звіт'!E254</f>
        <v>5131.2</v>
      </c>
      <c r="F256" s="1029">
        <f>'побудинковий звіт'!AS254</f>
        <v>199378.74588414482</v>
      </c>
      <c r="G256" s="1029">
        <f t="shared" si="24"/>
        <v>13715.896145103165</v>
      </c>
      <c r="H256" s="1029">
        <f t="shared" si="25"/>
        <v>-185662.84973904165</v>
      </c>
      <c r="I256" s="43">
        <f>'[1]поточний ремонт'!I256+'[2]поточний ремонт'!I256-'[3]поточний ремонт'!I256</f>
        <v>0</v>
      </c>
      <c r="J256" s="43">
        <f>'[1]поточний ремонт'!J256+'[2]поточний ремонт'!J256-'[3]поточний ремонт'!J256</f>
        <v>0</v>
      </c>
      <c r="K256" s="1037"/>
      <c r="L256" s="43">
        <f>'[1]поточний ремонт'!L256+'[2]поточний ремонт'!L256-'[3]поточний ремонт'!L256</f>
        <v>0</v>
      </c>
      <c r="M256" s="43">
        <f>'[1]поточний ремонт'!M256+'[2]поточний ремонт'!M256-'[3]поточний ремонт'!M256</f>
        <v>0</v>
      </c>
      <c r="N256" s="37"/>
      <c r="O256" s="43">
        <f>'[1]поточний ремонт'!O256+'[2]поточний ремонт'!O256-'[3]поточний ремонт'!O256</f>
        <v>0</v>
      </c>
      <c r="P256" s="43">
        <f>'[1]поточний ремонт'!P256+'[2]поточний ремонт'!P256-'[3]поточний ремонт'!P256</f>
        <v>0</v>
      </c>
      <c r="Q256" s="1058"/>
      <c r="R256" s="43">
        <f>'[1]поточний ремонт'!R256+'[2]поточний ремонт'!R256-'[3]поточний ремонт'!R256</f>
        <v>3</v>
      </c>
      <c r="S256" s="43">
        <f>'[1]поточний ремонт'!S256+'[2]поточний ремонт'!S256-'[3]поточний ремонт'!S256</f>
        <v>5744</v>
      </c>
      <c r="T256" s="1047"/>
      <c r="U256" s="43">
        <f>'[1]поточний ремонт'!U256+'[2]поточний ремонт'!U256-'[3]поточний ремонт'!U256</f>
        <v>0</v>
      </c>
      <c r="V256" s="43">
        <f>'[1]поточний ремонт'!V256+'[2]поточний ремонт'!V256-'[3]поточний ремонт'!V256</f>
        <v>0</v>
      </c>
      <c r="W256" s="43">
        <f>'[1]поточний ремонт'!W256+'[2]поточний ремонт'!W256-'[3]поточний ремонт'!W256</f>
        <v>0</v>
      </c>
      <c r="X256" s="43">
        <f>'[1]поточний ремонт'!X256+'[2]поточний ремонт'!X256-'[3]поточний ремонт'!X256</f>
        <v>691.8961451031654</v>
      </c>
      <c r="Y256" s="43">
        <f>'[1]поточний ремонт'!Y256+'[2]поточний ремонт'!Y256-'[3]поточний ремонт'!Y256</f>
        <v>299</v>
      </c>
      <c r="Z256" s="43">
        <f>'[1]поточний ремонт'!Z256+'[2]поточний ремонт'!Z256-'[3]поточний ремонт'!Z256</f>
        <v>0</v>
      </c>
      <c r="AA256" s="43">
        <f>'[1]поточний ремонт'!AA256+'[2]поточний ремонт'!AA256-'[3]поточний ремонт'!AA256</f>
        <v>0</v>
      </c>
      <c r="AB256" s="43">
        <f>'[1]поточний ремонт'!AB256+'[2]поточний ремонт'!AB256-'[3]поточний ремонт'!AB256</f>
        <v>149</v>
      </c>
      <c r="AC256" s="43">
        <f>'[1]поточний ремонт'!AC256+'[2]поточний ремонт'!AC256-'[3]поточний ремонт'!AC256</f>
        <v>1981</v>
      </c>
      <c r="AD256" s="43">
        <f>'[1]поточний ремонт'!AD256+'[2]поточний ремонт'!AD256-'[3]поточний ремонт'!AD256</f>
        <v>4851</v>
      </c>
      <c r="AE256" s="43">
        <f>'[1]поточний ремонт'!AE256+'[2]поточний ремонт'!AE256-'[3]поточний ремонт'!AE256</f>
        <v>2132.0641849026724</v>
      </c>
      <c r="AF256" s="43">
        <f>'[1]поточний ремонт'!AF256+'[2]поточний ремонт'!AF256-'[3]поточний ремонт'!AF256</f>
        <v>6402</v>
      </c>
      <c r="AG256" s="1045"/>
      <c r="AH256" s="43">
        <f>'[1]поточний ремонт'!AH256+'[2]поточний ремонт'!AH256-'[3]поточний ремонт'!AH256</f>
        <v>5373.5146163070895</v>
      </c>
      <c r="AI256" s="43">
        <f>'[1]поточний ремонт'!AI256+'[2]поточний ремонт'!AI256-'[3]поточний ремонт'!AI256</f>
        <v>6340</v>
      </c>
      <c r="AJ256" s="5"/>
      <c r="AK256" s="43">
        <f>'[1]поточний ремонт'!AK256+'[2]поточний ремонт'!AK256-'[3]поточний ремонт'!AK256</f>
        <v>4472.7789092458415</v>
      </c>
      <c r="AL256" s="43">
        <f>'[1]поточний ремонт'!AL256+'[2]поточний ремонт'!AL256-'[3]поточний ремонт'!AL256</f>
        <v>883</v>
      </c>
      <c r="AM256" s="5"/>
      <c r="AN256" s="43">
        <f>'[1]поточний ремонт'!AN256+'[2]поточний ремонт'!AN256-'[3]поточний ремонт'!AN256</f>
        <v>1728.7653925644852</v>
      </c>
      <c r="AO256" s="43">
        <f>'[1]поточний ремонт'!AO256+'[2]поточний ремонт'!AO256-'[3]поточний ремонт'!AO256</f>
        <v>0</v>
      </c>
      <c r="AP256" s="5"/>
      <c r="AQ256" s="43">
        <f>'[1]поточний ремонт'!AQ256+'[2]поточний ремонт'!AQ256-'[3]поточний ремонт'!AQ256</f>
        <v>593.65087276649558</v>
      </c>
      <c r="AR256" s="43">
        <f>'[1]поточний ремонт'!AR256+'[2]поточний ремонт'!AR256-'[3]поточний ремонт'!AR256</f>
        <v>0</v>
      </c>
      <c r="AS256" s="9"/>
      <c r="AT256" s="43">
        <f>'[1]поточний ремонт'!AT256+'[2]поточний ремонт'!AT256-'[3]поточний ремонт'!AT256</f>
        <v>3112.3210858872571</v>
      </c>
      <c r="AU256" s="43">
        <f>'[1]поточний ремонт'!AU256+'[2]поточний ремонт'!AU256-'[3]поточний ремонт'!AU256</f>
        <v>9298.0996561008615</v>
      </c>
      <c r="AV256" s="5"/>
      <c r="AW256" s="43">
        <f>'[1]поточний ремонт'!AW256+'[2]поточний ремонт'!AW256-'[3]поточний ремонт'!AW256</f>
        <v>0</v>
      </c>
      <c r="AX256" s="43">
        <f>'[1]поточний ремонт'!AX256+'[2]поточний ремонт'!AX256-'[3]поточний ремонт'!AX256</f>
        <v>0</v>
      </c>
      <c r="AY256" s="5"/>
      <c r="AZ256" s="43">
        <f t="shared" si="26"/>
        <v>17413.095061673841</v>
      </c>
      <c r="BA256" s="43">
        <f t="shared" si="27"/>
        <v>22923.099656100861</v>
      </c>
      <c r="BB256" s="59">
        <f t="shared" si="28"/>
        <v>5510.0045944270205</v>
      </c>
      <c r="BD256" s="2">
        <v>2</v>
      </c>
      <c r="BF256" s="30">
        <v>16.559424909124228</v>
      </c>
      <c r="BG256" s="328">
        <v>150000760</v>
      </c>
      <c r="BI256" s="107">
        <v>51.63</v>
      </c>
      <c r="BJ256" s="107">
        <f t="shared" si="29"/>
        <v>7.2623893859999997</v>
      </c>
      <c r="BK256" s="107">
        <v>59.544145647480001</v>
      </c>
      <c r="BL256" s="39"/>
      <c r="BM256" s="3"/>
      <c r="BN256" s="3">
        <v>0</v>
      </c>
      <c r="BP256" s="3"/>
      <c r="BQ256" s="3"/>
      <c r="BS256" s="43"/>
      <c r="BT256" s="43">
        <v>0</v>
      </c>
      <c r="BU256" s="1037"/>
      <c r="BV256" s="42"/>
      <c r="BW256" s="43"/>
      <c r="BX256" s="37"/>
      <c r="BY256" s="78"/>
      <c r="BZ256" s="43">
        <v>0</v>
      </c>
      <c r="CA256" s="1058"/>
      <c r="CB256" s="42">
        <v>1</v>
      </c>
      <c r="CC256" s="42">
        <v>880.07788646179995</v>
      </c>
      <c r="CD256" s="1047"/>
      <c r="CE256" s="78">
        <v>0</v>
      </c>
      <c r="CF256" s="56"/>
      <c r="CG256" s="42">
        <v>0</v>
      </c>
      <c r="CH256" s="39">
        <v>59.544145647480001</v>
      </c>
      <c r="CI256" s="78">
        <v>0</v>
      </c>
      <c r="CJ256" s="56"/>
      <c r="CK256" s="1034"/>
      <c r="CL256" s="1029"/>
      <c r="CM256" s="1034">
        <v>459</v>
      </c>
      <c r="CN256" s="1029">
        <v>0</v>
      </c>
      <c r="CO256" s="78">
        <v>177.67201540855604</v>
      </c>
      <c r="CP256" s="43">
        <v>0</v>
      </c>
      <c r="CQ256" s="1045"/>
      <c r="CR256" s="78">
        <v>447.79288469225742</v>
      </c>
      <c r="CS256" s="1033">
        <v>0</v>
      </c>
      <c r="CT256" s="5"/>
      <c r="CU256" s="78">
        <v>372.73157577048681</v>
      </c>
      <c r="CV256" s="43">
        <v>0</v>
      </c>
      <c r="CW256" s="5"/>
      <c r="CX256" s="78">
        <v>144.06378271370713</v>
      </c>
      <c r="CY256" s="43">
        <v>0</v>
      </c>
      <c r="CZ256" s="5"/>
      <c r="DA256" s="78">
        <v>49.470906063874629</v>
      </c>
      <c r="DB256" s="43">
        <v>0</v>
      </c>
      <c r="DC256" s="9"/>
      <c r="DD256" s="78">
        <v>259.36009049060476</v>
      </c>
      <c r="DE256" s="43">
        <v>0</v>
      </c>
      <c r="DF256" s="5"/>
      <c r="DG256" s="78">
        <v>0</v>
      </c>
      <c r="DH256" s="43"/>
      <c r="DI256" s="5"/>
      <c r="DJ256" s="43">
        <v>1451.0912551394867</v>
      </c>
      <c r="DK256" s="43">
        <f t="shared" si="30"/>
        <v>0</v>
      </c>
      <c r="DL256" s="59">
        <f t="shared" si="31"/>
        <v>-1451.0912551394867</v>
      </c>
    </row>
    <row r="257" spans="1:116" ht="24.9" customHeight="1" x14ac:dyDescent="0.3">
      <c r="A257" s="328">
        <v>150000758</v>
      </c>
      <c r="B257" s="45" t="s">
        <v>388</v>
      </c>
      <c r="C257" s="1035">
        <v>9</v>
      </c>
      <c r="D257" s="1036" t="s">
        <v>454</v>
      </c>
      <c r="E257" s="1028">
        <f>'побудинковий звіт'!E255</f>
        <v>2774.6000000000004</v>
      </c>
      <c r="F257" s="1029">
        <f>'побудинковий звіт'!AS255</f>
        <v>243877.53709069974</v>
      </c>
      <c r="G257" s="1029">
        <f t="shared" si="24"/>
        <v>36205</v>
      </c>
      <c r="H257" s="1029">
        <f t="shared" si="25"/>
        <v>-207672.53709069974</v>
      </c>
      <c r="I257" s="43">
        <f>'[1]поточний ремонт'!I257+'[2]поточний ремонт'!I257-'[3]поточний ремонт'!I257</f>
        <v>70.56</v>
      </c>
      <c r="J257" s="43">
        <f>'[1]поточний ремонт'!J257+'[2]поточний ремонт'!J257-'[3]поточний ремонт'!J257</f>
        <v>19087</v>
      </c>
      <c r="K257" s="1041"/>
      <c r="L257" s="43">
        <f>'[1]поточний ремонт'!L257+'[2]поточний ремонт'!L257-'[3]поточний ремонт'!L257</f>
        <v>0</v>
      </c>
      <c r="M257" s="43">
        <f>'[1]поточний ремонт'!M257+'[2]поточний ремонт'!M257-'[3]поточний ремонт'!M257</f>
        <v>0</v>
      </c>
      <c r="N257" s="37"/>
      <c r="O257" s="43">
        <f>'[1]поточний ремонт'!O257+'[2]поточний ремонт'!O257-'[3]поточний ремонт'!O257</f>
        <v>0</v>
      </c>
      <c r="P257" s="43">
        <f>'[1]поточний ремонт'!P257+'[2]поточний ремонт'!P257-'[3]поточний ремонт'!P257</f>
        <v>0</v>
      </c>
      <c r="Q257" s="1058"/>
      <c r="R257" s="43">
        <f>'[1]поточний ремонт'!R257+'[2]поточний ремонт'!R257-'[3]поточний ремонт'!R257</f>
        <v>3</v>
      </c>
      <c r="S257" s="43">
        <f>'[1]поточний ремонт'!S257+'[2]поточний ремонт'!S257-'[3]поточний ремонт'!S257</f>
        <v>5941</v>
      </c>
      <c r="T257" s="1047"/>
      <c r="U257" s="43">
        <f>'[1]поточний ремонт'!U257+'[2]поточний ремонт'!U257-'[3]поточний ремонт'!U257</f>
        <v>1155</v>
      </c>
      <c r="V257" s="43">
        <f>'[1]поточний ремонт'!V257+'[2]поточний ремонт'!V257-'[3]поточний ремонт'!V257</f>
        <v>0</v>
      </c>
      <c r="W257" s="43">
        <f>'[1]поточний ремонт'!W257+'[2]поточний ремонт'!W257-'[3]поточний ремонт'!W257</f>
        <v>0</v>
      </c>
      <c r="X257" s="43">
        <f>'[1]поточний ремонт'!X257+'[2]поточний ремонт'!X257-'[3]поточний ремонт'!X257</f>
        <v>0</v>
      </c>
      <c r="Y257" s="43">
        <f>'[1]поточний ремонт'!Y257+'[2]поточний ремонт'!Y257-'[3]поточний ремонт'!Y257</f>
        <v>1972</v>
      </c>
      <c r="Z257" s="43">
        <f>'[1]поточний ремонт'!Z257+'[2]поточний ремонт'!Z257-'[3]поточний ремонт'!Z257</f>
        <v>0</v>
      </c>
      <c r="AA257" s="43">
        <f>'[1]поточний ремонт'!AA257+'[2]поточний ремонт'!AA257-'[3]поточний ремонт'!AA257</f>
        <v>0</v>
      </c>
      <c r="AB257" s="43">
        <f>'[1]поточний ремонт'!AB257+'[2]поточний ремонт'!AB257-'[3]поточний ремонт'!AB257</f>
        <v>673</v>
      </c>
      <c r="AC257" s="43">
        <f>'[1]поточний ремонт'!AC257+'[2]поточний ремонт'!AC257-'[3]поточний ремонт'!AC257</f>
        <v>1836</v>
      </c>
      <c r="AD257" s="43">
        <f>'[1]поточний ремонт'!AD257+'[2]поточний ремонт'!AD257-'[3]поточний ремонт'!AD257</f>
        <v>5541</v>
      </c>
      <c r="AE257" s="43">
        <f>'[1]поточний ремонт'!AE257+'[2]поточний ремонт'!AE257-'[3]поточний ремонт'!AE257</f>
        <v>2756.7173454829358</v>
      </c>
      <c r="AF257" s="43">
        <f>'[1]поточний ремонт'!AF257+'[2]поточний ремонт'!AF257-'[3]поточний ремонт'!AF257</f>
        <v>0</v>
      </c>
      <c r="AG257" s="9"/>
      <c r="AH257" s="43">
        <f>'[1]поточний ремонт'!AH257+'[2]поточний ремонт'!AH257-'[3]поточний ремонт'!AH257</f>
        <v>6268.8140207556853</v>
      </c>
      <c r="AI257" s="43">
        <f>'[1]поточний ремонт'!AI257+'[2]поточний ремонт'!AI257-'[3]поточний ремонт'!AI257</f>
        <v>3117.9999999999995</v>
      </c>
      <c r="AJ257" s="9"/>
      <c r="AK257" s="43">
        <f>'[1]поточний ремонт'!AK257+'[2]поточний ремонт'!AK257-'[3]поточний ремонт'!AK257</f>
        <v>4937.001410919047</v>
      </c>
      <c r="AL257" s="43">
        <f>'[1]поточний ремонт'!AL257+'[2]поточний ремонт'!AL257-'[3]поточний ремонт'!AL257</f>
        <v>1695</v>
      </c>
      <c r="AM257" s="9"/>
      <c r="AN257" s="43">
        <f>'[1]поточний ремонт'!AN257+'[2]поточний ремонт'!AN257-'[3]поточний ремонт'!AN257</f>
        <v>1873.659797036064</v>
      </c>
      <c r="AO257" s="43">
        <f>'[1]поточний ремонт'!AO257+'[2]поточний ремонт'!AO257-'[3]поточний ремонт'!AO257</f>
        <v>0</v>
      </c>
      <c r="AP257" s="5"/>
      <c r="AQ257" s="43">
        <f>'[1]поточний ремонт'!AQ257+'[2]поточний ремонт'!AQ257-'[3]поточний ремонт'!AQ257</f>
        <v>692.52015965609053</v>
      </c>
      <c r="AR257" s="43">
        <f>'[1]поточний ремонт'!AR257+'[2]поточний ремонт'!AR257-'[3]поточний ремонт'!AR257</f>
        <v>0</v>
      </c>
      <c r="AS257" s="5"/>
      <c r="AT257" s="43">
        <f>'[1]поточний ремонт'!AT257+'[2]поточний ремонт'!AT257-'[3]поточний ремонт'!AT257</f>
        <v>3254.6927853582233</v>
      </c>
      <c r="AU257" s="43">
        <f>'[1]поточний ремонт'!AU257+'[2]поточний ремонт'!AU257-'[3]поточний ремонт'!AU257</f>
        <v>810</v>
      </c>
      <c r="AV257" s="9"/>
      <c r="AW257" s="43">
        <f>'[1]поточний ремонт'!AW257+'[2]поточний ремонт'!AW257-'[3]поточний ремонт'!AW257</f>
        <v>0</v>
      </c>
      <c r="AX257" s="43">
        <f>'[1]поточний ремонт'!AX257+'[2]поточний ремонт'!AX257-'[3]поточний ремонт'!AX257</f>
        <v>0</v>
      </c>
      <c r="AY257" s="5"/>
      <c r="AZ257" s="43">
        <f t="shared" si="26"/>
        <v>19783.405519208045</v>
      </c>
      <c r="BA257" s="43">
        <f t="shared" si="27"/>
        <v>5623</v>
      </c>
      <c r="BB257" s="59">
        <f t="shared" si="28"/>
        <v>-14160.405519208045</v>
      </c>
      <c r="BD257" s="2">
        <v>2</v>
      </c>
      <c r="BF257" s="30">
        <v>232.83098055094806</v>
      </c>
      <c r="BG257" s="328">
        <v>150000758</v>
      </c>
      <c r="BI257" s="107">
        <v>0</v>
      </c>
      <c r="BJ257" s="107">
        <f t="shared" si="29"/>
        <v>0</v>
      </c>
      <c r="BK257" s="107">
        <v>0</v>
      </c>
      <c r="BL257" s="39"/>
      <c r="BM257" s="3"/>
      <c r="BN257" s="3">
        <v>0</v>
      </c>
      <c r="BP257" s="3"/>
      <c r="BQ257" s="3"/>
      <c r="BS257" s="43"/>
      <c r="BT257" s="43">
        <v>0</v>
      </c>
      <c r="BU257" s="1041"/>
      <c r="BV257" s="42"/>
      <c r="BW257" s="43"/>
      <c r="BX257" s="37"/>
      <c r="BY257" s="78">
        <v>115.5</v>
      </c>
      <c r="BZ257" s="43">
        <v>32228.627062638188</v>
      </c>
      <c r="CA257" s="1058"/>
      <c r="CB257" s="42">
        <v>3</v>
      </c>
      <c r="CC257" s="42">
        <v>280046.1103644133</v>
      </c>
      <c r="CD257" s="1047"/>
      <c r="CE257" s="78">
        <v>0</v>
      </c>
      <c r="CF257" s="56"/>
      <c r="CG257" s="42">
        <v>0</v>
      </c>
      <c r="CH257" s="39">
        <v>0</v>
      </c>
      <c r="CI257" s="78">
        <v>0</v>
      </c>
      <c r="CJ257" s="56"/>
      <c r="CK257" s="1034"/>
      <c r="CL257" s="1029"/>
      <c r="CM257" s="1034">
        <v>734</v>
      </c>
      <c r="CN257" s="1029">
        <v>2711.3658175176797</v>
      </c>
      <c r="CO257" s="78">
        <v>229.72644545691136</v>
      </c>
      <c r="CP257" s="43">
        <v>0</v>
      </c>
      <c r="CQ257" s="9"/>
      <c r="CR257" s="78">
        <v>522.40116839630707</v>
      </c>
      <c r="CS257" s="1033">
        <v>0</v>
      </c>
      <c r="CT257" s="9"/>
      <c r="CU257" s="78">
        <v>411.41678424325391</v>
      </c>
      <c r="CV257" s="43">
        <v>0</v>
      </c>
      <c r="CW257" s="9"/>
      <c r="CX257" s="78">
        <v>156.13831641967201</v>
      </c>
      <c r="CY257" s="43">
        <v>0</v>
      </c>
      <c r="CZ257" s="5"/>
      <c r="DA257" s="78">
        <v>57.710013304674192</v>
      </c>
      <c r="DB257" s="43">
        <v>0</v>
      </c>
      <c r="DC257" s="5"/>
      <c r="DD257" s="78">
        <v>271.22439877985192</v>
      </c>
      <c r="DE257" s="43">
        <v>0</v>
      </c>
      <c r="DF257" s="9"/>
      <c r="DG257" s="78">
        <v>0</v>
      </c>
      <c r="DH257" s="43"/>
      <c r="DI257" s="5"/>
      <c r="DJ257" s="43">
        <v>1648.6171266006706</v>
      </c>
      <c r="DK257" s="43">
        <f t="shared" si="30"/>
        <v>0</v>
      </c>
      <c r="DL257" s="59">
        <f t="shared" si="31"/>
        <v>-1648.6171266006706</v>
      </c>
    </row>
    <row r="258" spans="1:116" ht="24.9" customHeight="1" x14ac:dyDescent="0.3">
      <c r="A258" s="328">
        <v>150000759</v>
      </c>
      <c r="B258" s="45" t="s">
        <v>389</v>
      </c>
      <c r="C258" s="1035">
        <v>9</v>
      </c>
      <c r="D258" s="1036" t="s">
        <v>454</v>
      </c>
      <c r="E258" s="1028">
        <f>'побудинковий звіт'!E256</f>
        <v>4580.3</v>
      </c>
      <c r="F258" s="1029">
        <f>'побудинковий звіт'!AS256</f>
        <v>105179.08388894561</v>
      </c>
      <c r="G258" s="1029">
        <f t="shared" si="24"/>
        <v>18175</v>
      </c>
      <c r="H258" s="1029">
        <f t="shared" si="25"/>
        <v>-87004.083888945606</v>
      </c>
      <c r="I258" s="43">
        <f>'[1]поточний ремонт'!I258+'[2]поточний ремонт'!I258-'[3]поточний ремонт'!I258</f>
        <v>28</v>
      </c>
      <c r="J258" s="43">
        <f>'[1]поточний ремонт'!J258+'[2]поточний ремонт'!J258-'[3]поточний ремонт'!J258</f>
        <v>8046</v>
      </c>
      <c r="K258" s="1037"/>
      <c r="L258" s="43">
        <f>'[1]поточний ремонт'!L258+'[2]поточний ремонт'!L258-'[3]поточний ремонт'!L258</f>
        <v>0</v>
      </c>
      <c r="M258" s="43">
        <f>'[1]поточний ремонт'!M258+'[2]поточний ремонт'!M258-'[3]поточний ремонт'!M258</f>
        <v>0</v>
      </c>
      <c r="N258" s="37"/>
      <c r="O258" s="43">
        <f>'[1]поточний ремонт'!O258+'[2]поточний ремонт'!O258-'[3]поточний ремонт'!O258</f>
        <v>0</v>
      </c>
      <c r="P258" s="43">
        <f>'[1]поточний ремонт'!P258+'[2]поточний ремонт'!P258-'[3]поточний ремонт'!P258</f>
        <v>0</v>
      </c>
      <c r="Q258" s="1038"/>
      <c r="R258" s="43">
        <f>'[1]поточний ремонт'!R258+'[2]поточний ремонт'!R258-'[3]поточний ремонт'!R258</f>
        <v>0</v>
      </c>
      <c r="S258" s="43">
        <f>'[1]поточний ремонт'!S258+'[2]поточний ремонт'!S258-'[3]поточний ремонт'!S258</f>
        <v>0</v>
      </c>
      <c r="T258" s="1048"/>
      <c r="U258" s="43">
        <f>'[1]поточний ремонт'!U258+'[2]поточний ремонт'!U258-'[3]поточний ремонт'!U258</f>
        <v>0</v>
      </c>
      <c r="V258" s="43">
        <f>'[1]поточний ремонт'!V258+'[2]поточний ремонт'!V258-'[3]поточний ремонт'!V258</f>
        <v>0</v>
      </c>
      <c r="W258" s="43">
        <f>'[1]поточний ремонт'!W258+'[2]поточний ремонт'!W258-'[3]поточний ремонт'!W258</f>
        <v>0</v>
      </c>
      <c r="X258" s="43">
        <f>'[1]поточний ремонт'!X258+'[2]поточний ремонт'!X258-'[3]поточний ремонт'!X258</f>
        <v>0</v>
      </c>
      <c r="Y258" s="43">
        <f>'[1]поточний ремонт'!Y258+'[2]поточний ремонт'!Y258-'[3]поточний ремонт'!Y258</f>
        <v>0</v>
      </c>
      <c r="Z258" s="43">
        <f>'[1]поточний ремонт'!Z258+'[2]поточний ремонт'!Z258-'[3]поточний ремонт'!Z258</f>
        <v>0</v>
      </c>
      <c r="AA258" s="43">
        <f>'[1]поточний ремонт'!AA258+'[2]поточний ремонт'!AA258-'[3]поточний ремонт'!AA258</f>
        <v>0</v>
      </c>
      <c r="AB258" s="43">
        <f>'[1]поточний ремонт'!AB258+'[2]поточний ремонт'!AB258-'[3]поточний ремонт'!AB258</f>
        <v>0</v>
      </c>
      <c r="AC258" s="43">
        <f>'[1]поточний ремонт'!AC258+'[2]поточний ремонт'!AC258-'[3]поточний ремонт'!AC258</f>
        <v>286</v>
      </c>
      <c r="AD258" s="43">
        <f>'[1]поточний ремонт'!AD258+'[2]поточний ремонт'!AD258-'[3]поточний ремонт'!AD258</f>
        <v>9843.0000000000018</v>
      </c>
      <c r="AE258" s="43">
        <f>'[1]поточний ремонт'!AE258+'[2]поточний ремонт'!AE258-'[3]поточний ремонт'!AE258</f>
        <v>1223.0524661633051</v>
      </c>
      <c r="AF258" s="43">
        <f>'[1]поточний ремонт'!AF258+'[2]поточний ремонт'!AF258-'[3]поточний ремонт'!AF258</f>
        <v>1209</v>
      </c>
      <c r="AG258" s="9"/>
      <c r="AH258" s="43">
        <f>'[1]поточний ремонт'!AH258+'[2]поточний ремонт'!AH258-'[3]поточний ремонт'!AH258</f>
        <v>1567.0283868514341</v>
      </c>
      <c r="AI258" s="43">
        <f>'[1]поточний ремонт'!AI258+'[2]поточний ремонт'!AI258-'[3]поточний ремонт'!AI258</f>
        <v>0</v>
      </c>
      <c r="AJ258" s="1060"/>
      <c r="AK258" s="43">
        <f>'[1]поточний ремонт'!AK258+'[2]поточний ремонт'!AK258-'[3]поточний ремонт'!AK258</f>
        <v>2062.7285304522206</v>
      </c>
      <c r="AL258" s="43">
        <f>'[1]поточний ремонт'!AL258+'[2]поточний ремонт'!AL258-'[3]поточний ремонт'!AL258</f>
        <v>337</v>
      </c>
      <c r="AM258" s="5"/>
      <c r="AN258" s="43">
        <f>'[1]поточний ремонт'!AN258+'[2]поточний ремонт'!AN258-'[3]поточний ремонт'!AN258</f>
        <v>1083.3718009514098</v>
      </c>
      <c r="AO258" s="43">
        <f>'[1]поточний ремонт'!AO258+'[2]поточний ремонт'!AO258-'[3]поточний ремонт'!AO258</f>
        <v>888</v>
      </c>
      <c r="AP258" s="5"/>
      <c r="AQ258" s="43">
        <f>'[1]поточний ремонт'!AQ258+'[2]поточний ремонт'!AQ258-'[3]поточний ремонт'!AQ258</f>
        <v>296.75274776379348</v>
      </c>
      <c r="AR258" s="43">
        <f>'[1]поточний ремонт'!AR258+'[2]поточний ремонт'!AR258-'[3]поточний ремонт'!AR258</f>
        <v>0</v>
      </c>
      <c r="AS258" s="5"/>
      <c r="AT258" s="43">
        <f>'[1]поточний ремонт'!AT258+'[2]поточний ремонт'!AT258-'[3]поточний ремонт'!AT258</f>
        <v>1514.400586237809</v>
      </c>
      <c r="AU258" s="43">
        <f>'[1]поточний ремонт'!AU258+'[2]поточний ремонт'!AU258-'[3]поточний ремонт'!AU258</f>
        <v>124</v>
      </c>
      <c r="AV258" s="5"/>
      <c r="AW258" s="43">
        <f>'[1]поточний ремонт'!AW258+'[2]поточний ремонт'!AW258-'[3]поточний ремонт'!AW258</f>
        <v>0</v>
      </c>
      <c r="AX258" s="43">
        <f>'[1]поточний ремонт'!AX258+'[2]поточний ремонт'!AX258-'[3]поточний ремонт'!AX258</f>
        <v>0</v>
      </c>
      <c r="AY258" s="5"/>
      <c r="AZ258" s="43">
        <f t="shared" si="26"/>
        <v>7747.3345184199716</v>
      </c>
      <c r="BA258" s="43">
        <f t="shared" si="27"/>
        <v>2558</v>
      </c>
      <c r="BB258" s="59">
        <f t="shared" si="28"/>
        <v>-5189.3345184199716</v>
      </c>
      <c r="BD258" s="2">
        <v>2</v>
      </c>
      <c r="BF258" s="30">
        <v>8.3070541453340514</v>
      </c>
      <c r="BG258" s="328">
        <v>150000759</v>
      </c>
      <c r="BI258" s="107">
        <v>0</v>
      </c>
      <c r="BJ258" s="107">
        <f t="shared" si="29"/>
        <v>0</v>
      </c>
      <c r="BK258" s="107">
        <v>0</v>
      </c>
      <c r="BL258" s="39"/>
      <c r="BM258" s="3"/>
      <c r="BN258" s="3">
        <v>0</v>
      </c>
      <c r="BP258" s="3"/>
      <c r="BQ258" s="3"/>
      <c r="BS258" s="43"/>
      <c r="BT258" s="43">
        <v>0</v>
      </c>
      <c r="BU258" s="1037"/>
      <c r="BV258" s="42"/>
      <c r="BW258" s="43"/>
      <c r="BX258" s="37"/>
      <c r="BY258" s="78"/>
      <c r="BZ258" s="43">
        <v>0</v>
      </c>
      <c r="CA258" s="1038"/>
      <c r="CB258" s="42">
        <v>1</v>
      </c>
      <c r="CC258" s="42">
        <v>124461.16664103618</v>
      </c>
      <c r="CD258" s="1048"/>
      <c r="CE258" s="78">
        <v>514.05218785972443</v>
      </c>
      <c r="CF258" s="56"/>
      <c r="CG258" s="42">
        <v>0</v>
      </c>
      <c r="CH258" s="39">
        <v>0</v>
      </c>
      <c r="CI258" s="78">
        <v>0</v>
      </c>
      <c r="CJ258" s="1051"/>
      <c r="CK258" s="1034"/>
      <c r="CL258" s="1029"/>
      <c r="CM258" s="1034">
        <v>674</v>
      </c>
      <c r="CN258" s="1029">
        <v>0</v>
      </c>
      <c r="CO258" s="78">
        <v>101.9210388469421</v>
      </c>
      <c r="CP258" s="43">
        <v>0</v>
      </c>
      <c r="CQ258" s="9"/>
      <c r="CR258" s="78">
        <v>130.5856989042862</v>
      </c>
      <c r="CS258" s="1033">
        <v>0</v>
      </c>
      <c r="CT258" s="1060"/>
      <c r="CU258" s="78">
        <v>171.89404420435167</v>
      </c>
      <c r="CV258" s="43">
        <v>0</v>
      </c>
      <c r="CW258" s="5"/>
      <c r="CX258" s="78">
        <v>90.280983412617488</v>
      </c>
      <c r="CY258" s="43">
        <v>0</v>
      </c>
      <c r="CZ258" s="5"/>
      <c r="DA258" s="78">
        <v>24.729395646982791</v>
      </c>
      <c r="DB258" s="43">
        <v>0</v>
      </c>
      <c r="DC258" s="5"/>
      <c r="DD258" s="78">
        <v>126.20004885315075</v>
      </c>
      <c r="DE258" s="43">
        <v>0</v>
      </c>
      <c r="DF258" s="5"/>
      <c r="DG258" s="78">
        <v>0</v>
      </c>
      <c r="DH258" s="43"/>
      <c r="DI258" s="5"/>
      <c r="DJ258" s="43">
        <v>645.611209868331</v>
      </c>
      <c r="DK258" s="43">
        <f t="shared" si="30"/>
        <v>0</v>
      </c>
      <c r="DL258" s="59">
        <f t="shared" si="31"/>
        <v>-645.611209868331</v>
      </c>
    </row>
    <row r="259" spans="1:116" ht="24.9" customHeight="1" x14ac:dyDescent="0.3">
      <c r="A259" s="328">
        <v>150000761</v>
      </c>
      <c r="B259" s="45" t="s">
        <v>390</v>
      </c>
      <c r="C259" s="1035">
        <v>9</v>
      </c>
      <c r="D259" s="1036" t="s">
        <v>454</v>
      </c>
      <c r="E259" s="1028">
        <f>'побудинковий звіт'!E257</f>
        <v>6069.8</v>
      </c>
      <c r="F259" s="1029">
        <f>'побудинковий звіт'!AS257</f>
        <v>89239.403482151843</v>
      </c>
      <c r="G259" s="1029">
        <f t="shared" si="24"/>
        <v>11945.185133606297</v>
      </c>
      <c r="H259" s="1029">
        <f t="shared" si="25"/>
        <v>-77294.218348545546</v>
      </c>
      <c r="I259" s="43">
        <f>'[1]поточний ремонт'!I259+'[2]поточний ремонт'!I259-'[3]поточний ремонт'!I259</f>
        <v>0</v>
      </c>
      <c r="J259" s="43">
        <f>'[1]поточний ремонт'!J259+'[2]поточний ремонт'!J259-'[3]поточний ремонт'!J259</f>
        <v>0</v>
      </c>
      <c r="K259" s="1041"/>
      <c r="L259" s="43">
        <f>'[1]поточний ремонт'!L259+'[2]поточний ремонт'!L259-'[3]поточний ремонт'!L259</f>
        <v>0</v>
      </c>
      <c r="M259" s="43">
        <f>'[1]поточний ремонт'!M259+'[2]поточний ремонт'!M259-'[3]поточний ремонт'!M259</f>
        <v>0</v>
      </c>
      <c r="N259" s="37"/>
      <c r="O259" s="43">
        <f>'[1]поточний ремонт'!O259+'[2]поточний ремонт'!O259-'[3]поточний ремонт'!O259</f>
        <v>0</v>
      </c>
      <c r="P259" s="43">
        <f>'[1]поточний ремонт'!P259+'[2]поточний ремонт'!P259-'[3]поточний ремонт'!P259</f>
        <v>0</v>
      </c>
      <c r="Q259" s="1038"/>
      <c r="R259" s="43">
        <f>'[1]поточний ремонт'!R259+'[2]поточний ремонт'!R259-'[3]поточний ремонт'!R259</f>
        <v>1</v>
      </c>
      <c r="S259" s="43">
        <f>'[1]поточний ремонт'!S259+'[2]поточний ремонт'!S259-'[3]поточний ремонт'!S259</f>
        <v>1351</v>
      </c>
      <c r="T259" s="1039"/>
      <c r="U259" s="43">
        <f>'[1]поточний ремонт'!U259+'[2]поточний ремонт'!U259-'[3]поточний ремонт'!U259</f>
        <v>0</v>
      </c>
      <c r="V259" s="43">
        <f>'[1]поточний ремонт'!V259+'[2]поточний ремонт'!V259-'[3]поточний ремонт'!V259</f>
        <v>0</v>
      </c>
      <c r="W259" s="43">
        <f>'[1]поточний ремонт'!W259+'[2]поточний ремонт'!W259-'[3]поточний ремонт'!W259</f>
        <v>0</v>
      </c>
      <c r="X259" s="43">
        <f>'[1]поточний ремонт'!X259+'[2]поточний ремонт'!X259-'[3]поточний ремонт'!X259</f>
        <v>551.18513360629822</v>
      </c>
      <c r="Y259" s="43">
        <f>'[1]поточний ремонт'!Y259+'[2]поточний ремонт'!Y259-'[3]поточний ремонт'!Y259</f>
        <v>4502</v>
      </c>
      <c r="Z259" s="43">
        <f>'[1]поточний ремонт'!Z259+'[2]поточний ремонт'!Z259-'[3]поточний ремонт'!Z259</f>
        <v>0</v>
      </c>
      <c r="AA259" s="43">
        <f>'[1]поточний ремонт'!AA259+'[2]поточний ремонт'!AA259-'[3]поточний ремонт'!AA259</f>
        <v>0</v>
      </c>
      <c r="AB259" s="43">
        <f>'[1]поточний ремонт'!AB259+'[2]поточний ремонт'!AB259-'[3]поточний ремонт'!AB259</f>
        <v>4098</v>
      </c>
      <c r="AC259" s="43">
        <f>'[1]поточний ремонт'!AC259+'[2]поточний ремонт'!AC259-'[3]поточний ремонт'!AC259</f>
        <v>0</v>
      </c>
      <c r="AD259" s="43">
        <f>'[1]поточний ремонт'!AD259+'[2]поточний ремонт'!AD259-'[3]поточний ремонт'!AD259</f>
        <v>1443</v>
      </c>
      <c r="AE259" s="43">
        <f>'[1]поточний ремонт'!AE259+'[2]поточний ремонт'!AE259-'[3]поточний ремонт'!AE259</f>
        <v>733.88638053240402</v>
      </c>
      <c r="AF259" s="43">
        <f>'[1]поточний ремонт'!AF259+'[2]поточний ремонт'!AF259-'[3]поточний ремонт'!AF259</f>
        <v>15225</v>
      </c>
      <c r="AG259" s="5"/>
      <c r="AH259" s="43">
        <f>'[1]поточний ремонт'!AH259+'[2]поточний ремонт'!AH259-'[3]поточний ремонт'!AH259</f>
        <v>947.60805588229528</v>
      </c>
      <c r="AI259" s="43">
        <f>'[1]поточний ремонт'!AI259+'[2]поточний ремонт'!AI259-'[3]поточний ремонт'!AI259</f>
        <v>0</v>
      </c>
      <c r="AJ259" s="5"/>
      <c r="AK259" s="43">
        <f>'[1]поточний ремонт'!AK259+'[2]поточний ремонт'!AK259-'[3]поточний ремонт'!AK259</f>
        <v>1586.2383804804301</v>
      </c>
      <c r="AL259" s="43">
        <f>'[1]поточний ремонт'!AL259+'[2]поточний ремонт'!AL259-'[3]поточний ремонт'!AL259</f>
        <v>32315.999999999996</v>
      </c>
      <c r="AM259" s="9"/>
      <c r="AN259" s="43">
        <f>'[1]поточний ремонт'!AN259+'[2]поточний ремонт'!AN259-'[3]поточний ремонт'!AN259</f>
        <v>548.66782316481806</v>
      </c>
      <c r="AO259" s="43">
        <f>'[1]поточний ремонт'!AO259+'[2]поточний ремонт'!AO259-'[3]поточний ремонт'!AO259</f>
        <v>0</v>
      </c>
      <c r="AP259" s="5"/>
      <c r="AQ259" s="43">
        <f>'[1]поточний ремонт'!AQ259+'[2]поточний ремонт'!AQ259-'[3]поточний ремонт'!AQ259</f>
        <v>237.46044713537805</v>
      </c>
      <c r="AR259" s="43">
        <f>'[1]поточний ремонт'!AR259+'[2]поточний ремонт'!AR259-'[3]поточний ремонт'!AR259</f>
        <v>0</v>
      </c>
      <c r="AS259" s="5"/>
      <c r="AT259" s="43">
        <f>'[1]поточний ремонт'!AT259+'[2]поточний ремонт'!AT259-'[3]поточний ремонт'!AT259</f>
        <v>535.50420489191015</v>
      </c>
      <c r="AU259" s="43">
        <f>'[1]поточний ремонт'!AU259+'[2]поточний ремонт'!AU259-'[3]поточний ремонт'!AU259</f>
        <v>10182</v>
      </c>
      <c r="AV259" s="5"/>
      <c r="AW259" s="43">
        <f>'[1]поточний ремонт'!AW259+'[2]поточний ремонт'!AW259-'[3]поточний ремонт'!AW259</f>
        <v>0</v>
      </c>
      <c r="AX259" s="43">
        <f>'[1]поточний ремонт'!AX259+'[2]поточний ремонт'!AX259-'[3]поточний ремонт'!AX259</f>
        <v>0</v>
      </c>
      <c r="AY259" s="5"/>
      <c r="AZ259" s="43">
        <f t="shared" si="26"/>
        <v>4589.3652920872355</v>
      </c>
      <c r="BA259" s="43">
        <f t="shared" si="27"/>
        <v>57723</v>
      </c>
      <c r="BB259" s="59">
        <f t="shared" si="28"/>
        <v>53133.634707912766</v>
      </c>
      <c r="BD259" s="2">
        <v>2</v>
      </c>
      <c r="BF259" s="30">
        <v>9.8161197608507731</v>
      </c>
      <c r="BG259" s="328">
        <v>150000761</v>
      </c>
      <c r="BI259" s="107">
        <v>41.129999999999995</v>
      </c>
      <c r="BJ259" s="107">
        <f t="shared" si="29"/>
        <v>5.7854362859999986</v>
      </c>
      <c r="BK259" s="107">
        <v>47.434644789479997</v>
      </c>
      <c r="BL259" s="39"/>
      <c r="BM259" s="3"/>
      <c r="BN259" s="3">
        <v>0</v>
      </c>
      <c r="BP259" s="3"/>
      <c r="BQ259" s="3"/>
      <c r="BS259" s="43"/>
      <c r="BT259" s="43">
        <v>0</v>
      </c>
      <c r="BU259" s="1041"/>
      <c r="BV259" s="42"/>
      <c r="BW259" s="43"/>
      <c r="BX259" s="37"/>
      <c r="BY259" s="78"/>
      <c r="BZ259" s="43">
        <v>0</v>
      </c>
      <c r="CA259" s="1038"/>
      <c r="CB259" s="42"/>
      <c r="CC259" s="42">
        <v>0</v>
      </c>
      <c r="CD259" s="1039"/>
      <c r="CE259" s="78">
        <v>0</v>
      </c>
      <c r="CF259" s="56"/>
      <c r="CG259" s="42">
        <v>0</v>
      </c>
      <c r="CH259" s="39">
        <v>47.434644789479997</v>
      </c>
      <c r="CI259" s="78">
        <v>0</v>
      </c>
      <c r="CJ259" s="56"/>
      <c r="CK259" s="1034"/>
      <c r="CL259" s="1029"/>
      <c r="CM259" s="1034"/>
      <c r="CN259" s="1029">
        <v>0</v>
      </c>
      <c r="CO259" s="78">
        <v>61.15719837770034</v>
      </c>
      <c r="CP259" s="43">
        <v>0</v>
      </c>
      <c r="CQ259" s="5"/>
      <c r="CR259" s="78">
        <v>78.967337990191282</v>
      </c>
      <c r="CS259" s="1033">
        <v>0</v>
      </c>
      <c r="CT259" s="5"/>
      <c r="CU259" s="78">
        <v>132.18653170670254</v>
      </c>
      <c r="CV259" s="43">
        <v>0</v>
      </c>
      <c r="CW259" s="9"/>
      <c r="CX259" s="78">
        <v>45.722318597068174</v>
      </c>
      <c r="CY259" s="43">
        <v>0</v>
      </c>
      <c r="CZ259" s="5"/>
      <c r="DA259" s="78">
        <v>19.78837059461484</v>
      </c>
      <c r="DB259" s="43">
        <v>0</v>
      </c>
      <c r="DC259" s="5"/>
      <c r="DD259" s="78">
        <v>44.62535040765917</v>
      </c>
      <c r="DE259" s="43">
        <v>0</v>
      </c>
      <c r="DF259" s="5"/>
      <c r="DG259" s="78">
        <v>0</v>
      </c>
      <c r="DH259" s="43"/>
      <c r="DI259" s="5"/>
      <c r="DJ259" s="43">
        <v>382.44710767393633</v>
      </c>
      <c r="DK259" s="43">
        <f t="shared" si="30"/>
        <v>0</v>
      </c>
      <c r="DL259" s="59">
        <f t="shared" si="31"/>
        <v>-382.44710767393633</v>
      </c>
    </row>
    <row r="260" spans="1:116" ht="24.9" customHeight="1" x14ac:dyDescent="0.3">
      <c r="A260" s="328">
        <v>150000762</v>
      </c>
      <c r="B260" s="45" t="s">
        <v>391</v>
      </c>
      <c r="C260" s="1035">
        <v>9</v>
      </c>
      <c r="D260" s="1036" t="s">
        <v>454</v>
      </c>
      <c r="E260" s="1028">
        <f>'побудинковий звіт'!E258</f>
        <v>2685</v>
      </c>
      <c r="F260" s="1029">
        <f>'побудинковий звіт'!AS258</f>
        <v>36397.508308716904</v>
      </c>
      <c r="G260" s="1029">
        <f t="shared" si="24"/>
        <v>8212</v>
      </c>
      <c r="H260" s="1029">
        <f t="shared" si="25"/>
        <v>-28185.508308716904</v>
      </c>
      <c r="I260" s="43">
        <f>'[1]поточний ремонт'!I260+'[2]поточний ремонт'!I260-'[3]поточний ремонт'!I260</f>
        <v>0</v>
      </c>
      <c r="J260" s="43">
        <f>'[1]поточний ремонт'!J260+'[2]поточний ремонт'!J260-'[3]поточний ремонт'!J260</f>
        <v>568</v>
      </c>
      <c r="K260" s="1037"/>
      <c r="L260" s="43">
        <f>'[1]поточний ремонт'!L260+'[2]поточний ремонт'!L260-'[3]поточний ремонт'!L260</f>
        <v>0</v>
      </c>
      <c r="M260" s="43">
        <f>'[1]поточний ремонт'!M260+'[2]поточний ремонт'!M260-'[3]поточний ремонт'!M260</f>
        <v>0</v>
      </c>
      <c r="N260" s="37"/>
      <c r="O260" s="43">
        <f>'[1]поточний ремонт'!O260+'[2]поточний ремонт'!O260-'[3]поточний ремонт'!O260</f>
        <v>0</v>
      </c>
      <c r="P260" s="43">
        <f>'[1]поточний ремонт'!P260+'[2]поточний ремонт'!P260-'[3]поточний ремонт'!P260</f>
        <v>0</v>
      </c>
      <c r="Q260" s="1038"/>
      <c r="R260" s="43">
        <f>'[1]поточний ремонт'!R260+'[2]поточний ремонт'!R260-'[3]поточний ремонт'!R260</f>
        <v>1</v>
      </c>
      <c r="S260" s="43">
        <f>'[1]поточний ремонт'!S260+'[2]поточний ремонт'!S260-'[3]поточний ремонт'!S260</f>
        <v>2787</v>
      </c>
      <c r="T260" s="1039"/>
      <c r="U260" s="43">
        <f>'[1]поточний ремонт'!U260+'[2]поточний ремонт'!U260-'[3]поточний ремонт'!U260</f>
        <v>0</v>
      </c>
      <c r="V260" s="43">
        <f>'[1]поточний ремонт'!V260+'[2]поточний ремонт'!V260-'[3]поточний ремонт'!V260</f>
        <v>0</v>
      </c>
      <c r="W260" s="43">
        <f>'[1]поточний ремонт'!W260+'[2]поточний ремонт'!W260-'[3]поточний ремонт'!W260</f>
        <v>0</v>
      </c>
      <c r="X260" s="43">
        <f>'[1]поточний ремонт'!X260+'[2]поточний ремонт'!X260-'[3]поточний ремонт'!X260</f>
        <v>0</v>
      </c>
      <c r="Y260" s="43">
        <f>'[1]поточний ремонт'!Y260+'[2]поточний ремонт'!Y260-'[3]поточний ремонт'!Y260</f>
        <v>0</v>
      </c>
      <c r="Z260" s="43">
        <f>'[1]поточний ремонт'!Z260+'[2]поточний ремонт'!Z260-'[3]поточний ремонт'!Z260</f>
        <v>0</v>
      </c>
      <c r="AA260" s="43">
        <f>'[1]поточний ремонт'!AA260+'[2]поточний ремонт'!AA260-'[3]поточний ремонт'!AA260</f>
        <v>0</v>
      </c>
      <c r="AB260" s="43">
        <f>'[1]поточний ремонт'!AB260+'[2]поточний ремонт'!AB260-'[3]поточний ремонт'!AB260</f>
        <v>4251</v>
      </c>
      <c r="AC260" s="43">
        <f>'[1]поточний ремонт'!AC260+'[2]поточний ремонт'!AC260-'[3]поточний ремонт'!AC260</f>
        <v>0</v>
      </c>
      <c r="AD260" s="43">
        <f>'[1]поточний ремонт'!AD260+'[2]поточний ремонт'!AD260-'[3]поточний ремонт'!AD260</f>
        <v>606</v>
      </c>
      <c r="AE260" s="43">
        <f>'[1]поточний ремонт'!AE260+'[2]поточний ремонт'!AE260-'[3]поточний ремонт'!AE260</f>
        <v>426.7357792822782</v>
      </c>
      <c r="AF260" s="43">
        <f>'[1]поточний ремонт'!AF260+'[2]поточний ремонт'!AF260-'[3]поточний ремонт'!AF260</f>
        <v>364</v>
      </c>
      <c r="AG260" s="5"/>
      <c r="AH260" s="43">
        <f>'[1]поточний ремонт'!AH260+'[2]поточний ремонт'!AH260-'[3]поточний ремонт'!AH260</f>
        <v>550.04534384095462</v>
      </c>
      <c r="AI260" s="43">
        <f>'[1]поточний ремонт'!AI260+'[2]поточний ремонт'!AI260-'[3]поточний ремонт'!AI260</f>
        <v>0</v>
      </c>
      <c r="AJ260" s="5"/>
      <c r="AK260" s="43">
        <f>'[1]поточний ремонт'!AK260+'[2]поточний ремонт'!AK260-'[3]поточний ремонт'!AK260</f>
        <v>0</v>
      </c>
      <c r="AL260" s="43">
        <f>'[1]поточний ремонт'!AL260+'[2]поточний ремонт'!AL260-'[3]поточний ремонт'!AL260</f>
        <v>0</v>
      </c>
      <c r="AM260" s="5"/>
      <c r="AN260" s="43">
        <f>'[1]поточний ремонт'!AN260+'[2]поточний ремонт'!AN260-'[3]поточний ремонт'!AN260</f>
        <v>0</v>
      </c>
      <c r="AO260" s="43">
        <f>'[1]поточний ремонт'!AO260+'[2]поточний ремонт'!AO260-'[3]поточний ремонт'!AO260</f>
        <v>0</v>
      </c>
      <c r="AP260" s="5"/>
      <c r="AQ260" s="43">
        <f>'[1]поточний ремонт'!AQ260+'[2]поточний ремонт'!AQ260-'[3]поточний ремонт'!AQ260</f>
        <v>118.73022356768902</v>
      </c>
      <c r="AR260" s="43">
        <f>'[1]поточний ремонт'!AR260+'[2]поточний ремонт'!AR260-'[3]поточний ремонт'!AR260</f>
        <v>0</v>
      </c>
      <c r="AS260" s="5"/>
      <c r="AT260" s="43">
        <f>'[1]поточний ремонт'!AT260+'[2]поточний ремонт'!AT260-'[3]поточний ремонт'!AT260</f>
        <v>286.28114353368375</v>
      </c>
      <c r="AU260" s="43">
        <f>'[1]поточний ремонт'!AU260+'[2]поточний ремонт'!AU260-'[3]поточний ремонт'!AU260</f>
        <v>0</v>
      </c>
      <c r="AV260" s="5"/>
      <c r="AW260" s="43">
        <f>'[1]поточний ремонт'!AW260+'[2]поточний ремонт'!AW260-'[3]поточний ремонт'!AW260</f>
        <v>0</v>
      </c>
      <c r="AX260" s="43">
        <f>'[1]поточний ремонт'!AX260+'[2]поточний ремонт'!AX260-'[3]поточний ремонт'!AX260</f>
        <v>0</v>
      </c>
      <c r="AY260" s="5"/>
      <c r="AZ260" s="43">
        <f t="shared" si="26"/>
        <v>1381.7924902246057</v>
      </c>
      <c r="BA260" s="43">
        <f t="shared" si="27"/>
        <v>364</v>
      </c>
      <c r="BB260" s="59">
        <f t="shared" si="28"/>
        <v>-1017.7924902246057</v>
      </c>
      <c r="BD260" s="2">
        <v>2</v>
      </c>
      <c r="BF260" s="30">
        <v>4.1243304701813948</v>
      </c>
      <c r="BG260" s="328">
        <v>150000762</v>
      </c>
      <c r="BI260" s="107">
        <v>0</v>
      </c>
      <c r="BJ260" s="107">
        <f t="shared" si="29"/>
        <v>0</v>
      </c>
      <c r="BK260" s="107">
        <v>0</v>
      </c>
      <c r="BL260" s="39"/>
      <c r="BM260" s="3"/>
      <c r="BN260" s="3">
        <v>0</v>
      </c>
      <c r="BP260" s="3"/>
      <c r="BQ260" s="3"/>
      <c r="BS260" s="43"/>
      <c r="BT260" s="43">
        <v>0</v>
      </c>
      <c r="BU260" s="1037"/>
      <c r="BV260" s="42"/>
      <c r="BW260" s="43"/>
      <c r="BX260" s="37"/>
      <c r="BY260" s="78"/>
      <c r="BZ260" s="43">
        <v>0</v>
      </c>
      <c r="CA260" s="1038"/>
      <c r="CB260" s="42"/>
      <c r="CC260" s="42">
        <v>0</v>
      </c>
      <c r="CD260" s="1039"/>
      <c r="CE260" s="78">
        <v>0</v>
      </c>
      <c r="CF260" s="56"/>
      <c r="CG260" s="42">
        <v>0</v>
      </c>
      <c r="CH260" s="39">
        <v>0</v>
      </c>
      <c r="CI260" s="78">
        <v>0</v>
      </c>
      <c r="CJ260" s="56"/>
      <c r="CK260" s="1034"/>
      <c r="CL260" s="1029"/>
      <c r="CM260" s="1034"/>
      <c r="CN260" s="1029">
        <v>0</v>
      </c>
      <c r="CO260" s="78">
        <v>35.561314940189853</v>
      </c>
      <c r="CP260" s="43">
        <v>0</v>
      </c>
      <c r="CQ260" s="5"/>
      <c r="CR260" s="78">
        <v>45.83711198674623</v>
      </c>
      <c r="CS260" s="1033">
        <v>0</v>
      </c>
      <c r="CT260" s="5"/>
      <c r="CU260" s="78">
        <v>0</v>
      </c>
      <c r="CV260" s="43">
        <v>0</v>
      </c>
      <c r="CW260" s="5"/>
      <c r="CX260" s="78">
        <v>0</v>
      </c>
      <c r="CY260" s="43">
        <v>0</v>
      </c>
      <c r="CZ260" s="5"/>
      <c r="DA260" s="78">
        <v>9.8941852973074198</v>
      </c>
      <c r="DB260" s="43">
        <v>0</v>
      </c>
      <c r="DC260" s="5"/>
      <c r="DD260" s="78">
        <v>23.856761961140311</v>
      </c>
      <c r="DE260" s="43">
        <v>0</v>
      </c>
      <c r="DF260" s="5"/>
      <c r="DG260" s="78">
        <v>0</v>
      </c>
      <c r="DH260" s="43"/>
      <c r="DI260" s="5"/>
      <c r="DJ260" s="43">
        <v>115.14937418538381</v>
      </c>
      <c r="DK260" s="43">
        <f t="shared" si="30"/>
        <v>0</v>
      </c>
      <c r="DL260" s="59">
        <f t="shared" si="31"/>
        <v>-115.14937418538381</v>
      </c>
    </row>
    <row r="261" spans="1:116" ht="24.9" customHeight="1" x14ac:dyDescent="0.3">
      <c r="A261" s="328">
        <v>150000736</v>
      </c>
      <c r="B261" s="45" t="s">
        <v>1770</v>
      </c>
      <c r="C261" s="1035">
        <v>4</v>
      </c>
      <c r="D261" s="1036" t="s">
        <v>454</v>
      </c>
      <c r="E261" s="1028">
        <f>'побудинковий звіт'!E259</f>
        <v>2786.3999999999996</v>
      </c>
      <c r="F261" s="1029">
        <f>'побудинковий звіт'!AS259</f>
        <v>34615.977280484891</v>
      </c>
      <c r="G261" s="1029">
        <f t="shared" si="24"/>
        <v>29971</v>
      </c>
      <c r="H261" s="1029">
        <f t="shared" si="25"/>
        <v>-4644.9772804848908</v>
      </c>
      <c r="I261" s="43">
        <f>'[1]поточний ремонт'!I261+'[2]поточний ремонт'!I261-'[3]поточний ремонт'!I261</f>
        <v>0</v>
      </c>
      <c r="J261" s="43">
        <f>'[1]поточний ремонт'!J261+'[2]поточний ремонт'!J261-'[3]поточний ремонт'!J261</f>
        <v>0</v>
      </c>
      <c r="K261" s="1037"/>
      <c r="L261" s="43">
        <f>'[1]поточний ремонт'!L261+'[2]поточний ремонт'!L261-'[3]поточний ремонт'!L261</f>
        <v>0</v>
      </c>
      <c r="M261" s="43">
        <f>'[1]поточний ремонт'!M261+'[2]поточний ремонт'!M261-'[3]поточний ремонт'!M261</f>
        <v>0</v>
      </c>
      <c r="N261" s="1040"/>
      <c r="O261" s="43">
        <f>'[1]поточний ремонт'!O261+'[2]поточний ремонт'!O261-'[3]поточний ремонт'!O261</f>
        <v>0</v>
      </c>
      <c r="P261" s="43">
        <f>'[1]поточний ремонт'!P261+'[2]поточний ремонт'!P261-'[3]поточний ремонт'!P261</f>
        <v>0</v>
      </c>
      <c r="Q261" s="1038"/>
      <c r="R261" s="43">
        <f>'[1]поточний ремонт'!R261+'[2]поточний ремонт'!R261-'[3]поточний ремонт'!R261</f>
        <v>0</v>
      </c>
      <c r="S261" s="43">
        <f>'[1]поточний ремонт'!S261+'[2]поточний ремонт'!S261-'[3]поточний ремонт'!S261</f>
        <v>0</v>
      </c>
      <c r="T261" s="1039"/>
      <c r="U261" s="43">
        <f>'[1]поточний ремонт'!U261+'[2]поточний ремонт'!U261-'[3]поточний ремонт'!U261</f>
        <v>0</v>
      </c>
      <c r="V261" s="43">
        <f>'[1]поточний ремонт'!V261+'[2]поточний ремонт'!V261-'[3]поточний ремонт'!V261</f>
        <v>0</v>
      </c>
      <c r="W261" s="43">
        <f>'[1]поточний ремонт'!W261+'[2]поточний ремонт'!W261-'[3]поточний ремонт'!W261</f>
        <v>0</v>
      </c>
      <c r="X261" s="43">
        <f>'[1]поточний ремонт'!X261+'[2]поточний ремонт'!X261-'[3]поточний ремонт'!X261</f>
        <v>0</v>
      </c>
      <c r="Y261" s="43">
        <f>'[1]поточний ремонт'!Y261+'[2]поточний ремонт'!Y261-'[3]поточний ремонт'!Y261</f>
        <v>29284</v>
      </c>
      <c r="Z261" s="43">
        <f>'[1]поточний ремонт'!Z261+'[2]поточний ремонт'!Z261-'[3]поточний ремонт'!Z261</f>
        <v>0</v>
      </c>
      <c r="AA261" s="43">
        <f>'[1]поточний ремонт'!AA261+'[2]поточний ремонт'!AA261-'[3]поточний ремонт'!AA261</f>
        <v>0</v>
      </c>
      <c r="AB261" s="43">
        <f>'[1]поточний ремонт'!AB261+'[2]поточний ремонт'!AB261-'[3]поточний ремонт'!AB261</f>
        <v>0</v>
      </c>
      <c r="AC261" s="43">
        <f>'[1]поточний ремонт'!AC261+'[2]поточний ремонт'!AC261-'[3]поточний ремонт'!AC261</f>
        <v>0</v>
      </c>
      <c r="AD261" s="43">
        <f>'[1]поточний ремонт'!AD261+'[2]поточний ремонт'!AD261-'[3]поточний ремонт'!AD261</f>
        <v>687</v>
      </c>
      <c r="AE261" s="43">
        <f>'[1]поточний ремонт'!AE261+'[2]поточний ремонт'!AE261-'[3]поточний ремонт'!AE261</f>
        <v>1368.7608611583591</v>
      </c>
      <c r="AF261" s="43">
        <f>'[1]поточний ремонт'!AF261+'[2]поточний ремонт'!AF261-'[3]поточний ремонт'!AF261</f>
        <v>443</v>
      </c>
      <c r="AG261" s="5"/>
      <c r="AH261" s="43">
        <f>'[1]поточний ремонт'!AH261+'[2]поточний ремонт'!AH261-'[3]поточний ремонт'!AH261</f>
        <v>2358.2381722663035</v>
      </c>
      <c r="AI261" s="43">
        <f>'[1]поточний ремонт'!AI261+'[2]поточний ремонт'!AI261-'[3]поточний ремонт'!AI261</f>
        <v>0</v>
      </c>
      <c r="AJ261" s="5"/>
      <c r="AK261" s="43">
        <f>'[1]поточний ремонт'!AK261+'[2]поточний ремонт'!AK261-'[3]поточний ремонт'!AK261</f>
        <v>2206.9999042560471</v>
      </c>
      <c r="AL261" s="43">
        <f>'[1]поточний ремонт'!AL261+'[2]поточний ремонт'!AL261-'[3]поточний ремонт'!AL261</f>
        <v>1582</v>
      </c>
      <c r="AM261" s="5"/>
      <c r="AN261" s="43">
        <f>'[1]поточний ремонт'!AN261+'[2]поточний ремонт'!AN261-'[3]поточний ремонт'!AN261</f>
        <v>0</v>
      </c>
      <c r="AO261" s="43">
        <f>'[1]поточний ремонт'!AO261+'[2]поточний ремонт'!AO261-'[3]поточний ремонт'!AO261</f>
        <v>0</v>
      </c>
      <c r="AP261" s="5"/>
      <c r="AQ261" s="43">
        <f>'[1]поточний ремонт'!AQ261+'[2]поточний ремонт'!AQ261-'[3]поточний ремонт'!AQ261</f>
        <v>0</v>
      </c>
      <c r="AR261" s="43">
        <f>'[1]поточний ремонт'!AR261+'[2]поточний ремонт'!AR261-'[3]поточний ремонт'!AR261</f>
        <v>1067.3185707928915</v>
      </c>
      <c r="AS261" s="5"/>
      <c r="AT261" s="43">
        <f>'[1]поточний ремонт'!AT261+'[2]поточний ремонт'!AT261-'[3]поточний ремонт'!AT261</f>
        <v>954.67898494974111</v>
      </c>
      <c r="AU261" s="43">
        <f>'[1]поточний ремонт'!AU261+'[2]поточний ремонт'!AU261-'[3]поточний ремонт'!AU261</f>
        <v>0</v>
      </c>
      <c r="AV261" s="5"/>
      <c r="AW261" s="43">
        <f>'[1]поточний ремонт'!AW261+'[2]поточний ремонт'!AW261-'[3]поточний ремонт'!AW261</f>
        <v>0</v>
      </c>
      <c r="AX261" s="43">
        <f>'[1]поточний ремонт'!AX261+'[2]поточний ремонт'!AX261-'[3]поточний ремонт'!AX261</f>
        <v>0</v>
      </c>
      <c r="AY261" s="5"/>
      <c r="AZ261" s="43">
        <f t="shared" si="26"/>
        <v>6888.6779226304507</v>
      </c>
      <c r="BA261" s="43">
        <f t="shared" si="27"/>
        <v>3092.3185707928915</v>
      </c>
      <c r="BB261" s="59">
        <f t="shared" si="28"/>
        <v>-3796.3593518375592</v>
      </c>
      <c r="BD261" s="2">
        <v>2</v>
      </c>
      <c r="BF261" s="30">
        <v>4.1580694155249702</v>
      </c>
      <c r="BG261" s="328">
        <v>150000736</v>
      </c>
      <c r="BI261" s="107">
        <v>0</v>
      </c>
      <c r="BJ261" s="107">
        <f t="shared" si="29"/>
        <v>0</v>
      </c>
      <c r="BK261" s="107">
        <v>0</v>
      </c>
      <c r="BL261" s="39"/>
      <c r="BM261" s="3"/>
      <c r="BN261" s="3">
        <v>0</v>
      </c>
      <c r="BP261" s="3"/>
      <c r="BQ261" s="3"/>
      <c r="BS261" s="43"/>
      <c r="BT261" s="43">
        <v>0</v>
      </c>
      <c r="BU261" s="1037"/>
      <c r="BV261" s="42"/>
      <c r="BW261" s="43"/>
      <c r="BX261" s="1040"/>
      <c r="BY261" s="78"/>
      <c r="BZ261" s="43">
        <v>0</v>
      </c>
      <c r="CA261" s="1038"/>
      <c r="CB261" s="42"/>
      <c r="CC261" s="42">
        <v>0</v>
      </c>
      <c r="CD261" s="1039"/>
      <c r="CE261" s="78">
        <v>0</v>
      </c>
      <c r="CF261" s="56"/>
      <c r="CG261" s="42">
        <v>0</v>
      </c>
      <c r="CH261" s="39">
        <v>0</v>
      </c>
      <c r="CI261" s="78">
        <v>0</v>
      </c>
      <c r="CJ261" s="56"/>
      <c r="CK261" s="1034"/>
      <c r="CL261" s="1029"/>
      <c r="CM261" s="1034"/>
      <c r="CN261" s="1029">
        <v>0</v>
      </c>
      <c r="CO261" s="78">
        <v>114.06340509652992</v>
      </c>
      <c r="CP261" s="43">
        <v>0</v>
      </c>
      <c r="CQ261" s="5"/>
      <c r="CR261" s="78">
        <v>196.51984768885862</v>
      </c>
      <c r="CS261" s="1033">
        <v>0</v>
      </c>
      <c r="CT261" s="5"/>
      <c r="CU261" s="78">
        <v>183.91665868800388</v>
      </c>
      <c r="CV261" s="43">
        <v>0</v>
      </c>
      <c r="CW261" s="5"/>
      <c r="CX261" s="78">
        <v>0</v>
      </c>
      <c r="CY261" s="43">
        <v>0</v>
      </c>
      <c r="CZ261" s="5"/>
      <c r="DA261" s="78">
        <v>0</v>
      </c>
      <c r="DB261" s="43">
        <v>0</v>
      </c>
      <c r="DC261" s="5"/>
      <c r="DD261" s="78">
        <v>79.556582079145102</v>
      </c>
      <c r="DE261" s="43">
        <v>0</v>
      </c>
      <c r="DF261" s="5"/>
      <c r="DG261" s="78">
        <v>0</v>
      </c>
      <c r="DH261" s="43"/>
      <c r="DI261" s="5"/>
      <c r="DJ261" s="43">
        <v>574.05649355253752</v>
      </c>
      <c r="DK261" s="43">
        <f t="shared" si="30"/>
        <v>0</v>
      </c>
      <c r="DL261" s="59">
        <f t="shared" si="31"/>
        <v>-574.05649355253752</v>
      </c>
    </row>
    <row r="262" spans="1:116" ht="24.9" customHeight="1" x14ac:dyDescent="0.3">
      <c r="A262" s="328">
        <v>150000743</v>
      </c>
      <c r="B262" s="45" t="s">
        <v>1771</v>
      </c>
      <c r="C262" s="1035">
        <v>4</v>
      </c>
      <c r="D262" s="1036" t="s">
        <v>454</v>
      </c>
      <c r="E262" s="1028">
        <f>'побудинковий звіт'!E260</f>
        <v>4979.4000000000005</v>
      </c>
      <c r="F262" s="1029">
        <f>'побудинковий звіт'!AS260</f>
        <v>24562.675663462083</v>
      </c>
      <c r="G262" s="1029">
        <f t="shared" si="24"/>
        <v>264635.31193502864</v>
      </c>
      <c r="H262" s="1029">
        <f t="shared" si="25"/>
        <v>240072.63627156656</v>
      </c>
      <c r="I262" s="43">
        <f>'[1]поточний ремонт'!I262+'[2]поточний ремонт'!I262-'[3]поточний ремонт'!I262</f>
        <v>393.5</v>
      </c>
      <c r="J262" s="43">
        <f>'[1]поточний ремонт'!J262+'[2]поточний ремонт'!J262-'[3]поточний ремонт'!J262</f>
        <v>209157</v>
      </c>
      <c r="K262" s="1037"/>
      <c r="L262" s="43">
        <f>'[1]поточний ремонт'!L262+'[2]поточний ремонт'!L262-'[3]поточний ремонт'!L262</f>
        <v>1</v>
      </c>
      <c r="M262" s="43">
        <f>'[1]поточний ремонт'!M262+'[2]поточний ремонт'!M262-'[3]поточний ремонт'!M262</f>
        <v>52936</v>
      </c>
      <c r="N262" s="37"/>
      <c r="O262" s="43">
        <f>'[1]поточний ремонт'!O262+'[2]поточний ремонт'!O262-'[3]поточний ремонт'!O262</f>
        <v>0</v>
      </c>
      <c r="P262" s="43">
        <f>'[1]поточний ремонт'!P262+'[2]поточний ремонт'!P262-'[3]поточний ремонт'!P262</f>
        <v>0</v>
      </c>
      <c r="Q262" s="1038"/>
      <c r="R262" s="43">
        <f>'[1]поточний ремонт'!R262+'[2]поточний ремонт'!R262-'[3]поточний ремонт'!R262</f>
        <v>0</v>
      </c>
      <c r="S262" s="43">
        <f>'[1]поточний ремонт'!S262+'[2]поточний ремонт'!S262-'[3]поточний ремонт'!S262</f>
        <v>0</v>
      </c>
      <c r="T262" s="1039"/>
      <c r="U262" s="43">
        <f>'[1]поточний ремонт'!U262+'[2]поточний ремонт'!U262-'[3]поточний ремонт'!U262</f>
        <v>0</v>
      </c>
      <c r="V262" s="43">
        <f>'[1]поточний ремонт'!V262+'[2]поточний ремонт'!V262-'[3]поточний ремонт'!V262</f>
        <v>0</v>
      </c>
      <c r="W262" s="43">
        <f>'[1]поточний ремонт'!W262+'[2]поточний ремонт'!W262-'[3]поточний ремонт'!W262</f>
        <v>0</v>
      </c>
      <c r="X262" s="43">
        <f>'[1]поточний ремонт'!X262+'[2]поточний ремонт'!X262-'[3]поточний ремонт'!X262</f>
        <v>510.31193502863687</v>
      </c>
      <c r="Y262" s="43">
        <f>'[1]поточний ремонт'!Y262+'[2]поточний ремонт'!Y262-'[3]поточний ремонт'!Y262</f>
        <v>0</v>
      </c>
      <c r="Z262" s="43">
        <f>'[1]поточний ремонт'!Z262+'[2]поточний ремонт'!Z262-'[3]поточний ремонт'!Z262</f>
        <v>0</v>
      </c>
      <c r="AA262" s="43">
        <f>'[1]поточний ремонт'!AA262+'[2]поточний ремонт'!AA262-'[3]поточний ремонт'!AA262</f>
        <v>0</v>
      </c>
      <c r="AB262" s="43">
        <f>'[1]поточний ремонт'!AB262+'[2]поточний ремонт'!AB262-'[3]поточний ремонт'!AB262</f>
        <v>0</v>
      </c>
      <c r="AC262" s="43">
        <f>'[1]поточний ремонт'!AC262+'[2]поточний ремонт'!AC262-'[3]поточний ремонт'!AC262</f>
        <v>1495</v>
      </c>
      <c r="AD262" s="43">
        <f>'[1]поточний ремонт'!AD262+'[2]поточний ремонт'!AD262-'[3]поточний ремонт'!AD262</f>
        <v>537</v>
      </c>
      <c r="AE262" s="43">
        <f>'[1]поточний ремонт'!AE262+'[2]поточний ремонт'!AE262-'[3]поточний ремонт'!AE262</f>
        <v>1257.8367990749434</v>
      </c>
      <c r="AF262" s="43">
        <f>'[1]поточний ремонт'!AF262+'[2]поточний ремонт'!AF262-'[3]поточний ремонт'!AF262</f>
        <v>0</v>
      </c>
      <c r="AG262" s="5"/>
      <c r="AH262" s="43">
        <f>'[1]поточний ремонт'!AH262+'[2]поточний ремонт'!AH262-'[3]поточний ремонт'!AH262</f>
        <v>1764.832298202359</v>
      </c>
      <c r="AI262" s="43">
        <f>'[1]поточний ремонт'!AI262+'[2]поточний ремонт'!AI262-'[3]поточний ремонт'!AI262</f>
        <v>0</v>
      </c>
      <c r="AJ262" s="5"/>
      <c r="AK262" s="43">
        <f>'[1]поточний ремонт'!AK262+'[2]поточний ремонт'!AK262-'[3]поточний ремонт'!AK262</f>
        <v>1290.6919343424536</v>
      </c>
      <c r="AL262" s="43">
        <f>'[1]поточний ремонт'!AL262+'[2]поточний ремонт'!AL262-'[3]поточний ремонт'!AL262</f>
        <v>0</v>
      </c>
      <c r="AM262" s="5"/>
      <c r="AN262" s="43">
        <f>'[1]поточний ремонт'!AN262+'[2]поточний ремонт'!AN262-'[3]поточний ремонт'!AN262</f>
        <v>0</v>
      </c>
      <c r="AO262" s="43">
        <f>'[1]поточний ремонт'!AO262+'[2]поточний ремонт'!AO262-'[3]поточний ремонт'!AO262</f>
        <v>0</v>
      </c>
      <c r="AP262" s="5"/>
      <c r="AQ262" s="43">
        <f>'[1]поточний ремонт'!AQ262+'[2]поточний ремонт'!AQ262-'[3]поточний ремонт'!AQ262</f>
        <v>0</v>
      </c>
      <c r="AR262" s="43">
        <f>'[1]поточний ремонт'!AR262+'[2]поточний ремонт'!AR262-'[3]поточний ремонт'!AR262</f>
        <v>0</v>
      </c>
      <c r="AS262" s="5"/>
      <c r="AT262" s="43">
        <f>'[1]поточний ремонт'!AT262+'[2]поточний ремонт'!AT262-'[3]поточний ремонт'!AT262</f>
        <v>619.15263517957965</v>
      </c>
      <c r="AU262" s="43">
        <f>'[1]поточний ремонт'!AU262+'[2]поточний ремонт'!AU262-'[3]поточний ремонт'!AU262</f>
        <v>0</v>
      </c>
      <c r="AV262" s="5"/>
      <c r="AW262" s="43">
        <f>'[1]поточний ремонт'!AW262+'[2]поточний ремонт'!AW262-'[3]поточний ремонт'!AW262</f>
        <v>0</v>
      </c>
      <c r="AX262" s="43">
        <f>'[1]поточний ремонт'!AX262+'[2]поточний ремонт'!AX262-'[3]поточний ремонт'!AX262</f>
        <v>0</v>
      </c>
      <c r="AY262" s="5"/>
      <c r="AZ262" s="43">
        <f t="shared" si="26"/>
        <v>4932.5136667993356</v>
      </c>
      <c r="BA262" s="43">
        <f t="shared" si="27"/>
        <v>0</v>
      </c>
      <c r="BB262" s="59">
        <f t="shared" si="28"/>
        <v>-4932.5136667993356</v>
      </c>
      <c r="BD262" s="2">
        <v>2</v>
      </c>
      <c r="BF262" s="30">
        <v>3.3544690809779762</v>
      </c>
      <c r="BG262" s="328">
        <v>150000743</v>
      </c>
      <c r="BI262" s="107">
        <v>38.08</v>
      </c>
      <c r="BJ262" s="107">
        <f t="shared" si="29"/>
        <v>5.3564165759999991</v>
      </c>
      <c r="BK262" s="107">
        <v>43.917123111679999</v>
      </c>
      <c r="BL262" s="39"/>
      <c r="BM262" s="3"/>
      <c r="BN262" s="3">
        <v>0</v>
      </c>
      <c r="BP262" s="3"/>
      <c r="BQ262" s="3"/>
      <c r="BS262" s="43"/>
      <c r="BT262" s="43">
        <v>0</v>
      </c>
      <c r="BU262" s="1037"/>
      <c r="BV262" s="42"/>
      <c r="BW262" s="43"/>
      <c r="BX262" s="37"/>
      <c r="BY262" s="78"/>
      <c r="BZ262" s="43">
        <v>0</v>
      </c>
      <c r="CA262" s="1038"/>
      <c r="CB262" s="42"/>
      <c r="CC262" s="42">
        <v>0</v>
      </c>
      <c r="CD262" s="1039"/>
      <c r="CE262" s="78">
        <v>0</v>
      </c>
      <c r="CF262" s="56"/>
      <c r="CG262" s="42">
        <v>0</v>
      </c>
      <c r="CH262" s="39">
        <v>43.917123111679999</v>
      </c>
      <c r="CI262" s="78">
        <v>0</v>
      </c>
      <c r="CJ262" s="56"/>
      <c r="CK262" s="1034"/>
      <c r="CL262" s="1029"/>
      <c r="CM262" s="1034"/>
      <c r="CN262" s="1029">
        <v>0</v>
      </c>
      <c r="CO262" s="78">
        <v>104.81973325624529</v>
      </c>
      <c r="CP262" s="43">
        <v>0</v>
      </c>
      <c r="CQ262" s="5"/>
      <c r="CR262" s="78">
        <v>147.06935818352997</v>
      </c>
      <c r="CS262" s="1033">
        <v>0</v>
      </c>
      <c r="CT262" s="5"/>
      <c r="CU262" s="78">
        <v>107.55766119520447</v>
      </c>
      <c r="CV262" s="43">
        <v>0</v>
      </c>
      <c r="CW262" s="5"/>
      <c r="CX262" s="78">
        <v>0</v>
      </c>
      <c r="CY262" s="43">
        <v>0</v>
      </c>
      <c r="CZ262" s="5"/>
      <c r="DA262" s="78">
        <v>0</v>
      </c>
      <c r="DB262" s="43">
        <v>0</v>
      </c>
      <c r="DC262" s="5"/>
      <c r="DD262" s="78">
        <v>51.59605293163164</v>
      </c>
      <c r="DE262" s="43">
        <v>0</v>
      </c>
      <c r="DF262" s="5"/>
      <c r="DG262" s="78">
        <v>0</v>
      </c>
      <c r="DH262" s="43"/>
      <c r="DI262" s="5"/>
      <c r="DJ262" s="43">
        <v>411.04280556661132</v>
      </c>
      <c r="DK262" s="43">
        <f t="shared" si="30"/>
        <v>0</v>
      </c>
      <c r="DL262" s="59">
        <f t="shared" si="31"/>
        <v>-411.04280556661132</v>
      </c>
    </row>
    <row r="263" spans="1:116" ht="24.9" customHeight="1" x14ac:dyDescent="0.3">
      <c r="A263" s="328">
        <v>150000737</v>
      </c>
      <c r="B263" s="45" t="s">
        <v>1772</v>
      </c>
      <c r="C263" s="1035">
        <v>4</v>
      </c>
      <c r="D263" s="1036" t="s">
        <v>454</v>
      </c>
      <c r="E263" s="1028">
        <f>'побудинковий звіт'!E261</f>
        <v>3871.3</v>
      </c>
      <c r="F263" s="1029">
        <f>'побудинковий звіт'!AS261</f>
        <v>38857.356723759396</v>
      </c>
      <c r="G263" s="1029">
        <f t="shared" si="24"/>
        <v>112223</v>
      </c>
      <c r="H263" s="1029">
        <f t="shared" si="25"/>
        <v>73365.643276240604</v>
      </c>
      <c r="I263" s="43">
        <f>'[1]поточний ремонт'!I263+'[2]поточний ремонт'!I263-'[3]поточний ремонт'!I263</f>
        <v>0</v>
      </c>
      <c r="J263" s="43">
        <f>'[1]поточний ремонт'!J263+'[2]поточний ремонт'!J263-'[3]поточний ремонт'!J263</f>
        <v>0</v>
      </c>
      <c r="K263" s="1041"/>
      <c r="L263" s="43">
        <f>'[1]поточний ремонт'!L263+'[2]поточний ремонт'!L263-'[3]поточний ремонт'!L263</f>
        <v>2</v>
      </c>
      <c r="M263" s="43">
        <f>'[1]поточний ремонт'!M263+'[2]поточний ремонт'!M263-'[3]поточний ремонт'!M263</f>
        <v>108143</v>
      </c>
      <c r="N263" s="1040"/>
      <c r="O263" s="43">
        <f>'[1]поточний ремонт'!O263+'[2]поточний ремонт'!O263-'[3]поточний ремонт'!O263</f>
        <v>0</v>
      </c>
      <c r="P263" s="43">
        <f>'[1]поточний ремонт'!P263+'[2]поточний ремонт'!P263-'[3]поточний ремонт'!P263</f>
        <v>0</v>
      </c>
      <c r="Q263" s="1038"/>
      <c r="R263" s="43">
        <f>'[1]поточний ремонт'!R263+'[2]поточний ремонт'!R263-'[3]поточний ремонт'!R263</f>
        <v>0</v>
      </c>
      <c r="S263" s="43">
        <f>'[1]поточний ремонт'!S263+'[2]поточний ремонт'!S263-'[3]поточний ремонт'!S263</f>
        <v>0</v>
      </c>
      <c r="T263" s="1039"/>
      <c r="U263" s="43">
        <f>'[1]поточний ремонт'!U263+'[2]поточний ремонт'!U263-'[3]поточний ремонт'!U263</f>
        <v>0</v>
      </c>
      <c r="V263" s="43">
        <f>'[1]поточний ремонт'!V263+'[2]поточний ремонт'!V263-'[3]поточний ремонт'!V263</f>
        <v>0</v>
      </c>
      <c r="W263" s="43">
        <f>'[1]поточний ремонт'!W263+'[2]поточний ремонт'!W263-'[3]поточний ремонт'!W263</f>
        <v>0</v>
      </c>
      <c r="X263" s="43">
        <f>'[1]поточний ремонт'!X263+'[2]поточний ремонт'!X263-'[3]поточний ремонт'!X263</f>
        <v>0</v>
      </c>
      <c r="Y263" s="43">
        <f>'[1]поточний ремонт'!Y263+'[2]поточний ремонт'!Y263-'[3]поточний ремонт'!Y263</f>
        <v>0</v>
      </c>
      <c r="Z263" s="43">
        <f>'[1]поточний ремонт'!Z263+'[2]поточний ремонт'!Z263-'[3]поточний ремонт'!Z263</f>
        <v>0</v>
      </c>
      <c r="AA263" s="43">
        <f>'[1]поточний ремонт'!AA263+'[2]поточний ремонт'!AA263-'[3]поточний ремонт'!AA263</f>
        <v>0</v>
      </c>
      <c r="AB263" s="43">
        <f>'[1]поточний ремонт'!AB263+'[2]поточний ремонт'!AB263-'[3]поточний ремонт'!AB263</f>
        <v>1764</v>
      </c>
      <c r="AC263" s="43">
        <f>'[1]поточний ремонт'!AC263+'[2]поточний ремонт'!AC263-'[3]поточний ремонт'!AC263</f>
        <v>851</v>
      </c>
      <c r="AD263" s="43">
        <f>'[1]поточний ремонт'!AD263+'[2]поточний ремонт'!AD263-'[3]поточний ремонт'!AD263</f>
        <v>1465</v>
      </c>
      <c r="AE263" s="43">
        <f>'[1]поточний ремонт'!AE263+'[2]поточний ремонт'!AE263-'[3]поточний ремонт'!AE263</f>
        <v>1630.989410215941</v>
      </c>
      <c r="AF263" s="43">
        <f>'[1]поточний ремонт'!AF263+'[2]поточний ремонт'!AF263-'[3]поточний ремонт'!AF263</f>
        <v>0</v>
      </c>
      <c r="AG263" s="5"/>
      <c r="AH263" s="43">
        <f>'[1]поточний ремонт'!AH263+'[2]поточний ремонт'!AH263-'[3]поточний ремонт'!AH263</f>
        <v>2337.261412497548</v>
      </c>
      <c r="AI263" s="43">
        <f>'[1]поточний ремонт'!AI263+'[2]поточний ремонт'!AI263-'[3]поточний ремонт'!AI263</f>
        <v>0</v>
      </c>
      <c r="AJ263" s="5"/>
      <c r="AK263" s="43">
        <f>'[1]поточний ремонт'!AK263+'[2]поточний ремонт'!AK263-'[3]поточний ремонт'!AK263</f>
        <v>1437.852631880578</v>
      </c>
      <c r="AL263" s="43">
        <f>'[1]поточний ремонт'!AL263+'[2]поточний ремонт'!AL263-'[3]поточний ремонт'!AL263</f>
        <v>2937</v>
      </c>
      <c r="AM263" s="5"/>
      <c r="AN263" s="43">
        <f>'[1]поточний ремонт'!AN263+'[2]поточний ремонт'!AN263-'[3]поточний ремонт'!AN263</f>
        <v>0</v>
      </c>
      <c r="AO263" s="43">
        <f>'[1]поточний ремонт'!AO263+'[2]поточний ремонт'!AO263-'[3]поточний ремонт'!AO263</f>
        <v>0</v>
      </c>
      <c r="AP263" s="5"/>
      <c r="AQ263" s="43">
        <f>'[1]поточний ремонт'!AQ263+'[2]поточний ремонт'!AQ263-'[3]поточний ремонт'!AQ263</f>
        <v>0</v>
      </c>
      <c r="AR263" s="43">
        <f>'[1]поточний ремонт'!AR263+'[2]поточний ремонт'!AR263-'[3]поточний ремонт'!AR263</f>
        <v>1059.0296082014213</v>
      </c>
      <c r="AS263" s="5"/>
      <c r="AT263" s="43">
        <f>'[1]поточний ремонт'!AT263+'[2]поточний ремонт'!AT263-'[3]поточний ремонт'!AT263</f>
        <v>933.73207326345789</v>
      </c>
      <c r="AU263" s="43">
        <f>'[1]поточний ремонт'!AU263+'[2]поточний ремонт'!AU263-'[3]поточний ремонт'!AU263</f>
        <v>0</v>
      </c>
      <c r="AV263" s="5"/>
      <c r="AW263" s="43">
        <f>'[1]поточний ремонт'!AW263+'[2]поточний ремонт'!AW263-'[3]поточний ремонт'!AW263</f>
        <v>0</v>
      </c>
      <c r="AX263" s="43">
        <f>'[1]поточний ремонт'!AX263+'[2]поточний ремонт'!AX263-'[3]поточний ремонт'!AX263</f>
        <v>0</v>
      </c>
      <c r="AY263" s="5"/>
      <c r="AZ263" s="43">
        <f t="shared" si="26"/>
        <v>6339.8355278575254</v>
      </c>
      <c r="BA263" s="43">
        <f t="shared" si="27"/>
        <v>3996.0296082014211</v>
      </c>
      <c r="BB263" s="59">
        <f t="shared" si="28"/>
        <v>-2343.8059196561044</v>
      </c>
      <c r="BD263" s="2">
        <v>2</v>
      </c>
      <c r="BF263" s="30">
        <v>3.7596285371817859</v>
      </c>
      <c r="BG263" s="328">
        <v>150000737</v>
      </c>
      <c r="BI263" s="107">
        <v>0</v>
      </c>
      <c r="BJ263" s="107">
        <f t="shared" si="29"/>
        <v>0</v>
      </c>
      <c r="BK263" s="107">
        <v>0</v>
      </c>
      <c r="BL263" s="39"/>
      <c r="BM263" s="3"/>
      <c r="BN263" s="3">
        <v>0</v>
      </c>
      <c r="BP263" s="3"/>
      <c r="BQ263" s="3"/>
      <c r="BS263" s="43"/>
      <c r="BT263" s="43">
        <v>0</v>
      </c>
      <c r="BU263" s="1041"/>
      <c r="BV263" s="42"/>
      <c r="BW263" s="43"/>
      <c r="BX263" s="1040"/>
      <c r="BY263" s="78"/>
      <c r="BZ263" s="43">
        <v>0</v>
      </c>
      <c r="CA263" s="1038"/>
      <c r="CB263" s="42"/>
      <c r="CC263" s="42">
        <v>0</v>
      </c>
      <c r="CD263" s="1039"/>
      <c r="CE263" s="78">
        <v>0</v>
      </c>
      <c r="CF263" s="56"/>
      <c r="CG263" s="42">
        <v>0</v>
      </c>
      <c r="CH263" s="39">
        <v>0</v>
      </c>
      <c r="CI263" s="78">
        <v>0</v>
      </c>
      <c r="CJ263" s="56"/>
      <c r="CK263" s="1034"/>
      <c r="CL263" s="1029"/>
      <c r="CM263" s="1034"/>
      <c r="CN263" s="1029">
        <v>0</v>
      </c>
      <c r="CO263" s="78">
        <v>135.91578418466173</v>
      </c>
      <c r="CP263" s="43">
        <v>0</v>
      </c>
      <c r="CQ263" s="5"/>
      <c r="CR263" s="78">
        <v>194.77178437479566</v>
      </c>
      <c r="CS263" s="1033">
        <v>0</v>
      </c>
      <c r="CT263" s="5"/>
      <c r="CU263" s="78">
        <v>119.82105265671484</v>
      </c>
      <c r="CV263" s="43">
        <v>0</v>
      </c>
      <c r="CW263" s="5"/>
      <c r="CX263" s="78">
        <v>0</v>
      </c>
      <c r="CY263" s="43">
        <v>0</v>
      </c>
      <c r="CZ263" s="5"/>
      <c r="DA263" s="78">
        <v>0</v>
      </c>
      <c r="DB263" s="43">
        <v>0</v>
      </c>
      <c r="DC263" s="5"/>
      <c r="DD263" s="78">
        <v>77.811006105288172</v>
      </c>
      <c r="DE263" s="43">
        <v>0</v>
      </c>
      <c r="DF263" s="5"/>
      <c r="DG263" s="78">
        <v>0</v>
      </c>
      <c r="DH263" s="43"/>
      <c r="DI263" s="5"/>
      <c r="DJ263" s="43">
        <v>528.31962732146042</v>
      </c>
      <c r="DK263" s="43">
        <f t="shared" si="30"/>
        <v>0</v>
      </c>
      <c r="DL263" s="59">
        <f t="shared" si="31"/>
        <v>-528.31962732146042</v>
      </c>
    </row>
    <row r="264" spans="1:116" ht="24.9" customHeight="1" x14ac:dyDescent="0.3">
      <c r="A264" s="328">
        <v>150000738</v>
      </c>
      <c r="B264" s="45" t="s">
        <v>1773</v>
      </c>
      <c r="C264" s="1035">
        <v>5</v>
      </c>
      <c r="D264" s="1036" t="s">
        <v>454</v>
      </c>
      <c r="E264" s="1028">
        <f>'побудинковий звіт'!E262</f>
        <v>275.8</v>
      </c>
      <c r="F264" s="1029">
        <f>'побудинковий звіт'!AS262</f>
        <v>57374.439324629508</v>
      </c>
      <c r="G264" s="1029">
        <f t="shared" si="24"/>
        <v>39784</v>
      </c>
      <c r="H264" s="1029">
        <f t="shared" si="25"/>
        <v>-17590.439324629508</v>
      </c>
      <c r="I264" s="43">
        <f>'[1]поточний ремонт'!I264+'[2]поточний ремонт'!I264-'[3]поточний ремонт'!I264</f>
        <v>65.900000000000006</v>
      </c>
      <c r="J264" s="43">
        <f>'[1]поточний ремонт'!J264+'[2]поточний ремонт'!J264-'[3]поточний ремонт'!J264</f>
        <v>15691</v>
      </c>
      <c r="K264" s="1037"/>
      <c r="L264" s="43">
        <f>'[1]поточний ремонт'!L264+'[2]поточний ремонт'!L264-'[3]поточний ремонт'!L264</f>
        <v>0</v>
      </c>
      <c r="M264" s="43">
        <f>'[1]поточний ремонт'!M264+'[2]поточний ремонт'!M264-'[3]поточний ремонт'!M264</f>
        <v>0</v>
      </c>
      <c r="N264" s="1040"/>
      <c r="O264" s="43">
        <f>'[1]поточний ремонт'!O264+'[2]поточний ремонт'!O264-'[3]поточний ремонт'!O264</f>
        <v>0</v>
      </c>
      <c r="P264" s="43">
        <f>'[1]поточний ремонт'!P264+'[2]поточний ремонт'!P264-'[3]поточний ремонт'!P264</f>
        <v>0</v>
      </c>
      <c r="Q264" s="1038"/>
      <c r="R264" s="43">
        <f>'[1]поточний ремонт'!R264+'[2]поточний ремонт'!R264-'[3]поточний ремонт'!R264</f>
        <v>0</v>
      </c>
      <c r="S264" s="43">
        <f>'[1]поточний ремонт'!S264+'[2]поточний ремонт'!S264-'[3]поточний ремонт'!S264</f>
        <v>0</v>
      </c>
      <c r="T264" s="1039"/>
      <c r="U264" s="43">
        <f>'[1]поточний ремонт'!U264+'[2]поточний ремонт'!U264-'[3]поточний ремонт'!U264</f>
        <v>0</v>
      </c>
      <c r="V264" s="43">
        <f>'[1]поточний ремонт'!V264+'[2]поточний ремонт'!V264-'[3]поточний ремонт'!V264</f>
        <v>0</v>
      </c>
      <c r="W264" s="43">
        <f>'[1]поточний ремонт'!W264+'[2]поточний ремонт'!W264-'[3]поточний ремонт'!W264</f>
        <v>10.5</v>
      </c>
      <c r="X264" s="43">
        <f>'[1]поточний ремонт'!X264+'[2]поточний ремонт'!X264-'[3]поточний ремонт'!X264</f>
        <v>7060</v>
      </c>
      <c r="Y264" s="43">
        <f>'[1]поточний ремонт'!Y264+'[2]поточний ремонт'!Y264-'[3]поточний ремонт'!Y264</f>
        <v>733</v>
      </c>
      <c r="Z264" s="43">
        <f>'[1]поточний ремонт'!Z264+'[2]поточний ремонт'!Z264-'[3]поточний ремонт'!Z264</f>
        <v>0</v>
      </c>
      <c r="AA264" s="43">
        <f>'[1]поточний ремонт'!AA264+'[2]поточний ремонт'!AA264-'[3]поточний ремонт'!AA264</f>
        <v>0</v>
      </c>
      <c r="AB264" s="43">
        <f>'[1]поточний ремонт'!AB264+'[2]поточний ремонт'!AB264-'[3]поточний ремонт'!AB264</f>
        <v>12015</v>
      </c>
      <c r="AC264" s="43">
        <f>'[1]поточний ремонт'!AC264+'[2]поточний ремонт'!AC264-'[3]поточний ремонт'!AC264</f>
        <v>2842</v>
      </c>
      <c r="AD264" s="43">
        <f>'[1]поточний ремонт'!AD264+'[2]поточний ремонт'!AD264-'[3]поточний ремонт'!AD264</f>
        <v>1443</v>
      </c>
      <c r="AE264" s="43">
        <f>'[1]поточний ремонт'!AE264+'[2]поточний ремонт'!AE264-'[3]поточний ремонт'!AE264</f>
        <v>1941.2189983180372</v>
      </c>
      <c r="AF264" s="43">
        <f>'[1]поточний ремонт'!AF264+'[2]поточний ремонт'!AF264-'[3]поточний ремонт'!AF264</f>
        <v>682</v>
      </c>
      <c r="AG264" s="5"/>
      <c r="AH264" s="43">
        <f>'[1]поточний ремонт'!AH264+'[2]поточний ремонт'!AH264-'[3]поточний ремонт'!AH264</f>
        <v>2670.2650752543364</v>
      </c>
      <c r="AI264" s="43">
        <f>'[1]поточний ремонт'!AI264+'[2]поточний ремонт'!AI264-'[3]поточний ремонт'!AI264</f>
        <v>0</v>
      </c>
      <c r="AJ264" s="5"/>
      <c r="AK264" s="43">
        <f>'[1]поточний ремонт'!AK264+'[2]поточний ремонт'!AK264-'[3]поточний ремонт'!AK264</f>
        <v>2675.2102145267922</v>
      </c>
      <c r="AL264" s="43">
        <f>'[1]поточний ремонт'!AL264+'[2]поточний ремонт'!AL264-'[3]поточний ремонт'!AL264</f>
        <v>0</v>
      </c>
      <c r="AM264" s="5"/>
      <c r="AN264" s="43">
        <f>'[1]поточний ремонт'!AN264+'[2]поточний ремонт'!AN264-'[3]поточний ремонт'!AN264</f>
        <v>0</v>
      </c>
      <c r="AO264" s="43">
        <f>'[1]поточний ремонт'!AO264+'[2]поточний ремонт'!AO264-'[3]поточний ремонт'!AO264</f>
        <v>0</v>
      </c>
      <c r="AP264" s="5"/>
      <c r="AQ264" s="43">
        <f>'[1]поточний ремонт'!AQ264+'[2]поточний ремонт'!AQ264-'[3]поточний ремонт'!AQ264</f>
        <v>0</v>
      </c>
      <c r="AR264" s="43">
        <f>'[1]поточний ремонт'!AR264+'[2]поточний ремонт'!AR264-'[3]поточний ремонт'!AR264</f>
        <v>556</v>
      </c>
      <c r="AS264" s="5"/>
      <c r="AT264" s="43">
        <f>'[1]поточний ремонт'!AT264+'[2]поточний ремонт'!AT264-'[3]поточний ремонт'!AT264</f>
        <v>1077.4931120872545</v>
      </c>
      <c r="AU264" s="43">
        <f>'[1]поточний ремонт'!AU264+'[2]поточний ремонт'!AU264-'[3]поточний ремонт'!AU264</f>
        <v>0</v>
      </c>
      <c r="AV264" s="1057"/>
      <c r="AW264" s="43">
        <f>'[1]поточний ремонт'!AW264+'[2]поточний ремонт'!AW264-'[3]поточний ремонт'!AW264</f>
        <v>0</v>
      </c>
      <c r="AX264" s="43">
        <f>'[1]поточний ремонт'!AX264+'[2]поточний ремонт'!AX264-'[3]поточний ремонт'!AX264</f>
        <v>0</v>
      </c>
      <c r="AY264" s="5"/>
      <c r="AZ264" s="43">
        <f t="shared" si="26"/>
        <v>8364.1874001864217</v>
      </c>
      <c r="BA264" s="43">
        <f t="shared" si="27"/>
        <v>1238</v>
      </c>
      <c r="BB264" s="59">
        <f t="shared" si="28"/>
        <v>-7126.1874001864217</v>
      </c>
      <c r="BD264" s="2">
        <v>2</v>
      </c>
      <c r="BF264" s="30">
        <v>5.2114255792386972</v>
      </c>
      <c r="BG264" s="328">
        <v>150000738</v>
      </c>
      <c r="BI264" s="107">
        <v>0</v>
      </c>
      <c r="BJ264" s="107">
        <f t="shared" si="29"/>
        <v>0</v>
      </c>
      <c r="BK264" s="107">
        <v>0</v>
      </c>
      <c r="BL264" s="39"/>
      <c r="BM264" s="3"/>
      <c r="BN264" s="3">
        <v>0</v>
      </c>
      <c r="BP264" s="3"/>
      <c r="BQ264" s="3"/>
      <c r="BS264" s="43">
        <v>4</v>
      </c>
      <c r="BT264" s="43">
        <v>2220.4152754363795</v>
      </c>
      <c r="BU264" s="1037"/>
      <c r="BV264" s="42"/>
      <c r="BW264" s="43"/>
      <c r="BX264" s="1040"/>
      <c r="BY264" s="78"/>
      <c r="BZ264" s="43">
        <v>0</v>
      </c>
      <c r="CA264" s="1038"/>
      <c r="CB264" s="42"/>
      <c r="CC264" s="42">
        <v>0</v>
      </c>
      <c r="CD264" s="1039"/>
      <c r="CE264" s="78">
        <v>0</v>
      </c>
      <c r="CF264" s="56"/>
      <c r="CG264" s="42">
        <v>0</v>
      </c>
      <c r="CH264" s="39">
        <v>0</v>
      </c>
      <c r="CI264" s="78">
        <v>0</v>
      </c>
      <c r="CJ264" s="56"/>
      <c r="CK264" s="1034"/>
      <c r="CL264" s="1029"/>
      <c r="CM264" s="1034">
        <v>254</v>
      </c>
      <c r="CN264" s="1029">
        <v>0</v>
      </c>
      <c r="CO264" s="78">
        <v>161.7682498598364</v>
      </c>
      <c r="CP264" s="43">
        <v>0</v>
      </c>
      <c r="CQ264" s="5"/>
      <c r="CR264" s="78">
        <v>222.52208960452802</v>
      </c>
      <c r="CS264" s="1033">
        <v>0</v>
      </c>
      <c r="CT264" s="5"/>
      <c r="CU264" s="78">
        <v>222.93418454389931</v>
      </c>
      <c r="CV264" s="43">
        <v>0</v>
      </c>
      <c r="CW264" s="5"/>
      <c r="CX264" s="78">
        <v>0</v>
      </c>
      <c r="CY264" s="43">
        <v>0</v>
      </c>
      <c r="CZ264" s="5"/>
      <c r="DA264" s="78">
        <v>0</v>
      </c>
      <c r="DB264" s="43">
        <v>0</v>
      </c>
      <c r="DC264" s="5"/>
      <c r="DD264" s="78">
        <v>89.791092673937868</v>
      </c>
      <c r="DE264" s="43">
        <v>0</v>
      </c>
      <c r="DF264" s="1057"/>
      <c r="DG264" s="78">
        <v>0</v>
      </c>
      <c r="DH264" s="43"/>
      <c r="DI264" s="5"/>
      <c r="DJ264" s="43">
        <v>697.01561668220165</v>
      </c>
      <c r="DK264" s="43">
        <f t="shared" si="30"/>
        <v>0</v>
      </c>
      <c r="DL264" s="59">
        <f t="shared" si="31"/>
        <v>-697.01561668220165</v>
      </c>
    </row>
    <row r="265" spans="1:116" ht="24.9" customHeight="1" x14ac:dyDescent="0.3">
      <c r="A265" s="328">
        <v>150000739</v>
      </c>
      <c r="B265" s="45" t="s">
        <v>1774</v>
      </c>
      <c r="C265" s="1035">
        <v>4</v>
      </c>
      <c r="D265" s="1036" t="s">
        <v>454</v>
      </c>
      <c r="E265" s="1028">
        <f>'побудинковий звіт'!E263</f>
        <v>478.1</v>
      </c>
      <c r="F265" s="1029">
        <f>'побудинковий звіт'!AS263</f>
        <v>45062.901893964838</v>
      </c>
      <c r="G265" s="1029">
        <f t="shared" si="24"/>
        <v>278586.57966667548</v>
      </c>
      <c r="H265" s="1029">
        <f t="shared" si="25"/>
        <v>233523.67777271062</v>
      </c>
      <c r="I265" s="43">
        <f>'[1]поточний ремонт'!I265+'[2]поточний ремонт'!I265-'[3]поточний ремонт'!I265</f>
        <v>502.05</v>
      </c>
      <c r="J265" s="43">
        <f>'[1]поточний ремонт'!J265+'[2]поточний ремонт'!J265-'[3]поточний ремонт'!J265</f>
        <v>272283</v>
      </c>
      <c r="K265" s="1037"/>
      <c r="L265" s="43">
        <f>'[1]поточний ремонт'!L265+'[2]поточний ремонт'!L265-'[3]поточний ремонт'!L265</f>
        <v>0</v>
      </c>
      <c r="M265" s="43">
        <f>'[1]поточний ремонт'!M265+'[2]поточний ремонт'!M265-'[3]поточний ремонт'!M265</f>
        <v>0</v>
      </c>
      <c r="N265" s="37"/>
      <c r="O265" s="43">
        <f>'[1]поточний ремонт'!O265+'[2]поточний ремонт'!O265-'[3]поточний ремонт'!O265</f>
        <v>0</v>
      </c>
      <c r="P265" s="43">
        <f>'[1]поточний ремонт'!P265+'[2]поточний ремонт'!P265-'[3]поточний ремонт'!P265</f>
        <v>0</v>
      </c>
      <c r="Q265" s="1038"/>
      <c r="R265" s="43">
        <f>'[1]поточний ремонт'!R265+'[2]поточний ремонт'!R265-'[3]поточний ремонт'!R265</f>
        <v>0</v>
      </c>
      <c r="S265" s="43">
        <f>'[1]поточний ремонт'!S265+'[2]поточний ремонт'!S265-'[3]поточний ремонт'!S265</f>
        <v>0</v>
      </c>
      <c r="T265" s="1039"/>
      <c r="U265" s="43">
        <f>'[1]поточний ремонт'!U265+'[2]поточний ремонт'!U265-'[3]поточний ремонт'!U265</f>
        <v>0</v>
      </c>
      <c r="V265" s="43">
        <f>'[1]поточний ремонт'!V265+'[2]поточний ремонт'!V265-'[3]поточний ремонт'!V265</f>
        <v>0</v>
      </c>
      <c r="W265" s="43">
        <f>'[1]поточний ремонт'!W265+'[2]поточний ремонт'!W265-'[3]поточний ремонт'!W265</f>
        <v>9.1999999999999993</v>
      </c>
      <c r="X265" s="43">
        <f>'[1]поточний ремонт'!X265+'[2]поточний ремонт'!X265-'[3]поточний ремонт'!X265</f>
        <v>3510.5796666754986</v>
      </c>
      <c r="Y265" s="43">
        <f>'[1]поточний ремонт'!Y265+'[2]поточний ремонт'!Y265-'[3]поточний ремонт'!Y265</f>
        <v>907</v>
      </c>
      <c r="Z265" s="43">
        <f>'[1]поточний ремонт'!Z265+'[2]поточний ремонт'!Z265-'[3]поточний ремонт'!Z265</f>
        <v>0</v>
      </c>
      <c r="AA265" s="43">
        <f>'[1]поточний ремонт'!AA265+'[2]поточний ремонт'!AA265-'[3]поточний ремонт'!AA265</f>
        <v>0</v>
      </c>
      <c r="AB265" s="43">
        <f>'[1]поточний ремонт'!AB265+'[2]поточний ремонт'!AB265-'[3]поточний ремонт'!AB265</f>
        <v>0</v>
      </c>
      <c r="AC265" s="43">
        <f>'[1]поточний ремонт'!AC265+'[2]поточний ремонт'!AC265-'[3]поточний ремонт'!AC265</f>
        <v>1128</v>
      </c>
      <c r="AD265" s="43">
        <f>'[1]поточний ремонт'!AD265+'[2]поточний ремонт'!AD265-'[3]поточний ремонт'!AD265</f>
        <v>758</v>
      </c>
      <c r="AE265" s="43">
        <f>'[1]поточний ремонт'!AE265+'[2]поточний ремонт'!AE265-'[3]поточний ремонт'!AE265</f>
        <v>2079.8486131865361</v>
      </c>
      <c r="AF265" s="43">
        <f>'[1]поточний ремонт'!AF265+'[2]поточний ремонт'!AF265-'[3]поточний ремонт'!AF265</f>
        <v>0</v>
      </c>
      <c r="AG265" s="9"/>
      <c r="AH265" s="43">
        <f>'[1]поточний ремонт'!AH265+'[2]поточний ремонт'!AH265-'[3]поточний ремонт'!AH265</f>
        <v>2969.7644653917991</v>
      </c>
      <c r="AI265" s="43">
        <f>'[1]поточний ремонт'!AI265+'[2]поточний ремонт'!AI265-'[3]поточний ремонт'!AI265</f>
        <v>0</v>
      </c>
      <c r="AJ265" s="5"/>
      <c r="AK265" s="43">
        <f>'[1]поточний ремонт'!AK265+'[2]поточний ремонт'!AK265-'[3]поточний ремонт'!AK265</f>
        <v>2567.4502082701674</v>
      </c>
      <c r="AL265" s="43">
        <f>'[1]поточний ремонт'!AL265+'[2]поточний ремонт'!AL265-'[3]поточний ремонт'!AL265</f>
        <v>1748</v>
      </c>
      <c r="AM265" s="5"/>
      <c r="AN265" s="43">
        <f>'[1]поточний ремонт'!AN265+'[2]поточний ремонт'!AN265-'[3]поточний ремонт'!AN265</f>
        <v>0</v>
      </c>
      <c r="AO265" s="43">
        <f>'[1]поточний ремонт'!AO265+'[2]поточний ремонт'!AO265-'[3]поточний ремонт'!AO265</f>
        <v>0</v>
      </c>
      <c r="AP265" s="5"/>
      <c r="AQ265" s="43">
        <f>'[1]поточний ремонт'!AQ265+'[2]поточний ремонт'!AQ265-'[3]поточний ремонт'!AQ265</f>
        <v>0</v>
      </c>
      <c r="AR265" s="43">
        <f>'[1]поточний ремонт'!AR265+'[2]поточний ремонт'!AR265-'[3]поточний ремонт'!AR265</f>
        <v>2509</v>
      </c>
      <c r="AS265" s="5"/>
      <c r="AT265" s="43">
        <f>'[1]поточний ремонт'!AT265+'[2]поточний ремонт'!AT265-'[3]поточний ремонт'!AT265</f>
        <v>1377.6536715304339</v>
      </c>
      <c r="AU265" s="43">
        <f>'[1]поточний ремонт'!AU265+'[2]поточний ремонт'!AU265-'[3]поточний ремонт'!AU265</f>
        <v>0</v>
      </c>
      <c r="AV265" s="5"/>
      <c r="AW265" s="43">
        <f>'[1]поточний ремонт'!AW265+'[2]поточний ремонт'!AW265-'[3]поточний ремонт'!AW265</f>
        <v>0</v>
      </c>
      <c r="AX265" s="43">
        <f>'[1]поточний ремонт'!AX265+'[2]поточний ремонт'!AX265-'[3]поточний ремонт'!AX265</f>
        <v>0</v>
      </c>
      <c r="AY265" s="5"/>
      <c r="AZ265" s="43">
        <f t="shared" si="26"/>
        <v>8994.7169583789364</v>
      </c>
      <c r="BA265" s="43">
        <f t="shared" si="27"/>
        <v>4257</v>
      </c>
      <c r="BB265" s="59">
        <f t="shared" si="28"/>
        <v>-4737.7169583789364</v>
      </c>
      <c r="BD265" s="2">
        <v>2</v>
      </c>
      <c r="BF265" s="30">
        <v>5.2802179742898856</v>
      </c>
      <c r="BG265" s="328">
        <v>150000739</v>
      </c>
      <c r="BI265" s="107">
        <v>211.37</v>
      </c>
      <c r="BJ265" s="107">
        <f t="shared" si="29"/>
        <v>29.731769213999996</v>
      </c>
      <c r="BK265" s="107">
        <v>243.77001870052001</v>
      </c>
      <c r="BL265" s="39"/>
      <c r="BM265" s="3"/>
      <c r="BN265" s="3">
        <v>0</v>
      </c>
      <c r="BP265" s="3"/>
      <c r="BQ265" s="3"/>
      <c r="BS265" s="43"/>
      <c r="BT265" s="43">
        <v>0</v>
      </c>
      <c r="BU265" s="1037"/>
      <c r="BV265" s="42"/>
      <c r="BW265" s="43"/>
      <c r="BX265" s="37"/>
      <c r="BY265" s="78"/>
      <c r="BZ265" s="43">
        <v>0</v>
      </c>
      <c r="CA265" s="1038"/>
      <c r="CB265" s="42"/>
      <c r="CC265" s="42">
        <v>0</v>
      </c>
      <c r="CD265" s="1039"/>
      <c r="CE265" s="78">
        <v>0</v>
      </c>
      <c r="CF265" s="56"/>
      <c r="CG265" s="42">
        <v>0</v>
      </c>
      <c r="CH265" s="39">
        <v>243.77001870052001</v>
      </c>
      <c r="CI265" s="78">
        <v>0</v>
      </c>
      <c r="CJ265" s="56"/>
      <c r="CK265" s="1034"/>
      <c r="CL265" s="1029"/>
      <c r="CM265" s="1034"/>
      <c r="CN265" s="1029">
        <v>0</v>
      </c>
      <c r="CO265" s="78">
        <v>173.32071776554469</v>
      </c>
      <c r="CP265" s="43">
        <v>0</v>
      </c>
      <c r="CQ265" s="9"/>
      <c r="CR265" s="78">
        <v>247.48037211598327</v>
      </c>
      <c r="CS265" s="1033">
        <v>0</v>
      </c>
      <c r="CT265" s="5"/>
      <c r="CU265" s="78">
        <v>213.95418402251397</v>
      </c>
      <c r="CV265" s="43">
        <v>0</v>
      </c>
      <c r="CW265" s="5"/>
      <c r="CX265" s="78">
        <v>0</v>
      </c>
      <c r="CY265" s="43">
        <v>0</v>
      </c>
      <c r="CZ265" s="5"/>
      <c r="DA265" s="78">
        <v>0</v>
      </c>
      <c r="DB265" s="43">
        <v>0</v>
      </c>
      <c r="DC265" s="5"/>
      <c r="DD265" s="78">
        <v>114.80447262753619</v>
      </c>
      <c r="DE265" s="43">
        <v>0</v>
      </c>
      <c r="DF265" s="5"/>
      <c r="DG265" s="78">
        <v>0</v>
      </c>
      <c r="DH265" s="43"/>
      <c r="DI265" s="5"/>
      <c r="DJ265" s="43">
        <v>749.55974653157807</v>
      </c>
      <c r="DK265" s="43">
        <f t="shared" si="30"/>
        <v>0</v>
      </c>
      <c r="DL265" s="59">
        <f t="shared" si="31"/>
        <v>-749.55974653157807</v>
      </c>
    </row>
    <row r="266" spans="1:116" ht="24.9" customHeight="1" x14ac:dyDescent="0.3">
      <c r="A266" s="328">
        <v>150000740</v>
      </c>
      <c r="B266" s="45" t="s">
        <v>1775</v>
      </c>
      <c r="C266" s="1035">
        <v>3</v>
      </c>
      <c r="D266" s="1036" t="s">
        <v>454</v>
      </c>
      <c r="E266" s="1028">
        <f>'побудинковий звіт'!E264</f>
        <v>3947.7000000000003</v>
      </c>
      <c r="F266" s="1029">
        <f>'побудинковий звіт'!AS264</f>
        <v>16179.911866608325</v>
      </c>
      <c r="G266" s="1029">
        <f t="shared" si="24"/>
        <v>4278</v>
      </c>
      <c r="H266" s="1029">
        <f t="shared" si="25"/>
        <v>-11901.911866608325</v>
      </c>
      <c r="I266" s="43">
        <f>'[1]поточний ремонт'!I266+'[2]поточний ремонт'!I266-'[3]поточний ремонт'!I266</f>
        <v>0</v>
      </c>
      <c r="J266" s="43">
        <f>'[1]поточний ремонт'!J266+'[2]поточний ремонт'!J266-'[3]поточний ремонт'!J266</f>
        <v>0</v>
      </c>
      <c r="K266" s="1037"/>
      <c r="L266" s="43">
        <f>'[1]поточний ремонт'!L266+'[2]поточний ремонт'!L266-'[3]поточний ремонт'!L266</f>
        <v>0</v>
      </c>
      <c r="M266" s="43">
        <f>'[1]поточний ремонт'!M266+'[2]поточний ремонт'!M266-'[3]поточний ремонт'!M266</f>
        <v>0</v>
      </c>
      <c r="N266" s="37"/>
      <c r="O266" s="43">
        <f>'[1]поточний ремонт'!O266+'[2]поточний ремонт'!O266-'[3]поточний ремонт'!O266</f>
        <v>0</v>
      </c>
      <c r="P266" s="43">
        <f>'[1]поточний ремонт'!P266+'[2]поточний ремонт'!P266-'[3]поточний ремонт'!P266</f>
        <v>0</v>
      </c>
      <c r="Q266" s="1038"/>
      <c r="R266" s="43">
        <f>'[1]поточний ремонт'!R266+'[2]поточний ремонт'!R266-'[3]поточний ремонт'!R266</f>
        <v>0</v>
      </c>
      <c r="S266" s="43">
        <f>'[1]поточний ремонт'!S266+'[2]поточний ремонт'!S266-'[3]поточний ремонт'!S266</f>
        <v>0</v>
      </c>
      <c r="T266" s="1039"/>
      <c r="U266" s="43">
        <f>'[1]поточний ремонт'!U266+'[2]поточний ремонт'!U266-'[3]поточний ремонт'!U266</f>
        <v>0</v>
      </c>
      <c r="V266" s="43">
        <f>'[1]поточний ремонт'!V266+'[2]поточний ремонт'!V266-'[3]поточний ремонт'!V266</f>
        <v>0</v>
      </c>
      <c r="W266" s="43">
        <f>'[1]поточний ремонт'!W266+'[2]поточний ремонт'!W266-'[3]поточний ремонт'!W266</f>
        <v>0</v>
      </c>
      <c r="X266" s="43">
        <f>'[1]поточний ремонт'!X266+'[2]поточний ремонт'!X266-'[3]поточний ремонт'!X266</f>
        <v>0</v>
      </c>
      <c r="Y266" s="43">
        <f>'[1]поточний ремонт'!Y266+'[2]поточний ремонт'!Y266-'[3]поточний ремонт'!Y266</f>
        <v>0</v>
      </c>
      <c r="Z266" s="43">
        <f>'[1]поточний ремонт'!Z266+'[2]поточний ремонт'!Z266-'[3]поточний ремонт'!Z266</f>
        <v>0</v>
      </c>
      <c r="AA266" s="43">
        <f>'[1]поточний ремонт'!AA266+'[2]поточний ремонт'!AA266-'[3]поточний ремонт'!AA266</f>
        <v>0</v>
      </c>
      <c r="AB266" s="43">
        <f>'[1]поточний ремонт'!AB266+'[2]поточний ремонт'!AB266-'[3]поточний ремонт'!AB266</f>
        <v>3651</v>
      </c>
      <c r="AC266" s="43">
        <f>'[1]поточний ремонт'!AC266+'[2]поточний ремонт'!AC266-'[3]поточний ремонт'!AC266</f>
        <v>627</v>
      </c>
      <c r="AD266" s="43">
        <f>'[1]поточний ремонт'!AD266+'[2]поточний ремонт'!AD266-'[3]поточний ремонт'!AD266</f>
        <v>0</v>
      </c>
      <c r="AE266" s="43">
        <f>'[1]поточний ремонт'!AE266+'[2]поточний ремонт'!AE266-'[3]поточний ремонт'!AE266</f>
        <v>1001.7790737636644</v>
      </c>
      <c r="AF266" s="43">
        <f>'[1]поточний ремонт'!AF266+'[2]поточний ремонт'!AF266-'[3]поточний ремонт'!AF266</f>
        <v>0</v>
      </c>
      <c r="AG266" s="5"/>
      <c r="AH266" s="43">
        <f>'[1]поточний ремонт'!AH266+'[2]поточний ремонт'!AH266-'[3]поточний ремонт'!AH266</f>
        <v>1801.7749106284223</v>
      </c>
      <c r="AI266" s="43">
        <f>'[1]поточний ремонт'!AI266+'[2]поточний ремонт'!AI266-'[3]поточний ремонт'!AI266</f>
        <v>0</v>
      </c>
      <c r="AJ266" s="5"/>
      <c r="AK266" s="43">
        <f>'[1]поточний ремонт'!AK266+'[2]поточний ремонт'!AK266-'[3]поточний ремонт'!AK266</f>
        <v>963.89916963247276</v>
      </c>
      <c r="AL266" s="43">
        <f>'[1]поточний ремонт'!AL266+'[2]поточний ремонт'!AL266-'[3]поточний ремонт'!AL266</f>
        <v>0</v>
      </c>
      <c r="AM266" s="5"/>
      <c r="AN266" s="43">
        <f>'[1]поточний ремонт'!AN266+'[2]поточний ремонт'!AN266-'[3]поточний ремонт'!AN266</f>
        <v>0</v>
      </c>
      <c r="AO266" s="43">
        <f>'[1]поточний ремонт'!AO266+'[2]поточний ремонт'!AO266-'[3]поточний ремонт'!AO266</f>
        <v>0</v>
      </c>
      <c r="AP266" s="5"/>
      <c r="AQ266" s="43">
        <f>'[1]поточний ремонт'!AQ266+'[2]поточний ремонт'!AQ266-'[3]поточний ремонт'!AQ266</f>
        <v>0</v>
      </c>
      <c r="AR266" s="43">
        <f>'[1]поточний ремонт'!AR266+'[2]поточний ремонт'!AR266-'[3]поточний ремонт'!AR266</f>
        <v>564</v>
      </c>
      <c r="AS266" s="5"/>
      <c r="AT266" s="43">
        <f>'[1]поточний ремонт'!AT266+'[2]поточний ремонт'!AT266-'[3]поточний ремонт'!AT266</f>
        <v>480.08864742659659</v>
      </c>
      <c r="AU266" s="43">
        <f>'[1]поточний ремонт'!AU266+'[2]поточний ремонт'!AU266-'[3]поточний ремонт'!AU266</f>
        <v>0</v>
      </c>
      <c r="AV266" s="5"/>
      <c r="AW266" s="43">
        <f>'[1]поточний ремонт'!AW266+'[2]поточний ремонт'!AW266-'[3]поточний ремонт'!AW266</f>
        <v>0</v>
      </c>
      <c r="AX266" s="43">
        <f>'[1]поточний ремонт'!AX266+'[2]поточний ремонт'!AX266-'[3]поточний ремонт'!AX266</f>
        <v>0</v>
      </c>
      <c r="AY266" s="5"/>
      <c r="AZ266" s="43">
        <f t="shared" si="26"/>
        <v>4247.5418014511561</v>
      </c>
      <c r="BA266" s="43">
        <f t="shared" si="27"/>
        <v>564</v>
      </c>
      <c r="BB266" s="59">
        <f t="shared" si="28"/>
        <v>-3683.5418014511561</v>
      </c>
      <c r="BD266" s="2">
        <v>2</v>
      </c>
      <c r="BF266" s="30">
        <v>1.9952715685653384</v>
      </c>
      <c r="BG266" s="328">
        <v>150000740</v>
      </c>
      <c r="BI266" s="107">
        <v>0</v>
      </c>
      <c r="BJ266" s="107">
        <f t="shared" si="29"/>
        <v>0</v>
      </c>
      <c r="BK266" s="107">
        <v>0</v>
      </c>
      <c r="BL266" s="39"/>
      <c r="BM266" s="3"/>
      <c r="BN266" s="3">
        <v>0</v>
      </c>
      <c r="BP266" s="3"/>
      <c r="BQ266" s="3"/>
      <c r="BS266" s="43"/>
      <c r="BT266" s="43">
        <v>0</v>
      </c>
      <c r="BU266" s="1037"/>
      <c r="BV266" s="42"/>
      <c r="BW266" s="43"/>
      <c r="BX266" s="37"/>
      <c r="BY266" s="78"/>
      <c r="BZ266" s="43">
        <v>0</v>
      </c>
      <c r="CA266" s="1038"/>
      <c r="CB266" s="42"/>
      <c r="CC266" s="42">
        <v>0</v>
      </c>
      <c r="CD266" s="1039"/>
      <c r="CE266" s="78">
        <v>0</v>
      </c>
      <c r="CF266" s="56"/>
      <c r="CG266" s="42">
        <v>0</v>
      </c>
      <c r="CH266" s="39">
        <v>0</v>
      </c>
      <c r="CI266" s="78">
        <v>1152.6128406488531</v>
      </c>
      <c r="CJ266" s="56"/>
      <c r="CK266" s="1034"/>
      <c r="CL266" s="1029"/>
      <c r="CM266" s="1034"/>
      <c r="CN266" s="1029">
        <v>0</v>
      </c>
      <c r="CO266" s="78">
        <v>83.481589480305374</v>
      </c>
      <c r="CP266" s="43">
        <v>0</v>
      </c>
      <c r="CQ266" s="5"/>
      <c r="CR266" s="78">
        <v>150.14790921903517</v>
      </c>
      <c r="CS266" s="1033">
        <v>0</v>
      </c>
      <c r="CT266" s="5"/>
      <c r="CU266" s="78">
        <v>80.324930802706078</v>
      </c>
      <c r="CV266" s="43">
        <v>0</v>
      </c>
      <c r="CW266" s="5"/>
      <c r="CX266" s="78">
        <v>0</v>
      </c>
      <c r="CY266" s="43">
        <v>0</v>
      </c>
      <c r="CZ266" s="5"/>
      <c r="DA266" s="78">
        <v>0</v>
      </c>
      <c r="DB266" s="43">
        <v>0</v>
      </c>
      <c r="DC266" s="5"/>
      <c r="DD266" s="78">
        <v>40.007387285549711</v>
      </c>
      <c r="DE266" s="43">
        <v>0</v>
      </c>
      <c r="DF266" s="5"/>
      <c r="DG266" s="78">
        <v>0</v>
      </c>
      <c r="DH266" s="43"/>
      <c r="DI266" s="5"/>
      <c r="DJ266" s="43">
        <v>353.96181678759638</v>
      </c>
      <c r="DK266" s="43">
        <f t="shared" si="30"/>
        <v>0</v>
      </c>
      <c r="DL266" s="59">
        <f t="shared" si="31"/>
        <v>-353.96181678759638</v>
      </c>
    </row>
    <row r="267" spans="1:116" ht="24.9" customHeight="1" x14ac:dyDescent="0.3">
      <c r="A267" s="328">
        <v>150000744</v>
      </c>
      <c r="B267" s="45" t="s">
        <v>1776</v>
      </c>
      <c r="C267" s="1035">
        <v>4</v>
      </c>
      <c r="D267" s="1036" t="s">
        <v>454</v>
      </c>
      <c r="E267" s="1028">
        <f>'побудинковий звіт'!E265</f>
        <v>11337.62</v>
      </c>
      <c r="F267" s="1029">
        <f>'побудинковий звіт'!AS265</f>
        <v>15101.925537695901</v>
      </c>
      <c r="G267" s="1029">
        <f t="shared" ref="G267:G330" si="32">J267+M267+P267+S267+U267+X267+Y267+AA267+AB267+AC267+AD267</f>
        <v>2422</v>
      </c>
      <c r="H267" s="1029">
        <f t="shared" ref="H267:H330" si="33">G267-F267</f>
        <v>-12679.925537695901</v>
      </c>
      <c r="I267" s="43">
        <f>'[1]поточний ремонт'!I267+'[2]поточний ремонт'!I267-'[3]поточний ремонт'!I267</f>
        <v>2.8</v>
      </c>
      <c r="J267" s="43">
        <f>'[1]поточний ремонт'!J267+'[2]поточний ремонт'!J267-'[3]поточний ремонт'!J267</f>
        <v>535</v>
      </c>
      <c r="K267" s="1037"/>
      <c r="L267" s="43">
        <f>'[1]поточний ремонт'!L267+'[2]поточний ремонт'!L267-'[3]поточний ремонт'!L267</f>
        <v>0</v>
      </c>
      <c r="M267" s="43">
        <f>'[1]поточний ремонт'!M267+'[2]поточний ремонт'!M267-'[3]поточний ремонт'!M267</f>
        <v>0</v>
      </c>
      <c r="N267" s="37"/>
      <c r="O267" s="43">
        <f>'[1]поточний ремонт'!O267+'[2]поточний ремонт'!O267-'[3]поточний ремонт'!O267</f>
        <v>0</v>
      </c>
      <c r="P267" s="43">
        <f>'[1]поточний ремонт'!P267+'[2]поточний ремонт'!P267-'[3]поточний ремонт'!P267</f>
        <v>0</v>
      </c>
      <c r="Q267" s="1038"/>
      <c r="R267" s="43">
        <f>'[1]поточний ремонт'!R267+'[2]поточний ремонт'!R267-'[3]поточний ремонт'!R267</f>
        <v>0</v>
      </c>
      <c r="S267" s="43">
        <f>'[1]поточний ремонт'!S267+'[2]поточний ремонт'!S267-'[3]поточний ремонт'!S267</f>
        <v>0</v>
      </c>
      <c r="T267" s="1039"/>
      <c r="U267" s="43">
        <f>'[1]поточний ремонт'!U267+'[2]поточний ремонт'!U267-'[3]поточний ремонт'!U267</f>
        <v>0</v>
      </c>
      <c r="V267" s="43">
        <f>'[1]поточний ремонт'!V267+'[2]поточний ремонт'!V267-'[3]поточний ремонт'!V267</f>
        <v>0</v>
      </c>
      <c r="W267" s="43">
        <f>'[1]поточний ремонт'!W267+'[2]поточний ремонт'!W267-'[3]поточний ремонт'!W267</f>
        <v>0</v>
      </c>
      <c r="X267" s="43">
        <f>'[1]поточний ремонт'!X267+'[2]поточний ремонт'!X267-'[3]поточний ремонт'!X267</f>
        <v>0</v>
      </c>
      <c r="Y267" s="43">
        <f>'[1]поточний ремонт'!Y267+'[2]поточний ремонт'!Y267-'[3]поточний ремонт'!Y267</f>
        <v>0</v>
      </c>
      <c r="Z267" s="43">
        <f>'[1]поточний ремонт'!Z267+'[2]поточний ремонт'!Z267-'[3]поточний ремонт'!Z267</f>
        <v>0</v>
      </c>
      <c r="AA267" s="43">
        <f>'[1]поточний ремонт'!AA267+'[2]поточний ремонт'!AA267-'[3]поточний ремонт'!AA267</f>
        <v>0</v>
      </c>
      <c r="AB267" s="43">
        <f>'[1]поточний ремонт'!AB267+'[2]поточний ремонт'!AB267-'[3]поточний ремонт'!AB267</f>
        <v>0</v>
      </c>
      <c r="AC267" s="43">
        <f>'[1]поточний ремонт'!AC267+'[2]поточний ремонт'!AC267-'[3]поточний ремонт'!AC267</f>
        <v>242</v>
      </c>
      <c r="AD267" s="43">
        <f>'[1]поточний ремонт'!AD267+'[2]поточний ремонт'!AD267-'[3]поточний ремонт'!AD267</f>
        <v>1645</v>
      </c>
      <c r="AE267" s="43">
        <f>'[1]поточний ремонт'!AE267+'[2]поточний ремонт'!AE267-'[3]поточний ремонт'!AE267</f>
        <v>954.22272985364179</v>
      </c>
      <c r="AF267" s="43">
        <f>'[1]поточний ремонт'!AF267+'[2]поточний ремонт'!AF267-'[3]поточний ремонт'!AF267</f>
        <v>0</v>
      </c>
      <c r="AG267" s="5"/>
      <c r="AH267" s="43">
        <f>'[1]поточний ремонт'!AH267+'[2]поточний ремонт'!AH267-'[3]поточний ремонт'!AH267</f>
        <v>1403.9761763511401</v>
      </c>
      <c r="AI267" s="43">
        <f>'[1]поточний ремонт'!AI267+'[2]поточний ремонт'!AI267-'[3]поточний ремонт'!AI267</f>
        <v>0</v>
      </c>
      <c r="AJ267" s="5"/>
      <c r="AK267" s="43">
        <f>'[1]поточний ремонт'!AK267+'[2]поточний ремонт'!AK267-'[3]поточний ремонт'!AK267</f>
        <v>1036.2949495964508</v>
      </c>
      <c r="AL267" s="43">
        <f>'[1]поточний ремонт'!AL267+'[2]поточний ремонт'!AL267-'[3]поточний ремонт'!AL267</f>
        <v>0</v>
      </c>
      <c r="AM267" s="5"/>
      <c r="AN267" s="43">
        <f>'[1]поточний ремонт'!AN267+'[2]поточний ремонт'!AN267-'[3]поточний ремонт'!AN267</f>
        <v>0</v>
      </c>
      <c r="AO267" s="43">
        <f>'[1]поточний ремонт'!AO267+'[2]поточний ремонт'!AO267-'[3]поточний ремонт'!AO267</f>
        <v>0</v>
      </c>
      <c r="AP267" s="5"/>
      <c r="AQ267" s="43">
        <f>'[1]поточний ремонт'!AQ267+'[2]поточний ремонт'!AQ267-'[3]поточний ремонт'!AQ267</f>
        <v>0</v>
      </c>
      <c r="AR267" s="43">
        <f>'[1]поточний ремонт'!AR267+'[2]поточний ремонт'!AR267-'[3]поточний ремонт'!AR267</f>
        <v>0</v>
      </c>
      <c r="AS267" s="5"/>
      <c r="AT267" s="43">
        <f>'[1]поточний ремонт'!AT267+'[2]поточний ремонт'!AT267-'[3]поточний ремонт'!AT267</f>
        <v>328.51922665841096</v>
      </c>
      <c r="AU267" s="43">
        <f>'[1]поточний ремонт'!AU267+'[2]поточний ремонт'!AU267-'[3]поточний ремонт'!AU267</f>
        <v>0</v>
      </c>
      <c r="AV267" s="5"/>
      <c r="AW267" s="43">
        <f>'[1]поточний ремонт'!AW267+'[2]поточний ремонт'!AW267-'[3]поточний ремонт'!AW267</f>
        <v>0</v>
      </c>
      <c r="AX267" s="43">
        <f>'[1]поточний ремонт'!AX267+'[2]поточний ремонт'!AX267-'[3]поточний ремонт'!AX267</f>
        <v>0</v>
      </c>
      <c r="AY267" s="5"/>
      <c r="AZ267" s="43">
        <f t="shared" si="26"/>
        <v>3723.0130824596436</v>
      </c>
      <c r="BA267" s="43">
        <f t="shared" si="27"/>
        <v>0</v>
      </c>
      <c r="BB267" s="59">
        <f t="shared" si="28"/>
        <v>-3723.0130824596436</v>
      </c>
      <c r="BD267" s="2">
        <v>2</v>
      </c>
      <c r="BF267" s="30">
        <v>2.1975591845863467</v>
      </c>
      <c r="BG267" s="328">
        <v>150000744</v>
      </c>
      <c r="BI267" s="107">
        <v>0</v>
      </c>
      <c r="BJ267" s="107">
        <f t="shared" si="29"/>
        <v>0</v>
      </c>
      <c r="BK267" s="107">
        <v>0</v>
      </c>
      <c r="BL267" s="39"/>
      <c r="BM267" s="3"/>
      <c r="BN267" s="3">
        <v>0</v>
      </c>
      <c r="BP267" s="3"/>
      <c r="BQ267" s="3"/>
      <c r="BS267" s="43"/>
      <c r="BT267" s="43">
        <v>0</v>
      </c>
      <c r="BU267" s="1037"/>
      <c r="BV267" s="42"/>
      <c r="BW267" s="43"/>
      <c r="BX267" s="37"/>
      <c r="BY267" s="78"/>
      <c r="BZ267" s="43">
        <v>0</v>
      </c>
      <c r="CA267" s="1038"/>
      <c r="CB267" s="42"/>
      <c r="CC267" s="42">
        <v>0</v>
      </c>
      <c r="CD267" s="1039"/>
      <c r="CE267" s="78">
        <v>0</v>
      </c>
      <c r="CF267" s="56"/>
      <c r="CG267" s="42">
        <v>0</v>
      </c>
      <c r="CH267" s="39">
        <v>0</v>
      </c>
      <c r="CI267" s="78">
        <v>0</v>
      </c>
      <c r="CJ267" s="56"/>
      <c r="CK267" s="1034"/>
      <c r="CL267" s="1029"/>
      <c r="CM267" s="1034"/>
      <c r="CN267" s="1029">
        <v>0</v>
      </c>
      <c r="CO267" s="78">
        <v>79.518560821136816</v>
      </c>
      <c r="CP267" s="43">
        <v>0</v>
      </c>
      <c r="CQ267" s="5"/>
      <c r="CR267" s="78">
        <v>116.99801469592836</v>
      </c>
      <c r="CS267" s="1033">
        <v>0</v>
      </c>
      <c r="CT267" s="5"/>
      <c r="CU267" s="78">
        <v>86.357912466370919</v>
      </c>
      <c r="CV267" s="43">
        <v>0</v>
      </c>
      <c r="CW267" s="5"/>
      <c r="CX267" s="78">
        <v>0</v>
      </c>
      <c r="CY267" s="43">
        <v>0</v>
      </c>
      <c r="CZ267" s="5"/>
      <c r="DA267" s="78">
        <v>0</v>
      </c>
      <c r="DB267" s="43">
        <v>0</v>
      </c>
      <c r="DC267" s="5"/>
      <c r="DD267" s="78">
        <v>27.376602221534242</v>
      </c>
      <c r="DE267" s="43">
        <v>0</v>
      </c>
      <c r="DF267" s="5"/>
      <c r="DG267" s="78">
        <v>0</v>
      </c>
      <c r="DH267" s="43"/>
      <c r="DI267" s="5"/>
      <c r="DJ267" s="43">
        <v>310.25109020497035</v>
      </c>
      <c r="DK267" s="43">
        <f t="shared" si="30"/>
        <v>0</v>
      </c>
      <c r="DL267" s="59">
        <f t="shared" si="31"/>
        <v>-310.25109020497035</v>
      </c>
    </row>
    <row r="268" spans="1:116" ht="24.9" customHeight="1" x14ac:dyDescent="0.3">
      <c r="A268" s="328">
        <v>150000741</v>
      </c>
      <c r="B268" s="45" t="s">
        <v>1777</v>
      </c>
      <c r="C268" s="1035">
        <v>4</v>
      </c>
      <c r="D268" s="1036" t="s">
        <v>454</v>
      </c>
      <c r="E268" s="1028">
        <f>'побудинковий звіт'!E266</f>
        <v>13532.32</v>
      </c>
      <c r="F268" s="1029">
        <f>'побудинковий звіт'!AS266</f>
        <v>32946.363004077532</v>
      </c>
      <c r="G268" s="1029">
        <f t="shared" si="32"/>
        <v>3895</v>
      </c>
      <c r="H268" s="1029">
        <f t="shared" si="33"/>
        <v>-29051.363004077532</v>
      </c>
      <c r="I268" s="43">
        <f>'[1]поточний ремонт'!I268+'[2]поточний ремонт'!I268-'[3]поточний ремонт'!I268</f>
        <v>0</v>
      </c>
      <c r="J268" s="43">
        <f>'[1]поточний ремонт'!J268+'[2]поточний ремонт'!J268-'[3]поточний ремонт'!J268</f>
        <v>0</v>
      </c>
      <c r="K268" s="1037"/>
      <c r="L268" s="43">
        <f>'[1]поточний ремонт'!L268+'[2]поточний ремонт'!L268-'[3]поточний ремонт'!L268</f>
        <v>0</v>
      </c>
      <c r="M268" s="43">
        <f>'[1]поточний ремонт'!M268+'[2]поточний ремонт'!M268-'[3]поточний ремонт'!M268</f>
        <v>0</v>
      </c>
      <c r="N268" s="1039"/>
      <c r="O268" s="43">
        <f>'[1]поточний ремонт'!O268+'[2]поточний ремонт'!O268-'[3]поточний ремонт'!O268</f>
        <v>0</v>
      </c>
      <c r="P268" s="43">
        <f>'[1]поточний ремонт'!P268+'[2]поточний ремонт'!P268-'[3]поточний ремонт'!P268</f>
        <v>0</v>
      </c>
      <c r="Q268" s="1038"/>
      <c r="R268" s="43">
        <f>'[1]поточний ремонт'!R268+'[2]поточний ремонт'!R268-'[3]поточний ремонт'!R268</f>
        <v>0</v>
      </c>
      <c r="S268" s="43">
        <f>'[1]поточний ремонт'!S268+'[2]поточний ремонт'!S268-'[3]поточний ремонт'!S268</f>
        <v>0</v>
      </c>
      <c r="T268" s="1039"/>
      <c r="U268" s="43">
        <f>'[1]поточний ремонт'!U268+'[2]поточний ремонт'!U268-'[3]поточний ремонт'!U268</f>
        <v>0</v>
      </c>
      <c r="V268" s="43">
        <f>'[1]поточний ремонт'!V268+'[2]поточний ремонт'!V268-'[3]поточний ремонт'!V268</f>
        <v>0</v>
      </c>
      <c r="W268" s="43">
        <f>'[1]поточний ремонт'!W268+'[2]поточний ремонт'!W268-'[3]поточний ремонт'!W268</f>
        <v>0</v>
      </c>
      <c r="X268" s="43">
        <f>'[1]поточний ремонт'!X268+'[2]поточний ремонт'!X268-'[3]поточний ремонт'!X268</f>
        <v>0</v>
      </c>
      <c r="Y268" s="43">
        <f>'[1]поточний ремонт'!Y268+'[2]поточний ремонт'!Y268-'[3]поточний ремонт'!Y268</f>
        <v>0</v>
      </c>
      <c r="Z268" s="43">
        <f>'[1]поточний ремонт'!Z268+'[2]поточний ремонт'!Z268-'[3]поточний ремонт'!Z268</f>
        <v>0</v>
      </c>
      <c r="AA268" s="43">
        <f>'[1]поточний ремонт'!AA268+'[2]поточний ремонт'!AA268-'[3]поточний ремонт'!AA268</f>
        <v>0</v>
      </c>
      <c r="AB268" s="43">
        <f>'[1]поточний ремонт'!AB268+'[2]поточний ремонт'!AB268-'[3]поточний ремонт'!AB268</f>
        <v>0</v>
      </c>
      <c r="AC268" s="43">
        <f>'[1]поточний ремонт'!AC268+'[2]поточний ремонт'!AC268-'[3]поточний ремонт'!AC268</f>
        <v>3895</v>
      </c>
      <c r="AD268" s="43">
        <f>'[1]поточний ремонт'!AD268+'[2]поточний ремонт'!AD268-'[3]поточний ремонт'!AD268</f>
        <v>0</v>
      </c>
      <c r="AE268" s="43">
        <f>'[1]поточний ремонт'!AE268+'[2]поточний ремонт'!AE268-'[3]поточний ремонт'!AE268</f>
        <v>1627.9531490506042</v>
      </c>
      <c r="AF268" s="43">
        <f>'[1]поточний ремонт'!AF268+'[2]поточний ремонт'!AF268-'[3]поточний ремонт'!AF268</f>
        <v>0</v>
      </c>
      <c r="AG268" s="5"/>
      <c r="AH268" s="43">
        <f>'[1]поточний ремонт'!AH268+'[2]поточний ремонт'!AH268-'[3]поточний ремонт'!AH268</f>
        <v>2033.6832662837994</v>
      </c>
      <c r="AI268" s="43">
        <f>'[1]поточний ремонт'!AI268+'[2]поточний ремонт'!AI268-'[3]поточний ремонт'!AI268</f>
        <v>0</v>
      </c>
      <c r="AJ268" s="5"/>
      <c r="AK268" s="43">
        <f>'[1]поточний ремонт'!AK268+'[2]поточний ремонт'!AK268-'[3]поточний ремонт'!AK268</f>
        <v>1796.4142790237477</v>
      </c>
      <c r="AL268" s="43">
        <f>'[1]поточний ремонт'!AL268+'[2]поточний ремонт'!AL268-'[3]поточний ремонт'!AL268</f>
        <v>0</v>
      </c>
      <c r="AM268" s="5"/>
      <c r="AN268" s="43">
        <f>'[1]поточний ремонт'!AN268+'[2]поточний ремонт'!AN268-'[3]поточний ремонт'!AN268</f>
        <v>0</v>
      </c>
      <c r="AO268" s="43">
        <f>'[1]поточний ремонт'!AO268+'[2]поточний ремонт'!AO268-'[3]поточний ремонт'!AO268</f>
        <v>0</v>
      </c>
      <c r="AP268" s="5"/>
      <c r="AQ268" s="43">
        <f>'[1]поточний ремонт'!AQ268+'[2]поточний ремонт'!AQ268-'[3]поточний ремонт'!AQ268</f>
        <v>0</v>
      </c>
      <c r="AR268" s="43">
        <f>'[1]поточний ремонт'!AR268+'[2]поточний ремонт'!AR268-'[3]поточний ремонт'!AR268</f>
        <v>0</v>
      </c>
      <c r="AS268" s="5"/>
      <c r="AT268" s="43">
        <f>'[1]поточний ремонт'!AT268+'[2]поточний ремонт'!AT268-'[3]поточний ремонт'!AT268</f>
        <v>890.6052534508683</v>
      </c>
      <c r="AU268" s="43">
        <f>'[1]поточний ремонт'!AU268+'[2]поточний ремонт'!AU268-'[3]поточний ремонт'!AU268</f>
        <v>0</v>
      </c>
      <c r="AV268" s="5"/>
      <c r="AW268" s="43">
        <f>'[1]поточний ремонт'!AW268+'[2]поточний ремонт'!AW268-'[3]поточний ремонт'!AW268</f>
        <v>0</v>
      </c>
      <c r="AX268" s="43">
        <f>'[1]поточний ремонт'!AX268+'[2]поточний ремонт'!AX268-'[3]поточний ремонт'!AX268</f>
        <v>0</v>
      </c>
      <c r="AY268" s="5"/>
      <c r="AZ268" s="43">
        <f t="shared" ref="AZ268:AZ331" si="34">AE268+AH268+AK268+AN268+AQ268+AT268+AW268</f>
        <v>6348.6559478090194</v>
      </c>
      <c r="BA268" s="43">
        <f t="shared" ref="BA268:BA331" si="35">AF268+AI268+AL268+AO268+AR268+AU268+AX268</f>
        <v>0</v>
      </c>
      <c r="BB268" s="59">
        <f t="shared" ref="BB268:BB331" si="36">BA268-AZ268</f>
        <v>-6348.6559478090194</v>
      </c>
      <c r="BD268" s="2">
        <v>2</v>
      </c>
      <c r="BF268" s="30">
        <v>4.0510103378763072</v>
      </c>
      <c r="BG268" s="328">
        <v>150000741</v>
      </c>
      <c r="BI268" s="107">
        <v>0</v>
      </c>
      <c r="BJ268" s="107">
        <f t="shared" ref="BJ268:BJ331" si="37">BI268*$BJ$10</f>
        <v>0</v>
      </c>
      <c r="BK268" s="107">
        <v>0</v>
      </c>
      <c r="BL268" s="39"/>
      <c r="BM268" s="3"/>
      <c r="BN268" s="3">
        <v>0</v>
      </c>
      <c r="BP268" s="3"/>
      <c r="BQ268" s="3"/>
      <c r="BS268" s="43"/>
      <c r="BT268" s="43">
        <v>0</v>
      </c>
      <c r="BU268" s="1037"/>
      <c r="BV268" s="42"/>
      <c r="BW268" s="43"/>
      <c r="BX268" s="1039"/>
      <c r="BY268" s="78"/>
      <c r="BZ268" s="43">
        <v>0</v>
      </c>
      <c r="CA268" s="1038"/>
      <c r="CB268" s="42"/>
      <c r="CC268" s="42">
        <v>0</v>
      </c>
      <c r="CD268" s="1039"/>
      <c r="CE268" s="78">
        <v>0</v>
      </c>
      <c r="CF268" s="56"/>
      <c r="CG268" s="42">
        <v>0</v>
      </c>
      <c r="CH268" s="39">
        <v>0</v>
      </c>
      <c r="CI268" s="78">
        <v>0</v>
      </c>
      <c r="CJ268" s="56"/>
      <c r="CK268" s="1034"/>
      <c r="CL268" s="1029"/>
      <c r="CM268" s="1034"/>
      <c r="CN268" s="1029">
        <v>0</v>
      </c>
      <c r="CO268" s="78">
        <v>135.66276242088372</v>
      </c>
      <c r="CP268" s="43">
        <v>0</v>
      </c>
      <c r="CQ268" s="5"/>
      <c r="CR268" s="78">
        <v>169.47360552365001</v>
      </c>
      <c r="CS268" s="1033">
        <v>0</v>
      </c>
      <c r="CT268" s="5"/>
      <c r="CU268" s="78">
        <v>149.70118991864561</v>
      </c>
      <c r="CV268" s="43">
        <v>0</v>
      </c>
      <c r="CW268" s="5"/>
      <c r="CX268" s="78">
        <v>0</v>
      </c>
      <c r="CY268" s="43">
        <v>0</v>
      </c>
      <c r="CZ268" s="5"/>
      <c r="DA268" s="78">
        <v>0</v>
      </c>
      <c r="DB268" s="43">
        <v>0</v>
      </c>
      <c r="DC268" s="5"/>
      <c r="DD268" s="78">
        <v>74.217104454239035</v>
      </c>
      <c r="DE268" s="43">
        <v>0</v>
      </c>
      <c r="DF268" s="5"/>
      <c r="DG268" s="78">
        <v>0</v>
      </c>
      <c r="DH268" s="43"/>
      <c r="DI268" s="5"/>
      <c r="DJ268" s="43">
        <v>529.05466231741832</v>
      </c>
      <c r="DK268" s="43">
        <f t="shared" ref="DK268:DK331" si="38">CP268+CS268+CV268+CY268+DB268+DE268+DH268</f>
        <v>0</v>
      </c>
      <c r="DL268" s="59">
        <f t="shared" ref="DL268:DL331" si="39">DK268-DJ268</f>
        <v>-529.05466231741832</v>
      </c>
    </row>
    <row r="269" spans="1:116" ht="24.9" customHeight="1" x14ac:dyDescent="0.3">
      <c r="A269" s="328">
        <v>150000742</v>
      </c>
      <c r="B269" s="45" t="s">
        <v>1778</v>
      </c>
      <c r="C269" s="1035">
        <v>5</v>
      </c>
      <c r="D269" s="1036" t="s">
        <v>454</v>
      </c>
      <c r="E269" s="1028">
        <f>'побудинковий звіт'!E267</f>
        <v>5858.7800000000007</v>
      </c>
      <c r="F269" s="1029">
        <f>'побудинковий звіт'!AS267</f>
        <v>22128.324776385038</v>
      </c>
      <c r="G269" s="1029">
        <f t="shared" si="32"/>
        <v>3814</v>
      </c>
      <c r="H269" s="1029">
        <f t="shared" si="33"/>
        <v>-18314.324776385038</v>
      </c>
      <c r="I269" s="43">
        <f>'[1]поточний ремонт'!I269+'[2]поточний ремонт'!I269-'[3]поточний ремонт'!I269</f>
        <v>18.3</v>
      </c>
      <c r="J269" s="43">
        <f>'[1]поточний ремонт'!J269+'[2]поточний ремонт'!J269-'[3]поточний ремонт'!J269</f>
        <v>2371</v>
      </c>
      <c r="K269" s="1041"/>
      <c r="L269" s="43">
        <f>'[1]поточний ремонт'!L269+'[2]поточний ремонт'!L269-'[3]поточний ремонт'!L269</f>
        <v>0</v>
      </c>
      <c r="M269" s="43">
        <f>'[1]поточний ремонт'!M269+'[2]поточний ремонт'!M269-'[3]поточний ремонт'!M269</f>
        <v>0</v>
      </c>
      <c r="N269" s="37"/>
      <c r="O269" s="43">
        <f>'[1]поточний ремонт'!O269+'[2]поточний ремонт'!O269-'[3]поточний ремонт'!O269</f>
        <v>0</v>
      </c>
      <c r="P269" s="43">
        <f>'[1]поточний ремонт'!P269+'[2]поточний ремонт'!P269-'[3]поточний ремонт'!P269</f>
        <v>0</v>
      </c>
      <c r="Q269" s="1038"/>
      <c r="R269" s="43">
        <f>'[1]поточний ремонт'!R269+'[2]поточний ремонт'!R269-'[3]поточний ремонт'!R269</f>
        <v>0</v>
      </c>
      <c r="S269" s="43">
        <f>'[1]поточний ремонт'!S269+'[2]поточний ремонт'!S269-'[3]поточний ремонт'!S269</f>
        <v>0</v>
      </c>
      <c r="T269" s="1039"/>
      <c r="U269" s="43">
        <f>'[1]поточний ремонт'!U269+'[2]поточний ремонт'!U269-'[3]поточний ремонт'!U269</f>
        <v>0</v>
      </c>
      <c r="V269" s="43">
        <f>'[1]поточний ремонт'!V269+'[2]поточний ремонт'!V269-'[3]поточний ремонт'!V269</f>
        <v>0</v>
      </c>
      <c r="W269" s="43">
        <f>'[1]поточний ремонт'!W269+'[2]поточний ремонт'!W269-'[3]поточний ремонт'!W269</f>
        <v>0</v>
      </c>
      <c r="X269" s="43">
        <f>'[1]поточний ремонт'!X269+'[2]поточний ремонт'!X269-'[3]поточний ремонт'!X269</f>
        <v>0</v>
      </c>
      <c r="Y269" s="43">
        <f>'[1]поточний ремонт'!Y269+'[2]поточний ремонт'!Y269-'[3]поточний ремонт'!Y269</f>
        <v>0</v>
      </c>
      <c r="Z269" s="43">
        <f>'[1]поточний ремонт'!Z269+'[2]поточний ремонт'!Z269-'[3]поточний ремонт'!Z269</f>
        <v>0</v>
      </c>
      <c r="AA269" s="43">
        <f>'[1]поточний ремонт'!AA269+'[2]поточний ремонт'!AA269-'[3]поточний ремонт'!AA269</f>
        <v>0</v>
      </c>
      <c r="AB269" s="43">
        <f>'[1]поточний ремонт'!AB269+'[2]поточний ремонт'!AB269-'[3]поточний ремонт'!AB269</f>
        <v>0</v>
      </c>
      <c r="AC269" s="43">
        <f>'[1]поточний ремонт'!AC269+'[2]поточний ремонт'!AC269-'[3]поточний ремонт'!AC269</f>
        <v>0</v>
      </c>
      <c r="AD269" s="43">
        <f>'[1]поточний ремонт'!AD269+'[2]поточний ремонт'!AD269-'[3]поточний ремонт'!AD269</f>
        <v>1443</v>
      </c>
      <c r="AE269" s="43">
        <f>'[1]поточний ремонт'!AE269+'[2]поточний ремонт'!AE269-'[3]поточний ремонт'!AE269</f>
        <v>1021.3550171155491</v>
      </c>
      <c r="AF269" s="43">
        <f>'[1]поточний ремонт'!AF269+'[2]поточний ремонт'!AF269-'[3]поточний ремонт'!AF269</f>
        <v>0</v>
      </c>
      <c r="AG269" s="5"/>
      <c r="AH269" s="43">
        <f>'[1]поточний ремонт'!AH269+'[2]поточний ремонт'!AH269-'[3]поточний ремонт'!AH269</f>
        <v>1506.0041246316141</v>
      </c>
      <c r="AI269" s="43">
        <f>'[1]поточний ремонт'!AI269+'[2]поточний ремонт'!AI269-'[3]поточний ремонт'!AI269</f>
        <v>0</v>
      </c>
      <c r="AJ269" s="5"/>
      <c r="AK269" s="43">
        <f>'[1]поточний ремонт'!AK269+'[2]поточний ремонт'!AK269-'[3]поточний ремонт'!AK269</f>
        <v>1324.6729239194649</v>
      </c>
      <c r="AL269" s="43">
        <f>'[1]поточний ремонт'!AL269+'[2]поточний ремонт'!AL269-'[3]поточний ремонт'!AL269</f>
        <v>0</v>
      </c>
      <c r="AM269" s="5"/>
      <c r="AN269" s="43">
        <f>'[1]поточний ремонт'!AN269+'[2]поточний ремонт'!AN269-'[3]поточний ремонт'!AN269</f>
        <v>0</v>
      </c>
      <c r="AO269" s="43">
        <f>'[1]поточний ремонт'!AO269+'[2]поточний ремонт'!AO269-'[3]поточний ремонт'!AO269</f>
        <v>0</v>
      </c>
      <c r="AP269" s="5"/>
      <c r="AQ269" s="43">
        <f>'[1]поточний ремонт'!AQ269+'[2]поточний ремонт'!AQ269-'[3]поточний ремонт'!AQ269</f>
        <v>0</v>
      </c>
      <c r="AR269" s="43">
        <f>'[1]поточний ремонт'!AR269+'[2]поточний ремонт'!AR269-'[3]поточний ремонт'!AR269</f>
        <v>0</v>
      </c>
      <c r="AS269" s="5"/>
      <c r="AT269" s="43">
        <f>'[1]поточний ремонт'!AT269+'[2]поточний ремонт'!AT269-'[3]поточний ремонт'!AT269</f>
        <v>419.4000674212781</v>
      </c>
      <c r="AU269" s="43">
        <f>'[1]поточний ремонт'!AU269+'[2]поточний ремонт'!AU269-'[3]поточний ремонт'!AU269</f>
        <v>0</v>
      </c>
      <c r="AV269" s="5"/>
      <c r="AW269" s="43">
        <f>'[1]поточний ремонт'!AW269+'[2]поточний ремонт'!AW269-'[3]поточний ремонт'!AW269</f>
        <v>0</v>
      </c>
      <c r="AX269" s="43">
        <f>'[1]поточний ремонт'!AX269+'[2]поточний ремонт'!AX269-'[3]поточний ремонт'!AX269</f>
        <v>0</v>
      </c>
      <c r="AY269" s="5"/>
      <c r="AZ269" s="43">
        <f t="shared" si="34"/>
        <v>4271.4321330879065</v>
      </c>
      <c r="BA269" s="43">
        <f t="shared" si="35"/>
        <v>0</v>
      </c>
      <c r="BB269" s="59">
        <f t="shared" si="36"/>
        <v>-4271.4321330879065</v>
      </c>
      <c r="BD269" s="2">
        <v>2</v>
      </c>
      <c r="BF269" s="30">
        <v>2.6126504515406466</v>
      </c>
      <c r="BG269" s="328">
        <v>150000742</v>
      </c>
      <c r="BI269" s="107">
        <v>0</v>
      </c>
      <c r="BJ269" s="107">
        <f t="shared" si="37"/>
        <v>0</v>
      </c>
      <c r="BK269" s="107">
        <v>0</v>
      </c>
      <c r="BL269" s="39"/>
      <c r="BM269" s="3"/>
      <c r="BN269" s="3">
        <v>0</v>
      </c>
      <c r="BP269" s="3"/>
      <c r="BQ269" s="3"/>
      <c r="BS269" s="43"/>
      <c r="BT269" s="43">
        <v>0</v>
      </c>
      <c r="BU269" s="1041"/>
      <c r="BV269" s="42"/>
      <c r="BW269" s="43"/>
      <c r="BX269" s="37"/>
      <c r="BY269" s="78"/>
      <c r="BZ269" s="43">
        <v>0</v>
      </c>
      <c r="CA269" s="1038"/>
      <c r="CB269" s="42"/>
      <c r="CC269" s="42">
        <v>0</v>
      </c>
      <c r="CD269" s="1039"/>
      <c r="CE269" s="78">
        <v>0</v>
      </c>
      <c r="CF269" s="56"/>
      <c r="CG269" s="42">
        <v>0</v>
      </c>
      <c r="CH269" s="39">
        <v>0</v>
      </c>
      <c r="CI269" s="78">
        <v>0</v>
      </c>
      <c r="CJ269" s="56"/>
      <c r="CK269" s="1034"/>
      <c r="CL269" s="1029"/>
      <c r="CM269" s="1034"/>
      <c r="CN269" s="1029">
        <v>0</v>
      </c>
      <c r="CO269" s="78">
        <v>85.112918092962431</v>
      </c>
      <c r="CP269" s="43">
        <v>0</v>
      </c>
      <c r="CQ269" s="5"/>
      <c r="CR269" s="78">
        <v>125.50034371930118</v>
      </c>
      <c r="CS269" s="1033">
        <v>0</v>
      </c>
      <c r="CT269" s="5"/>
      <c r="CU269" s="78">
        <v>110.38941032662208</v>
      </c>
      <c r="CV269" s="43">
        <v>0</v>
      </c>
      <c r="CW269" s="5"/>
      <c r="CX269" s="78">
        <v>0</v>
      </c>
      <c r="CY269" s="43">
        <v>0</v>
      </c>
      <c r="CZ269" s="5"/>
      <c r="DA269" s="78">
        <v>0</v>
      </c>
      <c r="DB269" s="43">
        <v>0</v>
      </c>
      <c r="DC269" s="5"/>
      <c r="DD269" s="78">
        <v>34.950005618439846</v>
      </c>
      <c r="DE269" s="43">
        <v>0</v>
      </c>
      <c r="DF269" s="5"/>
      <c r="DG269" s="78">
        <v>0</v>
      </c>
      <c r="DH269" s="43"/>
      <c r="DI269" s="5"/>
      <c r="DJ269" s="43">
        <v>355.95267775732555</v>
      </c>
      <c r="DK269" s="43">
        <f t="shared" si="38"/>
        <v>0</v>
      </c>
      <c r="DL269" s="59">
        <f t="shared" si="39"/>
        <v>-355.95267775732555</v>
      </c>
    </row>
    <row r="270" spans="1:116" ht="24.9" customHeight="1" x14ac:dyDescent="0.3">
      <c r="A270" s="328">
        <v>150000745</v>
      </c>
      <c r="B270" s="45" t="s">
        <v>1779</v>
      </c>
      <c r="C270" s="1035">
        <v>1</v>
      </c>
      <c r="D270" s="1036" t="s">
        <v>454</v>
      </c>
      <c r="E270" s="1028">
        <f>'побудинковий звіт'!E268</f>
        <v>6720.79</v>
      </c>
      <c r="F270" s="1029">
        <f>'побудинковий звіт'!AS268</f>
        <v>2712.7379556368714</v>
      </c>
      <c r="G270" s="1029">
        <f t="shared" si="32"/>
        <v>546</v>
      </c>
      <c r="H270" s="1029">
        <f t="shared" si="33"/>
        <v>-2166.7379556368714</v>
      </c>
      <c r="I270" s="43">
        <f>'[1]поточний ремонт'!I270+'[2]поточний ремонт'!I270-'[3]поточний ремонт'!I270</f>
        <v>0</v>
      </c>
      <c r="J270" s="43">
        <f>'[1]поточний ремонт'!J270+'[2]поточний ремонт'!J270-'[3]поточний ремонт'!J270</f>
        <v>0</v>
      </c>
      <c r="K270" s="1037"/>
      <c r="L270" s="43">
        <f>'[1]поточний ремонт'!L270+'[2]поточний ремонт'!L270-'[3]поточний ремонт'!L270</f>
        <v>0</v>
      </c>
      <c r="M270" s="43">
        <f>'[1]поточний ремонт'!M270+'[2]поточний ремонт'!M270-'[3]поточний ремонт'!M270</f>
        <v>0</v>
      </c>
      <c r="N270" s="37"/>
      <c r="O270" s="43">
        <f>'[1]поточний ремонт'!O270+'[2]поточний ремонт'!O270-'[3]поточний ремонт'!O270</f>
        <v>0</v>
      </c>
      <c r="P270" s="43">
        <f>'[1]поточний ремонт'!P270+'[2]поточний ремонт'!P270-'[3]поточний ремонт'!P270</f>
        <v>0</v>
      </c>
      <c r="Q270" s="1038"/>
      <c r="R270" s="43">
        <f>'[1]поточний ремонт'!R270+'[2]поточний ремонт'!R270-'[3]поточний ремонт'!R270</f>
        <v>0</v>
      </c>
      <c r="S270" s="43">
        <f>'[1]поточний ремонт'!S270+'[2]поточний ремонт'!S270-'[3]поточний ремонт'!S270</f>
        <v>0</v>
      </c>
      <c r="T270" s="1039"/>
      <c r="U270" s="43">
        <f>'[1]поточний ремонт'!U270+'[2]поточний ремонт'!U270-'[3]поточний ремонт'!U270</f>
        <v>0</v>
      </c>
      <c r="V270" s="43">
        <f>'[1]поточний ремонт'!V270+'[2]поточний ремонт'!V270-'[3]поточний ремонт'!V270</f>
        <v>0</v>
      </c>
      <c r="W270" s="43">
        <f>'[1]поточний ремонт'!W270+'[2]поточний ремонт'!W270-'[3]поточний ремонт'!W270</f>
        <v>0</v>
      </c>
      <c r="X270" s="43">
        <f>'[1]поточний ремонт'!X270+'[2]поточний ремонт'!X270-'[3]поточний ремонт'!X270</f>
        <v>0</v>
      </c>
      <c r="Y270" s="43">
        <f>'[1]поточний ремонт'!Y270+'[2]поточний ремонт'!Y270-'[3]поточний ремонт'!Y270</f>
        <v>0</v>
      </c>
      <c r="Z270" s="43">
        <f>'[1]поточний ремонт'!Z270+'[2]поточний ремонт'!Z270-'[3]поточний ремонт'!Z270</f>
        <v>0</v>
      </c>
      <c r="AA270" s="43">
        <f>'[1]поточний ремонт'!AA270+'[2]поточний ремонт'!AA270-'[3]поточний ремонт'!AA270</f>
        <v>0</v>
      </c>
      <c r="AB270" s="43">
        <f>'[1]поточний ремонт'!AB270+'[2]поточний ремонт'!AB270-'[3]поточний ремонт'!AB270</f>
        <v>0</v>
      </c>
      <c r="AC270" s="43">
        <f>'[1]поточний ремонт'!AC270+'[2]поточний ремонт'!AC270-'[3]поточний ремонт'!AC270</f>
        <v>0</v>
      </c>
      <c r="AD270" s="43">
        <f>'[1]поточний ремонт'!AD270+'[2]поточний ремонт'!AD270-'[3]поточний ремонт'!AD270</f>
        <v>546</v>
      </c>
      <c r="AE270" s="43">
        <f>'[1]поточний ремонт'!AE270+'[2]поточний ремонт'!AE270-'[3]поточний ремонт'!AE270</f>
        <v>0</v>
      </c>
      <c r="AF270" s="43">
        <f>'[1]поточний ремонт'!AF270+'[2]поточний ремонт'!AF270-'[3]поточний ремонт'!AF270</f>
        <v>0</v>
      </c>
      <c r="AG270" s="5"/>
      <c r="AH270" s="43">
        <f>'[1]поточний ремонт'!AH270+'[2]поточний ремонт'!AH270-'[3]поточний ремонт'!AH270</f>
        <v>0</v>
      </c>
      <c r="AI270" s="43">
        <f>'[1]поточний ремонт'!AI270+'[2]поточний ремонт'!AI270-'[3]поточний ремонт'!AI270</f>
        <v>0</v>
      </c>
      <c r="AJ270" s="5"/>
      <c r="AK270" s="43">
        <f>'[1]поточний ремонт'!AK270+'[2]поточний ремонт'!AK270-'[3]поточний ремонт'!AK270</f>
        <v>0</v>
      </c>
      <c r="AL270" s="43">
        <f>'[1]поточний ремонт'!AL270+'[2]поточний ремонт'!AL270-'[3]поточний ремонт'!AL270</f>
        <v>0</v>
      </c>
      <c r="AM270" s="5"/>
      <c r="AN270" s="43">
        <f>'[1]поточний ремонт'!AN270+'[2]поточний ремонт'!AN270-'[3]поточний ремонт'!AN270</f>
        <v>0</v>
      </c>
      <c r="AO270" s="43">
        <f>'[1]поточний ремонт'!AO270+'[2]поточний ремонт'!AO270-'[3]поточний ремонт'!AO270</f>
        <v>0</v>
      </c>
      <c r="AP270" s="5"/>
      <c r="AQ270" s="43">
        <f>'[1]поточний ремонт'!AQ270+'[2]поточний ремонт'!AQ270-'[3]поточний ремонт'!AQ270</f>
        <v>0</v>
      </c>
      <c r="AR270" s="43">
        <f>'[1]поточний ремонт'!AR270+'[2]поточний ремонт'!AR270-'[3]поточний ремонт'!AR270</f>
        <v>0</v>
      </c>
      <c r="AS270" s="5"/>
      <c r="AT270" s="43">
        <f>'[1]поточний ремонт'!AT270+'[2]поточний ремонт'!AT270-'[3]поточний ремонт'!AT270</f>
        <v>0</v>
      </c>
      <c r="AU270" s="43">
        <f>'[1]поточний ремонт'!AU270+'[2]поточний ремонт'!AU270-'[3]поточний ремонт'!AU270</f>
        <v>0</v>
      </c>
      <c r="AV270" s="5"/>
      <c r="AW270" s="43">
        <f>'[1]поточний ремонт'!AW270+'[2]поточний ремонт'!AW270-'[3]поточний ремонт'!AW270</f>
        <v>0</v>
      </c>
      <c r="AX270" s="43">
        <f>'[1]поточний ремонт'!AX270+'[2]поточний ремонт'!AX270-'[3]поточний ремонт'!AX270</f>
        <v>0</v>
      </c>
      <c r="AY270" s="5"/>
      <c r="AZ270" s="43">
        <f t="shared" si="34"/>
        <v>0</v>
      </c>
      <c r="BA270" s="43">
        <f t="shared" si="35"/>
        <v>0</v>
      </c>
      <c r="BB270" s="59">
        <f t="shared" si="36"/>
        <v>0</v>
      </c>
      <c r="BD270" s="2">
        <v>2</v>
      </c>
      <c r="BF270" s="30">
        <v>0</v>
      </c>
      <c r="BG270" s="328">
        <v>150000745</v>
      </c>
      <c r="BI270" s="107">
        <v>0</v>
      </c>
      <c r="BJ270" s="107">
        <f t="shared" si="37"/>
        <v>0</v>
      </c>
      <c r="BK270" s="107">
        <v>0</v>
      </c>
      <c r="BL270" s="39"/>
      <c r="BM270" s="3"/>
      <c r="BN270" s="3">
        <v>0</v>
      </c>
      <c r="BP270" s="3"/>
      <c r="BQ270" s="3"/>
      <c r="BS270" s="43"/>
      <c r="BT270" s="43">
        <v>0</v>
      </c>
      <c r="BU270" s="1037"/>
      <c r="BV270" s="42"/>
      <c r="BW270" s="43"/>
      <c r="BX270" s="37"/>
      <c r="BY270" s="78"/>
      <c r="BZ270" s="43">
        <v>0</v>
      </c>
      <c r="CA270" s="1038"/>
      <c r="CB270" s="42"/>
      <c r="CC270" s="42">
        <v>0</v>
      </c>
      <c r="CD270" s="1039"/>
      <c r="CE270" s="78">
        <v>0</v>
      </c>
      <c r="CF270" s="56"/>
      <c r="CG270" s="42">
        <v>0</v>
      </c>
      <c r="CH270" s="39">
        <v>0</v>
      </c>
      <c r="CI270" s="78">
        <v>0</v>
      </c>
      <c r="CJ270" s="56"/>
      <c r="CK270" s="1034"/>
      <c r="CL270" s="1029"/>
      <c r="CM270" s="1034"/>
      <c r="CN270" s="1029">
        <v>0</v>
      </c>
      <c r="CO270" s="78">
        <v>0</v>
      </c>
      <c r="CP270" s="43">
        <v>0</v>
      </c>
      <c r="CQ270" s="5"/>
      <c r="CR270" s="78">
        <v>0</v>
      </c>
      <c r="CS270" s="1033">
        <v>0</v>
      </c>
      <c r="CT270" s="5"/>
      <c r="CU270" s="78">
        <v>0</v>
      </c>
      <c r="CV270" s="43">
        <v>0</v>
      </c>
      <c r="CW270" s="5"/>
      <c r="CX270" s="78">
        <v>0</v>
      </c>
      <c r="CY270" s="43">
        <v>0</v>
      </c>
      <c r="CZ270" s="5"/>
      <c r="DA270" s="78">
        <v>0</v>
      </c>
      <c r="DB270" s="43">
        <v>0</v>
      </c>
      <c r="DC270" s="5"/>
      <c r="DD270" s="78">
        <v>0</v>
      </c>
      <c r="DE270" s="43">
        <v>0</v>
      </c>
      <c r="DF270" s="5"/>
      <c r="DG270" s="78">
        <v>0</v>
      </c>
      <c r="DH270" s="43"/>
      <c r="DI270" s="5"/>
      <c r="DJ270" s="43">
        <v>0</v>
      </c>
      <c r="DK270" s="43">
        <f t="shared" si="38"/>
        <v>0</v>
      </c>
      <c r="DL270" s="59">
        <f t="shared" si="39"/>
        <v>0</v>
      </c>
    </row>
    <row r="271" spans="1:116" ht="24.9" customHeight="1" x14ac:dyDescent="0.3">
      <c r="A271" s="328">
        <v>150001094</v>
      </c>
      <c r="B271" s="45" t="s">
        <v>185</v>
      </c>
      <c r="C271" s="1035">
        <v>2</v>
      </c>
      <c r="D271" s="1036" t="s">
        <v>454</v>
      </c>
      <c r="E271" s="1028">
        <f>'побудинковий звіт'!E269</f>
        <v>2823.8</v>
      </c>
      <c r="F271" s="1029">
        <f>'побудинковий звіт'!AS269</f>
        <v>5080.8618426359717</v>
      </c>
      <c r="G271" s="1029">
        <f t="shared" si="32"/>
        <v>39459</v>
      </c>
      <c r="H271" s="1029">
        <f t="shared" si="33"/>
        <v>34378.138157364025</v>
      </c>
      <c r="I271" s="43">
        <f>'[1]поточний ремонт'!I271+'[2]поточний ремонт'!I271-'[3]поточний ремонт'!I271</f>
        <v>148</v>
      </c>
      <c r="J271" s="43">
        <f>'[1]поточний ремонт'!J271+'[2]поточний ремонт'!J271-'[3]поточний ремонт'!J271</f>
        <v>39459</v>
      </c>
      <c r="K271" s="1037"/>
      <c r="L271" s="43">
        <f>'[1]поточний ремонт'!L271+'[2]поточний ремонт'!L271-'[3]поточний ремонт'!L271</f>
        <v>0</v>
      </c>
      <c r="M271" s="43">
        <f>'[1]поточний ремонт'!M271+'[2]поточний ремонт'!M271-'[3]поточний ремонт'!M271</f>
        <v>0</v>
      </c>
      <c r="N271" s="37"/>
      <c r="O271" s="43">
        <f>'[1]поточний ремонт'!O271+'[2]поточний ремонт'!O271-'[3]поточний ремонт'!O271</f>
        <v>0</v>
      </c>
      <c r="P271" s="43">
        <f>'[1]поточний ремонт'!P271+'[2]поточний ремонт'!P271-'[3]поточний ремонт'!P271</f>
        <v>0</v>
      </c>
      <c r="Q271" s="1038"/>
      <c r="R271" s="43">
        <f>'[1]поточний ремонт'!R271+'[2]поточний ремонт'!R271-'[3]поточний ремонт'!R271</f>
        <v>0</v>
      </c>
      <c r="S271" s="43">
        <f>'[1]поточний ремонт'!S271+'[2]поточний ремонт'!S271-'[3]поточний ремонт'!S271</f>
        <v>0</v>
      </c>
      <c r="T271" s="1039"/>
      <c r="U271" s="43">
        <f>'[1]поточний ремонт'!U271+'[2]поточний ремонт'!U271-'[3]поточний ремонт'!U271</f>
        <v>0</v>
      </c>
      <c r="V271" s="43">
        <f>'[1]поточний ремонт'!V271+'[2]поточний ремонт'!V271-'[3]поточний ремонт'!V271</f>
        <v>0</v>
      </c>
      <c r="W271" s="43">
        <f>'[1]поточний ремонт'!W271+'[2]поточний ремонт'!W271-'[3]поточний ремонт'!W271</f>
        <v>0</v>
      </c>
      <c r="X271" s="43">
        <f>'[1]поточний ремонт'!X271+'[2]поточний ремонт'!X271-'[3]поточний ремонт'!X271</f>
        <v>0</v>
      </c>
      <c r="Y271" s="43">
        <f>'[1]поточний ремонт'!Y271+'[2]поточний ремонт'!Y271-'[3]поточний ремонт'!Y271</f>
        <v>0</v>
      </c>
      <c r="Z271" s="43">
        <f>'[1]поточний ремонт'!Z271+'[2]поточний ремонт'!Z271-'[3]поточний ремонт'!Z271</f>
        <v>0</v>
      </c>
      <c r="AA271" s="43">
        <f>'[1]поточний ремонт'!AA271+'[2]поточний ремонт'!AA271-'[3]поточний ремонт'!AA271</f>
        <v>0</v>
      </c>
      <c r="AB271" s="43">
        <f>'[1]поточний ремонт'!AB271+'[2]поточний ремонт'!AB271-'[3]поточний ремонт'!AB271</f>
        <v>0</v>
      </c>
      <c r="AC271" s="43">
        <f>'[1]поточний ремонт'!AC271+'[2]поточний ремонт'!AC271-'[3]поточний ремонт'!AC271</f>
        <v>0</v>
      </c>
      <c r="AD271" s="43">
        <f>'[1]поточний ремонт'!AD271+'[2]поточний ремонт'!AD271-'[3]поточний ремонт'!AD271</f>
        <v>0</v>
      </c>
      <c r="AE271" s="43">
        <f>'[1]поточний ремонт'!AE271+'[2]поточний ремонт'!AE271-'[3]поточний ремонт'!AE271</f>
        <v>0</v>
      </c>
      <c r="AF271" s="43">
        <f>'[1]поточний ремонт'!AF271+'[2]поточний ремонт'!AF271-'[3]поточний ремонт'!AF271</f>
        <v>0</v>
      </c>
      <c r="AG271" s="5"/>
      <c r="AH271" s="43">
        <f>'[1]поточний ремонт'!AH271+'[2]поточний ремонт'!AH271-'[3]поточний ремонт'!AH271</f>
        <v>0</v>
      </c>
      <c r="AI271" s="43">
        <f>'[1]поточний ремонт'!AI271+'[2]поточний ремонт'!AI271-'[3]поточний ремонт'!AI271</f>
        <v>0</v>
      </c>
      <c r="AJ271" s="5"/>
      <c r="AK271" s="43">
        <f>'[1]поточний ремонт'!AK271+'[2]поточний ремонт'!AK271-'[3]поточний ремонт'!AK271</f>
        <v>0</v>
      </c>
      <c r="AL271" s="43">
        <f>'[1]поточний ремонт'!AL271+'[2]поточний ремонт'!AL271-'[3]поточний ремонт'!AL271</f>
        <v>0</v>
      </c>
      <c r="AM271" s="5"/>
      <c r="AN271" s="43">
        <f>'[1]поточний ремонт'!AN271+'[2]поточний ремонт'!AN271-'[3]поточний ремонт'!AN271</f>
        <v>0</v>
      </c>
      <c r="AO271" s="43">
        <f>'[1]поточний ремонт'!AO271+'[2]поточний ремонт'!AO271-'[3]поточний ремонт'!AO271</f>
        <v>0</v>
      </c>
      <c r="AP271" s="5"/>
      <c r="AQ271" s="43">
        <f>'[1]поточний ремонт'!AQ271+'[2]поточний ремонт'!AQ271-'[3]поточний ремонт'!AQ271</f>
        <v>0</v>
      </c>
      <c r="AR271" s="43">
        <f>'[1]поточний ремонт'!AR271+'[2]поточний ремонт'!AR271-'[3]поточний ремонт'!AR271</f>
        <v>0</v>
      </c>
      <c r="AS271" s="5"/>
      <c r="AT271" s="43">
        <f>'[1]поточний ремонт'!AT271+'[2]поточний ремонт'!AT271-'[3]поточний ремонт'!AT271</f>
        <v>138.35105058558756</v>
      </c>
      <c r="AU271" s="43">
        <f>'[1]поточний ремонт'!AU271+'[2]поточний ремонт'!AU271-'[3]поточний ремонт'!AU271</f>
        <v>0</v>
      </c>
      <c r="AV271" s="5"/>
      <c r="AW271" s="43">
        <f>'[1]поточний ремонт'!AW271+'[2]поточний ремонт'!AW271-'[3]поточний ремонт'!AW271</f>
        <v>0</v>
      </c>
      <c r="AX271" s="43">
        <f>'[1]поточний ремонт'!AX271+'[2]поточний ремонт'!AX271-'[3]поточний ремонт'!AX271</f>
        <v>0</v>
      </c>
      <c r="AY271" s="5"/>
      <c r="AZ271" s="43">
        <f t="shared" si="34"/>
        <v>138.35105058558756</v>
      </c>
      <c r="BA271" s="43">
        <f t="shared" si="35"/>
        <v>0</v>
      </c>
      <c r="BB271" s="59">
        <f t="shared" si="36"/>
        <v>-138.35105058558756</v>
      </c>
      <c r="BD271" s="2">
        <v>1</v>
      </c>
      <c r="BF271" s="30">
        <v>14.248797434463041</v>
      </c>
      <c r="BG271" s="328">
        <v>150001094</v>
      </c>
      <c r="BI271" s="107">
        <v>0</v>
      </c>
      <c r="BJ271" s="107">
        <f t="shared" si="37"/>
        <v>0</v>
      </c>
      <c r="BK271" s="107">
        <v>0</v>
      </c>
      <c r="BL271" s="39"/>
      <c r="BM271" s="3"/>
      <c r="BN271" s="3">
        <v>0</v>
      </c>
      <c r="BP271" s="3"/>
      <c r="BQ271" s="3"/>
      <c r="BS271" s="43"/>
      <c r="BT271" s="43">
        <v>0</v>
      </c>
      <c r="BU271" s="1037"/>
      <c r="BV271" s="42"/>
      <c r="BW271" s="43"/>
      <c r="BX271" s="37"/>
      <c r="BY271" s="78"/>
      <c r="BZ271" s="43">
        <v>0</v>
      </c>
      <c r="CA271" s="1038"/>
      <c r="CB271" s="42"/>
      <c r="CC271" s="42">
        <v>0</v>
      </c>
      <c r="CD271" s="1039"/>
      <c r="CE271" s="78">
        <v>0</v>
      </c>
      <c r="CF271" s="56"/>
      <c r="CG271" s="42">
        <v>0</v>
      </c>
      <c r="CH271" s="39">
        <v>0</v>
      </c>
      <c r="CI271" s="78">
        <v>0</v>
      </c>
      <c r="CJ271" s="56"/>
      <c r="CK271" s="1034"/>
      <c r="CL271" s="1029"/>
      <c r="CM271" s="1034"/>
      <c r="CN271" s="1029">
        <v>0</v>
      </c>
      <c r="CO271" s="78">
        <v>0</v>
      </c>
      <c r="CP271" s="43">
        <v>0</v>
      </c>
      <c r="CQ271" s="5"/>
      <c r="CR271" s="78">
        <v>0</v>
      </c>
      <c r="CS271" s="1033">
        <v>0</v>
      </c>
      <c r="CT271" s="5"/>
      <c r="CU271" s="78">
        <v>0</v>
      </c>
      <c r="CV271" s="43">
        <v>0</v>
      </c>
      <c r="CW271" s="5"/>
      <c r="CX271" s="78">
        <v>0</v>
      </c>
      <c r="CY271" s="43">
        <v>0</v>
      </c>
      <c r="CZ271" s="5"/>
      <c r="DA271" s="78">
        <v>0</v>
      </c>
      <c r="DB271" s="43">
        <v>0</v>
      </c>
      <c r="DC271" s="5"/>
      <c r="DD271" s="78">
        <v>11.529254215465631</v>
      </c>
      <c r="DE271" s="43">
        <v>0</v>
      </c>
      <c r="DF271" s="5"/>
      <c r="DG271" s="78">
        <v>0</v>
      </c>
      <c r="DH271" s="43"/>
      <c r="DI271" s="5"/>
      <c r="DJ271" s="43">
        <v>11.529254215465631</v>
      </c>
      <c r="DK271" s="43">
        <f t="shared" si="38"/>
        <v>0</v>
      </c>
      <c r="DL271" s="59">
        <f t="shared" si="39"/>
        <v>-11.529254215465631</v>
      </c>
    </row>
    <row r="272" spans="1:116" ht="24.9" customHeight="1" x14ac:dyDescent="0.3">
      <c r="A272" s="328">
        <v>150000795</v>
      </c>
      <c r="B272" s="45" t="s">
        <v>291</v>
      </c>
      <c r="C272" s="1035">
        <v>5</v>
      </c>
      <c r="D272" s="1036" t="s">
        <v>454</v>
      </c>
      <c r="E272" s="1028">
        <f>'побудинковий звіт'!E270</f>
        <v>2653.7</v>
      </c>
      <c r="F272" s="1029">
        <f>'побудинковий звіт'!AS270</f>
        <v>37124.116289866673</v>
      </c>
      <c r="G272" s="1029">
        <f t="shared" si="32"/>
        <v>67223</v>
      </c>
      <c r="H272" s="1029">
        <f t="shared" si="33"/>
        <v>30098.883710133327</v>
      </c>
      <c r="I272" s="43">
        <f>'[1]поточний ремонт'!I272+'[2]поточний ремонт'!I272-'[3]поточний ремонт'!I272</f>
        <v>0</v>
      </c>
      <c r="J272" s="43">
        <f>'[1]поточний ремонт'!J272+'[2]поточний ремонт'!J272-'[3]поточний ремонт'!J272</f>
        <v>0</v>
      </c>
      <c r="K272" s="1037"/>
      <c r="L272" s="43">
        <f>'[1]поточний ремонт'!L272+'[2]поточний ремонт'!L272-'[3]поточний ремонт'!L272</f>
        <v>0</v>
      </c>
      <c r="M272" s="43">
        <f>'[1]поточний ремонт'!M272+'[2]поточний ремонт'!M272-'[3]поточний ремонт'!M272</f>
        <v>0</v>
      </c>
      <c r="N272" s="37"/>
      <c r="O272" s="43">
        <f>'[1]поточний ремонт'!O272+'[2]поточний ремонт'!O272-'[3]поточний ремонт'!O272</f>
        <v>74</v>
      </c>
      <c r="P272" s="43">
        <f>'[1]поточний ремонт'!P272+'[2]поточний ремонт'!P272-'[3]поточний ремонт'!P272</f>
        <v>16256</v>
      </c>
      <c r="Q272" s="1038"/>
      <c r="R272" s="43">
        <f>'[1]поточний ремонт'!R272+'[2]поточний ремонт'!R272-'[3]поточний ремонт'!R272</f>
        <v>0</v>
      </c>
      <c r="S272" s="43">
        <f>'[1]поточний ремонт'!S272+'[2]поточний ремонт'!S272-'[3]поточний ремонт'!S272</f>
        <v>0</v>
      </c>
      <c r="T272" s="1039"/>
      <c r="U272" s="43">
        <f>'[1]поточний ремонт'!U272+'[2]поточний ремонт'!U272-'[3]поточний ремонт'!U272</f>
        <v>0</v>
      </c>
      <c r="V272" s="43">
        <f>'[1]поточний ремонт'!V272+'[2]поточний ремонт'!V272-'[3]поточний ремонт'!V272</f>
        <v>0</v>
      </c>
      <c r="W272" s="43">
        <f>'[1]поточний ремонт'!W272+'[2]поточний ремонт'!W272-'[3]поточний ремонт'!W272</f>
        <v>0</v>
      </c>
      <c r="X272" s="43">
        <f>'[1]поточний ремонт'!X272+'[2]поточний ремонт'!X272-'[3]поточний ремонт'!X272</f>
        <v>0</v>
      </c>
      <c r="Y272" s="43">
        <f>'[1]поточний ремонт'!Y272+'[2]поточний ремонт'!Y272-'[3]поточний ремонт'!Y272</f>
        <v>522</v>
      </c>
      <c r="Z272" s="43">
        <f>'[1]поточний ремонт'!Z272+'[2]поточний ремонт'!Z272-'[3]поточний ремонт'!Z272</f>
        <v>0</v>
      </c>
      <c r="AA272" s="43">
        <f>'[1]поточний ремонт'!AA272+'[2]поточний ремонт'!AA272-'[3]поточний ремонт'!AA272</f>
        <v>1283</v>
      </c>
      <c r="AB272" s="43">
        <f>'[1]поточний ремонт'!AB272+'[2]поточний ремонт'!AB272-'[3]поточний ремонт'!AB272</f>
        <v>0</v>
      </c>
      <c r="AC272" s="43">
        <f>'[1]поточний ремонт'!AC272+'[2]поточний ремонт'!AC272-'[3]поточний ремонт'!AC272</f>
        <v>42141</v>
      </c>
      <c r="AD272" s="43">
        <f>'[1]поточний ремонт'!AD272+'[2]поточний ремонт'!AD272-'[3]поточний ремонт'!AD272</f>
        <v>7021</v>
      </c>
      <c r="AE272" s="43">
        <f>'[1]поточний ремонт'!AE272+'[2]поточний ремонт'!AE272-'[3]поточний ремонт'!AE272</f>
        <v>1762.1071081468467</v>
      </c>
      <c r="AF272" s="43">
        <f>'[1]поточний ремонт'!AF272+'[2]поточний ремонт'!AF272-'[3]поточний ремонт'!AF272</f>
        <v>1488</v>
      </c>
      <c r="AG272" s="5"/>
      <c r="AH272" s="43">
        <f>'[1]поточний ремонт'!AH272+'[2]поточний ремонт'!AH272-'[3]поточний ремонт'!AH272</f>
        <v>2570.742825601536</v>
      </c>
      <c r="AI272" s="43">
        <f>'[1]поточний ремонт'!AI272+'[2]поточний ремонт'!AI272-'[3]поточний ремонт'!AI272</f>
        <v>2619</v>
      </c>
      <c r="AJ272" s="5"/>
      <c r="AK272" s="43">
        <f>'[1]поточний ремонт'!AK272+'[2]поточний ремонт'!AK272-'[3]поточний ремонт'!AK272</f>
        <v>0</v>
      </c>
      <c r="AL272" s="43">
        <f>'[1]поточний ремонт'!AL272+'[2]поточний ремонт'!AL272-'[3]поточний ремонт'!AL272</f>
        <v>0</v>
      </c>
      <c r="AM272" s="5"/>
      <c r="AN272" s="43">
        <f>'[1]поточний ремонт'!AN272+'[2]поточний ремонт'!AN272-'[3]поточний ремонт'!AN272</f>
        <v>0</v>
      </c>
      <c r="AO272" s="43">
        <f>'[1]поточний ремонт'!AO272+'[2]поточний ремонт'!AO272-'[3]поточний ремонт'!AO272</f>
        <v>0</v>
      </c>
      <c r="AP272" s="5"/>
      <c r="AQ272" s="43">
        <f>'[1]поточний ремонт'!AQ272+'[2]поточний ремонт'!AQ272-'[3]поточний ремонт'!AQ272</f>
        <v>0</v>
      </c>
      <c r="AR272" s="43">
        <f>'[1]поточний ремонт'!AR272+'[2]поточний ремонт'!AR272-'[3]поточний ремонт'!AR272</f>
        <v>0</v>
      </c>
      <c r="AS272" s="5"/>
      <c r="AT272" s="43">
        <f>'[1]поточний ремонт'!AT272+'[2]поточний ремонт'!AT272-'[3]поточний ремонт'!AT272</f>
        <v>1589.7287286988139</v>
      </c>
      <c r="AU272" s="43">
        <f>'[1]поточний ремонт'!AU272+'[2]поточний ремонт'!AU272-'[3]поточний ремонт'!AU272</f>
        <v>591</v>
      </c>
      <c r="AV272" s="5"/>
      <c r="AW272" s="43">
        <f>'[1]поточний ремонт'!AW272+'[2]поточний ремонт'!AW272-'[3]поточний ремонт'!AW272</f>
        <v>0</v>
      </c>
      <c r="AX272" s="43">
        <f>'[1]поточний ремонт'!AX272+'[2]поточний ремонт'!AX272-'[3]поточний ремонт'!AX272</f>
        <v>0</v>
      </c>
      <c r="AY272" s="5"/>
      <c r="AZ272" s="43">
        <f t="shared" si="34"/>
        <v>5922.5786624471966</v>
      </c>
      <c r="BA272" s="43">
        <f t="shared" si="35"/>
        <v>4698</v>
      </c>
      <c r="BB272" s="59">
        <f t="shared" si="36"/>
        <v>-1224.5786624471966</v>
      </c>
      <c r="BD272" s="2">
        <v>3</v>
      </c>
      <c r="BF272" s="30">
        <v>206.48301761723096</v>
      </c>
      <c r="BG272" s="328">
        <v>150000795</v>
      </c>
      <c r="BI272" s="107">
        <v>0</v>
      </c>
      <c r="BJ272" s="107">
        <f t="shared" si="37"/>
        <v>0</v>
      </c>
      <c r="BK272" s="107">
        <v>0</v>
      </c>
      <c r="BL272" s="39"/>
      <c r="BM272" s="3"/>
      <c r="BN272" s="3">
        <v>0</v>
      </c>
      <c r="BP272" s="3"/>
      <c r="BQ272" s="3"/>
      <c r="BS272" s="43"/>
      <c r="BT272" s="43">
        <v>0</v>
      </c>
      <c r="BU272" s="1037"/>
      <c r="BV272" s="42"/>
      <c r="BW272" s="43"/>
      <c r="BX272" s="37"/>
      <c r="BY272" s="78"/>
      <c r="BZ272" s="43">
        <v>0</v>
      </c>
      <c r="CA272" s="1038"/>
      <c r="CB272" s="42"/>
      <c r="CC272" s="42">
        <v>0</v>
      </c>
      <c r="CD272" s="1039"/>
      <c r="CE272" s="78">
        <v>0</v>
      </c>
      <c r="CF272" s="56"/>
      <c r="CG272" s="42">
        <v>0</v>
      </c>
      <c r="CH272" s="39">
        <v>0</v>
      </c>
      <c r="CI272" s="78">
        <v>0</v>
      </c>
      <c r="CJ272" s="56"/>
      <c r="CK272" s="1034"/>
      <c r="CL272" s="1029"/>
      <c r="CM272" s="1034"/>
      <c r="CN272" s="1029">
        <v>0</v>
      </c>
      <c r="CO272" s="78">
        <v>146.84225901223721</v>
      </c>
      <c r="CP272" s="43">
        <v>718.39040951413278</v>
      </c>
      <c r="CQ272" s="5"/>
      <c r="CR272" s="78">
        <v>214.22856880012804</v>
      </c>
      <c r="CS272" s="1033">
        <v>0</v>
      </c>
      <c r="CT272" s="5"/>
      <c r="CU272" s="78">
        <v>0</v>
      </c>
      <c r="CV272" s="43">
        <v>0</v>
      </c>
      <c r="CW272" s="5"/>
      <c r="CX272" s="78">
        <v>0</v>
      </c>
      <c r="CY272" s="43">
        <v>0</v>
      </c>
      <c r="CZ272" s="5"/>
      <c r="DA272" s="78">
        <v>0</v>
      </c>
      <c r="DB272" s="43">
        <v>0</v>
      </c>
      <c r="DC272" s="5"/>
      <c r="DD272" s="78">
        <v>132.47739405823449</v>
      </c>
      <c r="DE272" s="43">
        <v>0</v>
      </c>
      <c r="DF272" s="5"/>
      <c r="DG272" s="78">
        <v>0</v>
      </c>
      <c r="DH272" s="43"/>
      <c r="DI272" s="5"/>
      <c r="DJ272" s="43">
        <v>493.54822187059972</v>
      </c>
      <c r="DK272" s="43">
        <f t="shared" si="38"/>
        <v>718.39040951413278</v>
      </c>
      <c r="DL272" s="59">
        <f t="shared" si="39"/>
        <v>224.84218764353307</v>
      </c>
    </row>
    <row r="273" spans="1:116" ht="24.9" customHeight="1" x14ac:dyDescent="0.3">
      <c r="A273" s="328">
        <v>150000832</v>
      </c>
      <c r="B273" s="45" t="s">
        <v>1780</v>
      </c>
      <c r="C273" s="1035">
        <v>10</v>
      </c>
      <c r="D273" s="1036" t="s">
        <v>454</v>
      </c>
      <c r="E273" s="1028">
        <f>'побудинковий звіт'!E271</f>
        <v>1773.9</v>
      </c>
      <c r="F273" s="1029">
        <f>'побудинковий звіт'!AS271</f>
        <v>61933.085589067923</v>
      </c>
      <c r="G273" s="1029">
        <f t="shared" si="32"/>
        <v>8529</v>
      </c>
      <c r="H273" s="1029">
        <f t="shared" si="33"/>
        <v>-53404.085589067923</v>
      </c>
      <c r="I273" s="43">
        <f>'[1]поточний ремонт'!I273+'[2]поточний ремонт'!I273-'[3]поточний ремонт'!I273</f>
        <v>0</v>
      </c>
      <c r="J273" s="43">
        <f>'[1]поточний ремонт'!J273+'[2]поточний ремонт'!J273-'[3]поточний ремонт'!J273</f>
        <v>0</v>
      </c>
      <c r="K273" s="1037"/>
      <c r="L273" s="43">
        <f>'[1]поточний ремонт'!L273+'[2]поточний ремонт'!L273-'[3]поточний ремонт'!L273</f>
        <v>0</v>
      </c>
      <c r="M273" s="43">
        <f>'[1]поточний ремонт'!M273+'[2]поточний ремонт'!M273-'[3]поточний ремонт'!M273</f>
        <v>0</v>
      </c>
      <c r="N273" s="37"/>
      <c r="O273" s="43">
        <f>'[1]поточний ремонт'!O273+'[2]поточний ремонт'!O273-'[3]поточний ремонт'!O273</f>
        <v>0</v>
      </c>
      <c r="P273" s="43">
        <f>'[1]поточний ремонт'!P273+'[2]поточний ремонт'!P273-'[3]поточний ремонт'!P273</f>
        <v>0</v>
      </c>
      <c r="Q273" s="1038"/>
      <c r="R273" s="43">
        <f>'[1]поточний ремонт'!R273+'[2]поточний ремонт'!R273-'[3]поточний ремонт'!R273</f>
        <v>0</v>
      </c>
      <c r="S273" s="43">
        <f>'[1]поточний ремонт'!S273+'[2]поточний ремонт'!S273-'[3]поточний ремонт'!S273</f>
        <v>0</v>
      </c>
      <c r="T273" s="1047"/>
      <c r="U273" s="43">
        <f>'[1]поточний ремонт'!U273+'[2]поточний ремонт'!U273-'[3]поточний ремонт'!U273</f>
        <v>0</v>
      </c>
      <c r="V273" s="43">
        <f>'[1]поточний ремонт'!V273+'[2]поточний ремонт'!V273-'[3]поточний ремонт'!V273</f>
        <v>0</v>
      </c>
      <c r="W273" s="43">
        <f>'[1]поточний ремонт'!W273+'[2]поточний ремонт'!W273-'[3]поточний ремонт'!W273</f>
        <v>4</v>
      </c>
      <c r="X273" s="43">
        <f>'[1]поточний ремонт'!X273+'[2]поточний ремонт'!X273-'[3]поточний ремонт'!X273</f>
        <v>250</v>
      </c>
      <c r="Y273" s="43">
        <f>'[1]поточний ремонт'!Y273+'[2]поточний ремонт'!Y273-'[3]поточний ремонт'!Y273</f>
        <v>239</v>
      </c>
      <c r="Z273" s="43">
        <f>'[1]поточний ремонт'!Z273+'[2]поточний ремонт'!Z273-'[3]поточний ремонт'!Z273</f>
        <v>0</v>
      </c>
      <c r="AA273" s="43">
        <f>'[1]поточний ремонт'!AA273+'[2]поточний ремонт'!AA273-'[3]поточний ремонт'!AA273</f>
        <v>0</v>
      </c>
      <c r="AB273" s="43">
        <f>'[1]поточний ремонт'!AB273+'[2]поточний ремонт'!AB273-'[3]поточний ремонт'!AB273</f>
        <v>2311</v>
      </c>
      <c r="AC273" s="43">
        <f>'[1]поточний ремонт'!AC273+'[2]поточний ремонт'!AC273-'[3]поточний ремонт'!AC273</f>
        <v>4494</v>
      </c>
      <c r="AD273" s="43">
        <f>'[1]поточний ремонт'!AD273+'[2]поточний ремонт'!AD273-'[3]поточний ремонт'!AD273</f>
        <v>1235</v>
      </c>
      <c r="AE273" s="43">
        <f>'[1]поточний ремонт'!AE273+'[2]поточний ремонт'!AE273-'[3]поточний ремонт'!AE273</f>
        <v>1286.4451247283018</v>
      </c>
      <c r="AF273" s="43">
        <f>'[1]поточний ремонт'!AF273+'[2]поточний ремонт'!AF273-'[3]поточний ремонт'!AF273</f>
        <v>1342.8907635597841</v>
      </c>
      <c r="AG273" s="5"/>
      <c r="AH273" s="43">
        <f>'[1]поточний ремонт'!AH273+'[2]поточний ремонт'!AH273-'[3]поточний ремонт'!AH273</f>
        <v>1494.394984156788</v>
      </c>
      <c r="AI273" s="43">
        <f>'[1]поточний ремонт'!AI273+'[2]поточний ремонт'!AI273-'[3]поточний ремонт'!AI273</f>
        <v>3094</v>
      </c>
      <c r="AJ273" s="5"/>
      <c r="AK273" s="43">
        <f>'[1]поточний ремонт'!AK273+'[2]поточний ремонт'!AK273-'[3]поточний ремонт'!AK273</f>
        <v>1360.6626241905344</v>
      </c>
      <c r="AL273" s="43">
        <f>'[1]поточний ремонт'!AL273+'[2]поточний ремонт'!AL273-'[3]поточний ремонт'!AL273</f>
        <v>0</v>
      </c>
      <c r="AM273" s="5"/>
      <c r="AN273" s="43">
        <f>'[1]поточний ремонт'!AN273+'[2]поточний ремонт'!AN273-'[3]поточний ремонт'!AN273</f>
        <v>772.12588337701925</v>
      </c>
      <c r="AO273" s="43">
        <f>'[1]поточний ремонт'!AO273+'[2]поточний ремонт'!AO273-'[3]поточний ремонт'!AO273</f>
        <v>0</v>
      </c>
      <c r="AP273" s="5"/>
      <c r="AQ273" s="43">
        <f>'[1]поточний ремонт'!AQ273+'[2]поточний ремонт'!AQ273-'[3]поточний ремонт'!AQ273</f>
        <v>269.88106553717734</v>
      </c>
      <c r="AR273" s="43">
        <f>'[1]поточний ремонт'!AR273+'[2]поточний ремонт'!AR273-'[3]поточний ремонт'!AR273</f>
        <v>0</v>
      </c>
      <c r="AS273" s="5"/>
      <c r="AT273" s="43">
        <f>'[1]поточний ремонт'!AT273+'[2]поточний ремонт'!AT273-'[3]поточний ремонт'!AT273</f>
        <v>799.38644007811627</v>
      </c>
      <c r="AU273" s="43">
        <f>'[1]поточний ремонт'!AU273+'[2]поточний ремонт'!AU273-'[3]поточний ремонт'!AU273</f>
        <v>1047.8760942275612</v>
      </c>
      <c r="AV273" s="5"/>
      <c r="AW273" s="43">
        <f>'[1]поточний ремонт'!AW273+'[2]поточний ремонт'!AW273-'[3]поточний ремонт'!AW273</f>
        <v>479.27278233266935</v>
      </c>
      <c r="AX273" s="43">
        <f>'[1]поточний ремонт'!AX273+'[2]поточний ремонт'!AX273-'[3]поточний ремонт'!AX273</f>
        <v>0</v>
      </c>
      <c r="AY273" s="5"/>
      <c r="AZ273" s="43">
        <f t="shared" si="34"/>
        <v>6462.1689044006052</v>
      </c>
      <c r="BA273" s="43">
        <f t="shared" si="35"/>
        <v>5484.7668577873455</v>
      </c>
      <c r="BB273" s="59">
        <f t="shared" si="36"/>
        <v>-977.4020466132597</v>
      </c>
      <c r="BD273" s="2">
        <v>1</v>
      </c>
      <c r="BF273" s="30">
        <v>210.80278250336912</v>
      </c>
      <c r="BG273" s="328">
        <v>150000832</v>
      </c>
      <c r="BI273" s="107">
        <v>0</v>
      </c>
      <c r="BJ273" s="107">
        <f t="shared" si="37"/>
        <v>0</v>
      </c>
      <c r="BK273" s="107">
        <v>0</v>
      </c>
      <c r="BL273" s="39"/>
      <c r="BM273" s="3"/>
      <c r="BN273" s="3">
        <v>0</v>
      </c>
      <c r="BP273" s="3"/>
      <c r="BQ273" s="3"/>
      <c r="BS273" s="43"/>
      <c r="BT273" s="43">
        <v>0</v>
      </c>
      <c r="BU273" s="1037"/>
      <c r="BV273" s="42"/>
      <c r="BW273" s="43"/>
      <c r="BX273" s="37"/>
      <c r="BY273" s="78"/>
      <c r="BZ273" s="43">
        <v>0</v>
      </c>
      <c r="CA273" s="1038"/>
      <c r="CB273" s="42"/>
      <c r="CC273" s="42">
        <v>0</v>
      </c>
      <c r="CD273" s="1047"/>
      <c r="CE273" s="78">
        <v>0</v>
      </c>
      <c r="CF273" s="56"/>
      <c r="CG273" s="42">
        <v>0</v>
      </c>
      <c r="CH273" s="39">
        <v>0</v>
      </c>
      <c r="CI273" s="78">
        <v>0</v>
      </c>
      <c r="CJ273" s="58"/>
      <c r="CK273" s="1034"/>
      <c r="CL273" s="1029"/>
      <c r="CM273" s="1034"/>
      <c r="CN273" s="1029">
        <v>0</v>
      </c>
      <c r="CO273" s="78">
        <v>107.20376039402515</v>
      </c>
      <c r="CP273" s="43">
        <v>0</v>
      </c>
      <c r="CQ273" s="5"/>
      <c r="CR273" s="78">
        <v>124.53291534639898</v>
      </c>
      <c r="CS273" s="1033">
        <v>0</v>
      </c>
      <c r="CT273" s="5"/>
      <c r="CU273" s="78">
        <v>113.38855201587788</v>
      </c>
      <c r="CV273" s="43">
        <v>0</v>
      </c>
      <c r="CW273" s="5"/>
      <c r="CX273" s="78">
        <v>64.343823614751599</v>
      </c>
      <c r="CY273" s="43">
        <v>0</v>
      </c>
      <c r="CZ273" s="5"/>
      <c r="DA273" s="78">
        <v>22.490088794764784</v>
      </c>
      <c r="DB273" s="43">
        <v>0</v>
      </c>
      <c r="DC273" s="5"/>
      <c r="DD273" s="78">
        <v>66.615536673176337</v>
      </c>
      <c r="DE273" s="43">
        <v>0</v>
      </c>
      <c r="DF273" s="5"/>
      <c r="DG273" s="78">
        <v>39.939398527722432</v>
      </c>
      <c r="DH273" s="43"/>
      <c r="DI273" s="5"/>
      <c r="DJ273" s="43">
        <v>538.51407536671718</v>
      </c>
      <c r="DK273" s="43">
        <f t="shared" si="38"/>
        <v>0</v>
      </c>
      <c r="DL273" s="59">
        <f t="shared" si="39"/>
        <v>-538.51407536671718</v>
      </c>
    </row>
    <row r="274" spans="1:116" ht="24.9" customHeight="1" x14ac:dyDescent="0.3">
      <c r="A274" s="328">
        <v>150000833</v>
      </c>
      <c r="B274" s="45" t="s">
        <v>1781</v>
      </c>
      <c r="C274" s="1035">
        <v>9</v>
      </c>
      <c r="D274" s="1036" t="s">
        <v>454</v>
      </c>
      <c r="E274" s="1028">
        <f>'побудинковий звіт'!E272</f>
        <v>2311.4</v>
      </c>
      <c r="F274" s="1029">
        <f>'побудинковий звіт'!AS272</f>
        <v>68793.323041119729</v>
      </c>
      <c r="G274" s="1029">
        <f t="shared" si="32"/>
        <v>24560</v>
      </c>
      <c r="H274" s="1029">
        <f t="shared" si="33"/>
        <v>-44233.323041119729</v>
      </c>
      <c r="I274" s="43">
        <f>'[1]поточний ремонт'!I274+'[2]поточний ремонт'!I274-'[3]поточний ремонт'!I274</f>
        <v>26.7</v>
      </c>
      <c r="J274" s="43">
        <f>'[1]поточний ремонт'!J274+'[2]поточний ремонт'!J274-'[3]поточний ремонт'!J274</f>
        <v>14295</v>
      </c>
      <c r="K274" s="1041"/>
      <c r="L274" s="43">
        <f>'[1]поточний ремонт'!L274+'[2]поточний ремонт'!L274-'[3]поточний ремонт'!L274</f>
        <v>0</v>
      </c>
      <c r="M274" s="43">
        <f>'[1]поточний ремонт'!M274+'[2]поточний ремонт'!M274-'[3]поточний ремонт'!M274</f>
        <v>0</v>
      </c>
      <c r="N274" s="37"/>
      <c r="O274" s="43">
        <f>'[1]поточний ремонт'!O274+'[2]поточний ремонт'!O274-'[3]поточний ремонт'!O274</f>
        <v>0</v>
      </c>
      <c r="P274" s="43">
        <f>'[1]поточний ремонт'!P274+'[2]поточний ремонт'!P274-'[3]поточний ремонт'!P274</f>
        <v>0</v>
      </c>
      <c r="Q274" s="1038"/>
      <c r="R274" s="43">
        <f>'[1]поточний ремонт'!R274+'[2]поточний ремонт'!R274-'[3]поточний ремонт'!R274</f>
        <v>1</v>
      </c>
      <c r="S274" s="43">
        <f>'[1]поточний ремонт'!S274+'[2]поточний ремонт'!S274-'[3]поточний ремонт'!S274</f>
        <v>2026</v>
      </c>
      <c r="T274" s="1047"/>
      <c r="U274" s="43">
        <f>'[1]поточний ремонт'!U274+'[2]поточний ремонт'!U274-'[3]поточний ремонт'!U274</f>
        <v>0</v>
      </c>
      <c r="V274" s="43">
        <f>'[1]поточний ремонт'!V274+'[2]поточний ремонт'!V274-'[3]поточний ремонт'!V274</f>
        <v>0</v>
      </c>
      <c r="W274" s="43">
        <f>'[1]поточний ремонт'!W274+'[2]поточний ремонт'!W274-'[3]поточний ремонт'!W274</f>
        <v>6</v>
      </c>
      <c r="X274" s="43">
        <f>'[1]поточний ремонт'!X274+'[2]поточний ремонт'!X274-'[3]поточний ремонт'!X274</f>
        <v>410</v>
      </c>
      <c r="Y274" s="43">
        <f>'[1]поточний ремонт'!Y274+'[2]поточний ремонт'!Y274-'[3]поточний ремонт'!Y274</f>
        <v>240</v>
      </c>
      <c r="Z274" s="43">
        <f>'[1]поточний ремонт'!Z274+'[2]поточний ремонт'!Z274-'[3]поточний ремонт'!Z274</f>
        <v>0</v>
      </c>
      <c r="AA274" s="43">
        <f>'[1]поточний ремонт'!AA274+'[2]поточний ремонт'!AA274-'[3]поточний ремонт'!AA274</f>
        <v>0</v>
      </c>
      <c r="AB274" s="43">
        <f>'[1]поточний ремонт'!AB274+'[2]поточний ремонт'!AB274-'[3]поточний ремонт'!AB274</f>
        <v>6618</v>
      </c>
      <c r="AC274" s="43">
        <f>'[1]поточний ремонт'!AC274+'[2]поточний ремонт'!AC274-'[3]поточний ремонт'!AC274</f>
        <v>0</v>
      </c>
      <c r="AD274" s="43">
        <f>'[1]поточний ремонт'!AD274+'[2]поточний ремонт'!AD274-'[3]поточний ремонт'!AD274</f>
        <v>971</v>
      </c>
      <c r="AE274" s="43">
        <f>'[1]поточний ремонт'!AE274+'[2]поточний ремонт'!AE274-'[3]поточний ремонт'!AE274</f>
        <v>1029.1560997826414</v>
      </c>
      <c r="AF274" s="43">
        <f>'[1]поточний ремонт'!AF274+'[2]поточний ремонт'!AF274-'[3]поточний ремонт'!AF274</f>
        <v>4245.3894632361389</v>
      </c>
      <c r="AG274" s="5"/>
      <c r="AH274" s="43">
        <f>'[1]поточний ремонт'!AH274+'[2]поточний ремонт'!AH274-'[3]поточний ремонт'!AH274</f>
        <v>1111.4041540851915</v>
      </c>
      <c r="AI274" s="43">
        <f>'[1]поточний ремонт'!AI274+'[2]поточний ремонт'!AI274-'[3]поточний ремонт'!AI274</f>
        <v>1220</v>
      </c>
      <c r="AJ274" s="5"/>
      <c r="AK274" s="43">
        <f>'[1]поточний ремонт'!AK274+'[2]поточний ремонт'!AK274-'[3]поточний ремонт'!AK274</f>
        <v>1379.4653112763287</v>
      </c>
      <c r="AL274" s="43">
        <f>'[1]поточний ремонт'!AL274+'[2]поточний ремонт'!AL274-'[3]поточний ремонт'!AL274</f>
        <v>0</v>
      </c>
      <c r="AM274" s="5"/>
      <c r="AN274" s="43">
        <f>'[1]поточний ремонт'!AN274+'[2]поточний ремонт'!AN274-'[3]поточний ремонт'!AN274</f>
        <v>667.0073416075569</v>
      </c>
      <c r="AO274" s="43">
        <f>'[1]поточний ремонт'!AO274+'[2]поточний ремонт'!AO274-'[3]поточний ремонт'!AO274</f>
        <v>0</v>
      </c>
      <c r="AP274" s="5"/>
      <c r="AQ274" s="43">
        <f>'[1]поточний ремонт'!AQ274+'[2]поточний ремонт'!AQ274-'[3]поточний ремонт'!AQ274</f>
        <v>338.22757708625721</v>
      </c>
      <c r="AR274" s="43">
        <f>'[1]поточний ремонт'!AR274+'[2]поточний ремонт'!AR274-'[3]поточний ремонт'!AR274</f>
        <v>0</v>
      </c>
      <c r="AS274" s="5"/>
      <c r="AT274" s="43">
        <f>'[1]поточний ремонт'!AT274+'[2]поточний ремонт'!AT274-'[3]поточний ремонт'!AT274</f>
        <v>630.97134106334943</v>
      </c>
      <c r="AU274" s="43">
        <f>'[1]поточний ремонт'!AU274+'[2]поточний ремонт'!AU274-'[3]поточний ремонт'!AU274</f>
        <v>7223.0639787842392</v>
      </c>
      <c r="AV274" s="5"/>
      <c r="AW274" s="43">
        <f>'[1]поточний ремонт'!AW274+'[2]поточний ремонт'!AW274-'[3]поточний ремонт'!AW274</f>
        <v>473.28042335629442</v>
      </c>
      <c r="AX274" s="43">
        <f>'[1]поточний ремонт'!AX274+'[2]поточний ремонт'!AX274-'[3]поточний ремонт'!AX274</f>
        <v>0</v>
      </c>
      <c r="AY274" s="5"/>
      <c r="AZ274" s="43">
        <f t="shared" si="34"/>
        <v>5629.5122482576198</v>
      </c>
      <c r="BA274" s="43">
        <f t="shared" si="35"/>
        <v>12688.453442020378</v>
      </c>
      <c r="BB274" s="59">
        <f t="shared" si="36"/>
        <v>7058.9411937627583</v>
      </c>
      <c r="BD274" s="2">
        <v>1</v>
      </c>
      <c r="BF274" s="30">
        <v>222.00560750266172</v>
      </c>
      <c r="BG274" s="328">
        <v>150000833</v>
      </c>
      <c r="BI274" s="107">
        <v>0</v>
      </c>
      <c r="BJ274" s="107">
        <f t="shared" si="37"/>
        <v>0</v>
      </c>
      <c r="BK274" s="107">
        <v>0</v>
      </c>
      <c r="BL274" s="39"/>
      <c r="BM274" s="3">
        <v>3</v>
      </c>
      <c r="BN274" s="3">
        <v>246.45645239183523</v>
      </c>
      <c r="BP274" s="3"/>
      <c r="BQ274" s="3"/>
      <c r="BS274" s="43"/>
      <c r="BT274" s="43">
        <v>0</v>
      </c>
      <c r="BU274" s="1041"/>
      <c r="BV274" s="42"/>
      <c r="BW274" s="43"/>
      <c r="BX274" s="37"/>
      <c r="BY274" s="78"/>
      <c r="BZ274" s="43">
        <v>0</v>
      </c>
      <c r="CA274" s="1038"/>
      <c r="CB274" s="42"/>
      <c r="CC274" s="42">
        <v>0</v>
      </c>
      <c r="CD274" s="1047"/>
      <c r="CE274" s="78">
        <v>0</v>
      </c>
      <c r="CF274" s="56"/>
      <c r="CG274" s="42">
        <v>3</v>
      </c>
      <c r="CH274" s="39">
        <v>246.45645239183523</v>
      </c>
      <c r="CI274" s="78">
        <v>0</v>
      </c>
      <c r="CJ274" s="1044"/>
      <c r="CK274" s="1034"/>
      <c r="CL274" s="1029"/>
      <c r="CM274" s="1034"/>
      <c r="CN274" s="1029">
        <v>811.52134264233246</v>
      </c>
      <c r="CO274" s="78">
        <v>85.763008315220134</v>
      </c>
      <c r="CP274" s="43">
        <v>0</v>
      </c>
      <c r="CQ274" s="5"/>
      <c r="CR274" s="78">
        <v>92.617012840432636</v>
      </c>
      <c r="CS274" s="1033">
        <v>0</v>
      </c>
      <c r="CT274" s="5"/>
      <c r="CU274" s="78">
        <v>114.95544260636071</v>
      </c>
      <c r="CV274" s="43">
        <v>0</v>
      </c>
      <c r="CW274" s="5"/>
      <c r="CX274" s="78">
        <v>55.583945133963063</v>
      </c>
      <c r="CY274" s="43">
        <v>0</v>
      </c>
      <c r="CZ274" s="5"/>
      <c r="DA274" s="78">
        <v>28.185631423854762</v>
      </c>
      <c r="DB274" s="43">
        <v>0</v>
      </c>
      <c r="DC274" s="5"/>
      <c r="DD274" s="78">
        <v>52.580945088612452</v>
      </c>
      <c r="DE274" s="43">
        <v>0</v>
      </c>
      <c r="DF274" s="5"/>
      <c r="DG274" s="78">
        <v>39.440035279691216</v>
      </c>
      <c r="DH274" s="43"/>
      <c r="DI274" s="5"/>
      <c r="DJ274" s="43">
        <v>469.12602068813499</v>
      </c>
      <c r="DK274" s="43">
        <f t="shared" si="38"/>
        <v>0</v>
      </c>
      <c r="DL274" s="59">
        <f t="shared" si="39"/>
        <v>-469.12602068813499</v>
      </c>
    </row>
    <row r="275" spans="1:116" ht="24.9" customHeight="1" x14ac:dyDescent="0.3">
      <c r="A275" s="328">
        <v>150000836</v>
      </c>
      <c r="B275" s="45" t="s">
        <v>1782</v>
      </c>
      <c r="C275" s="1035">
        <v>3</v>
      </c>
      <c r="D275" s="1036" t="s">
        <v>454</v>
      </c>
      <c r="E275" s="1028">
        <f>'побудинковий звіт'!E273</f>
        <v>3567.9</v>
      </c>
      <c r="F275" s="1029">
        <f>'побудинковий звіт'!AS273</f>
        <v>26167.94777580196</v>
      </c>
      <c r="G275" s="1029">
        <f t="shared" si="32"/>
        <v>3442</v>
      </c>
      <c r="H275" s="1029">
        <f t="shared" si="33"/>
        <v>-22725.94777580196</v>
      </c>
      <c r="I275" s="43">
        <f>'[1]поточний ремонт'!I275+'[2]поточний ремонт'!I275-'[3]поточний ремонт'!I275</f>
        <v>0</v>
      </c>
      <c r="J275" s="43">
        <f>'[1]поточний ремонт'!J275+'[2]поточний ремонт'!J275-'[3]поточний ремонт'!J275</f>
        <v>0</v>
      </c>
      <c r="K275" s="1037"/>
      <c r="L275" s="43">
        <f>'[1]поточний ремонт'!L275+'[2]поточний ремонт'!L275-'[3]поточний ремонт'!L275</f>
        <v>0</v>
      </c>
      <c r="M275" s="43">
        <f>'[1]поточний ремонт'!M275+'[2]поточний ремонт'!M275-'[3]поточний ремонт'!M275</f>
        <v>0</v>
      </c>
      <c r="N275" s="37"/>
      <c r="O275" s="43">
        <f>'[1]поточний ремонт'!O275+'[2]поточний ремонт'!O275-'[3]поточний ремонт'!O275</f>
        <v>0</v>
      </c>
      <c r="P275" s="43">
        <f>'[1]поточний ремонт'!P275+'[2]поточний ремонт'!P275-'[3]поточний ремонт'!P275</f>
        <v>0</v>
      </c>
      <c r="Q275" s="1038"/>
      <c r="R275" s="43">
        <f>'[1]поточний ремонт'!R275+'[2]поточний ремонт'!R275-'[3]поточний ремонт'!R275</f>
        <v>0</v>
      </c>
      <c r="S275" s="43">
        <f>'[1]поточний ремонт'!S275+'[2]поточний ремонт'!S275-'[3]поточний ремонт'!S275</f>
        <v>0</v>
      </c>
      <c r="T275" s="1039"/>
      <c r="U275" s="43">
        <f>'[1]поточний ремонт'!U275+'[2]поточний ремонт'!U275-'[3]поточний ремонт'!U275</f>
        <v>0</v>
      </c>
      <c r="V275" s="43">
        <f>'[1]поточний ремонт'!V275+'[2]поточний ремонт'!V275-'[3]поточний ремонт'!V275</f>
        <v>0</v>
      </c>
      <c r="W275" s="43">
        <f>'[1]поточний ремонт'!W275+'[2]поточний ремонт'!W275-'[3]поточний ремонт'!W275</f>
        <v>0</v>
      </c>
      <c r="X275" s="43">
        <f>'[1]поточний ремонт'!X275+'[2]поточний ремонт'!X275-'[3]поточний ремонт'!X275</f>
        <v>0</v>
      </c>
      <c r="Y275" s="43">
        <f>'[1]поточний ремонт'!Y275+'[2]поточний ремонт'!Y275-'[3]поточний ремонт'!Y275</f>
        <v>327</v>
      </c>
      <c r="Z275" s="43">
        <f>'[1]поточний ремонт'!Z275+'[2]поточний ремонт'!Z275-'[3]поточний ремонт'!Z275</f>
        <v>0</v>
      </c>
      <c r="AA275" s="43">
        <f>'[1]поточний ремонт'!AA275+'[2]поточний ремонт'!AA275-'[3]поточний ремонт'!AA275</f>
        <v>0</v>
      </c>
      <c r="AB275" s="43">
        <f>'[1]поточний ремонт'!AB275+'[2]поточний ремонт'!AB275-'[3]поточний ремонт'!AB275</f>
        <v>3115</v>
      </c>
      <c r="AC275" s="43">
        <f>'[1]поточний ремонт'!AC275+'[2]поточний ремонт'!AC275-'[3]поточний ремонт'!AC275</f>
        <v>0</v>
      </c>
      <c r="AD275" s="43">
        <f>'[1]поточний ремонт'!AD275+'[2]поточний ремонт'!AD275-'[3]поточний ремонт'!AD275</f>
        <v>0</v>
      </c>
      <c r="AE275" s="43">
        <f>'[1]поточний ремонт'!AE275+'[2]поточний ремонт'!AE275-'[3]поточний ремонт'!AE275</f>
        <v>1177.4874086718121</v>
      </c>
      <c r="AF275" s="43">
        <f>'[1]поточний ремонт'!AF275+'[2]поточний ремонт'!AF275-'[3]поточний ремонт'!AF275</f>
        <v>0</v>
      </c>
      <c r="AG275" s="5"/>
      <c r="AH275" s="43">
        <f>'[1]поточний ремонт'!AH275+'[2]поточний ремонт'!AH275-'[3]поточний ремонт'!AH275</f>
        <v>1714.7481482563896</v>
      </c>
      <c r="AI275" s="43">
        <f>'[1]поточний ремонт'!AI275+'[2]поточний ремонт'!AI275-'[3]поточний ремонт'!AI275</f>
        <v>6123</v>
      </c>
      <c r="AJ275" s="5"/>
      <c r="AK275" s="43">
        <f>'[1]поточний ремонт'!AK275+'[2]поточний ремонт'!AK275-'[3]поточний ремонт'!AK275</f>
        <v>1046.4017712720649</v>
      </c>
      <c r="AL275" s="43">
        <f>'[1]поточний ремонт'!AL275+'[2]поточний ремонт'!AL275-'[3]поточний ремонт'!AL275</f>
        <v>0</v>
      </c>
      <c r="AM275" s="5"/>
      <c r="AN275" s="43">
        <f>'[1]поточний ремонт'!AN275+'[2]поточний ремонт'!AN275-'[3]поточний ремонт'!AN275</f>
        <v>639.2299292562808</v>
      </c>
      <c r="AO275" s="43">
        <f>'[1]поточний ремонт'!AO275+'[2]поточний ремонт'!AO275-'[3]поточний ремонт'!AO275</f>
        <v>0</v>
      </c>
      <c r="AP275" s="5"/>
      <c r="AQ275" s="43">
        <f>'[1]поточний ремонт'!AQ275+'[2]поточний ремонт'!AQ275-'[3]поточний ремонт'!AQ275</f>
        <v>215.84670153417849</v>
      </c>
      <c r="AR275" s="43">
        <f>'[1]поточний ремонт'!AR275+'[2]поточний ремонт'!AR275-'[3]поточний ремонт'!AR275</f>
        <v>0</v>
      </c>
      <c r="AS275" s="5"/>
      <c r="AT275" s="43">
        <f>'[1]поточний ремонт'!AT275+'[2]поточний ремонт'!AT275-'[3]поточний ремонт'!AT275</f>
        <v>553.11184355419323</v>
      </c>
      <c r="AU275" s="43">
        <f>'[1]поточний ремонт'!AU275+'[2]поточний ремонт'!AU275-'[3]поточний ремонт'!AU275</f>
        <v>328</v>
      </c>
      <c r="AV275" s="5"/>
      <c r="AW275" s="43">
        <f>'[1]поточний ремонт'!AW275+'[2]поточний ремонт'!AW275-'[3]поточний ремонт'!AW275</f>
        <v>191.44566298922325</v>
      </c>
      <c r="AX275" s="43">
        <f>'[1]поточний ремонт'!AX275+'[2]поточний ремонт'!AX275-'[3]поточний ремонт'!AX275</f>
        <v>0</v>
      </c>
      <c r="AY275" s="5"/>
      <c r="AZ275" s="43">
        <f t="shared" si="34"/>
        <v>5538.2714655341424</v>
      </c>
      <c r="BA275" s="43">
        <f t="shared" si="35"/>
        <v>6451</v>
      </c>
      <c r="BB275" s="59">
        <f t="shared" si="36"/>
        <v>912.72853446585759</v>
      </c>
      <c r="BD275" s="2">
        <v>1</v>
      </c>
      <c r="BF275" s="30">
        <v>73.75270986815346</v>
      </c>
      <c r="BG275" s="328">
        <v>150000836</v>
      </c>
      <c r="BI275" s="107">
        <v>0</v>
      </c>
      <c r="BJ275" s="107">
        <f t="shared" si="37"/>
        <v>0</v>
      </c>
      <c r="BK275" s="107">
        <v>0</v>
      </c>
      <c r="BL275" s="39"/>
      <c r="BM275" s="3"/>
      <c r="BN275" s="3">
        <v>0</v>
      </c>
      <c r="BP275" s="3"/>
      <c r="BQ275" s="3"/>
      <c r="BS275" s="43">
        <v>2.5</v>
      </c>
      <c r="BT275" s="43">
        <v>1326.0093068257008</v>
      </c>
      <c r="BU275" s="1037"/>
      <c r="BV275" s="42"/>
      <c r="BW275" s="43"/>
      <c r="BX275" s="37"/>
      <c r="BY275" s="78"/>
      <c r="BZ275" s="43">
        <v>0</v>
      </c>
      <c r="CA275" s="1038"/>
      <c r="CB275" s="42"/>
      <c r="CC275" s="42">
        <v>0</v>
      </c>
      <c r="CD275" s="1039"/>
      <c r="CE275" s="78">
        <v>0</v>
      </c>
      <c r="CF275" s="56"/>
      <c r="CG275" s="42">
        <v>0</v>
      </c>
      <c r="CH275" s="39">
        <v>0</v>
      </c>
      <c r="CI275" s="78">
        <v>0</v>
      </c>
      <c r="CJ275" s="56"/>
      <c r="CK275" s="1034"/>
      <c r="CL275" s="1029"/>
      <c r="CM275" s="1034"/>
      <c r="CN275" s="1029">
        <v>0</v>
      </c>
      <c r="CO275" s="78">
        <v>98.123950722651031</v>
      </c>
      <c r="CP275" s="43">
        <v>0</v>
      </c>
      <c r="CQ275" s="5"/>
      <c r="CR275" s="78">
        <v>142.89567902136579</v>
      </c>
      <c r="CS275" s="1033">
        <v>0</v>
      </c>
      <c r="CT275" s="5"/>
      <c r="CU275" s="78">
        <v>87.200147606005402</v>
      </c>
      <c r="CV275" s="43">
        <v>0</v>
      </c>
      <c r="CW275" s="5"/>
      <c r="CX275" s="78">
        <v>53.269160771356745</v>
      </c>
      <c r="CY275" s="43">
        <v>0</v>
      </c>
      <c r="CZ275" s="5"/>
      <c r="DA275" s="78">
        <v>17.987225127848209</v>
      </c>
      <c r="DB275" s="43">
        <v>0</v>
      </c>
      <c r="DC275" s="5"/>
      <c r="DD275" s="78">
        <v>46.092653629516093</v>
      </c>
      <c r="DE275" s="43">
        <v>0</v>
      </c>
      <c r="DF275" s="5"/>
      <c r="DG275" s="78">
        <v>15.953805249101936</v>
      </c>
      <c r="DH275" s="43"/>
      <c r="DI275" s="5"/>
      <c r="DJ275" s="43">
        <v>461.52262212784524</v>
      </c>
      <c r="DK275" s="43">
        <f t="shared" si="38"/>
        <v>0</v>
      </c>
      <c r="DL275" s="59">
        <f t="shared" si="39"/>
        <v>-461.52262212784524</v>
      </c>
    </row>
    <row r="276" spans="1:116" ht="24.9" customHeight="1" x14ac:dyDescent="0.3">
      <c r="A276" s="328">
        <v>150000837</v>
      </c>
      <c r="B276" s="45" t="s">
        <v>1783</v>
      </c>
      <c r="C276" s="1035">
        <v>3</v>
      </c>
      <c r="D276" s="1036" t="s">
        <v>454</v>
      </c>
      <c r="E276" s="1028">
        <f>'побудинковий звіт'!E274</f>
        <v>3446.6</v>
      </c>
      <c r="F276" s="1029">
        <f>'побудинковий звіт'!AS274</f>
        <v>5248.5597123362022</v>
      </c>
      <c r="G276" s="1029">
        <f t="shared" si="32"/>
        <v>0</v>
      </c>
      <c r="H276" s="1029">
        <f t="shared" si="33"/>
        <v>-5248.5597123362022</v>
      </c>
      <c r="I276" s="43">
        <f>'[1]поточний ремонт'!I276+'[2]поточний ремонт'!I276-'[3]поточний ремонт'!I276</f>
        <v>0</v>
      </c>
      <c r="J276" s="43">
        <f>'[1]поточний ремонт'!J276+'[2]поточний ремонт'!J276-'[3]поточний ремонт'!J276</f>
        <v>0</v>
      </c>
      <c r="K276" s="1041"/>
      <c r="L276" s="43">
        <f>'[1]поточний ремонт'!L276+'[2]поточний ремонт'!L276-'[3]поточний ремонт'!L276</f>
        <v>0</v>
      </c>
      <c r="M276" s="43">
        <f>'[1]поточний ремонт'!M276+'[2]поточний ремонт'!M276-'[3]поточний ремонт'!M276</f>
        <v>0</v>
      </c>
      <c r="N276" s="1040"/>
      <c r="O276" s="43">
        <f>'[1]поточний ремонт'!O276+'[2]поточний ремонт'!O276-'[3]поточний ремонт'!O276</f>
        <v>0</v>
      </c>
      <c r="P276" s="43">
        <f>'[1]поточний ремонт'!P276+'[2]поточний ремонт'!P276-'[3]поточний ремонт'!P276</f>
        <v>0</v>
      </c>
      <c r="Q276" s="1038"/>
      <c r="R276" s="43">
        <f>'[1]поточний ремонт'!R276+'[2]поточний ремонт'!R276-'[3]поточний ремонт'!R276</f>
        <v>0</v>
      </c>
      <c r="S276" s="43">
        <f>'[1]поточний ремонт'!S276+'[2]поточний ремонт'!S276-'[3]поточний ремонт'!S276</f>
        <v>0</v>
      </c>
      <c r="T276" s="1039"/>
      <c r="U276" s="43">
        <f>'[1]поточний ремонт'!U276+'[2]поточний ремонт'!U276-'[3]поточний ремонт'!U276</f>
        <v>0</v>
      </c>
      <c r="V276" s="43">
        <f>'[1]поточний ремонт'!V276+'[2]поточний ремонт'!V276-'[3]поточний ремонт'!V276</f>
        <v>0</v>
      </c>
      <c r="W276" s="43">
        <f>'[1]поточний ремонт'!W276+'[2]поточний ремонт'!W276-'[3]поточний ремонт'!W276</f>
        <v>0</v>
      </c>
      <c r="X276" s="43">
        <f>'[1]поточний ремонт'!X276+'[2]поточний ремонт'!X276-'[3]поточний ремонт'!X276</f>
        <v>0</v>
      </c>
      <c r="Y276" s="43">
        <f>'[1]поточний ремонт'!Y276+'[2]поточний ремонт'!Y276-'[3]поточний ремонт'!Y276</f>
        <v>0</v>
      </c>
      <c r="Z276" s="43">
        <f>'[1]поточний ремонт'!Z276+'[2]поточний ремонт'!Z276-'[3]поточний ремонт'!Z276</f>
        <v>0</v>
      </c>
      <c r="AA276" s="43">
        <f>'[1]поточний ремонт'!AA276+'[2]поточний ремонт'!AA276-'[3]поточний ремонт'!AA276</f>
        <v>0</v>
      </c>
      <c r="AB276" s="43">
        <f>'[1]поточний ремонт'!AB276+'[2]поточний ремонт'!AB276-'[3]поточний ремонт'!AB276</f>
        <v>0</v>
      </c>
      <c r="AC276" s="43">
        <f>'[1]поточний ремонт'!AC276+'[2]поточний ремонт'!AC276-'[3]поточний ремонт'!AC276</f>
        <v>0</v>
      </c>
      <c r="AD276" s="43">
        <f>'[1]поточний ремонт'!AD276+'[2]поточний ремонт'!AD276-'[3]поточний ремонт'!AD276</f>
        <v>0</v>
      </c>
      <c r="AE276" s="43">
        <f>'[1]поточний ремонт'!AE276+'[2]поточний ремонт'!AE276-'[3]поточний ремонт'!AE276</f>
        <v>550.79826680800022</v>
      </c>
      <c r="AF276" s="43">
        <f>'[1]поточний ремонт'!AF276+'[2]поточний ремонт'!AF276-'[3]поточний ремонт'!AF276</f>
        <v>0</v>
      </c>
      <c r="AG276" s="5"/>
      <c r="AH276" s="43">
        <f>'[1]поточний ремонт'!AH276+'[2]поточний ремонт'!AH276-'[3]поточний ремонт'!AH276</f>
        <v>558.96847012165529</v>
      </c>
      <c r="AI276" s="43">
        <f>'[1]поточний ремонт'!AI276+'[2]поточний ремонт'!AI276-'[3]поточний ремонт'!AI276</f>
        <v>0</v>
      </c>
      <c r="AJ276" s="5"/>
      <c r="AK276" s="43">
        <f>'[1]поточний ремонт'!AK276+'[2]поточний ремонт'!AK276-'[3]поточний ремонт'!AK276</f>
        <v>407.48074181264576</v>
      </c>
      <c r="AL276" s="43">
        <f>'[1]поточний ремонт'!AL276+'[2]поточний ремонт'!AL276-'[3]поточний ремонт'!AL276</f>
        <v>664</v>
      </c>
      <c r="AM276" s="5"/>
      <c r="AN276" s="43">
        <f>'[1]поточний ремонт'!AN276+'[2]поточний ремонт'!AN276-'[3]поточний ремонт'!AN276</f>
        <v>0</v>
      </c>
      <c r="AO276" s="43">
        <f>'[1]поточний ремонт'!AO276+'[2]поточний ремонт'!AO276-'[3]поточний ремонт'!AO276</f>
        <v>0</v>
      </c>
      <c r="AP276" s="5"/>
      <c r="AQ276" s="43">
        <f>'[1]поточний ремонт'!AQ276+'[2]поточний ремонт'!AQ276-'[3]поточний ремонт'!AQ276</f>
        <v>0</v>
      </c>
      <c r="AR276" s="43">
        <f>'[1]поточний ремонт'!AR276+'[2]поточний ремонт'!AR276-'[3]поточний ремонт'!AR276</f>
        <v>0</v>
      </c>
      <c r="AS276" s="5"/>
      <c r="AT276" s="43">
        <f>'[1]поточний ремонт'!AT276+'[2]поточний ремонт'!AT276-'[3]поточний ремонт'!AT276</f>
        <v>267.11038291810968</v>
      </c>
      <c r="AU276" s="43">
        <f>'[1]поточний ремонт'!AU276+'[2]поточний ремонт'!AU276-'[3]поточний ремонт'!AU276</f>
        <v>0</v>
      </c>
      <c r="AV276" s="5"/>
      <c r="AW276" s="43">
        <f>'[1]поточний ремонт'!AW276+'[2]поточний ремонт'!AW276-'[3]поточний ремонт'!AW276</f>
        <v>91.722285835089508</v>
      </c>
      <c r="AX276" s="43">
        <f>'[1]поточний ремонт'!AX276+'[2]поточний ремонт'!AX276-'[3]поточний ремонт'!AX276</f>
        <v>0</v>
      </c>
      <c r="AY276" s="5"/>
      <c r="AZ276" s="43">
        <f t="shared" si="34"/>
        <v>1876.0801474955003</v>
      </c>
      <c r="BA276" s="43">
        <f t="shared" si="35"/>
        <v>664</v>
      </c>
      <c r="BB276" s="59">
        <f t="shared" si="36"/>
        <v>-1212.0801474955003</v>
      </c>
      <c r="BD276" s="2">
        <v>1</v>
      </c>
      <c r="BF276" s="30">
        <v>31.562254251551579</v>
      </c>
      <c r="BG276" s="328">
        <v>150000837</v>
      </c>
      <c r="BI276" s="107">
        <v>0</v>
      </c>
      <c r="BJ276" s="107">
        <f t="shared" si="37"/>
        <v>0</v>
      </c>
      <c r="BK276" s="107">
        <v>0</v>
      </c>
      <c r="BL276" s="39"/>
      <c r="BM276" s="3"/>
      <c r="BN276" s="3">
        <v>0</v>
      </c>
      <c r="BP276" s="3"/>
      <c r="BQ276" s="3"/>
      <c r="BS276" s="43"/>
      <c r="BT276" s="43">
        <v>0</v>
      </c>
      <c r="BU276" s="1041"/>
      <c r="BV276" s="42"/>
      <c r="BW276" s="43"/>
      <c r="BX276" s="1040"/>
      <c r="BY276" s="78"/>
      <c r="BZ276" s="43">
        <v>0</v>
      </c>
      <c r="CA276" s="1038"/>
      <c r="CB276" s="42"/>
      <c r="CC276" s="42">
        <v>0</v>
      </c>
      <c r="CD276" s="1039"/>
      <c r="CE276" s="78">
        <v>0</v>
      </c>
      <c r="CF276" s="56"/>
      <c r="CG276" s="42">
        <v>0</v>
      </c>
      <c r="CH276" s="39">
        <v>0</v>
      </c>
      <c r="CI276" s="78">
        <v>0</v>
      </c>
      <c r="CJ276" s="56"/>
      <c r="CK276" s="1034"/>
      <c r="CL276" s="1029"/>
      <c r="CM276" s="1034"/>
      <c r="CN276" s="1029">
        <v>0</v>
      </c>
      <c r="CO276" s="78">
        <v>45.899855567333347</v>
      </c>
      <c r="CP276" s="43">
        <v>0</v>
      </c>
      <c r="CQ276" s="5"/>
      <c r="CR276" s="78">
        <v>46.580705843471286</v>
      </c>
      <c r="CS276" s="1033">
        <v>0</v>
      </c>
      <c r="CT276" s="5"/>
      <c r="CU276" s="78">
        <v>33.956728484387142</v>
      </c>
      <c r="CV276" s="43">
        <v>0</v>
      </c>
      <c r="CW276" s="5"/>
      <c r="CX276" s="78">
        <v>0</v>
      </c>
      <c r="CY276" s="43">
        <v>0</v>
      </c>
      <c r="CZ276" s="5"/>
      <c r="DA276" s="78">
        <v>0</v>
      </c>
      <c r="DB276" s="43">
        <v>0</v>
      </c>
      <c r="DC276" s="5"/>
      <c r="DD276" s="78">
        <v>22.259198576509146</v>
      </c>
      <c r="DE276" s="43">
        <v>0</v>
      </c>
      <c r="DF276" s="5"/>
      <c r="DG276" s="78">
        <v>7.6435238195907917</v>
      </c>
      <c r="DH276" s="43"/>
      <c r="DI276" s="5"/>
      <c r="DJ276" s="43">
        <v>156.34001229129171</v>
      </c>
      <c r="DK276" s="43">
        <f t="shared" si="38"/>
        <v>0</v>
      </c>
      <c r="DL276" s="59">
        <f t="shared" si="39"/>
        <v>-156.34001229129171</v>
      </c>
    </row>
    <row r="277" spans="1:116" ht="24.9" customHeight="1" x14ac:dyDescent="0.3">
      <c r="A277" s="328">
        <v>150000839</v>
      </c>
      <c r="B277" s="45" t="s">
        <v>1784</v>
      </c>
      <c r="C277" s="1035">
        <v>1</v>
      </c>
      <c r="D277" s="1036" t="s">
        <v>454</v>
      </c>
      <c r="E277" s="1028">
        <f>'побудинковий звіт'!E275</f>
        <v>1236.8</v>
      </c>
      <c r="F277" s="1029">
        <f>'побудинковий звіт'!AS275</f>
        <v>2388.0050205839611</v>
      </c>
      <c r="G277" s="1029">
        <f t="shared" si="32"/>
        <v>0</v>
      </c>
      <c r="H277" s="1029">
        <f t="shared" si="33"/>
        <v>-2388.0050205839611</v>
      </c>
      <c r="I277" s="43">
        <f>'[1]поточний ремонт'!I277+'[2]поточний ремонт'!I277-'[3]поточний ремонт'!I277</f>
        <v>0</v>
      </c>
      <c r="J277" s="43">
        <f>'[1]поточний ремонт'!J277+'[2]поточний ремонт'!J277-'[3]поточний ремонт'!J277</f>
        <v>0</v>
      </c>
      <c r="K277" s="1037"/>
      <c r="L277" s="43">
        <f>'[1]поточний ремонт'!L277+'[2]поточний ремонт'!L277-'[3]поточний ремонт'!L277</f>
        <v>0</v>
      </c>
      <c r="M277" s="43">
        <f>'[1]поточний ремонт'!M277+'[2]поточний ремонт'!M277-'[3]поточний ремонт'!M277</f>
        <v>0</v>
      </c>
      <c r="N277" s="37"/>
      <c r="O277" s="43">
        <f>'[1]поточний ремонт'!O277+'[2]поточний ремонт'!O277-'[3]поточний ремонт'!O277</f>
        <v>0</v>
      </c>
      <c r="P277" s="43">
        <f>'[1]поточний ремонт'!P277+'[2]поточний ремонт'!P277-'[3]поточний ремонт'!P277</f>
        <v>0</v>
      </c>
      <c r="Q277" s="1038"/>
      <c r="R277" s="43">
        <f>'[1]поточний ремонт'!R277+'[2]поточний ремонт'!R277-'[3]поточний ремонт'!R277</f>
        <v>0</v>
      </c>
      <c r="S277" s="43">
        <f>'[1]поточний ремонт'!S277+'[2]поточний ремонт'!S277-'[3]поточний ремонт'!S277</f>
        <v>0</v>
      </c>
      <c r="T277" s="1039"/>
      <c r="U277" s="43">
        <f>'[1]поточний ремонт'!U277+'[2]поточний ремонт'!U277-'[3]поточний ремонт'!U277</f>
        <v>0</v>
      </c>
      <c r="V277" s="43">
        <f>'[1]поточний ремонт'!V277+'[2]поточний ремонт'!V277-'[3]поточний ремонт'!V277</f>
        <v>0</v>
      </c>
      <c r="W277" s="43">
        <f>'[1]поточний ремонт'!W277+'[2]поточний ремонт'!W277-'[3]поточний ремонт'!W277</f>
        <v>0</v>
      </c>
      <c r="X277" s="43">
        <f>'[1]поточний ремонт'!X277+'[2]поточний ремонт'!X277-'[3]поточний ремонт'!X277</f>
        <v>0</v>
      </c>
      <c r="Y277" s="43">
        <f>'[1]поточний ремонт'!Y277+'[2]поточний ремонт'!Y277-'[3]поточний ремонт'!Y277</f>
        <v>0</v>
      </c>
      <c r="Z277" s="43">
        <f>'[1]поточний ремонт'!Z277+'[2]поточний ремонт'!Z277-'[3]поточний ремонт'!Z277</f>
        <v>0</v>
      </c>
      <c r="AA277" s="43">
        <f>'[1]поточний ремонт'!AA277+'[2]поточний ремонт'!AA277-'[3]поточний ремонт'!AA277</f>
        <v>0</v>
      </c>
      <c r="AB277" s="43">
        <f>'[1]поточний ремонт'!AB277+'[2]поточний ремонт'!AB277-'[3]поточний ремонт'!AB277</f>
        <v>0</v>
      </c>
      <c r="AC277" s="43">
        <f>'[1]поточний ремонт'!AC277+'[2]поточний ремонт'!AC277-'[3]поточний ремонт'!AC277</f>
        <v>0</v>
      </c>
      <c r="AD277" s="43">
        <f>'[1]поточний ремонт'!AD277+'[2]поточний ремонт'!AD277-'[3]поточний ремонт'!AD277</f>
        <v>0</v>
      </c>
      <c r="AE277" s="43">
        <f>'[1]поточний ремонт'!AE277+'[2]поточний ремонт'!AE277-'[3]поточний ремонт'!AE277</f>
        <v>0</v>
      </c>
      <c r="AF277" s="43">
        <f>'[1]поточний ремонт'!AF277+'[2]поточний ремонт'!AF277-'[3]поточний ремонт'!AF277</f>
        <v>0</v>
      </c>
      <c r="AG277" s="5"/>
      <c r="AH277" s="43">
        <f>'[1]поточний ремонт'!AH277+'[2]поточний ремонт'!AH277-'[3]поточний ремонт'!AH277</f>
        <v>0</v>
      </c>
      <c r="AI277" s="43">
        <f>'[1]поточний ремонт'!AI277+'[2]поточний ремонт'!AI277-'[3]поточний ремонт'!AI277</f>
        <v>0</v>
      </c>
      <c r="AJ277" s="5"/>
      <c r="AK277" s="43">
        <f>'[1]поточний ремонт'!AK277+'[2]поточний ремонт'!AK277-'[3]поточний ремонт'!AK277</f>
        <v>0</v>
      </c>
      <c r="AL277" s="43">
        <f>'[1]поточний ремонт'!AL277+'[2]поточний ремонт'!AL277-'[3]поточний ремонт'!AL277</f>
        <v>0</v>
      </c>
      <c r="AM277" s="5"/>
      <c r="AN277" s="43">
        <f>'[1]поточний ремонт'!AN277+'[2]поточний ремонт'!AN277-'[3]поточний ремонт'!AN277</f>
        <v>0</v>
      </c>
      <c r="AO277" s="43">
        <f>'[1]поточний ремонт'!AO277+'[2]поточний ремонт'!AO277-'[3]поточний ремонт'!AO277</f>
        <v>0</v>
      </c>
      <c r="AP277" s="5"/>
      <c r="AQ277" s="43">
        <f>'[1]поточний ремонт'!AQ277+'[2]поточний ремонт'!AQ277-'[3]поточний ремонт'!AQ277</f>
        <v>0</v>
      </c>
      <c r="AR277" s="43">
        <f>'[1]поточний ремонт'!AR277+'[2]поточний ремонт'!AR277-'[3]поточний ремонт'!AR277</f>
        <v>0</v>
      </c>
      <c r="AS277" s="5"/>
      <c r="AT277" s="43">
        <f>'[1]поточний ремонт'!AT277+'[2]поточний ремонт'!AT277-'[3]поточний ремонт'!AT277</f>
        <v>0</v>
      </c>
      <c r="AU277" s="43">
        <f>'[1]поточний ремонт'!AU277+'[2]поточний ремонт'!AU277-'[3]поточний ремонт'!AU277</f>
        <v>0</v>
      </c>
      <c r="AV277" s="5"/>
      <c r="AW277" s="43">
        <f>'[1]поточний ремонт'!AW277+'[2]поточний ремонт'!AW277-'[3]поточний ремонт'!AW277</f>
        <v>0</v>
      </c>
      <c r="AX277" s="43">
        <f>'[1]поточний ремонт'!AX277+'[2]поточний ремонт'!AX277-'[3]поточний ремонт'!AX277</f>
        <v>0</v>
      </c>
      <c r="AY277" s="5"/>
      <c r="AZ277" s="43">
        <f t="shared" si="34"/>
        <v>0</v>
      </c>
      <c r="BA277" s="43">
        <f t="shared" si="35"/>
        <v>0</v>
      </c>
      <c r="BB277" s="59">
        <f t="shared" si="36"/>
        <v>0</v>
      </c>
      <c r="BD277" s="2">
        <v>1</v>
      </c>
      <c r="BF277" s="30">
        <v>0</v>
      </c>
      <c r="BG277" s="328">
        <v>150000839</v>
      </c>
      <c r="BI277" s="107">
        <v>0</v>
      </c>
      <c r="BJ277" s="107">
        <f t="shared" si="37"/>
        <v>0</v>
      </c>
      <c r="BK277" s="107">
        <v>0</v>
      </c>
      <c r="BL277" s="39"/>
      <c r="BM277" s="3"/>
      <c r="BN277" s="3">
        <v>0</v>
      </c>
      <c r="BP277" s="3"/>
      <c r="BQ277" s="3"/>
      <c r="BS277" s="43"/>
      <c r="BT277" s="43">
        <v>0</v>
      </c>
      <c r="BU277" s="1037"/>
      <c r="BV277" s="42"/>
      <c r="BW277" s="43"/>
      <c r="BX277" s="37"/>
      <c r="BY277" s="78"/>
      <c r="BZ277" s="43">
        <v>0</v>
      </c>
      <c r="CA277" s="1038"/>
      <c r="CB277" s="42"/>
      <c r="CC277" s="42">
        <v>0</v>
      </c>
      <c r="CD277" s="1039"/>
      <c r="CE277" s="78">
        <v>0</v>
      </c>
      <c r="CF277" s="56"/>
      <c r="CG277" s="42">
        <v>0</v>
      </c>
      <c r="CH277" s="39">
        <v>0</v>
      </c>
      <c r="CI277" s="78">
        <v>0</v>
      </c>
      <c r="CJ277" s="56"/>
      <c r="CK277" s="1034"/>
      <c r="CL277" s="1029"/>
      <c r="CM277" s="1034"/>
      <c r="CN277" s="1029">
        <v>0</v>
      </c>
      <c r="CO277" s="78">
        <v>0</v>
      </c>
      <c r="CP277" s="43">
        <v>0</v>
      </c>
      <c r="CQ277" s="5"/>
      <c r="CR277" s="78">
        <v>0</v>
      </c>
      <c r="CS277" s="1033">
        <v>0</v>
      </c>
      <c r="CT277" s="5"/>
      <c r="CU277" s="78">
        <v>0</v>
      </c>
      <c r="CV277" s="43">
        <v>0</v>
      </c>
      <c r="CW277" s="5"/>
      <c r="CX277" s="78">
        <v>0</v>
      </c>
      <c r="CY277" s="43">
        <v>0</v>
      </c>
      <c r="CZ277" s="5"/>
      <c r="DA277" s="78">
        <v>0</v>
      </c>
      <c r="DB277" s="43">
        <v>0</v>
      </c>
      <c r="DC277" s="5"/>
      <c r="DD277" s="78">
        <v>0</v>
      </c>
      <c r="DE277" s="43">
        <v>0</v>
      </c>
      <c r="DF277" s="5"/>
      <c r="DG277" s="78">
        <v>0</v>
      </c>
      <c r="DH277" s="43"/>
      <c r="DI277" s="5"/>
      <c r="DJ277" s="43">
        <v>0</v>
      </c>
      <c r="DK277" s="43">
        <f t="shared" si="38"/>
        <v>0</v>
      </c>
      <c r="DL277" s="59">
        <f t="shared" si="39"/>
        <v>0</v>
      </c>
    </row>
    <row r="278" spans="1:116" ht="24.9" customHeight="1" x14ac:dyDescent="0.3">
      <c r="A278" s="328">
        <v>150000840</v>
      </c>
      <c r="B278" s="45" t="s">
        <v>1785</v>
      </c>
      <c r="C278" s="1035">
        <v>9</v>
      </c>
      <c r="D278" s="1036" t="s">
        <v>454</v>
      </c>
      <c r="E278" s="1028">
        <f>'побудинковий звіт'!E276</f>
        <v>1504.4</v>
      </c>
      <c r="F278" s="1029">
        <f>'побудинковий звіт'!AS276</f>
        <v>60388.055510335369</v>
      </c>
      <c r="G278" s="1029">
        <f t="shared" si="32"/>
        <v>123573.56946886305</v>
      </c>
      <c r="H278" s="1029">
        <f t="shared" si="33"/>
        <v>63185.513958527677</v>
      </c>
      <c r="I278" s="43">
        <f>'[1]поточний ремонт'!I278+'[2]поточний ремонт'!I278-'[3]поточний ремонт'!I278</f>
        <v>152.5</v>
      </c>
      <c r="J278" s="43">
        <f>'[1]поточний ремонт'!J278+'[2]поточний ремонт'!J278-'[3]поточний ремонт'!J278</f>
        <v>53564</v>
      </c>
      <c r="K278" s="1041"/>
      <c r="L278" s="43">
        <f>'[1]поточний ремонт'!L278+'[2]поточний ремонт'!L278-'[3]поточний ремонт'!L278</f>
        <v>0</v>
      </c>
      <c r="M278" s="43">
        <f>'[1]поточний ремонт'!M278+'[2]поточний ремонт'!M278-'[3]поточний ремонт'!M278</f>
        <v>0</v>
      </c>
      <c r="N278" s="37"/>
      <c r="O278" s="43">
        <f>'[1]поточний ремонт'!O278+'[2]поточний ремонт'!O278-'[3]поточний ремонт'!O278</f>
        <v>0</v>
      </c>
      <c r="P278" s="43">
        <f>'[1]поточний ремонт'!P278+'[2]поточний ремонт'!P278-'[3]поточний ремонт'!P278</f>
        <v>0</v>
      </c>
      <c r="Q278" s="1038"/>
      <c r="R278" s="43">
        <f>'[1]поточний ремонт'!R278+'[2]поточний ремонт'!R278-'[3]поточний ремонт'!R278</f>
        <v>2</v>
      </c>
      <c r="S278" s="43">
        <f>'[1]поточний ремонт'!S278+'[2]поточний ремонт'!S278-'[3]поточний ремонт'!S278</f>
        <v>29430</v>
      </c>
      <c r="T278" s="1047"/>
      <c r="U278" s="43">
        <f>'[1]поточний ремонт'!U278+'[2]поточний ремонт'!U278-'[3]поточний ремонт'!U278</f>
        <v>0</v>
      </c>
      <c r="V278" s="43">
        <f>'[1]поточний ремонт'!V278+'[2]поточний ремонт'!V278-'[3]поточний ремонт'!V278</f>
        <v>0</v>
      </c>
      <c r="W278" s="43">
        <f>'[1]поточний ремонт'!W278+'[2]поточний ремонт'!W278-'[3]поточний ремонт'!W278</f>
        <v>10</v>
      </c>
      <c r="X278" s="43">
        <f>'[1]поточний ремонт'!X278+'[2]поточний ремонт'!X278-'[3]поточний ремонт'!X278</f>
        <v>1425.5694688630438</v>
      </c>
      <c r="Y278" s="43">
        <f>'[1]поточний ремонт'!Y278+'[2]поточний ремонт'!Y278-'[3]поточний ремонт'!Y278</f>
        <v>17213</v>
      </c>
      <c r="Z278" s="43">
        <f>'[1]поточний ремонт'!Z278+'[2]поточний ремонт'!Z278-'[3]поточний ремонт'!Z278</f>
        <v>0</v>
      </c>
      <c r="AA278" s="43">
        <f>'[1]поточний ремонт'!AA278+'[2]поточний ремонт'!AA278-'[3]поточний ремонт'!AA278</f>
        <v>0</v>
      </c>
      <c r="AB278" s="43">
        <f>'[1]поточний ремонт'!AB278+'[2]поточний ремонт'!AB278-'[3]поточний ремонт'!AB278</f>
        <v>7862</v>
      </c>
      <c r="AC278" s="43">
        <f>'[1]поточний ремонт'!AC278+'[2]поточний ремонт'!AC278-'[3]поточний ремонт'!AC278</f>
        <v>7736</v>
      </c>
      <c r="AD278" s="43">
        <f>'[1]поточний ремонт'!AD278+'[2]поточний ремонт'!AD278-'[3]поточний ремонт'!AD278</f>
        <v>6343</v>
      </c>
      <c r="AE278" s="43">
        <f>'[1]поточний ремонт'!AE278+'[2]поточний ремонт'!AE278-'[3]поточний ремонт'!AE278</f>
        <v>1240.5837293449365</v>
      </c>
      <c r="AF278" s="43">
        <f>'[1]поточний ремонт'!AF278+'[2]поточний ремонт'!AF278-'[3]поточний ремонт'!AF278</f>
        <v>1301</v>
      </c>
      <c r="AG278" s="5"/>
      <c r="AH278" s="43">
        <f>'[1]поточний ремонт'!AH278+'[2]поточний ремонт'!AH278-'[3]поточний ремонт'!AH278</f>
        <v>1498.3557380609514</v>
      </c>
      <c r="AI278" s="43">
        <f>'[1]поточний ремонт'!AI278+'[2]поточний ремонт'!AI278-'[3]поточний ремонт'!AI278</f>
        <v>0</v>
      </c>
      <c r="AJ278" s="9"/>
      <c r="AK278" s="43">
        <f>'[1]поточний ремонт'!AK278+'[2]поточний ремонт'!AK278-'[3]поточний ремонт'!AK278</f>
        <v>1874.1393256250351</v>
      </c>
      <c r="AL278" s="43">
        <f>'[1]поточний ремонт'!AL278+'[2]поточний ремонт'!AL278-'[3]поточний ремонт'!AL278</f>
        <v>0</v>
      </c>
      <c r="AM278" s="5"/>
      <c r="AN278" s="43">
        <f>'[1]поточний ремонт'!AN278+'[2]поточний ремонт'!AN278-'[3]поточний ремонт'!AN278</f>
        <v>694.43415276689484</v>
      </c>
      <c r="AO278" s="43">
        <f>'[1]поточний ремонт'!AO278+'[2]поточний ремонт'!AO278-'[3]поточний ремонт'!AO278</f>
        <v>0</v>
      </c>
      <c r="AP278" s="5"/>
      <c r="AQ278" s="43">
        <f>'[1]поточний ремонт'!AQ278+'[2]поточний ремонт'!AQ278-'[3]поточний ремонт'!AQ278</f>
        <v>395.76741189229665</v>
      </c>
      <c r="AR278" s="43">
        <f>'[1]поточний ремонт'!AR278+'[2]поточний ремонт'!AR278-'[3]поточний ремонт'!AR278</f>
        <v>1044</v>
      </c>
      <c r="AS278" s="5"/>
      <c r="AT278" s="43">
        <f>'[1]поточний ремонт'!AT278+'[2]поточний ремонт'!AT278-'[3]поточний ремонт'!AT278</f>
        <v>763.74000887404327</v>
      </c>
      <c r="AU278" s="43">
        <f>'[1]поточний ремонт'!AU278+'[2]поточний ремонт'!AU278-'[3]поточний ремонт'!AU278</f>
        <v>974</v>
      </c>
      <c r="AV278" s="5"/>
      <c r="AW278" s="43">
        <f>'[1]поточний ремонт'!AW278+'[2]поточний ремонт'!AW278-'[3]поточний ремонт'!AW278</f>
        <v>614.00142415151981</v>
      </c>
      <c r="AX278" s="43">
        <f>'[1]поточний ремонт'!AX278+'[2]поточний ремонт'!AX278-'[3]поточний ремонт'!AX278</f>
        <v>0</v>
      </c>
      <c r="AY278" s="5"/>
      <c r="AZ278" s="43">
        <f t="shared" si="34"/>
        <v>7081.0217907156775</v>
      </c>
      <c r="BA278" s="43">
        <f t="shared" si="35"/>
        <v>3319</v>
      </c>
      <c r="BB278" s="59">
        <f t="shared" si="36"/>
        <v>-3762.0217907156775</v>
      </c>
      <c r="BD278" s="2">
        <v>1</v>
      </c>
      <c r="BF278" s="30">
        <v>284.3159231339348</v>
      </c>
      <c r="BG278" s="328">
        <v>150000840</v>
      </c>
      <c r="BI278" s="107">
        <v>28.1</v>
      </c>
      <c r="BJ278" s="107">
        <f t="shared" si="37"/>
        <v>3.9526078199999999</v>
      </c>
      <c r="BK278" s="107">
        <v>32.407330867600002</v>
      </c>
      <c r="BL278" s="39"/>
      <c r="BM278" s="3">
        <v>3</v>
      </c>
      <c r="BN278" s="3">
        <v>242.73560037341218</v>
      </c>
      <c r="BP278" s="3"/>
      <c r="BQ278" s="3"/>
      <c r="BS278" s="43"/>
      <c r="BT278" s="43">
        <v>0</v>
      </c>
      <c r="BU278" s="1041"/>
      <c r="BV278" s="42"/>
      <c r="BW278" s="43"/>
      <c r="BX278" s="37"/>
      <c r="BY278" s="78"/>
      <c r="BZ278" s="43">
        <v>0</v>
      </c>
      <c r="CA278" s="1038"/>
      <c r="CB278" s="42"/>
      <c r="CC278" s="42">
        <v>0</v>
      </c>
      <c r="CD278" s="1047"/>
      <c r="CE278" s="78">
        <v>0</v>
      </c>
      <c r="CF278" s="56"/>
      <c r="CG278" s="42">
        <v>3</v>
      </c>
      <c r="CH278" s="39">
        <v>275.14293124101221</v>
      </c>
      <c r="CI278" s="78">
        <v>0</v>
      </c>
      <c r="CJ278" s="56"/>
      <c r="CK278" s="1034"/>
      <c r="CL278" s="1029">
        <v>1292</v>
      </c>
      <c r="CM278" s="1034"/>
      <c r="CN278" s="1029">
        <v>444.99428501928332</v>
      </c>
      <c r="CO278" s="78">
        <v>103.38197744541138</v>
      </c>
      <c r="CP278" s="43">
        <v>0</v>
      </c>
      <c r="CQ278" s="5"/>
      <c r="CR278" s="78">
        <v>124.86297817174597</v>
      </c>
      <c r="CS278" s="1033">
        <v>0</v>
      </c>
      <c r="CT278" s="9"/>
      <c r="CU278" s="78">
        <v>156.17827713541953</v>
      </c>
      <c r="CV278" s="43">
        <v>0</v>
      </c>
      <c r="CW278" s="5"/>
      <c r="CX278" s="78">
        <v>57.86951273057457</v>
      </c>
      <c r="CY278" s="43">
        <v>0</v>
      </c>
      <c r="CZ278" s="5"/>
      <c r="DA278" s="78">
        <v>32.980617657691397</v>
      </c>
      <c r="DB278" s="43">
        <v>0</v>
      </c>
      <c r="DC278" s="5"/>
      <c r="DD278" s="78">
        <v>63.645000739503601</v>
      </c>
      <c r="DE278" s="43">
        <v>0</v>
      </c>
      <c r="DF278" s="5"/>
      <c r="DG278" s="78">
        <v>51.166785345959994</v>
      </c>
      <c r="DH278" s="43"/>
      <c r="DI278" s="5"/>
      <c r="DJ278" s="43">
        <v>590.0851492263065</v>
      </c>
      <c r="DK278" s="43">
        <f t="shared" si="38"/>
        <v>0</v>
      </c>
      <c r="DL278" s="59">
        <f t="shared" si="39"/>
        <v>-590.0851492263065</v>
      </c>
    </row>
    <row r="279" spans="1:116" ht="24.9" customHeight="1" x14ac:dyDescent="0.3">
      <c r="A279" s="328">
        <v>150000841</v>
      </c>
      <c r="B279" s="45" t="s">
        <v>1786</v>
      </c>
      <c r="C279" s="1035">
        <v>1</v>
      </c>
      <c r="D279" s="1036" t="s">
        <v>454</v>
      </c>
      <c r="E279" s="1028">
        <f>'побудинковий звіт'!E277</f>
        <v>2273.5</v>
      </c>
      <c r="F279" s="1029">
        <f>'побудинковий звіт'!AS277</f>
        <v>1924.9943200186433</v>
      </c>
      <c r="G279" s="1029">
        <f t="shared" si="32"/>
        <v>0</v>
      </c>
      <c r="H279" s="1029">
        <f t="shared" si="33"/>
        <v>-1924.9943200186433</v>
      </c>
      <c r="I279" s="43">
        <f>'[1]поточний ремонт'!I279+'[2]поточний ремонт'!I279-'[3]поточний ремонт'!I279</f>
        <v>0</v>
      </c>
      <c r="J279" s="43">
        <f>'[1]поточний ремонт'!J279+'[2]поточний ремонт'!J279-'[3]поточний ремонт'!J279</f>
        <v>0</v>
      </c>
      <c r="K279" s="1037"/>
      <c r="L279" s="43">
        <f>'[1]поточний ремонт'!L279+'[2]поточний ремонт'!L279-'[3]поточний ремонт'!L279</f>
        <v>0</v>
      </c>
      <c r="M279" s="43">
        <f>'[1]поточний ремонт'!M279+'[2]поточний ремонт'!M279-'[3]поточний ремонт'!M279</f>
        <v>0</v>
      </c>
      <c r="N279" s="37"/>
      <c r="O279" s="43">
        <f>'[1]поточний ремонт'!O279+'[2]поточний ремонт'!O279-'[3]поточний ремонт'!O279</f>
        <v>0</v>
      </c>
      <c r="P279" s="43">
        <f>'[1]поточний ремонт'!P279+'[2]поточний ремонт'!P279-'[3]поточний ремонт'!P279</f>
        <v>0</v>
      </c>
      <c r="Q279" s="1038"/>
      <c r="R279" s="43">
        <f>'[1]поточний ремонт'!R279+'[2]поточний ремонт'!R279-'[3]поточний ремонт'!R279</f>
        <v>0</v>
      </c>
      <c r="S279" s="43">
        <f>'[1]поточний ремонт'!S279+'[2]поточний ремонт'!S279-'[3]поточний ремонт'!S279</f>
        <v>0</v>
      </c>
      <c r="T279" s="1039"/>
      <c r="U279" s="43">
        <f>'[1]поточний ремонт'!U279+'[2]поточний ремонт'!U279-'[3]поточний ремонт'!U279</f>
        <v>0</v>
      </c>
      <c r="V279" s="43">
        <f>'[1]поточний ремонт'!V279+'[2]поточний ремонт'!V279-'[3]поточний ремонт'!V279</f>
        <v>0</v>
      </c>
      <c r="W279" s="43">
        <f>'[1]поточний ремонт'!W279+'[2]поточний ремонт'!W279-'[3]поточний ремонт'!W279</f>
        <v>0</v>
      </c>
      <c r="X279" s="43">
        <f>'[1]поточний ремонт'!X279+'[2]поточний ремонт'!X279-'[3]поточний ремонт'!X279</f>
        <v>0</v>
      </c>
      <c r="Y279" s="43">
        <f>'[1]поточний ремонт'!Y279+'[2]поточний ремонт'!Y279-'[3]поточний ремонт'!Y279</f>
        <v>0</v>
      </c>
      <c r="Z279" s="43">
        <f>'[1]поточний ремонт'!Z279+'[2]поточний ремонт'!Z279-'[3]поточний ремонт'!Z279</f>
        <v>0</v>
      </c>
      <c r="AA279" s="43">
        <f>'[1]поточний ремонт'!AA279+'[2]поточний ремонт'!AA279-'[3]поточний ремонт'!AA279</f>
        <v>0</v>
      </c>
      <c r="AB279" s="43">
        <f>'[1]поточний ремонт'!AB279+'[2]поточний ремонт'!AB279-'[3]поточний ремонт'!AB279</f>
        <v>0</v>
      </c>
      <c r="AC279" s="43">
        <f>'[1]поточний ремонт'!AC279+'[2]поточний ремонт'!AC279-'[3]поточний ремонт'!AC279</f>
        <v>0</v>
      </c>
      <c r="AD279" s="43">
        <f>'[1]поточний ремонт'!AD279+'[2]поточний ремонт'!AD279-'[3]поточний ремонт'!AD279</f>
        <v>0</v>
      </c>
      <c r="AE279" s="43">
        <f>'[1]поточний ремонт'!AE279+'[2]поточний ремонт'!AE279-'[3]поточний ремонт'!AE279</f>
        <v>0</v>
      </c>
      <c r="AF279" s="43">
        <f>'[1]поточний ремонт'!AF279+'[2]поточний ремонт'!AF279-'[3]поточний ремонт'!AF279</f>
        <v>0</v>
      </c>
      <c r="AG279" s="5"/>
      <c r="AH279" s="43">
        <f>'[1]поточний ремонт'!AH279+'[2]поточний ремонт'!AH279-'[3]поточний ремонт'!AH279</f>
        <v>0</v>
      </c>
      <c r="AI279" s="43">
        <f>'[1]поточний ремонт'!AI279+'[2]поточний ремонт'!AI279-'[3]поточний ремонт'!AI279</f>
        <v>0</v>
      </c>
      <c r="AJ279" s="5"/>
      <c r="AK279" s="43">
        <f>'[1]поточний ремонт'!AK279+'[2]поточний ремонт'!AK279-'[3]поточний ремонт'!AK279</f>
        <v>0</v>
      </c>
      <c r="AL279" s="43">
        <f>'[1]поточний ремонт'!AL279+'[2]поточний ремонт'!AL279-'[3]поточний ремонт'!AL279</f>
        <v>0</v>
      </c>
      <c r="AM279" s="5"/>
      <c r="AN279" s="43">
        <f>'[1]поточний ремонт'!AN279+'[2]поточний ремонт'!AN279-'[3]поточний ремонт'!AN279</f>
        <v>0</v>
      </c>
      <c r="AO279" s="43">
        <f>'[1]поточний ремонт'!AO279+'[2]поточний ремонт'!AO279-'[3]поточний ремонт'!AO279</f>
        <v>0</v>
      </c>
      <c r="AP279" s="5"/>
      <c r="AQ279" s="43">
        <f>'[1]поточний ремонт'!AQ279+'[2]поточний ремонт'!AQ279-'[3]поточний ремонт'!AQ279</f>
        <v>0</v>
      </c>
      <c r="AR279" s="43">
        <f>'[1]поточний ремонт'!AR279+'[2]поточний ремонт'!AR279-'[3]поточний ремонт'!AR279</f>
        <v>0</v>
      </c>
      <c r="AS279" s="5"/>
      <c r="AT279" s="43">
        <f>'[1]поточний ремонт'!AT279+'[2]поточний ремонт'!AT279-'[3]поточний ремонт'!AT279</f>
        <v>0</v>
      </c>
      <c r="AU279" s="43">
        <f>'[1]поточний ремонт'!AU279+'[2]поточний ремонт'!AU279-'[3]поточний ремонт'!AU279</f>
        <v>0</v>
      </c>
      <c r="AV279" s="5"/>
      <c r="AW279" s="43">
        <f>'[1]поточний ремонт'!AW279+'[2]поточний ремонт'!AW279-'[3]поточний ремонт'!AW279</f>
        <v>0</v>
      </c>
      <c r="AX279" s="43">
        <f>'[1]поточний ремонт'!AX279+'[2]поточний ремонт'!AX279-'[3]поточний ремонт'!AX279</f>
        <v>0</v>
      </c>
      <c r="AY279" s="5"/>
      <c r="AZ279" s="43">
        <f t="shared" si="34"/>
        <v>0</v>
      </c>
      <c r="BA279" s="43">
        <f t="shared" si="35"/>
        <v>0</v>
      </c>
      <c r="BB279" s="59">
        <f t="shared" si="36"/>
        <v>0</v>
      </c>
      <c r="BD279" s="2">
        <v>1</v>
      </c>
      <c r="BF279" s="30">
        <v>0</v>
      </c>
      <c r="BG279" s="328">
        <v>150000841</v>
      </c>
      <c r="BI279" s="107">
        <v>0</v>
      </c>
      <c r="BJ279" s="107">
        <f t="shared" si="37"/>
        <v>0</v>
      </c>
      <c r="BK279" s="107">
        <v>0</v>
      </c>
      <c r="BL279" s="39"/>
      <c r="BM279" s="3"/>
      <c r="BN279" s="3">
        <v>0</v>
      </c>
      <c r="BP279" s="3"/>
      <c r="BQ279" s="3"/>
      <c r="BS279" s="43"/>
      <c r="BT279" s="43">
        <v>0</v>
      </c>
      <c r="BU279" s="1037"/>
      <c r="BV279" s="42"/>
      <c r="BW279" s="43"/>
      <c r="BX279" s="37"/>
      <c r="BY279" s="78"/>
      <c r="BZ279" s="43">
        <v>0</v>
      </c>
      <c r="CA279" s="1038"/>
      <c r="CB279" s="42"/>
      <c r="CC279" s="42">
        <v>0</v>
      </c>
      <c r="CD279" s="1039"/>
      <c r="CE279" s="78">
        <v>0</v>
      </c>
      <c r="CF279" s="56"/>
      <c r="CG279" s="42">
        <v>0</v>
      </c>
      <c r="CH279" s="39">
        <v>0</v>
      </c>
      <c r="CI279" s="78">
        <v>0</v>
      </c>
      <c r="CJ279" s="56"/>
      <c r="CK279" s="1034"/>
      <c r="CL279" s="1029"/>
      <c r="CM279" s="1034"/>
      <c r="CN279" s="1029">
        <v>0</v>
      </c>
      <c r="CO279" s="78">
        <v>0</v>
      </c>
      <c r="CP279" s="43">
        <v>0</v>
      </c>
      <c r="CQ279" s="5"/>
      <c r="CR279" s="78">
        <v>0</v>
      </c>
      <c r="CS279" s="1033">
        <v>0</v>
      </c>
      <c r="CT279" s="5"/>
      <c r="CU279" s="78">
        <v>0</v>
      </c>
      <c r="CV279" s="43">
        <v>0</v>
      </c>
      <c r="CW279" s="5"/>
      <c r="CX279" s="78">
        <v>0</v>
      </c>
      <c r="CY279" s="43">
        <v>0</v>
      </c>
      <c r="CZ279" s="5"/>
      <c r="DA279" s="78">
        <v>0</v>
      </c>
      <c r="DB279" s="43">
        <v>0</v>
      </c>
      <c r="DC279" s="5"/>
      <c r="DD279" s="78">
        <v>0</v>
      </c>
      <c r="DE279" s="43">
        <v>0</v>
      </c>
      <c r="DF279" s="5"/>
      <c r="DG279" s="78">
        <v>0</v>
      </c>
      <c r="DH279" s="43"/>
      <c r="DI279" s="5"/>
      <c r="DJ279" s="43">
        <v>0</v>
      </c>
      <c r="DK279" s="43">
        <f t="shared" si="38"/>
        <v>0</v>
      </c>
      <c r="DL279" s="59">
        <f t="shared" si="39"/>
        <v>0</v>
      </c>
    </row>
    <row r="280" spans="1:116" ht="24.9" customHeight="1" x14ac:dyDescent="0.3">
      <c r="A280" s="328">
        <v>150000848</v>
      </c>
      <c r="B280" s="45" t="s">
        <v>1787</v>
      </c>
      <c r="C280" s="1035">
        <v>2</v>
      </c>
      <c r="D280" s="1036" t="s">
        <v>454</v>
      </c>
      <c r="E280" s="1028">
        <f>'побудинковий звіт'!E278</f>
        <v>1700.4</v>
      </c>
      <c r="F280" s="1029">
        <f>'побудинковий звіт'!AS278</f>
        <v>3741.456878543283</v>
      </c>
      <c r="G280" s="1029">
        <f t="shared" si="32"/>
        <v>0</v>
      </c>
      <c r="H280" s="1029">
        <f t="shared" si="33"/>
        <v>-3741.456878543283</v>
      </c>
      <c r="I280" s="43">
        <f>'[1]поточний ремонт'!I280+'[2]поточний ремонт'!I280-'[3]поточний ремонт'!I280</f>
        <v>0</v>
      </c>
      <c r="J280" s="43">
        <f>'[1]поточний ремонт'!J280+'[2]поточний ремонт'!J280-'[3]поточний ремонт'!J280</f>
        <v>0</v>
      </c>
      <c r="K280" s="1037"/>
      <c r="L280" s="43">
        <f>'[1]поточний ремонт'!L280+'[2]поточний ремонт'!L280-'[3]поточний ремонт'!L280</f>
        <v>0</v>
      </c>
      <c r="M280" s="43">
        <f>'[1]поточний ремонт'!M280+'[2]поточний ремонт'!M280-'[3]поточний ремонт'!M280</f>
        <v>0</v>
      </c>
      <c r="N280" s="37"/>
      <c r="O280" s="43">
        <f>'[1]поточний ремонт'!O280+'[2]поточний ремонт'!O280-'[3]поточний ремонт'!O280</f>
        <v>0</v>
      </c>
      <c r="P280" s="43">
        <f>'[1]поточний ремонт'!P280+'[2]поточний ремонт'!P280-'[3]поточний ремонт'!P280</f>
        <v>0</v>
      </c>
      <c r="Q280" s="1038"/>
      <c r="R280" s="43">
        <f>'[1]поточний ремонт'!R280+'[2]поточний ремонт'!R280-'[3]поточний ремонт'!R280</f>
        <v>0</v>
      </c>
      <c r="S280" s="43">
        <f>'[1]поточний ремонт'!S280+'[2]поточний ремонт'!S280-'[3]поточний ремонт'!S280</f>
        <v>0</v>
      </c>
      <c r="T280" s="1039"/>
      <c r="U280" s="43">
        <f>'[1]поточний ремонт'!U280+'[2]поточний ремонт'!U280-'[3]поточний ремонт'!U280</f>
        <v>0</v>
      </c>
      <c r="V280" s="43">
        <f>'[1]поточний ремонт'!V280+'[2]поточний ремонт'!V280-'[3]поточний ремонт'!V280</f>
        <v>0</v>
      </c>
      <c r="W280" s="43">
        <f>'[1]поточний ремонт'!W280+'[2]поточний ремонт'!W280-'[3]поточний ремонт'!W280</f>
        <v>0</v>
      </c>
      <c r="X280" s="43">
        <f>'[1]поточний ремонт'!X280+'[2]поточний ремонт'!X280-'[3]поточний ремонт'!X280</f>
        <v>0</v>
      </c>
      <c r="Y280" s="43">
        <f>'[1]поточний ремонт'!Y280+'[2]поточний ремонт'!Y280-'[3]поточний ремонт'!Y280</f>
        <v>0</v>
      </c>
      <c r="Z280" s="43">
        <f>'[1]поточний ремонт'!Z280+'[2]поточний ремонт'!Z280-'[3]поточний ремонт'!Z280</f>
        <v>0</v>
      </c>
      <c r="AA280" s="43">
        <f>'[1]поточний ремонт'!AA280+'[2]поточний ремонт'!AA280-'[3]поточний ремонт'!AA280</f>
        <v>0</v>
      </c>
      <c r="AB280" s="43">
        <f>'[1]поточний ремонт'!AB280+'[2]поточний ремонт'!AB280-'[3]поточний ремонт'!AB280</f>
        <v>0</v>
      </c>
      <c r="AC280" s="43">
        <f>'[1]поточний ремонт'!AC280+'[2]поточний ремонт'!AC280-'[3]поточний ремонт'!AC280</f>
        <v>0</v>
      </c>
      <c r="AD280" s="43">
        <f>'[1]поточний ремонт'!AD280+'[2]поточний ремонт'!AD280-'[3]поточний ремонт'!AD280</f>
        <v>0</v>
      </c>
      <c r="AE280" s="43">
        <f>'[1]поточний ремонт'!AE280+'[2]поточний ремонт'!AE280-'[3]поточний ремонт'!AE280</f>
        <v>217.85153657885775</v>
      </c>
      <c r="AF280" s="43">
        <f>'[1]поточний ремонт'!AF280+'[2]поточний ремонт'!AF280-'[3]поточний ремонт'!AF280</f>
        <v>0</v>
      </c>
      <c r="AG280" s="5"/>
      <c r="AH280" s="43">
        <f>'[1]поточний ремонт'!AH280+'[2]поточний ремонт'!AH280-'[3]поточний ремонт'!AH280</f>
        <v>293.55584184695147</v>
      </c>
      <c r="AI280" s="43">
        <f>'[1]поточний ремонт'!AI280+'[2]поточний ремонт'!AI280-'[3]поточний ремонт'!AI280</f>
        <v>0</v>
      </c>
      <c r="AJ280" s="5"/>
      <c r="AK280" s="43">
        <f>'[1]поточний ремонт'!AK280+'[2]поточний ремонт'!AK280-'[3]поточний ремонт'!AK280</f>
        <v>151.88545680503069</v>
      </c>
      <c r="AL280" s="43">
        <f>'[1]поточний ремонт'!AL280+'[2]поточний ремонт'!AL280-'[3]поточний ремонт'!AL280</f>
        <v>0</v>
      </c>
      <c r="AM280" s="5"/>
      <c r="AN280" s="43">
        <f>'[1]поточний ремонт'!AN280+'[2]поточний ремонт'!AN280-'[3]поточний ремонт'!AN280</f>
        <v>0</v>
      </c>
      <c r="AO280" s="43">
        <f>'[1]поточний ремонт'!AO280+'[2]поточний ремонт'!AO280-'[3]поточний ремонт'!AO280</f>
        <v>0</v>
      </c>
      <c r="AP280" s="5"/>
      <c r="AQ280" s="43">
        <f>'[1]поточний ремонт'!AQ280+'[2]поточний ремонт'!AQ280-'[3]поточний ремонт'!AQ280</f>
        <v>0</v>
      </c>
      <c r="AR280" s="43">
        <f>'[1]поточний ремонт'!AR280+'[2]поточний ремонт'!AR280-'[3]поточний ремонт'!AR280</f>
        <v>0</v>
      </c>
      <c r="AS280" s="5"/>
      <c r="AT280" s="43">
        <f>'[1]поточний ремонт'!AT280+'[2]поточний ремонт'!AT280-'[3]поточний ремонт'!AT280</f>
        <v>59.168551776459466</v>
      </c>
      <c r="AU280" s="43">
        <f>'[1]поточний ремонт'!AU280+'[2]поточний ремонт'!AU280-'[3]поточний ремонт'!AU280</f>
        <v>0</v>
      </c>
      <c r="AV280" s="5"/>
      <c r="AW280" s="43">
        <f>'[1]поточний ремонт'!AW280+'[2]поточний ремонт'!AW280-'[3]поточний ремонт'!AW280</f>
        <v>0</v>
      </c>
      <c r="AX280" s="43">
        <f>'[1]поточний ремонт'!AX280+'[2]поточний ремонт'!AX280-'[3]поточний ремонт'!AX280</f>
        <v>0</v>
      </c>
      <c r="AY280" s="5"/>
      <c r="AZ280" s="43">
        <f t="shared" si="34"/>
        <v>722.46138700729944</v>
      </c>
      <c r="BA280" s="43">
        <f t="shared" si="35"/>
        <v>0</v>
      </c>
      <c r="BB280" s="59">
        <f t="shared" si="36"/>
        <v>-722.46138700729944</v>
      </c>
      <c r="BD280" s="2">
        <v>2</v>
      </c>
      <c r="BF280" s="30">
        <v>0.38149837765117223</v>
      </c>
      <c r="BG280" s="328">
        <v>150000848</v>
      </c>
      <c r="BI280" s="107">
        <v>0</v>
      </c>
      <c r="BJ280" s="107">
        <f t="shared" si="37"/>
        <v>0</v>
      </c>
      <c r="BK280" s="107">
        <v>0</v>
      </c>
      <c r="BL280" s="39"/>
      <c r="BM280" s="3"/>
      <c r="BN280" s="3">
        <v>0</v>
      </c>
      <c r="BP280" s="3"/>
      <c r="BQ280" s="3"/>
      <c r="BS280" s="43"/>
      <c r="BT280" s="43">
        <v>0</v>
      </c>
      <c r="BU280" s="1037"/>
      <c r="BV280" s="42"/>
      <c r="BW280" s="43"/>
      <c r="BX280" s="37"/>
      <c r="BY280" s="78"/>
      <c r="BZ280" s="43">
        <v>0</v>
      </c>
      <c r="CA280" s="1038"/>
      <c r="CB280" s="42"/>
      <c r="CC280" s="42">
        <v>0</v>
      </c>
      <c r="CD280" s="1039"/>
      <c r="CE280" s="78">
        <v>0</v>
      </c>
      <c r="CF280" s="56"/>
      <c r="CG280" s="42">
        <v>0</v>
      </c>
      <c r="CH280" s="39">
        <v>0</v>
      </c>
      <c r="CI280" s="78">
        <v>0</v>
      </c>
      <c r="CJ280" s="56"/>
      <c r="CK280" s="1034"/>
      <c r="CL280" s="1029"/>
      <c r="CM280" s="1034"/>
      <c r="CN280" s="1029">
        <v>0</v>
      </c>
      <c r="CO280" s="78">
        <v>18.154294714904815</v>
      </c>
      <c r="CP280" s="43">
        <v>0</v>
      </c>
      <c r="CQ280" s="5"/>
      <c r="CR280" s="78">
        <v>24.462986820579289</v>
      </c>
      <c r="CS280" s="1033">
        <v>0</v>
      </c>
      <c r="CT280" s="5"/>
      <c r="CU280" s="78">
        <v>12.657121400419223</v>
      </c>
      <c r="CV280" s="43">
        <v>0</v>
      </c>
      <c r="CW280" s="5"/>
      <c r="CX280" s="78">
        <v>0</v>
      </c>
      <c r="CY280" s="43">
        <v>0</v>
      </c>
      <c r="CZ280" s="5"/>
      <c r="DA280" s="78">
        <v>0</v>
      </c>
      <c r="DB280" s="43">
        <v>0</v>
      </c>
      <c r="DC280" s="5"/>
      <c r="DD280" s="78">
        <v>4.9307126480382886</v>
      </c>
      <c r="DE280" s="43">
        <v>0</v>
      </c>
      <c r="DF280" s="5"/>
      <c r="DG280" s="78">
        <v>0</v>
      </c>
      <c r="DH280" s="43"/>
      <c r="DI280" s="5"/>
      <c r="DJ280" s="43">
        <v>60.205115583941613</v>
      </c>
      <c r="DK280" s="43">
        <f t="shared" si="38"/>
        <v>0</v>
      </c>
      <c r="DL280" s="59">
        <f t="shared" si="39"/>
        <v>-60.205115583941613</v>
      </c>
    </row>
    <row r="281" spans="1:116" ht="24.9" customHeight="1" x14ac:dyDescent="0.3">
      <c r="A281" s="328">
        <v>150000845</v>
      </c>
      <c r="B281" s="45" t="s">
        <v>1788</v>
      </c>
      <c r="C281" s="1035">
        <v>1</v>
      </c>
      <c r="D281" s="1036" t="s">
        <v>454</v>
      </c>
      <c r="E281" s="1028">
        <f>'побудинковий звіт'!E279</f>
        <v>275.3</v>
      </c>
      <c r="F281" s="1029">
        <f>'побудинковий звіт'!AS279</f>
        <v>4172.9388429361361</v>
      </c>
      <c r="G281" s="1029">
        <f t="shared" si="32"/>
        <v>0</v>
      </c>
      <c r="H281" s="1029">
        <f t="shared" si="33"/>
        <v>-4172.9388429361361</v>
      </c>
      <c r="I281" s="43">
        <f>'[1]поточний ремонт'!I281+'[2]поточний ремонт'!I281-'[3]поточний ремонт'!I281</f>
        <v>0</v>
      </c>
      <c r="J281" s="43">
        <f>'[1]поточний ремонт'!J281+'[2]поточний ремонт'!J281-'[3]поточний ремонт'!J281</f>
        <v>0</v>
      </c>
      <c r="K281" s="1037"/>
      <c r="L281" s="43">
        <f>'[1]поточний ремонт'!L281+'[2]поточний ремонт'!L281-'[3]поточний ремонт'!L281</f>
        <v>0</v>
      </c>
      <c r="M281" s="43">
        <f>'[1]поточний ремонт'!M281+'[2]поточний ремонт'!M281-'[3]поточний ремонт'!M281</f>
        <v>0</v>
      </c>
      <c r="N281" s="37"/>
      <c r="O281" s="43">
        <f>'[1]поточний ремонт'!O281+'[2]поточний ремонт'!O281-'[3]поточний ремонт'!O281</f>
        <v>0</v>
      </c>
      <c r="P281" s="43">
        <f>'[1]поточний ремонт'!P281+'[2]поточний ремонт'!P281-'[3]поточний ремонт'!P281</f>
        <v>0</v>
      </c>
      <c r="Q281" s="1038"/>
      <c r="R281" s="43">
        <f>'[1]поточний ремонт'!R281+'[2]поточний ремонт'!R281-'[3]поточний ремонт'!R281</f>
        <v>0</v>
      </c>
      <c r="S281" s="43">
        <f>'[1]поточний ремонт'!S281+'[2]поточний ремонт'!S281-'[3]поточний ремонт'!S281</f>
        <v>0</v>
      </c>
      <c r="T281" s="1039"/>
      <c r="U281" s="43">
        <f>'[1]поточний ремонт'!U281+'[2]поточний ремонт'!U281-'[3]поточний ремонт'!U281</f>
        <v>0</v>
      </c>
      <c r="V281" s="43">
        <f>'[1]поточний ремонт'!V281+'[2]поточний ремонт'!V281-'[3]поточний ремонт'!V281</f>
        <v>0</v>
      </c>
      <c r="W281" s="43">
        <f>'[1]поточний ремонт'!W281+'[2]поточний ремонт'!W281-'[3]поточний ремонт'!W281</f>
        <v>0</v>
      </c>
      <c r="X281" s="43">
        <f>'[1]поточний ремонт'!X281+'[2]поточний ремонт'!X281-'[3]поточний ремонт'!X281</f>
        <v>0</v>
      </c>
      <c r="Y281" s="43">
        <f>'[1]поточний ремонт'!Y281+'[2]поточний ремонт'!Y281-'[3]поточний ремонт'!Y281</f>
        <v>0</v>
      </c>
      <c r="Z281" s="43">
        <f>'[1]поточний ремонт'!Z281+'[2]поточний ремонт'!Z281-'[3]поточний ремонт'!Z281</f>
        <v>0</v>
      </c>
      <c r="AA281" s="43">
        <f>'[1]поточний ремонт'!AA281+'[2]поточний ремонт'!AA281-'[3]поточний ремонт'!AA281</f>
        <v>0</v>
      </c>
      <c r="AB281" s="43">
        <f>'[1]поточний ремонт'!AB281+'[2]поточний ремонт'!AB281-'[3]поточний ремонт'!AB281</f>
        <v>0</v>
      </c>
      <c r="AC281" s="43">
        <f>'[1]поточний ремонт'!AC281+'[2]поточний ремонт'!AC281-'[3]поточний ремонт'!AC281</f>
        <v>0</v>
      </c>
      <c r="AD281" s="43">
        <f>'[1]поточний ремонт'!AD281+'[2]поточний ремонт'!AD281-'[3]поточний ремонт'!AD281</f>
        <v>0</v>
      </c>
      <c r="AE281" s="43">
        <f>'[1]поточний ремонт'!AE281+'[2]поточний ремонт'!AE281-'[3]поточний ремонт'!AE281</f>
        <v>0</v>
      </c>
      <c r="AF281" s="43">
        <f>'[1]поточний ремонт'!AF281+'[2]поточний ремонт'!AF281-'[3]поточний ремонт'!AF281</f>
        <v>0</v>
      </c>
      <c r="AG281" s="5"/>
      <c r="AH281" s="43">
        <f>'[1]поточний ремонт'!AH281+'[2]поточний ремонт'!AH281-'[3]поточний ремонт'!AH281</f>
        <v>0</v>
      </c>
      <c r="AI281" s="43">
        <f>'[1]поточний ремонт'!AI281+'[2]поточний ремонт'!AI281-'[3]поточний ремонт'!AI281</f>
        <v>0</v>
      </c>
      <c r="AJ281" s="5"/>
      <c r="AK281" s="43">
        <f>'[1]поточний ремонт'!AK281+'[2]поточний ремонт'!AK281-'[3]поточний ремонт'!AK281</f>
        <v>0</v>
      </c>
      <c r="AL281" s="43">
        <f>'[1]поточний ремонт'!AL281+'[2]поточний ремонт'!AL281-'[3]поточний ремонт'!AL281</f>
        <v>0</v>
      </c>
      <c r="AM281" s="5"/>
      <c r="AN281" s="43">
        <f>'[1]поточний ремонт'!AN281+'[2]поточний ремонт'!AN281-'[3]поточний ремонт'!AN281</f>
        <v>0</v>
      </c>
      <c r="AO281" s="43">
        <f>'[1]поточний ремонт'!AO281+'[2]поточний ремонт'!AO281-'[3]поточний ремонт'!AO281</f>
        <v>0</v>
      </c>
      <c r="AP281" s="5"/>
      <c r="AQ281" s="43">
        <f>'[1]поточний ремонт'!AQ281+'[2]поточний ремонт'!AQ281-'[3]поточний ремонт'!AQ281</f>
        <v>0</v>
      </c>
      <c r="AR281" s="43">
        <f>'[1]поточний ремонт'!AR281+'[2]поточний ремонт'!AR281-'[3]поточний ремонт'!AR281</f>
        <v>0</v>
      </c>
      <c r="AS281" s="5"/>
      <c r="AT281" s="43">
        <f>'[1]поточний ремонт'!AT281+'[2]поточний ремонт'!AT281-'[3]поточний ремонт'!AT281</f>
        <v>0</v>
      </c>
      <c r="AU281" s="43">
        <f>'[1]поточний ремонт'!AU281+'[2]поточний ремонт'!AU281-'[3]поточний ремонт'!AU281</f>
        <v>0</v>
      </c>
      <c r="AV281" s="5"/>
      <c r="AW281" s="43">
        <f>'[1]поточний ремонт'!AW281+'[2]поточний ремонт'!AW281-'[3]поточний ремонт'!AW281</f>
        <v>0</v>
      </c>
      <c r="AX281" s="43">
        <f>'[1]поточний ремонт'!AX281+'[2]поточний ремонт'!AX281-'[3]поточний ремонт'!AX281</f>
        <v>0</v>
      </c>
      <c r="AY281" s="5"/>
      <c r="AZ281" s="43">
        <f t="shared" si="34"/>
        <v>0</v>
      </c>
      <c r="BA281" s="43">
        <f t="shared" si="35"/>
        <v>0</v>
      </c>
      <c r="BB281" s="59">
        <f t="shared" si="36"/>
        <v>0</v>
      </c>
      <c r="BD281" s="2">
        <v>1</v>
      </c>
      <c r="BF281" s="30">
        <v>0</v>
      </c>
      <c r="BG281" s="328">
        <v>150000845</v>
      </c>
      <c r="BI281" s="107">
        <v>0</v>
      </c>
      <c r="BJ281" s="107">
        <f t="shared" si="37"/>
        <v>0</v>
      </c>
      <c r="BK281" s="107">
        <v>0</v>
      </c>
      <c r="BL281" s="39"/>
      <c r="BM281" s="3"/>
      <c r="BN281" s="3">
        <v>0</v>
      </c>
      <c r="BP281" s="3"/>
      <c r="BQ281" s="3"/>
      <c r="BS281" s="43"/>
      <c r="BT281" s="43">
        <v>0</v>
      </c>
      <c r="BU281" s="1037"/>
      <c r="BV281" s="42"/>
      <c r="BW281" s="43"/>
      <c r="BX281" s="37"/>
      <c r="BY281" s="78"/>
      <c r="BZ281" s="43">
        <v>0</v>
      </c>
      <c r="CA281" s="1038"/>
      <c r="CB281" s="42"/>
      <c r="CC281" s="42">
        <v>0</v>
      </c>
      <c r="CD281" s="1039"/>
      <c r="CE281" s="78">
        <v>0</v>
      </c>
      <c r="CF281" s="56"/>
      <c r="CG281" s="42">
        <v>0</v>
      </c>
      <c r="CH281" s="39">
        <v>0</v>
      </c>
      <c r="CI281" s="78">
        <v>0</v>
      </c>
      <c r="CJ281" s="56"/>
      <c r="CK281" s="1034"/>
      <c r="CL281" s="1029"/>
      <c r="CM281" s="1034"/>
      <c r="CN281" s="1029">
        <v>0</v>
      </c>
      <c r="CO281" s="78">
        <v>0</v>
      </c>
      <c r="CP281" s="43">
        <v>0</v>
      </c>
      <c r="CQ281" s="5"/>
      <c r="CR281" s="78">
        <v>0</v>
      </c>
      <c r="CS281" s="1033">
        <v>0</v>
      </c>
      <c r="CT281" s="5"/>
      <c r="CU281" s="78">
        <v>0</v>
      </c>
      <c r="CV281" s="43">
        <v>0</v>
      </c>
      <c r="CW281" s="5"/>
      <c r="CX281" s="78">
        <v>0</v>
      </c>
      <c r="CY281" s="43">
        <v>0</v>
      </c>
      <c r="CZ281" s="5"/>
      <c r="DA281" s="78">
        <v>0</v>
      </c>
      <c r="DB281" s="43">
        <v>0</v>
      </c>
      <c r="DC281" s="5"/>
      <c r="DD281" s="78">
        <v>0</v>
      </c>
      <c r="DE281" s="43">
        <v>0</v>
      </c>
      <c r="DF281" s="5"/>
      <c r="DG281" s="78">
        <v>0</v>
      </c>
      <c r="DH281" s="43"/>
      <c r="DI281" s="5"/>
      <c r="DJ281" s="43">
        <v>0</v>
      </c>
      <c r="DK281" s="43">
        <f t="shared" si="38"/>
        <v>0</v>
      </c>
      <c r="DL281" s="59">
        <f t="shared" si="39"/>
        <v>0</v>
      </c>
    </row>
    <row r="282" spans="1:116" ht="24.9" customHeight="1" x14ac:dyDescent="0.3">
      <c r="A282" s="328">
        <v>150000798</v>
      </c>
      <c r="B282" s="45" t="s">
        <v>225</v>
      </c>
      <c r="C282" s="1035">
        <v>4</v>
      </c>
      <c r="D282" s="1036" t="s">
        <v>454</v>
      </c>
      <c r="E282" s="1028">
        <f>'побудинковий звіт'!E280</f>
        <v>626.5</v>
      </c>
      <c r="F282" s="1029">
        <f>'побудинковий звіт'!AS280</f>
        <v>15654.634561050747</v>
      </c>
      <c r="G282" s="1029">
        <f t="shared" si="32"/>
        <v>9832</v>
      </c>
      <c r="H282" s="1029">
        <f t="shared" si="33"/>
        <v>-5822.6345610507469</v>
      </c>
      <c r="I282" s="43">
        <f>'[1]поточний ремонт'!I282+'[2]поточний ремонт'!I282-'[3]поточний ремонт'!I282</f>
        <v>30</v>
      </c>
      <c r="J282" s="43">
        <f>'[1]поточний ремонт'!J282+'[2]поточний ремонт'!J282-'[3]поточний ремонт'!J282</f>
        <v>7039</v>
      </c>
      <c r="K282" s="1037"/>
      <c r="L282" s="43">
        <f>'[1]поточний ремонт'!L282+'[2]поточний ремонт'!L282-'[3]поточний ремонт'!L282</f>
        <v>0</v>
      </c>
      <c r="M282" s="43">
        <f>'[1]поточний ремонт'!M282+'[2]поточний ремонт'!M282-'[3]поточний ремонт'!M282</f>
        <v>0</v>
      </c>
      <c r="N282" s="37"/>
      <c r="O282" s="43">
        <f>'[1]поточний ремонт'!O282+'[2]поточний ремонт'!O282-'[3]поточний ремонт'!O282</f>
        <v>0</v>
      </c>
      <c r="P282" s="43">
        <f>'[1]поточний ремонт'!P282+'[2]поточний ремонт'!P282-'[3]поточний ремонт'!P282</f>
        <v>0</v>
      </c>
      <c r="Q282" s="1038"/>
      <c r="R282" s="43">
        <f>'[1]поточний ремонт'!R282+'[2]поточний ремонт'!R282-'[3]поточний ремонт'!R282</f>
        <v>0</v>
      </c>
      <c r="S282" s="43">
        <f>'[1]поточний ремонт'!S282+'[2]поточний ремонт'!S282-'[3]поточний ремонт'!S282</f>
        <v>0</v>
      </c>
      <c r="T282" s="1039"/>
      <c r="U282" s="43">
        <f>'[1]поточний ремонт'!U282+'[2]поточний ремонт'!U282-'[3]поточний ремонт'!U282</f>
        <v>0</v>
      </c>
      <c r="V282" s="43">
        <f>'[1]поточний ремонт'!V282+'[2]поточний ремонт'!V282-'[3]поточний ремонт'!V282</f>
        <v>0</v>
      </c>
      <c r="W282" s="43">
        <f>'[1]поточний ремонт'!W282+'[2]поточний ремонт'!W282-'[3]поточний ремонт'!W282</f>
        <v>0</v>
      </c>
      <c r="X282" s="43">
        <f>'[1]поточний ремонт'!X282+'[2]поточний ремонт'!X282-'[3]поточний ремонт'!X282</f>
        <v>0</v>
      </c>
      <c r="Y282" s="43">
        <f>'[1]поточний ремонт'!Y282+'[2]поточний ремонт'!Y282-'[3]поточний ремонт'!Y282</f>
        <v>0</v>
      </c>
      <c r="Z282" s="43">
        <f>'[1]поточний ремонт'!Z282+'[2]поточний ремонт'!Z282-'[3]поточний ремонт'!Z282</f>
        <v>0</v>
      </c>
      <c r="AA282" s="43">
        <f>'[1]поточний ремонт'!AA282+'[2]поточний ремонт'!AA282-'[3]поточний ремонт'!AA282</f>
        <v>0</v>
      </c>
      <c r="AB282" s="43">
        <f>'[1]поточний ремонт'!AB282+'[2]поточний ремонт'!AB282-'[3]поточний ремонт'!AB282</f>
        <v>0</v>
      </c>
      <c r="AC282" s="43">
        <f>'[1]поточний ремонт'!AC282+'[2]поточний ремонт'!AC282-'[3]поточний ремонт'!AC282</f>
        <v>0</v>
      </c>
      <c r="AD282" s="43">
        <f>'[1]поточний ремонт'!AD282+'[2]поточний ремонт'!AD282-'[3]поточний ремонт'!AD282</f>
        <v>2793</v>
      </c>
      <c r="AE282" s="43">
        <f>'[1]поточний ремонт'!AE282+'[2]поточний ремонт'!AE282-'[3]поточний ремонт'!AE282</f>
        <v>760.68954818548775</v>
      </c>
      <c r="AF282" s="43">
        <f>'[1]поточний ремонт'!AF282+'[2]поточний ремонт'!AF282-'[3]поточний ремонт'!AF282</f>
        <v>460</v>
      </c>
      <c r="AG282" s="5"/>
      <c r="AH282" s="43">
        <f>'[1]поточний ремонт'!AH282+'[2]поточний ремонт'!AH282-'[3]поточний ремонт'!AH282</f>
        <v>908.87013657091507</v>
      </c>
      <c r="AI282" s="43">
        <f>'[1]поточний ремонт'!AI282+'[2]поточний ремонт'!AI282-'[3]поточний ремонт'!AI282</f>
        <v>0</v>
      </c>
      <c r="AJ282" s="5"/>
      <c r="AK282" s="43">
        <f>'[1]поточний ремонт'!AK282+'[2]поточний ремонт'!AK282-'[3]поточний ремонт'!AK282</f>
        <v>952.62342012223451</v>
      </c>
      <c r="AL282" s="43">
        <f>'[1]поточний ремонт'!AL282+'[2]поточний ремонт'!AL282-'[3]поточний ремонт'!AL282</f>
        <v>0</v>
      </c>
      <c r="AM282" s="5"/>
      <c r="AN282" s="43">
        <f>'[1]поточний ремонт'!AN282+'[2]поточний ремонт'!AN282-'[3]поточний ремонт'!AN282</f>
        <v>0</v>
      </c>
      <c r="AO282" s="43">
        <f>'[1]поточний ремонт'!AO282+'[2]поточний ремонт'!AO282-'[3]поточний ремонт'!AO282</f>
        <v>0</v>
      </c>
      <c r="AP282" s="5"/>
      <c r="AQ282" s="43">
        <f>'[1]поточний ремонт'!AQ282+'[2]поточний ремонт'!AQ282-'[3]поточний ремонт'!AQ282</f>
        <v>0</v>
      </c>
      <c r="AR282" s="43">
        <f>'[1]поточний ремонт'!AR282+'[2]поточний ремонт'!AR282-'[3]поточний ремонт'!AR282</f>
        <v>378</v>
      </c>
      <c r="AS282" s="5"/>
      <c r="AT282" s="43">
        <f>'[1]поточний ремонт'!AT282+'[2]поточний ремонт'!AT282-'[3]поточний ремонт'!AT282</f>
        <v>354.89402947662137</v>
      </c>
      <c r="AU282" s="43">
        <f>'[1]поточний ремонт'!AU282+'[2]поточний ремонт'!AU282-'[3]поточний ремонт'!AU282</f>
        <v>0</v>
      </c>
      <c r="AV282" s="5"/>
      <c r="AW282" s="43">
        <f>'[1]поточний ремонт'!AW282+'[2]поточний ремонт'!AW282-'[3]поточний ремонт'!AW282</f>
        <v>0</v>
      </c>
      <c r="AX282" s="43">
        <f>'[1]поточний ремонт'!AX282+'[2]поточний ремонт'!AX282-'[3]поточний ремонт'!AX282</f>
        <v>0</v>
      </c>
      <c r="AY282" s="5"/>
      <c r="AZ282" s="43">
        <f t="shared" si="34"/>
        <v>2977.0771343552587</v>
      </c>
      <c r="BA282" s="43">
        <f t="shared" si="35"/>
        <v>838</v>
      </c>
      <c r="BB282" s="59">
        <f t="shared" si="36"/>
        <v>-2139.0771343552587</v>
      </c>
      <c r="BD282" s="2">
        <v>2</v>
      </c>
      <c r="BF282" s="30">
        <v>1.9329056392938797</v>
      </c>
      <c r="BG282" s="328">
        <v>150000798</v>
      </c>
      <c r="BI282" s="107">
        <v>0</v>
      </c>
      <c r="BJ282" s="107">
        <f t="shared" si="37"/>
        <v>0</v>
      </c>
      <c r="BK282" s="107">
        <v>0</v>
      </c>
      <c r="BL282" s="39"/>
      <c r="BM282" s="3"/>
      <c r="BN282" s="3">
        <v>0</v>
      </c>
      <c r="BP282" s="3"/>
      <c r="BQ282" s="3"/>
      <c r="BS282" s="43"/>
      <c r="BT282" s="43">
        <v>0</v>
      </c>
      <c r="BU282" s="1037"/>
      <c r="BV282" s="42"/>
      <c r="BW282" s="43"/>
      <c r="BX282" s="37"/>
      <c r="BY282" s="78"/>
      <c r="BZ282" s="43">
        <v>0</v>
      </c>
      <c r="CA282" s="1038"/>
      <c r="CB282" s="42"/>
      <c r="CC282" s="42">
        <v>0</v>
      </c>
      <c r="CD282" s="1039"/>
      <c r="CE282" s="78">
        <v>0</v>
      </c>
      <c r="CF282" s="56"/>
      <c r="CG282" s="42">
        <v>0</v>
      </c>
      <c r="CH282" s="39">
        <v>0</v>
      </c>
      <c r="CI282" s="78">
        <v>0</v>
      </c>
      <c r="CJ282" s="56"/>
      <c r="CK282" s="1034"/>
      <c r="CL282" s="1029"/>
      <c r="CM282" s="1034"/>
      <c r="CN282" s="1029">
        <v>0</v>
      </c>
      <c r="CO282" s="78">
        <v>63.390795682123972</v>
      </c>
      <c r="CP282" s="43">
        <v>0</v>
      </c>
      <c r="CQ282" s="5"/>
      <c r="CR282" s="78">
        <v>75.73917804757626</v>
      </c>
      <c r="CS282" s="1033">
        <v>0</v>
      </c>
      <c r="CT282" s="5"/>
      <c r="CU282" s="78">
        <v>79.385285010186223</v>
      </c>
      <c r="CV282" s="43">
        <v>0</v>
      </c>
      <c r="CW282" s="5"/>
      <c r="CX282" s="78">
        <v>0</v>
      </c>
      <c r="CY282" s="43">
        <v>0</v>
      </c>
      <c r="CZ282" s="5"/>
      <c r="DA282" s="78">
        <v>0</v>
      </c>
      <c r="DB282" s="43">
        <v>0</v>
      </c>
      <c r="DC282" s="5"/>
      <c r="DD282" s="78">
        <v>29.574502456385112</v>
      </c>
      <c r="DE282" s="43">
        <v>0</v>
      </c>
      <c r="DF282" s="5"/>
      <c r="DG282" s="78">
        <v>0</v>
      </c>
      <c r="DH282" s="43"/>
      <c r="DI282" s="5"/>
      <c r="DJ282" s="43">
        <v>248.08976119627158</v>
      </c>
      <c r="DK282" s="43">
        <f t="shared" si="38"/>
        <v>0</v>
      </c>
      <c r="DL282" s="59">
        <f t="shared" si="39"/>
        <v>-248.08976119627158</v>
      </c>
    </row>
    <row r="283" spans="1:116" ht="24.9" customHeight="1" x14ac:dyDescent="0.3">
      <c r="A283" s="328">
        <v>150000819</v>
      </c>
      <c r="B283" s="45" t="s">
        <v>423</v>
      </c>
      <c r="C283" s="1035">
        <v>10</v>
      </c>
      <c r="D283" s="1036" t="s">
        <v>454</v>
      </c>
      <c r="E283" s="1028">
        <f>'побудинковий звіт'!E281</f>
        <v>2916.54</v>
      </c>
      <c r="F283" s="1029">
        <f>'побудинковий звіт'!AS281</f>
        <v>138941.75999999998</v>
      </c>
      <c r="G283" s="1029">
        <f t="shared" si="32"/>
        <v>74930</v>
      </c>
      <c r="H283" s="1029">
        <f t="shared" si="33"/>
        <v>-64011.75999999998</v>
      </c>
      <c r="I283" s="43">
        <f>'[1]поточний ремонт'!I283+'[2]поточний ремонт'!I283-'[3]поточний ремонт'!I283</f>
        <v>141.21</v>
      </c>
      <c r="J283" s="43">
        <f>'[1]поточний ремонт'!J283+'[2]поточний ремонт'!J283-'[3]поточний ремонт'!J283</f>
        <v>46928</v>
      </c>
      <c r="K283" s="1037"/>
      <c r="L283" s="43">
        <f>'[1]поточний ремонт'!L283+'[2]поточний ремонт'!L283-'[3]поточний ремонт'!L283</f>
        <v>0</v>
      </c>
      <c r="M283" s="43">
        <f>'[1]поточний ремонт'!M283+'[2]поточний ремонт'!M283-'[3]поточний ремонт'!M283</f>
        <v>0</v>
      </c>
      <c r="N283" s="1050"/>
      <c r="O283" s="43">
        <f>'[1]поточний ремонт'!O283+'[2]поточний ремонт'!O283-'[3]поточний ремонт'!O283</f>
        <v>49</v>
      </c>
      <c r="P283" s="43">
        <f>'[1]поточний ремонт'!P283+'[2]поточний ремонт'!P283-'[3]поточний ремонт'!P283</f>
        <v>12557</v>
      </c>
      <c r="Q283" s="1038"/>
      <c r="R283" s="43">
        <f>'[1]поточний ремонт'!R283+'[2]поточний ремонт'!R283-'[3]поточний ремонт'!R283</f>
        <v>1</v>
      </c>
      <c r="S283" s="43">
        <f>'[1]поточний ремонт'!S283+'[2]поточний ремонт'!S283-'[3]поточний ремонт'!S283</f>
        <v>1722</v>
      </c>
      <c r="T283" s="1039"/>
      <c r="U283" s="43">
        <f>'[1]поточний ремонт'!U283+'[2]поточний ремонт'!U283-'[3]поточний ремонт'!U283</f>
        <v>0</v>
      </c>
      <c r="V283" s="43">
        <f>'[1]поточний ремонт'!V283+'[2]поточний ремонт'!V283-'[3]поточний ремонт'!V283</f>
        <v>0</v>
      </c>
      <c r="W283" s="43">
        <f>'[1]поточний ремонт'!W283+'[2]поточний ремонт'!W283-'[3]поточний ремонт'!W283</f>
        <v>29.5</v>
      </c>
      <c r="X283" s="43">
        <f>'[1]поточний ремонт'!X283+'[2]поточний ремонт'!X283-'[3]поточний ремонт'!X283</f>
        <v>1999</v>
      </c>
      <c r="Y283" s="43">
        <f>'[1]поточний ремонт'!Y283+'[2]поточний ремонт'!Y283-'[3]поточний ремонт'!Y283</f>
        <v>3477</v>
      </c>
      <c r="Z283" s="43">
        <f>'[1]поточний ремонт'!Z283+'[2]поточний ремонт'!Z283-'[3]поточний ремонт'!Z283</f>
        <v>0</v>
      </c>
      <c r="AA283" s="43">
        <f>'[1]поточний ремонт'!AA283+'[2]поточний ремонт'!AA283-'[3]поточний ремонт'!AA283</f>
        <v>0</v>
      </c>
      <c r="AB283" s="43">
        <f>'[1]поточний ремонт'!AB283+'[2]поточний ремонт'!AB283-'[3]поточний ремонт'!AB283</f>
        <v>4359</v>
      </c>
      <c r="AC283" s="43">
        <f>'[1]поточний ремонт'!AC283+'[2]поточний ремонт'!AC283-'[3]поточний ремонт'!AC283</f>
        <v>1918</v>
      </c>
      <c r="AD283" s="43">
        <f>'[1]поточний ремонт'!AD283+'[2]поточний ремонт'!AD283-'[3]поточний ремонт'!AD283</f>
        <v>1970</v>
      </c>
      <c r="AE283" s="43">
        <f>'[1]поточний ремонт'!AE283+'[2]поточний ремонт'!AE283-'[3]поточний ремонт'!AE283</f>
        <v>2127.0322516732763</v>
      </c>
      <c r="AF283" s="43">
        <f>'[1]поточний ремонт'!AF283+'[2]поточний ремонт'!AF283-'[3]поточний ремонт'!AF283</f>
        <v>3837</v>
      </c>
      <c r="AG283" s="5"/>
      <c r="AH283" s="43">
        <f>'[1]поточний ремонт'!AH283+'[2]поточний ремонт'!AH283-'[3]поточний ремонт'!AH283</f>
        <v>2962.410674261333</v>
      </c>
      <c r="AI283" s="43">
        <f>'[1]поточний ремонт'!AI283+'[2]поточний ремонт'!AI283-'[3]поточний ремонт'!AI283</f>
        <v>1331</v>
      </c>
      <c r="AJ283" s="5"/>
      <c r="AK283" s="43">
        <f>'[1]поточний ремонт'!AK283+'[2]поточний ремонт'!AK283-'[3]поточний ремонт'!AK283</f>
        <v>3594.0212437855835</v>
      </c>
      <c r="AL283" s="43">
        <f>'[1]поточний ремонт'!AL283+'[2]поточний ремонт'!AL283-'[3]поточний ремонт'!AL283</f>
        <v>19022</v>
      </c>
      <c r="AM283" s="5"/>
      <c r="AN283" s="43">
        <f>'[1]поточний ремонт'!AN283+'[2]поточний ремонт'!AN283-'[3]поточний ремонт'!AN283</f>
        <v>1212.9835507155915</v>
      </c>
      <c r="AO283" s="43">
        <f>'[1]поточний ремонт'!AO283+'[2]поточний ремонт'!AO283-'[3]поточний ремонт'!AO283</f>
        <v>4307</v>
      </c>
      <c r="AP283" s="5"/>
      <c r="AQ283" s="43">
        <f>'[1]поточний ремонт'!AQ283+'[2]поточний ремонт'!AQ283-'[3]поточний ремонт'!AQ283</f>
        <v>634.10414095325257</v>
      </c>
      <c r="AR283" s="43">
        <f>'[1]поточний ремонт'!AR283+'[2]поточний ремонт'!AR283-'[3]поточний ремонт'!AR283</f>
        <v>0</v>
      </c>
      <c r="AS283" s="5"/>
      <c r="AT283" s="43">
        <f>'[1]поточний ремонт'!AT283+'[2]поточний ремонт'!AT283-'[3]поточний ремонт'!AT283</f>
        <v>821.24248283863255</v>
      </c>
      <c r="AU283" s="43">
        <f>'[1]поточний ремонт'!AU283+'[2]поточний ремонт'!AU283-'[3]поточний ремонт'!AU283</f>
        <v>2954</v>
      </c>
      <c r="AV283" s="5"/>
      <c r="AW283" s="43">
        <f>'[1]поточний ремонт'!AW283+'[2]поточний ремонт'!AW283-'[3]поточний ремонт'!AW283</f>
        <v>0</v>
      </c>
      <c r="AX283" s="43">
        <f>'[1]поточний ремонт'!AX283+'[2]поточний ремонт'!AX283-'[3]поточний ремонт'!AX283</f>
        <v>0</v>
      </c>
      <c r="AY283" s="5"/>
      <c r="AZ283" s="43">
        <f t="shared" si="34"/>
        <v>11351.794344227666</v>
      </c>
      <c r="BA283" s="43">
        <f t="shared" si="35"/>
        <v>31451</v>
      </c>
      <c r="BB283" s="59">
        <f t="shared" si="36"/>
        <v>20099.205655772334</v>
      </c>
      <c r="BD283" s="2">
        <v>3</v>
      </c>
      <c r="BF283" s="30">
        <v>506.23936227782258</v>
      </c>
      <c r="BG283" s="328">
        <v>150000819</v>
      </c>
      <c r="BI283" s="107">
        <v>0</v>
      </c>
      <c r="BJ283" s="107">
        <f t="shared" si="37"/>
        <v>0</v>
      </c>
      <c r="BK283" s="107">
        <v>0</v>
      </c>
      <c r="BL283" s="39"/>
      <c r="BM283" s="3"/>
      <c r="BN283" s="3">
        <v>0</v>
      </c>
      <c r="BP283" s="3"/>
      <c r="BQ283" s="3"/>
      <c r="BS283" s="43"/>
      <c r="BT283" s="43">
        <v>0</v>
      </c>
      <c r="BU283" s="1037"/>
      <c r="BV283" s="42"/>
      <c r="BW283" s="43"/>
      <c r="BX283" s="1050"/>
      <c r="BY283" s="78"/>
      <c r="BZ283" s="43">
        <v>0</v>
      </c>
      <c r="CA283" s="1038"/>
      <c r="CB283" s="42"/>
      <c r="CC283" s="42">
        <v>0</v>
      </c>
      <c r="CD283" s="1039"/>
      <c r="CE283" s="78">
        <v>0</v>
      </c>
      <c r="CF283" s="56"/>
      <c r="CG283" s="42">
        <v>0</v>
      </c>
      <c r="CH283" s="39">
        <v>0</v>
      </c>
      <c r="CI283" s="78">
        <v>0</v>
      </c>
      <c r="CJ283" s="56"/>
      <c r="CK283" s="1034"/>
      <c r="CL283" s="1029"/>
      <c r="CM283" s="1034"/>
      <c r="CN283" s="1029">
        <v>0</v>
      </c>
      <c r="CO283" s="78">
        <v>177.2526876394397</v>
      </c>
      <c r="CP283" s="43">
        <v>0</v>
      </c>
      <c r="CQ283" s="5"/>
      <c r="CR283" s="78">
        <v>246.86755618844444</v>
      </c>
      <c r="CS283" s="1033">
        <v>0</v>
      </c>
      <c r="CT283" s="5"/>
      <c r="CU283" s="78">
        <v>299.50177031546531</v>
      </c>
      <c r="CV283" s="43">
        <v>0</v>
      </c>
      <c r="CW283" s="5"/>
      <c r="CX283" s="78">
        <v>101.08196255963261</v>
      </c>
      <c r="CY283" s="43">
        <v>0</v>
      </c>
      <c r="CZ283" s="5"/>
      <c r="DA283" s="78">
        <v>52.842011746104383</v>
      </c>
      <c r="DB283" s="43">
        <v>0</v>
      </c>
      <c r="DC283" s="5"/>
      <c r="DD283" s="78">
        <v>68.436873569886032</v>
      </c>
      <c r="DE283" s="43">
        <v>0</v>
      </c>
      <c r="DF283" s="5"/>
      <c r="DG283" s="78">
        <v>0</v>
      </c>
      <c r="DH283" s="43"/>
      <c r="DI283" s="5"/>
      <c r="DJ283" s="43">
        <v>945.98286201897247</v>
      </c>
      <c r="DK283" s="43">
        <f t="shared" si="38"/>
        <v>0</v>
      </c>
      <c r="DL283" s="59">
        <f t="shared" si="39"/>
        <v>-945.98286201897247</v>
      </c>
    </row>
    <row r="284" spans="1:116" ht="24.9" customHeight="1" x14ac:dyDescent="0.3">
      <c r="A284" s="328">
        <v>150000820</v>
      </c>
      <c r="B284" s="45" t="s">
        <v>394</v>
      </c>
      <c r="C284" s="1035">
        <v>9</v>
      </c>
      <c r="D284" s="1036" t="s">
        <v>454</v>
      </c>
      <c r="E284" s="1028">
        <f>'побудинковий звіт'!E282</f>
        <v>4446.8</v>
      </c>
      <c r="F284" s="1029">
        <f>'побудинковий звіт'!AS282</f>
        <v>93113.88</v>
      </c>
      <c r="G284" s="1029">
        <f t="shared" si="32"/>
        <v>81835</v>
      </c>
      <c r="H284" s="1029">
        <f t="shared" si="33"/>
        <v>-11278.880000000005</v>
      </c>
      <c r="I284" s="43">
        <f>'[1]поточний ремонт'!I284+'[2]поточний ремонт'!I284-'[3]поточний ремонт'!I284</f>
        <v>134</v>
      </c>
      <c r="J284" s="43">
        <f>'[1]поточний ремонт'!J284+'[2]поточний ремонт'!J284-'[3]поточний ремонт'!J284</f>
        <v>34822</v>
      </c>
      <c r="K284" s="1037"/>
      <c r="L284" s="43">
        <f>'[1]поточний ремонт'!L284+'[2]поточний ремонт'!L284-'[3]поточний ремонт'!L284</f>
        <v>0</v>
      </c>
      <c r="M284" s="43">
        <f>'[1]поточний ремонт'!M284+'[2]поточний ремонт'!M284-'[3]поточний ремонт'!M284</f>
        <v>0</v>
      </c>
      <c r="N284" s="1040"/>
      <c r="O284" s="43">
        <f>'[1]поточний ремонт'!O284+'[2]поточний ремонт'!O284-'[3]поточний ремонт'!O284</f>
        <v>0</v>
      </c>
      <c r="P284" s="43">
        <f>'[1]поточний ремонт'!P284+'[2]поточний ремонт'!P284-'[3]поточний ремонт'!P284</f>
        <v>0</v>
      </c>
      <c r="Q284" s="1038"/>
      <c r="R284" s="43">
        <f>'[1]поточний ремонт'!R284+'[2]поточний ремонт'!R284-'[3]поточний ремонт'!R284</f>
        <v>1</v>
      </c>
      <c r="S284" s="43">
        <f>'[1]поточний ремонт'!S284+'[2]поточний ремонт'!S284-'[3]поточний ремонт'!S284</f>
        <v>3576</v>
      </c>
      <c r="T284" s="1047"/>
      <c r="U284" s="43">
        <f>'[1]поточний ремонт'!U284+'[2]поточний ремонт'!U284-'[3]поточний ремонт'!U284</f>
        <v>0</v>
      </c>
      <c r="V284" s="43">
        <f>'[1]поточний ремонт'!V284+'[2]поточний ремонт'!V284-'[3]поточний ремонт'!V284</f>
        <v>0</v>
      </c>
      <c r="W284" s="43">
        <f>'[1]поточний ремонт'!W284+'[2]поточний ремонт'!W284-'[3]поточний ремонт'!W284</f>
        <v>43</v>
      </c>
      <c r="X284" s="43">
        <f>'[1]поточний ремонт'!X284+'[2]поточний ремонт'!X284-'[3]поточний ремонт'!X284</f>
        <v>24221</v>
      </c>
      <c r="Y284" s="43">
        <f>'[1]поточний ремонт'!Y284+'[2]поточний ремонт'!Y284-'[3]поточний ремонт'!Y284</f>
        <v>280</v>
      </c>
      <c r="Z284" s="43">
        <f>'[1]поточний ремонт'!Z284+'[2]поточний ремонт'!Z284-'[3]поточний ремонт'!Z284</f>
        <v>0</v>
      </c>
      <c r="AA284" s="43">
        <f>'[1]поточний ремонт'!AA284+'[2]поточний ремонт'!AA284-'[3]поточний ремонт'!AA284</f>
        <v>0</v>
      </c>
      <c r="AB284" s="43">
        <f>'[1]поточний ремонт'!AB284+'[2]поточний ремонт'!AB284-'[3]поточний ремонт'!AB284</f>
        <v>266</v>
      </c>
      <c r="AC284" s="43">
        <f>'[1]поточний ремонт'!AC284+'[2]поточний ремонт'!AC284-'[3]поточний ремонт'!AC284</f>
        <v>1224</v>
      </c>
      <c r="AD284" s="43">
        <f>'[1]поточний ремонт'!AD284+'[2]поточний ремонт'!AD284-'[3]поточний ремонт'!AD284</f>
        <v>17446</v>
      </c>
      <c r="AE284" s="43">
        <f>'[1]поточний ремонт'!AE284+'[2]поточний ремонт'!AE284-'[3]поточний ремонт'!AE284</f>
        <v>1081.6800050073205</v>
      </c>
      <c r="AF284" s="43">
        <f>'[1]поточний ремонт'!AF284+'[2]поточний ремонт'!AF284-'[3]поточний ремонт'!AF284</f>
        <v>0</v>
      </c>
      <c r="AG284" s="5"/>
      <c r="AH284" s="43">
        <f>'[1]поточний ремонт'!AH284+'[2]поточний ремонт'!AH284-'[3]поточний ремонт'!AH284</f>
        <v>1818.9168533652814</v>
      </c>
      <c r="AI284" s="43">
        <f>'[1]поточний ремонт'!AI284+'[2]поточний ремонт'!AI284-'[3]поточний ремонт'!AI284</f>
        <v>3603</v>
      </c>
      <c r="AJ284" s="5"/>
      <c r="AK284" s="43">
        <f>'[1]поточний ремонт'!AK284+'[2]поточний ремонт'!AK284-'[3]поточний ремонт'!AK284</f>
        <v>2250.7642963954763</v>
      </c>
      <c r="AL284" s="43">
        <f>'[1]поточний ремонт'!AL284+'[2]поточний ремонт'!AL284-'[3]поточний ремонт'!AL284</f>
        <v>43382</v>
      </c>
      <c r="AM284" s="5"/>
      <c r="AN284" s="43">
        <f>'[1]поточний ремонт'!AN284+'[2]поточний ремонт'!AN284-'[3]поточний ремонт'!AN284</f>
        <v>890.42151739741553</v>
      </c>
      <c r="AO284" s="43">
        <f>'[1]поточний ремонт'!AO284+'[2]поточний ремонт'!AO284-'[3]поточний ремонт'!AO284</f>
        <v>1485</v>
      </c>
      <c r="AP284" s="5"/>
      <c r="AQ284" s="43">
        <f>'[1]поточний ремонт'!AQ284+'[2]поточний ремонт'!AQ284-'[3]поточний ремонт'!AQ284</f>
        <v>395.76741189229665</v>
      </c>
      <c r="AR284" s="43">
        <f>'[1]поточний ремонт'!AR284+'[2]поточний ремонт'!AR284-'[3]поточний ремонт'!AR284</f>
        <v>9773</v>
      </c>
      <c r="AS284" s="5"/>
      <c r="AT284" s="43">
        <f>'[1]поточний ремонт'!AT284+'[2]поточний ремонт'!AT284-'[3]поточний ремонт'!AT284</f>
        <v>430.16392829767398</v>
      </c>
      <c r="AU284" s="43">
        <f>'[1]поточний ремонт'!AU284+'[2]поточний ремонт'!AU284-'[3]поточний ремонт'!AU284</f>
        <v>5294</v>
      </c>
      <c r="AV284" s="5"/>
      <c r="AW284" s="43">
        <f>'[1]поточний ремонт'!AW284+'[2]поточний ремонт'!AW284-'[3]поточний ремонт'!AW284</f>
        <v>0</v>
      </c>
      <c r="AX284" s="43">
        <f>'[1]поточний ремонт'!AX284+'[2]поточний ремонт'!AX284-'[3]поточний ремонт'!AX284</f>
        <v>0</v>
      </c>
      <c r="AY284" s="5"/>
      <c r="AZ284" s="43">
        <f t="shared" si="34"/>
        <v>6867.7140123554636</v>
      </c>
      <c r="BA284" s="43">
        <f t="shared" si="35"/>
        <v>63537</v>
      </c>
      <c r="BB284" s="59">
        <f t="shared" si="36"/>
        <v>56669.285987644536</v>
      </c>
      <c r="BD284" s="2">
        <v>3</v>
      </c>
      <c r="BF284" s="30">
        <v>313.25954941556455</v>
      </c>
      <c r="BG284" s="328">
        <v>150000820</v>
      </c>
      <c r="BI284" s="107">
        <v>0</v>
      </c>
      <c r="BJ284" s="107">
        <f t="shared" si="37"/>
        <v>0</v>
      </c>
      <c r="BK284" s="107">
        <v>0</v>
      </c>
      <c r="BL284" s="39"/>
      <c r="BM284" s="3"/>
      <c r="BN284" s="3">
        <v>0</v>
      </c>
      <c r="BP284" s="3"/>
      <c r="BQ284" s="3"/>
      <c r="BS284" s="43"/>
      <c r="BT284" s="43">
        <v>0</v>
      </c>
      <c r="BU284" s="1037"/>
      <c r="BV284" s="42"/>
      <c r="BW284" s="43"/>
      <c r="BX284" s="1040"/>
      <c r="BY284" s="78"/>
      <c r="BZ284" s="43">
        <v>0</v>
      </c>
      <c r="CA284" s="1038"/>
      <c r="CB284" s="42"/>
      <c r="CC284" s="42">
        <v>0</v>
      </c>
      <c r="CD284" s="1047"/>
      <c r="CE284" s="78">
        <v>0</v>
      </c>
      <c r="CF284" s="1044"/>
      <c r="CG284" s="42">
        <v>0</v>
      </c>
      <c r="CH284" s="39">
        <v>0</v>
      </c>
      <c r="CI284" s="78">
        <v>0</v>
      </c>
      <c r="CJ284" s="56"/>
      <c r="CK284" s="1034"/>
      <c r="CL284" s="1029"/>
      <c r="CM284" s="1034"/>
      <c r="CN284" s="1029">
        <v>0</v>
      </c>
      <c r="CO284" s="78">
        <v>90.140000417276681</v>
      </c>
      <c r="CP284" s="43">
        <v>2400.864276578568</v>
      </c>
      <c r="CQ284" s="5"/>
      <c r="CR284" s="78">
        <v>151.5764044471068</v>
      </c>
      <c r="CS284" s="1033">
        <v>0</v>
      </c>
      <c r="CT284" s="5"/>
      <c r="CU284" s="78">
        <v>187.56369136628967</v>
      </c>
      <c r="CV284" s="43">
        <v>0</v>
      </c>
      <c r="CW284" s="5"/>
      <c r="CX284" s="78">
        <v>74.201793116451299</v>
      </c>
      <c r="CY284" s="43">
        <v>0</v>
      </c>
      <c r="CZ284" s="5"/>
      <c r="DA284" s="78">
        <v>32.980617657691397</v>
      </c>
      <c r="DB284" s="43">
        <v>0</v>
      </c>
      <c r="DC284" s="5"/>
      <c r="DD284" s="78">
        <v>35.846994024806158</v>
      </c>
      <c r="DE284" s="43">
        <v>2948.2436328143899</v>
      </c>
      <c r="DF284" s="5"/>
      <c r="DG284" s="78">
        <v>0</v>
      </c>
      <c r="DH284" s="43"/>
      <c r="DI284" s="5"/>
      <c r="DJ284" s="43">
        <v>572.30950102962197</v>
      </c>
      <c r="DK284" s="43">
        <f t="shared" si="38"/>
        <v>5349.1079093929584</v>
      </c>
      <c r="DL284" s="59">
        <f t="shared" si="39"/>
        <v>4776.7984083633364</v>
      </c>
    </row>
    <row r="285" spans="1:116" ht="24.9" customHeight="1" x14ac:dyDescent="0.3">
      <c r="A285" s="328">
        <v>150000799</v>
      </c>
      <c r="B285" s="45" t="s">
        <v>292</v>
      </c>
      <c r="C285" s="1035">
        <v>5</v>
      </c>
      <c r="D285" s="1036" t="s">
        <v>454</v>
      </c>
      <c r="E285" s="1028">
        <f>'побудинковий звіт'!E283</f>
        <v>5056.3</v>
      </c>
      <c r="F285" s="1029">
        <f>'побудинковий звіт'!AS283</f>
        <v>16975.272975328025</v>
      </c>
      <c r="G285" s="1029">
        <f t="shared" si="32"/>
        <v>908</v>
      </c>
      <c r="H285" s="1029">
        <f t="shared" si="33"/>
        <v>-16067.272975328025</v>
      </c>
      <c r="I285" s="43">
        <f>'[1]поточний ремонт'!I285+'[2]поточний ремонт'!I285-'[3]поточний ремонт'!I285</f>
        <v>0</v>
      </c>
      <c r="J285" s="43">
        <f>'[1]поточний ремонт'!J285+'[2]поточний ремонт'!J285-'[3]поточний ремонт'!J285</f>
        <v>0</v>
      </c>
      <c r="K285" s="1037"/>
      <c r="L285" s="43">
        <f>'[1]поточний ремонт'!L285+'[2]поточний ремонт'!L285-'[3]поточний ремонт'!L285</f>
        <v>0</v>
      </c>
      <c r="M285" s="43">
        <f>'[1]поточний ремонт'!M285+'[2]поточний ремонт'!M285-'[3]поточний ремонт'!M285</f>
        <v>0</v>
      </c>
      <c r="N285" s="37"/>
      <c r="O285" s="43">
        <f>'[1]поточний ремонт'!O285+'[2]поточний ремонт'!O285-'[3]поточний ремонт'!O285</f>
        <v>0</v>
      </c>
      <c r="P285" s="43">
        <f>'[1]поточний ремонт'!P285+'[2]поточний ремонт'!P285-'[3]поточний ремонт'!P285</f>
        <v>0</v>
      </c>
      <c r="Q285" s="1038"/>
      <c r="R285" s="43">
        <f>'[1]поточний ремонт'!R285+'[2]поточний ремонт'!R285-'[3]поточний ремонт'!R285</f>
        <v>0</v>
      </c>
      <c r="S285" s="43">
        <f>'[1]поточний ремонт'!S285+'[2]поточний ремонт'!S285-'[3]поточний ремонт'!S285</f>
        <v>0</v>
      </c>
      <c r="T285" s="1039"/>
      <c r="U285" s="43">
        <f>'[1]поточний ремонт'!U285+'[2]поточний ремонт'!U285-'[3]поточний ремонт'!U285</f>
        <v>0</v>
      </c>
      <c r="V285" s="43">
        <f>'[1]поточний ремонт'!V285+'[2]поточний ремонт'!V285-'[3]поточний ремонт'!V285</f>
        <v>0</v>
      </c>
      <c r="W285" s="43">
        <f>'[1]поточний ремонт'!W285+'[2]поточний ремонт'!W285-'[3]поточний ремонт'!W285</f>
        <v>0</v>
      </c>
      <c r="X285" s="43">
        <f>'[1]поточний ремонт'!X285+'[2]поточний ремонт'!X285-'[3]поточний ремонт'!X285</f>
        <v>0</v>
      </c>
      <c r="Y285" s="43">
        <f>'[1]поточний ремонт'!Y285+'[2]поточний ремонт'!Y285-'[3]поточний ремонт'!Y285</f>
        <v>0</v>
      </c>
      <c r="Z285" s="43">
        <f>'[1]поточний ремонт'!Z285+'[2]поточний ремонт'!Z285-'[3]поточний ремонт'!Z285</f>
        <v>0</v>
      </c>
      <c r="AA285" s="43">
        <f>'[1]поточний ремонт'!AA285+'[2]поточний ремонт'!AA285-'[3]поточний ремонт'!AA285</f>
        <v>0</v>
      </c>
      <c r="AB285" s="43">
        <f>'[1]поточний ремонт'!AB285+'[2]поточний ремонт'!AB285-'[3]поточний ремонт'!AB285</f>
        <v>0</v>
      </c>
      <c r="AC285" s="43">
        <f>'[1]поточний ремонт'!AC285+'[2]поточний ремонт'!AC285-'[3]поточний ремонт'!AC285</f>
        <v>908</v>
      </c>
      <c r="AD285" s="43">
        <f>'[1]поточний ремонт'!AD285+'[2]поточний ремонт'!AD285-'[3]поточний ремонт'!AD285</f>
        <v>0</v>
      </c>
      <c r="AE285" s="43">
        <f>'[1]поточний ремонт'!AE285+'[2]поточний ремонт'!AE285-'[3]поточний ремонт'!AE285</f>
        <v>1151.9342551156299</v>
      </c>
      <c r="AF285" s="43">
        <f>'[1]поточний ремонт'!AF285+'[2]поточний ремонт'!AF285-'[3]поточний ремонт'!AF285</f>
        <v>0</v>
      </c>
      <c r="AG285" s="5"/>
      <c r="AH285" s="43">
        <f>'[1]поточний ремонт'!AH285+'[2]поточний ремонт'!AH285-'[3]поточний ремонт'!AH285</f>
        <v>1629.9409837160069</v>
      </c>
      <c r="AI285" s="43">
        <f>'[1]поточний ремонт'!AI285+'[2]поточний ремонт'!AI285-'[3]поточний ремонт'!AI285</f>
        <v>0</v>
      </c>
      <c r="AJ285" s="1060"/>
      <c r="AK285" s="43">
        <f>'[1]поточний ремонт'!AK285+'[2]поточний ремонт'!AK285-'[3]поточний ремонт'!AK285</f>
        <v>1606.6710917432124</v>
      </c>
      <c r="AL285" s="43">
        <f>'[1]поточний ремонт'!AL285+'[2]поточний ремонт'!AL285-'[3]поточний ремонт'!AL285</f>
        <v>3287.7889527771467</v>
      </c>
      <c r="AM285" s="5"/>
      <c r="AN285" s="43">
        <f>'[1]поточний ремонт'!AN285+'[2]поточний ремонт'!AN285-'[3]поточний ремонт'!AN285</f>
        <v>0</v>
      </c>
      <c r="AO285" s="43">
        <f>'[1]поточний ремонт'!AO285+'[2]поточний ремонт'!AO285-'[3]поточний ремонт'!AO285</f>
        <v>0</v>
      </c>
      <c r="AP285" s="5"/>
      <c r="AQ285" s="43">
        <f>'[1]поточний ремонт'!AQ285+'[2]поточний ремонт'!AQ285-'[3]поточний ремонт'!AQ285</f>
        <v>0</v>
      </c>
      <c r="AR285" s="43">
        <f>'[1]поточний ремонт'!AR285+'[2]поточний ремонт'!AR285-'[3]поточний ремонт'!AR285</f>
        <v>0</v>
      </c>
      <c r="AS285" s="5"/>
      <c r="AT285" s="43">
        <f>'[1]поточний ремонт'!AT285+'[2]поточний ремонт'!AT285-'[3]поточний ремонт'!AT285</f>
        <v>475.15199954789966</v>
      </c>
      <c r="AU285" s="43">
        <f>'[1]поточний ремонт'!AU285+'[2]поточний ремонт'!AU285-'[3]поточний ремонт'!AU285</f>
        <v>133.007111349609</v>
      </c>
      <c r="AV285" s="5"/>
      <c r="AW285" s="43">
        <f>'[1]поточний ремонт'!AW285+'[2]поточний ремонт'!AW285-'[3]поточний ремонт'!AW285</f>
        <v>0</v>
      </c>
      <c r="AX285" s="43">
        <f>'[1]поточний ремонт'!AX285+'[2]поточний ремонт'!AX285-'[3]поточний ремонт'!AX285</f>
        <v>0</v>
      </c>
      <c r="AY285" s="5"/>
      <c r="AZ285" s="43">
        <f t="shared" si="34"/>
        <v>4863.6983301227483</v>
      </c>
      <c r="BA285" s="43">
        <f t="shared" si="35"/>
        <v>3420.7960641267559</v>
      </c>
      <c r="BB285" s="59">
        <f t="shared" si="36"/>
        <v>-1442.9022659959924</v>
      </c>
      <c r="BD285" s="2">
        <v>2</v>
      </c>
      <c r="BF285" s="30">
        <v>3.045852667510546</v>
      </c>
      <c r="BG285" s="328">
        <v>150000799</v>
      </c>
      <c r="BI285" s="107">
        <v>0</v>
      </c>
      <c r="BJ285" s="107">
        <f t="shared" si="37"/>
        <v>0</v>
      </c>
      <c r="BK285" s="107">
        <v>0</v>
      </c>
      <c r="BL285" s="39"/>
      <c r="BM285" s="3"/>
      <c r="BN285" s="3">
        <v>0</v>
      </c>
      <c r="BP285" s="3"/>
      <c r="BQ285" s="3"/>
      <c r="BS285" s="43"/>
      <c r="BT285" s="43">
        <v>0</v>
      </c>
      <c r="BU285" s="1037"/>
      <c r="BV285" s="42"/>
      <c r="BW285" s="43"/>
      <c r="BX285" s="37"/>
      <c r="BY285" s="78"/>
      <c r="BZ285" s="43">
        <v>0</v>
      </c>
      <c r="CA285" s="1038"/>
      <c r="CB285" s="42"/>
      <c r="CC285" s="42">
        <v>0</v>
      </c>
      <c r="CD285" s="1039"/>
      <c r="CE285" s="78">
        <v>0</v>
      </c>
      <c r="CF285" s="56"/>
      <c r="CG285" s="42">
        <v>0</v>
      </c>
      <c r="CH285" s="39">
        <v>0</v>
      </c>
      <c r="CI285" s="78">
        <v>0</v>
      </c>
      <c r="CJ285" s="56"/>
      <c r="CK285" s="1034"/>
      <c r="CL285" s="1029"/>
      <c r="CM285" s="1034"/>
      <c r="CN285" s="1029">
        <v>0</v>
      </c>
      <c r="CO285" s="78">
        <v>95.994521259635846</v>
      </c>
      <c r="CP285" s="43">
        <v>0</v>
      </c>
      <c r="CQ285" s="5"/>
      <c r="CR285" s="78">
        <v>135.82841530966726</v>
      </c>
      <c r="CS285" s="1033">
        <v>0</v>
      </c>
      <c r="CT285" s="1060"/>
      <c r="CU285" s="78">
        <v>133.88925764526772</v>
      </c>
      <c r="CV285" s="43">
        <v>0</v>
      </c>
      <c r="CW285" s="5"/>
      <c r="CX285" s="78">
        <v>0</v>
      </c>
      <c r="CY285" s="43">
        <v>0</v>
      </c>
      <c r="CZ285" s="5"/>
      <c r="DA285" s="78">
        <v>0</v>
      </c>
      <c r="DB285" s="43">
        <v>0</v>
      </c>
      <c r="DC285" s="5"/>
      <c r="DD285" s="78">
        <v>39.595999962324967</v>
      </c>
      <c r="DE285" s="43">
        <v>0</v>
      </c>
      <c r="DF285" s="5"/>
      <c r="DG285" s="78">
        <v>0</v>
      </c>
      <c r="DH285" s="43"/>
      <c r="DI285" s="5"/>
      <c r="DJ285" s="43">
        <v>405.30819417689582</v>
      </c>
      <c r="DK285" s="43">
        <f t="shared" si="38"/>
        <v>0</v>
      </c>
      <c r="DL285" s="59">
        <f t="shared" si="39"/>
        <v>-405.30819417689582</v>
      </c>
    </row>
    <row r="286" spans="1:116" ht="24.9" customHeight="1" x14ac:dyDescent="0.3">
      <c r="A286" s="328">
        <v>150000830</v>
      </c>
      <c r="B286" s="45" t="s">
        <v>293</v>
      </c>
      <c r="C286" s="1035">
        <v>5</v>
      </c>
      <c r="D286" s="1036" t="s">
        <v>454</v>
      </c>
      <c r="E286" s="1028">
        <f>'побудинковий звіт'!E284</f>
        <v>3260.7000000000003</v>
      </c>
      <c r="F286" s="1029">
        <f>'побудинковий звіт'!AS284</f>
        <v>71191.786975089912</v>
      </c>
      <c r="G286" s="1029">
        <f t="shared" si="32"/>
        <v>18071</v>
      </c>
      <c r="H286" s="1029">
        <f t="shared" si="33"/>
        <v>-53120.786975089912</v>
      </c>
      <c r="I286" s="43">
        <f>'[1]поточний ремонт'!I286+'[2]поточний ремонт'!I286-'[3]поточний ремонт'!I286</f>
        <v>0</v>
      </c>
      <c r="J286" s="43">
        <f>'[1]поточний ремонт'!J286+'[2]поточний ремонт'!J286-'[3]поточний ремонт'!J286</f>
        <v>0</v>
      </c>
      <c r="K286" s="1037"/>
      <c r="L286" s="43">
        <f>'[1]поточний ремонт'!L286+'[2]поточний ремонт'!L286-'[3]поточний ремонт'!L286</f>
        <v>0</v>
      </c>
      <c r="M286" s="43">
        <f>'[1]поточний ремонт'!M286+'[2]поточний ремонт'!M286-'[3]поточний ремонт'!M286</f>
        <v>1598</v>
      </c>
      <c r="N286" s="37"/>
      <c r="O286" s="43">
        <f>'[1]поточний ремонт'!O286+'[2]поточний ремонт'!O286-'[3]поточний ремонт'!O286</f>
        <v>0</v>
      </c>
      <c r="P286" s="43">
        <f>'[1]поточний ремонт'!P286+'[2]поточний ремонт'!P286-'[3]поточний ремонт'!P286</f>
        <v>0</v>
      </c>
      <c r="Q286" s="1038"/>
      <c r="R286" s="43">
        <f>'[1]поточний ремонт'!R286+'[2]поточний ремонт'!R286-'[3]поточний ремонт'!R286</f>
        <v>0</v>
      </c>
      <c r="S286" s="43">
        <f>'[1]поточний ремонт'!S286+'[2]поточний ремонт'!S286-'[3]поточний ремонт'!S286</f>
        <v>0</v>
      </c>
      <c r="T286" s="1039"/>
      <c r="U286" s="43">
        <f>'[1]поточний ремонт'!U286+'[2]поточний ремонт'!U286-'[3]поточний ремонт'!U286</f>
        <v>0</v>
      </c>
      <c r="V286" s="43">
        <f>'[1]поточний ремонт'!V286+'[2]поточний ремонт'!V286-'[3]поточний ремонт'!V286</f>
        <v>0</v>
      </c>
      <c r="W286" s="43">
        <f>'[1]поточний ремонт'!W286+'[2]поточний ремонт'!W286-'[3]поточний ремонт'!W286</f>
        <v>0</v>
      </c>
      <c r="X286" s="43">
        <f>'[1]поточний ремонт'!X286+'[2]поточний ремонт'!X286-'[3]поточний ремонт'!X286</f>
        <v>0</v>
      </c>
      <c r="Y286" s="43">
        <f>'[1]поточний ремонт'!Y286+'[2]поточний ремонт'!Y286-'[3]поточний ремонт'!Y286</f>
        <v>4083</v>
      </c>
      <c r="Z286" s="43">
        <f>'[1]поточний ремонт'!Z286+'[2]поточний ремонт'!Z286-'[3]поточний ремонт'!Z286</f>
        <v>0</v>
      </c>
      <c r="AA286" s="43">
        <f>'[1]поточний ремонт'!AA286+'[2]поточний ремонт'!AA286-'[3]поточний ремонт'!AA286</f>
        <v>0</v>
      </c>
      <c r="AB286" s="43">
        <f>'[1]поточний ремонт'!AB286+'[2]поточний ремонт'!AB286-'[3]поточний ремонт'!AB286</f>
        <v>8912</v>
      </c>
      <c r="AC286" s="43">
        <f>'[1]поточний ремонт'!AC286+'[2]поточний ремонт'!AC286-'[3]поточний ремонт'!AC286</f>
        <v>316</v>
      </c>
      <c r="AD286" s="43">
        <f>'[1]поточний ремонт'!AD286+'[2]поточний ремонт'!AD286-'[3]поточний ремонт'!AD286</f>
        <v>3162</v>
      </c>
      <c r="AE286" s="43">
        <f>'[1]поточний ремонт'!AE286+'[2]поточний ремонт'!AE286-'[3]поточний ремонт'!AE286</f>
        <v>2740.8123502456219</v>
      </c>
      <c r="AF286" s="43">
        <f>'[1]поточний ремонт'!AF286+'[2]поточний ремонт'!AF286-'[3]поточний ремонт'!AF286</f>
        <v>5950.1174201706708</v>
      </c>
      <c r="AG286" s="5"/>
      <c r="AH286" s="43">
        <f>'[1]поточний ремонт'!AH286+'[2]поточний ремонт'!AH286-'[3]поточний ремонт'!AH286</f>
        <v>4379.3929454117269</v>
      </c>
      <c r="AI286" s="43">
        <f>'[1]поточний ремонт'!AI286+'[2]поточний ремонт'!AI286-'[3]поточний ремонт'!AI286</f>
        <v>3344</v>
      </c>
      <c r="AJ286" s="5"/>
      <c r="AK286" s="43">
        <f>'[1]поточний ремонт'!AK286+'[2]поточний ремонт'!AK286-'[3]поточний ремонт'!AK286</f>
        <v>2589.3638818952413</v>
      </c>
      <c r="AL286" s="43">
        <f>'[1]поточний ремонт'!AL286+'[2]поточний ремонт'!AL286-'[3]поточний ремонт'!AL286</f>
        <v>1520</v>
      </c>
      <c r="AM286" s="752"/>
      <c r="AN286" s="43">
        <f>'[1]поточний ремонт'!AN286+'[2]поточний ремонт'!AN286-'[3]поточний ремонт'!AN286</f>
        <v>0</v>
      </c>
      <c r="AO286" s="43">
        <f>'[1]поточний ремонт'!AO286+'[2]поточний ремонт'!AO286-'[3]поточний ремонт'!AO286</f>
        <v>0</v>
      </c>
      <c r="AP286" s="5"/>
      <c r="AQ286" s="43">
        <f>'[1]поточний ремонт'!AQ286+'[2]поточний ремонт'!AQ286-'[3]поточний ремонт'!AQ286</f>
        <v>1313.1883369600605</v>
      </c>
      <c r="AR286" s="43">
        <f>'[1]поточний ремонт'!AR286+'[2]поточний ремонт'!AR286-'[3]поточний ремонт'!AR286</f>
        <v>0</v>
      </c>
      <c r="AS286" s="5"/>
      <c r="AT286" s="43">
        <f>'[1]поточний ремонт'!AT286+'[2]поточний ремонт'!AT286-'[3]поточний ремонт'!AT286</f>
        <v>1993.1246172078954</v>
      </c>
      <c r="AU286" s="43">
        <f>'[1]поточний ремонт'!AU286+'[2]поточний ремонт'!AU286-'[3]поточний ремонт'!AU286</f>
        <v>4136</v>
      </c>
      <c r="AV286" s="5"/>
      <c r="AW286" s="43">
        <f>'[1]поточний ремонт'!AW286+'[2]поточний ремонт'!AW286-'[3]поточний ремонт'!AW286</f>
        <v>0</v>
      </c>
      <c r="AX286" s="43">
        <f>'[1]поточний ремонт'!AX286+'[2]поточний ремонт'!AX286-'[3]поточний ремонт'!AX286</f>
        <v>0</v>
      </c>
      <c r="AY286" s="5"/>
      <c r="AZ286" s="43">
        <f t="shared" si="34"/>
        <v>13015.882131720546</v>
      </c>
      <c r="BA286" s="43">
        <f t="shared" si="35"/>
        <v>14950.117420170671</v>
      </c>
      <c r="BB286" s="59">
        <f t="shared" si="36"/>
        <v>1934.2352884501252</v>
      </c>
      <c r="BD286" s="2">
        <v>3</v>
      </c>
      <c r="BF286" s="30">
        <v>445.61921227757148</v>
      </c>
      <c r="BG286" s="328">
        <v>150000830</v>
      </c>
      <c r="BI286" s="107">
        <v>0</v>
      </c>
      <c r="BJ286" s="107">
        <f t="shared" si="37"/>
        <v>0</v>
      </c>
      <c r="BK286" s="107">
        <v>0</v>
      </c>
      <c r="BL286" s="39"/>
      <c r="BM286" s="3">
        <v>2</v>
      </c>
      <c r="BN286" s="3">
        <v>167.38483731522362</v>
      </c>
      <c r="BP286" s="3"/>
      <c r="BQ286" s="3"/>
      <c r="BS286" s="43"/>
      <c r="BT286" s="43">
        <v>0</v>
      </c>
      <c r="BU286" s="1037"/>
      <c r="BV286" s="42"/>
      <c r="BW286" s="43"/>
      <c r="BX286" s="37"/>
      <c r="BY286" s="78"/>
      <c r="BZ286" s="43">
        <v>0</v>
      </c>
      <c r="CA286" s="1038"/>
      <c r="CB286" s="42"/>
      <c r="CC286" s="42">
        <v>0</v>
      </c>
      <c r="CD286" s="1039"/>
      <c r="CE286" s="78">
        <v>0</v>
      </c>
      <c r="CF286" s="56"/>
      <c r="CG286" s="42">
        <v>2</v>
      </c>
      <c r="CH286" s="39">
        <v>167.38483731522362</v>
      </c>
      <c r="CI286" s="78">
        <v>0</v>
      </c>
      <c r="CJ286" s="56"/>
      <c r="CK286" s="1034"/>
      <c r="CL286" s="1029"/>
      <c r="CM286" s="1034"/>
      <c r="CN286" s="1029">
        <v>0</v>
      </c>
      <c r="CO286" s="78">
        <v>228.40102918713518</v>
      </c>
      <c r="CP286" s="43">
        <v>0</v>
      </c>
      <c r="CQ286" s="5"/>
      <c r="CR286" s="78">
        <v>364.94941211764393</v>
      </c>
      <c r="CS286" s="1033">
        <v>0</v>
      </c>
      <c r="CT286" s="5"/>
      <c r="CU286" s="78">
        <v>215.78032349127011</v>
      </c>
      <c r="CV286" s="43">
        <v>0</v>
      </c>
      <c r="CW286" s="752"/>
      <c r="CX286" s="78">
        <v>0</v>
      </c>
      <c r="CY286" s="43">
        <v>0</v>
      </c>
      <c r="CZ286" s="5"/>
      <c r="DA286" s="78">
        <v>109.43236141333836</v>
      </c>
      <c r="DB286" s="43">
        <v>0</v>
      </c>
      <c r="DC286" s="5"/>
      <c r="DD286" s="78">
        <v>166.09371810065795</v>
      </c>
      <c r="DE286" s="43">
        <v>0</v>
      </c>
      <c r="DF286" s="5"/>
      <c r="DG286" s="78">
        <v>0</v>
      </c>
      <c r="DH286" s="43"/>
      <c r="DI286" s="5"/>
      <c r="DJ286" s="43">
        <v>1084.6568443100455</v>
      </c>
      <c r="DK286" s="43">
        <f t="shared" si="38"/>
        <v>0</v>
      </c>
      <c r="DL286" s="59">
        <f t="shared" si="39"/>
        <v>-1084.6568443100455</v>
      </c>
    </row>
    <row r="287" spans="1:116" ht="24.9" customHeight="1" x14ac:dyDescent="0.3">
      <c r="A287" s="328">
        <v>150000800</v>
      </c>
      <c r="B287" s="45" t="s">
        <v>226</v>
      </c>
      <c r="C287" s="1035">
        <v>4</v>
      </c>
      <c r="D287" s="1036" t="s">
        <v>454</v>
      </c>
      <c r="E287" s="1028">
        <f>'побудинковий звіт'!E285</f>
        <v>525.20000000000005</v>
      </c>
      <c r="F287" s="1029">
        <f>'побудинковий звіт'!AS285</f>
        <v>16402.124844244358</v>
      </c>
      <c r="G287" s="1029">
        <f t="shared" si="32"/>
        <v>353</v>
      </c>
      <c r="H287" s="1029">
        <f t="shared" si="33"/>
        <v>-16049.124844244358</v>
      </c>
      <c r="I287" s="43">
        <f>'[1]поточний ремонт'!I287+'[2]поточний ремонт'!I287-'[3]поточний ремонт'!I287</f>
        <v>0</v>
      </c>
      <c r="J287" s="43">
        <f>'[1]поточний ремонт'!J287+'[2]поточний ремонт'!J287-'[3]поточний ремонт'!J287</f>
        <v>0</v>
      </c>
      <c r="K287" s="1037"/>
      <c r="L287" s="43">
        <f>'[1]поточний ремонт'!L287+'[2]поточний ремонт'!L287-'[3]поточний ремонт'!L287</f>
        <v>0</v>
      </c>
      <c r="M287" s="43">
        <f>'[1]поточний ремонт'!M287+'[2]поточний ремонт'!M287-'[3]поточний ремонт'!M287</f>
        <v>0</v>
      </c>
      <c r="N287" s="37"/>
      <c r="O287" s="43">
        <f>'[1]поточний ремонт'!O287+'[2]поточний ремонт'!O287-'[3]поточний ремонт'!O287</f>
        <v>0</v>
      </c>
      <c r="P287" s="43">
        <f>'[1]поточний ремонт'!P287+'[2]поточний ремонт'!P287-'[3]поточний ремонт'!P287</f>
        <v>0</v>
      </c>
      <c r="Q287" s="1038"/>
      <c r="R287" s="43">
        <f>'[1]поточний ремонт'!R287+'[2]поточний ремонт'!R287-'[3]поточний ремонт'!R287</f>
        <v>0</v>
      </c>
      <c r="S287" s="43">
        <f>'[1]поточний ремонт'!S287+'[2]поточний ремонт'!S287-'[3]поточний ремонт'!S287</f>
        <v>0</v>
      </c>
      <c r="T287" s="1039"/>
      <c r="U287" s="43">
        <f>'[1]поточний ремонт'!U287+'[2]поточний ремонт'!U287-'[3]поточний ремонт'!U287</f>
        <v>0</v>
      </c>
      <c r="V287" s="43">
        <f>'[1]поточний ремонт'!V287+'[2]поточний ремонт'!V287-'[3]поточний ремонт'!V287</f>
        <v>0</v>
      </c>
      <c r="W287" s="43">
        <f>'[1]поточний ремонт'!W287+'[2]поточний ремонт'!W287-'[3]поточний ремонт'!W287</f>
        <v>0</v>
      </c>
      <c r="X287" s="43">
        <f>'[1]поточний ремонт'!X287+'[2]поточний ремонт'!X287-'[3]поточний ремонт'!X287</f>
        <v>0</v>
      </c>
      <c r="Y287" s="43">
        <f>'[1]поточний ремонт'!Y287+'[2]поточний ремонт'!Y287-'[3]поточний ремонт'!Y287</f>
        <v>0</v>
      </c>
      <c r="Z287" s="43">
        <f>'[1]поточний ремонт'!Z287+'[2]поточний ремонт'!Z287-'[3]поточний ремонт'!Z287</f>
        <v>0</v>
      </c>
      <c r="AA287" s="43">
        <f>'[1]поточний ремонт'!AA287+'[2]поточний ремонт'!AA287-'[3]поточний ремонт'!AA287</f>
        <v>0</v>
      </c>
      <c r="AB287" s="43">
        <f>'[1]поточний ремонт'!AB287+'[2]поточний ремонт'!AB287-'[3]поточний ремонт'!AB287</f>
        <v>0</v>
      </c>
      <c r="AC287" s="43">
        <f>'[1]поточний ремонт'!AC287+'[2]поточний ремонт'!AC287-'[3]поточний ремонт'!AC287</f>
        <v>0</v>
      </c>
      <c r="AD287" s="43">
        <f>'[1]поточний ремонт'!AD287+'[2]поточний ремонт'!AD287-'[3]поточний ремонт'!AD287</f>
        <v>353</v>
      </c>
      <c r="AE287" s="43">
        <f>'[1]поточний ремонт'!AE287+'[2]поточний ремонт'!AE287-'[3]поточний ремонт'!AE287</f>
        <v>747.42372480879703</v>
      </c>
      <c r="AF287" s="43">
        <f>'[1]поточний ремонт'!AF287+'[2]поточний ремонт'!AF287-'[3]поточний ремонт'!AF287</f>
        <v>473</v>
      </c>
      <c r="AG287" s="5"/>
      <c r="AH287" s="43">
        <f>'[1]поточний ремонт'!AH287+'[2]поточний ремонт'!AH287-'[3]поточний ремонт'!AH287</f>
        <v>921.68889404320203</v>
      </c>
      <c r="AI287" s="43">
        <f>'[1]поточний ремонт'!AI287+'[2]поточний ремонт'!AI287-'[3]поточний ремонт'!AI287</f>
        <v>0</v>
      </c>
      <c r="AJ287" s="5"/>
      <c r="AK287" s="43">
        <f>'[1]поточний ремонт'!AK287+'[2]поточний ремонт'!AK287-'[3]поточний ремонт'!AK287</f>
        <v>1034.5376849620941</v>
      </c>
      <c r="AL287" s="43">
        <f>'[1]поточний ремонт'!AL287+'[2]поточний ремонт'!AL287-'[3]поточний ремонт'!AL287</f>
        <v>0</v>
      </c>
      <c r="AM287" s="5"/>
      <c r="AN287" s="43">
        <f>'[1]поточний ремонт'!AN287+'[2]поточний ремонт'!AN287-'[3]поточний ремонт'!AN287</f>
        <v>0</v>
      </c>
      <c r="AO287" s="43">
        <f>'[1]поточний ремонт'!AO287+'[2]поточний ремонт'!AO287-'[3]поточний ремонт'!AO287</f>
        <v>0</v>
      </c>
      <c r="AP287" s="5"/>
      <c r="AQ287" s="43">
        <f>'[1]поточний ремонт'!AQ287+'[2]поточний ремонт'!AQ287-'[3]поточний ремонт'!AQ287</f>
        <v>0</v>
      </c>
      <c r="AR287" s="43">
        <f>'[1]поточний ремонт'!AR287+'[2]поточний ремонт'!AR287-'[3]поточний ремонт'!AR287</f>
        <v>0</v>
      </c>
      <c r="AS287" s="5"/>
      <c r="AT287" s="43">
        <f>'[1]поточний ремонт'!AT287+'[2]поточний ремонт'!AT287-'[3]поточний ремонт'!AT287</f>
        <v>360.33684092152436</v>
      </c>
      <c r="AU287" s="43">
        <f>'[1]поточний ремонт'!AU287+'[2]поточний ремонт'!AU287-'[3]поточний ремонт'!AU287</f>
        <v>0</v>
      </c>
      <c r="AV287" s="5"/>
      <c r="AW287" s="43">
        <f>'[1]поточний ремонт'!AW287+'[2]поточний ремонт'!AW287-'[3]поточний ремонт'!AW287</f>
        <v>0</v>
      </c>
      <c r="AX287" s="43">
        <f>'[1]поточний ремонт'!AX287+'[2]поточний ремонт'!AX287-'[3]поточний ремонт'!AX287</f>
        <v>0</v>
      </c>
      <c r="AY287" s="5"/>
      <c r="AZ287" s="43">
        <f t="shared" si="34"/>
        <v>3063.9871447356177</v>
      </c>
      <c r="BA287" s="43">
        <f t="shared" si="35"/>
        <v>473</v>
      </c>
      <c r="BB287" s="59">
        <f t="shared" si="36"/>
        <v>-2590.9871447356177</v>
      </c>
      <c r="BD287" s="2">
        <v>2</v>
      </c>
      <c r="BF287" s="30">
        <v>2.1219021556340851</v>
      </c>
      <c r="BG287" s="328">
        <v>150000800</v>
      </c>
      <c r="BI287" s="107">
        <v>0</v>
      </c>
      <c r="BJ287" s="107">
        <f t="shared" si="37"/>
        <v>0</v>
      </c>
      <c r="BK287" s="107">
        <v>0</v>
      </c>
      <c r="BL287" s="39"/>
      <c r="BM287" s="3"/>
      <c r="BN287" s="3">
        <v>0</v>
      </c>
      <c r="BP287" s="3"/>
      <c r="BQ287" s="3"/>
      <c r="BS287" s="43"/>
      <c r="BT287" s="43">
        <v>0</v>
      </c>
      <c r="BU287" s="1037"/>
      <c r="BV287" s="42"/>
      <c r="BW287" s="43"/>
      <c r="BX287" s="37"/>
      <c r="BY287" s="78"/>
      <c r="BZ287" s="43">
        <v>0</v>
      </c>
      <c r="CA287" s="1038"/>
      <c r="CB287" s="42"/>
      <c r="CC287" s="42">
        <v>0</v>
      </c>
      <c r="CD287" s="1039"/>
      <c r="CE287" s="78">
        <v>0</v>
      </c>
      <c r="CF287" s="56"/>
      <c r="CG287" s="42">
        <v>0</v>
      </c>
      <c r="CH287" s="39">
        <v>0</v>
      </c>
      <c r="CI287" s="78">
        <v>0</v>
      </c>
      <c r="CJ287" s="56"/>
      <c r="CK287" s="1034"/>
      <c r="CL287" s="1029"/>
      <c r="CM287" s="1034"/>
      <c r="CN287" s="1029">
        <v>0</v>
      </c>
      <c r="CO287" s="78">
        <v>62.285310400733074</v>
      </c>
      <c r="CP287" s="43">
        <v>0</v>
      </c>
      <c r="CQ287" s="5"/>
      <c r="CR287" s="78">
        <v>76.807407836933493</v>
      </c>
      <c r="CS287" s="1033">
        <v>0</v>
      </c>
      <c r="CT287" s="5"/>
      <c r="CU287" s="78">
        <v>86.211473746841165</v>
      </c>
      <c r="CV287" s="43">
        <v>0</v>
      </c>
      <c r="CW287" s="5"/>
      <c r="CX287" s="78">
        <v>0</v>
      </c>
      <c r="CY287" s="43">
        <v>0</v>
      </c>
      <c r="CZ287" s="5"/>
      <c r="DA287" s="78">
        <v>0</v>
      </c>
      <c r="DB287" s="43">
        <v>0</v>
      </c>
      <c r="DC287" s="5"/>
      <c r="DD287" s="78">
        <v>30.028070076793693</v>
      </c>
      <c r="DE287" s="43">
        <v>0</v>
      </c>
      <c r="DF287" s="5"/>
      <c r="DG287" s="78">
        <v>0</v>
      </c>
      <c r="DH287" s="43"/>
      <c r="DI287" s="5"/>
      <c r="DJ287" s="43">
        <v>255.33226206130141</v>
      </c>
      <c r="DK287" s="43">
        <f t="shared" si="38"/>
        <v>0</v>
      </c>
      <c r="DL287" s="59">
        <f t="shared" si="39"/>
        <v>-255.33226206130141</v>
      </c>
    </row>
    <row r="288" spans="1:116" ht="24.9" customHeight="1" x14ac:dyDescent="0.3">
      <c r="A288" s="328">
        <v>150000801</v>
      </c>
      <c r="B288" s="45" t="s">
        <v>294</v>
      </c>
      <c r="C288" s="1035">
        <v>5</v>
      </c>
      <c r="D288" s="1036" t="s">
        <v>454</v>
      </c>
      <c r="E288" s="1028">
        <f>'побудинковий звіт'!E286</f>
        <v>573.79999999999995</v>
      </c>
      <c r="F288" s="1029">
        <f>'побудинковий звіт'!AS286</f>
        <v>52938.477699839095</v>
      </c>
      <c r="G288" s="1029">
        <f t="shared" si="32"/>
        <v>14169.119955944778</v>
      </c>
      <c r="H288" s="1029">
        <f t="shared" si="33"/>
        <v>-38769.357743894318</v>
      </c>
      <c r="I288" s="43">
        <f>'[1]поточний ремонт'!I288+'[2]поточний ремонт'!I288-'[3]поточний ремонт'!I288</f>
        <v>0</v>
      </c>
      <c r="J288" s="43">
        <f>'[1]поточний ремонт'!J288+'[2]поточний ремонт'!J288-'[3]поточний ремонт'!J288</f>
        <v>0</v>
      </c>
      <c r="K288" s="1037"/>
      <c r="L288" s="43">
        <f>'[1]поточний ремонт'!L288+'[2]поточний ремонт'!L288-'[3]поточний ремонт'!L288</f>
        <v>0</v>
      </c>
      <c r="M288" s="43">
        <f>'[1]поточний ремонт'!M288+'[2]поточний ремонт'!M288-'[3]поточний ремонт'!M288</f>
        <v>0</v>
      </c>
      <c r="N288" s="37"/>
      <c r="O288" s="43">
        <f>'[1]поточний ремонт'!O288+'[2]поточний ремонт'!O288-'[3]поточний ремонт'!O288</f>
        <v>0</v>
      </c>
      <c r="P288" s="43">
        <f>'[1]поточний ремонт'!P288+'[2]поточний ремонт'!P288-'[3]поточний ремонт'!P288</f>
        <v>0</v>
      </c>
      <c r="Q288" s="1038"/>
      <c r="R288" s="43">
        <f>'[1]поточний ремонт'!R288+'[2]поточний ремонт'!R288-'[3]поточний ремонт'!R288</f>
        <v>0</v>
      </c>
      <c r="S288" s="43">
        <f>'[1]поточний ремонт'!S288+'[2]поточний ремонт'!S288-'[3]поточний ремонт'!S288</f>
        <v>0</v>
      </c>
      <c r="T288" s="1039"/>
      <c r="U288" s="43">
        <f>'[1]поточний ремонт'!U288+'[2]поточний ремонт'!U288-'[3]поточний ремонт'!U288</f>
        <v>0</v>
      </c>
      <c r="V288" s="43">
        <f>'[1]поточний ремонт'!V288+'[2]поточний ремонт'!V288-'[3]поточний ремонт'!V288</f>
        <v>0</v>
      </c>
      <c r="W288" s="43">
        <f>'[1]поточний ремонт'!W288+'[2]поточний ремонт'!W288-'[3]поточний ремонт'!W288</f>
        <v>0</v>
      </c>
      <c r="X288" s="43">
        <f>'[1]поточний ремонт'!X288+'[2]поточний ремонт'!X288-'[3]поточний ремонт'!X288</f>
        <v>4996.1199559447778</v>
      </c>
      <c r="Y288" s="43">
        <f>'[1]поточний ремонт'!Y288+'[2]поточний ремонт'!Y288-'[3]поточний ремонт'!Y288</f>
        <v>3830.9999999999995</v>
      </c>
      <c r="Z288" s="43">
        <f>'[1]поточний ремонт'!Z288+'[2]поточний ремонт'!Z288-'[3]поточний ремонт'!Z288</f>
        <v>0</v>
      </c>
      <c r="AA288" s="43">
        <f>'[1]поточний ремонт'!AA288+'[2]поточний ремонт'!AA288-'[3]поточний ремонт'!AA288</f>
        <v>0</v>
      </c>
      <c r="AB288" s="43">
        <f>'[1]поточний ремонт'!AB288+'[2]поточний ремонт'!AB288-'[3]поточний ремонт'!AB288</f>
        <v>407</v>
      </c>
      <c r="AC288" s="43">
        <f>'[1]поточний ремонт'!AC288+'[2]поточний ремонт'!AC288-'[3]поточний ремонт'!AC288</f>
        <v>230</v>
      </c>
      <c r="AD288" s="43">
        <f>'[1]поточний ремонт'!AD288+'[2]поточний ремонт'!AD288-'[3]поточний ремонт'!AD288</f>
        <v>4705</v>
      </c>
      <c r="AE288" s="43">
        <f>'[1]поточний ремонт'!AE288+'[2]поточний ремонт'!AE288-'[3]поточний ремонт'!AE288</f>
        <v>2341.2061018613631</v>
      </c>
      <c r="AF288" s="43">
        <f>'[1]поточний ремонт'!AF288+'[2]поточний ремонт'!AF288-'[3]поточний ремонт'!AF288</f>
        <v>599</v>
      </c>
      <c r="AG288" s="5"/>
      <c r="AH288" s="43">
        <f>'[1]поточний ремонт'!AH288+'[2]поточний ремонт'!AH288-'[3]поточний ремонт'!AH288</f>
        <v>3674.5787054017651</v>
      </c>
      <c r="AI288" s="43">
        <f>'[1]поточний ремонт'!AI288+'[2]поточний ремонт'!AI288-'[3]поточний ремонт'!AI288</f>
        <v>0</v>
      </c>
      <c r="AJ288" s="5"/>
      <c r="AK288" s="43">
        <f>'[1]поточний ремонт'!AK288+'[2]поточний ремонт'!AK288-'[3]поточний ремонт'!AK288</f>
        <v>2991.2679034611992</v>
      </c>
      <c r="AL288" s="43">
        <f>'[1]поточний ремонт'!AL288+'[2]поточний ремонт'!AL288-'[3]поточний ремонт'!AL288</f>
        <v>0</v>
      </c>
      <c r="AM288" s="5"/>
      <c r="AN288" s="43">
        <f>'[1]поточний ремонт'!AN288+'[2]поточний ремонт'!AN288-'[3]поточний ремонт'!AN288</f>
        <v>0</v>
      </c>
      <c r="AO288" s="43">
        <f>'[1]поточний ремонт'!AO288+'[2]поточний ремонт'!AO288-'[3]поточний ремонт'!AO288</f>
        <v>0</v>
      </c>
      <c r="AP288" s="5"/>
      <c r="AQ288" s="43">
        <f>'[1]поточний ремонт'!AQ288+'[2]поточний ремонт'!AQ288-'[3]поточний ремонт'!AQ288</f>
        <v>0</v>
      </c>
      <c r="AR288" s="43">
        <f>'[1]поточний ремонт'!AR288+'[2]поточний ремонт'!AR288-'[3]поточний ремонт'!AR288</f>
        <v>0</v>
      </c>
      <c r="AS288" s="5"/>
      <c r="AT288" s="43">
        <f>'[1]поточний ремонт'!AT288+'[2]поточний ремонт'!AT288-'[3]поточний ремонт'!AT288</f>
        <v>1457.3789296653183</v>
      </c>
      <c r="AU288" s="43">
        <f>'[1]поточний ремонт'!AU288+'[2]поточний ремонт'!AU288-'[3]поточний ремонт'!AU288</f>
        <v>373</v>
      </c>
      <c r="AV288" s="5"/>
      <c r="AW288" s="43">
        <f>'[1]поточний ремонт'!AW288+'[2]поточний ремонт'!AW288-'[3]поточний ремонт'!AW288</f>
        <v>0</v>
      </c>
      <c r="AX288" s="43">
        <f>'[1]поточний ремонт'!AX288+'[2]поточний ремонт'!AX288-'[3]поточний ремонт'!AX288</f>
        <v>0</v>
      </c>
      <c r="AY288" s="5"/>
      <c r="AZ288" s="43">
        <f t="shared" si="34"/>
        <v>10464.431640389645</v>
      </c>
      <c r="BA288" s="43">
        <f t="shared" si="35"/>
        <v>972</v>
      </c>
      <c r="BB288" s="59">
        <f t="shared" si="36"/>
        <v>-9492.4316403896446</v>
      </c>
      <c r="BD288" s="2">
        <v>2</v>
      </c>
      <c r="BF288" s="30">
        <v>44.167084857496505</v>
      </c>
      <c r="BG288" s="328">
        <v>150000801</v>
      </c>
      <c r="BI288" s="107">
        <v>156.34</v>
      </c>
      <c r="BJ288" s="107">
        <f t="shared" si="37"/>
        <v>21.991128348</v>
      </c>
      <c r="BK288" s="107">
        <v>180.30470134664</v>
      </c>
      <c r="BL288" s="39"/>
      <c r="BM288" s="3">
        <v>6</v>
      </c>
      <c r="BN288" s="3">
        <v>1064.5603339373511</v>
      </c>
      <c r="BP288" s="3"/>
      <c r="BQ288" s="3"/>
      <c r="BS288" s="43"/>
      <c r="BT288" s="43">
        <v>0</v>
      </c>
      <c r="BU288" s="1037"/>
      <c r="BV288" s="42"/>
      <c r="BW288" s="43"/>
      <c r="BX288" s="37"/>
      <c r="BY288" s="78"/>
      <c r="BZ288" s="43">
        <v>0</v>
      </c>
      <c r="CA288" s="1038"/>
      <c r="CB288" s="42"/>
      <c r="CC288" s="42">
        <v>0</v>
      </c>
      <c r="CD288" s="1039"/>
      <c r="CE288" s="78">
        <v>0</v>
      </c>
      <c r="CF288" s="56"/>
      <c r="CG288" s="42">
        <v>6</v>
      </c>
      <c r="CH288" s="39">
        <v>1244.8650352839911</v>
      </c>
      <c r="CI288" s="78">
        <v>0</v>
      </c>
      <c r="CJ288" s="56"/>
      <c r="CK288" s="1034"/>
      <c r="CL288" s="1029"/>
      <c r="CM288" s="1034"/>
      <c r="CN288" s="1029">
        <v>0</v>
      </c>
      <c r="CO288" s="78">
        <v>195.10050848844696</v>
      </c>
      <c r="CP288" s="43">
        <v>1292.5792133935711</v>
      </c>
      <c r="CQ288" s="5"/>
      <c r="CR288" s="78">
        <v>306.21489211681387</v>
      </c>
      <c r="CS288" s="1033">
        <v>0</v>
      </c>
      <c r="CT288" s="5"/>
      <c r="CU288" s="78">
        <v>249.27232528843322</v>
      </c>
      <c r="CV288" s="43">
        <v>0</v>
      </c>
      <c r="CW288" s="5"/>
      <c r="CX288" s="78">
        <v>0</v>
      </c>
      <c r="CY288" s="43">
        <v>0</v>
      </c>
      <c r="CZ288" s="5"/>
      <c r="DA288" s="78">
        <v>0</v>
      </c>
      <c r="DB288" s="43">
        <v>0</v>
      </c>
      <c r="DC288" s="5"/>
      <c r="DD288" s="78">
        <v>121.44824413877653</v>
      </c>
      <c r="DE288" s="43">
        <v>0</v>
      </c>
      <c r="DF288" s="5"/>
      <c r="DG288" s="78">
        <v>0</v>
      </c>
      <c r="DH288" s="43"/>
      <c r="DI288" s="5"/>
      <c r="DJ288" s="43">
        <v>872.03597003247057</v>
      </c>
      <c r="DK288" s="43">
        <f t="shared" si="38"/>
        <v>1292.5792133935711</v>
      </c>
      <c r="DL288" s="59">
        <f t="shared" si="39"/>
        <v>420.54324336110051</v>
      </c>
    </row>
    <row r="289" spans="1:116" ht="24.9" customHeight="1" x14ac:dyDescent="0.3">
      <c r="A289" s="328">
        <v>150000802</v>
      </c>
      <c r="B289" s="45" t="s">
        <v>295</v>
      </c>
      <c r="C289" s="1035">
        <v>5</v>
      </c>
      <c r="D289" s="1036" t="s">
        <v>454</v>
      </c>
      <c r="E289" s="1028">
        <f>'побудинковий звіт'!E287</f>
        <v>4216.5600000000004</v>
      </c>
      <c r="F289" s="1029">
        <f>'побудинковий звіт'!AS287</f>
        <v>40007.32320234392</v>
      </c>
      <c r="G289" s="1029">
        <f t="shared" si="32"/>
        <v>72214</v>
      </c>
      <c r="H289" s="1029">
        <f t="shared" si="33"/>
        <v>32206.67679765608</v>
      </c>
      <c r="I289" s="43">
        <f>'[1]поточний ремонт'!I289+'[2]поточний ремонт'!I289-'[3]поточний ремонт'!I289</f>
        <v>0</v>
      </c>
      <c r="J289" s="43">
        <f>'[1]поточний ремонт'!J289+'[2]поточний ремонт'!J289-'[3]поточний ремонт'!J289</f>
        <v>0</v>
      </c>
      <c r="K289" s="1037"/>
      <c r="L289" s="43">
        <f>'[1]поточний ремонт'!L289+'[2]поточний ремонт'!L289-'[3]поточний ремонт'!L289</f>
        <v>1</v>
      </c>
      <c r="M289" s="43">
        <f>'[1]поточний ремонт'!M289+'[2]поточний ремонт'!M289-'[3]поточний ремонт'!M289</f>
        <v>57187</v>
      </c>
      <c r="N289" s="37"/>
      <c r="O289" s="43">
        <f>'[1]поточний ремонт'!O289+'[2]поточний ремонт'!O289-'[3]поточний ремонт'!O289</f>
        <v>0</v>
      </c>
      <c r="P289" s="43">
        <f>'[1]поточний ремонт'!P289+'[2]поточний ремонт'!P289-'[3]поточний ремонт'!P289</f>
        <v>0</v>
      </c>
      <c r="Q289" s="1038"/>
      <c r="R289" s="43">
        <f>'[1]поточний ремонт'!R289+'[2]поточний ремонт'!R289-'[3]поточний ремонт'!R289</f>
        <v>0</v>
      </c>
      <c r="S289" s="43">
        <f>'[1]поточний ремонт'!S289+'[2]поточний ремонт'!S289-'[3]поточний ремонт'!S289</f>
        <v>0</v>
      </c>
      <c r="T289" s="1039"/>
      <c r="U289" s="43">
        <f>'[1]поточний ремонт'!U289+'[2]поточний ремонт'!U289-'[3]поточний ремонт'!U289</f>
        <v>0</v>
      </c>
      <c r="V289" s="43">
        <f>'[1]поточний ремонт'!V289+'[2]поточний ремонт'!V289-'[3]поточний ремонт'!V289</f>
        <v>0</v>
      </c>
      <c r="W289" s="43">
        <f>'[1]поточний ремонт'!W289+'[2]поточний ремонт'!W289-'[3]поточний ремонт'!W289</f>
        <v>0</v>
      </c>
      <c r="X289" s="43">
        <f>'[1]поточний ремонт'!X289+'[2]поточний ремонт'!X289-'[3]поточний ремонт'!X289</f>
        <v>0</v>
      </c>
      <c r="Y289" s="43">
        <f>'[1]поточний ремонт'!Y289+'[2]поточний ремонт'!Y289-'[3]поточний ремонт'!Y289</f>
        <v>0</v>
      </c>
      <c r="Z289" s="43">
        <f>'[1]поточний ремонт'!Z289+'[2]поточний ремонт'!Z289-'[3]поточний ремонт'!Z289</f>
        <v>0</v>
      </c>
      <c r="AA289" s="43">
        <f>'[1]поточний ремонт'!AA289+'[2]поточний ремонт'!AA289-'[3]поточний ремонт'!AA289</f>
        <v>0</v>
      </c>
      <c r="AB289" s="43">
        <f>'[1]поточний ремонт'!AB289+'[2]поточний ремонт'!AB289-'[3]поточний ремонт'!AB289</f>
        <v>0</v>
      </c>
      <c r="AC289" s="43">
        <f>'[1]поточний ремонт'!AC289+'[2]поточний ремонт'!AC289-'[3]поточний ремонт'!AC289</f>
        <v>4530</v>
      </c>
      <c r="AD289" s="43">
        <f>'[1]поточний ремонт'!AD289+'[2]поточний ремонт'!AD289-'[3]поточний ремонт'!AD289</f>
        <v>10497</v>
      </c>
      <c r="AE289" s="43">
        <f>'[1]поточний ремонт'!AE289+'[2]поточний ремонт'!AE289-'[3]поточний ремонт'!AE289</f>
        <v>1907.0719946496622</v>
      </c>
      <c r="AF289" s="43">
        <f>'[1]поточний ремонт'!AF289+'[2]поточний ремонт'!AF289-'[3]поточний ремонт'!AF289</f>
        <v>0</v>
      </c>
      <c r="AG289" s="5"/>
      <c r="AH289" s="43">
        <f>'[1]поточний ремонт'!AH289+'[2]поточний ремонт'!AH289-'[3]поточний ремонт'!AH289</f>
        <v>2942.5534028547149</v>
      </c>
      <c r="AI289" s="43">
        <f>'[1]поточний ремонт'!AI289+'[2]поточний ремонт'!AI289-'[3]поточний ремонт'!AI289</f>
        <v>1841</v>
      </c>
      <c r="AJ289" s="5"/>
      <c r="AK289" s="43">
        <f>'[1]поточний ремонт'!AK289+'[2]поточний ремонт'!AK289-'[3]поточний ремонт'!AK289</f>
        <v>2612.1491099034452</v>
      </c>
      <c r="AL289" s="43">
        <f>'[1]поточний ремонт'!AL289+'[2]поточний ремонт'!AL289-'[3]поточний ремонт'!AL289</f>
        <v>0</v>
      </c>
      <c r="AM289" s="5"/>
      <c r="AN289" s="43">
        <f>'[1]поточний ремонт'!AN289+'[2]поточний ремонт'!AN289-'[3]поточний ремонт'!AN289</f>
        <v>0</v>
      </c>
      <c r="AO289" s="43">
        <f>'[1]поточний ремонт'!AO289+'[2]поточний ремонт'!AO289-'[3]поточний ремонт'!AO289</f>
        <v>0</v>
      </c>
      <c r="AP289" s="5"/>
      <c r="AQ289" s="43">
        <f>'[1]поточний ремонт'!AQ289+'[2]поточний ремонт'!AQ289-'[3]поточний ремонт'!AQ289</f>
        <v>0</v>
      </c>
      <c r="AR289" s="43">
        <f>'[1]поточний ремонт'!AR289+'[2]поточний ремонт'!AR289-'[3]поточний ремонт'!AR289</f>
        <v>0</v>
      </c>
      <c r="AS289" s="5"/>
      <c r="AT289" s="43">
        <f>'[1]поточний ремонт'!AT289+'[2]поточний ремонт'!AT289-'[3]поточний ремонт'!AT289</f>
        <v>1046.5116144968702</v>
      </c>
      <c r="AU289" s="43">
        <f>'[1]поточний ремонт'!AU289+'[2]поточний ремонт'!AU289-'[3]поточний ремонт'!AU289</f>
        <v>1255</v>
      </c>
      <c r="AV289" s="5"/>
      <c r="AW289" s="43">
        <f>'[1]поточний ремонт'!AW289+'[2]поточний ремонт'!AW289-'[3]поточний ремонт'!AW289</f>
        <v>0</v>
      </c>
      <c r="AX289" s="43">
        <f>'[1]поточний ремонт'!AX289+'[2]поточний ремонт'!AX289-'[3]поточний ремонт'!AX289</f>
        <v>0</v>
      </c>
      <c r="AY289" s="5"/>
      <c r="AZ289" s="43">
        <f t="shared" si="34"/>
        <v>8508.2861219046936</v>
      </c>
      <c r="BA289" s="43">
        <f t="shared" si="35"/>
        <v>3096</v>
      </c>
      <c r="BB289" s="59">
        <f t="shared" si="36"/>
        <v>-5412.2861219046936</v>
      </c>
      <c r="BD289" s="2">
        <v>2</v>
      </c>
      <c r="BF289" s="30">
        <v>4.6809500403301758</v>
      </c>
      <c r="BG289" s="328">
        <v>150000802</v>
      </c>
      <c r="BI289" s="107">
        <v>0</v>
      </c>
      <c r="BJ289" s="107">
        <f t="shared" si="37"/>
        <v>0</v>
      </c>
      <c r="BK289" s="107">
        <v>0</v>
      </c>
      <c r="BL289" s="39"/>
      <c r="BM289" s="3"/>
      <c r="BN289" s="3">
        <v>0</v>
      </c>
      <c r="BP289" s="3"/>
      <c r="BQ289" s="3"/>
      <c r="BS289" s="43"/>
      <c r="BT289" s="43">
        <v>0</v>
      </c>
      <c r="BU289" s="1037"/>
      <c r="BV289" s="42"/>
      <c r="BW289" s="43"/>
      <c r="BX289" s="37"/>
      <c r="BY289" s="78"/>
      <c r="BZ289" s="43">
        <v>0</v>
      </c>
      <c r="CA289" s="1038"/>
      <c r="CB289" s="42"/>
      <c r="CC289" s="42">
        <v>0</v>
      </c>
      <c r="CD289" s="1039"/>
      <c r="CE289" s="78">
        <v>0</v>
      </c>
      <c r="CF289" s="56"/>
      <c r="CG289" s="42">
        <v>0</v>
      </c>
      <c r="CH289" s="39">
        <v>0</v>
      </c>
      <c r="CI289" s="78">
        <v>0</v>
      </c>
      <c r="CJ289" s="56"/>
      <c r="CK289" s="1034"/>
      <c r="CL289" s="1029"/>
      <c r="CM289" s="1034"/>
      <c r="CN289" s="1029">
        <v>0</v>
      </c>
      <c r="CO289" s="78">
        <v>158.92266622080513</v>
      </c>
      <c r="CP289" s="43">
        <v>0</v>
      </c>
      <c r="CQ289" s="5"/>
      <c r="CR289" s="78">
        <v>245.21278357122625</v>
      </c>
      <c r="CS289" s="1033">
        <v>0</v>
      </c>
      <c r="CT289" s="5"/>
      <c r="CU289" s="78">
        <v>217.67909249195375</v>
      </c>
      <c r="CV289" s="43">
        <v>0</v>
      </c>
      <c r="CW289" s="5"/>
      <c r="CX289" s="78">
        <v>0</v>
      </c>
      <c r="CY289" s="43">
        <v>0</v>
      </c>
      <c r="CZ289" s="5"/>
      <c r="DA289" s="78">
        <v>0</v>
      </c>
      <c r="DB289" s="43">
        <v>0</v>
      </c>
      <c r="DC289" s="5"/>
      <c r="DD289" s="78">
        <v>87.209301208072532</v>
      </c>
      <c r="DE289" s="43">
        <v>0</v>
      </c>
      <c r="DF289" s="5"/>
      <c r="DG289" s="78">
        <v>0</v>
      </c>
      <c r="DH289" s="43"/>
      <c r="DI289" s="5"/>
      <c r="DJ289" s="43">
        <v>709.02384349205772</v>
      </c>
      <c r="DK289" s="43">
        <f t="shared" si="38"/>
        <v>0</v>
      </c>
      <c r="DL289" s="59">
        <f t="shared" si="39"/>
        <v>-709.02384349205772</v>
      </c>
    </row>
    <row r="290" spans="1:116" ht="24.9" customHeight="1" x14ac:dyDescent="0.3">
      <c r="A290" s="328">
        <v>150000803</v>
      </c>
      <c r="B290" s="45" t="s">
        <v>227</v>
      </c>
      <c r="C290" s="1035">
        <v>4</v>
      </c>
      <c r="D290" s="1036" t="s">
        <v>454</v>
      </c>
      <c r="E290" s="1028">
        <f>'побудинковий звіт'!E288</f>
        <v>423.5</v>
      </c>
      <c r="F290" s="1029">
        <f>'побудинковий звіт'!AS288</f>
        <v>13899.280212255169</v>
      </c>
      <c r="G290" s="1029">
        <f t="shared" si="32"/>
        <v>3759</v>
      </c>
      <c r="H290" s="1029">
        <f t="shared" si="33"/>
        <v>-10140.280212255169</v>
      </c>
      <c r="I290" s="43">
        <f>'[1]поточний ремонт'!I290+'[2]поточний ремонт'!I290-'[3]поточний ремонт'!I290</f>
        <v>4.2699999999999996</v>
      </c>
      <c r="J290" s="43">
        <f>'[1]поточний ремонт'!J290+'[2]поточний ремонт'!J290-'[3]поточний ремонт'!J290</f>
        <v>1322</v>
      </c>
      <c r="K290" s="1037"/>
      <c r="L290" s="43">
        <f>'[1]поточний ремонт'!L290+'[2]поточний ремонт'!L290-'[3]поточний ремонт'!L290</f>
        <v>0</v>
      </c>
      <c r="M290" s="43">
        <f>'[1]поточний ремонт'!M290+'[2]поточний ремонт'!M290-'[3]поточний ремонт'!M290</f>
        <v>0</v>
      </c>
      <c r="N290" s="37"/>
      <c r="O290" s="43">
        <f>'[1]поточний ремонт'!O290+'[2]поточний ремонт'!O290-'[3]поточний ремонт'!O290</f>
        <v>0</v>
      </c>
      <c r="P290" s="43">
        <f>'[1]поточний ремонт'!P290+'[2]поточний ремонт'!P290-'[3]поточний ремонт'!P290</f>
        <v>0</v>
      </c>
      <c r="Q290" s="1038"/>
      <c r="R290" s="43">
        <f>'[1]поточний ремонт'!R290+'[2]поточний ремонт'!R290-'[3]поточний ремонт'!R290</f>
        <v>0</v>
      </c>
      <c r="S290" s="43">
        <f>'[1]поточний ремонт'!S290+'[2]поточний ремонт'!S290-'[3]поточний ремонт'!S290</f>
        <v>0</v>
      </c>
      <c r="T290" s="1039"/>
      <c r="U290" s="43">
        <f>'[1]поточний ремонт'!U290+'[2]поточний ремонт'!U290-'[3]поточний ремонт'!U290</f>
        <v>0</v>
      </c>
      <c r="V290" s="43">
        <f>'[1]поточний ремонт'!V290+'[2]поточний ремонт'!V290-'[3]поточний ремонт'!V290</f>
        <v>0</v>
      </c>
      <c r="W290" s="43">
        <f>'[1]поточний ремонт'!W290+'[2]поточний ремонт'!W290-'[3]поточний ремонт'!W290</f>
        <v>0</v>
      </c>
      <c r="X290" s="43">
        <f>'[1]поточний ремонт'!X290+'[2]поточний ремонт'!X290-'[3]поточний ремонт'!X290</f>
        <v>0</v>
      </c>
      <c r="Y290" s="43">
        <f>'[1]поточний ремонт'!Y290+'[2]поточний ремонт'!Y290-'[3]поточний ремонт'!Y290</f>
        <v>0</v>
      </c>
      <c r="Z290" s="43">
        <f>'[1]поточний ремонт'!Z290+'[2]поточний ремонт'!Z290-'[3]поточний ремонт'!Z290</f>
        <v>0</v>
      </c>
      <c r="AA290" s="43">
        <f>'[1]поточний ремонт'!AA290+'[2]поточний ремонт'!AA290-'[3]поточний ремонт'!AA290</f>
        <v>0</v>
      </c>
      <c r="AB290" s="43">
        <f>'[1]поточний ремонт'!AB290+'[2]поточний ремонт'!AB290-'[3]поточний ремонт'!AB290</f>
        <v>0</v>
      </c>
      <c r="AC290" s="43">
        <f>'[1]поточний ремонт'!AC290+'[2]поточний ремонт'!AC290-'[3]поточний ремонт'!AC290</f>
        <v>994</v>
      </c>
      <c r="AD290" s="43">
        <f>'[1]поточний ремонт'!AD290+'[2]поточний ремонт'!AD290-'[3]поточний ремонт'!AD290</f>
        <v>1443</v>
      </c>
      <c r="AE290" s="43">
        <f>'[1]поточний ремонт'!AE290+'[2]поточний ремонт'!AE290-'[3]поточний ремонт'!AE290</f>
        <v>827.30919472547509</v>
      </c>
      <c r="AF290" s="43">
        <f>'[1]поточний ремонт'!AF290+'[2]поточний ремонт'!AF290-'[3]поточний ремонт'!AF290</f>
        <v>0</v>
      </c>
      <c r="AG290" s="5"/>
      <c r="AH290" s="43">
        <f>'[1]поточний ремонт'!AH290+'[2]поточний ремонт'!AH290-'[3]поточний ремонт'!AH290</f>
        <v>1146.7215503729049</v>
      </c>
      <c r="AI290" s="43">
        <f>'[1]поточний ремонт'!AI290+'[2]поточний ремонт'!AI290-'[3]поточний ремонт'!AI290</f>
        <v>0</v>
      </c>
      <c r="AJ290" s="5"/>
      <c r="AK290" s="43">
        <f>'[1]поточний ремонт'!AK290+'[2]поточний ремонт'!AK290-'[3]поточний ремонт'!AK290</f>
        <v>988.71379778245796</v>
      </c>
      <c r="AL290" s="43">
        <f>'[1]поточний ремонт'!AL290+'[2]поточний ремонт'!AL290-'[3]поточний ремонт'!AL290</f>
        <v>474</v>
      </c>
      <c r="AM290" s="5"/>
      <c r="AN290" s="43">
        <f>'[1]поточний ремонт'!AN290+'[2]поточний ремонт'!AN290-'[3]поточний ремонт'!AN290</f>
        <v>0</v>
      </c>
      <c r="AO290" s="43">
        <f>'[1]поточний ремонт'!AO290+'[2]поточний ремонт'!AO290-'[3]поточний ремонт'!AO290</f>
        <v>0</v>
      </c>
      <c r="AP290" s="5"/>
      <c r="AQ290" s="43">
        <f>'[1]поточний ремонт'!AQ290+'[2]поточний ремонт'!AQ290-'[3]поточний ремонт'!AQ290</f>
        <v>0</v>
      </c>
      <c r="AR290" s="43">
        <f>'[1]поточний ремонт'!AR290+'[2]поточний ремонт'!AR290-'[3]поточний ремонт'!AR290</f>
        <v>0</v>
      </c>
      <c r="AS290" s="5"/>
      <c r="AT290" s="43">
        <f>'[1]поточний ремонт'!AT290+'[2]поточний ремонт'!AT290-'[3]поточний ремонт'!AT290</f>
        <v>337.73115767901049</v>
      </c>
      <c r="AU290" s="43">
        <f>'[1]поточний ремонт'!AU290+'[2]поточний ремонт'!AU290-'[3]поточний ремонт'!AU290</f>
        <v>0</v>
      </c>
      <c r="AV290" s="5"/>
      <c r="AW290" s="43">
        <f>'[1]поточний ремонт'!AW290+'[2]поточний ремонт'!AW290-'[3]поточний ремонт'!AW290</f>
        <v>0</v>
      </c>
      <c r="AX290" s="43">
        <f>'[1]поточний ремонт'!AX290+'[2]поточний ремонт'!AX290-'[3]поточний ремонт'!AX290</f>
        <v>0</v>
      </c>
      <c r="AY290" s="5"/>
      <c r="AZ290" s="43">
        <f t="shared" si="34"/>
        <v>3300.4757005598485</v>
      </c>
      <c r="BA290" s="43">
        <f t="shared" si="35"/>
        <v>474</v>
      </c>
      <c r="BB290" s="59">
        <f t="shared" si="36"/>
        <v>-2826.4757005598485</v>
      </c>
      <c r="BD290" s="2">
        <v>2</v>
      </c>
      <c r="BF290" s="30">
        <v>2.3849490844816201</v>
      </c>
      <c r="BG290" s="328">
        <v>150000803</v>
      </c>
      <c r="BI290" s="107">
        <v>0</v>
      </c>
      <c r="BJ290" s="107">
        <f t="shared" si="37"/>
        <v>0</v>
      </c>
      <c r="BK290" s="107">
        <v>0</v>
      </c>
      <c r="BL290" s="39"/>
      <c r="BM290" s="3"/>
      <c r="BN290" s="3">
        <v>0</v>
      </c>
      <c r="BP290" s="3"/>
      <c r="BQ290" s="3"/>
      <c r="BS290" s="43"/>
      <c r="BT290" s="43">
        <v>0</v>
      </c>
      <c r="BU290" s="1037"/>
      <c r="BV290" s="42"/>
      <c r="BW290" s="43"/>
      <c r="BX290" s="37"/>
      <c r="BY290" s="78"/>
      <c r="BZ290" s="43">
        <v>0</v>
      </c>
      <c r="CA290" s="1038"/>
      <c r="CB290" s="42"/>
      <c r="CC290" s="42">
        <v>0</v>
      </c>
      <c r="CD290" s="1039"/>
      <c r="CE290" s="78">
        <v>0</v>
      </c>
      <c r="CF290" s="56"/>
      <c r="CG290" s="42">
        <v>0</v>
      </c>
      <c r="CH290" s="39">
        <v>0</v>
      </c>
      <c r="CI290" s="78">
        <v>0</v>
      </c>
      <c r="CJ290" s="56"/>
      <c r="CK290" s="1034"/>
      <c r="CL290" s="1029"/>
      <c r="CM290" s="1034">
        <v>778</v>
      </c>
      <c r="CN290" s="1029">
        <v>0</v>
      </c>
      <c r="CO290" s="78">
        <v>68.942432893789587</v>
      </c>
      <c r="CP290" s="43">
        <v>0</v>
      </c>
      <c r="CQ290" s="5"/>
      <c r="CR290" s="78">
        <v>95.560129197742071</v>
      </c>
      <c r="CS290" s="1033">
        <v>0</v>
      </c>
      <c r="CT290" s="5"/>
      <c r="CU290" s="78">
        <v>82.392816481871506</v>
      </c>
      <c r="CV290" s="43">
        <v>0</v>
      </c>
      <c r="CW290" s="5"/>
      <c r="CX290" s="78">
        <v>0</v>
      </c>
      <c r="CY290" s="43">
        <v>0</v>
      </c>
      <c r="CZ290" s="5"/>
      <c r="DA290" s="78">
        <v>0</v>
      </c>
      <c r="DB290" s="43">
        <v>1253.4611627792881</v>
      </c>
      <c r="DC290" s="5"/>
      <c r="DD290" s="78">
        <v>28.144263139917541</v>
      </c>
      <c r="DE290" s="43">
        <v>0</v>
      </c>
      <c r="DF290" s="5"/>
      <c r="DG290" s="78">
        <v>0</v>
      </c>
      <c r="DH290" s="43"/>
      <c r="DI290" s="5"/>
      <c r="DJ290" s="43">
        <v>275.03964171332075</v>
      </c>
      <c r="DK290" s="43">
        <f t="shared" si="38"/>
        <v>1253.4611627792881</v>
      </c>
      <c r="DL290" s="59">
        <f t="shared" si="39"/>
        <v>978.42152106596734</v>
      </c>
    </row>
    <row r="291" spans="1:116" ht="24.9" customHeight="1" x14ac:dyDescent="0.3">
      <c r="A291" s="328">
        <v>150000805</v>
      </c>
      <c r="B291" s="45" t="s">
        <v>296</v>
      </c>
      <c r="C291" s="1035">
        <v>5</v>
      </c>
      <c r="D291" s="1036" t="s">
        <v>454</v>
      </c>
      <c r="E291" s="1028">
        <f>'побудинковий звіт'!E289</f>
        <v>1050.9000000000001</v>
      </c>
      <c r="F291" s="1029">
        <f>'побудинковий звіт'!AS289</f>
        <v>39541.125883720124</v>
      </c>
      <c r="G291" s="1029">
        <f t="shared" si="32"/>
        <v>199845.38533150597</v>
      </c>
      <c r="H291" s="1029">
        <f t="shared" si="33"/>
        <v>160304.25944778585</v>
      </c>
      <c r="I291" s="43">
        <f>'[1]поточний ремонт'!I291+'[2]поточний ремонт'!I291-'[3]поточний ремонт'!I291</f>
        <v>183.5</v>
      </c>
      <c r="J291" s="43">
        <f>'[1]поточний ремонт'!J291+'[2]поточний ремонт'!J291-'[3]поточний ремонт'!J291</f>
        <v>193138</v>
      </c>
      <c r="K291" s="1037"/>
      <c r="L291" s="43">
        <f>'[1]поточний ремонт'!L291+'[2]поточний ремонт'!L291-'[3]поточний ремонт'!L291</f>
        <v>0</v>
      </c>
      <c r="M291" s="43">
        <f>'[1]поточний ремонт'!M291+'[2]поточний ремонт'!M291-'[3]поточний ремонт'!M291</f>
        <v>0</v>
      </c>
      <c r="N291" s="37"/>
      <c r="O291" s="43">
        <f>'[1]поточний ремонт'!O291+'[2]поточний ремонт'!O291-'[3]поточний ремонт'!O291</f>
        <v>0</v>
      </c>
      <c r="P291" s="43">
        <f>'[1]поточний ремонт'!P291+'[2]поточний ремонт'!P291-'[3]поточний ремонт'!P291</f>
        <v>0</v>
      </c>
      <c r="Q291" s="1038"/>
      <c r="R291" s="43">
        <f>'[1]поточний ремонт'!R291+'[2]поточний ремонт'!R291-'[3]поточний ремонт'!R291</f>
        <v>0</v>
      </c>
      <c r="S291" s="43">
        <f>'[1]поточний ремонт'!S291+'[2]поточний ремонт'!S291-'[3]поточний ремонт'!S291</f>
        <v>0</v>
      </c>
      <c r="T291" s="1039"/>
      <c r="U291" s="43">
        <f>'[1]поточний ремонт'!U291+'[2]поточний ремонт'!U291-'[3]поточний ремонт'!U291</f>
        <v>0</v>
      </c>
      <c r="V291" s="43">
        <f>'[1]поточний ремонт'!V291+'[2]поточний ремонт'!V291-'[3]поточний ремонт'!V291</f>
        <v>0</v>
      </c>
      <c r="W291" s="43">
        <f>'[1]поточний ремонт'!W291+'[2]поточний ремонт'!W291-'[3]поточний ремонт'!W291</f>
        <v>12</v>
      </c>
      <c r="X291" s="43">
        <f>'[1]поточний ремонт'!X291+'[2]поточний ремонт'!X291-'[3]поточний ремонт'!X291</f>
        <v>4897.3853315059641</v>
      </c>
      <c r="Y291" s="43">
        <f>'[1]поточний ремонт'!Y291+'[2]поточний ремонт'!Y291-'[3]поточний ремонт'!Y291</f>
        <v>0</v>
      </c>
      <c r="Z291" s="43">
        <f>'[1]поточний ремонт'!Z291+'[2]поточний ремонт'!Z291-'[3]поточний ремонт'!Z291</f>
        <v>0</v>
      </c>
      <c r="AA291" s="43">
        <f>'[1]поточний ремонт'!AA291+'[2]поточний ремонт'!AA291-'[3]поточний ремонт'!AA291</f>
        <v>0</v>
      </c>
      <c r="AB291" s="43">
        <f>'[1]поточний ремонт'!AB291+'[2]поточний ремонт'!AB291-'[3]поточний ремонт'!AB291</f>
        <v>0</v>
      </c>
      <c r="AC291" s="43">
        <f>'[1]поточний ремонт'!AC291+'[2]поточний ремонт'!AC291-'[3]поточний ремонт'!AC291</f>
        <v>0</v>
      </c>
      <c r="AD291" s="43">
        <f>'[1]поточний ремонт'!AD291+'[2]поточний ремонт'!AD291-'[3]поточний ремонт'!AD291</f>
        <v>1810</v>
      </c>
      <c r="AE291" s="43">
        <f>'[1]поточний ремонт'!AE291+'[2]поточний ремонт'!AE291-'[3]поточний ремонт'!AE291</f>
        <v>1893.6166085164346</v>
      </c>
      <c r="AF291" s="43">
        <f>'[1]поточний ремонт'!AF291+'[2]поточний ремонт'!AF291-'[3]поточний ремонт'!AF291</f>
        <v>0</v>
      </c>
      <c r="AG291" s="5"/>
      <c r="AH291" s="43">
        <f>'[1]поточний ремонт'!AH291+'[2]поточний ремонт'!AH291-'[3]поточний ремонт'!AH291</f>
        <v>2961.3152184736136</v>
      </c>
      <c r="AI291" s="43">
        <f>'[1]поточний ремонт'!AI291+'[2]поточний ремонт'!AI291-'[3]поточний ремонт'!AI291</f>
        <v>0</v>
      </c>
      <c r="AJ291" s="5"/>
      <c r="AK291" s="43">
        <f>'[1]поточний ремонт'!AK291+'[2]поточний ремонт'!AK291-'[3]поточний ремонт'!AK291</f>
        <v>1971.0598078944429</v>
      </c>
      <c r="AL291" s="43">
        <f>'[1]поточний ремонт'!AL291+'[2]поточний ремонт'!AL291-'[3]поточний ремонт'!AL291</f>
        <v>0</v>
      </c>
      <c r="AM291" s="5"/>
      <c r="AN291" s="43">
        <f>'[1]поточний ремонт'!AN291+'[2]поточний ремонт'!AN291-'[3]поточний ремонт'!AN291</f>
        <v>0</v>
      </c>
      <c r="AO291" s="43">
        <f>'[1]поточний ремонт'!AO291+'[2]поточний ремонт'!AO291-'[3]поточний ремонт'!AO291</f>
        <v>0</v>
      </c>
      <c r="AP291" s="5"/>
      <c r="AQ291" s="43">
        <f>'[1]поточний ремонт'!AQ291+'[2]поточний ремонт'!AQ291-'[3]поточний ремонт'!AQ291</f>
        <v>0</v>
      </c>
      <c r="AR291" s="43">
        <f>'[1]поточний ремонт'!AR291+'[2]поточний ремонт'!AR291-'[3]поточний ремонт'!AR291</f>
        <v>0</v>
      </c>
      <c r="AS291" s="5"/>
      <c r="AT291" s="43">
        <f>'[1]поточний ремонт'!AT291+'[2]поточний ремонт'!AT291-'[3]поточний ремонт'!AT291</f>
        <v>1381.5350366937619</v>
      </c>
      <c r="AU291" s="43">
        <f>'[1]поточний ремонт'!AU291+'[2]поточний ремонт'!AU291-'[3]поточний ремонт'!AU291</f>
        <v>810</v>
      </c>
      <c r="AV291" s="1054"/>
      <c r="AW291" s="43">
        <f>'[1]поточний ремонт'!AW291+'[2]поточний ремонт'!AW291-'[3]поточний ремонт'!AW291</f>
        <v>0</v>
      </c>
      <c r="AX291" s="43">
        <f>'[1]поточний ремонт'!AX291+'[2]поточний ремонт'!AX291-'[3]поточний ремонт'!AX291</f>
        <v>0</v>
      </c>
      <c r="AY291" s="5"/>
      <c r="AZ291" s="43">
        <f t="shared" si="34"/>
        <v>8207.5266715782527</v>
      </c>
      <c r="BA291" s="43">
        <f t="shared" si="35"/>
        <v>810</v>
      </c>
      <c r="BB291" s="59">
        <f t="shared" si="36"/>
        <v>-7397.5266715782527</v>
      </c>
      <c r="BD291" s="2">
        <v>3</v>
      </c>
      <c r="BF291" s="30">
        <v>269.63352346865474</v>
      </c>
      <c r="BG291" s="328">
        <v>150000805</v>
      </c>
      <c r="BI291" s="107">
        <v>47.04</v>
      </c>
      <c r="BJ291" s="107">
        <f t="shared" si="37"/>
        <v>6.6167498879999993</v>
      </c>
      <c r="BK291" s="107">
        <v>54.250563843839998</v>
      </c>
      <c r="BL291" s="39"/>
      <c r="BM291" s="3"/>
      <c r="BN291" s="3">
        <v>0</v>
      </c>
      <c r="BP291" s="3"/>
      <c r="BQ291" s="3"/>
      <c r="BS291" s="43"/>
      <c r="BT291" s="43">
        <v>0</v>
      </c>
      <c r="BU291" s="1037"/>
      <c r="BV291" s="42"/>
      <c r="BW291" s="43"/>
      <c r="BX291" s="37"/>
      <c r="BY291" s="78"/>
      <c r="BZ291" s="43">
        <v>0</v>
      </c>
      <c r="CA291" s="1038"/>
      <c r="CB291" s="42"/>
      <c r="CC291" s="42">
        <v>0</v>
      </c>
      <c r="CD291" s="1039"/>
      <c r="CE291" s="78">
        <v>0</v>
      </c>
      <c r="CF291" s="56"/>
      <c r="CG291" s="42">
        <v>0</v>
      </c>
      <c r="CH291" s="39">
        <v>54.250563843839998</v>
      </c>
      <c r="CI291" s="78">
        <v>0</v>
      </c>
      <c r="CJ291" s="56"/>
      <c r="CK291" s="1034"/>
      <c r="CL291" s="1029"/>
      <c r="CM291" s="1034"/>
      <c r="CN291" s="1029">
        <v>0</v>
      </c>
      <c r="CO291" s="78">
        <v>157.80138404303619</v>
      </c>
      <c r="CP291" s="43">
        <v>1104.0879778335729</v>
      </c>
      <c r="CQ291" s="5"/>
      <c r="CR291" s="78">
        <v>246.77626820613449</v>
      </c>
      <c r="CS291" s="1033">
        <v>0</v>
      </c>
      <c r="CT291" s="5"/>
      <c r="CU291" s="78">
        <v>164.2549839912036</v>
      </c>
      <c r="CV291" s="43">
        <v>0</v>
      </c>
      <c r="CW291" s="5"/>
      <c r="CX291" s="78">
        <v>0</v>
      </c>
      <c r="CY291" s="43">
        <v>0</v>
      </c>
      <c r="CZ291" s="5"/>
      <c r="DA291" s="78">
        <v>0</v>
      </c>
      <c r="DB291" s="43">
        <v>0</v>
      </c>
      <c r="DC291" s="5"/>
      <c r="DD291" s="78">
        <v>115.12791972448017</v>
      </c>
      <c r="DE291" s="43">
        <v>0</v>
      </c>
      <c r="DF291" s="1054"/>
      <c r="DG291" s="78">
        <v>0</v>
      </c>
      <c r="DH291" s="43"/>
      <c r="DI291" s="5"/>
      <c r="DJ291" s="43">
        <v>683.96055596485451</v>
      </c>
      <c r="DK291" s="43">
        <f t="shared" si="38"/>
        <v>1104.0879778335729</v>
      </c>
      <c r="DL291" s="59">
        <f t="shared" si="39"/>
        <v>420.12742186871844</v>
      </c>
    </row>
    <row r="292" spans="1:116" ht="24.9" customHeight="1" x14ac:dyDescent="0.3">
      <c r="A292" s="328">
        <v>150000806</v>
      </c>
      <c r="B292" s="45" t="s">
        <v>228</v>
      </c>
      <c r="C292" s="1035">
        <v>4</v>
      </c>
      <c r="D292" s="1036" t="s">
        <v>454</v>
      </c>
      <c r="E292" s="1028">
        <f>'побудинковий звіт'!E290</f>
        <v>990</v>
      </c>
      <c r="F292" s="1029">
        <f>'побудинковий звіт'!AS290</f>
        <v>30225.812647105879</v>
      </c>
      <c r="G292" s="1029">
        <f t="shared" si="32"/>
        <v>118215</v>
      </c>
      <c r="H292" s="1029">
        <f t="shared" si="33"/>
        <v>87989.187352894121</v>
      </c>
      <c r="I292" s="43">
        <f>'[1]поточний ремонт'!I292+'[2]поточний ремонт'!I292-'[3]поточний ремонт'!I292</f>
        <v>50.4</v>
      </c>
      <c r="J292" s="43">
        <f>'[1]поточний ремонт'!J292+'[2]поточний ремонт'!J292-'[3]поточний ремонт'!J292</f>
        <v>116438</v>
      </c>
      <c r="K292" s="1037"/>
      <c r="L292" s="43">
        <f>'[1]поточний ремонт'!L292+'[2]поточний ремонт'!L292-'[3]поточний ремонт'!L292</f>
        <v>0</v>
      </c>
      <c r="M292" s="43">
        <f>'[1]поточний ремонт'!M292+'[2]поточний ремонт'!M292-'[3]поточний ремонт'!M292</f>
        <v>0</v>
      </c>
      <c r="N292" s="37"/>
      <c r="O292" s="43">
        <f>'[1]поточний ремонт'!O292+'[2]поточний ремонт'!O292-'[3]поточний ремонт'!O292</f>
        <v>0</v>
      </c>
      <c r="P292" s="43">
        <f>'[1]поточний ремонт'!P292+'[2]поточний ремонт'!P292-'[3]поточний ремонт'!P292</f>
        <v>0</v>
      </c>
      <c r="Q292" s="1038"/>
      <c r="R292" s="43">
        <f>'[1]поточний ремонт'!R292+'[2]поточний ремонт'!R292-'[3]поточний ремонт'!R292</f>
        <v>0</v>
      </c>
      <c r="S292" s="43">
        <f>'[1]поточний ремонт'!S292+'[2]поточний ремонт'!S292-'[3]поточний ремонт'!S292</f>
        <v>0</v>
      </c>
      <c r="T292" s="1039"/>
      <c r="U292" s="43">
        <f>'[1]поточний ремонт'!U292+'[2]поточний ремонт'!U292-'[3]поточний ремонт'!U292</f>
        <v>0</v>
      </c>
      <c r="V292" s="43">
        <f>'[1]поточний ремонт'!V292+'[2]поточний ремонт'!V292-'[3]поточний ремонт'!V292</f>
        <v>0</v>
      </c>
      <c r="W292" s="43">
        <f>'[1]поточний ремонт'!W292+'[2]поточний ремонт'!W292-'[3]поточний ремонт'!W292</f>
        <v>0</v>
      </c>
      <c r="X292" s="43">
        <f>'[1]поточний ремонт'!X292+'[2]поточний ремонт'!X292-'[3]поточний ремонт'!X292</f>
        <v>0</v>
      </c>
      <c r="Y292" s="43">
        <f>'[1]поточний ремонт'!Y292+'[2]поточний ремонт'!Y292-'[3]поточний ремонт'!Y292</f>
        <v>1070</v>
      </c>
      <c r="Z292" s="43">
        <f>'[1]поточний ремонт'!Z292+'[2]поточний ремонт'!Z292-'[3]поточний ремонт'!Z292</f>
        <v>0</v>
      </c>
      <c r="AA292" s="43">
        <f>'[1]поточний ремонт'!AA292+'[2]поточний ремонт'!AA292-'[3]поточний ремонт'!AA292</f>
        <v>0</v>
      </c>
      <c r="AB292" s="43">
        <f>'[1]поточний ремонт'!AB292+'[2]поточний ремонт'!AB292-'[3]поточний ремонт'!AB292</f>
        <v>0</v>
      </c>
      <c r="AC292" s="43">
        <f>'[1]поточний ремонт'!AC292+'[2]поточний ремонт'!AC292-'[3]поточний ремонт'!AC292</f>
        <v>0</v>
      </c>
      <c r="AD292" s="43">
        <f>'[1]поточний ремонт'!AD292+'[2]поточний ремонт'!AD292-'[3]поточний ремонт'!AD292</f>
        <v>707</v>
      </c>
      <c r="AE292" s="43">
        <f>'[1]поточний ремонт'!AE292+'[2]поточний ремонт'!AE292-'[3]поточний ремонт'!AE292</f>
        <v>1493.0900498192123</v>
      </c>
      <c r="AF292" s="43">
        <f>'[1]поточний ремонт'!AF292+'[2]поточний ремонт'!AF292-'[3]поточний ремонт'!AF292</f>
        <v>0</v>
      </c>
      <c r="AG292" s="5"/>
      <c r="AH292" s="43">
        <f>'[1]поточний ремонт'!AH292+'[2]поточний ремонт'!AH292-'[3]поточний ремонт'!AH292</f>
        <v>2204.8753064949697</v>
      </c>
      <c r="AI292" s="43">
        <f>'[1]поточний ремонт'!AI292+'[2]поточний ремонт'!AI292-'[3]поточний ремонт'!AI292</f>
        <v>0</v>
      </c>
      <c r="AJ292" s="5"/>
      <c r="AK292" s="43">
        <f>'[1]поточний ремонт'!AK292+'[2]поточний ремонт'!AK292-'[3]поточний ремонт'!AK292</f>
        <v>1427.3557587604225</v>
      </c>
      <c r="AL292" s="43">
        <f>'[1]поточний ремонт'!AL292+'[2]поточний ремонт'!AL292-'[3]поточний ремонт'!AL292</f>
        <v>0</v>
      </c>
      <c r="AM292" s="5"/>
      <c r="AN292" s="43">
        <f>'[1]поточний ремонт'!AN292+'[2]поточний ремонт'!AN292-'[3]поточний ремонт'!AN292</f>
        <v>0</v>
      </c>
      <c r="AO292" s="43">
        <f>'[1]поточний ремонт'!AO292+'[2]поточний ремонт'!AO292-'[3]поточний ремонт'!AO292</f>
        <v>0</v>
      </c>
      <c r="AP292" s="5"/>
      <c r="AQ292" s="43">
        <f>'[1]поточний ремонт'!AQ292+'[2]поточний ремонт'!AQ292-'[3]поточний ремонт'!AQ292</f>
        <v>0</v>
      </c>
      <c r="AR292" s="43">
        <f>'[1]поточний ремонт'!AR292+'[2]поточний ремонт'!AR292-'[3]поточний ремонт'!AR292</f>
        <v>0</v>
      </c>
      <c r="AS292" s="5"/>
      <c r="AT292" s="43">
        <f>'[1]поточний ремонт'!AT292+'[2]поточний ремонт'!AT292-'[3]поточний ремонт'!AT292</f>
        <v>1019.5484978935849</v>
      </c>
      <c r="AU292" s="43">
        <f>'[1]поточний ремонт'!AU292+'[2]поточний ремонт'!AU292-'[3]поточний ремонт'!AU292</f>
        <v>633</v>
      </c>
      <c r="AV292" s="5"/>
      <c r="AW292" s="43">
        <f>'[1]поточний ремонт'!AW292+'[2]поточний ремонт'!AW292-'[3]поточний ремонт'!AW292</f>
        <v>0</v>
      </c>
      <c r="AX292" s="43">
        <f>'[1]поточний ремонт'!AX292+'[2]поточний ремонт'!AX292-'[3]поточний ремонт'!AX292</f>
        <v>3845</v>
      </c>
      <c r="AY292" s="5"/>
      <c r="AZ292" s="43">
        <f t="shared" si="34"/>
        <v>6144.8696129681894</v>
      </c>
      <c r="BA292" s="43">
        <f t="shared" si="35"/>
        <v>4478</v>
      </c>
      <c r="BB292" s="59">
        <f t="shared" si="36"/>
        <v>-1666.8696129681894</v>
      </c>
      <c r="BD292" s="2">
        <v>2</v>
      </c>
      <c r="BF292" s="30">
        <v>3.5782269349448965</v>
      </c>
      <c r="BG292" s="328">
        <v>150000806</v>
      </c>
      <c r="BI292" s="107">
        <v>0</v>
      </c>
      <c r="BJ292" s="107">
        <f t="shared" si="37"/>
        <v>0</v>
      </c>
      <c r="BK292" s="107">
        <v>0</v>
      </c>
      <c r="BL292" s="39"/>
      <c r="BM292" s="3"/>
      <c r="BN292" s="3">
        <v>0</v>
      </c>
      <c r="BP292" s="3"/>
      <c r="BQ292" s="3"/>
      <c r="BS292" s="43"/>
      <c r="BT292" s="43">
        <v>0</v>
      </c>
      <c r="BU292" s="1037"/>
      <c r="BV292" s="42"/>
      <c r="BW292" s="43"/>
      <c r="BX292" s="37"/>
      <c r="BY292" s="78"/>
      <c r="BZ292" s="43">
        <v>0</v>
      </c>
      <c r="CA292" s="1038"/>
      <c r="CB292" s="42"/>
      <c r="CC292" s="42">
        <v>0</v>
      </c>
      <c r="CD292" s="1039"/>
      <c r="CE292" s="78">
        <v>0</v>
      </c>
      <c r="CF292" s="56"/>
      <c r="CG292" s="42">
        <v>0</v>
      </c>
      <c r="CH292" s="39">
        <v>0</v>
      </c>
      <c r="CI292" s="78">
        <v>0</v>
      </c>
      <c r="CJ292" s="56"/>
      <c r="CK292" s="1034"/>
      <c r="CL292" s="1029"/>
      <c r="CM292" s="1034"/>
      <c r="CN292" s="1029">
        <v>0</v>
      </c>
      <c r="CO292" s="78">
        <v>124.42417081826773</v>
      </c>
      <c r="CP292" s="43">
        <v>0</v>
      </c>
      <c r="CQ292" s="5"/>
      <c r="CR292" s="78">
        <v>183.73960887458077</v>
      </c>
      <c r="CS292" s="1033">
        <v>0</v>
      </c>
      <c r="CT292" s="5"/>
      <c r="CU292" s="78">
        <v>118.9463132300352</v>
      </c>
      <c r="CV292" s="43">
        <v>0</v>
      </c>
      <c r="CW292" s="5"/>
      <c r="CX292" s="78">
        <v>0</v>
      </c>
      <c r="CY292" s="43">
        <v>0</v>
      </c>
      <c r="CZ292" s="5"/>
      <c r="DA292" s="78">
        <v>0</v>
      </c>
      <c r="DB292" s="43">
        <v>0</v>
      </c>
      <c r="DC292" s="5"/>
      <c r="DD292" s="78">
        <v>84.9623748244654</v>
      </c>
      <c r="DE292" s="43">
        <v>0</v>
      </c>
      <c r="DF292" s="5"/>
      <c r="DG292" s="78">
        <v>0</v>
      </c>
      <c r="DH292" s="43"/>
      <c r="DI292" s="5"/>
      <c r="DJ292" s="43">
        <v>512.07246774734915</v>
      </c>
      <c r="DK292" s="43">
        <f t="shared" si="38"/>
        <v>0</v>
      </c>
      <c r="DL292" s="59">
        <f t="shared" si="39"/>
        <v>-512.07246774734915</v>
      </c>
    </row>
    <row r="293" spans="1:116" ht="24.9" customHeight="1" x14ac:dyDescent="0.3">
      <c r="A293" s="328">
        <v>150000807</v>
      </c>
      <c r="B293" s="45" t="s">
        <v>187</v>
      </c>
      <c r="C293" s="1035">
        <v>2</v>
      </c>
      <c r="D293" s="1036" t="s">
        <v>454</v>
      </c>
      <c r="E293" s="1028">
        <f>'побудинковий звіт'!E291</f>
        <v>1101.8</v>
      </c>
      <c r="F293" s="1029">
        <f>'побудинковий звіт'!AS291</f>
        <v>3510.0269344658295</v>
      </c>
      <c r="G293" s="1029">
        <f t="shared" si="32"/>
        <v>1054</v>
      </c>
      <c r="H293" s="1029">
        <f t="shared" si="33"/>
        <v>-2456.0269344658295</v>
      </c>
      <c r="I293" s="43">
        <f>'[1]поточний ремонт'!I293+'[2]поточний ремонт'!I293-'[3]поточний ремонт'!I293</f>
        <v>0.5</v>
      </c>
      <c r="J293" s="43">
        <f>'[1]поточний ремонт'!J293+'[2]поточний ремонт'!J293-'[3]поточний ремонт'!J293</f>
        <v>1054</v>
      </c>
      <c r="K293" s="1037"/>
      <c r="L293" s="43">
        <f>'[1]поточний ремонт'!L293+'[2]поточний ремонт'!L293-'[3]поточний ремонт'!L293</f>
        <v>0</v>
      </c>
      <c r="M293" s="43">
        <f>'[1]поточний ремонт'!M293+'[2]поточний ремонт'!M293-'[3]поточний ремонт'!M293</f>
        <v>0</v>
      </c>
      <c r="N293" s="37"/>
      <c r="O293" s="43">
        <f>'[1]поточний ремонт'!O293+'[2]поточний ремонт'!O293-'[3]поточний ремонт'!O293</f>
        <v>0</v>
      </c>
      <c r="P293" s="43">
        <f>'[1]поточний ремонт'!P293+'[2]поточний ремонт'!P293-'[3]поточний ремонт'!P293</f>
        <v>0</v>
      </c>
      <c r="Q293" s="1038"/>
      <c r="R293" s="43">
        <f>'[1]поточний ремонт'!R293+'[2]поточний ремонт'!R293-'[3]поточний ремонт'!R293</f>
        <v>0</v>
      </c>
      <c r="S293" s="43">
        <f>'[1]поточний ремонт'!S293+'[2]поточний ремонт'!S293-'[3]поточний ремонт'!S293</f>
        <v>0</v>
      </c>
      <c r="T293" s="1039"/>
      <c r="U293" s="43">
        <f>'[1]поточний ремонт'!U293+'[2]поточний ремонт'!U293-'[3]поточний ремонт'!U293</f>
        <v>0</v>
      </c>
      <c r="V293" s="43">
        <f>'[1]поточний ремонт'!V293+'[2]поточний ремонт'!V293-'[3]поточний ремонт'!V293</f>
        <v>0</v>
      </c>
      <c r="W293" s="43">
        <f>'[1]поточний ремонт'!W293+'[2]поточний ремонт'!W293-'[3]поточний ремонт'!W293</f>
        <v>0</v>
      </c>
      <c r="X293" s="43">
        <f>'[1]поточний ремонт'!X293+'[2]поточний ремонт'!X293-'[3]поточний ремонт'!X293</f>
        <v>0</v>
      </c>
      <c r="Y293" s="43">
        <f>'[1]поточний ремонт'!Y293+'[2]поточний ремонт'!Y293-'[3]поточний ремонт'!Y293</f>
        <v>0</v>
      </c>
      <c r="Z293" s="43">
        <f>'[1]поточний ремонт'!Z293+'[2]поточний ремонт'!Z293-'[3]поточний ремонт'!Z293</f>
        <v>0</v>
      </c>
      <c r="AA293" s="43">
        <f>'[1]поточний ремонт'!AA293+'[2]поточний ремонт'!AA293-'[3]поточний ремонт'!AA293</f>
        <v>0</v>
      </c>
      <c r="AB293" s="43">
        <f>'[1]поточний ремонт'!AB293+'[2]поточний ремонт'!AB293-'[3]поточний ремонт'!AB293</f>
        <v>0</v>
      </c>
      <c r="AC293" s="43">
        <f>'[1]поточний ремонт'!AC293+'[2]поточний ремонт'!AC293-'[3]поточний ремонт'!AC293</f>
        <v>0</v>
      </c>
      <c r="AD293" s="43">
        <f>'[1]поточний ремонт'!AD293+'[2]поточний ремонт'!AD293-'[3]поточний ремонт'!AD293</f>
        <v>0</v>
      </c>
      <c r="AE293" s="43">
        <f>'[1]поточний ремонт'!AE293+'[2]поточний ремонт'!AE293-'[3]поточний ремонт'!AE293</f>
        <v>374.52482092463612</v>
      </c>
      <c r="AF293" s="43">
        <f>'[1]поточний ремонт'!AF293+'[2]поточний ремонт'!AF293-'[3]поточний ремонт'!AF293</f>
        <v>0</v>
      </c>
      <c r="AG293" s="5"/>
      <c r="AH293" s="43">
        <f>'[1]поточний ремонт'!AH293+'[2]поточний ремонт'!AH293-'[3]поточний ремонт'!AH293</f>
        <v>430.95285496097796</v>
      </c>
      <c r="AI293" s="43">
        <f>'[1]поточний ремонт'!AI293+'[2]поточний ремонт'!AI293-'[3]поточний ремонт'!AI293</f>
        <v>0</v>
      </c>
      <c r="AJ293" s="5"/>
      <c r="AK293" s="43">
        <f>'[1]поточний ремонт'!AK293+'[2]поточний ремонт'!AK293-'[3]поточний ремонт'!AK293</f>
        <v>0</v>
      </c>
      <c r="AL293" s="43">
        <f>'[1]поточний ремонт'!AL293+'[2]поточний ремонт'!AL293-'[3]поточний ремонт'!AL293</f>
        <v>0</v>
      </c>
      <c r="AM293" s="5"/>
      <c r="AN293" s="43">
        <f>'[1]поточний ремонт'!AN293+'[2]поточний ремонт'!AN293-'[3]поточний ремонт'!AN293</f>
        <v>0</v>
      </c>
      <c r="AO293" s="43">
        <f>'[1]поточний ремонт'!AO293+'[2]поточний ремонт'!AO293-'[3]поточний ремонт'!AO293</f>
        <v>0</v>
      </c>
      <c r="AP293" s="5"/>
      <c r="AQ293" s="43">
        <f>'[1]поточний ремонт'!AQ293+'[2]поточний ремонт'!AQ293-'[3]поточний ремонт'!AQ293</f>
        <v>0</v>
      </c>
      <c r="AR293" s="43">
        <f>'[1]поточний ремонт'!AR293+'[2]поточний ремонт'!AR293-'[3]поточний ремонт'!AR293</f>
        <v>0</v>
      </c>
      <c r="AS293" s="5"/>
      <c r="AT293" s="43">
        <f>'[1]поточний ремонт'!AT293+'[2]поточний ремонт'!AT293-'[3]поточний ремонт'!AT293</f>
        <v>59.168610702023372</v>
      </c>
      <c r="AU293" s="43">
        <f>'[1]поточний ремонт'!AU293+'[2]поточний ремонт'!AU293-'[3]поточний ремонт'!AU293</f>
        <v>0</v>
      </c>
      <c r="AV293" s="5"/>
      <c r="AW293" s="43">
        <f>'[1]поточний ремонт'!AW293+'[2]поточний ремонт'!AW293-'[3]поточний ремонт'!AW293</f>
        <v>0</v>
      </c>
      <c r="AX293" s="43">
        <f>'[1]поточний ремонт'!AX293+'[2]поточний ремонт'!AX293-'[3]поточний ремонт'!AX293</f>
        <v>0</v>
      </c>
      <c r="AY293" s="5"/>
      <c r="AZ293" s="43">
        <f t="shared" si="34"/>
        <v>864.64628658763741</v>
      </c>
      <c r="BA293" s="43">
        <f t="shared" si="35"/>
        <v>0</v>
      </c>
      <c r="BB293" s="59">
        <f t="shared" si="36"/>
        <v>-864.64628658763741</v>
      </c>
      <c r="BD293" s="2">
        <v>3</v>
      </c>
      <c r="BF293" s="30">
        <v>22.47793218456809</v>
      </c>
      <c r="BG293" s="328">
        <v>150000807</v>
      </c>
      <c r="BI293" s="107">
        <v>0</v>
      </c>
      <c r="BJ293" s="107">
        <f t="shared" si="37"/>
        <v>0</v>
      </c>
      <c r="BK293" s="107">
        <v>0</v>
      </c>
      <c r="BL293" s="39"/>
      <c r="BM293" s="3"/>
      <c r="BN293" s="3">
        <v>0</v>
      </c>
      <c r="BP293" s="3"/>
      <c r="BQ293" s="3"/>
      <c r="BS293" s="43"/>
      <c r="BT293" s="43">
        <v>0</v>
      </c>
      <c r="BU293" s="1037"/>
      <c r="BV293" s="42"/>
      <c r="BW293" s="43"/>
      <c r="BX293" s="37"/>
      <c r="BY293" s="78"/>
      <c r="BZ293" s="43">
        <v>0</v>
      </c>
      <c r="CA293" s="1038"/>
      <c r="CB293" s="42"/>
      <c r="CC293" s="42">
        <v>0</v>
      </c>
      <c r="CD293" s="1039"/>
      <c r="CE293" s="78">
        <v>0</v>
      </c>
      <c r="CF293" s="56"/>
      <c r="CG293" s="42">
        <v>0</v>
      </c>
      <c r="CH293" s="39">
        <v>0</v>
      </c>
      <c r="CI293" s="78">
        <v>0</v>
      </c>
      <c r="CJ293" s="56"/>
      <c r="CK293" s="1034"/>
      <c r="CL293" s="1029"/>
      <c r="CM293" s="1034"/>
      <c r="CN293" s="1029">
        <v>0</v>
      </c>
      <c r="CO293" s="78">
        <v>31.210401743719675</v>
      </c>
      <c r="CP293" s="43">
        <v>0</v>
      </c>
      <c r="CQ293" s="5"/>
      <c r="CR293" s="78">
        <v>35.912737913414823</v>
      </c>
      <c r="CS293" s="1033">
        <v>0</v>
      </c>
      <c r="CT293" s="5"/>
      <c r="CU293" s="78">
        <v>0</v>
      </c>
      <c r="CV293" s="43">
        <v>0</v>
      </c>
      <c r="CW293" s="5"/>
      <c r="CX293" s="78">
        <v>0</v>
      </c>
      <c r="CY293" s="43">
        <v>0</v>
      </c>
      <c r="CZ293" s="5"/>
      <c r="DA293" s="78">
        <v>0</v>
      </c>
      <c r="DB293" s="43">
        <v>0</v>
      </c>
      <c r="DC293" s="5"/>
      <c r="DD293" s="78">
        <v>4.9307175585019483</v>
      </c>
      <c r="DE293" s="43">
        <v>0</v>
      </c>
      <c r="DF293" s="5"/>
      <c r="DG293" s="78">
        <v>0</v>
      </c>
      <c r="DH293" s="43"/>
      <c r="DI293" s="5"/>
      <c r="DJ293" s="43">
        <v>72.053857215636455</v>
      </c>
      <c r="DK293" s="43">
        <f t="shared" si="38"/>
        <v>0</v>
      </c>
      <c r="DL293" s="59">
        <f t="shared" si="39"/>
        <v>-72.053857215636455</v>
      </c>
    </row>
    <row r="294" spans="1:116" ht="24.9" customHeight="1" x14ac:dyDescent="0.3">
      <c r="A294" s="328">
        <v>150000808</v>
      </c>
      <c r="B294" s="45" t="s">
        <v>297</v>
      </c>
      <c r="C294" s="1035">
        <v>5</v>
      </c>
      <c r="D294" s="1036" t="s">
        <v>454</v>
      </c>
      <c r="E294" s="1028">
        <f>'побудинковий звіт'!E292</f>
        <v>6781.15</v>
      </c>
      <c r="F294" s="1029">
        <f>'побудинковий звіт'!AS292</f>
        <v>13631.973140803359</v>
      </c>
      <c r="G294" s="1029">
        <f t="shared" si="32"/>
        <v>4220</v>
      </c>
      <c r="H294" s="1029">
        <f t="shared" si="33"/>
        <v>-9411.9731408033585</v>
      </c>
      <c r="I294" s="43">
        <f>'[1]поточний ремонт'!I294+'[2]поточний ремонт'!I294-'[3]поточний ремонт'!I294</f>
        <v>0</v>
      </c>
      <c r="J294" s="43">
        <f>'[1]поточний ремонт'!J294+'[2]поточний ремонт'!J294-'[3]поточний ремонт'!J294</f>
        <v>0</v>
      </c>
      <c r="K294" s="1037"/>
      <c r="L294" s="43">
        <f>'[1]поточний ремонт'!L294+'[2]поточний ремонт'!L294-'[3]поточний ремонт'!L294</f>
        <v>0</v>
      </c>
      <c r="M294" s="43">
        <f>'[1]поточний ремонт'!M294+'[2]поточний ремонт'!M294-'[3]поточний ремонт'!M294</f>
        <v>0</v>
      </c>
      <c r="N294" s="1039"/>
      <c r="O294" s="43">
        <f>'[1]поточний ремонт'!O294+'[2]поточний ремонт'!O294-'[3]поточний ремонт'!O294</f>
        <v>0</v>
      </c>
      <c r="P294" s="43">
        <f>'[1]поточний ремонт'!P294+'[2]поточний ремонт'!P294-'[3]поточний ремонт'!P294</f>
        <v>0</v>
      </c>
      <c r="Q294" s="1038"/>
      <c r="R294" s="43">
        <f>'[1]поточний ремонт'!R294+'[2]поточний ремонт'!R294-'[3]поточний ремонт'!R294</f>
        <v>0</v>
      </c>
      <c r="S294" s="43">
        <f>'[1]поточний ремонт'!S294+'[2]поточний ремонт'!S294-'[3]поточний ремонт'!S294</f>
        <v>0</v>
      </c>
      <c r="T294" s="1039"/>
      <c r="U294" s="43">
        <f>'[1]поточний ремонт'!U294+'[2]поточний ремонт'!U294-'[3]поточний ремонт'!U294</f>
        <v>0</v>
      </c>
      <c r="V294" s="43">
        <f>'[1]поточний ремонт'!V294+'[2]поточний ремонт'!V294-'[3]поточний ремонт'!V294</f>
        <v>0</v>
      </c>
      <c r="W294" s="43">
        <f>'[1]поточний ремонт'!W294+'[2]поточний ремонт'!W294-'[3]поточний ремонт'!W294</f>
        <v>0</v>
      </c>
      <c r="X294" s="43">
        <f>'[1]поточний ремонт'!X294+'[2]поточний ремонт'!X294-'[3]поточний ремонт'!X294</f>
        <v>0</v>
      </c>
      <c r="Y294" s="43">
        <f>'[1]поточний ремонт'!Y294+'[2]поточний ремонт'!Y294-'[3]поточний ремонт'!Y294</f>
        <v>0</v>
      </c>
      <c r="Z294" s="43">
        <f>'[1]поточний ремонт'!Z294+'[2]поточний ремонт'!Z294-'[3]поточний ремонт'!Z294</f>
        <v>0</v>
      </c>
      <c r="AA294" s="43">
        <f>'[1]поточний ремонт'!AA294+'[2]поточний ремонт'!AA294-'[3]поточний ремонт'!AA294</f>
        <v>0</v>
      </c>
      <c r="AB294" s="43">
        <f>'[1]поточний ремонт'!AB294+'[2]поточний ремонт'!AB294-'[3]поточний ремонт'!AB294</f>
        <v>0</v>
      </c>
      <c r="AC294" s="43">
        <f>'[1]поточний ремонт'!AC294+'[2]поточний ремонт'!AC294-'[3]поточний ремонт'!AC294</f>
        <v>2242</v>
      </c>
      <c r="AD294" s="43">
        <f>'[1]поточний ремонт'!AD294+'[2]поточний ремонт'!AD294-'[3]поточний ремонт'!AD294</f>
        <v>1978</v>
      </c>
      <c r="AE294" s="43">
        <f>'[1]поточний ремонт'!AE294+'[2]поточний ремонт'!AE294-'[3]поточний ремонт'!AE294</f>
        <v>1018.7425463430262</v>
      </c>
      <c r="AF294" s="43">
        <f>'[1]поточний ремонт'!AF294+'[2]поточний ремонт'!AF294-'[3]поточний ремонт'!AF294</f>
        <v>0</v>
      </c>
      <c r="AG294" s="5"/>
      <c r="AH294" s="43">
        <f>'[1]поточний ремонт'!AH294+'[2]поточний ремонт'!AH294-'[3]поточний ремонт'!AH294</f>
        <v>1503.4989161478395</v>
      </c>
      <c r="AI294" s="43">
        <f>'[1]поточний ремонт'!AI294+'[2]поточний ремонт'!AI294-'[3]поточний ремонт'!AI294</f>
        <v>0</v>
      </c>
      <c r="AJ294" s="5"/>
      <c r="AK294" s="43">
        <f>'[1]поточний ремонт'!AK294+'[2]поточний ремонт'!AK294-'[3]поточний ремонт'!AK294</f>
        <v>1493.2565303283902</v>
      </c>
      <c r="AL294" s="43">
        <f>'[1]поточний ремонт'!AL294+'[2]поточний ремонт'!AL294-'[3]поточний ремонт'!AL294</f>
        <v>0</v>
      </c>
      <c r="AM294" s="5"/>
      <c r="AN294" s="43">
        <f>'[1]поточний ремонт'!AN294+'[2]поточний ремонт'!AN294-'[3]поточний ремонт'!AN294</f>
        <v>0</v>
      </c>
      <c r="AO294" s="43">
        <f>'[1]поточний ремонт'!AO294+'[2]поточний ремонт'!AO294-'[3]поточний ремонт'!AO294</f>
        <v>0</v>
      </c>
      <c r="AP294" s="5"/>
      <c r="AQ294" s="43">
        <f>'[1]поточний ремонт'!AQ294+'[2]поточний ремонт'!AQ294-'[3]поточний ремонт'!AQ294</f>
        <v>0</v>
      </c>
      <c r="AR294" s="43">
        <f>'[1]поточний ремонт'!AR294+'[2]поточний ремонт'!AR294-'[3]поточний ремонт'!AR294</f>
        <v>0</v>
      </c>
      <c r="AS294" s="5"/>
      <c r="AT294" s="43">
        <f>'[1]поточний ремонт'!AT294+'[2]поточний ремонт'!AT294-'[3]поточний ремонт'!AT294</f>
        <v>418.16601925182806</v>
      </c>
      <c r="AU294" s="43">
        <f>'[1]поточний ремонт'!AU294+'[2]поточний ремонт'!AU294-'[3]поточний ремонт'!AU294</f>
        <v>263</v>
      </c>
      <c r="AV294" s="5"/>
      <c r="AW294" s="43">
        <f>'[1]поточний ремонт'!AW294+'[2]поточний ремонт'!AW294-'[3]поточний ремонт'!AW294</f>
        <v>0</v>
      </c>
      <c r="AX294" s="43">
        <f>'[1]поточний ремонт'!AX294+'[2]поточний ремонт'!AX294-'[3]поточний ремонт'!AX294</f>
        <v>0</v>
      </c>
      <c r="AY294" s="5"/>
      <c r="AZ294" s="43">
        <f t="shared" si="34"/>
        <v>4433.6640120710845</v>
      </c>
      <c r="BA294" s="43">
        <f t="shared" si="35"/>
        <v>263</v>
      </c>
      <c r="BB294" s="59">
        <f t="shared" si="36"/>
        <v>-4170.6640120710845</v>
      </c>
      <c r="BD294" s="2">
        <v>2</v>
      </c>
      <c r="BF294" s="30">
        <v>2.8513060216333019</v>
      </c>
      <c r="BG294" s="328">
        <v>150000808</v>
      </c>
      <c r="BI294" s="107">
        <v>0</v>
      </c>
      <c r="BJ294" s="107">
        <f t="shared" si="37"/>
        <v>0</v>
      </c>
      <c r="BK294" s="107">
        <v>0</v>
      </c>
      <c r="BL294" s="39"/>
      <c r="BM294" s="3"/>
      <c r="BN294" s="3">
        <v>0</v>
      </c>
      <c r="BP294" s="3"/>
      <c r="BQ294" s="3"/>
      <c r="BS294" s="43"/>
      <c r="BT294" s="43">
        <v>0</v>
      </c>
      <c r="BU294" s="1037"/>
      <c r="BV294" s="42"/>
      <c r="BW294" s="43"/>
      <c r="BX294" s="1039"/>
      <c r="BY294" s="78"/>
      <c r="BZ294" s="43">
        <v>0</v>
      </c>
      <c r="CA294" s="1038"/>
      <c r="CB294" s="42"/>
      <c r="CC294" s="42">
        <v>0</v>
      </c>
      <c r="CD294" s="1039"/>
      <c r="CE294" s="78">
        <v>0</v>
      </c>
      <c r="CF294" s="56"/>
      <c r="CG294" s="42">
        <v>0</v>
      </c>
      <c r="CH294" s="39">
        <v>0</v>
      </c>
      <c r="CI294" s="78">
        <v>0</v>
      </c>
      <c r="CJ294" s="56"/>
      <c r="CK294" s="1034"/>
      <c r="CL294" s="1029"/>
      <c r="CM294" s="1034"/>
      <c r="CN294" s="1029">
        <v>0</v>
      </c>
      <c r="CO294" s="78">
        <v>84.895212195252199</v>
      </c>
      <c r="CP294" s="43">
        <v>0</v>
      </c>
      <c r="CQ294" s="5"/>
      <c r="CR294" s="78">
        <v>125.2915763456533</v>
      </c>
      <c r="CS294" s="1033">
        <v>0</v>
      </c>
      <c r="CT294" s="5"/>
      <c r="CU294" s="78">
        <v>124.43804419403251</v>
      </c>
      <c r="CV294" s="43">
        <v>0</v>
      </c>
      <c r="CW294" s="5"/>
      <c r="CX294" s="78">
        <v>0</v>
      </c>
      <c r="CY294" s="43">
        <v>0</v>
      </c>
      <c r="CZ294" s="5"/>
      <c r="DA294" s="78">
        <v>0</v>
      </c>
      <c r="DB294" s="43">
        <v>0</v>
      </c>
      <c r="DC294" s="5"/>
      <c r="DD294" s="78">
        <v>34.847168270985676</v>
      </c>
      <c r="DE294" s="43">
        <v>0</v>
      </c>
      <c r="DF294" s="5"/>
      <c r="DG294" s="78">
        <v>0</v>
      </c>
      <c r="DH294" s="43"/>
      <c r="DI294" s="5"/>
      <c r="DJ294" s="43">
        <v>369.47200100592369</v>
      </c>
      <c r="DK294" s="43">
        <f t="shared" si="38"/>
        <v>0</v>
      </c>
      <c r="DL294" s="59">
        <f t="shared" si="39"/>
        <v>-369.47200100592369</v>
      </c>
    </row>
    <row r="295" spans="1:116" ht="24.9" customHeight="1" x14ac:dyDescent="0.3">
      <c r="A295" s="328">
        <v>150000827</v>
      </c>
      <c r="B295" s="45" t="s">
        <v>298</v>
      </c>
      <c r="C295" s="1035">
        <v>5</v>
      </c>
      <c r="D295" s="1036" t="s">
        <v>454</v>
      </c>
      <c r="E295" s="1028">
        <f>'побудинковий звіт'!E293</f>
        <v>4965.33</v>
      </c>
      <c r="F295" s="1029">
        <f>'побудинковий звіт'!AS293</f>
        <v>47618.331938384217</v>
      </c>
      <c r="G295" s="1029">
        <f t="shared" si="32"/>
        <v>16524</v>
      </c>
      <c r="H295" s="1029">
        <f t="shared" si="33"/>
        <v>-31094.331938384217</v>
      </c>
      <c r="I295" s="43">
        <f>'[1]поточний ремонт'!I295+'[2]поточний ремонт'!I295-'[3]поточний ремонт'!I295</f>
        <v>18</v>
      </c>
      <c r="J295" s="43">
        <f>'[1]поточний ремонт'!J295+'[2]поточний ремонт'!J295-'[3]поточний ремонт'!J295</f>
        <v>4408</v>
      </c>
      <c r="K295" s="1037"/>
      <c r="L295" s="43">
        <f>'[1]поточний ремонт'!L295+'[2]поточний ремонт'!L295-'[3]поточний ремонт'!L295</f>
        <v>0</v>
      </c>
      <c r="M295" s="43">
        <f>'[1]поточний ремонт'!M295+'[2]поточний ремонт'!M295-'[3]поточний ремонт'!M295</f>
        <v>0</v>
      </c>
      <c r="N295" s="37"/>
      <c r="O295" s="43">
        <f>'[1]поточний ремонт'!O295+'[2]поточний ремонт'!O295-'[3]поточний ремонт'!O295</f>
        <v>0</v>
      </c>
      <c r="P295" s="43">
        <f>'[1]поточний ремонт'!P295+'[2]поточний ремонт'!P295-'[3]поточний ремонт'!P295</f>
        <v>0</v>
      </c>
      <c r="Q295" s="1038"/>
      <c r="R295" s="43">
        <f>'[1]поточний ремонт'!R295+'[2]поточний ремонт'!R295-'[3]поточний ремонт'!R295</f>
        <v>0</v>
      </c>
      <c r="S295" s="43">
        <f>'[1]поточний ремонт'!S295+'[2]поточний ремонт'!S295-'[3]поточний ремонт'!S295</f>
        <v>0</v>
      </c>
      <c r="T295" s="1039"/>
      <c r="U295" s="43">
        <f>'[1]поточний ремонт'!U295+'[2]поточний ремонт'!U295-'[3]поточний ремонт'!U295</f>
        <v>0</v>
      </c>
      <c r="V295" s="43">
        <f>'[1]поточний ремонт'!V295+'[2]поточний ремонт'!V295-'[3]поточний ремонт'!V295</f>
        <v>0</v>
      </c>
      <c r="W295" s="43">
        <f>'[1]поточний ремонт'!W295+'[2]поточний ремонт'!W295-'[3]поточний ремонт'!W295</f>
        <v>4</v>
      </c>
      <c r="X295" s="43">
        <f>'[1]поточний ремонт'!X295+'[2]поточний ремонт'!X295-'[3]поточний ремонт'!X295</f>
        <v>3108</v>
      </c>
      <c r="Y295" s="43">
        <f>'[1]поточний ремонт'!Y295+'[2]поточний ремонт'!Y295-'[3]поточний ремонт'!Y295</f>
        <v>0</v>
      </c>
      <c r="Z295" s="43">
        <f>'[1]поточний ремонт'!Z295+'[2]поточний ремонт'!Z295-'[3]поточний ремонт'!Z295</f>
        <v>0</v>
      </c>
      <c r="AA295" s="43">
        <f>'[1]поточний ремонт'!AA295+'[2]поточний ремонт'!AA295-'[3]поточний ремонт'!AA295</f>
        <v>0</v>
      </c>
      <c r="AB295" s="43">
        <f>'[1]поточний ремонт'!AB295+'[2]поточний ремонт'!AB295-'[3]поточний ремонт'!AB295</f>
        <v>7403</v>
      </c>
      <c r="AC295" s="43">
        <f>'[1]поточний ремонт'!AC295+'[2]поточний ремонт'!AC295-'[3]поточний ремонт'!AC295</f>
        <v>162</v>
      </c>
      <c r="AD295" s="43">
        <f>'[1]поточний ремонт'!AD295+'[2]поточний ремонт'!AD295-'[3]поточний ремонт'!AD295</f>
        <v>1443</v>
      </c>
      <c r="AE295" s="43">
        <f>'[1]поточний ремонт'!AE295+'[2]поточний ремонт'!AE295-'[3]поточний ремонт'!AE295</f>
        <v>2341.2061018613631</v>
      </c>
      <c r="AF295" s="43">
        <f>'[1]поточний ремонт'!AF295+'[2]поточний ремонт'!AF295-'[3]поточний ремонт'!AF295</f>
        <v>6509</v>
      </c>
      <c r="AG295" s="1045"/>
      <c r="AH295" s="43">
        <f>'[1]поточний ремонт'!AH295+'[2]поточний ремонт'!AH295-'[3]поточний ремонт'!AH295</f>
        <v>3678.6579516219567</v>
      </c>
      <c r="AI295" s="43">
        <f>'[1]поточний ремонт'!AI295+'[2]поточний ремонт'!AI295-'[3]поточний ремонт'!AI295</f>
        <v>0</v>
      </c>
      <c r="AJ295" s="5"/>
      <c r="AK295" s="43">
        <f>'[1]поточний ремонт'!AK295+'[2]поточний ремонт'!AK295-'[3]поточний ремонт'!AK295</f>
        <v>2795.7458479114321</v>
      </c>
      <c r="AL295" s="43">
        <f>'[1]поточний ремонт'!AL295+'[2]поточний ремонт'!AL295-'[3]поточний ремонт'!AL295</f>
        <v>0</v>
      </c>
      <c r="AM295" s="5"/>
      <c r="AN295" s="43">
        <f>'[1]поточний ремонт'!AN295+'[2]поточний ремонт'!AN295-'[3]поточний ремонт'!AN295</f>
        <v>0</v>
      </c>
      <c r="AO295" s="43">
        <f>'[1]поточний ремонт'!AO295+'[2]поточний ремонт'!AO295-'[3]поточний ремонт'!AO295</f>
        <v>0</v>
      </c>
      <c r="AP295" s="5"/>
      <c r="AQ295" s="43">
        <f>'[1]поточний ремонт'!AQ295+'[2]поточний ремонт'!AQ295-'[3]поточний ремонт'!AQ295</f>
        <v>0</v>
      </c>
      <c r="AR295" s="43">
        <f>'[1]поточний ремонт'!AR295+'[2]поточний ремонт'!AR295-'[3]поточний ремонт'!AR295</f>
        <v>2018.4685484033084</v>
      </c>
      <c r="AS295" s="5"/>
      <c r="AT295" s="43">
        <f>'[1]поточний ремонт'!AT295+'[2]поточний ремонт'!AT295-'[3]поточний ремонт'!AT295</f>
        <v>1457.3787839677098</v>
      </c>
      <c r="AU295" s="43">
        <f>'[1]поточний ремонт'!AU295+'[2]поточний ремонт'!AU295-'[3]поточний ремонт'!AU295</f>
        <v>433</v>
      </c>
      <c r="AV295" s="5"/>
      <c r="AW295" s="43">
        <f>'[1]поточний ремонт'!AW295+'[2]поточний ремонт'!AW295-'[3]поточний ремонт'!AW295</f>
        <v>0</v>
      </c>
      <c r="AX295" s="43">
        <f>'[1]поточний ремонт'!AX295+'[2]поточний ремонт'!AX295-'[3]поточний ремонт'!AX295</f>
        <v>0</v>
      </c>
      <c r="AY295" s="5"/>
      <c r="AZ295" s="43">
        <f t="shared" si="34"/>
        <v>10272.988685362461</v>
      </c>
      <c r="BA295" s="43">
        <f t="shared" si="35"/>
        <v>8960.4685484033089</v>
      </c>
      <c r="BB295" s="59">
        <f t="shared" si="36"/>
        <v>-1312.5201369591523</v>
      </c>
      <c r="BD295" s="2">
        <v>2</v>
      </c>
      <c r="BF295" s="30">
        <v>6.432892245508512</v>
      </c>
      <c r="BG295" s="328">
        <v>150000827</v>
      </c>
      <c r="BI295" s="107">
        <v>0</v>
      </c>
      <c r="BJ295" s="107">
        <f t="shared" si="37"/>
        <v>0</v>
      </c>
      <c r="BK295" s="107">
        <v>0</v>
      </c>
      <c r="BL295" s="39"/>
      <c r="BM295" s="3"/>
      <c r="BN295" s="3">
        <v>0</v>
      </c>
      <c r="BP295" s="3"/>
      <c r="BQ295" s="3"/>
      <c r="BS295" s="43"/>
      <c r="BT295" s="43">
        <v>0</v>
      </c>
      <c r="BU295" s="1037"/>
      <c r="BV295" s="42"/>
      <c r="BW295" s="43"/>
      <c r="BX295" s="37"/>
      <c r="BY295" s="78"/>
      <c r="BZ295" s="43">
        <v>0</v>
      </c>
      <c r="CA295" s="1038"/>
      <c r="CB295" s="42"/>
      <c r="CC295" s="42">
        <v>0</v>
      </c>
      <c r="CD295" s="1039"/>
      <c r="CE295" s="78">
        <v>0</v>
      </c>
      <c r="CF295" s="56"/>
      <c r="CG295" s="42">
        <v>0</v>
      </c>
      <c r="CH295" s="39">
        <v>0</v>
      </c>
      <c r="CI295" s="78">
        <v>0</v>
      </c>
      <c r="CJ295" s="56"/>
      <c r="CK295" s="1034"/>
      <c r="CL295" s="1029"/>
      <c r="CM295" s="1034"/>
      <c r="CN295" s="1029">
        <v>0</v>
      </c>
      <c r="CO295" s="78">
        <v>195.10050848844696</v>
      </c>
      <c r="CP295" s="43">
        <v>0</v>
      </c>
      <c r="CQ295" s="1045"/>
      <c r="CR295" s="78">
        <v>306.55482930182978</v>
      </c>
      <c r="CS295" s="1033">
        <v>0</v>
      </c>
      <c r="CT295" s="5"/>
      <c r="CU295" s="78">
        <v>232.97882065928599</v>
      </c>
      <c r="CV295" s="43">
        <v>0</v>
      </c>
      <c r="CW295" s="5"/>
      <c r="CX295" s="78">
        <v>0</v>
      </c>
      <c r="CY295" s="43">
        <v>0</v>
      </c>
      <c r="CZ295" s="5"/>
      <c r="DA295" s="78">
        <v>0</v>
      </c>
      <c r="DB295" s="43">
        <v>0</v>
      </c>
      <c r="DC295" s="5"/>
      <c r="DD295" s="78">
        <v>121.44823199730912</v>
      </c>
      <c r="DE295" s="43">
        <v>0</v>
      </c>
      <c r="DF295" s="5"/>
      <c r="DG295" s="78">
        <v>0</v>
      </c>
      <c r="DH295" s="43"/>
      <c r="DI295" s="5"/>
      <c r="DJ295" s="43">
        <v>856.08239044687184</v>
      </c>
      <c r="DK295" s="43">
        <f t="shared" si="38"/>
        <v>0</v>
      </c>
      <c r="DL295" s="59">
        <f t="shared" si="39"/>
        <v>-856.08239044687184</v>
      </c>
    </row>
    <row r="296" spans="1:116" ht="24.9" customHeight="1" x14ac:dyDescent="0.3">
      <c r="A296" s="328">
        <v>150000809</v>
      </c>
      <c r="B296" s="45" t="s">
        <v>299</v>
      </c>
      <c r="C296" s="1035">
        <v>5</v>
      </c>
      <c r="D296" s="1036" t="s">
        <v>454</v>
      </c>
      <c r="E296" s="1028">
        <f>'побудинковий звіт'!E294</f>
        <v>2200.8000000000002</v>
      </c>
      <c r="F296" s="1029">
        <f>'побудинковий звіт'!AS294</f>
        <v>36876.090533898852</v>
      </c>
      <c r="G296" s="1029">
        <f t="shared" si="32"/>
        <v>7395</v>
      </c>
      <c r="H296" s="1029">
        <f t="shared" si="33"/>
        <v>-29481.090533898852</v>
      </c>
      <c r="I296" s="43">
        <f>'[1]поточний ремонт'!I296+'[2]поточний ремонт'!I296-'[3]поточний ремонт'!I296</f>
        <v>2.4</v>
      </c>
      <c r="J296" s="43">
        <f>'[1]поточний ремонт'!J296+'[2]поточний ремонт'!J296-'[3]поточний ремонт'!J296</f>
        <v>4009</v>
      </c>
      <c r="K296" s="1037"/>
      <c r="L296" s="43">
        <f>'[1]поточний ремонт'!L296+'[2]поточний ремонт'!L296-'[3]поточний ремонт'!L296</f>
        <v>0</v>
      </c>
      <c r="M296" s="43">
        <f>'[1]поточний ремонт'!M296+'[2]поточний ремонт'!M296-'[3]поточний ремонт'!M296</f>
        <v>0</v>
      </c>
      <c r="N296" s="37"/>
      <c r="O296" s="43">
        <f>'[1]поточний ремонт'!O296+'[2]поточний ремонт'!O296-'[3]поточний ремонт'!O296</f>
        <v>0</v>
      </c>
      <c r="P296" s="43">
        <f>'[1]поточний ремонт'!P296+'[2]поточний ремонт'!P296-'[3]поточний ремонт'!P296</f>
        <v>0</v>
      </c>
      <c r="Q296" s="1038"/>
      <c r="R296" s="43">
        <f>'[1]поточний ремонт'!R296+'[2]поточний ремонт'!R296-'[3]поточний ремонт'!R296</f>
        <v>0</v>
      </c>
      <c r="S296" s="43">
        <f>'[1]поточний ремонт'!S296+'[2]поточний ремонт'!S296-'[3]поточний ремонт'!S296</f>
        <v>0</v>
      </c>
      <c r="T296" s="1039"/>
      <c r="U296" s="43">
        <f>'[1]поточний ремонт'!U296+'[2]поточний ремонт'!U296-'[3]поточний ремонт'!U296</f>
        <v>0</v>
      </c>
      <c r="V296" s="43">
        <f>'[1]поточний ремонт'!V296+'[2]поточний ремонт'!V296-'[3]поточний ремонт'!V296</f>
        <v>0</v>
      </c>
      <c r="W296" s="43">
        <f>'[1]поточний ремонт'!W296+'[2]поточний ремонт'!W296-'[3]поточний ремонт'!W296</f>
        <v>0</v>
      </c>
      <c r="X296" s="43">
        <f>'[1]поточний ремонт'!X296+'[2]поточний ремонт'!X296-'[3]поточний ремонт'!X296</f>
        <v>0</v>
      </c>
      <c r="Y296" s="43">
        <f>'[1]поточний ремонт'!Y296+'[2]поточний ремонт'!Y296-'[3]поточний ремонт'!Y296</f>
        <v>3386</v>
      </c>
      <c r="Z296" s="43">
        <f>'[1]поточний ремонт'!Z296+'[2]поточний ремонт'!Z296-'[3]поточний ремонт'!Z296</f>
        <v>0</v>
      </c>
      <c r="AA296" s="43">
        <f>'[1]поточний ремонт'!AA296+'[2]поточний ремонт'!AA296-'[3]поточний ремонт'!AA296</f>
        <v>0</v>
      </c>
      <c r="AB296" s="43">
        <f>'[1]поточний ремонт'!AB296+'[2]поточний ремонт'!AB296-'[3]поточний ремонт'!AB296</f>
        <v>0</v>
      </c>
      <c r="AC296" s="43">
        <f>'[1]поточний ремонт'!AC296+'[2]поточний ремонт'!AC296-'[3]поточний ремонт'!AC296</f>
        <v>0</v>
      </c>
      <c r="AD296" s="43">
        <f>'[1]поточний ремонт'!AD296+'[2]поточний ремонт'!AD296-'[3]поточний ремонт'!AD296</f>
        <v>0</v>
      </c>
      <c r="AE296" s="43">
        <f>'[1]поточний ремонт'!AE296+'[2]поточний ремонт'!AE296-'[3]поточний ремонт'!AE296</f>
        <v>1405.9648922256026</v>
      </c>
      <c r="AF296" s="43">
        <f>'[1]поточний ремонт'!AF296+'[2]поточний ремонт'!AF296-'[3]поточний ремонт'!AF296</f>
        <v>0</v>
      </c>
      <c r="AG296" s="5"/>
      <c r="AH296" s="43">
        <f>'[1]поточний ремонт'!AH296+'[2]поточний ремонт'!AH296-'[3]поточний ремонт'!AH296</f>
        <v>1981.4161977577769</v>
      </c>
      <c r="AI296" s="43">
        <f>'[1]поточний ремонт'!AI296+'[2]поточний ремонт'!AI296-'[3]поточний ремонт'!AI296</f>
        <v>3061</v>
      </c>
      <c r="AJ296" s="5"/>
      <c r="AK296" s="43">
        <f>'[1]поточний ремонт'!AK296+'[2]поточний ремонт'!AK296-'[3]поточний ремонт'!AK296</f>
        <v>1767.8746577982552</v>
      </c>
      <c r="AL296" s="43">
        <f>'[1]поточний ремонт'!AL296+'[2]поточний ремонт'!AL296-'[3]поточний ремонт'!AL296</f>
        <v>0</v>
      </c>
      <c r="AM296" s="5"/>
      <c r="AN296" s="43">
        <f>'[1]поточний ремонт'!AN296+'[2]поточний ремонт'!AN296-'[3]поточний ремонт'!AN296</f>
        <v>0</v>
      </c>
      <c r="AO296" s="43">
        <f>'[1]поточний ремонт'!AO296+'[2]поточний ремонт'!AO296-'[3]поточний ремонт'!AO296</f>
        <v>0</v>
      </c>
      <c r="AP296" s="5"/>
      <c r="AQ296" s="43">
        <f>'[1]поточний ремонт'!AQ296+'[2]поточний ремонт'!AQ296-'[3]поточний ремонт'!AQ296</f>
        <v>0</v>
      </c>
      <c r="AR296" s="43">
        <f>'[1]поточний ремонт'!AR296+'[2]поточний ремонт'!AR296-'[3]поточний ремонт'!AR296</f>
        <v>0</v>
      </c>
      <c r="AS296" s="5"/>
      <c r="AT296" s="43">
        <f>'[1]поточний ремонт'!AT296+'[2]поточний ремонт'!AT296-'[3]поточний ремонт'!AT296</f>
        <v>664.47614255436054</v>
      </c>
      <c r="AU296" s="43">
        <f>'[1]поточний ремонт'!AU296+'[2]поточний ремонт'!AU296-'[3]поточний ремонт'!AU296</f>
        <v>0</v>
      </c>
      <c r="AV296" s="5"/>
      <c r="AW296" s="43">
        <f>'[1]поточний ремонт'!AW296+'[2]поточний ремонт'!AW296-'[3]поточний ремонт'!AW296</f>
        <v>0</v>
      </c>
      <c r="AX296" s="43">
        <f>'[1]поточний ремонт'!AX296+'[2]поточний ремонт'!AX296-'[3]поточний ремонт'!AX296</f>
        <v>0</v>
      </c>
      <c r="AY296" s="5"/>
      <c r="AZ296" s="43">
        <f t="shared" si="34"/>
        <v>5819.7318903359956</v>
      </c>
      <c r="BA296" s="43">
        <f t="shared" si="35"/>
        <v>3061</v>
      </c>
      <c r="BB296" s="59">
        <f t="shared" si="36"/>
        <v>-2758.7318903359956</v>
      </c>
      <c r="BD296" s="2">
        <v>2</v>
      </c>
      <c r="BF296" s="30">
        <v>3.7320239455370414</v>
      </c>
      <c r="BG296" s="328">
        <v>150000809</v>
      </c>
      <c r="BI296" s="107">
        <v>0</v>
      </c>
      <c r="BJ296" s="107">
        <f t="shared" si="37"/>
        <v>0</v>
      </c>
      <c r="BK296" s="107">
        <v>0</v>
      </c>
      <c r="BL296" s="39"/>
      <c r="BM296" s="3"/>
      <c r="BN296" s="3">
        <v>0</v>
      </c>
      <c r="BP296" s="3"/>
      <c r="BQ296" s="3"/>
      <c r="BS296" s="43"/>
      <c r="BT296" s="43">
        <v>0</v>
      </c>
      <c r="BU296" s="1037"/>
      <c r="BV296" s="42"/>
      <c r="BW296" s="43"/>
      <c r="BX296" s="37"/>
      <c r="BY296" s="78"/>
      <c r="BZ296" s="43">
        <v>0</v>
      </c>
      <c r="CA296" s="1038"/>
      <c r="CB296" s="42"/>
      <c r="CC296" s="42">
        <v>0</v>
      </c>
      <c r="CD296" s="1039"/>
      <c r="CE296" s="78">
        <v>0</v>
      </c>
      <c r="CF296" s="56"/>
      <c r="CG296" s="42">
        <v>0</v>
      </c>
      <c r="CH296" s="39">
        <v>0</v>
      </c>
      <c r="CI296" s="78">
        <v>586.36136894073627</v>
      </c>
      <c r="CJ296" s="56"/>
      <c r="CK296" s="1034"/>
      <c r="CL296" s="1029"/>
      <c r="CM296" s="1034"/>
      <c r="CN296" s="1029">
        <v>0</v>
      </c>
      <c r="CO296" s="78">
        <v>117.16374101880021</v>
      </c>
      <c r="CP296" s="43">
        <v>0</v>
      </c>
      <c r="CQ296" s="5"/>
      <c r="CR296" s="78">
        <v>165.11801647981474</v>
      </c>
      <c r="CS296" s="1033">
        <v>0</v>
      </c>
      <c r="CT296" s="5"/>
      <c r="CU296" s="78">
        <v>147.32288814985458</v>
      </c>
      <c r="CV296" s="43">
        <v>0</v>
      </c>
      <c r="CW296" s="5"/>
      <c r="CX296" s="78">
        <v>0</v>
      </c>
      <c r="CY296" s="43">
        <v>0</v>
      </c>
      <c r="CZ296" s="5"/>
      <c r="DA296" s="78">
        <v>0</v>
      </c>
      <c r="DB296" s="43">
        <v>0</v>
      </c>
      <c r="DC296" s="5"/>
      <c r="DD296" s="78">
        <v>55.37301187953004</v>
      </c>
      <c r="DE296" s="43">
        <v>0</v>
      </c>
      <c r="DF296" s="5"/>
      <c r="DG296" s="78">
        <v>0</v>
      </c>
      <c r="DH296" s="43"/>
      <c r="DI296" s="5"/>
      <c r="DJ296" s="43">
        <v>484.97765752799961</v>
      </c>
      <c r="DK296" s="43">
        <f t="shared" si="38"/>
        <v>0</v>
      </c>
      <c r="DL296" s="59">
        <f t="shared" si="39"/>
        <v>-484.97765752799961</v>
      </c>
    </row>
    <row r="297" spans="1:116" ht="24.9" customHeight="1" x14ac:dyDescent="0.3">
      <c r="A297" s="328">
        <v>150000810</v>
      </c>
      <c r="B297" s="45" t="s">
        <v>300</v>
      </c>
      <c r="C297" s="1035">
        <v>5</v>
      </c>
      <c r="D297" s="1036" t="s">
        <v>454</v>
      </c>
      <c r="E297" s="1028">
        <f>'побудинковий звіт'!E295</f>
        <v>4893.4000000000005</v>
      </c>
      <c r="F297" s="1029">
        <f>'побудинковий звіт'!AS295</f>
        <v>33861.412797721299</v>
      </c>
      <c r="G297" s="1029">
        <f t="shared" si="32"/>
        <v>1901.118616360998</v>
      </c>
      <c r="H297" s="1029">
        <f t="shared" si="33"/>
        <v>-31960.294181360303</v>
      </c>
      <c r="I297" s="43">
        <f>'[1]поточний ремонт'!I297+'[2]поточний ремонт'!I297-'[3]поточний ремонт'!I297</f>
        <v>1</v>
      </c>
      <c r="J297" s="43">
        <f>'[1]поточний ремонт'!J297+'[2]поточний ремонт'!J297-'[3]поточний ремонт'!J297</f>
        <v>415</v>
      </c>
      <c r="K297" s="1037"/>
      <c r="L297" s="43">
        <f>'[1]поточний ремонт'!L297+'[2]поточний ремонт'!L297-'[3]поточний ремонт'!L297</f>
        <v>0</v>
      </c>
      <c r="M297" s="43">
        <f>'[1]поточний ремонт'!M297+'[2]поточний ремонт'!M297-'[3]поточний ремонт'!M297</f>
        <v>0</v>
      </c>
      <c r="N297" s="37"/>
      <c r="O297" s="43">
        <f>'[1]поточний ремонт'!O297+'[2]поточний ремонт'!O297-'[3]поточний ремонт'!O297</f>
        <v>0</v>
      </c>
      <c r="P297" s="43">
        <f>'[1]поточний ремонт'!P297+'[2]поточний ремонт'!P297-'[3]поточний ремонт'!P297</f>
        <v>0</v>
      </c>
      <c r="Q297" s="1038"/>
      <c r="R297" s="43">
        <f>'[1]поточний ремонт'!R297+'[2]поточний ремонт'!R297-'[3]поточний ремонт'!R297</f>
        <v>0</v>
      </c>
      <c r="S297" s="43">
        <f>'[1]поточний ремонт'!S297+'[2]поточний ремонт'!S297-'[3]поточний ремонт'!S297</f>
        <v>0</v>
      </c>
      <c r="T297" s="1039"/>
      <c r="U297" s="43">
        <f>'[1]поточний ремонт'!U297+'[2]поточний ремонт'!U297-'[3]поточний ремонт'!U297</f>
        <v>0</v>
      </c>
      <c r="V297" s="43">
        <f>'[1]поточний ремонт'!V297+'[2]поточний ремонт'!V297-'[3]поточний ремонт'!V297</f>
        <v>0</v>
      </c>
      <c r="W297" s="43">
        <f>'[1]поточний ремонт'!W297+'[2]поточний ремонт'!W297-'[3]поточний ремонт'!W297</f>
        <v>0</v>
      </c>
      <c r="X297" s="43">
        <f>'[1]поточний ремонт'!X297+'[2]поточний ремонт'!X297-'[3]поточний ремонт'!X297</f>
        <v>340.11861636099798</v>
      </c>
      <c r="Y297" s="43">
        <f>'[1]поточний ремонт'!Y297+'[2]поточний ремонт'!Y297-'[3]поточний ремонт'!Y297</f>
        <v>1146</v>
      </c>
      <c r="Z297" s="43">
        <f>'[1]поточний ремонт'!Z297+'[2]поточний ремонт'!Z297-'[3]поточний ремонт'!Z297</f>
        <v>0</v>
      </c>
      <c r="AA297" s="43">
        <f>'[1]поточний ремонт'!AA297+'[2]поточний ремонт'!AA297-'[3]поточний ремонт'!AA297</f>
        <v>0</v>
      </c>
      <c r="AB297" s="43">
        <f>'[1]поточний ремонт'!AB297+'[2]поточний ремонт'!AB297-'[3]поточний ремонт'!AB297</f>
        <v>0</v>
      </c>
      <c r="AC297" s="43">
        <f>'[1]поточний ремонт'!AC297+'[2]поточний ремонт'!AC297-'[3]поточний ремонт'!AC297</f>
        <v>0</v>
      </c>
      <c r="AD297" s="43">
        <f>'[1]поточний ремонт'!AD297+'[2]поточний ремонт'!AD297-'[3]поточний ремонт'!AD297</f>
        <v>0</v>
      </c>
      <c r="AE297" s="43">
        <f>'[1]поточний ремонт'!AE297+'[2]поточний ремонт'!AE297-'[3]поточний ремонт'!AE297</f>
        <v>1611.6447012401443</v>
      </c>
      <c r="AF297" s="43">
        <f>'[1]поточний ремонт'!AF297+'[2]поточний ремонт'!AF297-'[3]поточний ремонт'!AF297</f>
        <v>0</v>
      </c>
      <c r="AG297" s="5"/>
      <c r="AH297" s="43">
        <f>'[1]поточний ремонт'!AH297+'[2]поточний ремонт'!AH297-'[3]поточний ремонт'!AH297</f>
        <v>2547.2603672051073</v>
      </c>
      <c r="AI297" s="43">
        <f>'[1]поточний ремонт'!AI297+'[2]поточний ремонт'!AI297-'[3]поточний ремонт'!AI297</f>
        <v>0</v>
      </c>
      <c r="AJ297" s="5"/>
      <c r="AK297" s="43">
        <f>'[1]поточний ремонт'!AK297+'[2]поточний ремонт'!AK297-'[3]поточний ремонт'!AK297</f>
        <v>1679.1683726037834</v>
      </c>
      <c r="AL297" s="43">
        <f>'[1]поточний ремонт'!AL297+'[2]поточний ремонт'!AL297-'[3]поточний ремонт'!AL297</f>
        <v>0</v>
      </c>
      <c r="AM297" s="5"/>
      <c r="AN297" s="43">
        <f>'[1]поточний ремонт'!AN297+'[2]поточний ремонт'!AN297-'[3]поточний ремонт'!AN297</f>
        <v>0</v>
      </c>
      <c r="AO297" s="43">
        <f>'[1]поточний ремонт'!AO297+'[2]поточний ремонт'!AO297-'[3]поточний ремонт'!AO297</f>
        <v>0</v>
      </c>
      <c r="AP297" s="5"/>
      <c r="AQ297" s="43">
        <f>'[1]поточний ремонт'!AQ297+'[2]поточний ремонт'!AQ297-'[3]поточний ремонт'!AQ297</f>
        <v>0</v>
      </c>
      <c r="AR297" s="43">
        <f>'[1]поточний ремонт'!AR297+'[2]поточний ремонт'!AR297-'[3]поточний ремонт'!AR297</f>
        <v>0</v>
      </c>
      <c r="AS297" s="5"/>
      <c r="AT297" s="43">
        <f>'[1]поточний ремонт'!AT297+'[2]поточний ремонт'!AT297-'[3]поточний ремонт'!AT297</f>
        <v>917.10405527719467</v>
      </c>
      <c r="AU297" s="43">
        <f>'[1]поточний ремонт'!AU297+'[2]поточний ремонт'!AU297-'[3]поточний ремонт'!AU297</f>
        <v>460</v>
      </c>
      <c r="AV297" s="5"/>
      <c r="AW297" s="43">
        <f>'[1]поточний ремонт'!AW297+'[2]поточний ремонт'!AW297-'[3]поточний ремонт'!AW297</f>
        <v>0</v>
      </c>
      <c r="AX297" s="43">
        <f>'[1]поточний ремонт'!AX297+'[2]поточний ремонт'!AX297-'[3]поточний ремонт'!AX297</f>
        <v>0</v>
      </c>
      <c r="AY297" s="5"/>
      <c r="AZ297" s="43">
        <f t="shared" si="34"/>
        <v>6755.1774963262296</v>
      </c>
      <c r="BA297" s="43">
        <f t="shared" si="35"/>
        <v>460</v>
      </c>
      <c r="BB297" s="59">
        <f t="shared" si="36"/>
        <v>-6295.1774963262296</v>
      </c>
      <c r="BD297" s="2">
        <v>2</v>
      </c>
      <c r="BF297" s="30">
        <v>4.3804397371076309</v>
      </c>
      <c r="BG297" s="328">
        <v>150000810</v>
      </c>
      <c r="BI297" s="107">
        <v>25.38</v>
      </c>
      <c r="BJ297" s="107">
        <f t="shared" si="37"/>
        <v>3.5700066359999996</v>
      </c>
      <c r="BK297" s="107">
        <v>29.270393502479997</v>
      </c>
      <c r="BL297" s="39"/>
      <c r="BM297" s="3"/>
      <c r="BN297" s="3">
        <v>0</v>
      </c>
      <c r="BP297" s="3"/>
      <c r="BQ297" s="3"/>
      <c r="BS297" s="43"/>
      <c r="BT297" s="43">
        <v>0</v>
      </c>
      <c r="BU297" s="1037"/>
      <c r="BV297" s="42"/>
      <c r="BW297" s="43"/>
      <c r="BX297" s="37"/>
      <c r="BY297" s="78"/>
      <c r="BZ297" s="43">
        <v>0</v>
      </c>
      <c r="CA297" s="1038"/>
      <c r="CB297" s="42"/>
      <c r="CC297" s="42">
        <v>0</v>
      </c>
      <c r="CD297" s="1039"/>
      <c r="CE297" s="78">
        <v>0</v>
      </c>
      <c r="CF297" s="56"/>
      <c r="CG297" s="42">
        <v>0</v>
      </c>
      <c r="CH297" s="39">
        <v>29.270393502479997</v>
      </c>
      <c r="CI297" s="78">
        <v>0</v>
      </c>
      <c r="CJ297" s="56"/>
      <c r="CK297" s="1034"/>
      <c r="CL297" s="1029"/>
      <c r="CM297" s="1034"/>
      <c r="CN297" s="1029">
        <v>0</v>
      </c>
      <c r="CO297" s="78">
        <v>134.30372510334533</v>
      </c>
      <c r="CP297" s="43">
        <v>0</v>
      </c>
      <c r="CQ297" s="5"/>
      <c r="CR297" s="78">
        <v>212.27169726709224</v>
      </c>
      <c r="CS297" s="1033">
        <v>0</v>
      </c>
      <c r="CT297" s="5"/>
      <c r="CU297" s="78">
        <v>139.93069771698194</v>
      </c>
      <c r="CV297" s="43">
        <v>0</v>
      </c>
      <c r="CW297" s="5"/>
      <c r="CX297" s="78">
        <v>0</v>
      </c>
      <c r="CY297" s="43">
        <v>0</v>
      </c>
      <c r="CZ297" s="5"/>
      <c r="DA297" s="78">
        <v>0</v>
      </c>
      <c r="DB297" s="43">
        <v>0</v>
      </c>
      <c r="DC297" s="5"/>
      <c r="DD297" s="78">
        <v>76.425337939766223</v>
      </c>
      <c r="DE297" s="43">
        <v>0</v>
      </c>
      <c r="DF297" s="5"/>
      <c r="DG297" s="78">
        <v>0</v>
      </c>
      <c r="DH297" s="43"/>
      <c r="DI297" s="5"/>
      <c r="DJ297" s="43">
        <v>562.93145802718573</v>
      </c>
      <c r="DK297" s="43">
        <f t="shared" si="38"/>
        <v>0</v>
      </c>
      <c r="DL297" s="59">
        <f t="shared" si="39"/>
        <v>-562.93145802718573</v>
      </c>
    </row>
    <row r="298" spans="1:116" ht="24.9" customHeight="1" x14ac:dyDescent="0.3">
      <c r="A298" s="328">
        <v>150000811</v>
      </c>
      <c r="B298" s="45" t="s">
        <v>301</v>
      </c>
      <c r="C298" s="1035">
        <v>5</v>
      </c>
      <c r="D298" s="1036" t="s">
        <v>454</v>
      </c>
      <c r="E298" s="1028">
        <f>'побудинковий звіт'!E296</f>
        <v>1507</v>
      </c>
      <c r="F298" s="1029">
        <f>'побудинковий звіт'!AS296</f>
        <v>38721.135783042286</v>
      </c>
      <c r="G298" s="1029">
        <f t="shared" si="32"/>
        <v>1912.0367049895563</v>
      </c>
      <c r="H298" s="1029">
        <f t="shared" si="33"/>
        <v>-36809.099078052728</v>
      </c>
      <c r="I298" s="43">
        <f>'[1]поточний ремонт'!I298+'[2]поточний ремонт'!I298-'[3]поточний ремонт'!I298</f>
        <v>0</v>
      </c>
      <c r="J298" s="43">
        <f>'[1]поточний ремонт'!J298+'[2]поточний ремонт'!J298-'[3]поточний ремонт'!J298</f>
        <v>0</v>
      </c>
      <c r="K298" s="1037"/>
      <c r="L298" s="43">
        <f>'[1]поточний ремонт'!L298+'[2]поточний ремонт'!L298-'[3]поточний ремонт'!L298</f>
        <v>0</v>
      </c>
      <c r="M298" s="43">
        <f>'[1]поточний ремонт'!M298+'[2]поточний ремонт'!M298-'[3]поточний ремонт'!M298</f>
        <v>0</v>
      </c>
      <c r="N298" s="37"/>
      <c r="O298" s="43">
        <f>'[1]поточний ремонт'!O298+'[2]поточний ремонт'!O298-'[3]поточний ремонт'!O298</f>
        <v>0</v>
      </c>
      <c r="P298" s="43">
        <f>'[1]поточний ремонт'!P298+'[2]поточний ремонт'!P298-'[3]поточний ремонт'!P298</f>
        <v>0</v>
      </c>
      <c r="Q298" s="1038"/>
      <c r="R298" s="43">
        <f>'[1]поточний ремонт'!R298+'[2]поточний ремонт'!R298-'[3]поточний ремонт'!R298</f>
        <v>0</v>
      </c>
      <c r="S298" s="43">
        <f>'[1]поточний ремонт'!S298+'[2]поточний ремонт'!S298-'[3]поточний ремонт'!S298</f>
        <v>0</v>
      </c>
      <c r="T298" s="1039"/>
      <c r="U298" s="43">
        <f>'[1]поточний ремонт'!U298+'[2]поточний ремонт'!U298-'[3]поточний ремонт'!U298</f>
        <v>0</v>
      </c>
      <c r="V298" s="43">
        <f>'[1]поточний ремонт'!V298+'[2]поточний ремонт'!V298-'[3]поточний ремонт'!V298</f>
        <v>0</v>
      </c>
      <c r="W298" s="43">
        <f>'[1]поточний ремонт'!W298+'[2]поточний ремонт'!W298-'[3]поточний ремонт'!W298</f>
        <v>0</v>
      </c>
      <c r="X298" s="43">
        <f>'[1]поточний ремонт'!X298+'[2]поточний ремонт'!X298-'[3]поточний ремонт'!X298</f>
        <v>469.03670498955614</v>
      </c>
      <c r="Y298" s="43">
        <f>'[1]поточний ремонт'!Y298+'[2]поточний ремонт'!Y298-'[3]поточний ремонт'!Y298</f>
        <v>0</v>
      </c>
      <c r="Z298" s="43">
        <f>'[1]поточний ремонт'!Z298+'[2]поточний ремонт'!Z298-'[3]поточний ремонт'!Z298</f>
        <v>0</v>
      </c>
      <c r="AA298" s="43">
        <f>'[1]поточний ремонт'!AA298+'[2]поточний ремонт'!AA298-'[3]поточний ремонт'!AA298</f>
        <v>0</v>
      </c>
      <c r="AB298" s="43">
        <f>'[1]поточний ремонт'!AB298+'[2]поточний ремонт'!AB298-'[3]поточний ремонт'!AB298</f>
        <v>0</v>
      </c>
      <c r="AC298" s="43">
        <f>'[1]поточний ремонт'!AC298+'[2]поточний ремонт'!AC298-'[3]поточний ремонт'!AC298</f>
        <v>0</v>
      </c>
      <c r="AD298" s="43">
        <f>'[1]поточний ремонт'!AD298+'[2]поточний ремонт'!AD298-'[3]поточний ремонт'!AD298</f>
        <v>1443</v>
      </c>
      <c r="AE298" s="43">
        <f>'[1]поточний ремонт'!AE298+'[2]поточний ремонт'!AE298-'[3]поточний ремонт'!AE298</f>
        <v>1465.5743256567923</v>
      </c>
      <c r="AF298" s="43">
        <f>'[1]поточний ремонт'!AF298+'[2]поточний ремонт'!AF298-'[3]поточний ремонт'!AF298</f>
        <v>0</v>
      </c>
      <c r="AG298" s="5"/>
      <c r="AH298" s="43">
        <f>'[1]поточний ремонт'!AH298+'[2]поточний ремонт'!AH298-'[3]поточний ремонт'!AH298</f>
        <v>1994.8763517874106</v>
      </c>
      <c r="AI298" s="43">
        <f>'[1]поточний ремонт'!AI298+'[2]поточний ремонт'!AI298-'[3]поточний ремонт'!AI298</f>
        <v>0</v>
      </c>
      <c r="AJ298" s="5"/>
      <c r="AK298" s="43">
        <f>'[1]поточний ремонт'!AK298+'[2]поточний ремонт'!AK298-'[3]поточний ремонт'!AK298</f>
        <v>1973.147644759455</v>
      </c>
      <c r="AL298" s="43">
        <f>'[1]поточний ремонт'!AL298+'[2]поточний ремонт'!AL298-'[3]поточний ремонт'!AL298</f>
        <v>0</v>
      </c>
      <c r="AM298" s="5"/>
      <c r="AN298" s="43">
        <f>'[1]поточний ремонт'!AN298+'[2]поточний ремонт'!AN298-'[3]поточний ремонт'!AN298</f>
        <v>0</v>
      </c>
      <c r="AO298" s="43">
        <f>'[1]поточний ремонт'!AO298+'[2]поточний ремонт'!AO298-'[3]поточний ремонт'!AO298</f>
        <v>0</v>
      </c>
      <c r="AP298" s="5"/>
      <c r="AQ298" s="43">
        <f>'[1]поточний ремонт'!AQ298+'[2]поточний ремонт'!AQ298-'[3]поточний ремонт'!AQ298</f>
        <v>0</v>
      </c>
      <c r="AR298" s="43">
        <f>'[1]поточний ремонт'!AR298+'[2]поточний ремонт'!AR298-'[3]поточний ремонт'!AR298</f>
        <v>0</v>
      </c>
      <c r="AS298" s="5"/>
      <c r="AT298" s="43">
        <f>'[1]поточний ремонт'!AT298+'[2]поточний ремонт'!AT298-'[3]поточний ремонт'!AT298</f>
        <v>706.39549299709142</v>
      </c>
      <c r="AU298" s="43">
        <f>'[1]поточний ремонт'!AU298+'[2]поточний ремонт'!AU298-'[3]поточний ремонт'!AU298</f>
        <v>5868</v>
      </c>
      <c r="AV298" s="5"/>
      <c r="AW298" s="43">
        <f>'[1]поточний ремонт'!AW298+'[2]поточний ремонт'!AW298-'[3]поточний ремонт'!AW298</f>
        <v>0</v>
      </c>
      <c r="AX298" s="43">
        <f>'[1]поточний ремонт'!AX298+'[2]поточний ремонт'!AX298-'[3]поточний ремонт'!AX298</f>
        <v>0</v>
      </c>
      <c r="AY298" s="5"/>
      <c r="AZ298" s="43">
        <f t="shared" si="34"/>
        <v>6139.9938152007489</v>
      </c>
      <c r="BA298" s="43">
        <f t="shared" si="35"/>
        <v>5868</v>
      </c>
      <c r="BB298" s="59">
        <f t="shared" si="36"/>
        <v>-271.99381520074894</v>
      </c>
      <c r="BD298" s="2">
        <v>2</v>
      </c>
      <c r="BF298" s="30">
        <v>3.7971649395770202</v>
      </c>
      <c r="BG298" s="328">
        <v>150000811</v>
      </c>
      <c r="BI298" s="107">
        <v>35</v>
      </c>
      <c r="BJ298" s="107">
        <f t="shared" si="37"/>
        <v>4.9231769999999999</v>
      </c>
      <c r="BK298" s="107">
        <v>40.365002859999997</v>
      </c>
      <c r="BL298" s="39"/>
      <c r="BM298" s="3"/>
      <c r="BN298" s="3">
        <v>0</v>
      </c>
      <c r="BP298" s="3"/>
      <c r="BQ298" s="3"/>
      <c r="BS298" s="43"/>
      <c r="BT298" s="43">
        <v>0</v>
      </c>
      <c r="BU298" s="1037"/>
      <c r="BV298" s="42"/>
      <c r="BW298" s="43"/>
      <c r="BX298" s="37"/>
      <c r="BY298" s="78"/>
      <c r="BZ298" s="43">
        <v>0</v>
      </c>
      <c r="CA298" s="1038"/>
      <c r="CB298" s="42"/>
      <c r="CC298" s="42">
        <v>0</v>
      </c>
      <c r="CD298" s="1039"/>
      <c r="CE298" s="78">
        <v>0</v>
      </c>
      <c r="CF298" s="56"/>
      <c r="CG298" s="42">
        <v>0</v>
      </c>
      <c r="CH298" s="39">
        <v>40.365002859999997</v>
      </c>
      <c r="CI298" s="78">
        <v>0</v>
      </c>
      <c r="CJ298" s="56"/>
      <c r="CK298" s="1034"/>
      <c r="CL298" s="1029"/>
      <c r="CM298" s="1034"/>
      <c r="CN298" s="1029">
        <v>0</v>
      </c>
      <c r="CO298" s="78">
        <v>122.1311938047327</v>
      </c>
      <c r="CP298" s="43">
        <v>0</v>
      </c>
      <c r="CQ298" s="5"/>
      <c r="CR298" s="78">
        <v>166.23969598228419</v>
      </c>
      <c r="CS298" s="1033">
        <v>0</v>
      </c>
      <c r="CT298" s="5"/>
      <c r="CU298" s="78">
        <v>164.42897039662125</v>
      </c>
      <c r="CV298" s="43">
        <v>0</v>
      </c>
      <c r="CW298" s="5"/>
      <c r="CX298" s="78">
        <v>0</v>
      </c>
      <c r="CY298" s="43">
        <v>0</v>
      </c>
      <c r="CZ298" s="5"/>
      <c r="DA298" s="78">
        <v>0</v>
      </c>
      <c r="DB298" s="43">
        <v>0</v>
      </c>
      <c r="DC298" s="5"/>
      <c r="DD298" s="78">
        <v>58.866291083090957</v>
      </c>
      <c r="DE298" s="43">
        <v>0</v>
      </c>
      <c r="DF298" s="5"/>
      <c r="DG298" s="78">
        <v>0</v>
      </c>
      <c r="DH298" s="43"/>
      <c r="DI298" s="5"/>
      <c r="DJ298" s="43">
        <v>511.66615126672912</v>
      </c>
      <c r="DK298" s="43">
        <f t="shared" si="38"/>
        <v>0</v>
      </c>
      <c r="DL298" s="59">
        <f t="shared" si="39"/>
        <v>-511.66615126672912</v>
      </c>
    </row>
    <row r="299" spans="1:116" ht="24.9" customHeight="1" x14ac:dyDescent="0.3">
      <c r="A299" s="328">
        <v>150000812</v>
      </c>
      <c r="B299" s="45" t="s">
        <v>302</v>
      </c>
      <c r="C299" s="1035">
        <v>5</v>
      </c>
      <c r="D299" s="1036" t="s">
        <v>454</v>
      </c>
      <c r="E299" s="1028">
        <f>'побудинковий звіт'!E297</f>
        <v>4422.7</v>
      </c>
      <c r="F299" s="1029">
        <f>'побудинковий звіт'!AS297</f>
        <v>27254.670527671093</v>
      </c>
      <c r="G299" s="1029">
        <f t="shared" si="32"/>
        <v>695</v>
      </c>
      <c r="H299" s="1029">
        <f t="shared" si="33"/>
        <v>-26559.670527671093</v>
      </c>
      <c r="I299" s="43">
        <f>'[1]поточний ремонт'!I299+'[2]поточний ремонт'!I299-'[3]поточний ремонт'!I299</f>
        <v>0</v>
      </c>
      <c r="J299" s="43">
        <f>'[1]поточний ремонт'!J299+'[2]поточний ремонт'!J299-'[3]поточний ремонт'!J299</f>
        <v>0</v>
      </c>
      <c r="K299" s="1041"/>
      <c r="L299" s="43">
        <f>'[1]поточний ремонт'!L299+'[2]поточний ремонт'!L299-'[3]поточний ремонт'!L299</f>
        <v>0</v>
      </c>
      <c r="M299" s="43">
        <f>'[1]поточний ремонт'!M299+'[2]поточний ремонт'!M299-'[3]поточний ремонт'!M299</f>
        <v>0</v>
      </c>
      <c r="N299" s="1039"/>
      <c r="O299" s="43">
        <f>'[1]поточний ремонт'!O299+'[2]поточний ремонт'!O299-'[3]поточний ремонт'!O299</f>
        <v>0</v>
      </c>
      <c r="P299" s="43">
        <f>'[1]поточний ремонт'!P299+'[2]поточний ремонт'!P299-'[3]поточний ремонт'!P299</f>
        <v>0</v>
      </c>
      <c r="Q299" s="1038"/>
      <c r="R299" s="43">
        <f>'[1]поточний ремонт'!R299+'[2]поточний ремонт'!R299-'[3]поточний ремонт'!R299</f>
        <v>0</v>
      </c>
      <c r="S299" s="43">
        <f>'[1]поточний ремонт'!S299+'[2]поточний ремонт'!S299-'[3]поточний ремонт'!S299</f>
        <v>0</v>
      </c>
      <c r="T299" s="1039"/>
      <c r="U299" s="43">
        <f>'[1]поточний ремонт'!U299+'[2]поточний ремонт'!U299-'[3]поточний ремонт'!U299</f>
        <v>0</v>
      </c>
      <c r="V299" s="43">
        <f>'[1]поточний ремонт'!V299+'[2]поточний ремонт'!V299-'[3]поточний ремонт'!V299</f>
        <v>0</v>
      </c>
      <c r="W299" s="43">
        <f>'[1]поточний ремонт'!W299+'[2]поточний ремонт'!W299-'[3]поточний ремонт'!W299</f>
        <v>2.4</v>
      </c>
      <c r="X299" s="43">
        <f>'[1]поточний ремонт'!X299+'[2]поточний ремонт'!X299-'[3]поточний ремонт'!X299</f>
        <v>208</v>
      </c>
      <c r="Y299" s="43">
        <f>'[1]поточний ремонт'!Y299+'[2]поточний ремонт'!Y299-'[3]поточний ремонт'!Y299</f>
        <v>227</v>
      </c>
      <c r="Z299" s="43">
        <f>'[1]поточний ремонт'!Z299+'[2]поточний ремонт'!Z299-'[3]поточний ремонт'!Z299</f>
        <v>0</v>
      </c>
      <c r="AA299" s="43">
        <f>'[1]поточний ремонт'!AA299+'[2]поточний ремонт'!AA299-'[3]поточний ремонт'!AA299</f>
        <v>0</v>
      </c>
      <c r="AB299" s="43">
        <f>'[1]поточний ремонт'!AB299+'[2]поточний ремонт'!AB299-'[3]поточний ремонт'!AB299</f>
        <v>0</v>
      </c>
      <c r="AC299" s="43">
        <f>'[1]поточний ремонт'!AC299+'[2]поточний ремонт'!AC299-'[3]поточний ремонт'!AC299</f>
        <v>181</v>
      </c>
      <c r="AD299" s="43">
        <f>'[1]поточний ремонт'!AD299+'[2]поточний ремонт'!AD299-'[3]поточний ремонт'!AD299</f>
        <v>79</v>
      </c>
      <c r="AE299" s="43">
        <f>'[1]поточний ремонт'!AE299+'[2]поточний ремонт'!AE299-'[3]поточний ремонт'!AE299</f>
        <v>1079.5151822299279</v>
      </c>
      <c r="AF299" s="43">
        <f>'[1]поточний ремонт'!AF299+'[2]поточний ремонт'!AF299-'[3]поточний ремонт'!AF299</f>
        <v>0</v>
      </c>
      <c r="AG299" s="5"/>
      <c r="AH299" s="43">
        <f>'[1]поточний ремонт'!AH299+'[2]поточний ремонт'!AH299-'[3]поточний ремонт'!AH299</f>
        <v>1499.1289154498384</v>
      </c>
      <c r="AI299" s="43">
        <f>'[1]поточний ремонт'!AI299+'[2]поточний ремонт'!AI299-'[3]поточний ремонт'!AI299</f>
        <v>982</v>
      </c>
      <c r="AJ299" s="5"/>
      <c r="AK299" s="43">
        <f>'[1]поточний ремонт'!AK299+'[2]поточний ремонт'!AK299-'[3]поточний ремонт'!AK299</f>
        <v>1922.5956799134424</v>
      </c>
      <c r="AL299" s="43">
        <f>'[1]поточний ремонт'!AL299+'[2]поточний ремонт'!AL299-'[3]поточний ремонт'!AL299</f>
        <v>0</v>
      </c>
      <c r="AM299" s="5"/>
      <c r="AN299" s="43">
        <f>'[1]поточний ремонт'!AN299+'[2]поточний ремонт'!AN299-'[3]поточний ремонт'!AN299</f>
        <v>0</v>
      </c>
      <c r="AO299" s="43">
        <f>'[1]поточний ремонт'!AO299+'[2]поточний ремонт'!AO299-'[3]поточний ремонт'!AO299</f>
        <v>0</v>
      </c>
      <c r="AP299" s="5"/>
      <c r="AQ299" s="43">
        <f>'[1]поточний ремонт'!AQ299+'[2]поточний ремонт'!AQ299-'[3]поточний ремонт'!AQ299</f>
        <v>0</v>
      </c>
      <c r="AR299" s="43">
        <f>'[1]поточний ремонт'!AR299+'[2]поточний ремонт'!AR299-'[3]поточний ремонт'!AR299</f>
        <v>0</v>
      </c>
      <c r="AS299" s="5"/>
      <c r="AT299" s="43">
        <f>'[1]поточний ремонт'!AT299+'[2]поточний ремонт'!AT299-'[3]поточний ремонт'!AT299</f>
        <v>691.70062561757595</v>
      </c>
      <c r="AU299" s="43">
        <f>'[1]поточний ремонт'!AU299+'[2]поточний ремонт'!AU299-'[3]поточний ремонт'!AU299</f>
        <v>789</v>
      </c>
      <c r="AV299" s="5"/>
      <c r="AW299" s="43">
        <f>'[1]поточний ремонт'!AW299+'[2]поточний ремонт'!AW299-'[3]поточний ремонт'!AW299</f>
        <v>0</v>
      </c>
      <c r="AX299" s="43">
        <f>'[1]поточний ремонт'!AX299+'[2]поточний ремонт'!AX299-'[3]поточний ремонт'!AX299</f>
        <v>0</v>
      </c>
      <c r="AY299" s="5"/>
      <c r="AZ299" s="43">
        <f t="shared" si="34"/>
        <v>5192.940403210785</v>
      </c>
      <c r="BA299" s="43">
        <f t="shared" si="35"/>
        <v>1771</v>
      </c>
      <c r="BB299" s="59">
        <f t="shared" si="36"/>
        <v>-3421.940403210785</v>
      </c>
      <c r="BD299" s="2">
        <v>2</v>
      </c>
      <c r="BF299" s="30">
        <v>4.4636186521429844</v>
      </c>
      <c r="BG299" s="328">
        <v>150000812</v>
      </c>
      <c r="BI299" s="107">
        <v>0</v>
      </c>
      <c r="BJ299" s="107">
        <f t="shared" si="37"/>
        <v>0</v>
      </c>
      <c r="BK299" s="107">
        <v>0</v>
      </c>
      <c r="BL299" s="39"/>
      <c r="BM299" s="3"/>
      <c r="BN299" s="3">
        <v>0</v>
      </c>
      <c r="BP299" s="3"/>
      <c r="BQ299" s="3"/>
      <c r="BS299" s="43"/>
      <c r="BT299" s="43">
        <v>0</v>
      </c>
      <c r="BU299" s="1041"/>
      <c r="BV299" s="42"/>
      <c r="BW299" s="43"/>
      <c r="BX299" s="1039"/>
      <c r="BY299" s="78"/>
      <c r="BZ299" s="43">
        <v>0</v>
      </c>
      <c r="CA299" s="1038"/>
      <c r="CB299" s="42"/>
      <c r="CC299" s="42">
        <v>0</v>
      </c>
      <c r="CD299" s="1039"/>
      <c r="CE299" s="78">
        <v>0</v>
      </c>
      <c r="CF299" s="56"/>
      <c r="CG299" s="42">
        <v>0</v>
      </c>
      <c r="CH299" s="39">
        <v>0</v>
      </c>
      <c r="CI299" s="78">
        <v>0</v>
      </c>
      <c r="CJ299" s="56"/>
      <c r="CK299" s="1034"/>
      <c r="CL299" s="1029"/>
      <c r="CM299" s="1034">
        <v>645</v>
      </c>
      <c r="CN299" s="1029">
        <v>0</v>
      </c>
      <c r="CO299" s="78">
        <v>89.959598519160679</v>
      </c>
      <c r="CP299" s="43">
        <v>0</v>
      </c>
      <c r="CQ299" s="5"/>
      <c r="CR299" s="78">
        <v>124.92740962081987</v>
      </c>
      <c r="CS299" s="1033">
        <v>0</v>
      </c>
      <c r="CT299" s="5"/>
      <c r="CU299" s="78">
        <v>160.21630665945352</v>
      </c>
      <c r="CV299" s="43">
        <v>0</v>
      </c>
      <c r="CW299" s="5"/>
      <c r="CX299" s="78">
        <v>0</v>
      </c>
      <c r="CY299" s="43">
        <v>0</v>
      </c>
      <c r="CZ299" s="5"/>
      <c r="DA299" s="78">
        <v>0</v>
      </c>
      <c r="DB299" s="43">
        <v>0</v>
      </c>
      <c r="DC299" s="5"/>
      <c r="DD299" s="78">
        <v>57.641718801464663</v>
      </c>
      <c r="DE299" s="43">
        <v>0</v>
      </c>
      <c r="DF299" s="5"/>
      <c r="DG299" s="78">
        <v>0</v>
      </c>
      <c r="DH299" s="43"/>
      <c r="DI299" s="5"/>
      <c r="DJ299" s="43">
        <v>432.74503360089875</v>
      </c>
      <c r="DK299" s="43">
        <f t="shared" si="38"/>
        <v>0</v>
      </c>
      <c r="DL299" s="59">
        <f t="shared" si="39"/>
        <v>-432.74503360089875</v>
      </c>
    </row>
    <row r="300" spans="1:116" ht="24.9" customHeight="1" x14ac:dyDescent="0.3">
      <c r="A300" s="328">
        <v>150000828</v>
      </c>
      <c r="B300" s="45" t="s">
        <v>303</v>
      </c>
      <c r="C300" s="1035">
        <v>5</v>
      </c>
      <c r="D300" s="1036" t="s">
        <v>454</v>
      </c>
      <c r="E300" s="1028">
        <f>'побудинковий звіт'!E298</f>
        <v>3203.6</v>
      </c>
      <c r="F300" s="1029">
        <f>'побудинковий звіт'!AS298</f>
        <v>39862.949284951093</v>
      </c>
      <c r="G300" s="1029">
        <f t="shared" si="32"/>
        <v>15530</v>
      </c>
      <c r="H300" s="1029">
        <f t="shared" si="33"/>
        <v>-24332.949284951093</v>
      </c>
      <c r="I300" s="43">
        <f>'[1]поточний ремонт'!I300+'[2]поточний ремонт'!I300-'[3]поточний ремонт'!I300</f>
        <v>0</v>
      </c>
      <c r="J300" s="43">
        <f>'[1]поточний ремонт'!J300+'[2]поточний ремонт'!J300-'[3]поточний ремонт'!J300</f>
        <v>3246</v>
      </c>
      <c r="K300" s="1037"/>
      <c r="L300" s="43">
        <f>'[1]поточний ремонт'!L300+'[2]поточний ремонт'!L300-'[3]поточний ремонт'!L300</f>
        <v>0</v>
      </c>
      <c r="M300" s="43">
        <f>'[1]поточний ремонт'!M300+'[2]поточний ремонт'!M300-'[3]поточний ремонт'!M300</f>
        <v>0</v>
      </c>
      <c r="N300" s="37"/>
      <c r="O300" s="43">
        <f>'[1]поточний ремонт'!O300+'[2]поточний ремонт'!O300-'[3]поточний ремонт'!O300</f>
        <v>12</v>
      </c>
      <c r="P300" s="43">
        <f>'[1]поточний ремонт'!P300+'[2]поточний ремонт'!P300-'[3]поточний ремонт'!P300</f>
        <v>4424</v>
      </c>
      <c r="Q300" s="1038"/>
      <c r="R300" s="43">
        <f>'[1]поточний ремонт'!R300+'[2]поточний ремонт'!R300-'[3]поточний ремонт'!R300</f>
        <v>0</v>
      </c>
      <c r="S300" s="43">
        <f>'[1]поточний ремонт'!S300+'[2]поточний ремонт'!S300-'[3]поточний ремонт'!S300</f>
        <v>0</v>
      </c>
      <c r="T300" s="1039"/>
      <c r="U300" s="43">
        <f>'[1]поточний ремонт'!U300+'[2]поточний ремонт'!U300-'[3]поточний ремонт'!U300</f>
        <v>0</v>
      </c>
      <c r="V300" s="43">
        <f>'[1]поточний ремонт'!V300+'[2]поточний ремонт'!V300-'[3]поточний ремонт'!V300</f>
        <v>0</v>
      </c>
      <c r="W300" s="43">
        <f>'[1]поточний ремонт'!W300+'[2]поточний ремонт'!W300-'[3]поточний ремонт'!W300</f>
        <v>6</v>
      </c>
      <c r="X300" s="43">
        <f>'[1]поточний ремонт'!X300+'[2]поточний ремонт'!X300-'[3]поточний ремонт'!X300</f>
        <v>382</v>
      </c>
      <c r="Y300" s="43">
        <f>'[1]поточний ремонт'!Y300+'[2]поточний ремонт'!Y300-'[3]поточний ремонт'!Y300</f>
        <v>0</v>
      </c>
      <c r="Z300" s="43">
        <f>'[1]поточний ремонт'!Z300+'[2]поточний ремонт'!Z300-'[3]поточний ремонт'!Z300</f>
        <v>0</v>
      </c>
      <c r="AA300" s="43">
        <f>'[1]поточний ремонт'!AA300+'[2]поточний ремонт'!AA300-'[3]поточний ремонт'!AA300</f>
        <v>0</v>
      </c>
      <c r="AB300" s="43">
        <f>'[1]поточний ремонт'!AB300+'[2]поточний ремонт'!AB300-'[3]поточний ремонт'!AB300</f>
        <v>0</v>
      </c>
      <c r="AC300" s="43">
        <f>'[1]поточний ремонт'!AC300+'[2]поточний ремонт'!AC300-'[3]поточний ремонт'!AC300</f>
        <v>3366.9999999999995</v>
      </c>
      <c r="AD300" s="43">
        <f>'[1]поточний ремонт'!AD300+'[2]поточний ремонт'!AD300-'[3]поточний ремонт'!AD300</f>
        <v>4111</v>
      </c>
      <c r="AE300" s="43">
        <f>'[1]поточний ремонт'!AE300+'[2]поточний ремонт'!AE300-'[3]поточний ремонт'!AE300</f>
        <v>1465.5743256567923</v>
      </c>
      <c r="AF300" s="43">
        <f>'[1]поточний ремонт'!AF300+'[2]поточний ремонт'!AF300-'[3]поточний ремонт'!AF300</f>
        <v>476</v>
      </c>
      <c r="AG300" s="1045"/>
      <c r="AH300" s="43">
        <f>'[1]поточний ремонт'!AH300+'[2]поточний ремонт'!AH300-'[3]поточний ремонт'!AH300</f>
        <v>1994.8763517874106</v>
      </c>
      <c r="AI300" s="43">
        <f>'[1]поточний ремонт'!AI300+'[2]поточний ремонт'!AI300-'[3]поточний ремонт'!AI300</f>
        <v>1482</v>
      </c>
      <c r="AJ300" s="5"/>
      <c r="AK300" s="43">
        <f>'[1]поточний ремонт'!AK300+'[2]поточний ремонт'!AK300-'[3]поточний ремонт'!AK300</f>
        <v>1971.3242466643442</v>
      </c>
      <c r="AL300" s="43">
        <f>'[1]поточний ремонт'!AL300+'[2]поточний ремонт'!AL300-'[3]поточний ремонт'!AL300</f>
        <v>0</v>
      </c>
      <c r="AM300" s="5"/>
      <c r="AN300" s="43">
        <f>'[1]поточний ремонт'!AN300+'[2]поточний ремонт'!AN300-'[3]поточний ремонт'!AN300</f>
        <v>0</v>
      </c>
      <c r="AO300" s="43">
        <f>'[1]поточний ремонт'!AO300+'[2]поточний ремонт'!AO300-'[3]поточний ремонт'!AO300</f>
        <v>0</v>
      </c>
      <c r="AP300" s="5"/>
      <c r="AQ300" s="43">
        <f>'[1]поточний ремонт'!AQ300+'[2]поточний ремонт'!AQ300-'[3]поточний ремонт'!AQ300</f>
        <v>0</v>
      </c>
      <c r="AR300" s="43">
        <f>'[1]поточний ремонт'!AR300+'[2]поточний ремонт'!AR300-'[3]поточний ремонт'!AR300</f>
        <v>0</v>
      </c>
      <c r="AS300" s="5"/>
      <c r="AT300" s="43">
        <f>'[1]поточний ремонт'!AT300+'[2]поточний ремонт'!AT300-'[3]поточний ремонт'!AT300</f>
        <v>706.39559549727301</v>
      </c>
      <c r="AU300" s="43">
        <f>'[1]поточний ремонт'!AU300+'[2]поточний ремонт'!AU300-'[3]поточний ремонт'!AU300</f>
        <v>7220</v>
      </c>
      <c r="AV300" s="9"/>
      <c r="AW300" s="43">
        <f>'[1]поточний ремонт'!AW300+'[2]поточний ремонт'!AW300-'[3]поточний ремонт'!AW300</f>
        <v>0</v>
      </c>
      <c r="AX300" s="43">
        <f>'[1]поточний ремонт'!AX300+'[2]поточний ремонт'!AX300-'[3]поточний ремонт'!AX300</f>
        <v>0</v>
      </c>
      <c r="AY300" s="5"/>
      <c r="AZ300" s="43">
        <f t="shared" si="34"/>
        <v>6138.170519605821</v>
      </c>
      <c r="BA300" s="43">
        <f t="shared" si="35"/>
        <v>9178</v>
      </c>
      <c r="BB300" s="59">
        <f t="shared" si="36"/>
        <v>3039.829480394179</v>
      </c>
      <c r="BD300" s="2">
        <v>2</v>
      </c>
      <c r="BF300" s="30">
        <v>3.7909137410458293</v>
      </c>
      <c r="BG300" s="328">
        <v>150000828</v>
      </c>
      <c r="BI300" s="107">
        <v>0</v>
      </c>
      <c r="BJ300" s="107">
        <f t="shared" si="37"/>
        <v>0</v>
      </c>
      <c r="BK300" s="107">
        <v>0</v>
      </c>
      <c r="BL300" s="39"/>
      <c r="BM300" s="3"/>
      <c r="BN300" s="3">
        <v>0</v>
      </c>
      <c r="BP300" s="3"/>
      <c r="BQ300" s="3"/>
      <c r="BS300" s="43"/>
      <c r="BT300" s="43">
        <v>0</v>
      </c>
      <c r="BU300" s="1037"/>
      <c r="BV300" s="42"/>
      <c r="BW300" s="43"/>
      <c r="BX300" s="37"/>
      <c r="BY300" s="78"/>
      <c r="BZ300" s="43">
        <v>0</v>
      </c>
      <c r="CA300" s="1038"/>
      <c r="CB300" s="42"/>
      <c r="CC300" s="42">
        <v>0</v>
      </c>
      <c r="CD300" s="1039"/>
      <c r="CE300" s="78">
        <v>0</v>
      </c>
      <c r="CF300" s="56"/>
      <c r="CG300" s="42">
        <v>0</v>
      </c>
      <c r="CH300" s="39">
        <v>0</v>
      </c>
      <c r="CI300" s="78">
        <v>0</v>
      </c>
      <c r="CJ300" s="56"/>
      <c r="CK300" s="1034"/>
      <c r="CL300" s="1029"/>
      <c r="CM300" s="1034"/>
      <c r="CN300" s="1029">
        <v>0</v>
      </c>
      <c r="CO300" s="78">
        <v>122.1311938047327</v>
      </c>
      <c r="CP300" s="43">
        <v>0</v>
      </c>
      <c r="CQ300" s="1045"/>
      <c r="CR300" s="78">
        <v>166.23969598228419</v>
      </c>
      <c r="CS300" s="1033">
        <v>0</v>
      </c>
      <c r="CT300" s="5"/>
      <c r="CU300" s="78">
        <v>164.27702055536201</v>
      </c>
      <c r="CV300" s="43">
        <v>0</v>
      </c>
      <c r="CW300" s="5"/>
      <c r="CX300" s="78">
        <v>0</v>
      </c>
      <c r="CY300" s="43">
        <v>0</v>
      </c>
      <c r="CZ300" s="5"/>
      <c r="DA300" s="78">
        <v>0</v>
      </c>
      <c r="DB300" s="43">
        <v>0</v>
      </c>
      <c r="DC300" s="5"/>
      <c r="DD300" s="78">
        <v>58.866299624772751</v>
      </c>
      <c r="DE300" s="43">
        <v>6857.3911529041407</v>
      </c>
      <c r="DF300" s="9"/>
      <c r="DG300" s="78">
        <v>0</v>
      </c>
      <c r="DH300" s="43"/>
      <c r="DI300" s="5"/>
      <c r="DJ300" s="43">
        <v>511.51420996715166</v>
      </c>
      <c r="DK300" s="43">
        <f t="shared" si="38"/>
        <v>6857.3911529041407</v>
      </c>
      <c r="DL300" s="59">
        <f t="shared" si="39"/>
        <v>6345.8769429369886</v>
      </c>
    </row>
    <row r="301" spans="1:116" ht="24.9" customHeight="1" x14ac:dyDescent="0.3">
      <c r="A301" s="328">
        <v>150000813</v>
      </c>
      <c r="B301" s="45" t="s">
        <v>188</v>
      </c>
      <c r="C301" s="1035">
        <v>2</v>
      </c>
      <c r="D301" s="1036" t="s">
        <v>454</v>
      </c>
      <c r="E301" s="1028">
        <f>'побудинковий звіт'!E299</f>
        <v>1311.9</v>
      </c>
      <c r="F301" s="1029">
        <f>'побудинковий звіт'!AS299</f>
        <v>4728.1104098047344</v>
      </c>
      <c r="G301" s="1029">
        <f t="shared" si="32"/>
        <v>173</v>
      </c>
      <c r="H301" s="1029">
        <f t="shared" si="33"/>
        <v>-4555.1104098047344</v>
      </c>
      <c r="I301" s="43">
        <f>'[1]поточний ремонт'!I301+'[2]поточний ремонт'!I301-'[3]поточний ремонт'!I301</f>
        <v>0</v>
      </c>
      <c r="J301" s="43">
        <f>'[1]поточний ремонт'!J301+'[2]поточний ремонт'!J301-'[3]поточний ремонт'!J301</f>
        <v>0</v>
      </c>
      <c r="K301" s="1037"/>
      <c r="L301" s="43">
        <f>'[1]поточний ремонт'!L301+'[2]поточний ремонт'!L301-'[3]поточний ремонт'!L301</f>
        <v>0</v>
      </c>
      <c r="M301" s="43">
        <f>'[1]поточний ремонт'!M301+'[2]поточний ремонт'!M301-'[3]поточний ремонт'!M301</f>
        <v>0</v>
      </c>
      <c r="N301" s="37"/>
      <c r="O301" s="43">
        <f>'[1]поточний ремонт'!O301+'[2]поточний ремонт'!O301-'[3]поточний ремонт'!O301</f>
        <v>0</v>
      </c>
      <c r="P301" s="43">
        <f>'[1]поточний ремонт'!P301+'[2]поточний ремонт'!P301-'[3]поточний ремонт'!P301</f>
        <v>0</v>
      </c>
      <c r="Q301" s="1038"/>
      <c r="R301" s="43">
        <f>'[1]поточний ремонт'!R301+'[2]поточний ремонт'!R301-'[3]поточний ремонт'!R301</f>
        <v>0</v>
      </c>
      <c r="S301" s="43">
        <f>'[1]поточний ремонт'!S301+'[2]поточний ремонт'!S301-'[3]поточний ремонт'!S301</f>
        <v>0</v>
      </c>
      <c r="T301" s="1039"/>
      <c r="U301" s="43">
        <f>'[1]поточний ремонт'!U301+'[2]поточний ремонт'!U301-'[3]поточний ремонт'!U301</f>
        <v>0</v>
      </c>
      <c r="V301" s="43">
        <f>'[1]поточний ремонт'!V301+'[2]поточний ремонт'!V301-'[3]поточний ремонт'!V301</f>
        <v>0</v>
      </c>
      <c r="W301" s="43">
        <f>'[1]поточний ремонт'!W301+'[2]поточний ремонт'!W301-'[3]поточний ремонт'!W301</f>
        <v>0</v>
      </c>
      <c r="X301" s="43">
        <f>'[1]поточний ремонт'!X301+'[2]поточний ремонт'!X301-'[3]поточний ремонт'!X301</f>
        <v>0</v>
      </c>
      <c r="Y301" s="43">
        <f>'[1]поточний ремонт'!Y301+'[2]поточний ремонт'!Y301-'[3]поточний ремонт'!Y301</f>
        <v>0</v>
      </c>
      <c r="Z301" s="43">
        <f>'[1]поточний ремонт'!Z301+'[2]поточний ремонт'!Z301-'[3]поточний ремонт'!Z301</f>
        <v>0</v>
      </c>
      <c r="AA301" s="43">
        <f>'[1]поточний ремонт'!AA301+'[2]поточний ремонт'!AA301-'[3]поточний ремонт'!AA301</f>
        <v>0</v>
      </c>
      <c r="AB301" s="43">
        <f>'[1]поточний ремонт'!AB301+'[2]поточний ремонт'!AB301-'[3]поточний ремонт'!AB301</f>
        <v>0</v>
      </c>
      <c r="AC301" s="43">
        <f>'[1]поточний ремонт'!AC301+'[2]поточний ремонт'!AC301-'[3]поточний ремонт'!AC301</f>
        <v>0</v>
      </c>
      <c r="AD301" s="43">
        <f>'[1]поточний ремонт'!AD301+'[2]поточний ремонт'!AD301-'[3]поточний ремонт'!AD301</f>
        <v>173</v>
      </c>
      <c r="AE301" s="43">
        <f>'[1]поточний ремонт'!AE301+'[2]поточний ремонт'!AE301-'[3]поточний ремонт'!AE301</f>
        <v>368.74084918649328</v>
      </c>
      <c r="AF301" s="43">
        <f>'[1]поточний ремонт'!AF301+'[2]поточний ремонт'!AF301-'[3]поточний ремонт'!AF301</f>
        <v>0</v>
      </c>
      <c r="AG301" s="5"/>
      <c r="AH301" s="43">
        <f>'[1]поточний ремонт'!AH301+'[2]поточний ремонт'!AH301-'[3]поточний ремонт'!AH301</f>
        <v>440.04300829261012</v>
      </c>
      <c r="AI301" s="43">
        <f>'[1]поточний ремонт'!AI301+'[2]поточний ремонт'!AI301-'[3]поточний ремонт'!AI301</f>
        <v>0</v>
      </c>
      <c r="AJ301" s="5"/>
      <c r="AK301" s="43">
        <f>'[1]поточний ремонт'!AK301+'[2]поточний ремонт'!AK301-'[3]поточний ремонт'!AK301</f>
        <v>0</v>
      </c>
      <c r="AL301" s="43">
        <f>'[1]поточний ремонт'!AL301+'[2]поточний ремонт'!AL301-'[3]поточний ремонт'!AL301</f>
        <v>0</v>
      </c>
      <c r="AM301" s="5"/>
      <c r="AN301" s="43">
        <f>'[1]поточний ремонт'!AN301+'[2]поточний ремонт'!AN301-'[3]поточний ремонт'!AN301</f>
        <v>0</v>
      </c>
      <c r="AO301" s="43">
        <f>'[1]поточний ремонт'!AO301+'[2]поточний ремонт'!AO301-'[3]поточний ремонт'!AO301</f>
        <v>0</v>
      </c>
      <c r="AP301" s="5"/>
      <c r="AQ301" s="43">
        <f>'[1]поточний ремонт'!AQ301+'[2]поточний ремонт'!AQ301-'[3]поточний ремонт'!AQ301</f>
        <v>0</v>
      </c>
      <c r="AR301" s="43">
        <f>'[1]поточний ремонт'!AR301+'[2]поточний ремонт'!AR301-'[3]поточний ремонт'!AR301</f>
        <v>0</v>
      </c>
      <c r="AS301" s="5"/>
      <c r="AT301" s="43">
        <f>'[1]поточний ремонт'!AT301+'[2]поточний ремонт'!AT301-'[3]поточний ремонт'!AT301</f>
        <v>138.33972898124702</v>
      </c>
      <c r="AU301" s="43">
        <f>'[1]поточний ремонт'!AU301+'[2]поточний ремонт'!AU301-'[3]поточний ремонт'!AU301</f>
        <v>0</v>
      </c>
      <c r="AV301" s="5"/>
      <c r="AW301" s="43">
        <f>'[1]поточний ремонт'!AW301+'[2]поточний ремонт'!AW301-'[3]поточний ремонт'!AW301</f>
        <v>0</v>
      </c>
      <c r="AX301" s="43">
        <f>'[1]поточний ремонт'!AX301+'[2]поточний ремонт'!AX301-'[3]поточний ремонт'!AX301</f>
        <v>0</v>
      </c>
      <c r="AY301" s="5"/>
      <c r="AZ301" s="43">
        <f t="shared" si="34"/>
        <v>947.12358646035045</v>
      </c>
      <c r="BA301" s="43">
        <f t="shared" si="35"/>
        <v>0</v>
      </c>
      <c r="BB301" s="59">
        <f t="shared" si="36"/>
        <v>-947.12358646035045</v>
      </c>
      <c r="BD301" s="2">
        <v>3</v>
      </c>
      <c r="BF301" s="30">
        <v>27.904928781174817</v>
      </c>
      <c r="BG301" s="328">
        <v>150000813</v>
      </c>
      <c r="BI301" s="107">
        <v>0</v>
      </c>
      <c r="BJ301" s="107">
        <f t="shared" si="37"/>
        <v>0</v>
      </c>
      <c r="BK301" s="107">
        <v>0</v>
      </c>
      <c r="BL301" s="39"/>
      <c r="BM301" s="3"/>
      <c r="BN301" s="3">
        <v>0</v>
      </c>
      <c r="BP301" s="3"/>
      <c r="BQ301" s="3"/>
      <c r="BS301" s="43"/>
      <c r="BT301" s="43">
        <v>0</v>
      </c>
      <c r="BU301" s="1037"/>
      <c r="BV301" s="42"/>
      <c r="BW301" s="43"/>
      <c r="BX301" s="37"/>
      <c r="BY301" s="78"/>
      <c r="BZ301" s="43">
        <v>0</v>
      </c>
      <c r="CA301" s="1038"/>
      <c r="CB301" s="42"/>
      <c r="CC301" s="42">
        <v>0</v>
      </c>
      <c r="CD301" s="1039"/>
      <c r="CE301" s="78">
        <v>0</v>
      </c>
      <c r="CF301" s="56"/>
      <c r="CG301" s="42">
        <v>0</v>
      </c>
      <c r="CH301" s="39">
        <v>0</v>
      </c>
      <c r="CI301" s="78">
        <v>0</v>
      </c>
      <c r="CJ301" s="56"/>
      <c r="CK301" s="1034"/>
      <c r="CL301" s="1029"/>
      <c r="CM301" s="1034"/>
      <c r="CN301" s="1029">
        <v>0</v>
      </c>
      <c r="CO301" s="78">
        <v>30.728404098874446</v>
      </c>
      <c r="CP301" s="43">
        <v>0</v>
      </c>
      <c r="CQ301" s="5"/>
      <c r="CR301" s="78">
        <v>36.670250691050846</v>
      </c>
      <c r="CS301" s="1033">
        <v>0</v>
      </c>
      <c r="CT301" s="5"/>
      <c r="CU301" s="78">
        <v>0</v>
      </c>
      <c r="CV301" s="43">
        <v>0</v>
      </c>
      <c r="CW301" s="5"/>
      <c r="CX301" s="78">
        <v>0</v>
      </c>
      <c r="CY301" s="43">
        <v>0</v>
      </c>
      <c r="CZ301" s="5"/>
      <c r="DA301" s="78">
        <v>0</v>
      </c>
      <c r="DB301" s="43">
        <v>0</v>
      </c>
      <c r="DC301" s="5"/>
      <c r="DD301" s="78">
        <v>11.528310748437255</v>
      </c>
      <c r="DE301" s="43">
        <v>0</v>
      </c>
      <c r="DF301" s="5"/>
      <c r="DG301" s="78">
        <v>0</v>
      </c>
      <c r="DH301" s="43"/>
      <c r="DI301" s="5"/>
      <c r="DJ301" s="43">
        <v>78.926965538362538</v>
      </c>
      <c r="DK301" s="43">
        <f t="shared" si="38"/>
        <v>0</v>
      </c>
      <c r="DL301" s="59">
        <f t="shared" si="39"/>
        <v>-78.926965538362538</v>
      </c>
    </row>
    <row r="302" spans="1:116" ht="24.9" customHeight="1" x14ac:dyDescent="0.3">
      <c r="A302" s="328">
        <v>150000814</v>
      </c>
      <c r="B302" s="45" t="s">
        <v>304</v>
      </c>
      <c r="C302" s="1035">
        <v>5</v>
      </c>
      <c r="D302" s="1036" t="s">
        <v>454</v>
      </c>
      <c r="E302" s="1028">
        <f>'побудинковий звіт'!E300</f>
        <v>3970.54</v>
      </c>
      <c r="F302" s="1029">
        <f>'побудинковий звіт'!AS300</f>
        <v>31047.439778521315</v>
      </c>
      <c r="G302" s="1029">
        <f t="shared" si="32"/>
        <v>23048.066517245301</v>
      </c>
      <c r="H302" s="1029">
        <f t="shared" si="33"/>
        <v>-7999.3732612760141</v>
      </c>
      <c r="I302" s="43">
        <f>'[1]поточний ремонт'!I302+'[2]поточний ремонт'!I302-'[3]поточний ремонт'!I302</f>
        <v>5.4</v>
      </c>
      <c r="J302" s="43">
        <f>'[1]поточний ремонт'!J302+'[2]поточний ремонт'!J302-'[3]поточний ремонт'!J302</f>
        <v>1207</v>
      </c>
      <c r="K302" s="1037"/>
      <c r="L302" s="43">
        <f>'[1]поточний ремонт'!L302+'[2]поточний ремонт'!L302-'[3]поточний ремонт'!L302</f>
        <v>0</v>
      </c>
      <c r="M302" s="43">
        <f>'[1]поточний ремонт'!M302+'[2]поточний ремонт'!M302-'[3]поточний ремонт'!M302</f>
        <v>0</v>
      </c>
      <c r="N302" s="37"/>
      <c r="O302" s="43">
        <f>'[1]поточний ремонт'!O302+'[2]поточний ремонт'!O302-'[3]поточний ремонт'!O302</f>
        <v>0</v>
      </c>
      <c r="P302" s="43">
        <f>'[1]поточний ремонт'!P302+'[2]поточний ремонт'!P302-'[3]поточний ремонт'!P302</f>
        <v>0</v>
      </c>
      <c r="Q302" s="1038"/>
      <c r="R302" s="43">
        <f>'[1]поточний ремонт'!R302+'[2]поточний ремонт'!R302-'[3]поточний ремонт'!R302</f>
        <v>0</v>
      </c>
      <c r="S302" s="43">
        <f>'[1]поточний ремонт'!S302+'[2]поточний ремонт'!S302-'[3]поточний ремонт'!S302</f>
        <v>0</v>
      </c>
      <c r="T302" s="1039"/>
      <c r="U302" s="43">
        <f>'[1]поточний ремонт'!U302+'[2]поточний ремонт'!U302-'[3]поточний ремонт'!U302</f>
        <v>0</v>
      </c>
      <c r="V302" s="43">
        <f>'[1]поточний ремонт'!V302+'[2]поточний ремонт'!V302-'[3]поточний ремонт'!V302</f>
        <v>0</v>
      </c>
      <c r="W302" s="43">
        <f>'[1]поточний ремонт'!W302+'[2]поточний ремонт'!W302-'[3]поточний ремонт'!W302</f>
        <v>0</v>
      </c>
      <c r="X302" s="43">
        <f>'[1]поточний ремонт'!X302+'[2]поточний ремонт'!X302-'[3]поточний ремонт'!X302</f>
        <v>211.06651724530019</v>
      </c>
      <c r="Y302" s="43">
        <f>'[1]поточний ремонт'!Y302+'[2]поточний ремонт'!Y302-'[3]поточний ремонт'!Y302</f>
        <v>7173.0000000000018</v>
      </c>
      <c r="Z302" s="43">
        <f>'[1]поточний ремонт'!Z302+'[2]поточний ремонт'!Z302-'[3]поточний ремонт'!Z302</f>
        <v>0</v>
      </c>
      <c r="AA302" s="43">
        <f>'[1]поточний ремонт'!AA302+'[2]поточний ремонт'!AA302-'[3]поточний ремонт'!AA302</f>
        <v>0</v>
      </c>
      <c r="AB302" s="43">
        <f>'[1]поточний ремонт'!AB302+'[2]поточний ремонт'!AB302-'[3]поточний ремонт'!AB302</f>
        <v>0</v>
      </c>
      <c r="AC302" s="43">
        <f>'[1]поточний ремонт'!AC302+'[2]поточний ремонт'!AC302-'[3]поточний ремонт'!AC302</f>
        <v>13744</v>
      </c>
      <c r="AD302" s="43">
        <f>'[1]поточний ремонт'!AD302+'[2]поточний ремонт'!AD302-'[3]поточний ремонт'!AD302</f>
        <v>713</v>
      </c>
      <c r="AE302" s="43">
        <f>'[1]поточний ремонт'!AE302+'[2]поточний ремонт'!AE302-'[3]поточний ремонт'!AE302</f>
        <v>1732.6398645043732</v>
      </c>
      <c r="AF302" s="43">
        <f>'[1]поточний ремонт'!AF302+'[2]поточний ремонт'!AF302-'[3]поточний ремонт'!AF302</f>
        <v>14775</v>
      </c>
      <c r="AG302" s="5"/>
      <c r="AH302" s="43">
        <f>'[1]поточний ремонт'!AH302+'[2]поточний ремонт'!AH302-'[3]поточний ремонт'!AH302</f>
        <v>2835.5140573188933</v>
      </c>
      <c r="AI302" s="43">
        <f>'[1]поточний ремонт'!AI302+'[2]поточний ремонт'!AI302-'[3]поточний ремонт'!AI302</f>
        <v>2195</v>
      </c>
      <c r="AJ302" s="5"/>
      <c r="AK302" s="43">
        <f>'[1]поточний ремонт'!AK302+'[2]поточний ремонт'!AK302-'[3]поточний ремонт'!AK302</f>
        <v>1892.4630568844098</v>
      </c>
      <c r="AL302" s="43">
        <f>'[1]поточний ремонт'!AL302+'[2]поточний ремонт'!AL302-'[3]поточний ремонт'!AL302</f>
        <v>0</v>
      </c>
      <c r="AM302" s="5"/>
      <c r="AN302" s="43">
        <f>'[1]поточний ремонт'!AN302+'[2]поточний ремонт'!AN302-'[3]поточний ремонт'!AN302</f>
        <v>0</v>
      </c>
      <c r="AO302" s="43">
        <f>'[1]поточний ремонт'!AO302+'[2]поточний ремонт'!AO302-'[3]поточний ремонт'!AO302</f>
        <v>0</v>
      </c>
      <c r="AP302" s="5"/>
      <c r="AQ302" s="43">
        <f>'[1]поточний ремонт'!AQ302+'[2]поточний ремонт'!AQ302-'[3]поточний ремонт'!AQ302</f>
        <v>0</v>
      </c>
      <c r="AR302" s="43">
        <f>'[1]поточний ремонт'!AR302+'[2]поточний ремонт'!AR302-'[3]поточний ремонт'!AR302</f>
        <v>0</v>
      </c>
      <c r="AS302" s="5"/>
      <c r="AT302" s="43">
        <f>'[1]поточний ремонт'!AT302+'[2]поточний ремонт'!AT302-'[3]поточний ремонт'!AT302</f>
        <v>938.15733420702065</v>
      </c>
      <c r="AU302" s="43">
        <f>'[1]поточний ремонт'!AU302+'[2]поточний ремонт'!AU302-'[3]поточний ремонт'!AU302</f>
        <v>97</v>
      </c>
      <c r="AV302" s="5"/>
      <c r="AW302" s="43">
        <f>'[1]поточний ремонт'!AW302+'[2]поточний ремонт'!AW302-'[3]поточний ремонт'!AW302</f>
        <v>0</v>
      </c>
      <c r="AX302" s="43">
        <f>'[1]поточний ремонт'!AX302+'[2]поточний ремонт'!AX302-'[3]поточний ремонт'!AX302</f>
        <v>0</v>
      </c>
      <c r="AY302" s="5"/>
      <c r="AZ302" s="43">
        <f t="shared" si="34"/>
        <v>7398.7743129146966</v>
      </c>
      <c r="BA302" s="43">
        <f t="shared" si="35"/>
        <v>17067</v>
      </c>
      <c r="BB302" s="59">
        <f t="shared" si="36"/>
        <v>9668.2256870853034</v>
      </c>
      <c r="BD302" s="2">
        <v>2</v>
      </c>
      <c r="BF302" s="30">
        <v>51.561115451453482</v>
      </c>
      <c r="BG302" s="328">
        <v>150000814</v>
      </c>
      <c r="BI302" s="107">
        <v>15.75</v>
      </c>
      <c r="BJ302" s="107">
        <f t="shared" si="37"/>
        <v>2.2154296499999999</v>
      </c>
      <c r="BK302" s="107">
        <v>18.164251286999999</v>
      </c>
      <c r="BL302" s="39"/>
      <c r="BM302" s="3"/>
      <c r="BN302" s="3">
        <v>0</v>
      </c>
      <c r="BP302" s="3"/>
      <c r="BQ302" s="3"/>
      <c r="BS302" s="43"/>
      <c r="BT302" s="43">
        <v>0</v>
      </c>
      <c r="BU302" s="1037"/>
      <c r="BV302" s="42"/>
      <c r="BW302" s="43"/>
      <c r="BX302" s="37"/>
      <c r="BY302" s="78"/>
      <c r="BZ302" s="43">
        <v>0</v>
      </c>
      <c r="CA302" s="1038"/>
      <c r="CB302" s="42"/>
      <c r="CC302" s="42">
        <v>0</v>
      </c>
      <c r="CD302" s="1039"/>
      <c r="CE302" s="78">
        <v>0</v>
      </c>
      <c r="CF302" s="56"/>
      <c r="CG302" s="42">
        <v>0</v>
      </c>
      <c r="CH302" s="39">
        <v>18.164251286999999</v>
      </c>
      <c r="CI302" s="78">
        <v>13624.530524111809</v>
      </c>
      <c r="CJ302" s="56"/>
      <c r="CK302" s="1034"/>
      <c r="CL302" s="1029"/>
      <c r="CM302" s="1034"/>
      <c r="CN302" s="1029">
        <v>0</v>
      </c>
      <c r="CO302" s="78">
        <v>144.38665537536446</v>
      </c>
      <c r="CP302" s="43">
        <v>0</v>
      </c>
      <c r="CQ302" s="5"/>
      <c r="CR302" s="78">
        <v>236.29283810990782</v>
      </c>
      <c r="CS302" s="1033">
        <v>0</v>
      </c>
      <c r="CT302" s="5"/>
      <c r="CU302" s="78">
        <v>157.70525474036745</v>
      </c>
      <c r="CV302" s="43">
        <v>0</v>
      </c>
      <c r="CW302" s="5"/>
      <c r="CX302" s="78">
        <v>0</v>
      </c>
      <c r="CY302" s="43">
        <v>0</v>
      </c>
      <c r="CZ302" s="5"/>
      <c r="DA302" s="78">
        <v>0</v>
      </c>
      <c r="DB302" s="43">
        <v>0</v>
      </c>
      <c r="DC302" s="5"/>
      <c r="DD302" s="78">
        <v>78.17977785058504</v>
      </c>
      <c r="DE302" s="43">
        <v>0</v>
      </c>
      <c r="DF302" s="5"/>
      <c r="DG302" s="78">
        <v>0</v>
      </c>
      <c r="DH302" s="43"/>
      <c r="DI302" s="5"/>
      <c r="DJ302" s="43">
        <v>616.56452607622475</v>
      </c>
      <c r="DK302" s="43">
        <f t="shared" si="38"/>
        <v>0</v>
      </c>
      <c r="DL302" s="59">
        <f t="shared" si="39"/>
        <v>-616.56452607622475</v>
      </c>
    </row>
    <row r="303" spans="1:116" ht="24.9" customHeight="1" x14ac:dyDescent="0.3">
      <c r="A303" s="328">
        <v>150000816</v>
      </c>
      <c r="B303" s="45" t="s">
        <v>229</v>
      </c>
      <c r="C303" s="1035">
        <v>4</v>
      </c>
      <c r="D303" s="1036" t="s">
        <v>454</v>
      </c>
      <c r="E303" s="1028">
        <f>'побудинковий звіт'!E301</f>
        <v>2609.3000000000002</v>
      </c>
      <c r="F303" s="1029">
        <f>'побудинковий звіт'!AS301</f>
        <v>24640.952173556252</v>
      </c>
      <c r="G303" s="1029">
        <f t="shared" si="32"/>
        <v>989.35550574843342</v>
      </c>
      <c r="H303" s="1029">
        <f t="shared" si="33"/>
        <v>-23651.596667807818</v>
      </c>
      <c r="I303" s="43">
        <f>'[1]поточний ремонт'!I303+'[2]поточний ремонт'!I303-'[3]поточний ремонт'!I303</f>
        <v>2.8000000000000007</v>
      </c>
      <c r="J303" s="43">
        <f>'[1]поточний ремонт'!J303+'[2]поточний ремонт'!J303-'[3]поточний ремонт'!J303</f>
        <v>565</v>
      </c>
      <c r="K303" s="1041"/>
      <c r="L303" s="43">
        <f>'[1]поточний ремонт'!L303+'[2]поточний ремонт'!L303-'[3]поточний ремонт'!L303</f>
        <v>0</v>
      </c>
      <c r="M303" s="43">
        <f>'[1]поточний ремонт'!M303+'[2]поточний ремонт'!M303-'[3]поточний ремонт'!M303</f>
        <v>0</v>
      </c>
      <c r="N303" s="37"/>
      <c r="O303" s="43">
        <f>'[1]поточний ремонт'!O303+'[2]поточний ремонт'!O303-'[3]поточний ремонт'!O303</f>
        <v>0</v>
      </c>
      <c r="P303" s="43">
        <f>'[1]поточний ремонт'!P303+'[2]поточний ремонт'!P303-'[3]поточний ремонт'!P303</f>
        <v>0</v>
      </c>
      <c r="Q303" s="1038"/>
      <c r="R303" s="43">
        <f>'[1]поточний ремонт'!R303+'[2]поточний ремонт'!R303-'[3]поточний ремонт'!R303</f>
        <v>0</v>
      </c>
      <c r="S303" s="43">
        <f>'[1]поточний ремонт'!S303+'[2]поточний ремонт'!S303-'[3]поточний ремонт'!S303</f>
        <v>0</v>
      </c>
      <c r="T303" s="1039"/>
      <c r="U303" s="43">
        <f>'[1]поточний ремонт'!U303+'[2]поточний ремонт'!U303-'[3]поточний ремонт'!U303</f>
        <v>0</v>
      </c>
      <c r="V303" s="43">
        <f>'[1]поточний ремонт'!V303+'[2]поточний ремонт'!V303-'[3]поточний ремонт'!V303</f>
        <v>0</v>
      </c>
      <c r="W303" s="43">
        <f>'[1]поточний ремонт'!W303+'[2]поточний ремонт'!W303-'[3]поточний ремонт'!W303</f>
        <v>0</v>
      </c>
      <c r="X303" s="43">
        <f>'[1]поточний ремонт'!X303+'[2]поточний ремонт'!X303-'[3]поточний ремонт'!X303</f>
        <v>70.35550574843343</v>
      </c>
      <c r="Y303" s="43">
        <f>'[1]поточний ремонт'!Y303+'[2]поточний ремонт'!Y303-'[3]поточний ремонт'!Y303</f>
        <v>0</v>
      </c>
      <c r="Z303" s="43">
        <f>'[1]поточний ремонт'!Z303+'[2]поточний ремонт'!Z303-'[3]поточний ремонт'!Z303</f>
        <v>0</v>
      </c>
      <c r="AA303" s="43">
        <f>'[1]поточний ремонт'!AA303+'[2]поточний ремонт'!AA303-'[3]поточний ремонт'!AA303</f>
        <v>0</v>
      </c>
      <c r="AB303" s="43">
        <f>'[1]поточний ремонт'!AB303+'[2]поточний ремонт'!AB303-'[3]поточний ремонт'!AB303</f>
        <v>0</v>
      </c>
      <c r="AC303" s="43">
        <f>'[1]поточний ремонт'!AC303+'[2]поточний ремонт'!AC303-'[3]поточний ремонт'!AC303</f>
        <v>0</v>
      </c>
      <c r="AD303" s="43">
        <f>'[1]поточний ремонт'!AD303+'[2]поточний ремонт'!AD303-'[3]поточний ремонт'!AD303</f>
        <v>354</v>
      </c>
      <c r="AE303" s="43">
        <f>'[1]поточний ремонт'!AE303+'[2]поточний ремонт'!AE303-'[3]поточний ремонт'!AE303</f>
        <v>1507.1604035991036</v>
      </c>
      <c r="AF303" s="43">
        <f>'[1]поточний ремонт'!AF303+'[2]поточний ремонт'!AF303-'[3]поточний ремонт'!AF303</f>
        <v>0</v>
      </c>
      <c r="AG303" s="5"/>
      <c r="AH303" s="43">
        <f>'[1]поточний ремонт'!AH303+'[2]поточний ремонт'!AH303-'[3]поточний ремонт'!AH303</f>
        <v>1937.5983761499381</v>
      </c>
      <c r="AI303" s="43">
        <f>'[1]поточний ремонт'!AI303+'[2]поточний ремонт'!AI303-'[3]поточний ремонт'!AI303</f>
        <v>0</v>
      </c>
      <c r="AJ303" s="5"/>
      <c r="AK303" s="43">
        <f>'[1]поточний ремонт'!AK303+'[2]поточний ремонт'!AK303-'[3]поточний ремонт'!AK303</f>
        <v>1857.5122851610063</v>
      </c>
      <c r="AL303" s="43">
        <f>'[1]поточний ремонт'!AL303+'[2]поточний ремонт'!AL303-'[3]поточний ремонт'!AL303</f>
        <v>0</v>
      </c>
      <c r="AM303" s="5"/>
      <c r="AN303" s="43">
        <f>'[1]поточний ремонт'!AN303+'[2]поточний ремонт'!AN303-'[3]поточний ремонт'!AN303</f>
        <v>859.0038253429741</v>
      </c>
      <c r="AO303" s="43">
        <f>'[1]поточний ремонт'!AO303+'[2]поточний ремонт'!AO303-'[3]поточний ремонт'!AO303</f>
        <v>0</v>
      </c>
      <c r="AP303" s="5"/>
      <c r="AQ303" s="43">
        <f>'[1]поточний ремонт'!AQ303+'[2]поточний ремонт'!AQ303-'[3]поточний ремонт'!AQ303</f>
        <v>0</v>
      </c>
      <c r="AR303" s="43">
        <f>'[1]поточний ремонт'!AR303+'[2]поточний ремонт'!AR303-'[3]поточний ремонт'!AR303</f>
        <v>484.86276349576929</v>
      </c>
      <c r="AS303" s="5"/>
      <c r="AT303" s="43">
        <f>'[1]поточний ремонт'!AT303+'[2]поточний ремонт'!AT303-'[3]поточний ремонт'!AT303</f>
        <v>802.30821170871957</v>
      </c>
      <c r="AU303" s="43">
        <f>'[1]поточний ремонт'!AU303+'[2]поточний ремонт'!AU303-'[3]поточний ремонт'!AU303</f>
        <v>127</v>
      </c>
      <c r="AV303" s="5"/>
      <c r="AW303" s="43">
        <f>'[1]поточний ремонт'!AW303+'[2]поточний ремонт'!AW303-'[3]поточний ремонт'!AW303</f>
        <v>0</v>
      </c>
      <c r="AX303" s="43">
        <f>'[1]поточний ремонт'!AX303+'[2]поточний ремонт'!AX303-'[3]поточний ремонт'!AX303</f>
        <v>0</v>
      </c>
      <c r="AY303" s="5"/>
      <c r="AZ303" s="43">
        <f t="shared" si="34"/>
        <v>6963.5831019617417</v>
      </c>
      <c r="BA303" s="43">
        <f t="shared" si="35"/>
        <v>611.86276349576929</v>
      </c>
      <c r="BB303" s="59">
        <f t="shared" si="36"/>
        <v>-6351.7203384659724</v>
      </c>
      <c r="BD303" s="2">
        <v>2</v>
      </c>
      <c r="BF303" s="30">
        <v>3.5743710554770591</v>
      </c>
      <c r="BG303" s="328">
        <v>150000816</v>
      </c>
      <c r="BI303" s="107">
        <v>5.25</v>
      </c>
      <c r="BJ303" s="107">
        <f t="shared" si="37"/>
        <v>0.7384765499999999</v>
      </c>
      <c r="BK303" s="107">
        <v>6.0547504290000003</v>
      </c>
      <c r="BL303" s="39"/>
      <c r="BM303" s="3"/>
      <c r="BN303" s="3">
        <v>0</v>
      </c>
      <c r="BP303" s="3"/>
      <c r="BQ303" s="3"/>
      <c r="BS303" s="43"/>
      <c r="BT303" s="43">
        <v>0</v>
      </c>
      <c r="BU303" s="1041"/>
      <c r="BV303" s="42"/>
      <c r="BW303" s="43"/>
      <c r="BX303" s="37"/>
      <c r="BY303" s="78"/>
      <c r="BZ303" s="43">
        <v>0</v>
      </c>
      <c r="CA303" s="1038"/>
      <c r="CB303" s="42"/>
      <c r="CC303" s="42">
        <v>0</v>
      </c>
      <c r="CD303" s="1039"/>
      <c r="CE303" s="78">
        <v>0</v>
      </c>
      <c r="CF303" s="56"/>
      <c r="CG303" s="42">
        <v>0</v>
      </c>
      <c r="CH303" s="39">
        <v>6.0547504290000003</v>
      </c>
      <c r="CI303" s="78">
        <v>0</v>
      </c>
      <c r="CJ303" s="56"/>
      <c r="CK303" s="1034"/>
      <c r="CL303" s="1029"/>
      <c r="CM303" s="1034"/>
      <c r="CN303" s="1029">
        <v>0</v>
      </c>
      <c r="CO303" s="78">
        <v>125.59670029992532</v>
      </c>
      <c r="CP303" s="43">
        <v>0</v>
      </c>
      <c r="CQ303" s="5"/>
      <c r="CR303" s="78">
        <v>161.4665313458282</v>
      </c>
      <c r="CS303" s="1033">
        <v>0</v>
      </c>
      <c r="CT303" s="5"/>
      <c r="CU303" s="78">
        <v>154.79269043008384</v>
      </c>
      <c r="CV303" s="43">
        <v>0</v>
      </c>
      <c r="CW303" s="5"/>
      <c r="CX303" s="78">
        <v>71.583652111914517</v>
      </c>
      <c r="CY303" s="43">
        <v>0</v>
      </c>
      <c r="CZ303" s="5"/>
      <c r="DA303" s="78">
        <v>0</v>
      </c>
      <c r="DB303" s="43">
        <v>0</v>
      </c>
      <c r="DC303" s="5"/>
      <c r="DD303" s="78">
        <v>66.859017642393312</v>
      </c>
      <c r="DE303" s="43">
        <v>0</v>
      </c>
      <c r="DF303" s="5"/>
      <c r="DG303" s="78">
        <v>0</v>
      </c>
      <c r="DH303" s="43"/>
      <c r="DI303" s="5"/>
      <c r="DJ303" s="43">
        <v>580.29859183014514</v>
      </c>
      <c r="DK303" s="43">
        <f t="shared" si="38"/>
        <v>0</v>
      </c>
      <c r="DL303" s="59">
        <f t="shared" si="39"/>
        <v>-580.29859183014514</v>
      </c>
    </row>
    <row r="304" spans="1:116" ht="24.9" customHeight="1" x14ac:dyDescent="0.3">
      <c r="A304" s="328">
        <v>150000829</v>
      </c>
      <c r="B304" s="45" t="s">
        <v>230</v>
      </c>
      <c r="C304" s="1035">
        <v>4</v>
      </c>
      <c r="D304" s="1036" t="s">
        <v>454</v>
      </c>
      <c r="E304" s="1028">
        <f>'побудинковий звіт'!E302</f>
        <v>194.4</v>
      </c>
      <c r="F304" s="1029">
        <f>'побудинковий звіт'!AS302</f>
        <v>28346.26243663465</v>
      </c>
      <c r="G304" s="1029">
        <f t="shared" si="32"/>
        <v>1854.8738582432115</v>
      </c>
      <c r="H304" s="1029">
        <f t="shared" si="33"/>
        <v>-26491.388578391437</v>
      </c>
      <c r="I304" s="43">
        <f>'[1]поточний ремонт'!I304+'[2]поточний ремонт'!I304-'[3]поточний ремонт'!I304</f>
        <v>0</v>
      </c>
      <c r="J304" s="43">
        <f>'[1]поточний ремонт'!J304+'[2]поточний ремонт'!J304-'[3]поточний ремонт'!J304</f>
        <v>0</v>
      </c>
      <c r="K304" s="1037"/>
      <c r="L304" s="43">
        <f>'[1]поточний ремонт'!L304+'[2]поточний ремонт'!L304-'[3]поточний ремонт'!L304</f>
        <v>0</v>
      </c>
      <c r="M304" s="43">
        <f>'[1]поточний ремонт'!M304+'[2]поточний ремонт'!M304-'[3]поточний ремонт'!M304</f>
        <v>0</v>
      </c>
      <c r="N304" s="37"/>
      <c r="O304" s="43">
        <f>'[1]поточний ремонт'!O304+'[2]поточний ремонт'!O304-'[3]поточний ремонт'!O304</f>
        <v>0</v>
      </c>
      <c r="P304" s="43">
        <f>'[1]поточний ремонт'!P304+'[2]поточний ремонт'!P304-'[3]поточний ремонт'!P304</f>
        <v>0</v>
      </c>
      <c r="Q304" s="1038"/>
      <c r="R304" s="43">
        <f>'[1]поточний ремонт'!R304+'[2]поточний ремонт'!R304-'[3]поточний ремонт'!R304</f>
        <v>0</v>
      </c>
      <c r="S304" s="43">
        <f>'[1]поточний ремонт'!S304+'[2]поточний ремонт'!S304-'[3]поточний ремонт'!S304</f>
        <v>0</v>
      </c>
      <c r="T304" s="1039"/>
      <c r="U304" s="43">
        <f>'[1]поточний ремонт'!U304+'[2]поточний ремонт'!U304-'[3]поточний ремонт'!U304</f>
        <v>0</v>
      </c>
      <c r="V304" s="43">
        <f>'[1]поточний ремонт'!V304+'[2]поточний ремонт'!V304-'[3]поточний ремонт'!V304</f>
        <v>0</v>
      </c>
      <c r="W304" s="43">
        <f>'[1]поточний ремонт'!W304+'[2]поточний ремонт'!W304-'[3]поточний ремонт'!W304</f>
        <v>0</v>
      </c>
      <c r="X304" s="43">
        <f>'[1]поточний ремонт'!X304+'[2]поточний ремонт'!X304-'[3]поточний ремонт'!X304</f>
        <v>304.87385824321143</v>
      </c>
      <c r="Y304" s="43">
        <f>'[1]поточний ремонт'!Y304+'[2]поточний ремонт'!Y304-'[3]поточний ремонт'!Y304</f>
        <v>1550</v>
      </c>
      <c r="Z304" s="43">
        <f>'[1]поточний ремонт'!Z304+'[2]поточний ремонт'!Z304-'[3]поточний ремонт'!Z304</f>
        <v>0</v>
      </c>
      <c r="AA304" s="43">
        <f>'[1]поточний ремонт'!AA304+'[2]поточний ремонт'!AA304-'[3]поточний ремонт'!AA304</f>
        <v>0</v>
      </c>
      <c r="AB304" s="43">
        <f>'[1]поточний ремонт'!AB304+'[2]поточний ремонт'!AB304-'[3]поточний ремонт'!AB304</f>
        <v>0</v>
      </c>
      <c r="AC304" s="43">
        <f>'[1]поточний ремонт'!AC304+'[2]поточний ремонт'!AC304-'[3]поточний ремонт'!AC304</f>
        <v>0</v>
      </c>
      <c r="AD304" s="43">
        <f>'[1]поточний ремонт'!AD304+'[2]поточний ремонт'!AD304-'[3]поточний ремонт'!AD304</f>
        <v>0</v>
      </c>
      <c r="AE304" s="43">
        <f>'[1]поточний ремонт'!AE304+'[2]поточний ремонт'!AE304-'[3]поточний ремонт'!AE304</f>
        <v>1534.1877248073981</v>
      </c>
      <c r="AF304" s="43">
        <f>'[1]поточний ремонт'!AF304+'[2]поточний ремонт'!AF304-'[3]поточний ремонт'!AF304</f>
        <v>1043.3356188650919</v>
      </c>
      <c r="AG304" s="5"/>
      <c r="AH304" s="43">
        <f>'[1]поточний ремонт'!AH304+'[2]поточний ремонт'!AH304-'[3]поточний ремонт'!AH304</f>
        <v>1945.1149818890603</v>
      </c>
      <c r="AI304" s="43">
        <f>'[1]поточний ремонт'!AI304+'[2]поточний ремонт'!AI304-'[3]поточний ремонт'!AI304</f>
        <v>0</v>
      </c>
      <c r="AJ304" s="5"/>
      <c r="AK304" s="43">
        <f>'[1]поточний ремонт'!AK304+'[2]поточний ремонт'!AK304-'[3]поточний ремонт'!AK304</f>
        <v>1718.865701107155</v>
      </c>
      <c r="AL304" s="43">
        <f>'[1]поточний ремонт'!AL304+'[2]поточний ремонт'!AL304-'[3]поточний ремонт'!AL304</f>
        <v>0</v>
      </c>
      <c r="AM304" s="5"/>
      <c r="AN304" s="43">
        <f>'[1]поточний ремонт'!AN304+'[2]поточний ремонт'!AN304-'[3]поточний ремонт'!AN304</f>
        <v>0</v>
      </c>
      <c r="AO304" s="43">
        <f>'[1]поточний ремонт'!AO304+'[2]поточний ремонт'!AO304-'[3]поточний ремонт'!AO304</f>
        <v>0</v>
      </c>
      <c r="AP304" s="5"/>
      <c r="AQ304" s="43">
        <f>'[1]поточний ремонт'!AQ304+'[2]поточний ремонт'!AQ304-'[3]поточний ремонт'!AQ304</f>
        <v>0</v>
      </c>
      <c r="AR304" s="43">
        <f>'[1]поточний ремонт'!AR304+'[2]поточний ремонт'!AR304-'[3]поточний ремонт'!AR304</f>
        <v>643.70454333245698</v>
      </c>
      <c r="AS304" s="5"/>
      <c r="AT304" s="43">
        <f>'[1]поточний ремонт'!AT304+'[2]поточний ремонт'!AT304-'[3]поточний ремонт'!AT304</f>
        <v>804.47265151148963</v>
      </c>
      <c r="AU304" s="43">
        <f>'[1]поточний ремонт'!AU304+'[2]поточний ремонт'!AU304-'[3]поточний ремонт'!AU304</f>
        <v>9340.9114363486951</v>
      </c>
      <c r="AV304" s="5"/>
      <c r="AW304" s="43">
        <f>'[1]поточний ремонт'!AW304+'[2]поточний ремонт'!AW304-'[3]поточний ремонт'!AW304</f>
        <v>0</v>
      </c>
      <c r="AX304" s="43">
        <f>'[1]поточний ремонт'!AX304+'[2]поточний ремонт'!AX304-'[3]поточний ремонт'!AX304</f>
        <v>0</v>
      </c>
      <c r="AY304" s="5"/>
      <c r="AZ304" s="43">
        <f t="shared" si="34"/>
        <v>6002.641059315104</v>
      </c>
      <c r="BA304" s="43">
        <f t="shared" si="35"/>
        <v>11027.951598546244</v>
      </c>
      <c r="BB304" s="59">
        <f t="shared" si="36"/>
        <v>5025.31053923114</v>
      </c>
      <c r="BD304" s="2">
        <v>2</v>
      </c>
      <c r="BF304" s="30">
        <v>3.7717511885390018</v>
      </c>
      <c r="BG304" s="328">
        <v>150000829</v>
      </c>
      <c r="BI304" s="107">
        <v>22.75</v>
      </c>
      <c r="BJ304" s="107">
        <f t="shared" si="37"/>
        <v>3.2000650499999996</v>
      </c>
      <c r="BK304" s="107">
        <v>26.237251859000001</v>
      </c>
      <c r="BL304" s="39"/>
      <c r="BM304" s="3"/>
      <c r="BN304" s="3">
        <v>0</v>
      </c>
      <c r="BP304" s="3"/>
      <c r="BQ304" s="3"/>
      <c r="BS304" s="43"/>
      <c r="BT304" s="43">
        <v>0</v>
      </c>
      <c r="BU304" s="1037"/>
      <c r="BV304" s="42"/>
      <c r="BW304" s="43"/>
      <c r="BX304" s="37"/>
      <c r="BY304" s="78"/>
      <c r="BZ304" s="43">
        <v>0</v>
      </c>
      <c r="CA304" s="1038"/>
      <c r="CB304" s="42"/>
      <c r="CC304" s="42">
        <v>0</v>
      </c>
      <c r="CD304" s="1039"/>
      <c r="CE304" s="78">
        <v>0</v>
      </c>
      <c r="CF304" s="56"/>
      <c r="CG304" s="42">
        <v>0</v>
      </c>
      <c r="CH304" s="39">
        <v>26.237251859000001</v>
      </c>
      <c r="CI304" s="78">
        <v>0</v>
      </c>
      <c r="CJ304" s="56"/>
      <c r="CK304" s="1034"/>
      <c r="CL304" s="1029"/>
      <c r="CM304" s="1034"/>
      <c r="CN304" s="1029">
        <v>0</v>
      </c>
      <c r="CO304" s="78">
        <v>127.8489770672832</v>
      </c>
      <c r="CP304" s="43">
        <v>0</v>
      </c>
      <c r="CQ304" s="5"/>
      <c r="CR304" s="78">
        <v>162.09291515742171</v>
      </c>
      <c r="CS304" s="1033">
        <v>0</v>
      </c>
      <c r="CT304" s="5"/>
      <c r="CU304" s="78">
        <v>143.23880842559623</v>
      </c>
      <c r="CV304" s="43">
        <v>0</v>
      </c>
      <c r="CW304" s="5"/>
      <c r="CX304" s="78">
        <v>0</v>
      </c>
      <c r="CY304" s="43">
        <v>0</v>
      </c>
      <c r="CZ304" s="5"/>
      <c r="DA304" s="78">
        <v>0</v>
      </c>
      <c r="DB304" s="43">
        <v>0</v>
      </c>
      <c r="DC304" s="5"/>
      <c r="DD304" s="78">
        <v>67.03938762595746</v>
      </c>
      <c r="DE304" s="43">
        <v>0</v>
      </c>
      <c r="DF304" s="5"/>
      <c r="DG304" s="78">
        <v>0</v>
      </c>
      <c r="DH304" s="43"/>
      <c r="DI304" s="5"/>
      <c r="DJ304" s="43">
        <v>500.22008827625859</v>
      </c>
      <c r="DK304" s="43">
        <f t="shared" si="38"/>
        <v>0</v>
      </c>
      <c r="DL304" s="59">
        <f t="shared" si="39"/>
        <v>-500.22008827625859</v>
      </c>
    </row>
    <row r="305" spans="1:116" ht="24.9" customHeight="1" x14ac:dyDescent="0.3">
      <c r="A305" s="328">
        <v>150000797</v>
      </c>
      <c r="B305" s="45" t="s">
        <v>231</v>
      </c>
      <c r="C305" s="1035">
        <v>4</v>
      </c>
      <c r="D305" s="1036" t="s">
        <v>454</v>
      </c>
      <c r="E305" s="1028">
        <f>'побудинковий звіт'!E303</f>
        <v>3358.5</v>
      </c>
      <c r="F305" s="1029">
        <f>'побудинковий звіт'!AS303</f>
        <v>85381.227256183731</v>
      </c>
      <c r="G305" s="1029">
        <f t="shared" si="32"/>
        <v>13500.655317975108</v>
      </c>
      <c r="H305" s="1029">
        <f t="shared" si="33"/>
        <v>-71880.571938208624</v>
      </c>
      <c r="I305" s="43">
        <f>'[1]поточний ремонт'!I305+'[2]поточний ремонт'!I305-'[3]поточний ремонт'!I305</f>
        <v>15</v>
      </c>
      <c r="J305" s="43">
        <f>'[1]поточний ремонт'!J305+'[2]поточний ремонт'!J305-'[3]поточний ремонт'!J305</f>
        <v>4179</v>
      </c>
      <c r="K305" s="1037"/>
      <c r="L305" s="43">
        <f>'[1]поточний ремонт'!L305+'[2]поточний ремонт'!L305-'[3]поточний ремонт'!L305</f>
        <v>0</v>
      </c>
      <c r="M305" s="43">
        <f>'[1]поточний ремонт'!M305+'[2]поточний ремонт'!M305-'[3]поточний ремонт'!M305</f>
        <v>0</v>
      </c>
      <c r="N305" s="37"/>
      <c r="O305" s="43">
        <f>'[1]поточний ремонт'!O305+'[2]поточний ремонт'!O305-'[3]поточний ремонт'!O305</f>
        <v>0</v>
      </c>
      <c r="P305" s="43">
        <f>'[1]поточний ремонт'!P305+'[2]поточний ремонт'!P305-'[3]поточний ремонт'!P305</f>
        <v>0</v>
      </c>
      <c r="Q305" s="1038"/>
      <c r="R305" s="43">
        <f>'[1]поточний ремонт'!R305+'[2]поточний ремонт'!R305-'[3]поточний ремонт'!R305</f>
        <v>0</v>
      </c>
      <c r="S305" s="43">
        <f>'[1]поточний ремонт'!S305+'[2]поточний ремонт'!S305-'[3]поточний ремонт'!S305</f>
        <v>0</v>
      </c>
      <c r="T305" s="1039"/>
      <c r="U305" s="43">
        <f>'[1]поточний ремонт'!U305+'[2]поточний ремонт'!U305-'[3]поточний ремонт'!U305</f>
        <v>0</v>
      </c>
      <c r="V305" s="43">
        <f>'[1]поточний ремонт'!V305+'[2]поточний ремонт'!V305-'[3]поточний ремонт'!V305</f>
        <v>0</v>
      </c>
      <c r="W305" s="43">
        <f>'[1]поточний ремонт'!W305+'[2]поточний ремонт'!W305-'[3]поточний ремонт'!W305</f>
        <v>0</v>
      </c>
      <c r="X305" s="43">
        <f>'[1]поточний ремонт'!X305+'[2]поточний ремонт'!X305-'[3]поточний ремонт'!X305</f>
        <v>604.65531797510778</v>
      </c>
      <c r="Y305" s="43">
        <f>'[1]поточний ремонт'!Y305+'[2]поточний ремонт'!Y305-'[3]поточний ремонт'!Y305</f>
        <v>4095</v>
      </c>
      <c r="Z305" s="43">
        <f>'[1]поточний ремонт'!Z305+'[2]поточний ремонт'!Z305-'[3]поточний ремонт'!Z305</f>
        <v>0</v>
      </c>
      <c r="AA305" s="43">
        <f>'[1]поточний ремонт'!AA305+'[2]поточний ремонт'!AA305-'[3]поточний ремонт'!AA305</f>
        <v>0</v>
      </c>
      <c r="AB305" s="43">
        <f>'[1]поточний ремонт'!AB305+'[2]поточний ремонт'!AB305-'[3]поточний ремонт'!AB305</f>
        <v>0</v>
      </c>
      <c r="AC305" s="43">
        <f>'[1]поточний ремонт'!AC305+'[2]поточний ремонт'!AC305-'[3]поточний ремонт'!AC305</f>
        <v>0</v>
      </c>
      <c r="AD305" s="43">
        <f>'[1]поточний ремонт'!AD305+'[2]поточний ремонт'!AD305-'[3]поточний ремонт'!AD305</f>
        <v>4622</v>
      </c>
      <c r="AE305" s="43">
        <f>'[1]поточний ремонт'!AE305+'[2]поточний ремонт'!AE305-'[3]поточний ремонт'!AE305</f>
        <v>3061.1019280008609</v>
      </c>
      <c r="AF305" s="43">
        <f>'[1]поточний ремонт'!AF305+'[2]поточний ремонт'!AF305-'[3]поточний ремонт'!AF305</f>
        <v>1812</v>
      </c>
      <c r="AG305" s="5"/>
      <c r="AH305" s="43">
        <f>'[1]поточний ремонт'!AH305+'[2]поточний ремонт'!AH305-'[3]поточний ремонт'!AH305</f>
        <v>4768.1015263573827</v>
      </c>
      <c r="AI305" s="43">
        <f>'[1]поточний ремонт'!AI305+'[2]поточний ремонт'!AI305-'[3]поточний ремонт'!AI305</f>
        <v>0</v>
      </c>
      <c r="AJ305" s="5"/>
      <c r="AK305" s="43">
        <f>'[1]поточний ремонт'!AK305+'[2]поточний ремонт'!AK305-'[3]поточний ремонт'!AK305</f>
        <v>2942.034581402625</v>
      </c>
      <c r="AL305" s="43">
        <f>'[1]поточний ремонт'!AL305+'[2]поточний ремонт'!AL305-'[3]поточний ремонт'!AL305</f>
        <v>9955.8904162413819</v>
      </c>
      <c r="AM305" s="5"/>
      <c r="AN305" s="43">
        <f>'[1]поточний ремонт'!AN305+'[2]поточний ремонт'!AN305-'[3]поточний ремонт'!AN305</f>
        <v>0</v>
      </c>
      <c r="AO305" s="43">
        <f>'[1]поточний ремонт'!AO305+'[2]поточний ремонт'!AO305-'[3]поточний ремонт'!AO305</f>
        <v>0</v>
      </c>
      <c r="AP305" s="5"/>
      <c r="AQ305" s="43">
        <f>'[1]поточний ремонт'!AQ305+'[2]поточний ремонт'!AQ305-'[3]поточний ремонт'!AQ305</f>
        <v>0</v>
      </c>
      <c r="AR305" s="43">
        <f>'[1]поточний ремонт'!AR305+'[2]поточний ремонт'!AR305-'[3]поточний ремонт'!AR305</f>
        <v>0</v>
      </c>
      <c r="AS305" s="5"/>
      <c r="AT305" s="43">
        <f>'[1]поточний ремонт'!AT305+'[2]поточний ремонт'!AT305-'[3]поточний ремонт'!AT305</f>
        <v>3022.758050626006</v>
      </c>
      <c r="AU305" s="43">
        <f>'[1]поточний ремонт'!AU305+'[2]поточний ремонт'!AU305-'[3]поточний ремонт'!AU305</f>
        <v>5447.0489151035745</v>
      </c>
      <c r="AV305" s="5"/>
      <c r="AW305" s="43">
        <f>'[1]поточний ремонт'!AW305+'[2]поточний ремонт'!AW305-'[3]поточний ремонт'!AW305</f>
        <v>0</v>
      </c>
      <c r="AX305" s="43">
        <f>'[1]поточний ремонт'!AX305+'[2]поточний ремонт'!AX305-'[3]поточний ремонт'!AX305</f>
        <v>0</v>
      </c>
      <c r="AY305" s="5"/>
      <c r="AZ305" s="43">
        <f t="shared" si="34"/>
        <v>13793.996086386873</v>
      </c>
      <c r="BA305" s="43">
        <f t="shared" si="35"/>
        <v>17214.939331344955</v>
      </c>
      <c r="BB305" s="59">
        <f t="shared" si="36"/>
        <v>3420.9432449580818</v>
      </c>
      <c r="BD305" s="2">
        <v>2</v>
      </c>
      <c r="BF305" s="30">
        <v>6.6366404219340023</v>
      </c>
      <c r="BG305" s="328">
        <v>150000797</v>
      </c>
      <c r="BI305" s="107">
        <v>45.12</v>
      </c>
      <c r="BJ305" s="107">
        <f t="shared" si="37"/>
        <v>6.3466784639999991</v>
      </c>
      <c r="BK305" s="107">
        <v>52.036255115519999</v>
      </c>
      <c r="BL305" s="39"/>
      <c r="BM305" s="3"/>
      <c r="BN305" s="3">
        <v>0</v>
      </c>
      <c r="BP305" s="3"/>
      <c r="BQ305" s="3"/>
      <c r="BS305" s="43"/>
      <c r="BT305" s="43">
        <v>0</v>
      </c>
      <c r="BU305" s="1037"/>
      <c r="BV305" s="42"/>
      <c r="BW305" s="43"/>
      <c r="BX305" s="37"/>
      <c r="BY305" s="78"/>
      <c r="BZ305" s="43">
        <v>0</v>
      </c>
      <c r="CA305" s="1038"/>
      <c r="CB305" s="42"/>
      <c r="CC305" s="42">
        <v>0</v>
      </c>
      <c r="CD305" s="1039"/>
      <c r="CE305" s="78">
        <v>0</v>
      </c>
      <c r="CF305" s="56"/>
      <c r="CG305" s="42">
        <v>0</v>
      </c>
      <c r="CH305" s="39">
        <v>52.036255115519999</v>
      </c>
      <c r="CI305" s="78">
        <v>0</v>
      </c>
      <c r="CJ305" s="56"/>
      <c r="CK305" s="1034"/>
      <c r="CL305" s="1029"/>
      <c r="CM305" s="1034"/>
      <c r="CN305" s="1029">
        <v>0</v>
      </c>
      <c r="CO305" s="78">
        <v>255.09182733340506</v>
      </c>
      <c r="CP305" s="43">
        <v>0</v>
      </c>
      <c r="CQ305" s="5"/>
      <c r="CR305" s="78">
        <v>397.34179386311524</v>
      </c>
      <c r="CS305" s="1033">
        <v>0</v>
      </c>
      <c r="CT305" s="5"/>
      <c r="CU305" s="78">
        <v>245.16954845021871</v>
      </c>
      <c r="CV305" s="43">
        <v>0</v>
      </c>
      <c r="CW305" s="5"/>
      <c r="CX305" s="78">
        <v>0</v>
      </c>
      <c r="CY305" s="43">
        <v>0</v>
      </c>
      <c r="CZ305" s="5"/>
      <c r="DA305" s="78">
        <v>0</v>
      </c>
      <c r="DB305" s="43">
        <v>0</v>
      </c>
      <c r="DC305" s="5"/>
      <c r="DD305" s="78">
        <v>251.89650421883385</v>
      </c>
      <c r="DE305" s="43">
        <v>0</v>
      </c>
      <c r="DF305" s="5"/>
      <c r="DG305" s="78">
        <v>0</v>
      </c>
      <c r="DH305" s="43"/>
      <c r="DI305" s="5"/>
      <c r="DJ305" s="43">
        <v>1149.499673865573</v>
      </c>
      <c r="DK305" s="43">
        <f t="shared" si="38"/>
        <v>0</v>
      </c>
      <c r="DL305" s="59">
        <f t="shared" si="39"/>
        <v>-1149.499673865573</v>
      </c>
    </row>
    <row r="306" spans="1:116" ht="24.9" customHeight="1" x14ac:dyDescent="0.3">
      <c r="A306" s="328">
        <v>150000709</v>
      </c>
      <c r="B306" s="45" t="s">
        <v>142</v>
      </c>
      <c r="C306" s="1035">
        <v>1</v>
      </c>
      <c r="D306" s="1036" t="s">
        <v>454</v>
      </c>
      <c r="E306" s="1028">
        <f>'побудинковий звіт'!E304</f>
        <v>3727.2</v>
      </c>
      <c r="F306" s="1029">
        <f>'побудинковий звіт'!AS304</f>
        <v>2430.2958936730929</v>
      </c>
      <c r="G306" s="1029">
        <f t="shared" si="32"/>
        <v>860</v>
      </c>
      <c r="H306" s="1029">
        <f t="shared" si="33"/>
        <v>-1570.2958936730929</v>
      </c>
      <c r="I306" s="43">
        <f>'[1]поточний ремонт'!I306+'[2]поточний ремонт'!I306-'[3]поточний ремонт'!I306</f>
        <v>4.5</v>
      </c>
      <c r="J306" s="43">
        <f>'[1]поточний ремонт'!J306+'[2]поточний ремонт'!J306-'[3]поточний ремонт'!J306</f>
        <v>860</v>
      </c>
      <c r="K306" s="1037"/>
      <c r="L306" s="43">
        <f>'[1]поточний ремонт'!L306+'[2]поточний ремонт'!L306-'[3]поточний ремонт'!L306</f>
        <v>0</v>
      </c>
      <c r="M306" s="43">
        <f>'[1]поточний ремонт'!M306+'[2]поточний ремонт'!M306-'[3]поточний ремонт'!M306</f>
        <v>0</v>
      </c>
      <c r="N306" s="37"/>
      <c r="O306" s="43">
        <f>'[1]поточний ремонт'!O306+'[2]поточний ремонт'!O306-'[3]поточний ремонт'!O306</f>
        <v>0</v>
      </c>
      <c r="P306" s="43">
        <f>'[1]поточний ремонт'!P306+'[2]поточний ремонт'!P306-'[3]поточний ремонт'!P306</f>
        <v>0</v>
      </c>
      <c r="Q306" s="1038"/>
      <c r="R306" s="43">
        <f>'[1]поточний ремонт'!R306+'[2]поточний ремонт'!R306-'[3]поточний ремонт'!R306</f>
        <v>0</v>
      </c>
      <c r="S306" s="43">
        <f>'[1]поточний ремонт'!S306+'[2]поточний ремонт'!S306-'[3]поточний ремонт'!S306</f>
        <v>0</v>
      </c>
      <c r="T306" s="1039"/>
      <c r="U306" s="43">
        <f>'[1]поточний ремонт'!U306+'[2]поточний ремонт'!U306-'[3]поточний ремонт'!U306</f>
        <v>0</v>
      </c>
      <c r="V306" s="43">
        <f>'[1]поточний ремонт'!V306+'[2]поточний ремонт'!V306-'[3]поточний ремонт'!V306</f>
        <v>0</v>
      </c>
      <c r="W306" s="43">
        <f>'[1]поточний ремонт'!W306+'[2]поточний ремонт'!W306-'[3]поточний ремонт'!W306</f>
        <v>0</v>
      </c>
      <c r="X306" s="43">
        <f>'[1]поточний ремонт'!X306+'[2]поточний ремонт'!X306-'[3]поточний ремонт'!X306</f>
        <v>0</v>
      </c>
      <c r="Y306" s="43">
        <f>'[1]поточний ремонт'!Y306+'[2]поточний ремонт'!Y306-'[3]поточний ремонт'!Y306</f>
        <v>0</v>
      </c>
      <c r="Z306" s="43">
        <f>'[1]поточний ремонт'!Z306+'[2]поточний ремонт'!Z306-'[3]поточний ремонт'!Z306</f>
        <v>0</v>
      </c>
      <c r="AA306" s="43">
        <f>'[1]поточний ремонт'!AA306+'[2]поточний ремонт'!AA306-'[3]поточний ремонт'!AA306</f>
        <v>0</v>
      </c>
      <c r="AB306" s="43">
        <f>'[1]поточний ремонт'!AB306+'[2]поточний ремонт'!AB306-'[3]поточний ремонт'!AB306</f>
        <v>0</v>
      </c>
      <c r="AC306" s="43">
        <f>'[1]поточний ремонт'!AC306+'[2]поточний ремонт'!AC306-'[3]поточний ремонт'!AC306</f>
        <v>0</v>
      </c>
      <c r="AD306" s="43">
        <f>'[1]поточний ремонт'!AD306+'[2]поточний ремонт'!AD306-'[3]поточний ремонт'!AD306</f>
        <v>0</v>
      </c>
      <c r="AE306" s="43">
        <f>'[1]поточний ремонт'!AE306+'[2]поточний ремонт'!AE306-'[3]поточний ремонт'!AE306</f>
        <v>0</v>
      </c>
      <c r="AF306" s="43">
        <f>'[1]поточний ремонт'!AF306+'[2]поточний ремонт'!AF306-'[3]поточний ремонт'!AF306</f>
        <v>0</v>
      </c>
      <c r="AG306" s="5"/>
      <c r="AH306" s="43">
        <f>'[1]поточний ремонт'!AH306+'[2]поточний ремонт'!AH306-'[3]поточний ремонт'!AH306</f>
        <v>0</v>
      </c>
      <c r="AI306" s="43">
        <f>'[1]поточний ремонт'!AI306+'[2]поточний ремонт'!AI306-'[3]поточний ремонт'!AI306</f>
        <v>0</v>
      </c>
      <c r="AJ306" s="5"/>
      <c r="AK306" s="43">
        <f>'[1]поточний ремонт'!AK306+'[2]поточний ремонт'!AK306-'[3]поточний ремонт'!AK306</f>
        <v>0</v>
      </c>
      <c r="AL306" s="43">
        <f>'[1]поточний ремонт'!AL306+'[2]поточний ремонт'!AL306-'[3]поточний ремонт'!AL306</f>
        <v>0</v>
      </c>
      <c r="AM306" s="5"/>
      <c r="AN306" s="43">
        <f>'[1]поточний ремонт'!AN306+'[2]поточний ремонт'!AN306-'[3]поточний ремонт'!AN306</f>
        <v>0</v>
      </c>
      <c r="AO306" s="43">
        <f>'[1]поточний ремонт'!AO306+'[2]поточний ремонт'!AO306-'[3]поточний ремонт'!AO306</f>
        <v>0</v>
      </c>
      <c r="AP306" s="5"/>
      <c r="AQ306" s="43">
        <f>'[1]поточний ремонт'!AQ306+'[2]поточний ремонт'!AQ306-'[3]поточний ремонт'!AQ306</f>
        <v>0</v>
      </c>
      <c r="AR306" s="43">
        <f>'[1]поточний ремонт'!AR306+'[2]поточний ремонт'!AR306-'[3]поточний ремонт'!AR306</f>
        <v>0</v>
      </c>
      <c r="AS306" s="5"/>
      <c r="AT306" s="43">
        <f>'[1]поточний ремонт'!AT306+'[2]поточний ремонт'!AT306-'[3]поточний ремонт'!AT306</f>
        <v>0</v>
      </c>
      <c r="AU306" s="43">
        <f>'[1]поточний ремонт'!AU306+'[2]поточний ремонт'!AU306-'[3]поточний ремонт'!AU306</f>
        <v>0</v>
      </c>
      <c r="AV306" s="5"/>
      <c r="AW306" s="43">
        <f>'[1]поточний ремонт'!AW306+'[2]поточний ремонт'!AW306-'[3]поточний ремонт'!AW306</f>
        <v>0</v>
      </c>
      <c r="AX306" s="43">
        <f>'[1]поточний ремонт'!AX306+'[2]поточний ремонт'!AX306-'[3]поточний ремонт'!AX306</f>
        <v>0</v>
      </c>
      <c r="AY306" s="5"/>
      <c r="AZ306" s="43">
        <f t="shared" si="34"/>
        <v>0</v>
      </c>
      <c r="BA306" s="43">
        <f t="shared" si="35"/>
        <v>0</v>
      </c>
      <c r="BB306" s="59">
        <f t="shared" si="36"/>
        <v>0</v>
      </c>
      <c r="BD306" s="2">
        <v>3</v>
      </c>
      <c r="BF306" s="30">
        <v>0</v>
      </c>
      <c r="BG306" s="328">
        <v>150000709</v>
      </c>
      <c r="BI306" s="107">
        <v>0</v>
      </c>
      <c r="BJ306" s="107">
        <f t="shared" si="37"/>
        <v>0</v>
      </c>
      <c r="BK306" s="107">
        <v>0</v>
      </c>
      <c r="BL306" s="39"/>
      <c r="BM306" s="3"/>
      <c r="BN306" s="3">
        <v>0</v>
      </c>
      <c r="BP306" s="3"/>
      <c r="BQ306" s="3"/>
      <c r="BS306" s="43"/>
      <c r="BT306" s="43">
        <v>0</v>
      </c>
      <c r="BU306" s="1037"/>
      <c r="BV306" s="42"/>
      <c r="BW306" s="43"/>
      <c r="BX306" s="37"/>
      <c r="BY306" s="78"/>
      <c r="BZ306" s="43">
        <v>0</v>
      </c>
      <c r="CA306" s="1038"/>
      <c r="CB306" s="42"/>
      <c r="CC306" s="42">
        <v>0</v>
      </c>
      <c r="CD306" s="1039"/>
      <c r="CE306" s="78">
        <v>0</v>
      </c>
      <c r="CF306" s="56"/>
      <c r="CG306" s="42">
        <v>0</v>
      </c>
      <c r="CH306" s="39">
        <v>0</v>
      </c>
      <c r="CI306" s="78">
        <v>0</v>
      </c>
      <c r="CJ306" s="56"/>
      <c r="CK306" s="1034"/>
      <c r="CL306" s="1029"/>
      <c r="CM306" s="1034"/>
      <c r="CN306" s="1029">
        <v>0</v>
      </c>
      <c r="CO306" s="78">
        <v>0</v>
      </c>
      <c r="CP306" s="43">
        <v>0</v>
      </c>
      <c r="CQ306" s="5"/>
      <c r="CR306" s="78">
        <v>0</v>
      </c>
      <c r="CS306" s="1033">
        <v>0</v>
      </c>
      <c r="CT306" s="5"/>
      <c r="CU306" s="78">
        <v>0</v>
      </c>
      <c r="CV306" s="43">
        <v>0</v>
      </c>
      <c r="CW306" s="5"/>
      <c r="CX306" s="78">
        <v>0</v>
      </c>
      <c r="CY306" s="43">
        <v>0</v>
      </c>
      <c r="CZ306" s="5"/>
      <c r="DA306" s="78">
        <v>0</v>
      </c>
      <c r="DB306" s="43">
        <v>0</v>
      </c>
      <c r="DC306" s="5"/>
      <c r="DD306" s="78">
        <v>0</v>
      </c>
      <c r="DE306" s="43">
        <v>0</v>
      </c>
      <c r="DF306" s="5"/>
      <c r="DG306" s="78">
        <v>0</v>
      </c>
      <c r="DH306" s="43"/>
      <c r="DI306" s="5"/>
      <c r="DJ306" s="43">
        <v>0</v>
      </c>
      <c r="DK306" s="43">
        <f t="shared" si="38"/>
        <v>0</v>
      </c>
      <c r="DL306" s="59">
        <f t="shared" si="39"/>
        <v>0</v>
      </c>
    </row>
    <row r="307" spans="1:116" ht="24.9" customHeight="1" x14ac:dyDescent="0.3">
      <c r="A307" s="328">
        <v>150000706</v>
      </c>
      <c r="B307" s="45" t="s">
        <v>143</v>
      </c>
      <c r="C307" s="1035">
        <v>1</v>
      </c>
      <c r="D307" s="1036" t="s">
        <v>454</v>
      </c>
      <c r="E307" s="1028">
        <f>'побудинковий звіт'!E305</f>
        <v>2104.64</v>
      </c>
      <c r="F307" s="1029">
        <f>'побудинковий звіт'!AS305</f>
        <v>2957.2018922620732</v>
      </c>
      <c r="G307" s="1029">
        <f t="shared" si="32"/>
        <v>537</v>
      </c>
      <c r="H307" s="1029">
        <f t="shared" si="33"/>
        <v>-2420.2018922620732</v>
      </c>
      <c r="I307" s="43">
        <f>'[1]поточний ремонт'!I307+'[2]поточний ремонт'!I307-'[3]поточний ремонт'!I307</f>
        <v>0</v>
      </c>
      <c r="J307" s="43">
        <f>'[1]поточний ремонт'!J307+'[2]поточний ремонт'!J307-'[3]поточний ремонт'!J307</f>
        <v>0</v>
      </c>
      <c r="K307" s="1037"/>
      <c r="L307" s="43">
        <f>'[1]поточний ремонт'!L307+'[2]поточний ремонт'!L307-'[3]поточний ремонт'!L307</f>
        <v>0</v>
      </c>
      <c r="M307" s="43">
        <f>'[1]поточний ремонт'!M307+'[2]поточний ремонт'!M307-'[3]поточний ремонт'!M307</f>
        <v>0</v>
      </c>
      <c r="N307" s="37"/>
      <c r="O307" s="43">
        <f>'[1]поточний ремонт'!O307+'[2]поточний ремонт'!O307-'[3]поточний ремонт'!O307</f>
        <v>0</v>
      </c>
      <c r="P307" s="43">
        <f>'[1]поточний ремонт'!P307+'[2]поточний ремонт'!P307-'[3]поточний ремонт'!P307</f>
        <v>0</v>
      </c>
      <c r="Q307" s="1038"/>
      <c r="R307" s="43">
        <f>'[1]поточний ремонт'!R307+'[2]поточний ремонт'!R307-'[3]поточний ремонт'!R307</f>
        <v>0</v>
      </c>
      <c r="S307" s="43">
        <f>'[1]поточний ремонт'!S307+'[2]поточний ремонт'!S307-'[3]поточний ремонт'!S307</f>
        <v>0</v>
      </c>
      <c r="T307" s="1039"/>
      <c r="U307" s="43">
        <f>'[1]поточний ремонт'!U307+'[2]поточний ремонт'!U307-'[3]поточний ремонт'!U307</f>
        <v>0</v>
      </c>
      <c r="V307" s="43">
        <f>'[1]поточний ремонт'!V307+'[2]поточний ремонт'!V307-'[3]поточний ремонт'!V307</f>
        <v>0</v>
      </c>
      <c r="W307" s="43">
        <f>'[1]поточний ремонт'!W307+'[2]поточний ремонт'!W307-'[3]поточний ремонт'!W307</f>
        <v>0</v>
      </c>
      <c r="X307" s="43">
        <f>'[1]поточний ремонт'!X307+'[2]поточний ремонт'!X307-'[3]поточний ремонт'!X307</f>
        <v>0</v>
      </c>
      <c r="Y307" s="43">
        <f>'[1]поточний ремонт'!Y307+'[2]поточний ремонт'!Y307-'[3]поточний ремонт'!Y307</f>
        <v>0</v>
      </c>
      <c r="Z307" s="43">
        <f>'[1]поточний ремонт'!Z307+'[2]поточний ремонт'!Z307-'[3]поточний ремонт'!Z307</f>
        <v>0</v>
      </c>
      <c r="AA307" s="43">
        <f>'[1]поточний ремонт'!AA307+'[2]поточний ремонт'!AA307-'[3]поточний ремонт'!AA307</f>
        <v>0</v>
      </c>
      <c r="AB307" s="43">
        <f>'[1]поточний ремонт'!AB307+'[2]поточний ремонт'!AB307-'[3]поточний ремонт'!AB307</f>
        <v>0</v>
      </c>
      <c r="AC307" s="43">
        <f>'[1]поточний ремонт'!AC307+'[2]поточний ремонт'!AC307-'[3]поточний ремонт'!AC307</f>
        <v>0</v>
      </c>
      <c r="AD307" s="43">
        <f>'[1]поточний ремонт'!AD307+'[2]поточний ремонт'!AD307-'[3]поточний ремонт'!AD307</f>
        <v>537</v>
      </c>
      <c r="AE307" s="43">
        <f>'[1]поточний ремонт'!AE307+'[2]поточний ремонт'!AE307-'[3]поточний ремонт'!AE307</f>
        <v>0</v>
      </c>
      <c r="AF307" s="43">
        <f>'[1]поточний ремонт'!AF307+'[2]поточний ремонт'!AF307-'[3]поточний ремонт'!AF307</f>
        <v>0</v>
      </c>
      <c r="AG307" s="5"/>
      <c r="AH307" s="43">
        <f>'[1]поточний ремонт'!AH307+'[2]поточний ремонт'!AH307-'[3]поточний ремонт'!AH307</f>
        <v>0</v>
      </c>
      <c r="AI307" s="43">
        <f>'[1]поточний ремонт'!AI307+'[2]поточний ремонт'!AI307-'[3]поточний ремонт'!AI307</f>
        <v>0</v>
      </c>
      <c r="AJ307" s="5"/>
      <c r="AK307" s="43">
        <f>'[1]поточний ремонт'!AK307+'[2]поточний ремонт'!AK307-'[3]поточний ремонт'!AK307</f>
        <v>0</v>
      </c>
      <c r="AL307" s="43">
        <f>'[1]поточний ремонт'!AL307+'[2]поточний ремонт'!AL307-'[3]поточний ремонт'!AL307</f>
        <v>0</v>
      </c>
      <c r="AM307" s="5"/>
      <c r="AN307" s="43">
        <f>'[1]поточний ремонт'!AN307+'[2]поточний ремонт'!AN307-'[3]поточний ремонт'!AN307</f>
        <v>0</v>
      </c>
      <c r="AO307" s="43">
        <f>'[1]поточний ремонт'!AO307+'[2]поточний ремонт'!AO307-'[3]поточний ремонт'!AO307</f>
        <v>0</v>
      </c>
      <c r="AP307" s="5"/>
      <c r="AQ307" s="43">
        <f>'[1]поточний ремонт'!AQ307+'[2]поточний ремонт'!AQ307-'[3]поточний ремонт'!AQ307</f>
        <v>0</v>
      </c>
      <c r="AR307" s="43">
        <f>'[1]поточний ремонт'!AR307+'[2]поточний ремонт'!AR307-'[3]поточний ремонт'!AR307</f>
        <v>0</v>
      </c>
      <c r="AS307" s="5"/>
      <c r="AT307" s="43">
        <f>'[1]поточний ремонт'!AT307+'[2]поточний ремонт'!AT307-'[3]поточний ремонт'!AT307</f>
        <v>0</v>
      </c>
      <c r="AU307" s="43">
        <f>'[1]поточний ремонт'!AU307+'[2]поточний ремонт'!AU307-'[3]поточний ремонт'!AU307</f>
        <v>0</v>
      </c>
      <c r="AV307" s="5"/>
      <c r="AW307" s="43">
        <f>'[1]поточний ремонт'!AW307+'[2]поточний ремонт'!AW307-'[3]поточний ремонт'!AW307</f>
        <v>0</v>
      </c>
      <c r="AX307" s="43">
        <f>'[1]поточний ремонт'!AX307+'[2]поточний ремонт'!AX307-'[3]поточний ремонт'!AX307</f>
        <v>0</v>
      </c>
      <c r="AY307" s="5"/>
      <c r="AZ307" s="43">
        <f t="shared" si="34"/>
        <v>0</v>
      </c>
      <c r="BA307" s="43">
        <f t="shared" si="35"/>
        <v>0</v>
      </c>
      <c r="BB307" s="59">
        <f t="shared" si="36"/>
        <v>0</v>
      </c>
      <c r="BD307" s="2">
        <v>3</v>
      </c>
      <c r="BF307" s="30">
        <v>0</v>
      </c>
      <c r="BG307" s="328">
        <v>150000706</v>
      </c>
      <c r="BI307" s="107">
        <v>0</v>
      </c>
      <c r="BJ307" s="107">
        <f t="shared" si="37"/>
        <v>0</v>
      </c>
      <c r="BK307" s="107">
        <v>0</v>
      </c>
      <c r="BL307" s="39"/>
      <c r="BM307" s="3"/>
      <c r="BN307" s="3">
        <v>0</v>
      </c>
      <c r="BP307" s="3"/>
      <c r="BQ307" s="3"/>
      <c r="BS307" s="43"/>
      <c r="BT307" s="43">
        <v>0</v>
      </c>
      <c r="BU307" s="1037"/>
      <c r="BV307" s="42"/>
      <c r="BW307" s="43"/>
      <c r="BX307" s="37"/>
      <c r="BY307" s="78"/>
      <c r="BZ307" s="43">
        <v>0</v>
      </c>
      <c r="CA307" s="1038"/>
      <c r="CB307" s="42"/>
      <c r="CC307" s="42">
        <v>0</v>
      </c>
      <c r="CD307" s="1039"/>
      <c r="CE307" s="78">
        <v>0</v>
      </c>
      <c r="CF307" s="56"/>
      <c r="CG307" s="42">
        <v>0</v>
      </c>
      <c r="CH307" s="39">
        <v>0</v>
      </c>
      <c r="CI307" s="78">
        <v>0</v>
      </c>
      <c r="CJ307" s="56"/>
      <c r="CK307" s="1034"/>
      <c r="CL307" s="1029"/>
      <c r="CM307" s="1034"/>
      <c r="CN307" s="1029">
        <v>0</v>
      </c>
      <c r="CO307" s="78">
        <v>0</v>
      </c>
      <c r="CP307" s="43">
        <v>0</v>
      </c>
      <c r="CQ307" s="5"/>
      <c r="CR307" s="78">
        <v>0</v>
      </c>
      <c r="CS307" s="1033">
        <v>0</v>
      </c>
      <c r="CT307" s="5"/>
      <c r="CU307" s="78">
        <v>0</v>
      </c>
      <c r="CV307" s="43">
        <v>0</v>
      </c>
      <c r="CW307" s="5"/>
      <c r="CX307" s="78">
        <v>0</v>
      </c>
      <c r="CY307" s="43">
        <v>0</v>
      </c>
      <c r="CZ307" s="5"/>
      <c r="DA307" s="78">
        <v>0</v>
      </c>
      <c r="DB307" s="43">
        <v>0</v>
      </c>
      <c r="DC307" s="5"/>
      <c r="DD307" s="78">
        <v>0</v>
      </c>
      <c r="DE307" s="43">
        <v>0</v>
      </c>
      <c r="DF307" s="5"/>
      <c r="DG307" s="78">
        <v>0</v>
      </c>
      <c r="DH307" s="43"/>
      <c r="DI307" s="5"/>
      <c r="DJ307" s="43">
        <v>0</v>
      </c>
      <c r="DK307" s="43">
        <f t="shared" si="38"/>
        <v>0</v>
      </c>
      <c r="DL307" s="59">
        <f t="shared" si="39"/>
        <v>0</v>
      </c>
    </row>
    <row r="308" spans="1:116" ht="24.9" customHeight="1" x14ac:dyDescent="0.3">
      <c r="A308" s="328">
        <v>150000707</v>
      </c>
      <c r="B308" s="45" t="s">
        <v>144</v>
      </c>
      <c r="C308" s="1035">
        <v>1</v>
      </c>
      <c r="D308" s="1036" t="s">
        <v>454</v>
      </c>
      <c r="E308" s="1028">
        <f>'побудинковий звіт'!E306</f>
        <v>2552.36</v>
      </c>
      <c r="F308" s="1029">
        <f>'побудинковий звіт'!AS306</f>
        <v>3848.7759752988832</v>
      </c>
      <c r="G308" s="1029">
        <f t="shared" si="32"/>
        <v>0</v>
      </c>
      <c r="H308" s="1029">
        <f t="shared" si="33"/>
        <v>-3848.7759752988832</v>
      </c>
      <c r="I308" s="43">
        <f>'[1]поточний ремонт'!I308+'[2]поточний ремонт'!I308-'[3]поточний ремонт'!I308</f>
        <v>0</v>
      </c>
      <c r="J308" s="43">
        <f>'[1]поточний ремонт'!J308+'[2]поточний ремонт'!J308-'[3]поточний ремонт'!J308</f>
        <v>0</v>
      </c>
      <c r="K308" s="1037"/>
      <c r="L308" s="43">
        <f>'[1]поточний ремонт'!L308+'[2]поточний ремонт'!L308-'[3]поточний ремонт'!L308</f>
        <v>0</v>
      </c>
      <c r="M308" s="43">
        <f>'[1]поточний ремонт'!M308+'[2]поточний ремонт'!M308-'[3]поточний ремонт'!M308</f>
        <v>0</v>
      </c>
      <c r="N308" s="37"/>
      <c r="O308" s="43">
        <f>'[1]поточний ремонт'!O308+'[2]поточний ремонт'!O308-'[3]поточний ремонт'!O308</f>
        <v>0</v>
      </c>
      <c r="P308" s="43">
        <f>'[1]поточний ремонт'!P308+'[2]поточний ремонт'!P308-'[3]поточний ремонт'!P308</f>
        <v>0</v>
      </c>
      <c r="Q308" s="1038"/>
      <c r="R308" s="43">
        <f>'[1]поточний ремонт'!R308+'[2]поточний ремонт'!R308-'[3]поточний ремонт'!R308</f>
        <v>0</v>
      </c>
      <c r="S308" s="43">
        <f>'[1]поточний ремонт'!S308+'[2]поточний ремонт'!S308-'[3]поточний ремонт'!S308</f>
        <v>0</v>
      </c>
      <c r="T308" s="1039"/>
      <c r="U308" s="43">
        <f>'[1]поточний ремонт'!U308+'[2]поточний ремонт'!U308-'[3]поточний ремонт'!U308</f>
        <v>0</v>
      </c>
      <c r="V308" s="43">
        <f>'[1]поточний ремонт'!V308+'[2]поточний ремонт'!V308-'[3]поточний ремонт'!V308</f>
        <v>0</v>
      </c>
      <c r="W308" s="43">
        <f>'[1]поточний ремонт'!W308+'[2]поточний ремонт'!W308-'[3]поточний ремонт'!W308</f>
        <v>0</v>
      </c>
      <c r="X308" s="43">
        <f>'[1]поточний ремонт'!X308+'[2]поточний ремонт'!X308-'[3]поточний ремонт'!X308</f>
        <v>0</v>
      </c>
      <c r="Y308" s="43">
        <f>'[1]поточний ремонт'!Y308+'[2]поточний ремонт'!Y308-'[3]поточний ремонт'!Y308</f>
        <v>0</v>
      </c>
      <c r="Z308" s="43">
        <f>'[1]поточний ремонт'!Z308+'[2]поточний ремонт'!Z308-'[3]поточний ремонт'!Z308</f>
        <v>0</v>
      </c>
      <c r="AA308" s="43">
        <f>'[1]поточний ремонт'!AA308+'[2]поточний ремонт'!AA308-'[3]поточний ремонт'!AA308</f>
        <v>0</v>
      </c>
      <c r="AB308" s="43">
        <f>'[1]поточний ремонт'!AB308+'[2]поточний ремонт'!AB308-'[3]поточний ремонт'!AB308</f>
        <v>0</v>
      </c>
      <c r="AC308" s="43">
        <f>'[1]поточний ремонт'!AC308+'[2]поточний ремонт'!AC308-'[3]поточний ремонт'!AC308</f>
        <v>0</v>
      </c>
      <c r="AD308" s="43">
        <f>'[1]поточний ремонт'!AD308+'[2]поточний ремонт'!AD308-'[3]поточний ремонт'!AD308</f>
        <v>0</v>
      </c>
      <c r="AE308" s="43">
        <f>'[1]поточний ремонт'!AE308+'[2]поточний ремонт'!AE308-'[3]поточний ремонт'!AE308</f>
        <v>0</v>
      </c>
      <c r="AF308" s="43">
        <f>'[1]поточний ремонт'!AF308+'[2]поточний ремонт'!AF308-'[3]поточний ремонт'!AF308</f>
        <v>0</v>
      </c>
      <c r="AG308" s="5"/>
      <c r="AH308" s="43">
        <f>'[1]поточний ремонт'!AH308+'[2]поточний ремонт'!AH308-'[3]поточний ремонт'!AH308</f>
        <v>0</v>
      </c>
      <c r="AI308" s="43">
        <f>'[1]поточний ремонт'!AI308+'[2]поточний ремонт'!AI308-'[3]поточний ремонт'!AI308</f>
        <v>0</v>
      </c>
      <c r="AJ308" s="5"/>
      <c r="AK308" s="43">
        <f>'[1]поточний ремонт'!AK308+'[2]поточний ремонт'!AK308-'[3]поточний ремонт'!AK308</f>
        <v>0</v>
      </c>
      <c r="AL308" s="43">
        <f>'[1]поточний ремонт'!AL308+'[2]поточний ремонт'!AL308-'[3]поточний ремонт'!AL308</f>
        <v>0</v>
      </c>
      <c r="AM308" s="5"/>
      <c r="AN308" s="43">
        <f>'[1]поточний ремонт'!AN308+'[2]поточний ремонт'!AN308-'[3]поточний ремонт'!AN308</f>
        <v>0</v>
      </c>
      <c r="AO308" s="43">
        <f>'[1]поточний ремонт'!AO308+'[2]поточний ремонт'!AO308-'[3]поточний ремонт'!AO308</f>
        <v>0</v>
      </c>
      <c r="AP308" s="5"/>
      <c r="AQ308" s="43">
        <f>'[1]поточний ремонт'!AQ308+'[2]поточний ремонт'!AQ308-'[3]поточний ремонт'!AQ308</f>
        <v>0</v>
      </c>
      <c r="AR308" s="43">
        <f>'[1]поточний ремонт'!AR308+'[2]поточний ремонт'!AR308-'[3]поточний ремонт'!AR308</f>
        <v>0</v>
      </c>
      <c r="AS308" s="5"/>
      <c r="AT308" s="43">
        <f>'[1]поточний ремонт'!AT308+'[2]поточний ремонт'!AT308-'[3]поточний ремонт'!AT308</f>
        <v>0</v>
      </c>
      <c r="AU308" s="43">
        <f>'[1]поточний ремонт'!AU308+'[2]поточний ремонт'!AU308-'[3]поточний ремонт'!AU308</f>
        <v>0</v>
      </c>
      <c r="AV308" s="5"/>
      <c r="AW308" s="43">
        <f>'[1]поточний ремонт'!AW308+'[2]поточний ремонт'!AW308-'[3]поточний ремонт'!AW308</f>
        <v>0</v>
      </c>
      <c r="AX308" s="43">
        <f>'[1]поточний ремонт'!AX308+'[2]поточний ремонт'!AX308-'[3]поточний ремонт'!AX308</f>
        <v>0</v>
      </c>
      <c r="AY308" s="5"/>
      <c r="AZ308" s="43">
        <f t="shared" si="34"/>
        <v>0</v>
      </c>
      <c r="BA308" s="43">
        <f t="shared" si="35"/>
        <v>0</v>
      </c>
      <c r="BB308" s="59">
        <f t="shared" si="36"/>
        <v>0</v>
      </c>
      <c r="BD308" s="2">
        <v>3</v>
      </c>
      <c r="BF308" s="30">
        <v>0</v>
      </c>
      <c r="BG308" s="328">
        <v>150000707</v>
      </c>
      <c r="BI308" s="107">
        <v>0</v>
      </c>
      <c r="BJ308" s="107">
        <f t="shared" si="37"/>
        <v>0</v>
      </c>
      <c r="BK308" s="107">
        <v>0</v>
      </c>
      <c r="BL308" s="39"/>
      <c r="BM308" s="3"/>
      <c r="BN308" s="3">
        <v>0</v>
      </c>
      <c r="BP308" s="3"/>
      <c r="BQ308" s="3"/>
      <c r="BS308" s="43"/>
      <c r="BT308" s="43">
        <v>0</v>
      </c>
      <c r="BU308" s="1037"/>
      <c r="BV308" s="42"/>
      <c r="BW308" s="43"/>
      <c r="BX308" s="37"/>
      <c r="BY308" s="78"/>
      <c r="BZ308" s="43">
        <v>0</v>
      </c>
      <c r="CA308" s="1038"/>
      <c r="CB308" s="42"/>
      <c r="CC308" s="42">
        <v>0</v>
      </c>
      <c r="CD308" s="1039"/>
      <c r="CE308" s="78">
        <v>0</v>
      </c>
      <c r="CF308" s="56"/>
      <c r="CG308" s="42">
        <v>0</v>
      </c>
      <c r="CH308" s="39">
        <v>0</v>
      </c>
      <c r="CI308" s="78">
        <v>0</v>
      </c>
      <c r="CJ308" s="56"/>
      <c r="CK308" s="1034"/>
      <c r="CL308" s="1029"/>
      <c r="CM308" s="1034"/>
      <c r="CN308" s="1029">
        <v>0</v>
      </c>
      <c r="CO308" s="78">
        <v>0</v>
      </c>
      <c r="CP308" s="43">
        <v>0</v>
      </c>
      <c r="CQ308" s="5"/>
      <c r="CR308" s="78">
        <v>0</v>
      </c>
      <c r="CS308" s="1033">
        <v>0</v>
      </c>
      <c r="CT308" s="5"/>
      <c r="CU308" s="78">
        <v>0</v>
      </c>
      <c r="CV308" s="43">
        <v>0</v>
      </c>
      <c r="CW308" s="5"/>
      <c r="CX308" s="78">
        <v>0</v>
      </c>
      <c r="CY308" s="43">
        <v>0</v>
      </c>
      <c r="CZ308" s="5"/>
      <c r="DA308" s="78">
        <v>0</v>
      </c>
      <c r="DB308" s="43">
        <v>0</v>
      </c>
      <c r="DC308" s="5"/>
      <c r="DD308" s="78">
        <v>0</v>
      </c>
      <c r="DE308" s="43">
        <v>0</v>
      </c>
      <c r="DF308" s="5"/>
      <c r="DG308" s="78">
        <v>0</v>
      </c>
      <c r="DH308" s="43"/>
      <c r="DI308" s="5"/>
      <c r="DJ308" s="43">
        <v>0</v>
      </c>
      <c r="DK308" s="43">
        <f t="shared" si="38"/>
        <v>0</v>
      </c>
      <c r="DL308" s="59">
        <f t="shared" si="39"/>
        <v>0</v>
      </c>
    </row>
    <row r="309" spans="1:116" ht="24.9" customHeight="1" x14ac:dyDescent="0.3">
      <c r="A309" s="328">
        <v>150000708</v>
      </c>
      <c r="B309" s="45" t="s">
        <v>145</v>
      </c>
      <c r="C309" s="1035">
        <v>1</v>
      </c>
      <c r="D309" s="1036" t="s">
        <v>454</v>
      </c>
      <c r="E309" s="1028">
        <f>'побудинковий звіт'!E307</f>
        <v>2562</v>
      </c>
      <c r="F309" s="1029">
        <f>'побудинковий звіт'!AS307</f>
        <v>2932.2265221325019</v>
      </c>
      <c r="G309" s="1029">
        <f t="shared" si="32"/>
        <v>581</v>
      </c>
      <c r="H309" s="1029">
        <f t="shared" si="33"/>
        <v>-2351.2265221325019</v>
      </c>
      <c r="I309" s="43">
        <f>'[1]поточний ремонт'!I309+'[2]поточний ремонт'!I309-'[3]поточний ремонт'!I309</f>
        <v>0</v>
      </c>
      <c r="J309" s="43">
        <f>'[1]поточний ремонт'!J309+'[2]поточний ремонт'!J309-'[3]поточний ремонт'!J309</f>
        <v>0</v>
      </c>
      <c r="K309" s="1037"/>
      <c r="L309" s="43">
        <f>'[1]поточний ремонт'!L309+'[2]поточний ремонт'!L309-'[3]поточний ремонт'!L309</f>
        <v>0</v>
      </c>
      <c r="M309" s="43">
        <f>'[1]поточний ремонт'!M309+'[2]поточний ремонт'!M309-'[3]поточний ремонт'!M309</f>
        <v>0</v>
      </c>
      <c r="N309" s="37"/>
      <c r="O309" s="43">
        <f>'[1]поточний ремонт'!O309+'[2]поточний ремонт'!O309-'[3]поточний ремонт'!O309</f>
        <v>0</v>
      </c>
      <c r="P309" s="43">
        <f>'[1]поточний ремонт'!P309+'[2]поточний ремонт'!P309-'[3]поточний ремонт'!P309</f>
        <v>0</v>
      </c>
      <c r="Q309" s="1038"/>
      <c r="R309" s="43">
        <f>'[1]поточний ремонт'!R309+'[2]поточний ремонт'!R309-'[3]поточний ремонт'!R309</f>
        <v>0</v>
      </c>
      <c r="S309" s="43">
        <f>'[1]поточний ремонт'!S309+'[2]поточний ремонт'!S309-'[3]поточний ремонт'!S309</f>
        <v>0</v>
      </c>
      <c r="T309" s="1039"/>
      <c r="U309" s="43">
        <f>'[1]поточний ремонт'!U309+'[2]поточний ремонт'!U309-'[3]поточний ремонт'!U309</f>
        <v>0</v>
      </c>
      <c r="V309" s="43">
        <f>'[1]поточний ремонт'!V309+'[2]поточний ремонт'!V309-'[3]поточний ремонт'!V309</f>
        <v>0</v>
      </c>
      <c r="W309" s="43">
        <f>'[1]поточний ремонт'!W309+'[2]поточний ремонт'!W309-'[3]поточний ремонт'!W309</f>
        <v>0</v>
      </c>
      <c r="X309" s="43">
        <f>'[1]поточний ремонт'!X309+'[2]поточний ремонт'!X309-'[3]поточний ремонт'!X309</f>
        <v>0</v>
      </c>
      <c r="Y309" s="43">
        <f>'[1]поточний ремонт'!Y309+'[2]поточний ремонт'!Y309-'[3]поточний ремонт'!Y309</f>
        <v>0</v>
      </c>
      <c r="Z309" s="43">
        <f>'[1]поточний ремонт'!Z309+'[2]поточний ремонт'!Z309-'[3]поточний ремонт'!Z309</f>
        <v>0</v>
      </c>
      <c r="AA309" s="43">
        <f>'[1]поточний ремонт'!AA309+'[2]поточний ремонт'!AA309-'[3]поточний ремонт'!AA309</f>
        <v>0</v>
      </c>
      <c r="AB309" s="43">
        <f>'[1]поточний ремонт'!AB309+'[2]поточний ремонт'!AB309-'[3]поточний ремонт'!AB309</f>
        <v>0</v>
      </c>
      <c r="AC309" s="43">
        <f>'[1]поточний ремонт'!AC309+'[2]поточний ремонт'!AC309-'[3]поточний ремонт'!AC309</f>
        <v>0</v>
      </c>
      <c r="AD309" s="43">
        <f>'[1]поточний ремонт'!AD309+'[2]поточний ремонт'!AD309-'[3]поточний ремонт'!AD309</f>
        <v>581</v>
      </c>
      <c r="AE309" s="43">
        <f>'[1]поточний ремонт'!AE309+'[2]поточний ремонт'!AE309-'[3]поточний ремонт'!AE309</f>
        <v>0</v>
      </c>
      <c r="AF309" s="43">
        <f>'[1]поточний ремонт'!AF309+'[2]поточний ремонт'!AF309-'[3]поточний ремонт'!AF309</f>
        <v>0</v>
      </c>
      <c r="AG309" s="5"/>
      <c r="AH309" s="43">
        <f>'[1]поточний ремонт'!AH309+'[2]поточний ремонт'!AH309-'[3]поточний ремонт'!AH309</f>
        <v>0</v>
      </c>
      <c r="AI309" s="43">
        <f>'[1]поточний ремонт'!AI309+'[2]поточний ремонт'!AI309-'[3]поточний ремонт'!AI309</f>
        <v>0</v>
      </c>
      <c r="AJ309" s="5"/>
      <c r="AK309" s="43">
        <f>'[1]поточний ремонт'!AK309+'[2]поточний ремонт'!AK309-'[3]поточний ремонт'!AK309</f>
        <v>0</v>
      </c>
      <c r="AL309" s="43">
        <f>'[1]поточний ремонт'!AL309+'[2]поточний ремонт'!AL309-'[3]поточний ремонт'!AL309</f>
        <v>0</v>
      </c>
      <c r="AM309" s="5"/>
      <c r="AN309" s="43">
        <f>'[1]поточний ремонт'!AN309+'[2]поточний ремонт'!AN309-'[3]поточний ремонт'!AN309</f>
        <v>0</v>
      </c>
      <c r="AO309" s="43">
        <f>'[1]поточний ремонт'!AO309+'[2]поточний ремонт'!AO309-'[3]поточний ремонт'!AO309</f>
        <v>0</v>
      </c>
      <c r="AP309" s="5"/>
      <c r="AQ309" s="43">
        <f>'[1]поточний ремонт'!AQ309+'[2]поточний ремонт'!AQ309-'[3]поточний ремонт'!AQ309</f>
        <v>0</v>
      </c>
      <c r="AR309" s="43">
        <f>'[1]поточний ремонт'!AR309+'[2]поточний ремонт'!AR309-'[3]поточний ремонт'!AR309</f>
        <v>0</v>
      </c>
      <c r="AS309" s="5"/>
      <c r="AT309" s="43">
        <f>'[1]поточний ремонт'!AT309+'[2]поточний ремонт'!AT309-'[3]поточний ремонт'!AT309</f>
        <v>0</v>
      </c>
      <c r="AU309" s="43">
        <f>'[1]поточний ремонт'!AU309+'[2]поточний ремонт'!AU309-'[3]поточний ремонт'!AU309</f>
        <v>0</v>
      </c>
      <c r="AV309" s="5"/>
      <c r="AW309" s="43">
        <f>'[1]поточний ремонт'!AW309+'[2]поточний ремонт'!AW309-'[3]поточний ремонт'!AW309</f>
        <v>0</v>
      </c>
      <c r="AX309" s="43">
        <f>'[1]поточний ремонт'!AX309+'[2]поточний ремонт'!AX309-'[3]поточний ремонт'!AX309</f>
        <v>0</v>
      </c>
      <c r="AY309" s="5"/>
      <c r="AZ309" s="43">
        <f t="shared" si="34"/>
        <v>0</v>
      </c>
      <c r="BA309" s="43">
        <f t="shared" si="35"/>
        <v>0</v>
      </c>
      <c r="BB309" s="59">
        <f t="shared" si="36"/>
        <v>0</v>
      </c>
      <c r="BD309" s="2">
        <v>3</v>
      </c>
      <c r="BF309" s="30">
        <v>0</v>
      </c>
      <c r="BG309" s="328">
        <v>150000708</v>
      </c>
      <c r="BI309" s="107">
        <v>0</v>
      </c>
      <c r="BJ309" s="107">
        <f t="shared" si="37"/>
        <v>0</v>
      </c>
      <c r="BK309" s="107">
        <v>0</v>
      </c>
      <c r="BL309" s="39"/>
      <c r="BM309" s="3"/>
      <c r="BN309" s="3">
        <v>0</v>
      </c>
      <c r="BP309" s="3"/>
      <c r="BQ309" s="3"/>
      <c r="BS309" s="43"/>
      <c r="BT309" s="43">
        <v>0</v>
      </c>
      <c r="BU309" s="1037"/>
      <c r="BV309" s="42"/>
      <c r="BW309" s="43"/>
      <c r="BX309" s="37"/>
      <c r="BY309" s="78"/>
      <c r="BZ309" s="43">
        <v>0</v>
      </c>
      <c r="CA309" s="1038"/>
      <c r="CB309" s="42"/>
      <c r="CC309" s="42">
        <v>0</v>
      </c>
      <c r="CD309" s="1039"/>
      <c r="CE309" s="78">
        <v>0</v>
      </c>
      <c r="CF309" s="56"/>
      <c r="CG309" s="42">
        <v>0</v>
      </c>
      <c r="CH309" s="39">
        <v>0</v>
      </c>
      <c r="CI309" s="78">
        <v>0</v>
      </c>
      <c r="CJ309" s="56"/>
      <c r="CK309" s="1034"/>
      <c r="CL309" s="1029"/>
      <c r="CM309" s="1034"/>
      <c r="CN309" s="1029">
        <v>0</v>
      </c>
      <c r="CO309" s="78">
        <v>0</v>
      </c>
      <c r="CP309" s="43">
        <v>0</v>
      </c>
      <c r="CQ309" s="5"/>
      <c r="CR309" s="78">
        <v>0</v>
      </c>
      <c r="CS309" s="1033">
        <v>0</v>
      </c>
      <c r="CT309" s="5"/>
      <c r="CU309" s="78">
        <v>0</v>
      </c>
      <c r="CV309" s="43">
        <v>0</v>
      </c>
      <c r="CW309" s="5"/>
      <c r="CX309" s="78">
        <v>0</v>
      </c>
      <c r="CY309" s="43">
        <v>0</v>
      </c>
      <c r="CZ309" s="5"/>
      <c r="DA309" s="78">
        <v>0</v>
      </c>
      <c r="DB309" s="43">
        <v>0</v>
      </c>
      <c r="DC309" s="5"/>
      <c r="DD309" s="78">
        <v>0</v>
      </c>
      <c r="DE309" s="43">
        <v>0</v>
      </c>
      <c r="DF309" s="5"/>
      <c r="DG309" s="78">
        <v>0</v>
      </c>
      <c r="DH309" s="43"/>
      <c r="DI309" s="5"/>
      <c r="DJ309" s="43">
        <v>0</v>
      </c>
      <c r="DK309" s="43">
        <f t="shared" si="38"/>
        <v>0</v>
      </c>
      <c r="DL309" s="59">
        <f t="shared" si="39"/>
        <v>0</v>
      </c>
    </row>
    <row r="310" spans="1:116" ht="24.9" customHeight="1" x14ac:dyDescent="0.3">
      <c r="A310" s="328">
        <v>150000591</v>
      </c>
      <c r="B310" s="45" t="s">
        <v>191</v>
      </c>
      <c r="C310" s="1035">
        <v>2</v>
      </c>
      <c r="D310" s="1036" t="s">
        <v>454</v>
      </c>
      <c r="E310" s="1028">
        <f>'побудинковий звіт'!E308</f>
        <v>2295.3000000000002</v>
      </c>
      <c r="F310" s="1029">
        <f>'побудинковий звіт'!AS308</f>
        <v>3464.4124204057975</v>
      </c>
      <c r="G310" s="1029">
        <f t="shared" si="32"/>
        <v>10486.43</v>
      </c>
      <c r="H310" s="1029">
        <f t="shared" si="33"/>
        <v>7022.0175795942032</v>
      </c>
      <c r="I310" s="43">
        <f>'[1]поточний ремонт'!I310+'[2]поточний ремонт'!I310-'[3]поточний ремонт'!I310</f>
        <v>0</v>
      </c>
      <c r="J310" s="43">
        <f>'[1]поточний ремонт'!J310+'[2]поточний ремонт'!J310-'[3]поточний ремонт'!J310</f>
        <v>0</v>
      </c>
      <c r="K310" s="1037"/>
      <c r="L310" s="43">
        <f>'[1]поточний ремонт'!L310+'[2]поточний ремонт'!L310-'[3]поточний ремонт'!L310</f>
        <v>0</v>
      </c>
      <c r="M310" s="43">
        <f>'[1]поточний ремонт'!M310+'[2]поточний ремонт'!M310-'[3]поточний ремонт'!M310</f>
        <v>0</v>
      </c>
      <c r="N310" s="37"/>
      <c r="O310" s="43">
        <f>'[1]поточний ремонт'!O310+'[2]поточний ремонт'!O310-'[3]поточний ремонт'!O310</f>
        <v>0</v>
      </c>
      <c r="P310" s="43">
        <f>'[1]поточний ремонт'!P310+'[2]поточний ремонт'!P310-'[3]поточний ремонт'!P310</f>
        <v>0</v>
      </c>
      <c r="Q310" s="1038"/>
      <c r="R310" s="43">
        <f>'[1]поточний ремонт'!R310+'[2]поточний ремонт'!R310-'[3]поточний ремонт'!R310</f>
        <v>0</v>
      </c>
      <c r="S310" s="43">
        <f>'[1]поточний ремонт'!S310+'[2]поточний ремонт'!S310-'[3]поточний ремонт'!S310</f>
        <v>0</v>
      </c>
      <c r="T310" s="1039"/>
      <c r="U310" s="43">
        <f>'[1]поточний ремонт'!U310+'[2]поточний ремонт'!U310-'[3]поточний ремонт'!U310</f>
        <v>0</v>
      </c>
      <c r="V310" s="43">
        <f>'[1]поточний ремонт'!V310+'[2]поточний ремонт'!V310-'[3]поточний ремонт'!V310</f>
        <v>0</v>
      </c>
      <c r="W310" s="43">
        <f>'[1]поточний ремонт'!W310+'[2]поточний ремонт'!W310-'[3]поточний ремонт'!W310</f>
        <v>0</v>
      </c>
      <c r="X310" s="43">
        <f>'[1]поточний ремонт'!X310+'[2]поточний ремонт'!X310-'[3]поточний ремонт'!X310</f>
        <v>0</v>
      </c>
      <c r="Y310" s="43">
        <f>'[1]поточний ремонт'!Y310+'[2]поточний ремонт'!Y310-'[3]поточний ремонт'!Y310</f>
        <v>3161.4300000000003</v>
      </c>
      <c r="Z310" s="43">
        <f>'[1]поточний ремонт'!Z310+'[2]поточний ремонт'!Z310-'[3]поточний ремонт'!Z310</f>
        <v>0</v>
      </c>
      <c r="AA310" s="43">
        <f>'[1]поточний ремонт'!AA310+'[2]поточний ремонт'!AA310-'[3]поточний ремонт'!AA310</f>
        <v>0</v>
      </c>
      <c r="AB310" s="43">
        <f>'[1]поточний ремонт'!AB310+'[2]поточний ремонт'!AB310-'[3]поточний ремонт'!AB310</f>
        <v>0</v>
      </c>
      <c r="AC310" s="43">
        <f>'[1]поточний ремонт'!AC310+'[2]поточний ремонт'!AC310-'[3]поточний ремонт'!AC310</f>
        <v>857</v>
      </c>
      <c r="AD310" s="43">
        <f>'[1]поточний ремонт'!AD310+'[2]поточний ремонт'!AD310-'[3]поточний ремонт'!AD310</f>
        <v>6468</v>
      </c>
      <c r="AE310" s="43">
        <f>'[1]поточний ремонт'!AE310+'[2]поточний ремонт'!AE310-'[3]поточний ремонт'!AE310</f>
        <v>207.00823328023128</v>
      </c>
      <c r="AF310" s="43">
        <f>'[1]поточний ремонт'!AF310+'[2]поточний ремонт'!AF310-'[3]поточний ремонт'!AF310</f>
        <v>0</v>
      </c>
      <c r="AG310" s="5"/>
      <c r="AH310" s="43">
        <f>'[1]поточний ремонт'!AH310+'[2]поточний ремонт'!AH310-'[3]поточний ремонт'!AH310</f>
        <v>210.64035126490597</v>
      </c>
      <c r="AI310" s="43">
        <f>'[1]поточний ремонт'!AI310+'[2]поточний ремонт'!AI310-'[3]поточний ремонт'!AI310</f>
        <v>0</v>
      </c>
      <c r="AJ310" s="5"/>
      <c r="AK310" s="43">
        <f>'[1]поточний ремонт'!AK310+'[2]поточний ремонт'!AK310-'[3]поточний ремонт'!AK310</f>
        <v>68.781696635810889</v>
      </c>
      <c r="AL310" s="43">
        <f>'[1]поточний ремонт'!AL310+'[2]поточний ремонт'!AL310-'[3]поточний ремонт'!AL310</f>
        <v>0</v>
      </c>
      <c r="AM310" s="5"/>
      <c r="AN310" s="43">
        <f>'[1]поточний ремонт'!AN310+'[2]поточний ремонт'!AN310-'[3]поточний ремонт'!AN310</f>
        <v>107.74096686304495</v>
      </c>
      <c r="AO310" s="43">
        <f>'[1]поточний ремонт'!AO310+'[2]поточний ремонт'!AO310-'[3]поточний ремонт'!AO310</f>
        <v>0</v>
      </c>
      <c r="AP310" s="5"/>
      <c r="AQ310" s="43">
        <f>'[1]поточний ремонт'!AQ310+'[2]поточний ремонт'!AQ310-'[3]поточний ремонт'!AQ310</f>
        <v>0</v>
      </c>
      <c r="AR310" s="43">
        <f>'[1]поточний ремонт'!AR310+'[2]поточний ремонт'!AR310-'[3]поточний ремонт'!AR310</f>
        <v>0</v>
      </c>
      <c r="AS310" s="5"/>
      <c r="AT310" s="43">
        <f>'[1]поточний ремонт'!AT310+'[2]поточний ремонт'!AT310-'[3]поточний ремонт'!AT310</f>
        <v>59.168522736971724</v>
      </c>
      <c r="AU310" s="43">
        <f>'[1]поточний ремонт'!AU310+'[2]поточний ремонт'!AU310-'[3]поточний ремонт'!AU310</f>
        <v>0</v>
      </c>
      <c r="AV310" s="5"/>
      <c r="AW310" s="43">
        <f>'[1]поточний ремонт'!AW310+'[2]поточний ремонт'!AW310-'[3]поточний ремонт'!AW310</f>
        <v>0</v>
      </c>
      <c r="AX310" s="43">
        <f>'[1]поточний ремонт'!AX310+'[2]поточний ремонт'!AX310-'[3]поточний ремонт'!AX310</f>
        <v>0</v>
      </c>
      <c r="AY310" s="5"/>
      <c r="AZ310" s="43">
        <f t="shared" si="34"/>
        <v>653.33977078096473</v>
      </c>
      <c r="BA310" s="43">
        <f t="shared" si="35"/>
        <v>0</v>
      </c>
      <c r="BB310" s="59">
        <f t="shared" si="36"/>
        <v>-653.33977078096473</v>
      </c>
      <c r="BD310" s="2">
        <v>3</v>
      </c>
      <c r="BF310" s="30">
        <v>11.093199654771881</v>
      </c>
      <c r="BG310" s="328">
        <v>150000591</v>
      </c>
      <c r="BI310" s="107">
        <v>0</v>
      </c>
      <c r="BJ310" s="107">
        <f t="shared" si="37"/>
        <v>0</v>
      </c>
      <c r="BK310" s="107">
        <v>0</v>
      </c>
      <c r="BL310" s="39"/>
      <c r="BM310" s="3"/>
      <c r="BN310" s="3">
        <v>0</v>
      </c>
      <c r="BP310" s="3"/>
      <c r="BQ310" s="3"/>
      <c r="BS310" s="43"/>
      <c r="BT310" s="43">
        <v>0</v>
      </c>
      <c r="BU310" s="1037"/>
      <c r="BV310" s="42"/>
      <c r="BW310" s="43"/>
      <c r="BX310" s="37"/>
      <c r="BY310" s="78"/>
      <c r="BZ310" s="43">
        <v>0</v>
      </c>
      <c r="CA310" s="1038"/>
      <c r="CB310" s="42"/>
      <c r="CC310" s="42">
        <v>0</v>
      </c>
      <c r="CD310" s="1039"/>
      <c r="CE310" s="78">
        <v>0</v>
      </c>
      <c r="CF310" s="56"/>
      <c r="CG310" s="42">
        <v>0</v>
      </c>
      <c r="CH310" s="39">
        <v>0</v>
      </c>
      <c r="CI310" s="78">
        <v>0</v>
      </c>
      <c r="CJ310" s="56"/>
      <c r="CK310" s="1034"/>
      <c r="CL310" s="1029"/>
      <c r="CM310" s="1034"/>
      <c r="CN310" s="1029">
        <v>0</v>
      </c>
      <c r="CO310" s="78">
        <v>17.250686106685936</v>
      </c>
      <c r="CP310" s="43">
        <v>0</v>
      </c>
      <c r="CQ310" s="5"/>
      <c r="CR310" s="78">
        <v>17.553362605408829</v>
      </c>
      <c r="CS310" s="1033">
        <v>0</v>
      </c>
      <c r="CT310" s="5"/>
      <c r="CU310" s="78">
        <v>5.731808052984241</v>
      </c>
      <c r="CV310" s="43">
        <v>0</v>
      </c>
      <c r="CW310" s="5"/>
      <c r="CX310" s="78">
        <v>8.9784139052537455</v>
      </c>
      <c r="CY310" s="43">
        <v>0</v>
      </c>
      <c r="CZ310" s="5"/>
      <c r="DA310" s="78">
        <v>0</v>
      </c>
      <c r="DB310" s="43">
        <v>0</v>
      </c>
      <c r="DC310" s="5"/>
      <c r="DD310" s="78">
        <v>4.9307102280809767</v>
      </c>
      <c r="DE310" s="43">
        <v>0</v>
      </c>
      <c r="DF310" s="5"/>
      <c r="DG310" s="78">
        <v>0</v>
      </c>
      <c r="DH310" s="43"/>
      <c r="DI310" s="5"/>
      <c r="DJ310" s="43">
        <v>54.444980898413732</v>
      </c>
      <c r="DK310" s="43">
        <f t="shared" si="38"/>
        <v>0</v>
      </c>
      <c r="DL310" s="59">
        <f t="shared" si="39"/>
        <v>-54.444980898413732</v>
      </c>
    </row>
    <row r="311" spans="1:116" ht="24.9" customHeight="1" x14ac:dyDescent="0.3">
      <c r="A311" s="328">
        <v>150000861</v>
      </c>
      <c r="B311" s="45" t="s">
        <v>232</v>
      </c>
      <c r="C311" s="1035">
        <v>4</v>
      </c>
      <c r="D311" s="1036" t="s">
        <v>454</v>
      </c>
      <c r="E311" s="1028">
        <f>'побудинковий звіт'!E309</f>
        <v>3212.3199999999997</v>
      </c>
      <c r="F311" s="1029">
        <f>'побудинковий звіт'!AS309</f>
        <v>39064.712832016616</v>
      </c>
      <c r="G311" s="1029">
        <f t="shared" si="32"/>
        <v>11619</v>
      </c>
      <c r="H311" s="1029">
        <f t="shared" si="33"/>
        <v>-27445.712832016616</v>
      </c>
      <c r="I311" s="43">
        <f>'[1]поточний ремонт'!I311+'[2]поточний ремонт'!I311-'[3]поточний ремонт'!I311</f>
        <v>22</v>
      </c>
      <c r="J311" s="43">
        <f>'[1]поточний ремонт'!J311+'[2]поточний ремонт'!J311-'[3]поточний ремонт'!J311</f>
        <v>2678</v>
      </c>
      <c r="K311" s="1041"/>
      <c r="L311" s="43">
        <f>'[1]поточний ремонт'!L311+'[2]поточний ремонт'!L311-'[3]поточний ремонт'!L311</f>
        <v>0</v>
      </c>
      <c r="M311" s="43">
        <f>'[1]поточний ремонт'!M311+'[2]поточний ремонт'!M311-'[3]поточний ремонт'!M311</f>
        <v>953</v>
      </c>
      <c r="N311" s="37"/>
      <c r="O311" s="43">
        <f>'[1]поточний ремонт'!O311+'[2]поточний ремонт'!O311-'[3]поточний ремонт'!O311</f>
        <v>0</v>
      </c>
      <c r="P311" s="43">
        <f>'[1]поточний ремонт'!P311+'[2]поточний ремонт'!P311-'[3]поточний ремонт'!P311</f>
        <v>0</v>
      </c>
      <c r="Q311" s="1038"/>
      <c r="R311" s="43">
        <f>'[1]поточний ремонт'!R311+'[2]поточний ремонт'!R311-'[3]поточний ремонт'!R311</f>
        <v>0</v>
      </c>
      <c r="S311" s="43">
        <f>'[1]поточний ремонт'!S311+'[2]поточний ремонт'!S311-'[3]поточний ремонт'!S311</f>
        <v>0</v>
      </c>
      <c r="T311" s="1039"/>
      <c r="U311" s="43">
        <f>'[1]поточний ремонт'!U311+'[2]поточний ремонт'!U311-'[3]поточний ремонт'!U311</f>
        <v>0</v>
      </c>
      <c r="V311" s="43">
        <f>'[1]поточний ремонт'!V311+'[2]поточний ремонт'!V311-'[3]поточний ремонт'!V311</f>
        <v>0</v>
      </c>
      <c r="W311" s="43">
        <f>'[1]поточний ремонт'!W311+'[2]поточний ремонт'!W311-'[3]поточний ремонт'!W311</f>
        <v>0</v>
      </c>
      <c r="X311" s="43">
        <f>'[1]поточний ремонт'!X311+'[2]поточний ремонт'!X311-'[3]поточний ремонт'!X311</f>
        <v>0</v>
      </c>
      <c r="Y311" s="43">
        <f>'[1]поточний ремонт'!Y311+'[2]поточний ремонт'!Y311-'[3]поточний ремонт'!Y311</f>
        <v>0</v>
      </c>
      <c r="Z311" s="43">
        <f>'[1]поточний ремонт'!Z311+'[2]поточний ремонт'!Z311-'[3]поточний ремонт'!Z311</f>
        <v>0</v>
      </c>
      <c r="AA311" s="43">
        <f>'[1]поточний ремонт'!AA311+'[2]поточний ремонт'!AA311-'[3]поточний ремонт'!AA311</f>
        <v>0</v>
      </c>
      <c r="AB311" s="43">
        <f>'[1]поточний ремонт'!AB311+'[2]поточний ремонт'!AB311-'[3]поточний ремонт'!AB311</f>
        <v>4652</v>
      </c>
      <c r="AC311" s="43">
        <f>'[1]поточний ремонт'!AC311+'[2]поточний ремонт'!AC311-'[3]поточний ремонт'!AC311</f>
        <v>1655</v>
      </c>
      <c r="AD311" s="43">
        <f>'[1]поточний ремонт'!AD311+'[2]поточний ремонт'!AD311-'[3]поточний ремонт'!AD311</f>
        <v>1681</v>
      </c>
      <c r="AE311" s="43">
        <f>'[1]поточний ремонт'!AE311+'[2]поточний ремонт'!AE311-'[3]поточний ремонт'!AE311</f>
        <v>2173.1652836344169</v>
      </c>
      <c r="AF311" s="43">
        <f>'[1]поточний ремонт'!AF311+'[2]поточний ремонт'!AF311-'[3]поточний ремонт'!AF311</f>
        <v>0</v>
      </c>
      <c r="AG311" s="5"/>
      <c r="AH311" s="43">
        <f>'[1]поточний ремонт'!AH311+'[2]поточний ремонт'!AH311-'[3]поточний ремонт'!AH311</f>
        <v>3147.5414504508271</v>
      </c>
      <c r="AI311" s="43">
        <f>'[1]поточний ремонт'!AI311+'[2]поточний ремонт'!AI311-'[3]поточний ремонт'!AI311</f>
        <v>0</v>
      </c>
      <c r="AJ311" s="5"/>
      <c r="AK311" s="43">
        <f>'[1]поточний ремонт'!AK311+'[2]поточний ремонт'!AK311-'[3]поточний ремонт'!AK311</f>
        <v>2282.7850430841886</v>
      </c>
      <c r="AL311" s="43">
        <f>'[1]поточний ремонт'!AL311+'[2]поточний ремонт'!AL311-'[3]поточний ремонт'!AL311</f>
        <v>0</v>
      </c>
      <c r="AM311" s="5"/>
      <c r="AN311" s="43">
        <f>'[1]поточний ремонт'!AN311+'[2]поточний ремонт'!AN311-'[3]поточний ремонт'!AN311</f>
        <v>0</v>
      </c>
      <c r="AO311" s="43">
        <f>'[1]поточний ремонт'!AO311+'[2]поточний ремонт'!AO311-'[3]поточний ремонт'!AO311</f>
        <v>0</v>
      </c>
      <c r="AP311" s="5"/>
      <c r="AQ311" s="43">
        <f>'[1]поточний ремонт'!AQ311+'[2]поточний ремонт'!AQ311-'[3]поточний ремонт'!AQ311</f>
        <v>0</v>
      </c>
      <c r="AR311" s="43">
        <f>'[1]поточний ремонт'!AR311+'[2]поточний ремонт'!AR311-'[3]поточний ремонт'!AR311</f>
        <v>955.92363551270068</v>
      </c>
      <c r="AS311" s="5"/>
      <c r="AT311" s="43">
        <f>'[1]поточний ремонт'!AT311+'[2]поточний ремонт'!AT311-'[3]поточний ремонт'!AT311</f>
        <v>1602.0621898523902</v>
      </c>
      <c r="AU311" s="43">
        <f>'[1]поточний ремонт'!AU311+'[2]поточний ремонт'!AU311-'[3]поточний ремонт'!AU311</f>
        <v>100</v>
      </c>
      <c r="AV311" s="5"/>
      <c r="AW311" s="43">
        <f>'[1]поточний ремонт'!AW311+'[2]поточний ремонт'!AW311-'[3]поточний ремонт'!AW311</f>
        <v>0</v>
      </c>
      <c r="AX311" s="43">
        <f>'[1]поточний ремонт'!AX311+'[2]поточний ремонт'!AX311-'[3]поточний ремонт'!AX311</f>
        <v>0</v>
      </c>
      <c r="AY311" s="5"/>
      <c r="AZ311" s="43">
        <f t="shared" si="34"/>
        <v>9205.5539670218222</v>
      </c>
      <c r="BA311" s="43">
        <f t="shared" si="35"/>
        <v>1055.9236355127007</v>
      </c>
      <c r="BB311" s="59">
        <f t="shared" si="36"/>
        <v>-8149.6303315091218</v>
      </c>
      <c r="BD311" s="2">
        <v>2</v>
      </c>
      <c r="BF311" s="30">
        <v>4.8331404344773894</v>
      </c>
      <c r="BG311" s="328">
        <v>150000861</v>
      </c>
      <c r="BI311" s="107">
        <v>0</v>
      </c>
      <c r="BJ311" s="107">
        <f t="shared" si="37"/>
        <v>0</v>
      </c>
      <c r="BK311" s="107">
        <v>0</v>
      </c>
      <c r="BL311" s="39"/>
      <c r="BM311" s="3"/>
      <c r="BN311" s="3">
        <v>0</v>
      </c>
      <c r="BP311" s="3"/>
      <c r="BQ311" s="3"/>
      <c r="BS311" s="43"/>
      <c r="BT311" s="43">
        <v>0</v>
      </c>
      <c r="BU311" s="1041"/>
      <c r="BV311" s="42"/>
      <c r="BW311" s="43"/>
      <c r="BX311" s="37"/>
      <c r="BY311" s="78"/>
      <c r="BZ311" s="43">
        <v>0</v>
      </c>
      <c r="CA311" s="1038"/>
      <c r="CB311" s="42"/>
      <c r="CC311" s="42">
        <v>0</v>
      </c>
      <c r="CD311" s="1039"/>
      <c r="CE311" s="78">
        <v>0</v>
      </c>
      <c r="CF311" s="56"/>
      <c r="CG311" s="42">
        <v>0</v>
      </c>
      <c r="CH311" s="39">
        <v>0</v>
      </c>
      <c r="CI311" s="78">
        <v>0</v>
      </c>
      <c r="CJ311" s="56"/>
      <c r="CK311" s="1034"/>
      <c r="CL311" s="1029"/>
      <c r="CM311" s="1034">
        <v>8680</v>
      </c>
      <c r="CN311" s="1029">
        <v>0</v>
      </c>
      <c r="CO311" s="78">
        <v>181.09710696953479</v>
      </c>
      <c r="CP311" s="43">
        <v>0</v>
      </c>
      <c r="CQ311" s="5"/>
      <c r="CR311" s="78">
        <v>262.29512087090222</v>
      </c>
      <c r="CS311" s="1033">
        <v>0</v>
      </c>
      <c r="CT311" s="5"/>
      <c r="CU311" s="78">
        <v>190.2320869236824</v>
      </c>
      <c r="CV311" s="43">
        <v>0</v>
      </c>
      <c r="CW311" s="5"/>
      <c r="CX311" s="78">
        <v>0</v>
      </c>
      <c r="CY311" s="43">
        <v>0</v>
      </c>
      <c r="CZ311" s="5"/>
      <c r="DA311" s="78">
        <v>0</v>
      </c>
      <c r="DB311" s="43">
        <v>0</v>
      </c>
      <c r="DC311" s="5"/>
      <c r="DD311" s="78">
        <v>133.50518248769922</v>
      </c>
      <c r="DE311" s="43">
        <v>0</v>
      </c>
      <c r="DF311" s="5"/>
      <c r="DG311" s="78">
        <v>0</v>
      </c>
      <c r="DH311" s="43"/>
      <c r="DI311" s="5"/>
      <c r="DJ311" s="43">
        <v>767.12949725181863</v>
      </c>
      <c r="DK311" s="43">
        <f t="shared" si="38"/>
        <v>0</v>
      </c>
      <c r="DL311" s="59">
        <f t="shared" si="39"/>
        <v>-767.12949725181863</v>
      </c>
    </row>
    <row r="312" spans="1:116" ht="24.9" customHeight="1" x14ac:dyDescent="0.3">
      <c r="A312" s="328">
        <v>150000872</v>
      </c>
      <c r="B312" s="45" t="s">
        <v>233</v>
      </c>
      <c r="C312" s="1035">
        <v>4</v>
      </c>
      <c r="D312" s="1036" t="s">
        <v>454</v>
      </c>
      <c r="E312" s="1028">
        <f>'побудинковий звіт'!E310</f>
        <v>506.8</v>
      </c>
      <c r="F312" s="1029">
        <f>'побудинковий звіт'!AS310</f>
        <v>12546.043901389839</v>
      </c>
      <c r="G312" s="1029">
        <f t="shared" si="32"/>
        <v>1476</v>
      </c>
      <c r="H312" s="1029">
        <f t="shared" si="33"/>
        <v>-11070.043901389839</v>
      </c>
      <c r="I312" s="43">
        <f>'[1]поточний ремонт'!I312+'[2]поточний ремонт'!I312-'[3]поточний ремонт'!I312</f>
        <v>3.6</v>
      </c>
      <c r="J312" s="43">
        <f>'[1]поточний ремонт'!J312+'[2]поточний ремонт'!J312-'[3]поточний ремонт'!J312</f>
        <v>1303</v>
      </c>
      <c r="K312" s="1037"/>
      <c r="L312" s="43">
        <f>'[1]поточний ремонт'!L312+'[2]поточний ремонт'!L312-'[3]поточний ремонт'!L312</f>
        <v>1</v>
      </c>
      <c r="M312" s="43">
        <f>'[1]поточний ремонт'!M312+'[2]поточний ремонт'!M312-'[3]поточний ремонт'!M312</f>
        <v>0</v>
      </c>
      <c r="N312" s="37"/>
      <c r="O312" s="43">
        <f>'[1]поточний ремонт'!O312+'[2]поточний ремонт'!O312-'[3]поточний ремонт'!O312</f>
        <v>0</v>
      </c>
      <c r="P312" s="43">
        <f>'[1]поточний ремонт'!P312+'[2]поточний ремонт'!P312-'[3]поточний ремонт'!P312</f>
        <v>0</v>
      </c>
      <c r="Q312" s="1038"/>
      <c r="R312" s="43">
        <f>'[1]поточний ремонт'!R312+'[2]поточний ремонт'!R312-'[3]поточний ремонт'!R312</f>
        <v>0</v>
      </c>
      <c r="S312" s="43">
        <f>'[1]поточний ремонт'!S312+'[2]поточний ремонт'!S312-'[3]поточний ремонт'!S312</f>
        <v>0</v>
      </c>
      <c r="T312" s="1039"/>
      <c r="U312" s="43">
        <f>'[1]поточний ремонт'!U312+'[2]поточний ремонт'!U312-'[3]поточний ремонт'!U312</f>
        <v>0</v>
      </c>
      <c r="V312" s="43">
        <f>'[1]поточний ремонт'!V312+'[2]поточний ремонт'!V312-'[3]поточний ремонт'!V312</f>
        <v>0</v>
      </c>
      <c r="W312" s="43">
        <f>'[1]поточний ремонт'!W312+'[2]поточний ремонт'!W312-'[3]поточний ремонт'!W312</f>
        <v>0</v>
      </c>
      <c r="X312" s="43">
        <f>'[1]поточний ремонт'!X312+'[2]поточний ремонт'!X312-'[3]поточний ремонт'!X312</f>
        <v>0</v>
      </c>
      <c r="Y312" s="43">
        <f>'[1]поточний ремонт'!Y312+'[2]поточний ремонт'!Y312-'[3]поточний ремонт'!Y312</f>
        <v>0</v>
      </c>
      <c r="Z312" s="43">
        <f>'[1]поточний ремонт'!Z312+'[2]поточний ремонт'!Z312-'[3]поточний ремонт'!Z312</f>
        <v>0</v>
      </c>
      <c r="AA312" s="43">
        <f>'[1]поточний ремонт'!AA312+'[2]поточний ремонт'!AA312-'[3]поточний ремонт'!AA312</f>
        <v>0</v>
      </c>
      <c r="AB312" s="43">
        <f>'[1]поточний ремонт'!AB312+'[2]поточний ремонт'!AB312-'[3]поточний ремонт'!AB312</f>
        <v>0</v>
      </c>
      <c r="AC312" s="43">
        <f>'[1]поточний ремонт'!AC312+'[2]поточний ремонт'!AC312-'[3]поточний ремонт'!AC312</f>
        <v>0</v>
      </c>
      <c r="AD312" s="43">
        <f>'[1]поточний ремонт'!AD312+'[2]поточний ремонт'!AD312-'[3]поточний ремонт'!AD312</f>
        <v>173</v>
      </c>
      <c r="AE312" s="43">
        <f>'[1]поточний ремонт'!AE312+'[2]поточний ремонт'!AE312-'[3]поточний ремонт'!AE312</f>
        <v>1457.8072437572296</v>
      </c>
      <c r="AF312" s="43">
        <f>'[1]поточний ремонт'!AF312+'[2]поточний ремонт'!AF312-'[3]поточний ремонт'!AF312</f>
        <v>0</v>
      </c>
      <c r="AG312" s="5"/>
      <c r="AH312" s="43">
        <f>'[1]поточний ремонт'!AH312+'[2]поточний ремонт'!AH312-'[3]поточний ремонт'!AH312</f>
        <v>2408.9312030559172</v>
      </c>
      <c r="AI312" s="43">
        <f>'[1]поточний ремонт'!AI312+'[2]поточний ремонт'!AI312-'[3]поточний ремонт'!AI312</f>
        <v>0</v>
      </c>
      <c r="AJ312" s="5"/>
      <c r="AK312" s="43">
        <f>'[1]поточний ремонт'!AK312+'[2]поточний ремонт'!AK312-'[3]поточний ремонт'!AK312</f>
        <v>972.61814393057512</v>
      </c>
      <c r="AL312" s="43">
        <f>'[1]поточний ремонт'!AL312+'[2]поточний ремонт'!AL312-'[3]поточний ремонт'!AL312</f>
        <v>0</v>
      </c>
      <c r="AM312" s="5"/>
      <c r="AN312" s="43">
        <f>'[1]поточний ремонт'!AN312+'[2]поточний ремонт'!AN312-'[3]поточний ремонт'!AN312</f>
        <v>435.69922948434851</v>
      </c>
      <c r="AO312" s="43">
        <f>'[1]поточний ремонт'!AO312+'[2]поточний ремонт'!AO312-'[3]поточний ремонт'!AO312</f>
        <v>0</v>
      </c>
      <c r="AP312" s="5"/>
      <c r="AQ312" s="43">
        <f>'[1]поточний ремонт'!AQ312+'[2]поточний ремонт'!AQ312-'[3]поточний ремонт'!AQ312</f>
        <v>0</v>
      </c>
      <c r="AR312" s="43">
        <f>'[1]поточний ремонт'!AR312+'[2]поточний ремонт'!AR312-'[3]поточний ремонт'!AR312</f>
        <v>0</v>
      </c>
      <c r="AS312" s="5"/>
      <c r="AT312" s="43">
        <f>'[1]поточний ремонт'!AT312+'[2]поточний ремонт'!AT312-'[3]поточний ремонт'!AT312</f>
        <v>341.97962820739428</v>
      </c>
      <c r="AU312" s="43">
        <f>'[1]поточний ремонт'!AU312+'[2]поточний ремонт'!AU312-'[3]поточний ремонт'!AU312</f>
        <v>4337</v>
      </c>
      <c r="AV312" s="5"/>
      <c r="AW312" s="43">
        <f>'[1]поточний ремонт'!AW312+'[2]поточний ремонт'!AW312-'[3]поточний ремонт'!AW312</f>
        <v>0</v>
      </c>
      <c r="AX312" s="43">
        <f>'[1]поточний ремонт'!AX312+'[2]поточний ремонт'!AX312-'[3]поточний ремонт'!AX312</f>
        <v>0</v>
      </c>
      <c r="AY312" s="5"/>
      <c r="AZ312" s="43">
        <f t="shared" si="34"/>
        <v>5617.0354484354648</v>
      </c>
      <c r="BA312" s="43">
        <f t="shared" si="35"/>
        <v>4337</v>
      </c>
      <c r="BB312" s="59">
        <f t="shared" si="36"/>
        <v>-1280.0354484354648</v>
      </c>
      <c r="BD312" s="2">
        <v>2</v>
      </c>
      <c r="BF312" s="30">
        <v>1.7663871475786801</v>
      </c>
      <c r="BG312" s="328">
        <v>150000872</v>
      </c>
      <c r="BI312" s="107">
        <v>0</v>
      </c>
      <c r="BJ312" s="107">
        <f t="shared" si="37"/>
        <v>0</v>
      </c>
      <c r="BK312" s="107">
        <v>0</v>
      </c>
      <c r="BL312" s="39"/>
      <c r="BM312" s="3"/>
      <c r="BN312" s="3">
        <v>0</v>
      </c>
      <c r="BP312" s="3"/>
      <c r="BQ312" s="3"/>
      <c r="BS312" s="43"/>
      <c r="BT312" s="43">
        <v>0</v>
      </c>
      <c r="BU312" s="1037"/>
      <c r="BV312" s="42"/>
      <c r="BW312" s="43"/>
      <c r="BX312" s="37"/>
      <c r="BY312" s="78"/>
      <c r="BZ312" s="43">
        <v>0</v>
      </c>
      <c r="CA312" s="1038"/>
      <c r="CB312" s="42"/>
      <c r="CC312" s="42">
        <v>0</v>
      </c>
      <c r="CD312" s="1039"/>
      <c r="CE312" s="78">
        <v>0</v>
      </c>
      <c r="CF312" s="56"/>
      <c r="CG312" s="42">
        <v>0</v>
      </c>
      <c r="CH312" s="39">
        <v>0</v>
      </c>
      <c r="CI312" s="78">
        <v>0</v>
      </c>
      <c r="CJ312" s="56"/>
      <c r="CK312" s="1034"/>
      <c r="CL312" s="1029"/>
      <c r="CM312" s="1034">
        <v>4396</v>
      </c>
      <c r="CN312" s="1029">
        <v>0</v>
      </c>
      <c r="CO312" s="78">
        <v>121.48393697976911</v>
      </c>
      <c r="CP312" s="43">
        <v>0</v>
      </c>
      <c r="CQ312" s="5"/>
      <c r="CR312" s="78">
        <v>200.74426692132644</v>
      </c>
      <c r="CS312" s="1033">
        <v>0</v>
      </c>
      <c r="CT312" s="5"/>
      <c r="CU312" s="78">
        <v>81.051511994214593</v>
      </c>
      <c r="CV312" s="43">
        <v>0</v>
      </c>
      <c r="CW312" s="5"/>
      <c r="CX312" s="78">
        <v>36.308269123695709</v>
      </c>
      <c r="CY312" s="43">
        <v>0</v>
      </c>
      <c r="CZ312" s="5"/>
      <c r="DA312" s="78">
        <v>0</v>
      </c>
      <c r="DB312" s="43">
        <v>0</v>
      </c>
      <c r="DC312" s="5"/>
      <c r="DD312" s="78">
        <v>28.498302350616186</v>
      </c>
      <c r="DE312" s="43">
        <v>0</v>
      </c>
      <c r="DF312" s="5"/>
      <c r="DG312" s="78">
        <v>0</v>
      </c>
      <c r="DH312" s="43"/>
      <c r="DI312" s="5"/>
      <c r="DJ312" s="43">
        <v>468.08628736962203</v>
      </c>
      <c r="DK312" s="43">
        <f t="shared" si="38"/>
        <v>0</v>
      </c>
      <c r="DL312" s="59">
        <f t="shared" si="39"/>
        <v>-468.08628736962203</v>
      </c>
    </row>
    <row r="313" spans="1:116" ht="24.9" customHeight="1" x14ac:dyDescent="0.3">
      <c r="A313" s="328">
        <v>150000862</v>
      </c>
      <c r="B313" s="45" t="s">
        <v>234</v>
      </c>
      <c r="C313" s="1035">
        <v>4</v>
      </c>
      <c r="D313" s="1036" t="s">
        <v>454</v>
      </c>
      <c r="E313" s="1028">
        <f>'побудинковий звіт'!E311</f>
        <v>3259.9</v>
      </c>
      <c r="F313" s="1029">
        <f>'побудинковий звіт'!AS311</f>
        <v>43062.724006882003</v>
      </c>
      <c r="G313" s="1029">
        <f t="shared" si="32"/>
        <v>8804.6553179751081</v>
      </c>
      <c r="H313" s="1029">
        <f t="shared" si="33"/>
        <v>-34258.068688906897</v>
      </c>
      <c r="I313" s="43">
        <f>'[1]поточний ремонт'!I313+'[2]поточний ремонт'!I313-'[3]поточний ремонт'!I313</f>
        <v>13</v>
      </c>
      <c r="J313" s="43">
        <f>'[1]поточний ремонт'!J313+'[2]поточний ремонт'!J313-'[3]поточний ремонт'!J313</f>
        <v>2175</v>
      </c>
      <c r="K313" s="1037"/>
      <c r="L313" s="43">
        <f>'[1]поточний ремонт'!L313+'[2]поточний ремонт'!L313-'[3]поточний ремонт'!L313</f>
        <v>0</v>
      </c>
      <c r="M313" s="43">
        <f>'[1]поточний ремонт'!M313+'[2]поточний ремонт'!M313-'[3]поточний ремонт'!M313</f>
        <v>0</v>
      </c>
      <c r="N313" s="37"/>
      <c r="O313" s="43">
        <f>'[1]поточний ремонт'!O313+'[2]поточний ремонт'!O313-'[3]поточний ремонт'!O313</f>
        <v>0</v>
      </c>
      <c r="P313" s="43">
        <f>'[1]поточний ремонт'!P313+'[2]поточний ремонт'!P313-'[3]поточний ремонт'!P313</f>
        <v>0</v>
      </c>
      <c r="Q313" s="1038"/>
      <c r="R313" s="43">
        <f>'[1]поточний ремонт'!R313+'[2]поточний ремонт'!R313-'[3]поточний ремонт'!R313</f>
        <v>0</v>
      </c>
      <c r="S313" s="43">
        <f>'[1]поточний ремонт'!S313+'[2]поточний ремонт'!S313-'[3]поточний ремонт'!S313</f>
        <v>0</v>
      </c>
      <c r="T313" s="1039"/>
      <c r="U313" s="43">
        <f>'[1]поточний ремонт'!U313+'[2]поточний ремонт'!U313-'[3]поточний ремонт'!U313</f>
        <v>0</v>
      </c>
      <c r="V313" s="43">
        <f>'[1]поточний ремонт'!V313+'[2]поточний ремонт'!V313-'[3]поточний ремонт'!V313</f>
        <v>0</v>
      </c>
      <c r="W313" s="43">
        <f>'[1]поточний ремонт'!W313+'[2]поточний ремонт'!W313-'[3]поточний ремонт'!W313</f>
        <v>0</v>
      </c>
      <c r="X313" s="43">
        <f>'[1]поточний ремонт'!X313+'[2]поточний ремонт'!X313-'[3]поточний ремонт'!X313</f>
        <v>604.65531797510778</v>
      </c>
      <c r="Y313" s="43">
        <f>'[1]поточний ремонт'!Y313+'[2]поточний ремонт'!Y313-'[3]поточний ремонт'!Y313</f>
        <v>1453</v>
      </c>
      <c r="Z313" s="43">
        <f>'[1]поточний ремонт'!Z313+'[2]поточний ремонт'!Z313-'[3]поточний ремонт'!Z313</f>
        <v>0</v>
      </c>
      <c r="AA313" s="43">
        <f>'[1]поточний ремонт'!AA313+'[2]поточний ремонт'!AA313-'[3]поточний ремонт'!AA313</f>
        <v>0</v>
      </c>
      <c r="AB313" s="43">
        <f>'[1]поточний ремонт'!AB313+'[2]поточний ремонт'!AB313-'[3]поточний ремонт'!AB313</f>
        <v>265</v>
      </c>
      <c r="AC313" s="43">
        <f>'[1]поточний ремонт'!AC313+'[2]поточний ремонт'!AC313-'[3]поточний ремонт'!AC313</f>
        <v>2864</v>
      </c>
      <c r="AD313" s="43">
        <f>'[1]поточний ремонт'!AD313+'[2]поточний ремонт'!AD313-'[3]поточний ремонт'!AD313</f>
        <v>1443</v>
      </c>
      <c r="AE313" s="43">
        <f>'[1]поточний ремонт'!AE313+'[2]поточний ремонт'!AE313-'[3]поточний ремонт'!AE313</f>
        <v>2579.5611341037534</v>
      </c>
      <c r="AF313" s="43">
        <f>'[1]поточний ремонт'!AF313+'[2]поточний ремонт'!AF313-'[3]поточний ремонт'!AF313</f>
        <v>3867</v>
      </c>
      <c r="AG313" s="1045"/>
      <c r="AH313" s="43">
        <f>'[1]поточний ремонт'!AH313+'[2]поточний ремонт'!AH313-'[3]поточний ремонт'!AH313</f>
        <v>3693.0497665428493</v>
      </c>
      <c r="AI313" s="43">
        <f>'[1]поточний ремонт'!AI313+'[2]поточний ремонт'!AI313-'[3]поточний ремонт'!AI313</f>
        <v>1382</v>
      </c>
      <c r="AJ313" s="5"/>
      <c r="AK313" s="43">
        <f>'[1]поточний ремонт'!AK313+'[2]поточний ремонт'!AK313-'[3]поточний ремонт'!AK313</f>
        <v>2522.8422228112031</v>
      </c>
      <c r="AL313" s="43">
        <f>'[1]поточний ремонт'!AL313+'[2]поточний ремонт'!AL313-'[3]поточний ремонт'!AL313</f>
        <v>1989</v>
      </c>
      <c r="AM313" s="5"/>
      <c r="AN313" s="43">
        <f>'[1]поточний ремонт'!AN313+'[2]поточний ремонт'!AN313-'[3]поточний ремонт'!AN313</f>
        <v>0</v>
      </c>
      <c r="AO313" s="43">
        <f>'[1]поточний ремонт'!AO313+'[2]поточний ремонт'!AO313-'[3]поточний ремонт'!AO313</f>
        <v>0</v>
      </c>
      <c r="AP313" s="5"/>
      <c r="AQ313" s="43">
        <f>'[1]поточний ремонт'!AQ313+'[2]поточний ремонт'!AQ313-'[3]поточний ремонт'!AQ313</f>
        <v>0</v>
      </c>
      <c r="AR313" s="43">
        <f>'[1]поточний ремонт'!AR313+'[2]поточний ремонт'!AR313-'[3]поточний ремонт'!AR313</f>
        <v>0</v>
      </c>
      <c r="AS313" s="5"/>
      <c r="AT313" s="43">
        <f>'[1]поточний ремонт'!AT313+'[2]поточний ремонт'!AT313-'[3]поточний ремонт'!AT313</f>
        <v>0</v>
      </c>
      <c r="AU313" s="43">
        <f>'[1]поточний ремонт'!AU313+'[2]поточний ремонт'!AU313-'[3]поточний ремонт'!AU313</f>
        <v>2898</v>
      </c>
      <c r="AV313" s="5"/>
      <c r="AW313" s="43">
        <f>'[1]поточний ремонт'!AW313+'[2]поточний ремонт'!AW313-'[3]поточний ремонт'!AW313</f>
        <v>0</v>
      </c>
      <c r="AX313" s="43">
        <f>'[1]поточний ремонт'!AX313+'[2]поточний ремонт'!AX313-'[3]поточний ремонт'!AX313</f>
        <v>0</v>
      </c>
      <c r="AY313" s="5"/>
      <c r="AZ313" s="43">
        <f t="shared" si="34"/>
        <v>8795.4531234578062</v>
      </c>
      <c r="BA313" s="43">
        <f t="shared" si="35"/>
        <v>10136</v>
      </c>
      <c r="BB313" s="59">
        <f t="shared" si="36"/>
        <v>1340.5468765421938</v>
      </c>
      <c r="BD313" s="2">
        <v>2</v>
      </c>
      <c r="BF313" s="30">
        <v>6.3550443759495243</v>
      </c>
      <c r="BG313" s="328">
        <v>150000862</v>
      </c>
      <c r="BI313" s="107">
        <v>45.12</v>
      </c>
      <c r="BJ313" s="107">
        <f t="shared" si="37"/>
        <v>6.3466784639999991</v>
      </c>
      <c r="BK313" s="107">
        <v>52.036255115519999</v>
      </c>
      <c r="BL313" s="39"/>
      <c r="BM313" s="3"/>
      <c r="BN313" s="3">
        <v>0</v>
      </c>
      <c r="BP313" s="3"/>
      <c r="BQ313" s="3"/>
      <c r="BS313" s="43"/>
      <c r="BT313" s="43">
        <v>0</v>
      </c>
      <c r="BU313" s="1037"/>
      <c r="BV313" s="42"/>
      <c r="BW313" s="43"/>
      <c r="BX313" s="37"/>
      <c r="BY313" s="78"/>
      <c r="BZ313" s="43">
        <v>0</v>
      </c>
      <c r="CA313" s="1038"/>
      <c r="CB313" s="42"/>
      <c r="CC313" s="42">
        <v>0</v>
      </c>
      <c r="CD313" s="1039"/>
      <c r="CE313" s="78">
        <v>0</v>
      </c>
      <c r="CF313" s="56"/>
      <c r="CG313" s="42">
        <v>0</v>
      </c>
      <c r="CH313" s="39">
        <v>52.036255115519999</v>
      </c>
      <c r="CI313" s="78">
        <v>0</v>
      </c>
      <c r="CJ313" s="56"/>
      <c r="CK313" s="1034"/>
      <c r="CL313" s="1029"/>
      <c r="CM313" s="1034"/>
      <c r="CN313" s="1029">
        <v>0</v>
      </c>
      <c r="CO313" s="78">
        <v>214.96342784197947</v>
      </c>
      <c r="CP313" s="43">
        <v>0</v>
      </c>
      <c r="CQ313" s="1045"/>
      <c r="CR313" s="78">
        <v>307.75414721190407</v>
      </c>
      <c r="CS313" s="1033">
        <v>0</v>
      </c>
      <c r="CT313" s="5"/>
      <c r="CU313" s="78">
        <v>210.23685190093357</v>
      </c>
      <c r="CV313" s="43">
        <v>0</v>
      </c>
      <c r="CW313" s="5"/>
      <c r="CX313" s="78">
        <v>0</v>
      </c>
      <c r="CY313" s="43">
        <v>0</v>
      </c>
      <c r="CZ313" s="5"/>
      <c r="DA313" s="78">
        <v>0</v>
      </c>
      <c r="DB313" s="43">
        <v>0</v>
      </c>
      <c r="DC313" s="5"/>
      <c r="DD313" s="78">
        <v>0</v>
      </c>
      <c r="DE313" s="43">
        <v>0</v>
      </c>
      <c r="DF313" s="5"/>
      <c r="DG313" s="78">
        <v>0</v>
      </c>
      <c r="DH313" s="43"/>
      <c r="DI313" s="5"/>
      <c r="DJ313" s="43">
        <v>732.95442695481711</v>
      </c>
      <c r="DK313" s="43">
        <f t="shared" si="38"/>
        <v>0</v>
      </c>
      <c r="DL313" s="59">
        <f t="shared" si="39"/>
        <v>-732.95442695481711</v>
      </c>
    </row>
    <row r="314" spans="1:116" ht="24.9" customHeight="1" x14ac:dyDescent="0.3">
      <c r="A314" s="328">
        <v>150000863</v>
      </c>
      <c r="B314" s="45" t="s">
        <v>235</v>
      </c>
      <c r="C314" s="1035">
        <v>4</v>
      </c>
      <c r="D314" s="1036" t="s">
        <v>454</v>
      </c>
      <c r="E314" s="1028">
        <f>'побудинковий звіт'!E312</f>
        <v>3099.54</v>
      </c>
      <c r="F314" s="1029">
        <f>'побудинковий звіт'!AS312</f>
        <v>39971.423198093136</v>
      </c>
      <c r="G314" s="1029">
        <f t="shared" si="32"/>
        <v>34200.777528742168</v>
      </c>
      <c r="H314" s="1029">
        <f t="shared" si="33"/>
        <v>-5770.6456693509681</v>
      </c>
      <c r="I314" s="43">
        <f>'[1]поточний ремонт'!I314+'[2]поточний ремонт'!I314-'[3]поточний ремонт'!I314</f>
        <v>126</v>
      </c>
      <c r="J314" s="43">
        <f>'[1]поточний ремонт'!J314+'[2]поточний ремонт'!J314-'[3]поточний ремонт'!J314</f>
        <v>30289</v>
      </c>
      <c r="K314" s="1037"/>
      <c r="L314" s="43">
        <f>'[1]поточний ремонт'!L314+'[2]поточний ремонт'!L314-'[3]поточний ремонт'!L314</f>
        <v>0</v>
      </c>
      <c r="M314" s="43">
        <f>'[1]поточний ремонт'!M314+'[2]поточний ремонт'!M314-'[3]поточний ремонт'!M314</f>
        <v>0</v>
      </c>
      <c r="N314" s="37"/>
      <c r="O314" s="43">
        <f>'[1]поточний ремонт'!O314+'[2]поточний ремонт'!O314-'[3]поточний ремонт'!O314</f>
        <v>0</v>
      </c>
      <c r="P314" s="43">
        <f>'[1]поточний ремонт'!P314+'[2]поточний ремонт'!P314-'[3]поточний ремонт'!P314</f>
        <v>0</v>
      </c>
      <c r="Q314" s="1038"/>
      <c r="R314" s="43">
        <f>'[1]поточний ремонт'!R314+'[2]поточний ремонт'!R314-'[3]поточний ремонт'!R314</f>
        <v>0</v>
      </c>
      <c r="S314" s="43">
        <f>'[1]поточний ремонт'!S314+'[2]поточний ремонт'!S314-'[3]поточний ремонт'!S314</f>
        <v>0</v>
      </c>
      <c r="T314" s="1039"/>
      <c r="U314" s="43">
        <f>'[1]поточний ремонт'!U314+'[2]поточний ремонт'!U314-'[3]поточний ремонт'!U314</f>
        <v>0</v>
      </c>
      <c r="V314" s="43">
        <f>'[1]поточний ремонт'!V314+'[2]поточний ремонт'!V314-'[3]поточний ремонт'!V314</f>
        <v>0</v>
      </c>
      <c r="W314" s="43">
        <f>'[1]поточний ремонт'!W314+'[2]поточний ремонт'!W314-'[3]поточний ремонт'!W314</f>
        <v>0</v>
      </c>
      <c r="X314" s="43">
        <f>'[1]поточний ремонт'!X314+'[2]поточний ремонт'!X314-'[3]поточний ремонт'!X314</f>
        <v>351.77752874216708</v>
      </c>
      <c r="Y314" s="43">
        <f>'[1]поточний ремонт'!Y314+'[2]поточний ремонт'!Y314-'[3]поточний ремонт'!Y314</f>
        <v>0</v>
      </c>
      <c r="Z314" s="43">
        <f>'[1]поточний ремонт'!Z314+'[2]поточний ремонт'!Z314-'[3]поточний ремонт'!Z314</f>
        <v>0</v>
      </c>
      <c r="AA314" s="43">
        <f>'[1]поточний ремонт'!AA314+'[2]поточний ремонт'!AA314-'[3]поточний ремонт'!AA314</f>
        <v>0</v>
      </c>
      <c r="AB314" s="43">
        <f>'[1]поточний ремонт'!AB314+'[2]поточний ремонт'!AB314-'[3]поточний ремонт'!AB314</f>
        <v>0</v>
      </c>
      <c r="AC314" s="43">
        <f>'[1]поточний ремонт'!AC314+'[2]поточний ремонт'!AC314-'[3]поточний ремонт'!AC314</f>
        <v>3560</v>
      </c>
      <c r="AD314" s="43">
        <f>'[1]поточний ремонт'!AD314+'[2]поточний ремонт'!AD314-'[3]поточний ремонт'!AD314</f>
        <v>0</v>
      </c>
      <c r="AE314" s="43">
        <f>'[1]поточний ремонт'!AE314+'[2]поточний ремонт'!AE314-'[3]поточний ремонт'!AE314</f>
        <v>2001.9872785339096</v>
      </c>
      <c r="AF314" s="43">
        <f>'[1]поточний ремонт'!AF314+'[2]поточний ремонт'!AF314-'[3]поточний ремонт'!AF314</f>
        <v>3247</v>
      </c>
      <c r="AG314" s="9"/>
      <c r="AH314" s="43">
        <f>'[1]поточний ремонт'!AH314+'[2]поточний ремонт'!AH314-'[3]поточний ремонт'!AH314</f>
        <v>2961.9566150309606</v>
      </c>
      <c r="AI314" s="43">
        <f>'[1]поточний ремонт'!AI314+'[2]поточний ремонт'!AI314-'[3]поточний ремонт'!AI314</f>
        <v>0</v>
      </c>
      <c r="AJ314" s="5"/>
      <c r="AK314" s="43">
        <f>'[1]поточний ремонт'!AK314+'[2]поточний ремонт'!AK314-'[3]поточний ремонт'!AK314</f>
        <v>2435.6050820057662</v>
      </c>
      <c r="AL314" s="43">
        <f>'[1]поточний ремонт'!AL314+'[2]поточний ремонт'!AL314-'[3]поточний ремонт'!AL314</f>
        <v>2158</v>
      </c>
      <c r="AM314" s="5"/>
      <c r="AN314" s="43">
        <f>'[1]поточний ремонт'!AN314+'[2]поточний ремонт'!AN314-'[3]поточний ремонт'!AN314</f>
        <v>1197.4818654364203</v>
      </c>
      <c r="AO314" s="43">
        <f>'[1]поточний ремонт'!AO314+'[2]поточний ремонт'!AO314-'[3]поточний ремонт'!AO314</f>
        <v>0</v>
      </c>
      <c r="AP314" s="5"/>
      <c r="AQ314" s="43">
        <f>'[1]поточний ремонт'!AQ314+'[2]поточний ремонт'!AQ314-'[3]поточний ремонт'!AQ314</f>
        <v>0</v>
      </c>
      <c r="AR314" s="43">
        <f>'[1]поточний ремонт'!AR314+'[2]поточний ремонт'!AR314-'[3]поточний ремонт'!AR314</f>
        <v>3172</v>
      </c>
      <c r="AS314" s="5"/>
      <c r="AT314" s="43">
        <f>'[1]поточний ремонт'!AT314+'[2]поточний ремонт'!AT314-'[3]поточний ремонт'!AT314</f>
        <v>1442.4827038778769</v>
      </c>
      <c r="AU314" s="43">
        <f>'[1]поточний ремонт'!AU314+'[2]поточний ремонт'!AU314-'[3]поточний ремонт'!AU314</f>
        <v>0</v>
      </c>
      <c r="AV314" s="5"/>
      <c r="AW314" s="43">
        <f>'[1]поточний ремонт'!AW314+'[2]поточний ремонт'!AW314-'[3]поточний ремонт'!AW314</f>
        <v>0</v>
      </c>
      <c r="AX314" s="43">
        <f>'[1]поточний ремонт'!AX314+'[2]поточний ремонт'!AX314-'[3]поточний ремонт'!AX314</f>
        <v>0</v>
      </c>
      <c r="AY314" s="5"/>
      <c r="AZ314" s="43">
        <f t="shared" si="34"/>
        <v>10039.513544884934</v>
      </c>
      <c r="BA314" s="43">
        <f t="shared" si="35"/>
        <v>8577</v>
      </c>
      <c r="BB314" s="59">
        <f t="shared" si="36"/>
        <v>-1462.5135448849342</v>
      </c>
      <c r="BD314" s="2">
        <v>2</v>
      </c>
      <c r="BF314" s="30">
        <v>4.6807309562695032</v>
      </c>
      <c r="BG314" s="328">
        <v>150000863</v>
      </c>
      <c r="BI314" s="107">
        <v>26.25</v>
      </c>
      <c r="BJ314" s="107">
        <f t="shared" si="37"/>
        <v>3.6923827499999997</v>
      </c>
      <c r="BK314" s="107">
        <v>30.273752145</v>
      </c>
      <c r="BL314" s="39"/>
      <c r="BM314" s="3"/>
      <c r="BN314" s="3">
        <v>0</v>
      </c>
      <c r="BP314" s="3"/>
      <c r="BQ314" s="3"/>
      <c r="BS314" s="43"/>
      <c r="BT314" s="43">
        <v>0</v>
      </c>
      <c r="BU314" s="1037"/>
      <c r="BV314" s="42"/>
      <c r="BW314" s="43"/>
      <c r="BX314" s="37"/>
      <c r="BY314" s="78"/>
      <c r="BZ314" s="43">
        <v>0</v>
      </c>
      <c r="CA314" s="1038"/>
      <c r="CB314" s="42"/>
      <c r="CC314" s="42">
        <v>0</v>
      </c>
      <c r="CD314" s="1039"/>
      <c r="CE314" s="78">
        <v>0</v>
      </c>
      <c r="CF314" s="56"/>
      <c r="CG314" s="42">
        <v>0</v>
      </c>
      <c r="CH314" s="39">
        <v>30.273752145</v>
      </c>
      <c r="CI314" s="78">
        <v>0</v>
      </c>
      <c r="CJ314" s="56"/>
      <c r="CK314" s="1034"/>
      <c r="CL314" s="1029"/>
      <c r="CM314" s="1034"/>
      <c r="CN314" s="1029">
        <v>0</v>
      </c>
      <c r="CO314" s="78">
        <v>166.83227321115911</v>
      </c>
      <c r="CP314" s="43">
        <v>0</v>
      </c>
      <c r="CQ314" s="9"/>
      <c r="CR314" s="78">
        <v>246.82971791924669</v>
      </c>
      <c r="CS314" s="1033">
        <v>0</v>
      </c>
      <c r="CT314" s="5"/>
      <c r="CU314" s="78">
        <v>202.96709016714718</v>
      </c>
      <c r="CV314" s="43">
        <v>0</v>
      </c>
      <c r="CW314" s="5"/>
      <c r="CX314" s="78">
        <v>99.790155453035027</v>
      </c>
      <c r="CY314" s="43">
        <v>0</v>
      </c>
      <c r="CZ314" s="5"/>
      <c r="DA314" s="78">
        <v>0</v>
      </c>
      <c r="DB314" s="43">
        <v>0</v>
      </c>
      <c r="DC314" s="5"/>
      <c r="DD314" s="78">
        <v>120.20689198982306</v>
      </c>
      <c r="DE314" s="43">
        <v>0</v>
      </c>
      <c r="DF314" s="5"/>
      <c r="DG314" s="78">
        <v>0</v>
      </c>
      <c r="DH314" s="43"/>
      <c r="DI314" s="5"/>
      <c r="DJ314" s="43">
        <v>836.62612874041099</v>
      </c>
      <c r="DK314" s="43">
        <f t="shared" si="38"/>
        <v>0</v>
      </c>
      <c r="DL314" s="59">
        <f t="shared" si="39"/>
        <v>-836.62612874041099</v>
      </c>
    </row>
    <row r="315" spans="1:116" ht="24.9" customHeight="1" x14ac:dyDescent="0.3">
      <c r="A315" s="328">
        <v>150000864</v>
      </c>
      <c r="B315" s="45" t="s">
        <v>200</v>
      </c>
      <c r="C315" s="1035">
        <v>3</v>
      </c>
      <c r="D315" s="1036" t="s">
        <v>454</v>
      </c>
      <c r="E315" s="1028">
        <f>'побудинковий звіт'!E313</f>
        <v>3545.5</v>
      </c>
      <c r="F315" s="1029">
        <f>'побудинковий звіт'!AS313</f>
        <v>44437.123719192976</v>
      </c>
      <c r="G315" s="1029">
        <f t="shared" si="32"/>
        <v>54105.763110612563</v>
      </c>
      <c r="H315" s="1029">
        <f t="shared" si="33"/>
        <v>9668.6393914195869</v>
      </c>
      <c r="I315" s="43">
        <f>'[1]поточний ремонт'!I315+'[2]поточний ремонт'!I315-'[3]поточний ремонт'!I315</f>
        <v>82</v>
      </c>
      <c r="J315" s="43">
        <f>'[1]поточний ремонт'!J315+'[2]поточний ремонт'!J315-'[3]поточний ремонт'!J315</f>
        <v>19289</v>
      </c>
      <c r="K315" s="1037"/>
      <c r="L315" s="43">
        <f>'[1]поточний ремонт'!L315+'[2]поточний ремонт'!L315-'[3]поточний ремонт'!L315</f>
        <v>0</v>
      </c>
      <c r="M315" s="43">
        <f>'[1]поточний ремонт'!M315+'[2]поточний ремонт'!M315-'[3]поточний ремонт'!M315</f>
        <v>0</v>
      </c>
      <c r="N315" s="37"/>
      <c r="O315" s="43">
        <f>'[1]поточний ремонт'!O315+'[2]поточний ремонт'!O315-'[3]поточний ремонт'!O315</f>
        <v>0</v>
      </c>
      <c r="P315" s="43">
        <f>'[1]поточний ремонт'!P315+'[2]поточний ремонт'!P315-'[3]поточний ремонт'!P315</f>
        <v>0</v>
      </c>
      <c r="Q315" s="1038"/>
      <c r="R315" s="43">
        <f>'[1]поточний ремонт'!R315+'[2]поточний ремонт'!R315-'[3]поточний ремонт'!R315</f>
        <v>0</v>
      </c>
      <c r="S315" s="43">
        <f>'[1]поточний ремонт'!S315+'[2]поточний ремонт'!S315-'[3]поточний ремонт'!S315</f>
        <v>0</v>
      </c>
      <c r="T315" s="1039"/>
      <c r="U315" s="43">
        <f>'[1]поточний ремонт'!U315+'[2]поточний ремонт'!U315-'[3]поточний ремонт'!U315</f>
        <v>0</v>
      </c>
      <c r="V315" s="43">
        <f>'[1]поточний ремонт'!V315+'[2]поточний ремонт'!V315-'[3]поточний ремонт'!V315</f>
        <v>0</v>
      </c>
      <c r="W315" s="43">
        <f>'[1]поточний ремонт'!W315+'[2]поточний ремонт'!W315-'[3]поточний ремонт'!W315</f>
        <v>0</v>
      </c>
      <c r="X315" s="43">
        <f>'[1]поточний ремонт'!X315+'[2]поточний ремонт'!X315-'[3]поточний ремонт'!X315</f>
        <v>269.76311061256462</v>
      </c>
      <c r="Y315" s="43">
        <f>'[1]поточний ремонт'!Y315+'[2]поточний ремонт'!Y315-'[3]поточний ремонт'!Y315</f>
        <v>3214</v>
      </c>
      <c r="Z315" s="43">
        <f>'[1]поточний ремонт'!Z315+'[2]поточний ремонт'!Z315-'[3]поточний ремонт'!Z315</f>
        <v>0</v>
      </c>
      <c r="AA315" s="43">
        <f>'[1]поточний ремонт'!AA315+'[2]поточний ремонт'!AA315-'[3]поточний ремонт'!AA315</f>
        <v>0</v>
      </c>
      <c r="AB315" s="43">
        <f>'[1]поточний ремонт'!AB315+'[2]поточний ремонт'!AB315-'[3]поточний ремонт'!AB315</f>
        <v>0</v>
      </c>
      <c r="AC315" s="43">
        <f>'[1]поточний ремонт'!AC315+'[2]поточний ремонт'!AC315-'[3]поточний ремонт'!AC315</f>
        <v>27742</v>
      </c>
      <c r="AD315" s="43">
        <f>'[1]поточний ремонт'!AD315+'[2]поточний ремонт'!AD315-'[3]поточний ремонт'!AD315</f>
        <v>3591</v>
      </c>
      <c r="AE315" s="43">
        <f>'[1]поточний ремонт'!AE315+'[2]поточний ремонт'!AE315-'[3]поточний ремонт'!AE315</f>
        <v>1856.4158400493002</v>
      </c>
      <c r="AF315" s="43">
        <f>'[1]поточний ремонт'!AF315+'[2]поточний ремонт'!AF315-'[3]поточний ремонт'!AF315</f>
        <v>1248</v>
      </c>
      <c r="AG315" s="5"/>
      <c r="AH315" s="43">
        <f>'[1]поточний ремонт'!AH315+'[2]поточний ремонт'!AH315-'[3]поточний ремонт'!AH315</f>
        <v>2574.1806752643743</v>
      </c>
      <c r="AI315" s="43">
        <f>'[1]поточний ремонт'!AI315+'[2]поточний ремонт'!AI315-'[3]поточний ремонт'!AI315</f>
        <v>4504.1659052734631</v>
      </c>
      <c r="AJ315" s="5"/>
      <c r="AK315" s="43">
        <f>'[1]поточний ремонт'!AK315+'[2]поточний ремонт'!AK315-'[3]поточний ремонт'!AK315</f>
        <v>3241.1822673533707</v>
      </c>
      <c r="AL315" s="43">
        <f>'[1]поточний ремонт'!AL315+'[2]поточний ремонт'!AL315-'[3]поточний ремонт'!AL315</f>
        <v>0</v>
      </c>
      <c r="AM315" s="5"/>
      <c r="AN315" s="43">
        <f>'[1]поточний ремонт'!AN315+'[2]поточний ремонт'!AN315-'[3]поточний ремонт'!AN315</f>
        <v>0</v>
      </c>
      <c r="AO315" s="43">
        <f>'[1]поточний ремонт'!AO315+'[2]поточний ремонт'!AO315-'[3]поточний ремонт'!AO315</f>
        <v>0</v>
      </c>
      <c r="AP315" s="5"/>
      <c r="AQ315" s="43">
        <f>'[1]поточний ремонт'!AQ315+'[2]поточний ремонт'!AQ315-'[3]поточний ремонт'!AQ315</f>
        <v>0</v>
      </c>
      <c r="AR315" s="43">
        <f>'[1]поточний ремонт'!AR315+'[2]поточний ремонт'!AR315-'[3]поточний ремонт'!AR315</f>
        <v>0</v>
      </c>
      <c r="AS315" s="5"/>
      <c r="AT315" s="43">
        <f>'[1]поточний ремонт'!AT315+'[2]поточний ремонт'!AT315-'[3]поточний ремонт'!AT315</f>
        <v>1902.4777559307925</v>
      </c>
      <c r="AU315" s="43">
        <f>'[1]поточний ремонт'!AU315+'[2]поточний ремонт'!AU315-'[3]поточний ремонт'!AU315</f>
        <v>0</v>
      </c>
      <c r="AV315" s="5"/>
      <c r="AW315" s="43">
        <f>'[1]поточний ремонт'!AW315+'[2]поточний ремонт'!AW315-'[3]поточний ремонт'!AW315</f>
        <v>0</v>
      </c>
      <c r="AX315" s="43">
        <f>'[1]поточний ремонт'!AX315+'[2]поточний ремонт'!AX315-'[3]поточний ремонт'!AX315</f>
        <v>0</v>
      </c>
      <c r="AY315" s="5"/>
      <c r="AZ315" s="43">
        <f t="shared" si="34"/>
        <v>9574.2565385978378</v>
      </c>
      <c r="BA315" s="43">
        <f t="shared" si="35"/>
        <v>5752.1659052734631</v>
      </c>
      <c r="BB315" s="59">
        <f t="shared" si="36"/>
        <v>-3822.0906333243747</v>
      </c>
      <c r="BD315" s="2">
        <v>2</v>
      </c>
      <c r="BF315" s="30">
        <v>5.707373470185221</v>
      </c>
      <c r="BG315" s="328">
        <v>150000864</v>
      </c>
      <c r="BI315" s="107">
        <v>20.13</v>
      </c>
      <c r="BJ315" s="107">
        <f t="shared" si="37"/>
        <v>2.8315300859999994</v>
      </c>
      <c r="BK315" s="107">
        <v>23.215643073479999</v>
      </c>
      <c r="BL315" s="39"/>
      <c r="BM315" s="3"/>
      <c r="BN315" s="3">
        <v>0</v>
      </c>
      <c r="BP315" s="3"/>
      <c r="BQ315" s="3"/>
      <c r="BS315" s="43"/>
      <c r="BT315" s="43">
        <v>0</v>
      </c>
      <c r="BU315" s="1037"/>
      <c r="BV315" s="42"/>
      <c r="BW315" s="43"/>
      <c r="BX315" s="37"/>
      <c r="BY315" s="78"/>
      <c r="BZ315" s="43">
        <v>0</v>
      </c>
      <c r="CA315" s="1038"/>
      <c r="CB315" s="42"/>
      <c r="CC315" s="42">
        <v>0</v>
      </c>
      <c r="CD315" s="1039"/>
      <c r="CE315" s="78">
        <v>0</v>
      </c>
      <c r="CF315" s="56"/>
      <c r="CG315" s="42">
        <v>0</v>
      </c>
      <c r="CH315" s="39">
        <v>23.215643073479999</v>
      </c>
      <c r="CI315" s="78">
        <v>0</v>
      </c>
      <c r="CJ315" s="56"/>
      <c r="CK315" s="1034"/>
      <c r="CL315" s="1029"/>
      <c r="CM315" s="1034"/>
      <c r="CN315" s="1029">
        <v>0</v>
      </c>
      <c r="CO315" s="78">
        <v>154.70132000410837</v>
      </c>
      <c r="CP315" s="43">
        <v>0</v>
      </c>
      <c r="CQ315" s="5"/>
      <c r="CR315" s="78">
        <v>214.51505627203119</v>
      </c>
      <c r="CS315" s="1033">
        <v>0</v>
      </c>
      <c r="CT315" s="5"/>
      <c r="CU315" s="78">
        <v>270.09852227944759</v>
      </c>
      <c r="CV315" s="43">
        <v>0</v>
      </c>
      <c r="CW315" s="5"/>
      <c r="CX315" s="78">
        <v>0</v>
      </c>
      <c r="CY315" s="43">
        <v>0</v>
      </c>
      <c r="CZ315" s="5"/>
      <c r="DA315" s="78">
        <v>0</v>
      </c>
      <c r="DB315" s="43">
        <v>0</v>
      </c>
      <c r="DC315" s="5"/>
      <c r="DD315" s="78">
        <v>158.53981299423265</v>
      </c>
      <c r="DE315" s="43">
        <v>0</v>
      </c>
      <c r="DF315" s="5"/>
      <c r="DG315" s="78">
        <v>0</v>
      </c>
      <c r="DH315" s="43"/>
      <c r="DI315" s="5"/>
      <c r="DJ315" s="43">
        <v>797.85471154981985</v>
      </c>
      <c r="DK315" s="43">
        <f t="shared" si="38"/>
        <v>0</v>
      </c>
      <c r="DL315" s="59">
        <f t="shared" si="39"/>
        <v>-797.85471154981985</v>
      </c>
    </row>
    <row r="316" spans="1:116" ht="24.9" customHeight="1" x14ac:dyDescent="0.3">
      <c r="A316" s="328">
        <v>150000865</v>
      </c>
      <c r="B316" s="45" t="s">
        <v>305</v>
      </c>
      <c r="C316" s="1035">
        <v>5</v>
      </c>
      <c r="D316" s="1036" t="s">
        <v>454</v>
      </c>
      <c r="E316" s="1028">
        <f>'побудинковий звіт'!E314</f>
        <v>6544.4</v>
      </c>
      <c r="F316" s="1029">
        <f>'побудинковий звіт'!AS314</f>
        <v>106927.42150655383</v>
      </c>
      <c r="G316" s="1029">
        <f t="shared" si="32"/>
        <v>26836</v>
      </c>
      <c r="H316" s="1029">
        <f t="shared" si="33"/>
        <v>-80091.42150655383</v>
      </c>
      <c r="I316" s="43">
        <f>'[1]поточний ремонт'!I316+'[2]поточний ремонт'!I316-'[3]поточний ремонт'!I316</f>
        <v>0</v>
      </c>
      <c r="J316" s="43">
        <f>'[1]поточний ремонт'!J316+'[2]поточний ремонт'!J316-'[3]поточний ремонт'!J316</f>
        <v>1265</v>
      </c>
      <c r="K316" s="1037"/>
      <c r="L316" s="43">
        <f>'[1]поточний ремонт'!L316+'[2]поточний ремонт'!L316-'[3]поточний ремонт'!L316</f>
        <v>0</v>
      </c>
      <c r="M316" s="43">
        <f>'[1]поточний ремонт'!M316+'[2]поточний ремонт'!M316-'[3]поточний ремонт'!M316</f>
        <v>0</v>
      </c>
      <c r="N316" s="37"/>
      <c r="O316" s="43">
        <f>'[1]поточний ремонт'!O316+'[2]поточний ремонт'!O316-'[3]поточний ремонт'!O316</f>
        <v>0</v>
      </c>
      <c r="P316" s="43">
        <f>'[1]поточний ремонт'!P316+'[2]поточний ремонт'!P316-'[3]поточний ремонт'!P316</f>
        <v>0</v>
      </c>
      <c r="Q316" s="1038"/>
      <c r="R316" s="43">
        <f>'[1]поточний ремонт'!R316+'[2]поточний ремонт'!R316-'[3]поточний ремонт'!R316</f>
        <v>0</v>
      </c>
      <c r="S316" s="43">
        <f>'[1]поточний ремонт'!S316+'[2]поточний ремонт'!S316-'[3]поточний ремонт'!S316</f>
        <v>0</v>
      </c>
      <c r="T316" s="1039"/>
      <c r="U316" s="43">
        <f>'[1]поточний ремонт'!U316+'[2]поточний ремонт'!U316-'[3]поточний ремонт'!U316</f>
        <v>0</v>
      </c>
      <c r="V316" s="43">
        <f>'[1]поточний ремонт'!V316+'[2]поточний ремонт'!V316-'[3]поточний ремонт'!V316</f>
        <v>0</v>
      </c>
      <c r="W316" s="43">
        <f>'[1]поточний ремонт'!W316+'[2]поточний ремонт'!W316-'[3]поточний ремонт'!W316</f>
        <v>15</v>
      </c>
      <c r="X316" s="43">
        <f>'[1]поточний ремонт'!X316+'[2]поточний ремонт'!X316-'[3]поточний ремонт'!X316</f>
        <v>2263</v>
      </c>
      <c r="Y316" s="43">
        <f>'[1]поточний ремонт'!Y316+'[2]поточний ремонт'!Y316-'[3]поточний ремонт'!Y316</f>
        <v>0</v>
      </c>
      <c r="Z316" s="43">
        <f>'[1]поточний ремонт'!Z316+'[2]поточний ремонт'!Z316-'[3]поточний ремонт'!Z316</f>
        <v>0</v>
      </c>
      <c r="AA316" s="43">
        <f>'[1]поточний ремонт'!AA316+'[2]поточний ремонт'!AA316-'[3]поточний ремонт'!AA316</f>
        <v>0</v>
      </c>
      <c r="AB316" s="43">
        <f>'[1]поточний ремонт'!AB316+'[2]поточний ремонт'!AB316-'[3]поточний ремонт'!AB316</f>
        <v>0</v>
      </c>
      <c r="AC316" s="43">
        <f>'[1]поточний ремонт'!AC316+'[2]поточний ремонт'!AC316-'[3]поточний ремонт'!AC316</f>
        <v>23308</v>
      </c>
      <c r="AD316" s="43">
        <f>'[1]поточний ремонт'!AD316+'[2]поточний ремонт'!AD316-'[3]поточний ремонт'!AD316</f>
        <v>0</v>
      </c>
      <c r="AE316" s="43">
        <f>'[1]поточний ремонт'!AE316+'[2]поточний ремонт'!AE316-'[3]поточний ремонт'!AE316</f>
        <v>4607.0534736612744</v>
      </c>
      <c r="AF316" s="43">
        <f>'[1]поточний ремонт'!AF316+'[2]поточний ремонт'!AF316-'[3]поточний ремонт'!AF316</f>
        <v>0</v>
      </c>
      <c r="AG316" s="9"/>
      <c r="AH316" s="43">
        <f>'[1]поточний ремонт'!AH316+'[2]поточний ремонт'!AH316-'[3]поточний ремонт'!AH316</f>
        <v>7376.0777188627999</v>
      </c>
      <c r="AI316" s="43">
        <f>'[1]поточний ремонт'!AI316+'[2]поточний ремонт'!AI316-'[3]поточний ремонт'!AI316</f>
        <v>0</v>
      </c>
      <c r="AJ316" s="5"/>
      <c r="AK316" s="43">
        <f>'[1]поточний ремонт'!AK316+'[2]поточний ремонт'!AK316-'[3]поточний ремонт'!AK316</f>
        <v>6446.9516973452592</v>
      </c>
      <c r="AL316" s="43">
        <f>'[1]поточний ремонт'!AL316+'[2]поточний ремонт'!AL316-'[3]поточний ремонт'!AL316</f>
        <v>958.61266605821459</v>
      </c>
      <c r="AM316" s="5"/>
      <c r="AN316" s="43">
        <f>'[1]поточний ремонт'!AN316+'[2]поточний ремонт'!AN316-'[3]поточний ремонт'!AN316</f>
        <v>0</v>
      </c>
      <c r="AO316" s="43">
        <f>'[1]поточний ремонт'!AO316+'[2]поточний ремонт'!AO316-'[3]поточний ремонт'!AO316</f>
        <v>0</v>
      </c>
      <c r="AP316" s="5"/>
      <c r="AQ316" s="43">
        <f>'[1]поточний ремонт'!AQ316+'[2]поточний ремонт'!AQ316-'[3]поточний ремонт'!AQ316</f>
        <v>0</v>
      </c>
      <c r="AR316" s="43">
        <f>'[1]поточний ремонт'!AR316+'[2]поточний ремонт'!AR316-'[3]поточний ремонт'!AR316</f>
        <v>0</v>
      </c>
      <c r="AS316" s="5"/>
      <c r="AT316" s="43">
        <f>'[1]поточний ремонт'!AT316+'[2]поточний ремонт'!AT316-'[3]поточний ремонт'!AT316</f>
        <v>4458.098803733501</v>
      </c>
      <c r="AU316" s="43">
        <f>'[1]поточний ремонт'!AU316+'[2]поточний ремонт'!AU316-'[3]поточний ремонт'!AU316</f>
        <v>1323.8068336262759</v>
      </c>
      <c r="AV316" s="5"/>
      <c r="AW316" s="43">
        <f>'[1]поточний ремонт'!AW316+'[2]поточний ремонт'!AW316-'[3]поточний ремонт'!AW316</f>
        <v>0</v>
      </c>
      <c r="AX316" s="43">
        <f>'[1]поточний ремонт'!AX316+'[2]поточний ремонт'!AX316-'[3]поточний ремонт'!AX316</f>
        <v>497</v>
      </c>
      <c r="AY316" s="5"/>
      <c r="AZ316" s="43">
        <f t="shared" si="34"/>
        <v>22888.181693602834</v>
      </c>
      <c r="BA316" s="43">
        <f t="shared" si="35"/>
        <v>2779.4194996844903</v>
      </c>
      <c r="BB316" s="59">
        <f t="shared" si="36"/>
        <v>-20108.762193918345</v>
      </c>
      <c r="BD316" s="2">
        <v>2</v>
      </c>
      <c r="BF316" s="30">
        <v>13.393981555694547</v>
      </c>
      <c r="BG316" s="328">
        <v>150000865</v>
      </c>
      <c r="BI316" s="107">
        <v>0</v>
      </c>
      <c r="BJ316" s="107">
        <f t="shared" si="37"/>
        <v>0</v>
      </c>
      <c r="BK316" s="107">
        <v>0</v>
      </c>
      <c r="BL316" s="39"/>
      <c r="BM316" s="3"/>
      <c r="BN316" s="3">
        <v>0</v>
      </c>
      <c r="BP316" s="3"/>
      <c r="BQ316" s="3"/>
      <c r="BS316" s="43"/>
      <c r="BT316" s="43">
        <v>0</v>
      </c>
      <c r="BU316" s="1037"/>
      <c r="BV316" s="42"/>
      <c r="BW316" s="43"/>
      <c r="BX316" s="37"/>
      <c r="BY316" s="78"/>
      <c r="BZ316" s="43">
        <v>0</v>
      </c>
      <c r="CA316" s="1038"/>
      <c r="CB316" s="42"/>
      <c r="CC316" s="42">
        <v>0</v>
      </c>
      <c r="CD316" s="1039"/>
      <c r="CE316" s="78">
        <v>0</v>
      </c>
      <c r="CF316" s="56"/>
      <c r="CG316" s="42">
        <v>0</v>
      </c>
      <c r="CH316" s="39">
        <v>0</v>
      </c>
      <c r="CI316" s="78">
        <v>0</v>
      </c>
      <c r="CJ316" s="56"/>
      <c r="CK316" s="1034"/>
      <c r="CL316" s="1029"/>
      <c r="CM316" s="1034"/>
      <c r="CN316" s="1029">
        <v>0</v>
      </c>
      <c r="CO316" s="78">
        <v>383.92112280510617</v>
      </c>
      <c r="CP316" s="43">
        <v>0</v>
      </c>
      <c r="CQ316" s="9"/>
      <c r="CR316" s="78">
        <v>614.67314323856669</v>
      </c>
      <c r="CS316" s="1033">
        <v>1328.3136794441173</v>
      </c>
      <c r="CT316" s="5"/>
      <c r="CU316" s="78">
        <v>537.2459747787716</v>
      </c>
      <c r="CV316" s="43">
        <v>0</v>
      </c>
      <c r="CW316" s="5"/>
      <c r="CX316" s="78">
        <v>0</v>
      </c>
      <c r="CY316" s="43">
        <v>0</v>
      </c>
      <c r="CZ316" s="5"/>
      <c r="DA316" s="78">
        <v>0</v>
      </c>
      <c r="DB316" s="43">
        <v>0</v>
      </c>
      <c r="DC316" s="5"/>
      <c r="DD316" s="78">
        <v>371.50823364445841</v>
      </c>
      <c r="DE316" s="43">
        <v>0</v>
      </c>
      <c r="DF316" s="5"/>
      <c r="DG316" s="78">
        <v>0</v>
      </c>
      <c r="DH316" s="43"/>
      <c r="DI316" s="5"/>
      <c r="DJ316" s="43">
        <v>1907.3484744669029</v>
      </c>
      <c r="DK316" s="43">
        <f t="shared" si="38"/>
        <v>1328.3136794441173</v>
      </c>
      <c r="DL316" s="59">
        <f t="shared" si="39"/>
        <v>-579.0347950227856</v>
      </c>
    </row>
    <row r="317" spans="1:116" ht="24.9" customHeight="1" x14ac:dyDescent="0.3">
      <c r="A317" s="328">
        <v>150000873</v>
      </c>
      <c r="B317" s="45" t="s">
        <v>306</v>
      </c>
      <c r="C317" s="1035">
        <v>5</v>
      </c>
      <c r="D317" s="1036" t="s">
        <v>454</v>
      </c>
      <c r="E317" s="1028">
        <f>'побудинковий звіт'!E315</f>
        <v>341.7</v>
      </c>
      <c r="F317" s="1029">
        <f>'побудинковий звіт'!AS315</f>
        <v>27992.411614330915</v>
      </c>
      <c r="G317" s="1029">
        <f t="shared" si="32"/>
        <v>85</v>
      </c>
      <c r="H317" s="1029">
        <f t="shared" si="33"/>
        <v>-27907.411614330915</v>
      </c>
      <c r="I317" s="43">
        <f>'[1]поточний ремонт'!I317+'[2]поточний ремонт'!I317-'[3]поточний ремонт'!I317</f>
        <v>0</v>
      </c>
      <c r="J317" s="43">
        <f>'[1]поточний ремонт'!J317+'[2]поточний ремонт'!J317-'[3]поточний ремонт'!J317</f>
        <v>0</v>
      </c>
      <c r="K317" s="1037"/>
      <c r="L317" s="43">
        <f>'[1]поточний ремонт'!L317+'[2]поточний ремонт'!L317-'[3]поточний ремонт'!L317</f>
        <v>0</v>
      </c>
      <c r="M317" s="43">
        <f>'[1]поточний ремонт'!M317+'[2]поточний ремонт'!M317-'[3]поточний ремонт'!M317</f>
        <v>0</v>
      </c>
      <c r="N317" s="37"/>
      <c r="O317" s="43">
        <f>'[1]поточний ремонт'!O317+'[2]поточний ремонт'!O317-'[3]поточний ремонт'!O317</f>
        <v>0</v>
      </c>
      <c r="P317" s="43">
        <f>'[1]поточний ремонт'!P317+'[2]поточний ремонт'!P317-'[3]поточний ремонт'!P317</f>
        <v>0</v>
      </c>
      <c r="Q317" s="1038"/>
      <c r="R317" s="43">
        <f>'[1]поточний ремонт'!R317+'[2]поточний ремонт'!R317-'[3]поточний ремонт'!R317</f>
        <v>0</v>
      </c>
      <c r="S317" s="43">
        <f>'[1]поточний ремонт'!S317+'[2]поточний ремонт'!S317-'[3]поточний ремонт'!S317</f>
        <v>0</v>
      </c>
      <c r="T317" s="1039"/>
      <c r="U317" s="43">
        <f>'[1]поточний ремонт'!U317+'[2]поточний ремонт'!U317-'[3]поточний ремонт'!U317</f>
        <v>0</v>
      </c>
      <c r="V317" s="43">
        <f>'[1]поточний ремонт'!V317+'[2]поточний ремонт'!V317-'[3]поточний ремонт'!V317</f>
        <v>0</v>
      </c>
      <c r="W317" s="43">
        <f>'[1]поточний ремонт'!W317+'[2]поточний ремонт'!W317-'[3]поточний ремонт'!W317</f>
        <v>0</v>
      </c>
      <c r="X317" s="43">
        <f>'[1]поточний ремонт'!X317+'[2]поточний ремонт'!X317-'[3]поточний ремонт'!X317</f>
        <v>0</v>
      </c>
      <c r="Y317" s="43">
        <f>'[1]поточний ремонт'!Y317+'[2]поточний ремонт'!Y317-'[3]поточний ремонт'!Y317</f>
        <v>0</v>
      </c>
      <c r="Z317" s="43">
        <f>'[1]поточний ремонт'!Z317+'[2]поточний ремонт'!Z317-'[3]поточний ремонт'!Z317</f>
        <v>0</v>
      </c>
      <c r="AA317" s="43">
        <f>'[1]поточний ремонт'!AA317+'[2]поточний ремонт'!AA317-'[3]поточний ремонт'!AA317</f>
        <v>0</v>
      </c>
      <c r="AB317" s="43">
        <f>'[1]поточний ремонт'!AB317+'[2]поточний ремонт'!AB317-'[3]поточний ремонт'!AB317</f>
        <v>0</v>
      </c>
      <c r="AC317" s="43">
        <f>'[1]поточний ремонт'!AC317+'[2]поточний ремонт'!AC317-'[3]поточний ремонт'!AC317</f>
        <v>0</v>
      </c>
      <c r="AD317" s="43">
        <f>'[1]поточний ремонт'!AD317+'[2]поточний ремонт'!AD317-'[3]поточний ремонт'!AD317</f>
        <v>85</v>
      </c>
      <c r="AE317" s="43">
        <f>'[1]поточний ремонт'!AE317+'[2]поточний ремонт'!AE317-'[3]поточний ремонт'!AE317</f>
        <v>1462.8832484301468</v>
      </c>
      <c r="AF317" s="43">
        <f>'[1]поточний ремонт'!AF317+'[2]поточний ремонт'!AF317-'[3]поточний ремонт'!AF317</f>
        <v>0</v>
      </c>
      <c r="AG317" s="5"/>
      <c r="AH317" s="43">
        <f>'[1]поточний ремонт'!AH317+'[2]поточний ремонт'!AH317-'[3]поточний ремонт'!AH317</f>
        <v>2225.8525564076244</v>
      </c>
      <c r="AI317" s="43">
        <f>'[1]поточний ремонт'!AI317+'[2]поточний ремонт'!AI317-'[3]поточний ремонт'!AI317</f>
        <v>0</v>
      </c>
      <c r="AJ317" s="5"/>
      <c r="AK317" s="43">
        <f>'[1]поточний ремонт'!AK317+'[2]поточний ремонт'!AK317-'[3]поточний ремонт'!AK317</f>
        <v>1882.0036634758555</v>
      </c>
      <c r="AL317" s="43">
        <f>'[1]поточний ремонт'!AL317+'[2]поточний ремонт'!AL317-'[3]поточний ремонт'!AL317</f>
        <v>0</v>
      </c>
      <c r="AM317" s="5"/>
      <c r="AN317" s="43">
        <f>'[1]поточний ремонт'!AN317+'[2]поточний ремонт'!AN317-'[3]поточний ремонт'!AN317</f>
        <v>0</v>
      </c>
      <c r="AO317" s="43">
        <f>'[1]поточний ремонт'!AO317+'[2]поточний ремонт'!AO317-'[3]поточний ремонт'!AO317</f>
        <v>0</v>
      </c>
      <c r="AP317" s="5"/>
      <c r="AQ317" s="43">
        <f>'[1]поточний ремонт'!AQ317+'[2]поточний ремонт'!AQ317-'[3]поточний ремонт'!AQ317</f>
        <v>0</v>
      </c>
      <c r="AR317" s="43">
        <f>'[1]поточний ремонт'!AR317+'[2]поточний ремонт'!AR317-'[3]поточний ремонт'!AR317</f>
        <v>0</v>
      </c>
      <c r="AS317" s="5"/>
      <c r="AT317" s="43">
        <f>'[1]поточний ремонт'!AT317+'[2]поточний ремонт'!AT317-'[3]поточний ремонт'!AT317</f>
        <v>709.27539010590624</v>
      </c>
      <c r="AU317" s="43">
        <f>'[1]поточний ремонт'!AU317+'[2]поточний ремонт'!AU317-'[3]поточний ремонт'!AU317</f>
        <v>1273</v>
      </c>
      <c r="AV317" s="5"/>
      <c r="AW317" s="43">
        <f>'[1]поточний ремонт'!AW317+'[2]поточний ремонт'!AW317-'[3]поточний ремонт'!AW317</f>
        <v>0</v>
      </c>
      <c r="AX317" s="43">
        <f>'[1]поточний ремонт'!AX317+'[2]поточний ремонт'!AX317-'[3]поточний ремонт'!AX317</f>
        <v>0</v>
      </c>
      <c r="AY317" s="5"/>
      <c r="AZ317" s="43">
        <f t="shared" si="34"/>
        <v>6280.0148584195322</v>
      </c>
      <c r="BA317" s="43">
        <f t="shared" si="35"/>
        <v>1273</v>
      </c>
      <c r="BB317" s="59">
        <f t="shared" si="36"/>
        <v>-5007.0148584195322</v>
      </c>
      <c r="BD317" s="2">
        <v>2</v>
      </c>
      <c r="BF317" s="30">
        <v>3.8112739530843336</v>
      </c>
      <c r="BG317" s="328">
        <v>150000873</v>
      </c>
      <c r="BI317" s="107">
        <v>0</v>
      </c>
      <c r="BJ317" s="107">
        <f t="shared" si="37"/>
        <v>0</v>
      </c>
      <c r="BK317" s="107">
        <v>0</v>
      </c>
      <c r="BL317" s="39"/>
      <c r="BM317" s="3"/>
      <c r="BN317" s="3">
        <v>0</v>
      </c>
      <c r="BP317" s="3"/>
      <c r="BQ317" s="3"/>
      <c r="BS317" s="43"/>
      <c r="BT317" s="43">
        <v>0</v>
      </c>
      <c r="BU317" s="1037"/>
      <c r="BV317" s="42"/>
      <c r="BW317" s="43"/>
      <c r="BX317" s="37"/>
      <c r="BY317" s="78"/>
      <c r="BZ317" s="43">
        <v>0</v>
      </c>
      <c r="CA317" s="1038"/>
      <c r="CB317" s="42"/>
      <c r="CC317" s="42">
        <v>0</v>
      </c>
      <c r="CD317" s="1039"/>
      <c r="CE317" s="78">
        <v>0</v>
      </c>
      <c r="CF317" s="56"/>
      <c r="CG317" s="42">
        <v>0</v>
      </c>
      <c r="CH317" s="39">
        <v>0</v>
      </c>
      <c r="CI317" s="78">
        <v>0</v>
      </c>
      <c r="CJ317" s="56"/>
      <c r="CK317" s="1034"/>
      <c r="CL317" s="1029"/>
      <c r="CM317" s="1034"/>
      <c r="CN317" s="1029">
        <v>0</v>
      </c>
      <c r="CO317" s="78">
        <v>121.90693736917891</v>
      </c>
      <c r="CP317" s="43">
        <v>0</v>
      </c>
      <c r="CQ317" s="5"/>
      <c r="CR317" s="78">
        <v>185.4877130339687</v>
      </c>
      <c r="CS317" s="1033">
        <v>0</v>
      </c>
      <c r="CT317" s="5"/>
      <c r="CU317" s="78">
        <v>156.83363862298793</v>
      </c>
      <c r="CV317" s="43">
        <v>0</v>
      </c>
      <c r="CW317" s="5"/>
      <c r="CX317" s="78">
        <v>0</v>
      </c>
      <c r="CY317" s="43">
        <v>0</v>
      </c>
      <c r="CZ317" s="5"/>
      <c r="DA317" s="78">
        <v>0</v>
      </c>
      <c r="DB317" s="43">
        <v>0</v>
      </c>
      <c r="DC317" s="5"/>
      <c r="DD317" s="78">
        <v>59.106282508825508</v>
      </c>
      <c r="DE317" s="43">
        <v>0</v>
      </c>
      <c r="DF317" s="5"/>
      <c r="DG317" s="78">
        <v>0</v>
      </c>
      <c r="DH317" s="43"/>
      <c r="DI317" s="5"/>
      <c r="DJ317" s="43">
        <v>523.33457153496101</v>
      </c>
      <c r="DK317" s="43">
        <f t="shared" si="38"/>
        <v>0</v>
      </c>
      <c r="DL317" s="59">
        <f t="shared" si="39"/>
        <v>-523.33457153496101</v>
      </c>
    </row>
    <row r="318" spans="1:116" ht="24.9" customHeight="1" x14ac:dyDescent="0.3">
      <c r="A318" s="328">
        <v>150000874</v>
      </c>
      <c r="B318" s="45" t="s">
        <v>307</v>
      </c>
      <c r="C318" s="1035">
        <v>5</v>
      </c>
      <c r="D318" s="1036" t="s">
        <v>454</v>
      </c>
      <c r="E318" s="1028">
        <f>'побудинковий звіт'!E316</f>
        <v>772.72</v>
      </c>
      <c r="F318" s="1029">
        <f>'побудинковий звіт'!AS316</f>
        <v>29617.768520036108</v>
      </c>
      <c r="G318" s="1029">
        <f t="shared" si="32"/>
        <v>16650</v>
      </c>
      <c r="H318" s="1029">
        <f t="shared" si="33"/>
        <v>-12967.768520036108</v>
      </c>
      <c r="I318" s="43">
        <f>'[1]поточний ремонт'!I318+'[2]поточний ремонт'!I318-'[3]поточний ремонт'!I318</f>
        <v>31.14</v>
      </c>
      <c r="J318" s="43">
        <f>'[1]поточний ремонт'!J318+'[2]поточний ремонт'!J318-'[3]поточний ремонт'!J318</f>
        <v>14016</v>
      </c>
      <c r="K318" s="1037"/>
      <c r="L318" s="43">
        <f>'[1]поточний ремонт'!L318+'[2]поточний ремонт'!L318-'[3]поточний ремонт'!L318</f>
        <v>0</v>
      </c>
      <c r="M318" s="43">
        <f>'[1]поточний ремонт'!M318+'[2]поточний ремонт'!M318-'[3]поточний ремонт'!M318</f>
        <v>0</v>
      </c>
      <c r="N318" s="37"/>
      <c r="O318" s="43">
        <f>'[1]поточний ремонт'!O318+'[2]поточний ремонт'!O318-'[3]поточний ремонт'!O318</f>
        <v>0</v>
      </c>
      <c r="P318" s="43">
        <f>'[1]поточний ремонт'!P318+'[2]поточний ремонт'!P318-'[3]поточний ремонт'!P318</f>
        <v>0</v>
      </c>
      <c r="Q318" s="1038"/>
      <c r="R318" s="43">
        <f>'[1]поточний ремонт'!R318+'[2]поточний ремонт'!R318-'[3]поточний ремонт'!R318</f>
        <v>0</v>
      </c>
      <c r="S318" s="43">
        <f>'[1]поточний ремонт'!S318+'[2]поточний ремонт'!S318-'[3]поточний ремонт'!S318</f>
        <v>0</v>
      </c>
      <c r="T318" s="1039"/>
      <c r="U318" s="43">
        <f>'[1]поточний ремонт'!U318+'[2]поточний ремонт'!U318-'[3]поточний ремонт'!U318</f>
        <v>0</v>
      </c>
      <c r="V318" s="43">
        <f>'[1]поточний ремонт'!V318+'[2]поточний ремонт'!V318-'[3]поточний ремонт'!V318</f>
        <v>0</v>
      </c>
      <c r="W318" s="43">
        <f>'[1]поточний ремонт'!W318+'[2]поточний ремонт'!W318-'[3]поточний ремонт'!W318</f>
        <v>0</v>
      </c>
      <c r="X318" s="43">
        <f>'[1]поточний ремонт'!X318+'[2]поточний ремонт'!X318-'[3]поточний ремонт'!X318</f>
        <v>0</v>
      </c>
      <c r="Y318" s="43">
        <f>'[1]поточний ремонт'!Y318+'[2]поточний ремонт'!Y318-'[3]поточний ремонт'!Y318</f>
        <v>0</v>
      </c>
      <c r="Z318" s="43">
        <f>'[1]поточний ремонт'!Z318+'[2]поточний ремонт'!Z318-'[3]поточний ремонт'!Z318</f>
        <v>0</v>
      </c>
      <c r="AA318" s="43">
        <f>'[1]поточний ремонт'!AA318+'[2]поточний ремонт'!AA318-'[3]поточний ремонт'!AA318</f>
        <v>0</v>
      </c>
      <c r="AB318" s="43">
        <f>'[1]поточний ремонт'!AB318+'[2]поточний ремонт'!AB318-'[3]поточний ремонт'!AB318</f>
        <v>0</v>
      </c>
      <c r="AC318" s="43">
        <f>'[1]поточний ремонт'!AC318+'[2]поточний ремонт'!AC318-'[3]поточний ремонт'!AC318</f>
        <v>0</v>
      </c>
      <c r="AD318" s="43">
        <f>'[1]поточний ремонт'!AD318+'[2]поточний ремонт'!AD318-'[3]поточний ремонт'!AD318</f>
        <v>2634</v>
      </c>
      <c r="AE318" s="43">
        <f>'[1]поточний ремонт'!AE318+'[2]поточний ремонт'!AE318-'[3]поточний ремонт'!AE318</f>
        <v>1411.2959241761789</v>
      </c>
      <c r="AF318" s="43">
        <f>'[1]поточний ремонт'!AF318+'[2]поточний ремонт'!AF318-'[3]поточний ремонт'!AF318</f>
        <v>1191</v>
      </c>
      <c r="AG318" s="5"/>
      <c r="AH318" s="43">
        <f>'[1]поточний ремонт'!AH318+'[2]поточний ремонт'!AH318-'[3]поточний ремонт'!AH318</f>
        <v>2225.8525564076244</v>
      </c>
      <c r="AI318" s="43">
        <f>'[1]поточний ремонт'!AI318+'[2]поточний ремонт'!AI318-'[3]поточний ремонт'!AI318</f>
        <v>846</v>
      </c>
      <c r="AJ318" s="5"/>
      <c r="AK318" s="43">
        <f>'[1]поточний ремонт'!AK318+'[2]поточний ремонт'!AK318-'[3]поточний ремонт'!AK318</f>
        <v>1679.2866323541082</v>
      </c>
      <c r="AL318" s="43">
        <f>'[1]поточний ремонт'!AL318+'[2]поточний ремонт'!AL318-'[3]поточний ремонт'!AL318</f>
        <v>0</v>
      </c>
      <c r="AM318" s="5"/>
      <c r="AN318" s="43">
        <f>'[1]поточний ремонт'!AN318+'[2]поточний ремонт'!AN318-'[3]поточний ремонт'!AN318</f>
        <v>788.47384890198884</v>
      </c>
      <c r="AO318" s="43">
        <f>'[1]поточний ремонт'!AO318+'[2]поточний ремонт'!AO318-'[3]поточний ремонт'!AO318</f>
        <v>0</v>
      </c>
      <c r="AP318" s="5"/>
      <c r="AQ318" s="43">
        <f>'[1]поточний ремонт'!AQ318+'[2]поточний ремонт'!AQ318-'[3]поточний ремонт'!AQ318</f>
        <v>539.76213107435467</v>
      </c>
      <c r="AR318" s="43">
        <f>'[1]поточний ремонт'!AR318+'[2]поточний ремонт'!AR318-'[3]поточний ремонт'!AR318</f>
        <v>0</v>
      </c>
      <c r="AS318" s="5"/>
      <c r="AT318" s="43">
        <f>'[1]поточний ремонт'!AT318+'[2]поточний ремонт'!AT318-'[3]поточний ремонт'!AT318</f>
        <v>709.27546737042348</v>
      </c>
      <c r="AU318" s="43">
        <f>'[1]поточний ремонт'!AU318+'[2]поточний ремонт'!AU318-'[3]поточний ремонт'!AU318</f>
        <v>450</v>
      </c>
      <c r="AV318" s="5"/>
      <c r="AW318" s="43">
        <f>'[1]поточний ремонт'!AW318+'[2]поточний ремонт'!AW318-'[3]поточний ремонт'!AW318</f>
        <v>0</v>
      </c>
      <c r="AX318" s="43">
        <f>'[1]поточний ремонт'!AX318+'[2]поточний ремонт'!AX318-'[3]поточний ремонт'!AX318</f>
        <v>0</v>
      </c>
      <c r="AY318" s="5"/>
      <c r="AZ318" s="43">
        <f t="shared" si="34"/>
        <v>7353.9465602846794</v>
      </c>
      <c r="BA318" s="43">
        <f t="shared" si="35"/>
        <v>2487</v>
      </c>
      <c r="BB318" s="59">
        <f t="shared" si="36"/>
        <v>-4866.9465602846794</v>
      </c>
      <c r="BD318" s="2">
        <v>2</v>
      </c>
      <c r="BF318" s="30">
        <v>3.3287632178590605</v>
      </c>
      <c r="BG318" s="328">
        <v>150000874</v>
      </c>
      <c r="BI318" s="107">
        <v>0</v>
      </c>
      <c r="BJ318" s="107">
        <f t="shared" si="37"/>
        <v>0</v>
      </c>
      <c r="BK318" s="107">
        <v>0</v>
      </c>
      <c r="BL318" s="39"/>
      <c r="BM318" s="3"/>
      <c r="BN318" s="3">
        <v>0</v>
      </c>
      <c r="BP318" s="3"/>
      <c r="BQ318" s="3"/>
      <c r="BS318" s="43"/>
      <c r="BT318" s="43">
        <v>0</v>
      </c>
      <c r="BU318" s="1037"/>
      <c r="BV318" s="42"/>
      <c r="BW318" s="43"/>
      <c r="BX318" s="37"/>
      <c r="BY318" s="78"/>
      <c r="BZ318" s="43">
        <v>0</v>
      </c>
      <c r="CA318" s="1038"/>
      <c r="CB318" s="42"/>
      <c r="CC318" s="42">
        <v>0</v>
      </c>
      <c r="CD318" s="1039"/>
      <c r="CE318" s="78">
        <v>0</v>
      </c>
      <c r="CF318" s="56"/>
      <c r="CG318" s="42">
        <v>0</v>
      </c>
      <c r="CH318" s="39">
        <v>0</v>
      </c>
      <c r="CI318" s="78">
        <v>0</v>
      </c>
      <c r="CJ318" s="56"/>
      <c r="CK318" s="1034"/>
      <c r="CL318" s="1029"/>
      <c r="CM318" s="1034"/>
      <c r="CN318" s="1029">
        <v>0</v>
      </c>
      <c r="CO318" s="78">
        <v>117.60799368134825</v>
      </c>
      <c r="CP318" s="43">
        <v>0</v>
      </c>
      <c r="CQ318" s="5"/>
      <c r="CR318" s="78">
        <v>185.4877130339687</v>
      </c>
      <c r="CS318" s="1033">
        <v>0</v>
      </c>
      <c r="CT318" s="5"/>
      <c r="CU318" s="78">
        <v>139.94055269617567</v>
      </c>
      <c r="CV318" s="43">
        <v>0</v>
      </c>
      <c r="CW318" s="5"/>
      <c r="CX318" s="78">
        <v>65.706154075165742</v>
      </c>
      <c r="CY318" s="43">
        <v>0</v>
      </c>
      <c r="CZ318" s="5"/>
      <c r="DA318" s="78">
        <v>44.980177589529568</v>
      </c>
      <c r="DB318" s="43">
        <v>0</v>
      </c>
      <c r="DC318" s="5"/>
      <c r="DD318" s="78">
        <v>59.10628894753529</v>
      </c>
      <c r="DE318" s="43">
        <v>0</v>
      </c>
      <c r="DF318" s="5"/>
      <c r="DG318" s="78">
        <v>0</v>
      </c>
      <c r="DH318" s="43"/>
      <c r="DI318" s="5"/>
      <c r="DJ318" s="43">
        <v>612.82888002372329</v>
      </c>
      <c r="DK318" s="43">
        <f t="shared" si="38"/>
        <v>0</v>
      </c>
      <c r="DL318" s="59">
        <f t="shared" si="39"/>
        <v>-612.82888002372329</v>
      </c>
    </row>
    <row r="319" spans="1:116" ht="24.9" customHeight="1" x14ac:dyDescent="0.3">
      <c r="A319" s="328">
        <v>150000866</v>
      </c>
      <c r="B319" s="45" t="s">
        <v>308</v>
      </c>
      <c r="C319" s="1035">
        <v>5</v>
      </c>
      <c r="D319" s="1036" t="s">
        <v>454</v>
      </c>
      <c r="E319" s="1028">
        <f>'побудинковий звіт'!E317</f>
        <v>1517.8000000000002</v>
      </c>
      <c r="F319" s="1029">
        <f>'побудинковий звіт'!AS317</f>
        <v>55400.15817332032</v>
      </c>
      <c r="G319" s="1029">
        <f t="shared" si="32"/>
        <v>30100</v>
      </c>
      <c r="H319" s="1029">
        <f t="shared" si="33"/>
        <v>-25300.15817332032</v>
      </c>
      <c r="I319" s="43">
        <f>'[1]поточний ремонт'!I319+'[2]поточний ремонт'!I319-'[3]поточний ремонт'!I319</f>
        <v>0</v>
      </c>
      <c r="J319" s="43">
        <f>'[1]поточний ремонт'!J319+'[2]поточний ремонт'!J319-'[3]поточний ремонт'!J319</f>
        <v>0</v>
      </c>
      <c r="K319" s="1037"/>
      <c r="L319" s="43">
        <f>'[1]поточний ремонт'!L319+'[2]поточний ремонт'!L319-'[3]поточний ремонт'!L319</f>
        <v>0</v>
      </c>
      <c r="M319" s="43">
        <f>'[1]поточний ремонт'!M319+'[2]поточний ремонт'!M319-'[3]поточний ремонт'!M319</f>
        <v>0</v>
      </c>
      <c r="N319" s="1040"/>
      <c r="O319" s="43">
        <f>'[1]поточний ремонт'!O319+'[2]поточний ремонт'!O319-'[3]поточний ремонт'!O319</f>
        <v>0</v>
      </c>
      <c r="P319" s="43">
        <f>'[1]поточний ремонт'!P319+'[2]поточний ремонт'!P319-'[3]поточний ремонт'!P319</f>
        <v>0</v>
      </c>
      <c r="Q319" s="1038"/>
      <c r="R319" s="43">
        <f>'[1]поточний ремонт'!R319+'[2]поточний ремонт'!R319-'[3]поточний ремонт'!R319</f>
        <v>0</v>
      </c>
      <c r="S319" s="43">
        <f>'[1]поточний ремонт'!S319+'[2]поточний ремонт'!S319-'[3]поточний ремонт'!S319</f>
        <v>0</v>
      </c>
      <c r="T319" s="1039"/>
      <c r="U319" s="43">
        <f>'[1]поточний ремонт'!U319+'[2]поточний ремонт'!U319-'[3]поточний ремонт'!U319</f>
        <v>0</v>
      </c>
      <c r="V319" s="43">
        <f>'[1]поточний ремонт'!V319+'[2]поточний ремонт'!V319-'[3]поточний ремонт'!V319</f>
        <v>0</v>
      </c>
      <c r="W319" s="43">
        <f>'[1]поточний ремонт'!W319+'[2]поточний ремонт'!W319-'[3]поточний ремонт'!W319</f>
        <v>0</v>
      </c>
      <c r="X319" s="43">
        <f>'[1]поточний ремонт'!X319+'[2]поточний ремонт'!X319-'[3]поточний ремонт'!X319</f>
        <v>0</v>
      </c>
      <c r="Y319" s="43">
        <f>'[1]поточний ремонт'!Y319+'[2]поточний ремонт'!Y319-'[3]поточний ремонт'!Y319</f>
        <v>0</v>
      </c>
      <c r="Z319" s="43">
        <f>'[1]поточний ремонт'!Z319+'[2]поточний ремонт'!Z319-'[3]поточний ремонт'!Z319</f>
        <v>0</v>
      </c>
      <c r="AA319" s="43">
        <f>'[1]поточний ремонт'!AA319+'[2]поточний ремонт'!AA319-'[3]поточний ремонт'!AA319</f>
        <v>0</v>
      </c>
      <c r="AB319" s="43">
        <f>'[1]поточний ремонт'!AB319+'[2]поточний ремонт'!AB319-'[3]поточний ремонт'!AB319</f>
        <v>0</v>
      </c>
      <c r="AC319" s="43">
        <f>'[1]поточний ремонт'!AC319+'[2]поточний ремонт'!AC319-'[3]поточний ремонт'!AC319</f>
        <v>30100</v>
      </c>
      <c r="AD319" s="43">
        <f>'[1]поточний ремонт'!AD319+'[2]поточний ремонт'!AD319-'[3]поточний ремонт'!AD319</f>
        <v>0</v>
      </c>
      <c r="AE319" s="43">
        <f>'[1]поточний ремонт'!AE319+'[2]поточний ремонт'!AE319-'[3]поточний ремонт'!AE319</f>
        <v>3221.9314909501445</v>
      </c>
      <c r="AF319" s="43">
        <f>'[1]поточний ремонт'!AF319+'[2]поточний ремонт'!AF319-'[3]поточний ремонт'!AF319</f>
        <v>6354.3891914070591</v>
      </c>
      <c r="AG319" s="5"/>
      <c r="AH319" s="43">
        <f>'[1]поточний ремонт'!AH319+'[2]поточний ремонт'!AH319-'[3]поточний ремонт'!AH319</f>
        <v>4413.8298592101164</v>
      </c>
      <c r="AI319" s="43">
        <f>'[1]поточний ремонт'!AI319+'[2]поточний ремонт'!AI319-'[3]поточний ремонт'!AI319</f>
        <v>0</v>
      </c>
      <c r="AJ319" s="5"/>
      <c r="AK319" s="43">
        <f>'[1]поточний ремонт'!AK319+'[2]поточний ремонт'!AK319-'[3]поточний ремонт'!AK319</f>
        <v>2993.2513453773249</v>
      </c>
      <c r="AL319" s="43">
        <f>'[1]поточний ремонт'!AL319+'[2]поточний ремонт'!AL319-'[3]поточний ремонт'!AL319</f>
        <v>823.6264687756086</v>
      </c>
      <c r="AM319" s="5"/>
      <c r="AN319" s="43">
        <f>'[1]поточний ремонт'!AN319+'[2]поточний ремонт'!AN319-'[3]поточний ремонт'!AN319</f>
        <v>0</v>
      </c>
      <c r="AO319" s="43">
        <f>'[1]поточний ремонт'!AO319+'[2]поточний ремонт'!AO319-'[3]поточний ремонт'!AO319</f>
        <v>0</v>
      </c>
      <c r="AP319" s="5"/>
      <c r="AQ319" s="43">
        <f>'[1]поточний ремонт'!AQ319+'[2]поточний ремонт'!AQ319-'[3]поточний ремонт'!AQ319</f>
        <v>0</v>
      </c>
      <c r="AR319" s="43">
        <f>'[1]поточний ремонт'!AR319+'[2]поточний ремонт'!AR319-'[3]поточний ремонт'!AR319</f>
        <v>3458</v>
      </c>
      <c r="AS319" s="5"/>
      <c r="AT319" s="43">
        <f>'[1]поточний ремонт'!AT319+'[2]поточний ремонт'!AT319-'[3]поточний ремонт'!AT319</f>
        <v>1928.0563177133367</v>
      </c>
      <c r="AU319" s="43">
        <f>'[1]поточний ремонт'!AU319+'[2]поточний ремонт'!AU319-'[3]поточний ремонт'!AU319</f>
        <v>8253</v>
      </c>
      <c r="AV319" s="5"/>
      <c r="AW319" s="43">
        <f>'[1]поточний ремонт'!AW319+'[2]поточний ремонт'!AW319-'[3]поточний ремонт'!AW319</f>
        <v>1426.1243835230766</v>
      </c>
      <c r="AX319" s="43">
        <f>'[1]поточний ремонт'!AX319+'[2]поточний ремонт'!AX319-'[3]поточний ремонт'!AX319</f>
        <v>0</v>
      </c>
      <c r="AY319" s="5"/>
      <c r="AZ319" s="43">
        <f t="shared" si="34"/>
        <v>13983.193396773999</v>
      </c>
      <c r="BA319" s="43">
        <f t="shared" si="35"/>
        <v>18889.015660182667</v>
      </c>
      <c r="BB319" s="59">
        <f t="shared" si="36"/>
        <v>4905.8222634086687</v>
      </c>
      <c r="BD319" s="2">
        <v>1</v>
      </c>
      <c r="BF319" s="30">
        <v>889.66750192532879</v>
      </c>
      <c r="BG319" s="328">
        <v>150000866</v>
      </c>
      <c r="BI319" s="107">
        <v>0</v>
      </c>
      <c r="BJ319" s="107">
        <f t="shared" si="37"/>
        <v>0</v>
      </c>
      <c r="BK319" s="107">
        <v>0</v>
      </c>
      <c r="BL319" s="39"/>
      <c r="BM319" s="3"/>
      <c r="BN319" s="3">
        <v>0</v>
      </c>
      <c r="BP319" s="3"/>
      <c r="BQ319" s="3"/>
      <c r="BS319" s="43"/>
      <c r="BT319" s="43">
        <v>0</v>
      </c>
      <c r="BU319" s="1037"/>
      <c r="BV319" s="42">
        <v>1</v>
      </c>
      <c r="BW319" s="43">
        <v>66119</v>
      </c>
      <c r="BX319" s="1040"/>
      <c r="BY319" s="78"/>
      <c r="BZ319" s="43">
        <v>0</v>
      </c>
      <c r="CA319" s="1038"/>
      <c r="CB319" s="42"/>
      <c r="CC319" s="42">
        <v>0</v>
      </c>
      <c r="CD319" s="1039"/>
      <c r="CE319" s="78">
        <v>0</v>
      </c>
      <c r="CF319" s="56"/>
      <c r="CG319" s="42">
        <v>0</v>
      </c>
      <c r="CH319" s="39">
        <v>0</v>
      </c>
      <c r="CI319" s="78">
        <v>0</v>
      </c>
      <c r="CJ319" s="56"/>
      <c r="CK319" s="1034"/>
      <c r="CL319" s="1029"/>
      <c r="CM319" s="1034">
        <v>3424</v>
      </c>
      <c r="CN319" s="1029">
        <v>0</v>
      </c>
      <c r="CO319" s="78">
        <v>268.49429091251204</v>
      </c>
      <c r="CP319" s="43">
        <v>0</v>
      </c>
      <c r="CQ319" s="5"/>
      <c r="CR319" s="78">
        <v>367.81915493417637</v>
      </c>
      <c r="CS319" s="1033">
        <v>0</v>
      </c>
      <c r="CT319" s="5"/>
      <c r="CU319" s="78">
        <v>249.4376121147771</v>
      </c>
      <c r="CV319" s="43">
        <v>0</v>
      </c>
      <c r="CW319" s="5"/>
      <c r="CX319" s="78">
        <v>0</v>
      </c>
      <c r="CY319" s="43">
        <v>0</v>
      </c>
      <c r="CZ319" s="5"/>
      <c r="DA319" s="78">
        <v>0</v>
      </c>
      <c r="DB319" s="43">
        <v>0</v>
      </c>
      <c r="DC319" s="5"/>
      <c r="DD319" s="78">
        <v>160.67135980944471</v>
      </c>
      <c r="DE319" s="43">
        <v>0</v>
      </c>
      <c r="DF319" s="5"/>
      <c r="DG319" s="78">
        <v>118.84369862692307</v>
      </c>
      <c r="DH319" s="43"/>
      <c r="DI319" s="5"/>
      <c r="DJ319" s="43">
        <v>1165.2661163978332</v>
      </c>
      <c r="DK319" s="43">
        <f t="shared" si="38"/>
        <v>0</v>
      </c>
      <c r="DL319" s="59">
        <f t="shared" si="39"/>
        <v>-1165.2661163978332</v>
      </c>
    </row>
    <row r="320" spans="1:116" ht="24.9" customHeight="1" x14ac:dyDescent="0.3">
      <c r="A320" s="328">
        <v>150000867</v>
      </c>
      <c r="B320" s="45" t="s">
        <v>309</v>
      </c>
      <c r="C320" s="1035">
        <v>5</v>
      </c>
      <c r="D320" s="1036" t="s">
        <v>454</v>
      </c>
      <c r="E320" s="1028">
        <f>'побудинковий звіт'!E318</f>
        <v>792.9</v>
      </c>
      <c r="F320" s="1029">
        <f>'побудинковий звіт'!AS318</f>
        <v>22652.867651855457</v>
      </c>
      <c r="G320" s="1029">
        <f t="shared" si="32"/>
        <v>81086</v>
      </c>
      <c r="H320" s="1029">
        <f t="shared" si="33"/>
        <v>58433.132348144543</v>
      </c>
      <c r="I320" s="43">
        <f>'[1]поточний ремонт'!I320+'[2]поточний ремонт'!I320-'[3]поточний ремонт'!I320</f>
        <v>5</v>
      </c>
      <c r="J320" s="43">
        <f>'[1]поточний ремонт'!J320+'[2]поточний ремонт'!J320-'[3]поточний ремонт'!J320</f>
        <v>1340</v>
      </c>
      <c r="K320" s="1037"/>
      <c r="L320" s="43">
        <f>'[1]поточний ремонт'!L320+'[2]поточний ремонт'!L320-'[3]поточний ремонт'!L320</f>
        <v>1</v>
      </c>
      <c r="M320" s="43">
        <f>'[1]поточний ремонт'!M320+'[2]поточний ремонт'!M320-'[3]поточний ремонт'!M320</f>
        <v>58466</v>
      </c>
      <c r="N320" s="37"/>
      <c r="O320" s="43">
        <f>'[1]поточний ремонт'!O320+'[2]поточний ремонт'!O320-'[3]поточний ремонт'!O320</f>
        <v>0</v>
      </c>
      <c r="P320" s="43">
        <f>'[1]поточний ремонт'!P320+'[2]поточний ремонт'!P320-'[3]поточний ремонт'!P320</f>
        <v>0</v>
      </c>
      <c r="Q320" s="1038"/>
      <c r="R320" s="43">
        <f>'[1]поточний ремонт'!R320+'[2]поточний ремонт'!R320-'[3]поточний ремонт'!R320</f>
        <v>0</v>
      </c>
      <c r="S320" s="43">
        <f>'[1]поточний ремонт'!S320+'[2]поточний ремонт'!S320-'[3]поточний ремонт'!S320</f>
        <v>0</v>
      </c>
      <c r="T320" s="1039"/>
      <c r="U320" s="43">
        <f>'[1]поточний ремонт'!U320+'[2]поточний ремонт'!U320-'[3]поточний ремонт'!U320</f>
        <v>0</v>
      </c>
      <c r="V320" s="43">
        <f>'[1]поточний ремонт'!V320+'[2]поточний ремонт'!V320-'[3]поточний ремонт'!V320</f>
        <v>0</v>
      </c>
      <c r="W320" s="43">
        <f>'[1]поточний ремонт'!W320+'[2]поточний ремонт'!W320-'[3]поточний ремонт'!W320</f>
        <v>0</v>
      </c>
      <c r="X320" s="43">
        <f>'[1]поточний ремонт'!X320+'[2]поточний ремонт'!X320-'[3]поточний ремонт'!X320</f>
        <v>0</v>
      </c>
      <c r="Y320" s="43">
        <f>'[1]поточний ремонт'!Y320+'[2]поточний ремонт'!Y320-'[3]поточний ремонт'!Y320</f>
        <v>0</v>
      </c>
      <c r="Z320" s="43">
        <f>'[1]поточний ремонт'!Z320+'[2]поточний ремонт'!Z320-'[3]поточний ремонт'!Z320</f>
        <v>0</v>
      </c>
      <c r="AA320" s="43">
        <f>'[1]поточний ремонт'!AA320+'[2]поточний ремонт'!AA320-'[3]поточний ремонт'!AA320</f>
        <v>0</v>
      </c>
      <c r="AB320" s="43">
        <f>'[1]поточний ремонт'!AB320+'[2]поточний ремонт'!AB320-'[3]поточний ремонт'!AB320</f>
        <v>0</v>
      </c>
      <c r="AC320" s="43">
        <f>'[1]поточний ремонт'!AC320+'[2]поточний ремонт'!AC320-'[3]поточний ремонт'!AC320</f>
        <v>19355</v>
      </c>
      <c r="AD320" s="43">
        <f>'[1]поточний ремонт'!AD320+'[2]поточний ремонт'!AD320-'[3]поточний ремонт'!AD320</f>
        <v>1925</v>
      </c>
      <c r="AE320" s="43">
        <f>'[1]поточний ремонт'!AE320+'[2]поточний ремонт'!AE320-'[3]поточний ремонт'!AE320</f>
        <v>1564.4845581632455</v>
      </c>
      <c r="AF320" s="43">
        <f>'[1]поточний ремонт'!AF320+'[2]поточний ремонт'!AF320-'[3]поточний ремонт'!AF320</f>
        <v>559</v>
      </c>
      <c r="AG320" s="5"/>
      <c r="AH320" s="43">
        <f>'[1]поточний ремонт'!AH320+'[2]поточний ремонт'!AH320-'[3]поточний ремонт'!AH320</f>
        <v>2264.0175842027684</v>
      </c>
      <c r="AI320" s="43">
        <f>'[1]поточний ремонт'!AI320+'[2]поточний ремонт'!AI320-'[3]поточний ремонт'!AI320</f>
        <v>3256</v>
      </c>
      <c r="AJ320" s="5"/>
      <c r="AK320" s="43">
        <f>'[1]поточний ремонт'!AK320+'[2]поточний ремонт'!AK320-'[3]поточний ремонт'!AK320</f>
        <v>1718.8148244414319</v>
      </c>
      <c r="AL320" s="43">
        <f>'[1]поточний ремонт'!AL320+'[2]поточний ремонт'!AL320-'[3]поточний ремонт'!AL320</f>
        <v>0</v>
      </c>
      <c r="AM320" s="5"/>
      <c r="AN320" s="43">
        <f>'[1]поточний ремонт'!AN320+'[2]поточний ремонт'!AN320-'[3]поточний ремонт'!AN320</f>
        <v>0</v>
      </c>
      <c r="AO320" s="43">
        <f>'[1]поточний ремонт'!AO320+'[2]поточний ремонт'!AO320-'[3]поточний ремонт'!AO320</f>
        <v>0</v>
      </c>
      <c r="AP320" s="5"/>
      <c r="AQ320" s="43">
        <f>'[1]поточний ремонт'!AQ320+'[2]поточний ремонт'!AQ320-'[3]поточний ремонт'!AQ320</f>
        <v>0</v>
      </c>
      <c r="AR320" s="43">
        <f>'[1]поточний ремонт'!AR320+'[2]поточний ремонт'!AR320-'[3]поточний ремонт'!AR320</f>
        <v>500</v>
      </c>
      <c r="AS320" s="5"/>
      <c r="AT320" s="43">
        <f>'[1]поточний ремонт'!AT320+'[2]поточний ремонт'!AT320-'[3]поточний ремонт'!AT320</f>
        <v>736.91220825665243</v>
      </c>
      <c r="AU320" s="43">
        <f>'[1]поточний ремонт'!AU320+'[2]поточний ремонт'!AU320-'[3]поточний ремонт'!AU320</f>
        <v>0</v>
      </c>
      <c r="AV320" s="5"/>
      <c r="AW320" s="43">
        <f>'[1]поточний ремонт'!AW320+'[2]поточний ремонт'!AW320-'[3]поточний ремонт'!AW320</f>
        <v>716.05861632167455</v>
      </c>
      <c r="AX320" s="43">
        <f>'[1]поточний ремонт'!AX320+'[2]поточний ремонт'!AX320-'[3]поточний ремонт'!AX320</f>
        <v>3381</v>
      </c>
      <c r="AY320" s="5"/>
      <c r="AZ320" s="43">
        <f t="shared" si="34"/>
        <v>7000.2877913857737</v>
      </c>
      <c r="BA320" s="43">
        <f t="shared" si="35"/>
        <v>7696</v>
      </c>
      <c r="BB320" s="59">
        <f t="shared" si="36"/>
        <v>695.71220861422626</v>
      </c>
      <c r="BD320" s="2">
        <v>1</v>
      </c>
      <c r="BF320" s="30">
        <v>132.67312236756047</v>
      </c>
      <c r="BG320" s="328">
        <v>150000867</v>
      </c>
      <c r="BI320" s="107">
        <v>0</v>
      </c>
      <c r="BJ320" s="107">
        <f t="shared" si="37"/>
        <v>0</v>
      </c>
      <c r="BK320" s="107">
        <v>0</v>
      </c>
      <c r="BL320" s="39"/>
      <c r="BM320" s="3"/>
      <c r="BN320" s="3">
        <v>0</v>
      </c>
      <c r="BP320" s="3"/>
      <c r="BQ320" s="3"/>
      <c r="BS320" s="43"/>
      <c r="BT320" s="43">
        <v>0</v>
      </c>
      <c r="BU320" s="1037"/>
      <c r="BV320" s="42"/>
      <c r="BW320" s="43"/>
      <c r="BX320" s="37"/>
      <c r="BY320" s="78"/>
      <c r="BZ320" s="43">
        <v>0</v>
      </c>
      <c r="CA320" s="1038"/>
      <c r="CB320" s="42"/>
      <c r="CC320" s="42">
        <v>0</v>
      </c>
      <c r="CD320" s="1039"/>
      <c r="CE320" s="78">
        <v>0</v>
      </c>
      <c r="CF320" s="56"/>
      <c r="CG320" s="42">
        <v>0</v>
      </c>
      <c r="CH320" s="39">
        <v>0</v>
      </c>
      <c r="CI320" s="78">
        <v>0</v>
      </c>
      <c r="CJ320" s="56"/>
      <c r="CK320" s="1034"/>
      <c r="CL320" s="1029"/>
      <c r="CM320" s="1034"/>
      <c r="CN320" s="1029">
        <v>0</v>
      </c>
      <c r="CO320" s="78">
        <v>130.37371318027047</v>
      </c>
      <c r="CP320" s="43">
        <v>0</v>
      </c>
      <c r="CQ320" s="5"/>
      <c r="CR320" s="78">
        <v>188.6681320168974</v>
      </c>
      <c r="CS320" s="1033">
        <v>0</v>
      </c>
      <c r="CT320" s="5"/>
      <c r="CU320" s="78">
        <v>143.23456870345268</v>
      </c>
      <c r="CV320" s="43">
        <v>0</v>
      </c>
      <c r="CW320" s="5"/>
      <c r="CX320" s="78">
        <v>0</v>
      </c>
      <c r="CY320" s="43">
        <v>0</v>
      </c>
      <c r="CZ320" s="5"/>
      <c r="DA320" s="78">
        <v>0</v>
      </c>
      <c r="DB320" s="43">
        <v>0</v>
      </c>
      <c r="DC320" s="5"/>
      <c r="DD320" s="78">
        <v>61.409350688054374</v>
      </c>
      <c r="DE320" s="43">
        <v>0</v>
      </c>
      <c r="DF320" s="5"/>
      <c r="DG320" s="78">
        <v>59.671551360139539</v>
      </c>
      <c r="DH320" s="43"/>
      <c r="DI320" s="5"/>
      <c r="DJ320" s="43">
        <v>583.35731594881452</v>
      </c>
      <c r="DK320" s="43">
        <f t="shared" si="38"/>
        <v>0</v>
      </c>
      <c r="DL320" s="59">
        <f t="shared" si="39"/>
        <v>-583.35731594881452</v>
      </c>
    </row>
    <row r="321" spans="1:116" ht="24.9" customHeight="1" x14ac:dyDescent="0.3">
      <c r="A321" s="328">
        <v>150000868</v>
      </c>
      <c r="B321" s="45" t="s">
        <v>310</v>
      </c>
      <c r="C321" s="1035">
        <v>5</v>
      </c>
      <c r="D321" s="1036" t="s">
        <v>454</v>
      </c>
      <c r="E321" s="1028">
        <f>'побудинковий звіт'!E319</f>
        <v>833.8</v>
      </c>
      <c r="F321" s="1029">
        <f>'побудинковий звіт'!AS319</f>
        <v>28303.212566894807</v>
      </c>
      <c r="G321" s="1029">
        <f t="shared" si="32"/>
        <v>56111.856491871309</v>
      </c>
      <c r="H321" s="1029">
        <f t="shared" si="33"/>
        <v>27808.643924976503</v>
      </c>
      <c r="I321" s="43">
        <f>'[1]поточний ремонт'!I321+'[2]поточний ремонт'!I321-'[3]поточний ремонт'!I321</f>
        <v>2</v>
      </c>
      <c r="J321" s="43">
        <f>'[1]поточний ремонт'!J321+'[2]поточний ремонт'!J321-'[3]поточний ремонт'!J321</f>
        <v>402</v>
      </c>
      <c r="K321" s="1037"/>
      <c r="L321" s="43">
        <f>'[1]поточний ремонт'!L321+'[2]поточний ремонт'!L321-'[3]поточний ремонт'!L321</f>
        <v>2</v>
      </c>
      <c r="M321" s="43">
        <f>'[1]поточний ремонт'!M321+'[2]поточний ремонт'!M321-'[3]поточний ремонт'!M321</f>
        <v>46033</v>
      </c>
      <c r="N321" s="37"/>
      <c r="O321" s="43">
        <f>'[1]поточний ремонт'!O321+'[2]поточний ремонт'!O321-'[3]поточний ремонт'!O321</f>
        <v>0</v>
      </c>
      <c r="P321" s="43">
        <f>'[1]поточний ремонт'!P321+'[2]поточний ремонт'!P321-'[3]поточний ремонт'!P321</f>
        <v>0</v>
      </c>
      <c r="Q321" s="1038"/>
      <c r="R321" s="43">
        <f>'[1]поточний ремонт'!R321+'[2]поточний ремонт'!R321-'[3]поточний ремонт'!R321</f>
        <v>0</v>
      </c>
      <c r="S321" s="43">
        <f>'[1]поточний ремонт'!S321+'[2]поточний ремонт'!S321-'[3]поточний ремонт'!S321</f>
        <v>0</v>
      </c>
      <c r="T321" s="1039"/>
      <c r="U321" s="43">
        <f>'[1]поточний ремонт'!U321+'[2]поточний ремонт'!U321-'[3]поточний ремонт'!U321</f>
        <v>0</v>
      </c>
      <c r="V321" s="43">
        <f>'[1]поточний ремонт'!V321+'[2]поточний ремонт'!V321-'[3]поточний ремонт'!V321</f>
        <v>0</v>
      </c>
      <c r="W321" s="43">
        <f>'[1]поточний ремонт'!W321+'[2]поточний ремонт'!W321-'[3]поточний ремонт'!W321</f>
        <v>2</v>
      </c>
      <c r="X321" s="43">
        <f>'[1]поточний ремонт'!X321+'[2]поточний ремонт'!X321-'[3]поточний ремонт'!X321</f>
        <v>875.85649187131219</v>
      </c>
      <c r="Y321" s="43">
        <f>'[1]поточний ремонт'!Y321+'[2]поточний ремонт'!Y321-'[3]поточний ремонт'!Y321</f>
        <v>7364.0000000000009</v>
      </c>
      <c r="Z321" s="43">
        <f>'[1]поточний ремонт'!Z321+'[2]поточний ремонт'!Z321-'[3]поточний ремонт'!Z321</f>
        <v>0</v>
      </c>
      <c r="AA321" s="43">
        <f>'[1]поточний ремонт'!AA321+'[2]поточний ремонт'!AA321-'[3]поточний ремонт'!AA321</f>
        <v>0</v>
      </c>
      <c r="AB321" s="43">
        <f>'[1]поточний ремонт'!AB321+'[2]поточний ремонт'!AB321-'[3]поточний ремонт'!AB321</f>
        <v>0</v>
      </c>
      <c r="AC321" s="43">
        <f>'[1]поточний ремонт'!AC321+'[2]поточний ремонт'!AC321-'[3]поточний ремонт'!AC321</f>
        <v>0</v>
      </c>
      <c r="AD321" s="43">
        <f>'[1]поточний ремонт'!AD321+'[2]поточний ремонт'!AD321-'[3]поточний ремонт'!AD321</f>
        <v>1437</v>
      </c>
      <c r="AE321" s="43">
        <f>'[1]поточний ремонт'!AE321+'[2]поточний ремонт'!AE321-'[3]поточний ремонт'!AE321</f>
        <v>1956.4068735127162</v>
      </c>
      <c r="AF321" s="43">
        <f>'[1]поточний ремонт'!AF321+'[2]поточний ремонт'!AF321-'[3]поточний ремонт'!AF321</f>
        <v>0</v>
      </c>
      <c r="AG321" s="5"/>
      <c r="AH321" s="43">
        <f>'[1]поточний ремонт'!AH321+'[2]поточний ремонт'!AH321-'[3]поточний ремонт'!AH321</f>
        <v>2955.3721603270023</v>
      </c>
      <c r="AI321" s="43">
        <f>'[1]поточний ремонт'!AI321+'[2]поточний ремонт'!AI321-'[3]поточний ремонт'!AI321</f>
        <v>0</v>
      </c>
      <c r="AJ321" s="1045"/>
      <c r="AK321" s="43">
        <f>'[1]поточний ремонт'!AK321+'[2]поточний ремонт'!AK321-'[3]поточний ремонт'!AK321</f>
        <v>1801.2445972308549</v>
      </c>
      <c r="AL321" s="43">
        <f>'[1]поточний ремонт'!AL321+'[2]поточний ремонт'!AL321-'[3]поточний ремонт'!AL321</f>
        <v>0</v>
      </c>
      <c r="AM321" s="5"/>
      <c r="AN321" s="43">
        <f>'[1]поточний ремонт'!AN321+'[2]поточний ремонт'!AN321-'[3]поточний ремонт'!AN321</f>
        <v>0</v>
      </c>
      <c r="AO321" s="43">
        <f>'[1]поточний ремонт'!AO321+'[2]поточний ремонт'!AO321-'[3]поточний ремонт'!AO321</f>
        <v>0</v>
      </c>
      <c r="AP321" s="5"/>
      <c r="AQ321" s="43">
        <f>'[1]поточний ремонт'!AQ321+'[2]поточний ремонт'!AQ321-'[3]поточний ремонт'!AQ321</f>
        <v>0</v>
      </c>
      <c r="AR321" s="43">
        <f>'[1]поточний ремонт'!AR321+'[2]поточний ремонт'!AR321-'[3]поточний ремонт'!AR321</f>
        <v>373</v>
      </c>
      <c r="AS321" s="5"/>
      <c r="AT321" s="43">
        <f>'[1]поточний ремонт'!AT321+'[2]поточний ремонт'!AT321-'[3]поточний ремонт'!AT321</f>
        <v>1059.1218128437079</v>
      </c>
      <c r="AU321" s="43">
        <f>'[1]поточний ремонт'!AU321+'[2]поточний ремонт'!AU321-'[3]поточний ремонт'!AU321</f>
        <v>2814.3297111025036</v>
      </c>
      <c r="AV321" s="1057"/>
      <c r="AW321" s="43">
        <f>'[1]поточний ремонт'!AW321+'[2]поточний ремонт'!AW321-'[3]поточний ремонт'!AW321</f>
        <v>642.34724546734287</v>
      </c>
      <c r="AX321" s="43">
        <f>'[1]поточний ремонт'!AX321+'[2]поточний ремонт'!AX321-'[3]поточний ремонт'!AX321</f>
        <v>0</v>
      </c>
      <c r="AY321" s="5"/>
      <c r="AZ321" s="43">
        <f t="shared" si="34"/>
        <v>8414.4926893816246</v>
      </c>
      <c r="BA321" s="43">
        <f t="shared" si="35"/>
        <v>3187.3297111025036</v>
      </c>
      <c r="BB321" s="59">
        <f t="shared" si="36"/>
        <v>-5227.1629782791206</v>
      </c>
      <c r="BD321" s="2">
        <v>1</v>
      </c>
      <c r="BF321" s="30">
        <v>153.98698746108525</v>
      </c>
      <c r="BG321" s="328">
        <v>150000868</v>
      </c>
      <c r="BI321" s="107">
        <v>19.54</v>
      </c>
      <c r="BJ321" s="107">
        <f t="shared" si="37"/>
        <v>2.7485393879999998</v>
      </c>
      <c r="BK321" s="107">
        <v>22.535204453839999</v>
      </c>
      <c r="BL321" s="39"/>
      <c r="BM321" s="3"/>
      <c r="BN321" s="3">
        <v>0</v>
      </c>
      <c r="BP321" s="3"/>
      <c r="BQ321" s="3"/>
      <c r="BS321" s="43"/>
      <c r="BT321" s="43">
        <v>0</v>
      </c>
      <c r="BU321" s="1037"/>
      <c r="BV321" s="42"/>
      <c r="BW321" s="43"/>
      <c r="BX321" s="37"/>
      <c r="BY321" s="78"/>
      <c r="BZ321" s="43">
        <v>0</v>
      </c>
      <c r="CA321" s="1038"/>
      <c r="CB321" s="42"/>
      <c r="CC321" s="42">
        <v>0</v>
      </c>
      <c r="CD321" s="1039"/>
      <c r="CE321" s="78">
        <v>0</v>
      </c>
      <c r="CF321" s="56"/>
      <c r="CG321" s="42">
        <v>0</v>
      </c>
      <c r="CH321" s="39">
        <v>22.535204453839999</v>
      </c>
      <c r="CI321" s="78">
        <v>1316.1308386050935</v>
      </c>
      <c r="CJ321" s="56"/>
      <c r="CK321" s="1034"/>
      <c r="CL321" s="1029"/>
      <c r="CM321" s="1034">
        <v>1169</v>
      </c>
      <c r="CN321" s="1029">
        <v>0</v>
      </c>
      <c r="CO321" s="78">
        <v>163.03390612605966</v>
      </c>
      <c r="CP321" s="43">
        <v>0</v>
      </c>
      <c r="CQ321" s="5"/>
      <c r="CR321" s="78">
        <v>246.28101336058353</v>
      </c>
      <c r="CS321" s="1033">
        <v>0</v>
      </c>
      <c r="CT321" s="1045"/>
      <c r="CU321" s="78">
        <v>150.1037164359046</v>
      </c>
      <c r="CV321" s="43">
        <v>0</v>
      </c>
      <c r="CW321" s="5"/>
      <c r="CX321" s="78">
        <v>0</v>
      </c>
      <c r="CY321" s="43">
        <v>0</v>
      </c>
      <c r="CZ321" s="5"/>
      <c r="DA321" s="78">
        <v>0</v>
      </c>
      <c r="DB321" s="43">
        <v>0</v>
      </c>
      <c r="DC321" s="5"/>
      <c r="DD321" s="78">
        <v>88.260151070308979</v>
      </c>
      <c r="DE321" s="43">
        <v>0</v>
      </c>
      <c r="DF321" s="1057"/>
      <c r="DG321" s="78">
        <v>53.528937122278585</v>
      </c>
      <c r="DH321" s="43"/>
      <c r="DI321" s="5"/>
      <c r="DJ321" s="43">
        <v>701.20772411513531</v>
      </c>
      <c r="DK321" s="43">
        <f t="shared" si="38"/>
        <v>0</v>
      </c>
      <c r="DL321" s="59">
        <f t="shared" si="39"/>
        <v>-701.20772411513531</v>
      </c>
    </row>
    <row r="322" spans="1:116" ht="24.9" customHeight="1" x14ac:dyDescent="0.3">
      <c r="A322" s="328">
        <v>150000869</v>
      </c>
      <c r="B322" s="45" t="s">
        <v>311</v>
      </c>
      <c r="C322" s="1035">
        <v>5</v>
      </c>
      <c r="D322" s="1036" t="s">
        <v>454</v>
      </c>
      <c r="E322" s="1028">
        <f>'побудинковий звіт'!E320</f>
        <v>3984.7</v>
      </c>
      <c r="F322" s="1029">
        <f>'побудинковий звіт'!AS320</f>
        <v>80888.298194232746</v>
      </c>
      <c r="G322" s="1029">
        <f t="shared" si="32"/>
        <v>187460</v>
      </c>
      <c r="H322" s="1029">
        <f t="shared" si="33"/>
        <v>106571.70180576725</v>
      </c>
      <c r="I322" s="43">
        <f>'[1]поточний ремонт'!I322+'[2]поточний ремонт'!I322-'[3]поточний ремонт'!I322</f>
        <v>78.8</v>
      </c>
      <c r="J322" s="43">
        <f>'[1]поточний ремонт'!J322+'[2]поточний ремонт'!J322-'[3]поточний ремонт'!J322</f>
        <v>24730</v>
      </c>
      <c r="K322" s="1037"/>
      <c r="L322" s="43">
        <f>'[1]поточний ремонт'!L322+'[2]поточний ремонт'!L322-'[3]поточний ремонт'!L322</f>
        <v>2</v>
      </c>
      <c r="M322" s="43">
        <f>'[1]поточний ремонт'!M322+'[2]поточний ремонт'!M322-'[3]поточний ремонт'!M322</f>
        <v>65145</v>
      </c>
      <c r="N322" s="1050"/>
      <c r="O322" s="43">
        <f>'[1]поточний ремонт'!O322+'[2]поточний ремонт'!O322-'[3]поточний ремонт'!O322</f>
        <v>0</v>
      </c>
      <c r="P322" s="43">
        <f>'[1]поточний ремонт'!P322+'[2]поточний ремонт'!P322-'[3]поточний ремонт'!P322</f>
        <v>0</v>
      </c>
      <c r="Q322" s="1038"/>
      <c r="R322" s="43">
        <f>'[1]поточний ремонт'!R322+'[2]поточний ремонт'!R322-'[3]поточний ремонт'!R322</f>
        <v>0</v>
      </c>
      <c r="S322" s="43">
        <f>'[1]поточний ремонт'!S322+'[2]поточний ремонт'!S322-'[3]поточний ремонт'!S322</f>
        <v>0</v>
      </c>
      <c r="T322" s="1039"/>
      <c r="U322" s="43">
        <f>'[1]поточний ремонт'!U322+'[2]поточний ремонт'!U322-'[3]поточний ремонт'!U322</f>
        <v>0</v>
      </c>
      <c r="V322" s="43">
        <f>'[1]поточний ремонт'!V322+'[2]поточний ремонт'!V322-'[3]поточний ремонт'!V322</f>
        <v>0</v>
      </c>
      <c r="W322" s="43">
        <f>'[1]поточний ремонт'!W322+'[2]поточний ремонт'!W322-'[3]поточний ремонт'!W322</f>
        <v>0</v>
      </c>
      <c r="X322" s="43">
        <f>'[1]поточний ремонт'!X322+'[2]поточний ремонт'!X322-'[3]поточний ремонт'!X322</f>
        <v>0</v>
      </c>
      <c r="Y322" s="43">
        <f>'[1]поточний ремонт'!Y322+'[2]поточний ремонт'!Y322-'[3]поточний ремонт'!Y322</f>
        <v>80547</v>
      </c>
      <c r="Z322" s="43">
        <f>'[1]поточний ремонт'!Z322+'[2]поточний ремонт'!Z322-'[3]поточний ремонт'!Z322</f>
        <v>0</v>
      </c>
      <c r="AA322" s="43">
        <f>'[1]поточний ремонт'!AA322+'[2]поточний ремонт'!AA322-'[3]поточний ремонт'!AA322</f>
        <v>0</v>
      </c>
      <c r="AB322" s="43">
        <f>'[1]поточний ремонт'!AB322+'[2]поточний ремонт'!AB322-'[3]поточний ремонт'!AB322</f>
        <v>6403</v>
      </c>
      <c r="AC322" s="43">
        <f>'[1]поточний ремонт'!AC322+'[2]поточний ремонт'!AC322-'[3]поточний ремонт'!AC322</f>
        <v>6881</v>
      </c>
      <c r="AD322" s="43">
        <f>'[1]поточний ремонт'!AD322+'[2]поточний ремонт'!AD322-'[3]поточний ремонт'!AD322</f>
        <v>3754</v>
      </c>
      <c r="AE322" s="43">
        <f>'[1]поточний ремонт'!AE322+'[2]поточний ремонт'!AE322-'[3]поточний ремонт'!AE322</f>
        <v>3252.5407145402869</v>
      </c>
      <c r="AF322" s="43">
        <f>'[1]поточний ремонт'!AF322+'[2]поточний ремонт'!AF322-'[3]поточний ремонт'!AF322</f>
        <v>685</v>
      </c>
      <c r="AG322" s="5"/>
      <c r="AH322" s="43">
        <f>'[1]поточний ремонт'!AH322+'[2]поточний ремонт'!AH322-'[3]поточний ремонт'!AH322</f>
        <v>5103.6454218171393</v>
      </c>
      <c r="AI322" s="43">
        <f>'[1]поточний ремонт'!AI322+'[2]поточний ремонт'!AI322-'[3]поточний ремонт'!AI322</f>
        <v>1567</v>
      </c>
      <c r="AJ322" s="1045"/>
      <c r="AK322" s="43">
        <f>'[1]поточний ремонт'!AK322+'[2]поточний ремонт'!AK322-'[3]поточний ремонт'!AK322</f>
        <v>2938.8569816829331</v>
      </c>
      <c r="AL322" s="43">
        <f>'[1]поточний ремонт'!AL322+'[2]поточний ремонт'!AL322-'[3]поточний ремонт'!AL322</f>
        <v>0</v>
      </c>
      <c r="AM322" s="5"/>
      <c r="AN322" s="43">
        <f>'[1]поточний ремонт'!AN322+'[2]поточний ремонт'!AN322-'[3]поточний ремонт'!AN322</f>
        <v>1626.3997111552867</v>
      </c>
      <c r="AO322" s="43">
        <f>'[1]поточний ремонт'!AO322+'[2]поточний ремонт'!AO322-'[3]поточний ремонт'!AO322</f>
        <v>1779</v>
      </c>
      <c r="AP322" s="5"/>
      <c r="AQ322" s="43">
        <f>'[1]поточний ремонт'!AQ322+'[2]поточний ремонт'!AQ322-'[3]поточний ремонт'!AQ322</f>
        <v>1259.1537278851117</v>
      </c>
      <c r="AR322" s="43">
        <f>'[1]поточний ремонт'!AR322+'[2]поточний ремонт'!AR322-'[3]поточний ремонт'!AR322</f>
        <v>0</v>
      </c>
      <c r="AS322" s="5"/>
      <c r="AT322" s="43">
        <f>'[1]поточний ремонт'!AT322+'[2]поточний ремонт'!AT322-'[3]поточний ремонт'!AT322</f>
        <v>2563.2115873070479</v>
      </c>
      <c r="AU322" s="43">
        <f>'[1]поточний ремонт'!AU322+'[2]поточний ремонт'!AU322-'[3]поточний ремонт'!AU322</f>
        <v>6902.0384114211838</v>
      </c>
      <c r="AV322" s="9"/>
      <c r="AW322" s="43">
        <f>'[1]поточний ремонт'!AW322+'[2]поточний ремонт'!AW322-'[3]поточний ремонт'!AW322</f>
        <v>1392.4189594078643</v>
      </c>
      <c r="AX322" s="43">
        <f>'[1]поточний ремонт'!AX322+'[2]поточний ремонт'!AX322-'[3]поточний ремонт'!AX322</f>
        <v>0</v>
      </c>
      <c r="AY322" s="5"/>
      <c r="AZ322" s="43">
        <f t="shared" si="34"/>
        <v>18136.227103795671</v>
      </c>
      <c r="BA322" s="43">
        <f t="shared" si="35"/>
        <v>10933.038411421185</v>
      </c>
      <c r="BB322" s="59">
        <f t="shared" si="36"/>
        <v>-7203.188692374486</v>
      </c>
      <c r="BD322" s="2">
        <v>1</v>
      </c>
      <c r="BF322" s="30">
        <v>269.19762460560327</v>
      </c>
      <c r="BG322" s="328">
        <v>150000869</v>
      </c>
      <c r="BI322" s="107">
        <v>0</v>
      </c>
      <c r="BJ322" s="107">
        <f t="shared" si="37"/>
        <v>0</v>
      </c>
      <c r="BK322" s="107">
        <v>0</v>
      </c>
      <c r="BL322" s="39"/>
      <c r="BM322" s="3"/>
      <c r="BN322" s="3">
        <v>0</v>
      </c>
      <c r="BP322" s="3"/>
      <c r="BQ322" s="3"/>
      <c r="BS322" s="43"/>
      <c r="BT322" s="43">
        <v>0</v>
      </c>
      <c r="BU322" s="1037"/>
      <c r="BV322" s="42"/>
      <c r="BW322" s="43"/>
      <c r="BX322" s="1050"/>
      <c r="BY322" s="78"/>
      <c r="BZ322" s="43">
        <v>0</v>
      </c>
      <c r="CA322" s="1038"/>
      <c r="CB322" s="42"/>
      <c r="CC322" s="42">
        <v>0</v>
      </c>
      <c r="CD322" s="1039"/>
      <c r="CE322" s="78">
        <v>0</v>
      </c>
      <c r="CF322" s="56"/>
      <c r="CG322" s="42">
        <v>0</v>
      </c>
      <c r="CH322" s="39">
        <v>0</v>
      </c>
      <c r="CI322" s="78">
        <v>0</v>
      </c>
      <c r="CJ322" s="56"/>
      <c r="CK322" s="1034"/>
      <c r="CL322" s="1029"/>
      <c r="CM322" s="1034"/>
      <c r="CN322" s="1029">
        <v>0</v>
      </c>
      <c r="CO322" s="78">
        <v>271.04505954502395</v>
      </c>
      <c r="CP322" s="43">
        <v>0</v>
      </c>
      <c r="CQ322" s="5"/>
      <c r="CR322" s="78">
        <v>425.30378515142826</v>
      </c>
      <c r="CS322" s="1033">
        <v>0</v>
      </c>
      <c r="CT322" s="1045"/>
      <c r="CU322" s="78">
        <v>244.90474847357774</v>
      </c>
      <c r="CV322" s="43">
        <v>0</v>
      </c>
      <c r="CW322" s="5"/>
      <c r="CX322" s="78">
        <v>135.53330926294058</v>
      </c>
      <c r="CY322" s="43">
        <v>0</v>
      </c>
      <c r="CZ322" s="5"/>
      <c r="DA322" s="78">
        <v>104.92947732375929</v>
      </c>
      <c r="DB322" s="43">
        <v>0</v>
      </c>
      <c r="DC322" s="5"/>
      <c r="DD322" s="78">
        <v>213.60096560892066</v>
      </c>
      <c r="DE322" s="43">
        <v>510.20503071795298</v>
      </c>
      <c r="DF322" s="9"/>
      <c r="DG322" s="78">
        <v>116.03491328398869</v>
      </c>
      <c r="DH322" s="43"/>
      <c r="DI322" s="5"/>
      <c r="DJ322" s="43">
        <v>1511.3522586496392</v>
      </c>
      <c r="DK322" s="43">
        <f t="shared" si="38"/>
        <v>510.20503071795298</v>
      </c>
      <c r="DL322" s="59">
        <f t="shared" si="39"/>
        <v>-1001.1472279316863</v>
      </c>
    </row>
    <row r="323" spans="1:116" ht="24.9" customHeight="1" x14ac:dyDescent="0.3">
      <c r="A323" s="328">
        <v>150000875</v>
      </c>
      <c r="B323" s="45" t="s">
        <v>312</v>
      </c>
      <c r="C323" s="1035">
        <v>5</v>
      </c>
      <c r="D323" s="1036" t="s">
        <v>454</v>
      </c>
      <c r="E323" s="1028">
        <f>'побудинковий звіт'!E321</f>
        <v>1113.4000000000001</v>
      </c>
      <c r="F323" s="1029">
        <f>'побудинковий звіт'!AS321</f>
        <v>35703.925922525443</v>
      </c>
      <c r="G323" s="1029">
        <f t="shared" si="32"/>
        <v>8559</v>
      </c>
      <c r="H323" s="1029">
        <f t="shared" si="33"/>
        <v>-27144.925922525443</v>
      </c>
      <c r="I323" s="43">
        <f>'[1]поточний ремонт'!I323+'[2]поточний ремонт'!I323-'[3]поточний ремонт'!I323</f>
        <v>0</v>
      </c>
      <c r="J323" s="43">
        <f>'[1]поточний ремонт'!J323+'[2]поточний ремонт'!J323-'[3]поточний ремонт'!J323</f>
        <v>0</v>
      </c>
      <c r="K323" s="1037"/>
      <c r="L323" s="43">
        <f>'[1]поточний ремонт'!L323+'[2]поточний ремонт'!L323-'[3]поточний ремонт'!L323</f>
        <v>0</v>
      </c>
      <c r="M323" s="43">
        <f>'[1]поточний ремонт'!M323+'[2]поточний ремонт'!M323-'[3]поточний ремонт'!M323</f>
        <v>0</v>
      </c>
      <c r="N323" s="37"/>
      <c r="O323" s="43">
        <f>'[1]поточний ремонт'!O323+'[2]поточний ремонт'!O323-'[3]поточний ремонт'!O323</f>
        <v>0</v>
      </c>
      <c r="P323" s="43">
        <f>'[1]поточний ремонт'!P323+'[2]поточний ремонт'!P323-'[3]поточний ремонт'!P323</f>
        <v>0</v>
      </c>
      <c r="Q323" s="1038"/>
      <c r="R323" s="43">
        <f>'[1]поточний ремонт'!R323+'[2]поточний ремонт'!R323-'[3]поточний ремонт'!R323</f>
        <v>0</v>
      </c>
      <c r="S323" s="43">
        <f>'[1]поточний ремонт'!S323+'[2]поточний ремонт'!S323-'[3]поточний ремонт'!S323</f>
        <v>0</v>
      </c>
      <c r="T323" s="1039"/>
      <c r="U323" s="43">
        <f>'[1]поточний ремонт'!U323+'[2]поточний ремонт'!U323-'[3]поточний ремонт'!U323</f>
        <v>0</v>
      </c>
      <c r="V323" s="43">
        <f>'[1]поточний ремонт'!V323+'[2]поточний ремонт'!V323-'[3]поточний ремонт'!V323</f>
        <v>0</v>
      </c>
      <c r="W323" s="43">
        <f>'[1]поточний ремонт'!W323+'[2]поточний ремонт'!W323-'[3]поточний ремонт'!W323</f>
        <v>0</v>
      </c>
      <c r="X323" s="43">
        <f>'[1]поточний ремонт'!X323+'[2]поточний ремонт'!X323-'[3]поточний ремонт'!X323</f>
        <v>0</v>
      </c>
      <c r="Y323" s="43">
        <f>'[1]поточний ремонт'!Y323+'[2]поточний ремонт'!Y323-'[3]поточний ремонт'!Y323</f>
        <v>8559</v>
      </c>
      <c r="Z323" s="43">
        <f>'[1]поточний ремонт'!Z323+'[2]поточний ремонт'!Z323-'[3]поточний ремонт'!Z323</f>
        <v>0</v>
      </c>
      <c r="AA323" s="43">
        <f>'[1]поточний ремонт'!AA323+'[2]поточний ремонт'!AA323-'[3]поточний ремонт'!AA323</f>
        <v>0</v>
      </c>
      <c r="AB323" s="43">
        <f>'[1]поточний ремонт'!AB323+'[2]поточний ремонт'!AB323-'[3]поточний ремонт'!AB323</f>
        <v>0</v>
      </c>
      <c r="AC323" s="43">
        <f>'[1]поточний ремонт'!AC323+'[2]поточний ремонт'!AC323-'[3]поточний ремонт'!AC323</f>
        <v>0</v>
      </c>
      <c r="AD323" s="43">
        <f>'[1]поточний ремонт'!AD323+'[2]поточний ремонт'!AD323-'[3]поточний ремонт'!AD323</f>
        <v>0</v>
      </c>
      <c r="AE323" s="43">
        <f>'[1]поточний ремонт'!AE323+'[2]поточний ремонт'!AE323-'[3]поточний ремонт'!AE323</f>
        <v>2136.3301969187974</v>
      </c>
      <c r="AF323" s="43">
        <f>'[1]поточний ремонт'!AF323+'[2]поточний ремонт'!AF323-'[3]поточний ремонт'!AF323</f>
        <v>408</v>
      </c>
      <c r="AG323" s="5"/>
      <c r="AH323" s="43">
        <f>'[1]поточний ремонт'!AH323+'[2]поточний ремонт'!AH323-'[3]поточний ремонт'!AH323</f>
        <v>3322.1713403248259</v>
      </c>
      <c r="AI323" s="43">
        <f>'[1]поточний ремонт'!AI323+'[2]поточний ремонт'!AI323-'[3]поточний ремонт'!AI323</f>
        <v>8180</v>
      </c>
      <c r="AJ323" s="5"/>
      <c r="AK323" s="43">
        <f>'[1]поточний ремонт'!AK323+'[2]поточний ремонт'!AK323-'[3]поточний ремонт'!AK323</f>
        <v>1901.6462389546689</v>
      </c>
      <c r="AL323" s="43">
        <f>'[1]поточний ремонт'!AL323+'[2]поточний ремонт'!AL323-'[3]поточний ремонт'!AL323</f>
        <v>0</v>
      </c>
      <c r="AM323" s="5"/>
      <c r="AN323" s="43">
        <f>'[1]поточний ремонт'!AN323+'[2]поточний ремонт'!AN323-'[3]поточний ремонт'!AN323</f>
        <v>0</v>
      </c>
      <c r="AO323" s="43">
        <f>'[1]поточний ремонт'!AO323+'[2]поточний ремонт'!AO323-'[3]поточний ремонт'!AO323</f>
        <v>0</v>
      </c>
      <c r="AP323" s="5"/>
      <c r="AQ323" s="43">
        <f>'[1]поточний ремонт'!AQ323+'[2]поточний ремонт'!AQ323-'[3]поточний ремонт'!AQ323</f>
        <v>0</v>
      </c>
      <c r="AR323" s="43">
        <f>'[1]поточний ремонт'!AR323+'[2]поточний ремонт'!AR323-'[3]поточний ремонт'!AR323</f>
        <v>0</v>
      </c>
      <c r="AS323" s="5"/>
      <c r="AT323" s="43">
        <f>'[1]поточний ремонт'!AT323+'[2]поточний ремонт'!AT323-'[3]поточний ремонт'!AT323</f>
        <v>1046.5116147666126</v>
      </c>
      <c r="AU323" s="43">
        <f>'[1]поточний ремонт'!AU323+'[2]поточний ремонт'!AU323-'[3]поточний ремонт'!AU323</f>
        <v>2747.1782810695913</v>
      </c>
      <c r="AV323" s="5"/>
      <c r="AW323" s="43">
        <f>'[1]поточний ремонт'!AW323+'[2]поточний ремонт'!AW323-'[3]поточний ремонт'!AW323</f>
        <v>1205.3153536334314</v>
      </c>
      <c r="AX323" s="43">
        <f>'[1]поточний ремонт'!AX323+'[2]поточний ремонт'!AX323-'[3]поточний ремонт'!AX323</f>
        <v>0</v>
      </c>
      <c r="AY323" s="5"/>
      <c r="AZ323" s="43">
        <f t="shared" si="34"/>
        <v>9611.9747445983357</v>
      </c>
      <c r="BA323" s="43">
        <f t="shared" si="35"/>
        <v>11335.178281069591</v>
      </c>
      <c r="BB323" s="59">
        <f t="shared" si="36"/>
        <v>1723.2035364712556</v>
      </c>
      <c r="BD323" s="2">
        <v>1</v>
      </c>
      <c r="BF323" s="30">
        <v>149.04008529605153</v>
      </c>
      <c r="BG323" s="328">
        <v>150000875</v>
      </c>
      <c r="BI323" s="107">
        <v>0</v>
      </c>
      <c r="BJ323" s="107">
        <f t="shared" si="37"/>
        <v>0</v>
      </c>
      <c r="BK323" s="107">
        <v>0</v>
      </c>
      <c r="BL323" s="39"/>
      <c r="BM323" s="3"/>
      <c r="BN323" s="3">
        <v>0</v>
      </c>
      <c r="BP323" s="3"/>
      <c r="BQ323" s="3"/>
      <c r="BS323" s="43"/>
      <c r="BT323" s="43">
        <v>0</v>
      </c>
      <c r="BU323" s="1037"/>
      <c r="BV323" s="42"/>
      <c r="BW323" s="43"/>
      <c r="BX323" s="37"/>
      <c r="BY323" s="78"/>
      <c r="BZ323" s="43">
        <v>0</v>
      </c>
      <c r="CA323" s="1038"/>
      <c r="CB323" s="42"/>
      <c r="CC323" s="42">
        <v>0</v>
      </c>
      <c r="CD323" s="1039"/>
      <c r="CE323" s="78">
        <v>0</v>
      </c>
      <c r="CF323" s="56"/>
      <c r="CG323" s="42">
        <v>0</v>
      </c>
      <c r="CH323" s="39">
        <v>0</v>
      </c>
      <c r="CI323" s="78">
        <v>0</v>
      </c>
      <c r="CJ323" s="56"/>
      <c r="CK323" s="1034"/>
      <c r="CL323" s="1029"/>
      <c r="CM323" s="1034"/>
      <c r="CN323" s="1029">
        <v>704.82234403293637</v>
      </c>
      <c r="CO323" s="78">
        <v>178.02751640989976</v>
      </c>
      <c r="CP323" s="43">
        <v>0</v>
      </c>
      <c r="CQ323" s="5"/>
      <c r="CR323" s="78">
        <v>276.84761169373553</v>
      </c>
      <c r="CS323" s="1033">
        <v>0</v>
      </c>
      <c r="CT323" s="5"/>
      <c r="CU323" s="78">
        <v>158.47051991288905</v>
      </c>
      <c r="CV323" s="43">
        <v>0</v>
      </c>
      <c r="CW323" s="5"/>
      <c r="CX323" s="78">
        <v>0</v>
      </c>
      <c r="CY323" s="43">
        <v>0</v>
      </c>
      <c r="CZ323" s="5"/>
      <c r="DA323" s="78">
        <v>0</v>
      </c>
      <c r="DB323" s="43">
        <v>0</v>
      </c>
      <c r="DC323" s="5"/>
      <c r="DD323" s="78">
        <v>87.209301230551034</v>
      </c>
      <c r="DE323" s="43">
        <v>0</v>
      </c>
      <c r="DF323" s="5"/>
      <c r="DG323" s="78">
        <v>100.44294613611928</v>
      </c>
      <c r="DH323" s="43"/>
      <c r="DI323" s="5"/>
      <c r="DJ323" s="43">
        <v>800.99789538319476</v>
      </c>
      <c r="DK323" s="43">
        <f t="shared" si="38"/>
        <v>0</v>
      </c>
      <c r="DL323" s="59">
        <f t="shared" si="39"/>
        <v>-800.99789538319476</v>
      </c>
    </row>
    <row r="324" spans="1:116" ht="24.9" customHeight="1" x14ac:dyDescent="0.3">
      <c r="A324" s="328">
        <v>150000871</v>
      </c>
      <c r="B324" s="45" t="s">
        <v>140</v>
      </c>
      <c r="C324" s="1035">
        <v>1</v>
      </c>
      <c r="D324" s="1036" t="s">
        <v>454</v>
      </c>
      <c r="E324" s="1028">
        <f>'побудинковий звіт'!E322</f>
        <v>3517.1</v>
      </c>
      <c r="F324" s="1029">
        <f>'побудинковий звіт'!AS322</f>
        <v>2230.0267930443974</v>
      </c>
      <c r="G324" s="1029">
        <f t="shared" si="32"/>
        <v>0</v>
      </c>
      <c r="H324" s="1029">
        <f t="shared" si="33"/>
        <v>-2230.0267930443974</v>
      </c>
      <c r="I324" s="43">
        <f>'[1]поточний ремонт'!I324+'[2]поточний ремонт'!I324-'[3]поточний ремонт'!I324</f>
        <v>0</v>
      </c>
      <c r="J324" s="43">
        <f>'[1]поточний ремонт'!J324+'[2]поточний ремонт'!J324-'[3]поточний ремонт'!J324</f>
        <v>0</v>
      </c>
      <c r="K324" s="1037"/>
      <c r="L324" s="43">
        <f>'[1]поточний ремонт'!L324+'[2]поточний ремонт'!L324-'[3]поточний ремонт'!L324</f>
        <v>0</v>
      </c>
      <c r="M324" s="43">
        <f>'[1]поточний ремонт'!M324+'[2]поточний ремонт'!M324-'[3]поточний ремонт'!M324</f>
        <v>0</v>
      </c>
      <c r="N324" s="37"/>
      <c r="O324" s="43">
        <f>'[1]поточний ремонт'!O324+'[2]поточний ремонт'!O324-'[3]поточний ремонт'!O324</f>
        <v>0</v>
      </c>
      <c r="P324" s="43">
        <f>'[1]поточний ремонт'!P324+'[2]поточний ремонт'!P324-'[3]поточний ремонт'!P324</f>
        <v>0</v>
      </c>
      <c r="Q324" s="1038"/>
      <c r="R324" s="43">
        <f>'[1]поточний ремонт'!R324+'[2]поточний ремонт'!R324-'[3]поточний ремонт'!R324</f>
        <v>0</v>
      </c>
      <c r="S324" s="43">
        <f>'[1]поточний ремонт'!S324+'[2]поточний ремонт'!S324-'[3]поточний ремонт'!S324</f>
        <v>0</v>
      </c>
      <c r="T324" s="1039"/>
      <c r="U324" s="43">
        <f>'[1]поточний ремонт'!U324+'[2]поточний ремонт'!U324-'[3]поточний ремонт'!U324</f>
        <v>0</v>
      </c>
      <c r="V324" s="43">
        <f>'[1]поточний ремонт'!V324+'[2]поточний ремонт'!V324-'[3]поточний ремонт'!V324</f>
        <v>0</v>
      </c>
      <c r="W324" s="43">
        <f>'[1]поточний ремонт'!W324+'[2]поточний ремонт'!W324-'[3]поточний ремонт'!W324</f>
        <v>0</v>
      </c>
      <c r="X324" s="43">
        <f>'[1]поточний ремонт'!X324+'[2]поточний ремонт'!X324-'[3]поточний ремонт'!X324</f>
        <v>0</v>
      </c>
      <c r="Y324" s="43">
        <f>'[1]поточний ремонт'!Y324+'[2]поточний ремонт'!Y324-'[3]поточний ремонт'!Y324</f>
        <v>0</v>
      </c>
      <c r="Z324" s="43">
        <f>'[1]поточний ремонт'!Z324+'[2]поточний ремонт'!Z324-'[3]поточний ремонт'!Z324</f>
        <v>0</v>
      </c>
      <c r="AA324" s="43">
        <f>'[1]поточний ремонт'!AA324+'[2]поточний ремонт'!AA324-'[3]поточний ремонт'!AA324</f>
        <v>0</v>
      </c>
      <c r="AB324" s="43">
        <f>'[1]поточний ремонт'!AB324+'[2]поточний ремонт'!AB324-'[3]поточний ремонт'!AB324</f>
        <v>0</v>
      </c>
      <c r="AC324" s="43">
        <f>'[1]поточний ремонт'!AC324+'[2]поточний ремонт'!AC324-'[3]поточний ремонт'!AC324</f>
        <v>0</v>
      </c>
      <c r="AD324" s="43">
        <f>'[1]поточний ремонт'!AD324+'[2]поточний ремонт'!AD324-'[3]поточний ремонт'!AD324</f>
        <v>0</v>
      </c>
      <c r="AE324" s="43">
        <f>'[1]поточний ремонт'!AE324+'[2]поточний ремонт'!AE324-'[3]поточний ремонт'!AE324</f>
        <v>0</v>
      </c>
      <c r="AF324" s="43">
        <f>'[1]поточний ремонт'!AF324+'[2]поточний ремонт'!AF324-'[3]поточний ремонт'!AF324</f>
        <v>0</v>
      </c>
      <c r="AG324" s="5"/>
      <c r="AH324" s="43">
        <f>'[1]поточний ремонт'!AH324+'[2]поточний ремонт'!AH324-'[3]поточний ремонт'!AH324</f>
        <v>0</v>
      </c>
      <c r="AI324" s="43">
        <f>'[1]поточний ремонт'!AI324+'[2]поточний ремонт'!AI324-'[3]поточний ремонт'!AI324</f>
        <v>0</v>
      </c>
      <c r="AJ324" s="5"/>
      <c r="AK324" s="43">
        <f>'[1]поточний ремонт'!AK324+'[2]поточний ремонт'!AK324-'[3]поточний ремонт'!AK324</f>
        <v>0</v>
      </c>
      <c r="AL324" s="43">
        <f>'[1]поточний ремонт'!AL324+'[2]поточний ремонт'!AL324-'[3]поточний ремонт'!AL324</f>
        <v>0</v>
      </c>
      <c r="AM324" s="5"/>
      <c r="AN324" s="43">
        <f>'[1]поточний ремонт'!AN324+'[2]поточний ремонт'!AN324-'[3]поточний ремонт'!AN324</f>
        <v>0</v>
      </c>
      <c r="AO324" s="43">
        <f>'[1]поточний ремонт'!AO324+'[2]поточний ремонт'!AO324-'[3]поточний ремонт'!AO324</f>
        <v>0</v>
      </c>
      <c r="AP324" s="5"/>
      <c r="AQ324" s="43">
        <f>'[1]поточний ремонт'!AQ324+'[2]поточний ремонт'!AQ324-'[3]поточний ремонт'!AQ324</f>
        <v>0</v>
      </c>
      <c r="AR324" s="43">
        <f>'[1]поточний ремонт'!AR324+'[2]поточний ремонт'!AR324-'[3]поточний ремонт'!AR324</f>
        <v>0</v>
      </c>
      <c r="AS324" s="5"/>
      <c r="AT324" s="43">
        <f>'[1]поточний ремонт'!AT324+'[2]поточний ремонт'!AT324-'[3]поточний ремонт'!AT324</f>
        <v>0</v>
      </c>
      <c r="AU324" s="43">
        <f>'[1]поточний ремонт'!AU324+'[2]поточний ремонт'!AU324-'[3]поточний ремонт'!AU324</f>
        <v>0</v>
      </c>
      <c r="AV324" s="5"/>
      <c r="AW324" s="43">
        <f>'[1]поточний ремонт'!AW324+'[2]поточний ремонт'!AW324-'[3]поточний ремонт'!AW324</f>
        <v>0</v>
      </c>
      <c r="AX324" s="43">
        <f>'[1]поточний ремонт'!AX324+'[2]поточний ремонт'!AX324-'[3]поточний ремонт'!AX324</f>
        <v>0</v>
      </c>
      <c r="AY324" s="5"/>
      <c r="AZ324" s="43">
        <f t="shared" si="34"/>
        <v>0</v>
      </c>
      <c r="BA324" s="43">
        <f t="shared" si="35"/>
        <v>0</v>
      </c>
      <c r="BB324" s="59">
        <f t="shared" si="36"/>
        <v>0</v>
      </c>
      <c r="BD324" s="2">
        <v>2</v>
      </c>
      <c r="BF324" s="30">
        <v>0</v>
      </c>
      <c r="BG324" s="328">
        <v>150000871</v>
      </c>
      <c r="BI324" s="107">
        <v>0</v>
      </c>
      <c r="BJ324" s="107">
        <f t="shared" si="37"/>
        <v>0</v>
      </c>
      <c r="BK324" s="107">
        <v>0</v>
      </c>
      <c r="BL324" s="39"/>
      <c r="BM324" s="3"/>
      <c r="BN324" s="3">
        <v>0</v>
      </c>
      <c r="BP324" s="3"/>
      <c r="BQ324" s="3"/>
      <c r="BS324" s="43"/>
      <c r="BT324" s="43">
        <v>0</v>
      </c>
      <c r="BU324" s="1037"/>
      <c r="BV324" s="42"/>
      <c r="BW324" s="43"/>
      <c r="BX324" s="37"/>
      <c r="BY324" s="78"/>
      <c r="BZ324" s="43">
        <v>0</v>
      </c>
      <c r="CA324" s="1038"/>
      <c r="CB324" s="42"/>
      <c r="CC324" s="42">
        <v>0</v>
      </c>
      <c r="CD324" s="1039"/>
      <c r="CE324" s="78">
        <v>0</v>
      </c>
      <c r="CF324" s="56"/>
      <c r="CG324" s="42">
        <v>0</v>
      </c>
      <c r="CH324" s="39">
        <v>0</v>
      </c>
      <c r="CI324" s="78">
        <v>0</v>
      </c>
      <c r="CJ324" s="56"/>
      <c r="CK324" s="1034"/>
      <c r="CL324" s="1029"/>
      <c r="CM324" s="1034"/>
      <c r="CN324" s="1029">
        <v>0</v>
      </c>
      <c r="CO324" s="78">
        <v>0</v>
      </c>
      <c r="CP324" s="43">
        <v>0</v>
      </c>
      <c r="CQ324" s="5"/>
      <c r="CR324" s="78">
        <v>0</v>
      </c>
      <c r="CS324" s="1033">
        <v>0</v>
      </c>
      <c r="CT324" s="5"/>
      <c r="CU324" s="78">
        <v>0</v>
      </c>
      <c r="CV324" s="43">
        <v>0</v>
      </c>
      <c r="CW324" s="5"/>
      <c r="CX324" s="78">
        <v>0</v>
      </c>
      <c r="CY324" s="43">
        <v>0</v>
      </c>
      <c r="CZ324" s="5"/>
      <c r="DA324" s="78">
        <v>0</v>
      </c>
      <c r="DB324" s="43">
        <v>0</v>
      </c>
      <c r="DC324" s="5"/>
      <c r="DD324" s="78">
        <v>0</v>
      </c>
      <c r="DE324" s="43">
        <v>0</v>
      </c>
      <c r="DF324" s="5"/>
      <c r="DG324" s="78">
        <v>0</v>
      </c>
      <c r="DH324" s="43"/>
      <c r="DI324" s="5"/>
      <c r="DJ324" s="43">
        <v>0</v>
      </c>
      <c r="DK324" s="43">
        <f t="shared" si="38"/>
        <v>0</v>
      </c>
      <c r="DL324" s="59">
        <f t="shared" si="39"/>
        <v>0</v>
      </c>
    </row>
    <row r="325" spans="1:116" ht="24.9" customHeight="1" x14ac:dyDescent="0.3">
      <c r="A325" s="328">
        <v>150000886</v>
      </c>
      <c r="B325" s="45" t="s">
        <v>396</v>
      </c>
      <c r="C325" s="1035">
        <v>9</v>
      </c>
      <c r="D325" s="1036" t="s">
        <v>454</v>
      </c>
      <c r="E325" s="1028">
        <f>'побудинковий звіт'!E323</f>
        <v>2278.4</v>
      </c>
      <c r="F325" s="1029">
        <f>'побудинковий звіт'!AS323</f>
        <v>31516.637539694566</v>
      </c>
      <c r="G325" s="1029">
        <f t="shared" si="32"/>
        <v>19964.89449593929</v>
      </c>
      <c r="H325" s="1029">
        <f t="shared" si="33"/>
        <v>-11551.743043755276</v>
      </c>
      <c r="I325" s="43">
        <f>'[1]поточний ремонт'!I325+'[2]поточний ремонт'!I325-'[3]поточний ремонт'!I325</f>
        <v>0</v>
      </c>
      <c r="J325" s="43">
        <f>'[1]поточний ремонт'!J325+'[2]поточний ремонт'!J325-'[3]поточний ремонт'!J325</f>
        <v>9392</v>
      </c>
      <c r="K325" s="1037"/>
      <c r="L325" s="43">
        <f>'[1]поточний ремонт'!L325+'[2]поточний ремонт'!L325-'[3]поточний ремонт'!L325</f>
        <v>0</v>
      </c>
      <c r="M325" s="43">
        <f>'[1]поточний ремонт'!M325+'[2]поточний ремонт'!M325-'[3]поточний ремонт'!M325</f>
        <v>0</v>
      </c>
      <c r="N325" s="37"/>
      <c r="O325" s="43">
        <f>'[1]поточний ремонт'!O325+'[2]поточний ремонт'!O325-'[3]поточний ремонт'!O325</f>
        <v>0</v>
      </c>
      <c r="P325" s="43">
        <f>'[1]поточний ремонт'!P325+'[2]поточний ремонт'!P325-'[3]поточний ремонт'!P325</f>
        <v>0</v>
      </c>
      <c r="Q325" s="1038"/>
      <c r="R325" s="43">
        <f>'[1]поточний ремонт'!R325+'[2]поточний ремонт'!R325-'[3]поточний ремонт'!R325</f>
        <v>1</v>
      </c>
      <c r="S325" s="43">
        <f>'[1]поточний ремонт'!S325+'[2]поточний ремонт'!S325-'[3]поточний ремонт'!S325</f>
        <v>5085</v>
      </c>
      <c r="T325" s="1048"/>
      <c r="U325" s="43">
        <f>'[1]поточний ремонт'!U325+'[2]поточний ремонт'!U325-'[3]поточний ремонт'!U325</f>
        <v>0</v>
      </c>
      <c r="V325" s="43">
        <f>'[1]поточний ремонт'!V325+'[2]поточний ремонт'!V325-'[3]поточний ремонт'!V325</f>
        <v>0</v>
      </c>
      <c r="W325" s="43">
        <f>'[1]поточний ремонт'!W325+'[2]поточний ремонт'!W325-'[3]поточний ремонт'!W325</f>
        <v>0</v>
      </c>
      <c r="X325" s="43">
        <f>'[1]поточний ремонт'!X325+'[2]поточний ремонт'!X325-'[3]поточний ремонт'!X325</f>
        <v>31.894495939289804</v>
      </c>
      <c r="Y325" s="43">
        <f>'[1]поточний ремонт'!Y325+'[2]поточний ремонт'!Y325-'[3]поточний ремонт'!Y325</f>
        <v>0</v>
      </c>
      <c r="Z325" s="43">
        <f>'[1]поточний ремонт'!Z325+'[2]поточний ремонт'!Z325-'[3]поточний ремонт'!Z325</f>
        <v>0</v>
      </c>
      <c r="AA325" s="43">
        <f>'[1]поточний ремонт'!AA325+'[2]поточний ремонт'!AA325-'[3]поточний ремонт'!AA325</f>
        <v>0</v>
      </c>
      <c r="AB325" s="43">
        <f>'[1]поточний ремонт'!AB325+'[2]поточний ремонт'!AB325-'[3]поточний ремонт'!AB325</f>
        <v>0</v>
      </c>
      <c r="AC325" s="43">
        <f>'[1]поточний ремонт'!AC325+'[2]поточний ремонт'!AC325-'[3]поточний ремонт'!AC325</f>
        <v>1305</v>
      </c>
      <c r="AD325" s="43">
        <f>'[1]поточний ремонт'!AD325+'[2]поточний ремонт'!AD325-'[3]поточний ремонт'!AD325</f>
        <v>4151</v>
      </c>
      <c r="AE325" s="43">
        <f>'[1]поточний ремонт'!AE325+'[2]поточний ремонт'!AE325-'[3]поточний ремонт'!AE325</f>
        <v>432.87177683302195</v>
      </c>
      <c r="AF325" s="43">
        <f>'[1]поточний ремонт'!AF325+'[2]поточний ремонт'!AF325-'[3]поточний ремонт'!AF325</f>
        <v>0</v>
      </c>
      <c r="AG325" s="1045"/>
      <c r="AH325" s="43">
        <f>'[1]поточний ремонт'!AH325+'[2]поточний ремонт'!AH325-'[3]поточний ремонт'!AH325</f>
        <v>509.23686020386782</v>
      </c>
      <c r="AI325" s="43">
        <f>'[1]поточний ремонт'!AI325+'[2]поточний ремонт'!AI325-'[3]поточний ремонт'!AI325</f>
        <v>0</v>
      </c>
      <c r="AJ325" s="1045"/>
      <c r="AK325" s="43">
        <f>'[1]поточний ремонт'!AK325+'[2]поточний ремонт'!AK325-'[3]поточний ремонт'!AK325</f>
        <v>656.9664998190334</v>
      </c>
      <c r="AL325" s="43">
        <f>'[1]поточний ремонт'!AL325+'[2]поточний ремонт'!AL325-'[3]поточний ремонт'!AL325</f>
        <v>4391</v>
      </c>
      <c r="AM325" s="5"/>
      <c r="AN325" s="43">
        <f>'[1]поточний ремонт'!AN325+'[2]поточний ремонт'!AN325-'[3]поточний ремонт'!AN325</f>
        <v>346.11677269454282</v>
      </c>
      <c r="AO325" s="43">
        <f>'[1]поточний ремонт'!AO325+'[2]поточний ремонт'!AO325-'[3]поточний ремонт'!AO325</f>
        <v>0</v>
      </c>
      <c r="AP325" s="5"/>
      <c r="AQ325" s="43">
        <f>'[1]поточний ремонт'!AQ325+'[2]поточний ремонт'!AQ325-'[3]поточний ремонт'!AQ325</f>
        <v>158.30696475691875</v>
      </c>
      <c r="AR325" s="43">
        <f>'[1]поточний ремонт'!AR325+'[2]поточний ремонт'!AR325-'[3]поточний ремонт'!AR325</f>
        <v>0</v>
      </c>
      <c r="AS325" s="5"/>
      <c r="AT325" s="43">
        <f>'[1]поточний ремонт'!AT325+'[2]поточний ремонт'!AT325-'[3]поточний ремонт'!AT325</f>
        <v>318.64338832935732</v>
      </c>
      <c r="AU325" s="43">
        <f>'[1]поточний ремонт'!AU325+'[2]поточний ремонт'!AU325-'[3]поточний ремонт'!AU325</f>
        <v>143</v>
      </c>
      <c r="AV325" s="5"/>
      <c r="AW325" s="43">
        <f>'[1]поточний ремонт'!AW325+'[2]поточний ремонт'!AW325-'[3]поточний ремонт'!AW325</f>
        <v>0</v>
      </c>
      <c r="AX325" s="43">
        <f>'[1]поточний ремонт'!AX325+'[2]поточний ремонт'!AX325-'[3]поточний ремонт'!AX325</f>
        <v>0</v>
      </c>
      <c r="AY325" s="5"/>
      <c r="AZ325" s="43">
        <f t="shared" si="34"/>
        <v>2422.1422626367421</v>
      </c>
      <c r="BA325" s="43">
        <f t="shared" si="35"/>
        <v>4534</v>
      </c>
      <c r="BB325" s="59">
        <f t="shared" si="36"/>
        <v>2111.8577373632579</v>
      </c>
      <c r="BD325" s="2">
        <v>2</v>
      </c>
      <c r="BF325" s="30">
        <v>3.1157696940731863</v>
      </c>
      <c r="BG325" s="328">
        <v>150000886</v>
      </c>
      <c r="BI325" s="107">
        <v>2.38</v>
      </c>
      <c r="BJ325" s="107">
        <f t="shared" si="37"/>
        <v>0.33477603599999994</v>
      </c>
      <c r="BK325" s="107">
        <v>2.7448201944799999</v>
      </c>
      <c r="BL325" s="39"/>
      <c r="BM325" s="3"/>
      <c r="BN325" s="3">
        <v>0</v>
      </c>
      <c r="BP325" s="3"/>
      <c r="BQ325" s="3"/>
      <c r="BS325" s="43"/>
      <c r="BT325" s="43">
        <v>0</v>
      </c>
      <c r="BU325" s="1037"/>
      <c r="BV325" s="42"/>
      <c r="BW325" s="43"/>
      <c r="BX325" s="37"/>
      <c r="BY325" s="78"/>
      <c r="BZ325" s="43">
        <v>0</v>
      </c>
      <c r="CA325" s="1038"/>
      <c r="CB325" s="42"/>
      <c r="CC325" s="42">
        <v>0</v>
      </c>
      <c r="CD325" s="1048"/>
      <c r="CE325" s="78">
        <v>0</v>
      </c>
      <c r="CF325" s="56"/>
      <c r="CG325" s="42">
        <v>0</v>
      </c>
      <c r="CH325" s="39">
        <v>2.7448201944799999</v>
      </c>
      <c r="CI325" s="78">
        <v>0</v>
      </c>
      <c r="CJ325" s="56"/>
      <c r="CK325" s="1034"/>
      <c r="CL325" s="1029"/>
      <c r="CM325" s="1034"/>
      <c r="CN325" s="1029">
        <v>0</v>
      </c>
      <c r="CO325" s="78">
        <v>36.072648069418491</v>
      </c>
      <c r="CP325" s="43">
        <v>0</v>
      </c>
      <c r="CQ325" s="1045"/>
      <c r="CR325" s="78">
        <v>42.436405016988978</v>
      </c>
      <c r="CS325" s="1033">
        <v>0</v>
      </c>
      <c r="CT325" s="1045"/>
      <c r="CU325" s="78">
        <v>54.747208318252781</v>
      </c>
      <c r="CV325" s="43">
        <v>0</v>
      </c>
      <c r="CW325" s="5"/>
      <c r="CX325" s="78">
        <v>28.843064391211907</v>
      </c>
      <c r="CY325" s="43">
        <v>0</v>
      </c>
      <c r="CZ325" s="5"/>
      <c r="DA325" s="78">
        <v>13.192247063076561</v>
      </c>
      <c r="DB325" s="43">
        <v>0</v>
      </c>
      <c r="DC325" s="5"/>
      <c r="DD325" s="78">
        <v>26.553615694113113</v>
      </c>
      <c r="DE325" s="43">
        <v>273.03102473291574</v>
      </c>
      <c r="DF325" s="5"/>
      <c r="DG325" s="78">
        <v>0</v>
      </c>
      <c r="DH325" s="43"/>
      <c r="DI325" s="5"/>
      <c r="DJ325" s="43">
        <v>201.84518855306183</v>
      </c>
      <c r="DK325" s="43">
        <f t="shared" si="38"/>
        <v>273.03102473291574</v>
      </c>
      <c r="DL325" s="59">
        <f t="shared" si="39"/>
        <v>71.185836179853908</v>
      </c>
    </row>
    <row r="326" spans="1:116" ht="24.9" customHeight="1" x14ac:dyDescent="0.3">
      <c r="A326" s="328">
        <v>150000887</v>
      </c>
      <c r="B326" s="45" t="s">
        <v>397</v>
      </c>
      <c r="C326" s="1035">
        <v>9</v>
      </c>
      <c r="D326" s="1036" t="s">
        <v>454</v>
      </c>
      <c r="E326" s="1028">
        <f>'побудинковий звіт'!E324</f>
        <v>3022.76</v>
      </c>
      <c r="F326" s="1029">
        <f>'побудинковий звіт'!AS324</f>
        <v>95085.172004512322</v>
      </c>
      <c r="G326" s="1029">
        <f t="shared" si="32"/>
        <v>25101.028183344548</v>
      </c>
      <c r="H326" s="1029">
        <f t="shared" si="33"/>
        <v>-69984.143821167774</v>
      </c>
      <c r="I326" s="43">
        <f>'[1]поточний ремонт'!I326+'[2]поточний ремонт'!I326-'[3]поточний ремонт'!I326</f>
        <v>0</v>
      </c>
      <c r="J326" s="43">
        <f>'[1]поточний ремонт'!J326+'[2]поточний ремонт'!J326-'[3]поточний ремонт'!J326</f>
        <v>0</v>
      </c>
      <c r="K326" s="1041"/>
      <c r="L326" s="43">
        <f>'[1]поточний ремонт'!L326+'[2]поточний ремонт'!L326-'[3]поточний ремонт'!L326</f>
        <v>0</v>
      </c>
      <c r="M326" s="43">
        <f>'[1]поточний ремонт'!M326+'[2]поточний ремонт'!M326-'[3]поточний ремонт'!M326</f>
        <v>0</v>
      </c>
      <c r="N326" s="1040"/>
      <c r="O326" s="43">
        <f>'[1]поточний ремонт'!O326+'[2]поточний ремонт'!O326-'[3]поточний ремонт'!O326</f>
        <v>0</v>
      </c>
      <c r="P326" s="43">
        <f>'[1]поточний ремонт'!P326+'[2]поточний ремонт'!P326-'[3]поточний ремонт'!P326</f>
        <v>0</v>
      </c>
      <c r="Q326" s="1038"/>
      <c r="R326" s="43">
        <f>'[1]поточний ремонт'!R326+'[2]поточний ремонт'!R326-'[3]поточний ремонт'!R326</f>
        <v>2</v>
      </c>
      <c r="S326" s="43">
        <f>'[1]поточний ремонт'!S326+'[2]поточний ремонт'!S326-'[3]поточний ремонт'!S326</f>
        <v>22849</v>
      </c>
      <c r="T326" s="1039"/>
      <c r="U326" s="43">
        <f>'[1]поточний ремонт'!U326+'[2]поточний ремонт'!U326-'[3]поточний ремонт'!U326</f>
        <v>0</v>
      </c>
      <c r="V326" s="43">
        <f>'[1]поточний ремонт'!V326+'[2]поточний ремонт'!V326-'[3]поточний ремонт'!V326</f>
        <v>0</v>
      </c>
      <c r="W326" s="43">
        <f>'[1]поточний ремонт'!W326+'[2]поточний ремонт'!W326-'[3]поточний ремонт'!W326</f>
        <v>0</v>
      </c>
      <c r="X326" s="43">
        <f>'[1]поточний ремонт'!X326+'[2]поточний ремонт'!X326-'[3]поточний ремонт'!X326</f>
        <v>309.02818334454753</v>
      </c>
      <c r="Y326" s="43">
        <f>'[1]поточний ремонт'!Y326+'[2]поточний ремонт'!Y326-'[3]поточний ремонт'!Y326</f>
        <v>0</v>
      </c>
      <c r="Z326" s="43">
        <f>'[1]поточний ремонт'!Z326+'[2]поточний ремонт'!Z326-'[3]поточний ремонт'!Z326</f>
        <v>0</v>
      </c>
      <c r="AA326" s="43">
        <f>'[1]поточний ремонт'!AA326+'[2]поточний ремонт'!AA326-'[3]поточний ремонт'!AA326</f>
        <v>0</v>
      </c>
      <c r="AB326" s="43">
        <f>'[1]поточний ремонт'!AB326+'[2]поточний ремонт'!AB326-'[3]поточний ремонт'!AB326</f>
        <v>0</v>
      </c>
      <c r="AC326" s="43">
        <f>'[1]поточний ремонт'!AC326+'[2]поточний ремонт'!AC326-'[3]поточний ремонт'!AC326</f>
        <v>0</v>
      </c>
      <c r="AD326" s="43">
        <f>'[1]поточний ремонт'!AD326+'[2]поточний ремонт'!AD326-'[3]поточний ремонт'!AD326</f>
        <v>1943</v>
      </c>
      <c r="AE326" s="43">
        <f>'[1]поточний ремонт'!AE326+'[2]поточний ремонт'!AE326-'[3]поточний ремонт'!AE326</f>
        <v>729.48044401535981</v>
      </c>
      <c r="AF326" s="43">
        <f>'[1]поточний ремонт'!AF326+'[2]поточний ремонт'!AF326-'[3]поточний ремонт'!AF326</f>
        <v>2688.047755889952</v>
      </c>
      <c r="AG326" s="9"/>
      <c r="AH326" s="43">
        <f>'[1]поточний ремонт'!AH326+'[2]поточний ремонт'!AH326-'[3]поточний ремонт'!AH326</f>
        <v>955.80629180820529</v>
      </c>
      <c r="AI326" s="43">
        <f>'[1]поточний ремонт'!AI326+'[2]поточний ремонт'!AI326-'[3]поточний ремонт'!AI326</f>
        <v>4416</v>
      </c>
      <c r="AJ326" s="9"/>
      <c r="AK326" s="43">
        <f>'[1]поточний ремонт'!AK326+'[2]поточний ремонт'!AK326-'[3]поточний ремонт'!AK326</f>
        <v>934.82827505759963</v>
      </c>
      <c r="AL326" s="43">
        <f>'[1]поточний ремонт'!AL326+'[2]поточний ремонт'!AL326-'[3]поточний ремонт'!AL326</f>
        <v>0</v>
      </c>
      <c r="AM326" s="9"/>
      <c r="AN326" s="43">
        <f>'[1]поточний ремонт'!AN326+'[2]поточний ремонт'!AN326-'[3]поточний ремонт'!AN326</f>
        <v>395.01264682016847</v>
      </c>
      <c r="AO326" s="43">
        <f>'[1]поточний ремонт'!AO326+'[2]поточний ремонт'!AO326-'[3]поточний ремонт'!AO326</f>
        <v>0</v>
      </c>
      <c r="AP326" s="5"/>
      <c r="AQ326" s="43">
        <f>'[1]поточний ремонт'!AQ326+'[2]поточний ремонт'!AQ326-'[3]поточний ремонт'!AQ326</f>
        <v>237.46034910659819</v>
      </c>
      <c r="AR326" s="43">
        <f>'[1]поточний ремонт'!AR326+'[2]поточний ремонт'!AR326-'[3]поточний ремонт'!AR326</f>
        <v>0</v>
      </c>
      <c r="AS326" s="9"/>
      <c r="AT326" s="43">
        <f>'[1]поточний ремонт'!AT326+'[2]поточний ремонт'!AT326-'[3]поточний ремонт'!AT326</f>
        <v>555.86113931838338</v>
      </c>
      <c r="AU326" s="43">
        <f>'[1]поточний ремонт'!AU326+'[2]поточний ремонт'!AU326-'[3]поточний ремонт'!AU326</f>
        <v>3051</v>
      </c>
      <c r="AV326" s="5"/>
      <c r="AW326" s="43">
        <f>'[1]поточний ремонт'!AW326+'[2]поточний ремонт'!AW326-'[3]поточний ремонт'!AW326</f>
        <v>0</v>
      </c>
      <c r="AX326" s="43">
        <f>'[1]поточний ремонт'!AX326+'[2]поточний ремонт'!AX326-'[3]поточний ремонт'!AX326</f>
        <v>0</v>
      </c>
      <c r="AY326" s="5"/>
      <c r="AZ326" s="43">
        <f t="shared" si="34"/>
        <v>3808.4491461263146</v>
      </c>
      <c r="BA326" s="43">
        <f t="shared" si="35"/>
        <v>10155.047755889951</v>
      </c>
      <c r="BB326" s="59">
        <f t="shared" si="36"/>
        <v>6346.598609763636</v>
      </c>
      <c r="BD326" s="2">
        <v>2</v>
      </c>
      <c r="BF326" s="30">
        <v>88.595076271017078</v>
      </c>
      <c r="BG326" s="328">
        <v>150000887</v>
      </c>
      <c r="BI326" s="107">
        <v>23.06</v>
      </c>
      <c r="BJ326" s="107">
        <f t="shared" si="37"/>
        <v>3.2436703319999993</v>
      </c>
      <c r="BK326" s="107">
        <v>26.594770455759999</v>
      </c>
      <c r="BL326" s="39"/>
      <c r="BM326" s="3"/>
      <c r="BN326" s="3">
        <v>0</v>
      </c>
      <c r="BP326" s="3"/>
      <c r="BQ326" s="3"/>
      <c r="BS326" s="43"/>
      <c r="BT326" s="43">
        <v>0</v>
      </c>
      <c r="BU326" s="1041"/>
      <c r="BV326" s="42"/>
      <c r="BW326" s="43"/>
      <c r="BX326" s="1040"/>
      <c r="BY326" s="78"/>
      <c r="BZ326" s="43">
        <v>0</v>
      </c>
      <c r="CA326" s="1038"/>
      <c r="CB326" s="42"/>
      <c r="CC326" s="42">
        <v>0</v>
      </c>
      <c r="CD326" s="1039"/>
      <c r="CE326" s="78">
        <v>561.41365119460818</v>
      </c>
      <c r="CF326" s="56"/>
      <c r="CG326" s="42">
        <v>0</v>
      </c>
      <c r="CH326" s="39">
        <v>26.594770455759999</v>
      </c>
      <c r="CI326" s="78">
        <v>0</v>
      </c>
      <c r="CJ326" s="56"/>
      <c r="CK326" s="1034"/>
      <c r="CL326" s="1029">
        <v>2591</v>
      </c>
      <c r="CM326" s="1034"/>
      <c r="CN326" s="1029">
        <v>0</v>
      </c>
      <c r="CO326" s="78">
        <v>60.790037001279984</v>
      </c>
      <c r="CP326" s="43">
        <v>0</v>
      </c>
      <c r="CQ326" s="9"/>
      <c r="CR326" s="78">
        <v>79.650524317350431</v>
      </c>
      <c r="CS326" s="1033">
        <v>0</v>
      </c>
      <c r="CT326" s="9"/>
      <c r="CU326" s="78">
        <v>77.90235625479994</v>
      </c>
      <c r="CV326" s="43">
        <v>0</v>
      </c>
      <c r="CW326" s="9"/>
      <c r="CX326" s="78">
        <v>32.917720568347377</v>
      </c>
      <c r="CY326" s="43">
        <v>0</v>
      </c>
      <c r="CZ326" s="5"/>
      <c r="DA326" s="78">
        <v>19.788362425549849</v>
      </c>
      <c r="DB326" s="43">
        <v>0</v>
      </c>
      <c r="DC326" s="9"/>
      <c r="DD326" s="78">
        <v>46.321761609865284</v>
      </c>
      <c r="DE326" s="43">
        <v>0</v>
      </c>
      <c r="DF326" s="5"/>
      <c r="DG326" s="78">
        <v>0</v>
      </c>
      <c r="DH326" s="43"/>
      <c r="DI326" s="5"/>
      <c r="DJ326" s="43">
        <v>317.37076217719289</v>
      </c>
      <c r="DK326" s="43">
        <f t="shared" si="38"/>
        <v>0</v>
      </c>
      <c r="DL326" s="59">
        <f t="shared" si="39"/>
        <v>-317.37076217719289</v>
      </c>
    </row>
    <row r="327" spans="1:116" ht="24.9" customHeight="1" x14ac:dyDescent="0.3">
      <c r="A327" s="328">
        <v>150000888</v>
      </c>
      <c r="B327" s="45" t="s">
        <v>313</v>
      </c>
      <c r="C327" s="1035">
        <v>5</v>
      </c>
      <c r="D327" s="1036" t="s">
        <v>454</v>
      </c>
      <c r="E327" s="1028">
        <f>'побудинковий звіт'!E325</f>
        <v>7373.17</v>
      </c>
      <c r="F327" s="1029">
        <f>'побудинковий звіт'!AS325</f>
        <v>32472.682989833163</v>
      </c>
      <c r="G327" s="1029">
        <f t="shared" si="32"/>
        <v>5703</v>
      </c>
      <c r="H327" s="1029">
        <f t="shared" si="33"/>
        <v>-26769.682989833163</v>
      </c>
      <c r="I327" s="43">
        <f>'[1]поточний ремонт'!I327+'[2]поточний ремонт'!I327-'[3]поточний ремонт'!I327</f>
        <v>0</v>
      </c>
      <c r="J327" s="43">
        <f>'[1]поточний ремонт'!J327+'[2]поточний ремонт'!J327-'[3]поточний ремонт'!J327</f>
        <v>0</v>
      </c>
      <c r="K327" s="1037"/>
      <c r="L327" s="43">
        <f>'[1]поточний ремонт'!L327+'[2]поточний ремонт'!L327-'[3]поточний ремонт'!L327</f>
        <v>0</v>
      </c>
      <c r="M327" s="43">
        <f>'[1]поточний ремонт'!M327+'[2]поточний ремонт'!M327-'[3]поточний ремонт'!M327</f>
        <v>0</v>
      </c>
      <c r="N327" s="37"/>
      <c r="O327" s="43">
        <f>'[1]поточний ремонт'!O327+'[2]поточний ремонт'!O327-'[3]поточний ремонт'!O327</f>
        <v>0</v>
      </c>
      <c r="P327" s="43">
        <f>'[1]поточний ремонт'!P327+'[2]поточний ремонт'!P327-'[3]поточний ремонт'!P327</f>
        <v>0</v>
      </c>
      <c r="Q327" s="1038"/>
      <c r="R327" s="43">
        <f>'[1]поточний ремонт'!R327+'[2]поточний ремонт'!R327-'[3]поточний ремонт'!R327</f>
        <v>0</v>
      </c>
      <c r="S327" s="43">
        <f>'[1]поточний ремонт'!S327+'[2]поточний ремонт'!S327-'[3]поточний ремонт'!S327</f>
        <v>0</v>
      </c>
      <c r="T327" s="1039"/>
      <c r="U327" s="43">
        <f>'[1]поточний ремонт'!U327+'[2]поточний ремонт'!U327-'[3]поточний ремонт'!U327</f>
        <v>0</v>
      </c>
      <c r="V327" s="43">
        <f>'[1]поточний ремонт'!V327+'[2]поточний ремонт'!V327-'[3]поточний ремонт'!V327</f>
        <v>0</v>
      </c>
      <c r="W327" s="43">
        <f>'[1]поточний ремонт'!W327+'[2]поточний ремонт'!W327-'[3]поточний ремонт'!W327</f>
        <v>4</v>
      </c>
      <c r="X327" s="43">
        <f>'[1]поточний ремонт'!X327+'[2]поточний ремонт'!X327-'[3]поточний ремонт'!X327</f>
        <v>3839</v>
      </c>
      <c r="Y327" s="43">
        <f>'[1]поточний ремонт'!Y327+'[2]поточний ремонт'!Y327-'[3]поточний ремонт'!Y327</f>
        <v>0</v>
      </c>
      <c r="Z327" s="43">
        <f>'[1]поточний ремонт'!Z327+'[2]поточний ремонт'!Z327-'[3]поточний ремонт'!Z327</f>
        <v>0</v>
      </c>
      <c r="AA327" s="43">
        <f>'[1]поточний ремонт'!AA327+'[2]поточний ремонт'!AA327-'[3]поточний ремонт'!AA327</f>
        <v>0</v>
      </c>
      <c r="AB327" s="43">
        <f>'[1]поточний ремонт'!AB327+'[2]поточний ремонт'!AB327-'[3]поточний ремонт'!AB327</f>
        <v>745</v>
      </c>
      <c r="AC327" s="43">
        <f>'[1]поточний ремонт'!AC327+'[2]поточний ремонт'!AC327-'[3]поточний ремонт'!AC327</f>
        <v>0</v>
      </c>
      <c r="AD327" s="43">
        <f>'[1]поточний ремонт'!AD327+'[2]поточний ремонт'!AD327-'[3]поточний ремонт'!AD327</f>
        <v>1119</v>
      </c>
      <c r="AE327" s="43">
        <f>'[1]поточний ремонт'!AE327+'[2]поточний ремонт'!AE327-'[3]поточний ремонт'!AE327</f>
        <v>1851.7936589363612</v>
      </c>
      <c r="AF327" s="43">
        <f>'[1]поточний ремонт'!AF327+'[2]поточний ремонт'!AF327-'[3]поточний ремонт'!AF327</f>
        <v>0</v>
      </c>
      <c r="AG327" s="5"/>
      <c r="AH327" s="43">
        <f>'[1]поточний ремонт'!AH327+'[2]поточний ремонт'!AH327-'[3]поточний ремонт'!AH327</f>
        <v>2942.5534028547149</v>
      </c>
      <c r="AI327" s="43">
        <f>'[1]поточний ремонт'!AI327+'[2]поточний ремонт'!AI327-'[3]поточний ремонт'!AI327</f>
        <v>0</v>
      </c>
      <c r="AJ327" s="5"/>
      <c r="AK327" s="43">
        <f>'[1]поточний ремонт'!AK327+'[2]поточний ремонт'!AK327-'[3]поточний ремонт'!AK327</f>
        <v>2353.4759721805249</v>
      </c>
      <c r="AL327" s="43">
        <f>'[1]поточний ремонт'!AL327+'[2]поточний ремонт'!AL327-'[3]поточний ремонт'!AL327</f>
        <v>1263</v>
      </c>
      <c r="AM327" s="5"/>
      <c r="AN327" s="43">
        <f>'[1]поточний ремонт'!AN327+'[2]поточний ремонт'!AN327-'[3]поточний ремонт'!AN327</f>
        <v>0</v>
      </c>
      <c r="AO327" s="43">
        <f>'[1]поточний ремонт'!AO327+'[2]поточний ремонт'!AO327-'[3]поточний ремонт'!AO327</f>
        <v>0</v>
      </c>
      <c r="AP327" s="5"/>
      <c r="AQ327" s="43">
        <f>'[1]поточний ремонт'!AQ327+'[2]поточний ремонт'!AQ327-'[3]поточний ремонт'!AQ327</f>
        <v>0</v>
      </c>
      <c r="AR327" s="43">
        <f>'[1]поточний ремонт'!AR327+'[2]поточний ремонт'!AR327-'[3]поточний ремонт'!AR327</f>
        <v>493</v>
      </c>
      <c r="AS327" s="5"/>
      <c r="AT327" s="43">
        <f>'[1]поточний ремонт'!AT327+'[2]поточний ремонт'!AT327-'[3]поточний ремонт'!AT327</f>
        <v>1046.5116410375374</v>
      </c>
      <c r="AU327" s="43">
        <f>'[1]поточний ремонт'!AU327+'[2]поточний ремонт'!AU327-'[3]поточний ремонт'!AU327</f>
        <v>0</v>
      </c>
      <c r="AV327" s="9"/>
      <c r="AW327" s="43">
        <f>'[1]поточний ремонт'!AW327+'[2]поточний ремонт'!AW327-'[3]поточний ремонт'!AW327</f>
        <v>0</v>
      </c>
      <c r="AX327" s="43">
        <f>'[1]поточний ремонт'!AX327+'[2]поточний ремонт'!AX327-'[3]поточний ремонт'!AX327</f>
        <v>0</v>
      </c>
      <c r="AY327" s="5"/>
      <c r="AZ327" s="43">
        <f t="shared" si="34"/>
        <v>8194.3346750091387</v>
      </c>
      <c r="BA327" s="43">
        <f t="shared" si="35"/>
        <v>1756</v>
      </c>
      <c r="BB327" s="59">
        <f t="shared" si="36"/>
        <v>-6438.3346750091387</v>
      </c>
      <c r="BD327" s="2">
        <v>2</v>
      </c>
      <c r="BF327" s="30">
        <v>4.9293183371126492</v>
      </c>
      <c r="BG327" s="328">
        <v>150000888</v>
      </c>
      <c r="BI327" s="107">
        <v>0</v>
      </c>
      <c r="BJ327" s="107">
        <f t="shared" si="37"/>
        <v>0</v>
      </c>
      <c r="BK327" s="107">
        <v>0</v>
      </c>
      <c r="BL327" s="39"/>
      <c r="BM327" s="3"/>
      <c r="BN327" s="3">
        <v>0</v>
      </c>
      <c r="BP327" s="3"/>
      <c r="BQ327" s="3"/>
      <c r="BS327" s="43"/>
      <c r="BT327" s="43">
        <v>0</v>
      </c>
      <c r="BU327" s="1037"/>
      <c r="BV327" s="42"/>
      <c r="BW327" s="43"/>
      <c r="BX327" s="37"/>
      <c r="BY327" s="78"/>
      <c r="BZ327" s="43">
        <v>0</v>
      </c>
      <c r="CA327" s="1038"/>
      <c r="CB327" s="42"/>
      <c r="CC327" s="42">
        <v>0</v>
      </c>
      <c r="CD327" s="1039"/>
      <c r="CE327" s="78">
        <v>0</v>
      </c>
      <c r="CF327" s="56"/>
      <c r="CG327" s="42">
        <v>0</v>
      </c>
      <c r="CH327" s="39">
        <v>0</v>
      </c>
      <c r="CI327" s="78">
        <v>0</v>
      </c>
      <c r="CJ327" s="56"/>
      <c r="CK327" s="1034"/>
      <c r="CL327" s="1029"/>
      <c r="CM327" s="1034">
        <v>453</v>
      </c>
      <c r="CN327" s="1029">
        <v>555.06886477246178</v>
      </c>
      <c r="CO327" s="78">
        <v>154.31613824469676</v>
      </c>
      <c r="CP327" s="43">
        <v>0</v>
      </c>
      <c r="CQ327" s="5"/>
      <c r="CR327" s="78">
        <v>245.21278357122625</v>
      </c>
      <c r="CS327" s="1033">
        <v>0</v>
      </c>
      <c r="CT327" s="5"/>
      <c r="CU327" s="78">
        <v>196.12299768171044</v>
      </c>
      <c r="CV327" s="43">
        <v>0</v>
      </c>
      <c r="CW327" s="5"/>
      <c r="CX327" s="78">
        <v>0</v>
      </c>
      <c r="CY327" s="43">
        <v>0</v>
      </c>
      <c r="CZ327" s="5"/>
      <c r="DA327" s="78">
        <v>0</v>
      </c>
      <c r="DB327" s="43">
        <v>0</v>
      </c>
      <c r="DC327" s="5"/>
      <c r="DD327" s="78">
        <v>87.209303419794793</v>
      </c>
      <c r="DE327" s="43">
        <v>0</v>
      </c>
      <c r="DF327" s="9"/>
      <c r="DG327" s="78">
        <v>0</v>
      </c>
      <c r="DH327" s="43"/>
      <c r="DI327" s="5"/>
      <c r="DJ327" s="43">
        <v>682.86122291742822</v>
      </c>
      <c r="DK327" s="43">
        <f t="shared" si="38"/>
        <v>0</v>
      </c>
      <c r="DL327" s="59">
        <f t="shared" si="39"/>
        <v>-682.86122291742822</v>
      </c>
    </row>
    <row r="328" spans="1:116" ht="24.9" customHeight="1" x14ac:dyDescent="0.3">
      <c r="A328" s="328">
        <v>150000889</v>
      </c>
      <c r="B328" s="45" t="s">
        <v>427</v>
      </c>
      <c r="C328" s="1035">
        <v>16</v>
      </c>
      <c r="D328" s="1036" t="s">
        <v>454</v>
      </c>
      <c r="E328" s="1028">
        <f>'побудинковий звіт'!E326</f>
        <v>3324.06</v>
      </c>
      <c r="F328" s="1029">
        <f>'побудинковий звіт'!AS326</f>
        <v>76640.18548070328</v>
      </c>
      <c r="G328" s="1029">
        <f t="shared" si="32"/>
        <v>16186</v>
      </c>
      <c r="H328" s="1029">
        <f t="shared" si="33"/>
        <v>-60454.18548070328</v>
      </c>
      <c r="I328" s="43">
        <f>'[1]поточний ремонт'!I328+'[2]поточний ремонт'!I328-'[3]поточний ремонт'!I328</f>
        <v>0</v>
      </c>
      <c r="J328" s="43">
        <f>'[1]поточний ремонт'!J328+'[2]поточний ремонт'!J328-'[3]поточний ремонт'!J328</f>
        <v>0</v>
      </c>
      <c r="K328" s="1037"/>
      <c r="L328" s="43">
        <f>'[1]поточний ремонт'!L328+'[2]поточний ремонт'!L328-'[3]поточний ремонт'!L328</f>
        <v>0</v>
      </c>
      <c r="M328" s="43">
        <f>'[1]поточний ремонт'!M328+'[2]поточний ремонт'!M328-'[3]поточний ремонт'!M328</f>
        <v>0</v>
      </c>
      <c r="N328" s="37"/>
      <c r="O328" s="43">
        <f>'[1]поточний ремонт'!O328+'[2]поточний ремонт'!O328-'[3]поточний ремонт'!O328</f>
        <v>0</v>
      </c>
      <c r="P328" s="43">
        <f>'[1]поточний ремонт'!P328+'[2]поточний ремонт'!P328-'[3]поточний ремонт'!P328</f>
        <v>0</v>
      </c>
      <c r="Q328" s="1038"/>
      <c r="R328" s="43">
        <f>'[1]поточний ремонт'!R328+'[2]поточний ремонт'!R328-'[3]поточний ремонт'!R328</f>
        <v>1</v>
      </c>
      <c r="S328" s="43">
        <f>'[1]поточний ремонт'!S328+'[2]поточний ремонт'!S328-'[3]поточний ремонт'!S328</f>
        <v>1963</v>
      </c>
      <c r="T328" s="1047"/>
      <c r="U328" s="43">
        <f>'[1]поточний ремонт'!U328+'[2]поточний ремонт'!U328-'[3]поточний ремонт'!U328</f>
        <v>0</v>
      </c>
      <c r="V328" s="43">
        <f>'[1]поточний ремонт'!V328+'[2]поточний ремонт'!V328-'[3]поточний ремонт'!V328</f>
        <v>0</v>
      </c>
      <c r="W328" s="43">
        <f>'[1]поточний ремонт'!W328+'[2]поточний ремонт'!W328-'[3]поточний ремонт'!W328</f>
        <v>0</v>
      </c>
      <c r="X328" s="43">
        <f>'[1]поточний ремонт'!X328+'[2]поточний ремонт'!X328-'[3]поточний ремонт'!X328</f>
        <v>0</v>
      </c>
      <c r="Y328" s="43">
        <f>'[1]поточний ремонт'!Y328+'[2]поточний ремонт'!Y328-'[3]поточний ремонт'!Y328</f>
        <v>2410</v>
      </c>
      <c r="Z328" s="43">
        <f>'[1]поточний ремонт'!Z328+'[2]поточний ремонт'!Z328-'[3]поточний ремонт'!Z328</f>
        <v>0</v>
      </c>
      <c r="AA328" s="43">
        <f>'[1]поточний ремонт'!AA328+'[2]поточний ремонт'!AA328-'[3]поточний ремонт'!AA328</f>
        <v>0</v>
      </c>
      <c r="AB328" s="43">
        <f>'[1]поточний ремонт'!AB328+'[2]поточний ремонт'!AB328-'[3]поточний ремонт'!AB328</f>
        <v>0</v>
      </c>
      <c r="AC328" s="43">
        <f>'[1]поточний ремонт'!AC328+'[2]поточний ремонт'!AC328-'[3]поточний ремонт'!AC328</f>
        <v>1301</v>
      </c>
      <c r="AD328" s="43">
        <f>'[1]поточний ремонт'!AD328+'[2]поточний ремонт'!AD328-'[3]поточний ремонт'!AD328</f>
        <v>10512</v>
      </c>
      <c r="AE328" s="43">
        <f>'[1]поточний ремонт'!AE328+'[2]поточний ремонт'!AE328-'[3]поточний ремонт'!AE328</f>
        <v>1796.4188438354781</v>
      </c>
      <c r="AF328" s="43">
        <f>'[1]поточний ремонт'!AF328+'[2]поточний ремонт'!AF328-'[3]поточний ремонт'!AF328</f>
        <v>2357</v>
      </c>
      <c r="AG328" s="9"/>
      <c r="AH328" s="43">
        <f>'[1]поточний ремонт'!AH328+'[2]поточний ремонт'!AH328-'[3]поточний ремонт'!AH328</f>
        <v>2293.3372546358951</v>
      </c>
      <c r="AI328" s="43">
        <f>'[1]поточний ремонт'!AI328+'[2]поточний ремонт'!AI328-'[3]поточний ремонт'!AI328</f>
        <v>1717</v>
      </c>
      <c r="AJ328" s="5"/>
      <c r="AK328" s="43">
        <f>'[1]поточний ремонт'!AK328+'[2]поточний ремонт'!AK328-'[3]поточний ремонт'!AK328</f>
        <v>2359.0374521045601</v>
      </c>
      <c r="AL328" s="43">
        <f>'[1]поточний ремонт'!AL328+'[2]поточний ремонт'!AL328-'[3]поточний ремонт'!AL328</f>
        <v>0</v>
      </c>
      <c r="AM328" s="9"/>
      <c r="AN328" s="43">
        <f>'[1]поточний ремонт'!AN328+'[2]поточний ремонт'!AN328-'[3]поточний ремонт'!AN328</f>
        <v>907.54292594961828</v>
      </c>
      <c r="AO328" s="43">
        <f>'[1]поточний ремонт'!AO328+'[2]поточний ремонт'!AO328-'[3]поточний ремонт'!AO328</f>
        <v>0</v>
      </c>
      <c r="AP328" s="5"/>
      <c r="AQ328" s="43">
        <f>'[1]поточний ремонт'!AQ328+'[2]поточний ремонт'!AQ328-'[3]поточний ремонт'!AQ328</f>
        <v>449.65615358443745</v>
      </c>
      <c r="AR328" s="43">
        <f>'[1]поточний ремонт'!AR328+'[2]поточний ремонт'!AR328-'[3]поточний ремонт'!AR328</f>
        <v>0</v>
      </c>
      <c r="AS328" s="5"/>
      <c r="AT328" s="43">
        <f>'[1]поточний ремонт'!AT328+'[2]поточний ремонт'!AT328-'[3]поточний ремонт'!AT328</f>
        <v>1932.4458299031035</v>
      </c>
      <c r="AU328" s="43">
        <f>'[1]поточний ремонт'!AU328+'[2]поточний ремонт'!AU328-'[3]поточний ремонт'!AU328</f>
        <v>6796</v>
      </c>
      <c r="AV328" s="5"/>
      <c r="AW328" s="43">
        <f>'[1]поточний ремонт'!AW328+'[2]поточний ремонт'!AW328-'[3]поточний ремонт'!AW328</f>
        <v>0</v>
      </c>
      <c r="AX328" s="43">
        <f>'[1]поточний ремонт'!AX328+'[2]поточний ремонт'!AX328-'[3]поточний ремонт'!AX328</f>
        <v>0</v>
      </c>
      <c r="AY328" s="5"/>
      <c r="AZ328" s="43">
        <f t="shared" si="34"/>
        <v>9738.4384600130925</v>
      </c>
      <c r="BA328" s="43">
        <f t="shared" si="35"/>
        <v>10870</v>
      </c>
      <c r="BB328" s="59">
        <f t="shared" si="36"/>
        <v>1131.5615399869075</v>
      </c>
      <c r="BD328" s="2">
        <v>2</v>
      </c>
      <c r="BF328" s="30">
        <v>7.6800355636891497</v>
      </c>
      <c r="BG328" s="328">
        <v>150000889</v>
      </c>
      <c r="BI328" s="107">
        <v>0</v>
      </c>
      <c r="BJ328" s="107">
        <f t="shared" si="37"/>
        <v>0</v>
      </c>
      <c r="BK328" s="107">
        <v>0</v>
      </c>
      <c r="BL328" s="39"/>
      <c r="BM328" s="3"/>
      <c r="BN328" s="3">
        <v>0</v>
      </c>
      <c r="BP328" s="3"/>
      <c r="BQ328" s="3"/>
      <c r="BS328" s="43"/>
      <c r="BT328" s="43">
        <v>0</v>
      </c>
      <c r="BU328" s="1037"/>
      <c r="BV328" s="42"/>
      <c r="BW328" s="43"/>
      <c r="BX328" s="37"/>
      <c r="BY328" s="78"/>
      <c r="BZ328" s="43">
        <v>0</v>
      </c>
      <c r="CA328" s="1038"/>
      <c r="CB328" s="42"/>
      <c r="CC328" s="42">
        <v>0</v>
      </c>
      <c r="CD328" s="1047"/>
      <c r="CE328" s="78">
        <v>0</v>
      </c>
      <c r="CF328" s="56"/>
      <c r="CG328" s="42">
        <v>0</v>
      </c>
      <c r="CH328" s="39">
        <v>0</v>
      </c>
      <c r="CI328" s="78">
        <v>0</v>
      </c>
      <c r="CJ328" s="56"/>
      <c r="CK328" s="1034"/>
      <c r="CL328" s="1029"/>
      <c r="CM328" s="1034"/>
      <c r="CN328" s="1029">
        <v>0</v>
      </c>
      <c r="CO328" s="78">
        <v>149.70157031962316</v>
      </c>
      <c r="CP328" s="43">
        <v>324.58394710410732</v>
      </c>
      <c r="CQ328" s="9"/>
      <c r="CR328" s="78">
        <v>191.11143788632458</v>
      </c>
      <c r="CS328" s="1033">
        <v>0</v>
      </c>
      <c r="CT328" s="5"/>
      <c r="CU328" s="78">
        <v>196.58645434204672</v>
      </c>
      <c r="CV328" s="43">
        <v>0</v>
      </c>
      <c r="CW328" s="9"/>
      <c r="CX328" s="78">
        <v>75.628577162468176</v>
      </c>
      <c r="CY328" s="43">
        <v>615.70915554860403</v>
      </c>
      <c r="CZ328" s="5"/>
      <c r="DA328" s="78">
        <v>37.471346132036459</v>
      </c>
      <c r="DB328" s="43">
        <v>0</v>
      </c>
      <c r="DC328" s="5"/>
      <c r="DD328" s="78">
        <v>161.03715249192527</v>
      </c>
      <c r="DE328" s="43">
        <v>810.32584835769205</v>
      </c>
      <c r="DF328" s="5"/>
      <c r="DG328" s="78">
        <v>0</v>
      </c>
      <c r="DH328" s="43"/>
      <c r="DI328" s="5"/>
      <c r="DJ328" s="43">
        <v>811.53653833442445</v>
      </c>
      <c r="DK328" s="43">
        <f t="shared" si="38"/>
        <v>1750.6189510104034</v>
      </c>
      <c r="DL328" s="59">
        <f t="shared" si="39"/>
        <v>939.08241267597896</v>
      </c>
    </row>
    <row r="329" spans="1:116" ht="24.9" customHeight="1" x14ac:dyDescent="0.3">
      <c r="A329" s="328">
        <v>150000890</v>
      </c>
      <c r="B329" s="45" t="s">
        <v>398</v>
      </c>
      <c r="C329" s="1035">
        <v>9</v>
      </c>
      <c r="D329" s="1036" t="s">
        <v>454</v>
      </c>
      <c r="E329" s="1028">
        <f>'побудинковий звіт'!E327</f>
        <v>2164.9</v>
      </c>
      <c r="F329" s="1029">
        <f>'побудинковий звіт'!AS327</f>
        <v>115536.98906538062</v>
      </c>
      <c r="G329" s="1029">
        <f t="shared" si="32"/>
        <v>36656</v>
      </c>
      <c r="H329" s="1029">
        <f t="shared" si="33"/>
        <v>-78880.989065380621</v>
      </c>
      <c r="I329" s="43">
        <f>'[1]поточний ремонт'!I329+'[2]поточний ремонт'!I329-'[3]поточний ремонт'!I329</f>
        <v>0</v>
      </c>
      <c r="J329" s="43">
        <f>'[1]поточний ремонт'!J329+'[2]поточний ремонт'!J329-'[3]поточний ремонт'!J329</f>
        <v>0</v>
      </c>
      <c r="K329" s="1037"/>
      <c r="L329" s="43">
        <f>'[1]поточний ремонт'!L329+'[2]поточний ремонт'!L329-'[3]поточний ремонт'!L329</f>
        <v>0</v>
      </c>
      <c r="M329" s="43">
        <f>'[1]поточний ремонт'!M329+'[2]поточний ремонт'!M329-'[3]поточний ремонт'!M329</f>
        <v>0</v>
      </c>
      <c r="N329" s="1040"/>
      <c r="O329" s="43">
        <f>'[1]поточний ремонт'!O329+'[2]поточний ремонт'!O329-'[3]поточний ремонт'!O329</f>
        <v>0</v>
      </c>
      <c r="P329" s="43">
        <f>'[1]поточний ремонт'!P329+'[2]поточний ремонт'!P329-'[3]поточний ремонт'!P329</f>
        <v>0</v>
      </c>
      <c r="Q329" s="1038"/>
      <c r="R329" s="43">
        <f>'[1]поточний ремонт'!R329+'[2]поточний ремонт'!R329-'[3]поточний ремонт'!R329</f>
        <v>1</v>
      </c>
      <c r="S329" s="43">
        <f>'[1]поточний ремонт'!S329+'[2]поточний ремонт'!S329-'[3]поточний ремонт'!S329</f>
        <v>1147</v>
      </c>
      <c r="T329" s="1039"/>
      <c r="U329" s="43">
        <f>'[1]поточний ремонт'!U329+'[2]поточний ремонт'!U329-'[3]поточний ремонт'!U329</f>
        <v>0</v>
      </c>
      <c r="V329" s="43">
        <f>'[1]поточний ремонт'!V329+'[2]поточний ремонт'!V329-'[3]поточний ремонт'!V329</f>
        <v>0</v>
      </c>
      <c r="W329" s="43">
        <f>'[1]поточний ремонт'!W329+'[2]поточний ремонт'!W329-'[3]поточний ремонт'!W329</f>
        <v>1</v>
      </c>
      <c r="X329" s="43">
        <f>'[1]поточний ремонт'!X329+'[2]поточний ремонт'!X329-'[3]поточний ремонт'!X329</f>
        <v>771</v>
      </c>
      <c r="Y329" s="43">
        <f>'[1]поточний ремонт'!Y329+'[2]поточний ремонт'!Y329-'[3]поточний ремонт'!Y329</f>
        <v>3555</v>
      </c>
      <c r="Z329" s="43">
        <f>'[1]поточний ремонт'!Z329+'[2]поточний ремонт'!Z329-'[3]поточний ремонт'!Z329</f>
        <v>0</v>
      </c>
      <c r="AA329" s="43">
        <f>'[1]поточний ремонт'!AA329+'[2]поточний ремонт'!AA329-'[3]поточний ремонт'!AA329</f>
        <v>0</v>
      </c>
      <c r="AB329" s="43">
        <f>'[1]поточний ремонт'!AB329+'[2]поточний ремонт'!AB329-'[3]поточний ремонт'!AB329</f>
        <v>17346</v>
      </c>
      <c r="AC329" s="43">
        <f>'[1]поточний ремонт'!AC329+'[2]поточний ремонт'!AC329-'[3]поточний ремонт'!AC329</f>
        <v>1655</v>
      </c>
      <c r="AD329" s="43">
        <f>'[1]поточний ремонт'!AD329+'[2]поточний ремонт'!AD329-'[3]поточний ремонт'!AD329</f>
        <v>12182</v>
      </c>
      <c r="AE329" s="43">
        <f>'[1]поточний ремонт'!AE329+'[2]поточний ремонт'!AE329-'[3]поточний ремонт'!AE329</f>
        <v>1715.7508332818975</v>
      </c>
      <c r="AF329" s="43">
        <f>'[1]поточний ремонт'!AF329+'[2]поточний ремонт'!AF329-'[3]поточний ремонт'!AF329</f>
        <v>1276.5141234430641</v>
      </c>
      <c r="AG329" s="9"/>
      <c r="AH329" s="43">
        <f>'[1]поточний ремонт'!AH329+'[2]поточний ремонт'!AH329-'[3]поточний ремонт'!AH329</f>
        <v>2721.1559648707762</v>
      </c>
      <c r="AI329" s="43">
        <f>'[1]поточний ремонт'!AI329+'[2]поточний ремонт'!AI329-'[3]поточний ремонт'!AI329</f>
        <v>12110.220821574068</v>
      </c>
      <c r="AJ329" s="5"/>
      <c r="AK329" s="43">
        <f>'[1]поточний ремонт'!AK329+'[2]поточний ремонт'!AK329-'[3]поточний ремонт'!AK329</f>
        <v>3053.4925117328212</v>
      </c>
      <c r="AL329" s="43">
        <f>'[1]поточний ремонт'!AL329+'[2]поточний ремонт'!AL329-'[3]поточний ремонт'!AL329</f>
        <v>4173</v>
      </c>
      <c r="AM329" s="5"/>
      <c r="AN329" s="43">
        <f>'[1]поточний ремонт'!AN329+'[2]поточний ремонт'!AN329-'[3]поточний ремонт'!AN329</f>
        <v>1615.264638505975</v>
      </c>
      <c r="AO329" s="43">
        <f>'[1]поточний ремонт'!AO329+'[2]поточний ремонт'!AO329-'[3]поточний ремонт'!AO329</f>
        <v>0</v>
      </c>
      <c r="AP329" s="5"/>
      <c r="AQ329" s="43">
        <f>'[1]поточний ремонт'!AQ329+'[2]поточний ремонт'!AQ329-'[3]поточний ремонт'!AQ329</f>
        <v>791.53457871264402</v>
      </c>
      <c r="AR329" s="43">
        <f>'[1]поточний ремонт'!AR329+'[2]поточний ремонт'!AR329-'[3]поточний ремонт'!AR329</f>
        <v>0</v>
      </c>
      <c r="AS329" s="5"/>
      <c r="AT329" s="43">
        <f>'[1]поточний ремонт'!AT329+'[2]поточний ремонт'!AT329-'[3]поточний ремонт'!AT329</f>
        <v>2203.4840808411795</v>
      </c>
      <c r="AU329" s="43">
        <f>'[1]поточний ремонт'!AU329+'[2]поточний ремонт'!AU329-'[3]поточний ремонт'!AU329</f>
        <v>1378.007111349609</v>
      </c>
      <c r="AV329" s="5"/>
      <c r="AW329" s="43">
        <f>'[1]поточний ремонт'!AW329+'[2]поточний ремонт'!AW329-'[3]поточний ремонт'!AW329</f>
        <v>0</v>
      </c>
      <c r="AX329" s="43">
        <f>'[1]поточний ремонт'!AX329+'[2]поточний ремонт'!AX329-'[3]поточний ремонт'!AX329</f>
        <v>0</v>
      </c>
      <c r="AY329" s="5"/>
      <c r="AZ329" s="43">
        <f t="shared" si="34"/>
        <v>12100.682607945293</v>
      </c>
      <c r="BA329" s="43">
        <f t="shared" si="35"/>
        <v>18937.74205636674</v>
      </c>
      <c r="BB329" s="59">
        <f t="shared" si="36"/>
        <v>6837.0594484214471</v>
      </c>
      <c r="BD329" s="2">
        <v>2</v>
      </c>
      <c r="BF329" s="30">
        <v>12.15574765598126</v>
      </c>
      <c r="BG329" s="328">
        <v>150000890</v>
      </c>
      <c r="BI329" s="107">
        <v>0</v>
      </c>
      <c r="BJ329" s="107">
        <f t="shared" si="37"/>
        <v>0</v>
      </c>
      <c r="BK329" s="107">
        <v>0</v>
      </c>
      <c r="BL329" s="39"/>
      <c r="BM329" s="3"/>
      <c r="BN329" s="3">
        <v>0</v>
      </c>
      <c r="BP329" s="3"/>
      <c r="BQ329" s="3"/>
      <c r="BS329" s="43"/>
      <c r="BT329" s="43">
        <v>0</v>
      </c>
      <c r="BU329" s="1037"/>
      <c r="BV329" s="42"/>
      <c r="BW329" s="43"/>
      <c r="BX329" s="1040"/>
      <c r="BY329" s="78"/>
      <c r="BZ329" s="43">
        <v>0</v>
      </c>
      <c r="CA329" s="1038"/>
      <c r="CB329" s="42"/>
      <c r="CC329" s="42">
        <v>0</v>
      </c>
      <c r="CD329" s="1039"/>
      <c r="CE329" s="78">
        <v>0</v>
      </c>
      <c r="CF329" s="56"/>
      <c r="CG329" s="42">
        <v>0</v>
      </c>
      <c r="CH329" s="39">
        <v>0</v>
      </c>
      <c r="CI329" s="78">
        <v>0</v>
      </c>
      <c r="CJ329" s="56"/>
      <c r="CK329" s="1034"/>
      <c r="CL329" s="1029"/>
      <c r="CM329" s="1034"/>
      <c r="CN329" s="1029">
        <v>0</v>
      </c>
      <c r="CO329" s="78">
        <v>142.97923610682477</v>
      </c>
      <c r="CP329" s="43">
        <v>0</v>
      </c>
      <c r="CQ329" s="9"/>
      <c r="CR329" s="78">
        <v>226.76299707256464</v>
      </c>
      <c r="CS329" s="1033">
        <v>0</v>
      </c>
      <c r="CT329" s="5"/>
      <c r="CU329" s="78">
        <v>254.45770931106847</v>
      </c>
      <c r="CV329" s="43">
        <v>0</v>
      </c>
      <c r="CW329" s="5"/>
      <c r="CX329" s="78">
        <v>134.60538654216461</v>
      </c>
      <c r="CY329" s="43">
        <v>0</v>
      </c>
      <c r="CZ329" s="5"/>
      <c r="DA329" s="78">
        <v>65.961214892720321</v>
      </c>
      <c r="DB329" s="43">
        <v>0</v>
      </c>
      <c r="DC329" s="5"/>
      <c r="DD329" s="78">
        <v>183.62367340343164</v>
      </c>
      <c r="DE329" s="43">
        <v>0</v>
      </c>
      <c r="DF329" s="5"/>
      <c r="DG329" s="78">
        <v>0</v>
      </c>
      <c r="DH329" s="43"/>
      <c r="DI329" s="5"/>
      <c r="DJ329" s="43">
        <v>1008.3902173287746</v>
      </c>
      <c r="DK329" s="43">
        <f t="shared" si="38"/>
        <v>0</v>
      </c>
      <c r="DL329" s="59">
        <f t="shared" si="39"/>
        <v>-1008.3902173287746</v>
      </c>
    </row>
    <row r="330" spans="1:116" ht="24.9" customHeight="1" x14ac:dyDescent="0.3">
      <c r="A330" s="328">
        <v>150000891</v>
      </c>
      <c r="B330" s="45" t="s">
        <v>189</v>
      </c>
      <c r="C330" s="1035">
        <v>2</v>
      </c>
      <c r="D330" s="1036" t="s">
        <v>454</v>
      </c>
      <c r="E330" s="1028">
        <f>'побудинковий звіт'!E328</f>
        <v>3896.6000000000004</v>
      </c>
      <c r="F330" s="1029">
        <f>'побудинковий звіт'!AS328</f>
        <v>2080.3470427563648</v>
      </c>
      <c r="G330" s="1029">
        <f t="shared" si="32"/>
        <v>0</v>
      </c>
      <c r="H330" s="1029">
        <f t="shared" si="33"/>
        <v>-2080.3470427563648</v>
      </c>
      <c r="I330" s="43">
        <f>'[1]поточний ремонт'!I330+'[2]поточний ремонт'!I330-'[3]поточний ремонт'!I330</f>
        <v>0</v>
      </c>
      <c r="J330" s="43">
        <f>'[1]поточний ремонт'!J330+'[2]поточний ремонт'!J330-'[3]поточний ремонт'!J330</f>
        <v>0</v>
      </c>
      <c r="K330" s="1037"/>
      <c r="L330" s="43">
        <f>'[1]поточний ремонт'!L330+'[2]поточний ремонт'!L330-'[3]поточний ремонт'!L330</f>
        <v>0</v>
      </c>
      <c r="M330" s="43">
        <f>'[1]поточний ремонт'!M330+'[2]поточний ремонт'!M330-'[3]поточний ремонт'!M330</f>
        <v>0</v>
      </c>
      <c r="N330" s="37"/>
      <c r="O330" s="43">
        <f>'[1]поточний ремонт'!O330+'[2]поточний ремонт'!O330-'[3]поточний ремонт'!O330</f>
        <v>0</v>
      </c>
      <c r="P330" s="43">
        <f>'[1]поточний ремонт'!P330+'[2]поточний ремонт'!P330-'[3]поточний ремонт'!P330</f>
        <v>0</v>
      </c>
      <c r="Q330" s="1038"/>
      <c r="R330" s="43">
        <f>'[1]поточний ремонт'!R330+'[2]поточний ремонт'!R330-'[3]поточний ремонт'!R330</f>
        <v>0</v>
      </c>
      <c r="S330" s="43">
        <f>'[1]поточний ремонт'!S330+'[2]поточний ремонт'!S330-'[3]поточний ремонт'!S330</f>
        <v>0</v>
      </c>
      <c r="T330" s="1039"/>
      <c r="U330" s="43">
        <f>'[1]поточний ремонт'!U330+'[2]поточний ремонт'!U330-'[3]поточний ремонт'!U330</f>
        <v>0</v>
      </c>
      <c r="V330" s="43">
        <f>'[1]поточний ремонт'!V330+'[2]поточний ремонт'!V330-'[3]поточний ремонт'!V330</f>
        <v>0</v>
      </c>
      <c r="W330" s="43">
        <f>'[1]поточний ремонт'!W330+'[2]поточний ремонт'!W330-'[3]поточний ремонт'!W330</f>
        <v>0</v>
      </c>
      <c r="X330" s="43">
        <f>'[1]поточний ремонт'!X330+'[2]поточний ремонт'!X330-'[3]поточний ремонт'!X330</f>
        <v>0</v>
      </c>
      <c r="Y330" s="43">
        <f>'[1]поточний ремонт'!Y330+'[2]поточний ремонт'!Y330-'[3]поточний ремонт'!Y330</f>
        <v>0</v>
      </c>
      <c r="Z330" s="43">
        <f>'[1]поточний ремонт'!Z330+'[2]поточний ремонт'!Z330-'[3]поточний ремонт'!Z330</f>
        <v>0</v>
      </c>
      <c r="AA330" s="43">
        <f>'[1]поточний ремонт'!AA330+'[2]поточний ремонт'!AA330-'[3]поточний ремонт'!AA330</f>
        <v>0</v>
      </c>
      <c r="AB330" s="43">
        <f>'[1]поточний ремонт'!AB330+'[2]поточний ремонт'!AB330-'[3]поточний ремонт'!AB330</f>
        <v>0</v>
      </c>
      <c r="AC330" s="43">
        <f>'[1]поточний ремонт'!AC330+'[2]поточний ремонт'!AC330-'[3]поточний ремонт'!AC330</f>
        <v>0</v>
      </c>
      <c r="AD330" s="43">
        <f>'[1]поточний ремонт'!AD330+'[2]поточний ремонт'!AD330-'[3]поточний ремонт'!AD330</f>
        <v>0</v>
      </c>
      <c r="AE330" s="43">
        <f>'[1]поточний ремонт'!AE330+'[2]поточний ремонт'!AE330-'[3]поточний ремонт'!AE330</f>
        <v>213.51233637407825</v>
      </c>
      <c r="AF330" s="43">
        <f>'[1]поточний ремонт'!AF330+'[2]поточний ремонт'!AF330-'[3]поточний ремонт'!AF330</f>
        <v>0</v>
      </c>
      <c r="AG330" s="5"/>
      <c r="AH330" s="43">
        <f>'[1]поточний ремонт'!AH330+'[2]поточний ремонт'!AH330-'[3]поточний ремонт'!AH330</f>
        <v>394.65163909226169</v>
      </c>
      <c r="AI330" s="43">
        <f>'[1]поточний ремонт'!AI330+'[2]поточний ремонт'!AI330-'[3]поточний ремонт'!AI330</f>
        <v>0</v>
      </c>
      <c r="AJ330" s="5"/>
      <c r="AK330" s="43">
        <f>'[1]поточний ремонт'!AK330+'[2]поточний ремонт'!AK330-'[3]поточний ремонт'!AK330</f>
        <v>0</v>
      </c>
      <c r="AL330" s="43">
        <f>'[1]поточний ремонт'!AL330+'[2]поточний ремонт'!AL330-'[3]поточний ремонт'!AL330</f>
        <v>0</v>
      </c>
      <c r="AM330" s="5"/>
      <c r="AN330" s="43">
        <f>'[1]поточний ремонт'!AN330+'[2]поточний ремонт'!AN330-'[3]поточний ремонт'!AN330</f>
        <v>0</v>
      </c>
      <c r="AO330" s="43">
        <f>'[1]поточний ремонт'!AO330+'[2]поточний ремонт'!AO330-'[3]поточний ремонт'!AO330</f>
        <v>0</v>
      </c>
      <c r="AP330" s="5"/>
      <c r="AQ330" s="43">
        <f>'[1]поточний ремонт'!AQ330+'[2]поточний ремонт'!AQ330-'[3]поточний ремонт'!AQ330</f>
        <v>0</v>
      </c>
      <c r="AR330" s="43">
        <f>'[1]поточний ремонт'!AR330+'[2]поточний ремонт'!AR330-'[3]поточний ремонт'!AR330</f>
        <v>0</v>
      </c>
      <c r="AS330" s="5"/>
      <c r="AT330" s="43">
        <f>'[1]поточний ремонт'!AT330+'[2]поточний ремонт'!AT330-'[3]поточний ремонт'!AT330</f>
        <v>0</v>
      </c>
      <c r="AU330" s="43">
        <f>'[1]поточний ремонт'!AU330+'[2]поточний ремонт'!AU330-'[3]поточний ремонт'!AU330</f>
        <v>0</v>
      </c>
      <c r="AV330" s="5"/>
      <c r="AW330" s="43">
        <f>'[1]поточний ремонт'!AW330+'[2]поточний ремонт'!AW330-'[3]поточний ремонт'!AW330</f>
        <v>0</v>
      </c>
      <c r="AX330" s="43">
        <f>'[1]поточний ремонт'!AX330+'[2]поточний ремонт'!AX330-'[3]поточний ремонт'!AX330</f>
        <v>0</v>
      </c>
      <c r="AY330" s="5"/>
      <c r="AZ330" s="43">
        <f t="shared" si="34"/>
        <v>608.16397546633993</v>
      </c>
      <c r="BA330" s="43">
        <f t="shared" si="35"/>
        <v>0</v>
      </c>
      <c r="BB330" s="59">
        <f t="shared" si="36"/>
        <v>-608.16397546633993</v>
      </c>
      <c r="BD330" s="2">
        <v>2</v>
      </c>
      <c r="BF330" s="30">
        <v>1.053151685257099</v>
      </c>
      <c r="BG330" s="328">
        <v>150000891</v>
      </c>
      <c r="BI330" s="107">
        <v>0</v>
      </c>
      <c r="BJ330" s="107">
        <f t="shared" si="37"/>
        <v>0</v>
      </c>
      <c r="BK330" s="107">
        <v>0</v>
      </c>
      <c r="BL330" s="39"/>
      <c r="BM330" s="3"/>
      <c r="BN330" s="3">
        <v>0</v>
      </c>
      <c r="BP330" s="3"/>
      <c r="BQ330" s="3"/>
      <c r="BS330" s="43"/>
      <c r="BT330" s="43">
        <v>0</v>
      </c>
      <c r="BU330" s="1037"/>
      <c r="BV330" s="42"/>
      <c r="BW330" s="43"/>
      <c r="BX330" s="37"/>
      <c r="BY330" s="78"/>
      <c r="BZ330" s="43">
        <v>0</v>
      </c>
      <c r="CA330" s="1038"/>
      <c r="CB330" s="42"/>
      <c r="CC330" s="42">
        <v>0</v>
      </c>
      <c r="CD330" s="1039"/>
      <c r="CE330" s="78">
        <v>0</v>
      </c>
      <c r="CF330" s="56"/>
      <c r="CG330" s="42">
        <v>0</v>
      </c>
      <c r="CH330" s="39">
        <v>0</v>
      </c>
      <c r="CI330" s="78">
        <v>0</v>
      </c>
      <c r="CJ330" s="56"/>
      <c r="CK330" s="1034"/>
      <c r="CL330" s="1029"/>
      <c r="CM330" s="1034"/>
      <c r="CN330" s="1029">
        <v>0</v>
      </c>
      <c r="CO330" s="78">
        <v>17.792694697839849</v>
      </c>
      <c r="CP330" s="43">
        <v>0</v>
      </c>
      <c r="CQ330" s="5"/>
      <c r="CR330" s="78">
        <v>32.887636591021803</v>
      </c>
      <c r="CS330" s="1033">
        <v>0</v>
      </c>
      <c r="CT330" s="5"/>
      <c r="CU330" s="78">
        <v>0</v>
      </c>
      <c r="CV330" s="43">
        <v>0</v>
      </c>
      <c r="CW330" s="5"/>
      <c r="CX330" s="78">
        <v>0</v>
      </c>
      <c r="CY330" s="43">
        <v>0</v>
      </c>
      <c r="CZ330" s="5"/>
      <c r="DA330" s="78">
        <v>0</v>
      </c>
      <c r="DB330" s="43">
        <v>0</v>
      </c>
      <c r="DC330" s="5"/>
      <c r="DD330" s="78">
        <v>0</v>
      </c>
      <c r="DE330" s="43">
        <v>0</v>
      </c>
      <c r="DF330" s="5"/>
      <c r="DG330" s="78">
        <v>0</v>
      </c>
      <c r="DH330" s="43"/>
      <c r="DI330" s="5"/>
      <c r="DJ330" s="43">
        <v>50.680331288861652</v>
      </c>
      <c r="DK330" s="43">
        <f t="shared" si="38"/>
        <v>0</v>
      </c>
      <c r="DL330" s="59">
        <f t="shared" si="39"/>
        <v>-50.680331288861652</v>
      </c>
    </row>
    <row r="331" spans="1:116" ht="24.9" customHeight="1" x14ac:dyDescent="0.3">
      <c r="A331" s="328">
        <v>150001561</v>
      </c>
      <c r="B331" s="45" t="s">
        <v>399</v>
      </c>
      <c r="C331" s="1035">
        <v>9</v>
      </c>
      <c r="D331" s="1036" t="s">
        <v>454</v>
      </c>
      <c r="E331" s="1028">
        <f>'побудинковий звіт'!E329</f>
        <v>2289.0100000000002</v>
      </c>
      <c r="F331" s="1029">
        <f>'побудинковий звіт'!AS329</f>
        <v>39920.534742815093</v>
      </c>
      <c r="G331" s="1029">
        <f t="shared" ref="G331:G369" si="40">J331+M331+P331+S331+U331+X331+Y331+AA331+AB331+AC331+AD331</f>
        <v>42203</v>
      </c>
      <c r="H331" s="1029">
        <f t="shared" ref="H331:H369" si="41">G331-F331</f>
        <v>2282.4652571849074</v>
      </c>
      <c r="I331" s="43">
        <f>'[1]поточний ремонт'!I331+'[2]поточний ремонт'!I331-'[3]поточний ремонт'!I331</f>
        <v>7</v>
      </c>
      <c r="J331" s="43">
        <f>'[1]поточний ремонт'!J331+'[2]поточний ремонт'!J331-'[3]поточний ремонт'!J331</f>
        <v>12112</v>
      </c>
      <c r="K331" s="1037"/>
      <c r="L331" s="43">
        <f>'[1]поточний ремонт'!L331+'[2]поточний ремонт'!L331-'[3]поточний ремонт'!L331</f>
        <v>0</v>
      </c>
      <c r="M331" s="43">
        <f>'[1]поточний ремонт'!M331+'[2]поточний ремонт'!M331-'[3]поточний ремонт'!M331</f>
        <v>0</v>
      </c>
      <c r="N331" s="37"/>
      <c r="O331" s="43">
        <f>'[1]поточний ремонт'!O331+'[2]поточний ремонт'!O331-'[3]поточний ремонт'!O331</f>
        <v>0</v>
      </c>
      <c r="P331" s="43">
        <f>'[1]поточний ремонт'!P331+'[2]поточний ремонт'!P331-'[3]поточний ремонт'!P331</f>
        <v>0</v>
      </c>
      <c r="Q331" s="1038"/>
      <c r="R331" s="43">
        <f>'[1]поточний ремонт'!R331+'[2]поточний ремонт'!R331-'[3]поточний ремонт'!R331</f>
        <v>0</v>
      </c>
      <c r="S331" s="43">
        <f>'[1]поточний ремонт'!S331+'[2]поточний ремонт'!S331-'[3]поточний ремонт'!S331</f>
        <v>0</v>
      </c>
      <c r="T331" s="1039"/>
      <c r="U331" s="43">
        <f>'[1]поточний ремонт'!U331+'[2]поточний ремонт'!U331-'[3]поточний ремонт'!U331</f>
        <v>0</v>
      </c>
      <c r="V331" s="43">
        <f>'[1]поточний ремонт'!V331+'[2]поточний ремонт'!V331-'[3]поточний ремонт'!V331</f>
        <v>0</v>
      </c>
      <c r="W331" s="43">
        <f>'[1]поточний ремонт'!W331+'[2]поточний ремонт'!W331-'[3]поточний ремонт'!W331</f>
        <v>0</v>
      </c>
      <c r="X331" s="43">
        <f>'[1]поточний ремонт'!X331+'[2]поточний ремонт'!X331-'[3]поточний ремонт'!X331</f>
        <v>0</v>
      </c>
      <c r="Y331" s="43">
        <f>'[1]поточний ремонт'!Y331+'[2]поточний ремонт'!Y331-'[3]поточний ремонт'!Y331</f>
        <v>0</v>
      </c>
      <c r="Z331" s="43">
        <f>'[1]поточний ремонт'!Z331+'[2]поточний ремонт'!Z331-'[3]поточний ремонт'!Z331</f>
        <v>0</v>
      </c>
      <c r="AA331" s="43">
        <f>'[1]поточний ремонт'!AA331+'[2]поточний ремонт'!AA331-'[3]поточний ремонт'!AA331</f>
        <v>0</v>
      </c>
      <c r="AB331" s="43">
        <f>'[1]поточний ремонт'!AB331+'[2]поточний ремонт'!AB331-'[3]поточний ремонт'!AB331</f>
        <v>10758</v>
      </c>
      <c r="AC331" s="43">
        <f>'[1]поточний ремонт'!AC331+'[2]поточний ремонт'!AC331-'[3]поточний ремонт'!AC331</f>
        <v>18795</v>
      </c>
      <c r="AD331" s="43">
        <f>'[1]поточний ремонт'!AD331+'[2]поточний ремонт'!AD331-'[3]поточний ремонт'!AD331</f>
        <v>538</v>
      </c>
      <c r="AE331" s="43">
        <f>'[1]поточний ремонт'!AE331+'[2]поточний ремонт'!AE331-'[3]поточний ремонт'!AE331</f>
        <v>1540.5238514849541</v>
      </c>
      <c r="AF331" s="43">
        <f>'[1]поточний ремонт'!AF331+'[2]поточний ремонт'!AF331-'[3]поточний ремонт'!AF331</f>
        <v>0</v>
      </c>
      <c r="AG331" s="5"/>
      <c r="AH331" s="43">
        <f>'[1]поточний ремонт'!AH331+'[2]поточний ремонт'!AH331-'[3]поточний ремонт'!AH331</f>
        <v>1998.3139563783011</v>
      </c>
      <c r="AI331" s="43">
        <f>'[1]поточний ремонт'!AI331+'[2]поточний ремонт'!AI331-'[3]поточний ремонт'!AI331</f>
        <v>0</v>
      </c>
      <c r="AJ331" s="5"/>
      <c r="AK331" s="43">
        <f>'[1]поточний ремонт'!AK331+'[2]поточний ремонт'!AK331-'[3]поточний ремонт'!AK331</f>
        <v>0</v>
      </c>
      <c r="AL331" s="43">
        <f>'[1]поточний ремонт'!AL331+'[2]поточний ремонт'!AL331-'[3]поточний ремонт'!AL331</f>
        <v>0</v>
      </c>
      <c r="AM331" s="5"/>
      <c r="AN331" s="43">
        <f>'[1]поточний ремонт'!AN331+'[2]поточний ремонт'!AN331-'[3]поточний ремонт'!AN331</f>
        <v>0</v>
      </c>
      <c r="AO331" s="43">
        <f>'[1]поточний ремонт'!AO331+'[2]поточний ремонт'!AO331-'[3]поточний ремонт'!AO331</f>
        <v>0</v>
      </c>
      <c r="AP331" s="5"/>
      <c r="AQ331" s="43">
        <f>'[1]поточний ремонт'!AQ331+'[2]поточний ремонт'!AQ331-'[3]поточний ремонт'!AQ331</f>
        <v>134.94041023261386</v>
      </c>
      <c r="AR331" s="43">
        <f>'[1]поточний ремонт'!AR331+'[2]поточний ремонт'!AR331-'[3]поточний ремонт'!AR331</f>
        <v>1065.4917767572531</v>
      </c>
      <c r="AS331" s="5"/>
      <c r="AT331" s="43">
        <f>'[1]поточний ремонт'!AT331+'[2]поточний ремонт'!AT331-'[3]поточний ремонт'!AT331</f>
        <v>464.21379665170264</v>
      </c>
      <c r="AU331" s="43">
        <f>'[1]поточний ремонт'!AU331+'[2]поточний ремонт'!AU331-'[3]поточний ремонт'!AU331</f>
        <v>25339.515330597278</v>
      </c>
      <c r="AV331" s="5"/>
      <c r="AW331" s="43">
        <f>'[1]поточний ремонт'!AW331+'[2]поточний ремонт'!AW331-'[3]поточний ремонт'!AW331</f>
        <v>0</v>
      </c>
      <c r="AX331" s="43">
        <f>'[1]поточний ремонт'!AX331+'[2]поточний ремонт'!AX331-'[3]поточний ремонт'!AX331</f>
        <v>0</v>
      </c>
      <c r="AY331" s="5"/>
      <c r="AZ331" s="43">
        <f t="shared" si="34"/>
        <v>4137.9920147475714</v>
      </c>
      <c r="BA331" s="43">
        <f t="shared" si="35"/>
        <v>26405.00710735453</v>
      </c>
      <c r="BB331" s="59">
        <f t="shared" si="36"/>
        <v>22267.015092606958</v>
      </c>
      <c r="BD331" s="2">
        <v>2</v>
      </c>
      <c r="BF331" s="30">
        <v>418.31631969222354</v>
      </c>
      <c r="BG331" s="328">
        <v>150001561</v>
      </c>
      <c r="BI331" s="107">
        <v>0</v>
      </c>
      <c r="BJ331" s="107">
        <f t="shared" si="37"/>
        <v>0</v>
      </c>
      <c r="BK331" s="107">
        <v>0</v>
      </c>
      <c r="BL331" s="39"/>
      <c r="BM331" s="3"/>
      <c r="BN331" s="3">
        <v>0</v>
      </c>
      <c r="BP331" s="3"/>
      <c r="BQ331" s="3"/>
      <c r="BS331" s="43"/>
      <c r="BT331" s="43">
        <v>0</v>
      </c>
      <c r="BU331" s="1037"/>
      <c r="BV331" s="42"/>
      <c r="BW331" s="43"/>
      <c r="BX331" s="37"/>
      <c r="BY331" s="78"/>
      <c r="BZ331" s="43">
        <v>0</v>
      </c>
      <c r="CA331" s="1038"/>
      <c r="CB331" s="42"/>
      <c r="CC331" s="42">
        <v>0</v>
      </c>
      <c r="CD331" s="1039"/>
      <c r="CE331" s="78">
        <v>0</v>
      </c>
      <c r="CF331" s="56"/>
      <c r="CG331" s="42">
        <v>0</v>
      </c>
      <c r="CH331" s="39">
        <v>0</v>
      </c>
      <c r="CI331" s="78">
        <v>0</v>
      </c>
      <c r="CJ331" s="56"/>
      <c r="CK331" s="1034"/>
      <c r="CL331" s="1029"/>
      <c r="CM331" s="1034"/>
      <c r="CN331" s="1029">
        <v>3404.625380310722</v>
      </c>
      <c r="CO331" s="78">
        <v>128.3769876237462</v>
      </c>
      <c r="CP331" s="43">
        <v>0</v>
      </c>
      <c r="CQ331" s="5"/>
      <c r="CR331" s="78">
        <v>166.5261630315251</v>
      </c>
      <c r="CS331" s="1033">
        <v>0</v>
      </c>
      <c r="CT331" s="5"/>
      <c r="CU331" s="78">
        <v>0</v>
      </c>
      <c r="CV331" s="43">
        <v>0</v>
      </c>
      <c r="CW331" s="5"/>
      <c r="CX331" s="78">
        <v>0</v>
      </c>
      <c r="CY331" s="43">
        <v>0</v>
      </c>
      <c r="CZ331" s="5"/>
      <c r="DA331" s="78">
        <v>11.245034186051155</v>
      </c>
      <c r="DB331" s="43">
        <v>0</v>
      </c>
      <c r="DC331" s="5"/>
      <c r="DD331" s="78">
        <v>38.684483054308551</v>
      </c>
      <c r="DE331" s="43">
        <v>0</v>
      </c>
      <c r="DF331" s="5"/>
      <c r="DG331" s="78">
        <v>0</v>
      </c>
      <c r="DH331" s="43"/>
      <c r="DI331" s="5"/>
      <c r="DJ331" s="43">
        <v>344.832667895631</v>
      </c>
      <c r="DK331" s="43">
        <f t="shared" si="38"/>
        <v>0</v>
      </c>
      <c r="DL331" s="59">
        <f t="shared" si="39"/>
        <v>-344.832667895631</v>
      </c>
    </row>
    <row r="332" spans="1:116" ht="24.9" customHeight="1" x14ac:dyDescent="0.3">
      <c r="A332" s="328">
        <v>150000892</v>
      </c>
      <c r="B332" s="45" t="s">
        <v>400</v>
      </c>
      <c r="C332" s="1035">
        <v>9</v>
      </c>
      <c r="D332" s="1036" t="s">
        <v>454</v>
      </c>
      <c r="E332" s="1028">
        <f>'побудинковий звіт'!E330</f>
        <v>2609.98</v>
      </c>
      <c r="F332" s="1029">
        <f>'побудинковий звіт'!AS330</f>
        <v>64286.113883039434</v>
      </c>
      <c r="G332" s="1029">
        <f t="shared" si="40"/>
        <v>21773.401708379537</v>
      </c>
      <c r="H332" s="1029">
        <f t="shared" si="41"/>
        <v>-42512.7121746599</v>
      </c>
      <c r="I332" s="43">
        <f>'[1]поточний ремонт'!I332+'[2]поточний ремонт'!I332-'[3]поточний ремонт'!I332</f>
        <v>2.5</v>
      </c>
      <c r="J332" s="43">
        <f>'[1]поточний ремонт'!J332+'[2]поточний ремонт'!J332-'[3]поточний ремонт'!J332</f>
        <v>2997</v>
      </c>
      <c r="K332" s="1037"/>
      <c r="L332" s="43">
        <f>'[1]поточний ремонт'!L332+'[2]поточний ремонт'!L332-'[3]поточний ремонт'!L332</f>
        <v>0</v>
      </c>
      <c r="M332" s="43">
        <f>'[1]поточний ремонт'!M332+'[2]поточний ремонт'!M332-'[3]поточний ремонт'!M332</f>
        <v>0</v>
      </c>
      <c r="N332" s="37"/>
      <c r="O332" s="43">
        <f>'[1]поточний ремонт'!O332+'[2]поточний ремонт'!O332-'[3]поточний ремонт'!O332</f>
        <v>0</v>
      </c>
      <c r="P332" s="43">
        <f>'[1]поточний ремонт'!P332+'[2]поточний ремонт'!P332-'[3]поточний ремонт'!P332</f>
        <v>0</v>
      </c>
      <c r="Q332" s="1038"/>
      <c r="R332" s="43">
        <f>'[1]поточний ремонт'!R332+'[2]поточний ремонт'!R332-'[3]поточний ремонт'!R332</f>
        <v>2</v>
      </c>
      <c r="S332" s="43">
        <f>'[1]поточний ремонт'!S332+'[2]поточний ремонт'!S332-'[3]поточний ремонт'!S332</f>
        <v>13013</v>
      </c>
      <c r="T332" s="1039"/>
      <c r="U332" s="43">
        <f>'[1]поточний ремонт'!U332+'[2]поточний ремонт'!U332-'[3]поточний ремонт'!U332</f>
        <v>0</v>
      </c>
      <c r="V332" s="43">
        <f>'[1]поточний ремонт'!V332+'[2]поточний ремонт'!V332-'[3]поточний ремонт'!V332</f>
        <v>0</v>
      </c>
      <c r="W332" s="43">
        <f>'[1]поточний ремонт'!W332+'[2]поточний ремонт'!W332-'[3]поточний ремонт'!W332</f>
        <v>0</v>
      </c>
      <c r="X332" s="43">
        <f>'[1]поточний ремонт'!X332+'[2]поточний ремонт'!X332-'[3]поточний ремонт'!X332</f>
        <v>277.40170837953747</v>
      </c>
      <c r="Y332" s="43">
        <f>'[1]поточний ремонт'!Y332+'[2]поточний ремонт'!Y332-'[3]поточний ремонт'!Y332</f>
        <v>0</v>
      </c>
      <c r="Z332" s="43">
        <f>'[1]поточний ремонт'!Z332+'[2]поточний ремонт'!Z332-'[3]поточний ремонт'!Z332</f>
        <v>0</v>
      </c>
      <c r="AA332" s="43">
        <f>'[1]поточний ремонт'!AA332+'[2]поточний ремонт'!AA332-'[3]поточний ремонт'!AA332</f>
        <v>0</v>
      </c>
      <c r="AB332" s="43">
        <f>'[1]поточний ремонт'!AB332+'[2]поточний ремонт'!AB332-'[3]поточний ремонт'!AB332</f>
        <v>745</v>
      </c>
      <c r="AC332" s="43">
        <f>'[1]поточний ремонт'!AC332+'[2]поточний ремонт'!AC332-'[3]поточний ремонт'!AC332</f>
        <v>1146</v>
      </c>
      <c r="AD332" s="43">
        <f>'[1]поточний ремонт'!AD332+'[2]поточний ремонт'!AD332-'[3]поточний ремонт'!AD332</f>
        <v>3595</v>
      </c>
      <c r="AE332" s="43">
        <f>'[1]поточний ремонт'!AE332+'[2]поточний ремонт'!AE332-'[3]поточний ремонт'!AE332</f>
        <v>1347.0946604824205</v>
      </c>
      <c r="AF332" s="43">
        <f>'[1]поточний ремонт'!AF332+'[2]поточний ремонт'!AF332-'[3]поточний ремонт'!AF332</f>
        <v>0</v>
      </c>
      <c r="AG332" s="5"/>
      <c r="AH332" s="43">
        <f>'[1]поточний ремонт'!AH332+'[2]поточний ремонт'!AH332-'[3]поточний ремонт'!AH332</f>
        <v>1800.7662454309241</v>
      </c>
      <c r="AI332" s="43">
        <f>'[1]поточний ремонт'!AI332+'[2]поточний ремонт'!AI332-'[3]поточний ремонт'!AI332</f>
        <v>22422</v>
      </c>
      <c r="AJ332" s="5"/>
      <c r="AK332" s="43">
        <f>'[1]поточний ремонт'!AK332+'[2]поточний ремонт'!AK332-'[3]поточний ремонт'!AK332</f>
        <v>2257.6615520544465</v>
      </c>
      <c r="AL332" s="43">
        <f>'[1]поточний ремонт'!AL332+'[2]поточний ремонт'!AL332-'[3]поточний ремонт'!AL332</f>
        <v>766</v>
      </c>
      <c r="AM332" s="5"/>
      <c r="AN332" s="43">
        <f>'[1]поточний ремонт'!AN332+'[2]поточний ремонт'!AN332-'[3]поточний ремонт'!AN332</f>
        <v>750.79405270754</v>
      </c>
      <c r="AO332" s="43">
        <f>'[1]поточний ремонт'!AO332+'[2]поточний ремонт'!AO332-'[3]поточний ремонт'!AO332</f>
        <v>0</v>
      </c>
      <c r="AP332" s="5"/>
      <c r="AQ332" s="43">
        <f>'[1]поточний ремонт'!AQ332+'[2]поточний ремонт'!AQ332-'[3]поточний ремонт'!AQ332</f>
        <v>395.76741189229665</v>
      </c>
      <c r="AR332" s="43">
        <f>'[1]поточний ремонт'!AR332+'[2]поточний ремонт'!AR332-'[3]поточний ремонт'!AR332</f>
        <v>0</v>
      </c>
      <c r="AS332" s="5"/>
      <c r="AT332" s="43">
        <f>'[1]поточний ремонт'!AT332+'[2]поточний ремонт'!AT332-'[3]поточний ремонт'!AT332</f>
        <v>754.9767330279999</v>
      </c>
      <c r="AU332" s="43">
        <f>'[1]поточний ремонт'!AU332+'[2]поточний ремонт'!AU332-'[3]поточний ремонт'!AU332</f>
        <v>0</v>
      </c>
      <c r="AV332" s="5"/>
      <c r="AW332" s="43">
        <f>'[1]поточний ремонт'!AW332+'[2]поточний ремонт'!AW332-'[3]поточний ремонт'!AW332</f>
        <v>0</v>
      </c>
      <c r="AX332" s="43">
        <f>'[1]поточний ремонт'!AX332+'[2]поточний ремонт'!AX332-'[3]поточний ремонт'!AX332</f>
        <v>0</v>
      </c>
      <c r="AY332" s="5"/>
      <c r="AZ332" s="43">
        <f t="shared" ref="AZ332:AZ369" si="42">AE332+AH332+AK332+AN332+AQ332+AT332+AW332</f>
        <v>7307.0606555956274</v>
      </c>
      <c r="BA332" s="43">
        <f t="shared" ref="BA332:BA369" si="43">AF332+AI332+AL332+AO332+AR332+AU332+AX332</f>
        <v>23188</v>
      </c>
      <c r="BB332" s="59">
        <f t="shared" ref="BB332:BB370" si="44">BA332-AZ332</f>
        <v>15880.939344404373</v>
      </c>
      <c r="BD332" s="2">
        <v>3</v>
      </c>
      <c r="BF332" s="30">
        <v>310.51241270860453</v>
      </c>
      <c r="BG332" s="328">
        <v>150000892</v>
      </c>
      <c r="BI332" s="107">
        <v>20.700000000000003</v>
      </c>
      <c r="BJ332" s="107">
        <f t="shared" ref="BJ332:BJ369" si="45">BI332*$BJ$10</f>
        <v>2.9117075400000001</v>
      </c>
      <c r="BK332" s="107">
        <v>23.873015977200005</v>
      </c>
      <c r="BL332" s="39"/>
      <c r="BM332" s="3"/>
      <c r="BN332" s="3">
        <v>0</v>
      </c>
      <c r="BP332" s="3"/>
      <c r="BQ332" s="3"/>
      <c r="BS332" s="43"/>
      <c r="BT332" s="43">
        <v>0</v>
      </c>
      <c r="BU332" s="1037"/>
      <c r="BV332" s="42"/>
      <c r="BW332" s="43"/>
      <c r="BX332" s="37"/>
      <c r="BY332" s="78"/>
      <c r="BZ332" s="43">
        <v>0</v>
      </c>
      <c r="CA332" s="1038"/>
      <c r="CB332" s="42"/>
      <c r="CC332" s="42">
        <v>0</v>
      </c>
      <c r="CD332" s="1039"/>
      <c r="CE332" s="78">
        <v>0</v>
      </c>
      <c r="CF332" s="56"/>
      <c r="CG332" s="42">
        <v>0</v>
      </c>
      <c r="CH332" s="39">
        <v>23.873015977200005</v>
      </c>
      <c r="CI332" s="78">
        <v>0</v>
      </c>
      <c r="CJ332" s="56"/>
      <c r="CK332" s="1034"/>
      <c r="CL332" s="1029"/>
      <c r="CM332" s="1034">
        <v>175</v>
      </c>
      <c r="CN332" s="1029">
        <v>0</v>
      </c>
      <c r="CO332" s="78">
        <v>112.25788837353507</v>
      </c>
      <c r="CP332" s="43">
        <v>0</v>
      </c>
      <c r="CQ332" s="5"/>
      <c r="CR332" s="78">
        <v>150.06385378591031</v>
      </c>
      <c r="CS332" s="1033">
        <v>0</v>
      </c>
      <c r="CT332" s="5"/>
      <c r="CU332" s="78">
        <v>188.13846267120391</v>
      </c>
      <c r="CV332" s="43">
        <v>0</v>
      </c>
      <c r="CW332" s="5"/>
      <c r="CX332" s="78">
        <v>62.566171058961658</v>
      </c>
      <c r="CY332" s="43">
        <v>0</v>
      </c>
      <c r="CZ332" s="5"/>
      <c r="DA332" s="78">
        <v>32.980617657691397</v>
      </c>
      <c r="DB332" s="43">
        <v>0</v>
      </c>
      <c r="DC332" s="5"/>
      <c r="DD332" s="78">
        <v>62.914727752333334</v>
      </c>
      <c r="DE332" s="43">
        <v>0</v>
      </c>
      <c r="DF332" s="5"/>
      <c r="DG332" s="78">
        <v>0</v>
      </c>
      <c r="DH332" s="43"/>
      <c r="DI332" s="5"/>
      <c r="DJ332" s="43">
        <v>608.92172129963558</v>
      </c>
      <c r="DK332" s="43">
        <f t="shared" ref="DK332:DK369" si="46">CP332+CS332+CV332+CY332+DB332+DE332+DH332</f>
        <v>0</v>
      </c>
      <c r="DL332" s="59">
        <f t="shared" ref="DL332:DL370" si="47">DK332-DJ332</f>
        <v>-608.92172129963558</v>
      </c>
    </row>
    <row r="333" spans="1:116" ht="24.9" customHeight="1" x14ac:dyDescent="0.3">
      <c r="A333" s="328">
        <v>150000893</v>
      </c>
      <c r="B333" s="45" t="s">
        <v>314</v>
      </c>
      <c r="C333" s="1035">
        <v>5</v>
      </c>
      <c r="D333" s="1036" t="s">
        <v>454</v>
      </c>
      <c r="E333" s="1028">
        <f>'побудинковий звіт'!E331</f>
        <v>4602.8900000000003</v>
      </c>
      <c r="F333" s="1029">
        <f>'побудинковий звіт'!AS331</f>
        <v>53329.723146108328</v>
      </c>
      <c r="G333" s="1029">
        <f t="shared" si="40"/>
        <v>121759.5062364437</v>
      </c>
      <c r="H333" s="1029">
        <f t="shared" si="41"/>
        <v>68429.783090335375</v>
      </c>
      <c r="I333" s="43">
        <f>'[1]поточний ремонт'!I333+'[2]поточний ремонт'!I333-'[3]поточний ремонт'!I333</f>
        <v>0</v>
      </c>
      <c r="J333" s="43">
        <f>'[1]поточний ремонт'!J333+'[2]поточний ремонт'!J333-'[3]поточний ремонт'!J333</f>
        <v>0</v>
      </c>
      <c r="K333" s="1037"/>
      <c r="L333" s="43">
        <f>'[1]поточний ремонт'!L333+'[2]поточний ремонт'!L333-'[3]поточний ремонт'!L333</f>
        <v>0</v>
      </c>
      <c r="M333" s="43">
        <f>'[1]поточний ремонт'!M333+'[2]поточний ремонт'!M333-'[3]поточний ремонт'!M333</f>
        <v>22328</v>
      </c>
      <c r="N333" s="37"/>
      <c r="O333" s="43">
        <f>'[1]поточний ремонт'!O333+'[2]поточний ремонт'!O333-'[3]поточний ремонт'!O333</f>
        <v>15.5</v>
      </c>
      <c r="P333" s="43">
        <f>'[1]поточний ремонт'!P333+'[2]поточний ремонт'!P333-'[3]поточний ремонт'!P333</f>
        <v>2260</v>
      </c>
      <c r="Q333" s="1038"/>
      <c r="R333" s="43">
        <f>'[1]поточний ремонт'!R333+'[2]поточний ремонт'!R333-'[3]поточний ремонт'!R333</f>
        <v>0</v>
      </c>
      <c r="S333" s="43">
        <f>'[1]поточний ремонт'!S333+'[2]поточний ремонт'!S333-'[3]поточний ремонт'!S333</f>
        <v>0</v>
      </c>
      <c r="T333" s="1039"/>
      <c r="U333" s="43">
        <f>'[1]поточний ремонт'!U333+'[2]поточний ремонт'!U333-'[3]поточний ремонт'!U333</f>
        <v>0</v>
      </c>
      <c r="V333" s="43">
        <f>'[1]поточний ремонт'!V333+'[2]поточний ремонт'!V333-'[3]поточний ремонт'!V333</f>
        <v>0</v>
      </c>
      <c r="W333" s="43">
        <f>'[1]поточний ремонт'!W333+'[2]поточний ремонт'!W333-'[3]поточний ремонт'!W333</f>
        <v>0</v>
      </c>
      <c r="X333" s="43">
        <f>'[1]поточний ремонт'!X333+'[2]поточний ремонт'!X333-'[3]поточний ремонт'!X333</f>
        <v>667.5062364437083</v>
      </c>
      <c r="Y333" s="43">
        <f>'[1]поточний ремонт'!Y333+'[2]поточний ремонт'!Y333-'[3]поточний ремонт'!Y333</f>
        <v>0</v>
      </c>
      <c r="Z333" s="43">
        <f>'[1]поточний ремонт'!Z333+'[2]поточний ремонт'!Z333-'[3]поточний ремонт'!Z333</f>
        <v>0</v>
      </c>
      <c r="AA333" s="43">
        <f>'[1]поточний ремонт'!AA333+'[2]поточний ремонт'!AA333-'[3]поточний ремонт'!AA333</f>
        <v>0</v>
      </c>
      <c r="AB333" s="43">
        <f>'[1]поточний ремонт'!AB333+'[2]поточний ремонт'!AB333-'[3]поточний ремонт'!AB333</f>
        <v>0</v>
      </c>
      <c r="AC333" s="43">
        <f>'[1]поточний ремонт'!AC333+'[2]поточний ремонт'!AC333-'[3]поточний ремонт'!AC333</f>
        <v>94905</v>
      </c>
      <c r="AD333" s="43">
        <f>'[1]поточний ремонт'!AD333+'[2]поточний ремонт'!AD333-'[3]поточний ремонт'!AD333</f>
        <v>1599</v>
      </c>
      <c r="AE333" s="43">
        <f>'[1]поточний ремонт'!AE333+'[2]поточний ремонт'!AE333-'[3]поточний ремонт'!AE333</f>
        <v>1762.5192382403166</v>
      </c>
      <c r="AF333" s="43">
        <f>'[1]поточний ремонт'!AF333+'[2]поточний ремонт'!AF333-'[3]поточний ремонт'!AF333</f>
        <v>0</v>
      </c>
      <c r="AG333" s="5"/>
      <c r="AH333" s="43">
        <f>'[1]поточний ремонт'!AH333+'[2]поточний ремонт'!AH333-'[3]поточний ремонт'!AH333</f>
        <v>2570.742825601536</v>
      </c>
      <c r="AI333" s="43">
        <f>'[1]поточний ремонт'!AI333+'[2]поточний ремонт'!AI333-'[3]поточний ремонт'!AI333</f>
        <v>740</v>
      </c>
      <c r="AJ333" s="5"/>
      <c r="AK333" s="43">
        <f>'[1]поточний ремонт'!AK333+'[2]поточний ремонт'!AK333-'[3]поточний ремонт'!AK333</f>
        <v>1622.6636730312914</v>
      </c>
      <c r="AL333" s="43">
        <f>'[1]поточний ремонт'!AL333+'[2]поточний ремонт'!AL333-'[3]поточний ремонт'!AL333</f>
        <v>0</v>
      </c>
      <c r="AM333" s="5"/>
      <c r="AN333" s="43">
        <f>'[1]поточний ремонт'!AN333+'[2]поточний ремонт'!AN333-'[3]поточний ремонт'!AN333</f>
        <v>0</v>
      </c>
      <c r="AO333" s="43">
        <f>'[1]поточний ремонт'!AO333+'[2]поточний ремонт'!AO333-'[3]поточний ремонт'!AO333</f>
        <v>0</v>
      </c>
      <c r="AP333" s="5"/>
      <c r="AQ333" s="43">
        <f>'[1]поточний ремонт'!AQ333+'[2]поточний ремонт'!AQ333-'[3]поточний ремонт'!AQ333</f>
        <v>719.6828414324732</v>
      </c>
      <c r="AR333" s="43">
        <f>'[1]поточний ремонт'!AR333+'[2]поточний ремонт'!AR333-'[3]поточний ремонт'!AR333</f>
        <v>0</v>
      </c>
      <c r="AS333" s="5"/>
      <c r="AT333" s="43">
        <f>'[1]поточний ремонт'!AT333+'[2]поточний ремонт'!AT333-'[3]поточний ремонт'!AT333</f>
        <v>1096.5140291304153</v>
      </c>
      <c r="AU333" s="43">
        <f>'[1]поточний ремонт'!AU333+'[2]поточний ремонт'!AU333-'[3]поточний ремонт'!AU333</f>
        <v>0</v>
      </c>
      <c r="AV333" s="5"/>
      <c r="AW333" s="43">
        <f>'[1]поточний ремонт'!AW333+'[2]поточний ремонт'!AW333-'[3]поточний ремонт'!AW333</f>
        <v>0</v>
      </c>
      <c r="AX333" s="43">
        <f>'[1]поточний ремонт'!AX333+'[2]поточний ремонт'!AX333-'[3]поточний ремонт'!AX333</f>
        <v>0</v>
      </c>
      <c r="AY333" s="5"/>
      <c r="AZ333" s="43">
        <f t="shared" si="42"/>
        <v>7772.122607436032</v>
      </c>
      <c r="BA333" s="43">
        <f t="shared" si="43"/>
        <v>740</v>
      </c>
      <c r="BB333" s="59">
        <f t="shared" si="44"/>
        <v>-7032.122607436032</v>
      </c>
      <c r="BD333" s="2">
        <v>3</v>
      </c>
      <c r="BF333" s="30">
        <v>259.08962729599887</v>
      </c>
      <c r="BG333" s="328">
        <v>150000893</v>
      </c>
      <c r="BI333" s="107">
        <v>49.81</v>
      </c>
      <c r="BJ333" s="107">
        <f t="shared" si="45"/>
        <v>7.0063841819999997</v>
      </c>
      <c r="BK333" s="107">
        <v>57.445165498760005</v>
      </c>
      <c r="BL333" s="39"/>
      <c r="BM333" s="3"/>
      <c r="BN333" s="3">
        <v>0</v>
      </c>
      <c r="BP333" s="3"/>
      <c r="BQ333" s="3"/>
      <c r="BS333" s="43"/>
      <c r="BT333" s="43">
        <v>0</v>
      </c>
      <c r="BU333" s="1037"/>
      <c r="BV333" s="42"/>
      <c r="BW333" s="43"/>
      <c r="BX333" s="37"/>
      <c r="BY333" s="78"/>
      <c r="BZ333" s="43">
        <v>0</v>
      </c>
      <c r="CA333" s="1038"/>
      <c r="CB333" s="42"/>
      <c r="CC333" s="42">
        <v>0</v>
      </c>
      <c r="CD333" s="1039"/>
      <c r="CE333" s="78">
        <v>0</v>
      </c>
      <c r="CF333" s="56"/>
      <c r="CG333" s="42">
        <v>0</v>
      </c>
      <c r="CH333" s="39">
        <v>57.445165498760005</v>
      </c>
      <c r="CI333" s="78">
        <v>0</v>
      </c>
      <c r="CJ333" s="56"/>
      <c r="CK333" s="1034"/>
      <c r="CL333" s="1029"/>
      <c r="CM333" s="1034">
        <v>948</v>
      </c>
      <c r="CN333" s="1029">
        <v>125987.51986428098</v>
      </c>
      <c r="CO333" s="78">
        <v>146.87660318669305</v>
      </c>
      <c r="CP333" s="43">
        <v>2155.2451572637501</v>
      </c>
      <c r="CQ333" s="5"/>
      <c r="CR333" s="78">
        <v>214.22856880012804</v>
      </c>
      <c r="CS333" s="1033">
        <v>0</v>
      </c>
      <c r="CT333" s="5"/>
      <c r="CU333" s="78">
        <v>135.22197275260763</v>
      </c>
      <c r="CV333" s="43">
        <v>0</v>
      </c>
      <c r="CW333" s="5"/>
      <c r="CX333" s="78">
        <v>0</v>
      </c>
      <c r="CY333" s="43">
        <v>0</v>
      </c>
      <c r="CZ333" s="5"/>
      <c r="DA333" s="78">
        <v>59.973570119372766</v>
      </c>
      <c r="DB333" s="43">
        <v>0</v>
      </c>
      <c r="DC333" s="5"/>
      <c r="DD333" s="78">
        <v>91.376169094201273</v>
      </c>
      <c r="DE333" s="43">
        <v>0</v>
      </c>
      <c r="DF333" s="5"/>
      <c r="DG333" s="78">
        <v>0</v>
      </c>
      <c r="DH333" s="43"/>
      <c r="DI333" s="5"/>
      <c r="DJ333" s="43">
        <v>647.67688395300274</v>
      </c>
      <c r="DK333" s="43">
        <f t="shared" si="46"/>
        <v>2155.2451572637501</v>
      </c>
      <c r="DL333" s="59">
        <f t="shared" si="47"/>
        <v>1507.5682733107474</v>
      </c>
    </row>
    <row r="334" spans="1:116" ht="24.9" customHeight="1" x14ac:dyDescent="0.3">
      <c r="A334" s="328">
        <v>150000894</v>
      </c>
      <c r="B334" s="45" t="s">
        <v>315</v>
      </c>
      <c r="C334" s="1035">
        <v>5</v>
      </c>
      <c r="D334" s="1036" t="s">
        <v>454</v>
      </c>
      <c r="E334" s="1028">
        <f>'побудинковий звіт'!E332</f>
        <v>4014.6</v>
      </c>
      <c r="F334" s="1029">
        <f>'побудинковий звіт'!AS332</f>
        <v>56781.651276453093</v>
      </c>
      <c r="G334" s="1029">
        <f t="shared" si="40"/>
        <v>171848</v>
      </c>
      <c r="H334" s="1029">
        <f t="shared" si="41"/>
        <v>115066.34872354691</v>
      </c>
      <c r="I334" s="43">
        <f>'[1]поточний ремонт'!I334+'[2]поточний ремонт'!I334-'[3]поточний ремонт'!I334</f>
        <v>358.48</v>
      </c>
      <c r="J334" s="43">
        <f>'[1]поточний ремонт'!J334+'[2]поточний ремонт'!J334-'[3]поточний ремонт'!J334</f>
        <v>110405</v>
      </c>
      <c r="K334" s="1037"/>
      <c r="L334" s="43">
        <f>'[1]поточний ремонт'!L334+'[2]поточний ремонт'!L334-'[3]поточний ремонт'!L334</f>
        <v>0</v>
      </c>
      <c r="M334" s="43">
        <f>'[1]поточний ремонт'!M334+'[2]поточний ремонт'!M334-'[3]поточний ремонт'!M334</f>
        <v>9089</v>
      </c>
      <c r="N334" s="1050"/>
      <c r="O334" s="43">
        <f>'[1]поточний ремонт'!O334+'[2]поточний ремонт'!O334-'[3]поточний ремонт'!O334</f>
        <v>0</v>
      </c>
      <c r="P334" s="43">
        <f>'[1]поточний ремонт'!P334+'[2]поточний ремонт'!P334-'[3]поточний ремонт'!P334</f>
        <v>0</v>
      </c>
      <c r="Q334" s="1038"/>
      <c r="R334" s="43">
        <f>'[1]поточний ремонт'!R334+'[2]поточний ремонт'!R334-'[3]поточний ремонт'!R334</f>
        <v>0</v>
      </c>
      <c r="S334" s="43">
        <f>'[1]поточний ремонт'!S334+'[2]поточний ремонт'!S334-'[3]поточний ремонт'!S334</f>
        <v>0</v>
      </c>
      <c r="T334" s="1039"/>
      <c r="U334" s="43">
        <f>'[1]поточний ремонт'!U334+'[2]поточний ремонт'!U334-'[3]поточний ремонт'!U334</f>
        <v>0</v>
      </c>
      <c r="V334" s="43">
        <f>'[1]поточний ремонт'!V334+'[2]поточний ремонт'!V334-'[3]поточний ремонт'!V334</f>
        <v>0</v>
      </c>
      <c r="W334" s="43">
        <f>'[1]поточний ремонт'!W334+'[2]поточний ремонт'!W334-'[3]поточний ремонт'!W334</f>
        <v>0</v>
      </c>
      <c r="X334" s="43">
        <f>'[1]поточний ремонт'!X334+'[2]поточний ремонт'!X334-'[3]поточний ремонт'!X334</f>
        <v>0</v>
      </c>
      <c r="Y334" s="43">
        <f>'[1]поточний ремонт'!Y334+'[2]поточний ремонт'!Y334-'[3]поточний ремонт'!Y334</f>
        <v>0</v>
      </c>
      <c r="Z334" s="43">
        <f>'[1]поточний ремонт'!Z334+'[2]поточний ремонт'!Z334-'[3]поточний ремонт'!Z334</f>
        <v>0</v>
      </c>
      <c r="AA334" s="43">
        <f>'[1]поточний ремонт'!AA334+'[2]поточний ремонт'!AA334-'[3]поточний ремонт'!AA334</f>
        <v>0</v>
      </c>
      <c r="AB334" s="43">
        <f>'[1]поточний ремонт'!AB334+'[2]поточний ремонт'!AB334-'[3]поточний ремонт'!AB334</f>
        <v>0</v>
      </c>
      <c r="AC334" s="43">
        <f>'[1]поточний ремонт'!AC334+'[2]поточний ремонт'!AC334-'[3]поточний ремонт'!AC334</f>
        <v>52354</v>
      </c>
      <c r="AD334" s="43">
        <f>'[1]поточний ремонт'!AD334+'[2]поточний ремонт'!AD334-'[3]поточний ремонт'!AD334</f>
        <v>0</v>
      </c>
      <c r="AE334" s="43">
        <f>'[1]поточний ремонт'!AE334+'[2]поточний ремонт'!AE334-'[3]поточний ремонт'!AE334</f>
        <v>2605.0040886677589</v>
      </c>
      <c r="AF334" s="43">
        <f>'[1]поточний ремонт'!AF334+'[2]поточний ремонт'!AF334-'[3]поточний ремонт'!AF334</f>
        <v>0</v>
      </c>
      <c r="AG334" s="5"/>
      <c r="AH334" s="43">
        <f>'[1]поточний ремонт'!AH334+'[2]поточний ремонт'!AH334-'[3]поточний ремонт'!AH334</f>
        <v>4384.4043426670896</v>
      </c>
      <c r="AI334" s="43">
        <f>'[1]поточний ремонт'!AI334+'[2]поточний ремонт'!AI334-'[3]поточний ремонт'!AI334</f>
        <v>0</v>
      </c>
      <c r="AJ334" s="5"/>
      <c r="AK334" s="43">
        <f>'[1]поточний ремонт'!AK334+'[2]поточний ремонт'!AK334-'[3]поточний ремонт'!AK334</f>
        <v>2144.0677753435439</v>
      </c>
      <c r="AL334" s="43">
        <f>'[1]поточний ремонт'!AL334+'[2]поточний ремонт'!AL334-'[3]поточний ремонт'!AL334</f>
        <v>0</v>
      </c>
      <c r="AM334" s="5"/>
      <c r="AN334" s="43">
        <f>'[1]поточний ремонт'!AN334+'[2]поточний ремонт'!AN334-'[3]поточний ремонт'!AN334</f>
        <v>0</v>
      </c>
      <c r="AO334" s="43">
        <f>'[1]поточний ремонт'!AO334+'[2]поточний ремонт'!AO334-'[3]поточний ремонт'!AO334</f>
        <v>0</v>
      </c>
      <c r="AP334" s="5"/>
      <c r="AQ334" s="43">
        <f>'[1]поточний ремонт'!AQ334+'[2]поточний ремонт'!AQ334-'[3]поточний ремонт'!AQ334</f>
        <v>1079.2330175269931</v>
      </c>
      <c r="AR334" s="43">
        <f>'[1]поточний ремонт'!AR334+'[2]поточний ремонт'!AR334-'[3]поточний ремонт'!AR334</f>
        <v>0</v>
      </c>
      <c r="AS334" s="5"/>
      <c r="AT334" s="43">
        <f>'[1]поточний ремонт'!AT334+'[2]поточний ремонт'!AT334-'[3]поточний ремонт'!AT334</f>
        <v>1961.2852925757813</v>
      </c>
      <c r="AU334" s="43">
        <f>'[1]поточний ремонт'!AU334+'[2]поточний ремонт'!AU334-'[3]поточний ремонт'!AU334</f>
        <v>0</v>
      </c>
      <c r="AV334" s="5"/>
      <c r="AW334" s="43">
        <f>'[1]поточний ремонт'!AW334+'[2]поточний ремонт'!AW334-'[3]поточний ремонт'!AW334</f>
        <v>0</v>
      </c>
      <c r="AX334" s="43">
        <f>'[1]поточний ремонт'!AX334+'[2]поточний ремонт'!AX334-'[3]поточний ремонт'!AX334</f>
        <v>0</v>
      </c>
      <c r="AY334" s="5"/>
      <c r="AZ334" s="43">
        <f t="shared" si="42"/>
        <v>12173.994516781166</v>
      </c>
      <c r="BA334" s="43">
        <f t="shared" si="43"/>
        <v>0</v>
      </c>
      <c r="BB334" s="59">
        <f t="shared" si="44"/>
        <v>-12173.994516781166</v>
      </c>
      <c r="BD334" s="2">
        <v>3</v>
      </c>
      <c r="BF334" s="30">
        <v>318.82678400585519</v>
      </c>
      <c r="BG334" s="328">
        <v>150000894</v>
      </c>
      <c r="BI334" s="107">
        <v>0</v>
      </c>
      <c r="BJ334" s="107">
        <f t="shared" si="45"/>
        <v>0</v>
      </c>
      <c r="BK334" s="107">
        <v>0</v>
      </c>
      <c r="BL334" s="39"/>
      <c r="BM334" s="3"/>
      <c r="BN334" s="3">
        <v>0</v>
      </c>
      <c r="BP334" s="3"/>
      <c r="BQ334" s="3"/>
      <c r="BS334" s="43"/>
      <c r="BT334" s="43">
        <v>0</v>
      </c>
      <c r="BU334" s="1037"/>
      <c r="BV334" s="42"/>
      <c r="BW334" s="43"/>
      <c r="BX334" s="1050"/>
      <c r="BY334" s="78"/>
      <c r="BZ334" s="43">
        <v>0</v>
      </c>
      <c r="CA334" s="1038"/>
      <c r="CB334" s="42"/>
      <c r="CC334" s="42">
        <v>0</v>
      </c>
      <c r="CD334" s="1039"/>
      <c r="CE334" s="78">
        <v>0</v>
      </c>
      <c r="CF334" s="56"/>
      <c r="CG334" s="42">
        <v>0</v>
      </c>
      <c r="CH334" s="39">
        <v>0</v>
      </c>
      <c r="CI334" s="78">
        <v>1944.3194964628251</v>
      </c>
      <c r="CJ334" s="56"/>
      <c r="CK334" s="1034"/>
      <c r="CL334" s="1029"/>
      <c r="CM334" s="1034"/>
      <c r="CN334" s="1029">
        <v>0</v>
      </c>
      <c r="CO334" s="78">
        <v>217.08367405564661</v>
      </c>
      <c r="CP334" s="43">
        <v>0</v>
      </c>
      <c r="CQ334" s="5"/>
      <c r="CR334" s="78">
        <v>365.36702855559076</v>
      </c>
      <c r="CS334" s="1033">
        <v>0</v>
      </c>
      <c r="CT334" s="5"/>
      <c r="CU334" s="78">
        <v>178.67231461196195</v>
      </c>
      <c r="CV334" s="43">
        <v>0</v>
      </c>
      <c r="CW334" s="5"/>
      <c r="CX334" s="78">
        <v>0</v>
      </c>
      <c r="CY334" s="43">
        <v>0</v>
      </c>
      <c r="CZ334" s="5"/>
      <c r="DA334" s="78">
        <v>89.936084793916109</v>
      </c>
      <c r="DB334" s="43">
        <v>0</v>
      </c>
      <c r="DC334" s="5"/>
      <c r="DD334" s="78">
        <v>163.44044104798181</v>
      </c>
      <c r="DE334" s="43">
        <v>0</v>
      </c>
      <c r="DF334" s="5"/>
      <c r="DG334" s="78">
        <v>0</v>
      </c>
      <c r="DH334" s="43"/>
      <c r="DI334" s="5"/>
      <c r="DJ334" s="43">
        <v>1014.4995430650973</v>
      </c>
      <c r="DK334" s="43">
        <f t="shared" si="46"/>
        <v>0</v>
      </c>
      <c r="DL334" s="59">
        <f t="shared" si="47"/>
        <v>-1014.4995430650973</v>
      </c>
    </row>
    <row r="335" spans="1:116" ht="24.9" customHeight="1" x14ac:dyDescent="0.3">
      <c r="A335" s="328">
        <v>150000895</v>
      </c>
      <c r="B335" s="45" t="s">
        <v>316</v>
      </c>
      <c r="C335" s="1035">
        <v>5</v>
      </c>
      <c r="D335" s="1036" t="s">
        <v>454</v>
      </c>
      <c r="E335" s="1028">
        <f>'побудинковий звіт'!E333</f>
        <v>152.6</v>
      </c>
      <c r="F335" s="1029">
        <f>'побудинковий звіт'!AS333</f>
        <v>44842.804339079681</v>
      </c>
      <c r="G335" s="1029">
        <f t="shared" si="40"/>
        <v>96908</v>
      </c>
      <c r="H335" s="1029">
        <f t="shared" si="41"/>
        <v>52065.195660920319</v>
      </c>
      <c r="I335" s="43">
        <f>'[1]поточний ремонт'!I335+'[2]поточний ремонт'!I335-'[3]поточний ремонт'!I335</f>
        <v>0</v>
      </c>
      <c r="J335" s="43">
        <f>'[1]поточний ремонт'!J335+'[2]поточний ремонт'!J335-'[3]поточний ремонт'!J335</f>
        <v>0</v>
      </c>
      <c r="K335" s="1037"/>
      <c r="L335" s="43">
        <f>'[1]поточний ремонт'!L335+'[2]поточний ремонт'!L335-'[3]поточний ремонт'!L335</f>
        <v>1</v>
      </c>
      <c r="M335" s="43">
        <f>'[1]поточний ремонт'!M335+'[2]поточний ремонт'!M335-'[3]поточний ремонт'!M335</f>
        <v>17491</v>
      </c>
      <c r="N335" s="37"/>
      <c r="O335" s="43">
        <f>'[1]поточний ремонт'!O335+'[2]поточний ремонт'!O335-'[3]поточний ремонт'!O335</f>
        <v>0</v>
      </c>
      <c r="P335" s="43">
        <f>'[1]поточний ремонт'!P335+'[2]поточний ремонт'!P335-'[3]поточний ремонт'!P335</f>
        <v>0</v>
      </c>
      <c r="Q335" s="1038"/>
      <c r="R335" s="43">
        <f>'[1]поточний ремонт'!R335+'[2]поточний ремонт'!R335-'[3]поточний ремонт'!R335</f>
        <v>0</v>
      </c>
      <c r="S335" s="43">
        <f>'[1]поточний ремонт'!S335+'[2]поточний ремонт'!S335-'[3]поточний ремонт'!S335</f>
        <v>0</v>
      </c>
      <c r="T335" s="1039"/>
      <c r="U335" s="43">
        <f>'[1]поточний ремонт'!U335+'[2]поточний ремонт'!U335-'[3]поточний ремонт'!U335</f>
        <v>0</v>
      </c>
      <c r="V335" s="43">
        <f>'[1]поточний ремонт'!V335+'[2]поточний ремонт'!V335-'[3]поточний ремонт'!V335</f>
        <v>0</v>
      </c>
      <c r="W335" s="43">
        <f>'[1]поточний ремонт'!W335+'[2]поточний ремонт'!W335-'[3]поточний ремонт'!W335</f>
        <v>21</v>
      </c>
      <c r="X335" s="43">
        <f>'[1]поточний ремонт'!X335+'[2]поточний ремонт'!X335-'[3]поточний ремонт'!X335</f>
        <v>12277</v>
      </c>
      <c r="Y335" s="43">
        <f>'[1]поточний ремонт'!Y335+'[2]поточний ремонт'!Y335-'[3]поточний ремонт'!Y335</f>
        <v>1824</v>
      </c>
      <c r="Z335" s="43">
        <f>'[1]поточний ремонт'!Z335+'[2]поточний ремонт'!Z335-'[3]поточний ремонт'!Z335</f>
        <v>0</v>
      </c>
      <c r="AA335" s="43">
        <f>'[1]поточний ремонт'!AA335+'[2]поточний ремонт'!AA335-'[3]поточний ремонт'!AA335</f>
        <v>0</v>
      </c>
      <c r="AB335" s="43">
        <f>'[1]поточний ремонт'!AB335+'[2]поточний ремонт'!AB335-'[3]поточний ремонт'!AB335</f>
        <v>2473</v>
      </c>
      <c r="AC335" s="43">
        <f>'[1]поточний ремонт'!AC335+'[2]поточний ремонт'!AC335-'[3]поточний ремонт'!AC335</f>
        <v>62843</v>
      </c>
      <c r="AD335" s="43">
        <f>'[1]поточний ремонт'!AD335+'[2]поточний ремонт'!AD335-'[3]поточний ремонт'!AD335</f>
        <v>0</v>
      </c>
      <c r="AE335" s="43">
        <f>'[1]поточний ремонт'!AE335+'[2]поточний ремонт'!AE335-'[3]поточний ремонт'!AE335</f>
        <v>1742.1760128130586</v>
      </c>
      <c r="AF335" s="43">
        <f>'[1]поточний ремонт'!AF335+'[2]поточний ремонт'!AF335-'[3]поточний ремонт'!AF335</f>
        <v>21049</v>
      </c>
      <c r="AG335" s="5"/>
      <c r="AH335" s="43">
        <f>'[1]поточний ремонт'!AH335+'[2]поточний ремонт'!AH335-'[3]поточний ремонт'!AH335</f>
        <v>2542.8903665071061</v>
      </c>
      <c r="AI335" s="43">
        <f>'[1]поточний ремонт'!AI335+'[2]поточний ремонт'!AI335-'[3]поточний ремонт'!AI335</f>
        <v>7810.5886881801425</v>
      </c>
      <c r="AJ335" s="5"/>
      <c r="AK335" s="43">
        <f>'[1]поточний ремонт'!AK335+'[2]поточний ремонт'!AK335-'[3]поточний ремонт'!AK335</f>
        <v>1570.3866530252556</v>
      </c>
      <c r="AL335" s="43">
        <f>'[1]поточний ремонт'!AL335+'[2]поточний ремонт'!AL335-'[3]поточний ремонт'!AL335</f>
        <v>0</v>
      </c>
      <c r="AM335" s="5"/>
      <c r="AN335" s="43">
        <f>'[1]поточний ремонт'!AN335+'[2]поточний ремонт'!AN335-'[3]поточний ремонт'!AN335</f>
        <v>0</v>
      </c>
      <c r="AO335" s="43">
        <f>'[1]поточний ремонт'!AO335+'[2]поточний ремонт'!AO335-'[3]поточний ремонт'!AO335</f>
        <v>0</v>
      </c>
      <c r="AP335" s="5"/>
      <c r="AQ335" s="43">
        <f>'[1]поточний ремонт'!AQ335+'[2]поточний ремонт'!AQ335-'[3]поточний ремонт'!AQ335</f>
        <v>0</v>
      </c>
      <c r="AR335" s="43">
        <f>'[1]поточний ремонт'!AR335+'[2]поточний ремонт'!AR335-'[3]поточний ремонт'!AR335</f>
        <v>0</v>
      </c>
      <c r="AS335" s="5"/>
      <c r="AT335" s="43">
        <f>'[1]поточний ремонт'!AT335+'[2]поточний ремонт'!AT335-'[3]поточний ремонт'!AT335</f>
        <v>1068.4658678571939</v>
      </c>
      <c r="AU335" s="43">
        <f>'[1]поточний ремонт'!AU335+'[2]поточний ремонт'!AU335-'[3]поточний ремонт'!AU335</f>
        <v>2258</v>
      </c>
      <c r="AV335" s="9"/>
      <c r="AW335" s="43">
        <f>'[1]поточний ремонт'!AW335+'[2]поточний ремонт'!AW335-'[3]поточний ремонт'!AW335</f>
        <v>0</v>
      </c>
      <c r="AX335" s="43">
        <f>'[1]поточний ремонт'!AX335+'[2]поточний ремонт'!AX335-'[3]поточний ремонт'!AX335</f>
        <v>0</v>
      </c>
      <c r="AY335" s="5"/>
      <c r="AZ335" s="43">
        <f t="shared" si="42"/>
        <v>6923.9189002026142</v>
      </c>
      <c r="BA335" s="43">
        <f t="shared" si="43"/>
        <v>31117.588688180142</v>
      </c>
      <c r="BB335" s="59">
        <f t="shared" si="44"/>
        <v>24193.669787977527</v>
      </c>
      <c r="BD335" s="2">
        <v>3</v>
      </c>
      <c r="BF335" s="30">
        <v>204.93266073825544</v>
      </c>
      <c r="BG335" s="328">
        <v>150000895</v>
      </c>
      <c r="BI335" s="107">
        <v>0</v>
      </c>
      <c r="BJ335" s="107">
        <f t="shared" si="45"/>
        <v>0</v>
      </c>
      <c r="BK335" s="107">
        <v>0</v>
      </c>
      <c r="BL335" s="39"/>
      <c r="BM335" s="3"/>
      <c r="BN335" s="3">
        <v>0</v>
      </c>
      <c r="BP335" s="3"/>
      <c r="BQ335" s="3"/>
      <c r="BS335" s="43"/>
      <c r="BT335" s="43">
        <v>0</v>
      </c>
      <c r="BU335" s="1037"/>
      <c r="BV335" s="42"/>
      <c r="BW335" s="43"/>
      <c r="BX335" s="37"/>
      <c r="BY335" s="78"/>
      <c r="BZ335" s="43">
        <v>0</v>
      </c>
      <c r="CA335" s="1038"/>
      <c r="CB335" s="42"/>
      <c r="CC335" s="42">
        <v>0</v>
      </c>
      <c r="CD335" s="1039"/>
      <c r="CE335" s="78">
        <v>0</v>
      </c>
      <c r="CF335" s="56"/>
      <c r="CG335" s="42">
        <v>0</v>
      </c>
      <c r="CH335" s="39">
        <v>0</v>
      </c>
      <c r="CI335" s="78">
        <v>0</v>
      </c>
      <c r="CJ335" s="56"/>
      <c r="CK335" s="1034"/>
      <c r="CL335" s="1029"/>
      <c r="CM335" s="1034"/>
      <c r="CN335" s="1029">
        <v>0</v>
      </c>
      <c r="CO335" s="78">
        <v>145.18133440108824</v>
      </c>
      <c r="CP335" s="43">
        <v>0</v>
      </c>
      <c r="CQ335" s="5"/>
      <c r="CR335" s="78">
        <v>211.90753054225883</v>
      </c>
      <c r="CS335" s="1033">
        <v>0</v>
      </c>
      <c r="CT335" s="5"/>
      <c r="CU335" s="78">
        <v>130.86555441877127</v>
      </c>
      <c r="CV335" s="43">
        <v>0</v>
      </c>
      <c r="CW335" s="5"/>
      <c r="CX335" s="78">
        <v>0</v>
      </c>
      <c r="CY335" s="43">
        <v>0</v>
      </c>
      <c r="CZ335" s="5"/>
      <c r="DA335" s="78">
        <v>0</v>
      </c>
      <c r="DB335" s="43">
        <v>0</v>
      </c>
      <c r="DC335" s="5"/>
      <c r="DD335" s="78">
        <v>89.038822321432818</v>
      </c>
      <c r="DE335" s="43">
        <v>0</v>
      </c>
      <c r="DF335" s="9"/>
      <c r="DG335" s="78">
        <v>0</v>
      </c>
      <c r="DH335" s="43"/>
      <c r="DI335" s="5"/>
      <c r="DJ335" s="43">
        <v>576.9932416835511</v>
      </c>
      <c r="DK335" s="43">
        <f t="shared" si="46"/>
        <v>0</v>
      </c>
      <c r="DL335" s="59">
        <f t="shared" si="47"/>
        <v>-576.9932416835511</v>
      </c>
    </row>
    <row r="336" spans="1:116" ht="24.9" customHeight="1" x14ac:dyDescent="0.3">
      <c r="A336" s="328">
        <v>150000922</v>
      </c>
      <c r="B336" s="45" t="s">
        <v>401</v>
      </c>
      <c r="C336" s="1035">
        <v>9</v>
      </c>
      <c r="D336" s="1036" t="s">
        <v>454</v>
      </c>
      <c r="E336" s="1028">
        <f>'побудинковий звіт'!E334</f>
        <v>2133.27</v>
      </c>
      <c r="F336" s="1029">
        <f>'побудинковий звіт'!AS334</f>
        <v>67617.604504482631</v>
      </c>
      <c r="G336" s="1029">
        <f t="shared" si="40"/>
        <v>218030</v>
      </c>
      <c r="H336" s="1029">
        <f t="shared" si="41"/>
        <v>150412.39549551735</v>
      </c>
      <c r="I336" s="43">
        <f>'[1]поточний ремонт'!I336+'[2]поточний ремонт'!I336-'[3]поточний ремонт'!I336</f>
        <v>0</v>
      </c>
      <c r="J336" s="43">
        <f>'[1]поточний ремонт'!J336+'[2]поточний ремонт'!J336-'[3]поточний ремонт'!J336</f>
        <v>22483</v>
      </c>
      <c r="K336" s="1041"/>
      <c r="L336" s="43">
        <f>'[1]поточний ремонт'!L336+'[2]поточний ремонт'!L336-'[3]поточний ремонт'!L336</f>
        <v>0</v>
      </c>
      <c r="M336" s="43">
        <f>'[1]поточний ремонт'!M336+'[2]поточний ремонт'!M336-'[3]поточний ремонт'!M336</f>
        <v>127885</v>
      </c>
      <c r="N336" s="37"/>
      <c r="O336" s="43">
        <f>'[1]поточний ремонт'!O336+'[2]поточний ремонт'!O336-'[3]поточний ремонт'!O336</f>
        <v>0</v>
      </c>
      <c r="P336" s="43">
        <f>'[1]поточний ремонт'!P336+'[2]поточний ремонт'!P336-'[3]поточний ремонт'!P336</f>
        <v>0</v>
      </c>
      <c r="Q336" s="1038"/>
      <c r="R336" s="43">
        <f>'[1]поточний ремонт'!R336+'[2]поточний ремонт'!R336-'[3]поточний ремонт'!R336</f>
        <v>3</v>
      </c>
      <c r="S336" s="43">
        <f>'[1]поточний ремонт'!S336+'[2]поточний ремонт'!S336-'[3]поточний ремонт'!S336</f>
        <v>4444</v>
      </c>
      <c r="T336" s="1047"/>
      <c r="U336" s="43">
        <f>'[1]поточний ремонт'!U336+'[2]поточний ремонт'!U336-'[3]поточний ремонт'!U336</f>
        <v>0</v>
      </c>
      <c r="V336" s="43">
        <f>'[1]поточний ремонт'!V336+'[2]поточний ремонт'!V336-'[3]поточний ремонт'!V336</f>
        <v>0</v>
      </c>
      <c r="W336" s="43">
        <f>'[1]поточний ремонт'!W336+'[2]поточний ремонт'!W336-'[3]поточний ремонт'!W336</f>
        <v>2</v>
      </c>
      <c r="X336" s="43">
        <f>'[1]поточний ремонт'!X336+'[2]поточний ремонт'!X336-'[3]поточний ремонт'!X336</f>
        <v>1617</v>
      </c>
      <c r="Y336" s="43">
        <f>'[1]поточний ремонт'!Y336+'[2]поточний ремонт'!Y336-'[3]поточний ремонт'!Y336</f>
        <v>40464</v>
      </c>
      <c r="Z336" s="43">
        <f>'[1]поточний ремонт'!Z336+'[2]поточний ремонт'!Z336-'[3]поточний ремонт'!Z336</f>
        <v>0</v>
      </c>
      <c r="AA336" s="43">
        <f>'[1]поточний ремонт'!AA336+'[2]поточний ремонт'!AA336-'[3]поточний ремонт'!AA336</f>
        <v>0</v>
      </c>
      <c r="AB336" s="43">
        <f>'[1]поточний ремонт'!AB336+'[2]поточний ремонт'!AB336-'[3]поточний ремонт'!AB336</f>
        <v>0</v>
      </c>
      <c r="AC336" s="43">
        <f>'[1]поточний ремонт'!AC336+'[2]поточний ремонт'!AC336-'[3]поточний ремонт'!AC336</f>
        <v>19229</v>
      </c>
      <c r="AD336" s="43">
        <f>'[1]поточний ремонт'!AD336+'[2]поточний ремонт'!AD336-'[3]поточний ремонт'!AD336</f>
        <v>1908</v>
      </c>
      <c r="AE336" s="43">
        <f>'[1]поточний ремонт'!AE336+'[2]поточний ремонт'!AE336-'[3]поточний ремонт'!AE336</f>
        <v>1359.7023268161711</v>
      </c>
      <c r="AF336" s="43">
        <f>'[1]поточний ремонт'!AF336+'[2]поточний ремонт'!AF336-'[3]поточний ремонт'!AF336</f>
        <v>0</v>
      </c>
      <c r="AG336" s="5"/>
      <c r="AH336" s="43">
        <f>'[1]поточний ремонт'!AH336+'[2]поточний ремонт'!AH336-'[3]поточний ремонт'!AH336</f>
        <v>1813.7603239429786</v>
      </c>
      <c r="AI336" s="43">
        <f>'[1]поточний ремонт'!AI336+'[2]поточний ремонт'!AI336-'[3]поточний ремонт'!AI336</f>
        <v>598</v>
      </c>
      <c r="AJ336" s="5"/>
      <c r="AK336" s="43">
        <f>'[1]поточний ремонт'!AK336+'[2]поточний ремонт'!AK336-'[3]поточний ремонт'!AK336</f>
        <v>2313.0735438896427</v>
      </c>
      <c r="AL336" s="43">
        <f>'[1]поточний ремонт'!AL336+'[2]поточний ремонт'!AL336-'[3]поточний ремонт'!AL336</f>
        <v>0</v>
      </c>
      <c r="AM336" s="5"/>
      <c r="AN336" s="43">
        <f>'[1]поточний ремонт'!AN336+'[2]поточний ремонт'!AN336-'[3]поточний ремонт'!AN336</f>
        <v>769.25055422379694</v>
      </c>
      <c r="AO336" s="43">
        <f>'[1]поточний ремонт'!AO336+'[2]поточний ремонт'!AO336-'[3]поточний ремонт'!AO336</f>
        <v>0</v>
      </c>
      <c r="AP336" s="5"/>
      <c r="AQ336" s="43">
        <f>'[1]поточний ремонт'!AQ336+'[2]поточний ремонт'!AQ336-'[3]поточний ремонт'!AQ336</f>
        <v>395.76741189229665</v>
      </c>
      <c r="AR336" s="43">
        <f>'[1]поточний ремонт'!AR336+'[2]поточний ремонт'!AR336-'[3]поточний ремонт'!AR336</f>
        <v>3724</v>
      </c>
      <c r="AS336" s="5"/>
      <c r="AT336" s="43">
        <f>'[1]поточний ремонт'!AT336+'[2]поточний ремонт'!AT336-'[3]поточний ремонт'!AT336</f>
        <v>663.98270230905223</v>
      </c>
      <c r="AU336" s="43">
        <f>'[1]поточний ремонт'!AU336+'[2]поточний ремонт'!AU336-'[3]поточний ремонт'!AU336</f>
        <v>7372</v>
      </c>
      <c r="AV336" s="5"/>
      <c r="AW336" s="43">
        <f>'[1]поточний ремонт'!AW336+'[2]поточний ремонт'!AW336-'[3]поточний ремонт'!AW336</f>
        <v>0</v>
      </c>
      <c r="AX336" s="43">
        <f>'[1]поточний ремонт'!AX336+'[2]поточний ремонт'!AX336-'[3]поточний ремонт'!AX336</f>
        <v>0</v>
      </c>
      <c r="AY336" s="5"/>
      <c r="AZ336" s="43">
        <f t="shared" si="42"/>
        <v>7315.5368630739376</v>
      </c>
      <c r="BA336" s="43">
        <f t="shared" si="43"/>
        <v>11694</v>
      </c>
      <c r="BB336" s="59">
        <f t="shared" si="44"/>
        <v>4378.4631369260624</v>
      </c>
      <c r="BD336" s="2">
        <v>3</v>
      </c>
      <c r="BF336" s="30">
        <v>322.81285747405406</v>
      </c>
      <c r="BG336" s="328">
        <v>150000922</v>
      </c>
      <c r="BI336" s="107">
        <v>0</v>
      </c>
      <c r="BJ336" s="107">
        <f t="shared" si="45"/>
        <v>0</v>
      </c>
      <c r="BK336" s="107">
        <v>0</v>
      </c>
      <c r="BL336" s="39"/>
      <c r="BM336" s="3"/>
      <c r="BN336" s="3">
        <v>0</v>
      </c>
      <c r="BP336" s="3"/>
      <c r="BQ336" s="3"/>
      <c r="BS336" s="43"/>
      <c r="BT336" s="43">
        <v>0</v>
      </c>
      <c r="BU336" s="1041"/>
      <c r="BV336" s="42"/>
      <c r="BW336" s="43"/>
      <c r="BX336" s="37"/>
      <c r="BY336" s="78"/>
      <c r="BZ336" s="43">
        <v>0</v>
      </c>
      <c r="CA336" s="1038"/>
      <c r="CB336" s="42"/>
      <c r="CC336" s="42">
        <v>0</v>
      </c>
      <c r="CD336" s="1047"/>
      <c r="CE336" s="78">
        <v>0</v>
      </c>
      <c r="CF336" s="56"/>
      <c r="CG336" s="42">
        <v>0</v>
      </c>
      <c r="CH336" s="39">
        <v>0</v>
      </c>
      <c r="CI336" s="78">
        <v>0</v>
      </c>
      <c r="CJ336" s="56"/>
      <c r="CK336" s="1034"/>
      <c r="CL336" s="1029"/>
      <c r="CM336" s="1034"/>
      <c r="CN336" s="1029">
        <v>0</v>
      </c>
      <c r="CO336" s="78">
        <v>113.30852723468092</v>
      </c>
      <c r="CP336" s="43">
        <v>0</v>
      </c>
      <c r="CQ336" s="5"/>
      <c r="CR336" s="78">
        <v>151.14669366191487</v>
      </c>
      <c r="CS336" s="1033">
        <v>0</v>
      </c>
      <c r="CT336" s="5"/>
      <c r="CU336" s="78">
        <v>192.75612865747021</v>
      </c>
      <c r="CV336" s="43">
        <v>0</v>
      </c>
      <c r="CW336" s="5"/>
      <c r="CX336" s="78">
        <v>64.104212851983064</v>
      </c>
      <c r="CY336" s="43">
        <v>0</v>
      </c>
      <c r="CZ336" s="5"/>
      <c r="DA336" s="78">
        <v>32.980617657691397</v>
      </c>
      <c r="DB336" s="43">
        <v>0</v>
      </c>
      <c r="DC336" s="5"/>
      <c r="DD336" s="78">
        <v>55.331891859087676</v>
      </c>
      <c r="DE336" s="43">
        <v>0</v>
      </c>
      <c r="DF336" s="5"/>
      <c r="DG336" s="78">
        <v>0</v>
      </c>
      <c r="DH336" s="43"/>
      <c r="DI336" s="5"/>
      <c r="DJ336" s="43">
        <v>609.62807192282821</v>
      </c>
      <c r="DK336" s="43">
        <f t="shared" si="46"/>
        <v>0</v>
      </c>
      <c r="DL336" s="59">
        <f t="shared" si="47"/>
        <v>-609.62807192282821</v>
      </c>
    </row>
    <row r="337" spans="1:116" ht="24.9" customHeight="1" x14ac:dyDescent="0.3">
      <c r="A337" s="328">
        <v>150000896</v>
      </c>
      <c r="B337" s="45" t="s">
        <v>317</v>
      </c>
      <c r="C337" s="1035">
        <v>5</v>
      </c>
      <c r="D337" s="1036" t="s">
        <v>454</v>
      </c>
      <c r="E337" s="1028">
        <f>'побудинковий звіт'!E335</f>
        <v>6420.63</v>
      </c>
      <c r="F337" s="1029">
        <f>'побудинковий звіт'!AS335</f>
        <v>44596.511716667803</v>
      </c>
      <c r="G337" s="1029">
        <f t="shared" si="40"/>
        <v>8066.8430564891423</v>
      </c>
      <c r="H337" s="1029">
        <f t="shared" si="41"/>
        <v>-36529.668660178664</v>
      </c>
      <c r="I337" s="43">
        <f>'[1]поточний ремонт'!I337+'[2]поточний ремонт'!I337-'[3]поточний ремонт'!I337</f>
        <v>2.8</v>
      </c>
      <c r="J337" s="43">
        <f>'[1]поточний ремонт'!J337+'[2]поточний ремонт'!J337-'[3]поточний ремонт'!J337</f>
        <v>819</v>
      </c>
      <c r="K337" s="1037"/>
      <c r="L337" s="43">
        <f>'[1]поточний ремонт'!L337+'[2]поточний ремонт'!L337-'[3]поточний ремонт'!L337</f>
        <v>0</v>
      </c>
      <c r="M337" s="43">
        <f>'[1]поточний ремонт'!M337+'[2]поточний ремонт'!M337-'[3]поточний ремонт'!M337</f>
        <v>0</v>
      </c>
      <c r="N337" s="37"/>
      <c r="O337" s="43">
        <f>'[1]поточний ремонт'!O337+'[2]поточний ремонт'!O337-'[3]поточний ремонт'!O337</f>
        <v>0</v>
      </c>
      <c r="P337" s="43">
        <f>'[1]поточний ремонт'!P337+'[2]поточний ремонт'!P337-'[3]поточний ремонт'!P337</f>
        <v>0</v>
      </c>
      <c r="Q337" s="1038"/>
      <c r="R337" s="43">
        <f>'[1]поточний ремонт'!R337+'[2]поточний ремонт'!R337-'[3]поточний ремонт'!R337</f>
        <v>0</v>
      </c>
      <c r="S337" s="43">
        <f>'[1]поточний ремонт'!S337+'[2]поточний ремонт'!S337-'[3]поточний ремонт'!S337</f>
        <v>0</v>
      </c>
      <c r="T337" s="1039"/>
      <c r="U337" s="43">
        <f>'[1]поточний ремонт'!U337+'[2]поточний ремонт'!U337-'[3]поточний ремонт'!U337</f>
        <v>0</v>
      </c>
      <c r="V337" s="43">
        <f>'[1]поточний ремонт'!V337+'[2]поточний ремонт'!V337-'[3]поточний ремонт'!V337</f>
        <v>0</v>
      </c>
      <c r="W337" s="43">
        <f>'[1]поточний ремонт'!W337+'[2]поточний ремонт'!W337-'[3]поточний ремонт'!W337</f>
        <v>0</v>
      </c>
      <c r="X337" s="43">
        <f>'[1]поточний ремонт'!X337+'[2]поточний ремонт'!X337-'[3]поточний ремонт'!X337</f>
        <v>166.84305648914207</v>
      </c>
      <c r="Y337" s="43">
        <f>'[1]поточний ремонт'!Y337+'[2]поточний ремонт'!Y337-'[3]поточний ремонт'!Y337</f>
        <v>430</v>
      </c>
      <c r="Z337" s="43">
        <f>'[1]поточний ремонт'!Z337+'[2]поточний ремонт'!Z337-'[3]поточний ремонт'!Z337</f>
        <v>0</v>
      </c>
      <c r="AA337" s="43">
        <f>'[1]поточний ремонт'!AA337+'[2]поточний ремонт'!AA337-'[3]поточний ремонт'!AA337</f>
        <v>0</v>
      </c>
      <c r="AB337" s="43">
        <f>'[1]поточний ремонт'!AB337+'[2]поточний ремонт'!AB337-'[3]поточний ремонт'!AB337</f>
        <v>3906</v>
      </c>
      <c r="AC337" s="43">
        <f>'[1]поточний ремонт'!AC337+'[2]поточний ремонт'!AC337-'[3]поточний ремонт'!AC337</f>
        <v>0</v>
      </c>
      <c r="AD337" s="43">
        <f>'[1]поточний ремонт'!AD337+'[2]поточний ремонт'!AD337-'[3]поточний ремонт'!AD337</f>
        <v>2745</v>
      </c>
      <c r="AE337" s="43">
        <f>'[1]поточний ремонт'!AE337+'[2]поточний ремонт'!AE337-'[3]поточний ремонт'!AE337</f>
        <v>1772.5636049072607</v>
      </c>
      <c r="AF337" s="43">
        <f>'[1]поточний ремонт'!AF337+'[2]поточний ремонт'!AF337-'[3]поточний ремонт'!AF337</f>
        <v>14755</v>
      </c>
      <c r="AG337" s="5"/>
      <c r="AH337" s="43">
        <f>'[1]поточний ремонт'!AH337+'[2]поточний ремонт'!AH337-'[3]поточний ремонт'!AH337</f>
        <v>2570.742825601536</v>
      </c>
      <c r="AI337" s="43">
        <f>'[1]поточний ремонт'!AI337+'[2]поточний ремонт'!AI337-'[3]поточний ремонт'!AI337</f>
        <v>3093</v>
      </c>
      <c r="AJ337" s="5"/>
      <c r="AK337" s="43">
        <f>'[1]поточний ремонт'!AK337+'[2]поточний ремонт'!AK337-'[3]поточний ремонт'!AK337</f>
        <v>1851.4567615129486</v>
      </c>
      <c r="AL337" s="43">
        <f>'[1]поточний ремонт'!AL337+'[2]поточний ремонт'!AL337-'[3]поточний ремонт'!AL337</f>
        <v>773</v>
      </c>
      <c r="AM337" s="5"/>
      <c r="AN337" s="43">
        <f>'[1]поточний ремонт'!AN337+'[2]поточний ремонт'!AN337-'[3]поточний ремонт'!AN337</f>
        <v>0</v>
      </c>
      <c r="AO337" s="43">
        <f>'[1]поточний ремонт'!AO337+'[2]поточний ремонт'!AO337-'[3]поточний ремонт'!AO337</f>
        <v>0</v>
      </c>
      <c r="AP337" s="5"/>
      <c r="AQ337" s="43">
        <f>'[1]поточний ремонт'!AQ337+'[2]поточний ремонт'!AQ337-'[3]поточний ремонт'!AQ337</f>
        <v>0</v>
      </c>
      <c r="AR337" s="43">
        <f>'[1]поточний ремонт'!AR337+'[2]поточний ремонт'!AR337-'[3]поточний ремонт'!AR337</f>
        <v>0</v>
      </c>
      <c r="AS337" s="5"/>
      <c r="AT337" s="43">
        <f>'[1]поточний ремонт'!AT337+'[2]поточний ремонт'!AT337-'[3]поточний ремонт'!AT337</f>
        <v>1293.6349022285513</v>
      </c>
      <c r="AU337" s="43">
        <f>'[1]поточний ремонт'!AU337+'[2]поточний ремонт'!AU337-'[3]поточний ремонт'!AU337</f>
        <v>1505</v>
      </c>
      <c r="AV337" s="5"/>
      <c r="AW337" s="43">
        <f>'[1]поточний ремонт'!AW337+'[2]поточний ремонт'!AW337-'[3]поточний ремонт'!AW337</f>
        <v>0</v>
      </c>
      <c r="AX337" s="43">
        <f>'[1]поточний ремонт'!AX337+'[2]поточний ремонт'!AX337-'[3]поточний ремонт'!AX337</f>
        <v>0</v>
      </c>
      <c r="AY337" s="5"/>
      <c r="AZ337" s="43">
        <f t="shared" si="42"/>
        <v>7488.3980942502958</v>
      </c>
      <c r="BA337" s="43">
        <f t="shared" si="43"/>
        <v>20126</v>
      </c>
      <c r="BB337" s="59">
        <f t="shared" si="44"/>
        <v>12637.601905749703</v>
      </c>
      <c r="BD337" s="2">
        <v>3</v>
      </c>
      <c r="BF337" s="30">
        <v>202.73868897364929</v>
      </c>
      <c r="BG337" s="328">
        <v>150000896</v>
      </c>
      <c r="BI337" s="107">
        <v>12.45</v>
      </c>
      <c r="BJ337" s="107">
        <f t="shared" si="45"/>
        <v>1.7512443899999997</v>
      </c>
      <c r="BK337" s="107">
        <v>14.3584081602</v>
      </c>
      <c r="BL337" s="39"/>
      <c r="BM337" s="3"/>
      <c r="BN337" s="3">
        <v>0</v>
      </c>
      <c r="BP337" s="3"/>
      <c r="BQ337" s="3"/>
      <c r="BS337" s="43"/>
      <c r="BT337" s="43">
        <v>0</v>
      </c>
      <c r="BU337" s="1037"/>
      <c r="BV337" s="42"/>
      <c r="BW337" s="43"/>
      <c r="BX337" s="37"/>
      <c r="BY337" s="78"/>
      <c r="BZ337" s="43">
        <v>0</v>
      </c>
      <c r="CA337" s="1038"/>
      <c r="CB337" s="42"/>
      <c r="CC337" s="42">
        <v>0</v>
      </c>
      <c r="CD337" s="1039"/>
      <c r="CE337" s="78">
        <v>0</v>
      </c>
      <c r="CF337" s="56"/>
      <c r="CG337" s="42">
        <v>0</v>
      </c>
      <c r="CH337" s="39">
        <v>14.3584081602</v>
      </c>
      <c r="CI337" s="78">
        <v>0</v>
      </c>
      <c r="CJ337" s="56"/>
      <c r="CK337" s="1034"/>
      <c r="CL337" s="1029"/>
      <c r="CM337" s="1034"/>
      <c r="CN337" s="1029">
        <v>0</v>
      </c>
      <c r="CO337" s="78">
        <v>147.71363374227175</v>
      </c>
      <c r="CP337" s="43">
        <v>0</v>
      </c>
      <c r="CQ337" s="5"/>
      <c r="CR337" s="78">
        <v>214.22856880012804</v>
      </c>
      <c r="CS337" s="1033">
        <v>0</v>
      </c>
      <c r="CT337" s="5"/>
      <c r="CU337" s="78">
        <v>154.28806345941237</v>
      </c>
      <c r="CV337" s="43">
        <v>0</v>
      </c>
      <c r="CW337" s="5"/>
      <c r="CX337" s="78">
        <v>0</v>
      </c>
      <c r="CY337" s="43">
        <v>0</v>
      </c>
      <c r="CZ337" s="5"/>
      <c r="DA337" s="78">
        <v>0</v>
      </c>
      <c r="DB337" s="43">
        <v>0</v>
      </c>
      <c r="DC337" s="5"/>
      <c r="DD337" s="78">
        <v>107.80290851904593</v>
      </c>
      <c r="DE337" s="43">
        <v>0</v>
      </c>
      <c r="DF337" s="5"/>
      <c r="DG337" s="78">
        <v>0</v>
      </c>
      <c r="DH337" s="43"/>
      <c r="DI337" s="5"/>
      <c r="DJ337" s="43">
        <v>624.0331745208581</v>
      </c>
      <c r="DK337" s="43">
        <f t="shared" si="46"/>
        <v>0</v>
      </c>
      <c r="DL337" s="59">
        <f t="shared" si="47"/>
        <v>-624.0331745208581</v>
      </c>
    </row>
    <row r="338" spans="1:116" ht="24.9" customHeight="1" x14ac:dyDescent="0.3">
      <c r="A338" s="328">
        <v>150000898</v>
      </c>
      <c r="B338" s="45" t="s">
        <v>190</v>
      </c>
      <c r="C338" s="1035">
        <v>2</v>
      </c>
      <c r="D338" s="1036" t="s">
        <v>454</v>
      </c>
      <c r="E338" s="1028">
        <f>'побудинковий звіт'!E336</f>
        <v>2586.9899999999998</v>
      </c>
      <c r="F338" s="1029">
        <f>'побудинковий звіт'!AS336</f>
        <v>7033.5096411578179</v>
      </c>
      <c r="G338" s="1029">
        <f t="shared" si="40"/>
        <v>25789</v>
      </c>
      <c r="H338" s="1029">
        <f t="shared" si="41"/>
        <v>18755.49035884218</v>
      </c>
      <c r="I338" s="43">
        <f>'[1]поточний ремонт'!I338+'[2]поточний ремонт'!I338-'[3]поточний ремонт'!I338</f>
        <v>0.5</v>
      </c>
      <c r="J338" s="43">
        <f>'[1]поточний ремонт'!J338+'[2]поточний ремонт'!J338-'[3]поточний ремонт'!J338</f>
        <v>1044</v>
      </c>
      <c r="K338" s="1037"/>
      <c r="L338" s="43">
        <f>'[1]поточний ремонт'!L338+'[2]поточний ремонт'!L338-'[3]поточний ремонт'!L338</f>
        <v>0</v>
      </c>
      <c r="M338" s="43">
        <f>'[1]поточний ремонт'!M338+'[2]поточний ремонт'!M338-'[3]поточний ремонт'!M338</f>
        <v>0</v>
      </c>
      <c r="N338" s="37"/>
      <c r="O338" s="43">
        <f>'[1]поточний ремонт'!O338+'[2]поточний ремонт'!O338-'[3]поточний ремонт'!O338</f>
        <v>0</v>
      </c>
      <c r="P338" s="43">
        <f>'[1]поточний ремонт'!P338+'[2]поточний ремонт'!P338-'[3]поточний ремонт'!P338</f>
        <v>0</v>
      </c>
      <c r="Q338" s="1038"/>
      <c r="R338" s="43">
        <f>'[1]поточний ремонт'!R338+'[2]поточний ремонт'!R338-'[3]поточний ремонт'!R338</f>
        <v>0</v>
      </c>
      <c r="S338" s="43">
        <f>'[1]поточний ремонт'!S338+'[2]поточний ремонт'!S338-'[3]поточний ремонт'!S338</f>
        <v>0</v>
      </c>
      <c r="T338" s="1039"/>
      <c r="U338" s="43">
        <f>'[1]поточний ремонт'!U338+'[2]поточний ремонт'!U338-'[3]поточний ремонт'!U338</f>
        <v>0</v>
      </c>
      <c r="V338" s="43">
        <f>'[1]поточний ремонт'!V338+'[2]поточний ремонт'!V338-'[3]поточний ремонт'!V338</f>
        <v>0</v>
      </c>
      <c r="W338" s="43">
        <f>'[1]поточний ремонт'!W338+'[2]поточний ремонт'!W338-'[3]поточний ремонт'!W338</f>
        <v>0</v>
      </c>
      <c r="X338" s="43">
        <f>'[1]поточний ремонт'!X338+'[2]поточний ремонт'!X338-'[3]поточний ремонт'!X338</f>
        <v>0</v>
      </c>
      <c r="Y338" s="43">
        <f>'[1]поточний ремонт'!Y338+'[2]поточний ремонт'!Y338-'[3]поточний ремонт'!Y338</f>
        <v>9947</v>
      </c>
      <c r="Z338" s="43">
        <f>'[1]поточний ремонт'!Z338+'[2]поточний ремонт'!Z338-'[3]поточний ремонт'!Z338</f>
        <v>0</v>
      </c>
      <c r="AA338" s="43">
        <f>'[1]поточний ремонт'!AA338+'[2]поточний ремонт'!AA338-'[3]поточний ремонт'!AA338</f>
        <v>0</v>
      </c>
      <c r="AB338" s="43">
        <f>'[1]поточний ремонт'!AB338+'[2]поточний ремонт'!AB338-'[3]поточний ремонт'!AB338</f>
        <v>0</v>
      </c>
      <c r="AC338" s="43">
        <f>'[1]поточний ремонт'!AC338+'[2]поточний ремонт'!AC338-'[3]поточний ремонт'!AC338</f>
        <v>14798</v>
      </c>
      <c r="AD338" s="43">
        <f>'[1]поточний ремонт'!AD338+'[2]поточний ремонт'!AD338-'[3]поточний ремонт'!AD338</f>
        <v>0</v>
      </c>
      <c r="AE338" s="43">
        <f>'[1]поточний ремонт'!AE338+'[2]поточний ремонт'!AE338-'[3]поточний ремонт'!AE338</f>
        <v>362.57990794235297</v>
      </c>
      <c r="AF338" s="43">
        <f>'[1]поточний ремонт'!AF338+'[2]поточний ремонт'!AF338-'[3]поточний ремонт'!AF338</f>
        <v>0</v>
      </c>
      <c r="AG338" s="5"/>
      <c r="AH338" s="43">
        <f>'[1]поточний ремонт'!AH338+'[2]поточний ремонт'!AH338-'[3]поточний ремонт'!AH338</f>
        <v>568.34986807500434</v>
      </c>
      <c r="AI338" s="43">
        <f>'[1]поточний ремонт'!AI338+'[2]поточний ремонт'!AI338-'[3]поточний ремонт'!AI338</f>
        <v>0</v>
      </c>
      <c r="AJ338" s="5"/>
      <c r="AK338" s="43">
        <f>'[1]поточний ремонт'!AK338+'[2]поточний ремонт'!AK338-'[3]поточний ремонт'!AK338</f>
        <v>189.01238177322887</v>
      </c>
      <c r="AL338" s="43">
        <f>'[1]поточний ремонт'!AL338+'[2]поточний ремонт'!AL338-'[3]поточний ремонт'!AL338</f>
        <v>0</v>
      </c>
      <c r="AM338" s="5"/>
      <c r="AN338" s="43">
        <f>'[1]поточний ремонт'!AN338+'[2]поточний ремонт'!AN338-'[3]поточний ремонт'!AN338</f>
        <v>0</v>
      </c>
      <c r="AO338" s="43">
        <f>'[1]поточний ремонт'!AO338+'[2]поточний ремонт'!AO338-'[3]поточний ремонт'!AO338</f>
        <v>0</v>
      </c>
      <c r="AP338" s="5"/>
      <c r="AQ338" s="43">
        <f>'[1]поточний ремонт'!AQ338+'[2]поточний ремонт'!AQ338-'[3]поточний ремонт'!AQ338</f>
        <v>0</v>
      </c>
      <c r="AR338" s="43">
        <f>'[1]поточний ремонт'!AR338+'[2]поточний ремонт'!AR338-'[3]поточний ремонт'!AR338</f>
        <v>0</v>
      </c>
      <c r="AS338" s="5"/>
      <c r="AT338" s="43">
        <f>'[1]поточний ремонт'!AT338+'[2]поточний ремонт'!AT338-'[3]поточний ремонт'!AT338</f>
        <v>59.168569815476367</v>
      </c>
      <c r="AU338" s="43">
        <f>'[1]поточний ремонт'!AU338+'[2]поточний ремонт'!AU338-'[3]поточний ремонт'!AU338</f>
        <v>1967</v>
      </c>
      <c r="AV338" s="5"/>
      <c r="AW338" s="43">
        <f>'[1]поточний ремонт'!AW338+'[2]поточний ремонт'!AW338-'[3]поточний ремонт'!AW338</f>
        <v>0</v>
      </c>
      <c r="AX338" s="43">
        <f>'[1]поточний ремонт'!AX338+'[2]поточний ремонт'!AX338-'[3]поточний ремонт'!AX338</f>
        <v>0</v>
      </c>
      <c r="AY338" s="5"/>
      <c r="AZ338" s="43">
        <f t="shared" si="42"/>
        <v>1179.1107276060625</v>
      </c>
      <c r="BA338" s="43">
        <f t="shared" si="43"/>
        <v>1967</v>
      </c>
      <c r="BB338" s="59">
        <f t="shared" si="44"/>
        <v>787.88927239393752</v>
      </c>
      <c r="BD338" s="2">
        <v>3</v>
      </c>
      <c r="BF338" s="30">
        <v>35.290428281791137</v>
      </c>
      <c r="BG338" s="328">
        <v>150000898</v>
      </c>
      <c r="BI338" s="107">
        <v>0</v>
      </c>
      <c r="BJ338" s="107">
        <f t="shared" si="45"/>
        <v>0</v>
      </c>
      <c r="BK338" s="107">
        <v>0</v>
      </c>
      <c r="BL338" s="39"/>
      <c r="BM338" s="3"/>
      <c r="BN338" s="3">
        <v>0</v>
      </c>
      <c r="BP338" s="3"/>
      <c r="BQ338" s="3"/>
      <c r="BS338" s="43"/>
      <c r="BT338" s="43">
        <v>0</v>
      </c>
      <c r="BU338" s="1037"/>
      <c r="BV338" s="42"/>
      <c r="BW338" s="43"/>
      <c r="BX338" s="37"/>
      <c r="BY338" s="78"/>
      <c r="BZ338" s="43">
        <v>0</v>
      </c>
      <c r="CA338" s="1038"/>
      <c r="CB338" s="42"/>
      <c r="CC338" s="42">
        <v>0</v>
      </c>
      <c r="CD338" s="1039"/>
      <c r="CE338" s="78">
        <v>0</v>
      </c>
      <c r="CF338" s="56"/>
      <c r="CG338" s="42">
        <v>0</v>
      </c>
      <c r="CH338" s="39">
        <v>0</v>
      </c>
      <c r="CI338" s="78">
        <v>0</v>
      </c>
      <c r="CJ338" s="56"/>
      <c r="CK338" s="1034"/>
      <c r="CL338" s="1029"/>
      <c r="CM338" s="1034"/>
      <c r="CN338" s="1029">
        <v>0</v>
      </c>
      <c r="CO338" s="78">
        <v>30.214992328529412</v>
      </c>
      <c r="CP338" s="43">
        <v>0</v>
      </c>
      <c r="CQ338" s="5"/>
      <c r="CR338" s="78">
        <v>47.362489006250357</v>
      </c>
      <c r="CS338" s="1033">
        <v>0</v>
      </c>
      <c r="CT338" s="5"/>
      <c r="CU338" s="78">
        <v>15.751031814435738</v>
      </c>
      <c r="CV338" s="43">
        <v>0</v>
      </c>
      <c r="CW338" s="5"/>
      <c r="CX338" s="78">
        <v>0</v>
      </c>
      <c r="CY338" s="43">
        <v>0</v>
      </c>
      <c r="CZ338" s="5"/>
      <c r="DA338" s="78">
        <v>0</v>
      </c>
      <c r="DB338" s="43">
        <v>0</v>
      </c>
      <c r="DC338" s="5"/>
      <c r="DD338" s="78">
        <v>4.9307141512896964</v>
      </c>
      <c r="DE338" s="43">
        <v>0</v>
      </c>
      <c r="DF338" s="5"/>
      <c r="DG338" s="78">
        <v>0</v>
      </c>
      <c r="DH338" s="43"/>
      <c r="DI338" s="5"/>
      <c r="DJ338" s="43">
        <v>98.259227300505202</v>
      </c>
      <c r="DK338" s="43">
        <f t="shared" si="46"/>
        <v>0</v>
      </c>
      <c r="DL338" s="59">
        <f t="shared" si="47"/>
        <v>-98.259227300505202</v>
      </c>
    </row>
    <row r="339" spans="1:116" ht="24.9" customHeight="1" x14ac:dyDescent="0.3">
      <c r="A339" s="328">
        <v>150000899</v>
      </c>
      <c r="B339" s="45" t="s">
        <v>402</v>
      </c>
      <c r="C339" s="1035">
        <v>9</v>
      </c>
      <c r="D339" s="1036" t="s">
        <v>454</v>
      </c>
      <c r="E339" s="1028">
        <f>'побудинковий звіт'!E337</f>
        <v>4414.38</v>
      </c>
      <c r="F339" s="1029">
        <f>'побудинковий звіт'!AS337</f>
        <v>100343.63630206817</v>
      </c>
      <c r="G339" s="1029">
        <f t="shared" si="40"/>
        <v>94206</v>
      </c>
      <c r="H339" s="1029">
        <f t="shared" si="41"/>
        <v>-6137.6363020681747</v>
      </c>
      <c r="I339" s="43">
        <f>'[1]поточний ремонт'!I339+'[2]поточний ремонт'!I339-'[3]поточний ремонт'!I339</f>
        <v>101.3</v>
      </c>
      <c r="J339" s="43">
        <f>'[1]поточний ремонт'!J339+'[2]поточний ремонт'!J339-'[3]поточний ремонт'!J339</f>
        <v>76571</v>
      </c>
      <c r="K339" s="1037"/>
      <c r="L339" s="43">
        <f>'[1]поточний ремонт'!L339+'[2]поточний ремонт'!L339-'[3]поточний ремонт'!L339</f>
        <v>0</v>
      </c>
      <c r="M339" s="43">
        <f>'[1]поточний ремонт'!M339+'[2]поточний ремонт'!M339-'[3]поточний ремонт'!M339</f>
        <v>0</v>
      </c>
      <c r="N339" s="37"/>
      <c r="O339" s="43">
        <f>'[1]поточний ремонт'!O339+'[2]поточний ремонт'!O339-'[3]поточний ремонт'!O339</f>
        <v>0</v>
      </c>
      <c r="P339" s="43">
        <f>'[1]поточний ремонт'!P339+'[2]поточний ремонт'!P339-'[3]поточний ремонт'!P339</f>
        <v>0</v>
      </c>
      <c r="Q339" s="1038"/>
      <c r="R339" s="43">
        <f>'[1]поточний ремонт'!R339+'[2]поточний ремонт'!R339-'[3]поточний ремонт'!R339</f>
        <v>2</v>
      </c>
      <c r="S339" s="43">
        <f>'[1]поточний ремонт'!S339+'[2]поточний ремонт'!S339-'[3]поточний ремонт'!S339</f>
        <v>5514</v>
      </c>
      <c r="T339" s="1047"/>
      <c r="U339" s="43">
        <f>'[1]поточний ремонт'!U339+'[2]поточний ремонт'!U339-'[3]поточний ремонт'!U339</f>
        <v>0</v>
      </c>
      <c r="V339" s="43">
        <f>'[1]поточний ремонт'!V339+'[2]поточний ремонт'!V339-'[3]поточний ремонт'!V339</f>
        <v>0</v>
      </c>
      <c r="W339" s="43">
        <f>'[1]поточний ремонт'!W339+'[2]поточний ремонт'!W339-'[3]поточний ремонт'!W339</f>
        <v>0</v>
      </c>
      <c r="X339" s="43">
        <f>'[1]поточний ремонт'!X339+'[2]поточний ремонт'!X339-'[3]поточний ремонт'!X339</f>
        <v>0</v>
      </c>
      <c r="Y339" s="43">
        <f>'[1]поточний ремонт'!Y339+'[2]поточний ремонт'!Y339-'[3]поточний ремонт'!Y339</f>
        <v>2398</v>
      </c>
      <c r="Z339" s="43">
        <f>'[1]поточний ремонт'!Z339+'[2]поточний ремонт'!Z339-'[3]поточний ремонт'!Z339</f>
        <v>0</v>
      </c>
      <c r="AA339" s="43">
        <f>'[1]поточний ремонт'!AA339+'[2]поточний ремонт'!AA339-'[3]поточний ремонт'!AA339</f>
        <v>0</v>
      </c>
      <c r="AB339" s="43">
        <f>'[1]поточний ремонт'!AB339+'[2]поточний ремонт'!AB339-'[3]поточний ремонт'!AB339</f>
        <v>0</v>
      </c>
      <c r="AC339" s="43">
        <f>'[1]поточний ремонт'!AC339+'[2]поточний ремонт'!AC339-'[3]поточний ремонт'!AC339</f>
        <v>2028</v>
      </c>
      <c r="AD339" s="43">
        <f>'[1]поточний ремонт'!AD339+'[2]поточний ремонт'!AD339-'[3]поточний ремонт'!AD339</f>
        <v>7695</v>
      </c>
      <c r="AE339" s="43">
        <f>'[1]поточний ремонт'!AE339+'[2]поточний ремонт'!AE339-'[3]поточний ремонт'!AE339</f>
        <v>2045.812989492026</v>
      </c>
      <c r="AF339" s="43">
        <f>'[1]поточний ремонт'!AF339+'[2]поточний ремонт'!AF339-'[3]поточний ремонт'!AF339</f>
        <v>6117</v>
      </c>
      <c r="AG339" s="5"/>
      <c r="AH339" s="43">
        <f>'[1]поточний ремонт'!AH339+'[2]поточний ремонт'!AH339-'[3]поточний ремонт'!AH339</f>
        <v>2731.9007902306498</v>
      </c>
      <c r="AI339" s="43">
        <f>'[1]поточний ремонт'!AI339+'[2]поточний ремонт'!AI339-'[3]поточний ремонт'!AI339</f>
        <v>955.00000000000011</v>
      </c>
      <c r="AJ339" s="1045"/>
      <c r="AK339" s="43">
        <f>'[1]поточний ремонт'!AK339+'[2]поточний ремонт'!AK339-'[3]поточний ремонт'!AK339</f>
        <v>3335.3079682086477</v>
      </c>
      <c r="AL339" s="43">
        <f>'[1]поточний ремонт'!AL339+'[2]поточний ремонт'!AL339-'[3]поточний ремонт'!AL339</f>
        <v>3058</v>
      </c>
      <c r="AM339" s="5"/>
      <c r="AN339" s="43">
        <f>'[1]поточний ремонт'!AN339+'[2]поточний ремонт'!AN339-'[3]поточний ремонт'!AN339</f>
        <v>1089.9073491874246</v>
      </c>
      <c r="AO339" s="43">
        <f>'[1]поточний ремонт'!AO339+'[2]поточний ремонт'!AO339-'[3]поточний ремонт'!AO339</f>
        <v>0</v>
      </c>
      <c r="AP339" s="5"/>
      <c r="AQ339" s="43">
        <f>'[1]поточний ремонт'!AQ339+'[2]поточний ремонт'!AQ339-'[3]поточний ремонт'!AQ339</f>
        <v>593.65087276649558</v>
      </c>
      <c r="AR339" s="43">
        <f>'[1]поточний ремонт'!AR339+'[2]поточний ремонт'!AR339-'[3]поточний ремонт'!AR339</f>
        <v>0</v>
      </c>
      <c r="AS339" s="5"/>
      <c r="AT339" s="43">
        <f>'[1]поточний ремонт'!AT339+'[2]поточний ремонт'!AT339-'[3]поточний ремонт'!AT339</f>
        <v>840.98279011434113</v>
      </c>
      <c r="AU339" s="43">
        <f>'[1]поточний ремонт'!AU339+'[2]поточний ремонт'!AU339-'[3]поточний ремонт'!AU339</f>
        <v>16012.277688680177</v>
      </c>
      <c r="AV339" s="9"/>
      <c r="AW339" s="43">
        <f>'[1]поточний ремонт'!AW339+'[2]поточний ремонт'!AW339-'[3]поточний ремонт'!AW339</f>
        <v>0</v>
      </c>
      <c r="AX339" s="43">
        <f>'[1]поточний ремонт'!AX339+'[2]поточний ремонт'!AX339-'[3]поточний ремонт'!AX339</f>
        <v>0</v>
      </c>
      <c r="AY339" s="5"/>
      <c r="AZ339" s="43">
        <f t="shared" si="42"/>
        <v>10637.562759999584</v>
      </c>
      <c r="BA339" s="43">
        <f t="shared" si="43"/>
        <v>26142.277688680177</v>
      </c>
      <c r="BB339" s="59">
        <f t="shared" si="44"/>
        <v>15504.714928680592</v>
      </c>
      <c r="BD339" s="2">
        <v>3</v>
      </c>
      <c r="BF339" s="30">
        <v>464.28105388009033</v>
      </c>
      <c r="BG339" s="328">
        <v>150000899</v>
      </c>
      <c r="BI339" s="107">
        <v>0</v>
      </c>
      <c r="BJ339" s="107">
        <f t="shared" si="45"/>
        <v>0</v>
      </c>
      <c r="BK339" s="107">
        <v>0</v>
      </c>
      <c r="BL339" s="39"/>
      <c r="BM339" s="3"/>
      <c r="BN339" s="3">
        <v>0</v>
      </c>
      <c r="BP339" s="3"/>
      <c r="BQ339" s="3"/>
      <c r="BS339" s="43"/>
      <c r="BT339" s="43">
        <v>0</v>
      </c>
      <c r="BU339" s="1037"/>
      <c r="BV339" s="42"/>
      <c r="BW339" s="43"/>
      <c r="BX339" s="37"/>
      <c r="BY339" s="78"/>
      <c r="BZ339" s="43">
        <v>0</v>
      </c>
      <c r="CA339" s="1038"/>
      <c r="CB339" s="42">
        <v>1</v>
      </c>
      <c r="CC339" s="42">
        <v>38144.963005146921</v>
      </c>
      <c r="CD339" s="1047"/>
      <c r="CE339" s="78">
        <v>0</v>
      </c>
      <c r="CF339" s="56"/>
      <c r="CG339" s="42">
        <v>0</v>
      </c>
      <c r="CH339" s="39">
        <v>0</v>
      </c>
      <c r="CI339" s="78">
        <v>0</v>
      </c>
      <c r="CJ339" s="56"/>
      <c r="CK339" s="1034"/>
      <c r="CL339" s="1029"/>
      <c r="CM339" s="1034"/>
      <c r="CN339" s="1029">
        <v>0</v>
      </c>
      <c r="CO339" s="78">
        <v>170.48441579100214</v>
      </c>
      <c r="CP339" s="43">
        <v>0</v>
      </c>
      <c r="CQ339" s="5"/>
      <c r="CR339" s="78">
        <v>227.6583991858875</v>
      </c>
      <c r="CS339" s="1033">
        <v>919.38550058070689</v>
      </c>
      <c r="CT339" s="1045"/>
      <c r="CU339" s="78">
        <v>277.94233068405396</v>
      </c>
      <c r="CV339" s="43">
        <v>0</v>
      </c>
      <c r="CW339" s="5"/>
      <c r="CX339" s="78">
        <v>90.825612432285368</v>
      </c>
      <c r="CY339" s="43">
        <v>0</v>
      </c>
      <c r="CZ339" s="5"/>
      <c r="DA339" s="78">
        <v>49.470906063874629</v>
      </c>
      <c r="DB339" s="43">
        <v>0</v>
      </c>
      <c r="DC339" s="5"/>
      <c r="DD339" s="78">
        <v>70.081899176195108</v>
      </c>
      <c r="DE339" s="43">
        <v>0</v>
      </c>
      <c r="DF339" s="9"/>
      <c r="DG339" s="78">
        <v>0</v>
      </c>
      <c r="DH339" s="43"/>
      <c r="DI339" s="5"/>
      <c r="DJ339" s="43">
        <v>886.46356333329879</v>
      </c>
      <c r="DK339" s="43">
        <f t="shared" si="46"/>
        <v>919.38550058070689</v>
      </c>
      <c r="DL339" s="59">
        <f t="shared" si="47"/>
        <v>32.921937247408096</v>
      </c>
    </row>
    <row r="340" spans="1:116" ht="24.9" customHeight="1" x14ac:dyDescent="0.3">
      <c r="A340" s="328">
        <v>150000900</v>
      </c>
      <c r="B340" s="45" t="s">
        <v>425</v>
      </c>
      <c r="C340" s="1035">
        <v>14</v>
      </c>
      <c r="D340" s="1036" t="s">
        <v>454</v>
      </c>
      <c r="E340" s="1028">
        <f>'побудинковий звіт'!E338</f>
        <v>8787.1999999999989</v>
      </c>
      <c r="F340" s="1029">
        <f>'побудинковий звіт'!AS338</f>
        <v>67475.247037002089</v>
      </c>
      <c r="G340" s="1029">
        <f t="shared" si="40"/>
        <v>4554</v>
      </c>
      <c r="H340" s="1029">
        <f t="shared" si="41"/>
        <v>-62921.247037002089</v>
      </c>
      <c r="I340" s="43">
        <f>'[1]поточний ремонт'!I340+'[2]поточний ремонт'!I340-'[3]поточний ремонт'!I340</f>
        <v>0</v>
      </c>
      <c r="J340" s="43">
        <f>'[1]поточний ремонт'!J340+'[2]поточний ремонт'!J340-'[3]поточний ремонт'!J340</f>
        <v>0</v>
      </c>
      <c r="K340" s="1037"/>
      <c r="L340" s="43">
        <f>'[1]поточний ремонт'!L340+'[2]поточний ремонт'!L340-'[3]поточний ремонт'!L340</f>
        <v>0</v>
      </c>
      <c r="M340" s="43">
        <f>'[1]поточний ремонт'!M340+'[2]поточний ремонт'!M340-'[3]поточний ремонт'!M340</f>
        <v>0</v>
      </c>
      <c r="N340" s="37"/>
      <c r="O340" s="43">
        <f>'[1]поточний ремонт'!O340+'[2]поточний ремонт'!O340-'[3]поточний ремонт'!O340</f>
        <v>0</v>
      </c>
      <c r="P340" s="43">
        <f>'[1]поточний ремонт'!P340+'[2]поточний ремонт'!P340-'[3]поточний ремонт'!P340</f>
        <v>0</v>
      </c>
      <c r="Q340" s="1038"/>
      <c r="R340" s="43">
        <f>'[1]поточний ремонт'!R340+'[2]поточний ремонт'!R340-'[3]поточний ремонт'!R340</f>
        <v>0</v>
      </c>
      <c r="S340" s="43">
        <f>'[1]поточний ремонт'!S340+'[2]поточний ремонт'!S340-'[3]поточний ремонт'!S340</f>
        <v>0</v>
      </c>
      <c r="T340" s="1039"/>
      <c r="U340" s="43">
        <f>'[1]поточний ремонт'!U340+'[2]поточний ремонт'!U340-'[3]поточний ремонт'!U340</f>
        <v>0</v>
      </c>
      <c r="V340" s="43">
        <f>'[1]поточний ремонт'!V340+'[2]поточний ремонт'!V340-'[3]поточний ремонт'!V340</f>
        <v>0</v>
      </c>
      <c r="W340" s="43">
        <f>'[1]поточний ремонт'!W340+'[2]поточний ремонт'!W340-'[3]поточний ремонт'!W340</f>
        <v>0</v>
      </c>
      <c r="X340" s="43">
        <f>'[1]поточний ремонт'!X340+'[2]поточний ремонт'!X340-'[3]поточний ремонт'!X340</f>
        <v>0</v>
      </c>
      <c r="Y340" s="43">
        <f>'[1]поточний ремонт'!Y340+'[2]поточний ремонт'!Y340-'[3]поточний ремонт'!Y340</f>
        <v>643</v>
      </c>
      <c r="Z340" s="43">
        <f>'[1]поточний ремонт'!Z340+'[2]поточний ремонт'!Z340-'[3]поточний ремонт'!Z340</f>
        <v>0</v>
      </c>
      <c r="AA340" s="43">
        <f>'[1]поточний ремонт'!AA340+'[2]поточний ремонт'!AA340-'[3]поточний ремонт'!AA340</f>
        <v>0</v>
      </c>
      <c r="AB340" s="43">
        <f>'[1]поточний ремонт'!AB340+'[2]поточний ремонт'!AB340-'[3]поточний ремонт'!AB340</f>
        <v>0</v>
      </c>
      <c r="AC340" s="43">
        <f>'[1]поточний ремонт'!AC340+'[2]поточний ремонт'!AC340-'[3]поточний ремонт'!AC340</f>
        <v>3793</v>
      </c>
      <c r="AD340" s="43">
        <f>'[1]поточний ремонт'!AD340+'[2]поточний ремонт'!AD340-'[3]поточний ремонт'!AD340</f>
        <v>118</v>
      </c>
      <c r="AE340" s="43">
        <f>'[1]поточний ремонт'!AE340+'[2]поточний ремонт'!AE340-'[3]поточний ремонт'!AE340</f>
        <v>3366.2912382541444</v>
      </c>
      <c r="AF340" s="43">
        <f>'[1]поточний ремонт'!AF340+'[2]поточний ремонт'!AF340-'[3]поточний ремонт'!AF340</f>
        <v>0</v>
      </c>
      <c r="AG340" s="5"/>
      <c r="AH340" s="43">
        <f>'[1]поточний ремонт'!AH340+'[2]поточний ремонт'!AH340-'[3]поточний ремонт'!AH340</f>
        <v>849.08173880708057</v>
      </c>
      <c r="AI340" s="43">
        <f>'[1]поточний ремонт'!AI340+'[2]поточний ремонт'!AI340-'[3]поточний ремонт'!AI340</f>
        <v>0</v>
      </c>
      <c r="AJ340" s="5"/>
      <c r="AK340" s="43">
        <f>'[1]поточний ремонт'!AK340+'[2]поточний ремонт'!AK340-'[3]поточний ремонт'!AK340</f>
        <v>2139.7907802454893</v>
      </c>
      <c r="AL340" s="43">
        <f>'[1]поточний ремонт'!AL340+'[2]поточний ремонт'!AL340-'[3]поточний ремонт'!AL340</f>
        <v>0</v>
      </c>
      <c r="AM340" s="9"/>
      <c r="AN340" s="43">
        <f>'[1]поточний ремонт'!AN340+'[2]поточний ремонт'!AN340-'[3]поточний ремонт'!AN340</f>
        <v>761.39520776621657</v>
      </c>
      <c r="AO340" s="43">
        <f>'[1]поточний ремонт'!AO340+'[2]поточний ремонт'!AO340-'[3]поточний ремонт'!AO340</f>
        <v>944</v>
      </c>
      <c r="AP340" s="5"/>
      <c r="AQ340" s="43">
        <f>'[1]поточний ремонт'!AQ340+'[2]поточний ремонт'!AQ340-'[3]поточний ремонт'!AQ340</f>
        <v>404.82147576979139</v>
      </c>
      <c r="AR340" s="43">
        <f>'[1]поточний ремонт'!AR340+'[2]поточний ремонт'!AR340-'[3]поточний ремонт'!AR340</f>
        <v>1372</v>
      </c>
      <c r="AS340" s="5"/>
      <c r="AT340" s="43">
        <f>'[1]поточний ремонт'!AT340+'[2]поточний ремонт'!AT340-'[3]поточний ремонт'!AT340</f>
        <v>676.92000670106563</v>
      </c>
      <c r="AU340" s="43">
        <f>'[1]поточний ремонт'!AU340+'[2]поточний ремонт'!AU340-'[3]поточний ремонт'!AU340</f>
        <v>5370.3967531453345</v>
      </c>
      <c r="AV340" s="5"/>
      <c r="AW340" s="43">
        <f>'[1]поточний ремонт'!AW340+'[2]поточний ремонт'!AW340-'[3]поточний ремонт'!AW340</f>
        <v>0</v>
      </c>
      <c r="AX340" s="43">
        <f>'[1]поточний ремонт'!AX340+'[2]поточний ремонт'!AX340-'[3]поточний ремонт'!AX340</f>
        <v>0</v>
      </c>
      <c r="AY340" s="5"/>
      <c r="AZ340" s="43">
        <f t="shared" si="42"/>
        <v>8198.3004475437883</v>
      </c>
      <c r="BA340" s="43">
        <f t="shared" si="43"/>
        <v>7686.3967531453345</v>
      </c>
      <c r="BB340" s="59">
        <f t="shared" si="44"/>
        <v>-511.90369439845381</v>
      </c>
      <c r="BD340" s="2">
        <v>3</v>
      </c>
      <c r="BF340" s="30">
        <v>324.61737121843544</v>
      </c>
      <c r="BG340" s="328">
        <v>150000900</v>
      </c>
      <c r="BI340" s="107">
        <v>0</v>
      </c>
      <c r="BJ340" s="107">
        <f t="shared" si="45"/>
        <v>0</v>
      </c>
      <c r="BK340" s="107">
        <v>0</v>
      </c>
      <c r="BL340" s="39"/>
      <c r="BM340" s="3"/>
      <c r="BN340" s="3">
        <v>0</v>
      </c>
      <c r="BP340" s="3"/>
      <c r="BQ340" s="3"/>
      <c r="BS340" s="43"/>
      <c r="BT340" s="43">
        <v>0</v>
      </c>
      <c r="BU340" s="1037"/>
      <c r="BV340" s="42"/>
      <c r="BW340" s="43"/>
      <c r="BX340" s="37"/>
      <c r="BY340" s="78"/>
      <c r="BZ340" s="43">
        <v>0</v>
      </c>
      <c r="CA340" s="1038"/>
      <c r="CB340" s="42"/>
      <c r="CC340" s="42">
        <v>0</v>
      </c>
      <c r="CD340" s="1039"/>
      <c r="CE340" s="78">
        <v>0</v>
      </c>
      <c r="CF340" s="56"/>
      <c r="CG340" s="42">
        <v>0</v>
      </c>
      <c r="CH340" s="39">
        <v>0</v>
      </c>
      <c r="CI340" s="78">
        <v>0</v>
      </c>
      <c r="CJ340" s="56"/>
      <c r="CK340" s="1034"/>
      <c r="CL340" s="1029"/>
      <c r="CM340" s="1034"/>
      <c r="CN340" s="1029">
        <v>0</v>
      </c>
      <c r="CO340" s="78">
        <v>280.524269854512</v>
      </c>
      <c r="CP340" s="43">
        <v>0</v>
      </c>
      <c r="CQ340" s="5"/>
      <c r="CR340" s="78">
        <v>70.756811567256719</v>
      </c>
      <c r="CS340" s="1033">
        <v>0</v>
      </c>
      <c r="CT340" s="5"/>
      <c r="CU340" s="78">
        <v>178.31589835379077</v>
      </c>
      <c r="CV340" s="43">
        <v>0</v>
      </c>
      <c r="CW340" s="9"/>
      <c r="CX340" s="78">
        <v>63.449600647184695</v>
      </c>
      <c r="CY340" s="43">
        <v>0</v>
      </c>
      <c r="CZ340" s="5"/>
      <c r="DA340" s="78">
        <v>33.735122980815945</v>
      </c>
      <c r="DB340" s="43">
        <v>0</v>
      </c>
      <c r="DC340" s="5"/>
      <c r="DD340" s="78">
        <v>56.410000558422134</v>
      </c>
      <c r="DE340" s="43">
        <v>0</v>
      </c>
      <c r="DF340" s="5"/>
      <c r="DG340" s="78">
        <v>0</v>
      </c>
      <c r="DH340" s="43"/>
      <c r="DI340" s="5"/>
      <c r="DJ340" s="43">
        <v>683.19170396198228</v>
      </c>
      <c r="DK340" s="43">
        <f t="shared" si="46"/>
        <v>0</v>
      </c>
      <c r="DL340" s="59">
        <f t="shared" si="47"/>
        <v>-683.19170396198228</v>
      </c>
    </row>
    <row r="341" spans="1:116" ht="24.9" customHeight="1" x14ac:dyDescent="0.3">
      <c r="A341" s="328">
        <v>150000901</v>
      </c>
      <c r="B341" s="45" t="s">
        <v>424</v>
      </c>
      <c r="C341" s="1035">
        <v>10</v>
      </c>
      <c r="D341" s="1036" t="s">
        <v>454</v>
      </c>
      <c r="E341" s="1028">
        <f>'побудинковий звіт'!E339</f>
        <v>2056.3599999999997</v>
      </c>
      <c r="F341" s="1029">
        <f>'побудинковий звіт'!AS339</f>
        <v>153431.60187685929</v>
      </c>
      <c r="G341" s="1029">
        <f t="shared" si="40"/>
        <v>44592</v>
      </c>
      <c r="H341" s="1029">
        <f t="shared" si="41"/>
        <v>-108839.60187685929</v>
      </c>
      <c r="I341" s="43">
        <f>'[1]поточний ремонт'!I341+'[2]поточний ремонт'!I341-'[3]поточний ремонт'!I341</f>
        <v>56</v>
      </c>
      <c r="J341" s="43">
        <f>'[1]поточний ремонт'!J341+'[2]поточний ремонт'!J341-'[3]поточний ремонт'!J341</f>
        <v>21490</v>
      </c>
      <c r="K341" s="1037"/>
      <c r="L341" s="43">
        <f>'[1]поточний ремонт'!L341+'[2]поточний ремонт'!L341-'[3]поточний ремонт'!L341</f>
        <v>0</v>
      </c>
      <c r="M341" s="43">
        <f>'[1]поточний ремонт'!M341+'[2]поточний ремонт'!M341-'[3]поточний ремонт'!M341</f>
        <v>0</v>
      </c>
      <c r="N341" s="37"/>
      <c r="O341" s="43">
        <f>'[1]поточний ремонт'!O341+'[2]поточний ремонт'!O341-'[3]поточний ремонт'!O341</f>
        <v>0</v>
      </c>
      <c r="P341" s="43">
        <f>'[1]поточний ремонт'!P341+'[2]поточний ремонт'!P341-'[3]поточний ремонт'!P341</f>
        <v>0</v>
      </c>
      <c r="Q341" s="1038"/>
      <c r="R341" s="43">
        <f>'[1]поточний ремонт'!R341+'[2]поточний ремонт'!R341-'[3]поточний ремонт'!R341</f>
        <v>1</v>
      </c>
      <c r="S341" s="43">
        <f>'[1]поточний ремонт'!S341+'[2]поточний ремонт'!S341-'[3]поточний ремонт'!S341</f>
        <v>12058</v>
      </c>
      <c r="T341" s="1047"/>
      <c r="U341" s="43">
        <f>'[1]поточний ремонт'!U341+'[2]поточний ремонт'!U341-'[3]поточний ремонт'!U341</f>
        <v>0</v>
      </c>
      <c r="V341" s="43">
        <f>'[1]поточний ремонт'!V341+'[2]поточний ремонт'!V341-'[3]поточний ремонт'!V341</f>
        <v>0</v>
      </c>
      <c r="W341" s="43">
        <f>'[1]поточний ремонт'!W341+'[2]поточний ремонт'!W341-'[3]поточний ремонт'!W341</f>
        <v>0</v>
      </c>
      <c r="X341" s="43">
        <f>'[1]поточний ремонт'!X341+'[2]поточний ремонт'!X341-'[3]поточний ремонт'!X341</f>
        <v>0</v>
      </c>
      <c r="Y341" s="43">
        <f>'[1]поточний ремонт'!Y341+'[2]поточний ремонт'!Y341-'[3]поточний ремонт'!Y341</f>
        <v>0</v>
      </c>
      <c r="Z341" s="43">
        <f>'[1]поточний ремонт'!Z341+'[2]поточний ремонт'!Z341-'[3]поточний ремонт'!Z341</f>
        <v>0</v>
      </c>
      <c r="AA341" s="43">
        <f>'[1]поточний ремонт'!AA341+'[2]поточний ремонт'!AA341-'[3]поточний ремонт'!AA341</f>
        <v>0</v>
      </c>
      <c r="AB341" s="43">
        <f>'[1]поточний ремонт'!AB341+'[2]поточний ремонт'!AB341-'[3]поточний ремонт'!AB341</f>
        <v>8069</v>
      </c>
      <c r="AC341" s="43">
        <f>'[1]поточний ремонт'!AC341+'[2]поточний ремонт'!AC341-'[3]поточний ремонт'!AC341</f>
        <v>0</v>
      </c>
      <c r="AD341" s="43">
        <f>'[1]поточний ремонт'!AD341+'[2]поточний ремонт'!AD341-'[3]поточний ремонт'!AD341</f>
        <v>2975</v>
      </c>
      <c r="AE341" s="43">
        <f>'[1]поточний ремонт'!AE341+'[2]поточний ремонт'!AE341-'[3]поточний ремонт'!AE341</f>
        <v>2859.8790133263842</v>
      </c>
      <c r="AF341" s="43">
        <f>'[1]поточний ремонт'!AF341+'[2]поточний ремонт'!AF341-'[3]поточний ремонт'!AF341</f>
        <v>6382</v>
      </c>
      <c r="AG341" s="1045"/>
      <c r="AH341" s="43">
        <f>'[1]поточний ремонт'!AH341+'[2]поточний ремонт'!AH341-'[3]поточний ремонт'!AH341</f>
        <v>3950.0361758303247</v>
      </c>
      <c r="AI341" s="43">
        <f>'[1]поточний ремонт'!AI341+'[2]поточний ремонт'!AI341-'[3]поточний ремонт'!AI341</f>
        <v>2180</v>
      </c>
      <c r="AJ341" s="9"/>
      <c r="AK341" s="43">
        <f>'[1]поточний ремонт'!AK341+'[2]поточний ремонт'!AK341-'[3]поточний ремонт'!AK341</f>
        <v>4615.6082679616793</v>
      </c>
      <c r="AL341" s="43">
        <f>'[1]поточний ремонт'!AL341+'[2]поточний ремонт'!AL341-'[3]поточний ремонт'!AL341</f>
        <v>625</v>
      </c>
      <c r="AM341" s="9"/>
      <c r="AN341" s="43">
        <f>'[1]поточний ремонт'!AN341+'[2]поточний ремонт'!AN341-'[3]поточний ремонт'!AN341</f>
        <v>1547.0429264838394</v>
      </c>
      <c r="AO341" s="43">
        <f>'[1]поточний ремонт'!AO341+'[2]поточний ремонт'!AO341-'[3]поточний ремонт'!AO341</f>
        <v>0</v>
      </c>
      <c r="AP341" s="5"/>
      <c r="AQ341" s="43">
        <f>'[1]поточний ремонт'!AQ341+'[2]поточний ремонт'!AQ341-'[3]поточний ремонт'!AQ341</f>
        <v>845.42356547673432</v>
      </c>
      <c r="AR341" s="43">
        <f>'[1]поточний ремонт'!AR341+'[2]поточний ремонт'!AR341-'[3]поточний ремонт'!AR341</f>
        <v>0</v>
      </c>
      <c r="AS341" s="1045"/>
      <c r="AT341" s="43">
        <f>'[1]поточний ремонт'!AT341+'[2]поточний ремонт'!AT341-'[3]поточний ремонт'!AT341</f>
        <v>1048.3069248834015</v>
      </c>
      <c r="AU341" s="43">
        <f>'[1]поточний ремонт'!AU341+'[2]поточний ремонт'!AU341-'[3]поточний ремонт'!AU341</f>
        <v>2949</v>
      </c>
      <c r="AV341" s="5"/>
      <c r="AW341" s="43">
        <f>'[1]поточний ремонт'!AW341+'[2]поточний ремонт'!AW341-'[3]поточний ремонт'!AW341</f>
        <v>0</v>
      </c>
      <c r="AX341" s="43">
        <f>'[1]поточний ремонт'!AX341+'[2]поточний ремонт'!AX341-'[3]поточний ремонт'!AX341</f>
        <v>0</v>
      </c>
      <c r="AY341" s="5"/>
      <c r="AZ341" s="43">
        <f t="shared" si="42"/>
        <v>14866.296873962365</v>
      </c>
      <c r="BA341" s="43">
        <f t="shared" si="43"/>
        <v>12136</v>
      </c>
      <c r="BB341" s="59">
        <f t="shared" si="44"/>
        <v>-2730.2968739623648</v>
      </c>
      <c r="BD341" s="2">
        <v>3</v>
      </c>
      <c r="BF341" s="30">
        <v>748.35263406189131</v>
      </c>
      <c r="BG341" s="328">
        <v>150000901</v>
      </c>
      <c r="BI341" s="107">
        <v>0</v>
      </c>
      <c r="BJ341" s="107">
        <f t="shared" si="45"/>
        <v>0</v>
      </c>
      <c r="BK341" s="107">
        <v>0</v>
      </c>
      <c r="BL341" s="39"/>
      <c r="BM341" s="3"/>
      <c r="BN341" s="3">
        <v>0</v>
      </c>
      <c r="BP341" s="3"/>
      <c r="BQ341" s="3"/>
      <c r="BS341" s="43"/>
      <c r="BT341" s="43">
        <v>0</v>
      </c>
      <c r="BU341" s="1037"/>
      <c r="BV341" s="42"/>
      <c r="BW341" s="43"/>
      <c r="BX341" s="37"/>
      <c r="BY341" s="78"/>
      <c r="BZ341" s="43">
        <v>0</v>
      </c>
      <c r="CA341" s="1038"/>
      <c r="CB341" s="42"/>
      <c r="CC341" s="42">
        <v>0</v>
      </c>
      <c r="CD341" s="1047"/>
      <c r="CE341" s="78">
        <v>0</v>
      </c>
      <c r="CF341" s="56"/>
      <c r="CG341" s="42">
        <v>0</v>
      </c>
      <c r="CH341" s="39">
        <v>0</v>
      </c>
      <c r="CI341" s="78">
        <v>295.14045204647277</v>
      </c>
      <c r="CJ341" s="56"/>
      <c r="CK341" s="1034"/>
      <c r="CL341" s="1029"/>
      <c r="CM341" s="1034"/>
      <c r="CN341" s="1029">
        <v>0</v>
      </c>
      <c r="CO341" s="78">
        <v>238.32325111053197</v>
      </c>
      <c r="CP341" s="43">
        <v>0</v>
      </c>
      <c r="CQ341" s="1045"/>
      <c r="CR341" s="78">
        <v>329.16968131919367</v>
      </c>
      <c r="CS341" s="1033">
        <v>1897.568977730595</v>
      </c>
      <c r="CT341" s="9"/>
      <c r="CU341" s="78">
        <v>384.63402233013994</v>
      </c>
      <c r="CV341" s="43">
        <v>0</v>
      </c>
      <c r="CW341" s="9"/>
      <c r="CX341" s="78">
        <v>128.92024387365325</v>
      </c>
      <c r="CY341" s="43">
        <v>0</v>
      </c>
      <c r="CZ341" s="5"/>
      <c r="DA341" s="78">
        <v>70.451963789727856</v>
      </c>
      <c r="DB341" s="43">
        <v>0</v>
      </c>
      <c r="DC341" s="1045"/>
      <c r="DD341" s="78">
        <v>87.35891040695013</v>
      </c>
      <c r="DE341" s="43">
        <v>0</v>
      </c>
      <c r="DF341" s="5"/>
      <c r="DG341" s="78">
        <v>0</v>
      </c>
      <c r="DH341" s="43"/>
      <c r="DI341" s="5"/>
      <c r="DJ341" s="43">
        <v>1238.8580728301968</v>
      </c>
      <c r="DK341" s="43">
        <f t="shared" si="46"/>
        <v>1897.568977730595</v>
      </c>
      <c r="DL341" s="59">
        <f t="shared" si="47"/>
        <v>658.71090490039819</v>
      </c>
    </row>
    <row r="342" spans="1:116" ht="24.9" customHeight="1" x14ac:dyDescent="0.3">
      <c r="A342" s="328">
        <v>150000902</v>
      </c>
      <c r="B342" s="45" t="s">
        <v>403</v>
      </c>
      <c r="C342" s="1035">
        <v>9</v>
      </c>
      <c r="D342" s="1036" t="s">
        <v>454</v>
      </c>
      <c r="E342" s="1028">
        <f>'побудинковий звіт'!E340</f>
        <v>3516.6</v>
      </c>
      <c r="F342" s="1029">
        <f>'побудинковий звіт'!AS340</f>
        <v>70977.788290545548</v>
      </c>
      <c r="G342" s="1029">
        <f t="shared" si="40"/>
        <v>19663</v>
      </c>
      <c r="H342" s="1029">
        <f t="shared" si="41"/>
        <v>-51314.788290545548</v>
      </c>
      <c r="I342" s="43">
        <f>'[1]поточний ремонт'!I342+'[2]поточний ремонт'!I342-'[3]поточний ремонт'!I342</f>
        <v>29.08</v>
      </c>
      <c r="J342" s="43">
        <f>'[1]поточний ремонт'!J342+'[2]поточний ремонт'!J342-'[3]поточний ремонт'!J342</f>
        <v>9462</v>
      </c>
      <c r="K342" s="1037"/>
      <c r="L342" s="43">
        <f>'[1]поточний ремонт'!L342+'[2]поточний ремонт'!L342-'[3]поточний ремонт'!L342</f>
        <v>0</v>
      </c>
      <c r="M342" s="43">
        <f>'[1]поточний ремонт'!M342+'[2]поточний ремонт'!M342-'[3]поточний ремонт'!M342</f>
        <v>0</v>
      </c>
      <c r="N342" s="37"/>
      <c r="O342" s="43">
        <f>'[1]поточний ремонт'!O342+'[2]поточний ремонт'!O342-'[3]поточний ремонт'!O342</f>
        <v>0</v>
      </c>
      <c r="P342" s="43">
        <f>'[1]поточний ремонт'!P342+'[2]поточний ремонт'!P342-'[3]поточний ремонт'!P342</f>
        <v>0</v>
      </c>
      <c r="Q342" s="1038"/>
      <c r="R342" s="43">
        <f>'[1]поточний ремонт'!R342+'[2]поточний ремонт'!R342-'[3]поточний ремонт'!R342</f>
        <v>1</v>
      </c>
      <c r="S342" s="43">
        <f>'[1]поточний ремонт'!S342+'[2]поточний ремонт'!S342-'[3]поточний ремонт'!S342</f>
        <v>7008</v>
      </c>
      <c r="T342" s="1039"/>
      <c r="U342" s="43">
        <f>'[1]поточний ремонт'!U342+'[2]поточний ремонт'!U342-'[3]поточний ремонт'!U342</f>
        <v>0</v>
      </c>
      <c r="V342" s="43">
        <f>'[1]поточний ремонт'!V342+'[2]поточний ремонт'!V342-'[3]поточний ремонт'!V342</f>
        <v>0</v>
      </c>
      <c r="W342" s="43">
        <f>'[1]поточний ремонт'!W342+'[2]поточний ремонт'!W342-'[3]поточний ремонт'!W342</f>
        <v>0</v>
      </c>
      <c r="X342" s="43">
        <f>'[1]поточний ремонт'!X342+'[2]поточний ремонт'!X342-'[3]поточний ремонт'!X342</f>
        <v>0</v>
      </c>
      <c r="Y342" s="43">
        <f>'[1]поточний ремонт'!Y342+'[2]поточний ремонт'!Y342-'[3]поточний ремонт'!Y342</f>
        <v>418</v>
      </c>
      <c r="Z342" s="43">
        <f>'[1]поточний ремонт'!Z342+'[2]поточний ремонт'!Z342-'[3]поточний ремонт'!Z342</f>
        <v>0</v>
      </c>
      <c r="AA342" s="43">
        <f>'[1]поточний ремонт'!AA342+'[2]поточний ремонт'!AA342-'[3]поточний ремонт'!AA342</f>
        <v>0</v>
      </c>
      <c r="AB342" s="43">
        <f>'[1]поточний ремонт'!AB342+'[2]поточний ремонт'!AB342-'[3]поточний ремонт'!AB342</f>
        <v>0</v>
      </c>
      <c r="AC342" s="43">
        <f>'[1]поточний ремонт'!AC342+'[2]поточний ремонт'!AC342-'[3]поточний ремонт'!AC342</f>
        <v>934</v>
      </c>
      <c r="AD342" s="43">
        <f>'[1]поточний ремонт'!AD342+'[2]поточний ремонт'!AD342-'[3]поточний ремонт'!AD342</f>
        <v>1841</v>
      </c>
      <c r="AE342" s="43">
        <f>'[1]поточний ремонт'!AE342+'[2]поточний ремонт'!AE342-'[3]поточний ремонт'!AE342</f>
        <v>873.45748577359427</v>
      </c>
      <c r="AF342" s="43">
        <f>'[1]поточний ремонт'!AF342+'[2]поточний ремонт'!AF342-'[3]поточний ремонт'!AF342</f>
        <v>0</v>
      </c>
      <c r="AG342" s="1045"/>
      <c r="AH342" s="43">
        <f>'[1]поточний ремонт'!AH342+'[2]поточний ремонт'!AH342-'[3]поточний ремонт'!AH342</f>
        <v>1802.8058685410185</v>
      </c>
      <c r="AI342" s="43">
        <f>'[1]поточний ремонт'!AI342+'[2]поточний ремонт'!AI342-'[3]поточний ремонт'!AI342</f>
        <v>0</v>
      </c>
      <c r="AJ342" s="5"/>
      <c r="AK342" s="43">
        <f>'[1]поточний ремонт'!AK342+'[2]поточний ремонт'!AK342-'[3]поточний ремонт'!AK342</f>
        <v>1887.9244632684902</v>
      </c>
      <c r="AL342" s="43">
        <f>'[1]поточний ремонт'!AL342+'[2]поточний ремонт'!AL342-'[3]поточний ремонт'!AL342</f>
        <v>396</v>
      </c>
      <c r="AM342" s="9"/>
      <c r="AN342" s="43">
        <f>'[1]поточний ремонт'!AN342+'[2]поточний ремонт'!AN342-'[3]поточний ремонт'!AN342</f>
        <v>656.32542044597585</v>
      </c>
      <c r="AO342" s="43">
        <f>'[1]поточний ремонт'!AO342+'[2]поточний ремонт'!AO342-'[3]поточний ремонт'!AO342</f>
        <v>0</v>
      </c>
      <c r="AP342" s="5"/>
      <c r="AQ342" s="43">
        <f>'[1]поточний ремонт'!AQ342+'[2]поточний ремонт'!AQ342-'[3]поточний ремонт'!AQ342</f>
        <v>395.76741189229665</v>
      </c>
      <c r="AR342" s="43">
        <f>'[1]поточний ремонт'!AR342+'[2]поточний ремонт'!AR342-'[3]поточний ремонт'!AR342</f>
        <v>0</v>
      </c>
      <c r="AS342" s="1045"/>
      <c r="AT342" s="43">
        <f>'[1]поточний ремонт'!AT342+'[2]поточний ремонт'!AT342-'[3]поточний ремонт'!AT342</f>
        <v>1274.5443349308352</v>
      </c>
      <c r="AU342" s="43">
        <f>'[1]поточний ремонт'!AU342+'[2]поточний ремонт'!AU342-'[3]поточний ремонт'!AU342</f>
        <v>0</v>
      </c>
      <c r="AV342" s="9"/>
      <c r="AW342" s="43">
        <f>'[1]поточний ремонт'!AW342+'[2]поточний ремонт'!AW342-'[3]поточний ремонт'!AW342</f>
        <v>0</v>
      </c>
      <c r="AX342" s="43">
        <f>'[1]поточний ремонт'!AX342+'[2]поточний ремонт'!AX342-'[3]поточний ремонт'!AX342</f>
        <v>0</v>
      </c>
      <c r="AY342" s="5"/>
      <c r="AZ342" s="43">
        <f t="shared" si="42"/>
        <v>6890.8249848522119</v>
      </c>
      <c r="BA342" s="43">
        <f t="shared" si="43"/>
        <v>396</v>
      </c>
      <c r="BB342" s="59">
        <f t="shared" si="44"/>
        <v>-6494.8249848522119</v>
      </c>
      <c r="BD342" s="2">
        <v>3</v>
      </c>
      <c r="BF342" s="30">
        <v>267.70940649349421</v>
      </c>
      <c r="BG342" s="328">
        <v>150000902</v>
      </c>
      <c r="BI342" s="107">
        <v>0</v>
      </c>
      <c r="BJ342" s="107">
        <f t="shared" si="45"/>
        <v>0</v>
      </c>
      <c r="BK342" s="107">
        <v>0</v>
      </c>
      <c r="BL342" s="39"/>
      <c r="BM342" s="3"/>
      <c r="BN342" s="3">
        <v>0</v>
      </c>
      <c r="BP342" s="3"/>
      <c r="BQ342" s="3"/>
      <c r="BS342" s="43"/>
      <c r="BT342" s="43">
        <v>0</v>
      </c>
      <c r="BU342" s="1037"/>
      <c r="BV342" s="42"/>
      <c r="BW342" s="43"/>
      <c r="BX342" s="37"/>
      <c r="BY342" s="78"/>
      <c r="BZ342" s="43">
        <v>0</v>
      </c>
      <c r="CA342" s="1038"/>
      <c r="CB342" s="42"/>
      <c r="CC342" s="42">
        <v>0</v>
      </c>
      <c r="CD342" s="1039"/>
      <c r="CE342" s="78">
        <v>0</v>
      </c>
      <c r="CF342" s="56"/>
      <c r="CG342" s="42">
        <v>0</v>
      </c>
      <c r="CH342" s="39">
        <v>0</v>
      </c>
      <c r="CI342" s="78">
        <v>0</v>
      </c>
      <c r="CJ342" s="56"/>
      <c r="CK342" s="1034"/>
      <c r="CL342" s="1029"/>
      <c r="CM342" s="1034"/>
      <c r="CN342" s="1029">
        <v>0</v>
      </c>
      <c r="CO342" s="78">
        <v>72.788123814466189</v>
      </c>
      <c r="CP342" s="43">
        <v>0</v>
      </c>
      <c r="CQ342" s="1045"/>
      <c r="CR342" s="78">
        <v>150.23382237841824</v>
      </c>
      <c r="CS342" s="1033">
        <v>0</v>
      </c>
      <c r="CT342" s="5"/>
      <c r="CU342" s="78">
        <v>157.32703860570757</v>
      </c>
      <c r="CV342" s="43">
        <v>0</v>
      </c>
      <c r="CW342" s="9"/>
      <c r="CX342" s="78">
        <v>54.693785037164652</v>
      </c>
      <c r="CY342" s="43">
        <v>0</v>
      </c>
      <c r="CZ342" s="5"/>
      <c r="DA342" s="78">
        <v>32.980617657691397</v>
      </c>
      <c r="DB342" s="43">
        <v>0</v>
      </c>
      <c r="DC342" s="1045"/>
      <c r="DD342" s="78">
        <v>106.21202791090296</v>
      </c>
      <c r="DE342" s="43">
        <v>0</v>
      </c>
      <c r="DF342" s="9"/>
      <c r="DG342" s="78">
        <v>0</v>
      </c>
      <c r="DH342" s="43"/>
      <c r="DI342" s="5"/>
      <c r="DJ342" s="43">
        <v>574.2354154043511</v>
      </c>
      <c r="DK342" s="43">
        <f t="shared" si="46"/>
        <v>0</v>
      </c>
      <c r="DL342" s="59">
        <f t="shared" si="47"/>
        <v>-574.2354154043511</v>
      </c>
    </row>
    <row r="343" spans="1:116" ht="24.9" customHeight="1" x14ac:dyDescent="0.3">
      <c r="A343" s="328">
        <v>150000903</v>
      </c>
      <c r="B343" s="45" t="s">
        <v>404</v>
      </c>
      <c r="C343" s="1035">
        <v>9</v>
      </c>
      <c r="D343" s="1036" t="s">
        <v>454</v>
      </c>
      <c r="E343" s="1028">
        <f>'побудинковий звіт'!E341</f>
        <v>4153.8999999999996</v>
      </c>
      <c r="F343" s="1029">
        <f>'побудинковий звіт'!AS341</f>
        <v>78225.834250542743</v>
      </c>
      <c r="G343" s="1029">
        <f t="shared" si="40"/>
        <v>161268</v>
      </c>
      <c r="H343" s="1029">
        <f t="shared" si="41"/>
        <v>83042.165749457257</v>
      </c>
      <c r="I343" s="43">
        <f>'[1]поточний ремонт'!I343+'[2]поточний ремонт'!I343-'[3]поточний ремонт'!I343</f>
        <v>200.9</v>
      </c>
      <c r="J343" s="43">
        <f>'[1]поточний ремонт'!J343+'[2]поточний ремонт'!J343-'[3]поточний ремонт'!J343</f>
        <v>70470</v>
      </c>
      <c r="K343" s="1037"/>
      <c r="L343" s="43">
        <f>'[1]поточний ремонт'!L343+'[2]поточний ремонт'!L343-'[3]поточний ремонт'!L343</f>
        <v>0</v>
      </c>
      <c r="M343" s="43">
        <f>'[1]поточний ремонт'!M343+'[2]поточний ремонт'!M343-'[3]поточний ремонт'!M343</f>
        <v>0</v>
      </c>
      <c r="N343" s="37"/>
      <c r="O343" s="43">
        <f>'[1]поточний ремонт'!O343+'[2]поточний ремонт'!O343-'[3]поточний ремонт'!O343</f>
        <v>253</v>
      </c>
      <c r="P343" s="43">
        <f>'[1]поточний ремонт'!P343+'[2]поточний ремонт'!P343-'[3]поточний ремонт'!P343</f>
        <v>77324</v>
      </c>
      <c r="Q343" s="1038"/>
      <c r="R343" s="43">
        <f>'[1]поточний ремонт'!R343+'[2]поточний ремонт'!R343-'[3]поточний ремонт'!R343</f>
        <v>0</v>
      </c>
      <c r="S343" s="43">
        <f>'[1]поточний ремонт'!S343+'[2]поточний ремонт'!S343-'[3]поточний ремонт'!S343</f>
        <v>0</v>
      </c>
      <c r="T343" s="1048"/>
      <c r="U343" s="43">
        <f>'[1]поточний ремонт'!U343+'[2]поточний ремонт'!U343-'[3]поточний ремонт'!U343</f>
        <v>0</v>
      </c>
      <c r="V343" s="43">
        <f>'[1]поточний ремонт'!V343+'[2]поточний ремонт'!V343-'[3]поточний ремонт'!V343</f>
        <v>0</v>
      </c>
      <c r="W343" s="43">
        <f>'[1]поточний ремонт'!W343+'[2]поточний ремонт'!W343-'[3]поточний ремонт'!W343</f>
        <v>0</v>
      </c>
      <c r="X343" s="43">
        <f>'[1]поточний ремонт'!X343+'[2]поточний ремонт'!X343-'[3]поточний ремонт'!X343</f>
        <v>0</v>
      </c>
      <c r="Y343" s="43">
        <f>'[1]поточний ремонт'!Y343+'[2]поточний ремонт'!Y343-'[3]поточний ремонт'!Y343</f>
        <v>0</v>
      </c>
      <c r="Z343" s="43">
        <f>'[1]поточний ремонт'!Z343+'[2]поточний ремонт'!Z343-'[3]поточний ремонт'!Z343</f>
        <v>0</v>
      </c>
      <c r="AA343" s="43">
        <f>'[1]поточний ремонт'!AA343+'[2]поточний ремонт'!AA343-'[3]поточний ремонт'!AA343</f>
        <v>0</v>
      </c>
      <c r="AB343" s="43">
        <f>'[1]поточний ремонт'!AB343+'[2]поточний ремонт'!AB343-'[3]поточний ремонт'!AB343</f>
        <v>0</v>
      </c>
      <c r="AC343" s="43">
        <f>'[1]поточний ремонт'!AC343+'[2]поточний ремонт'!AC343-'[3]поточний ремонт'!AC343</f>
        <v>12031</v>
      </c>
      <c r="AD343" s="43">
        <f>'[1]поточний ремонт'!AD343+'[2]поточний ремонт'!AD343-'[3]поточний ремонт'!AD343</f>
        <v>1443</v>
      </c>
      <c r="AE343" s="43">
        <f>'[1]поточний ремонт'!AE343+'[2]поточний ремонт'!AE343-'[3]поточний ремонт'!AE343</f>
        <v>882.19659065611506</v>
      </c>
      <c r="AF343" s="43">
        <f>'[1]поточний ремонт'!AF343+'[2]поточний ремонт'!AF343-'[3]поточний ремонт'!AF343</f>
        <v>3867</v>
      </c>
      <c r="AG343" s="5"/>
      <c r="AH343" s="43">
        <f>'[1]поточний ремонт'!AH343+'[2]поточний ремонт'!AH343-'[3]поточний ремонт'!AH343</f>
        <v>1051.9885615022647</v>
      </c>
      <c r="AI343" s="43">
        <f>'[1]поточний ремонт'!AI343+'[2]поточний ремонт'!AI343-'[3]поточний ремонт'!AI343</f>
        <v>1312</v>
      </c>
      <c r="AJ343" s="5"/>
      <c r="AK343" s="43">
        <f>'[1]поточний ремонт'!AK343+'[2]поточний ремонт'!AK343-'[3]поточний ремонт'!AK343</f>
        <v>2140.9332461612007</v>
      </c>
      <c r="AL343" s="43">
        <f>'[1]поточний ремонт'!AL343+'[2]поточний ремонт'!AL343-'[3]поточний ремонт'!AL343</f>
        <v>1546</v>
      </c>
      <c r="AM343" s="9"/>
      <c r="AN343" s="43">
        <f>'[1]поточний ремонт'!AN343+'[2]поточний ремонт'!AN343-'[3]поточний ремонт'!AN343</f>
        <v>792.16419287732231</v>
      </c>
      <c r="AO343" s="43">
        <f>'[1]поточний ремонт'!AO343+'[2]поточний ремонт'!AO343-'[3]поточний ремонт'!AO343</f>
        <v>0</v>
      </c>
      <c r="AP343" s="5"/>
      <c r="AQ343" s="43">
        <f>'[1]поточний ремонт'!AQ343+'[2]поточний ремонт'!AQ343-'[3]поточний ремонт'!AQ343</f>
        <v>395.76741189229665</v>
      </c>
      <c r="AR343" s="43">
        <f>'[1]поточний ремонт'!AR343+'[2]поточний ремонт'!AR343-'[3]поточний ремонт'!AR343</f>
        <v>2176</v>
      </c>
      <c r="AS343" s="5"/>
      <c r="AT343" s="43">
        <f>'[1]поточний ремонт'!AT343+'[2]поточний ремонт'!AT343-'[3]поточний ремонт'!AT343</f>
        <v>1085.3744004546863</v>
      </c>
      <c r="AU343" s="43">
        <f>'[1]поточний ремонт'!AU343+'[2]поточний ремонт'!AU343-'[3]поточний ремонт'!AU343</f>
        <v>9540</v>
      </c>
      <c r="AV343" s="5"/>
      <c r="AW343" s="43">
        <f>'[1]поточний ремонт'!AW343+'[2]поточний ремонт'!AW343-'[3]поточний ремонт'!AW343</f>
        <v>0</v>
      </c>
      <c r="AX343" s="43">
        <f>'[1]поточний ремонт'!AX343+'[2]поточний ремонт'!AX343-'[3]поточний ремонт'!AX343</f>
        <v>0</v>
      </c>
      <c r="AY343" s="5"/>
      <c r="AZ343" s="43">
        <f t="shared" si="42"/>
        <v>6348.424403543886</v>
      </c>
      <c r="BA343" s="43">
        <f t="shared" si="43"/>
        <v>18441</v>
      </c>
      <c r="BB343" s="59">
        <f t="shared" si="44"/>
        <v>12092.575596456114</v>
      </c>
      <c r="BD343" s="2">
        <v>3</v>
      </c>
      <c r="BF343" s="30">
        <v>304.48739995810178</v>
      </c>
      <c r="BG343" s="328">
        <v>150000903</v>
      </c>
      <c r="BI343" s="107">
        <v>0</v>
      </c>
      <c r="BJ343" s="107">
        <f t="shared" si="45"/>
        <v>0</v>
      </c>
      <c r="BK343" s="107">
        <v>0</v>
      </c>
      <c r="BL343" s="39"/>
      <c r="BM343" s="3"/>
      <c r="BN343" s="3">
        <v>0</v>
      </c>
      <c r="BP343" s="3"/>
      <c r="BQ343" s="3"/>
      <c r="BS343" s="43"/>
      <c r="BT343" s="43">
        <v>0</v>
      </c>
      <c r="BU343" s="1037"/>
      <c r="BV343" s="42"/>
      <c r="BW343" s="43"/>
      <c r="BX343" s="37"/>
      <c r="BY343" s="78"/>
      <c r="BZ343" s="43">
        <v>0</v>
      </c>
      <c r="CA343" s="1038"/>
      <c r="CB343" s="42"/>
      <c r="CC343" s="42">
        <v>0</v>
      </c>
      <c r="CD343" s="1048"/>
      <c r="CE343" s="78">
        <v>0</v>
      </c>
      <c r="CF343" s="56"/>
      <c r="CG343" s="42">
        <v>0</v>
      </c>
      <c r="CH343" s="39">
        <v>0</v>
      </c>
      <c r="CI343" s="78">
        <v>0</v>
      </c>
      <c r="CJ343" s="56"/>
      <c r="CK343" s="1034"/>
      <c r="CL343" s="1029"/>
      <c r="CM343" s="1034"/>
      <c r="CN343" s="1029">
        <v>0</v>
      </c>
      <c r="CO343" s="78">
        <v>73.516382554676241</v>
      </c>
      <c r="CP343" s="43">
        <v>0</v>
      </c>
      <c r="CQ343" s="5"/>
      <c r="CR343" s="78">
        <v>87.665713458522063</v>
      </c>
      <c r="CS343" s="1033">
        <v>1969.5702160791147</v>
      </c>
      <c r="CT343" s="5"/>
      <c r="CU343" s="78">
        <v>178.41110384676671</v>
      </c>
      <c r="CV343" s="43">
        <v>0</v>
      </c>
      <c r="CW343" s="9"/>
      <c r="CX343" s="78">
        <v>66.013682739776854</v>
      </c>
      <c r="CY343" s="43">
        <v>0</v>
      </c>
      <c r="CZ343" s="5"/>
      <c r="DA343" s="78">
        <v>32.980617657691397</v>
      </c>
      <c r="DB343" s="43">
        <v>0</v>
      </c>
      <c r="DC343" s="5"/>
      <c r="DD343" s="78">
        <v>90.4478667045572</v>
      </c>
      <c r="DE343" s="43">
        <v>0</v>
      </c>
      <c r="DF343" s="5"/>
      <c r="DG343" s="78">
        <v>0</v>
      </c>
      <c r="DH343" s="43"/>
      <c r="DI343" s="5"/>
      <c r="DJ343" s="43">
        <v>529.03536696199046</v>
      </c>
      <c r="DK343" s="43">
        <f t="shared" si="46"/>
        <v>1969.5702160791147</v>
      </c>
      <c r="DL343" s="59">
        <f t="shared" si="47"/>
        <v>1440.5348491171244</v>
      </c>
    </row>
    <row r="344" spans="1:116" ht="26.25" customHeight="1" x14ac:dyDescent="0.3">
      <c r="A344" s="328">
        <v>150000904</v>
      </c>
      <c r="B344" s="45" t="s">
        <v>405</v>
      </c>
      <c r="C344" s="1035">
        <v>9</v>
      </c>
      <c r="D344" s="1036" t="s">
        <v>454</v>
      </c>
      <c r="E344" s="1028">
        <f>'побудинковий звіт'!E342</f>
        <v>2749.1</v>
      </c>
      <c r="F344" s="1029">
        <f>'побудинковий звіт'!AS342</f>
        <v>73601.723888411318</v>
      </c>
      <c r="G344" s="1029">
        <f t="shared" si="40"/>
        <v>137678</v>
      </c>
      <c r="H344" s="1029">
        <f t="shared" si="41"/>
        <v>64076.276111588682</v>
      </c>
      <c r="I344" s="43">
        <f>'[1]поточний ремонт'!I344+'[2]поточний ремонт'!I344-'[3]поточний ремонт'!I344</f>
        <v>32</v>
      </c>
      <c r="J344" s="43">
        <f>'[1]поточний ремонт'!J344+'[2]поточний ремонт'!J344-'[3]поточний ремонт'!J344</f>
        <v>10345</v>
      </c>
      <c r="K344" s="1037"/>
      <c r="L344" s="43">
        <f>'[1]поточний ремонт'!L344+'[2]поточний ремонт'!L344-'[3]поточний ремонт'!L344</f>
        <v>0</v>
      </c>
      <c r="M344" s="43">
        <f>'[1]поточний ремонт'!M344+'[2]поточний ремонт'!M344-'[3]поточний ремонт'!M344</f>
        <v>0</v>
      </c>
      <c r="N344" s="37"/>
      <c r="O344" s="43">
        <f>'[1]поточний ремонт'!O344+'[2]поточний ремонт'!O344-'[3]поточний ремонт'!O344</f>
        <v>0</v>
      </c>
      <c r="P344" s="43">
        <f>'[1]поточний ремонт'!P344+'[2]поточний ремонт'!P344-'[3]поточний ремонт'!P344</f>
        <v>0</v>
      </c>
      <c r="Q344" s="1038"/>
      <c r="R344" s="43">
        <f>'[1]поточний ремонт'!R344+'[2]поточний ремонт'!R344-'[3]поточний ремонт'!R344</f>
        <v>3</v>
      </c>
      <c r="S344" s="43">
        <f>'[1]поточний ремонт'!S344+'[2]поточний ремонт'!S344-'[3]поточний ремонт'!S344</f>
        <v>83539</v>
      </c>
      <c r="T344" s="1039"/>
      <c r="U344" s="43">
        <f>'[1]поточний ремонт'!U344+'[2]поточний ремонт'!U344-'[3]поточний ремонт'!U344</f>
        <v>19770</v>
      </c>
      <c r="V344" s="43">
        <f>'[1]поточний ремонт'!V344+'[2]поточний ремонт'!V344-'[3]поточний ремонт'!V344</f>
        <v>0</v>
      </c>
      <c r="W344" s="43">
        <f>'[1]поточний ремонт'!W344+'[2]поточний ремонт'!W344-'[3]поточний ремонт'!W344</f>
        <v>0</v>
      </c>
      <c r="X344" s="43">
        <f>'[1]поточний ремонт'!X344+'[2]поточний ремонт'!X344-'[3]поточний ремонт'!X344</f>
        <v>0</v>
      </c>
      <c r="Y344" s="43">
        <f>'[1]поточний ремонт'!Y344+'[2]поточний ремонт'!Y344-'[3]поточний ремонт'!Y344</f>
        <v>17889</v>
      </c>
      <c r="Z344" s="43">
        <f>'[1]поточний ремонт'!Z344+'[2]поточний ремонт'!Z344-'[3]поточний ремонт'!Z344</f>
        <v>0</v>
      </c>
      <c r="AA344" s="43">
        <f>'[1]поточний ремонт'!AA344+'[2]поточний ремонт'!AA344-'[3]поточний ремонт'!AA344</f>
        <v>0</v>
      </c>
      <c r="AB344" s="43">
        <f>'[1]поточний ремонт'!AB344+'[2]поточний ремонт'!AB344-'[3]поточний ремонт'!AB344</f>
        <v>0</v>
      </c>
      <c r="AC344" s="43">
        <f>'[1]поточний ремонт'!AC344+'[2]поточний ремонт'!AC344-'[3]поточний ремонт'!AC344</f>
        <v>4615.9999999999991</v>
      </c>
      <c r="AD344" s="43">
        <f>'[1]поточний ремонт'!AD344+'[2]поточний ремонт'!AD344-'[3]поточний ремонт'!AD344</f>
        <v>1519</v>
      </c>
      <c r="AE344" s="43">
        <f>'[1]поточний ремонт'!AE344+'[2]поточний ремонт'!AE344-'[3]поточний ремонт'!AE344</f>
        <v>1272.2652768709759</v>
      </c>
      <c r="AF344" s="43">
        <f>'[1]поточний ремонт'!AF344+'[2]поточний ремонт'!AF344-'[3]поточний ремонт'!AF344</f>
        <v>0</v>
      </c>
      <c r="AG344" s="5"/>
      <c r="AH344" s="43">
        <f>'[1]поточний ремонт'!AH344+'[2]поточний ремонт'!AH344-'[3]поточний ремонт'!AH344</f>
        <v>1825.6469303801011</v>
      </c>
      <c r="AI344" s="43">
        <f>'[1]поточний ремонт'!AI344+'[2]поточний ремонт'!AI344-'[3]поточний ремонт'!AI344</f>
        <v>1267</v>
      </c>
      <c r="AJ344" s="5"/>
      <c r="AK344" s="43">
        <f>'[1]поточний ремонт'!AK344+'[2]поточний ремонт'!AK344-'[3]поточний ремонт'!AK344</f>
        <v>2392.783400101333</v>
      </c>
      <c r="AL344" s="43">
        <f>'[1]поточний ремонт'!AL344+'[2]поточний ремонт'!AL344-'[3]поточний ремонт'!AL344</f>
        <v>1986</v>
      </c>
      <c r="AM344" s="5"/>
      <c r="AN344" s="43">
        <f>'[1]поточний ремонт'!AN344+'[2]поточний ремонт'!AN344-'[3]поточний ремонт'!AN344</f>
        <v>795.6374938276382</v>
      </c>
      <c r="AO344" s="43">
        <f>'[1]поточний ремонт'!AO344+'[2]поточний ремонт'!AO344-'[3]поточний ремонт'!AO344</f>
        <v>0</v>
      </c>
      <c r="AP344" s="5"/>
      <c r="AQ344" s="43">
        <f>'[1]поточний ремонт'!AQ344+'[2]поточний ремонт'!AQ344-'[3]поточний ремонт'!AQ344</f>
        <v>395.76741189229665</v>
      </c>
      <c r="AR344" s="43">
        <f>'[1]поточний ремонт'!AR344+'[2]поточний ремонт'!AR344-'[3]поточний ремонт'!AR344</f>
        <v>0</v>
      </c>
      <c r="AS344" s="5"/>
      <c r="AT344" s="43">
        <f>'[1]поточний ремонт'!AT344+'[2]поточний ремонт'!AT344-'[3]поточний ремонт'!AT344</f>
        <v>967.57549578016881</v>
      </c>
      <c r="AU344" s="43">
        <f>'[1]поточний ремонт'!AU344+'[2]поточний ремонт'!AU344-'[3]поточний ремонт'!AU344</f>
        <v>5091</v>
      </c>
      <c r="AV344" s="5"/>
      <c r="AW344" s="43">
        <f>'[1]поточний ремонт'!AW344+'[2]поточний ремонт'!AW344-'[3]поточний ремонт'!AW344</f>
        <v>0</v>
      </c>
      <c r="AX344" s="43">
        <f>'[1]поточний ремонт'!AX344+'[2]поточний ремонт'!AX344-'[3]поточний ремонт'!AX344</f>
        <v>0</v>
      </c>
      <c r="AY344" s="5"/>
      <c r="AZ344" s="43">
        <f t="shared" si="42"/>
        <v>7649.6760088525152</v>
      </c>
      <c r="BA344" s="43">
        <f t="shared" si="43"/>
        <v>8344</v>
      </c>
      <c r="BB344" s="59">
        <f t="shared" si="44"/>
        <v>694.32399114748478</v>
      </c>
      <c r="BD344" s="2">
        <v>3</v>
      </c>
      <c r="BF344" s="30">
        <v>327.95953399852209</v>
      </c>
      <c r="BG344" s="328">
        <v>150000904</v>
      </c>
      <c r="BI344" s="107">
        <v>0</v>
      </c>
      <c r="BJ344" s="107">
        <f t="shared" si="45"/>
        <v>0</v>
      </c>
      <c r="BK344" s="107">
        <v>0</v>
      </c>
      <c r="BL344" s="39"/>
      <c r="BM344" s="3"/>
      <c r="BN344" s="3">
        <v>0</v>
      </c>
      <c r="BP344" s="3"/>
      <c r="BQ344" s="3"/>
      <c r="BS344" s="43"/>
      <c r="BT344" s="43">
        <v>0</v>
      </c>
      <c r="BU344" s="1037"/>
      <c r="BV344" s="42"/>
      <c r="BW344" s="43"/>
      <c r="BX344" s="37"/>
      <c r="BY344" s="78"/>
      <c r="BZ344" s="43">
        <v>0</v>
      </c>
      <c r="CA344" s="1038"/>
      <c r="CB344" s="42"/>
      <c r="CC344" s="42">
        <v>0</v>
      </c>
      <c r="CD344" s="1039"/>
      <c r="CE344" s="78">
        <v>0</v>
      </c>
      <c r="CF344" s="1052"/>
      <c r="CG344" s="42">
        <v>0</v>
      </c>
      <c r="CH344" s="39">
        <v>0</v>
      </c>
      <c r="CI344" s="78">
        <v>0</v>
      </c>
      <c r="CJ344" s="1044"/>
      <c r="CK344" s="1034"/>
      <c r="CL344" s="1029"/>
      <c r="CM344" s="1034">
        <v>163</v>
      </c>
      <c r="CN344" s="1029">
        <v>0</v>
      </c>
      <c r="CO344" s="78">
        <v>106.02210640591466</v>
      </c>
      <c r="CP344" s="43">
        <v>0</v>
      </c>
      <c r="CQ344" s="5"/>
      <c r="CR344" s="78">
        <v>152.13724419834182</v>
      </c>
      <c r="CS344" s="1033">
        <v>0</v>
      </c>
      <c r="CT344" s="5"/>
      <c r="CU344" s="78">
        <v>199.3986166751111</v>
      </c>
      <c r="CV344" s="43">
        <v>0</v>
      </c>
      <c r="CW344" s="5"/>
      <c r="CX344" s="78">
        <v>66.303124485636502</v>
      </c>
      <c r="CY344" s="43">
        <v>0</v>
      </c>
      <c r="CZ344" s="5"/>
      <c r="DA344" s="78">
        <v>32.980617657691397</v>
      </c>
      <c r="DB344" s="43">
        <v>0</v>
      </c>
      <c r="DC344" s="5"/>
      <c r="DD344" s="78">
        <v>80.631291315014053</v>
      </c>
      <c r="DE344" s="43">
        <v>0</v>
      </c>
      <c r="DF344" s="5"/>
      <c r="DG344" s="78">
        <v>0</v>
      </c>
      <c r="DH344" s="43"/>
      <c r="DI344" s="5"/>
      <c r="DJ344" s="43">
        <v>637.47300073770953</v>
      </c>
      <c r="DK344" s="43">
        <f t="shared" si="46"/>
        <v>0</v>
      </c>
      <c r="DL344" s="59">
        <f t="shared" si="47"/>
        <v>-637.47300073770953</v>
      </c>
    </row>
    <row r="345" spans="1:116" ht="24.9" customHeight="1" x14ac:dyDescent="0.3">
      <c r="A345" s="328">
        <v>150000905</v>
      </c>
      <c r="B345" s="45" t="s">
        <v>426</v>
      </c>
      <c r="C345" s="1035">
        <v>14</v>
      </c>
      <c r="D345" s="1036" t="s">
        <v>454</v>
      </c>
      <c r="E345" s="1028">
        <f>'побудинковий звіт'!E343</f>
        <v>3757.8</v>
      </c>
      <c r="F345" s="1029">
        <f>'побудинковий звіт'!AS343</f>
        <v>80760.473166265059</v>
      </c>
      <c r="G345" s="1029">
        <f t="shared" si="40"/>
        <v>17492</v>
      </c>
      <c r="H345" s="1029">
        <f t="shared" si="41"/>
        <v>-63268.473166265059</v>
      </c>
      <c r="I345" s="43">
        <f>'[1]поточний ремонт'!I345+'[2]поточний ремонт'!I345-'[3]поточний ремонт'!I345</f>
        <v>19</v>
      </c>
      <c r="J345" s="43">
        <f>'[1]поточний ремонт'!J345+'[2]поточний ремонт'!J345-'[3]поточний ремонт'!J345</f>
        <v>4832</v>
      </c>
      <c r="K345" s="1037"/>
      <c r="L345" s="43">
        <f>'[1]поточний ремонт'!L345+'[2]поточний ремонт'!L345-'[3]поточний ремонт'!L345</f>
        <v>0</v>
      </c>
      <c r="M345" s="43">
        <f>'[1]поточний ремонт'!M345+'[2]поточний ремонт'!M345-'[3]поточний ремонт'!M345</f>
        <v>0</v>
      </c>
      <c r="N345" s="37"/>
      <c r="O345" s="43">
        <f>'[1]поточний ремонт'!O345+'[2]поточний ремонт'!O345-'[3]поточний ремонт'!O345</f>
        <v>0</v>
      </c>
      <c r="P345" s="43">
        <f>'[1]поточний ремонт'!P345+'[2]поточний ремонт'!P345-'[3]поточний ремонт'!P345</f>
        <v>0</v>
      </c>
      <c r="Q345" s="1038"/>
      <c r="R345" s="43">
        <f>'[1]поточний ремонт'!R345+'[2]поточний ремонт'!R345-'[3]поточний ремонт'!R345</f>
        <v>3</v>
      </c>
      <c r="S345" s="43">
        <f>'[1]поточний ремонт'!S345+'[2]поточний ремонт'!S345-'[3]поточний ремонт'!S345</f>
        <v>8702</v>
      </c>
      <c r="T345" s="1039"/>
      <c r="U345" s="43">
        <f>'[1]поточний ремонт'!U345+'[2]поточний ремонт'!U345-'[3]поточний ремонт'!U345</f>
        <v>0</v>
      </c>
      <c r="V345" s="43">
        <f>'[1]поточний ремонт'!V345+'[2]поточний ремонт'!V345-'[3]поточний ремонт'!V345</f>
        <v>0</v>
      </c>
      <c r="W345" s="43">
        <f>'[1]поточний ремонт'!W345+'[2]поточний ремонт'!W345-'[3]поточний ремонт'!W345</f>
        <v>0</v>
      </c>
      <c r="X345" s="43">
        <f>'[1]поточний ремонт'!X345+'[2]поточний ремонт'!X345-'[3]поточний ремонт'!X345</f>
        <v>0</v>
      </c>
      <c r="Y345" s="43">
        <f>'[1]поточний ремонт'!Y345+'[2]поточний ремонт'!Y345-'[3]поточний ремонт'!Y345</f>
        <v>58</v>
      </c>
      <c r="Z345" s="43">
        <f>'[1]поточний ремонт'!Z345+'[2]поточний ремонт'!Z345-'[3]поточний ремонт'!Z345</f>
        <v>0</v>
      </c>
      <c r="AA345" s="43">
        <f>'[1]поточний ремонт'!AA345+'[2]поточний ремонт'!AA345-'[3]поточний ремонт'!AA345</f>
        <v>0</v>
      </c>
      <c r="AB345" s="43">
        <f>'[1]поточний ремонт'!AB345+'[2]поточний ремонт'!AB345-'[3]поточний ремонт'!AB345</f>
        <v>629</v>
      </c>
      <c r="AC345" s="43">
        <f>'[1]поточний ремонт'!AC345+'[2]поточний ремонт'!AC345-'[3]поточний ремонт'!AC345</f>
        <v>1979</v>
      </c>
      <c r="AD345" s="43">
        <f>'[1]поточний ремонт'!AD345+'[2]поточний ремонт'!AD345-'[3]поточний ремонт'!AD345</f>
        <v>1292.0000000000005</v>
      </c>
      <c r="AE345" s="43">
        <f>'[1]поточний ремонт'!AE345+'[2]поточний ремонт'!AE345-'[3]поточний ремонт'!AE345</f>
        <v>1100.3676954919524</v>
      </c>
      <c r="AF345" s="43">
        <f>'[1]поточний ремонт'!AF345+'[2]поточний ремонт'!AF345-'[3]поточний ремонт'!AF345</f>
        <v>0</v>
      </c>
      <c r="AG345" s="5"/>
      <c r="AH345" s="43">
        <f>'[1]поточний ремонт'!AH345+'[2]поточний ремонт'!AH345-'[3]поточний ремонт'!AH345</f>
        <v>1310.1712145579525</v>
      </c>
      <c r="AI345" s="43">
        <f>'[1]поточний ремонт'!AI345+'[2]поточний ремонт'!AI345-'[3]поточний ремонт'!AI345</f>
        <v>0</v>
      </c>
      <c r="AJ345" s="5"/>
      <c r="AK345" s="43">
        <f>'[1]поточний ремонт'!AK345+'[2]поточний ремонт'!AK345-'[3]поточний ремонт'!AK345</f>
        <v>3132.0217920108812</v>
      </c>
      <c r="AL345" s="43">
        <f>'[1]поточний ремонт'!AL345+'[2]поточний ремонт'!AL345-'[3]поточний ремонт'!AL345</f>
        <v>2309</v>
      </c>
      <c r="AM345" s="5"/>
      <c r="AN345" s="43">
        <f>'[1]поточний ремонт'!AN345+'[2]поточний ремонт'!AN345-'[3]поточний ремонт'!AN345</f>
        <v>867.26268650334418</v>
      </c>
      <c r="AO345" s="43">
        <f>'[1]поточний ремонт'!AO345+'[2]поточний ремонт'!AO345-'[3]поточний ремонт'!AO345</f>
        <v>0</v>
      </c>
      <c r="AP345" s="5"/>
      <c r="AQ345" s="43">
        <f>'[1]поточний ремонт'!AQ345+'[2]поточний ремонт'!AQ345-'[3]поточний ремонт'!AQ345</f>
        <v>404.82147576979139</v>
      </c>
      <c r="AR345" s="43">
        <f>'[1]поточний ремонт'!AR345+'[2]поточний ремонт'!AR345-'[3]поточний ремонт'!AR345</f>
        <v>0</v>
      </c>
      <c r="AS345" s="5"/>
      <c r="AT345" s="43">
        <f>'[1]поточний ремонт'!AT345+'[2]поточний ремонт'!AT345-'[3]поточний ремонт'!AT345</f>
        <v>857.52417112585692</v>
      </c>
      <c r="AU345" s="43">
        <f>'[1]поточний ремонт'!AU345+'[2]поточний ремонт'!AU345-'[3]поточний ремонт'!AU345</f>
        <v>4279.0000000000018</v>
      </c>
      <c r="AV345" s="5"/>
      <c r="AW345" s="43">
        <f>'[1]поточний ремонт'!AW345+'[2]поточний ремонт'!AW345-'[3]поточний ремонт'!AW345</f>
        <v>0</v>
      </c>
      <c r="AX345" s="43">
        <f>'[1]поточний ремонт'!AX345+'[2]поточний ремонт'!AX345-'[3]поточний ремонт'!AX345</f>
        <v>0</v>
      </c>
      <c r="AY345" s="5"/>
      <c r="AZ345" s="43">
        <f t="shared" si="42"/>
        <v>7672.1690354597786</v>
      </c>
      <c r="BA345" s="43">
        <f t="shared" si="43"/>
        <v>6588.0000000000018</v>
      </c>
      <c r="BB345" s="59">
        <f t="shared" si="44"/>
        <v>-1084.1690354597768</v>
      </c>
      <c r="BD345" s="2">
        <v>3</v>
      </c>
      <c r="BF345" s="30">
        <v>410.50132127296536</v>
      </c>
      <c r="BG345" s="328">
        <v>150000905</v>
      </c>
      <c r="BI345" s="107">
        <v>0</v>
      </c>
      <c r="BJ345" s="107">
        <f t="shared" si="45"/>
        <v>0</v>
      </c>
      <c r="BK345" s="107">
        <v>0</v>
      </c>
      <c r="BL345" s="39"/>
      <c r="BM345" s="3"/>
      <c r="BN345" s="3">
        <v>0</v>
      </c>
      <c r="BP345" s="3"/>
      <c r="BQ345" s="3"/>
      <c r="BS345" s="43"/>
      <c r="BT345" s="43">
        <v>0</v>
      </c>
      <c r="BU345" s="1037"/>
      <c r="BV345" s="42"/>
      <c r="BW345" s="43"/>
      <c r="BX345" s="37"/>
      <c r="BY345" s="78"/>
      <c r="BZ345" s="43">
        <v>0</v>
      </c>
      <c r="CA345" s="1038"/>
      <c r="CB345" s="42">
        <v>1</v>
      </c>
      <c r="CC345" s="42">
        <v>4093.8022580193197</v>
      </c>
      <c r="CD345" s="1039"/>
      <c r="CE345" s="78">
        <v>0</v>
      </c>
      <c r="CF345" s="56"/>
      <c r="CG345" s="42">
        <v>0</v>
      </c>
      <c r="CH345" s="39">
        <v>0</v>
      </c>
      <c r="CI345" s="78">
        <v>0</v>
      </c>
      <c r="CJ345" s="56"/>
      <c r="CK345" s="1034"/>
      <c r="CL345" s="1029"/>
      <c r="CM345" s="1034"/>
      <c r="CN345" s="1029">
        <v>3399.2118711128005</v>
      </c>
      <c r="CO345" s="78">
        <v>91.697307957662701</v>
      </c>
      <c r="CP345" s="43">
        <v>0</v>
      </c>
      <c r="CQ345" s="5"/>
      <c r="CR345" s="78">
        <v>109.18093454649606</v>
      </c>
      <c r="CS345" s="1033">
        <v>0</v>
      </c>
      <c r="CT345" s="5"/>
      <c r="CU345" s="78">
        <v>261.00181600090679</v>
      </c>
      <c r="CV345" s="43">
        <v>0</v>
      </c>
      <c r="CW345" s="5"/>
      <c r="CX345" s="78">
        <v>72.271890541945339</v>
      </c>
      <c r="CY345" s="43">
        <v>0</v>
      </c>
      <c r="CZ345" s="5"/>
      <c r="DA345" s="78">
        <v>33.735122980815945</v>
      </c>
      <c r="DB345" s="43">
        <v>0</v>
      </c>
      <c r="DC345" s="5"/>
      <c r="DD345" s="78">
        <v>71.460347593821396</v>
      </c>
      <c r="DE345" s="43">
        <v>0</v>
      </c>
      <c r="DF345" s="5"/>
      <c r="DG345" s="78">
        <v>0</v>
      </c>
      <c r="DH345" s="43"/>
      <c r="DI345" s="5"/>
      <c r="DJ345" s="43">
        <v>639.34741962164833</v>
      </c>
      <c r="DK345" s="43">
        <f t="shared" si="46"/>
        <v>0</v>
      </c>
      <c r="DL345" s="59">
        <f t="shared" si="47"/>
        <v>-639.34741962164833</v>
      </c>
    </row>
    <row r="346" spans="1:116" ht="24.9" customHeight="1" x14ac:dyDescent="0.3">
      <c r="A346" s="328">
        <v>150000906</v>
      </c>
      <c r="B346" s="45" t="s">
        <v>406</v>
      </c>
      <c r="C346" s="1035">
        <v>9</v>
      </c>
      <c r="D346" s="1036" t="s">
        <v>454</v>
      </c>
      <c r="E346" s="1028">
        <f>'побудинковий звіт'!E344</f>
        <v>2741.4</v>
      </c>
      <c r="F346" s="1029">
        <f>'побудинковий звіт'!AS344</f>
        <v>84522.63483610531</v>
      </c>
      <c r="G346" s="1029">
        <f t="shared" si="40"/>
        <v>96673</v>
      </c>
      <c r="H346" s="1029">
        <f t="shared" si="41"/>
        <v>12150.36516389469</v>
      </c>
      <c r="I346" s="43">
        <f>'[1]поточний ремонт'!I346+'[2]поточний ремонт'!I346-'[3]поточний ремонт'!I346</f>
        <v>137.35</v>
      </c>
      <c r="J346" s="43">
        <f>'[1]поточний ремонт'!J346+'[2]поточний ремонт'!J346-'[3]поточний ремонт'!J346</f>
        <v>65663</v>
      </c>
      <c r="K346" s="1037"/>
      <c r="L346" s="43">
        <f>'[1]поточний ремонт'!L346+'[2]поточний ремонт'!L346-'[3]поточний ремонт'!L346</f>
        <v>0</v>
      </c>
      <c r="M346" s="43">
        <f>'[1]поточний ремонт'!M346+'[2]поточний ремонт'!M346-'[3]поточний ремонт'!M346</f>
        <v>4087</v>
      </c>
      <c r="N346" s="37"/>
      <c r="O346" s="43">
        <f>'[1]поточний ремонт'!O346+'[2]поточний ремонт'!O346-'[3]поточний ремонт'!O346</f>
        <v>0</v>
      </c>
      <c r="P346" s="43">
        <f>'[1]поточний ремонт'!P346+'[2]поточний ремонт'!P346-'[3]поточний ремонт'!P346</f>
        <v>2882</v>
      </c>
      <c r="Q346" s="1046"/>
      <c r="R346" s="43">
        <f>'[1]поточний ремонт'!R346+'[2]поточний ремонт'!R346-'[3]поточний ремонт'!R346</f>
        <v>3</v>
      </c>
      <c r="S346" s="43">
        <f>'[1]поточний ремонт'!S346+'[2]поточний ремонт'!S346-'[3]поточний ремонт'!S346</f>
        <v>12727</v>
      </c>
      <c r="T346" s="1039"/>
      <c r="U346" s="43">
        <f>'[1]поточний ремонт'!U346+'[2]поточний ремонт'!U346-'[3]поточний ремонт'!U346</f>
        <v>0</v>
      </c>
      <c r="V346" s="43">
        <f>'[1]поточний ремонт'!V346+'[2]поточний ремонт'!V346-'[3]поточний ремонт'!V346</f>
        <v>0</v>
      </c>
      <c r="W346" s="43">
        <f>'[1]поточний ремонт'!W346+'[2]поточний ремонт'!W346-'[3]поточний ремонт'!W346</f>
        <v>0</v>
      </c>
      <c r="X346" s="43">
        <f>'[1]поточний ремонт'!X346+'[2]поточний ремонт'!X346-'[3]поточний ремонт'!X346</f>
        <v>0</v>
      </c>
      <c r="Y346" s="43">
        <f>'[1]поточний ремонт'!Y346+'[2]поточний ремонт'!Y346-'[3]поточний ремонт'!Y346</f>
        <v>0</v>
      </c>
      <c r="Z346" s="43">
        <f>'[1]поточний ремонт'!Z346+'[2]поточний ремонт'!Z346-'[3]поточний ремонт'!Z346</f>
        <v>0</v>
      </c>
      <c r="AA346" s="43">
        <f>'[1]поточний ремонт'!AA346+'[2]поточний ремонт'!AA346-'[3]поточний ремонт'!AA346</f>
        <v>0</v>
      </c>
      <c r="AB346" s="43">
        <f>'[1]поточний ремонт'!AB346+'[2]поточний ремонт'!AB346-'[3]поточний ремонт'!AB346</f>
        <v>2793</v>
      </c>
      <c r="AC346" s="43">
        <f>'[1]поточний ремонт'!AC346+'[2]поточний ремонт'!AC346-'[3]поточний ремонт'!AC346</f>
        <v>6194</v>
      </c>
      <c r="AD346" s="43">
        <f>'[1]поточний ремонт'!AD346+'[2]поточний ремонт'!AD346-'[3]поточний ремонт'!AD346</f>
        <v>2327</v>
      </c>
      <c r="AE346" s="43">
        <f>'[1]поточний ремонт'!AE346+'[2]поточний ремонт'!AE346-'[3]поточний ремонт'!AE346</f>
        <v>485.26905014436051</v>
      </c>
      <c r="AF346" s="43">
        <f>'[1]поточний ремонт'!AF346+'[2]поточний ремонт'!AF346-'[3]поточний ремонт'!AF346</f>
        <v>0</v>
      </c>
      <c r="AG346" s="1045"/>
      <c r="AH346" s="43">
        <f>'[1]поточний ремонт'!AH346+'[2]поточний ремонт'!AH346-'[3]поточний ремонт'!AH346</f>
        <v>1079.9006036806279</v>
      </c>
      <c r="AI346" s="43">
        <f>'[1]поточний ремонт'!AI346+'[2]поточний ремонт'!AI346-'[3]поточний ремонт'!AI346</f>
        <v>0</v>
      </c>
      <c r="AJ346" s="5"/>
      <c r="AK346" s="43">
        <f>'[1]поточний ремонт'!AK346+'[2]поточний ремонт'!AK346-'[3]поточний ремонт'!AK346</f>
        <v>1284.1042070213362</v>
      </c>
      <c r="AL346" s="43">
        <f>'[1]поточний ремонт'!AL346+'[2]поточний ремонт'!AL346-'[3]поточний ремонт'!AL346</f>
        <v>766</v>
      </c>
      <c r="AM346" s="5"/>
      <c r="AN346" s="43">
        <f>'[1]поточний ремонт'!AN346+'[2]поточний ремонт'!AN346-'[3]поточний ремонт'!AN346</f>
        <v>429.72755535611037</v>
      </c>
      <c r="AO346" s="43">
        <f>'[1]поточний ремонт'!AO346+'[2]поточний ремонт'!AO346-'[3]поточний ремонт'!AO346</f>
        <v>546</v>
      </c>
      <c r="AP346" s="5"/>
      <c r="AQ346" s="43">
        <f>'[1]поточний ремонт'!AQ346+'[2]поточний ремонт'!AQ346-'[3]поточний ремонт'!AQ346</f>
        <v>237.46044713537805</v>
      </c>
      <c r="AR346" s="43">
        <f>'[1]поточний ремонт'!AR346+'[2]поточний ремонт'!AR346-'[3]поточний ремонт'!AR346</f>
        <v>0</v>
      </c>
      <c r="AS346" s="1053"/>
      <c r="AT346" s="43">
        <f>'[1]поточний ремонт'!AT346+'[2]поточний ремонт'!AT346-'[3]поточний ремонт'!AT346</f>
        <v>822.09871507764683</v>
      </c>
      <c r="AU346" s="43">
        <f>'[1]поточний ремонт'!AU346+'[2]поточний ремонт'!AU346-'[3]поточний ремонт'!AU346</f>
        <v>1351</v>
      </c>
      <c r="AV346" s="5"/>
      <c r="AW346" s="43">
        <f>'[1]поточний ремонт'!AW346+'[2]поточний ремонт'!AW346-'[3]поточний ремонт'!AW346</f>
        <v>0</v>
      </c>
      <c r="AX346" s="43">
        <f>'[1]поточний ремонт'!AX346+'[2]поточний ремонт'!AX346-'[3]поточний ремонт'!AX346</f>
        <v>0</v>
      </c>
      <c r="AY346" s="5"/>
      <c r="AZ346" s="43">
        <f t="shared" si="42"/>
        <v>4338.5605784154595</v>
      </c>
      <c r="BA346" s="43">
        <f t="shared" si="43"/>
        <v>2663</v>
      </c>
      <c r="BB346" s="59">
        <f t="shared" si="44"/>
        <v>-1675.5605784154595</v>
      </c>
      <c r="BD346" s="2">
        <v>3</v>
      </c>
      <c r="BF346" s="30">
        <v>294.19703698993533</v>
      </c>
      <c r="BG346" s="328">
        <v>150000906</v>
      </c>
      <c r="BI346" s="107">
        <v>0</v>
      </c>
      <c r="BJ346" s="107">
        <f t="shared" si="45"/>
        <v>0</v>
      </c>
      <c r="BK346" s="107">
        <v>0</v>
      </c>
      <c r="BL346" s="39"/>
      <c r="BM346" s="3"/>
      <c r="BN346" s="3">
        <v>0</v>
      </c>
      <c r="BP346" s="3"/>
      <c r="BQ346" s="3"/>
      <c r="BS346" s="43"/>
      <c r="BT346" s="43">
        <v>0</v>
      </c>
      <c r="BU346" s="1037"/>
      <c r="BV346" s="42"/>
      <c r="BW346" s="43"/>
      <c r="BX346" s="37"/>
      <c r="BY346" s="78"/>
      <c r="BZ346" s="43">
        <v>0</v>
      </c>
      <c r="CA346" s="1046"/>
      <c r="CB346" s="42"/>
      <c r="CC346" s="42">
        <v>0</v>
      </c>
      <c r="CD346" s="1039"/>
      <c r="CE346" s="78">
        <v>0</v>
      </c>
      <c r="CF346" s="56"/>
      <c r="CG346" s="42">
        <v>0</v>
      </c>
      <c r="CH346" s="39">
        <v>0</v>
      </c>
      <c r="CI346" s="78">
        <v>0</v>
      </c>
      <c r="CJ346" s="56"/>
      <c r="CK346" s="1034"/>
      <c r="CL346" s="1029"/>
      <c r="CM346" s="1034"/>
      <c r="CN346" s="1029">
        <v>8190.2699404236128</v>
      </c>
      <c r="CO346" s="78">
        <v>40.439087512030049</v>
      </c>
      <c r="CP346" s="43">
        <v>0</v>
      </c>
      <c r="CQ346" s="1045"/>
      <c r="CR346" s="78">
        <v>89.991716973385635</v>
      </c>
      <c r="CS346" s="1033">
        <v>0</v>
      </c>
      <c r="CT346" s="5"/>
      <c r="CU346" s="78">
        <v>107.00868391844469</v>
      </c>
      <c r="CV346" s="43">
        <v>718.39040951413278</v>
      </c>
      <c r="CW346" s="5"/>
      <c r="CX346" s="78">
        <v>35.810629613009191</v>
      </c>
      <c r="CY346" s="43">
        <v>0</v>
      </c>
      <c r="CZ346" s="5"/>
      <c r="DA346" s="78">
        <v>19.78837059461484</v>
      </c>
      <c r="DB346" s="43">
        <v>0</v>
      </c>
      <c r="DC346" s="1053"/>
      <c r="DD346" s="78">
        <v>68.50822625647055</v>
      </c>
      <c r="DE346" s="43">
        <v>0</v>
      </c>
      <c r="DF346" s="5"/>
      <c r="DG346" s="78">
        <v>0</v>
      </c>
      <c r="DH346" s="43"/>
      <c r="DI346" s="5"/>
      <c r="DJ346" s="43">
        <v>361.54671486795496</v>
      </c>
      <c r="DK346" s="43">
        <f t="shared" si="46"/>
        <v>718.39040951413278</v>
      </c>
      <c r="DL346" s="59">
        <f t="shared" si="47"/>
        <v>356.84369464617782</v>
      </c>
    </row>
    <row r="347" spans="1:116" ht="24.9" customHeight="1" x14ac:dyDescent="0.3">
      <c r="A347" s="328">
        <v>150000907</v>
      </c>
      <c r="B347" s="45" t="s">
        <v>407</v>
      </c>
      <c r="C347" s="1035">
        <v>9</v>
      </c>
      <c r="D347" s="1036" t="s">
        <v>454</v>
      </c>
      <c r="E347" s="1028">
        <f>'побудинковий звіт'!E345</f>
        <v>4247.05</v>
      </c>
      <c r="F347" s="1029">
        <f>'побудинковий звіт'!AS345</f>
        <v>119790.64123548624</v>
      </c>
      <c r="G347" s="1029">
        <f t="shared" si="40"/>
        <v>104705.25628876314</v>
      </c>
      <c r="H347" s="1029">
        <f t="shared" si="41"/>
        <v>-15085.384946723105</v>
      </c>
      <c r="I347" s="43">
        <f>'[1]поточний ремонт'!I347+'[2]поточний ремонт'!I347-'[3]поточний ремонт'!I347</f>
        <v>16.899999999999999</v>
      </c>
      <c r="J347" s="43">
        <f>'[1]поточний ремонт'!J347+'[2]поточний ремонт'!J347-'[3]поточний ремонт'!J347</f>
        <v>9333</v>
      </c>
      <c r="K347" s="1037"/>
      <c r="L347" s="43">
        <f>'[1]поточний ремонт'!L347+'[2]поточний ремонт'!L347-'[3]поточний ремонт'!L347</f>
        <v>0</v>
      </c>
      <c r="M347" s="43">
        <f>'[1]поточний ремонт'!M347+'[2]поточний ремонт'!M347-'[3]поточний ремонт'!M347</f>
        <v>6840</v>
      </c>
      <c r="N347" s="37"/>
      <c r="O347" s="43">
        <f>'[1]поточний ремонт'!O347+'[2]поточний ремонт'!O347-'[3]поточний ремонт'!O347</f>
        <v>0</v>
      </c>
      <c r="P347" s="43">
        <f>'[1]поточний ремонт'!P347+'[2]поточний ремонт'!P347-'[3]поточний ремонт'!P347</f>
        <v>0</v>
      </c>
      <c r="Q347" s="1038"/>
      <c r="R347" s="43">
        <f>'[1]поточний ремонт'!R347+'[2]поточний ремонт'!R347-'[3]поточний ремонт'!R347</f>
        <v>0</v>
      </c>
      <c r="S347" s="43">
        <f>'[1]поточний ремонт'!S347+'[2]поточний ремонт'!S347-'[3]поточний ремонт'!S347</f>
        <v>12584</v>
      </c>
      <c r="T347" s="1047"/>
      <c r="U347" s="43">
        <f>'[1]поточний ремонт'!U347+'[2]поточний ремонт'!U347-'[3]поточний ремонт'!U347</f>
        <v>39695</v>
      </c>
      <c r="V347" s="43">
        <f>'[1]поточний ремонт'!V347+'[2]поточний ремонт'!V347-'[3]поточний ремонт'!V347</f>
        <v>0</v>
      </c>
      <c r="W347" s="43">
        <f>'[1]поточний ремонт'!W347+'[2]поточний ремонт'!W347-'[3]поточний ремонт'!W347</f>
        <v>17.5</v>
      </c>
      <c r="X347" s="43">
        <f>'[1]поточний ремонт'!X347+'[2]поточний ремонт'!X347-'[3]поточний ремонт'!X347</f>
        <v>5908.2562887631293</v>
      </c>
      <c r="Y347" s="43">
        <f>'[1]поточний ремонт'!Y347+'[2]поточний ремонт'!Y347-'[3]поточний ремонт'!Y347</f>
        <v>0</v>
      </c>
      <c r="Z347" s="43">
        <f>'[1]поточний ремонт'!Z347+'[2]поточний ремонт'!Z347-'[3]поточний ремонт'!Z347</f>
        <v>0</v>
      </c>
      <c r="AA347" s="43">
        <f>'[1]поточний ремонт'!AA347+'[2]поточний ремонт'!AA347-'[3]поточний ремонт'!AA347</f>
        <v>0</v>
      </c>
      <c r="AB347" s="43">
        <f>'[1]поточний ремонт'!AB347+'[2]поточний ремонт'!AB347-'[3]поточний ремонт'!AB347</f>
        <v>6165</v>
      </c>
      <c r="AC347" s="43">
        <f>'[1]поточний ремонт'!AC347+'[2]поточний ремонт'!AC347-'[3]поточний ремонт'!AC347</f>
        <v>20636</v>
      </c>
      <c r="AD347" s="43">
        <f>'[1]поточний ремонт'!AD347+'[2]поточний ремонт'!AD347-'[3]поточний ремонт'!AD347</f>
        <v>3544</v>
      </c>
      <c r="AE347" s="43">
        <f>'[1]поточний ремонт'!AE347+'[2]поточний ремонт'!AE347-'[3]поточний ремонт'!AE347</f>
        <v>2044.0764602940471</v>
      </c>
      <c r="AF347" s="43">
        <f>'[1]поточний ремонт'!AF347+'[2]поточний ремонт'!AF347-'[3]поточний ремонт'!AF347</f>
        <v>0</v>
      </c>
      <c r="AG347" s="5"/>
      <c r="AH347" s="43">
        <f>'[1]поточний ремонт'!AH347+'[2]поточний ремонт'!AH347-'[3]поточний ремонт'!AH347</f>
        <v>2736.4458668964667</v>
      </c>
      <c r="AI347" s="43">
        <f>'[1]поточний ремонт'!AI347+'[2]поточний ремонт'!AI347-'[3]поточний ремонт'!AI347</f>
        <v>0</v>
      </c>
      <c r="AJ347" s="5"/>
      <c r="AK347" s="43">
        <f>'[1]поточний ремонт'!AK347+'[2]поточний ремонт'!AK347-'[3]поточний ремонт'!AK347</f>
        <v>6902.7085316133061</v>
      </c>
      <c r="AL347" s="43">
        <f>'[1]поточний ремонт'!AL347+'[2]поточний ремонт'!AL347-'[3]поточний ремонт'!AL347</f>
        <v>2075</v>
      </c>
      <c r="AM347" s="1059"/>
      <c r="AN347" s="43">
        <f>'[1]поточний ремонт'!AN347+'[2]поточний ремонт'!AN347-'[3]поточний ремонт'!AN347</f>
        <v>2191.6728433297608</v>
      </c>
      <c r="AO347" s="43">
        <f>'[1]поточний ремонт'!AO347+'[2]поточний ремонт'!AO347-'[3]поточний ремонт'!AO347</f>
        <v>3859</v>
      </c>
      <c r="AP347" s="5"/>
      <c r="AQ347" s="43">
        <f>'[1]поточний ремонт'!AQ347+'[2]поточний ремонт'!AQ347-'[3]поточний ремонт'!AQ347</f>
        <v>593.65087276649558</v>
      </c>
      <c r="AR347" s="43">
        <f>'[1]поточний ремонт'!AR347+'[2]поточний ремонт'!AR347-'[3]поточний ремонт'!AR347</f>
        <v>0</v>
      </c>
      <c r="AS347" s="5"/>
      <c r="AT347" s="43">
        <f>'[1]поточний ремонт'!AT347+'[2]поточний ремонт'!AT347-'[3]поточний ремонт'!AT347</f>
        <v>2362.2684840502652</v>
      </c>
      <c r="AU347" s="43">
        <f>'[1]поточний ремонт'!AU347+'[2]поточний ремонт'!AU347-'[3]поточний ремонт'!AU347</f>
        <v>2344.3281330271284</v>
      </c>
      <c r="AV347" s="5"/>
      <c r="AW347" s="43">
        <f>'[1]поточний ремонт'!AW347+'[2]поточний ремонт'!AW347-'[3]поточний ремонт'!AW347</f>
        <v>0</v>
      </c>
      <c r="AX347" s="43">
        <f>'[1]поточний ремонт'!AX347+'[2]поточний ремонт'!AX347-'[3]поточний ремонт'!AX347</f>
        <v>0</v>
      </c>
      <c r="AY347" s="5"/>
      <c r="AZ347" s="43">
        <f t="shared" si="42"/>
        <v>16830.823058950344</v>
      </c>
      <c r="BA347" s="43">
        <f t="shared" si="43"/>
        <v>8278.3281330271275</v>
      </c>
      <c r="BB347" s="59">
        <f t="shared" si="44"/>
        <v>-8552.4949259232162</v>
      </c>
      <c r="BD347" s="2">
        <v>3</v>
      </c>
      <c r="BF347" s="30">
        <v>471.54321254896558</v>
      </c>
      <c r="BG347" s="328">
        <v>150000907</v>
      </c>
      <c r="BI347" s="107">
        <v>286.34000000000003</v>
      </c>
      <c r="BJ347" s="107">
        <f t="shared" si="45"/>
        <v>40.277214348000001</v>
      </c>
      <c r="BK347" s="107">
        <v>330.23185482664002</v>
      </c>
      <c r="BL347" s="39"/>
      <c r="BM347" s="3"/>
      <c r="BN347" s="3">
        <v>0</v>
      </c>
      <c r="BP347" s="3"/>
      <c r="BQ347" s="3"/>
      <c r="BS347" s="43"/>
      <c r="BT347" s="43">
        <v>0</v>
      </c>
      <c r="BU347" s="1037"/>
      <c r="BV347" s="42"/>
      <c r="BW347" s="43"/>
      <c r="BX347" s="37"/>
      <c r="BY347" s="78"/>
      <c r="BZ347" s="43">
        <v>0</v>
      </c>
      <c r="CA347" s="1038"/>
      <c r="CB347" s="42"/>
      <c r="CC347" s="42">
        <v>0</v>
      </c>
      <c r="CD347" s="1047"/>
      <c r="CE347" s="78">
        <v>0</v>
      </c>
      <c r="CF347" s="56"/>
      <c r="CG347" s="42">
        <v>0</v>
      </c>
      <c r="CH347" s="39">
        <v>330.23185482664002</v>
      </c>
      <c r="CI347" s="78">
        <v>0</v>
      </c>
      <c r="CJ347" s="1051"/>
      <c r="CK347" s="1034"/>
      <c r="CL347" s="1029"/>
      <c r="CM347" s="1034"/>
      <c r="CN347" s="1029">
        <v>0</v>
      </c>
      <c r="CO347" s="78">
        <v>170.33970502450393</v>
      </c>
      <c r="CP347" s="43">
        <v>0</v>
      </c>
      <c r="CQ347" s="5"/>
      <c r="CR347" s="78">
        <v>228.03715557470557</v>
      </c>
      <c r="CS347" s="1033">
        <v>0</v>
      </c>
      <c r="CT347" s="5"/>
      <c r="CU347" s="78">
        <v>575.2257109677754</v>
      </c>
      <c r="CV347" s="43">
        <v>0</v>
      </c>
      <c r="CW347" s="1059"/>
      <c r="CX347" s="78">
        <v>182.63940361081345</v>
      </c>
      <c r="CY347" s="43">
        <v>0</v>
      </c>
      <c r="CZ347" s="5"/>
      <c r="DA347" s="78">
        <v>49.470906063874629</v>
      </c>
      <c r="DB347" s="43">
        <v>0</v>
      </c>
      <c r="DC347" s="5"/>
      <c r="DD347" s="78">
        <v>196.85570700418873</v>
      </c>
      <c r="DE347" s="43">
        <v>286.91561174638451</v>
      </c>
      <c r="DF347" s="5"/>
      <c r="DG347" s="78">
        <v>0</v>
      </c>
      <c r="DH347" s="43"/>
      <c r="DI347" s="5"/>
      <c r="DJ347" s="43">
        <v>1402.568588245862</v>
      </c>
      <c r="DK347" s="43">
        <f t="shared" si="46"/>
        <v>286.91561174638451</v>
      </c>
      <c r="DL347" s="59">
        <f t="shared" si="47"/>
        <v>-1115.6529764994775</v>
      </c>
    </row>
    <row r="348" spans="1:116" ht="24.9" customHeight="1" x14ac:dyDescent="0.3">
      <c r="A348" s="328">
        <v>150000908</v>
      </c>
      <c r="B348" s="45" t="s">
        <v>408</v>
      </c>
      <c r="C348" s="1035">
        <v>9</v>
      </c>
      <c r="D348" s="1036" t="s">
        <v>454</v>
      </c>
      <c r="E348" s="1028">
        <f>'побудинковий звіт'!E346</f>
        <v>2756.25</v>
      </c>
      <c r="F348" s="1029">
        <f>'побудинковий звіт'!AS346</f>
        <v>117867.25457260704</v>
      </c>
      <c r="G348" s="1029">
        <f t="shared" si="40"/>
        <v>33419.3827536018</v>
      </c>
      <c r="H348" s="1029">
        <f t="shared" si="41"/>
        <v>-84447.871819005231</v>
      </c>
      <c r="I348" s="43">
        <f>'[1]поточний ремонт'!I348+'[2]поточний ремонт'!I348-'[3]поточний ремонт'!I348</f>
        <v>41.2</v>
      </c>
      <c r="J348" s="43">
        <f>'[1]поточний ремонт'!J348+'[2]поточний ремонт'!J348-'[3]поточний ремонт'!J348</f>
        <v>12151</v>
      </c>
      <c r="K348" s="1037"/>
      <c r="L348" s="43">
        <f>'[1]поточний ремонт'!L348+'[2]поточний ремонт'!L348-'[3]поточний ремонт'!L348</f>
        <v>0</v>
      </c>
      <c r="M348" s="43">
        <f>'[1]поточний ремонт'!M348+'[2]поточний ремонт'!M348-'[3]поточний ремонт'!M348</f>
        <v>0</v>
      </c>
      <c r="N348" s="37"/>
      <c r="O348" s="43">
        <f>'[1]поточний ремонт'!O348+'[2]поточний ремонт'!O348-'[3]поточний ремонт'!O348</f>
        <v>0</v>
      </c>
      <c r="P348" s="43">
        <f>'[1]поточний ремонт'!P348+'[2]поточний ремонт'!P348-'[3]поточний ремонт'!P348</f>
        <v>0</v>
      </c>
      <c r="Q348" s="1038"/>
      <c r="R348" s="43">
        <f>'[1]поточний ремонт'!R348+'[2]поточний ремонт'!R348-'[3]поточний ремонт'!R348</f>
        <v>1</v>
      </c>
      <c r="S348" s="43">
        <f>'[1]поточний ремонт'!S348+'[2]поточний ремонт'!S348-'[3]поточний ремонт'!S348</f>
        <v>1377</v>
      </c>
      <c r="T348" s="1047"/>
      <c r="U348" s="43">
        <f>'[1]поточний ремонт'!U348+'[2]поточний ремонт'!U348-'[3]поточний ремонт'!U348</f>
        <v>0</v>
      </c>
      <c r="V348" s="43">
        <f>'[1]поточний ремонт'!V348+'[2]поточний ремонт'!V348-'[3]поточний ремонт'!V348</f>
        <v>0</v>
      </c>
      <c r="W348" s="43">
        <f>'[1]поточний ремонт'!W348+'[2]поточний ремонт'!W348-'[3]поточний ремонт'!W348</f>
        <v>0</v>
      </c>
      <c r="X348" s="43">
        <f>'[1]поточний ремонт'!X348+'[2]поточний ремонт'!X348-'[3]поточний ремонт'!X348</f>
        <v>3255.3827536017989</v>
      </c>
      <c r="Y348" s="43">
        <f>'[1]поточний ремонт'!Y348+'[2]поточний ремонт'!Y348-'[3]поточний ремонт'!Y348</f>
        <v>0</v>
      </c>
      <c r="Z348" s="43">
        <f>'[1]поточний ремонт'!Z348+'[2]поточний ремонт'!Z348-'[3]поточний ремонт'!Z348</f>
        <v>0</v>
      </c>
      <c r="AA348" s="43">
        <f>'[1]поточний ремонт'!AA348+'[2]поточний ремонт'!AA348-'[3]поточний ремонт'!AA348</f>
        <v>0</v>
      </c>
      <c r="AB348" s="43">
        <f>'[1]поточний ремонт'!AB348+'[2]поточний ремонт'!AB348-'[3]поточний ремонт'!AB348</f>
        <v>11480</v>
      </c>
      <c r="AC348" s="43">
        <f>'[1]поточний ремонт'!AC348+'[2]поточний ремонт'!AC348-'[3]поточний ремонт'!AC348</f>
        <v>3278</v>
      </c>
      <c r="AD348" s="43">
        <f>'[1]поточний ремонт'!AD348+'[2]поточний ремонт'!AD348-'[3]поточний ремонт'!AD348</f>
        <v>1878</v>
      </c>
      <c r="AE348" s="43">
        <f>'[1]поточний ремонт'!AE348+'[2]поточний ремонт'!AE348-'[3]поточний ремонт'!AE348</f>
        <v>2046.6116167010289</v>
      </c>
      <c r="AF348" s="43">
        <f>'[1]поточний ремонт'!AF348+'[2]поточний ремонт'!AF348-'[3]поточний ремонт'!AF348</f>
        <v>0</v>
      </c>
      <c r="AG348" s="5"/>
      <c r="AH348" s="43">
        <f>'[1]поточний ремонт'!AH348+'[2]поточний ремонт'!AH348-'[3]поточний ремонт'!AH348</f>
        <v>2741.9230945974464</v>
      </c>
      <c r="AI348" s="43">
        <f>'[1]поточний ремонт'!AI348+'[2]поточний ремонт'!AI348-'[3]поточний ремонт'!AI348</f>
        <v>0</v>
      </c>
      <c r="AJ348" s="5"/>
      <c r="AK348" s="43">
        <f>'[1]поточний ремонт'!AK348+'[2]поточний ремонт'!AK348-'[3]поточний ремонт'!AK348</f>
        <v>6713.6697995061731</v>
      </c>
      <c r="AL348" s="43">
        <f>'[1]поточний ремонт'!AL348+'[2]поточний ремонт'!AL348-'[3]поточний ремонт'!AL348</f>
        <v>634</v>
      </c>
      <c r="AM348" s="1045"/>
      <c r="AN348" s="43">
        <f>'[1]поточний ремонт'!AN348+'[2]поточний ремонт'!AN348-'[3]поточний ремонт'!AN348</f>
        <v>2192.0995414858194</v>
      </c>
      <c r="AO348" s="43">
        <f>'[1]поточний ремонт'!AO348+'[2]поточний ремонт'!AO348-'[3]поточний ремонт'!AO348</f>
        <v>2080</v>
      </c>
      <c r="AP348" s="5"/>
      <c r="AQ348" s="43">
        <f>'[1]поточний ремонт'!AQ348+'[2]поточний ремонт'!AQ348-'[3]поточний ремонт'!AQ348</f>
        <v>593.65087276649558</v>
      </c>
      <c r="AR348" s="43">
        <f>'[1]поточний ремонт'!AR348+'[2]поточний ремонт'!AR348-'[3]поточний ремонт'!AR348</f>
        <v>0</v>
      </c>
      <c r="AS348" s="5"/>
      <c r="AT348" s="43">
        <f>'[1]поточний ремонт'!AT348+'[2]поточний ремонт'!AT348-'[3]поточний ремонт'!AT348</f>
        <v>2372.6484981695335</v>
      </c>
      <c r="AU348" s="43">
        <f>'[1]поточний ремонт'!AU348+'[2]поточний ремонт'!AU348-'[3]поточний ремонт'!AU348</f>
        <v>5221</v>
      </c>
      <c r="AV348" s="5"/>
      <c r="AW348" s="43">
        <f>'[1]поточний ремонт'!AW348+'[2]поточний ремонт'!AW348-'[3]поточний ремонт'!AW348</f>
        <v>0</v>
      </c>
      <c r="AX348" s="43">
        <f>'[1]поточний ремонт'!AX348+'[2]поточний ремонт'!AX348-'[3]поточний ремонт'!AX348</f>
        <v>0</v>
      </c>
      <c r="AY348" s="5"/>
      <c r="AZ348" s="43">
        <f t="shared" si="42"/>
        <v>16660.603423226494</v>
      </c>
      <c r="BA348" s="43">
        <f t="shared" si="43"/>
        <v>7935</v>
      </c>
      <c r="BB348" s="59">
        <f t="shared" si="44"/>
        <v>-8725.6034232264938</v>
      </c>
      <c r="BD348" s="2">
        <v>3</v>
      </c>
      <c r="BF348" s="30">
        <v>472.1957976769047</v>
      </c>
      <c r="BG348" s="328">
        <v>150000908</v>
      </c>
      <c r="BI348" s="107">
        <v>242.92</v>
      </c>
      <c r="BJ348" s="107">
        <f t="shared" si="45"/>
        <v>34.169661623999993</v>
      </c>
      <c r="BK348" s="107">
        <v>280.15618556431997</v>
      </c>
      <c r="BL348" s="39"/>
      <c r="BM348" s="3"/>
      <c r="BN348" s="3">
        <v>0</v>
      </c>
      <c r="BP348" s="3"/>
      <c r="BQ348" s="3"/>
      <c r="BS348" s="43"/>
      <c r="BT348" s="43">
        <v>0</v>
      </c>
      <c r="BU348" s="1037"/>
      <c r="BV348" s="42"/>
      <c r="BW348" s="43"/>
      <c r="BX348" s="37"/>
      <c r="BY348" s="78"/>
      <c r="BZ348" s="43">
        <v>0</v>
      </c>
      <c r="CA348" s="1038"/>
      <c r="CB348" s="42"/>
      <c r="CC348" s="42">
        <v>0</v>
      </c>
      <c r="CD348" s="1047"/>
      <c r="CE348" s="78">
        <v>0</v>
      </c>
      <c r="CF348" s="56"/>
      <c r="CG348" s="42">
        <v>0</v>
      </c>
      <c r="CH348" s="39">
        <v>280.15618556431997</v>
      </c>
      <c r="CI348" s="78">
        <v>0</v>
      </c>
      <c r="CJ348" s="1051"/>
      <c r="CK348" s="1034"/>
      <c r="CL348" s="1029"/>
      <c r="CM348" s="1034"/>
      <c r="CN348" s="1029">
        <v>0</v>
      </c>
      <c r="CO348" s="78">
        <v>170.55096805841904</v>
      </c>
      <c r="CP348" s="43">
        <v>0</v>
      </c>
      <c r="CQ348" s="5"/>
      <c r="CR348" s="78">
        <v>228.49359121645389</v>
      </c>
      <c r="CS348" s="1033">
        <v>0</v>
      </c>
      <c r="CT348" s="5"/>
      <c r="CU348" s="78">
        <v>559.4724832921811</v>
      </c>
      <c r="CV348" s="43">
        <v>0</v>
      </c>
      <c r="CW348" s="1045"/>
      <c r="CX348" s="78">
        <v>182.67496179048493</v>
      </c>
      <c r="CY348" s="43">
        <v>0</v>
      </c>
      <c r="CZ348" s="5"/>
      <c r="DA348" s="78">
        <v>49.470906063874629</v>
      </c>
      <c r="DB348" s="43">
        <v>0</v>
      </c>
      <c r="DC348" s="5"/>
      <c r="DD348" s="78">
        <v>197.72070818079445</v>
      </c>
      <c r="DE348" s="43">
        <v>0</v>
      </c>
      <c r="DF348" s="5"/>
      <c r="DG348" s="78">
        <v>0</v>
      </c>
      <c r="DH348" s="43"/>
      <c r="DI348" s="5"/>
      <c r="DJ348" s="43">
        <v>1388.3836186022081</v>
      </c>
      <c r="DK348" s="43">
        <f t="shared" si="46"/>
        <v>0</v>
      </c>
      <c r="DL348" s="59">
        <f t="shared" si="47"/>
        <v>-1388.3836186022081</v>
      </c>
    </row>
    <row r="349" spans="1:116" ht="24.9" customHeight="1" x14ac:dyDescent="0.3">
      <c r="A349" s="328">
        <v>150000909</v>
      </c>
      <c r="B349" s="45" t="s">
        <v>409</v>
      </c>
      <c r="C349" s="1035">
        <v>9</v>
      </c>
      <c r="D349" s="1036" t="s">
        <v>454</v>
      </c>
      <c r="E349" s="1028">
        <f>'побудинковий звіт'!E347</f>
        <v>472.1</v>
      </c>
      <c r="F349" s="1029">
        <f>'побудинковий звіт'!AS347</f>
        <v>117368.21422997452</v>
      </c>
      <c r="G349" s="1029">
        <f t="shared" si="40"/>
        <v>33386.60064095525</v>
      </c>
      <c r="H349" s="1029">
        <f t="shared" si="41"/>
        <v>-83981.613589019267</v>
      </c>
      <c r="I349" s="43">
        <f>'[1]поточний ремонт'!I349+'[2]поточний ремонт'!I349-'[3]поточний ремонт'!I349</f>
        <v>46.680000000000007</v>
      </c>
      <c r="J349" s="43">
        <f>'[1]поточний ремонт'!J349+'[2]поточний ремонт'!J349-'[3]поточний ремонт'!J349</f>
        <v>17279</v>
      </c>
      <c r="K349" s="1044"/>
      <c r="L349" s="43">
        <f>'[1]поточний ремонт'!L349+'[2]поточний ремонт'!L349-'[3]поточний ремонт'!L349</f>
        <v>0</v>
      </c>
      <c r="M349" s="43">
        <f>'[1]поточний ремонт'!M349+'[2]поточний ремонт'!M349-'[3]поточний ремонт'!M349</f>
        <v>0</v>
      </c>
      <c r="N349" s="37"/>
      <c r="O349" s="43">
        <f>'[1]поточний ремонт'!O349+'[2]поточний ремонт'!O349-'[3]поточний ремонт'!O349</f>
        <v>0</v>
      </c>
      <c r="P349" s="43">
        <f>'[1]поточний ремонт'!P349+'[2]поточний ремонт'!P349-'[3]поточний ремонт'!P349</f>
        <v>0</v>
      </c>
      <c r="Q349" s="1038"/>
      <c r="R349" s="43">
        <f>'[1]поточний ремонт'!R349+'[2]поточний ремонт'!R349-'[3]поточний ремонт'!R349</f>
        <v>2</v>
      </c>
      <c r="S349" s="43">
        <f>'[1]поточний ремонт'!S349+'[2]поточний ремонт'!S349-'[3]поточний ремонт'!S349</f>
        <v>3882</v>
      </c>
      <c r="T349" s="1048"/>
      <c r="U349" s="43">
        <f>'[1]поточний ремонт'!U349+'[2]поточний ремонт'!U349-'[3]поточний ремонт'!U349</f>
        <v>0</v>
      </c>
      <c r="V349" s="43">
        <f>'[1]поточний ремонт'!V349+'[2]поточний ремонт'!V349-'[3]поточний ремонт'!V349</f>
        <v>0</v>
      </c>
      <c r="W349" s="43">
        <f>'[1]поточний ремонт'!W349+'[2]поточний ремонт'!W349-'[3]поточний ремонт'!W349</f>
        <v>0</v>
      </c>
      <c r="X349" s="43">
        <f>'[1]поточний ремонт'!X349+'[2]поточний ремонт'!X349-'[3]поточний ремонт'!X349</f>
        <v>3100.6006409552456</v>
      </c>
      <c r="Y349" s="43">
        <f>'[1]поточний ремонт'!Y349+'[2]поточний ремонт'!Y349-'[3]поточний ремонт'!Y349</f>
        <v>0</v>
      </c>
      <c r="Z349" s="43">
        <f>'[1]поточний ремонт'!Z349+'[2]поточний ремонт'!Z349-'[3]поточний ремонт'!Z349</f>
        <v>0</v>
      </c>
      <c r="AA349" s="43">
        <f>'[1]поточний ремонт'!AA349+'[2]поточний ремонт'!AA349-'[3]поточний ремонт'!AA349</f>
        <v>0</v>
      </c>
      <c r="AB349" s="43">
        <f>'[1]поточний ремонт'!AB349+'[2]поточний ремонт'!AB349-'[3]поточний ремонт'!AB349</f>
        <v>3825</v>
      </c>
      <c r="AC349" s="43">
        <f>'[1]поточний ремонт'!AC349+'[2]поточний ремонт'!AC349-'[3]поточний ремонт'!AC349</f>
        <v>2283</v>
      </c>
      <c r="AD349" s="43">
        <f>'[1]поточний ремонт'!AD349+'[2]поточний ремонт'!AD349-'[3]поточний ремонт'!AD349</f>
        <v>3017</v>
      </c>
      <c r="AE349" s="43">
        <f>'[1]поточний ремонт'!AE349+'[2]поточний ремонт'!AE349-'[3]поточний ремонт'!AE349</f>
        <v>2033.6873449741875</v>
      </c>
      <c r="AF349" s="43">
        <f>'[1]поточний ремонт'!AF349+'[2]поточний ремонт'!AF349-'[3]поточний ремонт'!AF349</f>
        <v>0</v>
      </c>
      <c r="AG349" s="9"/>
      <c r="AH349" s="43">
        <f>'[1]поточний ремонт'!AH349+'[2]поточний ремонт'!AH349-'[3]поточний ремонт'!AH349</f>
        <v>2727.2100912539804</v>
      </c>
      <c r="AI349" s="43">
        <f>'[1]поточний ремонт'!AI349+'[2]поточний ремонт'!AI349-'[3]поточний ремонт'!AI349</f>
        <v>3696</v>
      </c>
      <c r="AJ349" s="9"/>
      <c r="AK349" s="43">
        <f>'[1]поточний ремонт'!AK349+'[2]поточний ремонт'!AK349-'[3]поточний ремонт'!AK349</f>
        <v>6943.484518507028</v>
      </c>
      <c r="AL349" s="43">
        <f>'[1]поточний ремонт'!AL349+'[2]поточний ремонт'!AL349-'[3]поточний ремонт'!AL349</f>
        <v>9625</v>
      </c>
      <c r="AM349" s="1059"/>
      <c r="AN349" s="43">
        <f>'[1]поточний ремонт'!AN349+'[2]поточний ремонт'!AN349-'[3]поточний ремонт'!AN349</f>
        <v>2210.136569664422</v>
      </c>
      <c r="AO349" s="43">
        <f>'[1]поточний ремонт'!AO349+'[2]поточний ремонт'!AO349-'[3]поточний ремонт'!AO349</f>
        <v>0</v>
      </c>
      <c r="AP349" s="5"/>
      <c r="AQ349" s="43">
        <f>'[1]поточний ремонт'!AQ349+'[2]поточний ремонт'!AQ349-'[3]поточний ремонт'!AQ349</f>
        <v>593.65087276649558</v>
      </c>
      <c r="AR349" s="43">
        <f>'[1]поточний ремонт'!AR349+'[2]поточний ремонт'!AR349-'[3]поточний ремонт'!AR349</f>
        <v>0</v>
      </c>
      <c r="AS349" s="5"/>
      <c r="AT349" s="43">
        <f>'[1]поточний ремонт'!AT349+'[2]поточний ремонт'!AT349-'[3]поточний ремонт'!AT349</f>
        <v>2344.6002256413972</v>
      </c>
      <c r="AU349" s="43">
        <f>'[1]поточний ремонт'!AU349+'[2]поточний ремонт'!AU349-'[3]поточний ремонт'!AU349</f>
        <v>2139</v>
      </c>
      <c r="AV349" s="1057"/>
      <c r="AW349" s="43">
        <f>'[1]поточний ремонт'!AW349+'[2]поточний ремонт'!AW349-'[3]поточний ремонт'!AW349</f>
        <v>0</v>
      </c>
      <c r="AX349" s="43">
        <f>'[1]поточний ремонт'!AX349+'[2]поточний ремонт'!AX349-'[3]поточний ремонт'!AX349</f>
        <v>0</v>
      </c>
      <c r="AY349" s="5"/>
      <c r="AZ349" s="43">
        <f t="shared" si="42"/>
        <v>16852.769622807511</v>
      </c>
      <c r="BA349" s="43">
        <f t="shared" si="43"/>
        <v>15460</v>
      </c>
      <c r="BB349" s="59">
        <f t="shared" si="44"/>
        <v>-1392.769622807511</v>
      </c>
      <c r="BD349" s="2">
        <v>3</v>
      </c>
      <c r="BF349" s="30">
        <v>473.59291291644445</v>
      </c>
      <c r="BG349" s="328">
        <v>150000909</v>
      </c>
      <c r="BI349" s="107">
        <v>231.37</v>
      </c>
      <c r="BJ349" s="107">
        <f t="shared" si="45"/>
        <v>32.545013214000001</v>
      </c>
      <c r="BK349" s="107">
        <v>266.83573462051999</v>
      </c>
      <c r="BL349" s="39"/>
      <c r="BM349" s="3"/>
      <c r="BN349" s="3">
        <v>0</v>
      </c>
      <c r="BP349" s="3"/>
      <c r="BQ349" s="3"/>
      <c r="BS349" s="43"/>
      <c r="BT349" s="43">
        <v>0</v>
      </c>
      <c r="BU349" s="1044"/>
      <c r="BV349" s="42"/>
      <c r="BW349" s="43"/>
      <c r="BX349" s="37"/>
      <c r="BY349" s="78"/>
      <c r="BZ349" s="43">
        <v>0</v>
      </c>
      <c r="CA349" s="1038"/>
      <c r="CB349" s="42"/>
      <c r="CC349" s="42">
        <v>0</v>
      </c>
      <c r="CD349" s="1048"/>
      <c r="CE349" s="78">
        <v>0</v>
      </c>
      <c r="CF349" s="56"/>
      <c r="CG349" s="42">
        <v>0</v>
      </c>
      <c r="CH349" s="39">
        <v>266.83573462051999</v>
      </c>
      <c r="CI349" s="78">
        <v>0</v>
      </c>
      <c r="CJ349" s="1051"/>
      <c r="CK349" s="1034"/>
      <c r="CL349" s="1029"/>
      <c r="CM349" s="1034"/>
      <c r="CN349" s="1029">
        <v>0</v>
      </c>
      <c r="CO349" s="78">
        <v>169.47394541451564</v>
      </c>
      <c r="CP349" s="43">
        <v>0</v>
      </c>
      <c r="CQ349" s="9"/>
      <c r="CR349" s="78">
        <v>227.26750760449835</v>
      </c>
      <c r="CS349" s="1033">
        <v>0</v>
      </c>
      <c r="CT349" s="9"/>
      <c r="CU349" s="78">
        <v>578.62370987558575</v>
      </c>
      <c r="CV349" s="43">
        <v>0</v>
      </c>
      <c r="CW349" s="1059"/>
      <c r="CX349" s="78">
        <v>184.17804747203516</v>
      </c>
      <c r="CY349" s="43">
        <v>0</v>
      </c>
      <c r="CZ349" s="5"/>
      <c r="DA349" s="78">
        <v>49.470906063874629</v>
      </c>
      <c r="DB349" s="43">
        <v>0</v>
      </c>
      <c r="DC349" s="5"/>
      <c r="DD349" s="78">
        <v>195.38335213678309</v>
      </c>
      <c r="DE349" s="43">
        <v>0</v>
      </c>
      <c r="DF349" s="1057"/>
      <c r="DG349" s="78">
        <v>0</v>
      </c>
      <c r="DH349" s="43"/>
      <c r="DI349" s="5"/>
      <c r="DJ349" s="43">
        <v>1404.3974685672927</v>
      </c>
      <c r="DK349" s="43">
        <f t="shared" si="46"/>
        <v>0</v>
      </c>
      <c r="DL349" s="59">
        <f t="shared" si="47"/>
        <v>-1404.3974685672927</v>
      </c>
    </row>
    <row r="350" spans="1:116" ht="24.9" customHeight="1" x14ac:dyDescent="0.3">
      <c r="A350" s="328">
        <v>150000910</v>
      </c>
      <c r="B350" s="45" t="s">
        <v>410</v>
      </c>
      <c r="C350" s="1035">
        <v>9</v>
      </c>
      <c r="D350" s="1036" t="s">
        <v>454</v>
      </c>
      <c r="E350" s="1028">
        <f>'побудинковий звіт'!E348</f>
        <v>6327.1</v>
      </c>
      <c r="F350" s="1029">
        <f>'побудинковий звіт'!AS348</f>
        <v>117781.48222047184</v>
      </c>
      <c r="G350" s="1029">
        <f t="shared" si="40"/>
        <v>141016.3280225748</v>
      </c>
      <c r="H350" s="1029">
        <f t="shared" si="41"/>
        <v>23234.845802102966</v>
      </c>
      <c r="I350" s="43">
        <f>'[1]поточний ремонт'!I350+'[2]поточний ремонт'!I350-'[3]поточний ремонт'!I350</f>
        <v>40</v>
      </c>
      <c r="J350" s="43">
        <f>'[1]поточний ремонт'!J350+'[2]поточний ремонт'!J350-'[3]поточний ремонт'!J350</f>
        <v>16026</v>
      </c>
      <c r="K350" s="1037"/>
      <c r="L350" s="43">
        <f>'[1]поточний ремонт'!L350+'[2]поточний ремонт'!L350-'[3]поточний ремонт'!L350</f>
        <v>0</v>
      </c>
      <c r="M350" s="43">
        <f>'[1]поточний ремонт'!M350+'[2]поточний ремонт'!M350-'[3]поточний ремонт'!M350</f>
        <v>0</v>
      </c>
      <c r="N350" s="37"/>
      <c r="O350" s="43">
        <f>'[1]поточний ремонт'!O350+'[2]поточний ремонт'!O350-'[3]поточний ремонт'!O350</f>
        <v>0</v>
      </c>
      <c r="P350" s="43">
        <f>'[1]поточний ремонт'!P350+'[2]поточний ремонт'!P350-'[3]поточний ремонт'!P350</f>
        <v>0</v>
      </c>
      <c r="Q350" s="1038"/>
      <c r="R350" s="43">
        <f>'[1]поточний ремонт'!R350+'[2]поточний ремонт'!R350-'[3]поточний ремонт'!R350</f>
        <v>2</v>
      </c>
      <c r="S350" s="43">
        <f>'[1]поточний ремонт'!S350+'[2]поточний ремонт'!S350-'[3]поточний ремонт'!S350</f>
        <v>2585</v>
      </c>
      <c r="T350" s="1039"/>
      <c r="U350" s="43">
        <f>'[1]поточний ремонт'!U350+'[2]поточний ремонт'!U350-'[3]поточний ремонт'!U350</f>
        <v>19386</v>
      </c>
      <c r="V350" s="43">
        <f>'[1]поточний ремонт'!V350+'[2]поточний ремонт'!V350-'[3]поточний ремонт'!V350</f>
        <v>0</v>
      </c>
      <c r="W350" s="43">
        <f>'[1]поточний ремонт'!W350+'[2]поточний ремонт'!W350-'[3]поточний ремонт'!W350</f>
        <v>0</v>
      </c>
      <c r="X350" s="43">
        <f>'[1]поточний ремонт'!X350+'[2]поточний ремонт'!X350-'[3]поточний ремонт'!X350</f>
        <v>2479.3280225747935</v>
      </c>
      <c r="Y350" s="43">
        <f>'[1]поточний ремонт'!Y350+'[2]поточний ремонт'!Y350-'[3]поточний ремонт'!Y350</f>
        <v>38398</v>
      </c>
      <c r="Z350" s="43">
        <f>'[1]поточний ремонт'!Z350+'[2]поточний ремонт'!Z350-'[3]поточний ремонт'!Z350</f>
        <v>0</v>
      </c>
      <c r="AA350" s="43">
        <f>'[1]поточний ремонт'!AA350+'[2]поточний ремонт'!AA350-'[3]поточний ремонт'!AA350</f>
        <v>0</v>
      </c>
      <c r="AB350" s="43">
        <f>'[1]поточний ремонт'!AB350+'[2]поточний ремонт'!AB350-'[3]поточний ремонт'!AB350</f>
        <v>7576</v>
      </c>
      <c r="AC350" s="43">
        <f>'[1]поточний ремонт'!AC350+'[2]поточний ремонт'!AC350-'[3]поточний ремонт'!AC350</f>
        <v>50100</v>
      </c>
      <c r="AD350" s="43">
        <f>'[1]поточний ремонт'!AD350+'[2]поточний ремонт'!AD350-'[3]поточний ремонт'!AD350</f>
        <v>4466</v>
      </c>
      <c r="AE350" s="43">
        <f>'[1]поточний ремонт'!AE350+'[2]поточний ремонт'!AE350-'[3]поточний ремонт'!AE350</f>
        <v>2030.2870879926727</v>
      </c>
      <c r="AF350" s="43">
        <f>'[1]поточний ремонт'!AF350+'[2]поточний ремонт'!AF350-'[3]поточний ремонт'!AF350</f>
        <v>2079</v>
      </c>
      <c r="AG350" s="5"/>
      <c r="AH350" s="43">
        <f>'[1]поточний ремонт'!AH350+'[2]поточний ремонт'!AH350-'[3]поточний ремонт'!AH350</f>
        <v>2731.9007902306498</v>
      </c>
      <c r="AI350" s="43">
        <f>'[1]поточний ремонт'!AI350+'[2]поточний ремонт'!AI350-'[3]поточний ремонт'!AI350</f>
        <v>8869</v>
      </c>
      <c r="AJ350" s="5"/>
      <c r="AK350" s="43">
        <f>'[1]поточний ремонт'!AK350+'[2]поточний ремонт'!AK350-'[3]поточний ремонт'!AK350</f>
        <v>6943.484518507028</v>
      </c>
      <c r="AL350" s="43">
        <f>'[1]поточний ремонт'!AL350+'[2]поточний ремонт'!AL350-'[3]поточний ремонт'!AL350</f>
        <v>6672</v>
      </c>
      <c r="AM350" s="5"/>
      <c r="AN350" s="43">
        <f>'[1]поточний ремонт'!AN350+'[2]поточний ремонт'!AN350-'[3]поточний ремонт'!AN350</f>
        <v>2204.1407716309268</v>
      </c>
      <c r="AO350" s="43">
        <f>'[1]поточний ремонт'!AO350+'[2]поточний ремонт'!AO350-'[3]поточний ремонт'!AO350</f>
        <v>0</v>
      </c>
      <c r="AP350" s="5"/>
      <c r="AQ350" s="43">
        <f>'[1]поточний ремонт'!AQ350+'[2]поточний ремонт'!AQ350-'[3]поточний ремонт'!AQ350</f>
        <v>593.65087276649558</v>
      </c>
      <c r="AR350" s="43">
        <f>'[1]поточний ремонт'!AR350+'[2]поточний ремонт'!AR350-'[3]поточний ремонт'!AR350</f>
        <v>0</v>
      </c>
      <c r="AS350" s="5"/>
      <c r="AT350" s="43">
        <f>'[1]поточний ремонт'!AT350+'[2]поточний ремонт'!AT350-'[3]поточний ремонт'!AT350</f>
        <v>2353.4276713693712</v>
      </c>
      <c r="AU350" s="43">
        <f>'[1]поточний ремонт'!AU350+'[2]поточний ремонт'!AU350-'[3]поточний ремонт'!AU350</f>
        <v>5607</v>
      </c>
      <c r="AV350" s="5"/>
      <c r="AW350" s="43">
        <f>'[1]поточний ремонт'!AW350+'[2]поточний ремонт'!AW350-'[3]поточний ремонт'!AW350</f>
        <v>0</v>
      </c>
      <c r="AX350" s="43">
        <f>'[1]поточний ремонт'!AX350+'[2]поточний ремонт'!AX350-'[3]поточний ремонт'!AX350</f>
        <v>6462</v>
      </c>
      <c r="AY350" s="5"/>
      <c r="AZ350" s="43">
        <f t="shared" si="42"/>
        <v>16856.891712497145</v>
      </c>
      <c r="BA350" s="43">
        <f t="shared" si="43"/>
        <v>29689</v>
      </c>
      <c r="BB350" s="59">
        <f t="shared" si="44"/>
        <v>12832.108287502855</v>
      </c>
      <c r="BD350" s="2">
        <v>3</v>
      </c>
      <c r="BF350" s="30">
        <v>474.4697541020945</v>
      </c>
      <c r="BG350" s="328">
        <v>150000910</v>
      </c>
      <c r="BI350" s="107">
        <v>185.01</v>
      </c>
      <c r="BJ350" s="107">
        <f t="shared" si="45"/>
        <v>26.023913621999995</v>
      </c>
      <c r="BK350" s="107">
        <v>213.36940511795999</v>
      </c>
      <c r="BL350" s="39"/>
      <c r="BM350" s="3"/>
      <c r="BN350" s="3">
        <v>0</v>
      </c>
      <c r="BP350" s="3"/>
      <c r="BQ350" s="3"/>
      <c r="BS350" s="43"/>
      <c r="BT350" s="43">
        <v>0</v>
      </c>
      <c r="BU350" s="1037"/>
      <c r="BV350" s="42"/>
      <c r="BW350" s="43"/>
      <c r="BX350" s="37"/>
      <c r="BY350" s="78"/>
      <c r="BZ350" s="43">
        <v>0</v>
      </c>
      <c r="CA350" s="1038"/>
      <c r="CB350" s="42"/>
      <c r="CC350" s="42">
        <v>0</v>
      </c>
      <c r="CD350" s="1039"/>
      <c r="CE350" s="78">
        <v>0</v>
      </c>
      <c r="CF350" s="56"/>
      <c r="CG350" s="42">
        <v>0</v>
      </c>
      <c r="CH350" s="39">
        <v>213.36940511795999</v>
      </c>
      <c r="CI350" s="78">
        <v>0</v>
      </c>
      <c r="CJ350" s="1051"/>
      <c r="CK350" s="1034"/>
      <c r="CL350" s="1029"/>
      <c r="CM350" s="1034"/>
      <c r="CN350" s="1029">
        <v>0</v>
      </c>
      <c r="CO350" s="78">
        <v>169.19059066605607</v>
      </c>
      <c r="CP350" s="43">
        <v>0</v>
      </c>
      <c r="CQ350" s="5"/>
      <c r="CR350" s="78">
        <v>227.6583991858875</v>
      </c>
      <c r="CS350" s="1033">
        <v>0</v>
      </c>
      <c r="CT350" s="5"/>
      <c r="CU350" s="78">
        <v>578.62370987558575</v>
      </c>
      <c r="CV350" s="43">
        <v>0</v>
      </c>
      <c r="CW350" s="5"/>
      <c r="CX350" s="78">
        <v>183.67839763591053</v>
      </c>
      <c r="CY350" s="43">
        <v>0</v>
      </c>
      <c r="CZ350" s="5"/>
      <c r="DA350" s="78">
        <v>49.470906063874629</v>
      </c>
      <c r="DB350" s="43">
        <v>0</v>
      </c>
      <c r="DC350" s="5"/>
      <c r="DD350" s="78">
        <v>196.11897261411428</v>
      </c>
      <c r="DE350" s="43">
        <v>1663.6513722232005</v>
      </c>
      <c r="DF350" s="5"/>
      <c r="DG350" s="78">
        <v>0</v>
      </c>
      <c r="DH350" s="43"/>
      <c r="DI350" s="5"/>
      <c r="DJ350" s="43">
        <v>1404.7409760414289</v>
      </c>
      <c r="DK350" s="43">
        <f t="shared" si="46"/>
        <v>1663.6513722232005</v>
      </c>
      <c r="DL350" s="59">
        <f t="shared" si="47"/>
        <v>258.9103961817716</v>
      </c>
    </row>
    <row r="351" spans="1:116" ht="24.9" customHeight="1" x14ac:dyDescent="0.3">
      <c r="A351" s="328">
        <v>150000911</v>
      </c>
      <c r="B351" s="45" t="s">
        <v>318</v>
      </c>
      <c r="C351" s="1035">
        <v>5</v>
      </c>
      <c r="D351" s="1036" t="s">
        <v>454</v>
      </c>
      <c r="E351" s="1028">
        <f>'побудинковий звіт'!E349</f>
        <v>3895.01</v>
      </c>
      <c r="F351" s="1029">
        <f>'побудинковий звіт'!AS349</f>
        <v>94471.276353353634</v>
      </c>
      <c r="G351" s="1029">
        <f t="shared" si="40"/>
        <v>109686.89286702809</v>
      </c>
      <c r="H351" s="1029">
        <f t="shared" si="41"/>
        <v>15215.616513674453</v>
      </c>
      <c r="I351" s="43">
        <f>'[1]поточний ремонт'!I351+'[2]поточний ремонт'!I351-'[3]поточний ремонт'!I351</f>
        <v>0</v>
      </c>
      <c r="J351" s="43">
        <f>'[1]поточний ремонт'!J351+'[2]поточний ремонт'!J351-'[3]поточний ремонт'!J351</f>
        <v>0</v>
      </c>
      <c r="K351" s="1037"/>
      <c r="L351" s="43">
        <f>'[1]поточний ремонт'!L351+'[2]поточний ремонт'!L351-'[3]поточний ремонт'!L351</f>
        <v>2</v>
      </c>
      <c r="M351" s="43">
        <f>'[1]поточний ремонт'!M351+'[2]поточний ремонт'!M351-'[3]поточний ремонт'!M351</f>
        <v>103994</v>
      </c>
      <c r="N351" s="37"/>
      <c r="O351" s="43">
        <f>'[1]поточний ремонт'!O351+'[2]поточний ремонт'!O351-'[3]поточний ремонт'!O351</f>
        <v>0</v>
      </c>
      <c r="P351" s="43">
        <f>'[1]поточний ремонт'!P351+'[2]поточний ремонт'!P351-'[3]поточний ремонт'!P351</f>
        <v>0</v>
      </c>
      <c r="Q351" s="1038"/>
      <c r="R351" s="43">
        <f>'[1]поточний ремонт'!R351+'[2]поточний ремонт'!R351-'[3]поточний ремонт'!R351</f>
        <v>0</v>
      </c>
      <c r="S351" s="43">
        <f>'[1]поточний ремонт'!S351+'[2]поточний ремонт'!S351-'[3]поточний ремонт'!S351</f>
        <v>0</v>
      </c>
      <c r="T351" s="1039"/>
      <c r="U351" s="43">
        <f>'[1]поточний ремонт'!U351+'[2]поточний ремонт'!U351-'[3]поточний ремонт'!U351</f>
        <v>0</v>
      </c>
      <c r="V351" s="43">
        <f>'[1]поточний ремонт'!V351+'[2]поточний ремонт'!V351-'[3]поточний ремонт'!V351</f>
        <v>0</v>
      </c>
      <c r="W351" s="43">
        <f>'[1]поточний ремонт'!W351+'[2]поточний ремонт'!W351-'[3]поточний ремонт'!W351</f>
        <v>0</v>
      </c>
      <c r="X351" s="43">
        <f>'[1]поточний ремонт'!X351+'[2]поточний ремонт'!X351-'[3]поточний ремонт'!X351</f>
        <v>598.89286702809318</v>
      </c>
      <c r="Y351" s="43">
        <f>'[1]поточний ремонт'!Y351+'[2]поточний ремонт'!Y351-'[3]поточний ремонт'!Y351</f>
        <v>0</v>
      </c>
      <c r="Z351" s="43">
        <f>'[1]поточний ремонт'!Z351+'[2]поточний ремонт'!Z351-'[3]поточний ремонт'!Z351</f>
        <v>0</v>
      </c>
      <c r="AA351" s="43">
        <f>'[1]поточний ремонт'!AA351+'[2]поточний ремонт'!AA351-'[3]поточний ремонт'!AA351</f>
        <v>0</v>
      </c>
      <c r="AB351" s="43">
        <f>'[1]поточний ремонт'!AB351+'[2]поточний ремонт'!AB351-'[3]поточний ремонт'!AB351</f>
        <v>0</v>
      </c>
      <c r="AC351" s="43">
        <f>'[1]поточний ремонт'!AC351+'[2]поточний ремонт'!AC351-'[3]поточний ремонт'!AC351</f>
        <v>2364</v>
      </c>
      <c r="AD351" s="43">
        <f>'[1]поточний ремонт'!AD351+'[2]поточний ремонт'!AD351-'[3]поточний ремонт'!AD351</f>
        <v>2730</v>
      </c>
      <c r="AE351" s="43">
        <f>'[1]поточний ремонт'!AE351+'[2]поточний ремонт'!AE351-'[3]поточний ремонт'!AE351</f>
        <v>3313.2970745495372</v>
      </c>
      <c r="AF351" s="43">
        <f>'[1]поточний ремонт'!AF351+'[2]поточний ремонт'!AF351-'[3]поточний ремонт'!AF351</f>
        <v>0</v>
      </c>
      <c r="AG351" s="1045"/>
      <c r="AH351" s="43">
        <f>'[1]поточний ремонт'!AH351+'[2]поточний ремонт'!AH351-'[3]поточний ремонт'!AH351</f>
        <v>5181.2242265907335</v>
      </c>
      <c r="AI351" s="43">
        <f>'[1]поточний ремонт'!AI351+'[2]поточний ремонт'!AI351-'[3]поточний ремонт'!AI351</f>
        <v>1101</v>
      </c>
      <c r="AJ351" s="5"/>
      <c r="AK351" s="43">
        <f>'[1]поточний ремонт'!AK351+'[2]поточний ремонт'!AK351-'[3]поточний ремонт'!AK351</f>
        <v>3298.4582542339149</v>
      </c>
      <c r="AL351" s="43">
        <f>'[1]поточний ремонт'!AL351+'[2]поточний ремонт'!AL351-'[3]поточний ремонт'!AL351</f>
        <v>8815.35461268172</v>
      </c>
      <c r="AM351" s="5"/>
      <c r="AN351" s="43">
        <f>'[1]поточний ремонт'!AN351+'[2]поточний ремонт'!AN351-'[3]поточний ремонт'!AN351</f>
        <v>0</v>
      </c>
      <c r="AO351" s="43">
        <f>'[1]поточний ремонт'!AO351+'[2]поточний ремонт'!AO351-'[3]поточний ремонт'!AO351</f>
        <v>0</v>
      </c>
      <c r="AP351" s="5"/>
      <c r="AQ351" s="43">
        <f>'[1]поточний ремонт'!AQ351+'[2]поточний ремонт'!AQ351-'[3]поточний ремонт'!AQ351</f>
        <v>2032.8706882486335</v>
      </c>
      <c r="AR351" s="43">
        <f>'[1]поточний ремонт'!AR351+'[2]поточний ремонт'!AR351-'[3]поточний ремонт'!AR351</f>
        <v>0</v>
      </c>
      <c r="AS351" s="5"/>
      <c r="AT351" s="43">
        <f>'[1]поточний ремонт'!AT351+'[2]поточний ремонт'!AT351-'[3]поточний ремонт'!AT351</f>
        <v>3000.3150390429578</v>
      </c>
      <c r="AU351" s="43">
        <f>'[1]поточний ремонт'!AU351+'[2]поточний ремонт'!AU351-'[3]поточний ремонт'!AU351</f>
        <v>532</v>
      </c>
      <c r="AV351" s="5"/>
      <c r="AW351" s="43">
        <f>'[1]поточний ремонт'!AW351+'[2]поточний ремонт'!AW351-'[3]поточний ремонт'!AW351</f>
        <v>0</v>
      </c>
      <c r="AX351" s="43">
        <f>'[1]поточний ремонт'!AX351+'[2]поточний ремонт'!AX351-'[3]поточний ремонт'!AX351</f>
        <v>0</v>
      </c>
      <c r="AY351" s="5"/>
      <c r="AZ351" s="43">
        <f t="shared" si="42"/>
        <v>16826.165282665777</v>
      </c>
      <c r="BA351" s="43">
        <f t="shared" si="43"/>
        <v>10448.35461268172</v>
      </c>
      <c r="BB351" s="59">
        <f t="shared" si="44"/>
        <v>-6377.8106699840573</v>
      </c>
      <c r="BD351" s="2">
        <v>3</v>
      </c>
      <c r="BF351" s="30">
        <v>438.35182096734968</v>
      </c>
      <c r="BG351" s="328">
        <v>150000911</v>
      </c>
      <c r="BI351" s="107">
        <v>44.69</v>
      </c>
      <c r="BJ351" s="107">
        <f t="shared" si="45"/>
        <v>6.2861937179999989</v>
      </c>
      <c r="BK351" s="107">
        <v>51.540342223239996</v>
      </c>
      <c r="BL351" s="39"/>
      <c r="BM351" s="3"/>
      <c r="BN351" s="3">
        <v>0</v>
      </c>
      <c r="BP351" s="3"/>
      <c r="BQ351" s="3"/>
      <c r="BS351" s="43"/>
      <c r="BT351" s="43">
        <v>0</v>
      </c>
      <c r="BU351" s="1037"/>
      <c r="BV351" s="42"/>
      <c r="BW351" s="43"/>
      <c r="BX351" s="37"/>
      <c r="BY351" s="78"/>
      <c r="BZ351" s="43">
        <v>0</v>
      </c>
      <c r="CA351" s="1038"/>
      <c r="CB351" s="42"/>
      <c r="CC351" s="42">
        <v>0</v>
      </c>
      <c r="CD351" s="1039"/>
      <c r="CE351" s="78">
        <v>0</v>
      </c>
      <c r="CF351" s="56"/>
      <c r="CG351" s="42">
        <v>0</v>
      </c>
      <c r="CH351" s="39">
        <v>51.540342223239996</v>
      </c>
      <c r="CI351" s="78">
        <v>0</v>
      </c>
      <c r="CJ351" s="56"/>
      <c r="CK351" s="1034"/>
      <c r="CL351" s="1029"/>
      <c r="CM351" s="1034"/>
      <c r="CN351" s="1029">
        <v>0</v>
      </c>
      <c r="CO351" s="78">
        <v>276.10808954579471</v>
      </c>
      <c r="CP351" s="43">
        <v>0</v>
      </c>
      <c r="CQ351" s="1045"/>
      <c r="CR351" s="78">
        <v>431.76868554922783</v>
      </c>
      <c r="CS351" s="1033">
        <v>0</v>
      </c>
      <c r="CT351" s="5"/>
      <c r="CU351" s="78">
        <v>274.87152118615961</v>
      </c>
      <c r="CV351" s="43">
        <v>0</v>
      </c>
      <c r="CW351" s="5"/>
      <c r="CX351" s="78">
        <v>0</v>
      </c>
      <c r="CY351" s="43">
        <v>0</v>
      </c>
      <c r="CZ351" s="5"/>
      <c r="DA351" s="78">
        <v>169.40589068738615</v>
      </c>
      <c r="DB351" s="43">
        <v>0</v>
      </c>
      <c r="DC351" s="5"/>
      <c r="DD351" s="78">
        <v>250.02625325357982</v>
      </c>
      <c r="DE351" s="43">
        <v>0</v>
      </c>
      <c r="DF351" s="5"/>
      <c r="DG351" s="78">
        <v>0</v>
      </c>
      <c r="DH351" s="43"/>
      <c r="DI351" s="5"/>
      <c r="DJ351" s="43">
        <v>1402.1804402221483</v>
      </c>
      <c r="DK351" s="43">
        <f t="shared" si="46"/>
        <v>0</v>
      </c>
      <c r="DL351" s="59">
        <f t="shared" si="47"/>
        <v>-1402.1804402221483</v>
      </c>
    </row>
    <row r="352" spans="1:116" ht="24.9" customHeight="1" x14ac:dyDescent="0.3">
      <c r="A352" s="328">
        <v>150000912</v>
      </c>
      <c r="B352" s="45" t="s">
        <v>319</v>
      </c>
      <c r="C352" s="1035">
        <v>5</v>
      </c>
      <c r="D352" s="1036" t="s">
        <v>454</v>
      </c>
      <c r="E352" s="1028">
        <f>'побудинковий звіт'!E350</f>
        <v>8350.2999999999993</v>
      </c>
      <c r="F352" s="1029">
        <f>'побудинковий звіт'!AS350</f>
        <v>76686.304701939313</v>
      </c>
      <c r="G352" s="1029">
        <f t="shared" si="40"/>
        <v>24811.47412210943</v>
      </c>
      <c r="H352" s="1029">
        <f t="shared" si="41"/>
        <v>-51874.830579829882</v>
      </c>
      <c r="I352" s="43">
        <f>'[1]поточний ремонт'!I352+'[2]поточний ремонт'!I352-'[3]поточний ремонт'!I352</f>
        <v>62</v>
      </c>
      <c r="J352" s="43">
        <f>'[1]поточний ремонт'!J352+'[2]поточний ремонт'!J352-'[3]поточний ремонт'!J352</f>
        <v>15515</v>
      </c>
      <c r="K352" s="1037"/>
      <c r="L352" s="43">
        <f>'[1]поточний ремонт'!L352+'[2]поточний ремонт'!L352-'[3]поточний ремонт'!L352</f>
        <v>0</v>
      </c>
      <c r="M352" s="43">
        <f>'[1]поточний ремонт'!M352+'[2]поточний ремонт'!M352-'[3]поточний ремонт'!M352</f>
        <v>0</v>
      </c>
      <c r="N352" s="1040"/>
      <c r="O352" s="43">
        <f>'[1]поточний ремонт'!O352+'[2]поточний ремонт'!O352-'[3]поточний ремонт'!O352</f>
        <v>8.3000000000000007</v>
      </c>
      <c r="P352" s="43">
        <f>'[1]поточний ремонт'!P352+'[2]поточний ремонт'!P352-'[3]поточний ремонт'!P352</f>
        <v>1101</v>
      </c>
      <c r="Q352" s="1038"/>
      <c r="R352" s="43">
        <f>'[1]поточний ремонт'!R352+'[2]поточний ремонт'!R352-'[3]поточний ремонт'!R352</f>
        <v>0</v>
      </c>
      <c r="S352" s="43">
        <f>'[1]поточний ремонт'!S352+'[2]поточний ремонт'!S352-'[3]поточний ремонт'!S352</f>
        <v>0</v>
      </c>
      <c r="T352" s="1039"/>
      <c r="U352" s="43">
        <f>'[1]поточний ремонт'!U352+'[2]поточний ремонт'!U352-'[3]поточний ремонт'!U352</f>
        <v>0</v>
      </c>
      <c r="V352" s="43">
        <f>'[1]поточний ремонт'!V352+'[2]поточний ремонт'!V352-'[3]поточний ремонт'!V352</f>
        <v>0</v>
      </c>
      <c r="W352" s="43">
        <f>'[1]поточний ремонт'!W352+'[2]поточний ремонт'!W352-'[3]поточний ремонт'!W352</f>
        <v>6</v>
      </c>
      <c r="X352" s="43">
        <f>'[1]поточний ремонт'!X352+'[2]поточний ремонт'!X352-'[3]поточний ремонт'!X352</f>
        <v>826.47412210943151</v>
      </c>
      <c r="Y352" s="43">
        <f>'[1]поточний ремонт'!Y352+'[2]поточний ремонт'!Y352-'[3]поточний ремонт'!Y352</f>
        <v>3481</v>
      </c>
      <c r="Z352" s="43">
        <f>'[1]поточний ремонт'!Z352+'[2]поточний ремонт'!Z352-'[3]поточний ремонт'!Z352</f>
        <v>0</v>
      </c>
      <c r="AA352" s="43">
        <f>'[1]поточний ремонт'!AA352+'[2]поточний ремонт'!AA352-'[3]поточний ремонт'!AA352</f>
        <v>0</v>
      </c>
      <c r="AB352" s="43">
        <f>'[1]поточний ремонт'!AB352+'[2]поточний ремонт'!AB352-'[3]поточний ремонт'!AB352</f>
        <v>0</v>
      </c>
      <c r="AC352" s="43">
        <f>'[1]поточний ремонт'!AC352+'[2]поточний ремонт'!AC352-'[3]поточний ремонт'!AC352</f>
        <v>0</v>
      </c>
      <c r="AD352" s="43">
        <f>'[1]поточний ремонт'!AD352+'[2]поточний ремонт'!AD352-'[3]поточний ремонт'!AD352</f>
        <v>3888</v>
      </c>
      <c r="AE352" s="43">
        <f>'[1]поточний ремонт'!AE352+'[2]поточний ремонт'!AE352-'[3]поточний ремонт'!AE352</f>
        <v>2644.7093072454318</v>
      </c>
      <c r="AF352" s="43">
        <f>'[1]поточний ремонт'!AF352+'[2]поточний ремонт'!AF352-'[3]поточний ремонт'!AF352</f>
        <v>7491</v>
      </c>
      <c r="AG352" s="9"/>
      <c r="AH352" s="43">
        <f>'[1]поточний ремонт'!AH352+'[2]поточний ремонт'!AH352-'[3]поточний ремонт'!AH352</f>
        <v>3890.2304539220268</v>
      </c>
      <c r="AI352" s="43">
        <f>'[1]поточний ремонт'!AI352+'[2]поточний ремонт'!AI352-'[3]поточний ремонт'!AI352</f>
        <v>4644</v>
      </c>
      <c r="AJ352" s="9"/>
      <c r="AK352" s="43">
        <f>'[1]поточний ремонт'!AK352+'[2]поточний ремонт'!AK352-'[3]поточний ремонт'!AK352</f>
        <v>2614.4027370529166</v>
      </c>
      <c r="AL352" s="43">
        <f>'[1]поточний ремонт'!AL352+'[2]поточний ремонт'!AL352-'[3]поточний ремонт'!AL352</f>
        <v>7338</v>
      </c>
      <c r="AM352" s="5"/>
      <c r="AN352" s="43">
        <f>'[1]поточний ремонт'!AN352+'[2]поточний ремонт'!AN352-'[3]поточний ремонт'!AN352</f>
        <v>0</v>
      </c>
      <c r="AO352" s="43">
        <f>'[1]поточний ремонт'!AO352+'[2]поточний ремонт'!AO352-'[3]поточний ремонт'!AO352</f>
        <v>0</v>
      </c>
      <c r="AP352" s="5"/>
      <c r="AQ352" s="43">
        <f>'[1]поточний ремонт'!AQ352+'[2]поточний ремонт'!AQ352-'[3]поточний ремонт'!AQ352</f>
        <v>971.4550439988127</v>
      </c>
      <c r="AR352" s="43">
        <f>'[1]поточний ремонт'!AR352+'[2]поточний ремонт'!AR352-'[3]поточний ремонт'!AR352</f>
        <v>0</v>
      </c>
      <c r="AS352" s="5"/>
      <c r="AT352" s="43">
        <f>'[1]поточний ремонт'!AT352+'[2]поточний ремонт'!AT352-'[3]поточний ремонт'!AT352</f>
        <v>1940.3738462764074</v>
      </c>
      <c r="AU352" s="43">
        <f>'[1]поточний ремонт'!AU352+'[2]поточний ремонт'!AU352-'[3]поточний ремонт'!AU352</f>
        <v>1720</v>
      </c>
      <c r="AV352" s="5"/>
      <c r="AW352" s="43">
        <f>'[1]поточний ремонт'!AW352+'[2]поточний ремонт'!AW352-'[3]поточний ремонт'!AW352</f>
        <v>0</v>
      </c>
      <c r="AX352" s="43">
        <f>'[1]поточний ремонт'!AX352+'[2]поточний ремонт'!AX352-'[3]поточний ремонт'!AX352</f>
        <v>0</v>
      </c>
      <c r="AY352" s="5"/>
      <c r="AZ352" s="43">
        <f t="shared" si="42"/>
        <v>12061.171388495595</v>
      </c>
      <c r="BA352" s="43">
        <f t="shared" si="43"/>
        <v>21193</v>
      </c>
      <c r="BB352" s="59">
        <f t="shared" si="44"/>
        <v>9131.8286115044048</v>
      </c>
      <c r="BD352" s="2">
        <v>3</v>
      </c>
      <c r="BF352" s="30">
        <v>333.9486657797911</v>
      </c>
      <c r="BG352" s="328">
        <v>150000912</v>
      </c>
      <c r="BI352" s="107">
        <v>30.63</v>
      </c>
      <c r="BJ352" s="107">
        <f t="shared" si="45"/>
        <v>4.3084831859999992</v>
      </c>
      <c r="BK352" s="107">
        <v>35.32514393148</v>
      </c>
      <c r="BL352" s="39"/>
      <c r="BM352" s="3"/>
      <c r="BN352" s="3">
        <v>0</v>
      </c>
      <c r="BP352" s="3"/>
      <c r="BQ352" s="3"/>
      <c r="BS352" s="43"/>
      <c r="BT352" s="43">
        <v>0</v>
      </c>
      <c r="BU352" s="1037"/>
      <c r="BV352" s="42"/>
      <c r="BW352" s="43"/>
      <c r="BX352" s="1040"/>
      <c r="BY352" s="78"/>
      <c r="BZ352" s="43">
        <v>0</v>
      </c>
      <c r="CA352" s="1038"/>
      <c r="CB352" s="42"/>
      <c r="CC352" s="42">
        <v>0</v>
      </c>
      <c r="CD352" s="1039"/>
      <c r="CE352" s="78">
        <v>0</v>
      </c>
      <c r="CF352" s="56"/>
      <c r="CG352" s="42">
        <v>0</v>
      </c>
      <c r="CH352" s="39">
        <v>35.32514393148</v>
      </c>
      <c r="CI352" s="78">
        <v>0</v>
      </c>
      <c r="CJ352" s="56"/>
      <c r="CK352" s="1034"/>
      <c r="CL352" s="1029"/>
      <c r="CM352" s="1034"/>
      <c r="CN352" s="1029">
        <v>0</v>
      </c>
      <c r="CO352" s="78">
        <v>220.39244227045265</v>
      </c>
      <c r="CP352" s="43">
        <v>0</v>
      </c>
      <c r="CQ352" s="9"/>
      <c r="CR352" s="78">
        <v>324.18587116016892</v>
      </c>
      <c r="CS352" s="1033">
        <v>0</v>
      </c>
      <c r="CT352" s="9"/>
      <c r="CU352" s="78">
        <v>217.86689475440971</v>
      </c>
      <c r="CV352" s="43">
        <v>0</v>
      </c>
      <c r="CW352" s="5"/>
      <c r="CX352" s="78">
        <v>0</v>
      </c>
      <c r="CY352" s="43">
        <v>0</v>
      </c>
      <c r="CZ352" s="5"/>
      <c r="DA352" s="78">
        <v>80.954586999901053</v>
      </c>
      <c r="DB352" s="43">
        <v>0</v>
      </c>
      <c r="DC352" s="5"/>
      <c r="DD352" s="78">
        <v>161.69782052303398</v>
      </c>
      <c r="DE352" s="43">
        <v>0</v>
      </c>
      <c r="DF352" s="5"/>
      <c r="DG352" s="78">
        <v>0</v>
      </c>
      <c r="DH352" s="43"/>
      <c r="DI352" s="5"/>
      <c r="DJ352" s="43">
        <v>1005.0976157079664</v>
      </c>
      <c r="DK352" s="43">
        <f t="shared" si="46"/>
        <v>0</v>
      </c>
      <c r="DL352" s="59">
        <f t="shared" si="47"/>
        <v>-1005.0976157079664</v>
      </c>
    </row>
    <row r="353" spans="1:116" ht="24.9" customHeight="1" x14ac:dyDescent="0.3">
      <c r="A353" s="328">
        <v>150000913</v>
      </c>
      <c r="B353" s="45" t="s">
        <v>320</v>
      </c>
      <c r="C353" s="1035">
        <v>5</v>
      </c>
      <c r="D353" s="1036" t="s">
        <v>454</v>
      </c>
      <c r="E353" s="1028">
        <f>'побудинковий звіт'!E351</f>
        <v>3581.3</v>
      </c>
      <c r="F353" s="1029">
        <f>'побудинковий звіт'!AS351</f>
        <v>50598.445824721435</v>
      </c>
      <c r="G353" s="1029">
        <f t="shared" si="40"/>
        <v>42008.32569349269</v>
      </c>
      <c r="H353" s="1029">
        <f t="shared" si="41"/>
        <v>-8590.1201312287449</v>
      </c>
      <c r="I353" s="43">
        <f>'[1]поточний ремонт'!I353+'[2]поточний ремонт'!I353-'[3]поточний ремонт'!I353</f>
        <v>132</v>
      </c>
      <c r="J353" s="43">
        <f>'[1]поточний ремонт'!J353+'[2]поточний ремонт'!J353-'[3]поточний ремонт'!J353</f>
        <v>35608</v>
      </c>
      <c r="K353" s="1037"/>
      <c r="L353" s="43">
        <f>'[1]поточний ремонт'!L353+'[2]поточний ремонт'!L353-'[3]поточний ремонт'!L353</f>
        <v>0</v>
      </c>
      <c r="M353" s="43">
        <f>'[1]поточний ремонт'!M353+'[2]поточний ремонт'!M353-'[3]поточний ремонт'!M353</f>
        <v>0</v>
      </c>
      <c r="N353" s="1039"/>
      <c r="O353" s="43">
        <f>'[1]поточний ремонт'!O353+'[2]поточний ремонт'!O353-'[3]поточний ремонт'!O353</f>
        <v>0</v>
      </c>
      <c r="P353" s="43">
        <f>'[1]поточний ремонт'!P353+'[2]поточний ремонт'!P353-'[3]поточний ремонт'!P353</f>
        <v>0</v>
      </c>
      <c r="Q353" s="1038"/>
      <c r="R353" s="43">
        <f>'[1]поточний ремонт'!R353+'[2]поточний ремонт'!R353-'[3]поточний ремонт'!R353</f>
        <v>0</v>
      </c>
      <c r="S353" s="43">
        <f>'[1]поточний ремонт'!S353+'[2]поточний ремонт'!S353-'[3]поточний ремонт'!S353</f>
        <v>0</v>
      </c>
      <c r="T353" s="1039"/>
      <c r="U353" s="43">
        <f>'[1]поточний ремонт'!U353+'[2]поточний ремонт'!U353-'[3]поточний ремонт'!U353</f>
        <v>0</v>
      </c>
      <c r="V353" s="43">
        <f>'[1]поточний ремонт'!V353+'[2]поточний ремонт'!V353-'[3]поточний ремонт'!V353</f>
        <v>0</v>
      </c>
      <c r="W353" s="43">
        <f>'[1]поточний ремонт'!W353+'[2]поточний ремонт'!W353-'[3]поточний ремонт'!W353</f>
        <v>0</v>
      </c>
      <c r="X353" s="43">
        <f>'[1]поточний ремонт'!X353+'[2]поточний ремонт'!X353-'[3]поточний ремонт'!X353</f>
        <v>328.32569349268931</v>
      </c>
      <c r="Y353" s="43">
        <f>'[1]поточний ремонт'!Y353+'[2]поточний ремонт'!Y353-'[3]поточний ремонт'!Y353</f>
        <v>2383</v>
      </c>
      <c r="Z353" s="43">
        <f>'[1]поточний ремонт'!Z353+'[2]поточний ремонт'!Z353-'[3]поточний ремонт'!Z353</f>
        <v>0</v>
      </c>
      <c r="AA353" s="43">
        <f>'[1]поточний ремонт'!AA353+'[2]поточний ремонт'!AA353-'[3]поточний ремонт'!AA353</f>
        <v>0</v>
      </c>
      <c r="AB353" s="43">
        <f>'[1]поточний ремонт'!AB353+'[2]поточний ремонт'!AB353-'[3]поточний ремонт'!AB353</f>
        <v>0</v>
      </c>
      <c r="AC353" s="43">
        <f>'[1]поточний ремонт'!AC353+'[2]поточний ремонт'!AC353-'[3]поточний ремонт'!AC353</f>
        <v>0</v>
      </c>
      <c r="AD353" s="43">
        <f>'[1]поточний ремонт'!AD353+'[2]поточний ремонт'!AD353-'[3]поточний ремонт'!AD353</f>
        <v>3689</v>
      </c>
      <c r="AE353" s="43">
        <f>'[1]поточний ремонт'!AE353+'[2]поточний ремонт'!AE353-'[3]поточний ремонт'!AE353</f>
        <v>1762.4738315933535</v>
      </c>
      <c r="AF353" s="43">
        <f>'[1]поточний ремонт'!AF353+'[2]поточний ремонт'!AF353-'[3]поточний ремонт'!AF353</f>
        <v>3294.6817949790502</v>
      </c>
      <c r="AG353" s="5"/>
      <c r="AH353" s="43">
        <f>'[1]поточний ремонт'!AH353+'[2]поточний ремонт'!AH353-'[3]поточний ремонт'!AH353</f>
        <v>2570.742825601536</v>
      </c>
      <c r="AI353" s="43">
        <f>'[1]поточний ремонт'!AI353+'[2]поточний ремонт'!AI353-'[3]поточний ремонт'!AI353</f>
        <v>0</v>
      </c>
      <c r="AJ353" s="1045"/>
      <c r="AK353" s="43">
        <f>'[1]поточний ремонт'!AK353+'[2]поточний ремонт'!AK353-'[3]поточний ремонт'!AK353</f>
        <v>1497.0038800552861</v>
      </c>
      <c r="AL353" s="43">
        <f>'[1]поточний ремонт'!AL353+'[2]поточний ремонт'!AL353-'[3]поточний ремонт'!AL353</f>
        <v>6843.031046198721</v>
      </c>
      <c r="AM353" s="5"/>
      <c r="AN353" s="43">
        <f>'[1]поточний ремонт'!AN353+'[2]поточний ремонт'!AN353-'[3]поточний ремонт'!AN353</f>
        <v>0</v>
      </c>
      <c r="AO353" s="43">
        <f>'[1]поточний ремонт'!AO353+'[2]поточний ремонт'!AO353-'[3]поточний ремонт'!AO353</f>
        <v>0</v>
      </c>
      <c r="AP353" s="5"/>
      <c r="AQ353" s="43">
        <f>'[1]поточний ремонт'!AQ353+'[2]поточний ремонт'!AQ353-'[3]поточний ремонт'!AQ353</f>
        <v>971.4550439988127</v>
      </c>
      <c r="AR353" s="43">
        <f>'[1]поточний ремонт'!AR353+'[2]поточний ремонт'!AR353-'[3]поточний ремонт'!AR353</f>
        <v>0</v>
      </c>
      <c r="AS353" s="5"/>
      <c r="AT353" s="43">
        <f>'[1]поточний ремонт'!AT353+'[2]поточний ремонт'!AT353-'[3]поточний ремонт'!AT353</f>
        <v>1056.7240487077254</v>
      </c>
      <c r="AU353" s="43">
        <f>'[1]поточний ремонт'!AU353+'[2]поточний ремонт'!AU353-'[3]поточний ремонт'!AU353</f>
        <v>0</v>
      </c>
      <c r="AV353" s="5"/>
      <c r="AW353" s="43">
        <f>'[1]поточний ремонт'!AW353+'[2]поточний ремонт'!AW353-'[3]поточний ремонт'!AW353</f>
        <v>0</v>
      </c>
      <c r="AX353" s="43">
        <f>'[1]поточний ремонт'!AX353+'[2]поточний ремонт'!AX353-'[3]поточний ремонт'!AX353</f>
        <v>0</v>
      </c>
      <c r="AY353" s="5"/>
      <c r="AZ353" s="43">
        <f t="shared" si="42"/>
        <v>7858.3996299567134</v>
      </c>
      <c r="BA353" s="43">
        <f t="shared" si="43"/>
        <v>10137.71284117777</v>
      </c>
      <c r="BB353" s="59">
        <f t="shared" si="44"/>
        <v>2279.3132112210569</v>
      </c>
      <c r="BD353" s="2">
        <v>3</v>
      </c>
      <c r="BF353" s="30">
        <v>207.78220771157015</v>
      </c>
      <c r="BG353" s="328">
        <v>150000913</v>
      </c>
      <c r="BI353" s="107">
        <v>24.5</v>
      </c>
      <c r="BJ353" s="107">
        <f t="shared" si="45"/>
        <v>3.4462238999999997</v>
      </c>
      <c r="BK353" s="107">
        <v>28.255502002</v>
      </c>
      <c r="BL353" s="39"/>
      <c r="BM353" s="3"/>
      <c r="BN353" s="3">
        <v>0</v>
      </c>
      <c r="BP353" s="3"/>
      <c r="BQ353" s="3"/>
      <c r="BS353" s="43"/>
      <c r="BT353" s="43">
        <v>0</v>
      </c>
      <c r="BU353" s="1037"/>
      <c r="BV353" s="42"/>
      <c r="BW353" s="43"/>
      <c r="BX353" s="1039"/>
      <c r="BY353" s="78"/>
      <c r="BZ353" s="43">
        <v>0</v>
      </c>
      <c r="CA353" s="1038"/>
      <c r="CB353" s="42"/>
      <c r="CC353" s="42">
        <v>0</v>
      </c>
      <c r="CD353" s="1039"/>
      <c r="CE353" s="78">
        <v>0</v>
      </c>
      <c r="CF353" s="56"/>
      <c r="CG353" s="42">
        <v>0</v>
      </c>
      <c r="CH353" s="39">
        <v>28.255502002</v>
      </c>
      <c r="CI353" s="78">
        <v>0</v>
      </c>
      <c r="CJ353" s="1051"/>
      <c r="CK353" s="1034"/>
      <c r="CL353" s="1029"/>
      <c r="CM353" s="1034"/>
      <c r="CN353" s="1029">
        <v>0</v>
      </c>
      <c r="CO353" s="78">
        <v>146.87281929944615</v>
      </c>
      <c r="CP353" s="43">
        <v>0</v>
      </c>
      <c r="CQ353" s="5"/>
      <c r="CR353" s="78">
        <v>214.22856880012804</v>
      </c>
      <c r="CS353" s="1033">
        <v>0</v>
      </c>
      <c r="CT353" s="1045"/>
      <c r="CU353" s="78">
        <v>124.75032333794053</v>
      </c>
      <c r="CV353" s="43">
        <v>0</v>
      </c>
      <c r="CW353" s="5"/>
      <c r="CX353" s="78">
        <v>0</v>
      </c>
      <c r="CY353" s="43">
        <v>0</v>
      </c>
      <c r="CZ353" s="5"/>
      <c r="DA353" s="78">
        <v>80.954586999901053</v>
      </c>
      <c r="DB353" s="43">
        <v>0</v>
      </c>
      <c r="DC353" s="5"/>
      <c r="DD353" s="78">
        <v>88.060337392310473</v>
      </c>
      <c r="DE353" s="43">
        <v>0</v>
      </c>
      <c r="DF353" s="5"/>
      <c r="DG353" s="78">
        <v>0</v>
      </c>
      <c r="DH353" s="43"/>
      <c r="DI353" s="5"/>
      <c r="DJ353" s="43">
        <v>654.86663582972619</v>
      </c>
      <c r="DK353" s="43">
        <f t="shared" si="46"/>
        <v>0</v>
      </c>
      <c r="DL353" s="59">
        <f t="shared" si="47"/>
        <v>-654.86663582972619</v>
      </c>
    </row>
    <row r="354" spans="1:116" ht="24.9" customHeight="1" x14ac:dyDescent="0.3">
      <c r="A354" s="328">
        <v>150000914</v>
      </c>
      <c r="B354" s="45" t="s">
        <v>321</v>
      </c>
      <c r="C354" s="1035">
        <v>5</v>
      </c>
      <c r="D354" s="1036" t="s">
        <v>454</v>
      </c>
      <c r="E354" s="1028">
        <f>'побудинковий звіт'!E352</f>
        <v>4073.8</v>
      </c>
      <c r="F354" s="1029">
        <f>'побудинковий звіт'!AS352</f>
        <v>50816.053649047804</v>
      </c>
      <c r="G354" s="1029">
        <f t="shared" si="40"/>
        <v>39572.859440113607</v>
      </c>
      <c r="H354" s="1029">
        <f t="shared" si="41"/>
        <v>-11243.194208934197</v>
      </c>
      <c r="I354" s="43">
        <f>'[1]поточний ремонт'!I354+'[2]поточний ремонт'!I354-'[3]поточний ремонт'!I354</f>
        <v>66</v>
      </c>
      <c r="J354" s="43">
        <f>'[1]поточний ремонт'!J354+'[2]поточний ремонт'!J354-'[3]поточний ремонт'!J354</f>
        <v>20530</v>
      </c>
      <c r="K354" s="1037"/>
      <c r="L354" s="43">
        <f>'[1]поточний ремонт'!L354+'[2]поточний ремонт'!L354-'[3]поточний ремонт'!L354</f>
        <v>0</v>
      </c>
      <c r="M354" s="43">
        <f>'[1]поточний ремонт'!M354+'[2]поточний ремонт'!M354-'[3]поточний ремонт'!M354</f>
        <v>0</v>
      </c>
      <c r="N354" s="37"/>
      <c r="O354" s="43">
        <f>'[1]поточний ремонт'!O354+'[2]поточний ремонт'!O354-'[3]поточний ремонт'!O354</f>
        <v>0</v>
      </c>
      <c r="P354" s="43">
        <f>'[1]поточний ремонт'!P354+'[2]поточний ремонт'!P354-'[3]поточний ремонт'!P354</f>
        <v>0</v>
      </c>
      <c r="Q354" s="1038"/>
      <c r="R354" s="43">
        <f>'[1]поточний ремонт'!R354+'[2]поточний ремонт'!R354-'[3]поточний ремонт'!R354</f>
        <v>0</v>
      </c>
      <c r="S354" s="43">
        <f>'[1]поточний ремонт'!S354+'[2]поточний ремонт'!S354-'[3]поточний ремонт'!S354</f>
        <v>0</v>
      </c>
      <c r="T354" s="1039"/>
      <c r="U354" s="43">
        <f>'[1]поточний ремонт'!U354+'[2]поточний ремонт'!U354-'[3]поточний ремонт'!U354</f>
        <v>0</v>
      </c>
      <c r="V354" s="43">
        <f>'[1]поточний ремонт'!V354+'[2]поточний ремонт'!V354-'[3]поточний ремонт'!V354</f>
        <v>0</v>
      </c>
      <c r="W354" s="43">
        <f>'[1]поточний ремонт'!W354+'[2]поточний ремонт'!W354-'[3]поточний ремонт'!W354</f>
        <v>0</v>
      </c>
      <c r="X354" s="43">
        <f>'[1]поточний ремонт'!X354+'[2]поточний ремонт'!X354-'[3]поточний ремонт'!X354</f>
        <v>11419.859440113609</v>
      </c>
      <c r="Y354" s="43">
        <f>'[1]поточний ремонт'!Y354+'[2]поточний ремонт'!Y354-'[3]поточний ремонт'!Y354</f>
        <v>0</v>
      </c>
      <c r="Z354" s="43">
        <f>'[1]поточний ремонт'!Z354+'[2]поточний ремонт'!Z354-'[3]поточний ремонт'!Z354</f>
        <v>0</v>
      </c>
      <c r="AA354" s="43">
        <f>'[1]поточний ремонт'!AA354+'[2]поточний ремонт'!AA354-'[3]поточний ремонт'!AA354</f>
        <v>0</v>
      </c>
      <c r="AB354" s="43">
        <f>'[1]поточний ремонт'!AB354+'[2]поточний ремонт'!AB354-'[3]поточний ремонт'!AB354</f>
        <v>4743</v>
      </c>
      <c r="AC354" s="43">
        <f>'[1]поточний ремонт'!AC354+'[2]поточний ремонт'!AC354-'[3]поточний ремонт'!AC354</f>
        <v>0</v>
      </c>
      <c r="AD354" s="43">
        <f>'[1]поточний ремонт'!AD354+'[2]поточний ремонт'!AD354-'[3]поточний ремонт'!AD354</f>
        <v>2880</v>
      </c>
      <c r="AE354" s="43">
        <f>'[1]поточний ремонт'!AE354+'[2]поточний ремонт'!AE354-'[3]поточний ремонт'!AE354</f>
        <v>1762.4738315933535</v>
      </c>
      <c r="AF354" s="43">
        <f>'[1]поточний ремонт'!AF354+'[2]поточний ремонт'!AF354-'[3]поточний ремонт'!AF354</f>
        <v>0</v>
      </c>
      <c r="AG354" s="5"/>
      <c r="AH354" s="43">
        <f>'[1]поточний ремонт'!AH354+'[2]поточний ремонт'!AH354-'[3]поточний ремонт'!AH354</f>
        <v>2570.742825601536</v>
      </c>
      <c r="AI354" s="43">
        <f>'[1]поточний ремонт'!AI354+'[2]поточний ремонт'!AI354-'[3]поточний ремонт'!AI354</f>
        <v>3608</v>
      </c>
      <c r="AJ354" s="5"/>
      <c r="AK354" s="43">
        <f>'[1]поточний ремонт'!AK354+'[2]поточний ремонт'!AK354-'[3]поточний ремонт'!AK354</f>
        <v>1497.0038800552861</v>
      </c>
      <c r="AL354" s="43">
        <f>'[1]поточний ремонт'!AL354+'[2]поточний ремонт'!AL354-'[3]поточний ремонт'!AL354</f>
        <v>3821</v>
      </c>
      <c r="AM354" s="5"/>
      <c r="AN354" s="43">
        <f>'[1]поточний ремонт'!AN354+'[2]поточний ремонт'!AN354-'[3]поточний ремонт'!AN354</f>
        <v>0</v>
      </c>
      <c r="AO354" s="43">
        <f>'[1]поточний ремонт'!AO354+'[2]поточний ремонт'!AO354-'[3]поточний ремонт'!AO354</f>
        <v>0</v>
      </c>
      <c r="AP354" s="5"/>
      <c r="AQ354" s="43">
        <f>'[1]поточний ремонт'!AQ354+'[2]поточний ремонт'!AQ354-'[3]поточний ремонт'!AQ354</f>
        <v>971.4550439988127</v>
      </c>
      <c r="AR354" s="43">
        <f>'[1]поточний ремонт'!AR354+'[2]поточний ремонт'!AR354-'[3]поточний ремонт'!AR354</f>
        <v>0</v>
      </c>
      <c r="AS354" s="5"/>
      <c r="AT354" s="43">
        <f>'[1]поточний ремонт'!AT354+'[2]поточний ремонт'!AT354-'[3]поточний ремонт'!AT354</f>
        <v>1056.7240487077254</v>
      </c>
      <c r="AU354" s="43">
        <f>'[1]поточний ремонт'!AU354+'[2]поточний ремонт'!AU354-'[3]поточний ремонт'!AU354</f>
        <v>2420</v>
      </c>
      <c r="AV354" s="5"/>
      <c r="AW354" s="43">
        <f>'[1]поточний ремонт'!AW354+'[2]поточний ремонт'!AW354-'[3]поточний ремонт'!AW354</f>
        <v>0</v>
      </c>
      <c r="AX354" s="43">
        <f>'[1]поточний ремонт'!AX354+'[2]поточний ремонт'!AX354-'[3]поточний ремонт'!AX354</f>
        <v>0</v>
      </c>
      <c r="AY354" s="5"/>
      <c r="AZ354" s="43">
        <f t="shared" si="42"/>
        <v>7858.3996299567134</v>
      </c>
      <c r="BA354" s="43">
        <f t="shared" si="43"/>
        <v>9849</v>
      </c>
      <c r="BB354" s="59">
        <f t="shared" si="44"/>
        <v>1990.6003700432866</v>
      </c>
      <c r="BD354" s="2">
        <v>3</v>
      </c>
      <c r="BF354" s="30">
        <v>206.48750273838522</v>
      </c>
      <c r="BG354" s="328">
        <v>150000914</v>
      </c>
      <c r="BI354" s="107">
        <v>16.63</v>
      </c>
      <c r="BJ354" s="107">
        <f t="shared" si="45"/>
        <v>2.3392123859999998</v>
      </c>
      <c r="BK354" s="107">
        <v>19.17914278748</v>
      </c>
      <c r="BL354" s="39"/>
      <c r="BM354" s="3"/>
      <c r="BN354" s="3">
        <v>0</v>
      </c>
      <c r="BP354" s="3"/>
      <c r="BQ354" s="3"/>
      <c r="BS354" s="43"/>
      <c r="BT354" s="43">
        <v>0</v>
      </c>
      <c r="BU354" s="1037"/>
      <c r="BV354" s="42"/>
      <c r="BW354" s="43"/>
      <c r="BX354" s="37"/>
      <c r="BY354" s="78"/>
      <c r="BZ354" s="43">
        <v>0</v>
      </c>
      <c r="CA354" s="1038"/>
      <c r="CB354" s="42"/>
      <c r="CC354" s="42">
        <v>0</v>
      </c>
      <c r="CD354" s="1039"/>
      <c r="CE354" s="78">
        <v>0</v>
      </c>
      <c r="CF354" s="56"/>
      <c r="CG354" s="42">
        <v>0</v>
      </c>
      <c r="CH354" s="39">
        <v>19.17914278748</v>
      </c>
      <c r="CI354" s="78">
        <v>0</v>
      </c>
      <c r="CJ354" s="56"/>
      <c r="CK354" s="1034"/>
      <c r="CL354" s="1029"/>
      <c r="CM354" s="1034"/>
      <c r="CN354" s="1029">
        <v>0</v>
      </c>
      <c r="CO354" s="78">
        <v>146.87281929944615</v>
      </c>
      <c r="CP354" s="43">
        <v>0</v>
      </c>
      <c r="CQ354" s="5"/>
      <c r="CR354" s="78">
        <v>214.22856880012804</v>
      </c>
      <c r="CS354" s="1033">
        <v>0</v>
      </c>
      <c r="CT354" s="5"/>
      <c r="CU354" s="78">
        <v>124.75032333794053</v>
      </c>
      <c r="CV354" s="43">
        <v>0</v>
      </c>
      <c r="CW354" s="5"/>
      <c r="CX354" s="78">
        <v>0</v>
      </c>
      <c r="CY354" s="43">
        <v>0</v>
      </c>
      <c r="CZ354" s="5"/>
      <c r="DA354" s="78">
        <v>80.954586999901053</v>
      </c>
      <c r="DB354" s="43">
        <v>0</v>
      </c>
      <c r="DC354" s="5"/>
      <c r="DD354" s="78">
        <v>88.060337392310473</v>
      </c>
      <c r="DE354" s="43">
        <v>0</v>
      </c>
      <c r="DF354" s="5"/>
      <c r="DG354" s="78">
        <v>0</v>
      </c>
      <c r="DH354" s="43"/>
      <c r="DI354" s="5"/>
      <c r="DJ354" s="43">
        <v>654.86663582972619</v>
      </c>
      <c r="DK354" s="43">
        <f t="shared" si="46"/>
        <v>0</v>
      </c>
      <c r="DL354" s="59">
        <f t="shared" si="47"/>
        <v>-654.86663582972619</v>
      </c>
    </row>
    <row r="355" spans="1:116" ht="24.9" customHeight="1" x14ac:dyDescent="0.3">
      <c r="A355" s="328">
        <v>150000915</v>
      </c>
      <c r="B355" s="45" t="s">
        <v>322</v>
      </c>
      <c r="C355" s="1035">
        <v>5</v>
      </c>
      <c r="D355" s="1036" t="s">
        <v>454</v>
      </c>
      <c r="E355" s="1028">
        <f>'побудинковий звіт'!E353</f>
        <v>4387.3</v>
      </c>
      <c r="F355" s="1029">
        <f>'побудинковий звіт'!AS353</f>
        <v>48473.015952967384</v>
      </c>
      <c r="G355" s="1029">
        <f t="shared" si="40"/>
        <v>36213.47412210943</v>
      </c>
      <c r="H355" s="1029">
        <f t="shared" si="41"/>
        <v>-12259.541830857954</v>
      </c>
      <c r="I355" s="43">
        <f>'[1]поточний ремонт'!I355+'[2]поточний ремонт'!I355-'[3]поточний ремонт'!I355</f>
        <v>70.5</v>
      </c>
      <c r="J355" s="43">
        <f>'[1]поточний ремонт'!J355+'[2]поточний ремонт'!J355-'[3]поточний ремонт'!J355</f>
        <v>19696</v>
      </c>
      <c r="K355" s="1037"/>
      <c r="L355" s="43">
        <f>'[1]поточний ремонт'!L355+'[2]поточний ремонт'!L355-'[3]поточний ремонт'!L355</f>
        <v>0</v>
      </c>
      <c r="M355" s="43">
        <f>'[1]поточний ремонт'!M355+'[2]поточний ремонт'!M355-'[3]поточний ремонт'!M355</f>
        <v>0</v>
      </c>
      <c r="N355" s="1050"/>
      <c r="O355" s="43">
        <f>'[1]поточний ремонт'!O355+'[2]поточний ремонт'!O355-'[3]поточний ремонт'!O355</f>
        <v>0</v>
      </c>
      <c r="P355" s="43">
        <f>'[1]поточний ремонт'!P355+'[2]поточний ремонт'!P355-'[3]поточний ремонт'!P355</f>
        <v>0</v>
      </c>
      <c r="Q355" s="1038"/>
      <c r="R355" s="43">
        <f>'[1]поточний ремонт'!R355+'[2]поточний ремонт'!R355-'[3]поточний ремонт'!R355</f>
        <v>0</v>
      </c>
      <c r="S355" s="43">
        <f>'[1]поточний ремонт'!S355+'[2]поточний ремонт'!S355-'[3]поточний ремонт'!S355</f>
        <v>0</v>
      </c>
      <c r="T355" s="1039"/>
      <c r="U355" s="43">
        <f>'[1]поточний ремонт'!U355+'[2]поточний ремонт'!U355-'[3]поточний ремонт'!U355</f>
        <v>0</v>
      </c>
      <c r="V355" s="43">
        <f>'[1]поточний ремонт'!V355+'[2]поточний ремонт'!V355-'[3]поточний ремонт'!V355</f>
        <v>0</v>
      </c>
      <c r="W355" s="43">
        <f>'[1]поточний ремонт'!W355+'[2]поточний ремонт'!W355-'[3]поточний ремонт'!W355</f>
        <v>0</v>
      </c>
      <c r="X355" s="43">
        <f>'[1]поточний ремонт'!X355+'[2]поточний ремонт'!X355-'[3]поточний ремонт'!X355</f>
        <v>410.47412210943151</v>
      </c>
      <c r="Y355" s="43">
        <f>'[1]поточний ремонт'!Y355+'[2]поточний ремонт'!Y355-'[3]поточний ремонт'!Y355</f>
        <v>11907</v>
      </c>
      <c r="Z355" s="43">
        <f>'[1]поточний ремонт'!Z355+'[2]поточний ремонт'!Z355-'[3]поточний ремонт'!Z355</f>
        <v>0</v>
      </c>
      <c r="AA355" s="43">
        <f>'[1]поточний ремонт'!AA355+'[2]поточний ремонт'!AA355-'[3]поточний ремонт'!AA355</f>
        <v>0</v>
      </c>
      <c r="AB355" s="43">
        <f>'[1]поточний ремонт'!AB355+'[2]поточний ремонт'!AB355-'[3]поточний ремонт'!AB355</f>
        <v>537</v>
      </c>
      <c r="AC355" s="43">
        <f>'[1]поточний ремонт'!AC355+'[2]поточний ремонт'!AC355-'[3]поточний ремонт'!AC355</f>
        <v>1372</v>
      </c>
      <c r="AD355" s="43">
        <f>'[1]поточний ремонт'!AD355+'[2]поточний ремонт'!AD355-'[3]поточний ремонт'!AD355</f>
        <v>2291</v>
      </c>
      <c r="AE355" s="43">
        <f>'[1]поточний ремонт'!AE355+'[2]поточний ремонт'!AE355-'[3]поточний ремонт'!AE355</f>
        <v>1762.1223893077108</v>
      </c>
      <c r="AF355" s="43">
        <f>'[1]поточний ремонт'!AF355+'[2]поточний ремонт'!AF355-'[3]поточний ремонт'!AF355</f>
        <v>0</v>
      </c>
      <c r="AG355" s="5"/>
      <c r="AH355" s="43">
        <f>'[1]поточний ремонт'!AH355+'[2]поточний ремонт'!AH355-'[3]поточний ремонт'!AH355</f>
        <v>2570.742825601536</v>
      </c>
      <c r="AI355" s="43">
        <f>'[1]поточний ремонт'!AI355+'[2]поточний ремонт'!AI355-'[3]поточний ремонт'!AI355</f>
        <v>4952</v>
      </c>
      <c r="AJ355" s="5"/>
      <c r="AK355" s="43">
        <f>'[1]поточний ремонт'!AK355+'[2]поточний ремонт'!AK355-'[3]поточний ремонт'!AK355</f>
        <v>1497.0038800552861</v>
      </c>
      <c r="AL355" s="43">
        <f>'[1]поточний ремонт'!AL355+'[2]поточний ремонт'!AL355-'[3]поточний ремонт'!AL355</f>
        <v>5201.0825100578704</v>
      </c>
      <c r="AM355" s="5"/>
      <c r="AN355" s="43">
        <f>'[1]поточний ремонт'!AN355+'[2]поточний ремонт'!AN355-'[3]поточний ремонт'!AN355</f>
        <v>0</v>
      </c>
      <c r="AO355" s="43">
        <f>'[1]поточний ремонт'!AO355+'[2]поточний ремонт'!AO355-'[3]поточний ремонт'!AO355</f>
        <v>0</v>
      </c>
      <c r="AP355" s="5"/>
      <c r="AQ355" s="43">
        <f>'[1]поточний ремонт'!AQ355+'[2]поточний ремонт'!AQ355-'[3]поточний ремонт'!AQ355</f>
        <v>971.4550439988127</v>
      </c>
      <c r="AR355" s="43">
        <f>'[1]поточний ремонт'!AR355+'[2]поточний ремонт'!AR355-'[3]поточний ремонт'!AR355</f>
        <v>0</v>
      </c>
      <c r="AS355" s="5"/>
      <c r="AT355" s="43">
        <f>'[1]поточний ремонт'!AT355+'[2]поточний ремонт'!AT355-'[3]поточний ремонт'!AT355</f>
        <v>1056.6698839242524</v>
      </c>
      <c r="AU355" s="43">
        <f>'[1]поточний ремонт'!AU355+'[2]поточний ремонт'!AU355-'[3]поточний ремонт'!AU355</f>
        <v>0</v>
      </c>
      <c r="AV355" s="1057"/>
      <c r="AW355" s="43">
        <f>'[1]поточний ремонт'!AW355+'[2]поточний ремонт'!AW355-'[3]поточний ремонт'!AW355</f>
        <v>0</v>
      </c>
      <c r="AX355" s="43">
        <f>'[1]поточний ремонт'!AX355+'[2]поточний ремонт'!AX355-'[3]поточний ремонт'!AX355</f>
        <v>0</v>
      </c>
      <c r="AY355" s="5"/>
      <c r="AZ355" s="43">
        <f t="shared" si="42"/>
        <v>7857.9940228875985</v>
      </c>
      <c r="BA355" s="43">
        <f t="shared" si="43"/>
        <v>10153.08251005787</v>
      </c>
      <c r="BB355" s="59">
        <f t="shared" si="44"/>
        <v>2295.088487170271</v>
      </c>
      <c r="BD355" s="2">
        <v>3</v>
      </c>
      <c r="BF355" s="30">
        <v>205.07468957480577</v>
      </c>
      <c r="BG355" s="328">
        <v>150000915</v>
      </c>
      <c r="BI355" s="107">
        <v>30.63</v>
      </c>
      <c r="BJ355" s="107">
        <f t="shared" si="45"/>
        <v>4.3084831859999992</v>
      </c>
      <c r="BK355" s="107">
        <v>35.32514393148</v>
      </c>
      <c r="BL355" s="39"/>
      <c r="BM355" s="3"/>
      <c r="BN355" s="3">
        <v>0</v>
      </c>
      <c r="BP355" s="3"/>
      <c r="BQ355" s="3"/>
      <c r="BS355" s="43"/>
      <c r="BT355" s="43">
        <v>0</v>
      </c>
      <c r="BU355" s="1037"/>
      <c r="BV355" s="42"/>
      <c r="BW355" s="43"/>
      <c r="BX355" s="1050"/>
      <c r="BY355" s="78"/>
      <c r="BZ355" s="43">
        <v>0</v>
      </c>
      <c r="CA355" s="1038"/>
      <c r="CB355" s="42"/>
      <c r="CC355" s="42">
        <v>0</v>
      </c>
      <c r="CD355" s="1039"/>
      <c r="CE355" s="78">
        <v>0</v>
      </c>
      <c r="CF355" s="56"/>
      <c r="CG355" s="42">
        <v>0</v>
      </c>
      <c r="CH355" s="39">
        <v>35.32514393148</v>
      </c>
      <c r="CI355" s="78">
        <v>0</v>
      </c>
      <c r="CJ355" s="56"/>
      <c r="CK355" s="1034"/>
      <c r="CL355" s="1029"/>
      <c r="CM355" s="1034"/>
      <c r="CN355" s="1029">
        <v>0</v>
      </c>
      <c r="CO355" s="78">
        <v>146.84353244230923</v>
      </c>
      <c r="CP355" s="43">
        <v>1957.1776750075273</v>
      </c>
      <c r="CQ355" s="5"/>
      <c r="CR355" s="78">
        <v>214.22856880012804</v>
      </c>
      <c r="CS355" s="1033">
        <v>0</v>
      </c>
      <c r="CT355" s="5"/>
      <c r="CU355" s="78">
        <v>124.75032333794053</v>
      </c>
      <c r="CV355" s="43">
        <v>0</v>
      </c>
      <c r="CW355" s="5"/>
      <c r="CX355" s="78">
        <v>0</v>
      </c>
      <c r="CY355" s="43">
        <v>0</v>
      </c>
      <c r="CZ355" s="5"/>
      <c r="DA355" s="78">
        <v>80.954586999901053</v>
      </c>
      <c r="DB355" s="43">
        <v>0</v>
      </c>
      <c r="DC355" s="5"/>
      <c r="DD355" s="78">
        <v>88.055823660354392</v>
      </c>
      <c r="DE355" s="43">
        <v>0</v>
      </c>
      <c r="DF355" s="1057"/>
      <c r="DG355" s="78">
        <v>0</v>
      </c>
      <c r="DH355" s="43"/>
      <c r="DI355" s="5"/>
      <c r="DJ355" s="43">
        <v>654.83283524063324</v>
      </c>
      <c r="DK355" s="43">
        <f t="shared" si="46"/>
        <v>1957.1776750075273</v>
      </c>
      <c r="DL355" s="59">
        <f t="shared" si="47"/>
        <v>1302.344839766894</v>
      </c>
    </row>
    <row r="356" spans="1:116" ht="24.9" customHeight="1" x14ac:dyDescent="0.3">
      <c r="A356" s="328">
        <v>150000916</v>
      </c>
      <c r="B356" s="45" t="s">
        <v>323</v>
      </c>
      <c r="C356" s="1035">
        <v>5</v>
      </c>
      <c r="D356" s="1036" t="s">
        <v>454</v>
      </c>
      <c r="E356" s="1028">
        <f>'побудинковий звіт'!E354</f>
        <v>5235.7000000000007</v>
      </c>
      <c r="F356" s="1029">
        <f>'побудинковий звіт'!AS354</f>
        <v>96389.216206295227</v>
      </c>
      <c r="G356" s="1029">
        <f t="shared" si="40"/>
        <v>69078.084550033644</v>
      </c>
      <c r="H356" s="1029">
        <f t="shared" si="41"/>
        <v>-27311.131656261583</v>
      </c>
      <c r="I356" s="43">
        <f>'[1]поточний ремонт'!I356+'[2]поточний ремонт'!I356-'[3]поточний ремонт'!I356</f>
        <v>238.8</v>
      </c>
      <c r="J356" s="43">
        <f>'[1]поточний ремонт'!J356+'[2]поточний ремонт'!J356-'[3]поточний ремонт'!J356</f>
        <v>60277</v>
      </c>
      <c r="K356" s="1037"/>
      <c r="L356" s="43">
        <f>'[1]поточний ремонт'!L356+'[2]поточний ремонт'!L356-'[3]поточний ремонт'!L356</f>
        <v>0</v>
      </c>
      <c r="M356" s="43">
        <f>'[1]поточний ремонт'!M356+'[2]поточний ремонт'!M356-'[3]поточний ремонт'!M356</f>
        <v>0</v>
      </c>
      <c r="N356" s="37"/>
      <c r="O356" s="43">
        <f>'[1]поточний ремонт'!O356+'[2]поточний ремонт'!O356-'[3]поточний ремонт'!O356</f>
        <v>0</v>
      </c>
      <c r="P356" s="43">
        <f>'[1]поточний ремонт'!P356+'[2]поточний ремонт'!P356-'[3]поточний ремонт'!P356</f>
        <v>0</v>
      </c>
      <c r="Q356" s="1038"/>
      <c r="R356" s="43">
        <f>'[1]поточний ремонт'!R356+'[2]поточний ремонт'!R356-'[3]поточний ремонт'!R356</f>
        <v>0</v>
      </c>
      <c r="S356" s="43">
        <f>'[1]поточний ремонт'!S356+'[2]поточний ремонт'!S356-'[3]поточний ремонт'!S356</f>
        <v>0</v>
      </c>
      <c r="T356" s="1039"/>
      <c r="U356" s="43">
        <f>'[1]поточний ремонт'!U356+'[2]поточний ремонт'!U356-'[3]поточний ремонт'!U356</f>
        <v>0</v>
      </c>
      <c r="V356" s="43">
        <f>'[1]поточний ремонт'!V356+'[2]поточний ремонт'!V356-'[3]поточний ремонт'!V356</f>
        <v>0</v>
      </c>
      <c r="W356" s="43">
        <f>'[1]поточний ремонт'!W356+'[2]поточний ремонт'!W356-'[3]поточний ремонт'!W356</f>
        <v>0</v>
      </c>
      <c r="X356" s="43">
        <f>'[1]поточний ремонт'!X356+'[2]поточний ремонт'!X356-'[3]поточний ремонт'!X356</f>
        <v>927.08455003364247</v>
      </c>
      <c r="Y356" s="43">
        <f>'[1]поточний ремонт'!Y356+'[2]поточний ремонт'!Y356-'[3]поточний ремонт'!Y356</f>
        <v>1070</v>
      </c>
      <c r="Z356" s="43">
        <f>'[1]поточний ремонт'!Z356+'[2]поточний ремонт'!Z356-'[3]поточний ремонт'!Z356</f>
        <v>0</v>
      </c>
      <c r="AA356" s="43">
        <f>'[1]поточний ремонт'!AA356+'[2]поточний ремонт'!AA356-'[3]поточний ремонт'!AA356</f>
        <v>0</v>
      </c>
      <c r="AB356" s="43">
        <f>'[1]поточний ремонт'!AB356+'[2]поточний ремонт'!AB356-'[3]поточний ремонт'!AB356</f>
        <v>1626</v>
      </c>
      <c r="AC356" s="43">
        <f>'[1]поточний ремонт'!AC356+'[2]поточний ремонт'!AC356-'[3]поточний ремонт'!AC356</f>
        <v>2158</v>
      </c>
      <c r="AD356" s="43">
        <f>'[1]поточний ремонт'!AD356+'[2]поточний ремонт'!AD356-'[3]поточний ремонт'!AD356</f>
        <v>3020</v>
      </c>
      <c r="AE356" s="43">
        <f>'[1]поточний ремонт'!AE356+'[2]поточний ремонт'!AE356-'[3]поточний ремонт'!AE356</f>
        <v>3475.8108485028879</v>
      </c>
      <c r="AF356" s="43">
        <f>'[1]поточний ремонт'!AF356+'[2]поточний ремонт'!AF356-'[3]поточний ремонт'!AF356</f>
        <v>0</v>
      </c>
      <c r="AG356" s="9"/>
      <c r="AH356" s="43">
        <f>'[1]поточний ремонт'!AH356+'[2]поточний ремонт'!AH356-'[3]поточний ремонт'!AH356</f>
        <v>5179.6511691421147</v>
      </c>
      <c r="AI356" s="43">
        <f>'[1]поточний ремонт'!AI356+'[2]поточний ремонт'!AI356-'[3]поточний ремонт'!AI356</f>
        <v>2166</v>
      </c>
      <c r="AJ356" s="9"/>
      <c r="AK356" s="43">
        <f>'[1]поточний ремонт'!AK356+'[2]поточний ремонт'!AK356-'[3]поточний ремонт'!AK356</f>
        <v>3265.1041597453614</v>
      </c>
      <c r="AL356" s="43">
        <f>'[1]поточний ремонт'!AL356+'[2]поточний ремонт'!AL356-'[3]поточний ремонт'!AL356</f>
        <v>2383</v>
      </c>
      <c r="AM356" s="5"/>
      <c r="AN356" s="43">
        <f>'[1]поточний ремонт'!AN356+'[2]поточний ремонт'!AN356-'[3]поточний ремонт'!AN356</f>
        <v>0</v>
      </c>
      <c r="AO356" s="43">
        <f>'[1]поточний ремонт'!AO356+'[2]поточний ремонт'!AO356-'[3]поточний ремонт'!AO356</f>
        <v>0</v>
      </c>
      <c r="AP356" s="5"/>
      <c r="AQ356" s="43">
        <f>'[1]поточний ремонт'!AQ356+'[2]поточний ремонт'!AQ356-'[3]поточний ремонт'!AQ356</f>
        <v>2032.8706882486335</v>
      </c>
      <c r="AR356" s="43">
        <f>'[1]поточний ремонт'!AR356+'[2]поточний ремонт'!AR356-'[3]поточний ремонт'!AR356</f>
        <v>0</v>
      </c>
      <c r="AS356" s="5"/>
      <c r="AT356" s="43">
        <f>'[1]поточний ремонт'!AT356+'[2]поточний ремонт'!AT356-'[3]поточний ремонт'!AT356</f>
        <v>2997.8333569021902</v>
      </c>
      <c r="AU356" s="43">
        <f>'[1]поточний ремонт'!AU356+'[2]поточний ремонт'!AU356-'[3]поточний ремонт'!AU356</f>
        <v>3873</v>
      </c>
      <c r="AV356" s="1057"/>
      <c r="AW356" s="43">
        <f>'[1]поточний ремонт'!AW356+'[2]поточний ремонт'!AW356-'[3]поточний ремонт'!AW356</f>
        <v>0</v>
      </c>
      <c r="AX356" s="43">
        <f>'[1]поточний ремонт'!AX356+'[2]поточний ремонт'!AX356-'[3]поточний ремонт'!AX356</f>
        <v>0</v>
      </c>
      <c r="AY356" s="5"/>
      <c r="AZ356" s="43">
        <f t="shared" si="42"/>
        <v>16951.270222541185</v>
      </c>
      <c r="BA356" s="43">
        <f t="shared" si="43"/>
        <v>8422</v>
      </c>
      <c r="BB356" s="59">
        <f t="shared" si="44"/>
        <v>-8529.2702225411849</v>
      </c>
      <c r="BD356" s="2">
        <v>3</v>
      </c>
      <c r="BF356" s="30">
        <v>462.46114298843247</v>
      </c>
      <c r="BG356" s="328">
        <v>150000916</v>
      </c>
      <c r="BI356" s="107">
        <v>69.180000000000007</v>
      </c>
      <c r="BJ356" s="107">
        <f t="shared" si="45"/>
        <v>9.7310109960000002</v>
      </c>
      <c r="BK356" s="107">
        <v>79.784311367280011</v>
      </c>
      <c r="BL356" s="39"/>
      <c r="BM356" s="3"/>
      <c r="BN356" s="3">
        <v>0</v>
      </c>
      <c r="BP356" s="3"/>
      <c r="BQ356" s="3"/>
      <c r="BS356" s="43"/>
      <c r="BT356" s="43">
        <v>0</v>
      </c>
      <c r="BU356" s="1037"/>
      <c r="BV356" s="42"/>
      <c r="BW356" s="43"/>
      <c r="BX356" s="37"/>
      <c r="BY356" s="78">
        <v>30</v>
      </c>
      <c r="BZ356" s="43">
        <v>8481.791526622239</v>
      </c>
      <c r="CA356" s="1038"/>
      <c r="CB356" s="42"/>
      <c r="CC356" s="42">
        <v>0</v>
      </c>
      <c r="CD356" s="1039"/>
      <c r="CE356" s="78">
        <v>0</v>
      </c>
      <c r="CF356" s="56"/>
      <c r="CG356" s="42">
        <v>0</v>
      </c>
      <c r="CH356" s="39">
        <v>79.784311367280011</v>
      </c>
      <c r="CI356" s="78">
        <v>0</v>
      </c>
      <c r="CJ356" s="1051"/>
      <c r="CK356" s="1034"/>
      <c r="CL356" s="1029"/>
      <c r="CM356" s="1034"/>
      <c r="CN356" s="1029">
        <v>86.113450628630417</v>
      </c>
      <c r="CO356" s="78">
        <v>289.65090404190732</v>
      </c>
      <c r="CP356" s="43">
        <v>0</v>
      </c>
      <c r="CQ356" s="9"/>
      <c r="CR356" s="78">
        <v>431.63759742850965</v>
      </c>
      <c r="CS356" s="1033">
        <v>0</v>
      </c>
      <c r="CT356" s="9"/>
      <c r="CU356" s="78">
        <v>272.09201331211341</v>
      </c>
      <c r="CV356" s="43">
        <v>0</v>
      </c>
      <c r="CW356" s="5"/>
      <c r="CX356" s="78">
        <v>0</v>
      </c>
      <c r="CY356" s="43">
        <v>0</v>
      </c>
      <c r="CZ356" s="5"/>
      <c r="DA356" s="78">
        <v>169.40589068738615</v>
      </c>
      <c r="DB356" s="43">
        <v>0</v>
      </c>
      <c r="DC356" s="5"/>
      <c r="DD356" s="78">
        <v>249.81944640851586</v>
      </c>
      <c r="DE356" s="43">
        <v>0</v>
      </c>
      <c r="DF356" s="1057"/>
      <c r="DG356" s="78">
        <v>0</v>
      </c>
      <c r="DH356" s="43"/>
      <c r="DI356" s="5"/>
      <c r="DJ356" s="43">
        <v>1412.6058518784325</v>
      </c>
      <c r="DK356" s="43">
        <f t="shared" si="46"/>
        <v>0</v>
      </c>
      <c r="DL356" s="59">
        <f t="shared" si="47"/>
        <v>-1412.6058518784325</v>
      </c>
    </row>
    <row r="357" spans="1:116" ht="24.9" customHeight="1" x14ac:dyDescent="0.3">
      <c r="A357" s="328">
        <v>150000917</v>
      </c>
      <c r="B357" s="45" t="s">
        <v>324</v>
      </c>
      <c r="C357" s="1035">
        <v>5</v>
      </c>
      <c r="D357" s="1036" t="s">
        <v>454</v>
      </c>
      <c r="E357" s="1028">
        <f>'побудинковий звіт'!E355</f>
        <v>3936.36</v>
      </c>
      <c r="F357" s="1029">
        <f>'побудинковий звіт'!AS355</f>
        <v>70849.67341440836</v>
      </c>
      <c r="G357" s="1029">
        <f t="shared" si="40"/>
        <v>121178</v>
      </c>
      <c r="H357" s="1029">
        <f t="shared" si="41"/>
        <v>50328.32658559164</v>
      </c>
      <c r="I357" s="43">
        <f>'[1]поточний ремонт'!I357+'[2]поточний ремонт'!I357-'[3]поточний ремонт'!I357</f>
        <v>1.8</v>
      </c>
      <c r="J357" s="43">
        <f>'[1]поточний ремонт'!J357+'[2]поточний ремонт'!J357-'[3]поточний ремонт'!J357</f>
        <v>14927</v>
      </c>
      <c r="K357" s="1041"/>
      <c r="L357" s="43">
        <f>'[1]поточний ремонт'!L357+'[2]поточний ремонт'!L357-'[3]поточний ремонт'!L357</f>
        <v>0</v>
      </c>
      <c r="M357" s="43">
        <f>'[1]поточний ремонт'!M357+'[2]поточний ремонт'!M357-'[3]поточний ремонт'!M357</f>
        <v>0</v>
      </c>
      <c r="N357" s="37"/>
      <c r="O357" s="43">
        <f>'[1]поточний ремонт'!O357+'[2]поточний ремонт'!O357-'[3]поточний ремонт'!O357</f>
        <v>0</v>
      </c>
      <c r="P357" s="43">
        <f>'[1]поточний ремонт'!P357+'[2]поточний ремонт'!P357-'[3]поточний ремонт'!P357</f>
        <v>0</v>
      </c>
      <c r="Q357" s="1038"/>
      <c r="R357" s="43">
        <f>'[1]поточний ремонт'!R357+'[2]поточний ремонт'!R357-'[3]поточний ремонт'!R357</f>
        <v>0</v>
      </c>
      <c r="S357" s="43">
        <f>'[1]поточний ремонт'!S357+'[2]поточний ремонт'!S357-'[3]поточний ремонт'!S357</f>
        <v>0</v>
      </c>
      <c r="T357" s="1039"/>
      <c r="U357" s="43">
        <f>'[1]поточний ремонт'!U357+'[2]поточний ремонт'!U357-'[3]поточний ремонт'!U357</f>
        <v>0</v>
      </c>
      <c r="V357" s="43">
        <f>'[1]поточний ремонт'!V357+'[2]поточний ремонт'!V357-'[3]поточний ремонт'!V357</f>
        <v>0</v>
      </c>
      <c r="W357" s="43">
        <f>'[1]поточний ремонт'!W357+'[2]поточний ремонт'!W357-'[3]поточний ремонт'!W357</f>
        <v>23</v>
      </c>
      <c r="X357" s="43">
        <f>'[1]поточний ремонт'!X357+'[2]поточний ремонт'!X357-'[3]поточний ремонт'!X357</f>
        <v>19014</v>
      </c>
      <c r="Y357" s="43">
        <f>'[1]поточний ремонт'!Y357+'[2]поточний ремонт'!Y357-'[3]поточний ремонт'!Y357</f>
        <v>67285</v>
      </c>
      <c r="Z357" s="43">
        <f>'[1]поточний ремонт'!Z357+'[2]поточний ремонт'!Z357-'[3]поточний ремонт'!Z357</f>
        <v>0</v>
      </c>
      <c r="AA357" s="43">
        <f>'[1]поточний ремонт'!AA357+'[2]поточний ремонт'!AA357-'[3]поточний ремонт'!AA357</f>
        <v>0</v>
      </c>
      <c r="AB357" s="43">
        <f>'[1]поточний ремонт'!AB357+'[2]поточний ремонт'!AB357-'[3]поточний ремонт'!AB357</f>
        <v>17645</v>
      </c>
      <c r="AC357" s="43">
        <f>'[1]поточний ремонт'!AC357+'[2]поточний ремонт'!AC357-'[3]поточний ремонт'!AC357</f>
        <v>0</v>
      </c>
      <c r="AD357" s="43">
        <f>'[1]поточний ремонт'!AD357+'[2]поточний ремонт'!AD357-'[3]поточний ремонт'!AD357</f>
        <v>2307</v>
      </c>
      <c r="AE357" s="43">
        <f>'[1]поточний ремонт'!AE357+'[2]поточний ремонт'!AE357-'[3]поточний ремонт'!AE357</f>
        <v>2650.2856377678509</v>
      </c>
      <c r="AF357" s="43">
        <f>'[1]поточний ремонт'!AF357+'[2]поточний ремонт'!AF357-'[3]поточний ремонт'!AF357</f>
        <v>0</v>
      </c>
      <c r="AG357" s="5"/>
      <c r="AH357" s="43">
        <f>'[1]поточний ремонт'!AH357+'[2]поточний ремонт'!AH357-'[3]поточний ремонт'!AH357</f>
        <v>3895.5321155112861</v>
      </c>
      <c r="AI357" s="43">
        <f>'[1]поточний ремонт'!AI357+'[2]поточний ремонт'!AI357-'[3]поточний ремонт'!AI357</f>
        <v>9496</v>
      </c>
      <c r="AJ357" s="5"/>
      <c r="AK357" s="43">
        <f>'[1]поточний ремонт'!AK357+'[2]поточний ремонт'!AK357-'[3]поточний ремонт'!AK357</f>
        <v>2562.4782126077039</v>
      </c>
      <c r="AL357" s="43">
        <f>'[1]поточний ремонт'!AL357+'[2]поточний ремонт'!AL357-'[3]поточний ремонт'!AL357</f>
        <v>0</v>
      </c>
      <c r="AM357" s="5"/>
      <c r="AN357" s="43">
        <f>'[1]поточний ремонт'!AN357+'[2]поточний ремонт'!AN357-'[3]поточний ремонт'!AN357</f>
        <v>0</v>
      </c>
      <c r="AO357" s="43">
        <f>'[1]поточний ремонт'!AO357+'[2]поточний ремонт'!AO357-'[3]поточний ремонт'!AO357</f>
        <v>0</v>
      </c>
      <c r="AP357" s="5"/>
      <c r="AQ357" s="43">
        <f>'[1]поточний ремонт'!AQ357+'[2]поточний ремонт'!AQ357-'[3]поточний ремонт'!AQ357</f>
        <v>1313.1883369600605</v>
      </c>
      <c r="AR357" s="43">
        <f>'[1]поточний ремонт'!AR357+'[2]поточний ремонт'!AR357-'[3]поточний ремонт'!AR357</f>
        <v>0</v>
      </c>
      <c r="AS357" s="5"/>
      <c r="AT357" s="43">
        <f>'[1]поточний ремонт'!AT357+'[2]поточний ремонт'!AT357-'[3]поточний ремонт'!AT357</f>
        <v>1948.3791226635208</v>
      </c>
      <c r="AU357" s="43">
        <f>'[1]поточний ремонт'!AU357+'[2]поточний ремонт'!AU357-'[3]поточний ремонт'!AU357</f>
        <v>1622</v>
      </c>
      <c r="AV357" s="5"/>
      <c r="AW357" s="43">
        <f>'[1]поточний ремонт'!AW357+'[2]поточний ремонт'!AW357-'[3]поточний ремонт'!AW357</f>
        <v>0</v>
      </c>
      <c r="AX357" s="43">
        <f>'[1]поточний ремонт'!AX357+'[2]поточний ремонт'!AX357-'[3]поточний ремонт'!AX357</f>
        <v>0</v>
      </c>
      <c r="AY357" s="5"/>
      <c r="AZ357" s="43">
        <f t="shared" si="42"/>
        <v>12369.863425510421</v>
      </c>
      <c r="BA357" s="43">
        <f t="shared" si="43"/>
        <v>11118</v>
      </c>
      <c r="BB357" s="59">
        <f t="shared" si="44"/>
        <v>-1251.8634255104207</v>
      </c>
      <c r="BD357" s="2">
        <v>3</v>
      </c>
      <c r="BF357" s="30">
        <v>332.32505192196322</v>
      </c>
      <c r="BG357" s="328">
        <v>150000917</v>
      </c>
      <c r="BI357" s="107">
        <v>0</v>
      </c>
      <c r="BJ357" s="107">
        <f t="shared" si="45"/>
        <v>0</v>
      </c>
      <c r="BK357" s="107">
        <v>0</v>
      </c>
      <c r="BL357" s="39"/>
      <c r="BM357" s="3">
        <v>4</v>
      </c>
      <c r="BN357" s="3">
        <v>314.20208540987488</v>
      </c>
      <c r="BP357" s="3"/>
      <c r="BQ357" s="3"/>
      <c r="BS357" s="43"/>
      <c r="BT357" s="43">
        <v>0</v>
      </c>
      <c r="BU357" s="1041"/>
      <c r="BV357" s="42"/>
      <c r="BW357" s="43"/>
      <c r="BX357" s="37"/>
      <c r="BY357" s="78"/>
      <c r="BZ357" s="43">
        <v>0</v>
      </c>
      <c r="CA357" s="1038"/>
      <c r="CB357" s="42"/>
      <c r="CC357" s="42">
        <v>0</v>
      </c>
      <c r="CD357" s="1039"/>
      <c r="CE357" s="78">
        <v>0</v>
      </c>
      <c r="CF357" s="56"/>
      <c r="CG357" s="42">
        <v>4</v>
      </c>
      <c r="CH357" s="39">
        <v>314.20208540987488</v>
      </c>
      <c r="CI357" s="78">
        <v>0</v>
      </c>
      <c r="CJ357" s="56"/>
      <c r="CK357" s="1034"/>
      <c r="CL357" s="1029"/>
      <c r="CM357" s="1034"/>
      <c r="CN357" s="1029">
        <v>0</v>
      </c>
      <c r="CO357" s="78">
        <v>220.85713648065419</v>
      </c>
      <c r="CP357" s="43">
        <v>0</v>
      </c>
      <c r="CQ357" s="5"/>
      <c r="CR357" s="78">
        <v>324.62767629260719</v>
      </c>
      <c r="CS357" s="1033">
        <v>0</v>
      </c>
      <c r="CT357" s="5"/>
      <c r="CU357" s="78">
        <v>213.53985105064197</v>
      </c>
      <c r="CV357" s="43">
        <v>0</v>
      </c>
      <c r="CW357" s="5"/>
      <c r="CX357" s="78">
        <v>0</v>
      </c>
      <c r="CY357" s="43">
        <v>0</v>
      </c>
      <c r="CZ357" s="5"/>
      <c r="DA357" s="78">
        <v>109.43236141333836</v>
      </c>
      <c r="DB357" s="43">
        <v>0</v>
      </c>
      <c r="DC357" s="5"/>
      <c r="DD357" s="78">
        <v>162.36492688862674</v>
      </c>
      <c r="DE357" s="43">
        <v>0</v>
      </c>
      <c r="DF357" s="5"/>
      <c r="DG357" s="78">
        <v>0</v>
      </c>
      <c r="DH357" s="43"/>
      <c r="DI357" s="5"/>
      <c r="DJ357" s="43">
        <v>1030.8219521258686</v>
      </c>
      <c r="DK357" s="43">
        <f t="shared" si="46"/>
        <v>0</v>
      </c>
      <c r="DL357" s="59">
        <f t="shared" si="47"/>
        <v>-1030.8219521258686</v>
      </c>
    </row>
    <row r="358" spans="1:116" ht="24.9" customHeight="1" x14ac:dyDescent="0.3">
      <c r="A358" s="328">
        <v>150000918</v>
      </c>
      <c r="B358" s="45" t="s">
        <v>325</v>
      </c>
      <c r="C358" s="1035">
        <v>5</v>
      </c>
      <c r="D358" s="1036" t="s">
        <v>454</v>
      </c>
      <c r="E358" s="1028">
        <f>'побудинковий звіт'!E356</f>
        <v>6307.74</v>
      </c>
      <c r="F358" s="1029">
        <f>'побудинковий звіт'!AS356</f>
        <v>62963.907750457831</v>
      </c>
      <c r="G358" s="1029">
        <f t="shared" si="40"/>
        <v>233120.51934199312</v>
      </c>
      <c r="H358" s="1029">
        <f t="shared" si="41"/>
        <v>170156.61159153527</v>
      </c>
      <c r="I358" s="43">
        <f>'[1]поточний ремонт'!I358+'[2]поточний ремонт'!I358-'[3]поточний ремонт'!I358</f>
        <v>1.05</v>
      </c>
      <c r="J358" s="43">
        <f>'[1]поточний ремонт'!J358+'[2]поточний ремонт'!J358-'[3]поточний ремонт'!J358</f>
        <v>69</v>
      </c>
      <c r="K358" s="1037"/>
      <c r="L358" s="43">
        <f>'[1]поточний ремонт'!L358+'[2]поточний ремонт'!L358-'[3]поточний ремонт'!L358</f>
        <v>0</v>
      </c>
      <c r="M358" s="43">
        <f>'[1]поточний ремонт'!M358+'[2]поточний ремонт'!M358-'[3]поточний ремонт'!M358</f>
        <v>0</v>
      </c>
      <c r="N358" s="37"/>
      <c r="O358" s="43">
        <f>'[1]поточний ремонт'!O358+'[2]поточний ремонт'!O358-'[3]поточний ремонт'!O358</f>
        <v>0</v>
      </c>
      <c r="P358" s="43">
        <f>'[1]поточний ремонт'!P358+'[2]поточний ремонт'!P358-'[3]поточний ремонт'!P358</f>
        <v>0</v>
      </c>
      <c r="Q358" s="1038"/>
      <c r="R358" s="43">
        <f>'[1]поточний ремонт'!R358+'[2]поточний ремонт'!R358-'[3]поточний ремонт'!R358</f>
        <v>0</v>
      </c>
      <c r="S358" s="43">
        <f>'[1]поточний ремонт'!S358+'[2]поточний ремонт'!S358-'[3]поточний ремонт'!S358</f>
        <v>0</v>
      </c>
      <c r="T358" s="1039"/>
      <c r="U358" s="43">
        <f>'[1]поточний ремонт'!U358+'[2]поточний ремонт'!U358-'[3]поточний ремонт'!U358</f>
        <v>0</v>
      </c>
      <c r="V358" s="43">
        <f>'[1]поточний ремонт'!V358+'[2]поточний ремонт'!V358-'[3]поточний ремонт'!V358</f>
        <v>0</v>
      </c>
      <c r="W358" s="43">
        <f>'[1]поточний ремонт'!W358+'[2]поточний ремонт'!W358-'[3]поточний ремонт'!W358</f>
        <v>0</v>
      </c>
      <c r="X358" s="43">
        <f>'[1]поточний ремонт'!X358+'[2]поточний ремонт'!X358-'[3]поточний ремонт'!X358</f>
        <v>10948.519341993104</v>
      </c>
      <c r="Y358" s="43">
        <f>'[1]поточний ремонт'!Y358+'[2]поточний ремонт'!Y358-'[3]поточний ремонт'!Y358</f>
        <v>218878</v>
      </c>
      <c r="Z358" s="43">
        <f>'[1]поточний ремонт'!Z358+'[2]поточний ремонт'!Z358-'[3]поточний ремонт'!Z358</f>
        <v>0</v>
      </c>
      <c r="AA358" s="43">
        <f>'[1]поточний ремонт'!AA358+'[2]поточний ремонт'!AA358-'[3]поточний ремонт'!AA358</f>
        <v>0</v>
      </c>
      <c r="AB358" s="43">
        <f>'[1]поточний ремонт'!AB358+'[2]поточний ремонт'!AB358-'[3]поточний ремонт'!AB358</f>
        <v>0</v>
      </c>
      <c r="AC358" s="43">
        <f>'[1]поточний ремонт'!AC358+'[2]поточний ремонт'!AC358-'[3]поточний ремонт'!AC358</f>
        <v>627</v>
      </c>
      <c r="AD358" s="43">
        <f>'[1]поточний ремонт'!AD358+'[2]поточний ремонт'!AD358-'[3]поточний ремонт'!AD358</f>
        <v>2598.0000000000005</v>
      </c>
      <c r="AE358" s="43">
        <f>'[1]поточний ремонт'!AE358+'[2]поточний ремонт'!AE358-'[3]поточний ремонт'!AE358</f>
        <v>2712.6293166252549</v>
      </c>
      <c r="AF358" s="43">
        <f>'[1]поточний ремонт'!AF358+'[2]поточний ремонт'!AF358-'[3]поточний ремонт'!AF358</f>
        <v>0</v>
      </c>
      <c r="AG358" s="5"/>
      <c r="AH358" s="43">
        <f>'[1]поточний ремонт'!AH358+'[2]поточний ремонт'!AH358-'[3]поточний ремонт'!AH358</f>
        <v>4382.8307950745648</v>
      </c>
      <c r="AI358" s="43">
        <f>'[1]поточний ремонт'!AI358+'[2]поточний ремонт'!AI358-'[3]поточний ремонт'!AI358</f>
        <v>0</v>
      </c>
      <c r="AJ358" s="5"/>
      <c r="AK358" s="43">
        <f>'[1]поточний ремонт'!AK358+'[2]поточний ремонт'!AK358-'[3]поточний ремонт'!AK358</f>
        <v>2668.6717501175244</v>
      </c>
      <c r="AL358" s="43">
        <f>'[1]поточний ремонт'!AL358+'[2]поточний ремонт'!AL358-'[3]поточний ремонт'!AL358</f>
        <v>0</v>
      </c>
      <c r="AM358" s="5"/>
      <c r="AN358" s="43">
        <f>'[1]поточний ремонт'!AN358+'[2]поточний ремонт'!AN358-'[3]поточний ремонт'!AN358</f>
        <v>0</v>
      </c>
      <c r="AO358" s="43">
        <f>'[1]поточний ремонт'!AO358+'[2]поточний ремонт'!AO358-'[3]поточний ремонт'!AO358</f>
        <v>0</v>
      </c>
      <c r="AP358" s="5"/>
      <c r="AQ358" s="43">
        <f>'[1]поточний ремонт'!AQ358+'[2]поточний ремонт'!AQ358-'[3]поточний ремонт'!AQ358</f>
        <v>1313.1883369600605</v>
      </c>
      <c r="AR358" s="43">
        <f>'[1]поточний ремонт'!AR358+'[2]поточний ремонт'!AR358-'[3]поточний ремонт'!AR358</f>
        <v>0</v>
      </c>
      <c r="AS358" s="5"/>
      <c r="AT358" s="43">
        <f>'[1]поточний ремонт'!AT358+'[2]поточний ремонт'!AT358-'[3]поточний ремонт'!AT358</f>
        <v>1997.2925723511648</v>
      </c>
      <c r="AU358" s="43">
        <f>'[1]поточний ремонт'!AU358+'[2]поточний ремонт'!AU358-'[3]поточний ремонт'!AU358</f>
        <v>2308</v>
      </c>
      <c r="AV358" s="5"/>
      <c r="AW358" s="43">
        <f>'[1]поточний ремонт'!AW358+'[2]поточний ремонт'!AW358-'[3]поточний ремонт'!AW358</f>
        <v>0</v>
      </c>
      <c r="AX358" s="43">
        <f>'[1]поточний ремонт'!AX358+'[2]поточний ремонт'!AX358-'[3]поточний ремонт'!AX358</f>
        <v>5120</v>
      </c>
      <c r="AY358" s="5"/>
      <c r="AZ358" s="43">
        <f t="shared" si="42"/>
        <v>13074.61277112857</v>
      </c>
      <c r="BA358" s="43">
        <f t="shared" si="43"/>
        <v>7428</v>
      </c>
      <c r="BB358" s="59">
        <f t="shared" si="44"/>
        <v>-5646.6127711285699</v>
      </c>
      <c r="BD358" s="2">
        <v>3</v>
      </c>
      <c r="BF358" s="30">
        <v>343.00711547093164</v>
      </c>
      <c r="BG358" s="328">
        <v>150000918</v>
      </c>
      <c r="BI358" s="107">
        <v>47.050000000000004</v>
      </c>
      <c r="BJ358" s="107">
        <f t="shared" si="45"/>
        <v>6.6181565100000004</v>
      </c>
      <c r="BK358" s="107">
        <v>54.262096701800004</v>
      </c>
      <c r="BL358" s="39"/>
      <c r="BM358" s="3"/>
      <c r="BN358" s="3">
        <v>0</v>
      </c>
      <c r="BP358" s="3"/>
      <c r="BQ358" s="3"/>
      <c r="BS358" s="43"/>
      <c r="BT358" s="43">
        <v>0</v>
      </c>
      <c r="BU358" s="1037"/>
      <c r="BV358" s="42"/>
      <c r="BW358" s="43"/>
      <c r="BX358" s="37"/>
      <c r="BY358" s="78"/>
      <c r="BZ358" s="43">
        <v>0</v>
      </c>
      <c r="CA358" s="1038"/>
      <c r="CB358" s="42"/>
      <c r="CC358" s="42">
        <v>0</v>
      </c>
      <c r="CD358" s="1039"/>
      <c r="CE358" s="78">
        <v>0</v>
      </c>
      <c r="CF358" s="56"/>
      <c r="CG358" s="42">
        <v>0</v>
      </c>
      <c r="CH358" s="39">
        <v>54.262096701800004</v>
      </c>
      <c r="CI358" s="78">
        <v>0</v>
      </c>
      <c r="CJ358" s="56"/>
      <c r="CK358" s="1034"/>
      <c r="CL358" s="1029"/>
      <c r="CM358" s="1034"/>
      <c r="CN358" s="1029">
        <v>1668.9891286216789</v>
      </c>
      <c r="CO358" s="78">
        <v>226.05244305210456</v>
      </c>
      <c r="CP358" s="43">
        <v>0</v>
      </c>
      <c r="CQ358" s="5"/>
      <c r="CR358" s="78">
        <v>365.2358995895471</v>
      </c>
      <c r="CS358" s="1033">
        <v>0</v>
      </c>
      <c r="CT358" s="5"/>
      <c r="CU358" s="78">
        <v>222.38931250979368</v>
      </c>
      <c r="CV358" s="43">
        <v>0</v>
      </c>
      <c r="CW358" s="5"/>
      <c r="CX358" s="78">
        <v>0</v>
      </c>
      <c r="CY358" s="43">
        <v>0</v>
      </c>
      <c r="CZ358" s="5"/>
      <c r="DA358" s="78">
        <v>109.43236141333836</v>
      </c>
      <c r="DB358" s="43">
        <v>0</v>
      </c>
      <c r="DC358" s="5"/>
      <c r="DD358" s="78">
        <v>166.44104769593039</v>
      </c>
      <c r="DE358" s="43">
        <v>0</v>
      </c>
      <c r="DF358" s="5"/>
      <c r="DG358" s="78">
        <v>0</v>
      </c>
      <c r="DH358" s="43"/>
      <c r="DI358" s="5"/>
      <c r="DJ358" s="43">
        <v>1089.5510642607142</v>
      </c>
      <c r="DK358" s="43">
        <f t="shared" si="46"/>
        <v>0</v>
      </c>
      <c r="DL358" s="59">
        <f t="shared" si="47"/>
        <v>-1089.5510642607142</v>
      </c>
    </row>
    <row r="359" spans="1:116" ht="24.9" customHeight="1" x14ac:dyDescent="0.3">
      <c r="A359" s="328">
        <v>150000919</v>
      </c>
      <c r="B359" s="45" t="s">
        <v>326</v>
      </c>
      <c r="C359" s="1035">
        <v>5</v>
      </c>
      <c r="D359" s="1036" t="s">
        <v>454</v>
      </c>
      <c r="E359" s="1028">
        <f>'побудинковий звіт'!E357</f>
        <v>6280.52</v>
      </c>
      <c r="F359" s="1029">
        <f>'побудинковий звіт'!AS357</f>
        <v>62741.013640897101</v>
      </c>
      <c r="G359" s="1029">
        <f t="shared" si="40"/>
        <v>73850.614352163044</v>
      </c>
      <c r="H359" s="1029">
        <f t="shared" si="41"/>
        <v>11109.600711265943</v>
      </c>
      <c r="I359" s="43">
        <f>'[1]поточний ремонт'!I359+'[2]поточний ремонт'!I359-'[3]поточний ремонт'!I359</f>
        <v>0</v>
      </c>
      <c r="J359" s="43">
        <f>'[1]поточний ремонт'!J359+'[2]поточний ремонт'!J359-'[3]поточний ремонт'!J359</f>
        <v>0</v>
      </c>
      <c r="K359" s="1037"/>
      <c r="L359" s="43">
        <f>'[1]поточний ремонт'!L359+'[2]поточний ремонт'!L359-'[3]поточний ремонт'!L359</f>
        <v>1</v>
      </c>
      <c r="M359" s="43">
        <f>'[1]поточний ремонт'!M359+'[2]поточний ремонт'!M359-'[3]поточний ремонт'!M359</f>
        <v>58073</v>
      </c>
      <c r="N359" s="37"/>
      <c r="O359" s="43">
        <f>'[1]поточний ремонт'!O359+'[2]поточний ремонт'!O359-'[3]поточний ремонт'!O359</f>
        <v>0</v>
      </c>
      <c r="P359" s="43">
        <f>'[1]поточний ремонт'!P359+'[2]поточний ремонт'!P359-'[3]поточний ремонт'!P359</f>
        <v>0</v>
      </c>
      <c r="Q359" s="1038"/>
      <c r="R359" s="43">
        <f>'[1]поточний ремонт'!R359+'[2]поточний ремонт'!R359-'[3]поточний ремонт'!R359</f>
        <v>0</v>
      </c>
      <c r="S359" s="43">
        <f>'[1]поточний ремонт'!S359+'[2]поточний ремонт'!S359-'[3]поточний ремонт'!S359</f>
        <v>0</v>
      </c>
      <c r="T359" s="1039"/>
      <c r="U359" s="43">
        <f>'[1]поточний ремонт'!U359+'[2]поточний ремонт'!U359-'[3]поточний ремонт'!U359</f>
        <v>0</v>
      </c>
      <c r="V359" s="43">
        <f>'[1]поточний ремонт'!V359+'[2]поточний ремонт'!V359-'[3]поточний ремонт'!V359</f>
        <v>0</v>
      </c>
      <c r="W359" s="43">
        <f>'[1]поточний ремонт'!W359+'[2]поточний ремонт'!W359-'[3]поточний ремонт'!W359</f>
        <v>0</v>
      </c>
      <c r="X359" s="43">
        <f>'[1]поточний ремонт'!X359+'[2]поточний ремонт'!X359-'[3]поточний ремонт'!X359</f>
        <v>55.614352163047442</v>
      </c>
      <c r="Y359" s="43">
        <f>'[1]поточний ремонт'!Y359+'[2]поточний ремонт'!Y359-'[3]поточний ремонт'!Y359</f>
        <v>805</v>
      </c>
      <c r="Z359" s="43">
        <f>'[1]поточний ремонт'!Z359+'[2]поточний ремонт'!Z359-'[3]поточний ремонт'!Z359</f>
        <v>0</v>
      </c>
      <c r="AA359" s="43">
        <f>'[1]поточний ремонт'!AA359+'[2]поточний ремонт'!AA359-'[3]поточний ремонт'!AA359</f>
        <v>0</v>
      </c>
      <c r="AB359" s="43">
        <f>'[1]поточний ремонт'!AB359+'[2]поточний ремонт'!AB359-'[3]поточний ремонт'!AB359</f>
        <v>3497</v>
      </c>
      <c r="AC359" s="43">
        <f>'[1]поточний ремонт'!AC359+'[2]поточний ремонт'!AC359-'[3]поточний ремонт'!AC359</f>
        <v>10051</v>
      </c>
      <c r="AD359" s="43">
        <f>'[1]поточний ремонт'!AD359+'[2]поточний ремонт'!AD359-'[3]поточний ремонт'!AD359</f>
        <v>1369</v>
      </c>
      <c r="AE359" s="43">
        <f>'[1]поточний ремонт'!AE359+'[2]поточний ремонт'!AE359-'[3]поточний ремонт'!AE359</f>
        <v>2718.9857743579223</v>
      </c>
      <c r="AF359" s="43">
        <f>'[1]поточний ремонт'!AF359+'[2]поточний ремонт'!AF359-'[3]поточний ремонт'!AF359</f>
        <v>0</v>
      </c>
      <c r="AG359" s="5"/>
      <c r="AH359" s="43">
        <f>'[1]поточний ремонт'!AH359+'[2]поточний ремонт'!AH359-'[3]поточний ремонт'!AH359</f>
        <v>4381.8986440394083</v>
      </c>
      <c r="AI359" s="43">
        <f>'[1]поточний ремонт'!AI359+'[2]поточний ремонт'!AI359-'[3]поточний ремонт'!AI359</f>
        <v>3086</v>
      </c>
      <c r="AJ359" s="5"/>
      <c r="AK359" s="43">
        <f>'[1]поточний ремонт'!AK359+'[2]поточний ремонт'!AK359-'[3]поточний ремонт'!AK359</f>
        <v>2670.7447259383075</v>
      </c>
      <c r="AL359" s="43">
        <f>'[1]поточний ремонт'!AL359+'[2]поточний ремонт'!AL359-'[3]поточний ремонт'!AL359</f>
        <v>10240</v>
      </c>
      <c r="AM359" s="9"/>
      <c r="AN359" s="43">
        <f>'[1]поточний ремонт'!AN359+'[2]поточний ремонт'!AN359-'[3]поточний ремонт'!AN359</f>
        <v>0</v>
      </c>
      <c r="AO359" s="43">
        <f>'[1]поточний ремонт'!AO359+'[2]поточний ремонт'!AO359-'[3]поточний ремонт'!AO359</f>
        <v>0</v>
      </c>
      <c r="AP359" s="5"/>
      <c r="AQ359" s="43">
        <f>'[1]поточний ремонт'!AQ359+'[2]поточний ремонт'!AQ359-'[3]поточний ремонт'!AQ359</f>
        <v>1313.1883369600605</v>
      </c>
      <c r="AR359" s="43">
        <f>'[1]поточний ремонт'!AR359+'[2]поточний ремонт'!AR359-'[3]поточний ремонт'!AR359</f>
        <v>0</v>
      </c>
      <c r="AS359" s="5"/>
      <c r="AT359" s="43">
        <f>'[1]поточний ремонт'!AT359+'[2]поточний ремонт'!AT359-'[3]поточний ремонт'!AT359</f>
        <v>1996.1253186136069</v>
      </c>
      <c r="AU359" s="43">
        <f>'[1]поточний ремонт'!AU359+'[2]поточний ремонт'!AU359-'[3]поточний ремонт'!AU359</f>
        <v>2230</v>
      </c>
      <c r="AV359" s="5"/>
      <c r="AW359" s="43">
        <f>'[1]поточний ремонт'!AW359+'[2]поточний ремонт'!AW359-'[3]поточний ремонт'!AW359</f>
        <v>0</v>
      </c>
      <c r="AX359" s="43">
        <f>'[1]поточний ремонт'!AX359+'[2]поточний ремонт'!AX359-'[3]поточний ремонт'!AX359</f>
        <v>0</v>
      </c>
      <c r="AY359" s="5"/>
      <c r="AZ359" s="43">
        <f t="shared" si="42"/>
        <v>13080.942799909306</v>
      </c>
      <c r="BA359" s="43">
        <f t="shared" si="43"/>
        <v>15556</v>
      </c>
      <c r="BB359" s="59">
        <f t="shared" si="44"/>
        <v>2475.0572000906941</v>
      </c>
      <c r="BD359" s="2">
        <v>3</v>
      </c>
      <c r="BF359" s="30">
        <v>341.38499665348854</v>
      </c>
      <c r="BG359" s="328">
        <v>150000919</v>
      </c>
      <c r="BI359" s="107">
        <v>4.1500000000000004</v>
      </c>
      <c r="BJ359" s="107">
        <f t="shared" si="45"/>
        <v>0.58374813000000003</v>
      </c>
      <c r="BK359" s="107">
        <v>4.7861360533999999</v>
      </c>
      <c r="BL359" s="39"/>
      <c r="BM359" s="3">
        <v>5</v>
      </c>
      <c r="BN359" s="3">
        <v>2082.3134214521665</v>
      </c>
      <c r="BP359" s="3"/>
      <c r="BQ359" s="3"/>
      <c r="BS359" s="43"/>
      <c r="BT359" s="43">
        <v>0</v>
      </c>
      <c r="BU359" s="1037"/>
      <c r="BV359" s="42"/>
      <c r="BW359" s="43"/>
      <c r="BX359" s="37"/>
      <c r="BY359" s="78"/>
      <c r="BZ359" s="43">
        <v>0</v>
      </c>
      <c r="CA359" s="1038"/>
      <c r="CB359" s="42"/>
      <c r="CC359" s="42">
        <v>0</v>
      </c>
      <c r="CD359" s="1039"/>
      <c r="CE359" s="78">
        <v>0</v>
      </c>
      <c r="CF359" s="56"/>
      <c r="CG359" s="42">
        <v>5</v>
      </c>
      <c r="CH359" s="39">
        <v>2087.0995575055663</v>
      </c>
      <c r="CI359" s="78">
        <v>0</v>
      </c>
      <c r="CJ359" s="56"/>
      <c r="CK359" s="1034"/>
      <c r="CL359" s="1029"/>
      <c r="CM359" s="1034"/>
      <c r="CN359" s="1029">
        <v>1342.4623925085095</v>
      </c>
      <c r="CO359" s="78">
        <v>226.58214786316023</v>
      </c>
      <c r="CP359" s="43">
        <v>0</v>
      </c>
      <c r="CQ359" s="5"/>
      <c r="CR359" s="78">
        <v>365.15822033661738</v>
      </c>
      <c r="CS359" s="1033">
        <v>0</v>
      </c>
      <c r="CT359" s="5"/>
      <c r="CU359" s="78">
        <v>222.56206049485897</v>
      </c>
      <c r="CV359" s="43">
        <v>0</v>
      </c>
      <c r="CW359" s="9"/>
      <c r="CX359" s="78">
        <v>0</v>
      </c>
      <c r="CY359" s="43">
        <v>0</v>
      </c>
      <c r="CZ359" s="5"/>
      <c r="DA359" s="78">
        <v>109.43236141333836</v>
      </c>
      <c r="DB359" s="43">
        <v>0</v>
      </c>
      <c r="DC359" s="5"/>
      <c r="DD359" s="78">
        <v>166.34377655113391</v>
      </c>
      <c r="DE359" s="43">
        <v>3242.2983481940882</v>
      </c>
      <c r="DF359" s="5"/>
      <c r="DG359" s="78">
        <v>0</v>
      </c>
      <c r="DH359" s="43"/>
      <c r="DI359" s="5"/>
      <c r="DJ359" s="43">
        <v>1090.0785666591089</v>
      </c>
      <c r="DK359" s="43">
        <f t="shared" si="46"/>
        <v>3242.2983481940882</v>
      </c>
      <c r="DL359" s="59">
        <f t="shared" si="47"/>
        <v>2152.2197815349791</v>
      </c>
    </row>
    <row r="360" spans="1:116" ht="24.9" customHeight="1" x14ac:dyDescent="0.3">
      <c r="A360" s="328">
        <v>150000920</v>
      </c>
      <c r="B360" s="45" t="s">
        <v>327</v>
      </c>
      <c r="C360" s="1035">
        <v>5</v>
      </c>
      <c r="D360" s="1036" t="s">
        <v>454</v>
      </c>
      <c r="E360" s="1028">
        <f>'побудинковий звіт'!E358</f>
        <v>6335.19</v>
      </c>
      <c r="F360" s="1029">
        <f>'побудинковий звіт'!AS358</f>
        <v>75728.520229907823</v>
      </c>
      <c r="G360" s="1029">
        <f t="shared" si="40"/>
        <v>66228.199551735903</v>
      </c>
      <c r="H360" s="1029">
        <f t="shared" si="41"/>
        <v>-9500.32067817192</v>
      </c>
      <c r="I360" s="43">
        <f>'[1]поточний ремонт'!I360+'[2]поточний ремонт'!I360-'[3]поточний ремонт'!I360</f>
        <v>0</v>
      </c>
      <c r="J360" s="43">
        <f>'[1]поточний ремонт'!J360+'[2]поточний ремонт'!J360-'[3]поточний ремонт'!J360</f>
        <v>0</v>
      </c>
      <c r="K360" s="1037"/>
      <c r="L360" s="43">
        <f>'[1]поточний ремонт'!L360+'[2]поточний ремонт'!L360-'[3]поточний ремонт'!L360</f>
        <v>1</v>
      </c>
      <c r="M360" s="43">
        <f>'[1]поточний ремонт'!M360+'[2]поточний ремонт'!M360-'[3]поточний ремонт'!M360</f>
        <v>56497</v>
      </c>
      <c r="N360" s="37"/>
      <c r="O360" s="43">
        <f>'[1]поточний ремонт'!O360+'[2]поточний ремонт'!O360-'[3]поточний ремонт'!O360</f>
        <v>0</v>
      </c>
      <c r="P360" s="43">
        <f>'[1]поточний ремонт'!P360+'[2]поточний ремонт'!P360-'[3]поточний ремонт'!P360</f>
        <v>0</v>
      </c>
      <c r="Q360" s="1038"/>
      <c r="R360" s="43">
        <f>'[1]поточний ремонт'!R360+'[2]поточний ремонт'!R360-'[3]поточний ремонт'!R360</f>
        <v>0</v>
      </c>
      <c r="S360" s="43">
        <f>'[1]поточний ремонт'!S360+'[2]поточний ремонт'!S360-'[3]поточний ремонт'!S360</f>
        <v>0</v>
      </c>
      <c r="T360" s="1039"/>
      <c r="U360" s="43">
        <f>'[1]поточний ремонт'!U360+'[2]поточний ремонт'!U360-'[3]поточний ремонт'!U360</f>
        <v>0</v>
      </c>
      <c r="V360" s="43">
        <f>'[1]поточний ремонт'!V360+'[2]поточний ремонт'!V360-'[3]поточний ремонт'!V360</f>
        <v>0</v>
      </c>
      <c r="W360" s="43">
        <f>'[1]поточний ремонт'!W360+'[2]поточний ремонт'!W360-'[3]поточний ремонт'!W360</f>
        <v>0</v>
      </c>
      <c r="X360" s="43">
        <f>'[1]поточний ремонт'!X360+'[2]поточний ремонт'!X360-'[3]поточний ремонт'!X360</f>
        <v>633.19955173590063</v>
      </c>
      <c r="Y360" s="43">
        <f>'[1]поточний ремонт'!Y360+'[2]поточний ремонт'!Y360-'[3]поточний ремонт'!Y360</f>
        <v>2562</v>
      </c>
      <c r="Z360" s="43">
        <f>'[1]поточний ремонт'!Z360+'[2]поточний ремонт'!Z360-'[3]поточний ремонт'!Z360</f>
        <v>0</v>
      </c>
      <c r="AA360" s="43">
        <f>'[1]поточний ремонт'!AA360+'[2]поточний ремонт'!AA360-'[3]поточний ремонт'!AA360</f>
        <v>0</v>
      </c>
      <c r="AB360" s="43">
        <f>'[1]поточний ремонт'!AB360+'[2]поточний ремонт'!AB360-'[3]поточний ремонт'!AB360</f>
        <v>0</v>
      </c>
      <c r="AC360" s="43">
        <f>'[1]поточний ремонт'!AC360+'[2]поточний ремонт'!AC360-'[3]поточний ремонт'!AC360</f>
        <v>115</v>
      </c>
      <c r="AD360" s="43">
        <f>'[1]поточний ремонт'!AD360+'[2]поточний ремонт'!AD360-'[3]поточний ремонт'!AD360</f>
        <v>6421</v>
      </c>
      <c r="AE360" s="43">
        <f>'[1]поточний ремонт'!AE360+'[2]поточний ремонт'!AE360-'[3]поточний ремонт'!AE360</f>
        <v>2719.7205850661035</v>
      </c>
      <c r="AF360" s="43">
        <f>'[1]поточний ремонт'!AF360+'[2]поточний ремонт'!AF360-'[3]поточний ремонт'!AF360</f>
        <v>0</v>
      </c>
      <c r="AG360" s="5"/>
      <c r="AH360" s="43">
        <f>'[1]поточний ремонт'!AH360+'[2]поточний ремонт'!AH360-'[3]поточний ремонт'!AH360</f>
        <v>4382.8307950745648</v>
      </c>
      <c r="AI360" s="43">
        <f>'[1]поточний ремонт'!AI360+'[2]поточний ремонт'!AI360-'[3]поточний ремонт'!AI360</f>
        <v>2894.1707350225074</v>
      </c>
      <c r="AJ360" s="5"/>
      <c r="AK360" s="43">
        <f>'[1]поточний ремонт'!AK360+'[2]поточний ремонт'!AK360-'[3]поточний ремонт'!AK360</f>
        <v>2759.3771445596376</v>
      </c>
      <c r="AL360" s="43">
        <f>'[1]поточний ремонт'!AL360+'[2]поточний ремонт'!AL360-'[3]поточний ремонт'!AL360</f>
        <v>1804.0310461987206</v>
      </c>
      <c r="AM360" s="9"/>
      <c r="AN360" s="43">
        <f>'[1]поточний ремонт'!AN360+'[2]поточний ремонт'!AN360-'[3]поточний ремонт'!AN360</f>
        <v>0</v>
      </c>
      <c r="AO360" s="43">
        <f>'[1]поточний ремонт'!AO360+'[2]поточний ремонт'!AO360-'[3]поточний ремонт'!AO360</f>
        <v>0</v>
      </c>
      <c r="AP360" s="5"/>
      <c r="AQ360" s="43">
        <f>'[1]поточний ремонт'!AQ360+'[2]поточний ремонт'!AQ360-'[3]поточний ремонт'!AQ360</f>
        <v>1313.1883369600605</v>
      </c>
      <c r="AR360" s="43">
        <f>'[1]поточний ремонт'!AR360+'[2]поточний ремонт'!AR360-'[3]поточний ремонт'!AR360</f>
        <v>0</v>
      </c>
      <c r="AS360" s="5"/>
      <c r="AT360" s="43">
        <f>'[1]поточний ремонт'!AT360+'[2]поточний ремонт'!AT360-'[3]поточний ремонт'!AT360</f>
        <v>1997.7706901532033</v>
      </c>
      <c r="AU360" s="43">
        <f>'[1]поточний ремонт'!AU360+'[2]поточний ремонт'!AU360-'[3]поточний ремонт'!AU360</f>
        <v>3805</v>
      </c>
      <c r="AV360" s="5"/>
      <c r="AW360" s="43">
        <f>'[1]поточний ремонт'!AW360+'[2]поточний ремонт'!AW360-'[3]поточний ремонт'!AW360</f>
        <v>0</v>
      </c>
      <c r="AX360" s="43">
        <f>'[1]поточний ремонт'!AX360+'[2]поточний ремонт'!AX360-'[3]поточний ремонт'!AX360</f>
        <v>0</v>
      </c>
      <c r="AY360" s="5"/>
      <c r="AZ360" s="43">
        <f t="shared" si="42"/>
        <v>13172.88755181357</v>
      </c>
      <c r="BA360" s="43">
        <f t="shared" si="43"/>
        <v>8503.2017812212289</v>
      </c>
      <c r="BB360" s="59">
        <f t="shared" si="44"/>
        <v>-4669.6857705923412</v>
      </c>
      <c r="BD360" s="2">
        <v>3</v>
      </c>
      <c r="BF360" s="30">
        <v>340.41322040340742</v>
      </c>
      <c r="BG360" s="328">
        <v>150000920</v>
      </c>
      <c r="BI360" s="107">
        <v>47.25</v>
      </c>
      <c r="BJ360" s="107">
        <f t="shared" si="45"/>
        <v>6.6462889499999998</v>
      </c>
      <c r="BK360" s="107">
        <v>54.492753860999997</v>
      </c>
      <c r="BL360" s="39"/>
      <c r="BM360" s="3"/>
      <c r="BN360" s="3">
        <v>0</v>
      </c>
      <c r="BP360" s="3"/>
      <c r="BQ360" s="3"/>
      <c r="BS360" s="43"/>
      <c r="BT360" s="43">
        <v>0</v>
      </c>
      <c r="BU360" s="1037"/>
      <c r="BV360" s="42"/>
      <c r="BW360" s="43"/>
      <c r="BX360" s="37"/>
      <c r="BY360" s="78"/>
      <c r="BZ360" s="43">
        <v>0</v>
      </c>
      <c r="CA360" s="1038"/>
      <c r="CB360" s="42"/>
      <c r="CC360" s="42">
        <v>0</v>
      </c>
      <c r="CD360" s="1039"/>
      <c r="CE360" s="78">
        <v>0</v>
      </c>
      <c r="CF360" s="56"/>
      <c r="CG360" s="42">
        <v>0</v>
      </c>
      <c r="CH360" s="39">
        <v>54.492753860999997</v>
      </c>
      <c r="CI360" s="78">
        <v>0</v>
      </c>
      <c r="CJ360" s="56"/>
      <c r="CK360" s="1034"/>
      <c r="CL360" s="1029"/>
      <c r="CM360" s="1034"/>
      <c r="CN360" s="1029">
        <v>0</v>
      </c>
      <c r="CO360" s="78">
        <v>226.64338208884197</v>
      </c>
      <c r="CP360" s="43">
        <v>2976.2463948825989</v>
      </c>
      <c r="CQ360" s="5"/>
      <c r="CR360" s="78">
        <v>365.2358995895471</v>
      </c>
      <c r="CS360" s="1033">
        <v>0</v>
      </c>
      <c r="CT360" s="5"/>
      <c r="CU360" s="78">
        <v>229.9480953799698</v>
      </c>
      <c r="CV360" s="43">
        <v>0</v>
      </c>
      <c r="CW360" s="9"/>
      <c r="CX360" s="78">
        <v>0</v>
      </c>
      <c r="CY360" s="43">
        <v>0</v>
      </c>
      <c r="CZ360" s="5"/>
      <c r="DA360" s="78">
        <v>109.43236141333836</v>
      </c>
      <c r="DB360" s="43">
        <v>0</v>
      </c>
      <c r="DC360" s="5"/>
      <c r="DD360" s="78">
        <v>166.48089084610027</v>
      </c>
      <c r="DE360" s="43">
        <v>0</v>
      </c>
      <c r="DF360" s="5"/>
      <c r="DG360" s="78">
        <v>0</v>
      </c>
      <c r="DH360" s="43"/>
      <c r="DI360" s="5"/>
      <c r="DJ360" s="43">
        <v>1097.7406293177976</v>
      </c>
      <c r="DK360" s="43">
        <f t="shared" si="46"/>
        <v>2976.2463948825989</v>
      </c>
      <c r="DL360" s="59">
        <f t="shared" si="47"/>
        <v>1878.5057655648013</v>
      </c>
    </row>
    <row r="361" spans="1:116" ht="24.9" customHeight="1" x14ac:dyDescent="0.3">
      <c r="A361" s="328">
        <v>150000921</v>
      </c>
      <c r="B361" s="45" t="s">
        <v>328</v>
      </c>
      <c r="C361" s="1035">
        <v>5</v>
      </c>
      <c r="D361" s="1036" t="s">
        <v>454</v>
      </c>
      <c r="E361" s="1028">
        <f>'побудинковий звіт'!E359</f>
        <v>6277.35</v>
      </c>
      <c r="F361" s="1029">
        <f>'побудинковий звіт'!AS359</f>
        <v>68041.645441087792</v>
      </c>
      <c r="G361" s="1029">
        <f t="shared" si="40"/>
        <v>30340</v>
      </c>
      <c r="H361" s="1029">
        <f t="shared" si="41"/>
        <v>-37701.645441087792</v>
      </c>
      <c r="I361" s="43">
        <f>'[1]поточний ремонт'!I361+'[2]поточний ремонт'!I361-'[3]поточний ремонт'!I361</f>
        <v>10.199999999999999</v>
      </c>
      <c r="J361" s="43">
        <f>'[1]поточний ремонт'!J361+'[2]поточний ремонт'!J361-'[3]поточний ремонт'!J361</f>
        <v>8312</v>
      </c>
      <c r="K361" s="1037"/>
      <c r="L361" s="43">
        <f>'[1]поточний ремонт'!L361+'[2]поточний ремонт'!L361-'[3]поточний ремонт'!L361</f>
        <v>0</v>
      </c>
      <c r="M361" s="43">
        <f>'[1]поточний ремонт'!M361+'[2]поточний ремонт'!M361-'[3]поточний ремонт'!M361</f>
        <v>0</v>
      </c>
      <c r="N361" s="37"/>
      <c r="O361" s="43">
        <f>'[1]поточний ремонт'!O361+'[2]поточний ремонт'!O361-'[3]поточний ремонт'!O361</f>
        <v>0</v>
      </c>
      <c r="P361" s="43">
        <f>'[1]поточний ремонт'!P361+'[2]поточний ремонт'!P361-'[3]поточний ремонт'!P361</f>
        <v>0</v>
      </c>
      <c r="Q361" s="1038"/>
      <c r="R361" s="43">
        <f>'[1]поточний ремонт'!R361+'[2]поточний ремонт'!R361-'[3]поточний ремонт'!R361</f>
        <v>0</v>
      </c>
      <c r="S361" s="43">
        <f>'[1]поточний ремонт'!S361+'[2]поточний ремонт'!S361-'[3]поточний ремонт'!S361</f>
        <v>0</v>
      </c>
      <c r="T361" s="1039"/>
      <c r="U361" s="43">
        <f>'[1]поточний ремонт'!U361+'[2]поточний ремонт'!U361-'[3]поточний ремонт'!U361</f>
        <v>0</v>
      </c>
      <c r="V361" s="43">
        <f>'[1]поточний ремонт'!V361+'[2]поточний ремонт'!V361-'[3]поточний ремонт'!V361</f>
        <v>0</v>
      </c>
      <c r="W361" s="43">
        <f>'[1]поточний ремонт'!W361+'[2]поточний ремонт'!W361-'[3]поточний ремонт'!W361</f>
        <v>0</v>
      </c>
      <c r="X361" s="43">
        <f>'[1]поточний ремонт'!X361+'[2]поточний ремонт'!X361-'[3]поточний ремонт'!X361</f>
        <v>0</v>
      </c>
      <c r="Y361" s="43">
        <f>'[1]поточний ремонт'!Y361+'[2]поточний ремонт'!Y361-'[3]поточний ремонт'!Y361</f>
        <v>5893</v>
      </c>
      <c r="Z361" s="43">
        <f>'[1]поточний ремонт'!Z361+'[2]поточний ремонт'!Z361-'[3]поточний ремонт'!Z361</f>
        <v>0</v>
      </c>
      <c r="AA361" s="43">
        <f>'[1]поточний ремонт'!AA361+'[2]поточний ремонт'!AA361-'[3]поточний ремонт'!AA361</f>
        <v>0</v>
      </c>
      <c r="AB361" s="43">
        <f>'[1]поточний ремонт'!AB361+'[2]поточний ремонт'!AB361-'[3]поточний ремонт'!AB361</f>
        <v>0</v>
      </c>
      <c r="AC361" s="43">
        <f>'[1]поточний ремонт'!AC361+'[2]поточний ремонт'!AC361-'[3]поточний ремонт'!AC361</f>
        <v>15297</v>
      </c>
      <c r="AD361" s="43">
        <f>'[1]поточний ремонт'!AD361+'[2]поточний ремонт'!AD361-'[3]поточний ремонт'!AD361</f>
        <v>838</v>
      </c>
      <c r="AE361" s="43">
        <f>'[1]поточний ремонт'!AE361+'[2]поточний ремонт'!AE361-'[3]поточний ремонт'!AE361</f>
        <v>3593.3219295226054</v>
      </c>
      <c r="AF361" s="43">
        <f>'[1]поточний ремонт'!AF361+'[2]поточний ремонт'!AF361-'[3]поточний ремонт'!AF361</f>
        <v>0</v>
      </c>
      <c r="AG361" s="1045"/>
      <c r="AH361" s="43">
        <f>'[1]поточний ремонт'!AH361+'[2]поточний ремонт'!AH361-'[3]поточний ремонт'!AH361</f>
        <v>5852.5341939813698</v>
      </c>
      <c r="AI361" s="43">
        <f>'[1]поточний ремонт'!AI361+'[2]поточний ремонт'!AI361-'[3]поточний ремонт'!AI361</f>
        <v>3591</v>
      </c>
      <c r="AJ361" s="5"/>
      <c r="AK361" s="43">
        <f>'[1]поточний ремонт'!AK361+'[2]поточний ремонт'!AK361-'[3]поточний ремонт'!AK361</f>
        <v>3465.8389732460082</v>
      </c>
      <c r="AL361" s="43">
        <f>'[1]поточний ремонт'!AL361+'[2]поточний ремонт'!AL361-'[3]поточний ремонт'!AL361</f>
        <v>0</v>
      </c>
      <c r="AM361" s="1045"/>
      <c r="AN361" s="43">
        <f>'[1]поточний ремонт'!AN361+'[2]поточний ремонт'!AN361-'[3]поточний ремонт'!AN361</f>
        <v>0</v>
      </c>
      <c r="AO361" s="43">
        <f>'[1]поточний ремонт'!AO361+'[2]поточний ремонт'!AO361-'[3]поточний ремонт'!AO361</f>
        <v>0</v>
      </c>
      <c r="AP361" s="5"/>
      <c r="AQ361" s="43">
        <f>'[1]поточний ремонт'!AQ361+'[2]поточний ремонт'!AQ361-'[3]поточний ремонт'!AQ361</f>
        <v>2032.8706882486335</v>
      </c>
      <c r="AR361" s="43">
        <f>'[1]поточний ремонт'!AR361+'[2]поточний ремонт'!AR361-'[3]поточний ремонт'!AR361</f>
        <v>547.82598461304462</v>
      </c>
      <c r="AS361" s="5"/>
      <c r="AT361" s="43">
        <f>'[1]поточний ремонт'!AT361+'[2]поточний ремонт'!AT361-'[3]поточний ремонт'!AT361</f>
        <v>3255.14797305907</v>
      </c>
      <c r="AU361" s="43">
        <f>'[1]поточний ремонт'!AU361+'[2]поточний ремонт'!AU361-'[3]поточний ремонт'!AU361</f>
        <v>8066</v>
      </c>
      <c r="AV361" s="5"/>
      <c r="AW361" s="43">
        <f>'[1]поточний ремонт'!AW361+'[2]поточний ремонт'!AW361-'[3]поточний ремонт'!AW361</f>
        <v>0</v>
      </c>
      <c r="AX361" s="43">
        <f>'[1]поточний ремонт'!AX361+'[2]поточний ремонт'!AX361-'[3]поточний ремонт'!AX361</f>
        <v>0</v>
      </c>
      <c r="AY361" s="5"/>
      <c r="AZ361" s="43">
        <f t="shared" si="42"/>
        <v>18199.713758057685</v>
      </c>
      <c r="BA361" s="43">
        <f t="shared" si="43"/>
        <v>12204.825984613046</v>
      </c>
      <c r="BB361" s="59">
        <f t="shared" si="44"/>
        <v>-5994.8877734446396</v>
      </c>
      <c r="BD361" s="2">
        <v>3</v>
      </c>
      <c r="BF361" s="30">
        <v>461.50625892601261</v>
      </c>
      <c r="BG361" s="328">
        <v>150000921</v>
      </c>
      <c r="BI361" s="107">
        <v>0</v>
      </c>
      <c r="BJ361" s="107">
        <f t="shared" si="45"/>
        <v>0</v>
      </c>
      <c r="BK361" s="107">
        <v>0</v>
      </c>
      <c r="BL361" s="39"/>
      <c r="BM361" s="3"/>
      <c r="BN361" s="3">
        <v>0</v>
      </c>
      <c r="BP361" s="3"/>
      <c r="BQ361" s="3"/>
      <c r="BS361" s="43"/>
      <c r="BT361" s="43">
        <v>0</v>
      </c>
      <c r="BU361" s="1037"/>
      <c r="BV361" s="42"/>
      <c r="BW361" s="43"/>
      <c r="BX361" s="37"/>
      <c r="BY361" s="78"/>
      <c r="BZ361" s="43">
        <v>0</v>
      </c>
      <c r="CA361" s="1038"/>
      <c r="CB361" s="42"/>
      <c r="CC361" s="42">
        <v>0</v>
      </c>
      <c r="CD361" s="1039"/>
      <c r="CE361" s="78">
        <v>0</v>
      </c>
      <c r="CF361" s="56"/>
      <c r="CG361" s="42">
        <v>0</v>
      </c>
      <c r="CH361" s="39">
        <v>0</v>
      </c>
      <c r="CI361" s="78">
        <v>0</v>
      </c>
      <c r="CJ361" s="1051"/>
      <c r="CK361" s="1034"/>
      <c r="CL361" s="1029"/>
      <c r="CM361" s="1034"/>
      <c r="CN361" s="1029">
        <v>0</v>
      </c>
      <c r="CO361" s="78">
        <v>299.44349412688382</v>
      </c>
      <c r="CP361" s="43">
        <v>0</v>
      </c>
      <c r="CQ361" s="1045"/>
      <c r="CR361" s="78">
        <v>487.71118283178066</v>
      </c>
      <c r="CS361" s="1033">
        <v>0</v>
      </c>
      <c r="CT361" s="5"/>
      <c r="CU361" s="78">
        <v>288.81991443716731</v>
      </c>
      <c r="CV361" s="43">
        <v>0</v>
      </c>
      <c r="CW361" s="1045"/>
      <c r="CX361" s="78">
        <v>0</v>
      </c>
      <c r="CY361" s="43">
        <v>0</v>
      </c>
      <c r="CZ361" s="5"/>
      <c r="DA361" s="78">
        <v>169.40589068738615</v>
      </c>
      <c r="DB361" s="43">
        <v>0</v>
      </c>
      <c r="DC361" s="5"/>
      <c r="DD361" s="78">
        <v>271.26233108825579</v>
      </c>
      <c r="DE361" s="43">
        <v>0</v>
      </c>
      <c r="DF361" s="5"/>
      <c r="DG361" s="78">
        <v>0</v>
      </c>
      <c r="DH361" s="43"/>
      <c r="DI361" s="5"/>
      <c r="DJ361" s="43">
        <v>1516.6428131714738</v>
      </c>
      <c r="DK361" s="43">
        <f t="shared" si="46"/>
        <v>0</v>
      </c>
      <c r="DL361" s="59">
        <f t="shared" si="47"/>
        <v>-1516.6428131714738</v>
      </c>
    </row>
    <row r="362" spans="1:116" ht="31.95" customHeight="1" x14ac:dyDescent="0.3">
      <c r="A362" s="328">
        <v>150000878</v>
      </c>
      <c r="B362" s="45" t="s">
        <v>236</v>
      </c>
      <c r="C362" s="1035">
        <v>4</v>
      </c>
      <c r="D362" s="1036" t="s">
        <v>454</v>
      </c>
      <c r="E362" s="1028">
        <f>'побудинковий звіт'!E360</f>
        <v>6294.3099999999995</v>
      </c>
      <c r="F362" s="1029">
        <f>'побудинковий звіт'!AS360</f>
        <v>22099.888390479631</v>
      </c>
      <c r="G362" s="1029">
        <f t="shared" si="40"/>
        <v>4968.9525117922603</v>
      </c>
      <c r="H362" s="1029">
        <f t="shared" si="41"/>
        <v>-17130.935878687371</v>
      </c>
      <c r="I362" s="43">
        <f>'[1]поточний ремонт'!I362+'[2]поточний ремонт'!I362-'[3]поточний ремонт'!I362</f>
        <v>15</v>
      </c>
      <c r="J362" s="43">
        <f>'[1]поточний ремонт'!J362+'[2]поточний ремонт'!J362-'[3]поточний ремонт'!J362</f>
        <v>2946</v>
      </c>
      <c r="K362" s="1037"/>
      <c r="L362" s="43">
        <f>'[1]поточний ремонт'!L362+'[2]поточний ремонт'!L362-'[3]поточний ремонт'!L362</f>
        <v>0</v>
      </c>
      <c r="M362" s="43">
        <f>'[1]поточний ремонт'!M362+'[2]поточний ремонт'!M362-'[3]поточний ремонт'!M362</f>
        <v>0</v>
      </c>
      <c r="N362" s="37"/>
      <c r="O362" s="43">
        <f>'[1]поточний ремонт'!O362+'[2]поточний ремонт'!O362-'[3]поточний ремонт'!O362</f>
        <v>0</v>
      </c>
      <c r="P362" s="43">
        <f>'[1]поточний ремонт'!P362+'[2]поточний ремонт'!P362-'[3]поточний ремонт'!P362</f>
        <v>0</v>
      </c>
      <c r="Q362" s="1038"/>
      <c r="R362" s="43">
        <f>'[1]поточний ремонт'!R362+'[2]поточний ремонт'!R362-'[3]поточний ремонт'!R362</f>
        <v>0</v>
      </c>
      <c r="S362" s="43">
        <f>'[1]поточний ремонт'!S362+'[2]поточний ремонт'!S362-'[3]поточний ремонт'!S362</f>
        <v>0</v>
      </c>
      <c r="T362" s="1039"/>
      <c r="U362" s="43">
        <f>'[1]поточний ремонт'!U362+'[2]поточний ремонт'!U362-'[3]поточний ремонт'!U362</f>
        <v>0</v>
      </c>
      <c r="V362" s="43">
        <f>'[1]поточний ремонт'!V362+'[2]поточний ремонт'!V362-'[3]поточний ремонт'!V362</f>
        <v>0</v>
      </c>
      <c r="W362" s="43">
        <f>'[1]поточний ремонт'!W362+'[2]поточний ремонт'!W362-'[3]поточний ремонт'!W362</f>
        <v>0</v>
      </c>
      <c r="X362" s="43">
        <f>'[1]поточний ремонт'!X362+'[2]поточний ремонт'!X362-'[3]поточний ремонт'!X362</f>
        <v>1309.9525117922599</v>
      </c>
      <c r="Y362" s="43">
        <f>'[1]поточний ремонт'!Y362+'[2]поточний ремонт'!Y362-'[3]поточний ремонт'!Y362</f>
        <v>0</v>
      </c>
      <c r="Z362" s="43">
        <f>'[1]поточний ремонт'!Z362+'[2]поточний ремонт'!Z362-'[3]поточний ремонт'!Z362</f>
        <v>0</v>
      </c>
      <c r="AA362" s="43">
        <f>'[1]поточний ремонт'!AA362+'[2]поточний ремонт'!AA362-'[3]поточний ремонт'!AA362</f>
        <v>0</v>
      </c>
      <c r="AB362" s="43">
        <f>'[1]поточний ремонт'!AB362+'[2]поточний ремонт'!AB362-'[3]поточний ремонт'!AB362</f>
        <v>0</v>
      </c>
      <c r="AC362" s="43">
        <f>'[1]поточний ремонт'!AC362+'[2]поточний ремонт'!AC362-'[3]поточний ремонт'!AC362</f>
        <v>429</v>
      </c>
      <c r="AD362" s="43">
        <f>'[1]поточний ремонт'!AD362+'[2]поточний ремонт'!AD362-'[3]поточний ремонт'!AD362</f>
        <v>284</v>
      </c>
      <c r="AE362" s="43">
        <f>'[1]поточний ремонт'!AE362+'[2]поточний ремонт'!AE362-'[3]поточний ремонт'!AE362</f>
        <v>1241.130694619156</v>
      </c>
      <c r="AF362" s="43">
        <f>'[1]поточний ремонт'!AF362+'[2]поточний ремонт'!AF362-'[3]поточний ремонт'!AF362</f>
        <v>1187</v>
      </c>
      <c r="AG362" s="5"/>
      <c r="AH362" s="43">
        <f>'[1]поточний ремонт'!AH362+'[2]поточний ремонт'!AH362-'[3]поточний ремонт'!AH362</f>
        <v>1419.0098779732841</v>
      </c>
      <c r="AI362" s="43">
        <f>'[1]поточний ремонт'!AI362+'[2]поточний ремонт'!AI362-'[3]поточний ремонт'!AI362</f>
        <v>0</v>
      </c>
      <c r="AJ362" s="5"/>
      <c r="AK362" s="43">
        <f>'[1]поточний ремонт'!AK362+'[2]поточний ремонт'!AK362-'[3]поточний ремонт'!AK362</f>
        <v>1928.8566633283367</v>
      </c>
      <c r="AL362" s="43">
        <f>'[1]поточний ремонт'!AL362+'[2]поточний ремонт'!AL362-'[3]поточний ремонт'!AL362</f>
        <v>813</v>
      </c>
      <c r="AM362" s="5"/>
      <c r="AN362" s="43">
        <f>'[1]поточний ремонт'!AN362+'[2]поточний ремонт'!AN362-'[3]поточний ремонт'!AN362</f>
        <v>0</v>
      </c>
      <c r="AO362" s="43">
        <f>'[1]поточний ремонт'!AO362+'[2]поточний ремонт'!AO362-'[3]поточний ремонт'!AO362</f>
        <v>0</v>
      </c>
      <c r="AP362" s="5"/>
      <c r="AQ362" s="43">
        <f>'[1]поточний ремонт'!AQ362+'[2]поточний ремонт'!AQ362-'[3]поточний ремонт'!AQ362</f>
        <v>0</v>
      </c>
      <c r="AR362" s="43">
        <f>'[1]поточний ремонт'!AR362+'[2]поточний ремонт'!AR362-'[3]поточний ремонт'!AR362</f>
        <v>0</v>
      </c>
      <c r="AS362" s="5"/>
      <c r="AT362" s="43">
        <f>'[1]поточний ремонт'!AT362+'[2]поточний ремонт'!AT362-'[3]поточний ремонт'!AT362</f>
        <v>645.5407983755922</v>
      </c>
      <c r="AU362" s="43">
        <f>'[1]поточний ремонт'!AU362+'[2]поточний ремонт'!AU362-'[3]поточний ремонт'!AU362</f>
        <v>913</v>
      </c>
      <c r="AV362" s="5"/>
      <c r="AW362" s="43">
        <f>'[1]поточний ремонт'!AW362+'[2]поточний ремонт'!AW362-'[3]поточний ремонт'!AW362</f>
        <v>0</v>
      </c>
      <c r="AX362" s="43">
        <f>'[1]поточний ремонт'!AX362+'[2]поточний ремонт'!AX362-'[3]поточний ремонт'!AX362</f>
        <v>0</v>
      </c>
      <c r="AY362" s="5"/>
      <c r="AZ362" s="43">
        <f t="shared" si="42"/>
        <v>5234.538034296369</v>
      </c>
      <c r="BA362" s="43">
        <f t="shared" si="43"/>
        <v>2913</v>
      </c>
      <c r="BB362" s="59">
        <f t="shared" si="44"/>
        <v>-2321.538034296369</v>
      </c>
      <c r="BD362" s="2">
        <v>2</v>
      </c>
      <c r="BF362" s="30">
        <v>3.5472046319536599</v>
      </c>
      <c r="BG362" s="328">
        <v>150000878</v>
      </c>
      <c r="BI362" s="107">
        <v>97.75</v>
      </c>
      <c r="BJ362" s="107">
        <f t="shared" si="45"/>
        <v>13.749730049999998</v>
      </c>
      <c r="BK362" s="107">
        <v>112.73368655900001</v>
      </c>
      <c r="BL362" s="39"/>
      <c r="BM362" s="3"/>
      <c r="BN362" s="3">
        <v>0</v>
      </c>
      <c r="BP362" s="3"/>
      <c r="BQ362" s="3"/>
      <c r="BS362" s="43"/>
      <c r="BT362" s="43">
        <v>0</v>
      </c>
      <c r="BU362" s="1037"/>
      <c r="BV362" s="42"/>
      <c r="BW362" s="43"/>
      <c r="BX362" s="37"/>
      <c r="BY362" s="78"/>
      <c r="BZ362" s="43">
        <v>0</v>
      </c>
      <c r="CA362" s="1038"/>
      <c r="CB362" s="42"/>
      <c r="CC362" s="42">
        <v>0</v>
      </c>
      <c r="CD362" s="1039"/>
      <c r="CE362" s="78">
        <v>0</v>
      </c>
      <c r="CF362" s="56"/>
      <c r="CG362" s="42">
        <v>0</v>
      </c>
      <c r="CH362" s="39">
        <v>112.73368655900001</v>
      </c>
      <c r="CI362" s="78">
        <v>0</v>
      </c>
      <c r="CJ362" s="56"/>
      <c r="CK362" s="1034"/>
      <c r="CL362" s="1029"/>
      <c r="CM362" s="1034"/>
      <c r="CN362" s="1029">
        <v>0</v>
      </c>
      <c r="CO362" s="78">
        <v>103.42755788492966</v>
      </c>
      <c r="CP362" s="43">
        <v>0</v>
      </c>
      <c r="CQ362" s="5"/>
      <c r="CR362" s="78">
        <v>118.25082316444033</v>
      </c>
      <c r="CS362" s="1033">
        <v>0</v>
      </c>
      <c r="CT362" s="5"/>
      <c r="CU362" s="78">
        <v>160.73805527736138</v>
      </c>
      <c r="CV362" s="43">
        <v>0</v>
      </c>
      <c r="CW362" s="5"/>
      <c r="CX362" s="78">
        <v>0</v>
      </c>
      <c r="CY362" s="43">
        <v>0</v>
      </c>
      <c r="CZ362" s="5"/>
      <c r="DA362" s="78">
        <v>0</v>
      </c>
      <c r="DB362" s="43">
        <v>0</v>
      </c>
      <c r="DC362" s="5"/>
      <c r="DD362" s="78">
        <v>53.795066531299348</v>
      </c>
      <c r="DE362" s="43">
        <v>0</v>
      </c>
      <c r="DF362" s="5"/>
      <c r="DG362" s="78">
        <v>0</v>
      </c>
      <c r="DH362" s="43"/>
      <c r="DI362" s="5"/>
      <c r="DJ362" s="43">
        <v>436.21150285803077</v>
      </c>
      <c r="DK362" s="43">
        <f t="shared" si="46"/>
        <v>0</v>
      </c>
      <c r="DL362" s="59">
        <f t="shared" si="47"/>
        <v>-436.21150285803077</v>
      </c>
    </row>
    <row r="363" spans="1:116" ht="24.9" customHeight="1" x14ac:dyDescent="0.3">
      <c r="A363" s="328">
        <v>150000879</v>
      </c>
      <c r="B363" s="45" t="s">
        <v>329</v>
      </c>
      <c r="C363" s="1035">
        <v>5</v>
      </c>
      <c r="D363" s="1036" t="s">
        <v>454</v>
      </c>
      <c r="E363" s="1028">
        <f>'побудинковий звіт'!E361</f>
        <v>5426.72</v>
      </c>
      <c r="F363" s="1029">
        <f>'побудинковий звіт'!AS361</f>
        <v>43279.407778981171</v>
      </c>
      <c r="G363" s="1029">
        <f t="shared" si="40"/>
        <v>39029</v>
      </c>
      <c r="H363" s="1029">
        <f t="shared" si="41"/>
        <v>-4250.4077789811708</v>
      </c>
      <c r="I363" s="43">
        <f>'[1]поточний ремонт'!I363+'[2]поточний ремонт'!I363-'[3]поточний ремонт'!I363</f>
        <v>9.1</v>
      </c>
      <c r="J363" s="43">
        <f>'[1]поточний ремонт'!J363+'[2]поточний ремонт'!J363-'[3]поточний ремонт'!J363</f>
        <v>2348</v>
      </c>
      <c r="K363" s="1037"/>
      <c r="L363" s="43">
        <f>'[1]поточний ремонт'!L363+'[2]поточний ремонт'!L363-'[3]поточний ремонт'!L363</f>
        <v>0</v>
      </c>
      <c r="M363" s="43">
        <f>'[1]поточний ремонт'!M363+'[2]поточний ремонт'!M363-'[3]поточний ремонт'!M363</f>
        <v>0</v>
      </c>
      <c r="N363" s="37"/>
      <c r="O363" s="43">
        <f>'[1]поточний ремонт'!O363+'[2]поточний ремонт'!O363-'[3]поточний ремонт'!O363</f>
        <v>0</v>
      </c>
      <c r="P363" s="43">
        <f>'[1]поточний ремонт'!P363+'[2]поточний ремонт'!P363-'[3]поточний ремонт'!P363</f>
        <v>0</v>
      </c>
      <c r="Q363" s="1038"/>
      <c r="R363" s="43">
        <f>'[1]поточний ремонт'!R363+'[2]поточний ремонт'!R363-'[3]поточний ремонт'!R363</f>
        <v>0</v>
      </c>
      <c r="S363" s="43">
        <f>'[1]поточний ремонт'!S363+'[2]поточний ремонт'!S363-'[3]поточний ремонт'!S363</f>
        <v>0</v>
      </c>
      <c r="T363" s="1039"/>
      <c r="U363" s="43">
        <f>'[1]поточний ремонт'!U363+'[2]поточний ремонт'!U363-'[3]поточний ремонт'!U363</f>
        <v>0</v>
      </c>
      <c r="V363" s="43">
        <f>'[1]поточний ремонт'!V363+'[2]поточний ремонт'!V363-'[3]поточний ремонт'!V363</f>
        <v>0</v>
      </c>
      <c r="W363" s="43">
        <f>'[1]поточний ремонт'!W363+'[2]поточний ремонт'!W363-'[3]поточний ремонт'!W363</f>
        <v>0</v>
      </c>
      <c r="X363" s="43">
        <f>'[1]поточний ремонт'!X363+'[2]поточний ремонт'!X363-'[3]поточний ремонт'!X363</f>
        <v>0</v>
      </c>
      <c r="Y363" s="43">
        <f>'[1]поточний ремонт'!Y363+'[2]поточний ремонт'!Y363-'[3]поточний ремонт'!Y363</f>
        <v>0</v>
      </c>
      <c r="Z363" s="43">
        <f>'[1]поточний ремонт'!Z363+'[2]поточний ремонт'!Z363-'[3]поточний ремонт'!Z363</f>
        <v>0</v>
      </c>
      <c r="AA363" s="43">
        <f>'[1]поточний ремонт'!AA363+'[2]поточний ремонт'!AA363-'[3]поточний ремонт'!AA363</f>
        <v>0</v>
      </c>
      <c r="AB363" s="43">
        <f>'[1]поточний ремонт'!AB363+'[2]поточний ремонт'!AB363-'[3]поточний ремонт'!AB363</f>
        <v>6802</v>
      </c>
      <c r="AC363" s="43">
        <f>'[1]поточний ремонт'!AC363+'[2]поточний ремонт'!AC363-'[3]поточний ремонт'!AC363</f>
        <v>29879</v>
      </c>
      <c r="AD363" s="43">
        <f>'[1]поточний ремонт'!AD363+'[2]поточний ремонт'!AD363-'[3]поточний ремонт'!AD363</f>
        <v>0</v>
      </c>
      <c r="AE363" s="43">
        <f>'[1]поточний ремонт'!AE363+'[2]поточний ремонт'!AE363-'[3]поточний ремонт'!AE363</f>
        <v>2116.1210502326226</v>
      </c>
      <c r="AF363" s="43">
        <f>'[1]поточний ремонт'!AF363+'[2]поточний ремонт'!AF363-'[3]поточний ремонт'!AF363</f>
        <v>3505</v>
      </c>
      <c r="AG363" s="5"/>
      <c r="AH363" s="43">
        <f>'[1]поточний ремонт'!AH363+'[2]поточний ремонт'!AH363-'[3]поточний ремонт'!AH363</f>
        <v>3102.7914778078243</v>
      </c>
      <c r="AI363" s="43">
        <f>'[1]поточний ремонт'!AI363+'[2]поточний ремонт'!AI363-'[3]поточний ремонт'!AI363</f>
        <v>0</v>
      </c>
      <c r="AJ363" s="5"/>
      <c r="AK363" s="43">
        <f>'[1]поточний ремонт'!AK363+'[2]поточний ремонт'!AK363-'[3]поточний ремонт'!AK363</f>
        <v>2712.8050698910993</v>
      </c>
      <c r="AL363" s="43">
        <f>'[1]поточний ремонт'!AL363+'[2]поточний ремонт'!AL363-'[3]поточний ремонт'!AL363</f>
        <v>929</v>
      </c>
      <c r="AM363" s="5"/>
      <c r="AN363" s="43">
        <f>'[1]поточний ремонт'!AN363+'[2]поточний ремонт'!AN363-'[3]поточний ремонт'!AN363</f>
        <v>0</v>
      </c>
      <c r="AO363" s="43">
        <f>'[1]поточний ремонт'!AO363+'[2]поточний ремонт'!AO363-'[3]поточний ремонт'!AO363</f>
        <v>0</v>
      </c>
      <c r="AP363" s="5"/>
      <c r="AQ363" s="43">
        <f>'[1]поточний ремонт'!AQ363+'[2]поточний ремонт'!AQ363-'[3]поточний ремонт'!AQ363</f>
        <v>0</v>
      </c>
      <c r="AR363" s="43">
        <f>'[1]поточний ремонт'!AR363+'[2]поточний ремонт'!AR363-'[3]поточний ремонт'!AR363</f>
        <v>0</v>
      </c>
      <c r="AS363" s="5"/>
      <c r="AT363" s="43">
        <f>'[1]поточний ремонт'!AT363+'[2]поточний ремонт'!AT363-'[3]поточний ремонт'!AT363</f>
        <v>1457.378594718612</v>
      </c>
      <c r="AU363" s="43">
        <f>'[1]поточний ремонт'!AU363+'[2]поточний ремонт'!AU363-'[3]поточний ремонт'!AU363</f>
        <v>252</v>
      </c>
      <c r="AV363" s="5"/>
      <c r="AW363" s="43">
        <f>'[1]поточний ремонт'!AW363+'[2]поточний ремонт'!AW363-'[3]поточний ремонт'!AW363</f>
        <v>0</v>
      </c>
      <c r="AX363" s="43">
        <f>'[1]поточний ремонт'!AX363+'[2]поточний ремонт'!AX363-'[3]поточний ремонт'!AX363</f>
        <v>0</v>
      </c>
      <c r="AY363" s="5"/>
      <c r="AZ363" s="43">
        <f t="shared" si="42"/>
        <v>9389.0961926501586</v>
      </c>
      <c r="BA363" s="43">
        <f t="shared" si="43"/>
        <v>4686</v>
      </c>
      <c r="BB363" s="59">
        <f t="shared" si="44"/>
        <v>-4703.0961926501586</v>
      </c>
      <c r="BD363" s="2">
        <v>2</v>
      </c>
      <c r="BF363" s="30">
        <v>6.6517280109123211</v>
      </c>
      <c r="BG363" s="328">
        <v>150000879</v>
      </c>
      <c r="BI363" s="107">
        <v>0</v>
      </c>
      <c r="BJ363" s="107">
        <f t="shared" si="45"/>
        <v>0</v>
      </c>
      <c r="BK363" s="107">
        <v>0</v>
      </c>
      <c r="BL363" s="39"/>
      <c r="BM363" s="3"/>
      <c r="BN363" s="3">
        <v>0</v>
      </c>
      <c r="BP363" s="3"/>
      <c r="BQ363" s="3"/>
      <c r="BS363" s="43"/>
      <c r="BT363" s="43">
        <v>0</v>
      </c>
      <c r="BU363" s="1037"/>
      <c r="BV363" s="42"/>
      <c r="BW363" s="43"/>
      <c r="BX363" s="37"/>
      <c r="BY363" s="78"/>
      <c r="BZ363" s="43">
        <v>0</v>
      </c>
      <c r="CA363" s="1038"/>
      <c r="CB363" s="42"/>
      <c r="CC363" s="42">
        <v>0</v>
      </c>
      <c r="CD363" s="1039"/>
      <c r="CE363" s="78">
        <v>0</v>
      </c>
      <c r="CF363" s="56"/>
      <c r="CG363" s="42">
        <v>0</v>
      </c>
      <c r="CH363" s="39">
        <v>0</v>
      </c>
      <c r="CI363" s="78">
        <v>0</v>
      </c>
      <c r="CJ363" s="56"/>
      <c r="CK363" s="1034"/>
      <c r="CL363" s="1029"/>
      <c r="CM363" s="1034"/>
      <c r="CN363" s="1029">
        <v>0</v>
      </c>
      <c r="CO363" s="78">
        <v>176.34342085271857</v>
      </c>
      <c r="CP363" s="43">
        <v>0</v>
      </c>
      <c r="CQ363" s="5"/>
      <c r="CR363" s="78">
        <v>258.56595648398542</v>
      </c>
      <c r="CS363" s="1033">
        <v>0</v>
      </c>
      <c r="CT363" s="5"/>
      <c r="CU363" s="78">
        <v>226.06708915759165</v>
      </c>
      <c r="CV363" s="43">
        <v>0</v>
      </c>
      <c r="CW363" s="5"/>
      <c r="CX363" s="78">
        <v>0</v>
      </c>
      <c r="CY363" s="43">
        <v>0</v>
      </c>
      <c r="CZ363" s="5"/>
      <c r="DA363" s="78">
        <v>0</v>
      </c>
      <c r="DB363" s="43">
        <v>0</v>
      </c>
      <c r="DC363" s="5"/>
      <c r="DD363" s="78">
        <v>121.44821622655098</v>
      </c>
      <c r="DE363" s="43">
        <v>0</v>
      </c>
      <c r="DF363" s="5"/>
      <c r="DG363" s="78">
        <v>0</v>
      </c>
      <c r="DH363" s="43"/>
      <c r="DI363" s="5"/>
      <c r="DJ363" s="43">
        <v>782.4246827208467</v>
      </c>
      <c r="DK363" s="43">
        <f t="shared" si="46"/>
        <v>0</v>
      </c>
      <c r="DL363" s="59">
        <f t="shared" si="47"/>
        <v>-782.4246827208467</v>
      </c>
    </row>
    <row r="364" spans="1:116" ht="24.9" customHeight="1" x14ac:dyDescent="0.3">
      <c r="A364" s="328">
        <v>150000880</v>
      </c>
      <c r="B364" s="45" t="s">
        <v>237</v>
      </c>
      <c r="C364" s="1035">
        <v>4</v>
      </c>
      <c r="D364" s="1036" t="s">
        <v>454</v>
      </c>
      <c r="E364" s="1028">
        <f>'побудинковий звіт'!E362</f>
        <v>3614.42</v>
      </c>
      <c r="F364" s="1029">
        <f>'побудинковий звіт'!AS362</f>
        <v>30470.677943615276</v>
      </c>
      <c r="G364" s="1029">
        <f t="shared" si="40"/>
        <v>9429.1972564082607</v>
      </c>
      <c r="H364" s="1029">
        <f t="shared" si="41"/>
        <v>-21041.480687207015</v>
      </c>
      <c r="I364" s="43">
        <f>'[1]поточний ремонт'!I364+'[2]поточний ремонт'!I364-'[3]поточний ремонт'!I364</f>
        <v>5.04</v>
      </c>
      <c r="J364" s="43">
        <f>'[1]поточний ремонт'!J364+'[2]поточний ремонт'!J364-'[3]поточний ремонт'!J364</f>
        <v>4949</v>
      </c>
      <c r="K364" s="1037"/>
      <c r="L364" s="43">
        <f>'[1]поточний ремонт'!L364+'[2]поточний ремонт'!L364-'[3]поточний ремонт'!L364</f>
        <v>0</v>
      </c>
      <c r="M364" s="43">
        <f>'[1]поточний ремонт'!M364+'[2]поточний ремонт'!M364-'[3]поточний ремонт'!M364</f>
        <v>0</v>
      </c>
      <c r="N364" s="37"/>
      <c r="O364" s="43">
        <f>'[1]поточний ремонт'!O364+'[2]поточний ремонт'!O364-'[3]поточний ремонт'!O364</f>
        <v>0</v>
      </c>
      <c r="P364" s="43">
        <f>'[1]поточний ремонт'!P364+'[2]поточний ремонт'!P364-'[3]поточний ремонт'!P364</f>
        <v>0</v>
      </c>
      <c r="Q364" s="1038"/>
      <c r="R364" s="43">
        <f>'[1]поточний ремонт'!R364+'[2]поточний ремонт'!R364-'[3]поточний ремонт'!R364</f>
        <v>0</v>
      </c>
      <c r="S364" s="43">
        <f>'[1]поточний ремонт'!S364+'[2]поточний ремонт'!S364-'[3]поточний ремонт'!S364</f>
        <v>0</v>
      </c>
      <c r="T364" s="1039"/>
      <c r="U364" s="43">
        <f>'[1]поточний ремонт'!U364+'[2]поточний ремонт'!U364-'[3]поточний ремонт'!U364</f>
        <v>0</v>
      </c>
      <c r="V364" s="43">
        <f>'[1]поточний ремонт'!V364+'[2]поточний ремонт'!V364-'[3]поточний ремонт'!V364</f>
        <v>0</v>
      </c>
      <c r="W364" s="43">
        <f>'[1]поточний ремонт'!W364+'[2]поточний ремонт'!W364-'[3]поточний ремонт'!W364</f>
        <v>0</v>
      </c>
      <c r="X364" s="43">
        <f>'[1]поточний ремонт'!X364+'[2]поточний ремонт'!X364-'[3]поточний ремонт'!X364</f>
        <v>527.19725640826096</v>
      </c>
      <c r="Y364" s="43">
        <f>'[1]поточний ремонт'!Y364+'[2]поточний ремонт'!Y364-'[3]поточний ремонт'!Y364</f>
        <v>0</v>
      </c>
      <c r="Z364" s="43">
        <f>'[1]поточний ремонт'!Z364+'[2]поточний ремонт'!Z364-'[3]поточний ремонт'!Z364</f>
        <v>0</v>
      </c>
      <c r="AA364" s="43">
        <f>'[1]поточний ремонт'!AA364+'[2]поточний ремонт'!AA364-'[3]поточний ремонт'!AA364</f>
        <v>0</v>
      </c>
      <c r="AB364" s="43">
        <f>'[1]поточний ремонт'!AB364+'[2]поточний ремонт'!AB364-'[3]поточний ремонт'!AB364</f>
        <v>0</v>
      </c>
      <c r="AC364" s="43">
        <f>'[1]поточний ремонт'!AC364+'[2]поточний ремонт'!AC364-'[3]поточний ремонт'!AC364</f>
        <v>3246.0000000000005</v>
      </c>
      <c r="AD364" s="43">
        <f>'[1]поточний ремонт'!AD364+'[2]поточний ремонт'!AD364-'[3]поточний ремонт'!AD364</f>
        <v>707</v>
      </c>
      <c r="AE364" s="43">
        <f>'[1]поточний ремонт'!AE364+'[2]поточний ремонт'!AE364-'[3]поточний ремонт'!AE364</f>
        <v>1710.4634120916244</v>
      </c>
      <c r="AF364" s="43">
        <f>'[1]поточний ремонт'!AF364+'[2]поточний ремонт'!AF364-'[3]поточний ремонт'!AF364</f>
        <v>818</v>
      </c>
      <c r="AG364" s="5"/>
      <c r="AH364" s="43">
        <f>'[1]поточний ремонт'!AH364+'[2]поточний ремонт'!AH364-'[3]поточний ремонт'!AH364</f>
        <v>2196.4265497206843</v>
      </c>
      <c r="AI364" s="43">
        <f>'[1]поточний ремонт'!AI364+'[2]поточний ремонт'!AI364-'[3]поточний ремонт'!AI364</f>
        <v>2836</v>
      </c>
      <c r="AJ364" s="5"/>
      <c r="AK364" s="43">
        <f>'[1]поточний ремонт'!AK364+'[2]поточний ремонт'!AK364-'[3]поточний ремонт'!AK364</f>
        <v>1769.2270019340945</v>
      </c>
      <c r="AL364" s="43">
        <f>'[1]поточний ремонт'!AL364+'[2]поточний ремонт'!AL364-'[3]поточний ремонт'!AL364</f>
        <v>0</v>
      </c>
      <c r="AM364" s="5"/>
      <c r="AN364" s="43">
        <f>'[1]поточний ремонт'!AN364+'[2]поточний ремонт'!AN364-'[3]поточний ремонт'!AN364</f>
        <v>0</v>
      </c>
      <c r="AO364" s="43">
        <f>'[1]поточний ремонт'!AO364+'[2]поточний ремонт'!AO364-'[3]поточний ремонт'!AO364</f>
        <v>0</v>
      </c>
      <c r="AP364" s="5"/>
      <c r="AQ364" s="43">
        <f>'[1]поточний ремонт'!AQ364+'[2]поточний ремонт'!AQ364-'[3]поточний ремонт'!AQ364</f>
        <v>0</v>
      </c>
      <c r="AR364" s="43">
        <f>'[1]поточний ремонт'!AR364+'[2]поточний ремонт'!AR364-'[3]поточний ремонт'!AR364</f>
        <v>0</v>
      </c>
      <c r="AS364" s="5"/>
      <c r="AT364" s="43">
        <f>'[1]поточний ремонт'!AT364+'[2]поточний ремонт'!AT364-'[3]поточний ремонт'!AT364</f>
        <v>1019.5485993260556</v>
      </c>
      <c r="AU364" s="43">
        <f>'[1]поточний ремонт'!AU364+'[2]поточний ремонт'!AU364-'[3]поточний ремонт'!AU364</f>
        <v>0</v>
      </c>
      <c r="AV364" s="5"/>
      <c r="AW364" s="43">
        <f>'[1]поточний ремонт'!AW364+'[2]поточний ремонт'!AW364-'[3]поточний ремонт'!AW364</f>
        <v>0</v>
      </c>
      <c r="AX364" s="43">
        <f>'[1]поточний ремонт'!AX364+'[2]поточний ремонт'!AX364-'[3]поточний ремонт'!AX364</f>
        <v>0</v>
      </c>
      <c r="AY364" s="5"/>
      <c r="AZ364" s="43">
        <f t="shared" si="42"/>
        <v>6695.6655630724581</v>
      </c>
      <c r="BA364" s="43">
        <f t="shared" si="43"/>
        <v>3654</v>
      </c>
      <c r="BB364" s="59">
        <f t="shared" si="44"/>
        <v>-3041.6655630724581</v>
      </c>
      <c r="BD364" s="2">
        <v>2</v>
      </c>
      <c r="BF364" s="30">
        <v>3.9819988587644466</v>
      </c>
      <c r="BG364" s="328">
        <v>150000880</v>
      </c>
      <c r="BI364" s="107">
        <v>39.340000000000003</v>
      </c>
      <c r="BJ364" s="107">
        <f t="shared" si="45"/>
        <v>5.533650948</v>
      </c>
      <c r="BK364" s="107">
        <v>45.370263214640005</v>
      </c>
      <c r="BL364" s="39"/>
      <c r="BM364" s="3"/>
      <c r="BN364" s="3">
        <v>0</v>
      </c>
      <c r="BP364" s="3"/>
      <c r="BQ364" s="3"/>
      <c r="BS364" s="43"/>
      <c r="BT364" s="43">
        <v>0</v>
      </c>
      <c r="BU364" s="1037"/>
      <c r="BV364" s="42"/>
      <c r="BW364" s="43"/>
      <c r="BX364" s="37"/>
      <c r="BY364" s="78"/>
      <c r="BZ364" s="43">
        <v>0</v>
      </c>
      <c r="CA364" s="1038"/>
      <c r="CB364" s="42"/>
      <c r="CC364" s="42">
        <v>0</v>
      </c>
      <c r="CD364" s="1039"/>
      <c r="CE364" s="78">
        <v>0</v>
      </c>
      <c r="CF364" s="56"/>
      <c r="CG364" s="42">
        <v>0</v>
      </c>
      <c r="CH364" s="39">
        <v>45.370263214640005</v>
      </c>
      <c r="CI364" s="78">
        <v>0</v>
      </c>
      <c r="CJ364" s="56"/>
      <c r="CK364" s="1034"/>
      <c r="CL364" s="1029"/>
      <c r="CM364" s="1034"/>
      <c r="CN364" s="1029">
        <v>0</v>
      </c>
      <c r="CO364" s="78">
        <v>142.53861767430203</v>
      </c>
      <c r="CP364" s="43">
        <v>0</v>
      </c>
      <c r="CQ364" s="5"/>
      <c r="CR364" s="78">
        <v>183.03554581005699</v>
      </c>
      <c r="CS364" s="1033">
        <v>0</v>
      </c>
      <c r="CT364" s="5"/>
      <c r="CU364" s="78">
        <v>147.43558349450788</v>
      </c>
      <c r="CV364" s="43">
        <v>0</v>
      </c>
      <c r="CW364" s="5"/>
      <c r="CX364" s="78">
        <v>0</v>
      </c>
      <c r="CY364" s="43">
        <v>0</v>
      </c>
      <c r="CZ364" s="5"/>
      <c r="DA364" s="78">
        <v>0</v>
      </c>
      <c r="DB364" s="43">
        <v>0</v>
      </c>
      <c r="DC364" s="5"/>
      <c r="DD364" s="78">
        <v>84.962383277171313</v>
      </c>
      <c r="DE364" s="43">
        <v>0</v>
      </c>
      <c r="DF364" s="5"/>
      <c r="DG364" s="78">
        <v>0</v>
      </c>
      <c r="DH364" s="43"/>
      <c r="DI364" s="5"/>
      <c r="DJ364" s="43">
        <v>557.97213025603821</v>
      </c>
      <c r="DK364" s="43">
        <f t="shared" si="46"/>
        <v>0</v>
      </c>
      <c r="DL364" s="59">
        <f t="shared" si="47"/>
        <v>-557.97213025603821</v>
      </c>
    </row>
    <row r="365" spans="1:116" ht="24.9" customHeight="1" x14ac:dyDescent="0.3">
      <c r="A365" s="328">
        <v>150000881</v>
      </c>
      <c r="B365" s="45" t="s">
        <v>411</v>
      </c>
      <c r="C365" s="1035">
        <v>9</v>
      </c>
      <c r="D365" s="1036" t="s">
        <v>454</v>
      </c>
      <c r="E365" s="1028">
        <f>'побудинковий звіт'!E363</f>
        <v>3091.2000000000003</v>
      </c>
      <c r="F365" s="1029">
        <f>'побудинковий звіт'!AS363</f>
        <v>31656.586802638321</v>
      </c>
      <c r="G365" s="1029">
        <f t="shared" si="40"/>
        <v>6209</v>
      </c>
      <c r="H365" s="1029">
        <f t="shared" si="41"/>
        <v>-25447.586802638321</v>
      </c>
      <c r="I365" s="43">
        <f>'[1]поточний ремонт'!I365+'[2]поточний ремонт'!I365-'[3]поточний ремонт'!I365</f>
        <v>0</v>
      </c>
      <c r="J365" s="43">
        <f>'[1]поточний ремонт'!J365+'[2]поточний ремонт'!J365-'[3]поточний ремонт'!J365</f>
        <v>776</v>
      </c>
      <c r="K365" s="1037"/>
      <c r="L365" s="43">
        <f>'[1]поточний ремонт'!L365+'[2]поточний ремонт'!L365-'[3]поточний ремонт'!L365</f>
        <v>0</v>
      </c>
      <c r="M365" s="43">
        <f>'[1]поточний ремонт'!M365+'[2]поточний ремонт'!M365-'[3]поточний ремонт'!M365</f>
        <v>0</v>
      </c>
      <c r="N365" s="37"/>
      <c r="O365" s="43">
        <f>'[1]поточний ремонт'!O365+'[2]поточний ремонт'!O365-'[3]поточний ремонт'!O365</f>
        <v>0</v>
      </c>
      <c r="P365" s="43">
        <f>'[1]поточний ремонт'!P365+'[2]поточний ремонт'!P365-'[3]поточний ремонт'!P365</f>
        <v>0</v>
      </c>
      <c r="Q365" s="1038"/>
      <c r="R365" s="43">
        <f>'[1]поточний ремонт'!R365+'[2]поточний ремонт'!R365-'[3]поточний ремонт'!R365</f>
        <v>1</v>
      </c>
      <c r="S365" s="43">
        <f>'[1]поточний ремонт'!S365+'[2]поточний ремонт'!S365-'[3]поточний ремонт'!S365</f>
        <v>3178</v>
      </c>
      <c r="T365" s="1039"/>
      <c r="U365" s="43">
        <f>'[1]поточний ремонт'!U365+'[2]поточний ремонт'!U365-'[3]поточний ремонт'!U365</f>
        <v>0</v>
      </c>
      <c r="V365" s="43">
        <f>'[1]поточний ремонт'!V365+'[2]поточний ремонт'!V365-'[3]поточний ремонт'!V365</f>
        <v>0</v>
      </c>
      <c r="W365" s="43">
        <f>'[1]поточний ремонт'!W365+'[2]поточний ремонт'!W365-'[3]поточний ремонт'!W365</f>
        <v>2</v>
      </c>
      <c r="X365" s="43">
        <f>'[1]поточний ремонт'!X365+'[2]поточний ремонт'!X365-'[3]поточний ремонт'!X365</f>
        <v>1308</v>
      </c>
      <c r="Y365" s="43">
        <f>'[1]поточний ремонт'!Y365+'[2]поточний ремонт'!Y365-'[3]поточний ремонт'!Y365</f>
        <v>0</v>
      </c>
      <c r="Z365" s="43">
        <f>'[1]поточний ремонт'!Z365+'[2]поточний ремонт'!Z365-'[3]поточний ремонт'!Z365</f>
        <v>0</v>
      </c>
      <c r="AA365" s="43">
        <f>'[1]поточний ремонт'!AA365+'[2]поточний ремонт'!AA365-'[3]поточний ремонт'!AA365</f>
        <v>0</v>
      </c>
      <c r="AB365" s="43">
        <f>'[1]поточний ремонт'!AB365+'[2]поточний ремонт'!AB365-'[3]поточний ремонт'!AB365</f>
        <v>0</v>
      </c>
      <c r="AC365" s="43">
        <f>'[1]поточний ремонт'!AC365+'[2]поточний ремонт'!AC365-'[3]поточний ремонт'!AC365</f>
        <v>787</v>
      </c>
      <c r="AD365" s="43">
        <f>'[1]поточний ремонт'!AD365+'[2]поточний ремонт'!AD365-'[3]поточний ремонт'!AD365</f>
        <v>160</v>
      </c>
      <c r="AE365" s="43">
        <f>'[1]поточний ремонт'!AE365+'[2]поточний ремонт'!AE365-'[3]поточний ремонт'!AE365</f>
        <v>216.43588841651098</v>
      </c>
      <c r="AF365" s="43">
        <f>'[1]поточний ремонт'!AF365+'[2]поточний ремонт'!AF365-'[3]поточний ремонт'!AF365</f>
        <v>775</v>
      </c>
      <c r="AG365" s="5"/>
      <c r="AH365" s="43">
        <f>'[1]поточний ремонт'!AH365+'[2]поточний ремонт'!AH365-'[3]поточний ремонт'!AH365</f>
        <v>265.8576572715985</v>
      </c>
      <c r="AI365" s="43">
        <f>'[1]поточний ремонт'!AI365+'[2]поточний ремонт'!AI365-'[3]поточний ремонт'!AI365</f>
        <v>0</v>
      </c>
      <c r="AJ365" s="5"/>
      <c r="AK365" s="43">
        <f>'[1]поточний ремонт'!AK365+'[2]поточний ремонт'!AK365-'[3]поточний ремонт'!AK365</f>
        <v>338.18783662012248</v>
      </c>
      <c r="AL365" s="43">
        <f>'[1]поточний ремонт'!AL365+'[2]поточний ремонт'!AL365-'[3]поточний ремонт'!AL365</f>
        <v>0</v>
      </c>
      <c r="AM365" s="5"/>
      <c r="AN365" s="43">
        <f>'[1]поточний ремонт'!AN365+'[2]поточний ремонт'!AN365-'[3]поточний ремонт'!AN365</f>
        <v>172.88532945079211</v>
      </c>
      <c r="AO365" s="43">
        <f>'[1]поточний ремонт'!AO365+'[2]поточний ремонт'!AO365-'[3]поточний ремонт'!AO365</f>
        <v>0</v>
      </c>
      <c r="AP365" s="5"/>
      <c r="AQ365" s="43">
        <f>'[1]поточний ремонт'!AQ365+'[2]поточний ремонт'!AQ365-'[3]поточний ремонт'!AQ365</f>
        <v>79.153482378459373</v>
      </c>
      <c r="AR365" s="43">
        <f>'[1]поточний ремонт'!AR365+'[2]поточний ремонт'!AR365-'[3]поточний ремонт'!AR365</f>
        <v>0</v>
      </c>
      <c r="AS365" s="5"/>
      <c r="AT365" s="43">
        <f>'[1]поточний ремонт'!AT365+'[2]поточний ремонт'!AT365-'[3]поточний ремонт'!AT365</f>
        <v>156.2181185327093</v>
      </c>
      <c r="AU365" s="43">
        <f>'[1]поточний ремонт'!AU365+'[2]поточний ремонт'!AU365-'[3]поточний ремонт'!AU365</f>
        <v>2745</v>
      </c>
      <c r="AV365" s="5"/>
      <c r="AW365" s="43">
        <f>'[1]поточний ремонт'!AW365+'[2]поточний ремонт'!AW365-'[3]поточний ремонт'!AW365</f>
        <v>0</v>
      </c>
      <c r="AX365" s="43">
        <f>'[1]поточний ремонт'!AX365+'[2]поточний ремонт'!AX365-'[3]поточний ремонт'!AX365</f>
        <v>0</v>
      </c>
      <c r="AY365" s="5"/>
      <c r="AZ365" s="43">
        <f t="shared" si="42"/>
        <v>1228.7383126701927</v>
      </c>
      <c r="BA365" s="43">
        <f t="shared" si="43"/>
        <v>3520</v>
      </c>
      <c r="BB365" s="59">
        <f t="shared" si="44"/>
        <v>2291.2616873298075</v>
      </c>
      <c r="BD365" s="2">
        <v>2</v>
      </c>
      <c r="BF365" s="30">
        <v>3.5132319969453665</v>
      </c>
      <c r="BG365" s="328">
        <v>150000881</v>
      </c>
      <c r="BI365" s="107">
        <v>0</v>
      </c>
      <c r="BJ365" s="107">
        <f t="shared" si="45"/>
        <v>0</v>
      </c>
      <c r="BK365" s="107">
        <v>0</v>
      </c>
      <c r="BL365" s="39"/>
      <c r="BM365" s="3"/>
      <c r="BN365" s="3">
        <v>0</v>
      </c>
      <c r="BP365" s="3"/>
      <c r="BQ365" s="3"/>
      <c r="BS365" s="43"/>
      <c r="BT365" s="43">
        <v>0</v>
      </c>
      <c r="BU365" s="1037"/>
      <c r="BV365" s="42"/>
      <c r="BW365" s="43"/>
      <c r="BX365" s="37"/>
      <c r="BY365" s="78"/>
      <c r="BZ365" s="43">
        <v>0</v>
      </c>
      <c r="CA365" s="1038"/>
      <c r="CB365" s="42"/>
      <c r="CC365" s="42">
        <v>0</v>
      </c>
      <c r="CD365" s="1039"/>
      <c r="CE365" s="78">
        <v>0</v>
      </c>
      <c r="CF365" s="56"/>
      <c r="CG365" s="42">
        <v>0</v>
      </c>
      <c r="CH365" s="39">
        <v>0</v>
      </c>
      <c r="CI365" s="78">
        <v>365.64417797027244</v>
      </c>
      <c r="CJ365" s="56"/>
      <c r="CK365" s="1034"/>
      <c r="CL365" s="1029"/>
      <c r="CM365" s="1034"/>
      <c r="CN365" s="1029">
        <v>0</v>
      </c>
      <c r="CO365" s="78">
        <v>18.036324034709246</v>
      </c>
      <c r="CP365" s="43">
        <v>0</v>
      </c>
      <c r="CQ365" s="5"/>
      <c r="CR365" s="78">
        <v>22.154804772633202</v>
      </c>
      <c r="CS365" s="1033">
        <v>0</v>
      </c>
      <c r="CT365" s="5"/>
      <c r="CU365" s="78">
        <v>28.182319718343539</v>
      </c>
      <c r="CV365" s="43">
        <v>0</v>
      </c>
      <c r="CW365" s="5"/>
      <c r="CX365" s="78">
        <v>14.407110787566008</v>
      </c>
      <c r="CY365" s="43">
        <v>0</v>
      </c>
      <c r="CZ365" s="5"/>
      <c r="DA365" s="78">
        <v>6.5961235315382805</v>
      </c>
      <c r="DB365" s="43">
        <v>0</v>
      </c>
      <c r="DC365" s="5"/>
      <c r="DD365" s="78">
        <v>13.018176544392439</v>
      </c>
      <c r="DE365" s="43">
        <v>0</v>
      </c>
      <c r="DF365" s="5"/>
      <c r="DG365" s="78">
        <v>0</v>
      </c>
      <c r="DH365" s="43"/>
      <c r="DI365" s="5"/>
      <c r="DJ365" s="43">
        <v>102.39485938918273</v>
      </c>
      <c r="DK365" s="43">
        <f t="shared" si="46"/>
        <v>0</v>
      </c>
      <c r="DL365" s="59">
        <f t="shared" si="47"/>
        <v>-102.39485938918273</v>
      </c>
    </row>
    <row r="366" spans="1:116" ht="24.9" customHeight="1" x14ac:dyDescent="0.3">
      <c r="A366" s="328">
        <v>150000882</v>
      </c>
      <c r="B366" s="45" t="s">
        <v>330</v>
      </c>
      <c r="C366" s="1035">
        <v>5</v>
      </c>
      <c r="D366" s="1036" t="s">
        <v>454</v>
      </c>
      <c r="E366" s="1028">
        <f>'побудинковий звіт'!E364</f>
        <v>3432.7000000000003</v>
      </c>
      <c r="F366" s="1029">
        <f>'побудинковий звіт'!AS364</f>
        <v>32734.271923466506</v>
      </c>
      <c r="G366" s="1029">
        <f t="shared" si="40"/>
        <v>14616.408264529682</v>
      </c>
      <c r="H366" s="1029">
        <f t="shared" si="41"/>
        <v>-18117.863658936825</v>
      </c>
      <c r="I366" s="43">
        <f>'[1]поточний ремонт'!I366+'[2]поточний ремонт'!I366-'[3]поточний ремонт'!I366</f>
        <v>70</v>
      </c>
      <c r="J366" s="43">
        <f>'[1]поточний ремонт'!J366+'[2]поточний ремонт'!J366-'[3]поточний ремонт'!J366</f>
        <v>14153</v>
      </c>
      <c r="K366" s="1037"/>
      <c r="L366" s="43">
        <f>'[1]поточний ремонт'!L366+'[2]поточний ремонт'!L366-'[3]поточний ремонт'!L366</f>
        <v>0</v>
      </c>
      <c r="M366" s="43">
        <f>'[1]поточний ремонт'!M366+'[2]поточний ремонт'!M366-'[3]поточний ремонт'!M366</f>
        <v>0</v>
      </c>
      <c r="N366" s="37"/>
      <c r="O366" s="43">
        <f>'[1]поточний ремонт'!O366+'[2]поточний ремонт'!O366-'[3]поточний ремонт'!O366</f>
        <v>0</v>
      </c>
      <c r="P366" s="43">
        <f>'[1]поточний ремонт'!P366+'[2]поточний ремонт'!P366-'[3]поточний ремонт'!P366</f>
        <v>0</v>
      </c>
      <c r="Q366" s="1038"/>
      <c r="R366" s="43">
        <f>'[1]поточний ремонт'!R366+'[2]поточний ремонт'!R366-'[3]поточний ремонт'!R366</f>
        <v>0</v>
      </c>
      <c r="S366" s="43">
        <f>'[1]поточний ремонт'!S366+'[2]поточний ремонт'!S366-'[3]поточний ремонт'!S366</f>
        <v>0</v>
      </c>
      <c r="T366" s="1039"/>
      <c r="U366" s="43">
        <f>'[1]поточний ремонт'!U366+'[2]поточний ремонт'!U366-'[3]поточний ремонт'!U366</f>
        <v>0</v>
      </c>
      <c r="V366" s="43">
        <f>'[1]поточний ремонт'!V366+'[2]поточний ремонт'!V366-'[3]поточний ремонт'!V366</f>
        <v>0</v>
      </c>
      <c r="W366" s="43">
        <f>'[1]поточний ремонт'!W366+'[2]поточний ремонт'!W366-'[3]поточний ремонт'!W366</f>
        <v>0</v>
      </c>
      <c r="X366" s="43">
        <f>'[1]поточний ремонт'!X366+'[2]поточний ремонт'!X366-'[3]поточний ремонт'!X366</f>
        <v>463.40826452968139</v>
      </c>
      <c r="Y366" s="43">
        <f>'[1]поточний ремонт'!Y366+'[2]поточний ремонт'!Y366-'[3]поточний ремонт'!Y366</f>
        <v>0</v>
      </c>
      <c r="Z366" s="43">
        <f>'[1]поточний ремонт'!Z366+'[2]поточний ремонт'!Z366-'[3]поточний ремонт'!Z366</f>
        <v>0</v>
      </c>
      <c r="AA366" s="43">
        <f>'[1]поточний ремонт'!AA366+'[2]поточний ремонт'!AA366-'[3]поточний ремонт'!AA366</f>
        <v>0</v>
      </c>
      <c r="AB366" s="43">
        <f>'[1]поточний ремонт'!AB366+'[2]поточний ремонт'!AB366-'[3]поточний ремонт'!AB366</f>
        <v>0</v>
      </c>
      <c r="AC366" s="43">
        <f>'[1]поточний ремонт'!AC366+'[2]поточний ремонт'!AC366-'[3]поточний ремонт'!AC366</f>
        <v>0</v>
      </c>
      <c r="AD366" s="43">
        <f>'[1]поточний ремонт'!AD366+'[2]поточний ремонт'!AD366-'[3]поточний ремонт'!AD366</f>
        <v>0</v>
      </c>
      <c r="AE366" s="43">
        <f>'[1]поточний ремонт'!AE366+'[2]поточний ремонт'!AE366-'[3]поточний ремонт'!AE366</f>
        <v>1459.8713435868913</v>
      </c>
      <c r="AF366" s="43">
        <f>'[1]поточний ремонт'!AF366+'[2]поточний ремонт'!AF366-'[3]поточний ремонт'!AF366</f>
        <v>14859</v>
      </c>
      <c r="AG366" s="1045"/>
      <c r="AH366" s="43">
        <f>'[1]поточний ремонт'!AH366+'[2]поточний ремонт'!AH366-'[3]поточний ремонт'!AH366</f>
        <v>2251.1988267304814</v>
      </c>
      <c r="AI366" s="43">
        <f>'[1]поточний ремонт'!AI366+'[2]поточний ремонт'!AI366-'[3]поточний ремонт'!AI366</f>
        <v>0</v>
      </c>
      <c r="AJ366" s="5"/>
      <c r="AK366" s="43">
        <f>'[1]поточний ремонт'!AK366+'[2]поточний ремонт'!AK366-'[3]поточний ремонт'!AK366</f>
        <v>2141.9433672058194</v>
      </c>
      <c r="AL366" s="43">
        <f>'[1]поточний ремонт'!AL366+'[2]поточний ремонт'!AL366-'[3]поточний ремонт'!AL366</f>
        <v>0</v>
      </c>
      <c r="AM366" s="5"/>
      <c r="AN366" s="43">
        <f>'[1]поточний ремонт'!AN366+'[2]поточний ремонт'!AN366-'[3]поточний ремонт'!AN366</f>
        <v>0</v>
      </c>
      <c r="AO366" s="43">
        <f>'[1]поточний ремонт'!AO366+'[2]поточний ремонт'!AO366-'[3]поточний ремонт'!AO366</f>
        <v>0</v>
      </c>
      <c r="AP366" s="5"/>
      <c r="AQ366" s="43">
        <f>'[1]поточний ремонт'!AQ366+'[2]поточний ремонт'!AQ366-'[3]поточний ремонт'!AQ366</f>
        <v>0</v>
      </c>
      <c r="AR366" s="43">
        <f>'[1]поточний ремонт'!AR366+'[2]поточний ремонт'!AR366-'[3]поточний ремонт'!AR366</f>
        <v>0</v>
      </c>
      <c r="AS366" s="5"/>
      <c r="AT366" s="43">
        <f>'[1]поточний ремонт'!AT366+'[2]поточний ремонт'!AT366-'[3]поточний ремонт'!AT366</f>
        <v>727.69954995328419</v>
      </c>
      <c r="AU366" s="43">
        <f>'[1]поточний ремонт'!AU366+'[2]поточний ремонт'!AU366-'[3]поточний ремонт'!AU366</f>
        <v>1827</v>
      </c>
      <c r="AV366" s="5"/>
      <c r="AW366" s="43">
        <f>'[1]поточний ремонт'!AW366+'[2]поточний ремонт'!AW366-'[3]поточний ремонт'!AW366</f>
        <v>0</v>
      </c>
      <c r="AX366" s="43">
        <f>'[1]поточний ремонт'!AX366+'[2]поточний ремонт'!AX366-'[3]поточний ремонт'!AX366</f>
        <v>0</v>
      </c>
      <c r="AY366" s="5"/>
      <c r="AZ366" s="43">
        <f t="shared" si="42"/>
        <v>6580.7130874764762</v>
      </c>
      <c r="BA366" s="43">
        <f t="shared" si="43"/>
        <v>16686</v>
      </c>
      <c r="BB366" s="59">
        <f t="shared" si="44"/>
        <v>10105.286912523523</v>
      </c>
      <c r="BD366" s="2">
        <v>2</v>
      </c>
      <c r="BF366" s="30">
        <v>4.4745290383644782</v>
      </c>
      <c r="BG366" s="328">
        <v>150000882</v>
      </c>
      <c r="BI366" s="107">
        <v>34.58</v>
      </c>
      <c r="BJ366" s="107">
        <f t="shared" si="45"/>
        <v>4.864098875999999</v>
      </c>
      <c r="BK366" s="107">
        <v>39.88062282568</v>
      </c>
      <c r="BL366" s="39"/>
      <c r="BM366" s="3"/>
      <c r="BN366" s="3">
        <v>0</v>
      </c>
      <c r="BP366" s="3"/>
      <c r="BQ366" s="3"/>
      <c r="BS366" s="43"/>
      <c r="BT366" s="43">
        <v>0</v>
      </c>
      <c r="BU366" s="1037"/>
      <c r="BV366" s="42"/>
      <c r="BW366" s="43"/>
      <c r="BX366" s="37"/>
      <c r="BY366" s="78"/>
      <c r="BZ366" s="43">
        <v>0</v>
      </c>
      <c r="CA366" s="1038"/>
      <c r="CB366" s="42"/>
      <c r="CC366" s="42">
        <v>0</v>
      </c>
      <c r="CD366" s="1039"/>
      <c r="CE366" s="78">
        <v>0</v>
      </c>
      <c r="CF366" s="56"/>
      <c r="CG366" s="42">
        <v>0</v>
      </c>
      <c r="CH366" s="39">
        <v>39.88062282568</v>
      </c>
      <c r="CI366" s="78">
        <v>0</v>
      </c>
      <c r="CJ366" s="56"/>
      <c r="CK366" s="1034"/>
      <c r="CL366" s="1029"/>
      <c r="CM366" s="1034"/>
      <c r="CN366" s="1029">
        <v>0</v>
      </c>
      <c r="CO366" s="78">
        <v>121.6559452989076</v>
      </c>
      <c r="CP366" s="43">
        <v>0</v>
      </c>
      <c r="CQ366" s="1045"/>
      <c r="CR366" s="78">
        <v>187.59990222754016</v>
      </c>
      <c r="CS366" s="1033">
        <v>0</v>
      </c>
      <c r="CT366" s="5"/>
      <c r="CU366" s="78">
        <v>178.49528060048499</v>
      </c>
      <c r="CV366" s="43">
        <v>0</v>
      </c>
      <c r="CW366" s="5"/>
      <c r="CX366" s="78">
        <v>0</v>
      </c>
      <c r="CY366" s="43">
        <v>0</v>
      </c>
      <c r="CZ366" s="5"/>
      <c r="DA366" s="78">
        <v>0</v>
      </c>
      <c r="DB366" s="43">
        <v>0</v>
      </c>
      <c r="DC366" s="5"/>
      <c r="DD366" s="78">
        <v>60.641629162773675</v>
      </c>
      <c r="DE366" s="43">
        <v>0</v>
      </c>
      <c r="DF366" s="5"/>
      <c r="DG366" s="78">
        <v>0</v>
      </c>
      <c r="DH366" s="43"/>
      <c r="DI366" s="5"/>
      <c r="DJ366" s="43">
        <v>548.39275728970642</v>
      </c>
      <c r="DK366" s="43">
        <f t="shared" si="46"/>
        <v>0</v>
      </c>
      <c r="DL366" s="59">
        <f t="shared" si="47"/>
        <v>-548.39275728970642</v>
      </c>
    </row>
    <row r="367" spans="1:116" ht="24.9" customHeight="1" x14ac:dyDescent="0.3">
      <c r="A367" s="328">
        <v>150000883</v>
      </c>
      <c r="B367" s="45" t="s">
        <v>331</v>
      </c>
      <c r="C367" s="1035">
        <v>5</v>
      </c>
      <c r="D367" s="1036" t="s">
        <v>454</v>
      </c>
      <c r="E367" s="1028">
        <f>'побудинковий звіт'!E365</f>
        <v>5601.9</v>
      </c>
      <c r="F367" s="1029">
        <f>'побудинковий звіт'!AS365</f>
        <v>20708.836443737393</v>
      </c>
      <c r="G367" s="1029">
        <f t="shared" si="40"/>
        <v>0</v>
      </c>
      <c r="H367" s="1029">
        <f t="shared" si="41"/>
        <v>-20708.836443737393</v>
      </c>
      <c r="I367" s="43">
        <f>'[1]поточний ремонт'!I367+'[2]поточний ремонт'!I367-'[3]поточний ремонт'!I367</f>
        <v>0</v>
      </c>
      <c r="J367" s="43">
        <f>'[1]поточний ремонт'!J367+'[2]поточний ремонт'!J367-'[3]поточний ремонт'!J367</f>
        <v>0</v>
      </c>
      <c r="K367" s="1041"/>
      <c r="L367" s="43">
        <f>'[1]поточний ремонт'!L367+'[2]поточний ремонт'!L367-'[3]поточний ремонт'!L367</f>
        <v>0</v>
      </c>
      <c r="M367" s="43">
        <f>'[1]поточний ремонт'!M367+'[2]поточний ремонт'!M367-'[3]поточний ремонт'!M367</f>
        <v>0</v>
      </c>
      <c r="N367" s="37"/>
      <c r="O367" s="43">
        <f>'[1]поточний ремонт'!O367+'[2]поточний ремонт'!O367-'[3]поточний ремонт'!O367</f>
        <v>0</v>
      </c>
      <c r="P367" s="43">
        <f>'[1]поточний ремонт'!P367+'[2]поточний ремонт'!P367-'[3]поточний ремонт'!P367</f>
        <v>0</v>
      </c>
      <c r="Q367" s="1038"/>
      <c r="R367" s="43">
        <f>'[1]поточний ремонт'!R367+'[2]поточний ремонт'!R367-'[3]поточний ремонт'!R367</f>
        <v>0</v>
      </c>
      <c r="S367" s="43">
        <f>'[1]поточний ремонт'!S367+'[2]поточний ремонт'!S367-'[3]поточний ремонт'!S367</f>
        <v>0</v>
      </c>
      <c r="T367" s="1039"/>
      <c r="U367" s="43">
        <f>'[1]поточний ремонт'!U367+'[2]поточний ремонт'!U367-'[3]поточний ремонт'!U367</f>
        <v>0</v>
      </c>
      <c r="V367" s="43">
        <f>'[1]поточний ремонт'!V367+'[2]поточний ремонт'!V367-'[3]поточний ремонт'!V367</f>
        <v>0</v>
      </c>
      <c r="W367" s="43">
        <f>'[1]поточний ремонт'!W367+'[2]поточний ремонт'!W367-'[3]поточний ремонт'!W367</f>
        <v>0</v>
      </c>
      <c r="X367" s="43">
        <f>'[1]поточний ремонт'!X367+'[2]поточний ремонт'!X367-'[3]поточний ремонт'!X367</f>
        <v>0</v>
      </c>
      <c r="Y367" s="43">
        <f>'[1]поточний ремонт'!Y367+'[2]поточний ремонт'!Y367-'[3]поточний ремонт'!Y367</f>
        <v>0</v>
      </c>
      <c r="Z367" s="43">
        <f>'[1]поточний ремонт'!Z367+'[2]поточний ремонт'!Z367-'[3]поточний ремонт'!Z367</f>
        <v>0</v>
      </c>
      <c r="AA367" s="43">
        <f>'[1]поточний ремонт'!AA367+'[2]поточний ремонт'!AA367-'[3]поточний ремонт'!AA367</f>
        <v>0</v>
      </c>
      <c r="AB367" s="43">
        <f>'[1]поточний ремонт'!AB367+'[2]поточний ремонт'!AB367-'[3]поточний ремонт'!AB367</f>
        <v>0</v>
      </c>
      <c r="AC367" s="43">
        <f>'[1]поточний ремонт'!AC367+'[2]поточний ремонт'!AC367-'[3]поточний ремонт'!AC367</f>
        <v>0</v>
      </c>
      <c r="AD367" s="43">
        <f>'[1]поточний ремонт'!AD367+'[2]поточний ремонт'!AD367-'[3]поточний ремонт'!AD367</f>
        <v>0</v>
      </c>
      <c r="AE367" s="43">
        <f>'[1]поточний ремонт'!AE367+'[2]поточний ремонт'!AE367-'[3]поточний ремонт'!AE367</f>
        <v>1011.4566116891503</v>
      </c>
      <c r="AF367" s="43">
        <f>'[1]поточний ремонт'!AF367+'[2]поточний ремонт'!AF367-'[3]поточний ремонт'!AF367</f>
        <v>0</v>
      </c>
      <c r="AG367" s="5"/>
      <c r="AH367" s="43">
        <f>'[1]поточний ремонт'!AH367+'[2]поточний ремонт'!AH367-'[3]поточний ремонт'!AH367</f>
        <v>1338.8908404967292</v>
      </c>
      <c r="AI367" s="43">
        <f>'[1]поточний ремонт'!AI367+'[2]поточний ремонт'!AI367-'[3]поточний ремонт'!AI367</f>
        <v>0</v>
      </c>
      <c r="AJ367" s="5"/>
      <c r="AK367" s="43">
        <f>'[1]поточний ремонт'!AK367+'[2]поточний ремонт'!AK367-'[3]поточний ремонт'!AK367</f>
        <v>1196.9568431124032</v>
      </c>
      <c r="AL367" s="43">
        <f>'[1]поточний ремонт'!AL367+'[2]поточний ремонт'!AL367-'[3]поточний ремонт'!AL367</f>
        <v>1152.8139303343146</v>
      </c>
      <c r="AM367" s="5"/>
      <c r="AN367" s="43">
        <f>'[1]поточний ремонт'!AN367+'[2]поточний ремонт'!AN367-'[3]поточний ремонт'!AN367</f>
        <v>0</v>
      </c>
      <c r="AO367" s="43">
        <f>'[1]поточний ремонт'!AO367+'[2]поточний ремонт'!AO367-'[3]поточний ремонт'!AO367</f>
        <v>0</v>
      </c>
      <c r="AP367" s="5"/>
      <c r="AQ367" s="43">
        <f>'[1]поточний ремонт'!AQ367+'[2]поточний ремонт'!AQ367-'[3]поточний ремонт'!AQ367</f>
        <v>0</v>
      </c>
      <c r="AR367" s="43">
        <f>'[1]поточний ремонт'!AR367+'[2]поточний ремонт'!AR367-'[3]поточний ремонт'!AR367</f>
        <v>0</v>
      </c>
      <c r="AS367" s="5"/>
      <c r="AT367" s="43">
        <f>'[1]поточний ремонт'!AT367+'[2]поточний ремонт'!AT367-'[3]поточний ремонт'!AT367</f>
        <v>389.68052365915952</v>
      </c>
      <c r="AU367" s="43">
        <f>'[1]поточний ремонт'!AU367+'[2]поточний ремонт'!AU367-'[3]поточний ремонт'!AU367</f>
        <v>0</v>
      </c>
      <c r="AV367" s="5"/>
      <c r="AW367" s="43">
        <f>'[1]поточний ремонт'!AW367+'[2]поточний ремонт'!AW367-'[3]поточний ремонт'!AW367</f>
        <v>0</v>
      </c>
      <c r="AX367" s="43">
        <f>'[1]поточний ремонт'!AX367+'[2]поточний ремонт'!AX367-'[3]поточний ремонт'!AX367</f>
        <v>0</v>
      </c>
      <c r="AY367" s="5"/>
      <c r="AZ367" s="43">
        <f t="shared" si="42"/>
        <v>3936.9848189574427</v>
      </c>
      <c r="BA367" s="43">
        <f t="shared" si="43"/>
        <v>1152.8139303343146</v>
      </c>
      <c r="BB367" s="59">
        <f t="shared" si="44"/>
        <v>-2784.1708886231281</v>
      </c>
      <c r="BD367" s="2">
        <v>2</v>
      </c>
      <c r="BF367" s="30">
        <v>40.704870235479753</v>
      </c>
      <c r="BG367" s="328">
        <v>150000883</v>
      </c>
      <c r="BI367" s="107">
        <v>0</v>
      </c>
      <c r="BJ367" s="107">
        <f t="shared" si="45"/>
        <v>0</v>
      </c>
      <c r="BK367" s="107">
        <v>0</v>
      </c>
      <c r="BL367" s="39"/>
      <c r="BM367" s="3">
        <v>2</v>
      </c>
      <c r="BN367" s="3">
        <v>2143.6867678621816</v>
      </c>
      <c r="BP367" s="3"/>
      <c r="BQ367" s="3"/>
      <c r="BS367" s="43"/>
      <c r="BT367" s="43">
        <v>0</v>
      </c>
      <c r="BU367" s="1041"/>
      <c r="BV367" s="42"/>
      <c r="BW367" s="43"/>
      <c r="BX367" s="37"/>
      <c r="BY367" s="78"/>
      <c r="BZ367" s="43">
        <v>0</v>
      </c>
      <c r="CA367" s="1038"/>
      <c r="CB367" s="42"/>
      <c r="CC367" s="42">
        <v>0</v>
      </c>
      <c r="CD367" s="1039"/>
      <c r="CE367" s="78">
        <v>0</v>
      </c>
      <c r="CF367" s="56"/>
      <c r="CG367" s="42">
        <v>2</v>
      </c>
      <c r="CH367" s="39">
        <v>2143.6867678621816</v>
      </c>
      <c r="CI367" s="78">
        <v>0</v>
      </c>
      <c r="CJ367" s="1044"/>
      <c r="CK367" s="1034"/>
      <c r="CL367" s="1029"/>
      <c r="CM367" s="1034"/>
      <c r="CN367" s="1029">
        <v>0</v>
      </c>
      <c r="CO367" s="78">
        <v>84.288050974095853</v>
      </c>
      <c r="CP367" s="43">
        <v>0</v>
      </c>
      <c r="CQ367" s="5"/>
      <c r="CR367" s="78">
        <v>111.57423670806077</v>
      </c>
      <c r="CS367" s="1033">
        <v>0</v>
      </c>
      <c r="CT367" s="5"/>
      <c r="CU367" s="78">
        <v>99.746403592700247</v>
      </c>
      <c r="CV367" s="43">
        <v>0</v>
      </c>
      <c r="CW367" s="5"/>
      <c r="CX367" s="78">
        <v>0</v>
      </c>
      <c r="CY367" s="43">
        <v>0</v>
      </c>
      <c r="CZ367" s="5"/>
      <c r="DA367" s="78">
        <v>0</v>
      </c>
      <c r="DB367" s="43">
        <v>0</v>
      </c>
      <c r="DC367" s="5"/>
      <c r="DD367" s="78">
        <v>32.473376971596629</v>
      </c>
      <c r="DE367" s="43">
        <v>0</v>
      </c>
      <c r="DF367" s="5"/>
      <c r="DG367" s="78">
        <v>0</v>
      </c>
      <c r="DH367" s="43"/>
      <c r="DI367" s="5"/>
      <c r="DJ367" s="43">
        <v>328.0820682464535</v>
      </c>
      <c r="DK367" s="43">
        <f t="shared" si="46"/>
        <v>0</v>
      </c>
      <c r="DL367" s="59">
        <f t="shared" si="47"/>
        <v>-328.0820682464535</v>
      </c>
    </row>
    <row r="368" spans="1:116" ht="24.9" customHeight="1" x14ac:dyDescent="0.3">
      <c r="A368" s="328">
        <v>150000884</v>
      </c>
      <c r="B368" s="45" t="s">
        <v>332</v>
      </c>
      <c r="C368" s="1035">
        <v>5</v>
      </c>
      <c r="D368" s="1036" t="s">
        <v>454</v>
      </c>
      <c r="E368" s="1028">
        <f>'побудинковий звіт'!E366</f>
        <v>5286.7</v>
      </c>
      <c r="F368" s="1029">
        <f>'побудинковий звіт'!AS366</f>
        <v>43454.168163723691</v>
      </c>
      <c r="G368" s="1029">
        <f t="shared" si="40"/>
        <v>0</v>
      </c>
      <c r="H368" s="1029">
        <f t="shared" si="41"/>
        <v>-43454.168163723691</v>
      </c>
      <c r="I368" s="43">
        <f>'[1]поточний ремонт'!I368+'[2]поточний ремонт'!I368-'[3]поточний ремонт'!I368</f>
        <v>0</v>
      </c>
      <c r="J368" s="43">
        <f>'[1]поточний ремонт'!J368+'[2]поточний ремонт'!J368-'[3]поточний ремонт'!J368</f>
        <v>0</v>
      </c>
      <c r="K368" s="1037"/>
      <c r="L368" s="43">
        <f>'[1]поточний ремонт'!L368+'[2]поточний ремонт'!L368-'[3]поточний ремонт'!L368</f>
        <v>0</v>
      </c>
      <c r="M368" s="43">
        <f>'[1]поточний ремонт'!M368+'[2]поточний ремонт'!M368-'[3]поточний ремонт'!M368</f>
        <v>0</v>
      </c>
      <c r="N368" s="37"/>
      <c r="O368" s="43">
        <f>'[1]поточний ремонт'!O368+'[2]поточний ремонт'!O368-'[3]поточний ремонт'!O368</f>
        <v>0</v>
      </c>
      <c r="P368" s="43">
        <f>'[1]поточний ремонт'!P368+'[2]поточний ремонт'!P368-'[3]поточний ремонт'!P368</f>
        <v>0</v>
      </c>
      <c r="Q368" s="1038"/>
      <c r="R368" s="43">
        <f>'[1]поточний ремонт'!R368+'[2]поточний ремонт'!R368-'[3]поточний ремонт'!R368</f>
        <v>0</v>
      </c>
      <c r="S368" s="43">
        <f>'[1]поточний ремонт'!S368+'[2]поточний ремонт'!S368-'[3]поточний ремонт'!S368</f>
        <v>0</v>
      </c>
      <c r="T368" s="1039"/>
      <c r="U368" s="43">
        <f>'[1]поточний ремонт'!U368+'[2]поточний ремонт'!U368-'[3]поточний ремонт'!U368</f>
        <v>0</v>
      </c>
      <c r="V368" s="43">
        <f>'[1]поточний ремонт'!V368+'[2]поточний ремонт'!V368-'[3]поточний ремонт'!V368</f>
        <v>0</v>
      </c>
      <c r="W368" s="43">
        <f>'[1]поточний ремонт'!W368+'[2]поточний ремонт'!W368-'[3]поточний ремонт'!W368</f>
        <v>0</v>
      </c>
      <c r="X368" s="43">
        <f>'[1]поточний ремонт'!X368+'[2]поточний ремонт'!X368-'[3]поточний ремонт'!X368</f>
        <v>0</v>
      </c>
      <c r="Y368" s="43">
        <f>'[1]поточний ремонт'!Y368+'[2]поточний ремонт'!Y368-'[3]поточний ремонт'!Y368</f>
        <v>0</v>
      </c>
      <c r="Z368" s="43">
        <f>'[1]поточний ремонт'!Z368+'[2]поточний ремонт'!Z368-'[3]поточний ремонт'!Z368</f>
        <v>0</v>
      </c>
      <c r="AA368" s="43">
        <f>'[1]поточний ремонт'!AA368+'[2]поточний ремонт'!AA368-'[3]поточний ремонт'!AA368</f>
        <v>0</v>
      </c>
      <c r="AB368" s="43">
        <f>'[1]поточний ремонт'!AB368+'[2]поточний ремонт'!AB368-'[3]поточний ремонт'!AB368</f>
        <v>0</v>
      </c>
      <c r="AC368" s="43">
        <f>'[1]поточний ремонт'!AC368+'[2]поточний ремонт'!AC368-'[3]поточний ремонт'!AC368</f>
        <v>0</v>
      </c>
      <c r="AD368" s="43">
        <f>'[1]поточний ремонт'!AD368+'[2]поточний ремонт'!AD368-'[3]поточний ремонт'!AD368</f>
        <v>0</v>
      </c>
      <c r="AE368" s="43">
        <f>'[1]поточний ремонт'!AE368+'[2]поточний ремонт'!AE368-'[3]поточний ремонт'!AE368</f>
        <v>1858.8368832448157</v>
      </c>
      <c r="AF368" s="43">
        <f>'[1]поточний ремонт'!AF368+'[2]поточний ремонт'!AF368-'[3]поточний ремонт'!AF368</f>
        <v>1075</v>
      </c>
      <c r="AG368" s="9"/>
      <c r="AH368" s="43">
        <f>'[1]поточний ремонт'!AH368+'[2]поточний ремонт'!AH368-'[3]поточний ремонт'!AH368</f>
        <v>2949.4286120364909</v>
      </c>
      <c r="AI368" s="43">
        <f>'[1]поточний ремонт'!AI368+'[2]поточний ремонт'!AI368-'[3]поточний ремонт'!AI368</f>
        <v>2965</v>
      </c>
      <c r="AJ368" s="5"/>
      <c r="AK368" s="43">
        <f>'[1]поточний ремонт'!AK368+'[2]поточний ремонт'!AK368-'[3]поточний ремонт'!AK368</f>
        <v>2195.6646772248323</v>
      </c>
      <c r="AL368" s="43">
        <f>'[1]поточний ремонт'!AL368+'[2]поточний ремонт'!AL368-'[3]поточний ремонт'!AL368</f>
        <v>626</v>
      </c>
      <c r="AM368" s="5"/>
      <c r="AN368" s="43">
        <f>'[1]поточний ремонт'!AN368+'[2]поточний ремонт'!AN368-'[3]поточний ремонт'!AN368</f>
        <v>0</v>
      </c>
      <c r="AO368" s="43">
        <f>'[1]поточний ремонт'!AO368+'[2]поточний ремонт'!AO368-'[3]поточний ремонт'!AO368</f>
        <v>0</v>
      </c>
      <c r="AP368" s="5"/>
      <c r="AQ368" s="43">
        <f>'[1]поточний ремонт'!AQ368+'[2]поточний ремонт'!AQ368-'[3]поточний ремонт'!AQ368</f>
        <v>0</v>
      </c>
      <c r="AR368" s="43">
        <f>'[1]поточний ремонт'!AR368+'[2]поточний ремонт'!AR368-'[3]поточний ремонт'!AR368</f>
        <v>0</v>
      </c>
      <c r="AS368" s="5"/>
      <c r="AT368" s="43">
        <f>'[1]поточний ремонт'!AT368+'[2]поточний ремонт'!AT368-'[3]поточний ремонт'!AT368</f>
        <v>1052.8171621137847</v>
      </c>
      <c r="AU368" s="43">
        <f>'[1]поточний ремонт'!AU368+'[2]поточний ремонт'!AU368-'[3]поточний ремонт'!AU368</f>
        <v>0</v>
      </c>
      <c r="AV368" s="5"/>
      <c r="AW368" s="43">
        <f>'[1]поточний ремонт'!AW368+'[2]поточний ремонт'!AW368-'[3]поточний ремонт'!AW368</f>
        <v>0</v>
      </c>
      <c r="AX368" s="43">
        <f>'[1]поточний ремонт'!AX368+'[2]поточний ремонт'!AX368-'[3]поточний ремонт'!AX368</f>
        <v>0</v>
      </c>
      <c r="AY368" s="5"/>
      <c r="AZ368" s="43">
        <f t="shared" si="42"/>
        <v>8056.7473346199231</v>
      </c>
      <c r="BA368" s="43">
        <f t="shared" si="43"/>
        <v>4666</v>
      </c>
      <c r="BB368" s="59">
        <f t="shared" si="44"/>
        <v>-3390.7473346199231</v>
      </c>
      <c r="BD368" s="2">
        <v>2</v>
      </c>
      <c r="BF368" s="30">
        <v>4.9655402351438473</v>
      </c>
      <c r="BG368" s="328">
        <v>150000884</v>
      </c>
      <c r="BI368" s="107">
        <v>0</v>
      </c>
      <c r="BJ368" s="107">
        <f t="shared" si="45"/>
        <v>0</v>
      </c>
      <c r="BK368" s="107">
        <v>0</v>
      </c>
      <c r="BL368" s="39"/>
      <c r="BM368" s="3"/>
      <c r="BN368" s="3">
        <v>0</v>
      </c>
      <c r="BP368" s="3"/>
      <c r="BQ368" s="3"/>
      <c r="BS368" s="43"/>
      <c r="BT368" s="43">
        <v>0</v>
      </c>
      <c r="BU368" s="1037"/>
      <c r="BV368" s="42"/>
      <c r="BW368" s="43"/>
      <c r="BX368" s="37"/>
      <c r="BY368" s="78"/>
      <c r="BZ368" s="43">
        <v>0</v>
      </c>
      <c r="CA368" s="1038"/>
      <c r="CB368" s="42"/>
      <c r="CC368" s="42">
        <v>0</v>
      </c>
      <c r="CD368" s="1039"/>
      <c r="CE368" s="78">
        <v>0</v>
      </c>
      <c r="CF368" s="56"/>
      <c r="CG368" s="42">
        <v>0</v>
      </c>
      <c r="CH368" s="39">
        <v>0</v>
      </c>
      <c r="CI368" s="78">
        <v>0</v>
      </c>
      <c r="CJ368" s="56"/>
      <c r="CK368" s="1034"/>
      <c r="CL368" s="1029"/>
      <c r="CM368" s="1034"/>
      <c r="CN368" s="1029">
        <v>0</v>
      </c>
      <c r="CO368" s="78">
        <v>154.90307360373467</v>
      </c>
      <c r="CP368" s="43">
        <v>0</v>
      </c>
      <c r="CQ368" s="9"/>
      <c r="CR368" s="78">
        <v>245.78571766970759</v>
      </c>
      <c r="CS368" s="1033">
        <v>0</v>
      </c>
      <c r="CT368" s="5"/>
      <c r="CU368" s="78">
        <v>182.97205643540269</v>
      </c>
      <c r="CV368" s="43">
        <v>0</v>
      </c>
      <c r="CW368" s="5"/>
      <c r="CX368" s="78">
        <v>0</v>
      </c>
      <c r="CY368" s="43">
        <v>0</v>
      </c>
      <c r="CZ368" s="5"/>
      <c r="DA368" s="78">
        <v>0</v>
      </c>
      <c r="DB368" s="43">
        <v>0</v>
      </c>
      <c r="DC368" s="5"/>
      <c r="DD368" s="78">
        <v>87.734763509482079</v>
      </c>
      <c r="DE368" s="43">
        <v>0</v>
      </c>
      <c r="DF368" s="5"/>
      <c r="DG368" s="78">
        <v>0</v>
      </c>
      <c r="DH368" s="43"/>
      <c r="DI368" s="5"/>
      <c r="DJ368" s="43">
        <v>671.39561121832696</v>
      </c>
      <c r="DK368" s="43">
        <f t="shared" si="46"/>
        <v>0</v>
      </c>
      <c r="DL368" s="59">
        <f t="shared" si="47"/>
        <v>-671.39561121832696</v>
      </c>
    </row>
    <row r="369" spans="1:116" ht="24.9" customHeight="1" thickBot="1" x14ac:dyDescent="0.35">
      <c r="A369" s="569">
        <v>150000885</v>
      </c>
      <c r="B369" s="49" t="s">
        <v>238</v>
      </c>
      <c r="C369" s="1061">
        <v>4</v>
      </c>
      <c r="D369" s="1062" t="s">
        <v>454</v>
      </c>
      <c r="E369" s="1028">
        <f>'побудинковий звіт'!E367</f>
        <v>4637.3999999999996</v>
      </c>
      <c r="F369" s="1029">
        <f>'побудинковий звіт'!AS367</f>
        <v>20188.701100501145</v>
      </c>
      <c r="G369" s="1063">
        <f t="shared" si="40"/>
        <v>571</v>
      </c>
      <c r="H369" s="1063">
        <f t="shared" si="41"/>
        <v>-19617.701100501145</v>
      </c>
      <c r="I369" s="43">
        <f>'[1]поточний ремонт'!I369+'[2]поточний ремонт'!I369-'[3]поточний ремонт'!I369</f>
        <v>0</v>
      </c>
      <c r="J369" s="43">
        <f>'[1]поточний ремонт'!J369+'[2]поточний ремонт'!J369-'[3]поточний ремонт'!J369</f>
        <v>0</v>
      </c>
      <c r="K369" s="1064"/>
      <c r="L369" s="43">
        <f>'[1]поточний ремонт'!L369+'[2]поточний ремонт'!L369-'[3]поточний ремонт'!L369</f>
        <v>0</v>
      </c>
      <c r="M369" s="43">
        <f>'[1]поточний ремонт'!M369+'[2]поточний ремонт'!M369-'[3]поточний ремонт'!M369</f>
        <v>0</v>
      </c>
      <c r="N369" s="38"/>
      <c r="O369" s="43">
        <f>'[1]поточний ремонт'!O369+'[2]поточний ремонт'!O369-'[3]поточний ремонт'!O369</f>
        <v>0</v>
      </c>
      <c r="P369" s="43">
        <f>'[1]поточний ремонт'!P369+'[2]поточний ремонт'!P369-'[3]поточний ремонт'!P369</f>
        <v>0</v>
      </c>
      <c r="Q369" s="1065"/>
      <c r="R369" s="43">
        <f>'[1]поточний ремонт'!R369+'[2]поточний ремонт'!R369-'[3]поточний ремонт'!R369</f>
        <v>0</v>
      </c>
      <c r="S369" s="43">
        <f>'[1]поточний ремонт'!S369+'[2]поточний ремонт'!S369-'[3]поточний ремонт'!S369</f>
        <v>0</v>
      </c>
      <c r="T369" s="1066"/>
      <c r="U369" s="43">
        <f>'[1]поточний ремонт'!U369+'[2]поточний ремонт'!U369-'[3]поточний ремонт'!U369</f>
        <v>0</v>
      </c>
      <c r="V369" s="43">
        <f>'[1]поточний ремонт'!V369+'[2]поточний ремонт'!V369-'[3]поточний ремонт'!V369</f>
        <v>0</v>
      </c>
      <c r="W369" s="43">
        <f>'[1]поточний ремонт'!W369+'[2]поточний ремонт'!W369-'[3]поточний ремонт'!W369</f>
        <v>0</v>
      </c>
      <c r="X369" s="43">
        <f>'[1]поточний ремонт'!X369+'[2]поточний ремонт'!X369-'[3]поточний ремонт'!X369</f>
        <v>0</v>
      </c>
      <c r="Y369" s="43">
        <f>'[1]поточний ремонт'!Y369+'[2]поточний ремонт'!Y369-'[3]поточний ремонт'!Y369</f>
        <v>0</v>
      </c>
      <c r="Z369" s="43">
        <f>'[1]поточний ремонт'!Z369+'[2]поточний ремонт'!Z369-'[3]поточний ремонт'!Z369</f>
        <v>0</v>
      </c>
      <c r="AA369" s="43">
        <f>'[1]поточний ремонт'!AA369+'[2]поточний ремонт'!AA369-'[3]поточний ремонт'!AA369</f>
        <v>0</v>
      </c>
      <c r="AB369" s="43">
        <f>'[1]поточний ремонт'!AB369+'[2]поточний ремонт'!AB369-'[3]поточний ремонт'!AB369</f>
        <v>0</v>
      </c>
      <c r="AC369" s="43">
        <f>'[1]поточний ремонт'!AC369+'[2]поточний ремонт'!AC369-'[3]поточний ремонт'!AC369</f>
        <v>0</v>
      </c>
      <c r="AD369" s="43">
        <f>'[1]поточний ремонт'!AD369+'[2]поточний ремонт'!AD369-'[3]поточний ремонт'!AD369</f>
        <v>571</v>
      </c>
      <c r="AE369" s="43">
        <f>'[1]поточний ремонт'!AE369+'[2]поточний ремонт'!AE369-'[3]поточний ремонт'!AE369</f>
        <v>892.01370037999766</v>
      </c>
      <c r="AF369" s="43">
        <f>'[1]поточний ремонт'!AF369+'[2]поточний ремонт'!AF369-'[3]поточний ремонт'!AF369</f>
        <v>0</v>
      </c>
      <c r="AG369" s="36"/>
      <c r="AH369" s="43">
        <f>'[1]поточний ремонт'!AH369+'[2]поточний ремонт'!AH369-'[3]поточний ремонт'!AH369</f>
        <v>1199.9207699340923</v>
      </c>
      <c r="AI369" s="43">
        <f>'[1]поточний ремонт'!AI369+'[2]поточний ремонт'!AI369-'[3]поточний ремонт'!AI369</f>
        <v>0</v>
      </c>
      <c r="AJ369" s="36"/>
      <c r="AK369" s="43">
        <f>'[1]поточний ремонт'!AK369+'[2]поточний ремонт'!AK369-'[3]поточний ремонт'!AK369</f>
        <v>906.91239594808542</v>
      </c>
      <c r="AL369" s="43">
        <f>'[1]поточний ремонт'!AL369+'[2]поточний ремонт'!AL369-'[3]поточний ремонт'!AL369</f>
        <v>907</v>
      </c>
      <c r="AM369" s="36"/>
      <c r="AN369" s="43">
        <f>'[1]поточний ремонт'!AN369+'[2]поточний ремонт'!AN369-'[3]поточний ремонт'!AN369</f>
        <v>0</v>
      </c>
      <c r="AO369" s="43">
        <f>'[1]поточний ремонт'!AO369+'[2]поточний ремонт'!AO369-'[3]поточний ремонт'!AO369</f>
        <v>0</v>
      </c>
      <c r="AP369" s="36"/>
      <c r="AQ369" s="43">
        <f>'[1]поточний ремонт'!AQ369+'[2]поточний ремонт'!AQ369-'[3]поточний ремонт'!AQ369</f>
        <v>0</v>
      </c>
      <c r="AR369" s="43">
        <f>'[1]поточний ремонт'!AR369+'[2]поточний ремонт'!AR369-'[3]поточний ремонт'!AR369</f>
        <v>0</v>
      </c>
      <c r="AS369" s="36"/>
      <c r="AT369" s="43">
        <f>'[1]поточний ремонт'!AT369+'[2]поточний ремонт'!AT369-'[3]поточний ремонт'!AT369</f>
        <v>360.33701886344977</v>
      </c>
      <c r="AU369" s="43">
        <f>'[1]поточний ремонт'!AU369+'[2]поточний ремонт'!AU369-'[3]поточний ремонт'!AU369</f>
        <v>220</v>
      </c>
      <c r="AV369" s="1057"/>
      <c r="AW369" s="43">
        <f>'[1]поточний ремонт'!AW369+'[2]поточний ремонт'!AW369-'[3]поточний ремонт'!AW369</f>
        <v>0</v>
      </c>
      <c r="AX369" s="43">
        <f>'[1]поточний ремонт'!AX369+'[2]поточний ремонт'!AX369-'[3]поточний ремонт'!AX369</f>
        <v>0</v>
      </c>
      <c r="AY369" s="36"/>
      <c r="AZ369" s="43">
        <f t="shared" si="42"/>
        <v>3359.1838851256252</v>
      </c>
      <c r="BA369" s="43">
        <f t="shared" si="43"/>
        <v>1127</v>
      </c>
      <c r="BB369" s="59">
        <f t="shared" si="44"/>
        <v>-2232.1838851256252</v>
      </c>
      <c r="BD369" s="2">
        <v>2</v>
      </c>
      <c r="BF369" s="30">
        <v>2.182953580541509</v>
      </c>
      <c r="BG369" s="328">
        <v>150000885</v>
      </c>
      <c r="BI369" s="107">
        <v>0</v>
      </c>
      <c r="BJ369" s="107">
        <f t="shared" si="45"/>
        <v>0</v>
      </c>
      <c r="BK369" s="107">
        <v>0</v>
      </c>
      <c r="BL369" s="39"/>
      <c r="BM369" s="3"/>
      <c r="BN369" s="3">
        <v>0</v>
      </c>
      <c r="BP369" s="3"/>
      <c r="BQ369" s="3"/>
      <c r="BS369" s="43"/>
      <c r="BT369" s="43">
        <v>0</v>
      </c>
      <c r="BU369" s="1064"/>
      <c r="BV369" s="42"/>
      <c r="BW369" s="43"/>
      <c r="BX369" s="38"/>
      <c r="BY369" s="78"/>
      <c r="BZ369" s="43">
        <v>0</v>
      </c>
      <c r="CA369" s="1065"/>
      <c r="CB369" s="42"/>
      <c r="CC369" s="42">
        <v>0</v>
      </c>
      <c r="CD369" s="1066"/>
      <c r="CE369" s="78">
        <v>0</v>
      </c>
      <c r="CF369" s="60"/>
      <c r="CG369" s="42">
        <v>0</v>
      </c>
      <c r="CH369" s="39">
        <v>0</v>
      </c>
      <c r="CI369" s="78">
        <v>0</v>
      </c>
      <c r="CJ369" s="60"/>
      <c r="CK369" s="1034"/>
      <c r="CL369" s="1029"/>
      <c r="CM369" s="1034"/>
      <c r="CN369" s="1029">
        <v>0</v>
      </c>
      <c r="CO369" s="78">
        <v>74.334475031666486</v>
      </c>
      <c r="CP369" s="43">
        <v>0</v>
      </c>
      <c r="CQ369" s="36"/>
      <c r="CR369" s="78">
        <v>99.99339749450769</v>
      </c>
      <c r="CS369" s="1033">
        <v>0</v>
      </c>
      <c r="CT369" s="36"/>
      <c r="CU369" s="78">
        <v>75.576032995673771</v>
      </c>
      <c r="CV369" s="43">
        <v>0</v>
      </c>
      <c r="CW369" s="36"/>
      <c r="CX369" s="78">
        <v>0</v>
      </c>
      <c r="CY369" s="43">
        <v>0</v>
      </c>
      <c r="CZ369" s="36"/>
      <c r="DA369" s="78">
        <v>0</v>
      </c>
      <c r="DB369" s="43">
        <v>0</v>
      </c>
      <c r="DC369" s="36"/>
      <c r="DD369" s="78">
        <v>30.028084905287486</v>
      </c>
      <c r="DE369" s="43">
        <v>0</v>
      </c>
      <c r="DF369" s="1057"/>
      <c r="DG369" s="78">
        <v>0</v>
      </c>
      <c r="DH369" s="43"/>
      <c r="DI369" s="36"/>
      <c r="DJ369" s="73">
        <v>279.93199042713542</v>
      </c>
      <c r="DK369" s="43">
        <f t="shared" si="46"/>
        <v>0</v>
      </c>
      <c r="DL369" s="59">
        <f t="shared" si="47"/>
        <v>-279.93199042713542</v>
      </c>
    </row>
    <row r="370" spans="1:116" s="32" customFormat="1" ht="24.9" customHeight="1" thickBot="1" x14ac:dyDescent="0.35">
      <c r="A370" s="1067"/>
      <c r="B370" s="1068" t="s">
        <v>824</v>
      </c>
      <c r="C370" s="1068"/>
      <c r="D370" s="1069"/>
      <c r="E370" s="130">
        <f>SUM(E11:E369)</f>
        <v>1005804.1400000005</v>
      </c>
      <c r="F370" s="1070">
        <f>SUM(F11:F369)</f>
        <v>15397327.843223775</v>
      </c>
      <c r="G370" s="1071">
        <f>SUM(G11:G369)</f>
        <v>13699562.151851602</v>
      </c>
      <c r="H370" s="1070">
        <f>SUM(H11:H369)</f>
        <v>-1697765.691372175</v>
      </c>
      <c r="I370" s="1072">
        <f t="shared" ref="I370:BA370" si="48">SUM(I11:I369)</f>
        <v>9070.590000000002</v>
      </c>
      <c r="J370" s="1092">
        <f t="shared" si="48"/>
        <v>3776517</v>
      </c>
      <c r="K370" s="1070">
        <f t="shared" si="48"/>
        <v>0</v>
      </c>
      <c r="L370" s="1072">
        <f t="shared" si="48"/>
        <v>29</v>
      </c>
      <c r="M370" s="1092">
        <f t="shared" si="48"/>
        <v>1722789</v>
      </c>
      <c r="N370" s="1070">
        <f t="shared" si="48"/>
        <v>0</v>
      </c>
      <c r="O370" s="1072">
        <f t="shared" si="48"/>
        <v>3006.7000000000003</v>
      </c>
      <c r="P370" s="1092">
        <f t="shared" si="48"/>
        <v>899689</v>
      </c>
      <c r="Q370" s="1070">
        <f t="shared" si="48"/>
        <v>0</v>
      </c>
      <c r="R370" s="1072">
        <f t="shared" si="48"/>
        <v>174</v>
      </c>
      <c r="S370" s="1092">
        <f t="shared" si="48"/>
        <v>2819202</v>
      </c>
      <c r="T370" s="1070">
        <f t="shared" si="48"/>
        <v>0</v>
      </c>
      <c r="U370" s="1092">
        <f t="shared" si="48"/>
        <v>255129</v>
      </c>
      <c r="V370" s="1070">
        <f t="shared" si="48"/>
        <v>0</v>
      </c>
      <c r="W370" s="1092">
        <f t="shared" si="48"/>
        <v>550.59999999999991</v>
      </c>
      <c r="X370" s="1092">
        <f t="shared" si="48"/>
        <v>304286.72185160505</v>
      </c>
      <c r="Y370" s="1092">
        <f t="shared" si="48"/>
        <v>1379349.4300000002</v>
      </c>
      <c r="Z370" s="1070">
        <f t="shared" si="48"/>
        <v>0</v>
      </c>
      <c r="AA370" s="1092">
        <f t="shared" si="48"/>
        <v>9640</v>
      </c>
      <c r="AB370" s="1092">
        <f t="shared" si="48"/>
        <v>389547</v>
      </c>
      <c r="AC370" s="1092">
        <f t="shared" si="48"/>
        <v>1415435</v>
      </c>
      <c r="AD370" s="1092">
        <f t="shared" si="48"/>
        <v>727978</v>
      </c>
      <c r="AE370" s="1092">
        <f t="shared" si="48"/>
        <v>384471.14196236705</v>
      </c>
      <c r="AF370" s="1092">
        <f t="shared" si="48"/>
        <v>427894.4034832904</v>
      </c>
      <c r="AG370" s="1074">
        <f>AF370-AE370</f>
        <v>43423.261520923348</v>
      </c>
      <c r="AH370" s="1092">
        <f t="shared" si="48"/>
        <v>557000.7958013704</v>
      </c>
      <c r="AI370" s="1092">
        <f t="shared" si="48"/>
        <v>503525.14504261717</v>
      </c>
      <c r="AJ370" s="1074">
        <f>AI370-AH370</f>
        <v>-53475.65075875324</v>
      </c>
      <c r="AK370" s="1092">
        <f t="shared" si="48"/>
        <v>485533.06740623887</v>
      </c>
      <c r="AL370" s="1092">
        <f t="shared" si="48"/>
        <v>314820.11983599188</v>
      </c>
      <c r="AM370" s="1074">
        <f>AL370-AK370</f>
        <v>-170712.94757024699</v>
      </c>
      <c r="AN370" s="1092">
        <f t="shared" si="48"/>
        <v>100804.79574391781</v>
      </c>
      <c r="AO370" s="1092">
        <f t="shared" si="48"/>
        <v>28104</v>
      </c>
      <c r="AP370" s="1074">
        <f>AO370-AN370</f>
        <v>-72700.795743917814</v>
      </c>
      <c r="AQ370" s="1092">
        <f t="shared" si="48"/>
        <v>87637.225335818235</v>
      </c>
      <c r="AR370" s="1092">
        <f t="shared" si="48"/>
        <v>89151.662528232002</v>
      </c>
      <c r="AS370" s="1074">
        <f>AR370-AQ370</f>
        <v>1514.4371924137668</v>
      </c>
      <c r="AT370" s="1092">
        <f t="shared" si="48"/>
        <v>257688.07043680636</v>
      </c>
      <c r="AU370" s="1092">
        <f t="shared" si="48"/>
        <v>739270.72443688789</v>
      </c>
      <c r="AV370" s="1074">
        <f>AU370-AT370</f>
        <v>481582.65400008153</v>
      </c>
      <c r="AW370" s="1092">
        <f t="shared" si="48"/>
        <v>46413.052885142621</v>
      </c>
      <c r="AX370" s="1092">
        <f t="shared" si="48"/>
        <v>102803</v>
      </c>
      <c r="AY370" s="1074">
        <f>AX370-AW370</f>
        <v>56389.947114857379</v>
      </c>
      <c r="AZ370" s="1092">
        <f t="shared" si="48"/>
        <v>1919548.1495716614</v>
      </c>
      <c r="BA370" s="1092">
        <f t="shared" si="48"/>
        <v>2205569.0553270197</v>
      </c>
      <c r="BB370" s="160">
        <f t="shared" si="44"/>
        <v>286020.90575535828</v>
      </c>
      <c r="BD370" s="1075"/>
      <c r="BF370" s="1076">
        <f>SUM(BF11:BF369)</f>
        <v>42879.036660000005</v>
      </c>
      <c r="BG370" s="132"/>
      <c r="BH370" s="129"/>
      <c r="BI370" s="1076">
        <f t="shared" ref="BI370:BK370" si="49">SUM(BI11:BI369)</f>
        <v>4578.8</v>
      </c>
      <c r="BJ370" s="1076">
        <f t="shared" si="49"/>
        <v>644.06408135999982</v>
      </c>
      <c r="BK370" s="1076">
        <f t="shared" si="49"/>
        <v>5280.6650027247979</v>
      </c>
      <c r="BM370" s="1076">
        <f t="shared" ref="BM370" si="50">SUM(BM11:BM369)</f>
        <v>48</v>
      </c>
      <c r="BN370" s="1076">
        <f t="shared" ref="BN370" si="51">SUM(BN11:BN369)</f>
        <v>9541.423689709145</v>
      </c>
      <c r="BP370" s="1076">
        <f t="shared" ref="BP370" si="52">SUM(BP11:BP369)</f>
        <v>16</v>
      </c>
      <c r="BQ370" s="1076">
        <f t="shared" ref="BQ370" si="53">SUM(BQ11:BQ369)</f>
        <v>15575</v>
      </c>
      <c r="BS370" s="1070">
        <f t="shared" ref="BS370:CN370" si="54">SUM(BS11:BS369)</f>
        <v>125.1</v>
      </c>
      <c r="BT370" s="1070">
        <f t="shared" si="54"/>
        <v>61543.122518815471</v>
      </c>
      <c r="BU370" s="1070">
        <f t="shared" si="54"/>
        <v>0</v>
      </c>
      <c r="BV370" s="1070">
        <f t="shared" si="54"/>
        <v>2</v>
      </c>
      <c r="BW370" s="1070">
        <f t="shared" si="54"/>
        <v>111759</v>
      </c>
      <c r="BX370" s="1070">
        <f t="shared" si="54"/>
        <v>0</v>
      </c>
      <c r="BY370" s="1070">
        <f t="shared" si="54"/>
        <v>192.5</v>
      </c>
      <c r="BZ370" s="1070">
        <f t="shared" si="54"/>
        <v>57237.875138324322</v>
      </c>
      <c r="CA370" s="1070">
        <f t="shared" si="54"/>
        <v>0</v>
      </c>
      <c r="CB370" s="1070">
        <f t="shared" si="54"/>
        <v>27.6</v>
      </c>
      <c r="CC370" s="1070">
        <f t="shared" si="54"/>
        <v>663330.13433102774</v>
      </c>
      <c r="CD370" s="1070">
        <f t="shared" si="54"/>
        <v>0</v>
      </c>
      <c r="CE370" s="1070">
        <f t="shared" si="54"/>
        <v>34154.806170276453</v>
      </c>
      <c r="CF370" s="1070">
        <f t="shared" si="54"/>
        <v>0</v>
      </c>
      <c r="CG370" s="1070">
        <f t="shared" si="54"/>
        <v>64</v>
      </c>
      <c r="CH370" s="1070">
        <f t="shared" si="54"/>
        <v>30397.088692433939</v>
      </c>
      <c r="CI370" s="1070">
        <f t="shared" si="54"/>
        <v>52433.381730017391</v>
      </c>
      <c r="CJ370" s="1070">
        <f t="shared" si="54"/>
        <v>0</v>
      </c>
      <c r="CK370" s="1070">
        <f t="shared" si="54"/>
        <v>3806</v>
      </c>
      <c r="CL370" s="1070">
        <f t="shared" si="54"/>
        <v>7555</v>
      </c>
      <c r="CM370" s="1070">
        <f t="shared" si="54"/>
        <v>227163</v>
      </c>
      <c r="CN370" s="1070">
        <f t="shared" si="54"/>
        <v>175128.79333207023</v>
      </c>
      <c r="CO370" s="1072">
        <v>32039.261830197269</v>
      </c>
      <c r="CP370" s="1073">
        <v>21907.807658961909</v>
      </c>
      <c r="CQ370" s="1074">
        <f>CP370-CO370</f>
        <v>-10131.45417123536</v>
      </c>
      <c r="CR370" s="1074">
        <v>46416.732983447553</v>
      </c>
      <c r="CS370" s="1073">
        <v>25770.353658671174</v>
      </c>
      <c r="CT370" s="1074">
        <f>CS370-CR370</f>
        <v>-20646.379324776379</v>
      </c>
      <c r="CU370" s="1074">
        <v>40461.088950519916</v>
      </c>
      <c r="CV370" s="1073">
        <v>8226.6232573224061</v>
      </c>
      <c r="CW370" s="1074">
        <f>CV370-CU370</f>
        <v>-32234.465693197511</v>
      </c>
      <c r="CX370" s="1074">
        <v>8400.399645326479</v>
      </c>
      <c r="CY370" s="1073">
        <v>4326.6329976648394</v>
      </c>
      <c r="CZ370" s="1074">
        <f>CY370-CX370</f>
        <v>-4073.7666476616396</v>
      </c>
      <c r="DA370" s="1074">
        <v>7303.1021113181832</v>
      </c>
      <c r="DB370" s="1073">
        <v>7478.5377622899214</v>
      </c>
      <c r="DC370" s="1074">
        <f>DB370-DA370</f>
        <v>175.43565097173814</v>
      </c>
      <c r="DD370" s="1074">
        <v>21474.005869733872</v>
      </c>
      <c r="DE370" s="1073">
        <v>41233.011943984624</v>
      </c>
      <c r="DF370" s="1074">
        <f>DE370-DD370</f>
        <v>19759.006074250752</v>
      </c>
      <c r="DG370" s="1074">
        <v>3867.754407095219</v>
      </c>
      <c r="DH370" s="1073">
        <v>0</v>
      </c>
      <c r="DI370" s="1074">
        <f>DH370-DG370</f>
        <v>-3867.754407095219</v>
      </c>
      <c r="DJ370" s="1074">
        <v>159962.3457976385</v>
      </c>
      <c r="DK370" s="1073">
        <f>SUM(DK11:DK369)</f>
        <v>108942.9672788949</v>
      </c>
      <c r="DL370" s="160">
        <f t="shared" si="47"/>
        <v>-51019.378518743601</v>
      </c>
    </row>
    <row r="371" spans="1:116" x14ac:dyDescent="0.3">
      <c r="BF371" s="1077"/>
      <c r="BH371" s="104"/>
      <c r="BI371" s="1077"/>
    </row>
    <row r="372" spans="1:116" x14ac:dyDescent="0.3">
      <c r="F372" s="8">
        <f>'побудинковий звіт'!AS368</f>
        <v>15397327.843223775</v>
      </c>
      <c r="G372" s="8">
        <f>'побудинковий звіт'!AT368</f>
        <v>13699562.151851606</v>
      </c>
      <c r="AZ372" s="8">
        <f>'зведена таблиця'!C23</f>
        <v>1919548.1495716616</v>
      </c>
      <c r="BA372" s="8">
        <f>'зведена таблиця'!D23</f>
        <v>2205569.0553270192</v>
      </c>
      <c r="BF372" s="1077"/>
      <c r="BH372" s="104"/>
      <c r="BI372" s="1077"/>
      <c r="DJ372" s="8">
        <f>'зведена таблиця'!BM23</f>
        <v>0</v>
      </c>
      <c r="DK372" s="8">
        <f>'зведена таблиця'!BN23</f>
        <v>0</v>
      </c>
    </row>
    <row r="373" spans="1:116" x14ac:dyDescent="0.3">
      <c r="BF373" s="1077"/>
      <c r="BH373" s="104"/>
      <c r="BI373" s="1077"/>
    </row>
    <row r="374" spans="1:116" x14ac:dyDescent="0.3">
      <c r="BF374" s="1077"/>
      <c r="BI374" s="1077"/>
    </row>
    <row r="375" spans="1:116" ht="15.6" x14ac:dyDescent="0.3">
      <c r="A375" s="3"/>
      <c r="B375" s="1078" t="s">
        <v>1014</v>
      </c>
      <c r="C375" s="902"/>
      <c r="D375" s="1079"/>
      <c r="E375" s="3"/>
      <c r="F375" s="5">
        <f t="shared" ref="F375:H375" si="55">SUMIF($BD$11:$BD$369,1,F11:F369)</f>
        <v>5445466.7344822288</v>
      </c>
      <c r="G375" s="5">
        <f t="shared" si="55"/>
        <v>4825702.5296343174</v>
      </c>
      <c r="H375" s="5">
        <f t="shared" si="55"/>
        <v>-619764.2048479123</v>
      </c>
      <c r="I375" s="5">
        <v>10</v>
      </c>
      <c r="J375" s="5">
        <v>9768.4299407834915</v>
      </c>
      <c r="K375" s="5">
        <v>0</v>
      </c>
      <c r="L375" s="5">
        <v>0</v>
      </c>
      <c r="M375" s="5">
        <v>2131.6402572925035</v>
      </c>
      <c r="N375" s="5">
        <v>0</v>
      </c>
      <c r="O375" s="5">
        <v>0</v>
      </c>
      <c r="P375" s="5">
        <v>0</v>
      </c>
      <c r="Q375" s="5">
        <v>0</v>
      </c>
      <c r="R375" s="5">
        <v>16.600000000000001</v>
      </c>
      <c r="S375" s="5">
        <v>57492.771810513754</v>
      </c>
      <c r="T375" s="5">
        <v>0</v>
      </c>
      <c r="U375" s="5">
        <v>107926.79269550109</v>
      </c>
      <c r="V375" s="5">
        <v>0</v>
      </c>
      <c r="W375" s="5">
        <v>8</v>
      </c>
      <c r="X375" s="5">
        <v>2055.846927351316</v>
      </c>
      <c r="Y375" s="5">
        <v>1494.802000760156</v>
      </c>
      <c r="Z375" s="5">
        <v>0</v>
      </c>
      <c r="AA375" s="5">
        <v>0</v>
      </c>
      <c r="AB375" s="5">
        <v>882.31909678058253</v>
      </c>
      <c r="AC375" s="5">
        <v>23480.70004652701</v>
      </c>
      <c r="AD375" s="5">
        <v>23273.651541788884</v>
      </c>
      <c r="AE375" s="5">
        <v>7041.9927283082143</v>
      </c>
      <c r="AF375" s="5">
        <v>20782.289342548262</v>
      </c>
      <c r="AG375" s="5">
        <v>0</v>
      </c>
      <c r="AH375" s="5">
        <v>9715.7983126175877</v>
      </c>
      <c r="AI375" s="5">
        <v>21255.100568403337</v>
      </c>
      <c r="AJ375" s="5">
        <v>0</v>
      </c>
      <c r="AK375" s="5">
        <v>8761.3039636744652</v>
      </c>
      <c r="AL375" s="5">
        <v>0</v>
      </c>
      <c r="AM375" s="5">
        <v>0</v>
      </c>
      <c r="AN375" s="5">
        <v>3664.2166162954254</v>
      </c>
      <c r="AO375" s="5">
        <v>6436.4995056287444</v>
      </c>
      <c r="AP375" s="5">
        <v>0</v>
      </c>
      <c r="AQ375" s="5">
        <v>3067.856488390787</v>
      </c>
      <c r="AR375" s="5">
        <v>6297.1841035526222</v>
      </c>
      <c r="AS375" s="5">
        <v>0</v>
      </c>
      <c r="AT375" s="5">
        <v>5501.415775008647</v>
      </c>
      <c r="AU375" s="5">
        <v>28246.802146677728</v>
      </c>
      <c r="AV375" s="5">
        <v>0</v>
      </c>
      <c r="AW375" s="5">
        <v>3695.1315502616694</v>
      </c>
      <c r="AX375" s="5">
        <v>0</v>
      </c>
      <c r="AY375" s="5">
        <v>0</v>
      </c>
      <c r="AZ375" s="5">
        <v>41447.715434556791</v>
      </c>
      <c r="BA375" s="5">
        <v>83017.875666810694</v>
      </c>
      <c r="BB375" s="5">
        <v>41570.160232253933</v>
      </c>
      <c r="BF375" s="5">
        <v>3328.4251000000004</v>
      </c>
      <c r="BI375" s="1077"/>
      <c r="BS375" s="5">
        <v>10</v>
      </c>
      <c r="BT375" s="5">
        <v>9768.4299407834915</v>
      </c>
      <c r="BU375" s="5">
        <v>0</v>
      </c>
      <c r="BV375" s="5">
        <v>0</v>
      </c>
      <c r="BW375" s="5">
        <v>2131.6402572925035</v>
      </c>
      <c r="BX375" s="5">
        <v>0</v>
      </c>
      <c r="BY375" s="5">
        <v>0</v>
      </c>
      <c r="BZ375" s="5">
        <v>0</v>
      </c>
      <c r="CA375" s="5">
        <v>0</v>
      </c>
      <c r="CB375" s="5">
        <v>16.600000000000001</v>
      </c>
      <c r="CC375" s="5">
        <v>57492.771810513754</v>
      </c>
      <c r="CD375" s="5">
        <v>0</v>
      </c>
      <c r="CE375" s="5">
        <v>107926.79269550109</v>
      </c>
      <c r="CF375" s="5">
        <v>0</v>
      </c>
      <c r="CG375" s="5">
        <v>8</v>
      </c>
      <c r="CH375" s="5">
        <v>2055.846927351316</v>
      </c>
      <c r="CI375" s="5">
        <v>1494.802000760156</v>
      </c>
      <c r="CJ375" s="5">
        <v>0</v>
      </c>
      <c r="CK375" s="5">
        <v>0</v>
      </c>
      <c r="CL375" s="5">
        <v>882.31909678058253</v>
      </c>
      <c r="CM375" s="5">
        <v>23480.70004652701</v>
      </c>
      <c r="CN375" s="5">
        <v>23273.651541788884</v>
      </c>
      <c r="CO375" s="5">
        <v>7041.9927283082143</v>
      </c>
      <c r="CP375" s="5">
        <v>20782.289342548262</v>
      </c>
      <c r="CQ375" s="5">
        <v>0</v>
      </c>
      <c r="CR375" s="5">
        <v>9715.7983126175877</v>
      </c>
      <c r="CS375" s="5">
        <v>21255.100568403337</v>
      </c>
      <c r="CT375" s="5">
        <v>0</v>
      </c>
      <c r="CU375" s="5">
        <v>8761.3039636744652</v>
      </c>
      <c r="CV375" s="5">
        <v>0</v>
      </c>
      <c r="CW375" s="5">
        <v>0</v>
      </c>
      <c r="CX375" s="5">
        <v>3664.2166162954254</v>
      </c>
      <c r="CY375" s="5">
        <v>6436.4995056287444</v>
      </c>
      <c r="CZ375" s="5">
        <v>0</v>
      </c>
      <c r="DA375" s="5">
        <v>3067.856488390787</v>
      </c>
      <c r="DB375" s="5">
        <v>6297.1841035526222</v>
      </c>
      <c r="DC375" s="5">
        <v>0</v>
      </c>
      <c r="DD375" s="5">
        <v>5501.415775008647</v>
      </c>
      <c r="DE375" s="5">
        <v>28246.802146677728</v>
      </c>
      <c r="DF375" s="5">
        <v>0</v>
      </c>
      <c r="DG375" s="5">
        <v>3695.1315502616694</v>
      </c>
      <c r="DH375" s="5">
        <v>0</v>
      </c>
      <c r="DI375" s="5">
        <v>0</v>
      </c>
      <c r="DJ375" s="5">
        <v>41447.715434556791</v>
      </c>
      <c r="DK375" s="5">
        <v>83017.875666810694</v>
      </c>
      <c r="DL375" s="5">
        <v>41570.160232253933</v>
      </c>
    </row>
    <row r="376" spans="1:116" ht="15.6" x14ac:dyDescent="0.3">
      <c r="A376" s="3"/>
      <c r="B376" s="1078" t="s">
        <v>1015</v>
      </c>
      <c r="C376" s="902"/>
      <c r="D376" s="1079"/>
      <c r="E376" s="3"/>
      <c r="F376" s="5">
        <f t="shared" ref="F376:H376" si="56">SUMIF($BD$11:$BD$369,2,F11:F369)</f>
        <v>4588010.2695169058</v>
      </c>
      <c r="G376" s="5">
        <f t="shared" si="56"/>
        <v>2880186.7160814665</v>
      </c>
      <c r="H376" s="5">
        <f t="shared" si="56"/>
        <v>-1707823.5534354416</v>
      </c>
      <c r="I376" s="5">
        <v>58</v>
      </c>
      <c r="J376" s="5">
        <v>15019.69373116245</v>
      </c>
      <c r="K376" s="5">
        <v>0</v>
      </c>
      <c r="L376" s="5">
        <v>2</v>
      </c>
      <c r="M376" s="5">
        <v>182437.13113508449</v>
      </c>
      <c r="N376" s="5">
        <v>0</v>
      </c>
      <c r="O376" s="5">
        <v>0</v>
      </c>
      <c r="P376" s="5">
        <v>0</v>
      </c>
      <c r="Q376" s="5">
        <v>0</v>
      </c>
      <c r="R376" s="5">
        <v>4</v>
      </c>
      <c r="S376" s="5">
        <v>22173.257239623363</v>
      </c>
      <c r="T376" s="5">
        <v>0</v>
      </c>
      <c r="U376" s="5">
        <v>10513.001917892645</v>
      </c>
      <c r="V376" s="5">
        <v>0</v>
      </c>
      <c r="W376" s="5">
        <v>0</v>
      </c>
      <c r="X376" s="5">
        <v>2529.4325392190394</v>
      </c>
      <c r="Y376" s="5">
        <v>12571.905130909574</v>
      </c>
      <c r="Z376" s="5">
        <v>0</v>
      </c>
      <c r="AA376" s="5">
        <v>0</v>
      </c>
      <c r="AB376" s="5">
        <v>0</v>
      </c>
      <c r="AC376" s="5">
        <v>30895.161924474629</v>
      </c>
      <c r="AD376" s="5">
        <v>4937.1161217106937</v>
      </c>
      <c r="AE376" s="5">
        <v>14520.232224370169</v>
      </c>
      <c r="AF376" s="5">
        <v>9320.4804278056199</v>
      </c>
      <c r="AG376" s="5">
        <v>0</v>
      </c>
      <c r="AH376" s="5">
        <v>21373.822766595593</v>
      </c>
      <c r="AI376" s="5">
        <v>2346.0783749639054</v>
      </c>
      <c r="AJ376" s="5">
        <v>0</v>
      </c>
      <c r="AK376" s="5">
        <v>17800.174423681892</v>
      </c>
      <c r="AL376" s="5">
        <v>10514.471725121035</v>
      </c>
      <c r="AM376" s="5">
        <v>0</v>
      </c>
      <c r="AN376" s="5">
        <v>1830.5727138980405</v>
      </c>
      <c r="AO376" s="5">
        <v>0</v>
      </c>
      <c r="AP376" s="5">
        <v>0</v>
      </c>
      <c r="AQ376" s="5">
        <v>785.826986666165</v>
      </c>
      <c r="AR376" s="5">
        <v>4371.7920238567485</v>
      </c>
      <c r="AS376" s="5">
        <v>0</v>
      </c>
      <c r="AT376" s="5">
        <v>8305.1009131944611</v>
      </c>
      <c r="AU376" s="5">
        <v>6562.8569246103325</v>
      </c>
      <c r="AV376" s="5">
        <v>0</v>
      </c>
      <c r="AW376" s="5">
        <v>163.56295022633421</v>
      </c>
      <c r="AX376" s="5">
        <v>0</v>
      </c>
      <c r="AY376" s="5">
        <v>0</v>
      </c>
      <c r="AZ376" s="5">
        <v>64779.292978632671</v>
      </c>
      <c r="BA376" s="5">
        <v>33115.679476357647</v>
      </c>
      <c r="BB376" s="5">
        <v>-31663.613502275031</v>
      </c>
      <c r="BF376" s="5">
        <v>3563.0544000000004</v>
      </c>
      <c r="BI376" s="1077"/>
      <c r="BS376" s="5">
        <v>58</v>
      </c>
      <c r="BT376" s="5">
        <v>15019.69373116245</v>
      </c>
      <c r="BU376" s="5">
        <v>0</v>
      </c>
      <c r="BV376" s="5">
        <v>2</v>
      </c>
      <c r="BW376" s="5">
        <v>182437.13113508449</v>
      </c>
      <c r="BX376" s="5">
        <v>0</v>
      </c>
      <c r="BY376" s="5">
        <v>0</v>
      </c>
      <c r="BZ376" s="5">
        <v>0</v>
      </c>
      <c r="CA376" s="5">
        <v>0</v>
      </c>
      <c r="CB376" s="5">
        <v>4</v>
      </c>
      <c r="CC376" s="5">
        <v>22173.257239623363</v>
      </c>
      <c r="CD376" s="5">
        <v>0</v>
      </c>
      <c r="CE376" s="5">
        <v>10513.001917892645</v>
      </c>
      <c r="CF376" s="5">
        <v>0</v>
      </c>
      <c r="CG376" s="5">
        <v>0</v>
      </c>
      <c r="CH376" s="5">
        <v>2529.4325392190394</v>
      </c>
      <c r="CI376" s="5">
        <v>12571.905130909574</v>
      </c>
      <c r="CJ376" s="5">
        <v>0</v>
      </c>
      <c r="CK376" s="5">
        <v>0</v>
      </c>
      <c r="CL376" s="5">
        <v>0</v>
      </c>
      <c r="CM376" s="5">
        <v>30895.161924474629</v>
      </c>
      <c r="CN376" s="5">
        <v>4937.1161217106937</v>
      </c>
      <c r="CO376" s="5">
        <v>14520.232224370169</v>
      </c>
      <c r="CP376" s="5">
        <v>9320.4804278056199</v>
      </c>
      <c r="CQ376" s="5">
        <v>0</v>
      </c>
      <c r="CR376" s="5">
        <v>21373.822766595593</v>
      </c>
      <c r="CS376" s="5">
        <v>2346.0783749639054</v>
      </c>
      <c r="CT376" s="5">
        <v>0</v>
      </c>
      <c r="CU376" s="5">
        <v>17800.174423681892</v>
      </c>
      <c r="CV376" s="5">
        <v>10514.471725121035</v>
      </c>
      <c r="CW376" s="5">
        <v>0</v>
      </c>
      <c r="CX376" s="5">
        <v>1830.5727138980405</v>
      </c>
      <c r="CY376" s="5">
        <v>0</v>
      </c>
      <c r="CZ376" s="5">
        <v>0</v>
      </c>
      <c r="DA376" s="5">
        <v>785.826986666165</v>
      </c>
      <c r="DB376" s="5">
        <v>4371.7920238567485</v>
      </c>
      <c r="DC376" s="5">
        <v>0</v>
      </c>
      <c r="DD376" s="5">
        <v>8305.1009131944611</v>
      </c>
      <c r="DE376" s="5">
        <v>6562.8569246103325</v>
      </c>
      <c r="DF376" s="5">
        <v>0</v>
      </c>
      <c r="DG376" s="5">
        <v>163.56295022633421</v>
      </c>
      <c r="DH376" s="5">
        <v>0</v>
      </c>
      <c r="DI376" s="5">
        <v>0</v>
      </c>
      <c r="DJ376" s="5">
        <v>64779.292978632671</v>
      </c>
      <c r="DK376" s="5">
        <v>33115.679476357647</v>
      </c>
      <c r="DL376" s="5">
        <v>-31663.613502275031</v>
      </c>
    </row>
    <row r="377" spans="1:116" ht="15.6" x14ac:dyDescent="0.3">
      <c r="A377" s="3"/>
      <c r="B377" s="1078" t="s">
        <v>1016</v>
      </c>
      <c r="C377" s="902"/>
      <c r="D377" s="1079"/>
      <c r="E377" s="3"/>
      <c r="F377" s="5">
        <f t="shared" ref="F377:H377" si="57">SUMIF($BD$11:$BD$369,3,F11:F369)</f>
        <v>5363850.8392246412</v>
      </c>
      <c r="G377" s="5">
        <f t="shared" si="57"/>
        <v>5993672.9061358217</v>
      </c>
      <c r="H377" s="5">
        <f t="shared" si="57"/>
        <v>629822.06691117887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9</v>
      </c>
      <c r="S377" s="5">
        <v>98279.636407737722</v>
      </c>
      <c r="T377" s="5">
        <v>0</v>
      </c>
      <c r="U377" s="5">
        <v>0</v>
      </c>
      <c r="V377" s="5">
        <v>0</v>
      </c>
      <c r="W377" s="5">
        <v>33</v>
      </c>
      <c r="X377" s="5">
        <v>4364.1952702443805</v>
      </c>
      <c r="Y377" s="5">
        <v>668.84329184528985</v>
      </c>
      <c r="Z377" s="5">
        <v>0</v>
      </c>
      <c r="AA377" s="5">
        <v>0</v>
      </c>
      <c r="AB377" s="5">
        <v>0</v>
      </c>
      <c r="AC377" s="5">
        <v>27682.925763979809</v>
      </c>
      <c r="AD377" s="5">
        <v>2765.4060226007841</v>
      </c>
      <c r="AE377" s="5">
        <v>10477.036877518882</v>
      </c>
      <c r="AF377" s="5">
        <v>5972.9466889913447</v>
      </c>
      <c r="AG377" s="5">
        <v>0</v>
      </c>
      <c r="AH377" s="5">
        <v>15327.111904234365</v>
      </c>
      <c r="AI377" s="5">
        <v>9459.4756688627604</v>
      </c>
      <c r="AJ377" s="5">
        <v>0</v>
      </c>
      <c r="AK377" s="5">
        <v>13899.61056316356</v>
      </c>
      <c r="AL377" s="5">
        <v>9268.1902440054364</v>
      </c>
      <c r="AM377" s="5">
        <v>0</v>
      </c>
      <c r="AN377" s="5">
        <v>2905.6103151330153</v>
      </c>
      <c r="AO377" s="5">
        <v>0</v>
      </c>
      <c r="AP377" s="5">
        <v>0</v>
      </c>
      <c r="AQ377" s="5">
        <v>3449.4186362612377</v>
      </c>
      <c r="AR377" s="5">
        <v>10338.897528921592</v>
      </c>
      <c r="AS377" s="5">
        <v>0</v>
      </c>
      <c r="AT377" s="5">
        <v>7667.4891815307601</v>
      </c>
      <c r="AU377" s="5">
        <v>23494.286539967245</v>
      </c>
      <c r="AV377" s="5">
        <v>0</v>
      </c>
      <c r="AW377" s="5">
        <v>9.0599066072151508</v>
      </c>
      <c r="AX377" s="5">
        <v>0</v>
      </c>
      <c r="AY377" s="5">
        <v>0</v>
      </c>
      <c r="AZ377" s="5">
        <v>53735.337384449012</v>
      </c>
      <c r="BA377" s="5">
        <v>58533.796670748379</v>
      </c>
      <c r="BB377" s="5">
        <v>4798.459286299345</v>
      </c>
      <c r="BF377" s="5">
        <v>3139.7828000000009</v>
      </c>
      <c r="BI377" s="1077"/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9</v>
      </c>
      <c r="CC377" s="5">
        <v>98279.636407737722</v>
      </c>
      <c r="CD377" s="5">
        <v>0</v>
      </c>
      <c r="CE377" s="5">
        <v>0</v>
      </c>
      <c r="CF377" s="5">
        <v>0</v>
      </c>
      <c r="CG377" s="5">
        <v>33</v>
      </c>
      <c r="CH377" s="5">
        <v>4364.1952702443805</v>
      </c>
      <c r="CI377" s="5">
        <v>668.84329184528985</v>
      </c>
      <c r="CJ377" s="5">
        <v>0</v>
      </c>
      <c r="CK377" s="5">
        <v>0</v>
      </c>
      <c r="CL377" s="5">
        <v>0</v>
      </c>
      <c r="CM377" s="5">
        <v>27682.925763979809</v>
      </c>
      <c r="CN377" s="5">
        <v>2765.4060226007841</v>
      </c>
      <c r="CO377" s="5">
        <v>10477.036877518882</v>
      </c>
      <c r="CP377" s="5">
        <v>5972.9466889913447</v>
      </c>
      <c r="CQ377" s="5">
        <v>0</v>
      </c>
      <c r="CR377" s="5">
        <v>15327.111904234365</v>
      </c>
      <c r="CS377" s="5">
        <v>9459.4756688627604</v>
      </c>
      <c r="CT377" s="5">
        <v>0</v>
      </c>
      <c r="CU377" s="5">
        <v>13899.61056316356</v>
      </c>
      <c r="CV377" s="5">
        <v>9268.1902440054364</v>
      </c>
      <c r="CW377" s="5">
        <v>0</v>
      </c>
      <c r="CX377" s="5">
        <v>2905.6103151330153</v>
      </c>
      <c r="CY377" s="5">
        <v>0</v>
      </c>
      <c r="CZ377" s="5">
        <v>0</v>
      </c>
      <c r="DA377" s="5">
        <v>3449.4186362612377</v>
      </c>
      <c r="DB377" s="5">
        <v>10338.897528921592</v>
      </c>
      <c r="DC377" s="5">
        <v>0</v>
      </c>
      <c r="DD377" s="5">
        <v>7667.4891815307601</v>
      </c>
      <c r="DE377" s="5">
        <v>23494.286539967245</v>
      </c>
      <c r="DF377" s="5">
        <v>0</v>
      </c>
      <c r="DG377" s="5">
        <v>9.0599066072151508</v>
      </c>
      <c r="DH377" s="5">
        <v>0</v>
      </c>
      <c r="DI377" s="5">
        <v>0</v>
      </c>
      <c r="DJ377" s="5">
        <v>53735.337384449012</v>
      </c>
      <c r="DK377" s="5">
        <v>58533.796670748379</v>
      </c>
      <c r="DL377" s="5">
        <v>4798.459286299345</v>
      </c>
    </row>
    <row r="378" spans="1:116" ht="15.6" x14ac:dyDescent="0.3">
      <c r="B378" s="1080"/>
      <c r="C378" s="10"/>
      <c r="D378" s="154"/>
      <c r="F378" s="9">
        <f>F375+F376+F377</f>
        <v>15397327.843223777</v>
      </c>
      <c r="G378" s="9">
        <f t="shared" ref="G378:H378" si="58">G375+G376+G377</f>
        <v>13699562.151851606</v>
      </c>
      <c r="H378" s="9">
        <f t="shared" si="58"/>
        <v>-1697765.691372175</v>
      </c>
      <c r="I378" s="9">
        <v>68</v>
      </c>
      <c r="J378" s="9">
        <v>24788.123671945941</v>
      </c>
      <c r="K378" s="9"/>
      <c r="L378" s="9">
        <v>2</v>
      </c>
      <c r="M378" s="9">
        <v>184568.77139237701</v>
      </c>
      <c r="N378" s="9"/>
      <c r="O378" s="9">
        <v>0</v>
      </c>
      <c r="P378" s="9">
        <v>0</v>
      </c>
      <c r="Q378" s="9"/>
      <c r="R378" s="9">
        <v>29.6</v>
      </c>
      <c r="S378" s="9">
        <v>177945.66545787483</v>
      </c>
      <c r="T378" s="9"/>
      <c r="U378" s="9">
        <v>118439.79461339374</v>
      </c>
      <c r="V378" s="9">
        <v>0</v>
      </c>
      <c r="W378" s="9">
        <v>41</v>
      </c>
      <c r="X378" s="9">
        <v>8949.4747368147364</v>
      </c>
      <c r="Y378" s="9">
        <v>14735.550423515018</v>
      </c>
      <c r="Z378" s="9"/>
      <c r="AA378" s="9">
        <v>0</v>
      </c>
      <c r="AB378" s="9">
        <v>882.31909678058253</v>
      </c>
      <c r="AC378" s="9">
        <v>82058.787734981452</v>
      </c>
      <c r="AD378" s="9">
        <v>30976.173686100359</v>
      </c>
      <c r="AE378" s="9">
        <v>32039.261830197269</v>
      </c>
      <c r="AF378" s="9">
        <v>36075.716459345225</v>
      </c>
      <c r="AG378" s="9"/>
      <c r="AH378" s="9">
        <v>46416.732983447546</v>
      </c>
      <c r="AI378" s="9">
        <v>33060.654612230006</v>
      </c>
      <c r="AJ378" s="9"/>
      <c r="AK378" s="9">
        <v>40461.088950519916</v>
      </c>
      <c r="AL378" s="9">
        <v>19782.661969126471</v>
      </c>
      <c r="AM378" s="9"/>
      <c r="AN378" s="9">
        <v>8400.3996453264808</v>
      </c>
      <c r="AO378" s="9">
        <v>6436.4995056287444</v>
      </c>
      <c r="AP378" s="9"/>
      <c r="AQ378" s="9">
        <v>7303.1021113181896</v>
      </c>
      <c r="AR378" s="9">
        <v>21007.873656330965</v>
      </c>
      <c r="AS378" s="9"/>
      <c r="AT378" s="9">
        <v>21474.005869733868</v>
      </c>
      <c r="AU378" s="9">
        <v>58303.945611255302</v>
      </c>
      <c r="AV378" s="9"/>
      <c r="AW378" s="9">
        <v>3867.7544070952185</v>
      </c>
      <c r="AX378" s="9">
        <v>0</v>
      </c>
      <c r="AY378" s="9"/>
      <c r="AZ378" s="9">
        <v>159962.34579763847</v>
      </c>
      <c r="BA378" s="9">
        <v>174667.35181391673</v>
      </c>
      <c r="BB378" s="9">
        <v>14705.006016278247</v>
      </c>
      <c r="BD378" s="1"/>
      <c r="BF378" s="9">
        <v>10031.262300000002</v>
      </c>
      <c r="BI378" s="1077"/>
      <c r="BS378" s="9">
        <v>68</v>
      </c>
      <c r="BT378" s="9">
        <v>24788.123671945941</v>
      </c>
      <c r="BU378" s="9"/>
      <c r="BV378" s="9">
        <v>2</v>
      </c>
      <c r="BW378" s="9">
        <v>184568.77139237701</v>
      </c>
      <c r="BX378" s="9"/>
      <c r="BY378" s="9">
        <v>0</v>
      </c>
      <c r="BZ378" s="9">
        <v>0</v>
      </c>
      <c r="CA378" s="9"/>
      <c r="CB378" s="9">
        <v>29.6</v>
      </c>
      <c r="CC378" s="9">
        <v>177945.66545787483</v>
      </c>
      <c r="CD378" s="9"/>
      <c r="CE378" s="9">
        <v>118439.79461339374</v>
      </c>
      <c r="CF378" s="9">
        <v>0</v>
      </c>
      <c r="CG378" s="9">
        <v>41</v>
      </c>
      <c r="CH378" s="9">
        <v>8949.4747368147364</v>
      </c>
      <c r="CI378" s="9">
        <v>14735.550423515018</v>
      </c>
      <c r="CJ378" s="9"/>
      <c r="CK378" s="9">
        <v>0</v>
      </c>
      <c r="CL378" s="9">
        <v>882.31909678058253</v>
      </c>
      <c r="CM378" s="9">
        <v>82058.787734981452</v>
      </c>
      <c r="CN378" s="9">
        <v>30976.173686100359</v>
      </c>
      <c r="CO378" s="9">
        <v>32039.261830197269</v>
      </c>
      <c r="CP378" s="9">
        <v>36075.716459345225</v>
      </c>
      <c r="CQ378" s="9"/>
      <c r="CR378" s="9">
        <v>46416.732983447546</v>
      </c>
      <c r="CS378" s="9">
        <v>33060.654612230006</v>
      </c>
      <c r="CT378" s="9"/>
      <c r="CU378" s="9">
        <v>40461.088950519916</v>
      </c>
      <c r="CV378" s="9">
        <v>19782.661969126471</v>
      </c>
      <c r="CW378" s="9"/>
      <c r="CX378" s="9">
        <v>8400.3996453264808</v>
      </c>
      <c r="CY378" s="9">
        <v>6436.4995056287444</v>
      </c>
      <c r="CZ378" s="9"/>
      <c r="DA378" s="9">
        <v>7303.1021113181896</v>
      </c>
      <c r="DB378" s="9">
        <v>21007.873656330965</v>
      </c>
      <c r="DC378" s="9"/>
      <c r="DD378" s="9">
        <v>21474.005869733868</v>
      </c>
      <c r="DE378" s="9">
        <v>58303.945611255302</v>
      </c>
      <c r="DF378" s="9"/>
      <c r="DG378" s="9">
        <v>3867.7544070952185</v>
      </c>
      <c r="DH378" s="9">
        <v>0</v>
      </c>
      <c r="DI378" s="9"/>
      <c r="DJ378" s="9">
        <v>159962.34579763847</v>
      </c>
      <c r="DK378" s="9">
        <v>174667.35181391673</v>
      </c>
      <c r="DL378" s="9">
        <v>14705.006016278247</v>
      </c>
    </row>
    <row r="379" spans="1:116" x14ac:dyDescent="0.3">
      <c r="BI379" s="1077"/>
    </row>
    <row r="380" spans="1:116" x14ac:dyDescent="0.3">
      <c r="E380" s="1081">
        <f>J3</f>
        <v>2023</v>
      </c>
      <c r="BD380" s="1"/>
      <c r="BI380" s="1077"/>
    </row>
    <row r="381" spans="1:116" ht="15.6" x14ac:dyDescent="0.3">
      <c r="B381" s="1080" t="s">
        <v>1042</v>
      </c>
      <c r="H381" s="1082"/>
      <c r="BD381" s="1"/>
      <c r="BI381" s="1077"/>
    </row>
    <row r="382" spans="1:116" x14ac:dyDescent="0.3">
      <c r="B382" s="1083"/>
      <c r="C382" s="1084" t="s">
        <v>1035</v>
      </c>
      <c r="D382" s="1084" t="s">
        <v>1036</v>
      </c>
      <c r="E382" s="1084" t="s">
        <v>1046</v>
      </c>
      <c r="BD382" s="1"/>
      <c r="BF382" s="1">
        <v>10839</v>
      </c>
      <c r="BI382" s="1077"/>
    </row>
    <row r="383" spans="1:116" x14ac:dyDescent="0.3">
      <c r="B383" s="1083" t="s">
        <v>1034</v>
      </c>
      <c r="C383" s="1085">
        <f>E383-D383</f>
        <v>3776517</v>
      </c>
      <c r="D383" s="1085">
        <v>0</v>
      </c>
      <c r="E383" s="1085">
        <f>J370</f>
        <v>3776517</v>
      </c>
      <c r="BD383" s="1"/>
      <c r="BF383" s="1">
        <v>8776</v>
      </c>
      <c r="BI383" s="1077"/>
    </row>
    <row r="384" spans="1:116" x14ac:dyDescent="0.3">
      <c r="B384" s="1083" t="s">
        <v>1037</v>
      </c>
      <c r="C384" s="1085">
        <f t="shared" ref="C384:C390" si="59">E384-D384</f>
        <v>1722789</v>
      </c>
      <c r="D384" s="1085">
        <v>0</v>
      </c>
      <c r="E384" s="1085">
        <f>M370</f>
        <v>1722789</v>
      </c>
      <c r="BD384" s="1"/>
      <c r="BF384" s="1">
        <v>19615</v>
      </c>
      <c r="BI384" s="1077"/>
    </row>
    <row r="385" spans="2:116" x14ac:dyDescent="0.3">
      <c r="B385" s="1083" t="s">
        <v>1038</v>
      </c>
      <c r="C385" s="1085">
        <f t="shared" si="59"/>
        <v>693833.72185160499</v>
      </c>
      <c r="D385" s="1085">
        <v>0</v>
      </c>
      <c r="E385" s="1085">
        <f>X370+AB370</f>
        <v>693833.72185160499</v>
      </c>
      <c r="BD385" s="1"/>
      <c r="BI385" s="1077"/>
    </row>
    <row r="386" spans="2:116" x14ac:dyDescent="0.3">
      <c r="B386" s="1083" t="s">
        <v>1798</v>
      </c>
      <c r="C386" s="1085">
        <f t="shared" si="59"/>
        <v>2421736</v>
      </c>
      <c r="D386" s="1085">
        <v>652595</v>
      </c>
      <c r="E386" s="1085">
        <f>S370+U370</f>
        <v>3074331</v>
      </c>
      <c r="BD386" s="1"/>
      <c r="BI386" s="1077"/>
    </row>
    <row r="387" spans="2:116" x14ac:dyDescent="0.3">
      <c r="B387" s="1083" t="s">
        <v>1039</v>
      </c>
      <c r="C387" s="1085">
        <f t="shared" si="59"/>
        <v>888724</v>
      </c>
      <c r="D387" s="1085">
        <v>10965</v>
      </c>
      <c r="E387" s="1085">
        <f>P370</f>
        <v>899689</v>
      </c>
      <c r="BD387" s="1"/>
      <c r="BI387" s="1077"/>
    </row>
    <row r="388" spans="2:116" x14ac:dyDescent="0.3">
      <c r="B388" s="1083" t="s">
        <v>1040</v>
      </c>
      <c r="C388" s="1085">
        <f t="shared" si="59"/>
        <v>1232932</v>
      </c>
      <c r="D388" s="1085">
        <v>182503</v>
      </c>
      <c r="E388" s="1085">
        <f>AC370</f>
        <v>1415435</v>
      </c>
      <c r="BD388" s="1"/>
      <c r="BI388" s="1077"/>
    </row>
    <row r="389" spans="2:116" x14ac:dyDescent="0.3">
      <c r="B389" s="1083" t="s">
        <v>1041</v>
      </c>
      <c r="C389" s="1085">
        <f t="shared" si="59"/>
        <v>1388989.4300000002</v>
      </c>
      <c r="D389" s="1085">
        <v>0</v>
      </c>
      <c r="E389" s="1085">
        <f>AA370+Y370</f>
        <v>1388989.4300000002</v>
      </c>
      <c r="BD389" s="1"/>
      <c r="BI389" s="1077"/>
    </row>
    <row r="390" spans="2:116" x14ac:dyDescent="0.3">
      <c r="B390" s="1083" t="s">
        <v>1065</v>
      </c>
      <c r="C390" s="1085">
        <f t="shared" si="59"/>
        <v>727978</v>
      </c>
      <c r="D390" s="1085">
        <v>0</v>
      </c>
      <c r="E390" s="1085">
        <f>AD370</f>
        <v>727978</v>
      </c>
      <c r="BD390" s="1"/>
      <c r="BI390" s="1077"/>
    </row>
    <row r="391" spans="2:116" x14ac:dyDescent="0.3">
      <c r="B391" s="1083" t="s">
        <v>957</v>
      </c>
      <c r="C391" s="275">
        <f>SUM(C383:C390)</f>
        <v>12853499.151851606</v>
      </c>
      <c r="D391" s="275">
        <f>SUM(D383:D390)</f>
        <v>846063</v>
      </c>
      <c r="E391" s="275">
        <f>SUM(E383:E390)</f>
        <v>13699562.151851606</v>
      </c>
      <c r="BD391" s="1"/>
      <c r="BI391" s="1077"/>
    </row>
    <row r="392" spans="2:116" x14ac:dyDescent="0.3">
      <c r="C392" s="1005"/>
      <c r="D392" s="1005"/>
      <c r="E392" s="1086">
        <f>G370</f>
        <v>13699562.151851602</v>
      </c>
      <c r="F392" s="8">
        <f>E392-E391</f>
        <v>0</v>
      </c>
      <c r="BD392" s="1"/>
      <c r="BI392" s="1077"/>
    </row>
    <row r="393" spans="2:116" x14ac:dyDescent="0.3">
      <c r="C393" s="1087"/>
      <c r="D393" s="1087"/>
      <c r="E393" s="1087"/>
      <c r="BD393" s="1"/>
      <c r="BI393" s="1077"/>
    </row>
    <row r="394" spans="2:116" ht="15.6" x14ac:dyDescent="0.3">
      <c r="B394" s="1080" t="s">
        <v>1043</v>
      </c>
      <c r="C394" s="200"/>
      <c r="D394" s="200"/>
      <c r="E394" s="20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D394" s="1"/>
      <c r="BI394" s="1077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</row>
    <row r="395" spans="2:116" x14ac:dyDescent="0.3">
      <c r="B395" s="1083"/>
      <c r="C395" s="1084" t="s">
        <v>1035</v>
      </c>
      <c r="D395" s="1084" t="s">
        <v>1036</v>
      </c>
      <c r="E395" s="1084" t="s">
        <v>1046</v>
      </c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D395" s="1"/>
      <c r="BI395" s="1077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</row>
    <row r="396" spans="2:116" x14ac:dyDescent="0.3">
      <c r="B396" s="1010" t="s">
        <v>896</v>
      </c>
      <c r="C396" s="1085">
        <f>E396-D396</f>
        <v>427894.4034832904</v>
      </c>
      <c r="D396" s="1085">
        <v>0</v>
      </c>
      <c r="E396" s="1085">
        <f>AF370</f>
        <v>427894.4034832904</v>
      </c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D396" s="1"/>
      <c r="BI396" s="1077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</row>
    <row r="397" spans="2:116" x14ac:dyDescent="0.3">
      <c r="B397" s="1010" t="s">
        <v>24</v>
      </c>
      <c r="C397" s="1085">
        <f t="shared" ref="C397:C402" si="60">E397-D397</f>
        <v>503525.14504261717</v>
      </c>
      <c r="D397" s="1085">
        <v>0</v>
      </c>
      <c r="E397" s="1085">
        <f>AI370</f>
        <v>503525.14504261717</v>
      </c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D397" s="1"/>
      <c r="BI397" s="1077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</row>
    <row r="398" spans="2:116" x14ac:dyDescent="0.3">
      <c r="B398" s="1010" t="s">
        <v>25</v>
      </c>
      <c r="C398" s="1085">
        <f t="shared" si="60"/>
        <v>313959.11983599188</v>
      </c>
      <c r="D398" s="1085">
        <v>861</v>
      </c>
      <c r="E398" s="1085">
        <f>AL370</f>
        <v>314820.11983599188</v>
      </c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D398" s="1"/>
      <c r="BI398" s="1077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</row>
    <row r="399" spans="2:116" x14ac:dyDescent="0.3">
      <c r="B399" s="1010" t="s">
        <v>1044</v>
      </c>
      <c r="C399" s="1085">
        <f t="shared" si="60"/>
        <v>26449</v>
      </c>
      <c r="D399" s="1085">
        <v>1655</v>
      </c>
      <c r="E399" s="1085">
        <f>AO370</f>
        <v>28104</v>
      </c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D399" s="1"/>
      <c r="BI399" s="1077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</row>
    <row r="400" spans="2:116" x14ac:dyDescent="0.3">
      <c r="B400" s="1010" t="s">
        <v>1045</v>
      </c>
      <c r="C400" s="1085">
        <f t="shared" si="60"/>
        <v>89151.662528232002</v>
      </c>
      <c r="D400" s="1085">
        <v>0</v>
      </c>
      <c r="E400" s="1085">
        <f>AR370</f>
        <v>89151.662528232002</v>
      </c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D400" s="1"/>
      <c r="BI400" s="1077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</row>
    <row r="401" spans="2:116" x14ac:dyDescent="0.3">
      <c r="B401" s="1010" t="s">
        <v>28</v>
      </c>
      <c r="C401" s="1085">
        <f t="shared" si="60"/>
        <v>739270.72443688789</v>
      </c>
      <c r="D401" s="1085">
        <v>0</v>
      </c>
      <c r="E401" s="1085">
        <f>AU370</f>
        <v>739270.72443688789</v>
      </c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D401" s="1"/>
      <c r="BI401" s="1077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</row>
    <row r="402" spans="2:116" x14ac:dyDescent="0.3">
      <c r="B402" s="1010" t="s">
        <v>29</v>
      </c>
      <c r="C402" s="1085">
        <f t="shared" si="60"/>
        <v>102803</v>
      </c>
      <c r="D402" s="1085">
        <v>0</v>
      </c>
      <c r="E402" s="1085">
        <f>AX370</f>
        <v>102803</v>
      </c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D402" s="1"/>
      <c r="BI402" s="1077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</row>
    <row r="403" spans="2:116" x14ac:dyDescent="0.3">
      <c r="B403" s="1088" t="s">
        <v>957</v>
      </c>
      <c r="C403" s="275">
        <f>SUM(C396:C402)</f>
        <v>2203053.0553270192</v>
      </c>
      <c r="D403" s="1089">
        <f>SUM(D396:D402)</f>
        <v>2516</v>
      </c>
      <c r="E403" s="275">
        <f>SUM(C403:D403)</f>
        <v>2205569.0553270192</v>
      </c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D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</row>
    <row r="404" spans="2:116" x14ac:dyDescent="0.3">
      <c r="E404" s="1087">
        <f>BA370</f>
        <v>2205569.0553270197</v>
      </c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D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</row>
    <row r="406" spans="2:116" x14ac:dyDescent="0.3">
      <c r="C406" s="33">
        <f>C391+C403</f>
        <v>15056552.207178624</v>
      </c>
      <c r="D406" s="33">
        <f>D391+D403</f>
        <v>848579</v>
      </c>
      <c r="E406" s="33">
        <f>E391+E403</f>
        <v>15905131.207178624</v>
      </c>
    </row>
    <row r="407" spans="2:116" x14ac:dyDescent="0.3">
      <c r="C407" s="738">
        <f>C406*1.2</f>
        <v>18067862.648614347</v>
      </c>
      <c r="D407" s="738">
        <f>D406*1.2</f>
        <v>1018294.7999999999</v>
      </c>
      <c r="E407" s="738">
        <f>E406*1.2</f>
        <v>19086157.448614348</v>
      </c>
    </row>
    <row r="408" spans="2:116" x14ac:dyDescent="0.3">
      <c r="C408" s="1090">
        <f>C407/E407</f>
        <v>0.94664746936403754</v>
      </c>
      <c r="D408" s="1090">
        <f>D407/E407</f>
        <v>5.3352530635962452E-2</v>
      </c>
    </row>
  </sheetData>
  <autoFilter ref="A10:BQ370" xr:uid="{00000000-0001-0000-0600-000000000000}"/>
  <mergeCells count="45">
    <mergeCell ref="CI9:CJ9"/>
    <mergeCell ref="CO7:DL7"/>
    <mergeCell ref="BS8:CN8"/>
    <mergeCell ref="CO8:CQ9"/>
    <mergeCell ref="CR8:CT9"/>
    <mergeCell ref="CU8:CW9"/>
    <mergeCell ref="CX8:CZ9"/>
    <mergeCell ref="DA8:DC9"/>
    <mergeCell ref="DD8:DF9"/>
    <mergeCell ref="DG8:DI9"/>
    <mergeCell ref="DJ8:DL9"/>
    <mergeCell ref="BS9:BU9"/>
    <mergeCell ref="BV9:BX9"/>
    <mergeCell ref="BY9:CA9"/>
    <mergeCell ref="CB9:CD9"/>
    <mergeCell ref="CE9:CF9"/>
    <mergeCell ref="CG9:CH9"/>
    <mergeCell ref="BF8:BF9"/>
    <mergeCell ref="R9:T9"/>
    <mergeCell ref="Y9:Z9"/>
    <mergeCell ref="AW8:AY9"/>
    <mergeCell ref="AZ8:BB9"/>
    <mergeCell ref="BI8:BK8"/>
    <mergeCell ref="AE7:BB7"/>
    <mergeCell ref="AE8:AG9"/>
    <mergeCell ref="AH8:AJ9"/>
    <mergeCell ref="AK8:AM9"/>
    <mergeCell ref="AN8:AP9"/>
    <mergeCell ref="AQ8:AS9"/>
    <mergeCell ref="AT8:AV9"/>
    <mergeCell ref="D7:D10"/>
    <mergeCell ref="C7:C10"/>
    <mergeCell ref="B7:B10"/>
    <mergeCell ref="A7:A10"/>
    <mergeCell ref="U9:V9"/>
    <mergeCell ref="F8:F10"/>
    <mergeCell ref="E7:E10"/>
    <mergeCell ref="G8:G10"/>
    <mergeCell ref="F7:AD7"/>
    <mergeCell ref="I8:AD8"/>
    <mergeCell ref="H8:H10"/>
    <mergeCell ref="I9:K9"/>
    <mergeCell ref="L9:N9"/>
    <mergeCell ref="O9:Q9"/>
    <mergeCell ref="W9:X9"/>
  </mergeCells>
  <conditionalFormatting sqref="A141">
    <cfRule type="duplicateValues" dxfId="7" priority="1"/>
  </conditionalFormatting>
  <conditionalFormatting sqref="BG141">
    <cfRule type="duplicateValues" dxfId="6" priority="2"/>
  </conditionalFormatting>
  <pageMargins left="0" right="0" top="0.19685039370078741" bottom="0.15748031496062992" header="0.31496062992125984" footer="0.31496062992125984"/>
  <pageSetup paperSize="9" scale="59" orientation="landscape" r:id="rId1"/>
  <rowBreaks count="1" manualBreakCount="1">
    <brk id="359" max="68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81CD9-A198-4F64-B49B-BEE96AC131CE}">
  <sheetPr codeName="Лист4"/>
  <dimension ref="A1"/>
  <sheetViews>
    <sheetView workbookViewId="0">
      <selection activeCell="AB38" sqref="AB38"/>
    </sheetView>
  </sheetViews>
  <sheetFormatPr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1"/>
  <dimension ref="A1:D359"/>
  <sheetViews>
    <sheetView topLeftCell="A336" workbookViewId="0">
      <selection activeCell="I356" sqref="I356"/>
    </sheetView>
  </sheetViews>
  <sheetFormatPr defaultRowHeight="14.4" x14ac:dyDescent="0.3"/>
  <cols>
    <col min="1" max="1" width="16.88671875" style="736" bestFit="1" customWidth="1"/>
    <col min="2" max="2" width="12" style="922" bestFit="1" customWidth="1"/>
    <col min="3" max="3" width="13.33203125" style="922" bestFit="1" customWidth="1"/>
    <col min="4" max="4" width="8.6640625" customWidth="1"/>
  </cols>
  <sheetData>
    <row r="1" spans="1:4" s="596" customFormat="1" x14ac:dyDescent="0.3">
      <c r="A1" s="920" t="s">
        <v>1120</v>
      </c>
      <c r="B1" s="921" t="s">
        <v>1803</v>
      </c>
      <c r="C1" s="921" t="s">
        <v>1564</v>
      </c>
      <c r="D1" s="712"/>
    </row>
    <row r="2" spans="1:4" x14ac:dyDescent="0.3">
      <c r="A2" s="993">
        <v>150000493</v>
      </c>
      <c r="B2" s="994">
        <v>51232.19</v>
      </c>
      <c r="C2" s="994">
        <v>177436.56</v>
      </c>
      <c r="D2" s="570">
        <f>VLOOKUP(A2,ціни!$A$7:$D$401,4,FALSE)</f>
        <v>10</v>
      </c>
    </row>
    <row r="3" spans="1:4" x14ac:dyDescent="0.3">
      <c r="A3" s="993">
        <v>150000494</v>
      </c>
      <c r="B3" s="994">
        <v>55242.91</v>
      </c>
      <c r="C3" s="994">
        <v>147297.10999999999</v>
      </c>
      <c r="D3" s="570">
        <f>VLOOKUP(A3,ціни!$A$7:$D$401,4,FALSE)</f>
        <v>10</v>
      </c>
    </row>
    <row r="4" spans="1:4" x14ac:dyDescent="0.3">
      <c r="A4" s="993">
        <v>150000495</v>
      </c>
      <c r="B4" s="994">
        <v>2576.7800000000002</v>
      </c>
      <c r="C4" s="994">
        <v>23918.95</v>
      </c>
      <c r="D4" s="570">
        <f>VLOOKUP(A4,ціни!$A$7:$D$401,4,FALSE)</f>
        <v>2</v>
      </c>
    </row>
    <row r="5" spans="1:4" x14ac:dyDescent="0.3">
      <c r="A5" s="993">
        <v>150000496</v>
      </c>
      <c r="B5" s="994">
        <v>2577.0700000000002</v>
      </c>
      <c r="C5" s="994">
        <v>22492.3</v>
      </c>
      <c r="D5" s="570">
        <f>VLOOKUP(A5,ціни!$A$7:$D$401,4,FALSE)</f>
        <v>2</v>
      </c>
    </row>
    <row r="6" spans="1:4" x14ac:dyDescent="0.3">
      <c r="A6" s="993">
        <v>150000497</v>
      </c>
      <c r="B6" s="994">
        <v>32916.93</v>
      </c>
      <c r="C6" s="994">
        <v>86509.75</v>
      </c>
      <c r="D6" s="570">
        <f>VLOOKUP(A6,ціни!$A$7:$D$401,4,FALSE)</f>
        <v>9</v>
      </c>
    </row>
    <row r="7" spans="1:4" x14ac:dyDescent="0.3">
      <c r="A7" s="993">
        <v>150000498</v>
      </c>
      <c r="B7" s="994">
        <v>29833.32</v>
      </c>
      <c r="C7" s="994">
        <v>63095.16</v>
      </c>
      <c r="D7" s="570">
        <f>VLOOKUP(A7,ціни!$A$7:$D$401,4,FALSE)</f>
        <v>5</v>
      </c>
    </row>
    <row r="8" spans="1:4" x14ac:dyDescent="0.3">
      <c r="A8" s="993">
        <v>150000501</v>
      </c>
      <c r="B8" s="994">
        <v>23582.67</v>
      </c>
      <c r="C8" s="994">
        <v>88007.6</v>
      </c>
      <c r="D8" s="570">
        <f>VLOOKUP(A8,ціни!$A$7:$D$401,4,FALSE)</f>
        <v>5</v>
      </c>
    </row>
    <row r="9" spans="1:4" x14ac:dyDescent="0.3">
      <c r="A9" s="993">
        <v>150000502</v>
      </c>
      <c r="B9" s="994">
        <v>232.11</v>
      </c>
      <c r="C9" s="994">
        <v>231.05</v>
      </c>
      <c r="D9" s="570">
        <f>VLOOKUP(A9,ціни!$A$7:$D$401,4,FALSE)</f>
        <v>1</v>
      </c>
    </row>
    <row r="10" spans="1:4" x14ac:dyDescent="0.3">
      <c r="A10" s="993">
        <v>150000503</v>
      </c>
      <c r="B10" s="994">
        <v>341.03</v>
      </c>
      <c r="C10" s="994">
        <v>396.56</v>
      </c>
      <c r="D10" s="570">
        <f>VLOOKUP(A10,ціни!$A$7:$D$401,4,FALSE)</f>
        <v>1</v>
      </c>
    </row>
    <row r="11" spans="1:4" x14ac:dyDescent="0.3">
      <c r="A11" s="993">
        <v>150000504</v>
      </c>
      <c r="B11" s="994">
        <v>297.08</v>
      </c>
      <c r="C11" s="994">
        <v>377.54</v>
      </c>
      <c r="D11" s="570">
        <f>VLOOKUP(A11,ціни!$A$7:$D$401,4,FALSE)</f>
        <v>1</v>
      </c>
    </row>
    <row r="12" spans="1:4" x14ac:dyDescent="0.3">
      <c r="A12" s="993">
        <v>150000505</v>
      </c>
      <c r="B12" s="994">
        <v>321.16000000000003</v>
      </c>
      <c r="C12" s="994">
        <v>461.97</v>
      </c>
      <c r="D12" s="570">
        <f>VLOOKUP(A12,ціни!$A$7:$D$401,4,FALSE)</f>
        <v>1</v>
      </c>
    </row>
    <row r="13" spans="1:4" x14ac:dyDescent="0.3">
      <c r="A13" s="993">
        <v>150000506</v>
      </c>
      <c r="B13" s="994">
        <v>210.24</v>
      </c>
      <c r="C13" s="994">
        <v>-46.86</v>
      </c>
      <c r="D13" s="570">
        <f>VLOOKUP(A13,ціни!$A$7:$D$401,4,FALSE)</f>
        <v>1</v>
      </c>
    </row>
    <row r="14" spans="1:4" x14ac:dyDescent="0.3">
      <c r="A14" s="993">
        <v>150000507</v>
      </c>
      <c r="B14" s="994">
        <v>397</v>
      </c>
      <c r="C14" s="994">
        <v>757.45</v>
      </c>
      <c r="D14" s="570">
        <f>VLOOKUP(A14,ціни!$A$7:$D$401,4,FALSE)</f>
        <v>1</v>
      </c>
    </row>
    <row r="15" spans="1:4" x14ac:dyDescent="0.3">
      <c r="A15" s="993">
        <v>150000508</v>
      </c>
      <c r="B15" s="994">
        <v>199.71</v>
      </c>
      <c r="C15" s="994">
        <v>199.71</v>
      </c>
      <c r="D15" s="570">
        <f>VLOOKUP(A15,ціни!$A$7:$D$401,4,FALSE)</f>
        <v>1</v>
      </c>
    </row>
    <row r="16" spans="1:4" x14ac:dyDescent="0.3">
      <c r="A16" s="993">
        <v>150000509</v>
      </c>
      <c r="B16" s="994">
        <v>408.76</v>
      </c>
      <c r="C16" s="994">
        <v>2092.87</v>
      </c>
      <c r="D16" s="570">
        <f>VLOOKUP(A16,ціни!$A$7:$D$401,4,FALSE)</f>
        <v>1</v>
      </c>
    </row>
    <row r="17" spans="1:4" x14ac:dyDescent="0.3">
      <c r="A17" s="993">
        <v>150000510</v>
      </c>
      <c r="B17" s="994">
        <v>12409.57</v>
      </c>
      <c r="C17" s="994">
        <v>136823.03</v>
      </c>
      <c r="D17" s="570">
        <f>VLOOKUP(A17,ціни!$A$7:$D$401,4,FALSE)</f>
        <v>5</v>
      </c>
    </row>
    <row r="18" spans="1:4" x14ac:dyDescent="0.3">
      <c r="A18" s="993">
        <v>150000511</v>
      </c>
      <c r="B18" s="994">
        <v>17397.240000000002</v>
      </c>
      <c r="C18" s="994">
        <v>48290</v>
      </c>
      <c r="D18" s="570">
        <f>VLOOKUP(A18,ціни!$A$7:$D$401,4,FALSE)</f>
        <v>5</v>
      </c>
    </row>
    <row r="19" spans="1:4" x14ac:dyDescent="0.3">
      <c r="A19" s="993">
        <v>150000512</v>
      </c>
      <c r="B19" s="994">
        <v>7802.85</v>
      </c>
      <c r="C19" s="994">
        <v>37169.07</v>
      </c>
      <c r="D19" s="570">
        <f>VLOOKUP(A19,ціни!$A$7:$D$401,4,FALSE)</f>
        <v>5</v>
      </c>
    </row>
    <row r="20" spans="1:4" x14ac:dyDescent="0.3">
      <c r="A20" s="993">
        <v>150000513</v>
      </c>
      <c r="B20" s="994">
        <v>8781.25</v>
      </c>
      <c r="C20" s="994">
        <v>50348.58</v>
      </c>
      <c r="D20" s="570">
        <f>VLOOKUP(A20,ціни!$A$7:$D$401,4,FALSE)</f>
        <v>6</v>
      </c>
    </row>
    <row r="21" spans="1:4" x14ac:dyDescent="0.3">
      <c r="A21" s="993">
        <v>150000514</v>
      </c>
      <c r="B21" s="994">
        <v>1121.71</v>
      </c>
      <c r="C21" s="994">
        <v>2946.94</v>
      </c>
      <c r="D21" s="570">
        <f>VLOOKUP(A21,ціни!$A$7:$D$401,4,FALSE)</f>
        <v>2</v>
      </c>
    </row>
    <row r="22" spans="1:4" x14ac:dyDescent="0.3">
      <c r="A22" s="993">
        <v>150000515</v>
      </c>
      <c r="B22" s="994">
        <v>351.97</v>
      </c>
      <c r="C22" s="994">
        <v>340.92</v>
      </c>
      <c r="D22" s="570">
        <f>VLOOKUP(A22,ціни!$A$7:$D$401,4,FALSE)</f>
        <v>1</v>
      </c>
    </row>
    <row r="23" spans="1:4" x14ac:dyDescent="0.3">
      <c r="A23" s="993">
        <v>150000517</v>
      </c>
      <c r="B23" s="994">
        <v>6694.78</v>
      </c>
      <c r="C23" s="994">
        <v>10026.030000000001</v>
      </c>
      <c r="D23" s="570">
        <f>VLOOKUP(A23,ціни!$A$7:$D$401,4,FALSE)</f>
        <v>5</v>
      </c>
    </row>
    <row r="24" spans="1:4" x14ac:dyDescent="0.3">
      <c r="A24" s="993">
        <v>150000518</v>
      </c>
      <c r="B24" s="994">
        <v>4865.33</v>
      </c>
      <c r="C24" s="994">
        <v>6832.28</v>
      </c>
      <c r="D24" s="570">
        <f>VLOOKUP(A24,ціни!$A$7:$D$401,4,FALSE)</f>
        <v>3</v>
      </c>
    </row>
    <row r="25" spans="1:4" x14ac:dyDescent="0.3">
      <c r="A25" s="993">
        <v>150000519</v>
      </c>
      <c r="B25" s="994">
        <v>17602.28</v>
      </c>
      <c r="C25" s="994">
        <v>31569.24</v>
      </c>
      <c r="D25" s="570">
        <f>VLOOKUP(A25,ціни!$A$7:$D$401,4,FALSE)</f>
        <v>10</v>
      </c>
    </row>
    <row r="26" spans="1:4" x14ac:dyDescent="0.3">
      <c r="A26" s="993">
        <v>150000521</v>
      </c>
      <c r="B26" s="994">
        <v>8263.52</v>
      </c>
      <c r="C26" s="994">
        <v>13705.12</v>
      </c>
      <c r="D26" s="570">
        <f>VLOOKUP(A26,ціни!$A$7:$D$401,4,FALSE)</f>
        <v>5</v>
      </c>
    </row>
    <row r="27" spans="1:4" x14ac:dyDescent="0.3">
      <c r="A27" s="993">
        <v>150000523</v>
      </c>
      <c r="B27" s="994">
        <v>453.85</v>
      </c>
      <c r="C27" s="994">
        <v>2839.17</v>
      </c>
      <c r="D27" s="570">
        <f>VLOOKUP(A27,ціни!$A$7:$D$401,4,FALSE)</f>
        <v>1</v>
      </c>
    </row>
    <row r="28" spans="1:4" x14ac:dyDescent="0.3">
      <c r="A28" s="993">
        <v>150000527</v>
      </c>
      <c r="B28" s="994">
        <v>502.12</v>
      </c>
      <c r="C28" s="994">
        <v>3231.47</v>
      </c>
      <c r="D28" s="570">
        <f>VLOOKUP(A28,ціни!$A$7:$D$401,4,FALSE)</f>
        <v>1</v>
      </c>
    </row>
    <row r="29" spans="1:4" x14ac:dyDescent="0.3">
      <c r="A29" s="993">
        <v>150000529</v>
      </c>
      <c r="B29" s="994">
        <v>61570.57</v>
      </c>
      <c r="C29" s="994">
        <v>134861.39000000001</v>
      </c>
      <c r="D29" s="570">
        <f>VLOOKUP(A29,ціни!$A$7:$D$401,4,FALSE)</f>
        <v>9</v>
      </c>
    </row>
    <row r="30" spans="1:4" x14ac:dyDescent="0.3">
      <c r="A30" s="993">
        <v>150000530</v>
      </c>
      <c r="B30" s="994">
        <v>403.11</v>
      </c>
      <c r="C30" s="994">
        <v>3767.11</v>
      </c>
      <c r="D30" s="570">
        <f>VLOOKUP(A30,ціни!$A$7:$D$401,4,FALSE)</f>
        <v>1</v>
      </c>
    </row>
    <row r="31" spans="1:4" x14ac:dyDescent="0.3">
      <c r="A31" s="993">
        <v>150000531</v>
      </c>
      <c r="B31" s="994">
        <v>50895.33</v>
      </c>
      <c r="C31" s="994">
        <v>108702.62</v>
      </c>
      <c r="D31" s="570">
        <f>VLOOKUP(A31,ціни!$A$7:$D$401,4,FALSE)</f>
        <v>9</v>
      </c>
    </row>
    <row r="32" spans="1:4" x14ac:dyDescent="0.3">
      <c r="A32" s="993">
        <v>150000532</v>
      </c>
      <c r="B32" s="994">
        <v>15901.75</v>
      </c>
      <c r="C32" s="994">
        <v>57045.18</v>
      </c>
      <c r="D32" s="570">
        <f>VLOOKUP(A32,ціни!$A$7:$D$401,4,FALSE)</f>
        <v>5</v>
      </c>
    </row>
    <row r="33" spans="1:4" x14ac:dyDescent="0.3">
      <c r="A33" s="993">
        <v>150000533</v>
      </c>
      <c r="B33" s="994">
        <v>84891.31</v>
      </c>
      <c r="C33" s="994">
        <v>258660.31</v>
      </c>
      <c r="D33" s="570">
        <f>VLOOKUP(A33,ціни!$A$7:$D$401,4,FALSE)</f>
        <v>9</v>
      </c>
    </row>
    <row r="34" spans="1:4" x14ac:dyDescent="0.3">
      <c r="A34" s="993">
        <v>150000534</v>
      </c>
      <c r="B34" s="994">
        <v>16103.15</v>
      </c>
      <c r="C34" s="994">
        <v>22484.73</v>
      </c>
      <c r="D34" s="570">
        <f>VLOOKUP(A34,ціни!$A$7:$D$401,4,FALSE)</f>
        <v>5</v>
      </c>
    </row>
    <row r="35" spans="1:4" x14ac:dyDescent="0.3">
      <c r="A35" s="993">
        <v>150000535</v>
      </c>
      <c r="B35" s="994">
        <v>83418.41</v>
      </c>
      <c r="C35" s="994">
        <v>330555.33</v>
      </c>
      <c r="D35" s="570">
        <f>VLOOKUP(A35,ціни!$A$7:$D$401,4,FALSE)</f>
        <v>9</v>
      </c>
    </row>
    <row r="36" spans="1:4" x14ac:dyDescent="0.3">
      <c r="A36" s="993">
        <v>150000537</v>
      </c>
      <c r="B36" s="994">
        <v>58.86</v>
      </c>
      <c r="C36" s="994">
        <v>77.430000000000007</v>
      </c>
      <c r="D36" s="570">
        <f>VLOOKUP(A36,ціни!$A$7:$D$401,4,FALSE)</f>
        <v>1</v>
      </c>
    </row>
    <row r="37" spans="1:4" x14ac:dyDescent="0.3">
      <c r="A37" s="993">
        <v>150000538</v>
      </c>
      <c r="B37" s="994">
        <v>8157.67</v>
      </c>
      <c r="C37" s="994">
        <v>11052.33</v>
      </c>
      <c r="D37" s="570">
        <f>VLOOKUP(A37,ціни!$A$7:$D$401,4,FALSE)</f>
        <v>4</v>
      </c>
    </row>
    <row r="38" spans="1:4" x14ac:dyDescent="0.3">
      <c r="A38" s="993">
        <v>150000539</v>
      </c>
      <c r="B38" s="994">
        <v>153.9</v>
      </c>
      <c r="C38" s="994">
        <v>153.9</v>
      </c>
      <c r="D38" s="570">
        <f>VLOOKUP(A38,ціни!$A$7:$D$401,4,FALSE)</f>
        <v>1</v>
      </c>
    </row>
    <row r="39" spans="1:4" x14ac:dyDescent="0.3">
      <c r="A39" s="993">
        <v>150000544</v>
      </c>
      <c r="B39" s="994">
        <v>242.77</v>
      </c>
      <c r="C39" s="994">
        <v>4399.6499999999996</v>
      </c>
      <c r="D39" s="570">
        <f>VLOOKUP(A39,ціни!$A$7:$D$401,4,FALSE)</f>
        <v>1</v>
      </c>
    </row>
    <row r="40" spans="1:4" x14ac:dyDescent="0.3">
      <c r="A40" s="993">
        <v>150000547</v>
      </c>
      <c r="B40" s="994">
        <v>16366.32</v>
      </c>
      <c r="C40" s="994">
        <v>53462.82</v>
      </c>
      <c r="D40" s="570">
        <f>VLOOKUP(A40,ціни!$A$7:$D$401,4,FALSE)</f>
        <v>5</v>
      </c>
    </row>
    <row r="41" spans="1:4" x14ac:dyDescent="0.3">
      <c r="A41" s="993">
        <v>150000548</v>
      </c>
      <c r="B41" s="994">
        <v>13927.46</v>
      </c>
      <c r="C41" s="994">
        <v>20746.61</v>
      </c>
      <c r="D41" s="570">
        <f>VLOOKUP(A41,ціни!$A$7:$D$401,4,FALSE)</f>
        <v>5</v>
      </c>
    </row>
    <row r="42" spans="1:4" x14ac:dyDescent="0.3">
      <c r="A42" s="993">
        <v>150000549</v>
      </c>
      <c r="B42" s="994">
        <v>7221.2</v>
      </c>
      <c r="C42" s="994">
        <v>45123.26</v>
      </c>
      <c r="D42" s="570">
        <f>VLOOKUP(A42,ціни!$A$7:$D$401,4,FALSE)</f>
        <v>4</v>
      </c>
    </row>
    <row r="43" spans="1:4" x14ac:dyDescent="0.3">
      <c r="A43" s="993">
        <v>150000552</v>
      </c>
      <c r="B43" s="994">
        <v>181.26</v>
      </c>
      <c r="C43" s="994">
        <v>607.80999999999995</v>
      </c>
      <c r="D43" s="570">
        <f>VLOOKUP(A43,ціни!$A$7:$D$401,4,FALSE)</f>
        <v>1</v>
      </c>
    </row>
    <row r="44" spans="1:4" x14ac:dyDescent="0.3">
      <c r="A44" s="993">
        <v>150000553</v>
      </c>
      <c r="B44" s="994">
        <v>14399.79</v>
      </c>
      <c r="C44" s="994">
        <v>34294.35</v>
      </c>
      <c r="D44" s="570">
        <f>VLOOKUP(A44,ціни!$A$7:$D$401,4,FALSE)</f>
        <v>5</v>
      </c>
    </row>
    <row r="45" spans="1:4" x14ac:dyDescent="0.3">
      <c r="A45" s="993">
        <v>150000556</v>
      </c>
      <c r="B45" s="994">
        <v>295.93</v>
      </c>
      <c r="C45" s="994">
        <v>248.09</v>
      </c>
      <c r="D45" s="570">
        <f>VLOOKUP(A45,ціни!$A$7:$D$401,4,FALSE)</f>
        <v>1</v>
      </c>
    </row>
    <row r="46" spans="1:4" x14ac:dyDescent="0.3">
      <c r="A46" s="993">
        <v>150000557</v>
      </c>
      <c r="B46" s="994">
        <v>183.96</v>
      </c>
      <c r="C46" s="994">
        <v>183.71</v>
      </c>
      <c r="D46" s="570">
        <f>VLOOKUP(A46,ціни!$A$7:$D$401,4,FALSE)</f>
        <v>1</v>
      </c>
    </row>
    <row r="47" spans="1:4" x14ac:dyDescent="0.3">
      <c r="A47" s="993">
        <v>150000566</v>
      </c>
      <c r="B47" s="994">
        <v>729.2</v>
      </c>
      <c r="C47" s="994">
        <v>419.89</v>
      </c>
      <c r="D47" s="570">
        <f>VLOOKUP(A47,ціни!$A$7:$D$401,4,FALSE)</f>
        <v>1</v>
      </c>
    </row>
    <row r="48" spans="1:4" x14ac:dyDescent="0.3">
      <c r="A48" s="993">
        <v>150000569</v>
      </c>
      <c r="B48" s="994">
        <v>475.13</v>
      </c>
      <c r="C48" s="994">
        <v>475.01</v>
      </c>
      <c r="D48" s="570">
        <f>VLOOKUP(A48,ціни!$A$7:$D$401,4,FALSE)</f>
        <v>1</v>
      </c>
    </row>
    <row r="49" spans="1:4" x14ac:dyDescent="0.3">
      <c r="A49" s="993">
        <v>150000570</v>
      </c>
      <c r="B49" s="994">
        <v>539.54</v>
      </c>
      <c r="C49" s="994">
        <v>539.54</v>
      </c>
      <c r="D49" s="570">
        <f>VLOOKUP(A49,ціни!$A$7:$D$401,4,FALSE)</f>
        <v>1</v>
      </c>
    </row>
    <row r="50" spans="1:4" x14ac:dyDescent="0.3">
      <c r="A50" s="993">
        <v>150000572</v>
      </c>
      <c r="B50" s="994">
        <v>665.53</v>
      </c>
      <c r="C50" s="994">
        <v>5801.8</v>
      </c>
      <c r="D50" s="570">
        <f>VLOOKUP(A50,ціни!$A$7:$D$401,4,FALSE)</f>
        <v>2</v>
      </c>
    </row>
    <row r="51" spans="1:4" x14ac:dyDescent="0.3">
      <c r="A51" s="993">
        <v>150000573</v>
      </c>
      <c r="B51" s="994">
        <v>245.39</v>
      </c>
      <c r="C51" s="994">
        <v>415.03</v>
      </c>
      <c r="D51" s="570">
        <f>VLOOKUP(A51,ціни!$A$7:$D$401,4,FALSE)</f>
        <v>1</v>
      </c>
    </row>
    <row r="52" spans="1:4" x14ac:dyDescent="0.3">
      <c r="A52" s="993">
        <v>150000578</v>
      </c>
      <c r="B52" s="994">
        <v>281.60000000000002</v>
      </c>
      <c r="C52" s="994">
        <v>281.60000000000002</v>
      </c>
      <c r="D52" s="570">
        <f>VLOOKUP(A52,ціни!$A$7:$D$401,4,FALSE)</f>
        <v>1</v>
      </c>
    </row>
    <row r="53" spans="1:4" x14ac:dyDescent="0.3">
      <c r="A53" s="993">
        <v>150000580</v>
      </c>
      <c r="B53" s="994">
        <v>249.5</v>
      </c>
      <c r="C53" s="994">
        <v>317.04000000000002</v>
      </c>
      <c r="D53" s="570">
        <f>VLOOKUP(A53,ціни!$A$7:$D$401,4,FALSE)</f>
        <v>1</v>
      </c>
    </row>
    <row r="54" spans="1:4" x14ac:dyDescent="0.3">
      <c r="A54" s="993">
        <v>150000590</v>
      </c>
      <c r="B54" s="994">
        <v>1374.23</v>
      </c>
      <c r="C54" s="994">
        <v>899.6</v>
      </c>
      <c r="D54" s="570">
        <f>VLOOKUP(A54,ціни!$A$7:$D$401,4,FALSE)</f>
        <v>2</v>
      </c>
    </row>
    <row r="55" spans="1:4" x14ac:dyDescent="0.3">
      <c r="A55" s="993">
        <v>150000591</v>
      </c>
      <c r="B55" s="994">
        <v>716.27</v>
      </c>
      <c r="C55" s="994">
        <v>716.27</v>
      </c>
      <c r="D55" s="570">
        <f>VLOOKUP(A55,ціни!$A$7:$D$401,4,FALSE)</f>
        <v>2</v>
      </c>
    </row>
    <row r="56" spans="1:4" x14ac:dyDescent="0.3">
      <c r="A56" s="993">
        <v>150000592</v>
      </c>
      <c r="B56" s="994">
        <v>71546.45</v>
      </c>
      <c r="C56" s="994">
        <v>139663</v>
      </c>
      <c r="D56" s="570">
        <f>VLOOKUP(A56,ціни!$A$7:$D$401,4,FALSE)</f>
        <v>9</v>
      </c>
    </row>
    <row r="57" spans="1:4" x14ac:dyDescent="0.3">
      <c r="A57" s="993">
        <v>150000593</v>
      </c>
      <c r="B57" s="994">
        <v>8075.08</v>
      </c>
      <c r="C57" s="994">
        <v>19303.84</v>
      </c>
      <c r="D57" s="570">
        <f>VLOOKUP(A57,ціни!$A$7:$D$401,4,FALSE)</f>
        <v>5</v>
      </c>
    </row>
    <row r="58" spans="1:4" x14ac:dyDescent="0.3">
      <c r="A58" s="993">
        <v>150000594</v>
      </c>
      <c r="B58" s="994">
        <v>66492.460000000006</v>
      </c>
      <c r="C58" s="994">
        <v>112938.98</v>
      </c>
      <c r="D58" s="570">
        <f>VLOOKUP(A58,ціни!$A$7:$D$401,4,FALSE)</f>
        <v>9</v>
      </c>
    </row>
    <row r="59" spans="1:4" x14ac:dyDescent="0.3">
      <c r="A59" s="993">
        <v>150000597</v>
      </c>
      <c r="B59" s="994">
        <v>37665.620000000003</v>
      </c>
      <c r="C59" s="994">
        <v>106590.66</v>
      </c>
      <c r="D59" s="570">
        <f>VLOOKUP(A59,ціни!$A$7:$D$401,4,FALSE)</f>
        <v>9</v>
      </c>
    </row>
    <row r="60" spans="1:4" x14ac:dyDescent="0.3">
      <c r="A60" s="993">
        <v>150000598</v>
      </c>
      <c r="B60" s="994">
        <v>435.47</v>
      </c>
      <c r="C60" s="994">
        <v>912.75</v>
      </c>
      <c r="D60" s="570">
        <f>VLOOKUP(A60,ціни!$A$7:$D$401,4,FALSE)</f>
        <v>1</v>
      </c>
    </row>
    <row r="61" spans="1:4" x14ac:dyDescent="0.3">
      <c r="A61" s="993">
        <v>150000599</v>
      </c>
      <c r="B61" s="994">
        <v>529.04</v>
      </c>
      <c r="C61" s="994">
        <v>660.92</v>
      </c>
      <c r="D61" s="570">
        <f>VLOOKUP(A61,ціни!$A$7:$D$401,4,FALSE)</f>
        <v>1</v>
      </c>
    </row>
    <row r="62" spans="1:4" x14ac:dyDescent="0.3">
      <c r="A62" s="993">
        <v>150000603</v>
      </c>
      <c r="B62" s="994">
        <v>1977.29</v>
      </c>
      <c r="C62" s="994">
        <v>18634.38</v>
      </c>
      <c r="D62" s="570">
        <f>VLOOKUP(A62,ціни!$A$7:$D$401,4,FALSE)</f>
        <v>2</v>
      </c>
    </row>
    <row r="63" spans="1:4" x14ac:dyDescent="0.3">
      <c r="A63" s="993">
        <v>150000604</v>
      </c>
      <c r="B63" s="994">
        <v>2336.56</v>
      </c>
      <c r="C63" s="994">
        <v>19412.419999999998</v>
      </c>
      <c r="D63" s="570">
        <f>VLOOKUP(A63,ціни!$A$7:$D$401,4,FALSE)</f>
        <v>2</v>
      </c>
    </row>
    <row r="64" spans="1:4" x14ac:dyDescent="0.3">
      <c r="A64" s="993">
        <v>150000605</v>
      </c>
      <c r="B64" s="994">
        <v>2126.52</v>
      </c>
      <c r="C64" s="994">
        <v>32415.94</v>
      </c>
      <c r="D64" s="570">
        <f>VLOOKUP(A64,ціни!$A$7:$D$401,4,FALSE)</f>
        <v>2</v>
      </c>
    </row>
    <row r="65" spans="1:4" x14ac:dyDescent="0.3">
      <c r="A65" s="993">
        <v>150000606</v>
      </c>
      <c r="B65" s="994">
        <v>4530.24</v>
      </c>
      <c r="C65" s="994">
        <v>22274.9</v>
      </c>
      <c r="D65" s="570">
        <f>VLOOKUP(A65,ціни!$A$7:$D$401,4,FALSE)</f>
        <v>2</v>
      </c>
    </row>
    <row r="66" spans="1:4" x14ac:dyDescent="0.3">
      <c r="A66" s="993">
        <v>150000607</v>
      </c>
      <c r="B66" s="994">
        <v>4388.68</v>
      </c>
      <c r="C66" s="994">
        <v>8461.32</v>
      </c>
      <c r="D66" s="570">
        <f>VLOOKUP(A66,ціни!$A$7:$D$401,4,FALSE)</f>
        <v>2</v>
      </c>
    </row>
    <row r="67" spans="1:4" x14ac:dyDescent="0.3">
      <c r="A67" s="993">
        <v>150000608</v>
      </c>
      <c r="B67" s="994">
        <v>3165.89</v>
      </c>
      <c r="C67" s="994">
        <v>26446.93</v>
      </c>
      <c r="D67" s="570">
        <f>VLOOKUP(A67,ціни!$A$7:$D$401,4,FALSE)</f>
        <v>2</v>
      </c>
    </row>
    <row r="68" spans="1:4" x14ac:dyDescent="0.3">
      <c r="A68" s="993">
        <v>150000609</v>
      </c>
      <c r="B68" s="994">
        <v>2296.4299999999998</v>
      </c>
      <c r="C68" s="994">
        <v>10278.82</v>
      </c>
      <c r="D68" s="570">
        <f>VLOOKUP(A68,ціни!$A$7:$D$401,4,FALSE)</f>
        <v>2</v>
      </c>
    </row>
    <row r="69" spans="1:4" x14ac:dyDescent="0.3">
      <c r="A69" s="993">
        <v>150000610</v>
      </c>
      <c r="B69" s="994">
        <v>2886.88</v>
      </c>
      <c r="C69" s="994">
        <v>7762.72</v>
      </c>
      <c r="D69" s="570">
        <f>VLOOKUP(A69,ціни!$A$7:$D$401,4,FALSE)</f>
        <v>2</v>
      </c>
    </row>
    <row r="70" spans="1:4" x14ac:dyDescent="0.3">
      <c r="A70" s="993">
        <v>150000611</v>
      </c>
      <c r="B70" s="994">
        <v>6036.57</v>
      </c>
      <c r="C70" s="994">
        <v>9964.6200000000008</v>
      </c>
      <c r="D70" s="570">
        <f>VLOOKUP(A70,ціни!$A$7:$D$401,4,FALSE)</f>
        <v>3</v>
      </c>
    </row>
    <row r="71" spans="1:4" x14ac:dyDescent="0.3">
      <c r="A71" s="993">
        <v>150000612</v>
      </c>
      <c r="B71" s="994">
        <v>3232.69</v>
      </c>
      <c r="C71" s="994">
        <v>4025.34</v>
      </c>
      <c r="D71" s="570">
        <f>VLOOKUP(A71,ціни!$A$7:$D$401,4,FALSE)</f>
        <v>2</v>
      </c>
    </row>
    <row r="72" spans="1:4" x14ac:dyDescent="0.3">
      <c r="A72" s="993">
        <v>150000613</v>
      </c>
      <c r="B72" s="994">
        <v>7451.48</v>
      </c>
      <c r="C72" s="994">
        <v>23624.44</v>
      </c>
      <c r="D72" s="570">
        <f>VLOOKUP(A72,ціни!$A$7:$D$401,4,FALSE)</f>
        <v>4</v>
      </c>
    </row>
    <row r="73" spans="1:4" x14ac:dyDescent="0.3">
      <c r="A73" s="993">
        <v>150000614</v>
      </c>
      <c r="B73" s="994">
        <v>3662.04</v>
      </c>
      <c r="C73" s="994">
        <v>5749.15</v>
      </c>
      <c r="D73" s="570">
        <f>VLOOKUP(A73,ціни!$A$7:$D$401,4,FALSE)</f>
        <v>2</v>
      </c>
    </row>
    <row r="74" spans="1:4" x14ac:dyDescent="0.3">
      <c r="A74" s="993">
        <v>150000615</v>
      </c>
      <c r="B74" s="994">
        <v>15499.57</v>
      </c>
      <c r="C74" s="994">
        <v>75871.78</v>
      </c>
      <c r="D74" s="570">
        <f>VLOOKUP(A74,ціни!$A$7:$D$401,4,FALSE)</f>
        <v>5</v>
      </c>
    </row>
    <row r="75" spans="1:4" x14ac:dyDescent="0.3">
      <c r="A75" s="993">
        <v>150000616</v>
      </c>
      <c r="B75" s="994">
        <v>8958.17</v>
      </c>
      <c r="C75" s="994">
        <v>37498.86</v>
      </c>
      <c r="D75" s="570">
        <f>VLOOKUP(A75,ціни!$A$7:$D$401,4,FALSE)</f>
        <v>5</v>
      </c>
    </row>
    <row r="76" spans="1:4" x14ac:dyDescent="0.3">
      <c r="A76" s="993">
        <v>150000618</v>
      </c>
      <c r="B76" s="994">
        <v>18784.259999999998</v>
      </c>
      <c r="C76" s="994">
        <v>23110.04</v>
      </c>
      <c r="D76" s="570">
        <f>VLOOKUP(A76,ціни!$A$7:$D$401,4,FALSE)</f>
        <v>10</v>
      </c>
    </row>
    <row r="77" spans="1:4" x14ac:dyDescent="0.3">
      <c r="A77" s="993">
        <v>150000619</v>
      </c>
      <c r="B77" s="994">
        <v>28705.8</v>
      </c>
      <c r="C77" s="994">
        <v>62201.42</v>
      </c>
      <c r="D77" s="570">
        <f>VLOOKUP(A77,ціни!$A$7:$D$401,4,FALSE)</f>
        <v>9</v>
      </c>
    </row>
    <row r="78" spans="1:4" x14ac:dyDescent="0.3">
      <c r="A78" s="993">
        <v>150000621</v>
      </c>
      <c r="B78" s="994">
        <v>228.81</v>
      </c>
      <c r="C78" s="994">
        <v>281.22000000000003</v>
      </c>
      <c r="D78" s="570">
        <f>VLOOKUP(A78,ціни!$A$7:$D$401,4,FALSE)</f>
        <v>1</v>
      </c>
    </row>
    <row r="79" spans="1:4" x14ac:dyDescent="0.3">
      <c r="A79" s="993">
        <v>150000623</v>
      </c>
      <c r="B79" s="994">
        <v>7868.73</v>
      </c>
      <c r="C79" s="994">
        <v>10421.31</v>
      </c>
      <c r="D79" s="570">
        <f>VLOOKUP(A79,ціни!$A$7:$D$401,4,FALSE)</f>
        <v>4</v>
      </c>
    </row>
    <row r="80" spans="1:4" x14ac:dyDescent="0.3">
      <c r="A80" s="993">
        <v>150000625</v>
      </c>
      <c r="B80" s="994">
        <v>34569.339999999997</v>
      </c>
      <c r="C80" s="994">
        <v>75388.850000000006</v>
      </c>
      <c r="D80" s="570">
        <f>VLOOKUP(A80,ціни!$A$7:$D$401,4,FALSE)</f>
        <v>10</v>
      </c>
    </row>
    <row r="81" spans="1:4" x14ac:dyDescent="0.3">
      <c r="A81" s="993">
        <v>150000626</v>
      </c>
      <c r="B81" s="994">
        <v>52598.97</v>
      </c>
      <c r="C81" s="994">
        <v>190649.9</v>
      </c>
      <c r="D81" s="570">
        <f>VLOOKUP(A81,ціни!$A$7:$D$401,4,FALSE)</f>
        <v>9</v>
      </c>
    </row>
    <row r="82" spans="1:4" x14ac:dyDescent="0.3">
      <c r="A82" s="993">
        <v>150000627</v>
      </c>
      <c r="B82" s="994">
        <v>29090.080000000002</v>
      </c>
      <c r="C82" s="994">
        <v>107870.58</v>
      </c>
      <c r="D82" s="570">
        <f>VLOOKUP(A82,ціни!$A$7:$D$401,4,FALSE)</f>
        <v>9</v>
      </c>
    </row>
    <row r="83" spans="1:4" x14ac:dyDescent="0.3">
      <c r="A83" s="993">
        <v>150000628</v>
      </c>
      <c r="B83" s="994">
        <v>29944.44</v>
      </c>
      <c r="C83" s="994">
        <v>71396.75</v>
      </c>
      <c r="D83" s="570">
        <f>VLOOKUP(A83,ціни!$A$7:$D$401,4,FALSE)</f>
        <v>9</v>
      </c>
    </row>
    <row r="84" spans="1:4" x14ac:dyDescent="0.3">
      <c r="A84" s="993">
        <v>150000629</v>
      </c>
      <c r="B84" s="994">
        <v>72192.31</v>
      </c>
      <c r="C84" s="994">
        <v>192510.58</v>
      </c>
      <c r="D84" s="570">
        <f>VLOOKUP(A84,ціни!$A$7:$D$401,4,FALSE)</f>
        <v>9</v>
      </c>
    </row>
    <row r="85" spans="1:4" x14ac:dyDescent="0.3">
      <c r="A85" s="993">
        <v>150000634</v>
      </c>
      <c r="B85" s="994">
        <v>347.21</v>
      </c>
      <c r="C85" s="994">
        <v>1568.88</v>
      </c>
      <c r="D85" s="570">
        <f>VLOOKUP(A85,ціни!$A$7:$D$401,4,FALSE)</f>
        <v>1</v>
      </c>
    </row>
    <row r="86" spans="1:4" x14ac:dyDescent="0.3">
      <c r="A86" s="993">
        <v>150000636</v>
      </c>
      <c r="B86" s="994">
        <v>17060.72</v>
      </c>
      <c r="C86" s="994">
        <v>40203.51</v>
      </c>
      <c r="D86" s="570">
        <f>VLOOKUP(A86,ціни!$A$7:$D$401,4,FALSE)</f>
        <v>5</v>
      </c>
    </row>
    <row r="87" spans="1:4" x14ac:dyDescent="0.3">
      <c r="A87" s="993">
        <v>150000643</v>
      </c>
      <c r="B87" s="994">
        <v>342.67</v>
      </c>
      <c r="C87" s="994">
        <v>-1146.3599999999999</v>
      </c>
      <c r="D87" s="570">
        <f>VLOOKUP(A87,ціни!$A$7:$D$401,4,FALSE)</f>
        <v>1</v>
      </c>
    </row>
    <row r="88" spans="1:4" x14ac:dyDescent="0.3">
      <c r="A88" s="993">
        <v>150000644</v>
      </c>
      <c r="B88" s="994">
        <v>380.7</v>
      </c>
      <c r="C88" s="994">
        <v>380.7</v>
      </c>
      <c r="D88" s="570">
        <f>VLOOKUP(A88,ціни!$A$7:$D$401,4,FALSE)</f>
        <v>1</v>
      </c>
    </row>
    <row r="89" spans="1:4" x14ac:dyDescent="0.3">
      <c r="A89" s="993">
        <v>150000645</v>
      </c>
      <c r="B89" s="994">
        <v>394.52</v>
      </c>
      <c r="C89" s="994">
        <v>346.09</v>
      </c>
      <c r="D89" s="570">
        <f>VLOOKUP(A89,ціни!$A$7:$D$401,4,FALSE)</f>
        <v>1</v>
      </c>
    </row>
    <row r="90" spans="1:4" x14ac:dyDescent="0.3">
      <c r="A90" s="993">
        <v>150000648</v>
      </c>
      <c r="B90" s="994">
        <v>18063.87</v>
      </c>
      <c r="C90" s="994">
        <v>31585.57</v>
      </c>
      <c r="D90" s="570">
        <f>VLOOKUP(A90,ціни!$A$7:$D$401,4,FALSE)</f>
        <v>9</v>
      </c>
    </row>
    <row r="91" spans="1:4" x14ac:dyDescent="0.3">
      <c r="A91" s="993">
        <v>150000658</v>
      </c>
      <c r="B91" s="994">
        <v>33838.050000000003</v>
      </c>
      <c r="C91" s="994">
        <v>90048.66</v>
      </c>
      <c r="D91" s="570">
        <f>VLOOKUP(A91,ціни!$A$7:$D$401,4,FALSE)</f>
        <v>9</v>
      </c>
    </row>
    <row r="92" spans="1:4" x14ac:dyDescent="0.3">
      <c r="A92" s="993">
        <v>150000659</v>
      </c>
      <c r="B92" s="994">
        <v>15311.64</v>
      </c>
      <c r="C92" s="994">
        <v>76668.710000000006</v>
      </c>
      <c r="D92" s="570">
        <f>VLOOKUP(A92,ціни!$A$7:$D$401,4,FALSE)</f>
        <v>10</v>
      </c>
    </row>
    <row r="93" spans="1:4" x14ac:dyDescent="0.3">
      <c r="A93" s="993">
        <v>150000660</v>
      </c>
      <c r="B93" s="994">
        <v>29142.17</v>
      </c>
      <c r="C93" s="994">
        <v>73249.47</v>
      </c>
      <c r="D93" s="570">
        <f>VLOOKUP(A93,ціни!$A$7:$D$401,4,FALSE)</f>
        <v>10</v>
      </c>
    </row>
    <row r="94" spans="1:4" x14ac:dyDescent="0.3">
      <c r="A94" s="993">
        <v>150000671</v>
      </c>
      <c r="B94" s="994">
        <v>444.51</v>
      </c>
      <c r="C94" s="994">
        <v>763.44</v>
      </c>
      <c r="D94" s="570">
        <f>VLOOKUP(A94,ціни!$A$7:$D$401,4,FALSE)</f>
        <v>1</v>
      </c>
    </row>
    <row r="95" spans="1:4" x14ac:dyDescent="0.3">
      <c r="A95" s="993">
        <v>150000672</v>
      </c>
      <c r="B95" s="994">
        <v>16281.29</v>
      </c>
      <c r="C95" s="994">
        <v>30181.69</v>
      </c>
      <c r="D95" s="570">
        <f>VLOOKUP(A95,ціни!$A$7:$D$401,4,FALSE)</f>
        <v>0</v>
      </c>
    </row>
    <row r="96" spans="1:4" x14ac:dyDescent="0.3">
      <c r="A96" s="993">
        <v>150000673</v>
      </c>
      <c r="B96" s="994">
        <v>3869.07</v>
      </c>
      <c r="C96" s="994">
        <v>41414.129999999997</v>
      </c>
      <c r="D96" s="570">
        <f>VLOOKUP(A96,ціни!$A$7:$D$401,4,FALSE)</f>
        <v>2</v>
      </c>
    </row>
    <row r="97" spans="1:4" x14ac:dyDescent="0.3">
      <c r="A97" s="993">
        <v>150000676</v>
      </c>
      <c r="B97" s="994">
        <v>29709.4</v>
      </c>
      <c r="C97" s="994">
        <v>135359.81</v>
      </c>
      <c r="D97" s="570">
        <f>VLOOKUP(A97,ціни!$A$7:$D$401,4,FALSE)</f>
        <v>9</v>
      </c>
    </row>
    <row r="98" spans="1:4" x14ac:dyDescent="0.3">
      <c r="A98" s="993">
        <v>150000686</v>
      </c>
      <c r="B98" s="994">
        <v>251.23</v>
      </c>
      <c r="C98" s="994">
        <v>187.05</v>
      </c>
      <c r="D98" s="570">
        <f>VLOOKUP(A98,ціни!$A$7:$D$401,4,FALSE)</f>
        <v>1</v>
      </c>
    </row>
    <row r="99" spans="1:4" x14ac:dyDescent="0.3">
      <c r="A99" s="993">
        <v>150000688</v>
      </c>
      <c r="B99" s="994">
        <v>403.23</v>
      </c>
      <c r="C99" s="994">
        <v>658.83</v>
      </c>
      <c r="D99" s="570">
        <f>VLOOKUP(A99,ціни!$A$7:$D$401,4,FALSE)</f>
        <v>1</v>
      </c>
    </row>
    <row r="100" spans="1:4" x14ac:dyDescent="0.3">
      <c r="A100" s="993">
        <v>150000689</v>
      </c>
      <c r="B100" s="994">
        <v>283.35000000000002</v>
      </c>
      <c r="C100" s="994">
        <v>313.66000000000003</v>
      </c>
      <c r="D100" s="570">
        <f>VLOOKUP(A100,ціни!$A$7:$D$401,4,FALSE)</f>
        <v>1</v>
      </c>
    </row>
    <row r="101" spans="1:4" x14ac:dyDescent="0.3">
      <c r="A101" s="993">
        <v>150000690</v>
      </c>
      <c r="B101" s="994">
        <v>223.32</v>
      </c>
      <c r="C101" s="994">
        <v>408.22</v>
      </c>
      <c r="D101" s="570">
        <f>VLOOKUP(A101,ціни!$A$7:$D$401,4,FALSE)</f>
        <v>1</v>
      </c>
    </row>
    <row r="102" spans="1:4" x14ac:dyDescent="0.3">
      <c r="A102" s="993">
        <v>150000694</v>
      </c>
      <c r="B102" s="994">
        <v>45404.85</v>
      </c>
      <c r="C102" s="994">
        <v>156108.51999999999</v>
      </c>
      <c r="D102" s="570">
        <f>VLOOKUP(A102,ціни!$A$7:$D$401,4,FALSE)</f>
        <v>9</v>
      </c>
    </row>
    <row r="103" spans="1:4" x14ac:dyDescent="0.3">
      <c r="A103" s="993">
        <v>150000695</v>
      </c>
      <c r="B103" s="994">
        <v>48807.21</v>
      </c>
      <c r="C103" s="994">
        <v>140600.23000000001</v>
      </c>
      <c r="D103" s="570">
        <f>VLOOKUP(A103,ціни!$A$7:$D$401,4,FALSE)</f>
        <v>9</v>
      </c>
    </row>
    <row r="104" spans="1:4" x14ac:dyDescent="0.3">
      <c r="A104" s="993">
        <v>150000696</v>
      </c>
      <c r="B104" s="994">
        <v>49309.95</v>
      </c>
      <c r="C104" s="994">
        <v>147681.72</v>
      </c>
      <c r="D104" s="570">
        <f>VLOOKUP(A104,ціни!$A$7:$D$401,4,FALSE)</f>
        <v>9</v>
      </c>
    </row>
    <row r="105" spans="1:4" x14ac:dyDescent="0.3">
      <c r="A105" s="993">
        <v>150000697</v>
      </c>
      <c r="B105" s="994">
        <v>16855.7</v>
      </c>
      <c r="C105" s="994">
        <v>41469.199999999997</v>
      </c>
      <c r="D105" s="570">
        <f>VLOOKUP(A105,ціни!$A$7:$D$401,4,FALSE)</f>
        <v>5</v>
      </c>
    </row>
    <row r="106" spans="1:4" x14ac:dyDescent="0.3">
      <c r="A106" s="993">
        <v>150000699</v>
      </c>
      <c r="B106" s="994">
        <v>26557.71</v>
      </c>
      <c r="C106" s="994">
        <v>77127.83</v>
      </c>
      <c r="D106" s="570">
        <f>VLOOKUP(A106,ціни!$A$7:$D$401,4,FALSE)</f>
        <v>9</v>
      </c>
    </row>
    <row r="107" spans="1:4" x14ac:dyDescent="0.3">
      <c r="A107" s="993">
        <v>150000702</v>
      </c>
      <c r="B107" s="994">
        <v>44704.63</v>
      </c>
      <c r="C107" s="994">
        <v>113101.89</v>
      </c>
      <c r="D107" s="570">
        <f>VLOOKUP(A107,ціни!$A$7:$D$401,4,FALSE)</f>
        <v>9</v>
      </c>
    </row>
    <row r="108" spans="1:4" x14ac:dyDescent="0.3">
      <c r="A108" s="993">
        <v>150000703</v>
      </c>
      <c r="B108" s="994">
        <v>44876.59</v>
      </c>
      <c r="C108" s="994">
        <v>134362.38</v>
      </c>
      <c r="D108" s="570">
        <f>VLOOKUP(A108,ціни!$A$7:$D$401,4,FALSE)</f>
        <v>9</v>
      </c>
    </row>
    <row r="109" spans="1:4" x14ac:dyDescent="0.3">
      <c r="A109" s="993">
        <v>150000706</v>
      </c>
      <c r="B109" s="994">
        <v>373.62</v>
      </c>
      <c r="C109" s="994">
        <v>612.22</v>
      </c>
      <c r="D109" s="570">
        <f>VLOOKUP(A109,ціни!$A$7:$D$401,4,FALSE)</f>
        <v>1</v>
      </c>
    </row>
    <row r="110" spans="1:4" x14ac:dyDescent="0.3">
      <c r="A110" s="993">
        <v>150000707</v>
      </c>
      <c r="B110" s="994">
        <v>495.3</v>
      </c>
      <c r="C110" s="994">
        <v>654.1</v>
      </c>
      <c r="D110" s="570">
        <f>VLOOKUP(A110,ціни!$A$7:$D$401,4,FALSE)</f>
        <v>1</v>
      </c>
    </row>
    <row r="111" spans="1:4" x14ac:dyDescent="0.3">
      <c r="A111" s="993">
        <v>150000708</v>
      </c>
      <c r="B111" s="994">
        <v>366.2</v>
      </c>
      <c r="C111" s="994">
        <v>964.21</v>
      </c>
      <c r="D111" s="570">
        <f>VLOOKUP(A111,ціни!$A$7:$D$401,4,FALSE)</f>
        <v>1</v>
      </c>
    </row>
    <row r="112" spans="1:4" x14ac:dyDescent="0.3">
      <c r="A112" s="993">
        <v>150000709</v>
      </c>
      <c r="B112" s="994">
        <v>307.56</v>
      </c>
      <c r="C112" s="994">
        <v>307.56</v>
      </c>
      <c r="D112" s="570">
        <f>VLOOKUP(A112,ціни!$A$7:$D$401,4,FALSE)</f>
        <v>1</v>
      </c>
    </row>
    <row r="113" spans="1:4" x14ac:dyDescent="0.3">
      <c r="A113" s="993">
        <v>150000710</v>
      </c>
      <c r="B113" s="994">
        <v>23448.639999999999</v>
      </c>
      <c r="C113" s="994">
        <v>70043.520000000004</v>
      </c>
      <c r="D113" s="570">
        <f>VLOOKUP(A113,ціни!$A$7:$D$401,4,FALSE)</f>
        <v>5</v>
      </c>
    </row>
    <row r="114" spans="1:4" x14ac:dyDescent="0.3">
      <c r="A114" s="993">
        <v>150000711</v>
      </c>
      <c r="B114" s="994">
        <v>25046.68</v>
      </c>
      <c r="C114" s="994">
        <v>150637.04</v>
      </c>
      <c r="D114" s="570">
        <f>VLOOKUP(A114,ціни!$A$7:$D$401,4,FALSE)</f>
        <v>5</v>
      </c>
    </row>
    <row r="115" spans="1:4" x14ac:dyDescent="0.3">
      <c r="A115" s="993">
        <v>150000712</v>
      </c>
      <c r="B115" s="994">
        <v>18153.830000000002</v>
      </c>
      <c r="C115" s="994">
        <v>49719.16</v>
      </c>
      <c r="D115" s="570">
        <f>VLOOKUP(A115,ціни!$A$7:$D$401,4,FALSE)</f>
        <v>5</v>
      </c>
    </row>
    <row r="116" spans="1:4" x14ac:dyDescent="0.3">
      <c r="A116" s="993">
        <v>150000713</v>
      </c>
      <c r="B116" s="994">
        <v>27615.599999999999</v>
      </c>
      <c r="C116" s="994">
        <v>94837.29</v>
      </c>
      <c r="D116" s="570">
        <f>VLOOKUP(A116,ціни!$A$7:$D$401,4,FALSE)</f>
        <v>5</v>
      </c>
    </row>
    <row r="117" spans="1:4" x14ac:dyDescent="0.3">
      <c r="A117" s="993">
        <v>150000714</v>
      </c>
      <c r="B117" s="994">
        <v>16722.48</v>
      </c>
      <c r="C117" s="994">
        <v>43078.23</v>
      </c>
      <c r="D117" s="570">
        <f>VLOOKUP(A117,ціни!$A$7:$D$401,4,FALSE)</f>
        <v>5</v>
      </c>
    </row>
    <row r="118" spans="1:4" x14ac:dyDescent="0.3">
      <c r="A118" s="993">
        <v>150000715</v>
      </c>
      <c r="B118" s="994">
        <v>24909.33</v>
      </c>
      <c r="C118" s="994">
        <v>56391.1</v>
      </c>
      <c r="D118" s="570">
        <f>VLOOKUP(A118,ціни!$A$7:$D$401,4,FALSE)</f>
        <v>5</v>
      </c>
    </row>
    <row r="119" spans="1:4" x14ac:dyDescent="0.3">
      <c r="A119" s="993">
        <v>150000716</v>
      </c>
      <c r="B119" s="994">
        <v>14153.7</v>
      </c>
      <c r="C119" s="994">
        <v>19259.2</v>
      </c>
      <c r="D119" s="570">
        <f>VLOOKUP(A119,ціни!$A$7:$D$401,4,FALSE)</f>
        <v>5</v>
      </c>
    </row>
    <row r="120" spans="1:4" x14ac:dyDescent="0.3">
      <c r="A120" s="993">
        <v>150000717</v>
      </c>
      <c r="B120" s="994">
        <v>14588.42</v>
      </c>
      <c r="C120" s="994">
        <v>25972.95</v>
      </c>
      <c r="D120" s="570">
        <f>VLOOKUP(A120,ціни!$A$7:$D$401,4,FALSE)</f>
        <v>5</v>
      </c>
    </row>
    <row r="121" spans="1:4" x14ac:dyDescent="0.3">
      <c r="A121" s="993">
        <v>150000718</v>
      </c>
      <c r="B121" s="994">
        <v>24816.9</v>
      </c>
      <c r="C121" s="994">
        <v>37482.559999999998</v>
      </c>
      <c r="D121" s="570">
        <f>VLOOKUP(A121,ціни!$A$7:$D$401,4,FALSE)</f>
        <v>5</v>
      </c>
    </row>
    <row r="122" spans="1:4" x14ac:dyDescent="0.3">
      <c r="A122" s="993">
        <v>150000719</v>
      </c>
      <c r="B122" s="994">
        <v>34441.79</v>
      </c>
      <c r="C122" s="994">
        <v>147018.32999999999</v>
      </c>
      <c r="D122" s="570">
        <f>VLOOKUP(A122,ціни!$A$7:$D$401,4,FALSE)</f>
        <v>5</v>
      </c>
    </row>
    <row r="123" spans="1:4" x14ac:dyDescent="0.3">
      <c r="A123" s="993">
        <v>150000720</v>
      </c>
      <c r="B123" s="994">
        <v>17090.63</v>
      </c>
      <c r="C123" s="994">
        <v>34801.54</v>
      </c>
      <c r="D123" s="570">
        <f>VLOOKUP(A123,ціни!$A$7:$D$401,4,FALSE)</f>
        <v>5</v>
      </c>
    </row>
    <row r="124" spans="1:4" x14ac:dyDescent="0.3">
      <c r="A124" s="993">
        <v>150000721</v>
      </c>
      <c r="B124" s="994">
        <v>14731.46</v>
      </c>
      <c r="C124" s="994">
        <v>46741.69</v>
      </c>
      <c r="D124" s="570">
        <f>VLOOKUP(A124,ціни!$A$7:$D$401,4,FALSE)</f>
        <v>4</v>
      </c>
    </row>
    <row r="125" spans="1:4" x14ac:dyDescent="0.3">
      <c r="A125" s="993">
        <v>150000722</v>
      </c>
      <c r="B125" s="994">
        <v>18385.830000000002</v>
      </c>
      <c r="C125" s="994">
        <v>72358.179999999993</v>
      </c>
      <c r="D125" s="570">
        <f>VLOOKUP(A125,ціни!$A$7:$D$401,4,FALSE)</f>
        <v>5</v>
      </c>
    </row>
    <row r="126" spans="1:4" x14ac:dyDescent="0.3">
      <c r="A126" s="993">
        <v>150000723</v>
      </c>
      <c r="B126" s="994">
        <v>19379.060000000001</v>
      </c>
      <c r="C126" s="994">
        <v>60729.03</v>
      </c>
      <c r="D126" s="570">
        <f>VLOOKUP(A126,ціни!$A$7:$D$401,4,FALSE)</f>
        <v>5</v>
      </c>
    </row>
    <row r="127" spans="1:4" x14ac:dyDescent="0.3">
      <c r="A127" s="993">
        <v>150000724</v>
      </c>
      <c r="B127" s="994">
        <v>19174.68</v>
      </c>
      <c r="C127" s="994">
        <v>80945.210000000006</v>
      </c>
      <c r="D127" s="570">
        <f>VLOOKUP(A127,ціни!$A$7:$D$401,4,FALSE)</f>
        <v>5</v>
      </c>
    </row>
    <row r="128" spans="1:4" x14ac:dyDescent="0.3">
      <c r="A128" s="993">
        <v>150000725</v>
      </c>
      <c r="B128" s="994">
        <v>20209.59</v>
      </c>
      <c r="C128" s="994">
        <v>100411.31</v>
      </c>
      <c r="D128" s="570">
        <f>VLOOKUP(A128,ціни!$A$7:$D$401,4,FALSE)</f>
        <v>5</v>
      </c>
    </row>
    <row r="129" spans="1:4" x14ac:dyDescent="0.3">
      <c r="A129" s="993">
        <v>150000726</v>
      </c>
      <c r="B129" s="994">
        <v>2457.8200000000002</v>
      </c>
      <c r="C129" s="994">
        <v>9988.75</v>
      </c>
      <c r="D129" s="570">
        <f>VLOOKUP(A129,ціни!$A$7:$D$401,4,FALSE)</f>
        <v>2</v>
      </c>
    </row>
    <row r="130" spans="1:4" x14ac:dyDescent="0.3">
      <c r="A130" s="993">
        <v>150000728</v>
      </c>
      <c r="B130" s="994">
        <v>2259.4299999999998</v>
      </c>
      <c r="C130" s="994">
        <v>922.17</v>
      </c>
      <c r="D130" s="570">
        <f>VLOOKUP(A130,ціни!$A$7:$D$401,4,FALSE)</f>
        <v>2</v>
      </c>
    </row>
    <row r="131" spans="1:4" x14ac:dyDescent="0.3">
      <c r="A131" s="993">
        <v>150000729</v>
      </c>
      <c r="B131" s="994">
        <v>10659.95</v>
      </c>
      <c r="C131" s="994">
        <v>29941.1</v>
      </c>
      <c r="D131" s="570">
        <f>VLOOKUP(A131,ціни!$A$7:$D$401,4,FALSE)</f>
        <v>5</v>
      </c>
    </row>
    <row r="132" spans="1:4" x14ac:dyDescent="0.3">
      <c r="A132" s="993">
        <v>150000736</v>
      </c>
      <c r="B132" s="994">
        <v>12748.24</v>
      </c>
      <c r="C132" s="994">
        <v>27928.77</v>
      </c>
      <c r="D132" s="570">
        <f>VLOOKUP(A132,ціни!$A$7:$D$401,4,FALSE)</f>
        <v>4</v>
      </c>
    </row>
    <row r="133" spans="1:4" x14ac:dyDescent="0.3">
      <c r="A133" s="993">
        <v>150000737</v>
      </c>
      <c r="B133" s="994">
        <v>11601.64</v>
      </c>
      <c r="C133" s="994">
        <v>57154.06</v>
      </c>
      <c r="D133" s="570">
        <f>VLOOKUP(A133,ціни!$A$7:$D$401,4,FALSE)</f>
        <v>4</v>
      </c>
    </row>
    <row r="134" spans="1:4" x14ac:dyDescent="0.3">
      <c r="A134" s="993">
        <v>150000738</v>
      </c>
      <c r="B134" s="994">
        <v>18882.07</v>
      </c>
      <c r="C134" s="994">
        <v>43985.7</v>
      </c>
      <c r="D134" s="570">
        <f>VLOOKUP(A134,ціни!$A$7:$D$401,4,FALSE)</f>
        <v>5</v>
      </c>
    </row>
    <row r="135" spans="1:4" x14ac:dyDescent="0.3">
      <c r="A135" s="993">
        <v>150000739</v>
      </c>
      <c r="B135" s="994">
        <v>16213.24</v>
      </c>
      <c r="C135" s="994">
        <v>50251.75</v>
      </c>
      <c r="D135" s="570">
        <f>VLOOKUP(A135,ціни!$A$7:$D$401,4,FALSE)</f>
        <v>4</v>
      </c>
    </row>
    <row r="136" spans="1:4" x14ac:dyDescent="0.3">
      <c r="A136" s="993">
        <v>150000740</v>
      </c>
      <c r="B136" s="994">
        <v>7215.19</v>
      </c>
      <c r="C136" s="994">
        <v>16262.65</v>
      </c>
      <c r="D136" s="570">
        <f>VLOOKUP(A136,ціни!$A$7:$D$401,4,FALSE)</f>
        <v>3</v>
      </c>
    </row>
    <row r="137" spans="1:4" x14ac:dyDescent="0.3">
      <c r="A137" s="993">
        <v>150000741</v>
      </c>
      <c r="B137" s="994">
        <v>12367.12</v>
      </c>
      <c r="C137" s="994">
        <v>26898.87</v>
      </c>
      <c r="D137" s="570">
        <f>VLOOKUP(A137,ціни!$A$7:$D$401,4,FALSE)</f>
        <v>4</v>
      </c>
    </row>
    <row r="138" spans="1:4" x14ac:dyDescent="0.3">
      <c r="A138" s="993">
        <v>150000742</v>
      </c>
      <c r="B138" s="994">
        <v>8580.5400000000009</v>
      </c>
      <c r="C138" s="994">
        <v>30345.02</v>
      </c>
      <c r="D138" s="570">
        <f>VLOOKUP(A138,ціни!$A$7:$D$401,4,FALSE)</f>
        <v>5</v>
      </c>
    </row>
    <row r="139" spans="1:4" x14ac:dyDescent="0.3">
      <c r="A139" s="993">
        <v>150000743</v>
      </c>
      <c r="B139" s="994">
        <v>7836.63</v>
      </c>
      <c r="C139" s="994">
        <v>49738.68</v>
      </c>
      <c r="D139" s="570">
        <f>VLOOKUP(A139,ціни!$A$7:$D$401,4,FALSE)</f>
        <v>4</v>
      </c>
    </row>
    <row r="140" spans="1:4" x14ac:dyDescent="0.3">
      <c r="A140" s="993">
        <v>150000744</v>
      </c>
      <c r="B140" s="994">
        <v>8398.35</v>
      </c>
      <c r="C140" s="994">
        <v>24278.720000000001</v>
      </c>
      <c r="D140" s="570">
        <f>VLOOKUP(A140,ціни!$A$7:$D$401,4,FALSE)</f>
        <v>4</v>
      </c>
    </row>
    <row r="141" spans="1:4" x14ac:dyDescent="0.3">
      <c r="A141" s="993">
        <v>150000745</v>
      </c>
      <c r="B141" s="994">
        <v>426.74</v>
      </c>
      <c r="C141" s="994">
        <v>2514.98</v>
      </c>
      <c r="D141" s="570">
        <f>VLOOKUP(A141,ціни!$A$7:$D$401,4,FALSE)</f>
        <v>1</v>
      </c>
    </row>
    <row r="142" spans="1:4" x14ac:dyDescent="0.3">
      <c r="A142" s="993">
        <v>150000750</v>
      </c>
      <c r="B142" s="994">
        <v>547.30999999999995</v>
      </c>
      <c r="C142" s="994">
        <v>1813.67</v>
      </c>
      <c r="D142" s="570">
        <f>VLOOKUP(A142,ціни!$A$7:$D$401,4,FALSE)</f>
        <v>1</v>
      </c>
    </row>
    <row r="143" spans="1:4" x14ac:dyDescent="0.3">
      <c r="A143" s="993">
        <v>150000751</v>
      </c>
      <c r="B143" s="994">
        <v>258.69</v>
      </c>
      <c r="C143" s="994">
        <v>-359.79</v>
      </c>
      <c r="D143" s="570">
        <f>VLOOKUP(A143,ціни!$A$7:$D$401,4,FALSE)</f>
        <v>1</v>
      </c>
    </row>
    <row r="144" spans="1:4" x14ac:dyDescent="0.3">
      <c r="A144" s="993">
        <v>150000752</v>
      </c>
      <c r="B144" s="994">
        <v>28831.1</v>
      </c>
      <c r="C144" s="994">
        <v>53817.55</v>
      </c>
      <c r="D144" s="570">
        <f>VLOOKUP(A144,ціни!$A$7:$D$401,4,FALSE)</f>
        <v>9</v>
      </c>
    </row>
    <row r="145" spans="1:4" x14ac:dyDescent="0.3">
      <c r="A145" s="993">
        <v>150000753</v>
      </c>
      <c r="B145" s="994">
        <v>10414.09</v>
      </c>
      <c r="C145" s="994">
        <v>24760.61</v>
      </c>
      <c r="D145" s="570">
        <f>VLOOKUP(A145,ціни!$A$7:$D$401,4,FALSE)</f>
        <v>5</v>
      </c>
    </row>
    <row r="146" spans="1:4" x14ac:dyDescent="0.3">
      <c r="A146" s="993">
        <v>150000754</v>
      </c>
      <c r="B146" s="994">
        <v>17175.599999999999</v>
      </c>
      <c r="C146" s="994">
        <v>66440.479999999996</v>
      </c>
      <c r="D146" s="570">
        <f>VLOOKUP(A146,ціни!$A$7:$D$401,4,FALSE)</f>
        <v>5</v>
      </c>
    </row>
    <row r="147" spans="1:4" x14ac:dyDescent="0.3">
      <c r="A147" s="993">
        <v>150000758</v>
      </c>
      <c r="B147" s="994">
        <v>95553.23</v>
      </c>
      <c r="C147" s="994">
        <v>279665.94</v>
      </c>
      <c r="D147" s="570">
        <f>VLOOKUP(A147,ціни!$A$7:$D$401,4,FALSE)</f>
        <v>9</v>
      </c>
    </row>
    <row r="148" spans="1:4" x14ac:dyDescent="0.3">
      <c r="A148" s="993">
        <v>150000759</v>
      </c>
      <c r="B148" s="994">
        <v>42291.16</v>
      </c>
      <c r="C148" s="994">
        <v>161533.25</v>
      </c>
      <c r="D148" s="570">
        <f>VLOOKUP(A148,ціни!$A$7:$D$401,4,FALSE)</f>
        <v>9</v>
      </c>
    </row>
    <row r="149" spans="1:4" x14ac:dyDescent="0.3">
      <c r="A149" s="993">
        <v>150000760</v>
      </c>
      <c r="B149" s="994">
        <v>77692.179999999993</v>
      </c>
      <c r="C149" s="994">
        <v>256268.88</v>
      </c>
      <c r="D149" s="570">
        <f>VLOOKUP(A149,ціни!$A$7:$D$401,4,FALSE)</f>
        <v>9</v>
      </c>
    </row>
    <row r="150" spans="1:4" x14ac:dyDescent="0.3">
      <c r="A150" s="993">
        <v>150000761</v>
      </c>
      <c r="B150" s="994">
        <v>40790.300000000003</v>
      </c>
      <c r="C150" s="994">
        <v>75929.62</v>
      </c>
      <c r="D150" s="570">
        <f>VLOOKUP(A150,ціни!$A$7:$D$401,4,FALSE)</f>
        <v>9</v>
      </c>
    </row>
    <row r="151" spans="1:4" x14ac:dyDescent="0.3">
      <c r="A151" s="993">
        <v>150000762</v>
      </c>
      <c r="B151" s="994">
        <v>16491.86</v>
      </c>
      <c r="C151" s="994">
        <v>49692</v>
      </c>
      <c r="D151" s="570">
        <f>VLOOKUP(A151,ціни!$A$7:$D$401,4,FALSE)</f>
        <v>9</v>
      </c>
    </row>
    <row r="152" spans="1:4" x14ac:dyDescent="0.3">
      <c r="A152" s="993">
        <v>150000763</v>
      </c>
      <c r="B152" s="994">
        <v>295.61</v>
      </c>
      <c r="C152" s="994">
        <v>1061.76</v>
      </c>
      <c r="D152" s="570">
        <f>VLOOKUP(A152,ціни!$A$7:$D$401,4,FALSE)</f>
        <v>1</v>
      </c>
    </row>
    <row r="153" spans="1:4" x14ac:dyDescent="0.3">
      <c r="A153" s="993">
        <v>150000764</v>
      </c>
      <c r="B153" s="994">
        <v>345.98</v>
      </c>
      <c r="C153" s="994">
        <v>331.18</v>
      </c>
      <c r="D153" s="570">
        <f>VLOOKUP(A153,ціни!$A$7:$D$401,4,FALSE)</f>
        <v>1</v>
      </c>
    </row>
    <row r="154" spans="1:4" x14ac:dyDescent="0.3">
      <c r="A154" s="993">
        <v>150000765</v>
      </c>
      <c r="B154" s="994">
        <v>24840.43</v>
      </c>
      <c r="C154" s="994">
        <v>90913.3</v>
      </c>
      <c r="D154" s="570">
        <f>VLOOKUP(A154,ціни!$A$7:$D$401,4,FALSE)</f>
        <v>5</v>
      </c>
    </row>
    <row r="155" spans="1:4" x14ac:dyDescent="0.3">
      <c r="A155" s="993">
        <v>150000768</v>
      </c>
      <c r="B155" s="994">
        <v>232.08</v>
      </c>
      <c r="C155" s="994">
        <v>264.18</v>
      </c>
      <c r="D155" s="570">
        <f>VLOOKUP(A155,ціни!$A$7:$D$401,4,FALSE)</f>
        <v>1</v>
      </c>
    </row>
    <row r="156" spans="1:4" x14ac:dyDescent="0.3">
      <c r="A156" s="993">
        <v>150000770</v>
      </c>
      <c r="B156" s="994">
        <v>262.45</v>
      </c>
      <c r="C156" s="994">
        <v>131.68</v>
      </c>
      <c r="D156" s="570">
        <f>VLOOKUP(A156,ціни!$A$7:$D$401,4,FALSE)</f>
        <v>1</v>
      </c>
    </row>
    <row r="157" spans="1:4" x14ac:dyDescent="0.3">
      <c r="A157" s="993">
        <v>150000777</v>
      </c>
      <c r="B157" s="994">
        <v>1831.35</v>
      </c>
      <c r="C157" s="994">
        <v>2619.9899999999998</v>
      </c>
      <c r="D157" s="570">
        <f>VLOOKUP(A157,ціни!$A$7:$D$401,4,FALSE)</f>
        <v>2</v>
      </c>
    </row>
    <row r="158" spans="1:4" x14ac:dyDescent="0.3">
      <c r="A158" s="993">
        <v>150000778</v>
      </c>
      <c r="B158" s="994">
        <v>10970.35</v>
      </c>
      <c r="C158" s="994">
        <v>73004.28</v>
      </c>
      <c r="D158" s="570">
        <f>VLOOKUP(A158,ціни!$A$7:$D$401,4,FALSE)</f>
        <v>4</v>
      </c>
    </row>
    <row r="159" spans="1:4" x14ac:dyDescent="0.3">
      <c r="A159" s="993">
        <v>150000781</v>
      </c>
      <c r="B159" s="994">
        <v>437.48</v>
      </c>
      <c r="C159" s="994">
        <v>1921.66</v>
      </c>
      <c r="D159" s="570">
        <f>VLOOKUP(A159,ціни!$A$7:$D$401,4,FALSE)</f>
        <v>1</v>
      </c>
    </row>
    <row r="160" spans="1:4" x14ac:dyDescent="0.3">
      <c r="A160" s="993">
        <v>150000795</v>
      </c>
      <c r="B160" s="994">
        <v>15676.38</v>
      </c>
      <c r="C160" s="994">
        <v>49656.71</v>
      </c>
      <c r="D160" s="570">
        <f>VLOOKUP(A160,ціни!$A$7:$D$401,4,FALSE)</f>
        <v>5</v>
      </c>
    </row>
    <row r="161" spans="1:4" x14ac:dyDescent="0.3">
      <c r="A161" s="993">
        <v>150000796</v>
      </c>
      <c r="B161" s="994">
        <v>280.08999999999997</v>
      </c>
      <c r="C161" s="994">
        <v>390.79</v>
      </c>
      <c r="D161" s="570">
        <f>VLOOKUP(A161,ціни!$A$7:$D$401,4,FALSE)</f>
        <v>1</v>
      </c>
    </row>
    <row r="162" spans="1:4" x14ac:dyDescent="0.3">
      <c r="A162" s="993">
        <v>150000797</v>
      </c>
      <c r="B162" s="994">
        <v>22785.33</v>
      </c>
      <c r="C162" s="994">
        <v>95124.5</v>
      </c>
      <c r="D162" s="570">
        <f>VLOOKUP(A162,ціни!$A$7:$D$401,4,FALSE)</f>
        <v>4</v>
      </c>
    </row>
    <row r="163" spans="1:4" x14ac:dyDescent="0.3">
      <c r="A163" s="993">
        <v>150000798</v>
      </c>
      <c r="B163" s="994">
        <v>5255.14</v>
      </c>
      <c r="C163" s="994">
        <v>28651.32</v>
      </c>
      <c r="D163" s="570">
        <f>VLOOKUP(A163,ціни!$A$7:$D$401,4,FALSE)</f>
        <v>4</v>
      </c>
    </row>
    <row r="164" spans="1:4" x14ac:dyDescent="0.3">
      <c r="A164" s="993">
        <v>150000799</v>
      </c>
      <c r="B164" s="994">
        <v>6682.3</v>
      </c>
      <c r="C164" s="994">
        <v>22001.72</v>
      </c>
      <c r="D164" s="570">
        <f>VLOOKUP(A164,ціни!$A$7:$D$401,4,FALSE)</f>
        <v>5</v>
      </c>
    </row>
    <row r="165" spans="1:4" x14ac:dyDescent="0.3">
      <c r="A165" s="993">
        <v>150000800</v>
      </c>
      <c r="B165" s="994">
        <v>7025.06</v>
      </c>
      <c r="C165" s="994">
        <v>13244.8</v>
      </c>
      <c r="D165" s="570">
        <f>VLOOKUP(A165,ціни!$A$7:$D$401,4,FALSE)</f>
        <v>4</v>
      </c>
    </row>
    <row r="166" spans="1:4" x14ac:dyDescent="0.3">
      <c r="A166" s="993">
        <v>150000801</v>
      </c>
      <c r="B166" s="994">
        <v>18134.3</v>
      </c>
      <c r="C166" s="994">
        <v>62565.87</v>
      </c>
      <c r="D166" s="570">
        <f>VLOOKUP(A166,ціни!$A$7:$D$401,4,FALSE)</f>
        <v>5</v>
      </c>
    </row>
    <row r="167" spans="1:4" x14ac:dyDescent="0.3">
      <c r="A167" s="993">
        <v>150000802</v>
      </c>
      <c r="B167" s="994">
        <v>16539.03</v>
      </c>
      <c r="C167" s="994">
        <v>39649.25</v>
      </c>
      <c r="D167" s="570">
        <f>VLOOKUP(A167,ціни!$A$7:$D$401,4,FALSE)</f>
        <v>5</v>
      </c>
    </row>
    <row r="168" spans="1:4" x14ac:dyDescent="0.3">
      <c r="A168" s="993">
        <v>150000803</v>
      </c>
      <c r="B168" s="994">
        <v>5361.88</v>
      </c>
      <c r="C168" s="994">
        <v>30957.73</v>
      </c>
      <c r="D168" s="570">
        <f>VLOOKUP(A168,ціни!$A$7:$D$401,4,FALSE)</f>
        <v>4</v>
      </c>
    </row>
    <row r="169" spans="1:4" x14ac:dyDescent="0.3">
      <c r="A169" s="993">
        <v>150000805</v>
      </c>
      <c r="B169" s="994">
        <v>13027.89</v>
      </c>
      <c r="C169" s="994">
        <v>31542.91</v>
      </c>
      <c r="D169" s="570">
        <f>VLOOKUP(A169,ціни!$A$7:$D$401,4,FALSE)</f>
        <v>5</v>
      </c>
    </row>
    <row r="170" spans="1:4" x14ac:dyDescent="0.3">
      <c r="A170" s="993">
        <v>150000806</v>
      </c>
      <c r="B170" s="994">
        <v>9868.3700000000008</v>
      </c>
      <c r="C170" s="994">
        <v>37239.18</v>
      </c>
      <c r="D170" s="570">
        <f>VLOOKUP(A170,ціни!$A$7:$D$401,4,FALSE)</f>
        <v>4</v>
      </c>
    </row>
    <row r="171" spans="1:4" x14ac:dyDescent="0.3">
      <c r="A171" s="993">
        <v>150000807</v>
      </c>
      <c r="B171" s="994">
        <v>1115.56</v>
      </c>
      <c r="C171" s="994">
        <v>7705.91</v>
      </c>
      <c r="D171" s="570">
        <f>VLOOKUP(A171,ціни!$A$7:$D$401,4,FALSE)</f>
        <v>2</v>
      </c>
    </row>
    <row r="172" spans="1:4" x14ac:dyDescent="0.3">
      <c r="A172" s="993">
        <v>150000808</v>
      </c>
      <c r="B172" s="994">
        <v>8354.18</v>
      </c>
      <c r="C172" s="994">
        <v>18016.46</v>
      </c>
      <c r="D172" s="570">
        <f>VLOOKUP(A172,ціни!$A$7:$D$401,4,FALSE)</f>
        <v>5</v>
      </c>
    </row>
    <row r="173" spans="1:4" x14ac:dyDescent="0.3">
      <c r="A173" s="993">
        <v>150000809</v>
      </c>
      <c r="B173" s="994">
        <v>10937.34</v>
      </c>
      <c r="C173" s="994">
        <v>26675.7</v>
      </c>
      <c r="D173" s="570">
        <f>VLOOKUP(A173,ціни!$A$7:$D$401,4,FALSE)</f>
        <v>5</v>
      </c>
    </row>
    <row r="174" spans="1:4" x14ac:dyDescent="0.3">
      <c r="A174" s="993">
        <v>150000810</v>
      </c>
      <c r="B174" s="994">
        <v>12024.99</v>
      </c>
      <c r="C174" s="994">
        <v>51028.38</v>
      </c>
      <c r="D174" s="570">
        <f>VLOOKUP(A174,ціни!$A$7:$D$401,4,FALSE)</f>
        <v>5</v>
      </c>
    </row>
    <row r="175" spans="1:4" x14ac:dyDescent="0.3">
      <c r="A175" s="993">
        <v>150000811</v>
      </c>
      <c r="B175" s="994">
        <v>14627.35</v>
      </c>
      <c r="C175" s="994">
        <v>43920.9</v>
      </c>
      <c r="D175" s="570">
        <f>VLOOKUP(A175,ціни!$A$7:$D$401,4,FALSE)</f>
        <v>5</v>
      </c>
    </row>
    <row r="176" spans="1:4" x14ac:dyDescent="0.3">
      <c r="A176" s="993">
        <v>150000812</v>
      </c>
      <c r="B176" s="994">
        <v>10827</v>
      </c>
      <c r="C176" s="994">
        <v>65856.850000000006</v>
      </c>
      <c r="D176" s="570">
        <f>VLOOKUP(A176,ціни!$A$7:$D$401,4,FALSE)</f>
        <v>5</v>
      </c>
    </row>
    <row r="177" spans="1:4" x14ac:dyDescent="0.3">
      <c r="A177" s="993">
        <v>150000813</v>
      </c>
      <c r="B177" s="994">
        <v>1787.99</v>
      </c>
      <c r="C177" s="994">
        <v>8701.75</v>
      </c>
      <c r="D177" s="570">
        <f>VLOOKUP(A177,ціни!$A$7:$D$401,4,FALSE)</f>
        <v>2</v>
      </c>
    </row>
    <row r="178" spans="1:4" x14ac:dyDescent="0.3">
      <c r="A178" s="993">
        <v>150000814</v>
      </c>
      <c r="B178" s="994">
        <v>12355.03</v>
      </c>
      <c r="C178" s="994">
        <v>42784.38</v>
      </c>
      <c r="D178" s="570">
        <f>VLOOKUP(A178,ціни!$A$7:$D$401,4,FALSE)</f>
        <v>5</v>
      </c>
    </row>
    <row r="179" spans="1:4" x14ac:dyDescent="0.3">
      <c r="A179" s="993">
        <v>150000816</v>
      </c>
      <c r="B179" s="994">
        <v>11364.56</v>
      </c>
      <c r="C179" s="994">
        <v>13575.79</v>
      </c>
      <c r="D179" s="570">
        <f>VLOOKUP(A179,ціни!$A$7:$D$401,4,FALSE)</f>
        <v>4</v>
      </c>
    </row>
    <row r="180" spans="1:4" x14ac:dyDescent="0.3">
      <c r="A180" s="993">
        <v>150000819</v>
      </c>
      <c r="B180" s="994">
        <v>44017.19</v>
      </c>
      <c r="C180" s="994">
        <v>57480.99</v>
      </c>
      <c r="D180" s="570">
        <f>VLOOKUP(A180,ціни!$A$7:$D$401,4,FALSE)</f>
        <v>10</v>
      </c>
    </row>
    <row r="181" spans="1:4" x14ac:dyDescent="0.3">
      <c r="A181" s="993">
        <v>150000820</v>
      </c>
      <c r="B181" s="994">
        <v>32678.29</v>
      </c>
      <c r="C181" s="994">
        <v>37602.230000000003</v>
      </c>
      <c r="D181" s="570">
        <f>VLOOKUP(A181,ціни!$A$7:$D$401,4,FALSE)</f>
        <v>9</v>
      </c>
    </row>
    <row r="182" spans="1:4" x14ac:dyDescent="0.3">
      <c r="A182" s="993">
        <v>150000827</v>
      </c>
      <c r="B182" s="994">
        <v>17364.07</v>
      </c>
      <c r="C182" s="994">
        <v>83005.08</v>
      </c>
      <c r="D182" s="570">
        <f>VLOOKUP(A182,ціни!$A$7:$D$401,4,FALSE)</f>
        <v>5</v>
      </c>
    </row>
    <row r="183" spans="1:4" x14ac:dyDescent="0.3">
      <c r="A183" s="993">
        <v>150000828</v>
      </c>
      <c r="B183" s="994">
        <v>14514.62</v>
      </c>
      <c r="C183" s="994">
        <v>48452.65</v>
      </c>
      <c r="D183" s="570">
        <f>VLOOKUP(A183,ціни!$A$7:$D$401,4,FALSE)</f>
        <v>5</v>
      </c>
    </row>
    <row r="184" spans="1:4" x14ac:dyDescent="0.3">
      <c r="A184" s="993">
        <v>150000829</v>
      </c>
      <c r="B184" s="994">
        <v>13856.16</v>
      </c>
      <c r="C184" s="994">
        <v>46447.27</v>
      </c>
      <c r="D184" s="570">
        <f>VLOOKUP(A184,ціни!$A$7:$D$401,4,FALSE)</f>
        <v>4</v>
      </c>
    </row>
    <row r="185" spans="1:4" x14ac:dyDescent="0.3">
      <c r="A185" s="993">
        <v>150000830</v>
      </c>
      <c r="B185" s="994">
        <v>19786.55</v>
      </c>
      <c r="C185" s="994">
        <v>30404.06</v>
      </c>
      <c r="D185" s="570">
        <f>VLOOKUP(A185,ціни!$A$7:$D$401,4,FALSE)</f>
        <v>5</v>
      </c>
    </row>
    <row r="186" spans="1:4" x14ac:dyDescent="0.3">
      <c r="A186" s="993">
        <v>150000832</v>
      </c>
      <c r="B186" s="994">
        <v>32015.51</v>
      </c>
      <c r="C186" s="994">
        <v>64941.88</v>
      </c>
      <c r="D186" s="570">
        <f>VLOOKUP(A186,ціни!$A$7:$D$401,4,FALSE)</f>
        <v>10</v>
      </c>
    </row>
    <row r="187" spans="1:4" x14ac:dyDescent="0.3">
      <c r="A187" s="993">
        <v>150000833</v>
      </c>
      <c r="B187" s="994">
        <v>31667.65</v>
      </c>
      <c r="C187" s="994">
        <v>61127.32</v>
      </c>
      <c r="D187" s="570">
        <f>VLOOKUP(A187,ціни!$A$7:$D$401,4,FALSE)</f>
        <v>9</v>
      </c>
    </row>
    <row r="188" spans="1:4" x14ac:dyDescent="0.3">
      <c r="A188" s="993">
        <v>150000836</v>
      </c>
      <c r="B188" s="994">
        <v>11179.7</v>
      </c>
      <c r="C188" s="994">
        <v>34968.28</v>
      </c>
      <c r="D188" s="570">
        <f>VLOOKUP(A188,ціни!$A$7:$D$401,4,FALSE)</f>
        <v>3</v>
      </c>
    </row>
    <row r="189" spans="1:4" x14ac:dyDescent="0.3">
      <c r="A189" s="993">
        <v>150000837</v>
      </c>
      <c r="B189" s="994">
        <v>2977.53</v>
      </c>
      <c r="C189" s="994">
        <v>2977.53</v>
      </c>
      <c r="D189" s="570">
        <f>VLOOKUP(A189,ціни!$A$7:$D$401,4,FALSE)</f>
        <v>3</v>
      </c>
    </row>
    <row r="190" spans="1:4" x14ac:dyDescent="0.3">
      <c r="A190" s="993">
        <v>150000839</v>
      </c>
      <c r="B190" s="994">
        <v>309.92</v>
      </c>
      <c r="C190" s="994">
        <v>-7233.52</v>
      </c>
      <c r="D190" s="570">
        <f>VLOOKUP(A190,ціни!$A$7:$D$401,4,FALSE)</f>
        <v>1</v>
      </c>
    </row>
    <row r="191" spans="1:4" x14ac:dyDescent="0.3">
      <c r="A191" s="993">
        <v>150000840</v>
      </c>
      <c r="B191" s="994">
        <v>29338.22</v>
      </c>
      <c r="C191" s="994">
        <v>55712.93</v>
      </c>
      <c r="D191" s="570">
        <f>VLOOKUP(A191,ціни!$A$7:$D$401,4,FALSE)</f>
        <v>9</v>
      </c>
    </row>
    <row r="192" spans="1:4" x14ac:dyDescent="0.3">
      <c r="A192" s="993">
        <v>150000841</v>
      </c>
      <c r="B192" s="994">
        <v>301.94</v>
      </c>
      <c r="C192" s="994">
        <v>301.94</v>
      </c>
      <c r="D192" s="570">
        <f>VLOOKUP(A192,ціни!$A$7:$D$401,4,FALSE)</f>
        <v>1</v>
      </c>
    </row>
    <row r="193" spans="1:4" x14ac:dyDescent="0.3">
      <c r="A193" s="993">
        <v>150000845</v>
      </c>
      <c r="B193" s="994">
        <v>466.54</v>
      </c>
      <c r="C193" s="994">
        <v>1062.0999999999999</v>
      </c>
      <c r="D193" s="570">
        <f>VLOOKUP(A193,ціни!$A$7:$D$401,4,FALSE)</f>
        <v>1</v>
      </c>
    </row>
    <row r="194" spans="1:4" x14ac:dyDescent="0.3">
      <c r="A194" s="993">
        <v>150000848</v>
      </c>
      <c r="B194" s="994">
        <v>1679.41</v>
      </c>
      <c r="C194" s="994">
        <v>2098.62</v>
      </c>
      <c r="D194" s="570">
        <f>VLOOKUP(A194,ціни!$A$7:$D$401,4,FALSE)</f>
        <v>2</v>
      </c>
    </row>
    <row r="195" spans="1:4" x14ac:dyDescent="0.3">
      <c r="A195" s="993">
        <v>150000861</v>
      </c>
      <c r="B195" s="994">
        <v>15923.31</v>
      </c>
      <c r="C195" s="994">
        <v>52595.69</v>
      </c>
      <c r="D195" s="570">
        <f>VLOOKUP(A195,ціни!$A$7:$D$401,4,FALSE)</f>
        <v>4</v>
      </c>
    </row>
    <row r="196" spans="1:4" x14ac:dyDescent="0.3">
      <c r="A196" s="993">
        <v>150000862</v>
      </c>
      <c r="B196" s="994">
        <v>20075.919999999998</v>
      </c>
      <c r="C196" s="994">
        <v>81690.69</v>
      </c>
      <c r="D196" s="570">
        <f>VLOOKUP(A196,ціни!$A$7:$D$401,4,FALSE)</f>
        <v>4</v>
      </c>
    </row>
    <row r="197" spans="1:4" x14ac:dyDescent="0.3">
      <c r="A197" s="993">
        <v>150000863</v>
      </c>
      <c r="B197" s="994">
        <v>14919.21</v>
      </c>
      <c r="C197" s="994">
        <v>73474.81</v>
      </c>
      <c r="D197" s="570">
        <f>VLOOKUP(A197,ціни!$A$7:$D$401,4,FALSE)</f>
        <v>4</v>
      </c>
    </row>
    <row r="198" spans="1:4" x14ac:dyDescent="0.3">
      <c r="A198" s="993">
        <v>150000864</v>
      </c>
      <c r="B198" s="994">
        <v>18285.919999999998</v>
      </c>
      <c r="C198" s="994">
        <v>105300.97</v>
      </c>
      <c r="D198" s="570">
        <f>VLOOKUP(A198,ціни!$A$7:$D$401,4,FALSE)</f>
        <v>3</v>
      </c>
    </row>
    <row r="199" spans="1:4" x14ac:dyDescent="0.3">
      <c r="A199" s="993">
        <v>150000865</v>
      </c>
      <c r="B199" s="994">
        <v>34304.28</v>
      </c>
      <c r="C199" s="994">
        <v>149791.64000000001</v>
      </c>
      <c r="D199" s="570">
        <f>VLOOKUP(A199,ціни!$A$7:$D$401,4,FALSE)</f>
        <v>5</v>
      </c>
    </row>
    <row r="200" spans="1:4" x14ac:dyDescent="0.3">
      <c r="A200" s="993">
        <v>150000866</v>
      </c>
      <c r="B200" s="994">
        <v>19856.080000000002</v>
      </c>
      <c r="C200" s="994">
        <v>93483.91</v>
      </c>
      <c r="D200" s="570">
        <f>VLOOKUP(A200,ціни!$A$7:$D$401,4,FALSE)</f>
        <v>5</v>
      </c>
    </row>
    <row r="201" spans="1:4" x14ac:dyDescent="0.3">
      <c r="A201" s="993">
        <v>150000867</v>
      </c>
      <c r="B201" s="994">
        <v>9901.8799999999992</v>
      </c>
      <c r="C201" s="994">
        <v>21014.75</v>
      </c>
      <c r="D201" s="570">
        <f>VLOOKUP(A201,ціни!$A$7:$D$401,4,FALSE)</f>
        <v>5</v>
      </c>
    </row>
    <row r="202" spans="1:4" x14ac:dyDescent="0.3">
      <c r="A202" s="993">
        <v>150000868</v>
      </c>
      <c r="B202" s="994">
        <v>14286.72</v>
      </c>
      <c r="C202" s="994">
        <v>27539.91</v>
      </c>
      <c r="D202" s="570">
        <f>VLOOKUP(A202,ціни!$A$7:$D$401,4,FALSE)</f>
        <v>5</v>
      </c>
    </row>
    <row r="203" spans="1:4" x14ac:dyDescent="0.3">
      <c r="A203" s="993">
        <v>150000869</v>
      </c>
      <c r="B203" s="994">
        <v>25303.59</v>
      </c>
      <c r="C203" s="994">
        <v>56876.21</v>
      </c>
      <c r="D203" s="570">
        <f>VLOOKUP(A203,ціни!$A$7:$D$401,4,FALSE)</f>
        <v>5</v>
      </c>
    </row>
    <row r="204" spans="1:4" x14ac:dyDescent="0.3">
      <c r="A204" s="993">
        <v>150000871</v>
      </c>
      <c r="B204" s="994">
        <v>257.69</v>
      </c>
      <c r="C204" s="994">
        <v>174.19</v>
      </c>
      <c r="D204" s="570">
        <f>VLOOKUP(A204,ціни!$A$7:$D$401,4,FALSE)</f>
        <v>1</v>
      </c>
    </row>
    <row r="205" spans="1:4" x14ac:dyDescent="0.3">
      <c r="A205" s="993">
        <v>150000872</v>
      </c>
      <c r="B205" s="994">
        <v>6752.61</v>
      </c>
      <c r="C205" s="994">
        <v>19615.7</v>
      </c>
      <c r="D205" s="570">
        <f>VLOOKUP(A205,ціни!$A$7:$D$401,4,FALSE)</f>
        <v>4</v>
      </c>
    </row>
    <row r="206" spans="1:4" x14ac:dyDescent="0.3">
      <c r="A206" s="993">
        <v>150000873</v>
      </c>
      <c r="B206" s="994">
        <v>13302.22</v>
      </c>
      <c r="C206" s="994">
        <v>17043.45</v>
      </c>
      <c r="D206" s="570">
        <f>VLOOKUP(A206,ціни!$A$7:$D$401,4,FALSE)</f>
        <v>5</v>
      </c>
    </row>
    <row r="207" spans="1:4" x14ac:dyDescent="0.3">
      <c r="A207" s="993">
        <v>150000874</v>
      </c>
      <c r="B207" s="994">
        <v>12413.1</v>
      </c>
      <c r="C207" s="994">
        <v>38810.449999999997</v>
      </c>
      <c r="D207" s="570">
        <f>VLOOKUP(A207,ціни!$A$7:$D$401,4,FALSE)</f>
        <v>5</v>
      </c>
    </row>
    <row r="208" spans="1:4" x14ac:dyDescent="0.3">
      <c r="A208" s="993">
        <v>150000875</v>
      </c>
      <c r="B208" s="994">
        <v>16192.85</v>
      </c>
      <c r="C208" s="994">
        <v>39171.4</v>
      </c>
      <c r="D208" s="570">
        <f>VLOOKUP(A208,ціни!$A$7:$D$401,4,FALSE)</f>
        <v>5</v>
      </c>
    </row>
    <row r="209" spans="1:4" x14ac:dyDescent="0.3">
      <c r="A209" s="993">
        <v>150000878</v>
      </c>
      <c r="B209" s="994">
        <v>9614.92</v>
      </c>
      <c r="C209" s="994">
        <v>37314.720000000001</v>
      </c>
      <c r="D209" s="570">
        <f>VLOOKUP(A209,ціни!$A$7:$D$401,4,FALSE)</f>
        <v>4</v>
      </c>
    </row>
    <row r="210" spans="1:4" x14ac:dyDescent="0.3">
      <c r="A210" s="993">
        <v>150000879</v>
      </c>
      <c r="B210" s="994">
        <v>15595.08</v>
      </c>
      <c r="C210" s="994">
        <v>32723.01</v>
      </c>
      <c r="D210" s="570">
        <f>VLOOKUP(A210,ціни!$A$7:$D$401,4,FALSE)</f>
        <v>5</v>
      </c>
    </row>
    <row r="211" spans="1:4" x14ac:dyDescent="0.3">
      <c r="A211" s="993">
        <v>150000880</v>
      </c>
      <c r="B211" s="994">
        <v>10390.040000000001</v>
      </c>
      <c r="C211" s="994">
        <v>13603.03</v>
      </c>
      <c r="D211" s="570">
        <f>VLOOKUP(A211,ціни!$A$7:$D$401,4,FALSE)</f>
        <v>4</v>
      </c>
    </row>
    <row r="212" spans="1:4" x14ac:dyDescent="0.3">
      <c r="A212" s="993">
        <v>150000881</v>
      </c>
      <c r="B212" s="994">
        <v>15305.7</v>
      </c>
      <c r="C212" s="994">
        <v>21874.28</v>
      </c>
      <c r="D212" s="570">
        <f>VLOOKUP(A212,ціни!$A$7:$D$401,4,FALSE)</f>
        <v>9</v>
      </c>
    </row>
    <row r="213" spans="1:4" x14ac:dyDescent="0.3">
      <c r="A213" s="993">
        <v>150000882</v>
      </c>
      <c r="B213" s="994">
        <v>11110.25</v>
      </c>
      <c r="C213" s="994">
        <v>35144.879999999997</v>
      </c>
      <c r="D213" s="570">
        <f>VLOOKUP(A213,ціни!$A$7:$D$401,4,FALSE)</f>
        <v>5</v>
      </c>
    </row>
    <row r="214" spans="1:4" x14ac:dyDescent="0.3">
      <c r="A214" s="993">
        <v>150000883</v>
      </c>
      <c r="B214" s="994">
        <v>9241.94</v>
      </c>
      <c r="C214" s="994">
        <v>19306.23</v>
      </c>
      <c r="D214" s="570">
        <f>VLOOKUP(A214,ціни!$A$7:$D$401,4,FALSE)</f>
        <v>5</v>
      </c>
    </row>
    <row r="215" spans="1:4" x14ac:dyDescent="0.3">
      <c r="A215" s="993">
        <v>150000884</v>
      </c>
      <c r="B215" s="994">
        <v>12246.35</v>
      </c>
      <c r="C215" s="994">
        <v>24701.01</v>
      </c>
      <c r="D215" s="570">
        <f>VLOOKUP(A215,ціни!$A$7:$D$401,4,FALSE)</f>
        <v>5</v>
      </c>
    </row>
    <row r="216" spans="1:4" x14ac:dyDescent="0.3">
      <c r="A216" s="993">
        <v>150000885</v>
      </c>
      <c r="B216" s="994">
        <v>8283.4599999999991</v>
      </c>
      <c r="C216" s="994">
        <v>10691.58</v>
      </c>
      <c r="D216" s="570">
        <f>VLOOKUP(A216,ціни!$A$7:$D$401,4,FALSE)</f>
        <v>4</v>
      </c>
    </row>
    <row r="217" spans="1:4" x14ac:dyDescent="0.3">
      <c r="A217" s="993">
        <v>150000886</v>
      </c>
      <c r="B217" s="994">
        <v>17124.259999999998</v>
      </c>
      <c r="C217" s="994">
        <v>106874.74</v>
      </c>
      <c r="D217" s="570">
        <f>VLOOKUP(A217,ціни!$A$7:$D$401,4,FALSE)</f>
        <v>9</v>
      </c>
    </row>
    <row r="218" spans="1:4" x14ac:dyDescent="0.3">
      <c r="A218" s="993">
        <v>150000887</v>
      </c>
      <c r="B218" s="994">
        <v>43946.17</v>
      </c>
      <c r="C218" s="994">
        <v>149983.79</v>
      </c>
      <c r="D218" s="570">
        <f>VLOOKUP(A218,ціни!$A$7:$D$401,4,FALSE)</f>
        <v>9</v>
      </c>
    </row>
    <row r="219" spans="1:4" x14ac:dyDescent="0.3">
      <c r="A219" s="993">
        <v>150000888</v>
      </c>
      <c r="B219" s="994">
        <v>13824.88</v>
      </c>
      <c r="C219" s="994">
        <v>37341.120000000003</v>
      </c>
      <c r="D219" s="570">
        <f>VLOOKUP(A219,ціни!$A$7:$D$401,4,FALSE)</f>
        <v>5</v>
      </c>
    </row>
    <row r="220" spans="1:4" x14ac:dyDescent="0.3">
      <c r="A220" s="993">
        <v>150000889</v>
      </c>
      <c r="B220" s="994">
        <v>34552.19</v>
      </c>
      <c r="C220" s="994">
        <v>70191.77</v>
      </c>
      <c r="D220" s="570">
        <f>VLOOKUP(A220,ціни!$A$7:$D$401,4,FALSE)</f>
        <v>16</v>
      </c>
    </row>
    <row r="221" spans="1:4" x14ac:dyDescent="0.3">
      <c r="A221" s="993">
        <v>150000890</v>
      </c>
      <c r="B221" s="994">
        <v>56611.99</v>
      </c>
      <c r="C221" s="994">
        <v>148876.82999999999</v>
      </c>
      <c r="D221" s="570">
        <f>VLOOKUP(A221,ціни!$A$7:$D$401,4,FALSE)</f>
        <v>9</v>
      </c>
    </row>
    <row r="222" spans="1:4" x14ac:dyDescent="0.3">
      <c r="A222" s="993">
        <v>150000891</v>
      </c>
      <c r="B222" s="994">
        <v>836.22</v>
      </c>
      <c r="C222" s="994">
        <v>18956.650000000001</v>
      </c>
      <c r="D222" s="570">
        <f>VLOOKUP(A222,ціни!$A$7:$D$401,4,FALSE)</f>
        <v>2</v>
      </c>
    </row>
    <row r="223" spans="1:4" x14ac:dyDescent="0.3">
      <c r="A223" s="993">
        <v>150000892</v>
      </c>
      <c r="B223" s="994">
        <v>30995.21</v>
      </c>
      <c r="C223" s="994">
        <v>72027.86</v>
      </c>
      <c r="D223" s="570">
        <f>VLOOKUP(A223,ціни!$A$7:$D$401,4,FALSE)</f>
        <v>9</v>
      </c>
    </row>
    <row r="224" spans="1:4" x14ac:dyDescent="0.3">
      <c r="A224" s="993">
        <v>150000893</v>
      </c>
      <c r="B224" s="994">
        <v>16949.04</v>
      </c>
      <c r="C224" s="994">
        <v>31576.29</v>
      </c>
      <c r="D224" s="570">
        <f>VLOOKUP(A224,ціни!$A$7:$D$401,4,FALSE)</f>
        <v>5</v>
      </c>
    </row>
    <row r="225" spans="1:4" x14ac:dyDescent="0.3">
      <c r="A225" s="993">
        <v>150000894</v>
      </c>
      <c r="B225" s="994">
        <v>19732.54</v>
      </c>
      <c r="C225" s="994">
        <v>63223.27</v>
      </c>
      <c r="D225" s="570">
        <f>VLOOKUP(A225,ціни!$A$7:$D$401,4,FALSE)</f>
        <v>5</v>
      </c>
    </row>
    <row r="226" spans="1:4" x14ac:dyDescent="0.3">
      <c r="A226" s="993">
        <v>150000895</v>
      </c>
      <c r="B226" s="994">
        <v>15953.4</v>
      </c>
      <c r="C226" s="994">
        <v>41364.26</v>
      </c>
      <c r="D226" s="570">
        <f>VLOOKUP(A226,ціни!$A$7:$D$401,4,FALSE)</f>
        <v>5</v>
      </c>
    </row>
    <row r="227" spans="1:4" x14ac:dyDescent="0.3">
      <c r="A227" s="993">
        <v>150000896</v>
      </c>
      <c r="B227" s="994">
        <v>17039.080000000002</v>
      </c>
      <c r="C227" s="994">
        <v>68321.539999999994</v>
      </c>
      <c r="D227" s="570">
        <f>VLOOKUP(A227,ціни!$A$7:$D$401,4,FALSE)</f>
        <v>5</v>
      </c>
    </row>
    <row r="228" spans="1:4" x14ac:dyDescent="0.3">
      <c r="A228" s="993">
        <v>150000898</v>
      </c>
      <c r="B228" s="994">
        <v>2582.21</v>
      </c>
      <c r="C228" s="994">
        <v>1545.17</v>
      </c>
      <c r="D228" s="570">
        <f>VLOOKUP(A228,ціни!$A$7:$D$401,4,FALSE)</f>
        <v>2</v>
      </c>
    </row>
    <row r="229" spans="1:4" x14ac:dyDescent="0.3">
      <c r="A229" s="993">
        <v>150000899</v>
      </c>
      <c r="B229" s="994">
        <v>49037.58</v>
      </c>
      <c r="C229" s="994">
        <v>115044.38</v>
      </c>
      <c r="D229" s="570">
        <f>VLOOKUP(A229,ціни!$A$7:$D$401,4,FALSE)</f>
        <v>9</v>
      </c>
    </row>
    <row r="230" spans="1:4" x14ac:dyDescent="0.3">
      <c r="A230" s="993">
        <v>150000900</v>
      </c>
      <c r="B230" s="994">
        <v>26221.599999999999</v>
      </c>
      <c r="C230" s="994">
        <v>68779.42</v>
      </c>
      <c r="D230" s="570">
        <f>VLOOKUP(A230,ціни!$A$7:$D$401,4,FALSE)</f>
        <v>14</v>
      </c>
    </row>
    <row r="231" spans="1:4" x14ac:dyDescent="0.3">
      <c r="A231" s="993">
        <v>150000901</v>
      </c>
      <c r="B231" s="994">
        <v>54972.04</v>
      </c>
      <c r="C231" s="994">
        <v>187887.6</v>
      </c>
      <c r="D231" s="570">
        <f>VLOOKUP(A231,ціни!$A$7:$D$401,4,FALSE)</f>
        <v>10</v>
      </c>
    </row>
    <row r="232" spans="1:4" x14ac:dyDescent="0.3">
      <c r="A232" s="993">
        <v>150000902</v>
      </c>
      <c r="B232" s="994">
        <v>26532.09</v>
      </c>
      <c r="C232" s="994">
        <v>82975.039999999994</v>
      </c>
      <c r="D232" s="570">
        <f>VLOOKUP(A232,ціни!$A$7:$D$401,4,FALSE)</f>
        <v>9</v>
      </c>
    </row>
    <row r="233" spans="1:4" x14ac:dyDescent="0.3">
      <c r="A233" s="993">
        <v>150000903</v>
      </c>
      <c r="B233" s="994">
        <v>29512.46</v>
      </c>
      <c r="C233" s="994">
        <v>56179.73</v>
      </c>
      <c r="D233" s="570">
        <f>VLOOKUP(A233,ціни!$A$7:$D$401,4,FALSE)</f>
        <v>9</v>
      </c>
    </row>
    <row r="234" spans="1:4" x14ac:dyDescent="0.3">
      <c r="A234" s="993">
        <v>150000904</v>
      </c>
      <c r="B234" s="994">
        <v>27685.26</v>
      </c>
      <c r="C234" s="994">
        <v>50895.4</v>
      </c>
      <c r="D234" s="570">
        <f>VLOOKUP(A234,ціни!$A$7:$D$401,4,FALSE)</f>
        <v>9</v>
      </c>
    </row>
    <row r="235" spans="1:4" x14ac:dyDescent="0.3">
      <c r="A235" s="993">
        <v>150000905</v>
      </c>
      <c r="B235" s="994">
        <v>31199.34</v>
      </c>
      <c r="C235" s="994">
        <v>73919.94</v>
      </c>
      <c r="D235" s="570">
        <f>VLOOKUP(A235,ціни!$A$7:$D$401,4,FALSE)</f>
        <v>14</v>
      </c>
    </row>
    <row r="236" spans="1:4" x14ac:dyDescent="0.3">
      <c r="A236" s="993">
        <v>150000906</v>
      </c>
      <c r="B236" s="994">
        <v>29218.28</v>
      </c>
      <c r="C236" s="994">
        <v>42932.83</v>
      </c>
      <c r="D236" s="570">
        <f>VLOOKUP(A236,ціни!$A$7:$D$401,4,FALSE)</f>
        <v>9</v>
      </c>
    </row>
    <row r="237" spans="1:4" x14ac:dyDescent="0.3">
      <c r="A237" s="993">
        <v>150000907</v>
      </c>
      <c r="B237" s="994">
        <v>43929.11</v>
      </c>
      <c r="C237" s="994">
        <v>49940.32</v>
      </c>
      <c r="D237" s="570">
        <f>VLOOKUP(A237,ціни!$A$7:$D$401,4,FALSE)</f>
        <v>9</v>
      </c>
    </row>
    <row r="238" spans="1:4" x14ac:dyDescent="0.3">
      <c r="A238" s="993">
        <v>150000908</v>
      </c>
      <c r="B238" s="994">
        <v>42810.17</v>
      </c>
      <c r="C238" s="994">
        <v>80502.13</v>
      </c>
      <c r="D238" s="570">
        <f>VLOOKUP(A238,ціни!$A$7:$D$401,4,FALSE)</f>
        <v>9</v>
      </c>
    </row>
    <row r="239" spans="1:4" x14ac:dyDescent="0.3">
      <c r="A239" s="993">
        <v>150000909</v>
      </c>
      <c r="B239" s="994">
        <v>40437.56</v>
      </c>
      <c r="C239" s="994">
        <v>120100.6</v>
      </c>
      <c r="D239" s="570">
        <f>VLOOKUP(A239,ціни!$A$7:$D$401,4,FALSE)</f>
        <v>9</v>
      </c>
    </row>
    <row r="240" spans="1:4" x14ac:dyDescent="0.3">
      <c r="A240" s="993">
        <v>150000910</v>
      </c>
      <c r="B240" s="994">
        <v>39254.160000000003</v>
      </c>
      <c r="C240" s="994">
        <v>76757.710000000006</v>
      </c>
      <c r="D240" s="570">
        <f>VLOOKUP(A240,ціни!$A$7:$D$401,4,FALSE)</f>
        <v>9</v>
      </c>
    </row>
    <row r="241" spans="1:4" x14ac:dyDescent="0.3">
      <c r="A241" s="993">
        <v>150000911</v>
      </c>
      <c r="B241" s="994">
        <v>32727.66</v>
      </c>
      <c r="C241" s="994">
        <v>78280.34</v>
      </c>
      <c r="D241" s="570">
        <f>VLOOKUP(A241,ціни!$A$7:$D$401,4,FALSE)</f>
        <v>5</v>
      </c>
    </row>
    <row r="242" spans="1:4" x14ac:dyDescent="0.3">
      <c r="A242" s="993">
        <v>150000912</v>
      </c>
      <c r="B242" s="994">
        <v>25758.16</v>
      </c>
      <c r="C242" s="994">
        <v>64325.45</v>
      </c>
      <c r="D242" s="570">
        <f>VLOOKUP(A242,ціни!$A$7:$D$401,4,FALSE)</f>
        <v>5</v>
      </c>
    </row>
    <row r="243" spans="1:4" x14ac:dyDescent="0.3">
      <c r="A243" s="993">
        <v>150000913</v>
      </c>
      <c r="B243" s="994">
        <v>16937.71</v>
      </c>
      <c r="C243" s="994">
        <v>36943</v>
      </c>
      <c r="D243" s="570">
        <f>VLOOKUP(A243,ціни!$A$7:$D$401,4,FALSE)</f>
        <v>5</v>
      </c>
    </row>
    <row r="244" spans="1:4" x14ac:dyDescent="0.3">
      <c r="A244" s="993">
        <v>150000914</v>
      </c>
      <c r="B244" s="994">
        <v>16894.900000000001</v>
      </c>
      <c r="C244" s="994">
        <v>30337.79</v>
      </c>
      <c r="D244" s="570">
        <f>VLOOKUP(A244,ціни!$A$7:$D$401,4,FALSE)</f>
        <v>5</v>
      </c>
    </row>
    <row r="245" spans="1:4" x14ac:dyDescent="0.3">
      <c r="A245" s="993">
        <v>150000915</v>
      </c>
      <c r="B245" s="994">
        <v>17254.830000000002</v>
      </c>
      <c r="C245" s="994">
        <v>41754.019999999997</v>
      </c>
      <c r="D245" s="570">
        <f>VLOOKUP(A245,ціни!$A$7:$D$401,4,FALSE)</f>
        <v>5</v>
      </c>
    </row>
    <row r="246" spans="1:4" x14ac:dyDescent="0.3">
      <c r="A246" s="993">
        <v>150000916</v>
      </c>
      <c r="B246" s="994">
        <v>31318.55</v>
      </c>
      <c r="C246" s="994">
        <v>92592.52</v>
      </c>
      <c r="D246" s="570">
        <f>VLOOKUP(A246,ціни!$A$7:$D$401,4,FALSE)</f>
        <v>5</v>
      </c>
    </row>
    <row r="247" spans="1:4" x14ac:dyDescent="0.3">
      <c r="A247" s="993">
        <v>150000917</v>
      </c>
      <c r="B247" s="994">
        <v>25906.74</v>
      </c>
      <c r="C247" s="994">
        <v>138114.54999999999</v>
      </c>
      <c r="D247" s="570">
        <f>VLOOKUP(A247,ціни!$A$7:$D$401,4,FALSE)</f>
        <v>5</v>
      </c>
    </row>
    <row r="248" spans="1:4" x14ac:dyDescent="0.3">
      <c r="A248" s="993">
        <v>150000918</v>
      </c>
      <c r="B248" s="994">
        <v>24661.51</v>
      </c>
      <c r="C248" s="994">
        <v>94988.57</v>
      </c>
      <c r="D248" s="570">
        <f>VLOOKUP(A248,ціни!$A$7:$D$401,4,FALSE)</f>
        <v>5</v>
      </c>
    </row>
    <row r="249" spans="1:4" x14ac:dyDescent="0.3">
      <c r="A249" s="993">
        <v>150000919</v>
      </c>
      <c r="B249" s="994">
        <v>24820.01</v>
      </c>
      <c r="C249" s="994">
        <v>69322.570000000007</v>
      </c>
      <c r="D249" s="570">
        <f>VLOOKUP(A249,ціни!$A$7:$D$401,4,FALSE)</f>
        <v>5</v>
      </c>
    </row>
    <row r="250" spans="1:4" x14ac:dyDescent="0.3">
      <c r="A250" s="993">
        <v>150000920</v>
      </c>
      <c r="B250" s="994">
        <v>25496.58</v>
      </c>
      <c r="C250" s="994">
        <v>74162.42</v>
      </c>
      <c r="D250" s="570">
        <f>VLOOKUP(A250,ціни!$A$7:$D$401,4,FALSE)</f>
        <v>5</v>
      </c>
    </row>
    <row r="251" spans="1:4" x14ac:dyDescent="0.3">
      <c r="A251" s="993">
        <v>150000921</v>
      </c>
      <c r="B251" s="994">
        <v>31830.42</v>
      </c>
      <c r="C251" s="994">
        <v>73372.66</v>
      </c>
      <c r="D251" s="570">
        <f>VLOOKUP(A251,ціни!$A$7:$D$401,4,FALSE)</f>
        <v>5</v>
      </c>
    </row>
    <row r="252" spans="1:4" x14ac:dyDescent="0.3">
      <c r="A252" s="993">
        <v>150000922</v>
      </c>
      <c r="B252" s="994">
        <v>31510.91</v>
      </c>
      <c r="C252" s="994">
        <v>50105.77</v>
      </c>
      <c r="D252" s="570">
        <f>VLOOKUP(A252,ціни!$A$7:$D$401,4,FALSE)</f>
        <v>9</v>
      </c>
    </row>
    <row r="253" spans="1:4" x14ac:dyDescent="0.3">
      <c r="A253" s="993">
        <v>150000924</v>
      </c>
      <c r="B253" s="994">
        <v>2653.03</v>
      </c>
      <c r="C253" s="994">
        <v>3447.42</v>
      </c>
      <c r="D253" s="570">
        <f>VLOOKUP(A253,ціни!$A$7:$D$401,4,FALSE)</f>
        <v>2</v>
      </c>
    </row>
    <row r="254" spans="1:4" x14ac:dyDescent="0.3">
      <c r="A254" s="993">
        <v>150000925</v>
      </c>
      <c r="B254" s="994">
        <v>2474.2600000000002</v>
      </c>
      <c r="C254" s="994">
        <v>14570.25</v>
      </c>
      <c r="D254" s="570">
        <f>VLOOKUP(A254,ціни!$A$7:$D$401,4,FALSE)</f>
        <v>2</v>
      </c>
    </row>
    <row r="255" spans="1:4" x14ac:dyDescent="0.3">
      <c r="A255" s="993">
        <v>150000926</v>
      </c>
      <c r="B255" s="994">
        <v>1900.82</v>
      </c>
      <c r="C255" s="994">
        <v>2498.6999999999998</v>
      </c>
      <c r="D255" s="570">
        <f>VLOOKUP(A255,ціни!$A$7:$D$401,4,FALSE)</f>
        <v>2</v>
      </c>
    </row>
    <row r="256" spans="1:4" x14ac:dyDescent="0.3">
      <c r="A256" s="993">
        <v>150000927</v>
      </c>
      <c r="B256" s="994">
        <v>2296</v>
      </c>
      <c r="C256" s="994">
        <v>3466.16</v>
      </c>
      <c r="D256" s="570">
        <f>VLOOKUP(A256,ціни!$A$7:$D$401,4,FALSE)</f>
        <v>2</v>
      </c>
    </row>
    <row r="257" spans="1:4" x14ac:dyDescent="0.3">
      <c r="A257" s="993">
        <v>150000928</v>
      </c>
      <c r="B257" s="994">
        <v>1552.89</v>
      </c>
      <c r="C257" s="994">
        <v>1552.89</v>
      </c>
      <c r="D257" s="570">
        <f>VLOOKUP(A257,ціни!$A$7:$D$401,4,FALSE)</f>
        <v>2</v>
      </c>
    </row>
    <row r="258" spans="1:4" x14ac:dyDescent="0.3">
      <c r="A258" s="993">
        <v>150000929</v>
      </c>
      <c r="B258" s="994">
        <v>1103.99</v>
      </c>
      <c r="C258" s="994">
        <v>30284.76</v>
      </c>
      <c r="D258" s="570">
        <f>VLOOKUP(A258,ціни!$A$7:$D$401,4,FALSE)</f>
        <v>2</v>
      </c>
    </row>
    <row r="259" spans="1:4" x14ac:dyDescent="0.3">
      <c r="A259" s="993">
        <v>150000930</v>
      </c>
      <c r="B259" s="994">
        <v>1735.84</v>
      </c>
      <c r="C259" s="994">
        <v>1292.8</v>
      </c>
      <c r="D259" s="570">
        <f>VLOOKUP(A259,ціни!$A$7:$D$401,4,FALSE)</f>
        <v>2</v>
      </c>
    </row>
    <row r="260" spans="1:4" x14ac:dyDescent="0.3">
      <c r="A260" s="993">
        <v>150000931</v>
      </c>
      <c r="B260" s="994">
        <v>12623.49</v>
      </c>
      <c r="C260" s="994">
        <v>24369.02</v>
      </c>
      <c r="D260" s="570">
        <f>VLOOKUP(A260,ціни!$A$7:$D$401,4,FALSE)</f>
        <v>5</v>
      </c>
    </row>
    <row r="261" spans="1:4" x14ac:dyDescent="0.3">
      <c r="A261" s="993">
        <v>150000932</v>
      </c>
      <c r="B261" s="994">
        <v>1905.39</v>
      </c>
      <c r="C261" s="994">
        <v>1905.39</v>
      </c>
      <c r="D261" s="570">
        <f>VLOOKUP(A261,ціни!$A$7:$D$401,4,FALSE)</f>
        <v>2</v>
      </c>
    </row>
    <row r="262" spans="1:4" x14ac:dyDescent="0.3">
      <c r="A262" s="993">
        <v>150000933</v>
      </c>
      <c r="B262" s="994">
        <v>24110.3</v>
      </c>
      <c r="C262" s="994">
        <v>41813.449999999997</v>
      </c>
      <c r="D262" s="570">
        <f>VLOOKUP(A262,ціни!$A$7:$D$401,4,FALSE)</f>
        <v>5</v>
      </c>
    </row>
    <row r="263" spans="1:4" x14ac:dyDescent="0.3">
      <c r="A263" s="993">
        <v>150000934</v>
      </c>
      <c r="B263" s="994">
        <v>11587.83</v>
      </c>
      <c r="C263" s="994">
        <v>96532.28</v>
      </c>
      <c r="D263" s="570">
        <f>VLOOKUP(A263,ціни!$A$7:$D$401,4,FALSE)</f>
        <v>4</v>
      </c>
    </row>
    <row r="264" spans="1:4" x14ac:dyDescent="0.3">
      <c r="A264" s="993">
        <v>150000935</v>
      </c>
      <c r="B264" s="994">
        <v>1867.54</v>
      </c>
      <c r="C264" s="994">
        <v>4358.8999999999996</v>
      </c>
      <c r="D264" s="570">
        <f>VLOOKUP(A264,ціни!$A$7:$D$401,4,FALSE)</f>
        <v>2</v>
      </c>
    </row>
    <row r="265" spans="1:4" x14ac:dyDescent="0.3">
      <c r="A265" s="993">
        <v>150000937</v>
      </c>
      <c r="B265" s="994">
        <v>26864.84</v>
      </c>
      <c r="C265" s="994">
        <v>107560.46</v>
      </c>
      <c r="D265" s="570">
        <f>VLOOKUP(A265,ціни!$A$7:$D$401,4,FALSE)</f>
        <v>9</v>
      </c>
    </row>
    <row r="266" spans="1:4" x14ac:dyDescent="0.3">
      <c r="A266" s="993">
        <v>150000938</v>
      </c>
      <c r="B266" s="994">
        <v>97828.2</v>
      </c>
      <c r="C266" s="994">
        <v>257660.92</v>
      </c>
      <c r="D266" s="570">
        <f>VLOOKUP(A266,ціни!$A$7:$D$401,4,FALSE)</f>
        <v>9</v>
      </c>
    </row>
    <row r="267" spans="1:4" x14ac:dyDescent="0.3">
      <c r="A267" s="993">
        <v>150000939</v>
      </c>
      <c r="B267" s="994">
        <v>37033.699999999997</v>
      </c>
      <c r="C267" s="994">
        <v>78231.41</v>
      </c>
      <c r="D267" s="570">
        <f>VLOOKUP(A267,ціни!$A$7:$D$401,4,FALSE)</f>
        <v>8</v>
      </c>
    </row>
    <row r="268" spans="1:4" x14ac:dyDescent="0.3">
      <c r="A268" s="993">
        <v>150000940</v>
      </c>
      <c r="B268" s="994">
        <v>54935.94</v>
      </c>
      <c r="C268" s="994">
        <v>123414.45</v>
      </c>
      <c r="D268" s="570">
        <f>VLOOKUP(A268,ціни!$A$7:$D$401,4,FALSE)</f>
        <v>9</v>
      </c>
    </row>
    <row r="269" spans="1:4" x14ac:dyDescent="0.3">
      <c r="A269" s="993">
        <v>150000941</v>
      </c>
      <c r="B269" s="994">
        <v>41881.949999999997</v>
      </c>
      <c r="C269" s="994">
        <v>101301.99</v>
      </c>
      <c r="D269" s="570">
        <f>VLOOKUP(A269,ціни!$A$7:$D$401,4,FALSE)</f>
        <v>8</v>
      </c>
    </row>
    <row r="270" spans="1:4" x14ac:dyDescent="0.3">
      <c r="A270" s="993">
        <v>150000943</v>
      </c>
      <c r="B270" s="994">
        <v>216.02</v>
      </c>
      <c r="C270" s="994">
        <v>216.02</v>
      </c>
      <c r="D270" s="570">
        <f>VLOOKUP(A270,ціни!$A$7:$D$401,4,FALSE)</f>
        <v>1</v>
      </c>
    </row>
    <row r="271" spans="1:4" x14ac:dyDescent="0.3">
      <c r="A271" s="993">
        <v>150000944</v>
      </c>
      <c r="B271" s="994">
        <v>323.8</v>
      </c>
      <c r="C271" s="994">
        <v>362.4</v>
      </c>
      <c r="D271" s="570">
        <f>VLOOKUP(A271,ціни!$A$7:$D$401,4,FALSE)</f>
        <v>1</v>
      </c>
    </row>
    <row r="272" spans="1:4" x14ac:dyDescent="0.3">
      <c r="A272" s="993">
        <v>150000945</v>
      </c>
      <c r="B272" s="994">
        <v>46763.35</v>
      </c>
      <c r="C272" s="994">
        <v>100620.31</v>
      </c>
      <c r="D272" s="570">
        <f>VLOOKUP(A272,ціни!$A$7:$D$401,4,FALSE)</f>
        <v>10</v>
      </c>
    </row>
    <row r="273" spans="1:4" x14ac:dyDescent="0.3">
      <c r="A273" s="993">
        <v>150000947</v>
      </c>
      <c r="B273" s="994">
        <v>19015.59</v>
      </c>
      <c r="C273" s="994">
        <v>58428.23</v>
      </c>
      <c r="D273" s="570">
        <f>VLOOKUP(A273,ціни!$A$7:$D$401,4,FALSE)</f>
        <v>5</v>
      </c>
    </row>
    <row r="274" spans="1:4" x14ac:dyDescent="0.3">
      <c r="A274" s="993">
        <v>150000948</v>
      </c>
      <c r="B274" s="994">
        <v>48841.96</v>
      </c>
      <c r="C274" s="994">
        <v>72596.429999999993</v>
      </c>
      <c r="D274" s="570">
        <f>VLOOKUP(A274,ціни!$A$7:$D$401,4,FALSE)</f>
        <v>9</v>
      </c>
    </row>
    <row r="275" spans="1:4" x14ac:dyDescent="0.3">
      <c r="A275" s="993">
        <v>150000949</v>
      </c>
      <c r="B275" s="994">
        <v>70790.210000000006</v>
      </c>
      <c r="C275" s="994">
        <v>231336.91</v>
      </c>
      <c r="D275" s="570">
        <f>VLOOKUP(A275,ціни!$A$7:$D$401,4,FALSE)</f>
        <v>9</v>
      </c>
    </row>
    <row r="276" spans="1:4" x14ac:dyDescent="0.3">
      <c r="A276" s="993">
        <v>150000951</v>
      </c>
      <c r="B276" s="994">
        <v>998.15</v>
      </c>
      <c r="C276" s="994">
        <v>4024.74</v>
      </c>
      <c r="D276" s="570">
        <f>VLOOKUP(A276,ціни!$A$7:$D$401,4,FALSE)</f>
        <v>2</v>
      </c>
    </row>
    <row r="277" spans="1:4" x14ac:dyDescent="0.3">
      <c r="A277" s="993">
        <v>150000954</v>
      </c>
      <c r="B277" s="994">
        <v>1529.12</v>
      </c>
      <c r="C277" s="994">
        <v>3538.53</v>
      </c>
      <c r="D277" s="570">
        <f>VLOOKUP(A277,ціни!$A$7:$D$401,4,FALSE)</f>
        <v>2</v>
      </c>
    </row>
    <row r="278" spans="1:4" x14ac:dyDescent="0.3">
      <c r="A278" s="993">
        <v>150000957</v>
      </c>
      <c r="B278" s="994">
        <v>14881.59</v>
      </c>
      <c r="C278" s="994">
        <v>43471.34</v>
      </c>
      <c r="D278" s="570">
        <f>VLOOKUP(A278,ціни!$A$7:$D$401,4,FALSE)</f>
        <v>9</v>
      </c>
    </row>
    <row r="279" spans="1:4" x14ac:dyDescent="0.3">
      <c r="A279" s="993">
        <v>150000958</v>
      </c>
      <c r="B279" s="994">
        <v>15388.23</v>
      </c>
      <c r="C279" s="994">
        <v>56111.62</v>
      </c>
      <c r="D279" s="570">
        <f>VLOOKUP(A279,ціни!$A$7:$D$401,4,FALSE)</f>
        <v>9</v>
      </c>
    </row>
    <row r="280" spans="1:4" x14ac:dyDescent="0.3">
      <c r="A280" s="993">
        <v>150000960</v>
      </c>
      <c r="B280" s="994">
        <v>29364.06</v>
      </c>
      <c r="C280" s="994">
        <v>57910.61</v>
      </c>
      <c r="D280" s="570">
        <f>VLOOKUP(A280,ціни!$A$7:$D$401,4,FALSE)</f>
        <v>9</v>
      </c>
    </row>
    <row r="281" spans="1:4" x14ac:dyDescent="0.3">
      <c r="A281" s="993">
        <v>150000961</v>
      </c>
      <c r="B281" s="994">
        <v>29123.39</v>
      </c>
      <c r="C281" s="994">
        <v>85778.58</v>
      </c>
      <c r="D281" s="570">
        <f>VLOOKUP(A281,ціни!$A$7:$D$401,4,FALSE)</f>
        <v>9</v>
      </c>
    </row>
    <row r="282" spans="1:4" x14ac:dyDescent="0.3">
      <c r="A282" s="993">
        <v>150000963</v>
      </c>
      <c r="B282" s="994">
        <v>15636.67</v>
      </c>
      <c r="C282" s="994">
        <v>28738.2</v>
      </c>
      <c r="D282" s="570">
        <f>VLOOKUP(A282,ціни!$A$7:$D$401,4,FALSE)</f>
        <v>9</v>
      </c>
    </row>
    <row r="283" spans="1:4" x14ac:dyDescent="0.3">
      <c r="A283" s="993">
        <v>150000964</v>
      </c>
      <c r="B283" s="994">
        <v>14884.53</v>
      </c>
      <c r="C283" s="994">
        <v>20724.12</v>
      </c>
      <c r="D283" s="570">
        <f>VLOOKUP(A283,ціни!$A$7:$D$401,4,FALSE)</f>
        <v>9</v>
      </c>
    </row>
    <row r="284" spans="1:4" x14ac:dyDescent="0.3">
      <c r="A284" s="993">
        <v>150000966</v>
      </c>
      <c r="B284" s="994">
        <v>6053.15</v>
      </c>
      <c r="C284" s="994">
        <v>53686.29</v>
      </c>
      <c r="D284" s="570">
        <f>VLOOKUP(A284,ціни!$A$7:$D$401,4,FALSE)</f>
        <v>4</v>
      </c>
    </row>
    <row r="285" spans="1:4" x14ac:dyDescent="0.3">
      <c r="A285" s="993">
        <v>150000967</v>
      </c>
      <c r="B285" s="994">
        <v>7987.96</v>
      </c>
      <c r="C285" s="994">
        <v>11900.56</v>
      </c>
      <c r="D285" s="570">
        <f>VLOOKUP(A285,ціни!$A$7:$D$401,4,FALSE)</f>
        <v>4</v>
      </c>
    </row>
    <row r="286" spans="1:4" x14ac:dyDescent="0.3">
      <c r="A286" s="993">
        <v>150000968</v>
      </c>
      <c r="B286" s="994">
        <v>7871.3</v>
      </c>
      <c r="C286" s="994">
        <v>8053.77</v>
      </c>
      <c r="D286" s="570">
        <f>VLOOKUP(A286,ціни!$A$7:$D$401,4,FALSE)</f>
        <v>5</v>
      </c>
    </row>
    <row r="287" spans="1:4" x14ac:dyDescent="0.3">
      <c r="A287" s="993">
        <v>150000969</v>
      </c>
      <c r="B287" s="994">
        <v>3514.74</v>
      </c>
      <c r="C287" s="994">
        <v>5002.42</v>
      </c>
      <c r="D287" s="570">
        <f>VLOOKUP(A287,ціни!$A$7:$D$401,4,FALSE)</f>
        <v>3</v>
      </c>
    </row>
    <row r="288" spans="1:4" x14ac:dyDescent="0.3">
      <c r="A288" s="993">
        <v>150000970</v>
      </c>
      <c r="B288" s="994">
        <v>12309.53</v>
      </c>
      <c r="C288" s="994">
        <v>36506.089999999997</v>
      </c>
      <c r="D288" s="570">
        <f>VLOOKUP(A288,ціни!$A$7:$D$401,4,FALSE)</f>
        <v>5</v>
      </c>
    </row>
    <row r="289" spans="1:4" x14ac:dyDescent="0.3">
      <c r="A289" s="993">
        <v>150000971</v>
      </c>
      <c r="B289" s="994">
        <v>6999.18</v>
      </c>
      <c r="C289" s="994">
        <v>19719.03</v>
      </c>
      <c r="D289" s="570">
        <f>VLOOKUP(A289,ціни!$A$7:$D$401,4,FALSE)</f>
        <v>3</v>
      </c>
    </row>
    <row r="290" spans="1:4" x14ac:dyDescent="0.3">
      <c r="A290" s="993">
        <v>150000972</v>
      </c>
      <c r="B290" s="994">
        <v>10128.43</v>
      </c>
      <c r="C290" s="994">
        <v>22161.39</v>
      </c>
      <c r="D290" s="570">
        <f>VLOOKUP(A290,ціни!$A$7:$D$401,4,FALSE)</f>
        <v>4</v>
      </c>
    </row>
    <row r="291" spans="1:4" x14ac:dyDescent="0.3">
      <c r="A291" s="993">
        <v>150000974</v>
      </c>
      <c r="B291" s="994">
        <v>12275.72</v>
      </c>
      <c r="C291" s="994">
        <v>36111.69</v>
      </c>
      <c r="D291" s="570">
        <f>VLOOKUP(A291,ціни!$A$7:$D$401,4,FALSE)</f>
        <v>4</v>
      </c>
    </row>
    <row r="292" spans="1:4" x14ac:dyDescent="0.3">
      <c r="A292" s="993">
        <v>150000975</v>
      </c>
      <c r="B292" s="994">
        <v>15161.34</v>
      </c>
      <c r="C292" s="994">
        <v>54969.07</v>
      </c>
      <c r="D292" s="570">
        <f>VLOOKUP(A292,ціни!$A$7:$D$401,4,FALSE)</f>
        <v>4</v>
      </c>
    </row>
    <row r="293" spans="1:4" x14ac:dyDescent="0.3">
      <c r="A293" s="993">
        <v>150000976</v>
      </c>
      <c r="B293" s="994">
        <v>5009.82</v>
      </c>
      <c r="C293" s="994">
        <v>24349.4</v>
      </c>
      <c r="D293" s="570">
        <f>VLOOKUP(A293,ціни!$A$7:$D$401,4,FALSE)</f>
        <v>2</v>
      </c>
    </row>
    <row r="294" spans="1:4" x14ac:dyDescent="0.3">
      <c r="A294" s="993">
        <v>150000977</v>
      </c>
      <c r="B294" s="994">
        <v>4271.0200000000004</v>
      </c>
      <c r="C294" s="994">
        <v>4789.95</v>
      </c>
      <c r="D294" s="570">
        <f>VLOOKUP(A294,ціни!$A$7:$D$401,4,FALSE)</f>
        <v>2</v>
      </c>
    </row>
    <row r="295" spans="1:4" x14ac:dyDescent="0.3">
      <c r="A295" s="993">
        <v>150000978</v>
      </c>
      <c r="B295" s="994">
        <v>8265.06</v>
      </c>
      <c r="C295" s="994">
        <v>36673.29</v>
      </c>
      <c r="D295" s="570">
        <f>VLOOKUP(A295,ціни!$A$7:$D$401,4,FALSE)</f>
        <v>5</v>
      </c>
    </row>
    <row r="296" spans="1:4" x14ac:dyDescent="0.3">
      <c r="A296" s="993">
        <v>150000981</v>
      </c>
      <c r="B296" s="994">
        <v>16094.79</v>
      </c>
      <c r="C296" s="994">
        <v>58861.46</v>
      </c>
      <c r="D296" s="570">
        <f>VLOOKUP(A296,ціни!$A$7:$D$401,4,FALSE)</f>
        <v>9</v>
      </c>
    </row>
    <row r="297" spans="1:4" x14ac:dyDescent="0.3">
      <c r="A297" s="993">
        <v>150000982</v>
      </c>
      <c r="B297" s="994">
        <v>45132.19</v>
      </c>
      <c r="C297" s="994">
        <v>171379</v>
      </c>
      <c r="D297" s="570">
        <f>VLOOKUP(A297,ціни!$A$7:$D$401,4,FALSE)</f>
        <v>9</v>
      </c>
    </row>
    <row r="298" spans="1:4" x14ac:dyDescent="0.3">
      <c r="A298" s="993">
        <v>150000983</v>
      </c>
      <c r="B298" s="994">
        <v>27528.01</v>
      </c>
      <c r="C298" s="994">
        <v>52375.19</v>
      </c>
      <c r="D298" s="570">
        <f>VLOOKUP(A298,ціни!$A$7:$D$401,4,FALSE)</f>
        <v>9</v>
      </c>
    </row>
    <row r="299" spans="1:4" x14ac:dyDescent="0.3">
      <c r="A299" s="993">
        <v>150000984</v>
      </c>
      <c r="B299" s="994">
        <v>61783</v>
      </c>
      <c r="C299" s="994">
        <v>117028.38</v>
      </c>
      <c r="D299" s="570">
        <f>VLOOKUP(A299,ціни!$A$7:$D$401,4,FALSE)</f>
        <v>9</v>
      </c>
    </row>
    <row r="300" spans="1:4" x14ac:dyDescent="0.3">
      <c r="A300" s="993">
        <v>150000986</v>
      </c>
      <c r="B300" s="994">
        <v>42431.02</v>
      </c>
      <c r="C300" s="994">
        <v>76007.520000000004</v>
      </c>
      <c r="D300" s="570">
        <f>VLOOKUP(A300,ціни!$A$7:$D$401,4,FALSE)</f>
        <v>9</v>
      </c>
    </row>
    <row r="301" spans="1:4" x14ac:dyDescent="0.3">
      <c r="A301" s="993">
        <v>150000987</v>
      </c>
      <c r="B301" s="994">
        <v>83.49</v>
      </c>
      <c r="C301" s="994">
        <v>-342.63</v>
      </c>
      <c r="D301" s="570">
        <f>VLOOKUP(A301,ціни!$A$7:$D$401,4,FALSE)</f>
        <v>1</v>
      </c>
    </row>
    <row r="302" spans="1:4" x14ac:dyDescent="0.3">
      <c r="A302" s="993">
        <v>150000988</v>
      </c>
      <c r="B302" s="994">
        <v>434.89</v>
      </c>
      <c r="C302" s="994">
        <v>670.28</v>
      </c>
      <c r="D302" s="570">
        <f>VLOOKUP(A302,ціни!$A$7:$D$401,4,FALSE)</f>
        <v>1</v>
      </c>
    </row>
    <row r="303" spans="1:4" x14ac:dyDescent="0.3">
      <c r="A303" s="993">
        <v>150000989</v>
      </c>
      <c r="B303" s="994">
        <v>276.85000000000002</v>
      </c>
      <c r="C303" s="994">
        <v>400.28</v>
      </c>
      <c r="D303" s="570">
        <f>VLOOKUP(A303,ціни!$A$7:$D$401,4,FALSE)</f>
        <v>1</v>
      </c>
    </row>
    <row r="304" spans="1:4" x14ac:dyDescent="0.3">
      <c r="A304" s="993">
        <v>150000991</v>
      </c>
      <c r="B304" s="994">
        <v>27656.799999999999</v>
      </c>
      <c r="C304" s="994">
        <v>62910.45</v>
      </c>
      <c r="D304" s="570">
        <f>VLOOKUP(A304,ціни!$A$7:$D$401,4,FALSE)</f>
        <v>9</v>
      </c>
    </row>
    <row r="305" spans="1:4" x14ac:dyDescent="0.3">
      <c r="A305" s="993">
        <v>150000992</v>
      </c>
      <c r="B305" s="994">
        <v>379.69</v>
      </c>
      <c r="C305" s="994">
        <v>2797.49</v>
      </c>
      <c r="D305" s="570">
        <f>VLOOKUP(A305,ціни!$A$7:$D$401,4,FALSE)</f>
        <v>1</v>
      </c>
    </row>
    <row r="306" spans="1:4" x14ac:dyDescent="0.3">
      <c r="A306" s="993">
        <v>150000993</v>
      </c>
      <c r="B306" s="994">
        <v>422.07</v>
      </c>
      <c r="C306" s="994">
        <v>501.42</v>
      </c>
      <c r="D306" s="570">
        <f>VLOOKUP(A306,ціни!$A$7:$D$401,4,FALSE)</f>
        <v>1</v>
      </c>
    </row>
    <row r="307" spans="1:4" x14ac:dyDescent="0.3">
      <c r="A307" s="993">
        <v>150000994</v>
      </c>
      <c r="B307" s="994">
        <v>421.47</v>
      </c>
      <c r="C307" s="994">
        <v>318.33999999999997</v>
      </c>
      <c r="D307" s="570">
        <f>VLOOKUP(A307,ціни!$A$7:$D$401,4,FALSE)</f>
        <v>1</v>
      </c>
    </row>
    <row r="308" spans="1:4" x14ac:dyDescent="0.3">
      <c r="A308" s="993">
        <v>150000995</v>
      </c>
      <c r="B308" s="994">
        <v>258.39999999999998</v>
      </c>
      <c r="C308" s="994">
        <v>308.36</v>
      </c>
      <c r="D308" s="570">
        <f>VLOOKUP(A308,ціни!$A$7:$D$401,4,FALSE)</f>
        <v>1</v>
      </c>
    </row>
    <row r="309" spans="1:4" x14ac:dyDescent="0.3">
      <c r="A309" s="993">
        <v>150000996</v>
      </c>
      <c r="B309" s="994">
        <v>18889.099999999999</v>
      </c>
      <c r="C309" s="994">
        <v>66431.03</v>
      </c>
      <c r="D309" s="570">
        <f>VLOOKUP(A309,ціни!$A$7:$D$401,4,FALSE)</f>
        <v>5</v>
      </c>
    </row>
    <row r="310" spans="1:4" x14ac:dyDescent="0.3">
      <c r="A310" s="993">
        <v>150000999</v>
      </c>
      <c r="B310" s="994">
        <v>419.92</v>
      </c>
      <c r="C310" s="994">
        <v>747.39</v>
      </c>
      <c r="D310" s="570">
        <f>VLOOKUP(A310,ціни!$A$7:$D$401,4,FALSE)</f>
        <v>1</v>
      </c>
    </row>
    <row r="311" spans="1:4" x14ac:dyDescent="0.3">
      <c r="A311" s="993">
        <v>150001000</v>
      </c>
      <c r="B311" s="994">
        <v>409.88</v>
      </c>
      <c r="C311" s="994">
        <v>1909.81</v>
      </c>
      <c r="D311" s="570">
        <f>VLOOKUP(A311,ціни!$A$7:$D$401,4,FALSE)</f>
        <v>1</v>
      </c>
    </row>
    <row r="312" spans="1:4" x14ac:dyDescent="0.3">
      <c r="A312" s="993">
        <v>150001002</v>
      </c>
      <c r="B312" s="994">
        <v>422.71</v>
      </c>
      <c r="C312" s="994">
        <v>422.71</v>
      </c>
      <c r="D312" s="570">
        <f>VLOOKUP(A312,ціни!$A$7:$D$401,4,FALSE)</f>
        <v>1</v>
      </c>
    </row>
    <row r="313" spans="1:4" x14ac:dyDescent="0.3">
      <c r="A313" s="993">
        <v>150001004</v>
      </c>
      <c r="B313" s="994">
        <v>438.22</v>
      </c>
      <c r="C313" s="994">
        <v>344.08</v>
      </c>
      <c r="D313" s="570">
        <f>VLOOKUP(A313,ціни!$A$7:$D$401,4,FALSE)</f>
        <v>1</v>
      </c>
    </row>
    <row r="314" spans="1:4" x14ac:dyDescent="0.3">
      <c r="A314" s="993">
        <v>150001007</v>
      </c>
      <c r="B314" s="994">
        <v>9900.5300000000007</v>
      </c>
      <c r="C314" s="994">
        <v>19056.740000000002</v>
      </c>
      <c r="D314" s="570">
        <f>VLOOKUP(A314,ціни!$A$7:$D$401,4,FALSE)</f>
        <v>4</v>
      </c>
    </row>
    <row r="315" spans="1:4" x14ac:dyDescent="0.3">
      <c r="A315" s="993">
        <v>150001008</v>
      </c>
      <c r="B315" s="994">
        <v>8513.07</v>
      </c>
      <c r="C315" s="994">
        <v>27898.85</v>
      </c>
      <c r="D315" s="570">
        <f>VLOOKUP(A315,ціни!$A$7:$D$401,4,FALSE)</f>
        <v>4</v>
      </c>
    </row>
    <row r="316" spans="1:4" x14ac:dyDescent="0.3">
      <c r="A316" s="993">
        <v>150001009</v>
      </c>
      <c r="B316" s="994">
        <v>6994.11</v>
      </c>
      <c r="C316" s="994">
        <v>10028.4</v>
      </c>
      <c r="D316" s="570">
        <f>VLOOKUP(A316,ціни!$A$7:$D$401,4,FALSE)</f>
        <v>4</v>
      </c>
    </row>
    <row r="317" spans="1:4" x14ac:dyDescent="0.3">
      <c r="A317" s="993">
        <v>150001010</v>
      </c>
      <c r="B317" s="994">
        <v>3254.07</v>
      </c>
      <c r="C317" s="994">
        <v>3798.51</v>
      </c>
      <c r="D317" s="570">
        <f>VLOOKUP(A317,ціни!$A$7:$D$401,4,FALSE)</f>
        <v>2</v>
      </c>
    </row>
    <row r="318" spans="1:4" x14ac:dyDescent="0.3">
      <c r="A318" s="993">
        <v>150001011</v>
      </c>
      <c r="B318" s="994">
        <v>2568.48</v>
      </c>
      <c r="C318" s="994">
        <v>6390.4</v>
      </c>
      <c r="D318" s="570">
        <f>VLOOKUP(A318,ціни!$A$7:$D$401,4,FALSE)</f>
        <v>2</v>
      </c>
    </row>
    <row r="319" spans="1:4" x14ac:dyDescent="0.3">
      <c r="A319" s="993">
        <v>150001013</v>
      </c>
      <c r="B319" s="994">
        <v>12833.21</v>
      </c>
      <c r="C319" s="994">
        <v>54446.37</v>
      </c>
      <c r="D319" s="570">
        <f>VLOOKUP(A319,ціни!$A$7:$D$401,4,FALSE)</f>
        <v>5</v>
      </c>
    </row>
    <row r="320" spans="1:4" x14ac:dyDescent="0.3">
      <c r="A320" s="993">
        <v>150001014</v>
      </c>
      <c r="B320" s="994">
        <v>1743.92</v>
      </c>
      <c r="C320" s="994">
        <v>1813.31</v>
      </c>
      <c r="D320" s="570">
        <f>VLOOKUP(A320,ціни!$A$7:$D$401,4,FALSE)</f>
        <v>2</v>
      </c>
    </row>
    <row r="321" spans="1:4" x14ac:dyDescent="0.3">
      <c r="A321" s="993">
        <v>150001015</v>
      </c>
      <c r="B321" s="994">
        <v>270.89</v>
      </c>
      <c r="C321" s="994">
        <v>261.63</v>
      </c>
      <c r="D321" s="570">
        <f>VLOOKUP(A321,ціни!$A$7:$D$401,4,FALSE)</f>
        <v>1</v>
      </c>
    </row>
    <row r="322" spans="1:4" x14ac:dyDescent="0.3">
      <c r="A322" s="993">
        <v>150001016</v>
      </c>
      <c r="B322" s="994">
        <v>10857.97</v>
      </c>
      <c r="C322" s="994">
        <v>49337.2</v>
      </c>
      <c r="D322" s="570">
        <f>VLOOKUP(A322,ціни!$A$7:$D$401,4,FALSE)</f>
        <v>5</v>
      </c>
    </row>
    <row r="323" spans="1:4" x14ac:dyDescent="0.3">
      <c r="A323" s="993">
        <v>150001018</v>
      </c>
      <c r="B323" s="994">
        <v>12596.37</v>
      </c>
      <c r="C323" s="994">
        <v>16998.21</v>
      </c>
      <c r="D323" s="570">
        <f>VLOOKUP(A323,ціни!$A$7:$D$401,4,FALSE)</f>
        <v>5</v>
      </c>
    </row>
    <row r="324" spans="1:4" x14ac:dyDescent="0.3">
      <c r="A324" s="993">
        <v>150001019</v>
      </c>
      <c r="B324" s="994">
        <v>47926.94</v>
      </c>
      <c r="C324" s="994">
        <v>158731.6</v>
      </c>
      <c r="D324" s="570">
        <f>VLOOKUP(A324,ціни!$A$7:$D$401,4,FALSE)</f>
        <v>10</v>
      </c>
    </row>
    <row r="325" spans="1:4" x14ac:dyDescent="0.3">
      <c r="A325" s="993">
        <v>150001020</v>
      </c>
      <c r="B325" s="994">
        <v>507</v>
      </c>
      <c r="C325" s="994">
        <v>507</v>
      </c>
      <c r="D325" s="570">
        <f>VLOOKUP(A325,ціни!$A$7:$D$401,4,FALSE)</f>
        <v>1</v>
      </c>
    </row>
    <row r="326" spans="1:4" x14ac:dyDescent="0.3">
      <c r="A326" s="993">
        <v>150001021</v>
      </c>
      <c r="B326" s="994">
        <v>79287.7</v>
      </c>
      <c r="C326" s="994">
        <v>183664.02</v>
      </c>
      <c r="D326" s="570">
        <f>VLOOKUP(A326,ціни!$A$7:$D$401,4,FALSE)</f>
        <v>9</v>
      </c>
    </row>
    <row r="327" spans="1:4" x14ac:dyDescent="0.3">
      <c r="A327" s="993">
        <v>150001022</v>
      </c>
      <c r="B327" s="994">
        <v>27132.58</v>
      </c>
      <c r="C327" s="994">
        <v>42341.41</v>
      </c>
      <c r="D327" s="570">
        <f>VLOOKUP(A327,ціни!$A$7:$D$401,4,FALSE)</f>
        <v>9</v>
      </c>
    </row>
    <row r="328" spans="1:4" x14ac:dyDescent="0.3">
      <c r="A328" s="993">
        <v>150001023</v>
      </c>
      <c r="B328" s="994">
        <v>25847.94</v>
      </c>
      <c r="C328" s="994">
        <v>85905.77</v>
      </c>
      <c r="D328" s="570">
        <f>VLOOKUP(A328,ціни!$A$7:$D$401,4,FALSE)</f>
        <v>9</v>
      </c>
    </row>
    <row r="329" spans="1:4" x14ac:dyDescent="0.3">
      <c r="A329" s="993">
        <v>150001024</v>
      </c>
      <c r="B329" s="994">
        <v>30800.5</v>
      </c>
      <c r="C329" s="994">
        <v>53096.01</v>
      </c>
      <c r="D329" s="570">
        <f>VLOOKUP(A329,ціни!$A$7:$D$401,4,FALSE)</f>
        <v>9</v>
      </c>
    </row>
    <row r="330" spans="1:4" x14ac:dyDescent="0.3">
      <c r="A330" s="993">
        <v>150001025</v>
      </c>
      <c r="B330" s="994">
        <v>34632.050000000003</v>
      </c>
      <c r="C330" s="994">
        <v>40669.360000000001</v>
      </c>
      <c r="D330" s="570">
        <f>VLOOKUP(A330,ціни!$A$7:$D$401,4,FALSE)</f>
        <v>10</v>
      </c>
    </row>
    <row r="331" spans="1:4" x14ac:dyDescent="0.3">
      <c r="A331" s="993">
        <v>150001026</v>
      </c>
      <c r="B331" s="994">
        <v>53060.79</v>
      </c>
      <c r="C331" s="994">
        <v>110043.09</v>
      </c>
      <c r="D331" s="570">
        <f>VLOOKUP(A331,ціни!$A$7:$D$401,4,FALSE)</f>
        <v>8</v>
      </c>
    </row>
    <row r="332" spans="1:4" x14ac:dyDescent="0.3">
      <c r="A332" s="993">
        <v>150001027</v>
      </c>
      <c r="B332" s="994">
        <v>71109.63</v>
      </c>
      <c r="C332" s="994">
        <v>225418.16</v>
      </c>
      <c r="D332" s="570">
        <f>VLOOKUP(A332,ціни!$A$7:$D$401,4,FALSE)</f>
        <v>9</v>
      </c>
    </row>
    <row r="333" spans="1:4" x14ac:dyDescent="0.3">
      <c r="A333" s="993">
        <v>150001028</v>
      </c>
      <c r="B333" s="994">
        <v>257.83999999999997</v>
      </c>
      <c r="C333" s="994">
        <v>1514.69</v>
      </c>
      <c r="D333" s="570">
        <f>VLOOKUP(A333,ціни!$A$7:$D$401,4,FALSE)</f>
        <v>1</v>
      </c>
    </row>
    <row r="334" spans="1:4" x14ac:dyDescent="0.3">
      <c r="A334" s="993">
        <v>150001029</v>
      </c>
      <c r="B334" s="994">
        <v>55290.32</v>
      </c>
      <c r="C334" s="994">
        <v>133959.85</v>
      </c>
      <c r="D334" s="570">
        <f>VLOOKUP(A334,ціни!$A$7:$D$401,4,FALSE)</f>
        <v>9</v>
      </c>
    </row>
    <row r="335" spans="1:4" x14ac:dyDescent="0.3">
      <c r="A335" s="993">
        <v>150001030</v>
      </c>
      <c r="B335" s="994">
        <v>43238.54</v>
      </c>
      <c r="C335" s="994">
        <v>68730.67</v>
      </c>
      <c r="D335" s="570">
        <f>VLOOKUP(A335,ціни!$A$7:$D$401,4,FALSE)</f>
        <v>8</v>
      </c>
    </row>
    <row r="336" spans="1:4" x14ac:dyDescent="0.3">
      <c r="A336" s="993">
        <v>150001031</v>
      </c>
      <c r="B336" s="994">
        <v>352.59</v>
      </c>
      <c r="C336" s="994">
        <v>573.65</v>
      </c>
      <c r="D336" s="570">
        <f>VLOOKUP(A336,ціни!$A$7:$D$401,4,FALSE)</f>
        <v>1</v>
      </c>
    </row>
    <row r="337" spans="1:4" x14ac:dyDescent="0.3">
      <c r="A337" s="993">
        <v>150001032</v>
      </c>
      <c r="B337" s="994">
        <v>48093.51</v>
      </c>
      <c r="C337" s="994">
        <v>66539.17</v>
      </c>
      <c r="D337" s="570">
        <f>VLOOKUP(A337,ціни!$A$7:$D$401,4,FALSE)</f>
        <v>9</v>
      </c>
    </row>
    <row r="338" spans="1:4" x14ac:dyDescent="0.3">
      <c r="A338" s="993">
        <v>150001033</v>
      </c>
      <c r="B338" s="994">
        <v>29894</v>
      </c>
      <c r="C338" s="994">
        <v>46632.15</v>
      </c>
      <c r="D338" s="570">
        <f>VLOOKUP(A338,ціни!$A$7:$D$401,4,FALSE)</f>
        <v>9</v>
      </c>
    </row>
    <row r="339" spans="1:4" x14ac:dyDescent="0.3">
      <c r="A339" s="993">
        <v>150001035</v>
      </c>
      <c r="B339" s="994">
        <v>17376.95</v>
      </c>
      <c r="C339" s="994">
        <v>39123.4</v>
      </c>
      <c r="D339" s="570">
        <f>VLOOKUP(A339,ціни!$A$7:$D$401,4,FALSE)</f>
        <v>5</v>
      </c>
    </row>
    <row r="340" spans="1:4" x14ac:dyDescent="0.3">
      <c r="A340" s="993">
        <v>150001036</v>
      </c>
      <c r="B340" s="994">
        <v>394.26</v>
      </c>
      <c r="C340" s="994">
        <v>394.26</v>
      </c>
      <c r="D340" s="570">
        <f>VLOOKUP(A340,ціни!$A$7:$D$401,4,FALSE)</f>
        <v>1</v>
      </c>
    </row>
    <row r="341" spans="1:4" x14ac:dyDescent="0.3">
      <c r="A341" s="993">
        <v>150001037</v>
      </c>
      <c r="B341" s="994">
        <v>335.71</v>
      </c>
      <c r="C341" s="994">
        <v>335.71</v>
      </c>
      <c r="D341" s="570">
        <f>VLOOKUP(A341,ціни!$A$7:$D$401,4,FALSE)</f>
        <v>1</v>
      </c>
    </row>
    <row r="342" spans="1:4" x14ac:dyDescent="0.3">
      <c r="A342" s="993">
        <v>150001040</v>
      </c>
      <c r="B342" s="994">
        <v>10987.77</v>
      </c>
      <c r="C342" s="994">
        <v>23804.97</v>
      </c>
      <c r="D342" s="570">
        <f>VLOOKUP(A342,ціни!$A$7:$D$401,4,FALSE)</f>
        <v>4</v>
      </c>
    </row>
    <row r="343" spans="1:4" x14ac:dyDescent="0.3">
      <c r="A343" s="993">
        <v>150001041</v>
      </c>
      <c r="B343" s="994">
        <v>3333.33</v>
      </c>
      <c r="C343" s="994">
        <v>5527.64</v>
      </c>
      <c r="D343" s="570">
        <f>VLOOKUP(A343,ціни!$A$7:$D$401,4,FALSE)</f>
        <v>3</v>
      </c>
    </row>
    <row r="344" spans="1:4" x14ac:dyDescent="0.3">
      <c r="A344" s="993">
        <v>150001042</v>
      </c>
      <c r="B344" s="994">
        <v>2737.12</v>
      </c>
      <c r="C344" s="994">
        <v>13592.51</v>
      </c>
      <c r="D344" s="570">
        <f>VLOOKUP(A344,ціни!$A$7:$D$401,4,FALSE)</f>
        <v>2</v>
      </c>
    </row>
    <row r="345" spans="1:4" x14ac:dyDescent="0.3">
      <c r="A345" s="993">
        <v>150001043</v>
      </c>
      <c r="B345" s="994">
        <v>7207.01</v>
      </c>
      <c r="C345" s="994">
        <v>16370.7</v>
      </c>
      <c r="D345" s="570">
        <f>VLOOKUP(A345,ціни!$A$7:$D$401,4,FALSE)</f>
        <v>4</v>
      </c>
    </row>
    <row r="346" spans="1:4" x14ac:dyDescent="0.3">
      <c r="A346" s="993">
        <v>150001044</v>
      </c>
      <c r="B346" s="994">
        <v>13996.17</v>
      </c>
      <c r="C346" s="994">
        <v>36143.81</v>
      </c>
      <c r="D346" s="570">
        <f>VLOOKUP(A346,ціни!$A$7:$D$401,4,FALSE)</f>
        <v>5</v>
      </c>
    </row>
    <row r="347" spans="1:4" x14ac:dyDescent="0.3">
      <c r="A347" s="993">
        <v>150001045</v>
      </c>
      <c r="B347" s="994">
        <v>17602.150000000001</v>
      </c>
      <c r="C347" s="994">
        <v>47199.38</v>
      </c>
      <c r="D347" s="570">
        <f>VLOOKUP(A347,ціни!$A$7:$D$401,4,FALSE)</f>
        <v>5</v>
      </c>
    </row>
    <row r="348" spans="1:4" x14ac:dyDescent="0.3">
      <c r="A348" s="993">
        <v>150001046</v>
      </c>
      <c r="B348" s="994">
        <v>11509.17</v>
      </c>
      <c r="C348" s="994">
        <v>48364.88</v>
      </c>
      <c r="D348" s="570">
        <f>VLOOKUP(A348,ціни!$A$7:$D$401,4,FALSE)</f>
        <v>5</v>
      </c>
    </row>
    <row r="349" spans="1:4" x14ac:dyDescent="0.3">
      <c r="A349" s="993">
        <v>150001047</v>
      </c>
      <c r="B349" s="994">
        <v>3741.56</v>
      </c>
      <c r="C349" s="994">
        <v>19954.45</v>
      </c>
      <c r="D349" s="570">
        <f>VLOOKUP(A349,ціни!$A$7:$D$401,4,FALSE)</f>
        <v>2</v>
      </c>
    </row>
    <row r="350" spans="1:4" x14ac:dyDescent="0.3">
      <c r="A350" s="993">
        <v>150001048</v>
      </c>
      <c r="B350" s="994">
        <v>141.55000000000001</v>
      </c>
      <c r="C350" s="994">
        <v>141.55000000000001</v>
      </c>
      <c r="D350" s="570">
        <f>VLOOKUP(A350,ціни!$A$7:$D$401,4,FALSE)</f>
        <v>1</v>
      </c>
    </row>
    <row r="351" spans="1:4" x14ac:dyDescent="0.3">
      <c r="A351" s="993">
        <v>150001049</v>
      </c>
      <c r="B351" s="994">
        <v>1452.58</v>
      </c>
      <c r="C351" s="994">
        <v>4176.58</v>
      </c>
      <c r="D351" s="570">
        <f>VLOOKUP(A351,ціни!$A$7:$D$401,4,FALSE)</f>
        <v>2</v>
      </c>
    </row>
    <row r="352" spans="1:4" x14ac:dyDescent="0.3">
      <c r="A352" s="993">
        <v>150001050</v>
      </c>
      <c r="B352" s="994">
        <v>17020.46</v>
      </c>
      <c r="C352" s="994">
        <v>33719.440000000002</v>
      </c>
      <c r="D352" s="570">
        <f>VLOOKUP(A352,ціни!$A$7:$D$401,4,FALSE)</f>
        <v>5</v>
      </c>
    </row>
    <row r="353" spans="1:4" x14ac:dyDescent="0.3">
      <c r="A353" s="993">
        <v>150001053</v>
      </c>
      <c r="B353" s="994">
        <v>2125.1999999999998</v>
      </c>
      <c r="C353" s="994">
        <v>2347.96</v>
      </c>
      <c r="D353" s="570">
        <f>VLOOKUP(A353,ціни!$A$7:$D$401,4,FALSE)</f>
        <v>2</v>
      </c>
    </row>
    <row r="354" spans="1:4" x14ac:dyDescent="0.3">
      <c r="A354" s="993">
        <v>150001054</v>
      </c>
      <c r="B354" s="994">
        <v>283.39</v>
      </c>
      <c r="C354" s="994">
        <v>665.1</v>
      </c>
      <c r="D354" s="570">
        <f>VLOOKUP(A354,ціни!$A$7:$D$401,4,FALSE)</f>
        <v>1</v>
      </c>
    </row>
    <row r="355" spans="1:4" x14ac:dyDescent="0.3">
      <c r="A355" s="993">
        <v>150001071</v>
      </c>
      <c r="B355" s="994">
        <v>1385.93</v>
      </c>
      <c r="C355" s="994">
        <v>1600.77</v>
      </c>
      <c r="D355" s="570">
        <f>VLOOKUP(A355,ціни!$A$7:$D$401,4,FALSE)</f>
        <v>2</v>
      </c>
    </row>
    <row r="356" spans="1:4" x14ac:dyDescent="0.3">
      <c r="A356" s="993">
        <v>150001094</v>
      </c>
      <c r="B356" s="994">
        <v>788.88</v>
      </c>
      <c r="C356" s="994">
        <v>788.88</v>
      </c>
      <c r="D356" s="570">
        <f>VLOOKUP(A356,ціни!$A$7:$D$401,4,FALSE)</f>
        <v>2</v>
      </c>
    </row>
    <row r="357" spans="1:4" x14ac:dyDescent="0.3">
      <c r="A357" s="993">
        <v>150001561</v>
      </c>
      <c r="B357" s="994">
        <v>18599.740000000002</v>
      </c>
      <c r="C357" s="994">
        <v>58994.86</v>
      </c>
      <c r="D357" s="570">
        <f>VLOOKUP(A357,ціни!$A$7:$D$401,4,FALSE)</f>
        <v>9</v>
      </c>
    </row>
    <row r="358" spans="1:4" x14ac:dyDescent="0.3">
      <c r="A358" s="993">
        <v>150001562</v>
      </c>
      <c r="B358" s="994">
        <v>12554.5</v>
      </c>
      <c r="C358" s="994">
        <v>12456.89</v>
      </c>
      <c r="D358" s="570">
        <f>VLOOKUP(A358,ціни!$A$7:$D$401,4,FALSE)</f>
        <v>4</v>
      </c>
    </row>
    <row r="359" spans="1:4" x14ac:dyDescent="0.3">
      <c r="A359" s="923"/>
      <c r="B359" s="924">
        <f>SUM(B2:B358)</f>
        <v>5981524.9599999981</v>
      </c>
      <c r="C359" s="924">
        <f>SUM(C2:C358)</f>
        <v>16605847.699999988</v>
      </c>
      <c r="D359" s="712"/>
    </row>
  </sheetData>
  <autoFilter ref="A1:D359" xr:uid="{00000000-0001-0000-0400-000000000000}"/>
  <sortState xmlns:xlrd2="http://schemas.microsoft.com/office/spreadsheetml/2017/richdata2" ref="A2:C359">
    <sortCondition ref="A2:A359"/>
  </sortState>
  <conditionalFormatting sqref="A1:A1048576">
    <cfRule type="duplicateValues" dxfId="5" priority="1"/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/>
  <dimension ref="A1:J153"/>
  <sheetViews>
    <sheetView topLeftCell="A131" zoomScale="90" zoomScaleNormal="90" workbookViewId="0">
      <selection activeCell="M151" sqref="M151"/>
    </sheetView>
  </sheetViews>
  <sheetFormatPr defaultColWidth="8.88671875" defaultRowHeight="15.6" x14ac:dyDescent="0.3"/>
  <cols>
    <col min="1" max="1" width="15.109375" style="721" customWidth="1"/>
    <col min="2" max="2" width="41.109375" style="817" customWidth="1"/>
    <col min="3" max="3" width="15.44140625" style="802" customWidth="1"/>
    <col min="4" max="4" width="15.44140625" style="746" customWidth="1"/>
    <col min="5" max="5" width="13.109375" style="471" customWidth="1"/>
    <col min="6" max="6" width="15.109375" style="471" customWidth="1"/>
    <col min="7" max="7" width="14.109375" style="471" customWidth="1"/>
    <col min="8" max="8" width="8.88671875" style="471" customWidth="1"/>
    <col min="9" max="9" width="8.88671875" style="471"/>
    <col min="10" max="10" width="18.44140625" style="471" customWidth="1"/>
    <col min="11" max="16384" width="8.88671875" style="471"/>
  </cols>
  <sheetData>
    <row r="1" spans="1:10" ht="62.4" x14ac:dyDescent="0.3">
      <c r="A1" s="815" t="s">
        <v>1104</v>
      </c>
      <c r="B1" s="908" t="s">
        <v>1</v>
      </c>
      <c r="C1" s="816" t="s">
        <v>1117</v>
      </c>
      <c r="D1" s="816" t="s">
        <v>1698</v>
      </c>
      <c r="E1" s="816" t="s">
        <v>1699</v>
      </c>
      <c r="F1" s="816" t="s">
        <v>1700</v>
      </c>
      <c r="G1" s="816" t="s">
        <v>1701</v>
      </c>
      <c r="J1" s="1000"/>
    </row>
    <row r="2" spans="1:10" ht="21" customHeight="1" x14ac:dyDescent="0.3">
      <c r="A2" s="745">
        <v>150000497</v>
      </c>
      <c r="B2" s="818" t="s">
        <v>340</v>
      </c>
      <c r="C2" s="995">
        <v>0</v>
      </c>
      <c r="D2" s="766">
        <v>376.63</v>
      </c>
      <c r="E2" s="766">
        <v>71.5</v>
      </c>
      <c r="F2" s="766">
        <v>0</v>
      </c>
      <c r="G2" s="766">
        <v>376.63</v>
      </c>
      <c r="H2" s="471">
        <f>VLOOKUP(A2,'побудинковий звіт'!$A$9:$DB$367,106,FALSE)</f>
        <v>1</v>
      </c>
    </row>
    <row r="3" spans="1:10" x14ac:dyDescent="0.3">
      <c r="A3" s="745">
        <v>150000498</v>
      </c>
      <c r="B3" s="818" t="s">
        <v>241</v>
      </c>
      <c r="C3" s="995">
        <v>255.74</v>
      </c>
      <c r="D3" s="766">
        <v>255.74</v>
      </c>
      <c r="E3" s="766">
        <v>45.7</v>
      </c>
      <c r="F3" s="766">
        <v>255.74</v>
      </c>
      <c r="G3" s="766">
        <v>255.74</v>
      </c>
      <c r="H3" s="471">
        <f>VLOOKUP(A3,'побудинковий звіт'!$A$9:$DB$367,106,FALSE)</f>
        <v>1</v>
      </c>
    </row>
    <row r="4" spans="1:10" x14ac:dyDescent="0.3">
      <c r="A4" s="745">
        <v>150000501</v>
      </c>
      <c r="B4" s="818" t="s">
        <v>263</v>
      </c>
      <c r="C4" s="995">
        <v>1484.14</v>
      </c>
      <c r="D4" s="766">
        <v>189.48</v>
      </c>
      <c r="E4" s="766">
        <v>40.6</v>
      </c>
      <c r="F4" s="766">
        <v>1984.14</v>
      </c>
      <c r="G4" s="766">
        <v>689.48</v>
      </c>
      <c r="H4" s="471">
        <f>VLOOKUP(A4,'побудинковий звіт'!$A$9:$DB$367,106,FALSE)</f>
        <v>2</v>
      </c>
    </row>
    <row r="5" spans="1:10" x14ac:dyDescent="0.3">
      <c r="A5" s="745">
        <v>150000507</v>
      </c>
      <c r="B5" s="818" t="s">
        <v>113</v>
      </c>
      <c r="C5" s="995">
        <v>-0.06</v>
      </c>
      <c r="D5" s="766">
        <v>73.14</v>
      </c>
      <c r="E5" s="766">
        <v>51.4</v>
      </c>
      <c r="F5" s="766">
        <v>-0.06</v>
      </c>
      <c r="G5" s="766">
        <v>73.14</v>
      </c>
      <c r="H5" s="471">
        <f>VLOOKUP(A5,'побудинковий звіт'!$A$9:$DB$367,106,FALSE)</f>
        <v>3</v>
      </c>
    </row>
    <row r="6" spans="1:10" x14ac:dyDescent="0.3">
      <c r="A6" s="745">
        <v>150000510</v>
      </c>
      <c r="B6" s="818" t="s">
        <v>248</v>
      </c>
      <c r="C6" s="995">
        <v>350.95</v>
      </c>
      <c r="D6" s="766">
        <v>350.95</v>
      </c>
      <c r="E6" s="766">
        <v>92.1</v>
      </c>
      <c r="F6" s="766">
        <v>701.9</v>
      </c>
      <c r="G6" s="766">
        <v>701.9</v>
      </c>
      <c r="H6" s="471">
        <f>VLOOKUP(A6,'побудинковий звіт'!$A$9:$DB$367,106,FALSE)</f>
        <v>2</v>
      </c>
    </row>
    <row r="7" spans="1:10" x14ac:dyDescent="0.3">
      <c r="A7" s="745">
        <v>150000512</v>
      </c>
      <c r="B7" s="818" t="s">
        <v>250</v>
      </c>
      <c r="C7" s="995">
        <v>195.93</v>
      </c>
      <c r="D7" s="766">
        <v>534.96</v>
      </c>
      <c r="E7" s="766">
        <v>133.6</v>
      </c>
      <c r="F7" s="766">
        <v>202.74</v>
      </c>
      <c r="G7" s="766">
        <v>541.77</v>
      </c>
      <c r="H7" s="471">
        <f>VLOOKUP(A7,'побудинковий звіт'!$A$9:$DB$367,106,FALSE)</f>
        <v>2</v>
      </c>
    </row>
    <row r="8" spans="1:10" x14ac:dyDescent="0.3">
      <c r="A8" s="745">
        <v>150000513</v>
      </c>
      <c r="B8" s="818" t="s">
        <v>333</v>
      </c>
      <c r="C8" s="995">
        <v>7069.6900000000005</v>
      </c>
      <c r="D8" s="766">
        <v>4937.72</v>
      </c>
      <c r="E8" s="766">
        <v>1482</v>
      </c>
      <c r="F8" s="766">
        <v>2131.9699999999998</v>
      </c>
      <c r="G8" s="766">
        <v>0</v>
      </c>
      <c r="H8" s="471">
        <f>VLOOKUP(A8,'побудинковий звіт'!$A$9:$DB$367,106,FALSE)</f>
        <v>2</v>
      </c>
    </row>
    <row r="9" spans="1:10" x14ac:dyDescent="0.3">
      <c r="A9" s="745">
        <v>150000517</v>
      </c>
      <c r="B9" s="818" t="s">
        <v>251</v>
      </c>
      <c r="C9" s="995">
        <v>4036.6000000000004</v>
      </c>
      <c r="D9" s="766">
        <v>1395.21</v>
      </c>
      <c r="E9" s="766">
        <v>362.90000000000003</v>
      </c>
      <c r="F9" s="766">
        <v>4745.87</v>
      </c>
      <c r="G9" s="766">
        <v>2104.48</v>
      </c>
      <c r="H9" s="471">
        <f>VLOOKUP(A9,'побудинковий звіт'!$A$9:$DB$367,106,FALSE)</f>
        <v>2</v>
      </c>
    </row>
    <row r="10" spans="1:10" x14ac:dyDescent="0.3">
      <c r="A10" s="745">
        <v>150000518</v>
      </c>
      <c r="B10" s="818" t="s">
        <v>194</v>
      </c>
      <c r="C10" s="995">
        <v>692.76</v>
      </c>
      <c r="D10" s="766">
        <v>346.38</v>
      </c>
      <c r="E10" s="766">
        <v>64.3</v>
      </c>
      <c r="F10" s="766">
        <v>692.76</v>
      </c>
      <c r="G10" s="766">
        <v>346.38</v>
      </c>
      <c r="H10" s="471">
        <f>VLOOKUP(A10,'побудинковий звіт'!$A$9:$DB$367,106,FALSE)</f>
        <v>2</v>
      </c>
    </row>
    <row r="11" spans="1:10" x14ac:dyDescent="0.3">
      <c r="A11" s="745">
        <v>150000519</v>
      </c>
      <c r="B11" s="818" t="s">
        <v>412</v>
      </c>
      <c r="C11" s="995">
        <v>2658.12</v>
      </c>
      <c r="D11" s="766">
        <v>288.48</v>
      </c>
      <c r="E11" s="766">
        <v>60.9</v>
      </c>
      <c r="F11" s="766">
        <v>2869.64</v>
      </c>
      <c r="G11" s="766">
        <v>500</v>
      </c>
      <c r="H11" s="471">
        <f>VLOOKUP(A11,'побудинковий звіт'!$A$9:$DB$367,106,FALSE)</f>
        <v>2</v>
      </c>
    </row>
    <row r="12" spans="1:10" x14ac:dyDescent="0.3">
      <c r="A12" s="745">
        <v>150000521</v>
      </c>
      <c r="B12" s="818" t="s">
        <v>252</v>
      </c>
      <c r="C12" s="995">
        <v>10233.279999999999</v>
      </c>
      <c r="D12" s="766">
        <v>1842.8400000000001</v>
      </c>
      <c r="E12" s="766">
        <v>383.40000000000003</v>
      </c>
      <c r="F12" s="766">
        <v>9364.9699999999993</v>
      </c>
      <c r="G12" s="766">
        <v>974.53</v>
      </c>
      <c r="H12" s="471">
        <f>VLOOKUP(A12,'побудинковий звіт'!$A$9:$DB$367,106,FALSE)</f>
        <v>2</v>
      </c>
    </row>
    <row r="13" spans="1:10" x14ac:dyDescent="0.3">
      <c r="A13" s="745">
        <v>150000535</v>
      </c>
      <c r="B13" s="818" t="s">
        <v>350</v>
      </c>
      <c r="C13" s="995">
        <v>959.16</v>
      </c>
      <c r="D13" s="766">
        <v>479.86</v>
      </c>
      <c r="E13" s="766">
        <v>95.2</v>
      </c>
      <c r="F13" s="766">
        <v>479.3</v>
      </c>
      <c r="G13" s="766">
        <v>0</v>
      </c>
      <c r="H13" s="471">
        <f>VLOOKUP(A13,'побудинковий звіт'!$A$9:$DB$367,106,FALSE)</f>
        <v>1</v>
      </c>
    </row>
    <row r="14" spans="1:10" x14ac:dyDescent="0.3">
      <c r="A14" s="745">
        <v>150000553</v>
      </c>
      <c r="B14" s="818" t="s">
        <v>259</v>
      </c>
      <c r="C14" s="995">
        <v>369.26</v>
      </c>
      <c r="D14" s="766">
        <v>369.26</v>
      </c>
      <c r="E14" s="766">
        <v>90.1</v>
      </c>
      <c r="F14" s="766">
        <v>369.26</v>
      </c>
      <c r="G14" s="766">
        <v>369.26</v>
      </c>
      <c r="H14" s="471">
        <f>VLOOKUP(A14,'побудинковий звіт'!$A$9:$DB$367,106,FALSE)</f>
        <v>3</v>
      </c>
    </row>
    <row r="15" spans="1:10" x14ac:dyDescent="0.3">
      <c r="A15" s="745">
        <v>150000592</v>
      </c>
      <c r="B15" s="818" t="s">
        <v>353</v>
      </c>
      <c r="C15" s="995">
        <v>7805.16</v>
      </c>
      <c r="D15" s="766">
        <v>206.36</v>
      </c>
      <c r="E15" s="766">
        <v>39.4</v>
      </c>
      <c r="F15" s="766">
        <v>7598.8</v>
      </c>
      <c r="G15" s="766">
        <v>0</v>
      </c>
      <c r="H15" s="471">
        <f>VLOOKUP(A15,'побудинковий звіт'!$A$9:$DB$367,106,FALSE)</f>
        <v>1</v>
      </c>
    </row>
    <row r="16" spans="1:10" x14ac:dyDescent="0.3">
      <c r="A16" s="745">
        <v>150000593</v>
      </c>
      <c r="B16" s="818" t="s">
        <v>255</v>
      </c>
      <c r="C16" s="995">
        <v>299.10000000000002</v>
      </c>
      <c r="D16" s="766">
        <v>482.22</v>
      </c>
      <c r="E16" s="766">
        <v>118.5</v>
      </c>
      <c r="F16" s="766">
        <v>1214.7</v>
      </c>
      <c r="G16" s="766">
        <v>1397.8200000000002</v>
      </c>
      <c r="H16" s="471">
        <f>VLOOKUP(A16,'побудинковий звіт'!$A$9:$DB$367,106,FALSE)</f>
        <v>1</v>
      </c>
    </row>
    <row r="17" spans="1:8" x14ac:dyDescent="0.3">
      <c r="A17" s="745">
        <v>150000594</v>
      </c>
      <c r="B17" s="818" t="s">
        <v>354</v>
      </c>
      <c r="C17" s="995">
        <v>15576.26</v>
      </c>
      <c r="D17" s="766">
        <v>775.96</v>
      </c>
      <c r="E17" s="766">
        <v>149</v>
      </c>
      <c r="F17" s="766">
        <v>15182.55</v>
      </c>
      <c r="G17" s="766">
        <v>382.25</v>
      </c>
      <c r="H17" s="471">
        <f>VLOOKUP(A17,'побудинковий звіт'!$A$9:$DB$367,106,FALSE)</f>
        <v>1</v>
      </c>
    </row>
    <row r="18" spans="1:8" x14ac:dyDescent="0.3">
      <c r="A18" s="745">
        <v>150000603</v>
      </c>
      <c r="B18" s="818" t="s">
        <v>153</v>
      </c>
      <c r="C18" s="995">
        <v>-157.76</v>
      </c>
      <c r="D18" s="766">
        <v>1009.22</v>
      </c>
      <c r="E18" s="766">
        <v>195.9</v>
      </c>
      <c r="F18" s="766">
        <v>-472.02</v>
      </c>
      <c r="G18" s="766">
        <v>694.96</v>
      </c>
      <c r="H18" s="471">
        <f>VLOOKUP(A18,'побудинковий звіт'!$A$9:$DB$367,106,FALSE)</f>
        <v>2</v>
      </c>
    </row>
    <row r="19" spans="1:8" x14ac:dyDescent="0.3">
      <c r="A19" s="745">
        <v>150000604</v>
      </c>
      <c r="B19" s="818" t="s">
        <v>154</v>
      </c>
      <c r="C19" s="995">
        <v>5106.2700000000004</v>
      </c>
      <c r="D19" s="766">
        <v>319.14</v>
      </c>
      <c r="E19" s="766">
        <v>64.599999999999994</v>
      </c>
      <c r="F19" s="766">
        <v>4787.13</v>
      </c>
      <c r="G19" s="766">
        <v>0</v>
      </c>
      <c r="H19" s="471">
        <f>VLOOKUP(A19,'побудинковий звіт'!$A$9:$DB$367,106,FALSE)</f>
        <v>2</v>
      </c>
    </row>
    <row r="20" spans="1:8" x14ac:dyDescent="0.3">
      <c r="A20" s="745">
        <v>150000605</v>
      </c>
      <c r="B20" s="818" t="s">
        <v>155</v>
      </c>
      <c r="C20" s="995">
        <v>20505.21</v>
      </c>
      <c r="D20" s="766">
        <v>319.42</v>
      </c>
      <c r="E20" s="766">
        <v>57.7</v>
      </c>
      <c r="F20" s="766">
        <v>20185.79</v>
      </c>
      <c r="G20" s="766">
        <v>0</v>
      </c>
      <c r="H20" s="471">
        <f>VLOOKUP(A20,'побудинковий звіт'!$A$9:$DB$367,106,FALSE)</f>
        <v>2</v>
      </c>
    </row>
    <row r="21" spans="1:8" x14ac:dyDescent="0.3">
      <c r="A21" s="745">
        <v>150000606</v>
      </c>
      <c r="B21" s="818" t="s">
        <v>156</v>
      </c>
      <c r="C21" s="995">
        <v>1143.95</v>
      </c>
      <c r="D21" s="766">
        <v>445.73</v>
      </c>
      <c r="E21" s="766">
        <v>80.5</v>
      </c>
      <c r="F21" s="766">
        <v>698.22</v>
      </c>
      <c r="G21" s="766">
        <v>0</v>
      </c>
      <c r="H21" s="471">
        <f>VLOOKUP(A21,'побудинковий звіт'!$A$9:$DB$367,106,FALSE)</f>
        <v>2</v>
      </c>
    </row>
    <row r="22" spans="1:8" x14ac:dyDescent="0.3">
      <c r="A22" s="745">
        <v>150000607</v>
      </c>
      <c r="B22" s="818" t="s">
        <v>157</v>
      </c>
      <c r="C22" s="995">
        <v>7663.59</v>
      </c>
      <c r="D22" s="766">
        <v>1530.4199999999998</v>
      </c>
      <c r="E22" s="766">
        <v>295.8</v>
      </c>
      <c r="F22" s="766">
        <v>9355.51</v>
      </c>
      <c r="G22" s="766">
        <v>3222.3399999999997</v>
      </c>
      <c r="H22" s="471">
        <f>VLOOKUP(A22,'побудинковий звіт'!$A$9:$DB$367,106,FALSE)</f>
        <v>2</v>
      </c>
    </row>
    <row r="23" spans="1:8" x14ac:dyDescent="0.3">
      <c r="A23" s="745">
        <v>150000608</v>
      </c>
      <c r="B23" s="818" t="s">
        <v>158</v>
      </c>
      <c r="C23" s="995">
        <v>5956.69</v>
      </c>
      <c r="D23" s="766">
        <v>734.53</v>
      </c>
      <c r="E23" s="766">
        <v>130.30000000000001</v>
      </c>
      <c r="F23" s="766">
        <v>5392.86</v>
      </c>
      <c r="G23" s="766">
        <v>170.7</v>
      </c>
      <c r="H23" s="471">
        <f>VLOOKUP(A23,'побудинковий звіт'!$A$9:$DB$367,106,FALSE)</f>
        <v>2</v>
      </c>
    </row>
    <row r="24" spans="1:8" x14ac:dyDescent="0.3">
      <c r="A24" s="745">
        <v>150000609</v>
      </c>
      <c r="B24" s="818" t="s">
        <v>159</v>
      </c>
      <c r="C24" s="995">
        <v>3808.84</v>
      </c>
      <c r="D24" s="766">
        <v>684.45</v>
      </c>
      <c r="E24" s="766">
        <v>115.7</v>
      </c>
      <c r="F24" s="766">
        <v>4428.2299999999996</v>
      </c>
      <c r="G24" s="766">
        <v>1303.8399999999999</v>
      </c>
      <c r="H24" s="471">
        <f>VLOOKUP(A24,'побудинковий звіт'!$A$9:$DB$367,106,FALSE)</f>
        <v>2</v>
      </c>
    </row>
    <row r="25" spans="1:8" x14ac:dyDescent="0.3">
      <c r="A25" s="745">
        <v>150000611</v>
      </c>
      <c r="B25" s="818" t="s">
        <v>195</v>
      </c>
      <c r="C25" s="995">
        <v>-1012.92</v>
      </c>
      <c r="D25" s="766">
        <v>273.62</v>
      </c>
      <c r="E25" s="766">
        <v>54.5</v>
      </c>
      <c r="F25" s="766">
        <v>-1012.92</v>
      </c>
      <c r="G25" s="766">
        <v>273.62</v>
      </c>
      <c r="H25" s="471">
        <f>VLOOKUP(A25,'побудинковий звіт'!$A$9:$DB$367,106,FALSE)</f>
        <v>2</v>
      </c>
    </row>
    <row r="26" spans="1:8" x14ac:dyDescent="0.3">
      <c r="A26" s="745">
        <v>150000613</v>
      </c>
      <c r="B26" s="818" t="s">
        <v>210</v>
      </c>
      <c r="C26" s="995">
        <v>7897.08</v>
      </c>
      <c r="D26" s="766">
        <v>1084.51</v>
      </c>
      <c r="E26" s="766">
        <v>212.5</v>
      </c>
      <c r="F26" s="766">
        <v>7482.16</v>
      </c>
      <c r="G26" s="766">
        <v>669.59</v>
      </c>
      <c r="H26" s="471">
        <f>VLOOKUP(A26,'побудинковий звіт'!$A$9:$DB$367,106,FALSE)</f>
        <v>2</v>
      </c>
    </row>
    <row r="27" spans="1:8" x14ac:dyDescent="0.3">
      <c r="A27" s="745">
        <v>150000615</v>
      </c>
      <c r="B27" s="818" t="s">
        <v>256</v>
      </c>
      <c r="C27" s="995">
        <v>576.98</v>
      </c>
      <c r="D27" s="766">
        <v>751.31</v>
      </c>
      <c r="E27" s="766">
        <v>132.30000000000001</v>
      </c>
      <c r="F27" s="766">
        <v>825.67</v>
      </c>
      <c r="G27" s="766">
        <v>1000</v>
      </c>
      <c r="H27" s="471">
        <f>VLOOKUP(A27,'побудинковий звіт'!$A$9:$DB$367,106,FALSE)</f>
        <v>2</v>
      </c>
    </row>
    <row r="28" spans="1:8" x14ac:dyDescent="0.3">
      <c r="A28" s="745">
        <v>150000616</v>
      </c>
      <c r="B28" s="818" t="s">
        <v>257</v>
      </c>
      <c r="C28" s="995">
        <v>1469.97</v>
      </c>
      <c r="D28" s="766">
        <v>398.45</v>
      </c>
      <c r="E28" s="766">
        <v>88.5</v>
      </c>
      <c r="F28" s="766">
        <v>1469.97</v>
      </c>
      <c r="G28" s="766">
        <v>398.45</v>
      </c>
      <c r="H28" s="471">
        <f>VLOOKUP(A28,'побудинковий звіт'!$A$9:$DB$367,106,FALSE)</f>
        <v>2</v>
      </c>
    </row>
    <row r="29" spans="1:8" x14ac:dyDescent="0.3">
      <c r="A29" s="745">
        <v>150000623</v>
      </c>
      <c r="B29" s="818" t="s">
        <v>209</v>
      </c>
      <c r="C29" s="995">
        <v>2632.62</v>
      </c>
      <c r="D29" s="766">
        <v>469.1</v>
      </c>
      <c r="E29" s="766">
        <v>92.8</v>
      </c>
      <c r="F29" s="766">
        <v>2163.52</v>
      </c>
      <c r="G29" s="766">
        <v>0</v>
      </c>
      <c r="H29" s="471">
        <f>VLOOKUP(A29,'побудинковий звіт'!$A$9:$DB$367,106,FALSE)</f>
        <v>2</v>
      </c>
    </row>
    <row r="30" spans="1:8" x14ac:dyDescent="0.3">
      <c r="A30" s="745">
        <v>150000625</v>
      </c>
      <c r="B30" s="818" t="s">
        <v>415</v>
      </c>
      <c r="C30" s="995">
        <v>0</v>
      </c>
      <c r="D30" s="766">
        <v>329.74</v>
      </c>
      <c r="E30" s="766">
        <v>64.599999999999994</v>
      </c>
      <c r="F30" s="766">
        <v>0</v>
      </c>
      <c r="G30" s="766">
        <v>329.74</v>
      </c>
      <c r="H30" s="471">
        <f>VLOOKUP(A30,'побудинковий звіт'!$A$9:$DB$367,106,FALSE)</f>
        <v>1</v>
      </c>
    </row>
    <row r="31" spans="1:8" x14ac:dyDescent="0.3">
      <c r="A31" s="745">
        <v>150000627</v>
      </c>
      <c r="B31" s="818" t="s">
        <v>355</v>
      </c>
      <c r="C31" s="995">
        <v>3094.32</v>
      </c>
      <c r="D31" s="766">
        <v>310.36</v>
      </c>
      <c r="E31" s="766">
        <v>63.3</v>
      </c>
      <c r="F31" s="766">
        <v>2783.96</v>
      </c>
      <c r="G31" s="766">
        <v>0</v>
      </c>
      <c r="H31" s="471">
        <f>VLOOKUP(A31,'побудинковий звіт'!$A$9:$DB$367,106,FALSE)</f>
        <v>1</v>
      </c>
    </row>
    <row r="32" spans="1:8" x14ac:dyDescent="0.3">
      <c r="A32" s="745">
        <v>150000628</v>
      </c>
      <c r="B32" s="818" t="s">
        <v>356</v>
      </c>
      <c r="C32" s="995">
        <v>1292.42</v>
      </c>
      <c r="D32" s="766">
        <v>643.13</v>
      </c>
      <c r="E32" s="766">
        <v>143.69999999999999</v>
      </c>
      <c r="F32" s="766">
        <v>1292.42</v>
      </c>
      <c r="G32" s="766">
        <v>643.13</v>
      </c>
      <c r="H32" s="471">
        <f>VLOOKUP(A32,'побудинковий звіт'!$A$9:$DB$367,106,FALSE)</f>
        <v>1</v>
      </c>
    </row>
    <row r="33" spans="1:8" x14ac:dyDescent="0.3">
      <c r="A33" s="745">
        <v>150000672</v>
      </c>
      <c r="B33" s="818" t="s">
        <v>1105</v>
      </c>
      <c r="C33" s="995">
        <v>320.12</v>
      </c>
      <c r="D33" s="766">
        <v>320.12</v>
      </c>
      <c r="E33" s="766">
        <v>67</v>
      </c>
      <c r="F33" s="766">
        <v>0</v>
      </c>
      <c r="G33" s="766">
        <v>0</v>
      </c>
      <c r="H33" s="471">
        <f>VLOOKUP(A33,'побудинковий звіт'!$A$9:$DB$367,106,FALSE)</f>
        <v>2</v>
      </c>
    </row>
    <row r="34" spans="1:8" x14ac:dyDescent="0.3">
      <c r="A34" s="745">
        <v>150000710</v>
      </c>
      <c r="B34" s="818" t="s">
        <v>278</v>
      </c>
      <c r="C34" s="995">
        <v>5166.3</v>
      </c>
      <c r="D34" s="766">
        <v>362.02</v>
      </c>
      <c r="E34" s="766">
        <v>100.8</v>
      </c>
      <c r="F34" s="766">
        <v>5091.93</v>
      </c>
      <c r="G34" s="766">
        <v>287.64999999999998</v>
      </c>
      <c r="H34" s="471">
        <f>VLOOKUP(A34,'побудинковий звіт'!$A$9:$DB$367,106,FALSE)</f>
        <v>3</v>
      </c>
    </row>
    <row r="35" spans="1:8" x14ac:dyDescent="0.3">
      <c r="A35" s="745">
        <v>150000711</v>
      </c>
      <c r="B35" s="818" t="s">
        <v>279</v>
      </c>
      <c r="C35" s="995">
        <v>0</v>
      </c>
      <c r="D35" s="766">
        <v>196.58</v>
      </c>
      <c r="E35" s="766">
        <v>39.799999999999997</v>
      </c>
      <c r="F35" s="766">
        <v>196.58</v>
      </c>
      <c r="G35" s="766">
        <v>393.16</v>
      </c>
      <c r="H35" s="471">
        <f>VLOOKUP(A35,'побудинковий звіт'!$A$9:$DB$367,106,FALSE)</f>
        <v>3</v>
      </c>
    </row>
    <row r="36" spans="1:8" x14ac:dyDescent="0.3">
      <c r="A36" s="745">
        <v>150000713</v>
      </c>
      <c r="B36" s="818" t="s">
        <v>281</v>
      </c>
      <c r="C36" s="995">
        <v>22458.92</v>
      </c>
      <c r="D36" s="766">
        <v>5303.1500000000015</v>
      </c>
      <c r="E36" s="766">
        <v>1122.4999999999998</v>
      </c>
      <c r="F36" s="766">
        <v>22903.269999999997</v>
      </c>
      <c r="G36" s="766">
        <v>5747.5</v>
      </c>
      <c r="H36" s="471">
        <f>VLOOKUP(A36,'побудинковий звіт'!$A$9:$DB$367,106,FALSE)</f>
        <v>3</v>
      </c>
    </row>
    <row r="37" spans="1:8" x14ac:dyDescent="0.3">
      <c r="A37" s="745">
        <v>150000716</v>
      </c>
      <c r="B37" s="818" t="s">
        <v>285</v>
      </c>
      <c r="C37" s="995">
        <v>15083.949999999999</v>
      </c>
      <c r="D37" s="766">
        <v>2189.3000000000002</v>
      </c>
      <c r="E37" s="766">
        <v>492.82</v>
      </c>
      <c r="F37" s="766">
        <v>14229.63</v>
      </c>
      <c r="G37" s="766">
        <v>1334.98</v>
      </c>
      <c r="H37" s="471">
        <f>VLOOKUP(A37,'побудинковий звіт'!$A$9:$DB$367,106,FALSE)</f>
        <v>3</v>
      </c>
    </row>
    <row r="38" spans="1:8" x14ac:dyDescent="0.3">
      <c r="A38" s="745">
        <v>150000717</v>
      </c>
      <c r="B38" s="818" t="s">
        <v>286</v>
      </c>
      <c r="C38" s="995">
        <v>13253.769999999999</v>
      </c>
      <c r="D38" s="766">
        <v>2729.77</v>
      </c>
      <c r="E38" s="766">
        <v>571.9</v>
      </c>
      <c r="F38" s="766">
        <v>11971.48</v>
      </c>
      <c r="G38" s="766">
        <v>1447.48</v>
      </c>
      <c r="H38" s="471">
        <f>VLOOKUP(A38,'побудинковий звіт'!$A$9:$DB$367,106,FALSE)</f>
        <v>3</v>
      </c>
    </row>
    <row r="39" spans="1:8" x14ac:dyDescent="0.3">
      <c r="A39" s="745">
        <v>150000719</v>
      </c>
      <c r="B39" s="818" t="s">
        <v>284</v>
      </c>
      <c r="C39" s="995">
        <v>2148</v>
      </c>
      <c r="D39" s="766">
        <v>1216</v>
      </c>
      <c r="E39" s="766">
        <v>235.9</v>
      </c>
      <c r="F39" s="766">
        <v>932</v>
      </c>
      <c r="G39" s="766">
        <v>0</v>
      </c>
      <c r="H39" s="471">
        <f>VLOOKUP(A39,'побудинковий звіт'!$A$9:$DB$367,106,FALSE)</f>
        <v>3</v>
      </c>
    </row>
    <row r="40" spans="1:8" x14ac:dyDescent="0.3">
      <c r="A40" s="745">
        <v>150000720</v>
      </c>
      <c r="B40" s="818" t="s">
        <v>288</v>
      </c>
      <c r="C40" s="995">
        <v>9051.5</v>
      </c>
      <c r="D40" s="766">
        <v>423.65</v>
      </c>
      <c r="E40" s="766">
        <v>101</v>
      </c>
      <c r="F40" s="766">
        <v>8627.85</v>
      </c>
      <c r="G40" s="766">
        <v>0</v>
      </c>
      <c r="H40" s="471">
        <f>VLOOKUP(A40,'побудинковий звіт'!$A$9:$DB$367,106,FALSE)</f>
        <v>3</v>
      </c>
    </row>
    <row r="41" spans="1:8" x14ac:dyDescent="0.3">
      <c r="A41" s="745">
        <v>150000721</v>
      </c>
      <c r="B41" s="818" t="s">
        <v>218</v>
      </c>
      <c r="C41" s="995">
        <v>355.24</v>
      </c>
      <c r="D41" s="766">
        <v>316.77</v>
      </c>
      <c r="E41" s="766">
        <v>66.7</v>
      </c>
      <c r="F41" s="766">
        <v>177.62</v>
      </c>
      <c r="G41" s="766">
        <v>139.15</v>
      </c>
      <c r="H41" s="471">
        <f>VLOOKUP(A41,'побудинковий звіт'!$A$9:$DB$367,106,FALSE)</f>
        <v>2</v>
      </c>
    </row>
    <row r="42" spans="1:8" x14ac:dyDescent="0.3">
      <c r="A42" s="745">
        <v>150000728</v>
      </c>
      <c r="B42" s="818" t="s">
        <v>184</v>
      </c>
      <c r="C42" s="995">
        <v>292.82</v>
      </c>
      <c r="D42" s="766">
        <v>292.82</v>
      </c>
      <c r="E42" s="766">
        <v>64.099999999999994</v>
      </c>
      <c r="F42" s="766">
        <v>0</v>
      </c>
      <c r="G42" s="766">
        <v>0</v>
      </c>
      <c r="H42" s="471">
        <f>VLOOKUP(A42,'побудинковий звіт'!$A$9:$DB$367,106,FALSE)</f>
        <v>2</v>
      </c>
    </row>
    <row r="43" spans="1:8" x14ac:dyDescent="0.3">
      <c r="A43" s="745">
        <v>150000736</v>
      </c>
      <c r="B43" s="818" t="s">
        <v>219</v>
      </c>
      <c r="C43" s="995">
        <v>385.57</v>
      </c>
      <c r="D43" s="766">
        <v>775.09</v>
      </c>
      <c r="E43" s="766">
        <v>190.7</v>
      </c>
      <c r="F43" s="766">
        <v>318.91000000000003</v>
      </c>
      <c r="G43" s="766">
        <v>708.43000000000006</v>
      </c>
      <c r="H43" s="471">
        <f>VLOOKUP(A43,'побудинковий звіт'!$A$9:$DB$367,106,FALSE)</f>
        <v>2</v>
      </c>
    </row>
    <row r="44" spans="1:8" x14ac:dyDescent="0.3">
      <c r="A44" s="745">
        <v>150000737</v>
      </c>
      <c r="B44" s="818" t="s">
        <v>221</v>
      </c>
      <c r="C44" s="995">
        <v>5127.1000000000004</v>
      </c>
      <c r="D44" s="766">
        <v>1349.48</v>
      </c>
      <c r="E44" s="766">
        <v>302.20000000000005</v>
      </c>
      <c r="F44" s="766">
        <v>4851.09</v>
      </c>
      <c r="G44" s="766">
        <v>1073.47</v>
      </c>
      <c r="H44" s="471">
        <f>VLOOKUP(A44,'побудинковий звіт'!$A$9:$DB$367,106,FALSE)</f>
        <v>2</v>
      </c>
    </row>
    <row r="45" spans="1:8" x14ac:dyDescent="0.3">
      <c r="A45" s="745">
        <v>150000739</v>
      </c>
      <c r="B45" s="818" t="s">
        <v>222</v>
      </c>
      <c r="C45" s="995">
        <v>2075.67</v>
      </c>
      <c r="D45" s="766">
        <v>1681.62</v>
      </c>
      <c r="E45" s="766">
        <v>386.5</v>
      </c>
      <c r="F45" s="766">
        <v>1391.71</v>
      </c>
      <c r="G45" s="766">
        <v>997.66</v>
      </c>
      <c r="H45" s="471">
        <f>VLOOKUP(A45,'побудинковий звіт'!$A$9:$DB$367,106,FALSE)</f>
        <v>2</v>
      </c>
    </row>
    <row r="46" spans="1:8" x14ac:dyDescent="0.3">
      <c r="A46" s="745">
        <v>150000740</v>
      </c>
      <c r="B46" s="818" t="s">
        <v>197</v>
      </c>
      <c r="C46" s="995">
        <v>5233.28</v>
      </c>
      <c r="D46" s="766">
        <v>621.92999999999995</v>
      </c>
      <c r="E46" s="766">
        <v>129.30000000000001</v>
      </c>
      <c r="F46" s="766">
        <v>4925.4399999999996</v>
      </c>
      <c r="G46" s="766">
        <v>314.08999999999997</v>
      </c>
      <c r="H46" s="471">
        <f>VLOOKUP(A46,'побудинковий звіт'!$A$9:$DB$367,106,FALSE)</f>
        <v>2</v>
      </c>
    </row>
    <row r="47" spans="1:8" x14ac:dyDescent="0.3">
      <c r="A47" s="745">
        <v>150000741</v>
      </c>
      <c r="B47" s="818" t="s">
        <v>224</v>
      </c>
      <c r="C47" s="995">
        <v>5308.2999999999993</v>
      </c>
      <c r="D47" s="766">
        <v>1492.2399999999998</v>
      </c>
      <c r="E47" s="766">
        <v>321.2</v>
      </c>
      <c r="F47" s="766">
        <v>4431.1499999999996</v>
      </c>
      <c r="G47" s="766">
        <v>615.09</v>
      </c>
      <c r="H47" s="471">
        <f>VLOOKUP(A47,'побудинковий звіт'!$A$9:$DB$367,106,FALSE)</f>
        <v>2</v>
      </c>
    </row>
    <row r="48" spans="1:8" x14ac:dyDescent="0.3">
      <c r="A48" s="745">
        <v>150000742</v>
      </c>
      <c r="B48" s="818" t="s">
        <v>290</v>
      </c>
      <c r="C48" s="995">
        <v>-180.1</v>
      </c>
      <c r="D48" s="766">
        <v>761.37</v>
      </c>
      <c r="E48" s="766">
        <v>169.1</v>
      </c>
      <c r="F48" s="766">
        <v>180.1</v>
      </c>
      <c r="G48" s="766">
        <v>1121.57</v>
      </c>
      <c r="H48" s="471">
        <f>VLOOKUP(A48,'побудинковий звіт'!$A$9:$DB$367,106,FALSE)</f>
        <v>2</v>
      </c>
    </row>
    <row r="49" spans="1:8" x14ac:dyDescent="0.3">
      <c r="A49" s="745">
        <v>150000743</v>
      </c>
      <c r="B49" s="818" t="s">
        <v>220</v>
      </c>
      <c r="C49" s="995">
        <v>3342.4999999999995</v>
      </c>
      <c r="D49" s="766">
        <v>1957.9400000000003</v>
      </c>
      <c r="E49" s="766">
        <v>492.29999999999995</v>
      </c>
      <c r="F49" s="766">
        <v>3034.65</v>
      </c>
      <c r="G49" s="766">
        <v>1650.09</v>
      </c>
      <c r="H49" s="471">
        <f>VLOOKUP(A49,'побудинковий звіт'!$A$9:$DB$367,106,FALSE)</f>
        <v>2</v>
      </c>
    </row>
    <row r="50" spans="1:8" x14ac:dyDescent="0.3">
      <c r="A50" s="996">
        <v>150000744</v>
      </c>
      <c r="B50" s="997" t="s">
        <v>1811</v>
      </c>
      <c r="C50" s="998">
        <v>1709.2</v>
      </c>
      <c r="D50" s="999">
        <v>427.3</v>
      </c>
      <c r="E50" s="999">
        <v>84.3</v>
      </c>
      <c r="F50" s="999">
        <v>1709.2</v>
      </c>
      <c r="G50" s="999">
        <v>427.3</v>
      </c>
      <c r="H50" s="471">
        <f>VLOOKUP(A50,'побудинковий звіт'!$A$9:$DB$367,106,FALSE)</f>
        <v>2</v>
      </c>
    </row>
    <row r="51" spans="1:8" x14ac:dyDescent="0.3">
      <c r="A51" s="745">
        <v>150000752</v>
      </c>
      <c r="B51" s="818" t="s">
        <v>386</v>
      </c>
      <c r="C51" s="995">
        <v>822.33999999999992</v>
      </c>
      <c r="D51" s="766">
        <v>829.87</v>
      </c>
      <c r="E51" s="766">
        <v>172.31</v>
      </c>
      <c r="F51" s="766">
        <v>267.47000000000003</v>
      </c>
      <c r="G51" s="766">
        <v>275</v>
      </c>
      <c r="H51" s="471">
        <f>VLOOKUP(A51,'побудинковий звіт'!$A$9:$DB$367,106,FALSE)</f>
        <v>1</v>
      </c>
    </row>
    <row r="52" spans="1:8" x14ac:dyDescent="0.3">
      <c r="A52" s="745">
        <v>150000758</v>
      </c>
      <c r="B52" s="818" t="s">
        <v>388</v>
      </c>
      <c r="C52" s="995">
        <v>32.619999999999997</v>
      </c>
      <c r="D52" s="766">
        <v>32.619999999999997</v>
      </c>
      <c r="E52" s="766">
        <v>6.8</v>
      </c>
      <c r="F52" s="766">
        <v>32.619999999999997</v>
      </c>
      <c r="G52" s="766">
        <v>32.619999999999997</v>
      </c>
      <c r="H52" s="471">
        <f>VLOOKUP(A52,'побудинковий звіт'!$A$9:$DB$367,106,FALSE)</f>
        <v>2</v>
      </c>
    </row>
    <row r="53" spans="1:8" x14ac:dyDescent="0.3">
      <c r="A53" s="745">
        <v>150000761</v>
      </c>
      <c r="B53" s="818" t="s">
        <v>390</v>
      </c>
      <c r="C53" s="995">
        <v>405.5</v>
      </c>
      <c r="D53" s="766">
        <v>408.5</v>
      </c>
      <c r="E53" s="766">
        <v>94.6</v>
      </c>
      <c r="F53" s="766">
        <v>406</v>
      </c>
      <c r="G53" s="766">
        <v>409</v>
      </c>
      <c r="H53" s="471">
        <f>VLOOKUP(A53,'побудинковий звіт'!$A$9:$DB$367,106,FALSE)</f>
        <v>2</v>
      </c>
    </row>
    <row r="54" spans="1:8" x14ac:dyDescent="0.3">
      <c r="A54" s="745">
        <v>150000797</v>
      </c>
      <c r="B54" s="818" t="s">
        <v>231</v>
      </c>
      <c r="C54" s="995">
        <v>42538.939999999995</v>
      </c>
      <c r="D54" s="766">
        <v>7239.3600000000015</v>
      </c>
      <c r="E54" s="766">
        <v>1603.9</v>
      </c>
      <c r="F54" s="766">
        <v>37680.710000000006</v>
      </c>
      <c r="G54" s="766">
        <v>2381.13</v>
      </c>
      <c r="H54" s="471">
        <f>VLOOKUP(A54,'побудинковий звіт'!$A$9:$DB$367,106,FALSE)</f>
        <v>2</v>
      </c>
    </row>
    <row r="55" spans="1:8" x14ac:dyDescent="0.3">
      <c r="A55" s="745">
        <v>150000798</v>
      </c>
      <c r="B55" s="818" t="s">
        <v>225</v>
      </c>
      <c r="C55" s="995">
        <v>2038.9399999999998</v>
      </c>
      <c r="D55" s="766">
        <v>1400.21</v>
      </c>
      <c r="E55" s="766">
        <v>321.60000000000002</v>
      </c>
      <c r="F55" s="766">
        <v>1692.8</v>
      </c>
      <c r="G55" s="766">
        <v>1054.07</v>
      </c>
      <c r="H55" s="471">
        <f>VLOOKUP(A55,'побудинковий звіт'!$A$9:$DB$367,106,FALSE)</f>
        <v>2</v>
      </c>
    </row>
    <row r="56" spans="1:8" x14ac:dyDescent="0.3">
      <c r="A56" s="745">
        <v>150000799</v>
      </c>
      <c r="B56" s="818" t="s">
        <v>292</v>
      </c>
      <c r="C56" s="995">
        <v>972.07</v>
      </c>
      <c r="D56" s="766">
        <v>972.07</v>
      </c>
      <c r="E56" s="766">
        <v>304.2</v>
      </c>
      <c r="F56" s="766">
        <v>972.07</v>
      </c>
      <c r="G56" s="766">
        <v>972.07</v>
      </c>
      <c r="H56" s="471">
        <f>VLOOKUP(A56,'побудинковий звіт'!$A$9:$DB$367,106,FALSE)</f>
        <v>2</v>
      </c>
    </row>
    <row r="57" spans="1:8" x14ac:dyDescent="0.3">
      <c r="A57" s="745">
        <v>150000801</v>
      </c>
      <c r="B57" s="818" t="s">
        <v>294</v>
      </c>
      <c r="C57" s="995">
        <v>27351.23</v>
      </c>
      <c r="D57" s="766">
        <v>1892.29</v>
      </c>
      <c r="E57" s="766">
        <v>445.6</v>
      </c>
      <c r="F57" s="766">
        <v>26501.83</v>
      </c>
      <c r="G57" s="766">
        <v>1042.8899999999999</v>
      </c>
      <c r="H57" s="471">
        <f>VLOOKUP(A57,'побудинковий звіт'!$A$9:$DB$367,106,FALSE)</f>
        <v>2</v>
      </c>
    </row>
    <row r="58" spans="1:8" x14ac:dyDescent="0.3">
      <c r="A58" s="745">
        <v>150000803</v>
      </c>
      <c r="B58" s="818" t="s">
        <v>227</v>
      </c>
      <c r="C58" s="995">
        <v>2782.67</v>
      </c>
      <c r="D58" s="766">
        <v>806.53</v>
      </c>
      <c r="E58" s="766">
        <v>251.1</v>
      </c>
      <c r="F58" s="766">
        <v>2364.58</v>
      </c>
      <c r="G58" s="766">
        <v>388.44</v>
      </c>
      <c r="H58" s="471">
        <f>VLOOKUP(A58,'побудинковий звіт'!$A$9:$DB$367,106,FALSE)</f>
        <v>2</v>
      </c>
    </row>
    <row r="59" spans="1:8" x14ac:dyDescent="0.3">
      <c r="A59" s="745">
        <v>150000805</v>
      </c>
      <c r="B59" s="818" t="s">
        <v>296</v>
      </c>
      <c r="C59" s="995">
        <v>2230.02</v>
      </c>
      <c r="D59" s="766">
        <v>3035.05</v>
      </c>
      <c r="E59" s="766">
        <v>789.7</v>
      </c>
      <c r="F59" s="766">
        <v>2778.1099999999997</v>
      </c>
      <c r="G59" s="766">
        <v>3583.14</v>
      </c>
      <c r="H59" s="471">
        <f>VLOOKUP(A59,'побудинковий звіт'!$A$9:$DB$367,106,FALSE)</f>
        <v>3</v>
      </c>
    </row>
    <row r="60" spans="1:8" x14ac:dyDescent="0.3">
      <c r="A60" s="745">
        <v>150000806</v>
      </c>
      <c r="B60" s="818" t="s">
        <v>228</v>
      </c>
      <c r="C60" s="995">
        <v>4631.9500000000007</v>
      </c>
      <c r="D60" s="766">
        <v>3059.48</v>
      </c>
      <c r="E60" s="766">
        <v>737.2</v>
      </c>
      <c r="F60" s="766">
        <v>4556.8499999999995</v>
      </c>
      <c r="G60" s="766">
        <v>2984.38</v>
      </c>
      <c r="H60" s="471">
        <f>VLOOKUP(A60,'побудинковий звіт'!$A$9:$DB$367,106,FALSE)</f>
        <v>2</v>
      </c>
    </row>
    <row r="61" spans="1:8" x14ac:dyDescent="0.3">
      <c r="A61" s="745">
        <v>150000807</v>
      </c>
      <c r="B61" s="818" t="s">
        <v>187</v>
      </c>
      <c r="C61" s="995">
        <v>0</v>
      </c>
      <c r="D61" s="766">
        <v>482.77</v>
      </c>
      <c r="E61" s="766">
        <v>105.5</v>
      </c>
      <c r="F61" s="766">
        <v>0</v>
      </c>
      <c r="G61" s="766">
        <v>482.77</v>
      </c>
      <c r="H61" s="471">
        <f>VLOOKUP(A61,'побудинковий звіт'!$A$9:$DB$367,106,FALSE)</f>
        <v>3</v>
      </c>
    </row>
    <row r="62" spans="1:8" x14ac:dyDescent="0.3">
      <c r="A62" s="745">
        <v>150000808</v>
      </c>
      <c r="B62" s="818" t="s">
        <v>297</v>
      </c>
      <c r="C62" s="995">
        <v>830.89</v>
      </c>
      <c r="D62" s="766">
        <v>830.89</v>
      </c>
      <c r="E62" s="766">
        <v>196.2</v>
      </c>
      <c r="F62" s="766">
        <v>830.89</v>
      </c>
      <c r="G62" s="766">
        <v>830.89</v>
      </c>
      <c r="H62" s="471">
        <f>VLOOKUP(A62,'побудинковий звіт'!$A$9:$DB$367,106,FALSE)</f>
        <v>2</v>
      </c>
    </row>
    <row r="63" spans="1:8" x14ac:dyDescent="0.3">
      <c r="A63" s="745">
        <v>150000809</v>
      </c>
      <c r="B63" s="818" t="s">
        <v>299</v>
      </c>
      <c r="C63" s="995">
        <v>1061.8</v>
      </c>
      <c r="D63" s="766">
        <v>2037.62</v>
      </c>
      <c r="E63" s="766">
        <v>438.5</v>
      </c>
      <c r="F63" s="766">
        <v>1061.8</v>
      </c>
      <c r="G63" s="766">
        <v>2037.62</v>
      </c>
      <c r="H63" s="471">
        <f>VLOOKUP(A63,'побудинковий звіт'!$A$9:$DB$367,106,FALSE)</f>
        <v>2</v>
      </c>
    </row>
    <row r="64" spans="1:8" x14ac:dyDescent="0.3">
      <c r="A64" s="745">
        <v>150000810</v>
      </c>
      <c r="B64" s="818" t="s">
        <v>300</v>
      </c>
      <c r="C64" s="995">
        <v>1881.29</v>
      </c>
      <c r="D64" s="766">
        <v>1881.29</v>
      </c>
      <c r="E64" s="766">
        <v>448.3</v>
      </c>
      <c r="F64" s="766">
        <v>1881.29</v>
      </c>
      <c r="G64" s="766">
        <v>1881.29</v>
      </c>
      <c r="H64" s="471">
        <f>VLOOKUP(A64,'побудинковий звіт'!$A$9:$DB$367,106,FALSE)</f>
        <v>2</v>
      </c>
    </row>
    <row r="65" spans="1:8" x14ac:dyDescent="0.3">
      <c r="A65" s="745">
        <v>150000811</v>
      </c>
      <c r="B65" s="818" t="s">
        <v>301</v>
      </c>
      <c r="C65" s="995">
        <v>16579.04</v>
      </c>
      <c r="D65" s="766">
        <v>279.67</v>
      </c>
      <c r="E65" s="766">
        <v>54.2</v>
      </c>
      <c r="F65" s="766">
        <v>16299.37</v>
      </c>
      <c r="G65" s="766">
        <v>0</v>
      </c>
      <c r="H65" s="471">
        <f>VLOOKUP(A65,'побудинковий звіт'!$A$9:$DB$367,106,FALSE)</f>
        <v>2</v>
      </c>
    </row>
    <row r="66" spans="1:8" x14ac:dyDescent="0.3">
      <c r="A66" s="745">
        <v>150000812</v>
      </c>
      <c r="B66" s="818" t="s">
        <v>302</v>
      </c>
      <c r="C66" s="995">
        <v>8107.9</v>
      </c>
      <c r="D66" s="766">
        <v>2753.96</v>
      </c>
      <c r="E66" s="766">
        <v>656.5</v>
      </c>
      <c r="F66" s="766">
        <v>6937.52</v>
      </c>
      <c r="G66" s="766">
        <v>1583.58</v>
      </c>
      <c r="H66" s="471">
        <f>VLOOKUP(A66,'побудинковий звіт'!$A$9:$DB$367,106,FALSE)</f>
        <v>2</v>
      </c>
    </row>
    <row r="67" spans="1:8" x14ac:dyDescent="0.3">
      <c r="A67" s="745">
        <v>150000814</v>
      </c>
      <c r="B67" s="818" t="s">
        <v>304</v>
      </c>
      <c r="C67" s="995">
        <v>4533.8899999999994</v>
      </c>
      <c r="D67" s="766">
        <v>4533.9799999999996</v>
      </c>
      <c r="E67" s="766">
        <v>1049.8</v>
      </c>
      <c r="F67" s="766">
        <v>4533.8899999999994</v>
      </c>
      <c r="G67" s="766">
        <v>4533.9799999999996</v>
      </c>
      <c r="H67" s="471">
        <f>VLOOKUP(A67,'побудинковий звіт'!$A$9:$DB$367,106,FALSE)</f>
        <v>2</v>
      </c>
    </row>
    <row r="68" spans="1:8" x14ac:dyDescent="0.3">
      <c r="A68" s="745">
        <v>150000816</v>
      </c>
      <c r="B68" s="818" t="s">
        <v>229</v>
      </c>
      <c r="C68" s="995">
        <v>43402.159999999996</v>
      </c>
      <c r="D68" s="766">
        <v>2878.41</v>
      </c>
      <c r="E68" s="766">
        <v>595.29999999999995</v>
      </c>
      <c r="F68" s="766">
        <v>41843.279999999999</v>
      </c>
      <c r="G68" s="766">
        <v>1319.53</v>
      </c>
      <c r="H68" s="471">
        <f>VLOOKUP(A68,'побудинковий звіт'!$A$9:$DB$367,106,FALSE)</f>
        <v>2</v>
      </c>
    </row>
    <row r="69" spans="1:8" x14ac:dyDescent="0.3">
      <c r="A69" s="745">
        <v>150000819</v>
      </c>
      <c r="B69" s="818" t="s">
        <v>423</v>
      </c>
      <c r="C69" s="995">
        <v>15546.26</v>
      </c>
      <c r="D69" s="766">
        <v>705.8599999999999</v>
      </c>
      <c r="E69" s="766">
        <v>154.30000000000001</v>
      </c>
      <c r="F69" s="766">
        <v>14840.4</v>
      </c>
      <c r="G69" s="766">
        <v>0</v>
      </c>
      <c r="H69" s="471">
        <f>VLOOKUP(A69,'побудинковий звіт'!$A$9:$DB$367,106,FALSE)</f>
        <v>3</v>
      </c>
    </row>
    <row r="70" spans="1:8" x14ac:dyDescent="0.3">
      <c r="A70" s="745">
        <v>150000820</v>
      </c>
      <c r="B70" s="818" t="s">
        <v>394</v>
      </c>
      <c r="C70" s="995">
        <v>282.92</v>
      </c>
      <c r="D70" s="766">
        <v>283.12</v>
      </c>
      <c r="E70" s="766">
        <v>50</v>
      </c>
      <c r="F70" s="766">
        <v>-0.2</v>
      </c>
      <c r="G70" s="766">
        <v>0</v>
      </c>
      <c r="H70" s="471">
        <f>VLOOKUP(A70,'побудинковий звіт'!$A$9:$DB$367,106,FALSE)</f>
        <v>3</v>
      </c>
    </row>
    <row r="71" spans="1:8" x14ac:dyDescent="0.3">
      <c r="A71" s="745">
        <v>150000827</v>
      </c>
      <c r="B71" s="818" t="s">
        <v>298</v>
      </c>
      <c r="C71" s="995">
        <v>46355.999999999993</v>
      </c>
      <c r="D71" s="766">
        <v>3393.7899999999995</v>
      </c>
      <c r="E71" s="766">
        <v>826.7</v>
      </c>
      <c r="F71" s="766">
        <v>45006.81</v>
      </c>
      <c r="G71" s="766">
        <v>2044.6</v>
      </c>
      <c r="H71" s="471">
        <f>VLOOKUP(A71,'побудинковий звіт'!$A$9:$DB$367,106,FALSE)</f>
        <v>2</v>
      </c>
    </row>
    <row r="72" spans="1:8" x14ac:dyDescent="0.3">
      <c r="A72" s="745">
        <v>150000830</v>
      </c>
      <c r="B72" s="818" t="s">
        <v>293</v>
      </c>
      <c r="C72" s="995">
        <v>157080.53999999998</v>
      </c>
      <c r="D72" s="766">
        <v>6459.05</v>
      </c>
      <c r="E72" s="766">
        <v>1682.0000000000002</v>
      </c>
      <c r="F72" s="766">
        <v>171074.59</v>
      </c>
      <c r="G72" s="766">
        <v>20453.100000000002</v>
      </c>
      <c r="H72" s="471">
        <f>VLOOKUP(A72,'побудинковий звіт'!$A$9:$DB$367,106,FALSE)</f>
        <v>3</v>
      </c>
    </row>
    <row r="73" spans="1:8" x14ac:dyDescent="0.3">
      <c r="A73" s="745">
        <v>150000832</v>
      </c>
      <c r="B73" s="818" t="s">
        <v>422</v>
      </c>
      <c r="C73" s="995">
        <v>1157.8800000000001</v>
      </c>
      <c r="D73" s="766">
        <v>578.94000000000005</v>
      </c>
      <c r="E73" s="766">
        <v>114.2</v>
      </c>
      <c r="F73" s="766">
        <v>578.94000000000005</v>
      </c>
      <c r="G73" s="766">
        <v>0</v>
      </c>
      <c r="H73" s="471">
        <f>VLOOKUP(A73,'побудинковий звіт'!$A$9:$DB$367,106,FALSE)</f>
        <v>1</v>
      </c>
    </row>
    <row r="74" spans="1:8" x14ac:dyDescent="0.3">
      <c r="A74" s="745">
        <v>150000837</v>
      </c>
      <c r="B74" s="818" t="s">
        <v>199</v>
      </c>
      <c r="C74" s="995">
        <v>1075.8400000000001</v>
      </c>
      <c r="D74" s="766">
        <v>511.65</v>
      </c>
      <c r="E74" s="766">
        <v>105.9</v>
      </c>
      <c r="F74" s="766">
        <v>1423.22</v>
      </c>
      <c r="G74" s="766">
        <v>859.03</v>
      </c>
      <c r="H74" s="471">
        <f>VLOOKUP(A74,'побудинковий звіт'!$A$9:$DB$367,106,FALSE)</f>
        <v>1</v>
      </c>
    </row>
    <row r="75" spans="1:8" x14ac:dyDescent="0.3">
      <c r="A75" s="745">
        <v>150000861</v>
      </c>
      <c r="B75" s="818" t="s">
        <v>232</v>
      </c>
      <c r="C75" s="995">
        <v>48583.55</v>
      </c>
      <c r="D75" s="766">
        <v>3417.1899999999996</v>
      </c>
      <c r="E75" s="766">
        <v>719.8</v>
      </c>
      <c r="F75" s="766">
        <v>46906.42</v>
      </c>
      <c r="G75" s="766">
        <v>1740.06</v>
      </c>
      <c r="H75" s="471">
        <f>VLOOKUP(A75,'побудинковий звіт'!$A$9:$DB$367,106,FALSE)</f>
        <v>2</v>
      </c>
    </row>
    <row r="76" spans="1:8" x14ac:dyDescent="0.3">
      <c r="A76" s="745">
        <v>150000862</v>
      </c>
      <c r="B76" s="818" t="s">
        <v>234</v>
      </c>
      <c r="C76" s="995">
        <v>5695.6799999999994</v>
      </c>
      <c r="D76" s="766">
        <v>3572.8700000000003</v>
      </c>
      <c r="E76" s="766">
        <v>772.80000000000007</v>
      </c>
      <c r="F76" s="766">
        <v>5695.6799999999994</v>
      </c>
      <c r="G76" s="766">
        <v>3572.8700000000003</v>
      </c>
      <c r="H76" s="471">
        <f>VLOOKUP(A76,'побудинковий звіт'!$A$9:$DB$367,106,FALSE)</f>
        <v>2</v>
      </c>
    </row>
    <row r="77" spans="1:8" x14ac:dyDescent="0.3">
      <c r="A77" s="745">
        <v>150000863</v>
      </c>
      <c r="B77" s="818" t="s">
        <v>235</v>
      </c>
      <c r="C77" s="995">
        <v>33330.22</v>
      </c>
      <c r="D77" s="766">
        <v>5301.0200000000013</v>
      </c>
      <c r="E77" s="766">
        <v>1001</v>
      </c>
      <c r="F77" s="766">
        <v>33606.99</v>
      </c>
      <c r="G77" s="766">
        <v>5577.7899999999991</v>
      </c>
      <c r="H77" s="471">
        <f>VLOOKUP(A77,'побудинковий звіт'!$A$9:$DB$367,106,FALSE)</f>
        <v>2</v>
      </c>
    </row>
    <row r="78" spans="1:8" x14ac:dyDescent="0.3">
      <c r="A78" s="745">
        <v>150000864</v>
      </c>
      <c r="B78" s="818" t="s">
        <v>200</v>
      </c>
      <c r="C78" s="995">
        <v>60006.55</v>
      </c>
      <c r="D78" s="766">
        <v>4569.5</v>
      </c>
      <c r="E78" s="766">
        <v>964.30000000000007</v>
      </c>
      <c r="F78" s="766">
        <v>58329.05000000001</v>
      </c>
      <c r="G78" s="766">
        <v>2892</v>
      </c>
      <c r="H78" s="471">
        <f>VLOOKUP(A78,'побудинковий звіт'!$A$9:$DB$367,106,FALSE)</f>
        <v>2</v>
      </c>
    </row>
    <row r="79" spans="1:8" x14ac:dyDescent="0.3">
      <c r="A79" s="745">
        <v>150000865</v>
      </c>
      <c r="B79" s="818" t="s">
        <v>305</v>
      </c>
      <c r="C79" s="995">
        <v>14494.869999999999</v>
      </c>
      <c r="D79" s="766">
        <v>11130.21</v>
      </c>
      <c r="E79" s="766">
        <v>2551.4</v>
      </c>
      <c r="F79" s="766">
        <v>18308.259999999998</v>
      </c>
      <c r="G79" s="766">
        <v>14943.6</v>
      </c>
      <c r="H79" s="471">
        <f>VLOOKUP(A79,'побудинковий звіт'!$A$9:$DB$367,106,FALSE)</f>
        <v>2</v>
      </c>
    </row>
    <row r="80" spans="1:8" x14ac:dyDescent="0.3">
      <c r="A80" s="745">
        <v>150000866</v>
      </c>
      <c r="B80" s="818" t="s">
        <v>308</v>
      </c>
      <c r="C80" s="995">
        <v>7088.98</v>
      </c>
      <c r="D80" s="766">
        <v>5394.9400000000005</v>
      </c>
      <c r="E80" s="766">
        <v>1191.7</v>
      </c>
      <c r="F80" s="766">
        <v>1694.04</v>
      </c>
      <c r="G80" s="766">
        <v>0</v>
      </c>
      <c r="H80" s="471">
        <f>VLOOKUP(A80,'побудинковий звіт'!$A$9:$DB$367,106,FALSE)</f>
        <v>1</v>
      </c>
    </row>
    <row r="81" spans="1:8" x14ac:dyDescent="0.3">
      <c r="A81" s="745">
        <v>150000867</v>
      </c>
      <c r="B81" s="818" t="s">
        <v>309</v>
      </c>
      <c r="C81" s="995">
        <v>2731.85</v>
      </c>
      <c r="D81" s="766">
        <v>2044.57</v>
      </c>
      <c r="E81" s="766">
        <v>551.5</v>
      </c>
      <c r="F81" s="766">
        <v>6476.9299999999994</v>
      </c>
      <c r="G81" s="766">
        <v>5789.65</v>
      </c>
      <c r="H81" s="471">
        <f>VLOOKUP(A81,'побудинковий звіт'!$A$9:$DB$367,106,FALSE)</f>
        <v>1</v>
      </c>
    </row>
    <row r="82" spans="1:8" x14ac:dyDescent="0.3">
      <c r="A82" s="745">
        <v>150000868</v>
      </c>
      <c r="B82" s="818" t="s">
        <v>310</v>
      </c>
      <c r="C82" s="995">
        <v>0</v>
      </c>
      <c r="D82" s="766">
        <v>3336.3900000000003</v>
      </c>
      <c r="E82" s="766">
        <v>685.4</v>
      </c>
      <c r="F82" s="766">
        <v>0</v>
      </c>
      <c r="G82" s="766">
        <v>3336.3900000000003</v>
      </c>
      <c r="H82" s="471">
        <f>VLOOKUP(A82,'побудинковий звіт'!$A$9:$DB$367,106,FALSE)</f>
        <v>1</v>
      </c>
    </row>
    <row r="83" spans="1:8" x14ac:dyDescent="0.3">
      <c r="A83" s="745">
        <v>150000869</v>
      </c>
      <c r="B83" s="818" t="s">
        <v>311</v>
      </c>
      <c r="C83" s="995">
        <v>14760.789999999999</v>
      </c>
      <c r="D83" s="766">
        <v>5671.09</v>
      </c>
      <c r="E83" s="766">
        <v>1200.0999999999999</v>
      </c>
      <c r="F83" s="766">
        <v>14479.619999999999</v>
      </c>
      <c r="G83" s="766">
        <v>5389.92</v>
      </c>
      <c r="H83" s="471">
        <f>VLOOKUP(A83,'побудинковий звіт'!$A$9:$DB$367,106,FALSE)</f>
        <v>1</v>
      </c>
    </row>
    <row r="84" spans="1:8" x14ac:dyDescent="0.3">
      <c r="A84" s="745">
        <v>150000872</v>
      </c>
      <c r="B84" s="818" t="s">
        <v>233</v>
      </c>
      <c r="C84" s="995">
        <v>722.56</v>
      </c>
      <c r="D84" s="766">
        <v>739.4</v>
      </c>
      <c r="E84" s="766">
        <v>133.5</v>
      </c>
      <c r="F84" s="766">
        <v>739.4</v>
      </c>
      <c r="G84" s="766">
        <v>756.24</v>
      </c>
      <c r="H84" s="471">
        <f>VLOOKUP(A84,'побудинковий звіт'!$A$9:$DB$367,106,FALSE)</f>
        <v>2</v>
      </c>
    </row>
    <row r="85" spans="1:8" x14ac:dyDescent="0.3">
      <c r="A85" s="745">
        <v>150000873</v>
      </c>
      <c r="B85" s="818" t="s">
        <v>306</v>
      </c>
      <c r="C85" s="995">
        <v>6355.9699999999993</v>
      </c>
      <c r="D85" s="766">
        <v>681.28</v>
      </c>
      <c r="E85" s="766">
        <v>140.6</v>
      </c>
      <c r="F85" s="766">
        <v>5674.69</v>
      </c>
      <c r="G85" s="766">
        <v>0</v>
      </c>
      <c r="H85" s="471">
        <f>VLOOKUP(A85,'побудинковий звіт'!$A$9:$DB$367,106,FALSE)</f>
        <v>2</v>
      </c>
    </row>
    <row r="86" spans="1:8" x14ac:dyDescent="0.3">
      <c r="A86" s="745">
        <v>150000874</v>
      </c>
      <c r="B86" s="818" t="s">
        <v>307</v>
      </c>
      <c r="C86" s="995">
        <v>1476.4</v>
      </c>
      <c r="D86" s="766">
        <v>3146.2200000000003</v>
      </c>
      <c r="E86" s="766">
        <v>595.4</v>
      </c>
      <c r="F86" s="766">
        <v>626.70000000000005</v>
      </c>
      <c r="G86" s="766">
        <v>2296.52</v>
      </c>
      <c r="H86" s="471">
        <f>VLOOKUP(A86,'побудинковий звіт'!$A$9:$DB$367,106,FALSE)</f>
        <v>2</v>
      </c>
    </row>
    <row r="87" spans="1:8" x14ac:dyDescent="0.3">
      <c r="A87" s="745">
        <v>150000878</v>
      </c>
      <c r="B87" s="818" t="s">
        <v>236</v>
      </c>
      <c r="C87" s="995">
        <v>13837.18</v>
      </c>
      <c r="D87" s="766">
        <v>1775.1299999999999</v>
      </c>
      <c r="E87" s="766">
        <v>429.73</v>
      </c>
      <c r="F87" s="766">
        <v>15431.79</v>
      </c>
      <c r="G87" s="766">
        <v>3369.74</v>
      </c>
      <c r="H87" s="471">
        <f>VLOOKUP(A87,'побудинковий звіт'!$A$9:$DB$367,106,FALSE)</f>
        <v>2</v>
      </c>
    </row>
    <row r="88" spans="1:8" x14ac:dyDescent="0.3">
      <c r="A88" s="745">
        <v>150000879</v>
      </c>
      <c r="B88" s="818" t="s">
        <v>329</v>
      </c>
      <c r="C88" s="995">
        <v>4423</v>
      </c>
      <c r="D88" s="766">
        <v>3632.2200000000003</v>
      </c>
      <c r="E88" s="766">
        <v>977.5</v>
      </c>
      <c r="F88" s="766">
        <v>3864.15</v>
      </c>
      <c r="G88" s="766">
        <v>3073.37</v>
      </c>
      <c r="H88" s="471">
        <f>VLOOKUP(A88,'побудинковий звіт'!$A$9:$DB$367,106,FALSE)</f>
        <v>2</v>
      </c>
    </row>
    <row r="89" spans="1:8" x14ac:dyDescent="0.3">
      <c r="A89" s="745">
        <v>150000880</v>
      </c>
      <c r="B89" s="818" t="s">
        <v>237</v>
      </c>
      <c r="C89" s="995">
        <v>25187.38</v>
      </c>
      <c r="D89" s="766">
        <v>3773.4900000000002</v>
      </c>
      <c r="E89" s="766">
        <v>840.40000000000009</v>
      </c>
      <c r="F89" s="766">
        <v>23170.420000000002</v>
      </c>
      <c r="G89" s="766">
        <v>1756.5300000000002</v>
      </c>
      <c r="H89" s="471">
        <f>VLOOKUP(A89,'побудинковий звіт'!$A$9:$DB$367,106,FALSE)</f>
        <v>2</v>
      </c>
    </row>
    <row r="90" spans="1:8" x14ac:dyDescent="0.3">
      <c r="A90" s="745">
        <v>150000881</v>
      </c>
      <c r="B90" s="818" t="s">
        <v>411</v>
      </c>
      <c r="C90" s="995">
        <v>9922.5600000000013</v>
      </c>
      <c r="D90" s="766">
        <v>1599.78</v>
      </c>
      <c r="E90" s="766">
        <v>328.9</v>
      </c>
      <c r="F90" s="766">
        <v>9011.0399999999991</v>
      </c>
      <c r="G90" s="766">
        <v>688.26</v>
      </c>
      <c r="H90" s="471">
        <f>VLOOKUP(A90,'побудинковий звіт'!$A$9:$DB$367,106,FALSE)</f>
        <v>2</v>
      </c>
    </row>
    <row r="91" spans="1:8" x14ac:dyDescent="0.3">
      <c r="A91" s="745">
        <v>150000882</v>
      </c>
      <c r="B91" s="818" t="s">
        <v>330</v>
      </c>
      <c r="C91" s="995">
        <v>12317.56</v>
      </c>
      <c r="D91" s="766">
        <v>2886.56</v>
      </c>
      <c r="E91" s="766">
        <v>689.30000000000007</v>
      </c>
      <c r="F91" s="766">
        <v>11168.89</v>
      </c>
      <c r="G91" s="766">
        <v>1737.8899999999999</v>
      </c>
      <c r="H91" s="471">
        <f>VLOOKUP(A91,'побудинковий звіт'!$A$9:$DB$367,106,FALSE)</f>
        <v>2</v>
      </c>
    </row>
    <row r="92" spans="1:8" x14ac:dyDescent="0.3">
      <c r="A92" s="745">
        <v>150000884</v>
      </c>
      <c r="B92" s="818" t="s">
        <v>332</v>
      </c>
      <c r="C92" s="995">
        <v>12236.16</v>
      </c>
      <c r="D92" s="766">
        <v>3336.95</v>
      </c>
      <c r="E92" s="766">
        <v>841.2</v>
      </c>
      <c r="F92" s="766">
        <v>12703.980000000001</v>
      </c>
      <c r="G92" s="766">
        <v>3804.77</v>
      </c>
      <c r="H92" s="471">
        <f>VLOOKUP(A92,'побудинковий звіт'!$A$9:$DB$367,106,FALSE)</f>
        <v>2</v>
      </c>
    </row>
    <row r="93" spans="1:8" x14ac:dyDescent="0.3">
      <c r="A93" s="745">
        <v>150000885</v>
      </c>
      <c r="B93" s="818" t="s">
        <v>238</v>
      </c>
      <c r="C93" s="995">
        <v>-233.16</v>
      </c>
      <c r="D93" s="766">
        <v>233.16</v>
      </c>
      <c r="E93" s="766">
        <v>46.2</v>
      </c>
      <c r="F93" s="766">
        <v>-233.16</v>
      </c>
      <c r="G93" s="766">
        <v>233.16</v>
      </c>
      <c r="H93" s="471">
        <f>VLOOKUP(A93,'побудинковий звіт'!$A$9:$DB$367,106,FALSE)</f>
        <v>2</v>
      </c>
    </row>
    <row r="94" spans="1:8" x14ac:dyDescent="0.3">
      <c r="A94" s="745">
        <v>150000888</v>
      </c>
      <c r="B94" s="818" t="s">
        <v>313</v>
      </c>
      <c r="C94" s="995">
        <v>19432.449999999997</v>
      </c>
      <c r="D94" s="766">
        <v>3472.4199999999996</v>
      </c>
      <c r="E94" s="766">
        <v>787.57</v>
      </c>
      <c r="F94" s="766">
        <v>18896.649999999998</v>
      </c>
      <c r="G94" s="766">
        <v>2936.6200000000003</v>
      </c>
      <c r="H94" s="471">
        <f>VLOOKUP(A94,'побудинковий звіт'!$A$9:$DB$367,106,FALSE)</f>
        <v>2</v>
      </c>
    </row>
    <row r="95" spans="1:8" x14ac:dyDescent="0.3">
      <c r="A95" s="745">
        <v>150000889</v>
      </c>
      <c r="B95" s="818" t="s">
        <v>427</v>
      </c>
      <c r="C95" s="995">
        <v>0</v>
      </c>
      <c r="D95" s="766">
        <v>3804.01</v>
      </c>
      <c r="E95" s="766">
        <v>855.19999999999993</v>
      </c>
      <c r="F95" s="766">
        <v>0</v>
      </c>
      <c r="G95" s="766">
        <v>3804.01</v>
      </c>
      <c r="H95" s="471">
        <f>VLOOKUP(A95,'побудинковий звіт'!$A$9:$DB$367,106,FALSE)</f>
        <v>2</v>
      </c>
    </row>
    <row r="96" spans="1:8" x14ac:dyDescent="0.3">
      <c r="A96" s="745">
        <v>150000890</v>
      </c>
      <c r="B96" s="818" t="s">
        <v>398</v>
      </c>
      <c r="C96" s="995">
        <v>10235.759999999998</v>
      </c>
      <c r="D96" s="766">
        <v>1017.64</v>
      </c>
      <c r="E96" s="766">
        <v>212.2</v>
      </c>
      <c r="F96" s="766">
        <v>10499.240000000002</v>
      </c>
      <c r="G96" s="766">
        <v>1281.1199999999999</v>
      </c>
      <c r="H96" s="471">
        <f>VLOOKUP(A96,'побудинковий звіт'!$A$9:$DB$367,106,FALSE)</f>
        <v>2</v>
      </c>
    </row>
    <row r="97" spans="1:8" x14ac:dyDescent="0.3">
      <c r="A97" s="745">
        <v>150000891</v>
      </c>
      <c r="B97" s="818" t="s">
        <v>189</v>
      </c>
      <c r="C97" s="995">
        <v>230.06</v>
      </c>
      <c r="D97" s="766">
        <v>201.52</v>
      </c>
      <c r="E97" s="766">
        <v>61.8</v>
      </c>
      <c r="F97" s="766">
        <v>28.54</v>
      </c>
      <c r="G97" s="766">
        <v>0</v>
      </c>
      <c r="H97" s="471">
        <f>VLOOKUP(A97,'побудинковий звіт'!$A$9:$DB$367,106,FALSE)</f>
        <v>2</v>
      </c>
    </row>
    <row r="98" spans="1:8" x14ac:dyDescent="0.3">
      <c r="A98" s="745">
        <v>150000894</v>
      </c>
      <c r="B98" s="818" t="s">
        <v>315</v>
      </c>
      <c r="C98" s="995">
        <v>100279.73999999999</v>
      </c>
      <c r="D98" s="766">
        <v>3881.85</v>
      </c>
      <c r="E98" s="766">
        <v>824.5</v>
      </c>
      <c r="F98" s="766">
        <v>98480.049999999988</v>
      </c>
      <c r="G98" s="766">
        <v>2082.16</v>
      </c>
      <c r="H98" s="471">
        <f>VLOOKUP(A98,'побудинковий звіт'!$A$9:$DB$367,106,FALSE)</f>
        <v>3</v>
      </c>
    </row>
    <row r="99" spans="1:8" x14ac:dyDescent="0.3">
      <c r="A99" s="745">
        <v>150000900</v>
      </c>
      <c r="B99" s="818" t="s">
        <v>425</v>
      </c>
      <c r="C99" s="995">
        <v>-1013.01</v>
      </c>
      <c r="D99" s="766">
        <v>2022.95</v>
      </c>
      <c r="E99" s="766">
        <v>463.5</v>
      </c>
      <c r="F99" s="766">
        <v>504.97</v>
      </c>
      <c r="G99" s="766">
        <v>3540.9300000000003</v>
      </c>
      <c r="H99" s="471">
        <f>VLOOKUP(A99,'побудинковий звіт'!$A$9:$DB$367,106,FALSE)</f>
        <v>3</v>
      </c>
    </row>
    <row r="100" spans="1:8" x14ac:dyDescent="0.3">
      <c r="A100" s="745">
        <v>150000901</v>
      </c>
      <c r="B100" s="818" t="s">
        <v>424</v>
      </c>
      <c r="C100" s="995">
        <v>134648.94</v>
      </c>
      <c r="D100" s="766">
        <v>6916.3899999999994</v>
      </c>
      <c r="E100" s="766">
        <v>1736</v>
      </c>
      <c r="F100" s="766">
        <v>131821.51999999999</v>
      </c>
      <c r="G100" s="766">
        <v>4088.97</v>
      </c>
      <c r="H100" s="471">
        <f>VLOOKUP(A100,'побудинковий звіт'!$A$9:$DB$367,106,FALSE)</f>
        <v>3</v>
      </c>
    </row>
    <row r="101" spans="1:8" x14ac:dyDescent="0.3">
      <c r="A101" s="745">
        <v>150000905</v>
      </c>
      <c r="B101" s="818" t="s">
        <v>426</v>
      </c>
      <c r="C101" s="995">
        <v>324.64999999999998</v>
      </c>
      <c r="D101" s="766">
        <v>713.43</v>
      </c>
      <c r="E101" s="766">
        <v>175.8</v>
      </c>
      <c r="F101" s="766">
        <v>0</v>
      </c>
      <c r="G101" s="766">
        <v>388.78</v>
      </c>
      <c r="H101" s="471">
        <f>VLOOKUP(A101,'побудинковий звіт'!$A$9:$DB$367,106,FALSE)</f>
        <v>3</v>
      </c>
    </row>
    <row r="102" spans="1:8" x14ac:dyDescent="0.3">
      <c r="A102" s="745">
        <v>150000908</v>
      </c>
      <c r="B102" s="818" t="s">
        <v>408</v>
      </c>
      <c r="C102" s="995">
        <v>203.48</v>
      </c>
      <c r="D102" s="766">
        <v>203.48</v>
      </c>
      <c r="E102" s="766">
        <v>44.2</v>
      </c>
      <c r="F102" s="766">
        <v>203.48</v>
      </c>
      <c r="G102" s="766">
        <v>203.48</v>
      </c>
      <c r="H102" s="471">
        <f>VLOOKUP(A102,'побудинковий звіт'!$A$9:$DB$367,106,FALSE)</f>
        <v>3</v>
      </c>
    </row>
    <row r="103" spans="1:8" x14ac:dyDescent="0.3">
      <c r="A103" s="745">
        <v>150000910</v>
      </c>
      <c r="B103" s="818" t="s">
        <v>410</v>
      </c>
      <c r="C103" s="995">
        <v>539.41999999999996</v>
      </c>
      <c r="D103" s="766">
        <v>539.41999999999996</v>
      </c>
      <c r="E103" s="766">
        <v>115.1</v>
      </c>
      <c r="F103" s="766">
        <v>539.41999999999996</v>
      </c>
      <c r="G103" s="766">
        <v>539.41999999999996</v>
      </c>
      <c r="H103" s="471">
        <f>VLOOKUP(A103,'побудинковий звіт'!$A$9:$DB$367,106,FALSE)</f>
        <v>3</v>
      </c>
    </row>
    <row r="104" spans="1:8" x14ac:dyDescent="0.3">
      <c r="A104" s="745">
        <v>150000916</v>
      </c>
      <c r="B104" s="818" t="s">
        <v>323</v>
      </c>
      <c r="C104" s="995">
        <v>1769.3100000000002</v>
      </c>
      <c r="D104" s="766">
        <v>926.29</v>
      </c>
      <c r="E104" s="766">
        <v>188.6</v>
      </c>
      <c r="F104" s="766">
        <v>1770.02</v>
      </c>
      <c r="G104" s="766">
        <v>927</v>
      </c>
      <c r="H104" s="471">
        <f>VLOOKUP(A104,'побудинковий звіт'!$A$9:$DB$367,106,FALSE)</f>
        <v>3</v>
      </c>
    </row>
    <row r="105" spans="1:8" x14ac:dyDescent="0.3">
      <c r="A105" s="745">
        <v>150000921</v>
      </c>
      <c r="B105" s="818" t="s">
        <v>328</v>
      </c>
      <c r="C105" s="995">
        <v>207.14</v>
      </c>
      <c r="D105" s="766">
        <v>207.14</v>
      </c>
      <c r="E105" s="766">
        <v>45.1</v>
      </c>
      <c r="F105" s="766">
        <v>207.14</v>
      </c>
      <c r="G105" s="766">
        <v>207.14</v>
      </c>
      <c r="H105" s="471">
        <f>VLOOKUP(A105,'побудинковий звіт'!$A$9:$DB$367,106,FALSE)</f>
        <v>3</v>
      </c>
    </row>
    <row r="106" spans="1:8" x14ac:dyDescent="0.3">
      <c r="A106" s="745">
        <v>150000924</v>
      </c>
      <c r="B106" s="818" t="s">
        <v>174</v>
      </c>
      <c r="C106" s="995">
        <v>6555.61</v>
      </c>
      <c r="D106" s="766">
        <v>466.89</v>
      </c>
      <c r="E106" s="766">
        <v>76.900000000000006</v>
      </c>
      <c r="F106" s="766">
        <v>6216.83</v>
      </c>
      <c r="G106" s="766">
        <v>128.11000000000001</v>
      </c>
      <c r="H106" s="471">
        <f>VLOOKUP(A106,'побудинковий звіт'!$A$9:$DB$367,106,FALSE)</f>
        <v>2</v>
      </c>
    </row>
    <row r="107" spans="1:8" x14ac:dyDescent="0.3">
      <c r="A107" s="745">
        <v>150000925</v>
      </c>
      <c r="B107" s="818" t="s">
        <v>176</v>
      </c>
      <c r="C107" s="995">
        <v>13523.85</v>
      </c>
      <c r="D107" s="766">
        <v>697.95</v>
      </c>
      <c r="E107" s="766">
        <v>113.4</v>
      </c>
      <c r="F107" s="766">
        <v>12825.9</v>
      </c>
      <c r="G107" s="766">
        <v>0</v>
      </c>
      <c r="H107" s="471">
        <f>VLOOKUP(A107,'побудинковий звіт'!$A$9:$DB$367,106,FALSE)</f>
        <v>2</v>
      </c>
    </row>
    <row r="108" spans="1:8" x14ac:dyDescent="0.3">
      <c r="A108" s="745">
        <v>150000926</v>
      </c>
      <c r="B108" s="818" t="s">
        <v>177</v>
      </c>
      <c r="C108" s="995">
        <v>8766.52</v>
      </c>
      <c r="D108" s="766">
        <v>714.36</v>
      </c>
      <c r="E108" s="766">
        <v>120.4</v>
      </c>
      <c r="F108" s="766">
        <v>8766.52</v>
      </c>
      <c r="G108" s="766">
        <v>714.36</v>
      </c>
      <c r="H108" s="471">
        <f>VLOOKUP(A108,'побудинковий звіт'!$A$9:$DB$367,106,FALSE)</f>
        <v>2</v>
      </c>
    </row>
    <row r="109" spans="1:8" x14ac:dyDescent="0.3">
      <c r="A109" s="745">
        <v>150000927</v>
      </c>
      <c r="B109" s="818" t="s">
        <v>178</v>
      </c>
      <c r="C109" s="995">
        <v>22999.16</v>
      </c>
      <c r="D109" s="766">
        <v>1156.19</v>
      </c>
      <c r="E109" s="766">
        <v>239.6</v>
      </c>
      <c r="F109" s="766">
        <v>22107.89</v>
      </c>
      <c r="G109" s="766">
        <v>264.92</v>
      </c>
      <c r="H109" s="471">
        <f>VLOOKUP(A109,'побудинковий звіт'!$A$9:$DB$367,106,FALSE)</f>
        <v>2</v>
      </c>
    </row>
    <row r="110" spans="1:8" x14ac:dyDescent="0.3">
      <c r="A110" s="745">
        <v>150000928</v>
      </c>
      <c r="B110" s="818" t="s">
        <v>169</v>
      </c>
      <c r="C110" s="995">
        <v>2337.1000000000004</v>
      </c>
      <c r="D110" s="766">
        <v>1314.32</v>
      </c>
      <c r="E110" s="766">
        <v>242.89999999999998</v>
      </c>
      <c r="F110" s="766">
        <v>4290.93</v>
      </c>
      <c r="G110" s="766">
        <v>3268.1499999999996</v>
      </c>
      <c r="H110" s="471">
        <f>VLOOKUP(A110,'побудинковий звіт'!$A$9:$DB$367,106,FALSE)</f>
        <v>2</v>
      </c>
    </row>
    <row r="111" spans="1:8" x14ac:dyDescent="0.3">
      <c r="A111" s="745">
        <v>150000929</v>
      </c>
      <c r="B111" s="818" t="s">
        <v>1096</v>
      </c>
      <c r="C111" s="995">
        <v>12204.36</v>
      </c>
      <c r="D111" s="766">
        <v>1692.72</v>
      </c>
      <c r="E111" s="766">
        <v>318.60000000000002</v>
      </c>
      <c r="F111" s="766">
        <v>11560.9</v>
      </c>
      <c r="G111" s="766">
        <v>1049.26</v>
      </c>
      <c r="H111" s="471">
        <f>VLOOKUP(A111,'побудинковий звіт'!$A$9:$DB$367,106,FALSE)</f>
        <v>2</v>
      </c>
    </row>
    <row r="112" spans="1:8" x14ac:dyDescent="0.3">
      <c r="A112" s="745">
        <v>150000930</v>
      </c>
      <c r="B112" s="818" t="s">
        <v>172</v>
      </c>
      <c r="C112" s="995">
        <v>3710.06</v>
      </c>
      <c r="D112" s="766">
        <v>835.5</v>
      </c>
      <c r="E112" s="766">
        <v>146</v>
      </c>
      <c r="F112" s="766">
        <v>3380.44</v>
      </c>
      <c r="G112" s="766">
        <v>505.88</v>
      </c>
      <c r="H112" s="471">
        <f>VLOOKUP(A112,'побудинковий звіт'!$A$9:$DB$367,106,FALSE)</f>
        <v>2</v>
      </c>
    </row>
    <row r="113" spans="1:8" x14ac:dyDescent="0.3">
      <c r="A113" s="745">
        <v>150000931</v>
      </c>
      <c r="B113" s="818" t="s">
        <v>266</v>
      </c>
      <c r="C113" s="995">
        <v>2295.6299999999997</v>
      </c>
      <c r="D113" s="766">
        <v>789.62</v>
      </c>
      <c r="E113" s="766">
        <v>163.89999999999998</v>
      </c>
      <c r="F113" s="766">
        <v>1836.5</v>
      </c>
      <c r="G113" s="766">
        <v>330.49</v>
      </c>
      <c r="H113" s="471">
        <f>VLOOKUP(A113,'побудинковий звіт'!$A$9:$DB$367,106,FALSE)</f>
        <v>2</v>
      </c>
    </row>
    <row r="114" spans="1:8" x14ac:dyDescent="0.3">
      <c r="A114" s="745">
        <v>150000933</v>
      </c>
      <c r="B114" s="818" t="s">
        <v>267</v>
      </c>
      <c r="C114" s="995">
        <v>55354.659999999996</v>
      </c>
      <c r="D114" s="766">
        <v>1809.5100000000002</v>
      </c>
      <c r="E114" s="766">
        <v>376.3</v>
      </c>
      <c r="F114" s="766">
        <v>55822.26</v>
      </c>
      <c r="G114" s="766">
        <v>2277.1099999999997</v>
      </c>
      <c r="H114" s="471">
        <f>VLOOKUP(A114,'побудинковий звіт'!$A$9:$DB$367,106,FALSE)</f>
        <v>2</v>
      </c>
    </row>
    <row r="115" spans="1:8" x14ac:dyDescent="0.3">
      <c r="A115" s="745">
        <v>150000938</v>
      </c>
      <c r="B115" s="818" t="s">
        <v>375</v>
      </c>
      <c r="C115" s="995">
        <v>29776.600000000002</v>
      </c>
      <c r="D115" s="766">
        <v>4270.87</v>
      </c>
      <c r="E115" s="766">
        <v>873.80000000000007</v>
      </c>
      <c r="F115" s="766">
        <v>29094.300000000003</v>
      </c>
      <c r="G115" s="766">
        <v>3588.5699999999997</v>
      </c>
      <c r="H115" s="471">
        <f>VLOOKUP(A115,'побудинковий звіт'!$A$9:$DB$367,106,FALSE)</f>
        <v>1</v>
      </c>
    </row>
    <row r="116" spans="1:8" x14ac:dyDescent="0.3">
      <c r="A116" s="745">
        <v>150000945</v>
      </c>
      <c r="B116" s="818" t="s">
        <v>421</v>
      </c>
      <c r="C116" s="995">
        <v>244.56</v>
      </c>
      <c r="D116" s="766">
        <v>327.27999999999997</v>
      </c>
      <c r="E116" s="766">
        <v>64.91</v>
      </c>
      <c r="F116" s="766">
        <v>-82.72</v>
      </c>
      <c r="G116" s="766">
        <v>0</v>
      </c>
      <c r="H116" s="471">
        <f>VLOOKUP(A116,'побудинковий звіт'!$A$9:$DB$367,106,FALSE)</f>
        <v>1</v>
      </c>
    </row>
    <row r="117" spans="1:8" x14ac:dyDescent="0.3">
      <c r="A117" s="745">
        <v>150000966</v>
      </c>
      <c r="B117" s="818" t="s">
        <v>204</v>
      </c>
      <c r="C117" s="995">
        <v>9528.51</v>
      </c>
      <c r="D117" s="766">
        <v>1339.51</v>
      </c>
      <c r="E117" s="766">
        <v>238.81</v>
      </c>
      <c r="F117" s="766">
        <v>12418.779999999999</v>
      </c>
      <c r="G117" s="766">
        <v>4229.78</v>
      </c>
      <c r="H117" s="471">
        <f>VLOOKUP(A117,'побудинковий звіт'!$A$9:$DB$367,106,FALSE)</f>
        <v>2</v>
      </c>
    </row>
    <row r="118" spans="1:8" x14ac:dyDescent="0.3">
      <c r="A118" s="745">
        <v>150000967</v>
      </c>
      <c r="B118" s="818" t="s">
        <v>205</v>
      </c>
      <c r="C118" s="995">
        <v>10014.459999999999</v>
      </c>
      <c r="D118" s="766">
        <v>1029.9099999999999</v>
      </c>
      <c r="E118" s="766">
        <v>183.7</v>
      </c>
      <c r="F118" s="766">
        <v>9519.9700000000012</v>
      </c>
      <c r="G118" s="766">
        <v>535.41999999999996</v>
      </c>
      <c r="H118" s="471">
        <f>VLOOKUP(A118,'побудинковий звіт'!$A$9:$DB$367,106,FALSE)</f>
        <v>2</v>
      </c>
    </row>
    <row r="119" spans="1:8" x14ac:dyDescent="0.3">
      <c r="A119" s="745">
        <v>150000968</v>
      </c>
      <c r="B119" s="818" t="s">
        <v>244</v>
      </c>
      <c r="C119" s="995">
        <v>0</v>
      </c>
      <c r="D119" s="766">
        <v>1400.6399999999999</v>
      </c>
      <c r="E119" s="766">
        <v>358</v>
      </c>
      <c r="F119" s="766">
        <v>0</v>
      </c>
      <c r="G119" s="766">
        <v>1400.6399999999999</v>
      </c>
      <c r="H119" s="471">
        <f>VLOOKUP(A119,'побудинковий звіт'!$A$9:$DB$367,106,FALSE)</f>
        <v>2</v>
      </c>
    </row>
    <row r="120" spans="1:8" x14ac:dyDescent="0.3">
      <c r="A120" s="745">
        <v>150000969</v>
      </c>
      <c r="B120" s="818" t="s">
        <v>192</v>
      </c>
      <c r="C120" s="995">
        <v>2104</v>
      </c>
      <c r="D120" s="766">
        <v>1019.64</v>
      </c>
      <c r="E120" s="766">
        <v>189.20000000000002</v>
      </c>
      <c r="F120" s="766">
        <v>2647.9700000000003</v>
      </c>
      <c r="G120" s="766">
        <v>1563.6100000000001</v>
      </c>
      <c r="H120" s="471">
        <f>VLOOKUP(A120,'побудинковий звіт'!$A$9:$DB$367,106,FALSE)</f>
        <v>2</v>
      </c>
    </row>
    <row r="121" spans="1:8" x14ac:dyDescent="0.3">
      <c r="A121" s="745">
        <v>150000970</v>
      </c>
      <c r="B121" s="818" t="s">
        <v>242</v>
      </c>
      <c r="C121" s="995">
        <v>4427.42</v>
      </c>
      <c r="D121" s="766">
        <v>2058.5099999999998</v>
      </c>
      <c r="E121" s="766">
        <v>480.79999999999995</v>
      </c>
      <c r="F121" s="766">
        <v>3594.71</v>
      </c>
      <c r="G121" s="766">
        <v>1225.8</v>
      </c>
      <c r="H121" s="471">
        <f>VLOOKUP(A121,'побудинковий звіт'!$A$9:$DB$367,106,FALSE)</f>
        <v>2</v>
      </c>
    </row>
    <row r="122" spans="1:8" x14ac:dyDescent="0.3">
      <c r="A122" s="745">
        <v>150000971</v>
      </c>
      <c r="B122" s="818" t="s">
        <v>193</v>
      </c>
      <c r="C122" s="995">
        <v>26447.890000000007</v>
      </c>
      <c r="D122" s="766">
        <v>1881.0299999999997</v>
      </c>
      <c r="E122" s="766">
        <v>366.12999999999994</v>
      </c>
      <c r="F122" s="766">
        <v>26385.74</v>
      </c>
      <c r="G122" s="766">
        <v>1818.88</v>
      </c>
      <c r="H122" s="471">
        <f>VLOOKUP(A122,'побудинковий звіт'!$A$9:$DB$367,106,FALSE)</f>
        <v>2</v>
      </c>
    </row>
    <row r="123" spans="1:8" x14ac:dyDescent="0.3">
      <c r="A123" s="745">
        <v>150000972</v>
      </c>
      <c r="B123" s="818" t="s">
        <v>201</v>
      </c>
      <c r="C123" s="995">
        <v>323.77999999999992</v>
      </c>
      <c r="D123" s="766">
        <v>1068.0500000000002</v>
      </c>
      <c r="E123" s="766">
        <v>236.2</v>
      </c>
      <c r="F123" s="766">
        <v>1502.19</v>
      </c>
      <c r="G123" s="766">
        <v>2246.46</v>
      </c>
      <c r="H123" s="471">
        <f>VLOOKUP(A123,'побудинковий звіт'!$A$9:$DB$367,106,FALSE)</f>
        <v>2</v>
      </c>
    </row>
    <row r="124" spans="1:8" x14ac:dyDescent="0.3">
      <c r="A124" s="745">
        <v>150000974</v>
      </c>
      <c r="B124" s="818" t="s">
        <v>202</v>
      </c>
      <c r="C124" s="995">
        <v>47925.16</v>
      </c>
      <c r="D124" s="766">
        <v>2216.0299999999997</v>
      </c>
      <c r="E124" s="766">
        <v>423.17000000000007</v>
      </c>
      <c r="F124" s="766">
        <v>57943.75</v>
      </c>
      <c r="G124" s="766">
        <v>12234.62</v>
      </c>
      <c r="H124" s="471">
        <f>VLOOKUP(A124,'побудинковий звіт'!$A$9:$DB$367,106,FALSE)</f>
        <v>2</v>
      </c>
    </row>
    <row r="125" spans="1:8" x14ac:dyDescent="0.3">
      <c r="A125" s="745">
        <v>150000975</v>
      </c>
      <c r="B125" s="818" t="s">
        <v>203</v>
      </c>
      <c r="C125" s="995">
        <v>1368.96</v>
      </c>
      <c r="D125" s="766">
        <v>1578.95</v>
      </c>
      <c r="E125" s="766">
        <v>364.73</v>
      </c>
      <c r="F125" s="766">
        <v>1602.54</v>
      </c>
      <c r="G125" s="766">
        <v>1812.5300000000002</v>
      </c>
      <c r="H125" s="471">
        <f>VLOOKUP(A125,'побудинковий звіт'!$A$9:$DB$367,106,FALSE)</f>
        <v>2</v>
      </c>
    </row>
    <row r="126" spans="1:8" x14ac:dyDescent="0.3">
      <c r="A126" s="745">
        <v>150000976</v>
      </c>
      <c r="B126" s="818" t="s">
        <v>149</v>
      </c>
      <c r="C126" s="995">
        <v>15317.12</v>
      </c>
      <c r="D126" s="766">
        <v>523.69000000000005</v>
      </c>
      <c r="E126" s="766">
        <v>100.9</v>
      </c>
      <c r="F126" s="766">
        <v>15048.27</v>
      </c>
      <c r="G126" s="766">
        <v>254.84</v>
      </c>
      <c r="H126" s="471">
        <f>VLOOKUP(A126,'побудинковий звіт'!$A$9:$DB$367,106,FALSE)</f>
        <v>2</v>
      </c>
    </row>
    <row r="127" spans="1:8" x14ac:dyDescent="0.3">
      <c r="A127" s="745">
        <v>150000977</v>
      </c>
      <c r="B127" s="818" t="s">
        <v>150</v>
      </c>
      <c r="C127" s="995">
        <v>12013.689999999999</v>
      </c>
      <c r="D127" s="766">
        <v>1399.5</v>
      </c>
      <c r="E127" s="766">
        <v>254.99999999999997</v>
      </c>
      <c r="F127" s="766">
        <v>11732.689999999999</v>
      </c>
      <c r="G127" s="766">
        <v>1118.5</v>
      </c>
      <c r="H127" s="471">
        <f>VLOOKUP(A127,'побудинковий звіт'!$A$9:$DB$367,106,FALSE)</f>
        <v>2</v>
      </c>
    </row>
    <row r="128" spans="1:8" x14ac:dyDescent="0.3">
      <c r="A128" s="745">
        <v>150000978</v>
      </c>
      <c r="B128" s="818" t="s">
        <v>243</v>
      </c>
      <c r="C128" s="995">
        <v>2184.21</v>
      </c>
      <c r="D128" s="766">
        <v>585.38</v>
      </c>
      <c r="E128" s="766">
        <v>137.1</v>
      </c>
      <c r="F128" s="766">
        <v>2184.21</v>
      </c>
      <c r="G128" s="766">
        <v>585.38</v>
      </c>
      <c r="H128" s="471">
        <f>VLOOKUP(A128,'побудинковий звіт'!$A$9:$DB$367,106,FALSE)</f>
        <v>2</v>
      </c>
    </row>
    <row r="129" spans="1:10" x14ac:dyDescent="0.3">
      <c r="A129" s="745">
        <v>150000989</v>
      </c>
      <c r="B129" s="818" t="s">
        <v>37</v>
      </c>
      <c r="C129" s="995">
        <v>134.13999999999999</v>
      </c>
      <c r="D129" s="766">
        <v>67.069999999999993</v>
      </c>
      <c r="E129" s="766">
        <v>50.1</v>
      </c>
      <c r="F129" s="766">
        <v>67.069999999999993</v>
      </c>
      <c r="G129" s="766">
        <v>0</v>
      </c>
      <c r="H129" s="471">
        <f>VLOOKUP(A129,'побудинковий звіт'!$A$9:$DB$367,106,FALSE)</f>
        <v>3</v>
      </c>
    </row>
    <row r="130" spans="1:10" x14ac:dyDescent="0.3">
      <c r="A130" s="745">
        <v>150000996</v>
      </c>
      <c r="B130" s="818" t="s">
        <v>245</v>
      </c>
      <c r="C130" s="995">
        <v>5833.96</v>
      </c>
      <c r="D130" s="766">
        <v>901.22</v>
      </c>
      <c r="E130" s="766">
        <v>185.76999999999998</v>
      </c>
      <c r="F130" s="766">
        <v>5438.24</v>
      </c>
      <c r="G130" s="766">
        <v>505.5</v>
      </c>
      <c r="H130" s="471">
        <f>VLOOKUP(A130,'побудинковий звіт'!$A$9:$DB$367,106,FALSE)</f>
        <v>2</v>
      </c>
    </row>
    <row r="131" spans="1:10" x14ac:dyDescent="0.3">
      <c r="A131" s="745">
        <v>150001007</v>
      </c>
      <c r="B131" s="818" t="s">
        <v>213</v>
      </c>
      <c r="C131" s="995">
        <v>0</v>
      </c>
      <c r="D131" s="766">
        <v>202.15</v>
      </c>
      <c r="E131" s="766">
        <v>46.1</v>
      </c>
      <c r="F131" s="766">
        <v>0</v>
      </c>
      <c r="G131" s="766">
        <v>202.15</v>
      </c>
      <c r="H131" s="471">
        <f>VLOOKUP(A131,'побудинковий звіт'!$A$9:$DB$367,106,FALSE)</f>
        <v>2</v>
      </c>
    </row>
    <row r="132" spans="1:10" x14ac:dyDescent="0.3">
      <c r="A132" s="745">
        <v>150001008</v>
      </c>
      <c r="B132" s="818" t="s">
        <v>211</v>
      </c>
      <c r="C132" s="995">
        <v>16179.78</v>
      </c>
      <c r="D132" s="766">
        <v>235.3</v>
      </c>
      <c r="E132" s="766">
        <v>45</v>
      </c>
      <c r="F132" s="766">
        <v>15944.48</v>
      </c>
      <c r="G132" s="766">
        <v>0</v>
      </c>
      <c r="H132" s="471">
        <f>VLOOKUP(A132,'побудинковий звіт'!$A$9:$DB$367,106,FALSE)</f>
        <v>2</v>
      </c>
    </row>
    <row r="133" spans="1:10" x14ac:dyDescent="0.3">
      <c r="A133" s="745">
        <v>150001009</v>
      </c>
      <c r="B133" s="818" t="s">
        <v>212</v>
      </c>
      <c r="C133" s="995">
        <v>1817.42</v>
      </c>
      <c r="D133" s="766">
        <v>375.26</v>
      </c>
      <c r="E133" s="766">
        <v>85.1</v>
      </c>
      <c r="F133" s="766">
        <v>1442.1599999999999</v>
      </c>
      <c r="G133" s="766">
        <v>0</v>
      </c>
      <c r="H133" s="471">
        <f>VLOOKUP(A133,'побудинковий звіт'!$A$9:$DB$367,106,FALSE)</f>
        <v>2</v>
      </c>
    </row>
    <row r="134" spans="1:10" x14ac:dyDescent="0.3">
      <c r="A134" s="745">
        <v>150001010</v>
      </c>
      <c r="B134" s="818" t="s">
        <v>164</v>
      </c>
      <c r="C134" s="995">
        <v>17270.780000000002</v>
      </c>
      <c r="D134" s="766">
        <v>1047.71</v>
      </c>
      <c r="E134" s="766">
        <v>205.3</v>
      </c>
      <c r="F134" s="766">
        <v>17270.780000000002</v>
      </c>
      <c r="G134" s="766">
        <v>1047.71</v>
      </c>
      <c r="H134" s="471">
        <f>VLOOKUP(A134,'побудинковий звіт'!$A$9:$DB$367,106,FALSE)</f>
        <v>2</v>
      </c>
    </row>
    <row r="135" spans="1:10" x14ac:dyDescent="0.3">
      <c r="A135" s="745">
        <v>150001013</v>
      </c>
      <c r="B135" s="818" t="s">
        <v>260</v>
      </c>
      <c r="C135" s="995">
        <v>81678.340000000011</v>
      </c>
      <c r="D135" s="766">
        <v>4002.8499999999995</v>
      </c>
      <c r="E135" s="766">
        <v>987.49999999999989</v>
      </c>
      <c r="F135" s="766">
        <v>81816.17</v>
      </c>
      <c r="G135" s="766">
        <v>4140.68</v>
      </c>
      <c r="H135" s="471">
        <f>VLOOKUP(A135,'побудинковий звіт'!$A$9:$DB$367,106,FALSE)</f>
        <v>2</v>
      </c>
    </row>
    <row r="136" spans="1:10" x14ac:dyDescent="0.3">
      <c r="A136" s="745">
        <v>150001015</v>
      </c>
      <c r="B136" s="818" t="s">
        <v>99</v>
      </c>
      <c r="C136" s="995">
        <v>1813.3600000000001</v>
      </c>
      <c r="D136" s="766">
        <v>235.45999999999998</v>
      </c>
      <c r="E136" s="766">
        <v>185.4</v>
      </c>
      <c r="F136" s="766">
        <v>4951.84</v>
      </c>
      <c r="G136" s="766">
        <v>3373.94</v>
      </c>
      <c r="H136" s="471">
        <f>VLOOKUP(A136,'побудинковий звіт'!$A$9:$DB$367,106,FALSE)</f>
        <v>2</v>
      </c>
    </row>
    <row r="137" spans="1:10" x14ac:dyDescent="0.3">
      <c r="A137" s="745">
        <v>150001016</v>
      </c>
      <c r="B137" s="818" t="s">
        <v>261</v>
      </c>
      <c r="C137" s="995">
        <v>52262.149999999994</v>
      </c>
      <c r="D137" s="766">
        <v>5274.5700000000006</v>
      </c>
      <c r="E137" s="766">
        <v>1229.1000000000001</v>
      </c>
      <c r="F137" s="766">
        <v>50530.559999999998</v>
      </c>
      <c r="G137" s="766">
        <v>3542.98</v>
      </c>
      <c r="H137" s="471">
        <f>VLOOKUP(A137,'побудинковий звіт'!$A$9:$DB$367,106,FALSE)</f>
        <v>2</v>
      </c>
    </row>
    <row r="138" spans="1:10" s="917" customFormat="1" x14ac:dyDescent="0.3">
      <c r="A138" s="745">
        <v>150001018</v>
      </c>
      <c r="B138" s="818" t="s">
        <v>429</v>
      </c>
      <c r="C138" s="995">
        <v>27690.489999999998</v>
      </c>
      <c r="D138" s="766">
        <v>2152.64</v>
      </c>
      <c r="E138" s="766">
        <v>483.5</v>
      </c>
      <c r="F138" s="766">
        <v>28414.670000000002</v>
      </c>
      <c r="G138" s="766">
        <v>2876.8199999999997</v>
      </c>
      <c r="H138" s="471">
        <f>VLOOKUP(A138,'побудинковий звіт'!$A$9:$DB$367,106,FALSE)</f>
        <v>2</v>
      </c>
      <c r="J138" s="471"/>
    </row>
    <row r="139" spans="1:10" x14ac:dyDescent="0.3">
      <c r="A139" s="745">
        <v>150001024</v>
      </c>
      <c r="B139" s="818" t="s">
        <v>366</v>
      </c>
      <c r="C139" s="995">
        <v>10679.76</v>
      </c>
      <c r="D139" s="766">
        <v>2329.59</v>
      </c>
      <c r="E139" s="766">
        <v>490</v>
      </c>
      <c r="F139" s="766">
        <v>9018.17</v>
      </c>
      <c r="G139" s="766">
        <v>668</v>
      </c>
      <c r="H139" s="471">
        <f>VLOOKUP(A139,'побудинковий звіт'!$A$9:$DB$367,106,FALSE)</f>
        <v>1</v>
      </c>
    </row>
    <row r="140" spans="1:10" x14ac:dyDescent="0.3">
      <c r="A140" s="745">
        <v>150001025</v>
      </c>
      <c r="B140" s="818" t="s">
        <v>420</v>
      </c>
      <c r="C140" s="995">
        <v>5085.7499999999991</v>
      </c>
      <c r="D140" s="766">
        <v>984.95</v>
      </c>
      <c r="E140" s="766">
        <v>203.20000000000002</v>
      </c>
      <c r="F140" s="766">
        <v>4400.84</v>
      </c>
      <c r="G140" s="766">
        <v>300.04000000000002</v>
      </c>
      <c r="H140" s="471">
        <f>VLOOKUP(A140,'побудинковий звіт'!$A$9:$DB$367,106,FALSE)</f>
        <v>1</v>
      </c>
    </row>
    <row r="141" spans="1:10" x14ac:dyDescent="0.3">
      <c r="A141" s="745">
        <v>150001027</v>
      </c>
      <c r="B141" s="818" t="s">
        <v>367</v>
      </c>
      <c r="C141" s="995">
        <v>23445.200000000001</v>
      </c>
      <c r="D141" s="766">
        <v>654.19000000000005</v>
      </c>
      <c r="E141" s="766">
        <v>130.69999999999999</v>
      </c>
      <c r="F141" s="766">
        <v>22791.01</v>
      </c>
      <c r="G141" s="766">
        <v>0</v>
      </c>
      <c r="H141" s="471">
        <f>VLOOKUP(A141,'побудинковий звіт'!$A$9:$DB$367,106,FALSE)</f>
        <v>1</v>
      </c>
    </row>
    <row r="142" spans="1:10" x14ac:dyDescent="0.3">
      <c r="A142" s="745">
        <v>150001035</v>
      </c>
      <c r="B142" s="818" t="s">
        <v>262</v>
      </c>
      <c r="C142" s="995">
        <v>893.24</v>
      </c>
      <c r="D142" s="766">
        <v>446.62</v>
      </c>
      <c r="E142" s="766">
        <v>79.400000000000006</v>
      </c>
      <c r="F142" s="766">
        <v>893.24</v>
      </c>
      <c r="G142" s="766">
        <v>446.62</v>
      </c>
      <c r="H142" s="471">
        <f>VLOOKUP(A142,'побудинковий звіт'!$A$9:$DB$367,106,FALSE)</f>
        <v>1</v>
      </c>
    </row>
    <row r="143" spans="1:10" x14ac:dyDescent="0.3">
      <c r="A143" s="745">
        <v>150001040</v>
      </c>
      <c r="B143" s="818" t="s">
        <v>216</v>
      </c>
      <c r="C143" s="995">
        <v>2461.65</v>
      </c>
      <c r="D143" s="766">
        <v>2358.94</v>
      </c>
      <c r="E143" s="766">
        <v>511.20000000000005</v>
      </c>
      <c r="F143" s="766">
        <v>3197.6699999999996</v>
      </c>
      <c r="G143" s="766">
        <v>3094.96</v>
      </c>
      <c r="H143" s="471">
        <f>VLOOKUP(A143,'побудинковий звіт'!$A$9:$DB$367,106,FALSE)</f>
        <v>2</v>
      </c>
    </row>
    <row r="144" spans="1:10" x14ac:dyDescent="0.3">
      <c r="A144" s="745">
        <v>150001044</v>
      </c>
      <c r="B144" s="818" t="s">
        <v>269</v>
      </c>
      <c r="C144" s="995">
        <v>10947.4</v>
      </c>
      <c r="D144" s="766">
        <v>1070.3599999999999</v>
      </c>
      <c r="E144" s="766">
        <v>276.7</v>
      </c>
      <c r="F144" s="766">
        <v>10947.4</v>
      </c>
      <c r="G144" s="766">
        <v>1070.3599999999999</v>
      </c>
      <c r="H144" s="471">
        <f>VLOOKUP(A144,'побудинковий звіт'!$A$9:$DB$367,106,FALSE)</f>
        <v>2</v>
      </c>
    </row>
    <row r="145" spans="1:8" x14ac:dyDescent="0.3">
      <c r="A145" s="745">
        <v>150001046</v>
      </c>
      <c r="B145" s="818" t="s">
        <v>272</v>
      </c>
      <c r="C145" s="995">
        <v>5785.06</v>
      </c>
      <c r="D145" s="766">
        <v>881.14</v>
      </c>
      <c r="E145" s="766">
        <v>210.60000000000002</v>
      </c>
      <c r="F145" s="766">
        <v>6140.26</v>
      </c>
      <c r="G145" s="766">
        <v>1236.3400000000001</v>
      </c>
      <c r="H145" s="471">
        <f>VLOOKUP(A145,'побудинковий звіт'!$A$9:$DB$367,106,FALSE)</f>
        <v>2</v>
      </c>
    </row>
    <row r="146" spans="1:8" x14ac:dyDescent="0.3">
      <c r="A146" s="745">
        <v>150001047</v>
      </c>
      <c r="B146" s="818" t="s">
        <v>179</v>
      </c>
      <c r="C146" s="995">
        <v>565.48</v>
      </c>
      <c r="D146" s="766">
        <v>565.41999999999996</v>
      </c>
      <c r="E146" s="766">
        <v>127.7</v>
      </c>
      <c r="F146" s="766">
        <v>565.48</v>
      </c>
      <c r="G146" s="766">
        <v>565.41999999999996</v>
      </c>
      <c r="H146" s="471">
        <f>VLOOKUP(A146,'побудинковий звіт'!$A$9:$DB$367,106,FALSE)</f>
        <v>2</v>
      </c>
    </row>
    <row r="147" spans="1:8" x14ac:dyDescent="0.3">
      <c r="C147" s="925">
        <f>SUM(C2:C146)</f>
        <v>1678561.4899999998</v>
      </c>
      <c r="D147" s="746">
        <f>SUM(D2:D146)</f>
        <v>236022.45000000022</v>
      </c>
      <c r="E147" s="482">
        <f>SUM(E2:E146)</f>
        <v>52988.949999999983</v>
      </c>
      <c r="F147" s="482">
        <f>SUM(F2:F146)</f>
        <v>1670548.7599999993</v>
      </c>
      <c r="G147" s="482">
        <f>SUM(G2:G146)</f>
        <v>228009.72</v>
      </c>
    </row>
    <row r="149" spans="1:8" ht="62.4" x14ac:dyDescent="0.3">
      <c r="B149" s="745"/>
      <c r="C149" s="816" t="s">
        <v>1117</v>
      </c>
      <c r="D149" s="816" t="s">
        <v>1698</v>
      </c>
      <c r="E149" s="816" t="s">
        <v>1699</v>
      </c>
      <c r="F149" s="816" t="s">
        <v>1700</v>
      </c>
      <c r="G149" s="816" t="s">
        <v>1701</v>
      </c>
    </row>
    <row r="150" spans="1:8" x14ac:dyDescent="0.3">
      <c r="B150" s="818" t="s">
        <v>1672</v>
      </c>
      <c r="C150" s="30">
        <f>SUMIF($H$2:$H$146,1,C$2:C$146)</f>
        <v>127044.95</v>
      </c>
      <c r="D150" s="30">
        <f>SUMIF($H$2:$H$146,1,D$2:D$146)</f>
        <v>31240.949999999997</v>
      </c>
      <c r="E150" s="30">
        <f>SUMIF($H$2:$H$146,1,E$2:E$146)</f>
        <v>6654.0199999999995</v>
      </c>
      <c r="F150" s="30">
        <f>SUMIF($H$2:$H$146,1,F$2:F$146)</f>
        <v>119842.53</v>
      </c>
      <c r="G150" s="30">
        <f>SUMIF($H$2:$H$146,1,G$2:G$146)</f>
        <v>24038.530000000002</v>
      </c>
    </row>
    <row r="151" spans="1:8" x14ac:dyDescent="0.3">
      <c r="B151" s="818" t="s">
        <v>1673</v>
      </c>
      <c r="C151" s="30">
        <f>SUMIF($H$2:$H$146,2,C$2:C$146)</f>
        <v>1071751.3500000001</v>
      </c>
      <c r="D151" s="30">
        <f>SUMIF($H$2:$H$146,2,D$2:D$146)</f>
        <v>165474.76000000007</v>
      </c>
      <c r="E151" s="30">
        <f>SUMIF($H$2:$H$146,2,E$2:E$146)</f>
        <v>37104.310000000005</v>
      </c>
      <c r="F151" s="30">
        <f>SUMIF($H$2:$H$146,2,F$2:F$146)</f>
        <v>1064097.72</v>
      </c>
      <c r="G151" s="30">
        <f>SUMIF($H$2:$H$146,2,G$2:G$146)</f>
        <v>157821.13</v>
      </c>
    </row>
    <row r="152" spans="1:8" x14ac:dyDescent="0.3">
      <c r="B152" s="818" t="s">
        <v>1674</v>
      </c>
      <c r="C152" s="30">
        <f>SUMIF($H$2:$H$146,3,C$2:C$146)</f>
        <v>479765.18999999994</v>
      </c>
      <c r="D152" s="30">
        <f>SUMIF($H$2:$H$146,3,D$2:D$146)</f>
        <v>39306.740000000005</v>
      </c>
      <c r="E152" s="30">
        <f>SUMIF($H$2:$H$146,3,E$2:E$146)</f>
        <v>9230.6200000000026</v>
      </c>
      <c r="F152" s="30">
        <f>SUMIF($H$2:$H$145,3,F$2:F$145)</f>
        <v>486608.50999999989</v>
      </c>
      <c r="G152" s="30">
        <f>SUMIF($H$2:$H$146,3,G$2:G$146)</f>
        <v>46150.06</v>
      </c>
    </row>
    <row r="153" spans="1:8" x14ac:dyDescent="0.3">
      <c r="B153" s="818"/>
      <c r="C153" s="819">
        <f>SUM(C150:C152)</f>
        <v>1678561.49</v>
      </c>
      <c r="D153" s="819">
        <f>SUM(D150:D152)</f>
        <v>236022.45000000007</v>
      </c>
      <c r="E153" s="819">
        <f>SUM(E150:E152)</f>
        <v>52988.950000000004</v>
      </c>
      <c r="F153" s="819">
        <f>SUM(F150:F152)</f>
        <v>1670548.7599999998</v>
      </c>
      <c r="G153" s="819">
        <f>SUM(G150:G152)</f>
        <v>228009.72</v>
      </c>
    </row>
  </sheetData>
  <autoFilter ref="A1:H146" xr:uid="{00000000-0001-0000-0500-000000000000}"/>
  <conditionalFormatting sqref="A1:A146">
    <cfRule type="duplicateValues" dxfId="4" priority="14"/>
  </conditionalFormatting>
  <conditionalFormatting sqref="A147:A1048576">
    <cfRule type="duplicateValues" dxfId="3" priority="10"/>
  </conditionalFormatting>
  <conditionalFormatting sqref="B149">
    <cfRule type="duplicateValues" dxfId="2" priority="1"/>
  </conditionalFormatting>
  <pageMargins left="0.51181102362204722" right="0.11811023622047245" top="0.19685039370078741" bottom="0.15748031496062992" header="0.31496062992125984" footer="0.31496062992125984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0F998-CC43-4CDA-9229-69C49C61169F}">
  <sheetPr codeName="Лист6">
    <tabColor rgb="FF00B050"/>
  </sheetPr>
  <dimension ref="A1:B368"/>
  <sheetViews>
    <sheetView topLeftCell="A338" workbookViewId="0">
      <selection activeCell="L358" sqref="L358"/>
    </sheetView>
  </sheetViews>
  <sheetFormatPr defaultRowHeight="14.4" x14ac:dyDescent="0.3"/>
  <cols>
    <col min="1" max="1" width="43.33203125" style="1" customWidth="1"/>
    <col min="2" max="2" width="30.109375" style="8" customWidth="1"/>
  </cols>
  <sheetData>
    <row r="1" spans="1:2" x14ac:dyDescent="0.3">
      <c r="B1" s="812"/>
    </row>
    <row r="2" spans="1:2" x14ac:dyDescent="0.3">
      <c r="B2" s="280"/>
    </row>
    <row r="3" spans="1:2" x14ac:dyDescent="0.3">
      <c r="B3" s="280"/>
    </row>
    <row r="5" spans="1:2" ht="18" thickBot="1" x14ac:dyDescent="0.35">
      <c r="B5" s="331"/>
    </row>
    <row r="6" spans="1:2" x14ac:dyDescent="0.3">
      <c r="A6" s="1212" t="s">
        <v>1</v>
      </c>
      <c r="B6" s="1240" t="s">
        <v>1726</v>
      </c>
    </row>
    <row r="7" spans="1:2" x14ac:dyDescent="0.3">
      <c r="A7" s="1213"/>
      <c r="B7" s="1241"/>
    </row>
    <row r="8" spans="1:2" ht="42.6" customHeight="1" thickBot="1" x14ac:dyDescent="0.35">
      <c r="A8" s="1214"/>
      <c r="B8" s="1242"/>
    </row>
    <row r="9" spans="1:2" x14ac:dyDescent="0.3">
      <c r="A9" s="86" t="s">
        <v>146</v>
      </c>
      <c r="B9" s="264">
        <v>18653.739760113393</v>
      </c>
    </row>
    <row r="10" spans="1:2" x14ac:dyDescent="0.3">
      <c r="A10" s="45" t="s">
        <v>239</v>
      </c>
      <c r="B10" s="264">
        <v>38003.874549059285</v>
      </c>
    </row>
    <row r="11" spans="1:2" x14ac:dyDescent="0.3">
      <c r="A11" s="45" t="s">
        <v>240</v>
      </c>
      <c r="B11" s="264">
        <v>53707.6442947701</v>
      </c>
    </row>
    <row r="12" spans="1:2" x14ac:dyDescent="0.3">
      <c r="A12" s="45" t="s">
        <v>338</v>
      </c>
      <c r="B12" s="264">
        <v>-80083.318847997638</v>
      </c>
    </row>
    <row r="13" spans="1:2" x14ac:dyDescent="0.3">
      <c r="A13" s="45" t="s">
        <v>339</v>
      </c>
      <c r="B13" s="264">
        <v>-192392.44459653684</v>
      </c>
    </row>
    <row r="14" spans="1:2" x14ac:dyDescent="0.3">
      <c r="A14" s="45" t="s">
        <v>33</v>
      </c>
      <c r="B14" s="264">
        <v>-9205.1629507728831</v>
      </c>
    </row>
    <row r="15" spans="1:2" x14ac:dyDescent="0.3">
      <c r="A15" s="45" t="s">
        <v>340</v>
      </c>
      <c r="B15" s="264">
        <v>-67368.594597629155</v>
      </c>
    </row>
    <row r="16" spans="1:2" x14ac:dyDescent="0.3">
      <c r="A16" s="45" t="s">
        <v>147</v>
      </c>
      <c r="B16" s="264">
        <v>-3465.1098473404422</v>
      </c>
    </row>
    <row r="17" spans="1:2" x14ac:dyDescent="0.3">
      <c r="A17" s="45" t="s">
        <v>148</v>
      </c>
      <c r="B17" s="264">
        <v>-6606.3346939808735</v>
      </c>
    </row>
    <row r="18" spans="1:2" x14ac:dyDescent="0.3">
      <c r="A18" s="45" t="s">
        <v>241</v>
      </c>
      <c r="B18" s="264">
        <v>130563.10472088867</v>
      </c>
    </row>
    <row r="19" spans="1:2" x14ac:dyDescent="0.3">
      <c r="A19" s="45" t="s">
        <v>192</v>
      </c>
      <c r="B19" s="264">
        <v>-3338.8786893936558</v>
      </c>
    </row>
    <row r="20" spans="1:2" x14ac:dyDescent="0.3">
      <c r="A20" s="45" t="s">
        <v>37</v>
      </c>
      <c r="B20" s="264">
        <v>-3063.0814461793298</v>
      </c>
    </row>
    <row r="21" spans="1:2" x14ac:dyDescent="0.3">
      <c r="A21" s="45" t="s">
        <v>242</v>
      </c>
      <c r="B21" s="264">
        <v>25117.032458931499</v>
      </c>
    </row>
    <row r="22" spans="1:2" x14ac:dyDescent="0.3">
      <c r="A22" s="45" t="s">
        <v>193</v>
      </c>
      <c r="B22" s="264">
        <v>-45317.409498198729</v>
      </c>
    </row>
    <row r="23" spans="1:2" x14ac:dyDescent="0.3">
      <c r="A23" s="45" t="s">
        <v>341</v>
      </c>
      <c r="B23" s="264">
        <v>24404.857217531098</v>
      </c>
    </row>
    <row r="24" spans="1:2" x14ac:dyDescent="0.3">
      <c r="A24" s="45" t="s">
        <v>39</v>
      </c>
      <c r="B24" s="264">
        <v>-3962.4922638592698</v>
      </c>
    </row>
    <row r="25" spans="1:2" x14ac:dyDescent="0.3">
      <c r="A25" s="45" t="s">
        <v>40</v>
      </c>
      <c r="B25" s="264">
        <v>-5471.1722772841667</v>
      </c>
    </row>
    <row r="26" spans="1:2" x14ac:dyDescent="0.3">
      <c r="A26" s="45" t="s">
        <v>41</v>
      </c>
      <c r="B26" s="264">
        <v>-6283.6899857241979</v>
      </c>
    </row>
    <row r="27" spans="1:2" x14ac:dyDescent="0.3">
      <c r="A27" s="45" t="s">
        <v>42</v>
      </c>
      <c r="B27" s="264">
        <v>-5130.7435981579838</v>
      </c>
    </row>
    <row r="28" spans="1:2" x14ac:dyDescent="0.3">
      <c r="A28" s="45" t="s">
        <v>43</v>
      </c>
      <c r="B28" s="264">
        <v>-5127.6689699335639</v>
      </c>
    </row>
    <row r="29" spans="1:2" x14ac:dyDescent="0.3">
      <c r="A29" s="45" t="s">
        <v>44</v>
      </c>
      <c r="B29" s="264">
        <v>-4404.9593934273144</v>
      </c>
    </row>
    <row r="30" spans="1:2" x14ac:dyDescent="0.3">
      <c r="A30" s="45" t="s">
        <v>47</v>
      </c>
      <c r="B30" s="264">
        <v>-4502.4189999519949</v>
      </c>
    </row>
    <row r="31" spans="1:2" x14ac:dyDescent="0.3">
      <c r="A31" s="45" t="s">
        <v>48</v>
      </c>
      <c r="B31" s="264">
        <v>5365.6709716300029</v>
      </c>
    </row>
    <row r="32" spans="1:2" x14ac:dyDescent="0.3">
      <c r="A32" s="45" t="s">
        <v>201</v>
      </c>
      <c r="B32" s="264">
        <v>21609.065324280717</v>
      </c>
    </row>
    <row r="33" spans="1:2" x14ac:dyDescent="0.3">
      <c r="A33" s="45" t="s">
        <v>202</v>
      </c>
      <c r="B33" s="264">
        <v>42930.051765951081</v>
      </c>
    </row>
    <row r="34" spans="1:2" x14ac:dyDescent="0.3">
      <c r="A34" s="45" t="s">
        <v>203</v>
      </c>
      <c r="B34" s="264">
        <v>15510.231740190926</v>
      </c>
    </row>
    <row r="35" spans="1:2" x14ac:dyDescent="0.3">
      <c r="A35" s="45" t="s">
        <v>149</v>
      </c>
      <c r="B35" s="264">
        <v>-38210.811277607492</v>
      </c>
    </row>
    <row r="36" spans="1:2" x14ac:dyDescent="0.3">
      <c r="A36" s="45" t="s">
        <v>150</v>
      </c>
      <c r="B36" s="264">
        <v>-4805.3724661808237</v>
      </c>
    </row>
    <row r="37" spans="1:2" x14ac:dyDescent="0.3">
      <c r="A37" s="45" t="s">
        <v>243</v>
      </c>
      <c r="B37" s="264">
        <v>-11633.036542035508</v>
      </c>
    </row>
    <row r="38" spans="1:2" x14ac:dyDescent="0.3">
      <c r="A38" s="45" t="s">
        <v>204</v>
      </c>
      <c r="B38" s="264">
        <v>-4209.3331629813802</v>
      </c>
    </row>
    <row r="39" spans="1:2" x14ac:dyDescent="0.3">
      <c r="A39" s="45" t="s">
        <v>205</v>
      </c>
      <c r="B39" s="264">
        <v>42900.181819527214</v>
      </c>
    </row>
    <row r="40" spans="1:2" x14ac:dyDescent="0.3">
      <c r="A40" s="45" t="s">
        <v>244</v>
      </c>
      <c r="B40" s="264">
        <v>37534.639435116456</v>
      </c>
    </row>
    <row r="41" spans="1:2" x14ac:dyDescent="0.3">
      <c r="A41" s="45" t="s">
        <v>342</v>
      </c>
      <c r="B41" s="264">
        <v>-6931.3273414837549</v>
      </c>
    </row>
    <row r="42" spans="1:2" x14ac:dyDescent="0.3">
      <c r="A42" s="45" t="s">
        <v>343</v>
      </c>
      <c r="B42" s="264">
        <v>-103993.97385684289</v>
      </c>
    </row>
    <row r="43" spans="1:2" x14ac:dyDescent="0.3">
      <c r="A43" s="45" t="s">
        <v>344</v>
      </c>
      <c r="B43" s="264">
        <v>-44332.988492224846</v>
      </c>
    </row>
    <row r="44" spans="1:2" x14ac:dyDescent="0.3">
      <c r="A44" s="45" t="s">
        <v>345</v>
      </c>
      <c r="B44" s="264">
        <v>-283436.91141545726</v>
      </c>
    </row>
    <row r="45" spans="1:2" x14ac:dyDescent="0.3">
      <c r="A45" s="45" t="s">
        <v>346</v>
      </c>
      <c r="B45" s="264">
        <v>-5240.4227973086381</v>
      </c>
    </row>
    <row r="46" spans="1:2" x14ac:dyDescent="0.3">
      <c r="A46" s="45" t="s">
        <v>245</v>
      </c>
      <c r="B46" s="264">
        <v>5562.8710717784197</v>
      </c>
    </row>
    <row r="47" spans="1:2" x14ac:dyDescent="0.3">
      <c r="A47" s="45" t="s">
        <v>50</v>
      </c>
      <c r="B47" s="264">
        <v>-379.39656602200847</v>
      </c>
    </row>
    <row r="48" spans="1:2" x14ac:dyDescent="0.3">
      <c r="A48" s="45" t="s">
        <v>51</v>
      </c>
      <c r="B48" s="264">
        <v>712.6901873348379</v>
      </c>
    </row>
    <row r="49" spans="1:2" x14ac:dyDescent="0.3">
      <c r="A49" s="45" t="s">
        <v>246</v>
      </c>
      <c r="B49" s="264">
        <v>-14011.702993473693</v>
      </c>
    </row>
    <row r="50" spans="1:2" x14ac:dyDescent="0.3">
      <c r="A50" s="45" t="s">
        <v>206</v>
      </c>
      <c r="B50" s="264">
        <v>58195.412854623632</v>
      </c>
    </row>
    <row r="51" spans="1:2" x14ac:dyDescent="0.3">
      <c r="A51" s="45" t="s">
        <v>247</v>
      </c>
      <c r="B51" s="264">
        <v>66105.415523138538</v>
      </c>
    </row>
    <row r="52" spans="1:2" x14ac:dyDescent="0.3">
      <c r="A52" s="45" t="s">
        <v>52</v>
      </c>
      <c r="B52" s="264">
        <v>6854.8170488409651</v>
      </c>
    </row>
    <row r="53" spans="1:2" x14ac:dyDescent="0.3">
      <c r="A53" s="45" t="s">
        <v>248</v>
      </c>
      <c r="B53" s="264">
        <v>-9339.7995467688706</v>
      </c>
    </row>
    <row r="54" spans="1:2" x14ac:dyDescent="0.3">
      <c r="A54" s="45" t="s">
        <v>249</v>
      </c>
      <c r="B54" s="264">
        <v>49926.935857157107</v>
      </c>
    </row>
    <row r="55" spans="1:2" x14ac:dyDescent="0.3">
      <c r="A55" s="45" t="s">
        <v>250</v>
      </c>
      <c r="B55" s="264">
        <v>12582.260116757532</v>
      </c>
    </row>
    <row r="56" spans="1:2" x14ac:dyDescent="0.3">
      <c r="A56" s="45" t="s">
        <v>333</v>
      </c>
      <c r="B56" s="264">
        <v>-53568.822705524748</v>
      </c>
    </row>
    <row r="57" spans="1:2" x14ac:dyDescent="0.3">
      <c r="A57" s="45" t="s">
        <v>207</v>
      </c>
      <c r="B57" s="264">
        <v>77579.730073287559</v>
      </c>
    </row>
    <row r="58" spans="1:2" x14ac:dyDescent="0.3">
      <c r="A58" s="45" t="s">
        <v>151</v>
      </c>
      <c r="B58" s="264">
        <v>-17348.500523365801</v>
      </c>
    </row>
    <row r="59" spans="1:2" x14ac:dyDescent="0.3">
      <c r="A59" s="45" t="s">
        <v>53</v>
      </c>
      <c r="B59" s="264">
        <v>-3294.4808084891943</v>
      </c>
    </row>
    <row r="60" spans="1:2" x14ac:dyDescent="0.3">
      <c r="A60" s="45" t="s">
        <v>54</v>
      </c>
      <c r="B60" s="264">
        <v>9765.111312205112</v>
      </c>
    </row>
    <row r="61" spans="1:2" x14ac:dyDescent="0.3">
      <c r="A61" s="45" t="s">
        <v>251</v>
      </c>
      <c r="B61" s="264">
        <v>104089.46308054702</v>
      </c>
    </row>
    <row r="62" spans="1:2" x14ac:dyDescent="0.3">
      <c r="A62" s="45" t="s">
        <v>194</v>
      </c>
      <c r="B62" s="264">
        <v>56577.020774244316</v>
      </c>
    </row>
    <row r="63" spans="1:2" x14ac:dyDescent="0.3">
      <c r="A63" s="45" t="s">
        <v>412</v>
      </c>
      <c r="B63" s="264">
        <v>18242.231853711244</v>
      </c>
    </row>
    <row r="64" spans="1:2" x14ac:dyDescent="0.3">
      <c r="A64" s="45" t="s">
        <v>252</v>
      </c>
      <c r="B64" s="264">
        <v>-163.0506232688258</v>
      </c>
    </row>
    <row r="65" spans="1:2" x14ac:dyDescent="0.3">
      <c r="A65" s="45" t="s">
        <v>57</v>
      </c>
      <c r="B65" s="264">
        <v>24475.217521473234</v>
      </c>
    </row>
    <row r="66" spans="1:2" x14ac:dyDescent="0.3">
      <c r="A66" s="45" t="s">
        <v>60</v>
      </c>
      <c r="B66" s="264">
        <v>-1072.0678772855103</v>
      </c>
    </row>
    <row r="67" spans="1:2" x14ac:dyDescent="0.3">
      <c r="A67" s="45" t="s">
        <v>347</v>
      </c>
      <c r="B67" s="264">
        <v>89419.298249325308</v>
      </c>
    </row>
    <row r="68" spans="1:2" x14ac:dyDescent="0.3">
      <c r="A68" s="45" t="s">
        <v>62</v>
      </c>
      <c r="B68" s="264">
        <v>-5643.8499239307976</v>
      </c>
    </row>
    <row r="69" spans="1:2" x14ac:dyDescent="0.3">
      <c r="A69" s="45" t="s">
        <v>64</v>
      </c>
      <c r="B69" s="264">
        <v>-5620.9670616855637</v>
      </c>
    </row>
    <row r="70" spans="1:2" x14ac:dyDescent="0.3">
      <c r="A70" s="45" t="s">
        <v>348</v>
      </c>
      <c r="B70" s="264">
        <v>-33630.698934741944</v>
      </c>
    </row>
    <row r="71" spans="1:2" x14ac:dyDescent="0.3">
      <c r="A71" s="45" t="s">
        <v>253</v>
      </c>
      <c r="B71" s="264">
        <v>-21422.192217958873</v>
      </c>
    </row>
    <row r="72" spans="1:2" x14ac:dyDescent="0.3">
      <c r="A72" s="45" t="s">
        <v>349</v>
      </c>
      <c r="B72" s="264">
        <v>88239.159654294868</v>
      </c>
    </row>
    <row r="73" spans="1:2" x14ac:dyDescent="0.3">
      <c r="A73" s="45" t="s">
        <v>254</v>
      </c>
      <c r="B73" s="264">
        <v>-8748.278023400635</v>
      </c>
    </row>
    <row r="74" spans="1:2" x14ac:dyDescent="0.3">
      <c r="A74" s="45" t="s">
        <v>350</v>
      </c>
      <c r="B74" s="264">
        <v>-1925.399047979954</v>
      </c>
    </row>
    <row r="75" spans="1:2" x14ac:dyDescent="0.3">
      <c r="A75" s="45" t="s">
        <v>65</v>
      </c>
      <c r="B75" s="264">
        <v>-2234.8171269990689</v>
      </c>
    </row>
    <row r="76" spans="1:2" x14ac:dyDescent="0.3">
      <c r="A76" s="45" t="s">
        <v>66</v>
      </c>
      <c r="B76" s="264">
        <v>-6926.2244523711861</v>
      </c>
    </row>
    <row r="77" spans="1:2" x14ac:dyDescent="0.3">
      <c r="A77" s="45" t="s">
        <v>67</v>
      </c>
      <c r="B77" s="264">
        <v>-4412.7073573950893</v>
      </c>
    </row>
    <row r="78" spans="1:2" x14ac:dyDescent="0.3">
      <c r="A78" s="45" t="s">
        <v>68</v>
      </c>
      <c r="B78" s="264">
        <v>-15558.385993095904</v>
      </c>
    </row>
    <row r="79" spans="1:2" x14ac:dyDescent="0.3">
      <c r="A79" s="45" t="s">
        <v>72</v>
      </c>
      <c r="B79" s="264">
        <v>14076.917170407869</v>
      </c>
    </row>
    <row r="80" spans="1:2" x14ac:dyDescent="0.3">
      <c r="A80" s="45" t="s">
        <v>74</v>
      </c>
      <c r="B80" s="264">
        <v>-4316.1104757087942</v>
      </c>
    </row>
    <row r="81" spans="1:2" x14ac:dyDescent="0.3">
      <c r="A81" s="45" t="s">
        <v>152</v>
      </c>
      <c r="B81" s="264">
        <v>-10945.186723459474</v>
      </c>
    </row>
    <row r="82" spans="1:2" x14ac:dyDescent="0.3">
      <c r="A82" s="45" t="s">
        <v>75</v>
      </c>
      <c r="B82" s="264">
        <v>-2393.2409372522193</v>
      </c>
    </row>
    <row r="83" spans="1:2" x14ac:dyDescent="0.3">
      <c r="A83" s="45" t="s">
        <v>351</v>
      </c>
      <c r="B83" s="264">
        <v>92591.417672147421</v>
      </c>
    </row>
    <row r="84" spans="1:2" x14ac:dyDescent="0.3">
      <c r="A84" s="45" t="s">
        <v>413</v>
      </c>
      <c r="B84" s="264">
        <v>4329.7809940488441</v>
      </c>
    </row>
    <row r="85" spans="1:2" x14ac:dyDescent="0.3">
      <c r="A85" s="45" t="s">
        <v>414</v>
      </c>
      <c r="B85" s="264">
        <v>156233.94945008977</v>
      </c>
    </row>
    <row r="86" spans="1:2" x14ac:dyDescent="0.3">
      <c r="A86" s="45" t="s">
        <v>352</v>
      </c>
      <c r="B86" s="264">
        <v>-184418.91511499078</v>
      </c>
    </row>
    <row r="87" spans="1:2" x14ac:dyDescent="0.3">
      <c r="A87" s="45" t="s">
        <v>76</v>
      </c>
      <c r="B87" s="264">
        <v>3942.5010760458335</v>
      </c>
    </row>
    <row r="88" spans="1:2" x14ac:dyDescent="0.3">
      <c r="A88" s="45" t="s">
        <v>353</v>
      </c>
      <c r="B88" s="264">
        <v>-26935.152216281342</v>
      </c>
    </row>
    <row r="89" spans="1:2" x14ac:dyDescent="0.3">
      <c r="A89" s="45" t="s">
        <v>77</v>
      </c>
      <c r="B89" s="264">
        <v>-934.82382388140786</v>
      </c>
    </row>
    <row r="90" spans="1:2" x14ac:dyDescent="0.3">
      <c r="A90" s="45" t="s">
        <v>255</v>
      </c>
      <c r="B90" s="264">
        <v>59070.330779422286</v>
      </c>
    </row>
    <row r="91" spans="1:2" x14ac:dyDescent="0.3">
      <c r="A91" s="45" t="s">
        <v>354</v>
      </c>
      <c r="B91" s="264">
        <v>138868.19945364766</v>
      </c>
    </row>
    <row r="92" spans="1:2" x14ac:dyDescent="0.3">
      <c r="A92" s="45" t="s">
        <v>355</v>
      </c>
      <c r="B92" s="264">
        <v>-19406.631425826417</v>
      </c>
    </row>
    <row r="93" spans="1:2" x14ac:dyDescent="0.3">
      <c r="A93" s="45" t="s">
        <v>356</v>
      </c>
      <c r="B93" s="264">
        <v>-50802.643548856555</v>
      </c>
    </row>
    <row r="94" spans="1:2" x14ac:dyDescent="0.3">
      <c r="A94" s="45" t="s">
        <v>415</v>
      </c>
      <c r="B94" s="264">
        <v>-16130.659757711877</v>
      </c>
    </row>
    <row r="95" spans="1:2" x14ac:dyDescent="0.3">
      <c r="A95" s="45" t="s">
        <v>357</v>
      </c>
      <c r="B95" s="264">
        <v>1053.2901068170613</v>
      </c>
    </row>
    <row r="96" spans="1:2" x14ac:dyDescent="0.3">
      <c r="A96" s="45" t="s">
        <v>358</v>
      </c>
      <c r="B96" s="264">
        <v>-45404.089658116383</v>
      </c>
    </row>
    <row r="97" spans="1:2" x14ac:dyDescent="0.3">
      <c r="A97" s="45" t="s">
        <v>153</v>
      </c>
      <c r="B97" s="264">
        <v>4449.4203253172427</v>
      </c>
    </row>
    <row r="98" spans="1:2" x14ac:dyDescent="0.3">
      <c r="A98" s="45" t="s">
        <v>208</v>
      </c>
      <c r="B98" s="264">
        <v>-160068.12155505898</v>
      </c>
    </row>
    <row r="99" spans="1:2" x14ac:dyDescent="0.3">
      <c r="A99" s="45" t="s">
        <v>154</v>
      </c>
      <c r="B99" s="264">
        <v>49034.005248332302</v>
      </c>
    </row>
    <row r="100" spans="1:2" x14ac:dyDescent="0.3">
      <c r="A100" s="45" t="s">
        <v>155</v>
      </c>
      <c r="B100" s="264">
        <v>16057.38191785299</v>
      </c>
    </row>
    <row r="101" spans="1:2" x14ac:dyDescent="0.3">
      <c r="A101" s="45" t="s">
        <v>156</v>
      </c>
      <c r="B101" s="264">
        <v>-11780.454996097218</v>
      </c>
    </row>
    <row r="102" spans="1:2" x14ac:dyDescent="0.3">
      <c r="A102" s="45" t="s">
        <v>157</v>
      </c>
      <c r="B102" s="264">
        <v>-2113.2242656163107</v>
      </c>
    </row>
    <row r="103" spans="1:2" x14ac:dyDescent="0.3">
      <c r="A103" s="45" t="s">
        <v>158</v>
      </c>
      <c r="B103" s="264">
        <v>-35413.187518995961</v>
      </c>
    </row>
    <row r="104" spans="1:2" x14ac:dyDescent="0.3">
      <c r="A104" s="45" t="s">
        <v>159</v>
      </c>
      <c r="B104" s="264">
        <v>10431.900106350848</v>
      </c>
    </row>
    <row r="105" spans="1:2" x14ac:dyDescent="0.3">
      <c r="A105" s="45" t="s">
        <v>160</v>
      </c>
      <c r="B105" s="264">
        <v>8419.851781016996</v>
      </c>
    </row>
    <row r="106" spans="1:2" x14ac:dyDescent="0.3">
      <c r="A106" s="45" t="s">
        <v>195</v>
      </c>
      <c r="B106" s="264">
        <v>17329.111975629457</v>
      </c>
    </row>
    <row r="107" spans="1:2" x14ac:dyDescent="0.3">
      <c r="A107" s="45" t="s">
        <v>209</v>
      </c>
      <c r="B107" s="264">
        <v>60382.837450871448</v>
      </c>
    </row>
    <row r="108" spans="1:2" x14ac:dyDescent="0.3">
      <c r="A108" s="45" t="s">
        <v>161</v>
      </c>
      <c r="B108" s="264">
        <v>24656.537874926078</v>
      </c>
    </row>
    <row r="109" spans="1:2" x14ac:dyDescent="0.3">
      <c r="A109" s="45" t="s">
        <v>210</v>
      </c>
      <c r="B109" s="264">
        <v>31582.182229924565</v>
      </c>
    </row>
    <row r="110" spans="1:2" x14ac:dyDescent="0.3">
      <c r="A110" s="45" t="s">
        <v>162</v>
      </c>
      <c r="B110" s="264">
        <v>27967.395433550068</v>
      </c>
    </row>
    <row r="111" spans="1:2" x14ac:dyDescent="0.3">
      <c r="A111" s="45" t="s">
        <v>256</v>
      </c>
      <c r="B111" s="264">
        <v>-3843.9994717056252</v>
      </c>
    </row>
    <row r="112" spans="1:2" x14ac:dyDescent="0.3">
      <c r="A112" s="45" t="s">
        <v>257</v>
      </c>
      <c r="B112" s="264">
        <v>11981.466081724222</v>
      </c>
    </row>
    <row r="113" spans="1:2" x14ac:dyDescent="0.3">
      <c r="A113" s="45" t="s">
        <v>416</v>
      </c>
      <c r="B113" s="264">
        <v>-104802.96638740896</v>
      </c>
    </row>
    <row r="114" spans="1:2" x14ac:dyDescent="0.3">
      <c r="A114" s="45" t="s">
        <v>359</v>
      </c>
      <c r="B114" s="264">
        <v>-73090.770979412002</v>
      </c>
    </row>
    <row r="115" spans="1:2" x14ac:dyDescent="0.3">
      <c r="A115" s="45" t="s">
        <v>80</v>
      </c>
      <c r="B115" s="264">
        <v>-4296.0701049633144</v>
      </c>
    </row>
    <row r="116" spans="1:2" x14ac:dyDescent="0.3">
      <c r="A116" s="45" t="s">
        <v>163</v>
      </c>
      <c r="B116" s="264">
        <v>-12284.055693374004</v>
      </c>
    </row>
    <row r="117" spans="1:2" x14ac:dyDescent="0.3">
      <c r="A117" s="45" t="s">
        <v>83</v>
      </c>
      <c r="B117" s="264">
        <v>-5442.2502190568721</v>
      </c>
    </row>
    <row r="118" spans="1:2" x14ac:dyDescent="0.3">
      <c r="A118" s="45" t="s">
        <v>84</v>
      </c>
      <c r="B118" s="264">
        <v>-4019.8110796745459</v>
      </c>
    </row>
    <row r="119" spans="1:2" x14ac:dyDescent="0.3">
      <c r="A119" s="45" t="s">
        <v>85</v>
      </c>
      <c r="B119" s="264">
        <v>-4212.081266114028</v>
      </c>
    </row>
    <row r="120" spans="1:2" x14ac:dyDescent="0.3">
      <c r="A120" s="45" t="s">
        <v>86</v>
      </c>
      <c r="B120" s="264">
        <v>-3412.2433567497528</v>
      </c>
    </row>
    <row r="121" spans="1:2" x14ac:dyDescent="0.3">
      <c r="A121" s="45" t="s">
        <v>258</v>
      </c>
      <c r="B121" s="264">
        <v>-67192.165219158705</v>
      </c>
    </row>
    <row r="122" spans="1:2" x14ac:dyDescent="0.3">
      <c r="A122" s="45" t="s">
        <v>89</v>
      </c>
      <c r="B122" s="264">
        <v>-6422.4510048689426</v>
      </c>
    </row>
    <row r="123" spans="1:2" x14ac:dyDescent="0.3">
      <c r="A123" s="45" t="s">
        <v>90</v>
      </c>
      <c r="B123" s="264">
        <v>-4163.9129668836622</v>
      </c>
    </row>
    <row r="124" spans="1:2" x14ac:dyDescent="0.3">
      <c r="A124" s="45" t="s">
        <v>91</v>
      </c>
      <c r="B124" s="264">
        <v>-4044.3050172347344</v>
      </c>
    </row>
    <row r="125" spans="1:2" x14ac:dyDescent="0.3">
      <c r="A125" s="45" t="s">
        <v>259</v>
      </c>
      <c r="B125" s="264">
        <v>31103.437202029287</v>
      </c>
    </row>
    <row r="126" spans="1:2" x14ac:dyDescent="0.3">
      <c r="A126" s="45" t="s">
        <v>417</v>
      </c>
      <c r="B126" s="264">
        <v>-3659.9594381983916</v>
      </c>
    </row>
    <row r="127" spans="1:2" x14ac:dyDescent="0.3">
      <c r="A127" s="45" t="s">
        <v>418</v>
      </c>
      <c r="B127" s="264">
        <v>-150662.97642728058</v>
      </c>
    </row>
    <row r="128" spans="1:2" x14ac:dyDescent="0.3">
      <c r="A128" s="45" t="s">
        <v>92</v>
      </c>
      <c r="B128" s="264">
        <v>-8128.1373818215325</v>
      </c>
    </row>
    <row r="129" spans="1:2" x14ac:dyDescent="0.3">
      <c r="A129" s="45" t="s">
        <v>93</v>
      </c>
      <c r="B129" s="264">
        <v>-4901.330816374706</v>
      </c>
    </row>
    <row r="130" spans="1:2" x14ac:dyDescent="0.3">
      <c r="A130" s="45" t="s">
        <v>95</v>
      </c>
      <c r="B130" s="264">
        <v>-3889.1520108853724</v>
      </c>
    </row>
    <row r="131" spans="1:2" x14ac:dyDescent="0.3">
      <c r="A131" s="45" t="s">
        <v>361</v>
      </c>
      <c r="B131" s="264">
        <v>-17727.384390169969</v>
      </c>
    </row>
    <row r="132" spans="1:2" x14ac:dyDescent="0.3">
      <c r="A132" s="45" t="s">
        <v>97</v>
      </c>
      <c r="B132" s="264">
        <v>-3540.1888372886115</v>
      </c>
    </row>
    <row r="133" spans="1:2" x14ac:dyDescent="0.3">
      <c r="A133" s="45" t="s">
        <v>98</v>
      </c>
      <c r="B133" s="264">
        <v>-2806.1874389628451</v>
      </c>
    </row>
    <row r="134" spans="1:2" x14ac:dyDescent="0.3">
      <c r="A134" s="45" t="s">
        <v>211</v>
      </c>
      <c r="B134" s="264">
        <v>51368.673397109975</v>
      </c>
    </row>
    <row r="135" spans="1:2" x14ac:dyDescent="0.3">
      <c r="A135" s="45" t="s">
        <v>362</v>
      </c>
      <c r="B135" s="264">
        <v>-75986.91240194792</v>
      </c>
    </row>
    <row r="136" spans="1:2" x14ac:dyDescent="0.3">
      <c r="A136" s="45" t="s">
        <v>212</v>
      </c>
      <c r="B136" s="264">
        <v>-47078.283169387214</v>
      </c>
    </row>
    <row r="137" spans="1:2" x14ac:dyDescent="0.3">
      <c r="A137" s="45" t="s">
        <v>164</v>
      </c>
      <c r="B137" s="264">
        <v>33923.249577028691</v>
      </c>
    </row>
    <row r="138" spans="1:2" x14ac:dyDescent="0.3">
      <c r="A138" s="45" t="s">
        <v>165</v>
      </c>
      <c r="B138" s="264">
        <v>4279.8154989399754</v>
      </c>
    </row>
    <row r="139" spans="1:2" x14ac:dyDescent="0.3">
      <c r="A139" s="45" t="s">
        <v>260</v>
      </c>
      <c r="B139" s="264">
        <v>-38630.954899841236</v>
      </c>
    </row>
    <row r="140" spans="1:2" x14ac:dyDescent="0.3">
      <c r="A140" s="45" t="s">
        <v>166</v>
      </c>
      <c r="B140" s="264">
        <v>-20389.213747493493</v>
      </c>
    </row>
    <row r="141" spans="1:2" x14ac:dyDescent="0.3">
      <c r="A141" s="45" t="s">
        <v>99</v>
      </c>
      <c r="B141" s="264">
        <v>-4437.9374117335219</v>
      </c>
    </row>
    <row r="142" spans="1:2" x14ac:dyDescent="0.3">
      <c r="A142" s="45" t="s">
        <v>261</v>
      </c>
      <c r="B142" s="264">
        <v>-6018.3055562854643</v>
      </c>
    </row>
    <row r="143" spans="1:2" x14ac:dyDescent="0.3">
      <c r="A143" s="45" t="s">
        <v>213</v>
      </c>
      <c r="B143" s="264">
        <v>3624.767792028917</v>
      </c>
    </row>
    <row r="144" spans="1:2" x14ac:dyDescent="0.3">
      <c r="A144" s="47" t="s">
        <v>429</v>
      </c>
      <c r="B144" s="264">
        <v>191672.3138957551</v>
      </c>
    </row>
    <row r="145" spans="1:2" x14ac:dyDescent="0.3">
      <c r="A145" s="45" t="s">
        <v>419</v>
      </c>
      <c r="B145" s="264">
        <v>-6676.0779897596803</v>
      </c>
    </row>
    <row r="146" spans="1:2" x14ac:dyDescent="0.3">
      <c r="A146" s="45" t="s">
        <v>100</v>
      </c>
      <c r="B146" s="264">
        <v>-7636.5007729544486</v>
      </c>
    </row>
    <row r="147" spans="1:2" x14ac:dyDescent="0.3">
      <c r="A147" s="45" t="s">
        <v>363</v>
      </c>
      <c r="B147" s="264">
        <v>-26120.036987825384</v>
      </c>
    </row>
    <row r="148" spans="1:2" x14ac:dyDescent="0.3">
      <c r="A148" s="45" t="s">
        <v>262</v>
      </c>
      <c r="B148" s="264">
        <v>13007.941349044777</v>
      </c>
    </row>
    <row r="149" spans="1:2" x14ac:dyDescent="0.3">
      <c r="A149" s="45" t="s">
        <v>364</v>
      </c>
      <c r="B149" s="264">
        <v>-56493.020801555387</v>
      </c>
    </row>
    <row r="150" spans="1:2" x14ac:dyDescent="0.3">
      <c r="A150" s="45" t="s">
        <v>365</v>
      </c>
      <c r="B150" s="264">
        <v>49528.660379795459</v>
      </c>
    </row>
    <row r="151" spans="1:2" x14ac:dyDescent="0.3">
      <c r="A151" s="45" t="s">
        <v>366</v>
      </c>
      <c r="B151" s="264">
        <v>-31870.936407898211</v>
      </c>
    </row>
    <row r="152" spans="1:2" x14ac:dyDescent="0.3">
      <c r="A152" s="45" t="s">
        <v>420</v>
      </c>
      <c r="B152" s="264">
        <v>-46965.223258866979</v>
      </c>
    </row>
    <row r="153" spans="1:2" x14ac:dyDescent="0.3">
      <c r="A153" s="45" t="s">
        <v>334</v>
      </c>
      <c r="B153" s="264">
        <v>-119612.86367598301</v>
      </c>
    </row>
    <row r="154" spans="1:2" x14ac:dyDescent="0.3">
      <c r="A154" s="45" t="s">
        <v>367</v>
      </c>
      <c r="B154" s="264">
        <v>-57365.708734197106</v>
      </c>
    </row>
    <row r="155" spans="1:2" x14ac:dyDescent="0.3">
      <c r="A155" s="45" t="s">
        <v>101</v>
      </c>
      <c r="B155" s="264">
        <v>-432.37065713013897</v>
      </c>
    </row>
    <row r="156" spans="1:2" x14ac:dyDescent="0.3">
      <c r="A156" s="45" t="s">
        <v>102</v>
      </c>
      <c r="B156" s="264">
        <v>-6162.739910991645</v>
      </c>
    </row>
    <row r="157" spans="1:2" x14ac:dyDescent="0.3">
      <c r="A157" s="45" t="s">
        <v>368</v>
      </c>
      <c r="B157" s="264">
        <v>30549.220052319804</v>
      </c>
    </row>
    <row r="158" spans="1:2" x14ac:dyDescent="0.3">
      <c r="A158" s="45" t="s">
        <v>335</v>
      </c>
      <c r="B158" s="264">
        <v>112284.09446629218</v>
      </c>
    </row>
    <row r="159" spans="1:2" x14ac:dyDescent="0.3">
      <c r="A159" s="45" t="s">
        <v>103</v>
      </c>
      <c r="B159" s="264">
        <v>138.14728976147171</v>
      </c>
    </row>
    <row r="160" spans="1:2" x14ac:dyDescent="0.3">
      <c r="A160" s="45" t="s">
        <v>104</v>
      </c>
      <c r="B160" s="264">
        <v>-4320.2562902736518</v>
      </c>
    </row>
    <row r="161" spans="1:2" x14ac:dyDescent="0.3">
      <c r="A161" s="45" t="s">
        <v>369</v>
      </c>
      <c r="B161" s="264">
        <v>-27970.010296648696</v>
      </c>
    </row>
    <row r="162" spans="1:2" x14ac:dyDescent="0.3">
      <c r="A162" s="45" t="s">
        <v>105</v>
      </c>
      <c r="B162" s="264">
        <v>-1011.1054736414321</v>
      </c>
    </row>
    <row r="163" spans="1:2" x14ac:dyDescent="0.3">
      <c r="A163" s="45" t="s">
        <v>106</v>
      </c>
      <c r="B163" s="264">
        <v>-3231.3656183718058</v>
      </c>
    </row>
    <row r="164" spans="1:2" x14ac:dyDescent="0.3">
      <c r="A164" s="45" t="s">
        <v>107</v>
      </c>
      <c r="B164" s="264">
        <v>-4163.4747009789717</v>
      </c>
    </row>
    <row r="165" spans="1:2" x14ac:dyDescent="0.3">
      <c r="A165" s="45" t="s">
        <v>108</v>
      </c>
      <c r="B165" s="264">
        <v>-4410.0008039373506</v>
      </c>
    </row>
    <row r="166" spans="1:2" x14ac:dyDescent="0.3">
      <c r="A166" s="45" t="s">
        <v>109</v>
      </c>
      <c r="B166" s="264">
        <v>-3173.3263563344262</v>
      </c>
    </row>
    <row r="167" spans="1:2" x14ac:dyDescent="0.3">
      <c r="A167" s="45" t="s">
        <v>110</v>
      </c>
      <c r="B167" s="264">
        <v>-6616.776984453114</v>
      </c>
    </row>
    <row r="168" spans="1:2" x14ac:dyDescent="0.3">
      <c r="A168" s="45" t="s">
        <v>111</v>
      </c>
      <c r="B168" s="264">
        <v>-4923.3297490680125</v>
      </c>
    </row>
    <row r="169" spans="1:2" x14ac:dyDescent="0.3">
      <c r="A169" s="45" t="s">
        <v>112</v>
      </c>
      <c r="B169" s="264">
        <v>-5832.820894194233</v>
      </c>
    </row>
    <row r="170" spans="1:2" x14ac:dyDescent="0.3">
      <c r="A170" s="45" t="s">
        <v>113</v>
      </c>
      <c r="B170" s="264">
        <v>-9276.4663921754636</v>
      </c>
    </row>
    <row r="171" spans="1:2" x14ac:dyDescent="0.3">
      <c r="A171" s="45" t="s">
        <v>114</v>
      </c>
      <c r="B171" s="264">
        <v>-3622.1312196189601</v>
      </c>
    </row>
    <row r="172" spans="1:2" x14ac:dyDescent="0.3">
      <c r="A172" s="45" t="s">
        <v>263</v>
      </c>
      <c r="B172" s="264">
        <v>97863.613379381772</v>
      </c>
    </row>
    <row r="173" spans="1:2" x14ac:dyDescent="0.3">
      <c r="A173" s="45" t="s">
        <v>214</v>
      </c>
      <c r="B173" s="264">
        <v>-40961.74159796429</v>
      </c>
    </row>
    <row r="174" spans="1:2" x14ac:dyDescent="0.3">
      <c r="A174" s="45" t="s">
        <v>167</v>
      </c>
      <c r="B174" s="264">
        <v>1522.221750305378</v>
      </c>
    </row>
    <row r="175" spans="1:2" x14ac:dyDescent="0.3">
      <c r="A175" s="45" t="s">
        <v>116</v>
      </c>
      <c r="B175" s="264">
        <v>2081.1306584531567</v>
      </c>
    </row>
    <row r="176" spans="1:2" x14ac:dyDescent="0.3">
      <c r="A176" s="45" t="s">
        <v>117</v>
      </c>
      <c r="B176" s="264">
        <v>-5626.2283857547181</v>
      </c>
    </row>
    <row r="177" spans="1:2" x14ac:dyDescent="0.3">
      <c r="A177" s="45" t="s">
        <v>118</v>
      </c>
      <c r="B177" s="264">
        <v>-1971.8391265296914</v>
      </c>
    </row>
    <row r="178" spans="1:2" x14ac:dyDescent="0.3">
      <c r="A178" s="45" t="s">
        <v>119</v>
      </c>
      <c r="B178" s="264">
        <v>-6128.7145846594503</v>
      </c>
    </row>
    <row r="179" spans="1:2" x14ac:dyDescent="0.3">
      <c r="A179" s="45" t="s">
        <v>168</v>
      </c>
      <c r="B179" s="264">
        <v>1208.980111648556</v>
      </c>
    </row>
    <row r="180" spans="1:2" x14ac:dyDescent="0.3">
      <c r="A180" s="45" t="s">
        <v>264</v>
      </c>
      <c r="B180" s="264">
        <v>11448.591954878299</v>
      </c>
    </row>
    <row r="181" spans="1:2" x14ac:dyDescent="0.3">
      <c r="A181" s="45" t="s">
        <v>370</v>
      </c>
      <c r="B181" s="264">
        <v>-180057.55906249786</v>
      </c>
    </row>
    <row r="182" spans="1:2" x14ac:dyDescent="0.3">
      <c r="A182" s="45" t="s">
        <v>265</v>
      </c>
      <c r="B182" s="264">
        <v>-70000.550592457235</v>
      </c>
    </row>
    <row r="183" spans="1:2" x14ac:dyDescent="0.3">
      <c r="A183" s="45" t="s">
        <v>371</v>
      </c>
      <c r="B183" s="264">
        <v>87293.397453909216</v>
      </c>
    </row>
    <row r="184" spans="1:2" x14ac:dyDescent="0.3">
      <c r="A184" s="45" t="s">
        <v>372</v>
      </c>
      <c r="B184" s="264">
        <v>38905.461779620644</v>
      </c>
    </row>
    <row r="185" spans="1:2" x14ac:dyDescent="0.3">
      <c r="A185" s="45" t="s">
        <v>373</v>
      </c>
      <c r="B185" s="264">
        <v>118831.39331562913</v>
      </c>
    </row>
    <row r="186" spans="1:2" x14ac:dyDescent="0.3">
      <c r="A186" s="45" t="s">
        <v>169</v>
      </c>
      <c r="B186" s="264">
        <v>-10283.620673079651</v>
      </c>
    </row>
    <row r="187" spans="1:2" x14ac:dyDescent="0.3">
      <c r="A187" s="45" t="s">
        <v>170</v>
      </c>
      <c r="B187" s="264">
        <v>240639.93380551704</v>
      </c>
    </row>
    <row r="188" spans="1:2" x14ac:dyDescent="0.3">
      <c r="A188" s="45" t="s">
        <v>171</v>
      </c>
      <c r="B188" s="264">
        <v>-31706.19338590667</v>
      </c>
    </row>
    <row r="189" spans="1:2" x14ac:dyDescent="0.3">
      <c r="A189" s="45" t="s">
        <v>1096</v>
      </c>
      <c r="B189" s="264">
        <v>14107.959107343584</v>
      </c>
    </row>
    <row r="190" spans="1:2" x14ac:dyDescent="0.3">
      <c r="A190" s="45" t="s">
        <v>172</v>
      </c>
      <c r="B190" s="264">
        <v>11116.736019021137</v>
      </c>
    </row>
    <row r="191" spans="1:2" x14ac:dyDescent="0.3">
      <c r="A191" s="45" t="s">
        <v>266</v>
      </c>
      <c r="B191" s="264">
        <v>48064.970199121373</v>
      </c>
    </row>
    <row r="192" spans="1:2" x14ac:dyDescent="0.3">
      <c r="A192" s="45" t="s">
        <v>173</v>
      </c>
      <c r="B192" s="264">
        <v>-3027.3196412978969</v>
      </c>
    </row>
    <row r="193" spans="1:2" x14ac:dyDescent="0.3">
      <c r="A193" s="45" t="s">
        <v>174</v>
      </c>
      <c r="B193" s="264">
        <v>31371.184976781908</v>
      </c>
    </row>
    <row r="194" spans="1:2" x14ac:dyDescent="0.3">
      <c r="A194" s="45" t="s">
        <v>267</v>
      </c>
      <c r="B194" s="264">
        <v>-743.07998511966071</v>
      </c>
    </row>
    <row r="195" spans="1:2" x14ac:dyDescent="0.3">
      <c r="A195" s="45" t="s">
        <v>215</v>
      </c>
      <c r="B195" s="264">
        <v>-2826.858485631994</v>
      </c>
    </row>
    <row r="196" spans="1:2" x14ac:dyDescent="0.3">
      <c r="A196" s="45" t="s">
        <v>175</v>
      </c>
      <c r="B196" s="264">
        <v>7525.6451169632774</v>
      </c>
    </row>
    <row r="197" spans="1:2" x14ac:dyDescent="0.3">
      <c r="A197" s="45" t="s">
        <v>374</v>
      </c>
      <c r="B197" s="264">
        <v>-52303.727353687733</v>
      </c>
    </row>
    <row r="198" spans="1:2" x14ac:dyDescent="0.3">
      <c r="A198" s="45" t="s">
        <v>375</v>
      </c>
      <c r="B198" s="264">
        <v>172483.00609205285</v>
      </c>
    </row>
    <row r="199" spans="1:2" x14ac:dyDescent="0.3">
      <c r="A199" s="45" t="s">
        <v>176</v>
      </c>
      <c r="B199" s="264">
        <v>-20998.337321622366</v>
      </c>
    </row>
    <row r="200" spans="1:2" x14ac:dyDescent="0.3">
      <c r="A200" s="45" t="s">
        <v>336</v>
      </c>
      <c r="B200" s="264">
        <v>16408.744171014147</v>
      </c>
    </row>
    <row r="201" spans="1:2" x14ac:dyDescent="0.3">
      <c r="A201" s="45" t="s">
        <v>177</v>
      </c>
      <c r="B201" s="264">
        <v>-29420.841511241604</v>
      </c>
    </row>
    <row r="202" spans="1:2" x14ac:dyDescent="0.3">
      <c r="A202" s="45" t="s">
        <v>376</v>
      </c>
      <c r="B202" s="264">
        <v>-107886.13965126351</v>
      </c>
    </row>
    <row r="203" spans="1:2" x14ac:dyDescent="0.3">
      <c r="A203" s="45" t="s">
        <v>337</v>
      </c>
      <c r="B203" s="264">
        <v>177539.28525593318</v>
      </c>
    </row>
    <row r="204" spans="1:2" x14ac:dyDescent="0.3">
      <c r="A204" s="45" t="s">
        <v>377</v>
      </c>
      <c r="B204" s="264">
        <v>-53205.061976962708</v>
      </c>
    </row>
    <row r="205" spans="1:2" x14ac:dyDescent="0.3">
      <c r="A205" s="45" t="s">
        <v>378</v>
      </c>
      <c r="B205" s="264">
        <v>37388.473133075837</v>
      </c>
    </row>
    <row r="206" spans="1:2" x14ac:dyDescent="0.3">
      <c r="A206" s="45" t="s">
        <v>379</v>
      </c>
      <c r="B206" s="264">
        <v>-37821.117728877478</v>
      </c>
    </row>
    <row r="207" spans="1:2" x14ac:dyDescent="0.3">
      <c r="A207" s="45" t="s">
        <v>178</v>
      </c>
      <c r="B207" s="264">
        <v>2366.431814708907</v>
      </c>
    </row>
    <row r="208" spans="1:2" x14ac:dyDescent="0.3">
      <c r="A208" s="45" t="s">
        <v>380</v>
      </c>
      <c r="B208" s="264">
        <v>-74606.580988706264</v>
      </c>
    </row>
    <row r="209" spans="1:2" x14ac:dyDescent="0.3">
      <c r="A209" s="45" t="s">
        <v>381</v>
      </c>
      <c r="B209" s="264">
        <v>-95929.323259541532</v>
      </c>
    </row>
    <row r="210" spans="1:2" x14ac:dyDescent="0.3">
      <c r="A210" s="45" t="s">
        <v>382</v>
      </c>
      <c r="B210" s="264">
        <v>67026.838691688783</v>
      </c>
    </row>
    <row r="211" spans="1:2" x14ac:dyDescent="0.3">
      <c r="A211" s="45" t="s">
        <v>122</v>
      </c>
      <c r="B211" s="264">
        <v>2732.9051081049511</v>
      </c>
    </row>
    <row r="212" spans="1:2" x14ac:dyDescent="0.3">
      <c r="A212" s="45" t="s">
        <v>123</v>
      </c>
      <c r="B212" s="264">
        <v>16705.99239986778</v>
      </c>
    </row>
    <row r="213" spans="1:2" x14ac:dyDescent="0.3">
      <c r="A213" s="45" t="s">
        <v>421</v>
      </c>
      <c r="B213" s="264">
        <v>-94552.485553522245</v>
      </c>
    </row>
    <row r="214" spans="1:2" x14ac:dyDescent="0.3">
      <c r="A214" s="45" t="s">
        <v>268</v>
      </c>
      <c r="B214" s="264">
        <v>-50767.046511761648</v>
      </c>
    </row>
    <row r="215" spans="1:2" x14ac:dyDescent="0.3">
      <c r="A215" s="45" t="s">
        <v>383</v>
      </c>
      <c r="B215" s="264">
        <v>2463.7483625954046</v>
      </c>
    </row>
    <row r="216" spans="1:2" x14ac:dyDescent="0.3">
      <c r="A216" s="45" t="s">
        <v>384</v>
      </c>
      <c r="B216" s="264">
        <v>318937.51890166558</v>
      </c>
    </row>
    <row r="217" spans="1:2" x14ac:dyDescent="0.3">
      <c r="A217" s="45" t="s">
        <v>269</v>
      </c>
      <c r="B217" s="264">
        <v>12981.017876677557</v>
      </c>
    </row>
    <row r="218" spans="1:2" x14ac:dyDescent="0.3">
      <c r="A218" s="45" t="s">
        <v>270</v>
      </c>
      <c r="B218" s="264">
        <v>124391.2869300335</v>
      </c>
    </row>
    <row r="219" spans="1:2" x14ac:dyDescent="0.3">
      <c r="A219" s="45" t="s">
        <v>271</v>
      </c>
      <c r="B219" s="264">
        <v>-14729.242695667563</v>
      </c>
    </row>
    <row r="220" spans="1:2" x14ac:dyDescent="0.3">
      <c r="A220" s="45" t="s">
        <v>272</v>
      </c>
      <c r="B220" s="264">
        <v>38387.092863366946</v>
      </c>
    </row>
    <row r="221" spans="1:2" x14ac:dyDescent="0.3">
      <c r="A221" s="45" t="s">
        <v>216</v>
      </c>
      <c r="B221" s="264">
        <v>11209.117421579576</v>
      </c>
    </row>
    <row r="222" spans="1:2" x14ac:dyDescent="0.3">
      <c r="A222" s="45" t="s">
        <v>179</v>
      </c>
      <c r="B222" s="264">
        <v>113641.24063212595</v>
      </c>
    </row>
    <row r="223" spans="1:2" x14ac:dyDescent="0.3">
      <c r="A223" s="45" t="s">
        <v>125</v>
      </c>
      <c r="B223" s="264">
        <v>-2860.5982898089346</v>
      </c>
    </row>
    <row r="224" spans="1:2" x14ac:dyDescent="0.3">
      <c r="A224" s="45" t="s">
        <v>180</v>
      </c>
      <c r="B224" s="264">
        <v>8234.0860538229299</v>
      </c>
    </row>
    <row r="225" spans="1:2" x14ac:dyDescent="0.3">
      <c r="A225" s="45" t="s">
        <v>196</v>
      </c>
      <c r="B225" s="264">
        <v>-9826.8197113048991</v>
      </c>
    </row>
    <row r="226" spans="1:2" x14ac:dyDescent="0.3">
      <c r="A226" s="45" t="s">
        <v>181</v>
      </c>
      <c r="B226" s="264">
        <v>89090.526635446135</v>
      </c>
    </row>
    <row r="227" spans="1:2" x14ac:dyDescent="0.3">
      <c r="A227" s="45" t="s">
        <v>217</v>
      </c>
      <c r="B227" s="264">
        <v>82697.610987443259</v>
      </c>
    </row>
    <row r="228" spans="1:2" x14ac:dyDescent="0.3">
      <c r="A228" s="47" t="s">
        <v>428</v>
      </c>
      <c r="B228" s="264">
        <v>-17934.00032145864</v>
      </c>
    </row>
    <row r="229" spans="1:2" x14ac:dyDescent="0.3">
      <c r="A229" s="45" t="s">
        <v>182</v>
      </c>
      <c r="B229" s="264">
        <v>9567.7946969173663</v>
      </c>
    </row>
    <row r="230" spans="1:2" x14ac:dyDescent="0.3">
      <c r="A230" s="45" t="s">
        <v>385</v>
      </c>
      <c r="B230" s="264">
        <v>-47364.968044307097</v>
      </c>
    </row>
    <row r="231" spans="1:2" x14ac:dyDescent="0.3">
      <c r="A231" s="45" t="s">
        <v>127</v>
      </c>
      <c r="B231" s="264">
        <v>-8441.0192789291395</v>
      </c>
    </row>
    <row r="232" spans="1:2" x14ac:dyDescent="0.3">
      <c r="A232" s="45" t="s">
        <v>183</v>
      </c>
      <c r="B232" s="264">
        <v>9227.1897013447178</v>
      </c>
    </row>
    <row r="233" spans="1:2" x14ac:dyDescent="0.3">
      <c r="A233" s="45" t="s">
        <v>184</v>
      </c>
      <c r="B233" s="264">
        <v>25987.600853350868</v>
      </c>
    </row>
    <row r="234" spans="1:2" x14ac:dyDescent="0.3">
      <c r="A234" s="45" t="s">
        <v>273</v>
      </c>
      <c r="B234" s="264">
        <v>24347.040713048831</v>
      </c>
    </row>
    <row r="235" spans="1:2" x14ac:dyDescent="0.3">
      <c r="A235" s="45" t="s">
        <v>218</v>
      </c>
      <c r="B235" s="264">
        <v>122847.92971775442</v>
      </c>
    </row>
    <row r="236" spans="1:2" x14ac:dyDescent="0.3">
      <c r="A236" s="45" t="s">
        <v>274</v>
      </c>
      <c r="B236" s="264">
        <v>24073.216356966259</v>
      </c>
    </row>
    <row r="237" spans="1:2" x14ac:dyDescent="0.3">
      <c r="A237" s="45" t="s">
        <v>275</v>
      </c>
      <c r="B237" s="264">
        <v>54322.968974221549</v>
      </c>
    </row>
    <row r="238" spans="1:2" x14ac:dyDescent="0.3">
      <c r="A238" s="45" t="s">
        <v>276</v>
      </c>
      <c r="B238" s="264">
        <v>74572.915765378333</v>
      </c>
    </row>
    <row r="239" spans="1:2" x14ac:dyDescent="0.3">
      <c r="A239" s="45" t="s">
        <v>277</v>
      </c>
      <c r="B239" s="264">
        <v>36183.065588016565</v>
      </c>
    </row>
    <row r="240" spans="1:2" x14ac:dyDescent="0.3">
      <c r="A240" s="45" t="s">
        <v>278</v>
      </c>
      <c r="B240" s="264">
        <v>47505.226713962984</v>
      </c>
    </row>
    <row r="241" spans="1:2" x14ac:dyDescent="0.3">
      <c r="A241" s="45" t="s">
        <v>279</v>
      </c>
      <c r="B241" s="264">
        <v>8577.5277502669196</v>
      </c>
    </row>
    <row r="242" spans="1:2" x14ac:dyDescent="0.3">
      <c r="A242" s="45" t="s">
        <v>280</v>
      </c>
      <c r="B242" s="264">
        <v>75793.943881755054</v>
      </c>
    </row>
    <row r="243" spans="1:2" x14ac:dyDescent="0.3">
      <c r="A243" s="45" t="s">
        <v>281</v>
      </c>
      <c r="B243" s="264">
        <v>78438.650228507366</v>
      </c>
    </row>
    <row r="244" spans="1:2" x14ac:dyDescent="0.3">
      <c r="A244" s="45" t="s">
        <v>282</v>
      </c>
      <c r="B244" s="264">
        <v>41529.681839487908</v>
      </c>
    </row>
    <row r="245" spans="1:2" x14ac:dyDescent="0.3">
      <c r="A245" s="45" t="s">
        <v>283</v>
      </c>
      <c r="B245" s="264">
        <v>55724.293693032509</v>
      </c>
    </row>
    <row r="246" spans="1:2" x14ac:dyDescent="0.3">
      <c r="A246" s="45" t="s">
        <v>284</v>
      </c>
      <c r="B246" s="264">
        <v>67659.573202134532</v>
      </c>
    </row>
    <row r="247" spans="1:2" x14ac:dyDescent="0.3">
      <c r="A247" s="45" t="s">
        <v>285</v>
      </c>
      <c r="B247" s="264">
        <v>-35860.073594274203</v>
      </c>
    </row>
    <row r="248" spans="1:2" x14ac:dyDescent="0.3">
      <c r="A248" s="45" t="s">
        <v>286</v>
      </c>
      <c r="B248" s="264">
        <v>10739.570566876835</v>
      </c>
    </row>
    <row r="249" spans="1:2" x14ac:dyDescent="0.3">
      <c r="A249" s="45" t="s">
        <v>287</v>
      </c>
      <c r="B249" s="264">
        <v>119153.19668841493</v>
      </c>
    </row>
    <row r="250" spans="1:2" x14ac:dyDescent="0.3">
      <c r="A250" s="45" t="s">
        <v>288</v>
      </c>
      <c r="B250" s="264">
        <v>29193.03984301283</v>
      </c>
    </row>
    <row r="251" spans="1:2" x14ac:dyDescent="0.3">
      <c r="A251" s="45" t="s">
        <v>129</v>
      </c>
      <c r="B251" s="264">
        <v>-3865.0494025790426</v>
      </c>
    </row>
    <row r="252" spans="1:2" x14ac:dyDescent="0.3">
      <c r="A252" s="45" t="s">
        <v>130</v>
      </c>
      <c r="B252" s="264">
        <v>1401.8900949620377</v>
      </c>
    </row>
    <row r="253" spans="1:2" x14ac:dyDescent="0.3">
      <c r="A253" s="45" t="s">
        <v>386</v>
      </c>
      <c r="B253" s="264">
        <v>-76801.120760064601</v>
      </c>
    </row>
    <row r="254" spans="1:2" x14ac:dyDescent="0.3">
      <c r="A254" s="45" t="s">
        <v>387</v>
      </c>
      <c r="B254" s="264">
        <v>210033.29067879092</v>
      </c>
    </row>
    <row r="255" spans="1:2" x14ac:dyDescent="0.3">
      <c r="A255" s="45" t="s">
        <v>388</v>
      </c>
      <c r="B255" s="264">
        <v>-5414.2277722142899</v>
      </c>
    </row>
    <row r="256" spans="1:2" x14ac:dyDescent="0.3">
      <c r="A256" s="45" t="s">
        <v>389</v>
      </c>
      <c r="B256" s="264">
        <v>-12301.748009499534</v>
      </c>
    </row>
    <row r="257" spans="1:2" x14ac:dyDescent="0.3">
      <c r="A257" s="45" t="s">
        <v>390</v>
      </c>
      <c r="B257" s="264">
        <v>135053.56135334951</v>
      </c>
    </row>
    <row r="258" spans="1:2" x14ac:dyDescent="0.3">
      <c r="A258" s="45" t="s">
        <v>391</v>
      </c>
      <c r="B258" s="264">
        <v>-76314.541561746635</v>
      </c>
    </row>
    <row r="259" spans="1:2" x14ac:dyDescent="0.3">
      <c r="A259" s="45" t="s">
        <v>219</v>
      </c>
      <c r="B259" s="264">
        <v>93620.284153619461</v>
      </c>
    </row>
    <row r="260" spans="1:2" x14ac:dyDescent="0.3">
      <c r="A260" s="45" t="s">
        <v>220</v>
      </c>
      <c r="B260" s="264">
        <v>5713.9421626418189</v>
      </c>
    </row>
    <row r="261" spans="1:2" x14ac:dyDescent="0.3">
      <c r="A261" s="45" t="s">
        <v>221</v>
      </c>
      <c r="B261" s="264">
        <v>8517.3882457564978</v>
      </c>
    </row>
    <row r="262" spans="1:2" x14ac:dyDescent="0.3">
      <c r="A262" s="45" t="s">
        <v>289</v>
      </c>
      <c r="B262" s="264">
        <v>27126.359105788142</v>
      </c>
    </row>
    <row r="263" spans="1:2" x14ac:dyDescent="0.3">
      <c r="A263" s="45" t="s">
        <v>222</v>
      </c>
      <c r="B263" s="264">
        <v>-236.11459660171386</v>
      </c>
    </row>
    <row r="264" spans="1:2" x14ac:dyDescent="0.3">
      <c r="A264" s="45" t="s">
        <v>197</v>
      </c>
      <c r="B264" s="264">
        <v>30600.454476227071</v>
      </c>
    </row>
    <row r="265" spans="1:2" x14ac:dyDescent="0.3">
      <c r="A265" s="45" t="s">
        <v>223</v>
      </c>
      <c r="B265" s="264">
        <v>-31033.750221757371</v>
      </c>
    </row>
    <row r="266" spans="1:2" x14ac:dyDescent="0.3">
      <c r="A266" s="45" t="s">
        <v>224</v>
      </c>
      <c r="B266" s="264">
        <v>-5300.1988137793996</v>
      </c>
    </row>
    <row r="267" spans="1:2" x14ac:dyDescent="0.3">
      <c r="A267" s="45" t="s">
        <v>290</v>
      </c>
      <c r="B267" s="264">
        <v>-20293.555997125815</v>
      </c>
    </row>
    <row r="268" spans="1:2" x14ac:dyDescent="0.3">
      <c r="A268" s="45" t="s">
        <v>133</v>
      </c>
      <c r="B268" s="264">
        <v>-4847.4402670303189</v>
      </c>
    </row>
    <row r="269" spans="1:2" x14ac:dyDescent="0.3">
      <c r="A269" s="45" t="s">
        <v>185</v>
      </c>
      <c r="B269" s="264">
        <v>-11207.849980993706</v>
      </c>
    </row>
    <row r="270" spans="1:2" x14ac:dyDescent="0.3">
      <c r="A270" s="45" t="s">
        <v>291</v>
      </c>
      <c r="B270" s="264">
        <v>229837.90268425978</v>
      </c>
    </row>
    <row r="271" spans="1:2" x14ac:dyDescent="0.3">
      <c r="A271" s="45" t="s">
        <v>422</v>
      </c>
      <c r="B271" s="264">
        <v>-1386.6120412153396</v>
      </c>
    </row>
    <row r="272" spans="1:2" x14ac:dyDescent="0.3">
      <c r="A272" s="45" t="s">
        <v>392</v>
      </c>
      <c r="B272" s="264">
        <v>500126.89658217254</v>
      </c>
    </row>
    <row r="273" spans="1:2" x14ac:dyDescent="0.3">
      <c r="A273" s="45" t="s">
        <v>198</v>
      </c>
      <c r="B273" s="264">
        <v>15337.75826735891</v>
      </c>
    </row>
    <row r="274" spans="1:2" x14ac:dyDescent="0.3">
      <c r="A274" s="45" t="s">
        <v>199</v>
      </c>
      <c r="B274" s="264">
        <v>18152.321647803758</v>
      </c>
    </row>
    <row r="275" spans="1:2" x14ac:dyDescent="0.3">
      <c r="A275" s="45" t="s">
        <v>135</v>
      </c>
      <c r="B275" s="264">
        <v>-4462.8102604883525</v>
      </c>
    </row>
    <row r="276" spans="1:2" x14ac:dyDescent="0.3">
      <c r="A276" s="45" t="s">
        <v>393</v>
      </c>
      <c r="B276" s="264">
        <v>7350.8404015087945</v>
      </c>
    </row>
    <row r="277" spans="1:2" x14ac:dyDescent="0.3">
      <c r="A277" s="45" t="s">
        <v>136</v>
      </c>
      <c r="B277" s="264">
        <v>-3690.5877301261817</v>
      </c>
    </row>
    <row r="278" spans="1:2" x14ac:dyDescent="0.3">
      <c r="A278" s="45" t="s">
        <v>186</v>
      </c>
      <c r="B278" s="264">
        <v>-18979.939342103768</v>
      </c>
    </row>
    <row r="279" spans="1:2" x14ac:dyDescent="0.3">
      <c r="A279" s="45" t="s">
        <v>138</v>
      </c>
      <c r="B279" s="264">
        <v>-11059.55957499057</v>
      </c>
    </row>
    <row r="280" spans="1:2" x14ac:dyDescent="0.3">
      <c r="A280" s="45" t="s">
        <v>225</v>
      </c>
      <c r="B280" s="264">
        <v>85907.952975026245</v>
      </c>
    </row>
    <row r="281" spans="1:2" x14ac:dyDescent="0.3">
      <c r="A281" s="45" t="s">
        <v>423</v>
      </c>
      <c r="B281" s="264">
        <v>79599.628382698153</v>
      </c>
    </row>
    <row r="282" spans="1:2" x14ac:dyDescent="0.3">
      <c r="A282" s="45" t="s">
        <v>394</v>
      </c>
      <c r="B282" s="264">
        <v>-110709.32275638785</v>
      </c>
    </row>
    <row r="283" spans="1:2" x14ac:dyDescent="0.3">
      <c r="A283" s="45" t="s">
        <v>292</v>
      </c>
      <c r="B283" s="264">
        <v>-8515.5468923725639</v>
      </c>
    </row>
    <row r="284" spans="1:2" x14ac:dyDescent="0.3">
      <c r="A284" s="45" t="s">
        <v>293</v>
      </c>
      <c r="B284" s="264">
        <v>-70921.341357590994</v>
      </c>
    </row>
    <row r="285" spans="1:2" x14ac:dyDescent="0.3">
      <c r="A285" s="45" t="s">
        <v>226</v>
      </c>
      <c r="B285" s="264">
        <v>-43786.629159161886</v>
      </c>
    </row>
    <row r="286" spans="1:2" x14ac:dyDescent="0.3">
      <c r="A286" s="45" t="s">
        <v>294</v>
      </c>
      <c r="B286" s="264">
        <v>125056.10046782269</v>
      </c>
    </row>
    <row r="287" spans="1:2" x14ac:dyDescent="0.3">
      <c r="A287" s="45" t="s">
        <v>295</v>
      </c>
      <c r="B287" s="264">
        <v>12187.165646685666</v>
      </c>
    </row>
    <row r="288" spans="1:2" x14ac:dyDescent="0.3">
      <c r="A288" s="45" t="s">
        <v>227</v>
      </c>
      <c r="B288" s="264">
        <v>49462.816871492338</v>
      </c>
    </row>
    <row r="289" spans="1:2" x14ac:dyDescent="0.3">
      <c r="A289" s="45" t="s">
        <v>296</v>
      </c>
      <c r="B289" s="264">
        <v>-52510.359010934291</v>
      </c>
    </row>
    <row r="290" spans="1:2" x14ac:dyDescent="0.3">
      <c r="A290" s="45" t="s">
        <v>228</v>
      </c>
      <c r="B290" s="264">
        <v>5501.0860621234096</v>
      </c>
    </row>
    <row r="291" spans="1:2" x14ac:dyDescent="0.3">
      <c r="A291" s="45" t="s">
        <v>187</v>
      </c>
      <c r="B291" s="264">
        <v>-17403.272562748196</v>
      </c>
    </row>
    <row r="292" spans="1:2" x14ac:dyDescent="0.3">
      <c r="A292" s="45" t="s">
        <v>297</v>
      </c>
      <c r="B292" s="264">
        <v>2997.051260575905</v>
      </c>
    </row>
    <row r="293" spans="1:2" x14ac:dyDescent="0.3">
      <c r="A293" s="45" t="s">
        <v>298</v>
      </c>
      <c r="B293" s="264">
        <v>-16782.40518385305</v>
      </c>
    </row>
    <row r="294" spans="1:2" x14ac:dyDescent="0.3">
      <c r="A294" s="45" t="s">
        <v>299</v>
      </c>
      <c r="B294" s="264">
        <v>-26931.414497108664</v>
      </c>
    </row>
    <row r="295" spans="1:2" x14ac:dyDescent="0.3">
      <c r="A295" s="45" t="s">
        <v>300</v>
      </c>
      <c r="B295" s="264">
        <v>-24594.647770305506</v>
      </c>
    </row>
    <row r="296" spans="1:2" x14ac:dyDescent="0.3">
      <c r="A296" s="45" t="s">
        <v>301</v>
      </c>
      <c r="B296" s="264">
        <v>49228.494024589956</v>
      </c>
    </row>
    <row r="297" spans="1:2" x14ac:dyDescent="0.3">
      <c r="A297" s="45" t="s">
        <v>302</v>
      </c>
      <c r="B297" s="264">
        <v>36330.082442815517</v>
      </c>
    </row>
    <row r="298" spans="1:2" x14ac:dyDescent="0.3">
      <c r="A298" s="45" t="s">
        <v>303</v>
      </c>
      <c r="B298" s="264">
        <v>-49752.839421503428</v>
      </c>
    </row>
    <row r="299" spans="1:2" x14ac:dyDescent="0.3">
      <c r="A299" s="45" t="s">
        <v>188</v>
      </c>
      <c r="B299" s="264">
        <v>30742.156936915409</v>
      </c>
    </row>
    <row r="300" spans="1:2" x14ac:dyDescent="0.3">
      <c r="A300" s="45" t="s">
        <v>304</v>
      </c>
      <c r="B300" s="264">
        <v>22107.536417903841</v>
      </c>
    </row>
    <row r="301" spans="1:2" x14ac:dyDescent="0.3">
      <c r="A301" s="45" t="s">
        <v>229</v>
      </c>
      <c r="B301" s="264">
        <v>68716.889594625129</v>
      </c>
    </row>
    <row r="302" spans="1:2" x14ac:dyDescent="0.3">
      <c r="A302" s="45" t="s">
        <v>230</v>
      </c>
      <c r="B302" s="264">
        <v>-48150.527000843103</v>
      </c>
    </row>
    <row r="303" spans="1:2" x14ac:dyDescent="0.3">
      <c r="A303" s="45" t="s">
        <v>231</v>
      </c>
      <c r="B303" s="264">
        <v>-14384.474989482478</v>
      </c>
    </row>
    <row r="304" spans="1:2" x14ac:dyDescent="0.3">
      <c r="A304" s="45" t="s">
        <v>142</v>
      </c>
      <c r="B304" s="264">
        <v>-3608.5675937846877</v>
      </c>
    </row>
    <row r="305" spans="1:2" x14ac:dyDescent="0.3">
      <c r="A305" s="45" t="s">
        <v>143</v>
      </c>
      <c r="B305" s="264">
        <v>-6045.2662182104214</v>
      </c>
    </row>
    <row r="306" spans="1:2" x14ac:dyDescent="0.3">
      <c r="A306" s="45" t="s">
        <v>144</v>
      </c>
      <c r="B306" s="264">
        <v>-8313.6228676968531</v>
      </c>
    </row>
    <row r="307" spans="1:2" x14ac:dyDescent="0.3">
      <c r="A307" s="45" t="s">
        <v>145</v>
      </c>
      <c r="B307" s="264">
        <v>-6448.1557698691859</v>
      </c>
    </row>
    <row r="308" spans="1:2" x14ac:dyDescent="0.3">
      <c r="A308" s="45" t="s">
        <v>191</v>
      </c>
      <c r="B308" s="264">
        <v>-8308.8158906428453</v>
      </c>
    </row>
    <row r="309" spans="1:2" x14ac:dyDescent="0.3">
      <c r="A309" s="45" t="s">
        <v>232</v>
      </c>
      <c r="B309" s="264">
        <v>8292.6902464492287</v>
      </c>
    </row>
    <row r="310" spans="1:2" x14ac:dyDescent="0.3">
      <c r="A310" s="45" t="s">
        <v>233</v>
      </c>
      <c r="B310" s="264">
        <v>-3840.4887488085751</v>
      </c>
    </row>
    <row r="311" spans="1:2" x14ac:dyDescent="0.3">
      <c r="A311" s="45" t="s">
        <v>234</v>
      </c>
      <c r="B311" s="264">
        <v>-69444.187036199044</v>
      </c>
    </row>
    <row r="312" spans="1:2" x14ac:dyDescent="0.3">
      <c r="A312" s="45" t="s">
        <v>235</v>
      </c>
      <c r="B312" s="264">
        <v>58777.477228876043</v>
      </c>
    </row>
    <row r="313" spans="1:2" x14ac:dyDescent="0.3">
      <c r="A313" s="45" t="s">
        <v>200</v>
      </c>
      <c r="B313" s="264">
        <v>61676.804260267869</v>
      </c>
    </row>
    <row r="314" spans="1:2" x14ac:dyDescent="0.3">
      <c r="A314" s="45" t="s">
        <v>305</v>
      </c>
      <c r="B314" s="264">
        <v>224570.27647561417</v>
      </c>
    </row>
    <row r="315" spans="1:2" x14ac:dyDescent="0.3">
      <c r="A315" s="45" t="s">
        <v>306</v>
      </c>
      <c r="B315" s="264">
        <v>80694.894715823772</v>
      </c>
    </row>
    <row r="316" spans="1:2" x14ac:dyDescent="0.3">
      <c r="A316" s="45" t="s">
        <v>307</v>
      </c>
      <c r="B316" s="264">
        <v>136751.61286864188</v>
      </c>
    </row>
    <row r="317" spans="1:2" x14ac:dyDescent="0.3">
      <c r="A317" s="45" t="s">
        <v>308</v>
      </c>
      <c r="B317" s="264">
        <v>-249.10537684600968</v>
      </c>
    </row>
    <row r="318" spans="1:2" x14ac:dyDescent="0.3">
      <c r="A318" s="45" t="s">
        <v>309</v>
      </c>
      <c r="B318" s="264">
        <v>-56197.793056898168</v>
      </c>
    </row>
    <row r="319" spans="1:2" x14ac:dyDescent="0.3">
      <c r="A319" s="45" t="s">
        <v>310</v>
      </c>
      <c r="B319" s="264">
        <v>19154.097831392399</v>
      </c>
    </row>
    <row r="320" spans="1:2" x14ac:dyDescent="0.3">
      <c r="A320" s="45" t="s">
        <v>311</v>
      </c>
      <c r="B320" s="264">
        <v>-27388.749982139569</v>
      </c>
    </row>
    <row r="321" spans="1:2" x14ac:dyDescent="0.3">
      <c r="A321" s="45" t="s">
        <v>312</v>
      </c>
      <c r="B321" s="264">
        <v>15230.244711017724</v>
      </c>
    </row>
    <row r="322" spans="1:2" x14ac:dyDescent="0.3">
      <c r="A322" s="45" t="s">
        <v>140</v>
      </c>
      <c r="B322" s="264">
        <v>-4774.7330190204666</v>
      </c>
    </row>
    <row r="323" spans="1:2" x14ac:dyDescent="0.3">
      <c r="A323" s="45" t="s">
        <v>396</v>
      </c>
      <c r="B323" s="264">
        <v>117676.0960183195</v>
      </c>
    </row>
    <row r="324" spans="1:2" x14ac:dyDescent="0.3">
      <c r="A324" s="45" t="s">
        <v>397</v>
      </c>
      <c r="B324" s="264">
        <v>76259.272594517941</v>
      </c>
    </row>
    <row r="325" spans="1:2" x14ac:dyDescent="0.3">
      <c r="A325" s="45" t="s">
        <v>313</v>
      </c>
      <c r="B325" s="264">
        <v>17817.52020772278</v>
      </c>
    </row>
    <row r="326" spans="1:2" x14ac:dyDescent="0.3">
      <c r="A326" s="45" t="s">
        <v>427</v>
      </c>
      <c r="B326" s="264">
        <v>-92817.58467616266</v>
      </c>
    </row>
    <row r="327" spans="1:2" x14ac:dyDescent="0.3">
      <c r="A327" s="45" t="s">
        <v>398</v>
      </c>
      <c r="B327" s="264">
        <v>122792.85295810649</v>
      </c>
    </row>
    <row r="328" spans="1:2" x14ac:dyDescent="0.3">
      <c r="A328" s="45" t="s">
        <v>189</v>
      </c>
      <c r="B328" s="264">
        <v>-14186.517347225748</v>
      </c>
    </row>
    <row r="329" spans="1:2" x14ac:dyDescent="0.3">
      <c r="A329" s="45" t="s">
        <v>399</v>
      </c>
      <c r="B329" s="264">
        <v>-141923.47729852295</v>
      </c>
    </row>
    <row r="330" spans="1:2" x14ac:dyDescent="0.3">
      <c r="A330" s="45" t="s">
        <v>400</v>
      </c>
      <c r="B330" s="264">
        <v>60711.99662033288</v>
      </c>
    </row>
    <row r="331" spans="1:2" x14ac:dyDescent="0.3">
      <c r="A331" s="45" t="s">
        <v>314</v>
      </c>
      <c r="B331" s="264">
        <v>-119174.73563750873</v>
      </c>
    </row>
    <row r="332" spans="1:2" x14ac:dyDescent="0.3">
      <c r="A332" s="45" t="s">
        <v>315</v>
      </c>
      <c r="B332" s="264">
        <v>-60076.900153525312</v>
      </c>
    </row>
    <row r="333" spans="1:2" x14ac:dyDescent="0.3">
      <c r="A333" s="45" t="s">
        <v>316</v>
      </c>
      <c r="B333" s="264">
        <v>-85813.663074946919</v>
      </c>
    </row>
    <row r="334" spans="1:2" x14ac:dyDescent="0.3">
      <c r="A334" s="45" t="s">
        <v>401</v>
      </c>
      <c r="B334" s="264">
        <v>-141030.18256281081</v>
      </c>
    </row>
    <row r="335" spans="1:2" x14ac:dyDescent="0.3">
      <c r="A335" s="45" t="s">
        <v>317</v>
      </c>
      <c r="B335" s="264">
        <v>65748.603627886478</v>
      </c>
    </row>
    <row r="336" spans="1:2" x14ac:dyDescent="0.3">
      <c r="A336" s="45" t="s">
        <v>190</v>
      </c>
      <c r="B336" s="264">
        <v>-24096.828227311067</v>
      </c>
    </row>
    <row r="337" spans="1:2" x14ac:dyDescent="0.3">
      <c r="A337" s="45" t="s">
        <v>402</v>
      </c>
      <c r="B337" s="264">
        <v>-185748.50449745543</v>
      </c>
    </row>
    <row r="338" spans="1:2" x14ac:dyDescent="0.3">
      <c r="A338" s="45" t="s">
        <v>425</v>
      </c>
      <c r="B338" s="264">
        <v>22203.496364204853</v>
      </c>
    </row>
    <row r="339" spans="1:2" x14ac:dyDescent="0.3">
      <c r="A339" s="45" t="s">
        <v>424</v>
      </c>
      <c r="B339" s="264">
        <v>130074.86268615143</v>
      </c>
    </row>
    <row r="340" spans="1:2" x14ac:dyDescent="0.3">
      <c r="A340" s="45" t="s">
        <v>403</v>
      </c>
      <c r="B340" s="264">
        <v>-107415.68047357199</v>
      </c>
    </row>
    <row r="341" spans="1:2" x14ac:dyDescent="0.3">
      <c r="A341" s="45" t="s">
        <v>404</v>
      </c>
      <c r="B341" s="264">
        <v>-175245.42900368694</v>
      </c>
    </row>
    <row r="342" spans="1:2" x14ac:dyDescent="0.3">
      <c r="A342" s="45" t="s">
        <v>405</v>
      </c>
      <c r="B342" s="264">
        <v>-64288.898872674283</v>
      </c>
    </row>
    <row r="343" spans="1:2" x14ac:dyDescent="0.3">
      <c r="A343" s="45" t="s">
        <v>426</v>
      </c>
      <c r="B343" s="264">
        <v>-61120.858878045139</v>
      </c>
    </row>
    <row r="344" spans="1:2" x14ac:dyDescent="0.3">
      <c r="A344" s="45" t="s">
        <v>406</v>
      </c>
      <c r="B344" s="264">
        <v>7286.150284875439</v>
      </c>
    </row>
    <row r="345" spans="1:2" x14ac:dyDescent="0.3">
      <c r="A345" s="45" t="s">
        <v>407</v>
      </c>
      <c r="B345" s="264">
        <v>-18992.483769719922</v>
      </c>
    </row>
    <row r="346" spans="1:2" x14ac:dyDescent="0.3">
      <c r="A346" s="45" t="s">
        <v>408</v>
      </c>
      <c r="B346" s="264">
        <v>166753.84911948023</v>
      </c>
    </row>
    <row r="347" spans="1:2" x14ac:dyDescent="0.3">
      <c r="A347" s="45" t="s">
        <v>409</v>
      </c>
      <c r="B347" s="264">
        <v>45540.932300624503</v>
      </c>
    </row>
    <row r="348" spans="1:2" x14ac:dyDescent="0.3">
      <c r="A348" s="45" t="s">
        <v>410</v>
      </c>
      <c r="B348" s="264">
        <v>-61725.675027022167</v>
      </c>
    </row>
    <row r="349" spans="1:2" x14ac:dyDescent="0.3">
      <c r="A349" s="45" t="s">
        <v>318</v>
      </c>
      <c r="B349" s="264">
        <v>1851.2654784140686</v>
      </c>
    </row>
    <row r="350" spans="1:2" x14ac:dyDescent="0.3">
      <c r="A350" s="45" t="s">
        <v>319</v>
      </c>
      <c r="B350" s="264">
        <v>68366.303031111092</v>
      </c>
    </row>
    <row r="351" spans="1:2" x14ac:dyDescent="0.3">
      <c r="A351" s="45" t="s">
        <v>320</v>
      </c>
      <c r="B351" s="264">
        <v>45723.993412927659</v>
      </c>
    </row>
    <row r="352" spans="1:2" x14ac:dyDescent="0.3">
      <c r="A352" s="45" t="s">
        <v>321</v>
      </c>
      <c r="B352" s="264">
        <v>-2068.8520619917508</v>
      </c>
    </row>
    <row r="353" spans="1:2" x14ac:dyDescent="0.3">
      <c r="A353" s="45" t="s">
        <v>322</v>
      </c>
      <c r="B353" s="264">
        <v>17137.811946616559</v>
      </c>
    </row>
    <row r="354" spans="1:2" x14ac:dyDescent="0.3">
      <c r="A354" s="45" t="s">
        <v>323</v>
      </c>
      <c r="B354" s="264">
        <v>81014.87445947816</v>
      </c>
    </row>
    <row r="355" spans="1:2" x14ac:dyDescent="0.3">
      <c r="A355" s="45" t="s">
        <v>324</v>
      </c>
      <c r="B355" s="264">
        <v>-92397.718904788926</v>
      </c>
    </row>
    <row r="356" spans="1:2" x14ac:dyDescent="0.3">
      <c r="A356" s="45" t="s">
        <v>325</v>
      </c>
      <c r="B356" s="264">
        <v>81988.004660498715</v>
      </c>
    </row>
    <row r="357" spans="1:2" x14ac:dyDescent="0.3">
      <c r="A357" s="45" t="s">
        <v>326</v>
      </c>
      <c r="B357" s="264">
        <v>-35358.454504328445</v>
      </c>
    </row>
    <row r="358" spans="1:2" x14ac:dyDescent="0.3">
      <c r="A358" s="45" t="s">
        <v>327</v>
      </c>
      <c r="B358" s="264">
        <v>-27202.03360669719</v>
      </c>
    </row>
    <row r="359" spans="1:2" x14ac:dyDescent="0.3">
      <c r="A359" s="45" t="s">
        <v>328</v>
      </c>
      <c r="B359" s="264">
        <v>4678.8853245668288</v>
      </c>
    </row>
    <row r="360" spans="1:2" x14ac:dyDescent="0.3">
      <c r="A360" s="45" t="s">
        <v>236</v>
      </c>
      <c r="B360" s="264">
        <v>59225.397221633655</v>
      </c>
    </row>
    <row r="361" spans="1:2" x14ac:dyDescent="0.3">
      <c r="A361" s="45" t="s">
        <v>329</v>
      </c>
      <c r="B361" s="264">
        <v>360540.81979379262</v>
      </c>
    </row>
    <row r="362" spans="1:2" x14ac:dyDescent="0.3">
      <c r="A362" s="45" t="s">
        <v>237</v>
      </c>
      <c r="B362" s="264">
        <v>-83532.763863410262</v>
      </c>
    </row>
    <row r="363" spans="1:2" x14ac:dyDescent="0.3">
      <c r="A363" s="45" t="s">
        <v>411</v>
      </c>
      <c r="B363" s="264">
        <v>-28136.490887376975</v>
      </c>
    </row>
    <row r="364" spans="1:2" x14ac:dyDescent="0.3">
      <c r="A364" s="45" t="s">
        <v>330</v>
      </c>
      <c r="B364" s="264">
        <v>-3424.5198124293802</v>
      </c>
    </row>
    <row r="365" spans="1:2" x14ac:dyDescent="0.3">
      <c r="A365" s="45" t="s">
        <v>331</v>
      </c>
      <c r="B365" s="264">
        <v>36701.128831912705</v>
      </c>
    </row>
    <row r="366" spans="1:2" x14ac:dyDescent="0.3">
      <c r="A366" s="45" t="s">
        <v>332</v>
      </c>
      <c r="B366" s="264">
        <v>3846.9263859946259</v>
      </c>
    </row>
    <row r="367" spans="1:2" ht="15" thickBot="1" x14ac:dyDescent="0.35">
      <c r="A367" s="49" t="s">
        <v>238</v>
      </c>
      <c r="B367" s="264">
        <v>-27526.684765904767</v>
      </c>
    </row>
    <row r="368" spans="1:2" ht="15" thickBot="1" x14ac:dyDescent="0.35">
      <c r="A368" s="52" t="s">
        <v>824</v>
      </c>
      <c r="B368" s="80">
        <f>SUM(B9:B367)</f>
        <v>2775220.6974070175</v>
      </c>
    </row>
  </sheetData>
  <autoFilter ref="A8:B368" xr:uid="{9B60F998-CC43-4CDA-9229-69C49C61169F}"/>
  <mergeCells count="2">
    <mergeCell ref="A6:A8"/>
    <mergeCell ref="B6:B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6</vt:i4>
      </vt:variant>
    </vt:vector>
  </HeadingPairs>
  <TitlesOfParts>
    <vt:vector size="32" baseType="lpstr">
      <vt:lpstr>зведена таблиця</vt:lpstr>
      <vt:lpstr>Звіт-будинок</vt:lpstr>
      <vt:lpstr>місяць</vt:lpstr>
      <vt:lpstr>побудинковий звіт</vt:lpstr>
      <vt:lpstr>поточний ремонт</vt:lpstr>
      <vt:lpstr>Лист2</vt:lpstr>
      <vt:lpstr>ДЗ нас </vt:lpstr>
      <vt:lpstr>ДЗ нежит</vt:lpstr>
      <vt:lpstr>кошти 01.03.23</vt:lpstr>
      <vt:lpstr>ПР будинок</vt:lpstr>
      <vt:lpstr>накладні витрати</vt:lpstr>
      <vt:lpstr>первичка 1</vt:lpstr>
      <vt:lpstr>первичка 2</vt:lpstr>
      <vt:lpstr>Лист4</vt:lpstr>
      <vt:lpstr>коди</vt:lpstr>
      <vt:lpstr>ціни</vt:lpstr>
      <vt:lpstr>кошти 01.03.20</vt:lpstr>
      <vt:lpstr>Лист3</vt:lpstr>
      <vt:lpstr>нач</vt:lpstr>
      <vt:lpstr>новий кошторис с 01.06</vt:lpstr>
      <vt:lpstr>зарплата в цінах</vt:lpstr>
      <vt:lpstr>зарплата ТО</vt:lpstr>
      <vt:lpstr>ЕЛЕМЕНТИ ВИТРАТ</vt:lpstr>
      <vt:lpstr>ЛІМІТИ</vt:lpstr>
      <vt:lpstr>паркан аморт</vt:lpstr>
      <vt:lpstr>Лист1</vt:lpstr>
      <vt:lpstr>нач!Заголовки_для_печати</vt:lpstr>
      <vt:lpstr>'поточний ремонт'!Заголовки_для_печати</vt:lpstr>
      <vt:lpstr>ціни!Заголовки_для_печати</vt:lpstr>
      <vt:lpstr>'зведена таблиця'!Область_печати</vt:lpstr>
      <vt:lpstr>'Звіт-будинок'!Область_печати</vt:lpstr>
      <vt:lpstr>'накладні витрати'!Область_печати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nachpev</cp:lastModifiedBy>
  <cp:lastPrinted>2025-12-03T09:02:34Z</cp:lastPrinted>
  <dcterms:created xsi:type="dcterms:W3CDTF">2019-04-08T07:56:54Z</dcterms:created>
  <dcterms:modified xsi:type="dcterms:W3CDTF">2025-12-05T09:10:35Z</dcterms:modified>
</cp:coreProperties>
</file>